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Гречко М.В\Побудинковий облік\2024 рік\МІСЯЧНІ ЗВІТИ\"/>
    </mc:Choice>
  </mc:AlternateContent>
  <xr:revisionPtr revIDLastSave="0" documentId="13_ncr:1_{359B04AD-42EB-4178-99DC-5704A0238B47}" xr6:coauthVersionLast="47" xr6:coauthVersionMax="47" xr10:uidLastSave="{00000000-0000-0000-0000-000000000000}"/>
  <bookViews>
    <workbookView xWindow="-108" yWindow="-108" windowWidth="23256" windowHeight="13968" tabRatio="501" xr2:uid="{00000000-000D-0000-FFFF-FFFF00000000}"/>
  </bookViews>
  <sheets>
    <sheet name="Звіт-будинок" sheetId="12" r:id="rId1"/>
    <sheet name="зведена таблиця" sheetId="3" state="hidden" r:id="rId2"/>
    <sheet name="місяць" sheetId="14" state="hidden" r:id="rId3"/>
    <sheet name="побудинковий звіт" sheetId="1" state="hidden" r:id="rId4"/>
    <sheet name="поточний ремонт" sheetId="4" state="hidden" r:id="rId5"/>
    <sheet name="Лист2" sheetId="35" r:id="rId6"/>
    <sheet name="ДЗ нас " sheetId="22" state="hidden" r:id="rId7"/>
    <sheet name="ДЗ нежит" sheetId="23" state="hidden" r:id="rId8"/>
    <sheet name="кошти 01.01.24" sheetId="39" state="hidden" r:id="rId9"/>
    <sheet name="кошти 01.03.23" sheetId="38" state="hidden" r:id="rId10"/>
    <sheet name="ПР будинок" sheetId="13" state="hidden" r:id="rId11"/>
    <sheet name="накладні витрати" sheetId="5" state="hidden" r:id="rId12"/>
    <sheet name="первичка 1" sheetId="6" state="hidden" r:id="rId13"/>
    <sheet name="первичка 2" sheetId="7" state="hidden" r:id="rId14"/>
    <sheet name="Лист4" sheetId="37" r:id="rId15"/>
    <sheet name="коди" sheetId="11" r:id="rId16"/>
    <sheet name="ціни" sheetId="19" state="hidden" r:id="rId17"/>
    <sheet name="кошти 01.03.20" sheetId="21" state="hidden" r:id="rId18"/>
    <sheet name="Лист3" sheetId="36" r:id="rId19"/>
    <sheet name="нач" sheetId="24" state="hidden" r:id="rId20"/>
    <sheet name="новий кошторис с 01.06" sheetId="26" state="hidden" r:id="rId21"/>
    <sheet name="зарплата в цінах" sheetId="28" state="hidden" r:id="rId22"/>
    <sheet name="зарплата ТО" sheetId="29" state="hidden" r:id="rId23"/>
    <sheet name="ЕЛЕМЕНТИ ВИТРАТ" sheetId="30" state="hidden" r:id="rId24"/>
    <sheet name="ЛІМІТИ" sheetId="31" state="hidden" r:id="rId25"/>
    <sheet name="паркан аморт" sheetId="34" state="hidden" r:id="rId26"/>
    <sheet name="Лист1" sheetId="33" r:id="rId27"/>
  </sheets>
  <externalReferences>
    <externalReference r:id="rId28"/>
    <externalReference r:id="rId29"/>
    <externalReference r:id="rId30"/>
  </externalReferences>
  <definedNames>
    <definedName name="_xlnm._FilterDatabase" localSheetId="6" hidden="1">'ДЗ нас '!$A$1:$D$359</definedName>
    <definedName name="_xlnm._FilterDatabase" localSheetId="7" hidden="1">'ДЗ нежит'!$A$1:$H$146</definedName>
    <definedName name="_xlnm._FilterDatabase" localSheetId="0" hidden="1">'Звіт-будинок'!$A$10:$AT$10</definedName>
    <definedName name="_xlnm._FilterDatabase" localSheetId="15" hidden="1">коди!$B$7:$C$404</definedName>
    <definedName name="_xlnm._FilterDatabase" localSheetId="8" hidden="1">'кошти 01.01.24'!$A$8:$E$8</definedName>
    <definedName name="_xlnm._FilterDatabase" localSheetId="17" hidden="1">'кошти 01.03.20'!$A$8:$B$8</definedName>
    <definedName name="_xlnm._FilterDatabase" localSheetId="9" hidden="1">'кошти 01.03.23'!$A$8:$B$368</definedName>
    <definedName name="_xlnm._FilterDatabase" localSheetId="19" hidden="1">нач!$A$7:$M$375</definedName>
    <definedName name="_xlnm._FilterDatabase" localSheetId="20" hidden="1">'новий кошторис с 01.06'!$A$4:$AK$400</definedName>
    <definedName name="_xlnm._FilterDatabase" localSheetId="25" hidden="1">'паркан аморт'!$A$1:$D$416</definedName>
    <definedName name="_xlnm._FilterDatabase" localSheetId="12" hidden="1">'первичка 1'!$A$8:$BZ$382</definedName>
    <definedName name="_xlnm._FilterDatabase" localSheetId="13" hidden="1">'первичка 2'!$A$8:$BQ$372</definedName>
    <definedName name="_xlnm._FilterDatabase" localSheetId="3" hidden="1">'побудинковий звіт'!$A$8:$EH$366</definedName>
    <definedName name="_xlnm._FilterDatabase" localSheetId="4" hidden="1">'поточний ремонт'!$A$10:$BQ$356</definedName>
    <definedName name="_xlnm._FilterDatabase" localSheetId="16" hidden="1">ціни!$A$5:$G$5</definedName>
    <definedName name="_xlnm.Print_Titles" localSheetId="19">нач!$6:$7</definedName>
    <definedName name="_xlnm.Print_Titles" localSheetId="4">'поточний ремонт'!$7:$10</definedName>
    <definedName name="_xlnm.Print_Titles" localSheetId="16">ціни!$5:$5</definedName>
    <definedName name="_xlnm.Print_Area" localSheetId="0">'Звіт-будинок'!$A$1:$G$77</definedName>
    <definedName name="_xlnm.Print_Area" localSheetId="11">'накладні витрати'!$A$1:$K$41</definedName>
  </definedNames>
  <calcPr calcId="181029"/>
</workbook>
</file>

<file path=xl/calcChain.xml><?xml version="1.0" encoding="utf-8"?>
<calcChain xmlns="http://schemas.openxmlformats.org/spreadsheetml/2006/main">
  <c r="F12" i="1" l="1"/>
  <c r="G12" i="1"/>
  <c r="H12" i="1"/>
  <c r="F13" i="1"/>
  <c r="G13" i="1"/>
  <c r="H13" i="1"/>
  <c r="F14" i="1"/>
  <c r="G14" i="1"/>
  <c r="H14" i="1"/>
  <c r="F15" i="1"/>
  <c r="G15" i="1"/>
  <c r="H15" i="1"/>
  <c r="F16" i="1"/>
  <c r="G16" i="1"/>
  <c r="H16" i="1"/>
  <c r="F17" i="1"/>
  <c r="G17" i="1"/>
  <c r="H17" i="1"/>
  <c r="F18" i="1"/>
  <c r="G18" i="1"/>
  <c r="H18" i="1"/>
  <c r="F19" i="1"/>
  <c r="G19" i="1"/>
  <c r="H19" i="1"/>
  <c r="F20" i="1"/>
  <c r="G20" i="1"/>
  <c r="H20" i="1"/>
  <c r="F21" i="1"/>
  <c r="G21" i="1"/>
  <c r="H21" i="1"/>
  <c r="F22" i="1"/>
  <c r="G22" i="1"/>
  <c r="H22" i="1"/>
  <c r="F23" i="1"/>
  <c r="G23" i="1"/>
  <c r="H23" i="1"/>
  <c r="F24" i="1"/>
  <c r="G24" i="1"/>
  <c r="H24" i="1"/>
  <c r="F25" i="1"/>
  <c r="G25" i="1"/>
  <c r="H25" i="1"/>
  <c r="F26" i="1"/>
  <c r="G26" i="1"/>
  <c r="H26" i="1"/>
  <c r="F27" i="1"/>
  <c r="G27" i="1"/>
  <c r="H27" i="1"/>
  <c r="F28" i="1"/>
  <c r="G28" i="1"/>
  <c r="H28" i="1"/>
  <c r="F29" i="1"/>
  <c r="G29" i="1"/>
  <c r="H29" i="1"/>
  <c r="F30" i="1"/>
  <c r="G30" i="1"/>
  <c r="H30" i="1"/>
  <c r="F31" i="1"/>
  <c r="G31" i="1"/>
  <c r="H31" i="1"/>
  <c r="F32" i="1"/>
  <c r="G32" i="1"/>
  <c r="H32" i="1"/>
  <c r="F33" i="1"/>
  <c r="G33" i="1"/>
  <c r="H33" i="1"/>
  <c r="F34" i="1"/>
  <c r="G34" i="1"/>
  <c r="H34" i="1"/>
  <c r="F35" i="1"/>
  <c r="G35" i="1"/>
  <c r="H35" i="1"/>
  <c r="F36" i="1"/>
  <c r="G36" i="1"/>
  <c r="H36" i="1"/>
  <c r="F37" i="1"/>
  <c r="G37" i="1"/>
  <c r="H37" i="1"/>
  <c r="F38" i="1"/>
  <c r="G38" i="1"/>
  <c r="H38" i="1"/>
  <c r="F39" i="1"/>
  <c r="G39" i="1"/>
  <c r="H39" i="1"/>
  <c r="F40" i="1"/>
  <c r="G40" i="1"/>
  <c r="H40" i="1"/>
  <c r="F41" i="1"/>
  <c r="G41" i="1"/>
  <c r="H41" i="1"/>
  <c r="F42" i="1"/>
  <c r="G42" i="1"/>
  <c r="H42" i="1"/>
  <c r="F43" i="1"/>
  <c r="G43" i="1"/>
  <c r="H43" i="1"/>
  <c r="F44" i="1"/>
  <c r="G44" i="1"/>
  <c r="H44" i="1"/>
  <c r="F45" i="1"/>
  <c r="G45" i="1"/>
  <c r="H45" i="1"/>
  <c r="F46" i="1"/>
  <c r="G46" i="1"/>
  <c r="H46" i="1"/>
  <c r="F47" i="1"/>
  <c r="G47" i="1"/>
  <c r="H47" i="1"/>
  <c r="F48" i="1"/>
  <c r="G48" i="1"/>
  <c r="H48" i="1"/>
  <c r="F49" i="1"/>
  <c r="G49" i="1"/>
  <c r="H49" i="1"/>
  <c r="F50" i="1"/>
  <c r="G50" i="1"/>
  <c r="H50" i="1"/>
  <c r="F51" i="1"/>
  <c r="G51" i="1"/>
  <c r="H51" i="1"/>
  <c r="F52" i="1"/>
  <c r="G52" i="1"/>
  <c r="H52" i="1"/>
  <c r="F53" i="1"/>
  <c r="G53" i="1"/>
  <c r="H53" i="1"/>
  <c r="F54" i="1"/>
  <c r="G54" i="1"/>
  <c r="H54" i="1"/>
  <c r="F55" i="1"/>
  <c r="G55" i="1"/>
  <c r="H55" i="1"/>
  <c r="F56" i="1"/>
  <c r="G56" i="1"/>
  <c r="H56" i="1"/>
  <c r="F57" i="1"/>
  <c r="G57" i="1"/>
  <c r="H57" i="1"/>
  <c r="F58" i="1"/>
  <c r="G58" i="1"/>
  <c r="H58" i="1"/>
  <c r="F59" i="1"/>
  <c r="G59" i="1"/>
  <c r="H59" i="1"/>
  <c r="F60" i="1"/>
  <c r="G60" i="1"/>
  <c r="H60" i="1"/>
  <c r="F61" i="1"/>
  <c r="G61" i="1"/>
  <c r="H61" i="1"/>
  <c r="F62" i="1"/>
  <c r="G62" i="1"/>
  <c r="H62" i="1"/>
  <c r="F63" i="1"/>
  <c r="G63" i="1"/>
  <c r="H63" i="1"/>
  <c r="F64" i="1"/>
  <c r="G64" i="1"/>
  <c r="H64" i="1"/>
  <c r="F65" i="1"/>
  <c r="G65" i="1"/>
  <c r="H65" i="1"/>
  <c r="F66" i="1"/>
  <c r="G66" i="1"/>
  <c r="H66" i="1"/>
  <c r="F67" i="1"/>
  <c r="G67" i="1"/>
  <c r="H67" i="1"/>
  <c r="F68" i="1"/>
  <c r="G68" i="1"/>
  <c r="H68" i="1"/>
  <c r="F69" i="1"/>
  <c r="G69" i="1"/>
  <c r="H69" i="1"/>
  <c r="F70" i="1"/>
  <c r="G70" i="1"/>
  <c r="H70" i="1"/>
  <c r="F71" i="1"/>
  <c r="G71" i="1"/>
  <c r="H71" i="1"/>
  <c r="F72" i="1"/>
  <c r="G72" i="1"/>
  <c r="H72" i="1"/>
  <c r="F73" i="1"/>
  <c r="G73" i="1"/>
  <c r="H73" i="1"/>
  <c r="F74" i="1"/>
  <c r="G74" i="1"/>
  <c r="H74" i="1"/>
  <c r="F75" i="1"/>
  <c r="G75" i="1"/>
  <c r="H75" i="1"/>
  <c r="F76" i="1"/>
  <c r="G76" i="1"/>
  <c r="H76" i="1"/>
  <c r="F77" i="1"/>
  <c r="G77" i="1"/>
  <c r="H77" i="1"/>
  <c r="F78" i="1"/>
  <c r="G78" i="1"/>
  <c r="H78" i="1"/>
  <c r="F79" i="1"/>
  <c r="G79" i="1"/>
  <c r="H79" i="1"/>
  <c r="F80" i="1"/>
  <c r="G80" i="1"/>
  <c r="H80" i="1"/>
  <c r="F81" i="1"/>
  <c r="G81" i="1"/>
  <c r="H81" i="1"/>
  <c r="F82" i="1"/>
  <c r="G82" i="1"/>
  <c r="H82" i="1"/>
  <c r="F83" i="1"/>
  <c r="G83" i="1"/>
  <c r="H83" i="1"/>
  <c r="F84" i="1"/>
  <c r="G84" i="1"/>
  <c r="H84" i="1"/>
  <c r="F85" i="1"/>
  <c r="G85" i="1"/>
  <c r="H85" i="1"/>
  <c r="F86" i="1"/>
  <c r="G86" i="1"/>
  <c r="H86" i="1"/>
  <c r="F87" i="1"/>
  <c r="G87" i="1"/>
  <c r="H87" i="1"/>
  <c r="F88" i="1"/>
  <c r="G88" i="1"/>
  <c r="H88" i="1"/>
  <c r="F89" i="1"/>
  <c r="G89" i="1"/>
  <c r="H89" i="1"/>
  <c r="F90" i="1"/>
  <c r="G90" i="1"/>
  <c r="H90" i="1"/>
  <c r="F91" i="1"/>
  <c r="G91" i="1"/>
  <c r="H91" i="1"/>
  <c r="F92" i="1"/>
  <c r="G92" i="1"/>
  <c r="H92" i="1"/>
  <c r="F93" i="1"/>
  <c r="G93" i="1"/>
  <c r="H93" i="1"/>
  <c r="F94" i="1"/>
  <c r="G94" i="1"/>
  <c r="H94" i="1"/>
  <c r="F95" i="1"/>
  <c r="G95" i="1"/>
  <c r="H95" i="1"/>
  <c r="F96" i="1"/>
  <c r="G96" i="1"/>
  <c r="H96" i="1"/>
  <c r="F97" i="1"/>
  <c r="G97" i="1"/>
  <c r="H97" i="1"/>
  <c r="F98" i="1"/>
  <c r="G98" i="1"/>
  <c r="H98" i="1"/>
  <c r="F99" i="1"/>
  <c r="G99" i="1"/>
  <c r="H99" i="1"/>
  <c r="F100" i="1"/>
  <c r="G100" i="1"/>
  <c r="H100" i="1"/>
  <c r="F101" i="1"/>
  <c r="G101" i="1"/>
  <c r="H101" i="1"/>
  <c r="F102" i="1"/>
  <c r="G102" i="1"/>
  <c r="H102" i="1"/>
  <c r="F103" i="1"/>
  <c r="G103" i="1"/>
  <c r="H103" i="1"/>
  <c r="F104" i="1"/>
  <c r="G104" i="1"/>
  <c r="H104" i="1"/>
  <c r="F105" i="1"/>
  <c r="G105" i="1"/>
  <c r="H105" i="1"/>
  <c r="F106" i="1"/>
  <c r="G106" i="1"/>
  <c r="H106" i="1"/>
  <c r="F107" i="1"/>
  <c r="G107" i="1"/>
  <c r="H107" i="1"/>
  <c r="F108" i="1"/>
  <c r="G108" i="1"/>
  <c r="H108" i="1"/>
  <c r="F109" i="1"/>
  <c r="G109" i="1"/>
  <c r="H109" i="1"/>
  <c r="F110" i="1"/>
  <c r="G110" i="1"/>
  <c r="H110" i="1"/>
  <c r="F111" i="1"/>
  <c r="G111" i="1"/>
  <c r="H111" i="1"/>
  <c r="F112" i="1"/>
  <c r="G112" i="1"/>
  <c r="H112" i="1"/>
  <c r="F113" i="1"/>
  <c r="G113" i="1"/>
  <c r="H113" i="1"/>
  <c r="F114" i="1"/>
  <c r="G114" i="1"/>
  <c r="H114" i="1"/>
  <c r="F115" i="1"/>
  <c r="G115" i="1"/>
  <c r="H115" i="1"/>
  <c r="F116" i="1"/>
  <c r="G116" i="1"/>
  <c r="H116" i="1"/>
  <c r="F117" i="1"/>
  <c r="G117" i="1"/>
  <c r="H117" i="1"/>
  <c r="F118" i="1"/>
  <c r="G118" i="1"/>
  <c r="H118" i="1"/>
  <c r="F119" i="1"/>
  <c r="G119" i="1"/>
  <c r="H119" i="1"/>
  <c r="F120" i="1"/>
  <c r="G120" i="1"/>
  <c r="H120" i="1"/>
  <c r="F121" i="1"/>
  <c r="G121" i="1"/>
  <c r="H121" i="1"/>
  <c r="F122" i="1"/>
  <c r="G122" i="1"/>
  <c r="H122" i="1"/>
  <c r="F123" i="1"/>
  <c r="G123" i="1"/>
  <c r="H123" i="1"/>
  <c r="F124" i="1"/>
  <c r="G124" i="1"/>
  <c r="H124" i="1"/>
  <c r="F125" i="1"/>
  <c r="G125" i="1"/>
  <c r="H125" i="1"/>
  <c r="F126" i="1"/>
  <c r="G126" i="1"/>
  <c r="H126" i="1"/>
  <c r="F127" i="1"/>
  <c r="G127" i="1"/>
  <c r="H127" i="1"/>
  <c r="F128" i="1"/>
  <c r="G128" i="1"/>
  <c r="H128" i="1"/>
  <c r="F129" i="1"/>
  <c r="G129" i="1"/>
  <c r="H129" i="1"/>
  <c r="F130" i="1"/>
  <c r="G130" i="1"/>
  <c r="H130" i="1"/>
  <c r="F131" i="1"/>
  <c r="G131" i="1"/>
  <c r="H131" i="1"/>
  <c r="F132" i="1"/>
  <c r="G132" i="1"/>
  <c r="H132" i="1"/>
  <c r="F133" i="1"/>
  <c r="G133" i="1"/>
  <c r="H133" i="1"/>
  <c r="F134" i="1"/>
  <c r="G134" i="1"/>
  <c r="H134" i="1"/>
  <c r="F135" i="1"/>
  <c r="G135" i="1"/>
  <c r="H135" i="1"/>
  <c r="F136" i="1"/>
  <c r="G136" i="1"/>
  <c r="H136" i="1"/>
  <c r="F137" i="1"/>
  <c r="G137" i="1"/>
  <c r="H137" i="1"/>
  <c r="F138" i="1"/>
  <c r="G138" i="1"/>
  <c r="H138" i="1"/>
  <c r="F139" i="1"/>
  <c r="G139" i="1"/>
  <c r="H139" i="1"/>
  <c r="F140" i="1"/>
  <c r="G140" i="1"/>
  <c r="H140" i="1"/>
  <c r="F141" i="1"/>
  <c r="G141" i="1"/>
  <c r="H141" i="1"/>
  <c r="F142" i="1"/>
  <c r="G142" i="1"/>
  <c r="H142" i="1"/>
  <c r="F143" i="1"/>
  <c r="G143" i="1"/>
  <c r="H143" i="1"/>
  <c r="F144" i="1"/>
  <c r="G144" i="1"/>
  <c r="H144" i="1"/>
  <c r="F145" i="1"/>
  <c r="G145" i="1"/>
  <c r="H145" i="1"/>
  <c r="F146" i="1"/>
  <c r="G146" i="1"/>
  <c r="H146" i="1"/>
  <c r="F147" i="1"/>
  <c r="G147" i="1"/>
  <c r="H147" i="1"/>
  <c r="F148" i="1"/>
  <c r="G148" i="1"/>
  <c r="H148" i="1"/>
  <c r="F149" i="1"/>
  <c r="G149" i="1"/>
  <c r="H149" i="1"/>
  <c r="F150" i="1"/>
  <c r="G150" i="1"/>
  <c r="H150" i="1"/>
  <c r="F151" i="1"/>
  <c r="G151" i="1"/>
  <c r="H151" i="1"/>
  <c r="F152" i="1"/>
  <c r="G152" i="1"/>
  <c r="H152" i="1"/>
  <c r="F153" i="1"/>
  <c r="G153" i="1"/>
  <c r="H153" i="1"/>
  <c r="F154" i="1"/>
  <c r="G154" i="1"/>
  <c r="H154" i="1"/>
  <c r="F155" i="1"/>
  <c r="G155" i="1"/>
  <c r="H155" i="1"/>
  <c r="F156" i="1"/>
  <c r="G156" i="1"/>
  <c r="H156" i="1"/>
  <c r="F157" i="1"/>
  <c r="G157" i="1"/>
  <c r="H157" i="1"/>
  <c r="F158" i="1"/>
  <c r="G158" i="1"/>
  <c r="H158" i="1"/>
  <c r="F159" i="1"/>
  <c r="G159" i="1"/>
  <c r="H159" i="1"/>
  <c r="F160" i="1"/>
  <c r="G160" i="1"/>
  <c r="H160" i="1"/>
  <c r="F161" i="1"/>
  <c r="G161" i="1"/>
  <c r="H161" i="1"/>
  <c r="F162" i="1"/>
  <c r="G162" i="1"/>
  <c r="H162" i="1"/>
  <c r="F163" i="1"/>
  <c r="G163" i="1"/>
  <c r="H163" i="1"/>
  <c r="F164" i="1"/>
  <c r="G164" i="1"/>
  <c r="H164" i="1"/>
  <c r="F165" i="1"/>
  <c r="G165" i="1"/>
  <c r="H165" i="1"/>
  <c r="F166" i="1"/>
  <c r="G166" i="1"/>
  <c r="H166" i="1"/>
  <c r="F167" i="1"/>
  <c r="G167" i="1"/>
  <c r="H167" i="1"/>
  <c r="F168" i="1"/>
  <c r="G168" i="1"/>
  <c r="H168" i="1"/>
  <c r="F169" i="1"/>
  <c r="G169" i="1"/>
  <c r="H169" i="1"/>
  <c r="F170" i="1"/>
  <c r="G170" i="1"/>
  <c r="H170" i="1"/>
  <c r="F171" i="1"/>
  <c r="G171" i="1"/>
  <c r="H171" i="1"/>
  <c r="F172" i="1"/>
  <c r="G172" i="1"/>
  <c r="H172" i="1"/>
  <c r="F173" i="1"/>
  <c r="G173" i="1"/>
  <c r="H173" i="1"/>
  <c r="F174" i="1"/>
  <c r="G174" i="1"/>
  <c r="H174" i="1"/>
  <c r="F175" i="1"/>
  <c r="G175" i="1"/>
  <c r="H175" i="1"/>
  <c r="F176" i="1"/>
  <c r="G176" i="1"/>
  <c r="H176" i="1"/>
  <c r="F177" i="1"/>
  <c r="G177" i="1"/>
  <c r="H177" i="1"/>
  <c r="F178" i="1"/>
  <c r="G178" i="1"/>
  <c r="H178" i="1"/>
  <c r="F179" i="1"/>
  <c r="G179" i="1"/>
  <c r="H179" i="1"/>
  <c r="F180" i="1"/>
  <c r="G180" i="1"/>
  <c r="H180" i="1"/>
  <c r="F181" i="1"/>
  <c r="G181" i="1"/>
  <c r="H181" i="1"/>
  <c r="F182" i="1"/>
  <c r="G182" i="1"/>
  <c r="H182" i="1"/>
  <c r="F183" i="1"/>
  <c r="G183" i="1"/>
  <c r="H183" i="1"/>
  <c r="F184" i="1"/>
  <c r="G184" i="1"/>
  <c r="H184" i="1"/>
  <c r="F185" i="1"/>
  <c r="G185" i="1"/>
  <c r="H185" i="1"/>
  <c r="F186" i="1"/>
  <c r="G186" i="1"/>
  <c r="H186" i="1"/>
  <c r="F187" i="1"/>
  <c r="G187" i="1"/>
  <c r="H187" i="1"/>
  <c r="F188" i="1"/>
  <c r="G188" i="1"/>
  <c r="H188" i="1"/>
  <c r="F189" i="1"/>
  <c r="G189" i="1"/>
  <c r="H189" i="1"/>
  <c r="F190" i="1"/>
  <c r="G190" i="1"/>
  <c r="H190" i="1"/>
  <c r="F191" i="1"/>
  <c r="G191" i="1"/>
  <c r="H191" i="1"/>
  <c r="F192" i="1"/>
  <c r="G192" i="1"/>
  <c r="H192" i="1"/>
  <c r="F193" i="1"/>
  <c r="G193" i="1"/>
  <c r="H193" i="1"/>
  <c r="F194" i="1"/>
  <c r="G194" i="1"/>
  <c r="H194" i="1"/>
  <c r="F195" i="1"/>
  <c r="G195" i="1"/>
  <c r="H195" i="1"/>
  <c r="F196" i="1"/>
  <c r="G196" i="1"/>
  <c r="H196" i="1"/>
  <c r="F197" i="1"/>
  <c r="G197" i="1"/>
  <c r="H197" i="1"/>
  <c r="F198" i="1"/>
  <c r="G198" i="1"/>
  <c r="H198" i="1"/>
  <c r="F199" i="1"/>
  <c r="G199" i="1"/>
  <c r="H199" i="1"/>
  <c r="F200" i="1"/>
  <c r="G200" i="1"/>
  <c r="H200" i="1"/>
  <c r="F201" i="1"/>
  <c r="G201" i="1"/>
  <c r="H201" i="1"/>
  <c r="F202" i="1"/>
  <c r="G202" i="1"/>
  <c r="H202" i="1"/>
  <c r="F203" i="1"/>
  <c r="G203" i="1"/>
  <c r="H203" i="1"/>
  <c r="F204" i="1"/>
  <c r="G204" i="1"/>
  <c r="H204" i="1"/>
  <c r="F205" i="1"/>
  <c r="G205" i="1"/>
  <c r="H205" i="1"/>
  <c r="F206" i="1"/>
  <c r="G206" i="1"/>
  <c r="H206" i="1"/>
  <c r="F207" i="1"/>
  <c r="G207" i="1"/>
  <c r="H207" i="1"/>
  <c r="F208" i="1"/>
  <c r="G208" i="1"/>
  <c r="H208" i="1"/>
  <c r="F209" i="1"/>
  <c r="G209" i="1"/>
  <c r="H209" i="1"/>
  <c r="F210" i="1"/>
  <c r="G210" i="1"/>
  <c r="H210" i="1"/>
  <c r="F211" i="1"/>
  <c r="G211" i="1"/>
  <c r="H211" i="1"/>
  <c r="F212" i="1"/>
  <c r="G212" i="1"/>
  <c r="H212" i="1"/>
  <c r="F213" i="1"/>
  <c r="G213" i="1"/>
  <c r="H213" i="1"/>
  <c r="F214" i="1"/>
  <c r="G214" i="1"/>
  <c r="H214" i="1"/>
  <c r="F215" i="1"/>
  <c r="G215" i="1"/>
  <c r="H215" i="1"/>
  <c r="F216" i="1"/>
  <c r="G216" i="1"/>
  <c r="H216" i="1"/>
  <c r="F217" i="1"/>
  <c r="G217" i="1"/>
  <c r="H217" i="1"/>
  <c r="F218" i="1"/>
  <c r="G218" i="1"/>
  <c r="H218" i="1"/>
  <c r="F219" i="1"/>
  <c r="G219" i="1"/>
  <c r="H219" i="1"/>
  <c r="F220" i="1"/>
  <c r="G220" i="1"/>
  <c r="H220" i="1"/>
  <c r="F221" i="1"/>
  <c r="G221" i="1"/>
  <c r="H221" i="1"/>
  <c r="F222" i="1"/>
  <c r="G222" i="1"/>
  <c r="H222" i="1"/>
  <c r="F223" i="1"/>
  <c r="G223" i="1"/>
  <c r="H223" i="1"/>
  <c r="F224" i="1"/>
  <c r="G224" i="1"/>
  <c r="H224" i="1"/>
  <c r="F225" i="1"/>
  <c r="G225" i="1"/>
  <c r="H225" i="1"/>
  <c r="F226" i="1"/>
  <c r="G226" i="1"/>
  <c r="H226" i="1"/>
  <c r="F227" i="1"/>
  <c r="G227" i="1"/>
  <c r="H227" i="1"/>
  <c r="F228" i="1"/>
  <c r="G228" i="1"/>
  <c r="H228" i="1"/>
  <c r="F229" i="1"/>
  <c r="G229" i="1"/>
  <c r="H229" i="1"/>
  <c r="F230" i="1"/>
  <c r="G230" i="1"/>
  <c r="H230" i="1"/>
  <c r="F231" i="1"/>
  <c r="G231" i="1"/>
  <c r="H231" i="1"/>
  <c r="F232" i="1"/>
  <c r="G232" i="1"/>
  <c r="H232" i="1"/>
  <c r="F233" i="1"/>
  <c r="G233" i="1"/>
  <c r="H233" i="1"/>
  <c r="F234" i="1"/>
  <c r="G234" i="1"/>
  <c r="H234" i="1"/>
  <c r="F235" i="1"/>
  <c r="G235" i="1"/>
  <c r="H235" i="1"/>
  <c r="F236" i="1"/>
  <c r="G236" i="1"/>
  <c r="H236" i="1"/>
  <c r="F237" i="1"/>
  <c r="G237" i="1"/>
  <c r="H237" i="1"/>
  <c r="F238" i="1"/>
  <c r="G238" i="1"/>
  <c r="H238" i="1"/>
  <c r="F239" i="1"/>
  <c r="G239" i="1"/>
  <c r="H239" i="1"/>
  <c r="F240" i="1"/>
  <c r="G240" i="1"/>
  <c r="H240" i="1"/>
  <c r="F241" i="1"/>
  <c r="G241" i="1"/>
  <c r="H241" i="1"/>
  <c r="F242" i="1"/>
  <c r="G242" i="1"/>
  <c r="H242" i="1"/>
  <c r="F243" i="1"/>
  <c r="G243" i="1"/>
  <c r="H243" i="1"/>
  <c r="F244" i="1"/>
  <c r="G244" i="1"/>
  <c r="H244" i="1"/>
  <c r="F245" i="1"/>
  <c r="G245" i="1"/>
  <c r="H245" i="1"/>
  <c r="F246" i="1"/>
  <c r="G246" i="1"/>
  <c r="H246" i="1"/>
  <c r="F247" i="1"/>
  <c r="G247" i="1"/>
  <c r="H247" i="1"/>
  <c r="F248" i="1"/>
  <c r="G248" i="1"/>
  <c r="H248" i="1"/>
  <c r="F249" i="1"/>
  <c r="G249" i="1"/>
  <c r="H249" i="1"/>
  <c r="F250" i="1"/>
  <c r="G250" i="1"/>
  <c r="H250" i="1"/>
  <c r="F251" i="1"/>
  <c r="G251" i="1"/>
  <c r="H251" i="1"/>
  <c r="F252" i="1"/>
  <c r="G252" i="1"/>
  <c r="H252" i="1"/>
  <c r="F253" i="1"/>
  <c r="G253" i="1"/>
  <c r="H253" i="1"/>
  <c r="F254" i="1"/>
  <c r="G254" i="1"/>
  <c r="H254" i="1"/>
  <c r="F255" i="1"/>
  <c r="G255" i="1"/>
  <c r="H255" i="1"/>
  <c r="F256" i="1"/>
  <c r="G256" i="1"/>
  <c r="H256" i="1"/>
  <c r="F257" i="1"/>
  <c r="G257" i="1"/>
  <c r="H257" i="1"/>
  <c r="F258" i="1"/>
  <c r="G258" i="1"/>
  <c r="H258" i="1"/>
  <c r="F259" i="1"/>
  <c r="G259" i="1"/>
  <c r="H259" i="1"/>
  <c r="F260" i="1"/>
  <c r="G260" i="1"/>
  <c r="H260" i="1"/>
  <c r="F261" i="1"/>
  <c r="G261" i="1"/>
  <c r="H261" i="1"/>
  <c r="F262" i="1"/>
  <c r="G262" i="1"/>
  <c r="H262" i="1"/>
  <c r="F263" i="1"/>
  <c r="G263" i="1"/>
  <c r="H263" i="1"/>
  <c r="F264" i="1"/>
  <c r="G264" i="1"/>
  <c r="H264" i="1"/>
  <c r="F265" i="1"/>
  <c r="G265" i="1"/>
  <c r="H265" i="1"/>
  <c r="F266" i="1"/>
  <c r="G266" i="1"/>
  <c r="H266" i="1"/>
  <c r="F267" i="1"/>
  <c r="G267" i="1"/>
  <c r="H267" i="1"/>
  <c r="F268" i="1"/>
  <c r="G268" i="1"/>
  <c r="H268" i="1"/>
  <c r="F269" i="1"/>
  <c r="G269" i="1"/>
  <c r="H269" i="1"/>
  <c r="F270" i="1"/>
  <c r="G270" i="1"/>
  <c r="H270" i="1"/>
  <c r="F271" i="1"/>
  <c r="G271" i="1"/>
  <c r="H271" i="1"/>
  <c r="F272" i="1"/>
  <c r="G272" i="1"/>
  <c r="H272" i="1"/>
  <c r="F273" i="1"/>
  <c r="G273" i="1"/>
  <c r="H273" i="1"/>
  <c r="F274" i="1"/>
  <c r="G274" i="1"/>
  <c r="H274" i="1"/>
  <c r="F275" i="1"/>
  <c r="G275" i="1"/>
  <c r="H275" i="1"/>
  <c r="F276" i="1"/>
  <c r="G276" i="1"/>
  <c r="H276" i="1"/>
  <c r="F277" i="1"/>
  <c r="G277" i="1"/>
  <c r="H277" i="1"/>
  <c r="F278" i="1"/>
  <c r="G278" i="1"/>
  <c r="H278" i="1"/>
  <c r="F279" i="1"/>
  <c r="G279" i="1"/>
  <c r="H279" i="1"/>
  <c r="F280" i="1"/>
  <c r="G280" i="1"/>
  <c r="H280" i="1"/>
  <c r="F281" i="1"/>
  <c r="G281" i="1"/>
  <c r="H281" i="1"/>
  <c r="F282" i="1"/>
  <c r="G282" i="1"/>
  <c r="H282" i="1"/>
  <c r="F283" i="1"/>
  <c r="G283" i="1"/>
  <c r="H283" i="1"/>
  <c r="F284" i="1"/>
  <c r="G284" i="1"/>
  <c r="H284" i="1"/>
  <c r="F285" i="1"/>
  <c r="G285" i="1"/>
  <c r="H285" i="1"/>
  <c r="F286" i="1"/>
  <c r="G286" i="1"/>
  <c r="H286" i="1"/>
  <c r="F287" i="1"/>
  <c r="G287" i="1"/>
  <c r="H287" i="1"/>
  <c r="F288" i="1"/>
  <c r="G288" i="1"/>
  <c r="H288" i="1"/>
  <c r="F289" i="1"/>
  <c r="G289" i="1"/>
  <c r="H289" i="1"/>
  <c r="F290" i="1"/>
  <c r="G290" i="1"/>
  <c r="H290" i="1"/>
  <c r="F291" i="1"/>
  <c r="G291" i="1"/>
  <c r="H291" i="1"/>
  <c r="F292" i="1"/>
  <c r="G292" i="1"/>
  <c r="H292" i="1"/>
  <c r="F293" i="1"/>
  <c r="G293" i="1"/>
  <c r="H293" i="1"/>
  <c r="F294" i="1"/>
  <c r="G294" i="1"/>
  <c r="H294" i="1"/>
  <c r="F295" i="1"/>
  <c r="G295" i="1"/>
  <c r="H295" i="1"/>
  <c r="F296" i="1"/>
  <c r="G296" i="1"/>
  <c r="H296" i="1"/>
  <c r="F297" i="1"/>
  <c r="G297" i="1"/>
  <c r="H297" i="1"/>
  <c r="F298" i="1"/>
  <c r="G298" i="1"/>
  <c r="H298" i="1"/>
  <c r="F299" i="1"/>
  <c r="G299" i="1"/>
  <c r="H299" i="1"/>
  <c r="F300" i="1"/>
  <c r="G300" i="1"/>
  <c r="H300" i="1"/>
  <c r="F301" i="1"/>
  <c r="G301" i="1"/>
  <c r="H301" i="1"/>
  <c r="F302" i="1"/>
  <c r="G302" i="1"/>
  <c r="H302" i="1"/>
  <c r="F303" i="1"/>
  <c r="G303" i="1"/>
  <c r="H303" i="1"/>
  <c r="F304" i="1"/>
  <c r="G304" i="1"/>
  <c r="H304" i="1"/>
  <c r="F305" i="1"/>
  <c r="G305" i="1"/>
  <c r="H305" i="1"/>
  <c r="F306" i="1"/>
  <c r="G306" i="1"/>
  <c r="H306" i="1"/>
  <c r="F307" i="1"/>
  <c r="G307" i="1"/>
  <c r="H307" i="1"/>
  <c r="F308" i="1"/>
  <c r="G308" i="1"/>
  <c r="H308" i="1"/>
  <c r="F309" i="1"/>
  <c r="G309" i="1"/>
  <c r="H309" i="1"/>
  <c r="F310" i="1"/>
  <c r="G310" i="1"/>
  <c r="H310" i="1"/>
  <c r="F311" i="1"/>
  <c r="G311" i="1"/>
  <c r="H311" i="1"/>
  <c r="F312" i="1"/>
  <c r="G312" i="1"/>
  <c r="H312" i="1"/>
  <c r="F313" i="1"/>
  <c r="G313" i="1"/>
  <c r="H313" i="1"/>
  <c r="F314" i="1"/>
  <c r="G314" i="1"/>
  <c r="H314" i="1"/>
  <c r="F315" i="1"/>
  <c r="G315" i="1"/>
  <c r="H315" i="1"/>
  <c r="F316" i="1"/>
  <c r="G316" i="1"/>
  <c r="H316" i="1"/>
  <c r="F317" i="1"/>
  <c r="G317" i="1"/>
  <c r="H317" i="1"/>
  <c r="F318" i="1"/>
  <c r="G318" i="1"/>
  <c r="H318" i="1"/>
  <c r="F319" i="1"/>
  <c r="G319" i="1"/>
  <c r="H319" i="1"/>
  <c r="F320" i="1"/>
  <c r="G320" i="1"/>
  <c r="H320" i="1"/>
  <c r="F321" i="1"/>
  <c r="G321" i="1"/>
  <c r="H321" i="1"/>
  <c r="F322" i="1"/>
  <c r="G322" i="1"/>
  <c r="H322" i="1"/>
  <c r="F323" i="1"/>
  <c r="G323" i="1"/>
  <c r="H323" i="1"/>
  <c r="F324" i="1"/>
  <c r="G324" i="1"/>
  <c r="H324" i="1"/>
  <c r="F325" i="1"/>
  <c r="G325" i="1"/>
  <c r="H325" i="1"/>
  <c r="F326" i="1"/>
  <c r="G326" i="1"/>
  <c r="H326" i="1"/>
  <c r="F327" i="1"/>
  <c r="G327" i="1"/>
  <c r="H327" i="1"/>
  <c r="F328" i="1"/>
  <c r="G328" i="1"/>
  <c r="H328" i="1"/>
  <c r="F329" i="1"/>
  <c r="G329" i="1"/>
  <c r="H329" i="1"/>
  <c r="F330" i="1"/>
  <c r="G330" i="1"/>
  <c r="H330" i="1"/>
  <c r="F331" i="1"/>
  <c r="G331" i="1"/>
  <c r="H331" i="1"/>
  <c r="F332" i="1"/>
  <c r="G332" i="1"/>
  <c r="H332" i="1"/>
  <c r="F333" i="1"/>
  <c r="G333" i="1"/>
  <c r="H333" i="1"/>
  <c r="F334" i="1"/>
  <c r="G334" i="1"/>
  <c r="H334" i="1"/>
  <c r="F335" i="1"/>
  <c r="G335" i="1"/>
  <c r="H335" i="1"/>
  <c r="F336" i="1"/>
  <c r="G336" i="1"/>
  <c r="H336" i="1"/>
  <c r="F337" i="1"/>
  <c r="G337" i="1"/>
  <c r="H337" i="1"/>
  <c r="F338" i="1"/>
  <c r="G338" i="1"/>
  <c r="H338" i="1"/>
  <c r="F339" i="1"/>
  <c r="G339" i="1"/>
  <c r="H339" i="1"/>
  <c r="F340" i="1"/>
  <c r="G340" i="1"/>
  <c r="H340" i="1"/>
  <c r="F341" i="1"/>
  <c r="G341" i="1"/>
  <c r="H341" i="1"/>
  <c r="F342" i="1"/>
  <c r="G342" i="1"/>
  <c r="H342" i="1"/>
  <c r="F343" i="1"/>
  <c r="G343" i="1"/>
  <c r="H343" i="1"/>
  <c r="F344" i="1"/>
  <c r="G344" i="1"/>
  <c r="H344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10" i="1"/>
  <c r="G10" i="1"/>
  <c r="H10" i="1"/>
  <c r="F11" i="1"/>
  <c r="G11" i="1"/>
  <c r="H11" i="1"/>
  <c r="G9" i="1"/>
  <c r="H9" i="1"/>
  <c r="F9" i="1"/>
  <c r="D7" i="5" l="1"/>
  <c r="G34" i="5"/>
  <c r="F34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G7" i="5"/>
  <c r="F7" i="5"/>
  <c r="D34" i="5"/>
  <c r="C34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8" i="5"/>
  <c r="C7" i="5"/>
  <c r="DW353" i="1" l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9" i="1"/>
  <c r="DX10" i="1" l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9" i="1"/>
  <c r="C49" i="12" l="1"/>
  <c r="C48" i="12"/>
  <c r="AX355" i="4"/>
  <c r="AW355" i="4"/>
  <c r="AX354" i="4"/>
  <c r="AW354" i="4"/>
  <c r="AX353" i="4"/>
  <c r="AW353" i="4"/>
  <c r="AX352" i="4"/>
  <c r="AW352" i="4"/>
  <c r="AX351" i="4"/>
  <c r="AW351" i="4"/>
  <c r="AX350" i="4"/>
  <c r="AW350" i="4"/>
  <c r="AX349" i="4"/>
  <c r="AW349" i="4"/>
  <c r="AX348" i="4"/>
  <c r="AW348" i="4"/>
  <c r="AX347" i="4"/>
  <c r="AW347" i="4"/>
  <c r="AX346" i="4"/>
  <c r="AW346" i="4"/>
  <c r="AX345" i="4"/>
  <c r="AW345" i="4"/>
  <c r="AX344" i="4"/>
  <c r="AW344" i="4"/>
  <c r="AX343" i="4"/>
  <c r="AW343" i="4"/>
  <c r="AX342" i="4"/>
  <c r="AW342" i="4"/>
  <c r="AX341" i="4"/>
  <c r="AW341" i="4"/>
  <c r="AX340" i="4"/>
  <c r="AW340" i="4"/>
  <c r="AX339" i="4"/>
  <c r="AW339" i="4"/>
  <c r="AX338" i="4"/>
  <c r="AW338" i="4"/>
  <c r="AX337" i="4"/>
  <c r="AW337" i="4"/>
  <c r="AX336" i="4"/>
  <c r="AW336" i="4"/>
  <c r="AX335" i="4"/>
  <c r="AW335" i="4"/>
  <c r="AX334" i="4"/>
  <c r="AW334" i="4"/>
  <c r="AX333" i="4"/>
  <c r="AW333" i="4"/>
  <c r="AX332" i="4"/>
  <c r="AW332" i="4"/>
  <c r="AX331" i="4"/>
  <c r="AW331" i="4"/>
  <c r="AX330" i="4"/>
  <c r="AW330" i="4"/>
  <c r="AX329" i="4"/>
  <c r="AW329" i="4"/>
  <c r="AX328" i="4"/>
  <c r="AW328" i="4"/>
  <c r="AX327" i="4"/>
  <c r="AW327" i="4"/>
  <c r="AX326" i="4"/>
  <c r="AW326" i="4"/>
  <c r="AX325" i="4"/>
  <c r="AW325" i="4"/>
  <c r="AX324" i="4"/>
  <c r="AW324" i="4"/>
  <c r="AX323" i="4"/>
  <c r="AW323" i="4"/>
  <c r="AX322" i="4"/>
  <c r="AW322" i="4"/>
  <c r="AX321" i="4"/>
  <c r="AW321" i="4"/>
  <c r="AX320" i="4"/>
  <c r="AW320" i="4"/>
  <c r="AX319" i="4"/>
  <c r="AW319" i="4"/>
  <c r="AX318" i="4"/>
  <c r="AW318" i="4"/>
  <c r="AX317" i="4"/>
  <c r="AW317" i="4"/>
  <c r="AX316" i="4"/>
  <c r="AW316" i="4"/>
  <c r="AX315" i="4"/>
  <c r="AW315" i="4"/>
  <c r="AX314" i="4"/>
  <c r="AW314" i="4"/>
  <c r="AX313" i="4"/>
  <c r="AW313" i="4"/>
  <c r="AX312" i="4"/>
  <c r="AW312" i="4"/>
  <c r="AX311" i="4"/>
  <c r="AW311" i="4"/>
  <c r="AX310" i="4"/>
  <c r="AW310" i="4"/>
  <c r="AX309" i="4"/>
  <c r="AW309" i="4"/>
  <c r="AX308" i="4"/>
  <c r="AW308" i="4"/>
  <c r="AX307" i="4"/>
  <c r="AW307" i="4"/>
  <c r="AX306" i="4"/>
  <c r="AW306" i="4"/>
  <c r="AX305" i="4"/>
  <c r="AW305" i="4"/>
  <c r="AX304" i="4"/>
  <c r="AW304" i="4"/>
  <c r="AX303" i="4"/>
  <c r="AW303" i="4"/>
  <c r="AX302" i="4"/>
  <c r="AW302" i="4"/>
  <c r="AX301" i="4"/>
  <c r="AW301" i="4"/>
  <c r="AX300" i="4"/>
  <c r="AW300" i="4"/>
  <c r="AX299" i="4"/>
  <c r="AW299" i="4"/>
  <c r="AX298" i="4"/>
  <c r="AW298" i="4"/>
  <c r="AX297" i="4"/>
  <c r="AW297" i="4"/>
  <c r="AX296" i="4"/>
  <c r="AW296" i="4"/>
  <c r="AX295" i="4"/>
  <c r="AW295" i="4"/>
  <c r="AX294" i="4"/>
  <c r="AW294" i="4"/>
  <c r="AX293" i="4"/>
  <c r="AW293" i="4"/>
  <c r="AX292" i="4"/>
  <c r="AW292" i="4"/>
  <c r="AX291" i="4"/>
  <c r="AW291" i="4"/>
  <c r="AX290" i="4"/>
  <c r="AW290" i="4"/>
  <c r="AX289" i="4"/>
  <c r="AW289" i="4"/>
  <c r="AX288" i="4"/>
  <c r="AW288" i="4"/>
  <c r="AX287" i="4"/>
  <c r="AW287" i="4"/>
  <c r="AX286" i="4"/>
  <c r="AW286" i="4"/>
  <c r="AX285" i="4"/>
  <c r="AW285" i="4"/>
  <c r="AX284" i="4"/>
  <c r="AW284" i="4"/>
  <c r="AX283" i="4"/>
  <c r="AW283" i="4"/>
  <c r="AX282" i="4"/>
  <c r="AW282" i="4"/>
  <c r="AX281" i="4"/>
  <c r="AW281" i="4"/>
  <c r="AX280" i="4"/>
  <c r="AW280" i="4"/>
  <c r="AX279" i="4"/>
  <c r="AW279" i="4"/>
  <c r="AX278" i="4"/>
  <c r="AW278" i="4"/>
  <c r="AX277" i="4"/>
  <c r="AW277" i="4"/>
  <c r="AX276" i="4"/>
  <c r="AW276" i="4"/>
  <c r="AX275" i="4"/>
  <c r="AW275" i="4"/>
  <c r="AX274" i="4"/>
  <c r="AW274" i="4"/>
  <c r="AX273" i="4"/>
  <c r="AW273" i="4"/>
  <c r="AX272" i="4"/>
  <c r="AW272" i="4"/>
  <c r="AX271" i="4"/>
  <c r="AW271" i="4"/>
  <c r="AX270" i="4"/>
  <c r="AW270" i="4"/>
  <c r="AX269" i="4"/>
  <c r="AW269" i="4"/>
  <c r="AX268" i="4"/>
  <c r="AW268" i="4"/>
  <c r="AX267" i="4"/>
  <c r="AW267" i="4"/>
  <c r="AX266" i="4"/>
  <c r="AW266" i="4"/>
  <c r="AX265" i="4"/>
  <c r="AW265" i="4"/>
  <c r="AX264" i="4"/>
  <c r="AW264" i="4"/>
  <c r="AX263" i="4"/>
  <c r="AW263" i="4"/>
  <c r="AX262" i="4"/>
  <c r="AW262" i="4"/>
  <c r="AX261" i="4"/>
  <c r="AW261" i="4"/>
  <c r="AX260" i="4"/>
  <c r="AW260" i="4"/>
  <c r="AX259" i="4"/>
  <c r="AW259" i="4"/>
  <c r="AX258" i="4"/>
  <c r="AW258" i="4"/>
  <c r="AX257" i="4"/>
  <c r="AW257" i="4"/>
  <c r="AX256" i="4"/>
  <c r="AW256" i="4"/>
  <c r="AX255" i="4"/>
  <c r="AW255" i="4"/>
  <c r="AX254" i="4"/>
  <c r="AW254" i="4"/>
  <c r="AX253" i="4"/>
  <c r="AW253" i="4"/>
  <c r="AX252" i="4"/>
  <c r="AW252" i="4"/>
  <c r="AX251" i="4"/>
  <c r="AW251" i="4"/>
  <c r="AX250" i="4"/>
  <c r="AW250" i="4"/>
  <c r="AX249" i="4"/>
  <c r="AW249" i="4"/>
  <c r="AX248" i="4"/>
  <c r="AW248" i="4"/>
  <c r="AX247" i="4"/>
  <c r="AW247" i="4"/>
  <c r="AX246" i="4"/>
  <c r="AW246" i="4"/>
  <c r="AX245" i="4"/>
  <c r="AW245" i="4"/>
  <c r="AX244" i="4"/>
  <c r="AW244" i="4"/>
  <c r="AX243" i="4"/>
  <c r="AW243" i="4"/>
  <c r="AX242" i="4"/>
  <c r="AW242" i="4"/>
  <c r="AX241" i="4"/>
  <c r="AW241" i="4"/>
  <c r="AX240" i="4"/>
  <c r="AW240" i="4"/>
  <c r="AX239" i="4"/>
  <c r="AW239" i="4"/>
  <c r="AX238" i="4"/>
  <c r="AW238" i="4"/>
  <c r="AX237" i="4"/>
  <c r="AW237" i="4"/>
  <c r="AX236" i="4"/>
  <c r="AW236" i="4"/>
  <c r="AX235" i="4"/>
  <c r="AW235" i="4"/>
  <c r="AX234" i="4"/>
  <c r="AW234" i="4"/>
  <c r="AX233" i="4"/>
  <c r="AW233" i="4"/>
  <c r="AX232" i="4"/>
  <c r="AW232" i="4"/>
  <c r="AX231" i="4"/>
  <c r="AW231" i="4"/>
  <c r="AX230" i="4"/>
  <c r="AW230" i="4"/>
  <c r="AX229" i="4"/>
  <c r="AW229" i="4"/>
  <c r="AX228" i="4"/>
  <c r="AW228" i="4"/>
  <c r="AX227" i="4"/>
  <c r="AW227" i="4"/>
  <c r="AX226" i="4"/>
  <c r="AW226" i="4"/>
  <c r="AX225" i="4"/>
  <c r="AW225" i="4"/>
  <c r="AX224" i="4"/>
  <c r="AW224" i="4"/>
  <c r="AX223" i="4"/>
  <c r="AW223" i="4"/>
  <c r="AX222" i="4"/>
  <c r="AW222" i="4"/>
  <c r="AX221" i="4"/>
  <c r="AW221" i="4"/>
  <c r="AX220" i="4"/>
  <c r="AW220" i="4"/>
  <c r="AX219" i="4"/>
  <c r="AW219" i="4"/>
  <c r="AX218" i="4"/>
  <c r="AW218" i="4"/>
  <c r="AX217" i="4"/>
  <c r="AW217" i="4"/>
  <c r="AX216" i="4"/>
  <c r="AW216" i="4"/>
  <c r="AX215" i="4"/>
  <c r="AW215" i="4"/>
  <c r="AX214" i="4"/>
  <c r="AW214" i="4"/>
  <c r="AX213" i="4"/>
  <c r="AW213" i="4"/>
  <c r="AX212" i="4"/>
  <c r="AW212" i="4"/>
  <c r="AX211" i="4"/>
  <c r="AW211" i="4"/>
  <c r="AX210" i="4"/>
  <c r="AW210" i="4"/>
  <c r="AX209" i="4"/>
  <c r="AW209" i="4"/>
  <c r="AX208" i="4"/>
  <c r="AW208" i="4"/>
  <c r="AX207" i="4"/>
  <c r="AW207" i="4"/>
  <c r="AX206" i="4"/>
  <c r="AW206" i="4"/>
  <c r="AX205" i="4"/>
  <c r="AW205" i="4"/>
  <c r="AX204" i="4"/>
  <c r="AW204" i="4"/>
  <c r="AX203" i="4"/>
  <c r="AW203" i="4"/>
  <c r="AX202" i="4"/>
  <c r="AW202" i="4"/>
  <c r="AX201" i="4"/>
  <c r="AW201" i="4"/>
  <c r="AX200" i="4"/>
  <c r="AW200" i="4"/>
  <c r="AX199" i="4"/>
  <c r="AW199" i="4"/>
  <c r="AX198" i="4"/>
  <c r="AW198" i="4"/>
  <c r="AX197" i="4"/>
  <c r="AW197" i="4"/>
  <c r="AX196" i="4"/>
  <c r="AW196" i="4"/>
  <c r="AX195" i="4"/>
  <c r="AW195" i="4"/>
  <c r="AX194" i="4"/>
  <c r="AW194" i="4"/>
  <c r="AX193" i="4"/>
  <c r="AW193" i="4"/>
  <c r="AX192" i="4"/>
  <c r="AW192" i="4"/>
  <c r="AX191" i="4"/>
  <c r="AW191" i="4"/>
  <c r="AX190" i="4"/>
  <c r="AW190" i="4"/>
  <c r="AX189" i="4"/>
  <c r="AW189" i="4"/>
  <c r="AX188" i="4"/>
  <c r="AW188" i="4"/>
  <c r="AX187" i="4"/>
  <c r="AW187" i="4"/>
  <c r="AX186" i="4"/>
  <c r="AW186" i="4"/>
  <c r="AX185" i="4"/>
  <c r="AW185" i="4"/>
  <c r="AX184" i="4"/>
  <c r="AW184" i="4"/>
  <c r="AX183" i="4"/>
  <c r="AW183" i="4"/>
  <c r="AX182" i="4"/>
  <c r="AW182" i="4"/>
  <c r="AX181" i="4"/>
  <c r="AW181" i="4"/>
  <c r="AX180" i="4"/>
  <c r="AW180" i="4"/>
  <c r="AX179" i="4"/>
  <c r="AW179" i="4"/>
  <c r="AX178" i="4"/>
  <c r="AW178" i="4"/>
  <c r="AX177" i="4"/>
  <c r="AW177" i="4"/>
  <c r="AX176" i="4"/>
  <c r="AW176" i="4"/>
  <c r="AX175" i="4"/>
  <c r="AW175" i="4"/>
  <c r="AX174" i="4"/>
  <c r="AW174" i="4"/>
  <c r="AX173" i="4"/>
  <c r="AW173" i="4"/>
  <c r="AX172" i="4"/>
  <c r="AW172" i="4"/>
  <c r="AX171" i="4"/>
  <c r="AW171" i="4"/>
  <c r="AX170" i="4"/>
  <c r="AW170" i="4"/>
  <c r="AX169" i="4"/>
  <c r="AW169" i="4"/>
  <c r="AX168" i="4"/>
  <c r="AW168" i="4"/>
  <c r="AX167" i="4"/>
  <c r="AW167" i="4"/>
  <c r="AX166" i="4"/>
  <c r="AW166" i="4"/>
  <c r="AX165" i="4"/>
  <c r="AW165" i="4"/>
  <c r="AX164" i="4"/>
  <c r="AW164" i="4"/>
  <c r="AX163" i="4"/>
  <c r="AW163" i="4"/>
  <c r="AX162" i="4"/>
  <c r="AW162" i="4"/>
  <c r="AX161" i="4"/>
  <c r="AW161" i="4"/>
  <c r="AX160" i="4"/>
  <c r="AW160" i="4"/>
  <c r="AX159" i="4"/>
  <c r="AW159" i="4"/>
  <c r="AX158" i="4"/>
  <c r="AW158" i="4"/>
  <c r="AX157" i="4"/>
  <c r="AW157" i="4"/>
  <c r="AX156" i="4"/>
  <c r="AW156" i="4"/>
  <c r="AX155" i="4"/>
  <c r="AW155" i="4"/>
  <c r="AX154" i="4"/>
  <c r="AW154" i="4"/>
  <c r="AX153" i="4"/>
  <c r="AW153" i="4"/>
  <c r="AX152" i="4"/>
  <c r="AW152" i="4"/>
  <c r="AX151" i="4"/>
  <c r="AW151" i="4"/>
  <c r="AX150" i="4"/>
  <c r="AW150" i="4"/>
  <c r="AX149" i="4"/>
  <c r="AW149" i="4"/>
  <c r="AX148" i="4"/>
  <c r="AW148" i="4"/>
  <c r="AX147" i="4"/>
  <c r="AW147" i="4"/>
  <c r="AX146" i="4"/>
  <c r="AW146" i="4"/>
  <c r="AX145" i="4"/>
  <c r="AW145" i="4"/>
  <c r="AX144" i="4"/>
  <c r="AW144" i="4"/>
  <c r="AX143" i="4"/>
  <c r="AW143" i="4"/>
  <c r="AX142" i="4"/>
  <c r="AW142" i="4"/>
  <c r="AX141" i="4"/>
  <c r="AW141" i="4"/>
  <c r="AX140" i="4"/>
  <c r="AW140" i="4"/>
  <c r="AX139" i="4"/>
  <c r="AW139" i="4"/>
  <c r="AX138" i="4"/>
  <c r="AW138" i="4"/>
  <c r="AX137" i="4"/>
  <c r="AW137" i="4"/>
  <c r="AX136" i="4"/>
  <c r="AW136" i="4"/>
  <c r="AX135" i="4"/>
  <c r="AW135" i="4"/>
  <c r="AX134" i="4"/>
  <c r="AW134" i="4"/>
  <c r="AX133" i="4"/>
  <c r="AW133" i="4"/>
  <c r="AX132" i="4"/>
  <c r="AW132" i="4"/>
  <c r="AX131" i="4"/>
  <c r="AW131" i="4"/>
  <c r="AX130" i="4"/>
  <c r="AW130" i="4"/>
  <c r="AX129" i="4"/>
  <c r="AW129" i="4"/>
  <c r="AX128" i="4"/>
  <c r="AW128" i="4"/>
  <c r="AX127" i="4"/>
  <c r="AW127" i="4"/>
  <c r="AX126" i="4"/>
  <c r="AW126" i="4"/>
  <c r="AX125" i="4"/>
  <c r="AW125" i="4"/>
  <c r="AX124" i="4"/>
  <c r="AW124" i="4"/>
  <c r="AX123" i="4"/>
  <c r="AW123" i="4"/>
  <c r="AX122" i="4"/>
  <c r="AW122" i="4"/>
  <c r="AX121" i="4"/>
  <c r="AW121" i="4"/>
  <c r="AX120" i="4"/>
  <c r="AW120" i="4"/>
  <c r="AX119" i="4"/>
  <c r="AW119" i="4"/>
  <c r="AX118" i="4"/>
  <c r="AW118" i="4"/>
  <c r="AX117" i="4"/>
  <c r="AW117" i="4"/>
  <c r="AX116" i="4"/>
  <c r="AW116" i="4"/>
  <c r="AX115" i="4"/>
  <c r="AW115" i="4"/>
  <c r="AX114" i="4"/>
  <c r="AW114" i="4"/>
  <c r="AX113" i="4"/>
  <c r="AW113" i="4"/>
  <c r="AX112" i="4"/>
  <c r="AW112" i="4"/>
  <c r="AX111" i="4"/>
  <c r="AW111" i="4"/>
  <c r="AX110" i="4"/>
  <c r="AW110" i="4"/>
  <c r="AX109" i="4"/>
  <c r="AW109" i="4"/>
  <c r="AX108" i="4"/>
  <c r="AW108" i="4"/>
  <c r="AX107" i="4"/>
  <c r="AW107" i="4"/>
  <c r="AX106" i="4"/>
  <c r="AW106" i="4"/>
  <c r="AX105" i="4"/>
  <c r="AW105" i="4"/>
  <c r="AX104" i="4"/>
  <c r="AW104" i="4"/>
  <c r="AX103" i="4"/>
  <c r="AW103" i="4"/>
  <c r="AX102" i="4"/>
  <c r="AW102" i="4"/>
  <c r="AX101" i="4"/>
  <c r="AW101" i="4"/>
  <c r="AX100" i="4"/>
  <c r="AW100" i="4"/>
  <c r="AX99" i="4"/>
  <c r="AW99" i="4"/>
  <c r="AX98" i="4"/>
  <c r="AW98" i="4"/>
  <c r="AX97" i="4"/>
  <c r="AW97" i="4"/>
  <c r="AX96" i="4"/>
  <c r="AW96" i="4"/>
  <c r="AX95" i="4"/>
  <c r="AW95" i="4"/>
  <c r="AX94" i="4"/>
  <c r="AW94" i="4"/>
  <c r="AX93" i="4"/>
  <c r="AW93" i="4"/>
  <c r="AX92" i="4"/>
  <c r="AW92" i="4"/>
  <c r="AX91" i="4"/>
  <c r="AW91" i="4"/>
  <c r="AX90" i="4"/>
  <c r="AW90" i="4"/>
  <c r="AX89" i="4"/>
  <c r="AW89" i="4"/>
  <c r="AX88" i="4"/>
  <c r="AW88" i="4"/>
  <c r="AX87" i="4"/>
  <c r="AW87" i="4"/>
  <c r="AX86" i="4"/>
  <c r="AW86" i="4"/>
  <c r="AX85" i="4"/>
  <c r="AW85" i="4"/>
  <c r="AX84" i="4"/>
  <c r="AW84" i="4"/>
  <c r="AX83" i="4"/>
  <c r="AW83" i="4"/>
  <c r="AX82" i="4"/>
  <c r="AW82" i="4"/>
  <c r="AX81" i="4"/>
  <c r="AW81" i="4"/>
  <c r="AX80" i="4"/>
  <c r="AW80" i="4"/>
  <c r="AX79" i="4"/>
  <c r="AW79" i="4"/>
  <c r="AX78" i="4"/>
  <c r="AW78" i="4"/>
  <c r="AX77" i="4"/>
  <c r="AW77" i="4"/>
  <c r="AX76" i="4"/>
  <c r="AW76" i="4"/>
  <c r="AX75" i="4"/>
  <c r="AW75" i="4"/>
  <c r="AX74" i="4"/>
  <c r="AW74" i="4"/>
  <c r="AX73" i="4"/>
  <c r="AW73" i="4"/>
  <c r="AX72" i="4"/>
  <c r="AW72" i="4"/>
  <c r="AX71" i="4"/>
  <c r="AW71" i="4"/>
  <c r="AX70" i="4"/>
  <c r="AW70" i="4"/>
  <c r="AX69" i="4"/>
  <c r="AW69" i="4"/>
  <c r="AX68" i="4"/>
  <c r="AW68" i="4"/>
  <c r="AX67" i="4"/>
  <c r="AW67" i="4"/>
  <c r="AX66" i="4"/>
  <c r="AW66" i="4"/>
  <c r="AX65" i="4"/>
  <c r="AW65" i="4"/>
  <c r="AX64" i="4"/>
  <c r="AW64" i="4"/>
  <c r="AX63" i="4"/>
  <c r="AW63" i="4"/>
  <c r="AX62" i="4"/>
  <c r="AW62" i="4"/>
  <c r="AX61" i="4"/>
  <c r="AW61" i="4"/>
  <c r="AX60" i="4"/>
  <c r="AW60" i="4"/>
  <c r="AX59" i="4"/>
  <c r="AW59" i="4"/>
  <c r="AX58" i="4"/>
  <c r="AW58" i="4"/>
  <c r="AX57" i="4"/>
  <c r="AW57" i="4"/>
  <c r="AX56" i="4"/>
  <c r="AW56" i="4"/>
  <c r="AX55" i="4"/>
  <c r="AW55" i="4"/>
  <c r="AX54" i="4"/>
  <c r="AW54" i="4"/>
  <c r="AX53" i="4"/>
  <c r="AW53" i="4"/>
  <c r="AX52" i="4"/>
  <c r="AW52" i="4"/>
  <c r="AX51" i="4"/>
  <c r="AW51" i="4"/>
  <c r="AX50" i="4"/>
  <c r="AW50" i="4"/>
  <c r="AX49" i="4"/>
  <c r="AW49" i="4"/>
  <c r="AX48" i="4"/>
  <c r="AW48" i="4"/>
  <c r="AX47" i="4"/>
  <c r="AW47" i="4"/>
  <c r="AX46" i="4"/>
  <c r="AW46" i="4"/>
  <c r="AX45" i="4"/>
  <c r="AW45" i="4"/>
  <c r="AX44" i="4"/>
  <c r="AW44" i="4"/>
  <c r="AX43" i="4"/>
  <c r="AW43" i="4"/>
  <c r="AX42" i="4"/>
  <c r="AW42" i="4"/>
  <c r="AX41" i="4"/>
  <c r="AW41" i="4"/>
  <c r="AX40" i="4"/>
  <c r="AW40" i="4"/>
  <c r="AX39" i="4"/>
  <c r="AW39" i="4"/>
  <c r="AX38" i="4"/>
  <c r="AW38" i="4"/>
  <c r="AX37" i="4"/>
  <c r="AW37" i="4"/>
  <c r="AX36" i="4"/>
  <c r="AW36" i="4"/>
  <c r="AX35" i="4"/>
  <c r="AW35" i="4"/>
  <c r="AX34" i="4"/>
  <c r="AW34" i="4"/>
  <c r="AX33" i="4"/>
  <c r="AW33" i="4"/>
  <c r="AX32" i="4"/>
  <c r="AW32" i="4"/>
  <c r="AX31" i="4"/>
  <c r="AW31" i="4"/>
  <c r="AX30" i="4"/>
  <c r="AW30" i="4"/>
  <c r="AX29" i="4"/>
  <c r="AW29" i="4"/>
  <c r="AX28" i="4"/>
  <c r="AW28" i="4"/>
  <c r="AX27" i="4"/>
  <c r="AW27" i="4"/>
  <c r="AX26" i="4"/>
  <c r="AW26" i="4"/>
  <c r="AX25" i="4"/>
  <c r="AW25" i="4"/>
  <c r="AX24" i="4"/>
  <c r="AW24" i="4"/>
  <c r="AX23" i="4"/>
  <c r="AW23" i="4"/>
  <c r="AX22" i="4"/>
  <c r="AW22" i="4"/>
  <c r="AX21" i="4"/>
  <c r="AW21" i="4"/>
  <c r="AX20" i="4"/>
  <c r="AW20" i="4"/>
  <c r="AX19" i="4"/>
  <c r="AW19" i="4"/>
  <c r="AX18" i="4"/>
  <c r="AW18" i="4"/>
  <c r="AX17" i="4"/>
  <c r="AW17" i="4"/>
  <c r="AX16" i="4"/>
  <c r="AW16" i="4"/>
  <c r="AX15" i="4"/>
  <c r="AW15" i="4"/>
  <c r="AX14" i="4"/>
  <c r="AW14" i="4"/>
  <c r="AX13" i="4"/>
  <c r="AW13" i="4"/>
  <c r="AX12" i="4"/>
  <c r="AW12" i="4"/>
  <c r="AX11" i="4"/>
  <c r="AW11" i="4"/>
  <c r="AU355" i="4"/>
  <c r="AT355" i="4"/>
  <c r="AU354" i="4"/>
  <c r="AT354" i="4"/>
  <c r="AU353" i="4"/>
  <c r="AT353" i="4"/>
  <c r="AU352" i="4"/>
  <c r="AT352" i="4"/>
  <c r="AU351" i="4"/>
  <c r="AT351" i="4"/>
  <c r="AU350" i="4"/>
  <c r="AT350" i="4"/>
  <c r="AU349" i="4"/>
  <c r="AT349" i="4"/>
  <c r="AU348" i="4"/>
  <c r="AT348" i="4"/>
  <c r="AU347" i="4"/>
  <c r="AT347" i="4"/>
  <c r="AU346" i="4"/>
  <c r="AT346" i="4"/>
  <c r="AU345" i="4"/>
  <c r="AT345" i="4"/>
  <c r="AU344" i="4"/>
  <c r="AT344" i="4"/>
  <c r="AU343" i="4"/>
  <c r="AT343" i="4"/>
  <c r="AU342" i="4"/>
  <c r="AT342" i="4"/>
  <c r="AU341" i="4"/>
  <c r="AT341" i="4"/>
  <c r="AU340" i="4"/>
  <c r="AT340" i="4"/>
  <c r="AU339" i="4"/>
  <c r="AT339" i="4"/>
  <c r="AU338" i="4"/>
  <c r="AT338" i="4"/>
  <c r="AU337" i="4"/>
  <c r="AT337" i="4"/>
  <c r="AU336" i="4"/>
  <c r="AT336" i="4"/>
  <c r="AU335" i="4"/>
  <c r="AT335" i="4"/>
  <c r="AU334" i="4"/>
  <c r="AT334" i="4"/>
  <c r="AU333" i="4"/>
  <c r="AT333" i="4"/>
  <c r="AU332" i="4"/>
  <c r="AT332" i="4"/>
  <c r="AU331" i="4"/>
  <c r="AT331" i="4"/>
  <c r="AU330" i="4"/>
  <c r="AT330" i="4"/>
  <c r="AU329" i="4"/>
  <c r="AT329" i="4"/>
  <c r="AU328" i="4"/>
  <c r="AT328" i="4"/>
  <c r="AU327" i="4"/>
  <c r="AT327" i="4"/>
  <c r="AU326" i="4"/>
  <c r="AT326" i="4"/>
  <c r="AU325" i="4"/>
  <c r="AT325" i="4"/>
  <c r="AU324" i="4"/>
  <c r="AT324" i="4"/>
  <c r="AU323" i="4"/>
  <c r="AT323" i="4"/>
  <c r="AU322" i="4"/>
  <c r="AT322" i="4"/>
  <c r="AU321" i="4"/>
  <c r="AT321" i="4"/>
  <c r="AU320" i="4"/>
  <c r="AT320" i="4"/>
  <c r="AU319" i="4"/>
  <c r="AT319" i="4"/>
  <c r="AU318" i="4"/>
  <c r="AT318" i="4"/>
  <c r="AU317" i="4"/>
  <c r="AT317" i="4"/>
  <c r="AU316" i="4"/>
  <c r="AT316" i="4"/>
  <c r="AU315" i="4"/>
  <c r="AT315" i="4"/>
  <c r="AU314" i="4"/>
  <c r="AT314" i="4"/>
  <c r="AU313" i="4"/>
  <c r="AT313" i="4"/>
  <c r="AU312" i="4"/>
  <c r="AT312" i="4"/>
  <c r="AU311" i="4"/>
  <c r="AT311" i="4"/>
  <c r="AU310" i="4"/>
  <c r="AT310" i="4"/>
  <c r="AU309" i="4"/>
  <c r="AT309" i="4"/>
  <c r="AU308" i="4"/>
  <c r="AT308" i="4"/>
  <c r="AU307" i="4"/>
  <c r="AT307" i="4"/>
  <c r="AU306" i="4"/>
  <c r="AT306" i="4"/>
  <c r="AU305" i="4"/>
  <c r="AT305" i="4"/>
  <c r="AU304" i="4"/>
  <c r="AT304" i="4"/>
  <c r="AU303" i="4"/>
  <c r="AT303" i="4"/>
  <c r="AU302" i="4"/>
  <c r="AT302" i="4"/>
  <c r="AU301" i="4"/>
  <c r="AT301" i="4"/>
  <c r="AU300" i="4"/>
  <c r="AT300" i="4"/>
  <c r="AU299" i="4"/>
  <c r="AT299" i="4"/>
  <c r="AU298" i="4"/>
  <c r="AT298" i="4"/>
  <c r="AU297" i="4"/>
  <c r="AT297" i="4"/>
  <c r="AU296" i="4"/>
  <c r="AT296" i="4"/>
  <c r="AU295" i="4"/>
  <c r="AT295" i="4"/>
  <c r="AU294" i="4"/>
  <c r="AT294" i="4"/>
  <c r="AU293" i="4"/>
  <c r="AT293" i="4"/>
  <c r="AU292" i="4"/>
  <c r="AT292" i="4"/>
  <c r="AU291" i="4"/>
  <c r="AT291" i="4"/>
  <c r="AU290" i="4"/>
  <c r="AT290" i="4"/>
  <c r="AU289" i="4"/>
  <c r="AT289" i="4"/>
  <c r="AU288" i="4"/>
  <c r="AT288" i="4"/>
  <c r="AU287" i="4"/>
  <c r="AT287" i="4"/>
  <c r="AU286" i="4"/>
  <c r="AT286" i="4"/>
  <c r="AU285" i="4"/>
  <c r="AT285" i="4"/>
  <c r="AU284" i="4"/>
  <c r="AT284" i="4"/>
  <c r="AU283" i="4"/>
  <c r="AT283" i="4"/>
  <c r="AU282" i="4"/>
  <c r="AT282" i="4"/>
  <c r="AU281" i="4"/>
  <c r="AT281" i="4"/>
  <c r="AU280" i="4"/>
  <c r="AT280" i="4"/>
  <c r="AU279" i="4"/>
  <c r="AT279" i="4"/>
  <c r="AU278" i="4"/>
  <c r="AT278" i="4"/>
  <c r="AU277" i="4"/>
  <c r="AT277" i="4"/>
  <c r="AU276" i="4"/>
  <c r="AT276" i="4"/>
  <c r="AU275" i="4"/>
  <c r="AT275" i="4"/>
  <c r="AU274" i="4"/>
  <c r="AT274" i="4"/>
  <c r="AU273" i="4"/>
  <c r="AT273" i="4"/>
  <c r="AU272" i="4"/>
  <c r="AT272" i="4"/>
  <c r="AU271" i="4"/>
  <c r="AT271" i="4"/>
  <c r="AU270" i="4"/>
  <c r="AT270" i="4"/>
  <c r="AU269" i="4"/>
  <c r="AT269" i="4"/>
  <c r="AU268" i="4"/>
  <c r="AT268" i="4"/>
  <c r="AU267" i="4"/>
  <c r="AT267" i="4"/>
  <c r="AU266" i="4"/>
  <c r="AT266" i="4"/>
  <c r="AU265" i="4"/>
  <c r="AT265" i="4"/>
  <c r="AU264" i="4"/>
  <c r="AT264" i="4"/>
  <c r="AU263" i="4"/>
  <c r="AT263" i="4"/>
  <c r="AU262" i="4"/>
  <c r="AT262" i="4"/>
  <c r="AU261" i="4"/>
  <c r="AT261" i="4"/>
  <c r="AU260" i="4"/>
  <c r="AT260" i="4"/>
  <c r="AU259" i="4"/>
  <c r="AT259" i="4"/>
  <c r="AU258" i="4"/>
  <c r="AT258" i="4"/>
  <c r="AU257" i="4"/>
  <c r="AT257" i="4"/>
  <c r="AU256" i="4"/>
  <c r="AT256" i="4"/>
  <c r="AU255" i="4"/>
  <c r="AT255" i="4"/>
  <c r="AU254" i="4"/>
  <c r="AT254" i="4"/>
  <c r="AU253" i="4"/>
  <c r="AT253" i="4"/>
  <c r="AU252" i="4"/>
  <c r="AT252" i="4"/>
  <c r="AU251" i="4"/>
  <c r="AT251" i="4"/>
  <c r="AU250" i="4"/>
  <c r="AT250" i="4"/>
  <c r="AU249" i="4"/>
  <c r="AT249" i="4"/>
  <c r="AU248" i="4"/>
  <c r="AT248" i="4"/>
  <c r="AU247" i="4"/>
  <c r="AT247" i="4"/>
  <c r="AU246" i="4"/>
  <c r="AT246" i="4"/>
  <c r="AU245" i="4"/>
  <c r="AT245" i="4"/>
  <c r="AU244" i="4"/>
  <c r="AT244" i="4"/>
  <c r="AU243" i="4"/>
  <c r="AT243" i="4"/>
  <c r="AU242" i="4"/>
  <c r="AT242" i="4"/>
  <c r="AU241" i="4"/>
  <c r="AT241" i="4"/>
  <c r="AU240" i="4"/>
  <c r="AT240" i="4"/>
  <c r="AU239" i="4"/>
  <c r="AT239" i="4"/>
  <c r="AU238" i="4"/>
  <c r="AT238" i="4"/>
  <c r="AU237" i="4"/>
  <c r="AT237" i="4"/>
  <c r="AU236" i="4"/>
  <c r="AT236" i="4"/>
  <c r="AU235" i="4"/>
  <c r="AT235" i="4"/>
  <c r="AU234" i="4"/>
  <c r="AT234" i="4"/>
  <c r="AU233" i="4"/>
  <c r="AT233" i="4"/>
  <c r="AU232" i="4"/>
  <c r="AT232" i="4"/>
  <c r="AU231" i="4"/>
  <c r="AT231" i="4"/>
  <c r="AU230" i="4"/>
  <c r="AT230" i="4"/>
  <c r="AU229" i="4"/>
  <c r="AT229" i="4"/>
  <c r="AU228" i="4"/>
  <c r="AT228" i="4"/>
  <c r="AU227" i="4"/>
  <c r="AT227" i="4"/>
  <c r="AU226" i="4"/>
  <c r="AT226" i="4"/>
  <c r="AU225" i="4"/>
  <c r="AT225" i="4"/>
  <c r="AU224" i="4"/>
  <c r="AT224" i="4"/>
  <c r="AU223" i="4"/>
  <c r="AT223" i="4"/>
  <c r="AU222" i="4"/>
  <c r="AT222" i="4"/>
  <c r="AU221" i="4"/>
  <c r="AT221" i="4"/>
  <c r="AU220" i="4"/>
  <c r="AT220" i="4"/>
  <c r="AU219" i="4"/>
  <c r="AT219" i="4"/>
  <c r="AU218" i="4"/>
  <c r="AT218" i="4"/>
  <c r="AU217" i="4"/>
  <c r="AT217" i="4"/>
  <c r="AU216" i="4"/>
  <c r="AT216" i="4"/>
  <c r="AU215" i="4"/>
  <c r="AT215" i="4"/>
  <c r="AU214" i="4"/>
  <c r="AT214" i="4"/>
  <c r="AU213" i="4"/>
  <c r="AT213" i="4"/>
  <c r="AU212" i="4"/>
  <c r="AT212" i="4"/>
  <c r="AU211" i="4"/>
  <c r="AT211" i="4"/>
  <c r="AU210" i="4"/>
  <c r="AT210" i="4"/>
  <c r="AU209" i="4"/>
  <c r="AT209" i="4"/>
  <c r="AU208" i="4"/>
  <c r="AT208" i="4"/>
  <c r="AU207" i="4"/>
  <c r="AT207" i="4"/>
  <c r="AU206" i="4"/>
  <c r="AT206" i="4"/>
  <c r="AU205" i="4"/>
  <c r="AT205" i="4"/>
  <c r="AU204" i="4"/>
  <c r="AT204" i="4"/>
  <c r="AU203" i="4"/>
  <c r="AT203" i="4"/>
  <c r="AU202" i="4"/>
  <c r="AT202" i="4"/>
  <c r="AU201" i="4"/>
  <c r="AT201" i="4"/>
  <c r="AU200" i="4"/>
  <c r="AT200" i="4"/>
  <c r="AU199" i="4"/>
  <c r="AT199" i="4"/>
  <c r="AU198" i="4"/>
  <c r="AT198" i="4"/>
  <c r="AU197" i="4"/>
  <c r="AT197" i="4"/>
  <c r="AU196" i="4"/>
  <c r="AT196" i="4"/>
  <c r="AU195" i="4"/>
  <c r="AT195" i="4"/>
  <c r="AU194" i="4"/>
  <c r="AT194" i="4"/>
  <c r="AU193" i="4"/>
  <c r="AT193" i="4"/>
  <c r="AU192" i="4"/>
  <c r="AT192" i="4"/>
  <c r="AU191" i="4"/>
  <c r="AT191" i="4"/>
  <c r="AU190" i="4"/>
  <c r="AT190" i="4"/>
  <c r="AU189" i="4"/>
  <c r="AT189" i="4"/>
  <c r="AU188" i="4"/>
  <c r="AT188" i="4"/>
  <c r="AU187" i="4"/>
  <c r="AT187" i="4"/>
  <c r="AU186" i="4"/>
  <c r="AT186" i="4"/>
  <c r="AU185" i="4"/>
  <c r="AT185" i="4"/>
  <c r="AU184" i="4"/>
  <c r="AT184" i="4"/>
  <c r="AU183" i="4"/>
  <c r="AT183" i="4"/>
  <c r="AU182" i="4"/>
  <c r="AT182" i="4"/>
  <c r="AU181" i="4"/>
  <c r="AT181" i="4"/>
  <c r="AU180" i="4"/>
  <c r="AT180" i="4"/>
  <c r="AU179" i="4"/>
  <c r="AT179" i="4"/>
  <c r="AU178" i="4"/>
  <c r="AT178" i="4"/>
  <c r="AU177" i="4"/>
  <c r="AT177" i="4"/>
  <c r="AU176" i="4"/>
  <c r="AT176" i="4"/>
  <c r="AU175" i="4"/>
  <c r="AT175" i="4"/>
  <c r="AU174" i="4"/>
  <c r="AT174" i="4"/>
  <c r="AU173" i="4"/>
  <c r="AT173" i="4"/>
  <c r="AU172" i="4"/>
  <c r="AT172" i="4"/>
  <c r="AU171" i="4"/>
  <c r="AT171" i="4"/>
  <c r="AU170" i="4"/>
  <c r="AT170" i="4"/>
  <c r="AU169" i="4"/>
  <c r="AT169" i="4"/>
  <c r="AU168" i="4"/>
  <c r="AT168" i="4"/>
  <c r="AU167" i="4"/>
  <c r="AT167" i="4"/>
  <c r="AU166" i="4"/>
  <c r="AT166" i="4"/>
  <c r="AU165" i="4"/>
  <c r="AT165" i="4"/>
  <c r="AU164" i="4"/>
  <c r="AT164" i="4"/>
  <c r="AU163" i="4"/>
  <c r="AT163" i="4"/>
  <c r="AU162" i="4"/>
  <c r="AT162" i="4"/>
  <c r="AU161" i="4"/>
  <c r="AT161" i="4"/>
  <c r="AU160" i="4"/>
  <c r="AT160" i="4"/>
  <c r="AU159" i="4"/>
  <c r="AT159" i="4"/>
  <c r="AU158" i="4"/>
  <c r="AT158" i="4"/>
  <c r="AU157" i="4"/>
  <c r="AT157" i="4"/>
  <c r="AU156" i="4"/>
  <c r="AT156" i="4"/>
  <c r="AU155" i="4"/>
  <c r="AT155" i="4"/>
  <c r="AU154" i="4"/>
  <c r="AT154" i="4"/>
  <c r="AU153" i="4"/>
  <c r="AT153" i="4"/>
  <c r="AU152" i="4"/>
  <c r="AT152" i="4"/>
  <c r="AU151" i="4"/>
  <c r="AT151" i="4"/>
  <c r="AU150" i="4"/>
  <c r="AT150" i="4"/>
  <c r="AU149" i="4"/>
  <c r="AT149" i="4"/>
  <c r="AU148" i="4"/>
  <c r="AT148" i="4"/>
  <c r="AU147" i="4"/>
  <c r="AT147" i="4"/>
  <c r="AU146" i="4"/>
  <c r="AT146" i="4"/>
  <c r="AU145" i="4"/>
  <c r="AT145" i="4"/>
  <c r="AU144" i="4"/>
  <c r="AT144" i="4"/>
  <c r="AU143" i="4"/>
  <c r="AT143" i="4"/>
  <c r="AU142" i="4"/>
  <c r="AT142" i="4"/>
  <c r="AU141" i="4"/>
  <c r="AT141" i="4"/>
  <c r="AU140" i="4"/>
  <c r="AT140" i="4"/>
  <c r="AU139" i="4"/>
  <c r="AT139" i="4"/>
  <c r="AU138" i="4"/>
  <c r="AT138" i="4"/>
  <c r="AU137" i="4"/>
  <c r="AT137" i="4"/>
  <c r="AU136" i="4"/>
  <c r="AT136" i="4"/>
  <c r="AU135" i="4"/>
  <c r="AT135" i="4"/>
  <c r="AU134" i="4"/>
  <c r="AT134" i="4"/>
  <c r="AU133" i="4"/>
  <c r="AT133" i="4"/>
  <c r="AU132" i="4"/>
  <c r="AT132" i="4"/>
  <c r="AU131" i="4"/>
  <c r="AT131" i="4"/>
  <c r="AU130" i="4"/>
  <c r="AT130" i="4"/>
  <c r="AU129" i="4"/>
  <c r="AT129" i="4"/>
  <c r="AU128" i="4"/>
  <c r="AT128" i="4"/>
  <c r="AU127" i="4"/>
  <c r="AT127" i="4"/>
  <c r="AU126" i="4"/>
  <c r="AT126" i="4"/>
  <c r="AU125" i="4"/>
  <c r="AT125" i="4"/>
  <c r="AU124" i="4"/>
  <c r="AT124" i="4"/>
  <c r="AU123" i="4"/>
  <c r="AT123" i="4"/>
  <c r="AU122" i="4"/>
  <c r="AT122" i="4"/>
  <c r="AU121" i="4"/>
  <c r="AT121" i="4"/>
  <c r="AU120" i="4"/>
  <c r="AT120" i="4"/>
  <c r="AU119" i="4"/>
  <c r="AT119" i="4"/>
  <c r="AU118" i="4"/>
  <c r="AT118" i="4"/>
  <c r="AU117" i="4"/>
  <c r="AT117" i="4"/>
  <c r="AU116" i="4"/>
  <c r="AT116" i="4"/>
  <c r="AU115" i="4"/>
  <c r="AT115" i="4"/>
  <c r="AU114" i="4"/>
  <c r="AT114" i="4"/>
  <c r="AU113" i="4"/>
  <c r="AT113" i="4"/>
  <c r="AU112" i="4"/>
  <c r="AT112" i="4"/>
  <c r="AU111" i="4"/>
  <c r="AT111" i="4"/>
  <c r="AU110" i="4"/>
  <c r="AT110" i="4"/>
  <c r="AU109" i="4"/>
  <c r="AT109" i="4"/>
  <c r="AU108" i="4"/>
  <c r="AT108" i="4"/>
  <c r="AU107" i="4"/>
  <c r="AT107" i="4"/>
  <c r="AU106" i="4"/>
  <c r="AT106" i="4"/>
  <c r="AU105" i="4"/>
  <c r="AT105" i="4"/>
  <c r="AU104" i="4"/>
  <c r="AT104" i="4"/>
  <c r="AU103" i="4"/>
  <c r="AT103" i="4"/>
  <c r="AU102" i="4"/>
  <c r="AT102" i="4"/>
  <c r="AU101" i="4"/>
  <c r="AT101" i="4"/>
  <c r="AU100" i="4"/>
  <c r="AT100" i="4"/>
  <c r="AU99" i="4"/>
  <c r="AT99" i="4"/>
  <c r="AU98" i="4"/>
  <c r="AT98" i="4"/>
  <c r="AU97" i="4"/>
  <c r="AT97" i="4"/>
  <c r="AU96" i="4"/>
  <c r="AT96" i="4"/>
  <c r="AU95" i="4"/>
  <c r="AT95" i="4"/>
  <c r="AU94" i="4"/>
  <c r="AT94" i="4"/>
  <c r="AU93" i="4"/>
  <c r="AT93" i="4"/>
  <c r="AU92" i="4"/>
  <c r="AT92" i="4"/>
  <c r="AU91" i="4"/>
  <c r="AT91" i="4"/>
  <c r="AU90" i="4"/>
  <c r="AT90" i="4"/>
  <c r="AU89" i="4"/>
  <c r="AT89" i="4"/>
  <c r="AU88" i="4"/>
  <c r="AT88" i="4"/>
  <c r="AU87" i="4"/>
  <c r="AT87" i="4"/>
  <c r="AU86" i="4"/>
  <c r="AT86" i="4"/>
  <c r="AU85" i="4"/>
  <c r="AT85" i="4"/>
  <c r="AU84" i="4"/>
  <c r="AT84" i="4"/>
  <c r="AU83" i="4"/>
  <c r="AT83" i="4"/>
  <c r="AU82" i="4"/>
  <c r="AT82" i="4"/>
  <c r="AU81" i="4"/>
  <c r="AT81" i="4"/>
  <c r="AU80" i="4"/>
  <c r="AT80" i="4"/>
  <c r="AU79" i="4"/>
  <c r="AT79" i="4"/>
  <c r="AU78" i="4"/>
  <c r="AT78" i="4"/>
  <c r="AU77" i="4"/>
  <c r="AT77" i="4"/>
  <c r="AU76" i="4"/>
  <c r="AT76" i="4"/>
  <c r="AU75" i="4"/>
  <c r="AT75" i="4"/>
  <c r="AU74" i="4"/>
  <c r="AT74" i="4"/>
  <c r="AU73" i="4"/>
  <c r="AT73" i="4"/>
  <c r="AU72" i="4"/>
  <c r="AT72" i="4"/>
  <c r="AU71" i="4"/>
  <c r="AT71" i="4"/>
  <c r="AU70" i="4"/>
  <c r="AT70" i="4"/>
  <c r="AU69" i="4"/>
  <c r="AT69" i="4"/>
  <c r="AU68" i="4"/>
  <c r="AT68" i="4"/>
  <c r="AU67" i="4"/>
  <c r="AT67" i="4"/>
  <c r="AU66" i="4"/>
  <c r="AT66" i="4"/>
  <c r="AU65" i="4"/>
  <c r="AT65" i="4"/>
  <c r="AU64" i="4"/>
  <c r="AT64" i="4"/>
  <c r="AU63" i="4"/>
  <c r="AT63" i="4"/>
  <c r="AU62" i="4"/>
  <c r="AT62" i="4"/>
  <c r="AU61" i="4"/>
  <c r="AT61" i="4"/>
  <c r="AU60" i="4"/>
  <c r="AT60" i="4"/>
  <c r="AU59" i="4"/>
  <c r="AT59" i="4"/>
  <c r="AU58" i="4"/>
  <c r="AT58" i="4"/>
  <c r="AU57" i="4"/>
  <c r="AT57" i="4"/>
  <c r="AU56" i="4"/>
  <c r="AT56" i="4"/>
  <c r="AU55" i="4"/>
  <c r="AT55" i="4"/>
  <c r="AU54" i="4"/>
  <c r="AT54" i="4"/>
  <c r="AU53" i="4"/>
  <c r="AT53" i="4"/>
  <c r="AU52" i="4"/>
  <c r="AT52" i="4"/>
  <c r="AU51" i="4"/>
  <c r="AT51" i="4"/>
  <c r="AU50" i="4"/>
  <c r="AT50" i="4"/>
  <c r="AU49" i="4"/>
  <c r="AT49" i="4"/>
  <c r="AU48" i="4"/>
  <c r="AT48" i="4"/>
  <c r="AU47" i="4"/>
  <c r="AT47" i="4"/>
  <c r="AU46" i="4"/>
  <c r="AT46" i="4"/>
  <c r="AU45" i="4"/>
  <c r="AT45" i="4"/>
  <c r="AU44" i="4"/>
  <c r="AT44" i="4"/>
  <c r="AU43" i="4"/>
  <c r="AT43" i="4"/>
  <c r="AU42" i="4"/>
  <c r="AT42" i="4"/>
  <c r="AU41" i="4"/>
  <c r="AT41" i="4"/>
  <c r="AU40" i="4"/>
  <c r="AT40" i="4"/>
  <c r="AU39" i="4"/>
  <c r="AT39" i="4"/>
  <c r="AU38" i="4"/>
  <c r="AT38" i="4"/>
  <c r="AU37" i="4"/>
  <c r="AT37" i="4"/>
  <c r="AU36" i="4"/>
  <c r="AT36" i="4"/>
  <c r="AU35" i="4"/>
  <c r="AT35" i="4"/>
  <c r="AU34" i="4"/>
  <c r="AT34" i="4"/>
  <c r="AU33" i="4"/>
  <c r="AT33" i="4"/>
  <c r="AU32" i="4"/>
  <c r="AT32" i="4"/>
  <c r="AU31" i="4"/>
  <c r="AT31" i="4"/>
  <c r="AU30" i="4"/>
  <c r="AT30" i="4"/>
  <c r="AU29" i="4"/>
  <c r="AT29" i="4"/>
  <c r="AU28" i="4"/>
  <c r="AT28" i="4"/>
  <c r="AU27" i="4"/>
  <c r="AT27" i="4"/>
  <c r="AU26" i="4"/>
  <c r="AT26" i="4"/>
  <c r="AU25" i="4"/>
  <c r="AT25" i="4"/>
  <c r="AU24" i="4"/>
  <c r="AT24" i="4"/>
  <c r="AU23" i="4"/>
  <c r="AT23" i="4"/>
  <c r="AU22" i="4"/>
  <c r="AT22" i="4"/>
  <c r="AU21" i="4"/>
  <c r="AT21" i="4"/>
  <c r="AU20" i="4"/>
  <c r="AT20" i="4"/>
  <c r="AU19" i="4"/>
  <c r="AT19" i="4"/>
  <c r="AU18" i="4"/>
  <c r="AT18" i="4"/>
  <c r="AU17" i="4"/>
  <c r="AT17" i="4"/>
  <c r="AU16" i="4"/>
  <c r="AT16" i="4"/>
  <c r="AU15" i="4"/>
  <c r="AT15" i="4"/>
  <c r="AU14" i="4"/>
  <c r="AT14" i="4"/>
  <c r="AU13" i="4"/>
  <c r="AT13" i="4"/>
  <c r="AU12" i="4"/>
  <c r="AT12" i="4"/>
  <c r="AU11" i="4"/>
  <c r="AT11" i="4"/>
  <c r="AR355" i="4"/>
  <c r="AQ355" i="4"/>
  <c r="AR354" i="4"/>
  <c r="AQ354" i="4"/>
  <c r="AR353" i="4"/>
  <c r="AQ353" i="4"/>
  <c r="AR352" i="4"/>
  <c r="AQ352" i="4"/>
  <c r="AR351" i="4"/>
  <c r="AQ351" i="4"/>
  <c r="AR350" i="4"/>
  <c r="AQ350" i="4"/>
  <c r="AR349" i="4"/>
  <c r="AQ349" i="4"/>
  <c r="AR348" i="4"/>
  <c r="AQ348" i="4"/>
  <c r="AR347" i="4"/>
  <c r="AQ347" i="4"/>
  <c r="AR346" i="4"/>
  <c r="AQ346" i="4"/>
  <c r="AR345" i="4"/>
  <c r="AQ345" i="4"/>
  <c r="AR344" i="4"/>
  <c r="AQ344" i="4"/>
  <c r="AR343" i="4"/>
  <c r="AQ343" i="4"/>
  <c r="AR342" i="4"/>
  <c r="AQ342" i="4"/>
  <c r="AR341" i="4"/>
  <c r="AQ341" i="4"/>
  <c r="AR340" i="4"/>
  <c r="AQ340" i="4"/>
  <c r="AR339" i="4"/>
  <c r="AQ339" i="4"/>
  <c r="AR338" i="4"/>
  <c r="AQ338" i="4"/>
  <c r="AR337" i="4"/>
  <c r="AQ337" i="4"/>
  <c r="AR336" i="4"/>
  <c r="AQ336" i="4"/>
  <c r="AR335" i="4"/>
  <c r="AQ335" i="4"/>
  <c r="AR334" i="4"/>
  <c r="AQ334" i="4"/>
  <c r="AR333" i="4"/>
  <c r="AQ333" i="4"/>
  <c r="AR332" i="4"/>
  <c r="AQ332" i="4"/>
  <c r="AR331" i="4"/>
  <c r="AQ331" i="4"/>
  <c r="AR330" i="4"/>
  <c r="AQ330" i="4"/>
  <c r="AR329" i="4"/>
  <c r="AQ329" i="4"/>
  <c r="AR328" i="4"/>
  <c r="AQ328" i="4"/>
  <c r="AR327" i="4"/>
  <c r="AQ327" i="4"/>
  <c r="AR326" i="4"/>
  <c r="AQ326" i="4"/>
  <c r="AR325" i="4"/>
  <c r="AQ325" i="4"/>
  <c r="AR324" i="4"/>
  <c r="AQ324" i="4"/>
  <c r="AR323" i="4"/>
  <c r="AQ323" i="4"/>
  <c r="AR322" i="4"/>
  <c r="AQ322" i="4"/>
  <c r="AR321" i="4"/>
  <c r="AQ321" i="4"/>
  <c r="AR320" i="4"/>
  <c r="AQ320" i="4"/>
  <c r="AR319" i="4"/>
  <c r="AQ319" i="4"/>
  <c r="AR318" i="4"/>
  <c r="AQ318" i="4"/>
  <c r="AR317" i="4"/>
  <c r="AQ317" i="4"/>
  <c r="AR316" i="4"/>
  <c r="AQ316" i="4"/>
  <c r="AR315" i="4"/>
  <c r="AQ315" i="4"/>
  <c r="AR314" i="4"/>
  <c r="AQ314" i="4"/>
  <c r="AR313" i="4"/>
  <c r="AQ313" i="4"/>
  <c r="AR312" i="4"/>
  <c r="AQ312" i="4"/>
  <c r="AR311" i="4"/>
  <c r="AQ311" i="4"/>
  <c r="AR310" i="4"/>
  <c r="AQ310" i="4"/>
  <c r="AR309" i="4"/>
  <c r="AQ309" i="4"/>
  <c r="AR308" i="4"/>
  <c r="AQ308" i="4"/>
  <c r="AR307" i="4"/>
  <c r="AQ307" i="4"/>
  <c r="AR306" i="4"/>
  <c r="AQ306" i="4"/>
  <c r="AR305" i="4"/>
  <c r="AQ305" i="4"/>
  <c r="AR304" i="4"/>
  <c r="AQ304" i="4"/>
  <c r="AR303" i="4"/>
  <c r="AQ303" i="4"/>
  <c r="AR302" i="4"/>
  <c r="AQ302" i="4"/>
  <c r="AR301" i="4"/>
  <c r="AQ301" i="4"/>
  <c r="AR300" i="4"/>
  <c r="AQ300" i="4"/>
  <c r="AR299" i="4"/>
  <c r="AQ299" i="4"/>
  <c r="AR298" i="4"/>
  <c r="AQ298" i="4"/>
  <c r="AR297" i="4"/>
  <c r="AQ297" i="4"/>
  <c r="AR296" i="4"/>
  <c r="AQ296" i="4"/>
  <c r="AR295" i="4"/>
  <c r="AQ295" i="4"/>
  <c r="AR294" i="4"/>
  <c r="AQ294" i="4"/>
  <c r="AR293" i="4"/>
  <c r="AQ293" i="4"/>
  <c r="AR292" i="4"/>
  <c r="AQ292" i="4"/>
  <c r="AR291" i="4"/>
  <c r="AQ291" i="4"/>
  <c r="AR290" i="4"/>
  <c r="AQ290" i="4"/>
  <c r="AR289" i="4"/>
  <c r="AQ289" i="4"/>
  <c r="AR288" i="4"/>
  <c r="AQ288" i="4"/>
  <c r="AR287" i="4"/>
  <c r="AQ287" i="4"/>
  <c r="AR286" i="4"/>
  <c r="AQ286" i="4"/>
  <c r="AR285" i="4"/>
  <c r="AQ285" i="4"/>
  <c r="AR284" i="4"/>
  <c r="AQ284" i="4"/>
  <c r="AR283" i="4"/>
  <c r="AQ283" i="4"/>
  <c r="AR282" i="4"/>
  <c r="AQ282" i="4"/>
  <c r="AR281" i="4"/>
  <c r="AQ281" i="4"/>
  <c r="AR280" i="4"/>
  <c r="AQ280" i="4"/>
  <c r="AR279" i="4"/>
  <c r="AQ279" i="4"/>
  <c r="AR278" i="4"/>
  <c r="AQ278" i="4"/>
  <c r="AR277" i="4"/>
  <c r="AQ277" i="4"/>
  <c r="AR276" i="4"/>
  <c r="AQ276" i="4"/>
  <c r="AR275" i="4"/>
  <c r="AQ275" i="4"/>
  <c r="AR274" i="4"/>
  <c r="AQ274" i="4"/>
  <c r="AR273" i="4"/>
  <c r="AQ273" i="4"/>
  <c r="AR272" i="4"/>
  <c r="AQ272" i="4"/>
  <c r="AR271" i="4"/>
  <c r="AQ271" i="4"/>
  <c r="AR270" i="4"/>
  <c r="AQ270" i="4"/>
  <c r="AR269" i="4"/>
  <c r="AQ269" i="4"/>
  <c r="AR268" i="4"/>
  <c r="AQ268" i="4"/>
  <c r="AR267" i="4"/>
  <c r="AQ267" i="4"/>
  <c r="AR266" i="4"/>
  <c r="AQ266" i="4"/>
  <c r="AR265" i="4"/>
  <c r="AQ265" i="4"/>
  <c r="AR264" i="4"/>
  <c r="AQ264" i="4"/>
  <c r="AR263" i="4"/>
  <c r="AQ263" i="4"/>
  <c r="AR262" i="4"/>
  <c r="AQ262" i="4"/>
  <c r="AR261" i="4"/>
  <c r="AQ261" i="4"/>
  <c r="AR260" i="4"/>
  <c r="AQ260" i="4"/>
  <c r="AR259" i="4"/>
  <c r="AQ259" i="4"/>
  <c r="AR258" i="4"/>
  <c r="AQ258" i="4"/>
  <c r="AR257" i="4"/>
  <c r="AQ257" i="4"/>
  <c r="AR256" i="4"/>
  <c r="AQ256" i="4"/>
  <c r="AR255" i="4"/>
  <c r="AQ255" i="4"/>
  <c r="AR254" i="4"/>
  <c r="AQ254" i="4"/>
  <c r="AR253" i="4"/>
  <c r="AQ253" i="4"/>
  <c r="AR252" i="4"/>
  <c r="AQ252" i="4"/>
  <c r="AR251" i="4"/>
  <c r="AQ251" i="4"/>
  <c r="AR250" i="4"/>
  <c r="AQ250" i="4"/>
  <c r="AR249" i="4"/>
  <c r="AQ249" i="4"/>
  <c r="AR248" i="4"/>
  <c r="AQ248" i="4"/>
  <c r="AR247" i="4"/>
  <c r="AQ247" i="4"/>
  <c r="AR246" i="4"/>
  <c r="AQ246" i="4"/>
  <c r="AR245" i="4"/>
  <c r="AQ245" i="4"/>
  <c r="AR244" i="4"/>
  <c r="AQ244" i="4"/>
  <c r="AR243" i="4"/>
  <c r="AQ243" i="4"/>
  <c r="AR242" i="4"/>
  <c r="AQ242" i="4"/>
  <c r="AR241" i="4"/>
  <c r="AQ241" i="4"/>
  <c r="AR240" i="4"/>
  <c r="AQ240" i="4"/>
  <c r="AR239" i="4"/>
  <c r="AQ239" i="4"/>
  <c r="AR238" i="4"/>
  <c r="AQ238" i="4"/>
  <c r="AR237" i="4"/>
  <c r="AQ237" i="4"/>
  <c r="AR236" i="4"/>
  <c r="AQ236" i="4"/>
  <c r="AR235" i="4"/>
  <c r="AQ235" i="4"/>
  <c r="AR234" i="4"/>
  <c r="AQ234" i="4"/>
  <c r="AR233" i="4"/>
  <c r="AQ233" i="4"/>
  <c r="AR232" i="4"/>
  <c r="AQ232" i="4"/>
  <c r="AR231" i="4"/>
  <c r="AQ231" i="4"/>
  <c r="AR230" i="4"/>
  <c r="AQ230" i="4"/>
  <c r="AR229" i="4"/>
  <c r="AQ229" i="4"/>
  <c r="AR228" i="4"/>
  <c r="AQ228" i="4"/>
  <c r="AR227" i="4"/>
  <c r="AQ227" i="4"/>
  <c r="AR226" i="4"/>
  <c r="AQ226" i="4"/>
  <c r="AR225" i="4"/>
  <c r="AQ225" i="4"/>
  <c r="AR224" i="4"/>
  <c r="AQ224" i="4"/>
  <c r="AR223" i="4"/>
  <c r="AQ223" i="4"/>
  <c r="AR222" i="4"/>
  <c r="AQ222" i="4"/>
  <c r="AR221" i="4"/>
  <c r="AQ221" i="4"/>
  <c r="AR220" i="4"/>
  <c r="AQ220" i="4"/>
  <c r="AR219" i="4"/>
  <c r="AQ219" i="4"/>
  <c r="AR218" i="4"/>
  <c r="AQ218" i="4"/>
  <c r="AR217" i="4"/>
  <c r="AQ217" i="4"/>
  <c r="AR216" i="4"/>
  <c r="AQ216" i="4"/>
  <c r="AR215" i="4"/>
  <c r="AQ215" i="4"/>
  <c r="AR214" i="4"/>
  <c r="AQ214" i="4"/>
  <c r="AR213" i="4"/>
  <c r="AQ213" i="4"/>
  <c r="AR212" i="4"/>
  <c r="AQ212" i="4"/>
  <c r="AR211" i="4"/>
  <c r="AQ211" i="4"/>
  <c r="AR210" i="4"/>
  <c r="AQ210" i="4"/>
  <c r="AR209" i="4"/>
  <c r="AQ209" i="4"/>
  <c r="AR208" i="4"/>
  <c r="AQ208" i="4"/>
  <c r="AR207" i="4"/>
  <c r="AQ207" i="4"/>
  <c r="AR206" i="4"/>
  <c r="AQ206" i="4"/>
  <c r="AR205" i="4"/>
  <c r="AQ205" i="4"/>
  <c r="AR204" i="4"/>
  <c r="AQ204" i="4"/>
  <c r="AR203" i="4"/>
  <c r="AQ203" i="4"/>
  <c r="AR202" i="4"/>
  <c r="AQ202" i="4"/>
  <c r="AR201" i="4"/>
  <c r="AQ201" i="4"/>
  <c r="AR200" i="4"/>
  <c r="AQ200" i="4"/>
  <c r="AR199" i="4"/>
  <c r="AQ199" i="4"/>
  <c r="AR198" i="4"/>
  <c r="AQ198" i="4"/>
  <c r="AR197" i="4"/>
  <c r="AQ197" i="4"/>
  <c r="AR196" i="4"/>
  <c r="AQ196" i="4"/>
  <c r="AR195" i="4"/>
  <c r="AQ195" i="4"/>
  <c r="AR194" i="4"/>
  <c r="AQ194" i="4"/>
  <c r="AR193" i="4"/>
  <c r="AQ193" i="4"/>
  <c r="AR192" i="4"/>
  <c r="AQ192" i="4"/>
  <c r="AR191" i="4"/>
  <c r="AQ191" i="4"/>
  <c r="AR190" i="4"/>
  <c r="AQ190" i="4"/>
  <c r="AR189" i="4"/>
  <c r="AQ189" i="4"/>
  <c r="AR188" i="4"/>
  <c r="AQ188" i="4"/>
  <c r="AR187" i="4"/>
  <c r="AQ187" i="4"/>
  <c r="AR186" i="4"/>
  <c r="AQ186" i="4"/>
  <c r="AR185" i="4"/>
  <c r="AQ185" i="4"/>
  <c r="AR184" i="4"/>
  <c r="AQ184" i="4"/>
  <c r="AR183" i="4"/>
  <c r="AQ183" i="4"/>
  <c r="AR182" i="4"/>
  <c r="AQ182" i="4"/>
  <c r="AR181" i="4"/>
  <c r="AQ181" i="4"/>
  <c r="AR180" i="4"/>
  <c r="AQ180" i="4"/>
  <c r="AR179" i="4"/>
  <c r="AQ179" i="4"/>
  <c r="AR178" i="4"/>
  <c r="AQ178" i="4"/>
  <c r="AR177" i="4"/>
  <c r="AQ177" i="4"/>
  <c r="AR176" i="4"/>
  <c r="AQ176" i="4"/>
  <c r="AR175" i="4"/>
  <c r="AQ175" i="4"/>
  <c r="AR174" i="4"/>
  <c r="AQ174" i="4"/>
  <c r="AR173" i="4"/>
  <c r="AQ173" i="4"/>
  <c r="AR172" i="4"/>
  <c r="AQ172" i="4"/>
  <c r="AR171" i="4"/>
  <c r="AQ171" i="4"/>
  <c r="AR170" i="4"/>
  <c r="AQ170" i="4"/>
  <c r="AR169" i="4"/>
  <c r="AQ169" i="4"/>
  <c r="AR168" i="4"/>
  <c r="AQ168" i="4"/>
  <c r="AR167" i="4"/>
  <c r="AQ167" i="4"/>
  <c r="AR166" i="4"/>
  <c r="AQ166" i="4"/>
  <c r="AR165" i="4"/>
  <c r="AQ165" i="4"/>
  <c r="AR164" i="4"/>
  <c r="AQ164" i="4"/>
  <c r="AR163" i="4"/>
  <c r="AQ163" i="4"/>
  <c r="AR162" i="4"/>
  <c r="AQ162" i="4"/>
  <c r="AR161" i="4"/>
  <c r="AQ161" i="4"/>
  <c r="AR160" i="4"/>
  <c r="AQ160" i="4"/>
  <c r="AR159" i="4"/>
  <c r="AQ159" i="4"/>
  <c r="AR158" i="4"/>
  <c r="AQ158" i="4"/>
  <c r="AR157" i="4"/>
  <c r="AQ157" i="4"/>
  <c r="AR156" i="4"/>
  <c r="AQ156" i="4"/>
  <c r="AR155" i="4"/>
  <c r="AQ155" i="4"/>
  <c r="AR154" i="4"/>
  <c r="AQ154" i="4"/>
  <c r="AR153" i="4"/>
  <c r="AQ153" i="4"/>
  <c r="AR152" i="4"/>
  <c r="AQ152" i="4"/>
  <c r="AR151" i="4"/>
  <c r="AQ151" i="4"/>
  <c r="AR150" i="4"/>
  <c r="AQ150" i="4"/>
  <c r="AR149" i="4"/>
  <c r="AQ149" i="4"/>
  <c r="AR148" i="4"/>
  <c r="AQ148" i="4"/>
  <c r="AR147" i="4"/>
  <c r="AQ147" i="4"/>
  <c r="AR146" i="4"/>
  <c r="AQ146" i="4"/>
  <c r="AR145" i="4"/>
  <c r="AQ145" i="4"/>
  <c r="AR144" i="4"/>
  <c r="AQ144" i="4"/>
  <c r="AR143" i="4"/>
  <c r="AQ143" i="4"/>
  <c r="AR142" i="4"/>
  <c r="AQ142" i="4"/>
  <c r="AR141" i="4"/>
  <c r="AQ141" i="4"/>
  <c r="AR140" i="4"/>
  <c r="AQ140" i="4"/>
  <c r="AR139" i="4"/>
  <c r="AQ139" i="4"/>
  <c r="AR138" i="4"/>
  <c r="AQ138" i="4"/>
  <c r="AR137" i="4"/>
  <c r="AQ137" i="4"/>
  <c r="AR136" i="4"/>
  <c r="AQ136" i="4"/>
  <c r="AR135" i="4"/>
  <c r="AQ135" i="4"/>
  <c r="AR134" i="4"/>
  <c r="AQ134" i="4"/>
  <c r="AR133" i="4"/>
  <c r="AQ133" i="4"/>
  <c r="AR132" i="4"/>
  <c r="AQ132" i="4"/>
  <c r="AR131" i="4"/>
  <c r="AQ131" i="4"/>
  <c r="AR130" i="4"/>
  <c r="AQ130" i="4"/>
  <c r="AR129" i="4"/>
  <c r="AQ129" i="4"/>
  <c r="AR128" i="4"/>
  <c r="AQ128" i="4"/>
  <c r="AR127" i="4"/>
  <c r="AQ127" i="4"/>
  <c r="AR126" i="4"/>
  <c r="AQ126" i="4"/>
  <c r="AR125" i="4"/>
  <c r="AQ125" i="4"/>
  <c r="AR124" i="4"/>
  <c r="AQ124" i="4"/>
  <c r="AR123" i="4"/>
  <c r="AQ123" i="4"/>
  <c r="AR122" i="4"/>
  <c r="AQ122" i="4"/>
  <c r="AR121" i="4"/>
  <c r="AQ121" i="4"/>
  <c r="AR120" i="4"/>
  <c r="AQ120" i="4"/>
  <c r="AR119" i="4"/>
  <c r="AQ119" i="4"/>
  <c r="AR118" i="4"/>
  <c r="AQ118" i="4"/>
  <c r="AR117" i="4"/>
  <c r="AQ117" i="4"/>
  <c r="AR116" i="4"/>
  <c r="AQ116" i="4"/>
  <c r="AR115" i="4"/>
  <c r="AQ115" i="4"/>
  <c r="AR114" i="4"/>
  <c r="AQ114" i="4"/>
  <c r="AR113" i="4"/>
  <c r="AQ113" i="4"/>
  <c r="AR112" i="4"/>
  <c r="AQ112" i="4"/>
  <c r="AR111" i="4"/>
  <c r="AQ111" i="4"/>
  <c r="AR110" i="4"/>
  <c r="AQ110" i="4"/>
  <c r="AR109" i="4"/>
  <c r="AQ109" i="4"/>
  <c r="AR108" i="4"/>
  <c r="AQ108" i="4"/>
  <c r="AR107" i="4"/>
  <c r="AQ107" i="4"/>
  <c r="AR106" i="4"/>
  <c r="AQ106" i="4"/>
  <c r="AR105" i="4"/>
  <c r="AQ105" i="4"/>
  <c r="AR104" i="4"/>
  <c r="AQ104" i="4"/>
  <c r="AR103" i="4"/>
  <c r="AQ103" i="4"/>
  <c r="AR102" i="4"/>
  <c r="AQ102" i="4"/>
  <c r="AR101" i="4"/>
  <c r="AQ101" i="4"/>
  <c r="AR100" i="4"/>
  <c r="AQ100" i="4"/>
  <c r="AR99" i="4"/>
  <c r="AQ99" i="4"/>
  <c r="AR98" i="4"/>
  <c r="AQ98" i="4"/>
  <c r="AR97" i="4"/>
  <c r="AQ97" i="4"/>
  <c r="AR96" i="4"/>
  <c r="AQ96" i="4"/>
  <c r="AR95" i="4"/>
  <c r="AQ95" i="4"/>
  <c r="AR94" i="4"/>
  <c r="AQ94" i="4"/>
  <c r="AR93" i="4"/>
  <c r="AQ93" i="4"/>
  <c r="AR92" i="4"/>
  <c r="AQ92" i="4"/>
  <c r="AR91" i="4"/>
  <c r="AQ91" i="4"/>
  <c r="AR90" i="4"/>
  <c r="AQ90" i="4"/>
  <c r="AR89" i="4"/>
  <c r="AQ89" i="4"/>
  <c r="AR88" i="4"/>
  <c r="AQ88" i="4"/>
  <c r="AR87" i="4"/>
  <c r="AQ87" i="4"/>
  <c r="AR86" i="4"/>
  <c r="AQ86" i="4"/>
  <c r="AR85" i="4"/>
  <c r="AQ85" i="4"/>
  <c r="AR84" i="4"/>
  <c r="AQ84" i="4"/>
  <c r="AR83" i="4"/>
  <c r="AQ83" i="4"/>
  <c r="AR82" i="4"/>
  <c r="AQ82" i="4"/>
  <c r="AR81" i="4"/>
  <c r="AQ81" i="4"/>
  <c r="AR80" i="4"/>
  <c r="AQ80" i="4"/>
  <c r="AR79" i="4"/>
  <c r="AQ79" i="4"/>
  <c r="AR78" i="4"/>
  <c r="AQ78" i="4"/>
  <c r="AR77" i="4"/>
  <c r="AQ77" i="4"/>
  <c r="AR76" i="4"/>
  <c r="AQ76" i="4"/>
  <c r="AR75" i="4"/>
  <c r="AQ75" i="4"/>
  <c r="AR74" i="4"/>
  <c r="AQ74" i="4"/>
  <c r="AR73" i="4"/>
  <c r="AQ73" i="4"/>
  <c r="AR72" i="4"/>
  <c r="AQ72" i="4"/>
  <c r="AR71" i="4"/>
  <c r="AQ71" i="4"/>
  <c r="AR70" i="4"/>
  <c r="AQ70" i="4"/>
  <c r="AR69" i="4"/>
  <c r="AQ69" i="4"/>
  <c r="AR68" i="4"/>
  <c r="AQ68" i="4"/>
  <c r="AR67" i="4"/>
  <c r="AQ67" i="4"/>
  <c r="AR66" i="4"/>
  <c r="AQ66" i="4"/>
  <c r="AR65" i="4"/>
  <c r="AQ65" i="4"/>
  <c r="AR64" i="4"/>
  <c r="AQ64" i="4"/>
  <c r="AR63" i="4"/>
  <c r="AQ63" i="4"/>
  <c r="AR62" i="4"/>
  <c r="AQ62" i="4"/>
  <c r="AR61" i="4"/>
  <c r="AQ61" i="4"/>
  <c r="AR60" i="4"/>
  <c r="AQ60" i="4"/>
  <c r="AR59" i="4"/>
  <c r="AQ59" i="4"/>
  <c r="AR58" i="4"/>
  <c r="AQ58" i="4"/>
  <c r="AR57" i="4"/>
  <c r="AQ57" i="4"/>
  <c r="AR56" i="4"/>
  <c r="AQ56" i="4"/>
  <c r="AR55" i="4"/>
  <c r="AQ55" i="4"/>
  <c r="AR54" i="4"/>
  <c r="AQ54" i="4"/>
  <c r="AR53" i="4"/>
  <c r="AQ53" i="4"/>
  <c r="AR52" i="4"/>
  <c r="AQ52" i="4"/>
  <c r="AR51" i="4"/>
  <c r="AQ51" i="4"/>
  <c r="AR50" i="4"/>
  <c r="AQ50" i="4"/>
  <c r="AR49" i="4"/>
  <c r="AQ49" i="4"/>
  <c r="AR48" i="4"/>
  <c r="AQ48" i="4"/>
  <c r="AR47" i="4"/>
  <c r="AQ47" i="4"/>
  <c r="AR46" i="4"/>
  <c r="AQ46" i="4"/>
  <c r="AR45" i="4"/>
  <c r="AQ45" i="4"/>
  <c r="AR44" i="4"/>
  <c r="AQ44" i="4"/>
  <c r="AR43" i="4"/>
  <c r="AQ43" i="4"/>
  <c r="AR42" i="4"/>
  <c r="AQ42" i="4"/>
  <c r="AR41" i="4"/>
  <c r="AQ41" i="4"/>
  <c r="AR40" i="4"/>
  <c r="AQ40" i="4"/>
  <c r="AR39" i="4"/>
  <c r="AQ39" i="4"/>
  <c r="AR38" i="4"/>
  <c r="AQ38" i="4"/>
  <c r="AR37" i="4"/>
  <c r="AQ37" i="4"/>
  <c r="AR36" i="4"/>
  <c r="AQ36" i="4"/>
  <c r="AR35" i="4"/>
  <c r="AQ35" i="4"/>
  <c r="AR34" i="4"/>
  <c r="AQ34" i="4"/>
  <c r="AR33" i="4"/>
  <c r="AQ33" i="4"/>
  <c r="AR32" i="4"/>
  <c r="AQ32" i="4"/>
  <c r="AR31" i="4"/>
  <c r="AQ31" i="4"/>
  <c r="AR30" i="4"/>
  <c r="AQ30" i="4"/>
  <c r="AR29" i="4"/>
  <c r="AQ29" i="4"/>
  <c r="AR28" i="4"/>
  <c r="AQ28" i="4"/>
  <c r="AR27" i="4"/>
  <c r="AQ27" i="4"/>
  <c r="AR26" i="4"/>
  <c r="AQ26" i="4"/>
  <c r="AR25" i="4"/>
  <c r="AQ25" i="4"/>
  <c r="AR24" i="4"/>
  <c r="AQ24" i="4"/>
  <c r="AR23" i="4"/>
  <c r="AQ23" i="4"/>
  <c r="AR22" i="4"/>
  <c r="AQ22" i="4"/>
  <c r="AR21" i="4"/>
  <c r="AQ21" i="4"/>
  <c r="AR20" i="4"/>
  <c r="AQ20" i="4"/>
  <c r="AR19" i="4"/>
  <c r="AQ19" i="4"/>
  <c r="AR18" i="4"/>
  <c r="AQ18" i="4"/>
  <c r="AR17" i="4"/>
  <c r="AQ17" i="4"/>
  <c r="AR16" i="4"/>
  <c r="AQ16" i="4"/>
  <c r="AR15" i="4"/>
  <c r="AQ15" i="4"/>
  <c r="AR14" i="4"/>
  <c r="AQ14" i="4"/>
  <c r="AR13" i="4"/>
  <c r="AQ13" i="4"/>
  <c r="AR12" i="4"/>
  <c r="AQ12" i="4"/>
  <c r="AR11" i="4"/>
  <c r="AQ11" i="4"/>
  <c r="AO355" i="4"/>
  <c r="AN355" i="4"/>
  <c r="AO354" i="4"/>
  <c r="AN354" i="4"/>
  <c r="AO353" i="4"/>
  <c r="AN353" i="4"/>
  <c r="AO352" i="4"/>
  <c r="AN352" i="4"/>
  <c r="AO351" i="4"/>
  <c r="AN351" i="4"/>
  <c r="AO350" i="4"/>
  <c r="AN350" i="4"/>
  <c r="AO349" i="4"/>
  <c r="AN349" i="4"/>
  <c r="AO348" i="4"/>
  <c r="AN348" i="4"/>
  <c r="AO347" i="4"/>
  <c r="AN347" i="4"/>
  <c r="AO346" i="4"/>
  <c r="AN346" i="4"/>
  <c r="AO345" i="4"/>
  <c r="AN345" i="4"/>
  <c r="AO344" i="4"/>
  <c r="AN344" i="4"/>
  <c r="AO343" i="4"/>
  <c r="AN343" i="4"/>
  <c r="AO342" i="4"/>
  <c r="AN342" i="4"/>
  <c r="AO341" i="4"/>
  <c r="AN341" i="4"/>
  <c r="AO340" i="4"/>
  <c r="AN340" i="4"/>
  <c r="AO339" i="4"/>
  <c r="AN339" i="4"/>
  <c r="AO338" i="4"/>
  <c r="AN338" i="4"/>
  <c r="AO337" i="4"/>
  <c r="AN337" i="4"/>
  <c r="AO336" i="4"/>
  <c r="AN336" i="4"/>
  <c r="AO335" i="4"/>
  <c r="AN335" i="4"/>
  <c r="AO334" i="4"/>
  <c r="AN334" i="4"/>
  <c r="AO333" i="4"/>
  <c r="AN333" i="4"/>
  <c r="AO332" i="4"/>
  <c r="AN332" i="4"/>
  <c r="AO331" i="4"/>
  <c r="AN331" i="4"/>
  <c r="AO330" i="4"/>
  <c r="AN330" i="4"/>
  <c r="AO329" i="4"/>
  <c r="AN329" i="4"/>
  <c r="AO328" i="4"/>
  <c r="AN328" i="4"/>
  <c r="AO327" i="4"/>
  <c r="AN327" i="4"/>
  <c r="AO326" i="4"/>
  <c r="AN326" i="4"/>
  <c r="AO325" i="4"/>
  <c r="AN325" i="4"/>
  <c r="AO324" i="4"/>
  <c r="AN324" i="4"/>
  <c r="AO323" i="4"/>
  <c r="AN323" i="4"/>
  <c r="AO322" i="4"/>
  <c r="AN322" i="4"/>
  <c r="AO321" i="4"/>
  <c r="AN321" i="4"/>
  <c r="AO320" i="4"/>
  <c r="AN320" i="4"/>
  <c r="AO319" i="4"/>
  <c r="AN319" i="4"/>
  <c r="AO318" i="4"/>
  <c r="AN318" i="4"/>
  <c r="AO317" i="4"/>
  <c r="AN317" i="4"/>
  <c r="AO316" i="4"/>
  <c r="AN316" i="4"/>
  <c r="AO315" i="4"/>
  <c r="AN315" i="4"/>
  <c r="AO314" i="4"/>
  <c r="AN314" i="4"/>
  <c r="AO313" i="4"/>
  <c r="AN313" i="4"/>
  <c r="AO312" i="4"/>
  <c r="AN312" i="4"/>
  <c r="AO311" i="4"/>
  <c r="AN311" i="4"/>
  <c r="AO310" i="4"/>
  <c r="AN310" i="4"/>
  <c r="AO309" i="4"/>
  <c r="AN309" i="4"/>
  <c r="AO308" i="4"/>
  <c r="AN308" i="4"/>
  <c r="AO307" i="4"/>
  <c r="AN307" i="4"/>
  <c r="AO306" i="4"/>
  <c r="AN306" i="4"/>
  <c r="AO305" i="4"/>
  <c r="AN305" i="4"/>
  <c r="AO304" i="4"/>
  <c r="AN304" i="4"/>
  <c r="AO303" i="4"/>
  <c r="AN303" i="4"/>
  <c r="AO302" i="4"/>
  <c r="AN302" i="4"/>
  <c r="AO301" i="4"/>
  <c r="AN301" i="4"/>
  <c r="AO300" i="4"/>
  <c r="AN300" i="4"/>
  <c r="AO299" i="4"/>
  <c r="AN299" i="4"/>
  <c r="AO298" i="4"/>
  <c r="AN298" i="4"/>
  <c r="AO297" i="4"/>
  <c r="AN297" i="4"/>
  <c r="AO296" i="4"/>
  <c r="AN296" i="4"/>
  <c r="AO295" i="4"/>
  <c r="AN295" i="4"/>
  <c r="AO294" i="4"/>
  <c r="AN294" i="4"/>
  <c r="AO293" i="4"/>
  <c r="AN293" i="4"/>
  <c r="AO292" i="4"/>
  <c r="AN292" i="4"/>
  <c r="AO291" i="4"/>
  <c r="AN291" i="4"/>
  <c r="AO290" i="4"/>
  <c r="AN290" i="4"/>
  <c r="AO289" i="4"/>
  <c r="AN289" i="4"/>
  <c r="AO288" i="4"/>
  <c r="AN288" i="4"/>
  <c r="AO287" i="4"/>
  <c r="AN287" i="4"/>
  <c r="AO286" i="4"/>
  <c r="AN286" i="4"/>
  <c r="AO285" i="4"/>
  <c r="AN285" i="4"/>
  <c r="AO284" i="4"/>
  <c r="AN284" i="4"/>
  <c r="AO283" i="4"/>
  <c r="AN283" i="4"/>
  <c r="AO282" i="4"/>
  <c r="AN282" i="4"/>
  <c r="AO281" i="4"/>
  <c r="AN281" i="4"/>
  <c r="AO280" i="4"/>
  <c r="AN280" i="4"/>
  <c r="AO279" i="4"/>
  <c r="AN279" i="4"/>
  <c r="AO278" i="4"/>
  <c r="AN278" i="4"/>
  <c r="AO277" i="4"/>
  <c r="AN277" i="4"/>
  <c r="AO276" i="4"/>
  <c r="AN276" i="4"/>
  <c r="AO275" i="4"/>
  <c r="AN275" i="4"/>
  <c r="AO274" i="4"/>
  <c r="AN274" i="4"/>
  <c r="AO273" i="4"/>
  <c r="AN273" i="4"/>
  <c r="AO272" i="4"/>
  <c r="AN272" i="4"/>
  <c r="AO271" i="4"/>
  <c r="AN271" i="4"/>
  <c r="AO270" i="4"/>
  <c r="AN270" i="4"/>
  <c r="AO269" i="4"/>
  <c r="AN269" i="4"/>
  <c r="AO268" i="4"/>
  <c r="AN268" i="4"/>
  <c r="AO267" i="4"/>
  <c r="AN267" i="4"/>
  <c r="AO266" i="4"/>
  <c r="AN266" i="4"/>
  <c r="AO265" i="4"/>
  <c r="AN265" i="4"/>
  <c r="AO264" i="4"/>
  <c r="AN264" i="4"/>
  <c r="AO263" i="4"/>
  <c r="AN263" i="4"/>
  <c r="AO262" i="4"/>
  <c r="AN262" i="4"/>
  <c r="AO261" i="4"/>
  <c r="AN261" i="4"/>
  <c r="AO260" i="4"/>
  <c r="AN260" i="4"/>
  <c r="AO259" i="4"/>
  <c r="AN259" i="4"/>
  <c r="AO258" i="4"/>
  <c r="AN258" i="4"/>
  <c r="AO257" i="4"/>
  <c r="AN257" i="4"/>
  <c r="AO256" i="4"/>
  <c r="AN256" i="4"/>
  <c r="AO255" i="4"/>
  <c r="AN255" i="4"/>
  <c r="AO254" i="4"/>
  <c r="AN254" i="4"/>
  <c r="AO253" i="4"/>
  <c r="AN253" i="4"/>
  <c r="AO252" i="4"/>
  <c r="AN252" i="4"/>
  <c r="AO251" i="4"/>
  <c r="AN251" i="4"/>
  <c r="AO250" i="4"/>
  <c r="AN250" i="4"/>
  <c r="AO249" i="4"/>
  <c r="AN249" i="4"/>
  <c r="AO248" i="4"/>
  <c r="AN248" i="4"/>
  <c r="AO247" i="4"/>
  <c r="AN247" i="4"/>
  <c r="AO246" i="4"/>
  <c r="AN246" i="4"/>
  <c r="AO245" i="4"/>
  <c r="AN245" i="4"/>
  <c r="AO244" i="4"/>
  <c r="AN244" i="4"/>
  <c r="AO243" i="4"/>
  <c r="AN243" i="4"/>
  <c r="AO242" i="4"/>
  <c r="AN242" i="4"/>
  <c r="AO241" i="4"/>
  <c r="AN241" i="4"/>
  <c r="AO240" i="4"/>
  <c r="AN240" i="4"/>
  <c r="AO239" i="4"/>
  <c r="AN239" i="4"/>
  <c r="AO238" i="4"/>
  <c r="AN238" i="4"/>
  <c r="AO237" i="4"/>
  <c r="AN237" i="4"/>
  <c r="AO236" i="4"/>
  <c r="AN236" i="4"/>
  <c r="AO235" i="4"/>
  <c r="AN235" i="4"/>
  <c r="AO234" i="4"/>
  <c r="AN234" i="4"/>
  <c r="AO233" i="4"/>
  <c r="AN233" i="4"/>
  <c r="AO232" i="4"/>
  <c r="AN232" i="4"/>
  <c r="AO231" i="4"/>
  <c r="AN231" i="4"/>
  <c r="AO230" i="4"/>
  <c r="AN230" i="4"/>
  <c r="AO229" i="4"/>
  <c r="AN229" i="4"/>
  <c r="AO228" i="4"/>
  <c r="AN228" i="4"/>
  <c r="AO227" i="4"/>
  <c r="AN227" i="4"/>
  <c r="AO226" i="4"/>
  <c r="AN226" i="4"/>
  <c r="AO225" i="4"/>
  <c r="AN225" i="4"/>
  <c r="AO224" i="4"/>
  <c r="AN224" i="4"/>
  <c r="AO223" i="4"/>
  <c r="AN223" i="4"/>
  <c r="AO222" i="4"/>
  <c r="AN222" i="4"/>
  <c r="AO221" i="4"/>
  <c r="AN221" i="4"/>
  <c r="AO220" i="4"/>
  <c r="AN220" i="4"/>
  <c r="AO219" i="4"/>
  <c r="AN219" i="4"/>
  <c r="AO218" i="4"/>
  <c r="AN218" i="4"/>
  <c r="AO217" i="4"/>
  <c r="AN217" i="4"/>
  <c r="AO216" i="4"/>
  <c r="AN216" i="4"/>
  <c r="AO215" i="4"/>
  <c r="AN215" i="4"/>
  <c r="AO214" i="4"/>
  <c r="AN214" i="4"/>
  <c r="AO213" i="4"/>
  <c r="AN213" i="4"/>
  <c r="AO212" i="4"/>
  <c r="AN212" i="4"/>
  <c r="AO211" i="4"/>
  <c r="AN211" i="4"/>
  <c r="AO210" i="4"/>
  <c r="AN210" i="4"/>
  <c r="AO209" i="4"/>
  <c r="AN209" i="4"/>
  <c r="AO208" i="4"/>
  <c r="AN208" i="4"/>
  <c r="AO207" i="4"/>
  <c r="AN207" i="4"/>
  <c r="AO206" i="4"/>
  <c r="AN206" i="4"/>
  <c r="AO205" i="4"/>
  <c r="AN205" i="4"/>
  <c r="AO204" i="4"/>
  <c r="AN204" i="4"/>
  <c r="AO203" i="4"/>
  <c r="AN203" i="4"/>
  <c r="AO202" i="4"/>
  <c r="AN202" i="4"/>
  <c r="AO201" i="4"/>
  <c r="AN201" i="4"/>
  <c r="AO200" i="4"/>
  <c r="AN200" i="4"/>
  <c r="AO199" i="4"/>
  <c r="AN199" i="4"/>
  <c r="AO198" i="4"/>
  <c r="AN198" i="4"/>
  <c r="AO197" i="4"/>
  <c r="AN197" i="4"/>
  <c r="AO196" i="4"/>
  <c r="AN196" i="4"/>
  <c r="AO195" i="4"/>
  <c r="AN195" i="4"/>
  <c r="AO194" i="4"/>
  <c r="AN194" i="4"/>
  <c r="AO193" i="4"/>
  <c r="AN193" i="4"/>
  <c r="AO192" i="4"/>
  <c r="AN192" i="4"/>
  <c r="AO191" i="4"/>
  <c r="AN191" i="4"/>
  <c r="AO190" i="4"/>
  <c r="AN190" i="4"/>
  <c r="AO189" i="4"/>
  <c r="AN189" i="4"/>
  <c r="AO188" i="4"/>
  <c r="AN188" i="4"/>
  <c r="AO187" i="4"/>
  <c r="AN187" i="4"/>
  <c r="AO186" i="4"/>
  <c r="AN186" i="4"/>
  <c r="AO185" i="4"/>
  <c r="AN185" i="4"/>
  <c r="AO184" i="4"/>
  <c r="AN184" i="4"/>
  <c r="AO183" i="4"/>
  <c r="AN183" i="4"/>
  <c r="AO182" i="4"/>
  <c r="AN182" i="4"/>
  <c r="AO181" i="4"/>
  <c r="AN181" i="4"/>
  <c r="AO180" i="4"/>
  <c r="AN180" i="4"/>
  <c r="AO179" i="4"/>
  <c r="AN179" i="4"/>
  <c r="AO178" i="4"/>
  <c r="AN178" i="4"/>
  <c r="AO177" i="4"/>
  <c r="AN177" i="4"/>
  <c r="AO176" i="4"/>
  <c r="AN176" i="4"/>
  <c r="AO175" i="4"/>
  <c r="AN175" i="4"/>
  <c r="AO174" i="4"/>
  <c r="AN174" i="4"/>
  <c r="AO173" i="4"/>
  <c r="AN173" i="4"/>
  <c r="AO172" i="4"/>
  <c r="AN172" i="4"/>
  <c r="AO171" i="4"/>
  <c r="AN171" i="4"/>
  <c r="AO170" i="4"/>
  <c r="AN170" i="4"/>
  <c r="AO169" i="4"/>
  <c r="AN169" i="4"/>
  <c r="AO168" i="4"/>
  <c r="AN168" i="4"/>
  <c r="AO167" i="4"/>
  <c r="AN167" i="4"/>
  <c r="AO166" i="4"/>
  <c r="AN166" i="4"/>
  <c r="AO165" i="4"/>
  <c r="AN165" i="4"/>
  <c r="AO164" i="4"/>
  <c r="AN164" i="4"/>
  <c r="AO163" i="4"/>
  <c r="AN163" i="4"/>
  <c r="AO162" i="4"/>
  <c r="AN162" i="4"/>
  <c r="AO161" i="4"/>
  <c r="AN161" i="4"/>
  <c r="AO160" i="4"/>
  <c r="AN160" i="4"/>
  <c r="AO159" i="4"/>
  <c r="AN159" i="4"/>
  <c r="AO158" i="4"/>
  <c r="AN158" i="4"/>
  <c r="AO157" i="4"/>
  <c r="AN157" i="4"/>
  <c r="AO156" i="4"/>
  <c r="AN156" i="4"/>
  <c r="AO155" i="4"/>
  <c r="AN155" i="4"/>
  <c r="AO154" i="4"/>
  <c r="AN154" i="4"/>
  <c r="AO153" i="4"/>
  <c r="AN153" i="4"/>
  <c r="AO152" i="4"/>
  <c r="AN152" i="4"/>
  <c r="AO151" i="4"/>
  <c r="AN151" i="4"/>
  <c r="AO150" i="4"/>
  <c r="AN150" i="4"/>
  <c r="AO149" i="4"/>
  <c r="AN149" i="4"/>
  <c r="AO148" i="4"/>
  <c r="AN148" i="4"/>
  <c r="AO147" i="4"/>
  <c r="AN147" i="4"/>
  <c r="AO146" i="4"/>
  <c r="AN146" i="4"/>
  <c r="AO145" i="4"/>
  <c r="AN145" i="4"/>
  <c r="AO144" i="4"/>
  <c r="AN144" i="4"/>
  <c r="AO143" i="4"/>
  <c r="AN143" i="4"/>
  <c r="AO142" i="4"/>
  <c r="AN142" i="4"/>
  <c r="AO141" i="4"/>
  <c r="AN141" i="4"/>
  <c r="AO140" i="4"/>
  <c r="AN140" i="4"/>
  <c r="AO139" i="4"/>
  <c r="AN139" i="4"/>
  <c r="AO138" i="4"/>
  <c r="AN138" i="4"/>
  <c r="AO137" i="4"/>
  <c r="AN137" i="4"/>
  <c r="AO136" i="4"/>
  <c r="AN136" i="4"/>
  <c r="AO135" i="4"/>
  <c r="AN135" i="4"/>
  <c r="AO134" i="4"/>
  <c r="AN134" i="4"/>
  <c r="AO133" i="4"/>
  <c r="AN133" i="4"/>
  <c r="AO132" i="4"/>
  <c r="AN132" i="4"/>
  <c r="AO131" i="4"/>
  <c r="AN131" i="4"/>
  <c r="AO130" i="4"/>
  <c r="AN130" i="4"/>
  <c r="AO129" i="4"/>
  <c r="AN129" i="4"/>
  <c r="AO128" i="4"/>
  <c r="AN128" i="4"/>
  <c r="AO127" i="4"/>
  <c r="AN127" i="4"/>
  <c r="AO126" i="4"/>
  <c r="AN126" i="4"/>
  <c r="AO125" i="4"/>
  <c r="AN125" i="4"/>
  <c r="AO124" i="4"/>
  <c r="AN124" i="4"/>
  <c r="AO123" i="4"/>
  <c r="AN123" i="4"/>
  <c r="AO122" i="4"/>
  <c r="AN122" i="4"/>
  <c r="AO121" i="4"/>
  <c r="AN121" i="4"/>
  <c r="AO120" i="4"/>
  <c r="AN120" i="4"/>
  <c r="AO119" i="4"/>
  <c r="AN119" i="4"/>
  <c r="AO118" i="4"/>
  <c r="AN118" i="4"/>
  <c r="AO117" i="4"/>
  <c r="AN117" i="4"/>
  <c r="AO116" i="4"/>
  <c r="AN116" i="4"/>
  <c r="AO115" i="4"/>
  <c r="AN115" i="4"/>
  <c r="AO114" i="4"/>
  <c r="AN114" i="4"/>
  <c r="AO113" i="4"/>
  <c r="AN113" i="4"/>
  <c r="AO112" i="4"/>
  <c r="AN112" i="4"/>
  <c r="AO111" i="4"/>
  <c r="AN111" i="4"/>
  <c r="AO110" i="4"/>
  <c r="AN110" i="4"/>
  <c r="AO109" i="4"/>
  <c r="AN109" i="4"/>
  <c r="AO108" i="4"/>
  <c r="AN108" i="4"/>
  <c r="AO107" i="4"/>
  <c r="AN107" i="4"/>
  <c r="AO106" i="4"/>
  <c r="AN106" i="4"/>
  <c r="AO105" i="4"/>
  <c r="AN105" i="4"/>
  <c r="AO104" i="4"/>
  <c r="AN104" i="4"/>
  <c r="AO103" i="4"/>
  <c r="AN103" i="4"/>
  <c r="AO102" i="4"/>
  <c r="AN102" i="4"/>
  <c r="AO101" i="4"/>
  <c r="AN101" i="4"/>
  <c r="AO100" i="4"/>
  <c r="AN100" i="4"/>
  <c r="AO99" i="4"/>
  <c r="AN99" i="4"/>
  <c r="AO98" i="4"/>
  <c r="AN98" i="4"/>
  <c r="AO97" i="4"/>
  <c r="AN97" i="4"/>
  <c r="AO96" i="4"/>
  <c r="AN96" i="4"/>
  <c r="AO95" i="4"/>
  <c r="AN95" i="4"/>
  <c r="AO94" i="4"/>
  <c r="AN94" i="4"/>
  <c r="AO93" i="4"/>
  <c r="AN93" i="4"/>
  <c r="AO92" i="4"/>
  <c r="AN92" i="4"/>
  <c r="AO91" i="4"/>
  <c r="AN91" i="4"/>
  <c r="AO90" i="4"/>
  <c r="AN90" i="4"/>
  <c r="AO89" i="4"/>
  <c r="AN89" i="4"/>
  <c r="AO88" i="4"/>
  <c r="AN88" i="4"/>
  <c r="AO87" i="4"/>
  <c r="AN87" i="4"/>
  <c r="AO86" i="4"/>
  <c r="AN86" i="4"/>
  <c r="AO85" i="4"/>
  <c r="AN85" i="4"/>
  <c r="AO84" i="4"/>
  <c r="AN84" i="4"/>
  <c r="AO83" i="4"/>
  <c r="AN83" i="4"/>
  <c r="AO82" i="4"/>
  <c r="AN82" i="4"/>
  <c r="AO81" i="4"/>
  <c r="AN81" i="4"/>
  <c r="AO80" i="4"/>
  <c r="AN80" i="4"/>
  <c r="AO79" i="4"/>
  <c r="AN79" i="4"/>
  <c r="AO78" i="4"/>
  <c r="AN78" i="4"/>
  <c r="AO77" i="4"/>
  <c r="AN77" i="4"/>
  <c r="AO76" i="4"/>
  <c r="AN76" i="4"/>
  <c r="AO75" i="4"/>
  <c r="AN75" i="4"/>
  <c r="AO74" i="4"/>
  <c r="AN74" i="4"/>
  <c r="AO73" i="4"/>
  <c r="AN73" i="4"/>
  <c r="AO72" i="4"/>
  <c r="AN72" i="4"/>
  <c r="AO71" i="4"/>
  <c r="AN71" i="4"/>
  <c r="AO70" i="4"/>
  <c r="AN70" i="4"/>
  <c r="AO69" i="4"/>
  <c r="AN69" i="4"/>
  <c r="AO68" i="4"/>
  <c r="AN68" i="4"/>
  <c r="AO67" i="4"/>
  <c r="AN67" i="4"/>
  <c r="AO66" i="4"/>
  <c r="AN66" i="4"/>
  <c r="AO65" i="4"/>
  <c r="AN65" i="4"/>
  <c r="AO64" i="4"/>
  <c r="AN64" i="4"/>
  <c r="AO63" i="4"/>
  <c r="AN63" i="4"/>
  <c r="AO62" i="4"/>
  <c r="AN62" i="4"/>
  <c r="AO61" i="4"/>
  <c r="AN61" i="4"/>
  <c r="AO60" i="4"/>
  <c r="AN60" i="4"/>
  <c r="AO59" i="4"/>
  <c r="AN59" i="4"/>
  <c r="AO58" i="4"/>
  <c r="AN58" i="4"/>
  <c r="AO57" i="4"/>
  <c r="AN57" i="4"/>
  <c r="AO56" i="4"/>
  <c r="AN56" i="4"/>
  <c r="AO55" i="4"/>
  <c r="AN55" i="4"/>
  <c r="AO54" i="4"/>
  <c r="AN54" i="4"/>
  <c r="AO53" i="4"/>
  <c r="AN53" i="4"/>
  <c r="AO52" i="4"/>
  <c r="AN52" i="4"/>
  <c r="AO51" i="4"/>
  <c r="AN51" i="4"/>
  <c r="AO50" i="4"/>
  <c r="AN50" i="4"/>
  <c r="AO49" i="4"/>
  <c r="AN49" i="4"/>
  <c r="AO48" i="4"/>
  <c r="AN48" i="4"/>
  <c r="AO47" i="4"/>
  <c r="AN47" i="4"/>
  <c r="AO46" i="4"/>
  <c r="AN46" i="4"/>
  <c r="AO45" i="4"/>
  <c r="AN45" i="4"/>
  <c r="AO44" i="4"/>
  <c r="AN44" i="4"/>
  <c r="AO43" i="4"/>
  <c r="AN43" i="4"/>
  <c r="AO42" i="4"/>
  <c r="AN42" i="4"/>
  <c r="AO41" i="4"/>
  <c r="AN41" i="4"/>
  <c r="AO40" i="4"/>
  <c r="AN40" i="4"/>
  <c r="AO39" i="4"/>
  <c r="AN39" i="4"/>
  <c r="AO38" i="4"/>
  <c r="AN38" i="4"/>
  <c r="AO37" i="4"/>
  <c r="AN37" i="4"/>
  <c r="AO36" i="4"/>
  <c r="AN36" i="4"/>
  <c r="AO35" i="4"/>
  <c r="AN35" i="4"/>
  <c r="AO34" i="4"/>
  <c r="AN34" i="4"/>
  <c r="AO33" i="4"/>
  <c r="AN33" i="4"/>
  <c r="AO32" i="4"/>
  <c r="AN32" i="4"/>
  <c r="AO31" i="4"/>
  <c r="AN31" i="4"/>
  <c r="AO30" i="4"/>
  <c r="AN30" i="4"/>
  <c r="AO29" i="4"/>
  <c r="AN29" i="4"/>
  <c r="AO28" i="4"/>
  <c r="AN28" i="4"/>
  <c r="AO27" i="4"/>
  <c r="AN27" i="4"/>
  <c r="AO26" i="4"/>
  <c r="AN26" i="4"/>
  <c r="AO25" i="4"/>
  <c r="AN25" i="4"/>
  <c r="AO24" i="4"/>
  <c r="AN24" i="4"/>
  <c r="AO23" i="4"/>
  <c r="AN23" i="4"/>
  <c r="AO22" i="4"/>
  <c r="AN22" i="4"/>
  <c r="AO21" i="4"/>
  <c r="AN21" i="4"/>
  <c r="AO20" i="4"/>
  <c r="AN20" i="4"/>
  <c r="AO19" i="4"/>
  <c r="AN19" i="4"/>
  <c r="AO18" i="4"/>
  <c r="AN18" i="4"/>
  <c r="AO17" i="4"/>
  <c r="AN17" i="4"/>
  <c r="AO16" i="4"/>
  <c r="AN16" i="4"/>
  <c r="AO15" i="4"/>
  <c r="AN15" i="4"/>
  <c r="AO14" i="4"/>
  <c r="AN14" i="4"/>
  <c r="AO13" i="4"/>
  <c r="AN13" i="4"/>
  <c r="AO12" i="4"/>
  <c r="AN12" i="4"/>
  <c r="AO11" i="4"/>
  <c r="AN11" i="4"/>
  <c r="AL355" i="4"/>
  <c r="AK355" i="4"/>
  <c r="AL354" i="4"/>
  <c r="AK354" i="4"/>
  <c r="AL353" i="4"/>
  <c r="AK353" i="4"/>
  <c r="AL352" i="4"/>
  <c r="AK352" i="4"/>
  <c r="AL351" i="4"/>
  <c r="AK351" i="4"/>
  <c r="AL350" i="4"/>
  <c r="AK350" i="4"/>
  <c r="AL349" i="4"/>
  <c r="AK349" i="4"/>
  <c r="AL348" i="4"/>
  <c r="AK348" i="4"/>
  <c r="AL347" i="4"/>
  <c r="AK347" i="4"/>
  <c r="AL346" i="4"/>
  <c r="AK346" i="4"/>
  <c r="AL345" i="4"/>
  <c r="AK345" i="4"/>
  <c r="AL344" i="4"/>
  <c r="AK344" i="4"/>
  <c r="AL343" i="4"/>
  <c r="AK343" i="4"/>
  <c r="AL342" i="4"/>
  <c r="AK342" i="4"/>
  <c r="AL341" i="4"/>
  <c r="AK341" i="4"/>
  <c r="AL340" i="4"/>
  <c r="AK340" i="4"/>
  <c r="AL339" i="4"/>
  <c r="AK339" i="4"/>
  <c r="AL338" i="4"/>
  <c r="AK338" i="4"/>
  <c r="AL337" i="4"/>
  <c r="AK337" i="4"/>
  <c r="AL336" i="4"/>
  <c r="AK336" i="4"/>
  <c r="AL335" i="4"/>
  <c r="AK335" i="4"/>
  <c r="AL334" i="4"/>
  <c r="AK334" i="4"/>
  <c r="AL333" i="4"/>
  <c r="AK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L325" i="4"/>
  <c r="AK325" i="4"/>
  <c r="AL324" i="4"/>
  <c r="AK324" i="4"/>
  <c r="AL323" i="4"/>
  <c r="AK323" i="4"/>
  <c r="AL322" i="4"/>
  <c r="AK322" i="4"/>
  <c r="AL321" i="4"/>
  <c r="AK321" i="4"/>
  <c r="AL320" i="4"/>
  <c r="AK320" i="4"/>
  <c r="AL319" i="4"/>
  <c r="AK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L297" i="4"/>
  <c r="AK297" i="4"/>
  <c r="AL296" i="4"/>
  <c r="AK296" i="4"/>
  <c r="AL295" i="4"/>
  <c r="AK295" i="4"/>
  <c r="AL294" i="4"/>
  <c r="AK294" i="4"/>
  <c r="AL293" i="4"/>
  <c r="AK293" i="4"/>
  <c r="AL292" i="4"/>
  <c r="AK292" i="4"/>
  <c r="AL291" i="4"/>
  <c r="AK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L262" i="4"/>
  <c r="AK262" i="4"/>
  <c r="AL261" i="4"/>
  <c r="AK261" i="4"/>
  <c r="AL260" i="4"/>
  <c r="AK260" i="4"/>
  <c r="AL259" i="4"/>
  <c r="AK259" i="4"/>
  <c r="AL258" i="4"/>
  <c r="AK258" i="4"/>
  <c r="AL257" i="4"/>
  <c r="AK257" i="4"/>
  <c r="AL256" i="4"/>
  <c r="AK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L234" i="4"/>
  <c r="AK234" i="4"/>
  <c r="AL233" i="4"/>
  <c r="AK233" i="4"/>
  <c r="AL232" i="4"/>
  <c r="AK232" i="4"/>
  <c r="AL231" i="4"/>
  <c r="AK231" i="4"/>
  <c r="AL230" i="4"/>
  <c r="AK230" i="4"/>
  <c r="AL229" i="4"/>
  <c r="AK229" i="4"/>
  <c r="AL228" i="4"/>
  <c r="AK228" i="4"/>
  <c r="AL227" i="4"/>
  <c r="AK227" i="4"/>
  <c r="AL226" i="4"/>
  <c r="AK226" i="4"/>
  <c r="AL225" i="4"/>
  <c r="AK225" i="4"/>
  <c r="AL224" i="4"/>
  <c r="AK224" i="4"/>
  <c r="AL223" i="4"/>
  <c r="AK223" i="4"/>
  <c r="AL222" i="4"/>
  <c r="AK222" i="4"/>
  <c r="AL221" i="4"/>
  <c r="AK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L206" i="4"/>
  <c r="AK206" i="4"/>
  <c r="AL205" i="4"/>
  <c r="AK205" i="4"/>
  <c r="AL204" i="4"/>
  <c r="AK204" i="4"/>
  <c r="AL203" i="4"/>
  <c r="AK203" i="4"/>
  <c r="AL202" i="4"/>
  <c r="AK202" i="4"/>
  <c r="AL201" i="4"/>
  <c r="AK201" i="4"/>
  <c r="AL200" i="4"/>
  <c r="AK200" i="4"/>
  <c r="AL199" i="4"/>
  <c r="AK199" i="4"/>
  <c r="AL198" i="4"/>
  <c r="AK198" i="4"/>
  <c r="AL197" i="4"/>
  <c r="AK197" i="4"/>
  <c r="AL196" i="4"/>
  <c r="AK196" i="4"/>
  <c r="AL195" i="4"/>
  <c r="AK195" i="4"/>
  <c r="AL194" i="4"/>
  <c r="AK194" i="4"/>
  <c r="AL193" i="4"/>
  <c r="AK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L185" i="4"/>
  <c r="AK185" i="4"/>
  <c r="AL184" i="4"/>
  <c r="AK184" i="4"/>
  <c r="AL183" i="4"/>
  <c r="AK183" i="4"/>
  <c r="AL182" i="4"/>
  <c r="AK182" i="4"/>
  <c r="AL181" i="4"/>
  <c r="AK181" i="4"/>
  <c r="AL180" i="4"/>
  <c r="AK180" i="4"/>
  <c r="AL179" i="4"/>
  <c r="AK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L171" i="4"/>
  <c r="AK171" i="4"/>
  <c r="AL170" i="4"/>
  <c r="AK170" i="4"/>
  <c r="AL169" i="4"/>
  <c r="AK169" i="4"/>
  <c r="AL168" i="4"/>
  <c r="AK168" i="4"/>
  <c r="AL167" i="4"/>
  <c r="AK167" i="4"/>
  <c r="AL166" i="4"/>
  <c r="AK166" i="4"/>
  <c r="AL165" i="4"/>
  <c r="AK165" i="4"/>
  <c r="AL164" i="4"/>
  <c r="AK164" i="4"/>
  <c r="AL163" i="4"/>
  <c r="AK163" i="4"/>
  <c r="AL162" i="4"/>
  <c r="AK162" i="4"/>
  <c r="AL161" i="4"/>
  <c r="AK161" i="4"/>
  <c r="AL160" i="4"/>
  <c r="AK160" i="4"/>
  <c r="AL159" i="4"/>
  <c r="AK159" i="4"/>
  <c r="AL158" i="4"/>
  <c r="AK158" i="4"/>
  <c r="AL157" i="4"/>
  <c r="AK157" i="4"/>
  <c r="AL156" i="4"/>
  <c r="AK156" i="4"/>
  <c r="AL155" i="4"/>
  <c r="AK155" i="4"/>
  <c r="AL154" i="4"/>
  <c r="AK154" i="4"/>
  <c r="AL153" i="4"/>
  <c r="AK153" i="4"/>
  <c r="AL152" i="4"/>
  <c r="AK152" i="4"/>
  <c r="AL151" i="4"/>
  <c r="AK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L143" i="4"/>
  <c r="AK143" i="4"/>
  <c r="AL142" i="4"/>
  <c r="AK142" i="4"/>
  <c r="AL141" i="4"/>
  <c r="AK141" i="4"/>
  <c r="AL140" i="4"/>
  <c r="AK140" i="4"/>
  <c r="AL139" i="4"/>
  <c r="AK139" i="4"/>
  <c r="AL138" i="4"/>
  <c r="AK138" i="4"/>
  <c r="AL137" i="4"/>
  <c r="AK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L129" i="4"/>
  <c r="AK129" i="4"/>
  <c r="AL128" i="4"/>
  <c r="AK128" i="4"/>
  <c r="AL127" i="4"/>
  <c r="AK127" i="4"/>
  <c r="AL126" i="4"/>
  <c r="AK126" i="4"/>
  <c r="AL125" i="4"/>
  <c r="AK125" i="4"/>
  <c r="AL124" i="4"/>
  <c r="AK124" i="4"/>
  <c r="AL123" i="4"/>
  <c r="AK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L115" i="4"/>
  <c r="AK115" i="4"/>
  <c r="AL114" i="4"/>
  <c r="AK114" i="4"/>
  <c r="AL113" i="4"/>
  <c r="AK113" i="4"/>
  <c r="AL112" i="4"/>
  <c r="AK112" i="4"/>
  <c r="AL111" i="4"/>
  <c r="AK111" i="4"/>
  <c r="AL110" i="4"/>
  <c r="AK110" i="4"/>
  <c r="AL109" i="4"/>
  <c r="AK109" i="4"/>
  <c r="AL108" i="4"/>
  <c r="AK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L100" i="4"/>
  <c r="AK100" i="4"/>
  <c r="AL99" i="4"/>
  <c r="AK99" i="4"/>
  <c r="AL98" i="4"/>
  <c r="AK98" i="4"/>
  <c r="AL97" i="4"/>
  <c r="AK97" i="4"/>
  <c r="AL96" i="4"/>
  <c r="AK96" i="4"/>
  <c r="AL95" i="4"/>
  <c r="AK95" i="4"/>
  <c r="AL94" i="4"/>
  <c r="AK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L79" i="4"/>
  <c r="AK79" i="4"/>
  <c r="AL78" i="4"/>
  <c r="AK78" i="4"/>
  <c r="AL77" i="4"/>
  <c r="AK77" i="4"/>
  <c r="AL76" i="4"/>
  <c r="AK76" i="4"/>
  <c r="AL75" i="4"/>
  <c r="AK75" i="4"/>
  <c r="AL74" i="4"/>
  <c r="AK74" i="4"/>
  <c r="AL73" i="4"/>
  <c r="AK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L65" i="4"/>
  <c r="AK65" i="4"/>
  <c r="AL64" i="4"/>
  <c r="AK64" i="4"/>
  <c r="AL63" i="4"/>
  <c r="AK63" i="4"/>
  <c r="AL62" i="4"/>
  <c r="AK62" i="4"/>
  <c r="AL61" i="4"/>
  <c r="AK61" i="4"/>
  <c r="AL60" i="4"/>
  <c r="AK60" i="4"/>
  <c r="AL59" i="4"/>
  <c r="AK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L51" i="4"/>
  <c r="AK51" i="4"/>
  <c r="AL50" i="4"/>
  <c r="AK50" i="4"/>
  <c r="AL49" i="4"/>
  <c r="AK49" i="4"/>
  <c r="AL48" i="4"/>
  <c r="AK48" i="4"/>
  <c r="AL47" i="4"/>
  <c r="AK47" i="4"/>
  <c r="AL46" i="4"/>
  <c r="AK46" i="4"/>
  <c r="AL45" i="4"/>
  <c r="AK45" i="4"/>
  <c r="AL44" i="4"/>
  <c r="AK44" i="4"/>
  <c r="AL43" i="4"/>
  <c r="AK43" i="4"/>
  <c r="AL42" i="4"/>
  <c r="AK42" i="4"/>
  <c r="AL41" i="4"/>
  <c r="AK41" i="4"/>
  <c r="AL40" i="4"/>
  <c r="AK40" i="4"/>
  <c r="AL39" i="4"/>
  <c r="AK39" i="4"/>
  <c r="AL38" i="4"/>
  <c r="AK38" i="4"/>
  <c r="AL37" i="4"/>
  <c r="AK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L30" i="4"/>
  <c r="AK30" i="4"/>
  <c r="AL29" i="4"/>
  <c r="AK29" i="4"/>
  <c r="AL28" i="4"/>
  <c r="AK28" i="4"/>
  <c r="AL27" i="4"/>
  <c r="AK27" i="4"/>
  <c r="AL26" i="4"/>
  <c r="AK26" i="4"/>
  <c r="AL25" i="4"/>
  <c r="AK25" i="4"/>
  <c r="AL24" i="4"/>
  <c r="AK24" i="4"/>
  <c r="AL23" i="4"/>
  <c r="AK23" i="4"/>
  <c r="AL22" i="4"/>
  <c r="AK22" i="4"/>
  <c r="AL21" i="4"/>
  <c r="AK21" i="4"/>
  <c r="AL20" i="4"/>
  <c r="AK20" i="4"/>
  <c r="AL19" i="4"/>
  <c r="AK19" i="4"/>
  <c r="AL18" i="4"/>
  <c r="AK18" i="4"/>
  <c r="AL17" i="4"/>
  <c r="AK17" i="4"/>
  <c r="AL16" i="4"/>
  <c r="AK16" i="4"/>
  <c r="AL15" i="4"/>
  <c r="AK15" i="4"/>
  <c r="AL14" i="4"/>
  <c r="AK14" i="4"/>
  <c r="AL13" i="4"/>
  <c r="AK13" i="4"/>
  <c r="AL12" i="4"/>
  <c r="AK12" i="4"/>
  <c r="AL11" i="4"/>
  <c r="AK11" i="4"/>
  <c r="AI355" i="4"/>
  <c r="AH355" i="4"/>
  <c r="AI354" i="4"/>
  <c r="AH354" i="4"/>
  <c r="AI353" i="4"/>
  <c r="AH353" i="4"/>
  <c r="AI352" i="4"/>
  <c r="AH352" i="4"/>
  <c r="AI351" i="4"/>
  <c r="AH351" i="4"/>
  <c r="AI350" i="4"/>
  <c r="AH350" i="4"/>
  <c r="AI349" i="4"/>
  <c r="AH349" i="4"/>
  <c r="AI348" i="4"/>
  <c r="AH348" i="4"/>
  <c r="AI347" i="4"/>
  <c r="AH347" i="4"/>
  <c r="AI346" i="4"/>
  <c r="AH346" i="4"/>
  <c r="AI345" i="4"/>
  <c r="AH345" i="4"/>
  <c r="AI344" i="4"/>
  <c r="AH344" i="4"/>
  <c r="AI343" i="4"/>
  <c r="AH343" i="4"/>
  <c r="AI342" i="4"/>
  <c r="AH342" i="4"/>
  <c r="AI341" i="4"/>
  <c r="AH341" i="4"/>
  <c r="AI340" i="4"/>
  <c r="AH340" i="4"/>
  <c r="AI339" i="4"/>
  <c r="AH339" i="4"/>
  <c r="AI338" i="4"/>
  <c r="AH338" i="4"/>
  <c r="AI337" i="4"/>
  <c r="AH337" i="4"/>
  <c r="AI336" i="4"/>
  <c r="AH336" i="4"/>
  <c r="AI335" i="4"/>
  <c r="AH335" i="4"/>
  <c r="AI334" i="4"/>
  <c r="AH334" i="4"/>
  <c r="AI333" i="4"/>
  <c r="AH333" i="4"/>
  <c r="AI332" i="4"/>
  <c r="AH332" i="4"/>
  <c r="AI331" i="4"/>
  <c r="AH331" i="4"/>
  <c r="AI330" i="4"/>
  <c r="AH330" i="4"/>
  <c r="AI329" i="4"/>
  <c r="AH329" i="4"/>
  <c r="AI328" i="4"/>
  <c r="AH328" i="4"/>
  <c r="AI327" i="4"/>
  <c r="AH327" i="4"/>
  <c r="AI326" i="4"/>
  <c r="AH326" i="4"/>
  <c r="AI325" i="4"/>
  <c r="AH325" i="4"/>
  <c r="AI324" i="4"/>
  <c r="AH324" i="4"/>
  <c r="AI323" i="4"/>
  <c r="AH323" i="4"/>
  <c r="AI322" i="4"/>
  <c r="AH322" i="4"/>
  <c r="AI321" i="4"/>
  <c r="AH321" i="4"/>
  <c r="AI320" i="4"/>
  <c r="AH320" i="4"/>
  <c r="AI319" i="4"/>
  <c r="AH319" i="4"/>
  <c r="AI318" i="4"/>
  <c r="AH318" i="4"/>
  <c r="AI317" i="4"/>
  <c r="AH317" i="4"/>
  <c r="AI316" i="4"/>
  <c r="AH316" i="4"/>
  <c r="AI315" i="4"/>
  <c r="AH315" i="4"/>
  <c r="AI314" i="4"/>
  <c r="AH314" i="4"/>
  <c r="AI313" i="4"/>
  <c r="AH313" i="4"/>
  <c r="AI312" i="4"/>
  <c r="AH312" i="4"/>
  <c r="AI311" i="4"/>
  <c r="AH311" i="4"/>
  <c r="AI310" i="4"/>
  <c r="AH310" i="4"/>
  <c r="AI309" i="4"/>
  <c r="AH309" i="4"/>
  <c r="AI308" i="4"/>
  <c r="AH308" i="4"/>
  <c r="AI307" i="4"/>
  <c r="AH307" i="4"/>
  <c r="AI306" i="4"/>
  <c r="AH306" i="4"/>
  <c r="AI305" i="4"/>
  <c r="AH305" i="4"/>
  <c r="AI304" i="4"/>
  <c r="AH304" i="4"/>
  <c r="AI303" i="4"/>
  <c r="AH303" i="4"/>
  <c r="AI302" i="4"/>
  <c r="AH302" i="4"/>
  <c r="AI301" i="4"/>
  <c r="AH301" i="4"/>
  <c r="AI300" i="4"/>
  <c r="AH300" i="4"/>
  <c r="AI299" i="4"/>
  <c r="AH299" i="4"/>
  <c r="AI298" i="4"/>
  <c r="AH298" i="4"/>
  <c r="AI297" i="4"/>
  <c r="AH297" i="4"/>
  <c r="AI296" i="4"/>
  <c r="AH296" i="4"/>
  <c r="AI295" i="4"/>
  <c r="AH295" i="4"/>
  <c r="AI294" i="4"/>
  <c r="AH294" i="4"/>
  <c r="AI293" i="4"/>
  <c r="AH293" i="4"/>
  <c r="AI292" i="4"/>
  <c r="AH292" i="4"/>
  <c r="AI291" i="4"/>
  <c r="AH291" i="4"/>
  <c r="AI290" i="4"/>
  <c r="AH290" i="4"/>
  <c r="AI289" i="4"/>
  <c r="AH289" i="4"/>
  <c r="AI288" i="4"/>
  <c r="AH288" i="4"/>
  <c r="AI287" i="4"/>
  <c r="AH287" i="4"/>
  <c r="AI286" i="4"/>
  <c r="AH286" i="4"/>
  <c r="AI285" i="4"/>
  <c r="AH285" i="4"/>
  <c r="AI284" i="4"/>
  <c r="AH284" i="4"/>
  <c r="AI283" i="4"/>
  <c r="AH283" i="4"/>
  <c r="AI282" i="4"/>
  <c r="AH282" i="4"/>
  <c r="AI281" i="4"/>
  <c r="AH281" i="4"/>
  <c r="AI280" i="4"/>
  <c r="AH280" i="4"/>
  <c r="AI279" i="4"/>
  <c r="AH279" i="4"/>
  <c r="AI278" i="4"/>
  <c r="AH278" i="4"/>
  <c r="AI277" i="4"/>
  <c r="AH277" i="4"/>
  <c r="AI276" i="4"/>
  <c r="AH276" i="4"/>
  <c r="AI275" i="4"/>
  <c r="AH275" i="4"/>
  <c r="AI274" i="4"/>
  <c r="AH274" i="4"/>
  <c r="AI273" i="4"/>
  <c r="AH273" i="4"/>
  <c r="AI272" i="4"/>
  <c r="AH272" i="4"/>
  <c r="AI271" i="4"/>
  <c r="AH271" i="4"/>
  <c r="AI270" i="4"/>
  <c r="AH270" i="4"/>
  <c r="AI269" i="4"/>
  <c r="AH269" i="4"/>
  <c r="AI268" i="4"/>
  <c r="AH268" i="4"/>
  <c r="AI267" i="4"/>
  <c r="AH267" i="4"/>
  <c r="AI266" i="4"/>
  <c r="AH266" i="4"/>
  <c r="AI265" i="4"/>
  <c r="AH265" i="4"/>
  <c r="AI264" i="4"/>
  <c r="AH264" i="4"/>
  <c r="AI263" i="4"/>
  <c r="AH263" i="4"/>
  <c r="AI262" i="4"/>
  <c r="AH262" i="4"/>
  <c r="AI261" i="4"/>
  <c r="AH261" i="4"/>
  <c r="AI260" i="4"/>
  <c r="AH260" i="4"/>
  <c r="AI259" i="4"/>
  <c r="AH259" i="4"/>
  <c r="AI258" i="4"/>
  <c r="AH258" i="4"/>
  <c r="AI257" i="4"/>
  <c r="AH257" i="4"/>
  <c r="AI256" i="4"/>
  <c r="AH256" i="4"/>
  <c r="AI255" i="4"/>
  <c r="AH255" i="4"/>
  <c r="AI254" i="4"/>
  <c r="AH254" i="4"/>
  <c r="AI253" i="4"/>
  <c r="AH253" i="4"/>
  <c r="AI252" i="4"/>
  <c r="AH252" i="4"/>
  <c r="AI251" i="4"/>
  <c r="AH251" i="4"/>
  <c r="AI250" i="4"/>
  <c r="AH250" i="4"/>
  <c r="AI249" i="4"/>
  <c r="AH249" i="4"/>
  <c r="AI248" i="4"/>
  <c r="AH248" i="4"/>
  <c r="AI247" i="4"/>
  <c r="AH247" i="4"/>
  <c r="AI246" i="4"/>
  <c r="AH246" i="4"/>
  <c r="AI245" i="4"/>
  <c r="AH245" i="4"/>
  <c r="AI244" i="4"/>
  <c r="AH244" i="4"/>
  <c r="AI243" i="4"/>
  <c r="AH243" i="4"/>
  <c r="AI242" i="4"/>
  <c r="AH242" i="4"/>
  <c r="AI241" i="4"/>
  <c r="AH241" i="4"/>
  <c r="AI240" i="4"/>
  <c r="AH240" i="4"/>
  <c r="AI239" i="4"/>
  <c r="AH239" i="4"/>
  <c r="AI238" i="4"/>
  <c r="AH238" i="4"/>
  <c r="AI237" i="4"/>
  <c r="AH237" i="4"/>
  <c r="AI236" i="4"/>
  <c r="AH236" i="4"/>
  <c r="AI235" i="4"/>
  <c r="AH235" i="4"/>
  <c r="AI234" i="4"/>
  <c r="AH234" i="4"/>
  <c r="AI233" i="4"/>
  <c r="AH233" i="4"/>
  <c r="AI232" i="4"/>
  <c r="AH232" i="4"/>
  <c r="AI231" i="4"/>
  <c r="AH231" i="4"/>
  <c r="AI230" i="4"/>
  <c r="AH230" i="4"/>
  <c r="AI229" i="4"/>
  <c r="AH229" i="4"/>
  <c r="AI228" i="4"/>
  <c r="AH228" i="4"/>
  <c r="AI227" i="4"/>
  <c r="AH227" i="4"/>
  <c r="AI226" i="4"/>
  <c r="AH226" i="4"/>
  <c r="AI225" i="4"/>
  <c r="AH225" i="4"/>
  <c r="AI224" i="4"/>
  <c r="AH224" i="4"/>
  <c r="AI223" i="4"/>
  <c r="AH223" i="4"/>
  <c r="AI222" i="4"/>
  <c r="AH222" i="4"/>
  <c r="AI221" i="4"/>
  <c r="AH221" i="4"/>
  <c r="AI220" i="4"/>
  <c r="AH220" i="4"/>
  <c r="AI219" i="4"/>
  <c r="AH219" i="4"/>
  <c r="AI218" i="4"/>
  <c r="AH218" i="4"/>
  <c r="AI217" i="4"/>
  <c r="AH217" i="4"/>
  <c r="AI216" i="4"/>
  <c r="AH216" i="4"/>
  <c r="AI215" i="4"/>
  <c r="AH215" i="4"/>
  <c r="AI214" i="4"/>
  <c r="AH214" i="4"/>
  <c r="AI213" i="4"/>
  <c r="AH213" i="4"/>
  <c r="AI212" i="4"/>
  <c r="AH212" i="4"/>
  <c r="AI211" i="4"/>
  <c r="AH211" i="4"/>
  <c r="AI210" i="4"/>
  <c r="AH210" i="4"/>
  <c r="AI209" i="4"/>
  <c r="AH209" i="4"/>
  <c r="AI208" i="4"/>
  <c r="AH208" i="4"/>
  <c r="AI207" i="4"/>
  <c r="AH207" i="4"/>
  <c r="AI206" i="4"/>
  <c r="AH206" i="4"/>
  <c r="AI205" i="4"/>
  <c r="AH205" i="4"/>
  <c r="AI204" i="4"/>
  <c r="AH204" i="4"/>
  <c r="AI203" i="4"/>
  <c r="AH203" i="4"/>
  <c r="AI202" i="4"/>
  <c r="AH202" i="4"/>
  <c r="AI201" i="4"/>
  <c r="AH201" i="4"/>
  <c r="AI200" i="4"/>
  <c r="AH200" i="4"/>
  <c r="AI199" i="4"/>
  <c r="AH199" i="4"/>
  <c r="AI198" i="4"/>
  <c r="AH198" i="4"/>
  <c r="AI197" i="4"/>
  <c r="AH197" i="4"/>
  <c r="AI196" i="4"/>
  <c r="AH196" i="4"/>
  <c r="AI195" i="4"/>
  <c r="AH195" i="4"/>
  <c r="AI194" i="4"/>
  <c r="AH194" i="4"/>
  <c r="AI193" i="4"/>
  <c r="AH193" i="4"/>
  <c r="AI192" i="4"/>
  <c r="AH192" i="4"/>
  <c r="AI191" i="4"/>
  <c r="AH191" i="4"/>
  <c r="AI190" i="4"/>
  <c r="AH190" i="4"/>
  <c r="AI189" i="4"/>
  <c r="AH189" i="4"/>
  <c r="AI188" i="4"/>
  <c r="AH188" i="4"/>
  <c r="AI187" i="4"/>
  <c r="AH187" i="4"/>
  <c r="AI186" i="4"/>
  <c r="AH186" i="4"/>
  <c r="AI185" i="4"/>
  <c r="AH185" i="4"/>
  <c r="AI184" i="4"/>
  <c r="AH184" i="4"/>
  <c r="AI183" i="4"/>
  <c r="AH183" i="4"/>
  <c r="AI182" i="4"/>
  <c r="AH182" i="4"/>
  <c r="AI181" i="4"/>
  <c r="AH181" i="4"/>
  <c r="AI180" i="4"/>
  <c r="AH180" i="4"/>
  <c r="AI179" i="4"/>
  <c r="AH179" i="4"/>
  <c r="AI178" i="4"/>
  <c r="AH178" i="4"/>
  <c r="AI177" i="4"/>
  <c r="AH177" i="4"/>
  <c r="AI176" i="4"/>
  <c r="AH176" i="4"/>
  <c r="AI175" i="4"/>
  <c r="AH175" i="4"/>
  <c r="AI174" i="4"/>
  <c r="AH174" i="4"/>
  <c r="AI173" i="4"/>
  <c r="AH173" i="4"/>
  <c r="AI172" i="4"/>
  <c r="AH172" i="4"/>
  <c r="AI171" i="4"/>
  <c r="AH171" i="4"/>
  <c r="AI170" i="4"/>
  <c r="AH170" i="4"/>
  <c r="AI169" i="4"/>
  <c r="AH169" i="4"/>
  <c r="AI168" i="4"/>
  <c r="AH168" i="4"/>
  <c r="AI167" i="4"/>
  <c r="AH167" i="4"/>
  <c r="AI166" i="4"/>
  <c r="AH166" i="4"/>
  <c r="AI165" i="4"/>
  <c r="AH165" i="4"/>
  <c r="AI164" i="4"/>
  <c r="AH164" i="4"/>
  <c r="AI163" i="4"/>
  <c r="AH163" i="4"/>
  <c r="AI162" i="4"/>
  <c r="AH162" i="4"/>
  <c r="AI161" i="4"/>
  <c r="AH161" i="4"/>
  <c r="AI160" i="4"/>
  <c r="AH160" i="4"/>
  <c r="AI159" i="4"/>
  <c r="AH159" i="4"/>
  <c r="AI158" i="4"/>
  <c r="AH158" i="4"/>
  <c r="AI157" i="4"/>
  <c r="AH157" i="4"/>
  <c r="AI156" i="4"/>
  <c r="AH156" i="4"/>
  <c r="AI155" i="4"/>
  <c r="AH155" i="4"/>
  <c r="AI154" i="4"/>
  <c r="AH154" i="4"/>
  <c r="AI153" i="4"/>
  <c r="AH153" i="4"/>
  <c r="AI152" i="4"/>
  <c r="AH152" i="4"/>
  <c r="AI151" i="4"/>
  <c r="AH151" i="4"/>
  <c r="AI150" i="4"/>
  <c r="AH150" i="4"/>
  <c r="AI149" i="4"/>
  <c r="AH149" i="4"/>
  <c r="AI148" i="4"/>
  <c r="AH148" i="4"/>
  <c r="AI147" i="4"/>
  <c r="AH147" i="4"/>
  <c r="AI146" i="4"/>
  <c r="AH146" i="4"/>
  <c r="AI145" i="4"/>
  <c r="AH145" i="4"/>
  <c r="AI144" i="4"/>
  <c r="AH144" i="4"/>
  <c r="AI143" i="4"/>
  <c r="AH143" i="4"/>
  <c r="AI142" i="4"/>
  <c r="AH142" i="4"/>
  <c r="AI141" i="4"/>
  <c r="AH141" i="4"/>
  <c r="AI140" i="4"/>
  <c r="AH140" i="4"/>
  <c r="AI139" i="4"/>
  <c r="AH139" i="4"/>
  <c r="AI138" i="4"/>
  <c r="AH138" i="4"/>
  <c r="AI137" i="4"/>
  <c r="AH137" i="4"/>
  <c r="AI136" i="4"/>
  <c r="AH136" i="4"/>
  <c r="AI135" i="4"/>
  <c r="AH135" i="4"/>
  <c r="AI134" i="4"/>
  <c r="AH134" i="4"/>
  <c r="AI133" i="4"/>
  <c r="AH133" i="4"/>
  <c r="AI132" i="4"/>
  <c r="AH132" i="4"/>
  <c r="AI131" i="4"/>
  <c r="AH131" i="4"/>
  <c r="AI130" i="4"/>
  <c r="AH130" i="4"/>
  <c r="AI129" i="4"/>
  <c r="AH129" i="4"/>
  <c r="AI128" i="4"/>
  <c r="AH128" i="4"/>
  <c r="AI127" i="4"/>
  <c r="AH127" i="4"/>
  <c r="AI126" i="4"/>
  <c r="AH126" i="4"/>
  <c r="AI125" i="4"/>
  <c r="AH125" i="4"/>
  <c r="AI124" i="4"/>
  <c r="AH124" i="4"/>
  <c r="AI123" i="4"/>
  <c r="AH123" i="4"/>
  <c r="AI122" i="4"/>
  <c r="AH122" i="4"/>
  <c r="AI121" i="4"/>
  <c r="AH121" i="4"/>
  <c r="AI120" i="4"/>
  <c r="AH120" i="4"/>
  <c r="AI119" i="4"/>
  <c r="AH119" i="4"/>
  <c r="AI118" i="4"/>
  <c r="AH118" i="4"/>
  <c r="AI117" i="4"/>
  <c r="AH117" i="4"/>
  <c r="AI116" i="4"/>
  <c r="AH116" i="4"/>
  <c r="AI115" i="4"/>
  <c r="AH115" i="4"/>
  <c r="AI114" i="4"/>
  <c r="AH114" i="4"/>
  <c r="AI113" i="4"/>
  <c r="AH113" i="4"/>
  <c r="AI112" i="4"/>
  <c r="AH112" i="4"/>
  <c r="AI111" i="4"/>
  <c r="AH111" i="4"/>
  <c r="AI110" i="4"/>
  <c r="AH110" i="4"/>
  <c r="AI109" i="4"/>
  <c r="AH109" i="4"/>
  <c r="AI108" i="4"/>
  <c r="AH108" i="4"/>
  <c r="AI107" i="4"/>
  <c r="AH107" i="4"/>
  <c r="AI106" i="4"/>
  <c r="AH106" i="4"/>
  <c r="AI105" i="4"/>
  <c r="AH105" i="4"/>
  <c r="AI104" i="4"/>
  <c r="AH104" i="4"/>
  <c r="AI103" i="4"/>
  <c r="AH103" i="4"/>
  <c r="AI102" i="4"/>
  <c r="AH102" i="4"/>
  <c r="AI101" i="4"/>
  <c r="AH101" i="4"/>
  <c r="AI100" i="4"/>
  <c r="AH100" i="4"/>
  <c r="AI99" i="4"/>
  <c r="AH99" i="4"/>
  <c r="AI98" i="4"/>
  <c r="AH98" i="4"/>
  <c r="AI97" i="4"/>
  <c r="AH97" i="4"/>
  <c r="AI96" i="4"/>
  <c r="AH96" i="4"/>
  <c r="AI95" i="4"/>
  <c r="AH95" i="4"/>
  <c r="AI94" i="4"/>
  <c r="AH94" i="4"/>
  <c r="AI93" i="4"/>
  <c r="AH93" i="4"/>
  <c r="AI92" i="4"/>
  <c r="AH92" i="4"/>
  <c r="AI91" i="4"/>
  <c r="AH91" i="4"/>
  <c r="AI90" i="4"/>
  <c r="AH90" i="4"/>
  <c r="AI89" i="4"/>
  <c r="AH89" i="4"/>
  <c r="AI88" i="4"/>
  <c r="AH88" i="4"/>
  <c r="AI87" i="4"/>
  <c r="AH87" i="4"/>
  <c r="AI86" i="4"/>
  <c r="AH86" i="4"/>
  <c r="AI85" i="4"/>
  <c r="AH85" i="4"/>
  <c r="AI84" i="4"/>
  <c r="AH84" i="4"/>
  <c r="AI83" i="4"/>
  <c r="AH83" i="4"/>
  <c r="AI82" i="4"/>
  <c r="AH82" i="4"/>
  <c r="AI81" i="4"/>
  <c r="AH81" i="4"/>
  <c r="AI80" i="4"/>
  <c r="AH80" i="4"/>
  <c r="AI79" i="4"/>
  <c r="AH79" i="4"/>
  <c r="AI78" i="4"/>
  <c r="AH78" i="4"/>
  <c r="AI77" i="4"/>
  <c r="AH77" i="4"/>
  <c r="AI76" i="4"/>
  <c r="AH76" i="4"/>
  <c r="AI75" i="4"/>
  <c r="AH75" i="4"/>
  <c r="AI74" i="4"/>
  <c r="AH74" i="4"/>
  <c r="AI73" i="4"/>
  <c r="AH73" i="4"/>
  <c r="AI72" i="4"/>
  <c r="AH72" i="4"/>
  <c r="AI71" i="4"/>
  <c r="AH71" i="4"/>
  <c r="AI70" i="4"/>
  <c r="AH70" i="4"/>
  <c r="AI69" i="4"/>
  <c r="AH69" i="4"/>
  <c r="AI68" i="4"/>
  <c r="AH68" i="4"/>
  <c r="AI67" i="4"/>
  <c r="AH67" i="4"/>
  <c r="AI66" i="4"/>
  <c r="AH66" i="4"/>
  <c r="AI65" i="4"/>
  <c r="AH65" i="4"/>
  <c r="AI64" i="4"/>
  <c r="AH64" i="4"/>
  <c r="AI63" i="4"/>
  <c r="AH63" i="4"/>
  <c r="AI62" i="4"/>
  <c r="AH62" i="4"/>
  <c r="AI61" i="4"/>
  <c r="AH61" i="4"/>
  <c r="AI60" i="4"/>
  <c r="AH60" i="4"/>
  <c r="AI59" i="4"/>
  <c r="AH59" i="4"/>
  <c r="AI58" i="4"/>
  <c r="AH58" i="4"/>
  <c r="AI57" i="4"/>
  <c r="AH57" i="4"/>
  <c r="AI56" i="4"/>
  <c r="AH56" i="4"/>
  <c r="AI55" i="4"/>
  <c r="AH55" i="4"/>
  <c r="AI54" i="4"/>
  <c r="AH54" i="4"/>
  <c r="AI53" i="4"/>
  <c r="AH53" i="4"/>
  <c r="AI52" i="4"/>
  <c r="AH52" i="4"/>
  <c r="AI51" i="4"/>
  <c r="AH51" i="4"/>
  <c r="AI50" i="4"/>
  <c r="AH50" i="4"/>
  <c r="AI49" i="4"/>
  <c r="AH49" i="4"/>
  <c r="AI48" i="4"/>
  <c r="AH48" i="4"/>
  <c r="AI47" i="4"/>
  <c r="AH47" i="4"/>
  <c r="AI46" i="4"/>
  <c r="AH46" i="4"/>
  <c r="AI45" i="4"/>
  <c r="AH45" i="4"/>
  <c r="AI44" i="4"/>
  <c r="AH44" i="4"/>
  <c r="AI43" i="4"/>
  <c r="AH43" i="4"/>
  <c r="AI42" i="4"/>
  <c r="AH42" i="4"/>
  <c r="AI41" i="4"/>
  <c r="AH41" i="4"/>
  <c r="AI40" i="4"/>
  <c r="AH40" i="4"/>
  <c r="AI39" i="4"/>
  <c r="AH39" i="4"/>
  <c r="AI38" i="4"/>
  <c r="AH38" i="4"/>
  <c r="AI37" i="4"/>
  <c r="AH37" i="4"/>
  <c r="AI36" i="4"/>
  <c r="AH36" i="4"/>
  <c r="AI35" i="4"/>
  <c r="AH35" i="4"/>
  <c r="AI34" i="4"/>
  <c r="AH34" i="4"/>
  <c r="AI33" i="4"/>
  <c r="AH33" i="4"/>
  <c r="AI32" i="4"/>
  <c r="AH32" i="4"/>
  <c r="AI31" i="4"/>
  <c r="AH31" i="4"/>
  <c r="AI30" i="4"/>
  <c r="AH30" i="4"/>
  <c r="AI29" i="4"/>
  <c r="AH29" i="4"/>
  <c r="AI28" i="4"/>
  <c r="AH28" i="4"/>
  <c r="AI27" i="4"/>
  <c r="AH27" i="4"/>
  <c r="AI26" i="4"/>
  <c r="AH26" i="4"/>
  <c r="AI25" i="4"/>
  <c r="AH25" i="4"/>
  <c r="AI24" i="4"/>
  <c r="AH24" i="4"/>
  <c r="AI23" i="4"/>
  <c r="AH23" i="4"/>
  <c r="AI22" i="4"/>
  <c r="AH22" i="4"/>
  <c r="AI21" i="4"/>
  <c r="AH21" i="4"/>
  <c r="AI20" i="4"/>
  <c r="AH20" i="4"/>
  <c r="AI19" i="4"/>
  <c r="AH19" i="4"/>
  <c r="AI18" i="4"/>
  <c r="AH18" i="4"/>
  <c r="AI17" i="4"/>
  <c r="AH17" i="4"/>
  <c r="AI16" i="4"/>
  <c r="AH16" i="4"/>
  <c r="AI15" i="4"/>
  <c r="AH15" i="4"/>
  <c r="AI14" i="4"/>
  <c r="AH14" i="4"/>
  <c r="AI13" i="4"/>
  <c r="AH13" i="4"/>
  <c r="AI12" i="4"/>
  <c r="AH12" i="4"/>
  <c r="AI11" i="4"/>
  <c r="AH11" i="4"/>
  <c r="AF355" i="4"/>
  <c r="AE355" i="4"/>
  <c r="AF354" i="4"/>
  <c r="AE354" i="4"/>
  <c r="AF353" i="4"/>
  <c r="AE353" i="4"/>
  <c r="AF352" i="4"/>
  <c r="AE352" i="4"/>
  <c r="AF351" i="4"/>
  <c r="AE351" i="4"/>
  <c r="AF350" i="4"/>
  <c r="AE350" i="4"/>
  <c r="AF349" i="4"/>
  <c r="AE349" i="4"/>
  <c r="AF348" i="4"/>
  <c r="AE348" i="4"/>
  <c r="AF347" i="4"/>
  <c r="AE347" i="4"/>
  <c r="AF346" i="4"/>
  <c r="AE346" i="4"/>
  <c r="AF345" i="4"/>
  <c r="AE345" i="4"/>
  <c r="AF344" i="4"/>
  <c r="AE344" i="4"/>
  <c r="AF343" i="4"/>
  <c r="AE343" i="4"/>
  <c r="AF342" i="4"/>
  <c r="AE342" i="4"/>
  <c r="AF341" i="4"/>
  <c r="AE341" i="4"/>
  <c r="AF340" i="4"/>
  <c r="AE340" i="4"/>
  <c r="AF339" i="4"/>
  <c r="AE339" i="4"/>
  <c r="AF338" i="4"/>
  <c r="AE338" i="4"/>
  <c r="AF337" i="4"/>
  <c r="AE337" i="4"/>
  <c r="AF336" i="4"/>
  <c r="AE336" i="4"/>
  <c r="AF335" i="4"/>
  <c r="AE335" i="4"/>
  <c r="AF334" i="4"/>
  <c r="AE334" i="4"/>
  <c r="AF333" i="4"/>
  <c r="AE333" i="4"/>
  <c r="AF332" i="4"/>
  <c r="AE332" i="4"/>
  <c r="AF331" i="4"/>
  <c r="AE331" i="4"/>
  <c r="AF330" i="4"/>
  <c r="AE330" i="4"/>
  <c r="AF329" i="4"/>
  <c r="AE329" i="4"/>
  <c r="AF328" i="4"/>
  <c r="AE328" i="4"/>
  <c r="AF327" i="4"/>
  <c r="AE327" i="4"/>
  <c r="AF326" i="4"/>
  <c r="AE326" i="4"/>
  <c r="AF325" i="4"/>
  <c r="AE325" i="4"/>
  <c r="AF324" i="4"/>
  <c r="AE324" i="4"/>
  <c r="AF323" i="4"/>
  <c r="AE323" i="4"/>
  <c r="AF322" i="4"/>
  <c r="AE322" i="4"/>
  <c r="AF321" i="4"/>
  <c r="AE321" i="4"/>
  <c r="AF320" i="4"/>
  <c r="AE320" i="4"/>
  <c r="AF319" i="4"/>
  <c r="AE319" i="4"/>
  <c r="AF318" i="4"/>
  <c r="AE318" i="4"/>
  <c r="AF317" i="4"/>
  <c r="AE317" i="4"/>
  <c r="AF316" i="4"/>
  <c r="AE316" i="4"/>
  <c r="AF315" i="4"/>
  <c r="AE315" i="4"/>
  <c r="AF314" i="4"/>
  <c r="AE314" i="4"/>
  <c r="AF313" i="4"/>
  <c r="AE313" i="4"/>
  <c r="AF312" i="4"/>
  <c r="AE312" i="4"/>
  <c r="AF311" i="4"/>
  <c r="AE311" i="4"/>
  <c r="AF310" i="4"/>
  <c r="AE310" i="4"/>
  <c r="AF309" i="4"/>
  <c r="AE309" i="4"/>
  <c r="AF308" i="4"/>
  <c r="AE308" i="4"/>
  <c r="AF307" i="4"/>
  <c r="AE307" i="4"/>
  <c r="AF306" i="4"/>
  <c r="AE306" i="4"/>
  <c r="AF305" i="4"/>
  <c r="AE305" i="4"/>
  <c r="AF304" i="4"/>
  <c r="AE304" i="4"/>
  <c r="AF303" i="4"/>
  <c r="AE303" i="4"/>
  <c r="AF302" i="4"/>
  <c r="AE302" i="4"/>
  <c r="AF301" i="4"/>
  <c r="AE301" i="4"/>
  <c r="AF300" i="4"/>
  <c r="AE300" i="4"/>
  <c r="AF299" i="4"/>
  <c r="AE299" i="4"/>
  <c r="AF298" i="4"/>
  <c r="AE298" i="4"/>
  <c r="AF297" i="4"/>
  <c r="AE297" i="4"/>
  <c r="AF296" i="4"/>
  <c r="AE296" i="4"/>
  <c r="AF295" i="4"/>
  <c r="AE295" i="4"/>
  <c r="AF294" i="4"/>
  <c r="AE294" i="4"/>
  <c r="AF293" i="4"/>
  <c r="AE293" i="4"/>
  <c r="AF292" i="4"/>
  <c r="AE292" i="4"/>
  <c r="AF291" i="4"/>
  <c r="AE291" i="4"/>
  <c r="AF290" i="4"/>
  <c r="AE290" i="4"/>
  <c r="AF289" i="4"/>
  <c r="AE289" i="4"/>
  <c r="AF288" i="4"/>
  <c r="AE288" i="4"/>
  <c r="AF287" i="4"/>
  <c r="AE287" i="4"/>
  <c r="AF286" i="4"/>
  <c r="AE286" i="4"/>
  <c r="AF285" i="4"/>
  <c r="AE285" i="4"/>
  <c r="AF284" i="4"/>
  <c r="AE284" i="4"/>
  <c r="AF283" i="4"/>
  <c r="AE283" i="4"/>
  <c r="AF282" i="4"/>
  <c r="AE282" i="4"/>
  <c r="AF281" i="4"/>
  <c r="AE281" i="4"/>
  <c r="AF280" i="4"/>
  <c r="AE280" i="4"/>
  <c r="AF279" i="4"/>
  <c r="AE279" i="4"/>
  <c r="AF278" i="4"/>
  <c r="AE278" i="4"/>
  <c r="AF277" i="4"/>
  <c r="AE277" i="4"/>
  <c r="AF276" i="4"/>
  <c r="AE276" i="4"/>
  <c r="AF275" i="4"/>
  <c r="AE275" i="4"/>
  <c r="AF274" i="4"/>
  <c r="AE274" i="4"/>
  <c r="AF273" i="4"/>
  <c r="AE273" i="4"/>
  <c r="AF272" i="4"/>
  <c r="AE272" i="4"/>
  <c r="AF271" i="4"/>
  <c r="AE271" i="4"/>
  <c r="AF270" i="4"/>
  <c r="AE270" i="4"/>
  <c r="AF269" i="4"/>
  <c r="AE269" i="4"/>
  <c r="AF268" i="4"/>
  <c r="AE268" i="4"/>
  <c r="AF267" i="4"/>
  <c r="AE267" i="4"/>
  <c r="AF266" i="4"/>
  <c r="AE266" i="4"/>
  <c r="AF265" i="4"/>
  <c r="AE265" i="4"/>
  <c r="AF264" i="4"/>
  <c r="AE264" i="4"/>
  <c r="AF263" i="4"/>
  <c r="AE263" i="4"/>
  <c r="AF262" i="4"/>
  <c r="AE262" i="4"/>
  <c r="AF261" i="4"/>
  <c r="AE261" i="4"/>
  <c r="AF260" i="4"/>
  <c r="AE260" i="4"/>
  <c r="AF259" i="4"/>
  <c r="AE259" i="4"/>
  <c r="AF258" i="4"/>
  <c r="AE258" i="4"/>
  <c r="AF257" i="4"/>
  <c r="AE257" i="4"/>
  <c r="AF256" i="4"/>
  <c r="AE256" i="4"/>
  <c r="AF255" i="4"/>
  <c r="AE255" i="4"/>
  <c r="AF254" i="4"/>
  <c r="AE254" i="4"/>
  <c r="AF253" i="4"/>
  <c r="AE253" i="4"/>
  <c r="AF252" i="4"/>
  <c r="AE252" i="4"/>
  <c r="AF251" i="4"/>
  <c r="AE251" i="4"/>
  <c r="AF250" i="4"/>
  <c r="AE250" i="4"/>
  <c r="AF249" i="4"/>
  <c r="AE249" i="4"/>
  <c r="AF248" i="4"/>
  <c r="AE248" i="4"/>
  <c r="AF247" i="4"/>
  <c r="AE247" i="4"/>
  <c r="AF246" i="4"/>
  <c r="AE246" i="4"/>
  <c r="AF245" i="4"/>
  <c r="AE245" i="4"/>
  <c r="AF244" i="4"/>
  <c r="AE244" i="4"/>
  <c r="AF243" i="4"/>
  <c r="AE243" i="4"/>
  <c r="AF242" i="4"/>
  <c r="AE242" i="4"/>
  <c r="AF241" i="4"/>
  <c r="AE241" i="4"/>
  <c r="AF240" i="4"/>
  <c r="AE240" i="4"/>
  <c r="AF239" i="4"/>
  <c r="AE239" i="4"/>
  <c r="AF238" i="4"/>
  <c r="AE238" i="4"/>
  <c r="AF237" i="4"/>
  <c r="AE237" i="4"/>
  <c r="AF236" i="4"/>
  <c r="AE236" i="4"/>
  <c r="AF235" i="4"/>
  <c r="AE235" i="4"/>
  <c r="AF234" i="4"/>
  <c r="AE234" i="4"/>
  <c r="AF233" i="4"/>
  <c r="AE233" i="4"/>
  <c r="AF232" i="4"/>
  <c r="AE232" i="4"/>
  <c r="AF231" i="4"/>
  <c r="AE231" i="4"/>
  <c r="AF230" i="4"/>
  <c r="AE230" i="4"/>
  <c r="AF229" i="4"/>
  <c r="AE229" i="4"/>
  <c r="AF228" i="4"/>
  <c r="AE228" i="4"/>
  <c r="AF227" i="4"/>
  <c r="AE227" i="4"/>
  <c r="AF226" i="4"/>
  <c r="AE226" i="4"/>
  <c r="AF225" i="4"/>
  <c r="AE225" i="4"/>
  <c r="AF224" i="4"/>
  <c r="AE224" i="4"/>
  <c r="AF223" i="4"/>
  <c r="AE223" i="4"/>
  <c r="AF222" i="4"/>
  <c r="AE222" i="4"/>
  <c r="AF221" i="4"/>
  <c r="AE221" i="4"/>
  <c r="AF220" i="4"/>
  <c r="AE220" i="4"/>
  <c r="AF219" i="4"/>
  <c r="AE219" i="4"/>
  <c r="AF218" i="4"/>
  <c r="AE218" i="4"/>
  <c r="AF217" i="4"/>
  <c r="AE217" i="4"/>
  <c r="AF216" i="4"/>
  <c r="AE216" i="4"/>
  <c r="AF215" i="4"/>
  <c r="AE215" i="4"/>
  <c r="AF214" i="4"/>
  <c r="AE214" i="4"/>
  <c r="AF213" i="4"/>
  <c r="AE213" i="4"/>
  <c r="AF212" i="4"/>
  <c r="AE212" i="4"/>
  <c r="AF211" i="4"/>
  <c r="AE211" i="4"/>
  <c r="AF210" i="4"/>
  <c r="AE210" i="4"/>
  <c r="AF209" i="4"/>
  <c r="AE209" i="4"/>
  <c r="AF208" i="4"/>
  <c r="AE208" i="4"/>
  <c r="AF207" i="4"/>
  <c r="AE207" i="4"/>
  <c r="AF206" i="4"/>
  <c r="AE206" i="4"/>
  <c r="AF205" i="4"/>
  <c r="AE205" i="4"/>
  <c r="AF204" i="4"/>
  <c r="AE204" i="4"/>
  <c r="AF203" i="4"/>
  <c r="AE203" i="4"/>
  <c r="AF202" i="4"/>
  <c r="AE202" i="4"/>
  <c r="AF201" i="4"/>
  <c r="AE201" i="4"/>
  <c r="AF200" i="4"/>
  <c r="AE200" i="4"/>
  <c r="AF199" i="4"/>
  <c r="AE199" i="4"/>
  <c r="AF198" i="4"/>
  <c r="AE198" i="4"/>
  <c r="AF197" i="4"/>
  <c r="AE197" i="4"/>
  <c r="AF196" i="4"/>
  <c r="AE196" i="4"/>
  <c r="AF195" i="4"/>
  <c r="AE195" i="4"/>
  <c r="AF194" i="4"/>
  <c r="AE194" i="4"/>
  <c r="AF193" i="4"/>
  <c r="AE193" i="4"/>
  <c r="AF192" i="4"/>
  <c r="AE192" i="4"/>
  <c r="AF191" i="4"/>
  <c r="AE191" i="4"/>
  <c r="AF190" i="4"/>
  <c r="AE190" i="4"/>
  <c r="AF189" i="4"/>
  <c r="AE189" i="4"/>
  <c r="AF188" i="4"/>
  <c r="AE188" i="4"/>
  <c r="AF187" i="4"/>
  <c r="AE187" i="4"/>
  <c r="AF186" i="4"/>
  <c r="AE186" i="4"/>
  <c r="AF185" i="4"/>
  <c r="AE185" i="4"/>
  <c r="AF184" i="4"/>
  <c r="AE184" i="4"/>
  <c r="AF183" i="4"/>
  <c r="AE183" i="4"/>
  <c r="AF182" i="4"/>
  <c r="AE182" i="4"/>
  <c r="AF181" i="4"/>
  <c r="AE181" i="4"/>
  <c r="AF180" i="4"/>
  <c r="AE180" i="4"/>
  <c r="AF179" i="4"/>
  <c r="AE179" i="4"/>
  <c r="AF178" i="4"/>
  <c r="AE178" i="4"/>
  <c r="AF177" i="4"/>
  <c r="AE177" i="4"/>
  <c r="AF176" i="4"/>
  <c r="AE176" i="4"/>
  <c r="AF175" i="4"/>
  <c r="AE175" i="4"/>
  <c r="AF174" i="4"/>
  <c r="AE174" i="4"/>
  <c r="AF173" i="4"/>
  <c r="AE173" i="4"/>
  <c r="AF172" i="4"/>
  <c r="AE172" i="4"/>
  <c r="AF171" i="4"/>
  <c r="AE171" i="4"/>
  <c r="AF170" i="4"/>
  <c r="AE170" i="4"/>
  <c r="AF169" i="4"/>
  <c r="AE169" i="4"/>
  <c r="AF168" i="4"/>
  <c r="AE168" i="4"/>
  <c r="AF167" i="4"/>
  <c r="AE167" i="4"/>
  <c r="AF166" i="4"/>
  <c r="AE166" i="4"/>
  <c r="AF165" i="4"/>
  <c r="AE165" i="4"/>
  <c r="AF164" i="4"/>
  <c r="AE164" i="4"/>
  <c r="AF163" i="4"/>
  <c r="AE163" i="4"/>
  <c r="AF162" i="4"/>
  <c r="AE162" i="4"/>
  <c r="AF161" i="4"/>
  <c r="AE161" i="4"/>
  <c r="AF160" i="4"/>
  <c r="AE160" i="4"/>
  <c r="AF159" i="4"/>
  <c r="AE159" i="4"/>
  <c r="AF158" i="4"/>
  <c r="AE158" i="4"/>
  <c r="AF157" i="4"/>
  <c r="AE157" i="4"/>
  <c r="AF156" i="4"/>
  <c r="AE156" i="4"/>
  <c r="AF155" i="4"/>
  <c r="AE155" i="4"/>
  <c r="AF154" i="4"/>
  <c r="AE154" i="4"/>
  <c r="AF153" i="4"/>
  <c r="AE153" i="4"/>
  <c r="AF152" i="4"/>
  <c r="AE152" i="4"/>
  <c r="AF151" i="4"/>
  <c r="AE151" i="4"/>
  <c r="AF150" i="4"/>
  <c r="AE150" i="4"/>
  <c r="AF149" i="4"/>
  <c r="AE149" i="4"/>
  <c r="AF148" i="4"/>
  <c r="AE148" i="4"/>
  <c r="AF147" i="4"/>
  <c r="AE147" i="4"/>
  <c r="AF146" i="4"/>
  <c r="AE146" i="4"/>
  <c r="AF145" i="4"/>
  <c r="AE145" i="4"/>
  <c r="AF144" i="4"/>
  <c r="AE144" i="4"/>
  <c r="AF143" i="4"/>
  <c r="AE143" i="4"/>
  <c r="AF142" i="4"/>
  <c r="AE142" i="4"/>
  <c r="AF141" i="4"/>
  <c r="AE141" i="4"/>
  <c r="AF140" i="4"/>
  <c r="AE140" i="4"/>
  <c r="AF139" i="4"/>
  <c r="AE139" i="4"/>
  <c r="AF138" i="4"/>
  <c r="AE138" i="4"/>
  <c r="AF137" i="4"/>
  <c r="AE137" i="4"/>
  <c r="AF136" i="4"/>
  <c r="AE136" i="4"/>
  <c r="AF135" i="4"/>
  <c r="AE135" i="4"/>
  <c r="AF134" i="4"/>
  <c r="AE134" i="4"/>
  <c r="AF133" i="4"/>
  <c r="AE133" i="4"/>
  <c r="AF132" i="4"/>
  <c r="AE132" i="4"/>
  <c r="AF131" i="4"/>
  <c r="AE131" i="4"/>
  <c r="AF130" i="4"/>
  <c r="AE130" i="4"/>
  <c r="AF129" i="4"/>
  <c r="AE129" i="4"/>
  <c r="AF128" i="4"/>
  <c r="AE128" i="4"/>
  <c r="AF127" i="4"/>
  <c r="AE127" i="4"/>
  <c r="AF126" i="4"/>
  <c r="AE126" i="4"/>
  <c r="AF125" i="4"/>
  <c r="AE125" i="4"/>
  <c r="AF124" i="4"/>
  <c r="AE124" i="4"/>
  <c r="AF123" i="4"/>
  <c r="AE123" i="4"/>
  <c r="AF122" i="4"/>
  <c r="AE122" i="4"/>
  <c r="AF121" i="4"/>
  <c r="AE121" i="4"/>
  <c r="AF120" i="4"/>
  <c r="AE120" i="4"/>
  <c r="AF119" i="4"/>
  <c r="AE119" i="4"/>
  <c r="AF118" i="4"/>
  <c r="AE118" i="4"/>
  <c r="AF117" i="4"/>
  <c r="AE117" i="4"/>
  <c r="AF116" i="4"/>
  <c r="AE116" i="4"/>
  <c r="AF115" i="4"/>
  <c r="AE115" i="4"/>
  <c r="AF114" i="4"/>
  <c r="AE114" i="4"/>
  <c r="AF113" i="4"/>
  <c r="AE113" i="4"/>
  <c r="AF112" i="4"/>
  <c r="AE112" i="4"/>
  <c r="AF111" i="4"/>
  <c r="AE111" i="4"/>
  <c r="AF110" i="4"/>
  <c r="AE110" i="4"/>
  <c r="AF109" i="4"/>
  <c r="AE109" i="4"/>
  <c r="AF108" i="4"/>
  <c r="AE108" i="4"/>
  <c r="AF107" i="4"/>
  <c r="AE107" i="4"/>
  <c r="AF106" i="4"/>
  <c r="AE106" i="4"/>
  <c r="AF105" i="4"/>
  <c r="AE105" i="4"/>
  <c r="AF104" i="4"/>
  <c r="AE104" i="4"/>
  <c r="AF103" i="4"/>
  <c r="AE103" i="4"/>
  <c r="AF102" i="4"/>
  <c r="AE102" i="4"/>
  <c r="AF101" i="4"/>
  <c r="AE101" i="4"/>
  <c r="AF100" i="4"/>
  <c r="AE100" i="4"/>
  <c r="AF99" i="4"/>
  <c r="AE99" i="4"/>
  <c r="AF98" i="4"/>
  <c r="AE98" i="4"/>
  <c r="AF97" i="4"/>
  <c r="AE97" i="4"/>
  <c r="AF96" i="4"/>
  <c r="AE96" i="4"/>
  <c r="AF95" i="4"/>
  <c r="AE95" i="4"/>
  <c r="AF94" i="4"/>
  <c r="AE94" i="4"/>
  <c r="AF93" i="4"/>
  <c r="AE93" i="4"/>
  <c r="AF92" i="4"/>
  <c r="AE92" i="4"/>
  <c r="AF91" i="4"/>
  <c r="AE91" i="4"/>
  <c r="AF90" i="4"/>
  <c r="AE90" i="4"/>
  <c r="AF89" i="4"/>
  <c r="AE89" i="4"/>
  <c r="AF88" i="4"/>
  <c r="AE88" i="4"/>
  <c r="AF87" i="4"/>
  <c r="AE87" i="4"/>
  <c r="AF86" i="4"/>
  <c r="AE86" i="4"/>
  <c r="AF85" i="4"/>
  <c r="AE85" i="4"/>
  <c r="AF84" i="4"/>
  <c r="AE84" i="4"/>
  <c r="AF83" i="4"/>
  <c r="AE83" i="4"/>
  <c r="AF82" i="4"/>
  <c r="AE82" i="4"/>
  <c r="AF81" i="4"/>
  <c r="AE81" i="4"/>
  <c r="AF80" i="4"/>
  <c r="AE80" i="4"/>
  <c r="AF79" i="4"/>
  <c r="AE79" i="4"/>
  <c r="AF78" i="4"/>
  <c r="AE78" i="4"/>
  <c r="AF77" i="4"/>
  <c r="AE77" i="4"/>
  <c r="AF76" i="4"/>
  <c r="AE76" i="4"/>
  <c r="AF75" i="4"/>
  <c r="AE75" i="4"/>
  <c r="AF74" i="4"/>
  <c r="AE74" i="4"/>
  <c r="AF73" i="4"/>
  <c r="AE73" i="4"/>
  <c r="AF72" i="4"/>
  <c r="AE72" i="4"/>
  <c r="AF71" i="4"/>
  <c r="AE71" i="4"/>
  <c r="AF70" i="4"/>
  <c r="AE70" i="4"/>
  <c r="AF69" i="4"/>
  <c r="AE69" i="4"/>
  <c r="AF68" i="4"/>
  <c r="AE68" i="4"/>
  <c r="AF67" i="4"/>
  <c r="AE67" i="4"/>
  <c r="AF66" i="4"/>
  <c r="AE66" i="4"/>
  <c r="AF65" i="4"/>
  <c r="AE65" i="4"/>
  <c r="AF64" i="4"/>
  <c r="AE64" i="4"/>
  <c r="AF63" i="4"/>
  <c r="AE63" i="4"/>
  <c r="AF62" i="4"/>
  <c r="AE62" i="4"/>
  <c r="AF61" i="4"/>
  <c r="AE61" i="4"/>
  <c r="AF60" i="4"/>
  <c r="AE60" i="4"/>
  <c r="AF59" i="4"/>
  <c r="AE59" i="4"/>
  <c r="AF58" i="4"/>
  <c r="AE58" i="4"/>
  <c r="AF57" i="4"/>
  <c r="AE57" i="4"/>
  <c r="AF56" i="4"/>
  <c r="AE56" i="4"/>
  <c r="AF55" i="4"/>
  <c r="AE55" i="4"/>
  <c r="AF54" i="4"/>
  <c r="AE54" i="4"/>
  <c r="AF53" i="4"/>
  <c r="AE53" i="4"/>
  <c r="AF52" i="4"/>
  <c r="AE52" i="4"/>
  <c r="AF51" i="4"/>
  <c r="AE51" i="4"/>
  <c r="AF50" i="4"/>
  <c r="AE50" i="4"/>
  <c r="AF49" i="4"/>
  <c r="AE49" i="4"/>
  <c r="AF48" i="4"/>
  <c r="AE48" i="4"/>
  <c r="AF47" i="4"/>
  <c r="AE47" i="4"/>
  <c r="AF46" i="4"/>
  <c r="AE46" i="4"/>
  <c r="AF45" i="4"/>
  <c r="AE45" i="4"/>
  <c r="AF44" i="4"/>
  <c r="AE44" i="4"/>
  <c r="AF43" i="4"/>
  <c r="AE43" i="4"/>
  <c r="AF42" i="4"/>
  <c r="AE42" i="4"/>
  <c r="AF41" i="4"/>
  <c r="AE41" i="4"/>
  <c r="AF40" i="4"/>
  <c r="AE40" i="4"/>
  <c r="AF39" i="4"/>
  <c r="AE39" i="4"/>
  <c r="AF38" i="4"/>
  <c r="AE38" i="4"/>
  <c r="AF37" i="4"/>
  <c r="AE37" i="4"/>
  <c r="AF36" i="4"/>
  <c r="AE36" i="4"/>
  <c r="AF35" i="4"/>
  <c r="AE35" i="4"/>
  <c r="AF34" i="4"/>
  <c r="AE34" i="4"/>
  <c r="AF33" i="4"/>
  <c r="AE33" i="4"/>
  <c r="AF32" i="4"/>
  <c r="AE32" i="4"/>
  <c r="AF31" i="4"/>
  <c r="AE31" i="4"/>
  <c r="AF30" i="4"/>
  <c r="AE30" i="4"/>
  <c r="AF29" i="4"/>
  <c r="AE29" i="4"/>
  <c r="AF28" i="4"/>
  <c r="AE28" i="4"/>
  <c r="AF27" i="4"/>
  <c r="AE27" i="4"/>
  <c r="AF26" i="4"/>
  <c r="AE26" i="4"/>
  <c r="AF25" i="4"/>
  <c r="AE25" i="4"/>
  <c r="AF24" i="4"/>
  <c r="AE24" i="4"/>
  <c r="AF23" i="4"/>
  <c r="AE23" i="4"/>
  <c r="AF22" i="4"/>
  <c r="AE22" i="4"/>
  <c r="AF21" i="4"/>
  <c r="AE21" i="4"/>
  <c r="AF20" i="4"/>
  <c r="AE20" i="4"/>
  <c r="AF19" i="4"/>
  <c r="AE19" i="4"/>
  <c r="AF18" i="4"/>
  <c r="AE18" i="4"/>
  <c r="AF17" i="4"/>
  <c r="AE17" i="4"/>
  <c r="AF16" i="4"/>
  <c r="AE16" i="4"/>
  <c r="AF15" i="4"/>
  <c r="AE15" i="4"/>
  <c r="AF14" i="4"/>
  <c r="AE14" i="4"/>
  <c r="AF13" i="4"/>
  <c r="AE13" i="4"/>
  <c r="AF12" i="4"/>
  <c r="AE12" i="4"/>
  <c r="AF11" i="4"/>
  <c r="AE11" i="4"/>
  <c r="AD355" i="4"/>
  <c r="AC355" i="4"/>
  <c r="AD354" i="4"/>
  <c r="AC354" i="4"/>
  <c r="AD353" i="4"/>
  <c r="AC353" i="4"/>
  <c r="AD352" i="4"/>
  <c r="AC352" i="4"/>
  <c r="AD351" i="4"/>
  <c r="AC351" i="4"/>
  <c r="AD350" i="4"/>
  <c r="AC350" i="4"/>
  <c r="AD349" i="4"/>
  <c r="AC349" i="4"/>
  <c r="AD348" i="4"/>
  <c r="AC348" i="4"/>
  <c r="AD347" i="4"/>
  <c r="AC347" i="4"/>
  <c r="AD346" i="4"/>
  <c r="AC346" i="4"/>
  <c r="AD345" i="4"/>
  <c r="AC345" i="4"/>
  <c r="AD344" i="4"/>
  <c r="AC344" i="4"/>
  <c r="AD343" i="4"/>
  <c r="AC343" i="4"/>
  <c r="AD342" i="4"/>
  <c r="AC342" i="4"/>
  <c r="AD341" i="4"/>
  <c r="AC341" i="4"/>
  <c r="AD340" i="4"/>
  <c r="AC340" i="4"/>
  <c r="AD339" i="4"/>
  <c r="AC339" i="4"/>
  <c r="AD338" i="4"/>
  <c r="AC338" i="4"/>
  <c r="AD337" i="4"/>
  <c r="AC337" i="4"/>
  <c r="AD336" i="4"/>
  <c r="AC336" i="4"/>
  <c r="AD335" i="4"/>
  <c r="AC335" i="4"/>
  <c r="AD334" i="4"/>
  <c r="AC334" i="4"/>
  <c r="AD333" i="4"/>
  <c r="AC333" i="4"/>
  <c r="AD332" i="4"/>
  <c r="AC332" i="4"/>
  <c r="AD331" i="4"/>
  <c r="AC331" i="4"/>
  <c r="AD330" i="4"/>
  <c r="AC330" i="4"/>
  <c r="AD329" i="4"/>
  <c r="AC329" i="4"/>
  <c r="AD328" i="4"/>
  <c r="AC328" i="4"/>
  <c r="AD327" i="4"/>
  <c r="AC327" i="4"/>
  <c r="AD326" i="4"/>
  <c r="AC326" i="4"/>
  <c r="AD325" i="4"/>
  <c r="AC325" i="4"/>
  <c r="AD324" i="4"/>
  <c r="AC324" i="4"/>
  <c r="AD323" i="4"/>
  <c r="AC323" i="4"/>
  <c r="AD322" i="4"/>
  <c r="AC322" i="4"/>
  <c r="AD321" i="4"/>
  <c r="AC321" i="4"/>
  <c r="AD320" i="4"/>
  <c r="AC320" i="4"/>
  <c r="AD319" i="4"/>
  <c r="AC319" i="4"/>
  <c r="AD318" i="4"/>
  <c r="AC318" i="4"/>
  <c r="AD317" i="4"/>
  <c r="AC317" i="4"/>
  <c r="AD316" i="4"/>
  <c r="AC316" i="4"/>
  <c r="AD315" i="4"/>
  <c r="AC315" i="4"/>
  <c r="AD314" i="4"/>
  <c r="AC314" i="4"/>
  <c r="AD313" i="4"/>
  <c r="AC313" i="4"/>
  <c r="AD312" i="4"/>
  <c r="AC312" i="4"/>
  <c r="AD311" i="4"/>
  <c r="AC311" i="4"/>
  <c r="AD310" i="4"/>
  <c r="AC310" i="4"/>
  <c r="AD309" i="4"/>
  <c r="AC309" i="4"/>
  <c r="AD308" i="4"/>
  <c r="AC308" i="4"/>
  <c r="AD307" i="4"/>
  <c r="AC307" i="4"/>
  <c r="AD306" i="4"/>
  <c r="AC306" i="4"/>
  <c r="AD305" i="4"/>
  <c r="AC305" i="4"/>
  <c r="AD304" i="4"/>
  <c r="AC304" i="4"/>
  <c r="AD303" i="4"/>
  <c r="AC303" i="4"/>
  <c r="AD302" i="4"/>
  <c r="AC302" i="4"/>
  <c r="AD301" i="4"/>
  <c r="AC301" i="4"/>
  <c r="AD300" i="4"/>
  <c r="AC300" i="4"/>
  <c r="AD299" i="4"/>
  <c r="AC299" i="4"/>
  <c r="AD298" i="4"/>
  <c r="AC298" i="4"/>
  <c r="AD297" i="4"/>
  <c r="AC297" i="4"/>
  <c r="AD296" i="4"/>
  <c r="AC296" i="4"/>
  <c r="AD295" i="4"/>
  <c r="AC295" i="4"/>
  <c r="AD294" i="4"/>
  <c r="AC294" i="4"/>
  <c r="AD293" i="4"/>
  <c r="AC293" i="4"/>
  <c r="AD292" i="4"/>
  <c r="AC292" i="4"/>
  <c r="AD291" i="4"/>
  <c r="AC291" i="4"/>
  <c r="AD290" i="4"/>
  <c r="AC290" i="4"/>
  <c r="AD289" i="4"/>
  <c r="AC289" i="4"/>
  <c r="AD288" i="4"/>
  <c r="AC288" i="4"/>
  <c r="AD287" i="4"/>
  <c r="AC287" i="4"/>
  <c r="AD286" i="4"/>
  <c r="AC286" i="4"/>
  <c r="AD285" i="4"/>
  <c r="AC285" i="4"/>
  <c r="AD284" i="4"/>
  <c r="AC284" i="4"/>
  <c r="AD283" i="4"/>
  <c r="AC283" i="4"/>
  <c r="AD282" i="4"/>
  <c r="AC282" i="4"/>
  <c r="AD281" i="4"/>
  <c r="AC281" i="4"/>
  <c r="AD280" i="4"/>
  <c r="AC280" i="4"/>
  <c r="AD279" i="4"/>
  <c r="AC279" i="4"/>
  <c r="AD278" i="4"/>
  <c r="AC278" i="4"/>
  <c r="AD277" i="4"/>
  <c r="AC277" i="4"/>
  <c r="AD276" i="4"/>
  <c r="AC276" i="4"/>
  <c r="AD275" i="4"/>
  <c r="AC275" i="4"/>
  <c r="AD274" i="4"/>
  <c r="AC274" i="4"/>
  <c r="AD273" i="4"/>
  <c r="AC273" i="4"/>
  <c r="AD272" i="4"/>
  <c r="AC272" i="4"/>
  <c r="AD271" i="4"/>
  <c r="AC271" i="4"/>
  <c r="AD270" i="4"/>
  <c r="AC270" i="4"/>
  <c r="AD269" i="4"/>
  <c r="AC269" i="4"/>
  <c r="AD268" i="4"/>
  <c r="AC268" i="4"/>
  <c r="AD267" i="4"/>
  <c r="AC267" i="4"/>
  <c r="AD266" i="4"/>
  <c r="AC266" i="4"/>
  <c r="AD265" i="4"/>
  <c r="AC265" i="4"/>
  <c r="AD264" i="4"/>
  <c r="AC264" i="4"/>
  <c r="AD263" i="4"/>
  <c r="AC263" i="4"/>
  <c r="AD262" i="4"/>
  <c r="AC262" i="4"/>
  <c r="AD261" i="4"/>
  <c r="AC261" i="4"/>
  <c r="AD260" i="4"/>
  <c r="AC260" i="4"/>
  <c r="AD259" i="4"/>
  <c r="AC259" i="4"/>
  <c r="AD258" i="4"/>
  <c r="AC258" i="4"/>
  <c r="AD257" i="4"/>
  <c r="AC257" i="4"/>
  <c r="AD256" i="4"/>
  <c r="AC256" i="4"/>
  <c r="AD255" i="4"/>
  <c r="AC255" i="4"/>
  <c r="AD254" i="4"/>
  <c r="AC254" i="4"/>
  <c r="AD253" i="4"/>
  <c r="AC253" i="4"/>
  <c r="AD252" i="4"/>
  <c r="AC252" i="4"/>
  <c r="AD251" i="4"/>
  <c r="AC251" i="4"/>
  <c r="AD250" i="4"/>
  <c r="AC250" i="4"/>
  <c r="AD249" i="4"/>
  <c r="AC249" i="4"/>
  <c r="AD248" i="4"/>
  <c r="AC248" i="4"/>
  <c r="AD247" i="4"/>
  <c r="AC247" i="4"/>
  <c r="AD246" i="4"/>
  <c r="AC246" i="4"/>
  <c r="AD245" i="4"/>
  <c r="AC245" i="4"/>
  <c r="AD244" i="4"/>
  <c r="AC244" i="4"/>
  <c r="AD243" i="4"/>
  <c r="AC243" i="4"/>
  <c r="AD242" i="4"/>
  <c r="AC242" i="4"/>
  <c r="AD241" i="4"/>
  <c r="AC241" i="4"/>
  <c r="AD240" i="4"/>
  <c r="AC240" i="4"/>
  <c r="AD239" i="4"/>
  <c r="AC239" i="4"/>
  <c r="AD238" i="4"/>
  <c r="AC238" i="4"/>
  <c r="AD237" i="4"/>
  <c r="AC237" i="4"/>
  <c r="AD236" i="4"/>
  <c r="AC236" i="4"/>
  <c r="AD235" i="4"/>
  <c r="AC235" i="4"/>
  <c r="AD234" i="4"/>
  <c r="AC234" i="4"/>
  <c r="AD233" i="4"/>
  <c r="AC233" i="4"/>
  <c r="AD232" i="4"/>
  <c r="AC232" i="4"/>
  <c r="AD231" i="4"/>
  <c r="AC231" i="4"/>
  <c r="AD230" i="4"/>
  <c r="AC230" i="4"/>
  <c r="AD229" i="4"/>
  <c r="AC229" i="4"/>
  <c r="AD228" i="4"/>
  <c r="AC228" i="4"/>
  <c r="AD227" i="4"/>
  <c r="AC227" i="4"/>
  <c r="AD226" i="4"/>
  <c r="AC226" i="4"/>
  <c r="AD225" i="4"/>
  <c r="AC225" i="4"/>
  <c r="AD224" i="4"/>
  <c r="AC224" i="4"/>
  <c r="AD223" i="4"/>
  <c r="AC223" i="4"/>
  <c r="AD222" i="4"/>
  <c r="AC222" i="4"/>
  <c r="AD221" i="4"/>
  <c r="AC221" i="4"/>
  <c r="AD220" i="4"/>
  <c r="AC220" i="4"/>
  <c r="AD219" i="4"/>
  <c r="AC219" i="4"/>
  <c r="AD218" i="4"/>
  <c r="AC218" i="4"/>
  <c r="AD217" i="4"/>
  <c r="AC217" i="4"/>
  <c r="AD216" i="4"/>
  <c r="AC216" i="4"/>
  <c r="AD215" i="4"/>
  <c r="AC215" i="4"/>
  <c r="AD214" i="4"/>
  <c r="AC214" i="4"/>
  <c r="AD213" i="4"/>
  <c r="AC213" i="4"/>
  <c r="AD212" i="4"/>
  <c r="AC212" i="4"/>
  <c r="AD211" i="4"/>
  <c r="AC211" i="4"/>
  <c r="AD210" i="4"/>
  <c r="AC210" i="4"/>
  <c r="AD209" i="4"/>
  <c r="AC209" i="4"/>
  <c r="AD208" i="4"/>
  <c r="AC208" i="4"/>
  <c r="AD207" i="4"/>
  <c r="AC207" i="4"/>
  <c r="AD206" i="4"/>
  <c r="AC206" i="4"/>
  <c r="AD205" i="4"/>
  <c r="AC205" i="4"/>
  <c r="AD204" i="4"/>
  <c r="AC204" i="4"/>
  <c r="AD203" i="4"/>
  <c r="AC203" i="4"/>
  <c r="AD202" i="4"/>
  <c r="AC202" i="4"/>
  <c r="AD201" i="4"/>
  <c r="AC201" i="4"/>
  <c r="AD200" i="4"/>
  <c r="AC200" i="4"/>
  <c r="AD199" i="4"/>
  <c r="AC199" i="4"/>
  <c r="AD198" i="4"/>
  <c r="AC198" i="4"/>
  <c r="AD197" i="4"/>
  <c r="AC197" i="4"/>
  <c r="AD196" i="4"/>
  <c r="AC196" i="4"/>
  <c r="AD195" i="4"/>
  <c r="AC195" i="4"/>
  <c r="AD194" i="4"/>
  <c r="AC194" i="4"/>
  <c r="AD193" i="4"/>
  <c r="AC193" i="4"/>
  <c r="AD192" i="4"/>
  <c r="AC192" i="4"/>
  <c r="AD191" i="4"/>
  <c r="AC191" i="4"/>
  <c r="AD190" i="4"/>
  <c r="AC190" i="4"/>
  <c r="AD189" i="4"/>
  <c r="AC189" i="4"/>
  <c r="AD188" i="4"/>
  <c r="AC188" i="4"/>
  <c r="AD187" i="4"/>
  <c r="AC187" i="4"/>
  <c r="AD186" i="4"/>
  <c r="AC186" i="4"/>
  <c r="AD185" i="4"/>
  <c r="AC185" i="4"/>
  <c r="AD184" i="4"/>
  <c r="AC184" i="4"/>
  <c r="AD183" i="4"/>
  <c r="AC183" i="4"/>
  <c r="AD182" i="4"/>
  <c r="AC182" i="4"/>
  <c r="AD181" i="4"/>
  <c r="AC181" i="4"/>
  <c r="AD180" i="4"/>
  <c r="AC180" i="4"/>
  <c r="AD179" i="4"/>
  <c r="AC179" i="4"/>
  <c r="AD178" i="4"/>
  <c r="AC178" i="4"/>
  <c r="AD177" i="4"/>
  <c r="AC177" i="4"/>
  <c r="AD176" i="4"/>
  <c r="AC176" i="4"/>
  <c r="AD175" i="4"/>
  <c r="AC175" i="4"/>
  <c r="AD174" i="4"/>
  <c r="AC174" i="4"/>
  <c r="AD173" i="4"/>
  <c r="AC173" i="4"/>
  <c r="AD172" i="4"/>
  <c r="AC172" i="4"/>
  <c r="AD171" i="4"/>
  <c r="AC171" i="4"/>
  <c r="AD170" i="4"/>
  <c r="AC170" i="4"/>
  <c r="AD169" i="4"/>
  <c r="AC169" i="4"/>
  <c r="AD168" i="4"/>
  <c r="AC168" i="4"/>
  <c r="AD167" i="4"/>
  <c r="AC167" i="4"/>
  <c r="AD166" i="4"/>
  <c r="AC166" i="4"/>
  <c r="AD165" i="4"/>
  <c r="AC165" i="4"/>
  <c r="AD164" i="4"/>
  <c r="AC164" i="4"/>
  <c r="AD163" i="4"/>
  <c r="AC163" i="4"/>
  <c r="AD162" i="4"/>
  <c r="AC162" i="4"/>
  <c r="AD161" i="4"/>
  <c r="AC161" i="4"/>
  <c r="AD160" i="4"/>
  <c r="AC160" i="4"/>
  <c r="AD159" i="4"/>
  <c r="AC159" i="4"/>
  <c r="AD158" i="4"/>
  <c r="AC158" i="4"/>
  <c r="AD157" i="4"/>
  <c r="AC157" i="4"/>
  <c r="AD156" i="4"/>
  <c r="AC156" i="4"/>
  <c r="AD155" i="4"/>
  <c r="AC155" i="4"/>
  <c r="AD154" i="4"/>
  <c r="AC154" i="4"/>
  <c r="AD153" i="4"/>
  <c r="AC153" i="4"/>
  <c r="AD152" i="4"/>
  <c r="AC152" i="4"/>
  <c r="AD151" i="4"/>
  <c r="AC151" i="4"/>
  <c r="AD150" i="4"/>
  <c r="AC150" i="4"/>
  <c r="AD149" i="4"/>
  <c r="AC149" i="4"/>
  <c r="AD148" i="4"/>
  <c r="AC148" i="4"/>
  <c r="AD147" i="4"/>
  <c r="AC147" i="4"/>
  <c r="AD146" i="4"/>
  <c r="AC146" i="4"/>
  <c r="AD145" i="4"/>
  <c r="AC145" i="4"/>
  <c r="AD144" i="4"/>
  <c r="AC144" i="4"/>
  <c r="AD143" i="4"/>
  <c r="AC143" i="4"/>
  <c r="AD142" i="4"/>
  <c r="AC142" i="4"/>
  <c r="AD141" i="4"/>
  <c r="AC141" i="4"/>
  <c r="AD140" i="4"/>
  <c r="AC140" i="4"/>
  <c r="AD139" i="4"/>
  <c r="AC139" i="4"/>
  <c r="AD138" i="4"/>
  <c r="AC138" i="4"/>
  <c r="AD137" i="4"/>
  <c r="AC137" i="4"/>
  <c r="AD136" i="4"/>
  <c r="AC136" i="4"/>
  <c r="AD135" i="4"/>
  <c r="AC135" i="4"/>
  <c r="AD134" i="4"/>
  <c r="AC134" i="4"/>
  <c r="AD133" i="4"/>
  <c r="AC133" i="4"/>
  <c r="AD132" i="4"/>
  <c r="AC132" i="4"/>
  <c r="AD131" i="4"/>
  <c r="AC131" i="4"/>
  <c r="AD130" i="4"/>
  <c r="AC130" i="4"/>
  <c r="AD129" i="4"/>
  <c r="AC129" i="4"/>
  <c r="AD128" i="4"/>
  <c r="AC128" i="4"/>
  <c r="AD127" i="4"/>
  <c r="AC127" i="4"/>
  <c r="AD126" i="4"/>
  <c r="AC126" i="4"/>
  <c r="AD125" i="4"/>
  <c r="AC125" i="4"/>
  <c r="AD124" i="4"/>
  <c r="AC124" i="4"/>
  <c r="AD123" i="4"/>
  <c r="AC123" i="4"/>
  <c r="AD122" i="4"/>
  <c r="AC122" i="4"/>
  <c r="AD121" i="4"/>
  <c r="AC121" i="4"/>
  <c r="AD120" i="4"/>
  <c r="AC120" i="4"/>
  <c r="AD119" i="4"/>
  <c r="AC119" i="4"/>
  <c r="AD118" i="4"/>
  <c r="AC118" i="4"/>
  <c r="AD117" i="4"/>
  <c r="AC117" i="4"/>
  <c r="AD116" i="4"/>
  <c r="AC116" i="4"/>
  <c r="AD115" i="4"/>
  <c r="AC115" i="4"/>
  <c r="AD114" i="4"/>
  <c r="AC114" i="4"/>
  <c r="AD113" i="4"/>
  <c r="AC113" i="4"/>
  <c r="AD112" i="4"/>
  <c r="AC112" i="4"/>
  <c r="AD111" i="4"/>
  <c r="AC111" i="4"/>
  <c r="AD110" i="4"/>
  <c r="AC110" i="4"/>
  <c r="AD109" i="4"/>
  <c r="AC109" i="4"/>
  <c r="AD108" i="4"/>
  <c r="AC108" i="4"/>
  <c r="AD107" i="4"/>
  <c r="AC107" i="4"/>
  <c r="AD106" i="4"/>
  <c r="AC106" i="4"/>
  <c r="AD105" i="4"/>
  <c r="AC105" i="4"/>
  <c r="AD104" i="4"/>
  <c r="AC104" i="4"/>
  <c r="AD103" i="4"/>
  <c r="AC103" i="4"/>
  <c r="AD102" i="4"/>
  <c r="AC102" i="4"/>
  <c r="AD101" i="4"/>
  <c r="AC101" i="4"/>
  <c r="AD100" i="4"/>
  <c r="AC100" i="4"/>
  <c r="AD99" i="4"/>
  <c r="AC99" i="4"/>
  <c r="AD98" i="4"/>
  <c r="AC98" i="4"/>
  <c r="AD97" i="4"/>
  <c r="AC97" i="4"/>
  <c r="AD96" i="4"/>
  <c r="AC96" i="4"/>
  <c r="AD95" i="4"/>
  <c r="AC95" i="4"/>
  <c r="AD94" i="4"/>
  <c r="AC94" i="4"/>
  <c r="AD93" i="4"/>
  <c r="AC93" i="4"/>
  <c r="AD92" i="4"/>
  <c r="AC92" i="4"/>
  <c r="AD91" i="4"/>
  <c r="AC91" i="4"/>
  <c r="AD90" i="4"/>
  <c r="AC90" i="4"/>
  <c r="AD89" i="4"/>
  <c r="AC89" i="4"/>
  <c r="AD88" i="4"/>
  <c r="AC88" i="4"/>
  <c r="AD87" i="4"/>
  <c r="AC87" i="4"/>
  <c r="AD86" i="4"/>
  <c r="AC86" i="4"/>
  <c r="AD85" i="4"/>
  <c r="AC85" i="4"/>
  <c r="AD84" i="4"/>
  <c r="AC84" i="4"/>
  <c r="AD83" i="4"/>
  <c r="AC83" i="4"/>
  <c r="AD82" i="4"/>
  <c r="AC82" i="4"/>
  <c r="AD81" i="4"/>
  <c r="AC81" i="4"/>
  <c r="AD80" i="4"/>
  <c r="AC80" i="4"/>
  <c r="AD79" i="4"/>
  <c r="AC79" i="4"/>
  <c r="AD78" i="4"/>
  <c r="AC78" i="4"/>
  <c r="AD77" i="4"/>
  <c r="AC77" i="4"/>
  <c r="AD76" i="4"/>
  <c r="AC76" i="4"/>
  <c r="AD75" i="4"/>
  <c r="AC75" i="4"/>
  <c r="AD74" i="4"/>
  <c r="AC74" i="4"/>
  <c r="AD73" i="4"/>
  <c r="AC73" i="4"/>
  <c r="AD72" i="4"/>
  <c r="AC72" i="4"/>
  <c r="AD71" i="4"/>
  <c r="AC71" i="4"/>
  <c r="AD70" i="4"/>
  <c r="AC70" i="4"/>
  <c r="AD69" i="4"/>
  <c r="AC69" i="4"/>
  <c r="AD68" i="4"/>
  <c r="AC68" i="4"/>
  <c r="AD67" i="4"/>
  <c r="AC67" i="4"/>
  <c r="AD66" i="4"/>
  <c r="AC66" i="4"/>
  <c r="AD65" i="4"/>
  <c r="AC65" i="4"/>
  <c r="AD64" i="4"/>
  <c r="AC64" i="4"/>
  <c r="AD63" i="4"/>
  <c r="AC63" i="4"/>
  <c r="AD62" i="4"/>
  <c r="AC62" i="4"/>
  <c r="AD61" i="4"/>
  <c r="AC61" i="4"/>
  <c r="AD60" i="4"/>
  <c r="AC60" i="4"/>
  <c r="AD59" i="4"/>
  <c r="AC59" i="4"/>
  <c r="AD58" i="4"/>
  <c r="AC58" i="4"/>
  <c r="AD57" i="4"/>
  <c r="AC57" i="4"/>
  <c r="AD56" i="4"/>
  <c r="AC56" i="4"/>
  <c r="AD55" i="4"/>
  <c r="AC55" i="4"/>
  <c r="AD54" i="4"/>
  <c r="AC54" i="4"/>
  <c r="AD53" i="4"/>
  <c r="AC53" i="4"/>
  <c r="AD52" i="4"/>
  <c r="AC52" i="4"/>
  <c r="AD51" i="4"/>
  <c r="AC51" i="4"/>
  <c r="AD50" i="4"/>
  <c r="AC50" i="4"/>
  <c r="AD49" i="4"/>
  <c r="AC49" i="4"/>
  <c r="AD48" i="4"/>
  <c r="AC48" i="4"/>
  <c r="AD47" i="4"/>
  <c r="AC47" i="4"/>
  <c r="AD46" i="4"/>
  <c r="AC46" i="4"/>
  <c r="AD45" i="4"/>
  <c r="AC45" i="4"/>
  <c r="AD44" i="4"/>
  <c r="AC44" i="4"/>
  <c r="AD43" i="4"/>
  <c r="AC43" i="4"/>
  <c r="AD42" i="4"/>
  <c r="AC42" i="4"/>
  <c r="AD41" i="4"/>
  <c r="AC41" i="4"/>
  <c r="AD40" i="4"/>
  <c r="AC40" i="4"/>
  <c r="AD39" i="4"/>
  <c r="AC39" i="4"/>
  <c r="AD38" i="4"/>
  <c r="AC38" i="4"/>
  <c r="AD37" i="4"/>
  <c r="AC37" i="4"/>
  <c r="AD36" i="4"/>
  <c r="AC36" i="4"/>
  <c r="AD35" i="4"/>
  <c r="AC35" i="4"/>
  <c r="AD34" i="4"/>
  <c r="AC34" i="4"/>
  <c r="AD33" i="4"/>
  <c r="AC33" i="4"/>
  <c r="AD32" i="4"/>
  <c r="AC32" i="4"/>
  <c r="AD31" i="4"/>
  <c r="AC31" i="4"/>
  <c r="AD30" i="4"/>
  <c r="AC30" i="4"/>
  <c r="AD29" i="4"/>
  <c r="AC29" i="4"/>
  <c r="AD28" i="4"/>
  <c r="AC28" i="4"/>
  <c r="AD27" i="4"/>
  <c r="AC27" i="4"/>
  <c r="AD26" i="4"/>
  <c r="AC26" i="4"/>
  <c r="AD25" i="4"/>
  <c r="AC25" i="4"/>
  <c r="AD24" i="4"/>
  <c r="AC24" i="4"/>
  <c r="AD23" i="4"/>
  <c r="AC23" i="4"/>
  <c r="AD22" i="4"/>
  <c r="AC22" i="4"/>
  <c r="AD21" i="4"/>
  <c r="AC21" i="4"/>
  <c r="AD20" i="4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B355" i="4"/>
  <c r="AA355" i="4"/>
  <c r="AB354" i="4"/>
  <c r="AA354" i="4"/>
  <c r="AB353" i="4"/>
  <c r="AA353" i="4"/>
  <c r="AB352" i="4"/>
  <c r="AA352" i="4"/>
  <c r="AB351" i="4"/>
  <c r="AA351" i="4"/>
  <c r="AB350" i="4"/>
  <c r="AA350" i="4"/>
  <c r="AB349" i="4"/>
  <c r="AA349" i="4"/>
  <c r="AB348" i="4"/>
  <c r="AA348" i="4"/>
  <c r="AB347" i="4"/>
  <c r="AA347" i="4"/>
  <c r="AB346" i="4"/>
  <c r="AA346" i="4"/>
  <c r="AB345" i="4"/>
  <c r="AA345" i="4"/>
  <c r="AB344" i="4"/>
  <c r="AA344" i="4"/>
  <c r="AB343" i="4"/>
  <c r="AA343" i="4"/>
  <c r="AB342" i="4"/>
  <c r="AA342" i="4"/>
  <c r="AB341" i="4"/>
  <c r="AA341" i="4"/>
  <c r="AB340" i="4"/>
  <c r="AA340" i="4"/>
  <c r="AB339" i="4"/>
  <c r="AA339" i="4"/>
  <c r="AB338" i="4"/>
  <c r="AA338" i="4"/>
  <c r="AB337" i="4"/>
  <c r="AA337" i="4"/>
  <c r="AB336" i="4"/>
  <c r="AA336" i="4"/>
  <c r="AB335" i="4"/>
  <c r="AA335" i="4"/>
  <c r="AB334" i="4"/>
  <c r="AA334" i="4"/>
  <c r="AB333" i="4"/>
  <c r="AA333" i="4"/>
  <c r="AB332" i="4"/>
  <c r="AA332" i="4"/>
  <c r="AB331" i="4"/>
  <c r="AA331" i="4"/>
  <c r="AB330" i="4"/>
  <c r="AA330" i="4"/>
  <c r="AB329" i="4"/>
  <c r="AA329" i="4"/>
  <c r="AB328" i="4"/>
  <c r="AA328" i="4"/>
  <c r="AB327" i="4"/>
  <c r="AA327" i="4"/>
  <c r="AB326" i="4"/>
  <c r="AA326" i="4"/>
  <c r="AB325" i="4"/>
  <c r="AA325" i="4"/>
  <c r="AB324" i="4"/>
  <c r="AA324" i="4"/>
  <c r="AB323" i="4"/>
  <c r="AA323" i="4"/>
  <c r="AB322" i="4"/>
  <c r="AA322" i="4"/>
  <c r="AB321" i="4"/>
  <c r="AA321" i="4"/>
  <c r="AB320" i="4"/>
  <c r="AA320" i="4"/>
  <c r="AB319" i="4"/>
  <c r="AA319" i="4"/>
  <c r="AB318" i="4"/>
  <c r="AA318" i="4"/>
  <c r="AB317" i="4"/>
  <c r="AA317" i="4"/>
  <c r="AB316" i="4"/>
  <c r="AA316" i="4"/>
  <c r="AB315" i="4"/>
  <c r="AA315" i="4"/>
  <c r="AB314" i="4"/>
  <c r="AA314" i="4"/>
  <c r="AB313" i="4"/>
  <c r="AA313" i="4"/>
  <c r="AB312" i="4"/>
  <c r="AA312" i="4"/>
  <c r="AB311" i="4"/>
  <c r="AA311" i="4"/>
  <c r="AB310" i="4"/>
  <c r="AA310" i="4"/>
  <c r="AB309" i="4"/>
  <c r="AA309" i="4"/>
  <c r="AB308" i="4"/>
  <c r="AA308" i="4"/>
  <c r="AB307" i="4"/>
  <c r="AA307" i="4"/>
  <c r="AB306" i="4"/>
  <c r="AA306" i="4"/>
  <c r="AB305" i="4"/>
  <c r="AA305" i="4"/>
  <c r="AB304" i="4"/>
  <c r="AA304" i="4"/>
  <c r="AB303" i="4"/>
  <c r="AA303" i="4"/>
  <c r="AB302" i="4"/>
  <c r="AA302" i="4"/>
  <c r="AB301" i="4"/>
  <c r="AA301" i="4"/>
  <c r="AB300" i="4"/>
  <c r="AA300" i="4"/>
  <c r="AB299" i="4"/>
  <c r="AA299" i="4"/>
  <c r="AB298" i="4"/>
  <c r="AA298" i="4"/>
  <c r="AB297" i="4"/>
  <c r="AA297" i="4"/>
  <c r="AB296" i="4"/>
  <c r="AA296" i="4"/>
  <c r="AB295" i="4"/>
  <c r="AA295" i="4"/>
  <c r="AB294" i="4"/>
  <c r="AA294" i="4"/>
  <c r="AB293" i="4"/>
  <c r="AA293" i="4"/>
  <c r="AB292" i="4"/>
  <c r="AA292" i="4"/>
  <c r="AB291" i="4"/>
  <c r="AA291" i="4"/>
  <c r="AB290" i="4"/>
  <c r="AA290" i="4"/>
  <c r="AB289" i="4"/>
  <c r="AA289" i="4"/>
  <c r="AB288" i="4"/>
  <c r="AA288" i="4"/>
  <c r="AB287" i="4"/>
  <c r="AA287" i="4"/>
  <c r="AB286" i="4"/>
  <c r="AA286" i="4"/>
  <c r="AB285" i="4"/>
  <c r="AA285" i="4"/>
  <c r="AB284" i="4"/>
  <c r="AA284" i="4"/>
  <c r="AB283" i="4"/>
  <c r="AA283" i="4"/>
  <c r="AB282" i="4"/>
  <c r="AA282" i="4"/>
  <c r="AB281" i="4"/>
  <c r="AA281" i="4"/>
  <c r="AB280" i="4"/>
  <c r="AA280" i="4"/>
  <c r="AB279" i="4"/>
  <c r="AA279" i="4"/>
  <c r="AB278" i="4"/>
  <c r="AA278" i="4"/>
  <c r="AB277" i="4"/>
  <c r="AA277" i="4"/>
  <c r="AB276" i="4"/>
  <c r="AA276" i="4"/>
  <c r="AB275" i="4"/>
  <c r="AA275" i="4"/>
  <c r="AB274" i="4"/>
  <c r="AA274" i="4"/>
  <c r="AB273" i="4"/>
  <c r="AA273" i="4"/>
  <c r="AB272" i="4"/>
  <c r="AA272" i="4"/>
  <c r="AB271" i="4"/>
  <c r="AA271" i="4"/>
  <c r="AB270" i="4"/>
  <c r="AA270" i="4"/>
  <c r="AB269" i="4"/>
  <c r="AA269" i="4"/>
  <c r="AB268" i="4"/>
  <c r="AA268" i="4"/>
  <c r="AB267" i="4"/>
  <c r="AA267" i="4"/>
  <c r="AB266" i="4"/>
  <c r="AA266" i="4"/>
  <c r="AB265" i="4"/>
  <c r="AA265" i="4"/>
  <c r="AB264" i="4"/>
  <c r="AA264" i="4"/>
  <c r="AB263" i="4"/>
  <c r="AA263" i="4"/>
  <c r="AB262" i="4"/>
  <c r="AA262" i="4"/>
  <c r="AB261" i="4"/>
  <c r="AA261" i="4"/>
  <c r="AB260" i="4"/>
  <c r="AA260" i="4"/>
  <c r="AB259" i="4"/>
  <c r="AA259" i="4"/>
  <c r="AB258" i="4"/>
  <c r="AA258" i="4"/>
  <c r="AB257" i="4"/>
  <c r="AA257" i="4"/>
  <c r="AB256" i="4"/>
  <c r="AA256" i="4"/>
  <c r="AB255" i="4"/>
  <c r="AA255" i="4"/>
  <c r="AB254" i="4"/>
  <c r="AA254" i="4"/>
  <c r="AB253" i="4"/>
  <c r="AA253" i="4"/>
  <c r="AB252" i="4"/>
  <c r="AA252" i="4"/>
  <c r="AB251" i="4"/>
  <c r="AA251" i="4"/>
  <c r="AB250" i="4"/>
  <c r="AA250" i="4"/>
  <c r="AB249" i="4"/>
  <c r="AA249" i="4"/>
  <c r="AB248" i="4"/>
  <c r="AA248" i="4"/>
  <c r="AB247" i="4"/>
  <c r="AA247" i="4"/>
  <c r="AB246" i="4"/>
  <c r="AA246" i="4"/>
  <c r="AB245" i="4"/>
  <c r="AA245" i="4"/>
  <c r="AB244" i="4"/>
  <c r="AA244" i="4"/>
  <c r="AB243" i="4"/>
  <c r="AA243" i="4"/>
  <c r="AB242" i="4"/>
  <c r="AA242" i="4"/>
  <c r="AB241" i="4"/>
  <c r="AA241" i="4"/>
  <c r="AB240" i="4"/>
  <c r="AA240" i="4"/>
  <c r="AB239" i="4"/>
  <c r="AA239" i="4"/>
  <c r="AB238" i="4"/>
  <c r="AA238" i="4"/>
  <c r="AB237" i="4"/>
  <c r="AA237" i="4"/>
  <c r="AB236" i="4"/>
  <c r="AA236" i="4"/>
  <c r="AB235" i="4"/>
  <c r="AA235" i="4"/>
  <c r="AB234" i="4"/>
  <c r="AA234" i="4"/>
  <c r="AB233" i="4"/>
  <c r="AA233" i="4"/>
  <c r="AB232" i="4"/>
  <c r="AA232" i="4"/>
  <c r="AB231" i="4"/>
  <c r="AA231" i="4"/>
  <c r="AB230" i="4"/>
  <c r="AA230" i="4"/>
  <c r="AB229" i="4"/>
  <c r="AA229" i="4"/>
  <c r="AB228" i="4"/>
  <c r="AA228" i="4"/>
  <c r="AB227" i="4"/>
  <c r="AA227" i="4"/>
  <c r="AB226" i="4"/>
  <c r="AA226" i="4"/>
  <c r="AB225" i="4"/>
  <c r="AA225" i="4"/>
  <c r="AB224" i="4"/>
  <c r="AA224" i="4"/>
  <c r="AB223" i="4"/>
  <c r="AA223" i="4"/>
  <c r="AB222" i="4"/>
  <c r="AA222" i="4"/>
  <c r="AB221" i="4"/>
  <c r="AA221" i="4"/>
  <c r="AB220" i="4"/>
  <c r="AA220" i="4"/>
  <c r="AB219" i="4"/>
  <c r="AA219" i="4"/>
  <c r="AB218" i="4"/>
  <c r="AA218" i="4"/>
  <c r="AB217" i="4"/>
  <c r="AA217" i="4"/>
  <c r="AB216" i="4"/>
  <c r="AA216" i="4"/>
  <c r="AB215" i="4"/>
  <c r="AA215" i="4"/>
  <c r="AB214" i="4"/>
  <c r="AA214" i="4"/>
  <c r="AB213" i="4"/>
  <c r="AA213" i="4"/>
  <c r="AB212" i="4"/>
  <c r="AA212" i="4"/>
  <c r="AB211" i="4"/>
  <c r="AA211" i="4"/>
  <c r="AB210" i="4"/>
  <c r="AA210" i="4"/>
  <c r="AB209" i="4"/>
  <c r="AA209" i="4"/>
  <c r="AB208" i="4"/>
  <c r="AA208" i="4"/>
  <c r="AB207" i="4"/>
  <c r="AA207" i="4"/>
  <c r="AB206" i="4"/>
  <c r="AA206" i="4"/>
  <c r="AB205" i="4"/>
  <c r="AA205" i="4"/>
  <c r="AB204" i="4"/>
  <c r="AA204" i="4"/>
  <c r="AB203" i="4"/>
  <c r="AA203" i="4"/>
  <c r="AB202" i="4"/>
  <c r="AA202" i="4"/>
  <c r="AB201" i="4"/>
  <c r="AA201" i="4"/>
  <c r="AB200" i="4"/>
  <c r="AA200" i="4"/>
  <c r="AB199" i="4"/>
  <c r="AA199" i="4"/>
  <c r="AB198" i="4"/>
  <c r="AA198" i="4"/>
  <c r="AB197" i="4"/>
  <c r="AA197" i="4"/>
  <c r="AB196" i="4"/>
  <c r="AA196" i="4"/>
  <c r="AB195" i="4"/>
  <c r="AA195" i="4"/>
  <c r="AB194" i="4"/>
  <c r="AA194" i="4"/>
  <c r="AB193" i="4"/>
  <c r="AA193" i="4"/>
  <c r="AB192" i="4"/>
  <c r="AA192" i="4"/>
  <c r="AB191" i="4"/>
  <c r="AA191" i="4"/>
  <c r="AB190" i="4"/>
  <c r="AA190" i="4"/>
  <c r="AB189" i="4"/>
  <c r="AA189" i="4"/>
  <c r="AB188" i="4"/>
  <c r="AA188" i="4"/>
  <c r="AB187" i="4"/>
  <c r="AA187" i="4"/>
  <c r="AB186" i="4"/>
  <c r="AA186" i="4"/>
  <c r="AB185" i="4"/>
  <c r="AA185" i="4"/>
  <c r="AB184" i="4"/>
  <c r="AA184" i="4"/>
  <c r="AB183" i="4"/>
  <c r="AA183" i="4"/>
  <c r="AB182" i="4"/>
  <c r="AA182" i="4"/>
  <c r="AB181" i="4"/>
  <c r="AA181" i="4"/>
  <c r="AB180" i="4"/>
  <c r="AA180" i="4"/>
  <c r="AB179" i="4"/>
  <c r="AA179" i="4"/>
  <c r="AB178" i="4"/>
  <c r="AA178" i="4"/>
  <c r="AB177" i="4"/>
  <c r="AA177" i="4"/>
  <c r="AB176" i="4"/>
  <c r="AA176" i="4"/>
  <c r="AB175" i="4"/>
  <c r="AA175" i="4"/>
  <c r="AB174" i="4"/>
  <c r="AA174" i="4"/>
  <c r="AB173" i="4"/>
  <c r="AA173" i="4"/>
  <c r="AB172" i="4"/>
  <c r="AA172" i="4"/>
  <c r="AB171" i="4"/>
  <c r="AA171" i="4"/>
  <c r="AB170" i="4"/>
  <c r="AA170" i="4"/>
  <c r="AB169" i="4"/>
  <c r="AA169" i="4"/>
  <c r="AB168" i="4"/>
  <c r="AA168" i="4"/>
  <c r="AB167" i="4"/>
  <c r="AA167" i="4"/>
  <c r="AB166" i="4"/>
  <c r="AA166" i="4"/>
  <c r="AB165" i="4"/>
  <c r="AA165" i="4"/>
  <c r="AB164" i="4"/>
  <c r="AA164" i="4"/>
  <c r="AB163" i="4"/>
  <c r="AA163" i="4"/>
  <c r="AB162" i="4"/>
  <c r="AA162" i="4"/>
  <c r="AB161" i="4"/>
  <c r="AA161" i="4"/>
  <c r="AB160" i="4"/>
  <c r="AA160" i="4"/>
  <c r="AB159" i="4"/>
  <c r="AA159" i="4"/>
  <c r="AB158" i="4"/>
  <c r="AA158" i="4"/>
  <c r="AB157" i="4"/>
  <c r="AA157" i="4"/>
  <c r="AB156" i="4"/>
  <c r="AA156" i="4"/>
  <c r="AB155" i="4"/>
  <c r="AA155" i="4"/>
  <c r="AB154" i="4"/>
  <c r="AA154" i="4"/>
  <c r="AB153" i="4"/>
  <c r="AA153" i="4"/>
  <c r="AB152" i="4"/>
  <c r="AA152" i="4"/>
  <c r="AB151" i="4"/>
  <c r="AA151" i="4"/>
  <c r="AB150" i="4"/>
  <c r="AA150" i="4"/>
  <c r="AB149" i="4"/>
  <c r="AA149" i="4"/>
  <c r="AB148" i="4"/>
  <c r="AA148" i="4"/>
  <c r="AB147" i="4"/>
  <c r="AA147" i="4"/>
  <c r="AB146" i="4"/>
  <c r="AA146" i="4"/>
  <c r="AB145" i="4"/>
  <c r="AA145" i="4"/>
  <c r="AB144" i="4"/>
  <c r="AA144" i="4"/>
  <c r="AB143" i="4"/>
  <c r="AA143" i="4"/>
  <c r="AB142" i="4"/>
  <c r="AA142" i="4"/>
  <c r="AB141" i="4"/>
  <c r="AA141" i="4"/>
  <c r="AB140" i="4"/>
  <c r="AA140" i="4"/>
  <c r="AB139" i="4"/>
  <c r="AA139" i="4"/>
  <c r="AB138" i="4"/>
  <c r="AA138" i="4"/>
  <c r="AB137" i="4"/>
  <c r="AA137" i="4"/>
  <c r="AB136" i="4"/>
  <c r="AA136" i="4"/>
  <c r="AB135" i="4"/>
  <c r="AA135" i="4"/>
  <c r="AB134" i="4"/>
  <c r="AA134" i="4"/>
  <c r="AB133" i="4"/>
  <c r="AA133" i="4"/>
  <c r="AB132" i="4"/>
  <c r="AA132" i="4"/>
  <c r="AB131" i="4"/>
  <c r="AA131" i="4"/>
  <c r="AB130" i="4"/>
  <c r="AA130" i="4"/>
  <c r="AB129" i="4"/>
  <c r="AA129" i="4"/>
  <c r="AB128" i="4"/>
  <c r="AA128" i="4"/>
  <c r="AB127" i="4"/>
  <c r="AA127" i="4"/>
  <c r="AB126" i="4"/>
  <c r="AA126" i="4"/>
  <c r="AB125" i="4"/>
  <c r="AA125" i="4"/>
  <c r="AB124" i="4"/>
  <c r="AA124" i="4"/>
  <c r="AB123" i="4"/>
  <c r="AA123" i="4"/>
  <c r="AB122" i="4"/>
  <c r="AA122" i="4"/>
  <c r="AB121" i="4"/>
  <c r="AA121" i="4"/>
  <c r="AB120" i="4"/>
  <c r="AA120" i="4"/>
  <c r="AB119" i="4"/>
  <c r="AA119" i="4"/>
  <c r="AB118" i="4"/>
  <c r="AA118" i="4"/>
  <c r="AB117" i="4"/>
  <c r="AA117" i="4"/>
  <c r="AB116" i="4"/>
  <c r="AA116" i="4"/>
  <c r="AB115" i="4"/>
  <c r="AA115" i="4"/>
  <c r="AB114" i="4"/>
  <c r="AA114" i="4"/>
  <c r="AB113" i="4"/>
  <c r="AA113" i="4"/>
  <c r="AB112" i="4"/>
  <c r="AA112" i="4"/>
  <c r="AB111" i="4"/>
  <c r="AA111" i="4"/>
  <c r="AB110" i="4"/>
  <c r="AA110" i="4"/>
  <c r="AB109" i="4"/>
  <c r="AA109" i="4"/>
  <c r="AB108" i="4"/>
  <c r="AA108" i="4"/>
  <c r="AB107" i="4"/>
  <c r="AA107" i="4"/>
  <c r="AB106" i="4"/>
  <c r="AA106" i="4"/>
  <c r="AB105" i="4"/>
  <c r="AA105" i="4"/>
  <c r="AB104" i="4"/>
  <c r="AA104" i="4"/>
  <c r="AB103" i="4"/>
  <c r="AA103" i="4"/>
  <c r="AB102" i="4"/>
  <c r="AA102" i="4"/>
  <c r="AB101" i="4"/>
  <c r="AA101" i="4"/>
  <c r="AB100" i="4"/>
  <c r="AA100" i="4"/>
  <c r="AB99" i="4"/>
  <c r="AA99" i="4"/>
  <c r="AB98" i="4"/>
  <c r="AA98" i="4"/>
  <c r="AB97" i="4"/>
  <c r="AA97" i="4"/>
  <c r="AB96" i="4"/>
  <c r="AA96" i="4"/>
  <c r="AB95" i="4"/>
  <c r="AA95" i="4"/>
  <c r="AB94" i="4"/>
  <c r="AA94" i="4"/>
  <c r="AB93" i="4"/>
  <c r="AA93" i="4"/>
  <c r="AB92" i="4"/>
  <c r="AA92" i="4"/>
  <c r="AB91" i="4"/>
  <c r="AA91" i="4"/>
  <c r="AB90" i="4"/>
  <c r="AA90" i="4"/>
  <c r="AB89" i="4"/>
  <c r="AA89" i="4"/>
  <c r="AB88" i="4"/>
  <c r="AA88" i="4"/>
  <c r="AB87" i="4"/>
  <c r="AA87" i="4"/>
  <c r="AB86" i="4"/>
  <c r="AA86" i="4"/>
  <c r="AB85" i="4"/>
  <c r="AA85" i="4"/>
  <c r="AB84" i="4"/>
  <c r="AA84" i="4"/>
  <c r="AB83" i="4"/>
  <c r="AA83" i="4"/>
  <c r="AB82" i="4"/>
  <c r="AA82" i="4"/>
  <c r="AB81" i="4"/>
  <c r="AA81" i="4"/>
  <c r="AB80" i="4"/>
  <c r="AA80" i="4"/>
  <c r="AB79" i="4"/>
  <c r="AA79" i="4"/>
  <c r="AB78" i="4"/>
  <c r="AA78" i="4"/>
  <c r="AB77" i="4"/>
  <c r="AA77" i="4"/>
  <c r="AB76" i="4"/>
  <c r="AA76" i="4"/>
  <c r="AB75" i="4"/>
  <c r="AA75" i="4"/>
  <c r="AB74" i="4"/>
  <c r="AA74" i="4"/>
  <c r="AB73" i="4"/>
  <c r="AA73" i="4"/>
  <c r="AB72" i="4"/>
  <c r="AA72" i="4"/>
  <c r="AB71" i="4"/>
  <c r="AA71" i="4"/>
  <c r="AB70" i="4"/>
  <c r="AA70" i="4"/>
  <c r="AB69" i="4"/>
  <c r="AA69" i="4"/>
  <c r="AB68" i="4"/>
  <c r="AA68" i="4"/>
  <c r="AB67" i="4"/>
  <c r="AA67" i="4"/>
  <c r="AB66" i="4"/>
  <c r="AA66" i="4"/>
  <c r="AB65" i="4"/>
  <c r="AA65" i="4"/>
  <c r="AB64" i="4"/>
  <c r="AA64" i="4"/>
  <c r="AB63" i="4"/>
  <c r="AA63" i="4"/>
  <c r="AB62" i="4"/>
  <c r="AA62" i="4"/>
  <c r="AB61" i="4"/>
  <c r="AA61" i="4"/>
  <c r="AB60" i="4"/>
  <c r="AA60" i="4"/>
  <c r="AB59" i="4"/>
  <c r="AA59" i="4"/>
  <c r="AB58" i="4"/>
  <c r="AA58" i="4"/>
  <c r="AB57" i="4"/>
  <c r="AA57" i="4"/>
  <c r="AB56" i="4"/>
  <c r="AA56" i="4"/>
  <c r="AB55" i="4"/>
  <c r="AA55" i="4"/>
  <c r="AB54" i="4"/>
  <c r="AA54" i="4"/>
  <c r="AB53" i="4"/>
  <c r="AA53" i="4"/>
  <c r="AB52" i="4"/>
  <c r="AA52" i="4"/>
  <c r="AB51" i="4"/>
  <c r="AA51" i="4"/>
  <c r="AB50" i="4"/>
  <c r="AA50" i="4"/>
  <c r="AB49" i="4"/>
  <c r="AA49" i="4"/>
  <c r="AB48" i="4"/>
  <c r="AA48" i="4"/>
  <c r="AB47" i="4"/>
  <c r="AA47" i="4"/>
  <c r="AB46" i="4"/>
  <c r="AA46" i="4"/>
  <c r="AB45" i="4"/>
  <c r="AA45" i="4"/>
  <c r="AB44" i="4"/>
  <c r="AA44" i="4"/>
  <c r="AB43" i="4"/>
  <c r="AA43" i="4"/>
  <c r="AB42" i="4"/>
  <c r="AA42" i="4"/>
  <c r="AB41" i="4"/>
  <c r="AA41" i="4"/>
  <c r="AB40" i="4"/>
  <c r="AA40" i="4"/>
  <c r="AB39" i="4"/>
  <c r="AA39" i="4"/>
  <c r="AB38" i="4"/>
  <c r="AA38" i="4"/>
  <c r="AB37" i="4"/>
  <c r="AA37" i="4"/>
  <c r="AB36" i="4"/>
  <c r="AA36" i="4"/>
  <c r="AB35" i="4"/>
  <c r="AA35" i="4"/>
  <c r="AB34" i="4"/>
  <c r="AA34" i="4"/>
  <c r="AB33" i="4"/>
  <c r="AA33" i="4"/>
  <c r="AB32" i="4"/>
  <c r="AA32" i="4"/>
  <c r="AB31" i="4"/>
  <c r="AA31" i="4"/>
  <c r="AB30" i="4"/>
  <c r="AA30" i="4"/>
  <c r="AB29" i="4"/>
  <c r="AA29" i="4"/>
  <c r="AB28" i="4"/>
  <c r="AA28" i="4"/>
  <c r="AB27" i="4"/>
  <c r="AA27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Z355" i="4"/>
  <c r="Y355" i="4"/>
  <c r="Z354" i="4"/>
  <c r="Y354" i="4"/>
  <c r="Z353" i="4"/>
  <c r="Y353" i="4"/>
  <c r="Z352" i="4"/>
  <c r="Y352" i="4"/>
  <c r="Z351" i="4"/>
  <c r="Y351" i="4"/>
  <c r="Z350" i="4"/>
  <c r="Y350" i="4"/>
  <c r="Z349" i="4"/>
  <c r="Y349" i="4"/>
  <c r="Z348" i="4"/>
  <c r="Y348" i="4"/>
  <c r="Z347" i="4"/>
  <c r="Y347" i="4"/>
  <c r="Z346" i="4"/>
  <c r="Y346" i="4"/>
  <c r="Z345" i="4"/>
  <c r="Y345" i="4"/>
  <c r="Z344" i="4"/>
  <c r="Y344" i="4"/>
  <c r="Z343" i="4"/>
  <c r="Y343" i="4"/>
  <c r="Z342" i="4"/>
  <c r="Y342" i="4"/>
  <c r="Z341" i="4"/>
  <c r="Y341" i="4"/>
  <c r="Z340" i="4"/>
  <c r="Y340" i="4"/>
  <c r="Z339" i="4"/>
  <c r="Y339" i="4"/>
  <c r="Z338" i="4"/>
  <c r="Y338" i="4"/>
  <c r="Z337" i="4"/>
  <c r="Y337" i="4"/>
  <c r="Z336" i="4"/>
  <c r="Y336" i="4"/>
  <c r="Z335" i="4"/>
  <c r="Y335" i="4"/>
  <c r="Z334" i="4"/>
  <c r="Y334" i="4"/>
  <c r="Z333" i="4"/>
  <c r="Y333" i="4"/>
  <c r="Z332" i="4"/>
  <c r="Y332" i="4"/>
  <c r="Z331" i="4"/>
  <c r="Y331" i="4"/>
  <c r="Z330" i="4"/>
  <c r="Y330" i="4"/>
  <c r="Z329" i="4"/>
  <c r="Y329" i="4"/>
  <c r="Z328" i="4"/>
  <c r="Y328" i="4"/>
  <c r="Z327" i="4"/>
  <c r="Y327" i="4"/>
  <c r="Z326" i="4"/>
  <c r="Y32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X355" i="4"/>
  <c r="W355" i="4"/>
  <c r="X354" i="4"/>
  <c r="W354" i="4"/>
  <c r="X353" i="4"/>
  <c r="W353" i="4"/>
  <c r="X352" i="4"/>
  <c r="W352" i="4"/>
  <c r="X351" i="4"/>
  <c r="W351" i="4"/>
  <c r="X350" i="4"/>
  <c r="W350" i="4"/>
  <c r="X349" i="4"/>
  <c r="W349" i="4"/>
  <c r="X348" i="4"/>
  <c r="W348" i="4"/>
  <c r="X347" i="4"/>
  <c r="W347" i="4"/>
  <c r="X346" i="4"/>
  <c r="W346" i="4"/>
  <c r="X345" i="4"/>
  <c r="W345" i="4"/>
  <c r="X344" i="4"/>
  <c r="W344" i="4"/>
  <c r="X343" i="4"/>
  <c r="W343" i="4"/>
  <c r="X342" i="4"/>
  <c r="W342" i="4"/>
  <c r="X341" i="4"/>
  <c r="W341" i="4"/>
  <c r="X340" i="4"/>
  <c r="W340" i="4"/>
  <c r="X339" i="4"/>
  <c r="W339" i="4"/>
  <c r="X338" i="4"/>
  <c r="W338" i="4"/>
  <c r="X337" i="4"/>
  <c r="W337" i="4"/>
  <c r="X336" i="4"/>
  <c r="W336" i="4"/>
  <c r="X335" i="4"/>
  <c r="W335" i="4"/>
  <c r="X334" i="4"/>
  <c r="W334" i="4"/>
  <c r="X333" i="4"/>
  <c r="W333" i="4"/>
  <c r="X332" i="4"/>
  <c r="W332" i="4"/>
  <c r="X331" i="4"/>
  <c r="W331" i="4"/>
  <c r="X330" i="4"/>
  <c r="W330" i="4"/>
  <c r="X329" i="4"/>
  <c r="W329" i="4"/>
  <c r="X328" i="4"/>
  <c r="W328" i="4"/>
  <c r="X327" i="4"/>
  <c r="W327" i="4"/>
  <c r="X326" i="4"/>
  <c r="W326" i="4"/>
  <c r="X325" i="4"/>
  <c r="W325" i="4"/>
  <c r="X324" i="4"/>
  <c r="W324" i="4"/>
  <c r="X323" i="4"/>
  <c r="W323" i="4"/>
  <c r="X322" i="4"/>
  <c r="W322" i="4"/>
  <c r="X321" i="4"/>
  <c r="W321" i="4"/>
  <c r="X320" i="4"/>
  <c r="W320" i="4"/>
  <c r="X319" i="4"/>
  <c r="W319" i="4"/>
  <c r="X318" i="4"/>
  <c r="W318" i="4"/>
  <c r="X317" i="4"/>
  <c r="W317" i="4"/>
  <c r="X316" i="4"/>
  <c r="W316" i="4"/>
  <c r="X315" i="4"/>
  <c r="W315" i="4"/>
  <c r="X314" i="4"/>
  <c r="W314" i="4"/>
  <c r="X313" i="4"/>
  <c r="W313" i="4"/>
  <c r="X312" i="4"/>
  <c r="W312" i="4"/>
  <c r="X311" i="4"/>
  <c r="W311" i="4"/>
  <c r="X310" i="4"/>
  <c r="W310" i="4"/>
  <c r="X309" i="4"/>
  <c r="W309" i="4"/>
  <c r="X308" i="4"/>
  <c r="W308" i="4"/>
  <c r="X307" i="4"/>
  <c r="W307" i="4"/>
  <c r="X306" i="4"/>
  <c r="W306" i="4"/>
  <c r="X305" i="4"/>
  <c r="W305" i="4"/>
  <c r="X304" i="4"/>
  <c r="W304" i="4"/>
  <c r="X303" i="4"/>
  <c r="W303" i="4"/>
  <c r="X302" i="4"/>
  <c r="W302" i="4"/>
  <c r="X301" i="4"/>
  <c r="W301" i="4"/>
  <c r="X300" i="4"/>
  <c r="W300" i="4"/>
  <c r="X299" i="4"/>
  <c r="W299" i="4"/>
  <c r="X298" i="4"/>
  <c r="W298" i="4"/>
  <c r="X297" i="4"/>
  <c r="W297" i="4"/>
  <c r="X296" i="4"/>
  <c r="W296" i="4"/>
  <c r="X295" i="4"/>
  <c r="W295" i="4"/>
  <c r="X294" i="4"/>
  <c r="W294" i="4"/>
  <c r="X293" i="4"/>
  <c r="W293" i="4"/>
  <c r="X292" i="4"/>
  <c r="W292" i="4"/>
  <c r="X291" i="4"/>
  <c r="W291" i="4"/>
  <c r="X290" i="4"/>
  <c r="W290" i="4"/>
  <c r="X289" i="4"/>
  <c r="W289" i="4"/>
  <c r="X288" i="4"/>
  <c r="W288" i="4"/>
  <c r="X287" i="4"/>
  <c r="W287" i="4"/>
  <c r="X286" i="4"/>
  <c r="W286" i="4"/>
  <c r="X285" i="4"/>
  <c r="W285" i="4"/>
  <c r="X284" i="4"/>
  <c r="W284" i="4"/>
  <c r="X283" i="4"/>
  <c r="W283" i="4"/>
  <c r="X282" i="4"/>
  <c r="W282" i="4"/>
  <c r="X281" i="4"/>
  <c r="W281" i="4"/>
  <c r="X280" i="4"/>
  <c r="W280" i="4"/>
  <c r="X279" i="4"/>
  <c r="W279" i="4"/>
  <c r="X278" i="4"/>
  <c r="W278" i="4"/>
  <c r="X277" i="4"/>
  <c r="W277" i="4"/>
  <c r="X276" i="4"/>
  <c r="W276" i="4"/>
  <c r="X275" i="4"/>
  <c r="W275" i="4"/>
  <c r="X274" i="4"/>
  <c r="W274" i="4"/>
  <c r="X273" i="4"/>
  <c r="W273" i="4"/>
  <c r="X272" i="4"/>
  <c r="W272" i="4"/>
  <c r="X271" i="4"/>
  <c r="W271" i="4"/>
  <c r="X270" i="4"/>
  <c r="W270" i="4"/>
  <c r="X269" i="4"/>
  <c r="W269" i="4"/>
  <c r="X268" i="4"/>
  <c r="W268" i="4"/>
  <c r="X267" i="4"/>
  <c r="W267" i="4"/>
  <c r="X266" i="4"/>
  <c r="W266" i="4"/>
  <c r="X265" i="4"/>
  <c r="W265" i="4"/>
  <c r="X264" i="4"/>
  <c r="W264" i="4"/>
  <c r="X263" i="4"/>
  <c r="W263" i="4"/>
  <c r="X262" i="4"/>
  <c r="W262" i="4"/>
  <c r="X261" i="4"/>
  <c r="W261" i="4"/>
  <c r="X260" i="4"/>
  <c r="W260" i="4"/>
  <c r="X259" i="4"/>
  <c r="W259" i="4"/>
  <c r="X258" i="4"/>
  <c r="W258" i="4"/>
  <c r="X257" i="4"/>
  <c r="W257" i="4"/>
  <c r="X256" i="4"/>
  <c r="W256" i="4"/>
  <c r="X255" i="4"/>
  <c r="W255" i="4"/>
  <c r="X254" i="4"/>
  <c r="W254" i="4"/>
  <c r="X253" i="4"/>
  <c r="W253" i="4"/>
  <c r="X252" i="4"/>
  <c r="W252" i="4"/>
  <c r="X251" i="4"/>
  <c r="W251" i="4"/>
  <c r="X250" i="4"/>
  <c r="W250" i="4"/>
  <c r="X249" i="4"/>
  <c r="W249" i="4"/>
  <c r="X248" i="4"/>
  <c r="W248" i="4"/>
  <c r="X247" i="4"/>
  <c r="W247" i="4"/>
  <c r="X246" i="4"/>
  <c r="W246" i="4"/>
  <c r="X245" i="4"/>
  <c r="W245" i="4"/>
  <c r="X244" i="4"/>
  <c r="W244" i="4"/>
  <c r="X243" i="4"/>
  <c r="W243" i="4"/>
  <c r="X242" i="4"/>
  <c r="W242" i="4"/>
  <c r="X241" i="4"/>
  <c r="W241" i="4"/>
  <c r="X240" i="4"/>
  <c r="W240" i="4"/>
  <c r="X239" i="4"/>
  <c r="W239" i="4"/>
  <c r="X238" i="4"/>
  <c r="W238" i="4"/>
  <c r="X237" i="4"/>
  <c r="W237" i="4"/>
  <c r="X236" i="4"/>
  <c r="W236" i="4"/>
  <c r="X235" i="4"/>
  <c r="W235" i="4"/>
  <c r="X234" i="4"/>
  <c r="W234" i="4"/>
  <c r="X233" i="4"/>
  <c r="W233" i="4"/>
  <c r="X232" i="4"/>
  <c r="W232" i="4"/>
  <c r="X231" i="4"/>
  <c r="W231" i="4"/>
  <c r="X230" i="4"/>
  <c r="W230" i="4"/>
  <c r="X229" i="4"/>
  <c r="W229" i="4"/>
  <c r="X228" i="4"/>
  <c r="W228" i="4"/>
  <c r="X227" i="4"/>
  <c r="W227" i="4"/>
  <c r="X226" i="4"/>
  <c r="W226" i="4"/>
  <c r="X225" i="4"/>
  <c r="W225" i="4"/>
  <c r="X224" i="4"/>
  <c r="W224" i="4"/>
  <c r="X223" i="4"/>
  <c r="W223" i="4"/>
  <c r="X222" i="4"/>
  <c r="W222" i="4"/>
  <c r="X221" i="4"/>
  <c r="W221" i="4"/>
  <c r="X220" i="4"/>
  <c r="W220" i="4"/>
  <c r="X219" i="4"/>
  <c r="W219" i="4"/>
  <c r="X218" i="4"/>
  <c r="W218" i="4"/>
  <c r="X217" i="4"/>
  <c r="W217" i="4"/>
  <c r="X216" i="4"/>
  <c r="W216" i="4"/>
  <c r="X215" i="4"/>
  <c r="W215" i="4"/>
  <c r="X214" i="4"/>
  <c r="W214" i="4"/>
  <c r="X213" i="4"/>
  <c r="W213" i="4"/>
  <c r="X212" i="4"/>
  <c r="W212" i="4"/>
  <c r="X211" i="4"/>
  <c r="W211" i="4"/>
  <c r="X210" i="4"/>
  <c r="W210" i="4"/>
  <c r="X209" i="4"/>
  <c r="W209" i="4"/>
  <c r="X208" i="4"/>
  <c r="W208" i="4"/>
  <c r="X207" i="4"/>
  <c r="W207" i="4"/>
  <c r="X206" i="4"/>
  <c r="W206" i="4"/>
  <c r="X205" i="4"/>
  <c r="W205" i="4"/>
  <c r="X204" i="4"/>
  <c r="W204" i="4"/>
  <c r="X203" i="4"/>
  <c r="W203" i="4"/>
  <c r="X202" i="4"/>
  <c r="W202" i="4"/>
  <c r="X201" i="4"/>
  <c r="W201" i="4"/>
  <c r="X200" i="4"/>
  <c r="W200" i="4"/>
  <c r="X199" i="4"/>
  <c r="W199" i="4"/>
  <c r="X198" i="4"/>
  <c r="W198" i="4"/>
  <c r="X197" i="4"/>
  <c r="W197" i="4"/>
  <c r="X196" i="4"/>
  <c r="W196" i="4"/>
  <c r="X195" i="4"/>
  <c r="W195" i="4"/>
  <c r="X194" i="4"/>
  <c r="W194" i="4"/>
  <c r="X193" i="4"/>
  <c r="W193" i="4"/>
  <c r="X192" i="4"/>
  <c r="W192" i="4"/>
  <c r="X191" i="4"/>
  <c r="W191" i="4"/>
  <c r="X190" i="4"/>
  <c r="W190" i="4"/>
  <c r="X189" i="4"/>
  <c r="W189" i="4"/>
  <c r="X188" i="4"/>
  <c r="W188" i="4"/>
  <c r="X187" i="4"/>
  <c r="W187" i="4"/>
  <c r="X186" i="4"/>
  <c r="W186" i="4"/>
  <c r="X185" i="4"/>
  <c r="W185" i="4"/>
  <c r="X184" i="4"/>
  <c r="W184" i="4"/>
  <c r="X183" i="4"/>
  <c r="W183" i="4"/>
  <c r="X182" i="4"/>
  <c r="W182" i="4"/>
  <c r="X181" i="4"/>
  <c r="W181" i="4"/>
  <c r="X180" i="4"/>
  <c r="W180" i="4"/>
  <c r="X179" i="4"/>
  <c r="W179" i="4"/>
  <c r="X178" i="4"/>
  <c r="W178" i="4"/>
  <c r="X177" i="4"/>
  <c r="W177" i="4"/>
  <c r="X176" i="4"/>
  <c r="W176" i="4"/>
  <c r="X175" i="4"/>
  <c r="W175" i="4"/>
  <c r="X174" i="4"/>
  <c r="W174" i="4"/>
  <c r="X173" i="4"/>
  <c r="W173" i="4"/>
  <c r="X172" i="4"/>
  <c r="W172" i="4"/>
  <c r="X171" i="4"/>
  <c r="W171" i="4"/>
  <c r="X170" i="4"/>
  <c r="W170" i="4"/>
  <c r="X169" i="4"/>
  <c r="W169" i="4"/>
  <c r="X168" i="4"/>
  <c r="W168" i="4"/>
  <c r="X167" i="4"/>
  <c r="W167" i="4"/>
  <c r="X166" i="4"/>
  <c r="W166" i="4"/>
  <c r="X165" i="4"/>
  <c r="W165" i="4"/>
  <c r="X164" i="4"/>
  <c r="W164" i="4"/>
  <c r="X163" i="4"/>
  <c r="W163" i="4"/>
  <c r="X162" i="4"/>
  <c r="W162" i="4"/>
  <c r="X161" i="4"/>
  <c r="W161" i="4"/>
  <c r="X160" i="4"/>
  <c r="W160" i="4"/>
  <c r="X159" i="4"/>
  <c r="W159" i="4"/>
  <c r="X158" i="4"/>
  <c r="W158" i="4"/>
  <c r="X157" i="4"/>
  <c r="W157" i="4"/>
  <c r="X156" i="4"/>
  <c r="W156" i="4"/>
  <c r="X155" i="4"/>
  <c r="W155" i="4"/>
  <c r="X154" i="4"/>
  <c r="W154" i="4"/>
  <c r="X153" i="4"/>
  <c r="W153" i="4"/>
  <c r="X152" i="4"/>
  <c r="W152" i="4"/>
  <c r="X151" i="4"/>
  <c r="W151" i="4"/>
  <c r="X150" i="4"/>
  <c r="W150" i="4"/>
  <c r="X149" i="4"/>
  <c r="W149" i="4"/>
  <c r="X148" i="4"/>
  <c r="W148" i="4"/>
  <c r="X147" i="4"/>
  <c r="W147" i="4"/>
  <c r="X146" i="4"/>
  <c r="W146" i="4"/>
  <c r="X145" i="4"/>
  <c r="W145" i="4"/>
  <c r="X144" i="4"/>
  <c r="W144" i="4"/>
  <c r="X143" i="4"/>
  <c r="W143" i="4"/>
  <c r="X142" i="4"/>
  <c r="W142" i="4"/>
  <c r="X141" i="4"/>
  <c r="W141" i="4"/>
  <c r="X140" i="4"/>
  <c r="W140" i="4"/>
  <c r="X139" i="4"/>
  <c r="W139" i="4"/>
  <c r="X138" i="4"/>
  <c r="W138" i="4"/>
  <c r="X137" i="4"/>
  <c r="W137" i="4"/>
  <c r="X136" i="4"/>
  <c r="W136" i="4"/>
  <c r="X135" i="4"/>
  <c r="W135" i="4"/>
  <c r="X134" i="4"/>
  <c r="W134" i="4"/>
  <c r="X133" i="4"/>
  <c r="W133" i="4"/>
  <c r="X132" i="4"/>
  <c r="W132" i="4"/>
  <c r="X131" i="4"/>
  <c r="W131" i="4"/>
  <c r="X130" i="4"/>
  <c r="W130" i="4"/>
  <c r="X129" i="4"/>
  <c r="W129" i="4"/>
  <c r="X128" i="4"/>
  <c r="W128" i="4"/>
  <c r="X127" i="4"/>
  <c r="W127" i="4"/>
  <c r="X126" i="4"/>
  <c r="W126" i="4"/>
  <c r="X125" i="4"/>
  <c r="W125" i="4"/>
  <c r="X124" i="4"/>
  <c r="W124" i="4"/>
  <c r="X123" i="4"/>
  <c r="W123" i="4"/>
  <c r="X122" i="4"/>
  <c r="W122" i="4"/>
  <c r="X121" i="4"/>
  <c r="W121" i="4"/>
  <c r="X120" i="4"/>
  <c r="W120" i="4"/>
  <c r="X119" i="4"/>
  <c r="W119" i="4"/>
  <c r="X118" i="4"/>
  <c r="W118" i="4"/>
  <c r="X117" i="4"/>
  <c r="W117" i="4"/>
  <c r="X116" i="4"/>
  <c r="W116" i="4"/>
  <c r="X115" i="4"/>
  <c r="W115" i="4"/>
  <c r="X114" i="4"/>
  <c r="W114" i="4"/>
  <c r="X113" i="4"/>
  <c r="W113" i="4"/>
  <c r="X112" i="4"/>
  <c r="W112" i="4"/>
  <c r="X111" i="4"/>
  <c r="W111" i="4"/>
  <c r="X110" i="4"/>
  <c r="W110" i="4"/>
  <c r="X109" i="4"/>
  <c r="W109" i="4"/>
  <c r="X108" i="4"/>
  <c r="W108" i="4"/>
  <c r="X107" i="4"/>
  <c r="W107" i="4"/>
  <c r="X106" i="4"/>
  <c r="W106" i="4"/>
  <c r="X105" i="4"/>
  <c r="W105" i="4"/>
  <c r="X104" i="4"/>
  <c r="W104" i="4"/>
  <c r="X103" i="4"/>
  <c r="W103" i="4"/>
  <c r="X102" i="4"/>
  <c r="W102" i="4"/>
  <c r="X101" i="4"/>
  <c r="W101" i="4"/>
  <c r="X100" i="4"/>
  <c r="W100" i="4"/>
  <c r="X99" i="4"/>
  <c r="W99" i="4"/>
  <c r="X98" i="4"/>
  <c r="W98" i="4"/>
  <c r="X97" i="4"/>
  <c r="W97" i="4"/>
  <c r="X96" i="4"/>
  <c r="W96" i="4"/>
  <c r="X95" i="4"/>
  <c r="W95" i="4"/>
  <c r="X94" i="4"/>
  <c r="W94" i="4"/>
  <c r="X93" i="4"/>
  <c r="W93" i="4"/>
  <c r="X92" i="4"/>
  <c r="W92" i="4"/>
  <c r="X91" i="4"/>
  <c r="W91" i="4"/>
  <c r="X90" i="4"/>
  <c r="W90" i="4"/>
  <c r="X89" i="4"/>
  <c r="W89" i="4"/>
  <c r="X88" i="4"/>
  <c r="W88" i="4"/>
  <c r="X87" i="4"/>
  <c r="W87" i="4"/>
  <c r="X86" i="4"/>
  <c r="W86" i="4"/>
  <c r="X85" i="4"/>
  <c r="W85" i="4"/>
  <c r="X84" i="4"/>
  <c r="W84" i="4"/>
  <c r="X83" i="4"/>
  <c r="W83" i="4"/>
  <c r="X82" i="4"/>
  <c r="W82" i="4"/>
  <c r="X81" i="4"/>
  <c r="W81" i="4"/>
  <c r="X80" i="4"/>
  <c r="W80" i="4"/>
  <c r="X79" i="4"/>
  <c r="W79" i="4"/>
  <c r="X78" i="4"/>
  <c r="W78" i="4"/>
  <c r="X77" i="4"/>
  <c r="W77" i="4"/>
  <c r="X76" i="4"/>
  <c r="W76" i="4"/>
  <c r="X75" i="4"/>
  <c r="W75" i="4"/>
  <c r="X74" i="4"/>
  <c r="W74" i="4"/>
  <c r="X73" i="4"/>
  <c r="W73" i="4"/>
  <c r="X72" i="4"/>
  <c r="W72" i="4"/>
  <c r="X71" i="4"/>
  <c r="W71" i="4"/>
  <c r="X70" i="4"/>
  <c r="W70" i="4"/>
  <c r="X69" i="4"/>
  <c r="W69" i="4"/>
  <c r="X68" i="4"/>
  <c r="W68" i="4"/>
  <c r="X67" i="4"/>
  <c r="W67" i="4"/>
  <c r="X66" i="4"/>
  <c r="W66" i="4"/>
  <c r="X65" i="4"/>
  <c r="W65" i="4"/>
  <c r="X64" i="4"/>
  <c r="W64" i="4"/>
  <c r="X63" i="4"/>
  <c r="W63" i="4"/>
  <c r="X62" i="4"/>
  <c r="W62" i="4"/>
  <c r="X61" i="4"/>
  <c r="W61" i="4"/>
  <c r="X60" i="4"/>
  <c r="W60" i="4"/>
  <c r="X59" i="4"/>
  <c r="W59" i="4"/>
  <c r="X58" i="4"/>
  <c r="W58" i="4"/>
  <c r="X57" i="4"/>
  <c r="W57" i="4"/>
  <c r="X56" i="4"/>
  <c r="W56" i="4"/>
  <c r="X55" i="4"/>
  <c r="W55" i="4"/>
  <c r="X54" i="4"/>
  <c r="W54" i="4"/>
  <c r="X53" i="4"/>
  <c r="W53" i="4"/>
  <c r="X52" i="4"/>
  <c r="W52" i="4"/>
  <c r="X51" i="4"/>
  <c r="W51" i="4"/>
  <c r="X50" i="4"/>
  <c r="W50" i="4"/>
  <c r="X49" i="4"/>
  <c r="W49" i="4"/>
  <c r="X48" i="4"/>
  <c r="W48" i="4"/>
  <c r="X47" i="4"/>
  <c r="W47" i="4"/>
  <c r="X46" i="4"/>
  <c r="W46" i="4"/>
  <c r="X45" i="4"/>
  <c r="W45" i="4"/>
  <c r="X44" i="4"/>
  <c r="W44" i="4"/>
  <c r="X43" i="4"/>
  <c r="W43" i="4"/>
  <c r="X42" i="4"/>
  <c r="W42" i="4"/>
  <c r="X41" i="4"/>
  <c r="W41" i="4"/>
  <c r="X40" i="4"/>
  <c r="W40" i="4"/>
  <c r="X39" i="4"/>
  <c r="W39" i="4"/>
  <c r="X38" i="4"/>
  <c r="W38" i="4"/>
  <c r="X37" i="4"/>
  <c r="W37" i="4"/>
  <c r="X36" i="4"/>
  <c r="W36" i="4"/>
  <c r="X35" i="4"/>
  <c r="W35" i="4"/>
  <c r="X34" i="4"/>
  <c r="W34" i="4"/>
  <c r="X33" i="4"/>
  <c r="W33" i="4"/>
  <c r="X32" i="4"/>
  <c r="W32" i="4"/>
  <c r="X31" i="4"/>
  <c r="W31" i="4"/>
  <c r="X30" i="4"/>
  <c r="W30" i="4"/>
  <c r="X29" i="4"/>
  <c r="W29" i="4"/>
  <c r="X28" i="4"/>
  <c r="W28" i="4"/>
  <c r="X27" i="4"/>
  <c r="W27" i="4"/>
  <c r="X26" i="4"/>
  <c r="W26" i="4"/>
  <c r="X25" i="4"/>
  <c r="W25" i="4"/>
  <c r="X24" i="4"/>
  <c r="W24" i="4"/>
  <c r="X23" i="4"/>
  <c r="W23" i="4"/>
  <c r="X22" i="4"/>
  <c r="W22" i="4"/>
  <c r="X21" i="4"/>
  <c r="W21" i="4"/>
  <c r="X20" i="4"/>
  <c r="W20" i="4"/>
  <c r="X19" i="4"/>
  <c r="W19" i="4"/>
  <c r="X18" i="4"/>
  <c r="W18" i="4"/>
  <c r="X17" i="4"/>
  <c r="W17" i="4"/>
  <c r="X16" i="4"/>
  <c r="W16" i="4"/>
  <c r="X15" i="4"/>
  <c r="W15" i="4"/>
  <c r="X14" i="4"/>
  <c r="W14" i="4"/>
  <c r="X13" i="4"/>
  <c r="W13" i="4"/>
  <c r="X12" i="4"/>
  <c r="W12" i="4"/>
  <c r="X11" i="4"/>
  <c r="W11" i="4"/>
  <c r="V355" i="4"/>
  <c r="U355" i="4"/>
  <c r="V354" i="4"/>
  <c r="U354" i="4"/>
  <c r="V353" i="4"/>
  <c r="U353" i="4"/>
  <c r="V352" i="4"/>
  <c r="U352" i="4"/>
  <c r="V351" i="4"/>
  <c r="U351" i="4"/>
  <c r="V350" i="4"/>
  <c r="U350" i="4"/>
  <c r="V349" i="4"/>
  <c r="U349" i="4"/>
  <c r="V348" i="4"/>
  <c r="U348" i="4"/>
  <c r="V347" i="4"/>
  <c r="U347" i="4"/>
  <c r="V346" i="4"/>
  <c r="U346" i="4"/>
  <c r="V345" i="4"/>
  <c r="U345" i="4"/>
  <c r="V344" i="4"/>
  <c r="U344" i="4"/>
  <c r="V343" i="4"/>
  <c r="U343" i="4"/>
  <c r="V342" i="4"/>
  <c r="U342" i="4"/>
  <c r="V341" i="4"/>
  <c r="U341" i="4"/>
  <c r="V340" i="4"/>
  <c r="U340" i="4"/>
  <c r="V339" i="4"/>
  <c r="U339" i="4"/>
  <c r="V338" i="4"/>
  <c r="U338" i="4"/>
  <c r="V337" i="4"/>
  <c r="U337" i="4"/>
  <c r="V336" i="4"/>
  <c r="U336" i="4"/>
  <c r="V335" i="4"/>
  <c r="U335" i="4"/>
  <c r="V334" i="4"/>
  <c r="U334" i="4"/>
  <c r="V333" i="4"/>
  <c r="U333" i="4"/>
  <c r="V332" i="4"/>
  <c r="U332" i="4"/>
  <c r="V331" i="4"/>
  <c r="U331" i="4"/>
  <c r="V330" i="4"/>
  <c r="U330" i="4"/>
  <c r="V329" i="4"/>
  <c r="U329" i="4"/>
  <c r="V328" i="4"/>
  <c r="U328" i="4"/>
  <c r="V327" i="4"/>
  <c r="U327" i="4"/>
  <c r="V326" i="4"/>
  <c r="U326" i="4"/>
  <c r="V325" i="4"/>
  <c r="U325" i="4"/>
  <c r="V324" i="4"/>
  <c r="U324" i="4"/>
  <c r="V323" i="4"/>
  <c r="U323" i="4"/>
  <c r="V322" i="4"/>
  <c r="U322" i="4"/>
  <c r="V321" i="4"/>
  <c r="U321" i="4"/>
  <c r="V320" i="4"/>
  <c r="U320" i="4"/>
  <c r="V319" i="4"/>
  <c r="U319" i="4"/>
  <c r="V318" i="4"/>
  <c r="U318" i="4"/>
  <c r="V317" i="4"/>
  <c r="U317" i="4"/>
  <c r="V316" i="4"/>
  <c r="U316" i="4"/>
  <c r="V315" i="4"/>
  <c r="U315" i="4"/>
  <c r="V314" i="4"/>
  <c r="U314" i="4"/>
  <c r="V313" i="4"/>
  <c r="U313" i="4"/>
  <c r="V312" i="4"/>
  <c r="U312" i="4"/>
  <c r="V311" i="4"/>
  <c r="U311" i="4"/>
  <c r="V310" i="4"/>
  <c r="U310" i="4"/>
  <c r="V309" i="4"/>
  <c r="U309" i="4"/>
  <c r="V308" i="4"/>
  <c r="U308" i="4"/>
  <c r="V307" i="4"/>
  <c r="U307" i="4"/>
  <c r="V306" i="4"/>
  <c r="U306" i="4"/>
  <c r="V305" i="4"/>
  <c r="U305" i="4"/>
  <c r="V304" i="4"/>
  <c r="U304" i="4"/>
  <c r="V303" i="4"/>
  <c r="U303" i="4"/>
  <c r="V302" i="4"/>
  <c r="U302" i="4"/>
  <c r="V301" i="4"/>
  <c r="U301" i="4"/>
  <c r="V300" i="4"/>
  <c r="U300" i="4"/>
  <c r="V299" i="4"/>
  <c r="U299" i="4"/>
  <c r="V298" i="4"/>
  <c r="U298" i="4"/>
  <c r="V297" i="4"/>
  <c r="U297" i="4"/>
  <c r="V296" i="4"/>
  <c r="U296" i="4"/>
  <c r="V295" i="4"/>
  <c r="U295" i="4"/>
  <c r="V294" i="4"/>
  <c r="U294" i="4"/>
  <c r="V293" i="4"/>
  <c r="U293" i="4"/>
  <c r="V292" i="4"/>
  <c r="U292" i="4"/>
  <c r="V291" i="4"/>
  <c r="U291" i="4"/>
  <c r="V290" i="4"/>
  <c r="U290" i="4"/>
  <c r="V289" i="4"/>
  <c r="U289" i="4"/>
  <c r="V288" i="4"/>
  <c r="U288" i="4"/>
  <c r="V287" i="4"/>
  <c r="U287" i="4"/>
  <c r="V286" i="4"/>
  <c r="U286" i="4"/>
  <c r="V285" i="4"/>
  <c r="U285" i="4"/>
  <c r="V284" i="4"/>
  <c r="U284" i="4"/>
  <c r="V283" i="4"/>
  <c r="U283" i="4"/>
  <c r="V282" i="4"/>
  <c r="U282" i="4"/>
  <c r="V281" i="4"/>
  <c r="U281" i="4"/>
  <c r="V280" i="4"/>
  <c r="U280" i="4"/>
  <c r="V279" i="4"/>
  <c r="U279" i="4"/>
  <c r="V278" i="4"/>
  <c r="U278" i="4"/>
  <c r="V277" i="4"/>
  <c r="U277" i="4"/>
  <c r="V276" i="4"/>
  <c r="U276" i="4"/>
  <c r="V275" i="4"/>
  <c r="U275" i="4"/>
  <c r="V274" i="4"/>
  <c r="U274" i="4"/>
  <c r="V273" i="4"/>
  <c r="U273" i="4"/>
  <c r="V272" i="4"/>
  <c r="U272" i="4"/>
  <c r="V271" i="4"/>
  <c r="U271" i="4"/>
  <c r="V270" i="4"/>
  <c r="U270" i="4"/>
  <c r="V269" i="4"/>
  <c r="U269" i="4"/>
  <c r="V268" i="4"/>
  <c r="U268" i="4"/>
  <c r="V267" i="4"/>
  <c r="U267" i="4"/>
  <c r="V266" i="4"/>
  <c r="U266" i="4"/>
  <c r="V265" i="4"/>
  <c r="U265" i="4"/>
  <c r="V264" i="4"/>
  <c r="U264" i="4"/>
  <c r="V263" i="4"/>
  <c r="U263" i="4"/>
  <c r="V262" i="4"/>
  <c r="U262" i="4"/>
  <c r="V261" i="4"/>
  <c r="U261" i="4"/>
  <c r="V260" i="4"/>
  <c r="U260" i="4"/>
  <c r="V259" i="4"/>
  <c r="U259" i="4"/>
  <c r="V258" i="4"/>
  <c r="U258" i="4"/>
  <c r="V257" i="4"/>
  <c r="U257" i="4"/>
  <c r="V256" i="4"/>
  <c r="U256" i="4"/>
  <c r="V255" i="4"/>
  <c r="U255" i="4"/>
  <c r="V254" i="4"/>
  <c r="U254" i="4"/>
  <c r="V253" i="4"/>
  <c r="U253" i="4"/>
  <c r="V252" i="4"/>
  <c r="U252" i="4"/>
  <c r="V251" i="4"/>
  <c r="U251" i="4"/>
  <c r="V250" i="4"/>
  <c r="U250" i="4"/>
  <c r="V249" i="4"/>
  <c r="U249" i="4"/>
  <c r="V248" i="4"/>
  <c r="U248" i="4"/>
  <c r="V247" i="4"/>
  <c r="U247" i="4"/>
  <c r="V246" i="4"/>
  <c r="U246" i="4"/>
  <c r="V245" i="4"/>
  <c r="U245" i="4"/>
  <c r="V244" i="4"/>
  <c r="U244" i="4"/>
  <c r="V243" i="4"/>
  <c r="U243" i="4"/>
  <c r="V242" i="4"/>
  <c r="U242" i="4"/>
  <c r="V241" i="4"/>
  <c r="U241" i="4"/>
  <c r="V240" i="4"/>
  <c r="U240" i="4"/>
  <c r="V239" i="4"/>
  <c r="U239" i="4"/>
  <c r="V238" i="4"/>
  <c r="U238" i="4"/>
  <c r="V237" i="4"/>
  <c r="U237" i="4"/>
  <c r="V236" i="4"/>
  <c r="U236" i="4"/>
  <c r="V235" i="4"/>
  <c r="U235" i="4"/>
  <c r="V234" i="4"/>
  <c r="U234" i="4"/>
  <c r="V233" i="4"/>
  <c r="U233" i="4"/>
  <c r="V232" i="4"/>
  <c r="U232" i="4"/>
  <c r="V231" i="4"/>
  <c r="U231" i="4"/>
  <c r="V230" i="4"/>
  <c r="U230" i="4"/>
  <c r="V229" i="4"/>
  <c r="U229" i="4"/>
  <c r="V228" i="4"/>
  <c r="U228" i="4"/>
  <c r="V227" i="4"/>
  <c r="U227" i="4"/>
  <c r="V226" i="4"/>
  <c r="U226" i="4"/>
  <c r="V225" i="4"/>
  <c r="U225" i="4"/>
  <c r="V224" i="4"/>
  <c r="U224" i="4"/>
  <c r="V223" i="4"/>
  <c r="U223" i="4"/>
  <c r="V222" i="4"/>
  <c r="U222" i="4"/>
  <c r="V221" i="4"/>
  <c r="U221" i="4"/>
  <c r="V220" i="4"/>
  <c r="U220" i="4"/>
  <c r="V219" i="4"/>
  <c r="U219" i="4"/>
  <c r="V218" i="4"/>
  <c r="U218" i="4"/>
  <c r="V217" i="4"/>
  <c r="U217" i="4"/>
  <c r="V216" i="4"/>
  <c r="U216" i="4"/>
  <c r="V215" i="4"/>
  <c r="U215" i="4"/>
  <c r="V214" i="4"/>
  <c r="U214" i="4"/>
  <c r="V213" i="4"/>
  <c r="U213" i="4"/>
  <c r="V212" i="4"/>
  <c r="U212" i="4"/>
  <c r="V211" i="4"/>
  <c r="U211" i="4"/>
  <c r="V210" i="4"/>
  <c r="U210" i="4"/>
  <c r="V209" i="4"/>
  <c r="U209" i="4"/>
  <c r="V208" i="4"/>
  <c r="U208" i="4"/>
  <c r="V207" i="4"/>
  <c r="U207" i="4"/>
  <c r="V206" i="4"/>
  <c r="U206" i="4"/>
  <c r="V205" i="4"/>
  <c r="U205" i="4"/>
  <c r="V204" i="4"/>
  <c r="U204" i="4"/>
  <c r="V203" i="4"/>
  <c r="U203" i="4"/>
  <c r="V202" i="4"/>
  <c r="U202" i="4"/>
  <c r="V201" i="4"/>
  <c r="U201" i="4"/>
  <c r="V200" i="4"/>
  <c r="U200" i="4"/>
  <c r="V199" i="4"/>
  <c r="U199" i="4"/>
  <c r="V198" i="4"/>
  <c r="U198" i="4"/>
  <c r="V197" i="4"/>
  <c r="U197" i="4"/>
  <c r="V196" i="4"/>
  <c r="U196" i="4"/>
  <c r="V195" i="4"/>
  <c r="U195" i="4"/>
  <c r="V194" i="4"/>
  <c r="U194" i="4"/>
  <c r="V193" i="4"/>
  <c r="U193" i="4"/>
  <c r="V192" i="4"/>
  <c r="U192" i="4"/>
  <c r="V191" i="4"/>
  <c r="U191" i="4"/>
  <c r="V190" i="4"/>
  <c r="U190" i="4"/>
  <c r="V189" i="4"/>
  <c r="U189" i="4"/>
  <c r="V188" i="4"/>
  <c r="U188" i="4"/>
  <c r="V187" i="4"/>
  <c r="U187" i="4"/>
  <c r="V186" i="4"/>
  <c r="U186" i="4"/>
  <c r="V185" i="4"/>
  <c r="U185" i="4"/>
  <c r="V184" i="4"/>
  <c r="U184" i="4"/>
  <c r="V183" i="4"/>
  <c r="U183" i="4"/>
  <c r="V182" i="4"/>
  <c r="U182" i="4"/>
  <c r="V181" i="4"/>
  <c r="U181" i="4"/>
  <c r="V180" i="4"/>
  <c r="U180" i="4"/>
  <c r="V179" i="4"/>
  <c r="U179" i="4"/>
  <c r="V178" i="4"/>
  <c r="U178" i="4"/>
  <c r="V177" i="4"/>
  <c r="U177" i="4"/>
  <c r="V176" i="4"/>
  <c r="U176" i="4"/>
  <c r="V175" i="4"/>
  <c r="U175" i="4"/>
  <c r="V174" i="4"/>
  <c r="U174" i="4"/>
  <c r="V173" i="4"/>
  <c r="U173" i="4"/>
  <c r="V172" i="4"/>
  <c r="U172" i="4"/>
  <c r="V171" i="4"/>
  <c r="U171" i="4"/>
  <c r="V170" i="4"/>
  <c r="U170" i="4"/>
  <c r="V169" i="4"/>
  <c r="U169" i="4"/>
  <c r="V168" i="4"/>
  <c r="U168" i="4"/>
  <c r="V167" i="4"/>
  <c r="U167" i="4"/>
  <c r="V166" i="4"/>
  <c r="U166" i="4"/>
  <c r="V165" i="4"/>
  <c r="U165" i="4"/>
  <c r="V164" i="4"/>
  <c r="U164" i="4"/>
  <c r="V163" i="4"/>
  <c r="U163" i="4"/>
  <c r="V162" i="4"/>
  <c r="U162" i="4"/>
  <c r="V161" i="4"/>
  <c r="U161" i="4"/>
  <c r="V160" i="4"/>
  <c r="U160" i="4"/>
  <c r="V159" i="4"/>
  <c r="U159" i="4"/>
  <c r="V158" i="4"/>
  <c r="U158" i="4"/>
  <c r="V157" i="4"/>
  <c r="U157" i="4"/>
  <c r="V156" i="4"/>
  <c r="U156" i="4"/>
  <c r="V155" i="4"/>
  <c r="U155" i="4"/>
  <c r="V154" i="4"/>
  <c r="U154" i="4"/>
  <c r="V153" i="4"/>
  <c r="U153" i="4"/>
  <c r="V152" i="4"/>
  <c r="U152" i="4"/>
  <c r="V151" i="4"/>
  <c r="U151" i="4"/>
  <c r="V150" i="4"/>
  <c r="U150" i="4"/>
  <c r="V149" i="4"/>
  <c r="U149" i="4"/>
  <c r="V148" i="4"/>
  <c r="U148" i="4"/>
  <c r="V147" i="4"/>
  <c r="U147" i="4"/>
  <c r="V146" i="4"/>
  <c r="U146" i="4"/>
  <c r="V145" i="4"/>
  <c r="U145" i="4"/>
  <c r="V144" i="4"/>
  <c r="U144" i="4"/>
  <c r="V143" i="4"/>
  <c r="U143" i="4"/>
  <c r="V142" i="4"/>
  <c r="U142" i="4"/>
  <c r="V141" i="4"/>
  <c r="U141" i="4"/>
  <c r="V140" i="4"/>
  <c r="U140" i="4"/>
  <c r="V139" i="4"/>
  <c r="U139" i="4"/>
  <c r="V138" i="4"/>
  <c r="U138" i="4"/>
  <c r="V137" i="4"/>
  <c r="U137" i="4"/>
  <c r="V136" i="4"/>
  <c r="U136" i="4"/>
  <c r="V135" i="4"/>
  <c r="U135" i="4"/>
  <c r="V134" i="4"/>
  <c r="U134" i="4"/>
  <c r="V133" i="4"/>
  <c r="U133" i="4"/>
  <c r="V132" i="4"/>
  <c r="U132" i="4"/>
  <c r="V131" i="4"/>
  <c r="U131" i="4"/>
  <c r="V130" i="4"/>
  <c r="U130" i="4"/>
  <c r="V129" i="4"/>
  <c r="U129" i="4"/>
  <c r="V128" i="4"/>
  <c r="U128" i="4"/>
  <c r="V127" i="4"/>
  <c r="U127" i="4"/>
  <c r="V126" i="4"/>
  <c r="U126" i="4"/>
  <c r="V125" i="4"/>
  <c r="U125" i="4"/>
  <c r="V124" i="4"/>
  <c r="U124" i="4"/>
  <c r="V123" i="4"/>
  <c r="U123" i="4"/>
  <c r="V122" i="4"/>
  <c r="U122" i="4"/>
  <c r="V121" i="4"/>
  <c r="U121" i="4"/>
  <c r="V120" i="4"/>
  <c r="U120" i="4"/>
  <c r="V119" i="4"/>
  <c r="U119" i="4"/>
  <c r="V118" i="4"/>
  <c r="U118" i="4"/>
  <c r="V117" i="4"/>
  <c r="U117" i="4"/>
  <c r="V116" i="4"/>
  <c r="U116" i="4"/>
  <c r="V115" i="4"/>
  <c r="U115" i="4"/>
  <c r="V114" i="4"/>
  <c r="U114" i="4"/>
  <c r="V113" i="4"/>
  <c r="U113" i="4"/>
  <c r="V112" i="4"/>
  <c r="U112" i="4"/>
  <c r="V111" i="4"/>
  <c r="U111" i="4"/>
  <c r="V110" i="4"/>
  <c r="U110" i="4"/>
  <c r="V109" i="4"/>
  <c r="U109" i="4"/>
  <c r="V108" i="4"/>
  <c r="U108" i="4"/>
  <c r="V107" i="4"/>
  <c r="U107" i="4"/>
  <c r="V106" i="4"/>
  <c r="U106" i="4"/>
  <c r="V105" i="4"/>
  <c r="U105" i="4"/>
  <c r="V104" i="4"/>
  <c r="U104" i="4"/>
  <c r="V103" i="4"/>
  <c r="U103" i="4"/>
  <c r="V102" i="4"/>
  <c r="U102" i="4"/>
  <c r="V101" i="4"/>
  <c r="U101" i="4"/>
  <c r="V100" i="4"/>
  <c r="U100" i="4"/>
  <c r="V99" i="4"/>
  <c r="U99" i="4"/>
  <c r="V98" i="4"/>
  <c r="U98" i="4"/>
  <c r="V97" i="4"/>
  <c r="U97" i="4"/>
  <c r="V96" i="4"/>
  <c r="U96" i="4"/>
  <c r="V95" i="4"/>
  <c r="U95" i="4"/>
  <c r="V94" i="4"/>
  <c r="U94" i="4"/>
  <c r="V93" i="4"/>
  <c r="U93" i="4"/>
  <c r="V92" i="4"/>
  <c r="U92" i="4"/>
  <c r="V91" i="4"/>
  <c r="U91" i="4"/>
  <c r="V90" i="4"/>
  <c r="U90" i="4"/>
  <c r="V89" i="4"/>
  <c r="U89" i="4"/>
  <c r="V88" i="4"/>
  <c r="U88" i="4"/>
  <c r="V87" i="4"/>
  <c r="U87" i="4"/>
  <c r="V86" i="4"/>
  <c r="U86" i="4"/>
  <c r="V85" i="4"/>
  <c r="U85" i="4"/>
  <c r="V84" i="4"/>
  <c r="U84" i="4"/>
  <c r="V83" i="4"/>
  <c r="U83" i="4"/>
  <c r="V82" i="4"/>
  <c r="U82" i="4"/>
  <c r="V81" i="4"/>
  <c r="U81" i="4"/>
  <c r="V80" i="4"/>
  <c r="U80" i="4"/>
  <c r="V79" i="4"/>
  <c r="U79" i="4"/>
  <c r="V78" i="4"/>
  <c r="U78" i="4"/>
  <c r="V77" i="4"/>
  <c r="U77" i="4"/>
  <c r="V76" i="4"/>
  <c r="U76" i="4"/>
  <c r="V75" i="4"/>
  <c r="U75" i="4"/>
  <c r="V74" i="4"/>
  <c r="U74" i="4"/>
  <c r="V73" i="4"/>
  <c r="U73" i="4"/>
  <c r="V72" i="4"/>
  <c r="U72" i="4"/>
  <c r="V71" i="4"/>
  <c r="U71" i="4"/>
  <c r="V70" i="4"/>
  <c r="U70" i="4"/>
  <c r="V69" i="4"/>
  <c r="U69" i="4"/>
  <c r="V68" i="4"/>
  <c r="U68" i="4"/>
  <c r="V67" i="4"/>
  <c r="U67" i="4"/>
  <c r="V66" i="4"/>
  <c r="U66" i="4"/>
  <c r="V65" i="4"/>
  <c r="U65" i="4"/>
  <c r="V64" i="4"/>
  <c r="U64" i="4"/>
  <c r="V63" i="4"/>
  <c r="U63" i="4"/>
  <c r="V62" i="4"/>
  <c r="U62" i="4"/>
  <c r="V61" i="4"/>
  <c r="U61" i="4"/>
  <c r="V60" i="4"/>
  <c r="U60" i="4"/>
  <c r="V59" i="4"/>
  <c r="U59" i="4"/>
  <c r="V58" i="4"/>
  <c r="U58" i="4"/>
  <c r="V57" i="4"/>
  <c r="U57" i="4"/>
  <c r="V56" i="4"/>
  <c r="U56" i="4"/>
  <c r="V55" i="4"/>
  <c r="U55" i="4"/>
  <c r="V54" i="4"/>
  <c r="U54" i="4"/>
  <c r="V53" i="4"/>
  <c r="U53" i="4"/>
  <c r="V52" i="4"/>
  <c r="U52" i="4"/>
  <c r="V51" i="4"/>
  <c r="U51" i="4"/>
  <c r="V50" i="4"/>
  <c r="U50" i="4"/>
  <c r="V49" i="4"/>
  <c r="U49" i="4"/>
  <c r="V48" i="4"/>
  <c r="U48" i="4"/>
  <c r="V47" i="4"/>
  <c r="U47" i="4"/>
  <c r="V46" i="4"/>
  <c r="U46" i="4"/>
  <c r="V45" i="4"/>
  <c r="U45" i="4"/>
  <c r="V44" i="4"/>
  <c r="U44" i="4"/>
  <c r="V43" i="4"/>
  <c r="U43" i="4"/>
  <c r="V42" i="4"/>
  <c r="U42" i="4"/>
  <c r="V41" i="4"/>
  <c r="U41" i="4"/>
  <c r="V40" i="4"/>
  <c r="U40" i="4"/>
  <c r="V39" i="4"/>
  <c r="U39" i="4"/>
  <c r="V38" i="4"/>
  <c r="U38" i="4"/>
  <c r="V37" i="4"/>
  <c r="U37" i="4"/>
  <c r="V36" i="4"/>
  <c r="U36" i="4"/>
  <c r="V35" i="4"/>
  <c r="U35" i="4"/>
  <c r="V34" i="4"/>
  <c r="U34" i="4"/>
  <c r="V33" i="4"/>
  <c r="U33" i="4"/>
  <c r="V32" i="4"/>
  <c r="U32" i="4"/>
  <c r="V31" i="4"/>
  <c r="U31" i="4"/>
  <c r="V30" i="4"/>
  <c r="U30" i="4"/>
  <c r="V29" i="4"/>
  <c r="U29" i="4"/>
  <c r="V28" i="4"/>
  <c r="U28" i="4"/>
  <c r="V27" i="4"/>
  <c r="U27" i="4"/>
  <c r="V26" i="4"/>
  <c r="U26" i="4"/>
  <c r="V25" i="4"/>
  <c r="U25" i="4"/>
  <c r="V24" i="4"/>
  <c r="U24" i="4"/>
  <c r="V23" i="4"/>
  <c r="U23" i="4"/>
  <c r="V22" i="4"/>
  <c r="U22" i="4"/>
  <c r="V21" i="4"/>
  <c r="U21" i="4"/>
  <c r="V20" i="4"/>
  <c r="U20" i="4"/>
  <c r="V19" i="4"/>
  <c r="U19" i="4"/>
  <c r="V18" i="4"/>
  <c r="U18" i="4"/>
  <c r="V17" i="4"/>
  <c r="U17" i="4"/>
  <c r="V16" i="4"/>
  <c r="U16" i="4"/>
  <c r="V15" i="4"/>
  <c r="U15" i="4"/>
  <c r="V14" i="4"/>
  <c r="U14" i="4"/>
  <c r="V13" i="4"/>
  <c r="U13" i="4"/>
  <c r="V12" i="4"/>
  <c r="U12" i="4"/>
  <c r="V11" i="4"/>
  <c r="U11" i="4"/>
  <c r="S355" i="4"/>
  <c r="R355" i="4"/>
  <c r="S354" i="4"/>
  <c r="R354" i="4"/>
  <c r="S353" i="4"/>
  <c r="R353" i="4"/>
  <c r="S352" i="4"/>
  <c r="R352" i="4"/>
  <c r="S351" i="4"/>
  <c r="R351" i="4"/>
  <c r="S350" i="4"/>
  <c r="R350" i="4"/>
  <c r="S349" i="4"/>
  <c r="R349" i="4"/>
  <c r="S348" i="4"/>
  <c r="R348" i="4"/>
  <c r="S347" i="4"/>
  <c r="R347" i="4"/>
  <c r="S346" i="4"/>
  <c r="R346" i="4"/>
  <c r="S345" i="4"/>
  <c r="R345" i="4"/>
  <c r="S344" i="4"/>
  <c r="R344" i="4"/>
  <c r="S343" i="4"/>
  <c r="R343" i="4"/>
  <c r="S342" i="4"/>
  <c r="R342" i="4"/>
  <c r="S341" i="4"/>
  <c r="R341" i="4"/>
  <c r="S340" i="4"/>
  <c r="R340" i="4"/>
  <c r="S339" i="4"/>
  <c r="R339" i="4"/>
  <c r="S338" i="4"/>
  <c r="R338" i="4"/>
  <c r="S337" i="4"/>
  <c r="R337" i="4"/>
  <c r="S336" i="4"/>
  <c r="R336" i="4"/>
  <c r="S335" i="4"/>
  <c r="R335" i="4"/>
  <c r="S334" i="4"/>
  <c r="S333" i="4"/>
  <c r="R333" i="4"/>
  <c r="S332" i="4"/>
  <c r="R332" i="4"/>
  <c r="S331" i="4"/>
  <c r="R331" i="4"/>
  <c r="S330" i="4"/>
  <c r="R330" i="4"/>
  <c r="S329" i="4"/>
  <c r="S328" i="4"/>
  <c r="R328" i="4"/>
  <c r="S327" i="4"/>
  <c r="R327" i="4"/>
  <c r="S326" i="4"/>
  <c r="R326" i="4"/>
  <c r="S325" i="4"/>
  <c r="R325" i="4"/>
  <c r="S324" i="4"/>
  <c r="R324" i="4"/>
  <c r="S323" i="4"/>
  <c r="R323" i="4"/>
  <c r="S322" i="4"/>
  <c r="R322" i="4"/>
  <c r="S321" i="4"/>
  <c r="R321" i="4"/>
  <c r="S320" i="4"/>
  <c r="R320" i="4"/>
  <c r="S319" i="4"/>
  <c r="R319" i="4"/>
  <c r="S318" i="4"/>
  <c r="R318" i="4"/>
  <c r="S317" i="4"/>
  <c r="R317" i="4"/>
  <c r="S316" i="4"/>
  <c r="S315" i="4"/>
  <c r="R315" i="4"/>
  <c r="S314" i="4"/>
  <c r="R314" i="4"/>
  <c r="S313" i="4"/>
  <c r="R313" i="4"/>
  <c r="S312" i="4"/>
  <c r="R312" i="4"/>
  <c r="S311" i="4"/>
  <c r="R311" i="4"/>
  <c r="S310" i="4"/>
  <c r="R310" i="4"/>
  <c r="S309" i="4"/>
  <c r="R309" i="4"/>
  <c r="S308" i="4"/>
  <c r="R308" i="4"/>
  <c r="S307" i="4"/>
  <c r="R307" i="4"/>
  <c r="S306" i="4"/>
  <c r="R306" i="4"/>
  <c r="S305" i="4"/>
  <c r="R305" i="4"/>
  <c r="S304" i="4"/>
  <c r="R304" i="4"/>
  <c r="S303" i="4"/>
  <c r="R303" i="4"/>
  <c r="S302" i="4"/>
  <c r="R302" i="4"/>
  <c r="S301" i="4"/>
  <c r="R301" i="4"/>
  <c r="S300" i="4"/>
  <c r="R300" i="4"/>
  <c r="S299" i="4"/>
  <c r="R299" i="4"/>
  <c r="S298" i="4"/>
  <c r="R298" i="4"/>
  <c r="S297" i="4"/>
  <c r="R297" i="4"/>
  <c r="S296" i="4"/>
  <c r="R296" i="4"/>
  <c r="S295" i="4"/>
  <c r="R295" i="4"/>
  <c r="S294" i="4"/>
  <c r="R294" i="4"/>
  <c r="S293" i="4"/>
  <c r="R293" i="4"/>
  <c r="S292" i="4"/>
  <c r="R292" i="4"/>
  <c r="S291" i="4"/>
  <c r="R291" i="4"/>
  <c r="S290" i="4"/>
  <c r="R290" i="4"/>
  <c r="S289" i="4"/>
  <c r="R289" i="4"/>
  <c r="S288" i="4"/>
  <c r="R288" i="4"/>
  <c r="S287" i="4"/>
  <c r="R287" i="4"/>
  <c r="S286" i="4"/>
  <c r="R286" i="4"/>
  <c r="S285" i="4"/>
  <c r="R285" i="4"/>
  <c r="S284" i="4"/>
  <c r="R284" i="4"/>
  <c r="S283" i="4"/>
  <c r="R283" i="4"/>
  <c r="S282" i="4"/>
  <c r="R282" i="4"/>
  <c r="S281" i="4"/>
  <c r="R281" i="4"/>
  <c r="S280" i="4"/>
  <c r="R280" i="4"/>
  <c r="S279" i="4"/>
  <c r="R279" i="4"/>
  <c r="S278" i="4"/>
  <c r="R278" i="4"/>
  <c r="S277" i="4"/>
  <c r="R277" i="4"/>
  <c r="S276" i="4"/>
  <c r="R276" i="4"/>
  <c r="S275" i="4"/>
  <c r="R275" i="4"/>
  <c r="S274" i="4"/>
  <c r="R274" i="4"/>
  <c r="S273" i="4"/>
  <c r="R273" i="4"/>
  <c r="S272" i="4"/>
  <c r="R272" i="4"/>
  <c r="S271" i="4"/>
  <c r="R271" i="4"/>
  <c r="S270" i="4"/>
  <c r="R270" i="4"/>
  <c r="S269" i="4"/>
  <c r="R269" i="4"/>
  <c r="S268" i="4"/>
  <c r="R268" i="4"/>
  <c r="S267" i="4"/>
  <c r="R267" i="4"/>
  <c r="S266" i="4"/>
  <c r="R266" i="4"/>
  <c r="S265" i="4"/>
  <c r="R265" i="4"/>
  <c r="S264" i="4"/>
  <c r="R264" i="4"/>
  <c r="S263" i="4"/>
  <c r="R263" i="4"/>
  <c r="S262" i="4"/>
  <c r="R262" i="4"/>
  <c r="S261" i="4"/>
  <c r="R261" i="4"/>
  <c r="S260" i="4"/>
  <c r="R260" i="4"/>
  <c r="S259" i="4"/>
  <c r="S258" i="4"/>
  <c r="R258" i="4"/>
  <c r="S257" i="4"/>
  <c r="R257" i="4"/>
  <c r="S256" i="4"/>
  <c r="R256" i="4"/>
  <c r="S255" i="4"/>
  <c r="R255" i="4"/>
  <c r="S254" i="4"/>
  <c r="R254" i="4"/>
  <c r="S253" i="4"/>
  <c r="R253" i="4"/>
  <c r="S252" i="4"/>
  <c r="R252" i="4"/>
  <c r="S251" i="4"/>
  <c r="R251" i="4"/>
  <c r="S250" i="4"/>
  <c r="R250" i="4"/>
  <c r="S249" i="4"/>
  <c r="R249" i="4"/>
  <c r="S248" i="4"/>
  <c r="R248" i="4"/>
  <c r="S247" i="4"/>
  <c r="R247" i="4"/>
  <c r="S246" i="4"/>
  <c r="R246" i="4"/>
  <c r="S245" i="4"/>
  <c r="R245" i="4"/>
  <c r="S244" i="4"/>
  <c r="R244" i="4"/>
  <c r="S243" i="4"/>
  <c r="R243" i="4"/>
  <c r="S242" i="4"/>
  <c r="R242" i="4"/>
  <c r="S241" i="4"/>
  <c r="R241" i="4"/>
  <c r="S240" i="4"/>
  <c r="S239" i="4"/>
  <c r="R239" i="4"/>
  <c r="S238" i="4"/>
  <c r="R238" i="4"/>
  <c r="S237" i="4"/>
  <c r="S236" i="4"/>
  <c r="R236" i="4"/>
  <c r="S235" i="4"/>
  <c r="R235" i="4"/>
  <c r="S234" i="4"/>
  <c r="R234" i="4"/>
  <c r="S233" i="4"/>
  <c r="S232" i="4"/>
  <c r="R232" i="4"/>
  <c r="S231" i="4"/>
  <c r="R231" i="4"/>
  <c r="S230" i="4"/>
  <c r="R230" i="4"/>
  <c r="S229" i="4"/>
  <c r="R229" i="4"/>
  <c r="S228" i="4"/>
  <c r="R228" i="4"/>
  <c r="S227" i="4"/>
  <c r="R227" i="4"/>
  <c r="S226" i="4"/>
  <c r="S225" i="4"/>
  <c r="R225" i="4"/>
  <c r="S224" i="4"/>
  <c r="R224" i="4"/>
  <c r="S223" i="4"/>
  <c r="R223" i="4"/>
  <c r="S222" i="4"/>
  <c r="R222" i="4"/>
  <c r="S221" i="4"/>
  <c r="R221" i="4"/>
  <c r="S220" i="4"/>
  <c r="R220" i="4"/>
  <c r="S219" i="4"/>
  <c r="R219" i="4"/>
  <c r="S218" i="4"/>
  <c r="R218" i="4"/>
  <c r="S217" i="4"/>
  <c r="R217" i="4"/>
  <c r="S216" i="4"/>
  <c r="R216" i="4"/>
  <c r="S215" i="4"/>
  <c r="R215" i="4"/>
  <c r="S214" i="4"/>
  <c r="R214" i="4"/>
  <c r="S213" i="4"/>
  <c r="R213" i="4"/>
  <c r="S212" i="4"/>
  <c r="R212" i="4"/>
  <c r="S211" i="4"/>
  <c r="R211" i="4"/>
  <c r="S210" i="4"/>
  <c r="R210" i="4"/>
  <c r="S209" i="4"/>
  <c r="R209" i="4"/>
  <c r="S208" i="4"/>
  <c r="R208" i="4"/>
  <c r="S207" i="4"/>
  <c r="R207" i="4"/>
  <c r="S206" i="4"/>
  <c r="R206" i="4"/>
  <c r="S205" i="4"/>
  <c r="R205" i="4"/>
  <c r="S204" i="4"/>
  <c r="R204" i="4"/>
  <c r="S203" i="4"/>
  <c r="R203" i="4"/>
  <c r="S202" i="4"/>
  <c r="R202" i="4"/>
  <c r="S201" i="4"/>
  <c r="R201" i="4"/>
  <c r="S200" i="4"/>
  <c r="R200" i="4"/>
  <c r="S199" i="4"/>
  <c r="R199" i="4"/>
  <c r="S198" i="4"/>
  <c r="R198" i="4"/>
  <c r="S197" i="4"/>
  <c r="R197" i="4"/>
  <c r="S196" i="4"/>
  <c r="R196" i="4"/>
  <c r="S195" i="4"/>
  <c r="R195" i="4"/>
  <c r="S194" i="4"/>
  <c r="R194" i="4"/>
  <c r="S193" i="4"/>
  <c r="R193" i="4"/>
  <c r="S192" i="4"/>
  <c r="R192" i="4"/>
  <c r="S191" i="4"/>
  <c r="R191" i="4"/>
  <c r="S190" i="4"/>
  <c r="R190" i="4"/>
  <c r="S189" i="4"/>
  <c r="R189" i="4"/>
  <c r="S188" i="4"/>
  <c r="R188" i="4"/>
  <c r="S187" i="4"/>
  <c r="R187" i="4"/>
  <c r="S186" i="4"/>
  <c r="R186" i="4"/>
  <c r="S185" i="4"/>
  <c r="R185" i="4"/>
  <c r="S184" i="4"/>
  <c r="R184" i="4"/>
  <c r="S183" i="4"/>
  <c r="S182" i="4"/>
  <c r="R182" i="4"/>
  <c r="S181" i="4"/>
  <c r="R181" i="4"/>
  <c r="S180" i="4"/>
  <c r="R180" i="4"/>
  <c r="S179" i="4"/>
  <c r="R179" i="4"/>
  <c r="S178" i="4"/>
  <c r="R178" i="4"/>
  <c r="S177" i="4"/>
  <c r="R177" i="4"/>
  <c r="S176" i="4"/>
  <c r="S175" i="4"/>
  <c r="R175" i="4"/>
  <c r="S174" i="4"/>
  <c r="R174" i="4"/>
  <c r="S173" i="4"/>
  <c r="R173" i="4"/>
  <c r="S172" i="4"/>
  <c r="R172" i="4"/>
  <c r="S171" i="4"/>
  <c r="R171" i="4"/>
  <c r="S170" i="4"/>
  <c r="R170" i="4"/>
  <c r="S169" i="4"/>
  <c r="R169" i="4"/>
  <c r="S168" i="4"/>
  <c r="R168" i="4"/>
  <c r="S167" i="4"/>
  <c r="R167" i="4"/>
  <c r="S166" i="4"/>
  <c r="R166" i="4"/>
  <c r="S165" i="4"/>
  <c r="R165" i="4"/>
  <c r="S164" i="4"/>
  <c r="R164" i="4"/>
  <c r="S163" i="4"/>
  <c r="R163" i="4"/>
  <c r="S162" i="4"/>
  <c r="R162" i="4"/>
  <c r="S161" i="4"/>
  <c r="R161" i="4"/>
  <c r="S160" i="4"/>
  <c r="R160" i="4"/>
  <c r="S159" i="4"/>
  <c r="R159" i="4"/>
  <c r="S158" i="4"/>
  <c r="R158" i="4"/>
  <c r="S157" i="4"/>
  <c r="R157" i="4"/>
  <c r="S156" i="4"/>
  <c r="R156" i="4"/>
  <c r="S155" i="4"/>
  <c r="R155" i="4"/>
  <c r="S154" i="4"/>
  <c r="R154" i="4"/>
  <c r="S153" i="4"/>
  <c r="R153" i="4"/>
  <c r="S152" i="4"/>
  <c r="R152" i="4"/>
  <c r="S151" i="4"/>
  <c r="R151" i="4"/>
  <c r="S150" i="4"/>
  <c r="R150" i="4"/>
  <c r="S149" i="4"/>
  <c r="R149" i="4"/>
  <c r="S148" i="4"/>
  <c r="R148" i="4"/>
  <c r="S147" i="4"/>
  <c r="R147" i="4"/>
  <c r="S146" i="4"/>
  <c r="R146" i="4"/>
  <c r="S145" i="4"/>
  <c r="R145" i="4"/>
  <c r="S144" i="4"/>
  <c r="R144" i="4"/>
  <c r="S143" i="4"/>
  <c r="R143" i="4"/>
  <c r="S142" i="4"/>
  <c r="R142" i="4"/>
  <c r="S141" i="4"/>
  <c r="R141" i="4"/>
  <c r="S140" i="4"/>
  <c r="R140" i="4"/>
  <c r="S139" i="4"/>
  <c r="R139" i="4"/>
  <c r="S138" i="4"/>
  <c r="R138" i="4"/>
  <c r="S137" i="4"/>
  <c r="R137" i="4"/>
  <c r="S136" i="4"/>
  <c r="R136" i="4"/>
  <c r="S135" i="4"/>
  <c r="R135" i="4"/>
  <c r="S134" i="4"/>
  <c r="R134" i="4"/>
  <c r="S133" i="4"/>
  <c r="R133" i="4"/>
  <c r="S132" i="4"/>
  <c r="R132" i="4"/>
  <c r="S131" i="4"/>
  <c r="R131" i="4"/>
  <c r="S130" i="4"/>
  <c r="R130" i="4"/>
  <c r="S129" i="4"/>
  <c r="R129" i="4"/>
  <c r="S128" i="4"/>
  <c r="R128" i="4"/>
  <c r="S127" i="4"/>
  <c r="R127" i="4"/>
  <c r="S126" i="4"/>
  <c r="R126" i="4"/>
  <c r="S125" i="4"/>
  <c r="R125" i="4"/>
  <c r="S124" i="4"/>
  <c r="R124" i="4"/>
  <c r="S123" i="4"/>
  <c r="R123" i="4"/>
  <c r="S122" i="4"/>
  <c r="R122" i="4"/>
  <c r="S121" i="4"/>
  <c r="R121" i="4"/>
  <c r="S120" i="4"/>
  <c r="S119" i="4"/>
  <c r="R119" i="4"/>
  <c r="S118" i="4"/>
  <c r="R118" i="4"/>
  <c r="S117" i="4"/>
  <c r="R117" i="4"/>
  <c r="S116" i="4"/>
  <c r="R116" i="4"/>
  <c r="S115" i="4"/>
  <c r="R115" i="4"/>
  <c r="S114" i="4"/>
  <c r="R114" i="4"/>
  <c r="S113" i="4"/>
  <c r="R113" i="4"/>
  <c r="S112" i="4"/>
  <c r="R112" i="4"/>
  <c r="S111" i="4"/>
  <c r="R111" i="4"/>
  <c r="S110" i="4"/>
  <c r="R110" i="4"/>
  <c r="S109" i="4"/>
  <c r="R109" i="4"/>
  <c r="S108" i="4"/>
  <c r="S107" i="4"/>
  <c r="R107" i="4"/>
  <c r="S106" i="4"/>
  <c r="R106" i="4"/>
  <c r="S105" i="4"/>
  <c r="R105" i="4"/>
  <c r="S104" i="4"/>
  <c r="R104" i="4"/>
  <c r="S103" i="4"/>
  <c r="R103" i="4"/>
  <c r="S102" i="4"/>
  <c r="R102" i="4"/>
  <c r="S101" i="4"/>
  <c r="R101" i="4"/>
  <c r="S100" i="4"/>
  <c r="S99" i="4"/>
  <c r="R99" i="4"/>
  <c r="S98" i="4"/>
  <c r="R98" i="4"/>
  <c r="S97" i="4"/>
  <c r="R97" i="4"/>
  <c r="S96" i="4"/>
  <c r="R96" i="4"/>
  <c r="S95" i="4"/>
  <c r="R95" i="4"/>
  <c r="S94" i="4"/>
  <c r="R94" i="4"/>
  <c r="S93" i="4"/>
  <c r="R93" i="4"/>
  <c r="S92" i="4"/>
  <c r="R92" i="4"/>
  <c r="S91" i="4"/>
  <c r="R91" i="4"/>
  <c r="S90" i="4"/>
  <c r="R90" i="4"/>
  <c r="S89" i="4"/>
  <c r="R89" i="4"/>
  <c r="S88" i="4"/>
  <c r="R88" i="4"/>
  <c r="S87" i="4"/>
  <c r="R87" i="4"/>
  <c r="S86" i="4"/>
  <c r="R86" i="4"/>
  <c r="S85" i="4"/>
  <c r="R85" i="4"/>
  <c r="S84" i="4"/>
  <c r="R84" i="4"/>
  <c r="S83" i="4"/>
  <c r="R83" i="4"/>
  <c r="S82" i="4"/>
  <c r="R82" i="4"/>
  <c r="S81" i="4"/>
  <c r="R81" i="4"/>
  <c r="S80" i="4"/>
  <c r="R80" i="4"/>
  <c r="S79" i="4"/>
  <c r="R79" i="4"/>
  <c r="S78" i="4"/>
  <c r="R78" i="4"/>
  <c r="S77" i="4"/>
  <c r="R77" i="4"/>
  <c r="S76" i="4"/>
  <c r="R76" i="4"/>
  <c r="S75" i="4"/>
  <c r="R75" i="4"/>
  <c r="S74" i="4"/>
  <c r="R74" i="4"/>
  <c r="S73" i="4"/>
  <c r="R73" i="4"/>
  <c r="S72" i="4"/>
  <c r="R72" i="4"/>
  <c r="S71" i="4"/>
  <c r="R71" i="4"/>
  <c r="S70" i="4"/>
  <c r="R70" i="4"/>
  <c r="S69" i="4"/>
  <c r="R69" i="4"/>
  <c r="S68" i="4"/>
  <c r="R68" i="4"/>
  <c r="S67" i="4"/>
  <c r="R67" i="4"/>
  <c r="S66" i="4"/>
  <c r="R66" i="4"/>
  <c r="S65" i="4"/>
  <c r="R65" i="4"/>
  <c r="S64" i="4"/>
  <c r="R64" i="4"/>
  <c r="S63" i="4"/>
  <c r="R63" i="4"/>
  <c r="S62" i="4"/>
  <c r="R62" i="4"/>
  <c r="S61" i="4"/>
  <c r="R61" i="4"/>
  <c r="S60" i="4"/>
  <c r="R60" i="4"/>
  <c r="S59" i="4"/>
  <c r="R59" i="4"/>
  <c r="S58" i="4"/>
  <c r="R58" i="4"/>
  <c r="S57" i="4"/>
  <c r="R57" i="4"/>
  <c r="S56" i="4"/>
  <c r="R56" i="4"/>
  <c r="S55" i="4"/>
  <c r="R55" i="4"/>
  <c r="S54" i="4"/>
  <c r="R54" i="4"/>
  <c r="S53" i="4"/>
  <c r="R53" i="4"/>
  <c r="S52" i="4"/>
  <c r="R52" i="4"/>
  <c r="S51" i="4"/>
  <c r="R51" i="4"/>
  <c r="S50" i="4"/>
  <c r="R50" i="4"/>
  <c r="S49" i="4"/>
  <c r="R49" i="4"/>
  <c r="S48" i="4"/>
  <c r="R48" i="4"/>
  <c r="S47" i="4"/>
  <c r="R47" i="4"/>
  <c r="S46" i="4"/>
  <c r="R46" i="4"/>
  <c r="S45" i="4"/>
  <c r="R45" i="4"/>
  <c r="S44" i="4"/>
  <c r="R44" i="4"/>
  <c r="S43" i="4"/>
  <c r="R43" i="4"/>
  <c r="S42" i="4"/>
  <c r="R42" i="4"/>
  <c r="S41" i="4"/>
  <c r="R41" i="4"/>
  <c r="S40" i="4"/>
  <c r="R40" i="4"/>
  <c r="S39" i="4"/>
  <c r="R39" i="4"/>
  <c r="S38" i="4"/>
  <c r="R38" i="4"/>
  <c r="S37" i="4"/>
  <c r="R37" i="4"/>
  <c r="S36" i="4"/>
  <c r="R36" i="4"/>
  <c r="S35" i="4"/>
  <c r="R35" i="4"/>
  <c r="S34" i="4"/>
  <c r="R34" i="4"/>
  <c r="S33" i="4"/>
  <c r="R33" i="4"/>
  <c r="S32" i="4"/>
  <c r="R32" i="4"/>
  <c r="S31" i="4"/>
  <c r="R31" i="4"/>
  <c r="S30" i="4"/>
  <c r="R30" i="4"/>
  <c r="S29" i="4"/>
  <c r="R29" i="4"/>
  <c r="S28" i="4"/>
  <c r="R28" i="4"/>
  <c r="S27" i="4"/>
  <c r="R27" i="4"/>
  <c r="S26" i="4"/>
  <c r="R26" i="4"/>
  <c r="S25" i="4"/>
  <c r="R25" i="4"/>
  <c r="S24" i="4"/>
  <c r="R24" i="4"/>
  <c r="S23" i="4"/>
  <c r="R23" i="4"/>
  <c r="S22" i="4"/>
  <c r="R22" i="4"/>
  <c r="S21" i="4"/>
  <c r="R21" i="4"/>
  <c r="S20" i="4"/>
  <c r="R20" i="4"/>
  <c r="S19" i="4"/>
  <c r="R19" i="4"/>
  <c r="S18" i="4"/>
  <c r="R18" i="4"/>
  <c r="S17" i="4"/>
  <c r="R17" i="4"/>
  <c r="S16" i="4"/>
  <c r="R16" i="4"/>
  <c r="S15" i="4"/>
  <c r="R15" i="4"/>
  <c r="S14" i="4"/>
  <c r="R14" i="4"/>
  <c r="S13" i="4"/>
  <c r="R13" i="4"/>
  <c r="S12" i="4"/>
  <c r="R12" i="4"/>
  <c r="S11" i="4"/>
  <c r="R11" i="4"/>
  <c r="P355" i="4"/>
  <c r="O355" i="4"/>
  <c r="P354" i="4"/>
  <c r="O354" i="4"/>
  <c r="P353" i="4"/>
  <c r="O353" i="4"/>
  <c r="P352" i="4"/>
  <c r="O352" i="4"/>
  <c r="P351" i="4"/>
  <c r="O351" i="4"/>
  <c r="P350" i="4"/>
  <c r="O350" i="4"/>
  <c r="P349" i="4"/>
  <c r="O349" i="4"/>
  <c r="P348" i="4"/>
  <c r="O348" i="4"/>
  <c r="P347" i="4"/>
  <c r="O347" i="4"/>
  <c r="P346" i="4"/>
  <c r="O346" i="4"/>
  <c r="P345" i="4"/>
  <c r="O345" i="4"/>
  <c r="P344" i="4"/>
  <c r="O344" i="4"/>
  <c r="P343" i="4"/>
  <c r="O343" i="4"/>
  <c r="P342" i="4"/>
  <c r="O342" i="4"/>
  <c r="P341" i="4"/>
  <c r="O341" i="4"/>
  <c r="P340" i="4"/>
  <c r="O340" i="4"/>
  <c r="P339" i="4"/>
  <c r="O339" i="4"/>
  <c r="P338" i="4"/>
  <c r="O338" i="4"/>
  <c r="P337" i="4"/>
  <c r="O337" i="4"/>
  <c r="P336" i="4"/>
  <c r="O336" i="4"/>
  <c r="P335" i="4"/>
  <c r="O335" i="4"/>
  <c r="P334" i="4"/>
  <c r="O334" i="4"/>
  <c r="P333" i="4"/>
  <c r="O333" i="4"/>
  <c r="P332" i="4"/>
  <c r="O332" i="4"/>
  <c r="P331" i="4"/>
  <c r="O331" i="4"/>
  <c r="P330" i="4"/>
  <c r="O330" i="4"/>
  <c r="P329" i="4"/>
  <c r="O329" i="4"/>
  <c r="P328" i="4"/>
  <c r="O328" i="4"/>
  <c r="P327" i="4"/>
  <c r="O327" i="4"/>
  <c r="P326" i="4"/>
  <c r="O326" i="4"/>
  <c r="P325" i="4"/>
  <c r="O325" i="4"/>
  <c r="P324" i="4"/>
  <c r="O324" i="4"/>
  <c r="P323" i="4"/>
  <c r="O323" i="4"/>
  <c r="P322" i="4"/>
  <c r="O322" i="4"/>
  <c r="P321" i="4"/>
  <c r="O321" i="4"/>
  <c r="P320" i="4"/>
  <c r="O320" i="4"/>
  <c r="P319" i="4"/>
  <c r="O319" i="4"/>
  <c r="P318" i="4"/>
  <c r="O318" i="4"/>
  <c r="P317" i="4"/>
  <c r="O317" i="4"/>
  <c r="P316" i="4"/>
  <c r="O316" i="4"/>
  <c r="P315" i="4"/>
  <c r="O315" i="4"/>
  <c r="P314" i="4"/>
  <c r="O314" i="4"/>
  <c r="P313" i="4"/>
  <c r="O313" i="4"/>
  <c r="P312" i="4"/>
  <c r="O312" i="4"/>
  <c r="P311" i="4"/>
  <c r="O311" i="4"/>
  <c r="P310" i="4"/>
  <c r="O310" i="4"/>
  <c r="P309" i="4"/>
  <c r="O309" i="4"/>
  <c r="P308" i="4"/>
  <c r="O308" i="4"/>
  <c r="P307" i="4"/>
  <c r="O307" i="4"/>
  <c r="P306" i="4"/>
  <c r="O306" i="4"/>
  <c r="P305" i="4"/>
  <c r="O305" i="4"/>
  <c r="P304" i="4"/>
  <c r="O304" i="4"/>
  <c r="P303" i="4"/>
  <c r="O303" i="4"/>
  <c r="P302" i="4"/>
  <c r="O302" i="4"/>
  <c r="P301" i="4"/>
  <c r="O301" i="4"/>
  <c r="P300" i="4"/>
  <c r="O300" i="4"/>
  <c r="P299" i="4"/>
  <c r="O299" i="4"/>
  <c r="P298" i="4"/>
  <c r="O298" i="4"/>
  <c r="P297" i="4"/>
  <c r="O297" i="4"/>
  <c r="P296" i="4"/>
  <c r="O296" i="4"/>
  <c r="P295" i="4"/>
  <c r="O295" i="4"/>
  <c r="P294" i="4"/>
  <c r="O294" i="4"/>
  <c r="P293" i="4"/>
  <c r="O293" i="4"/>
  <c r="P292" i="4"/>
  <c r="O292" i="4"/>
  <c r="P291" i="4"/>
  <c r="O291" i="4"/>
  <c r="P290" i="4"/>
  <c r="O290" i="4"/>
  <c r="P289" i="4"/>
  <c r="O289" i="4"/>
  <c r="P288" i="4"/>
  <c r="O288" i="4"/>
  <c r="P287" i="4"/>
  <c r="O287" i="4"/>
  <c r="P286" i="4"/>
  <c r="O286" i="4"/>
  <c r="P285" i="4"/>
  <c r="O285" i="4"/>
  <c r="P284" i="4"/>
  <c r="O284" i="4"/>
  <c r="P283" i="4"/>
  <c r="O283" i="4"/>
  <c r="P282" i="4"/>
  <c r="O282" i="4"/>
  <c r="P281" i="4"/>
  <c r="O281" i="4"/>
  <c r="P280" i="4"/>
  <c r="O280" i="4"/>
  <c r="P279" i="4"/>
  <c r="O279" i="4"/>
  <c r="P278" i="4"/>
  <c r="O278" i="4"/>
  <c r="P277" i="4"/>
  <c r="O277" i="4"/>
  <c r="P276" i="4"/>
  <c r="O276" i="4"/>
  <c r="P275" i="4"/>
  <c r="O275" i="4"/>
  <c r="P274" i="4"/>
  <c r="O274" i="4"/>
  <c r="P273" i="4"/>
  <c r="O273" i="4"/>
  <c r="P272" i="4"/>
  <c r="O272" i="4"/>
  <c r="P271" i="4"/>
  <c r="O271" i="4"/>
  <c r="P270" i="4"/>
  <c r="O270" i="4"/>
  <c r="P269" i="4"/>
  <c r="O269" i="4"/>
  <c r="P268" i="4"/>
  <c r="O268" i="4"/>
  <c r="P267" i="4"/>
  <c r="O267" i="4"/>
  <c r="P266" i="4"/>
  <c r="O266" i="4"/>
  <c r="P265" i="4"/>
  <c r="O265" i="4"/>
  <c r="P264" i="4"/>
  <c r="O264" i="4"/>
  <c r="P263" i="4"/>
  <c r="O263" i="4"/>
  <c r="P262" i="4"/>
  <c r="O262" i="4"/>
  <c r="P261" i="4"/>
  <c r="O261" i="4"/>
  <c r="P260" i="4"/>
  <c r="O260" i="4"/>
  <c r="P259" i="4"/>
  <c r="O259" i="4"/>
  <c r="P258" i="4"/>
  <c r="O258" i="4"/>
  <c r="P257" i="4"/>
  <c r="O257" i="4"/>
  <c r="P256" i="4"/>
  <c r="O256" i="4"/>
  <c r="P255" i="4"/>
  <c r="O255" i="4"/>
  <c r="P254" i="4"/>
  <c r="O254" i="4"/>
  <c r="P253" i="4"/>
  <c r="O253" i="4"/>
  <c r="P252" i="4"/>
  <c r="O252" i="4"/>
  <c r="P251" i="4"/>
  <c r="O251" i="4"/>
  <c r="P250" i="4"/>
  <c r="O250" i="4"/>
  <c r="P249" i="4"/>
  <c r="O249" i="4"/>
  <c r="P248" i="4"/>
  <c r="O248" i="4"/>
  <c r="P247" i="4"/>
  <c r="O247" i="4"/>
  <c r="P246" i="4"/>
  <c r="O246" i="4"/>
  <c r="P245" i="4"/>
  <c r="O245" i="4"/>
  <c r="P244" i="4"/>
  <c r="O244" i="4"/>
  <c r="P243" i="4"/>
  <c r="O243" i="4"/>
  <c r="P242" i="4"/>
  <c r="O242" i="4"/>
  <c r="P241" i="4"/>
  <c r="O241" i="4"/>
  <c r="P240" i="4"/>
  <c r="O240" i="4"/>
  <c r="P239" i="4"/>
  <c r="O239" i="4"/>
  <c r="P238" i="4"/>
  <c r="O238" i="4"/>
  <c r="P237" i="4"/>
  <c r="O237" i="4"/>
  <c r="P236" i="4"/>
  <c r="O236" i="4"/>
  <c r="P235" i="4"/>
  <c r="O235" i="4"/>
  <c r="P234" i="4"/>
  <c r="O234" i="4"/>
  <c r="P233" i="4"/>
  <c r="O233" i="4"/>
  <c r="P232" i="4"/>
  <c r="O232" i="4"/>
  <c r="P231" i="4"/>
  <c r="O231" i="4"/>
  <c r="P230" i="4"/>
  <c r="O230" i="4"/>
  <c r="P229" i="4"/>
  <c r="O229" i="4"/>
  <c r="P228" i="4"/>
  <c r="O228" i="4"/>
  <c r="P227" i="4"/>
  <c r="O227" i="4"/>
  <c r="P226" i="4"/>
  <c r="O226" i="4"/>
  <c r="P225" i="4"/>
  <c r="O225" i="4"/>
  <c r="P224" i="4"/>
  <c r="O224" i="4"/>
  <c r="P223" i="4"/>
  <c r="O223" i="4"/>
  <c r="P222" i="4"/>
  <c r="O222" i="4"/>
  <c r="P221" i="4"/>
  <c r="O221" i="4"/>
  <c r="P220" i="4"/>
  <c r="O220" i="4"/>
  <c r="P219" i="4"/>
  <c r="O219" i="4"/>
  <c r="P218" i="4"/>
  <c r="O218" i="4"/>
  <c r="P217" i="4"/>
  <c r="O217" i="4"/>
  <c r="P216" i="4"/>
  <c r="O216" i="4"/>
  <c r="P215" i="4"/>
  <c r="O215" i="4"/>
  <c r="P214" i="4"/>
  <c r="O214" i="4"/>
  <c r="P213" i="4"/>
  <c r="O213" i="4"/>
  <c r="P212" i="4"/>
  <c r="O212" i="4"/>
  <c r="P211" i="4"/>
  <c r="O211" i="4"/>
  <c r="P210" i="4"/>
  <c r="O210" i="4"/>
  <c r="P209" i="4"/>
  <c r="O209" i="4"/>
  <c r="P208" i="4"/>
  <c r="O208" i="4"/>
  <c r="P207" i="4"/>
  <c r="O207" i="4"/>
  <c r="P206" i="4"/>
  <c r="O206" i="4"/>
  <c r="P205" i="4"/>
  <c r="O205" i="4"/>
  <c r="P204" i="4"/>
  <c r="O204" i="4"/>
  <c r="P203" i="4"/>
  <c r="O203" i="4"/>
  <c r="P202" i="4"/>
  <c r="O202" i="4"/>
  <c r="P201" i="4"/>
  <c r="O201" i="4"/>
  <c r="P200" i="4"/>
  <c r="O200" i="4"/>
  <c r="P199" i="4"/>
  <c r="O199" i="4"/>
  <c r="P198" i="4"/>
  <c r="O198" i="4"/>
  <c r="P197" i="4"/>
  <c r="O197" i="4"/>
  <c r="P196" i="4"/>
  <c r="O196" i="4"/>
  <c r="P195" i="4"/>
  <c r="O195" i="4"/>
  <c r="P194" i="4"/>
  <c r="O194" i="4"/>
  <c r="P193" i="4"/>
  <c r="O193" i="4"/>
  <c r="P192" i="4"/>
  <c r="O192" i="4"/>
  <c r="P191" i="4"/>
  <c r="O191" i="4"/>
  <c r="P190" i="4"/>
  <c r="O190" i="4"/>
  <c r="P189" i="4"/>
  <c r="O189" i="4"/>
  <c r="P188" i="4"/>
  <c r="O188" i="4"/>
  <c r="P187" i="4"/>
  <c r="O187" i="4"/>
  <c r="P186" i="4"/>
  <c r="O186" i="4"/>
  <c r="P185" i="4"/>
  <c r="O185" i="4"/>
  <c r="P184" i="4"/>
  <c r="O184" i="4"/>
  <c r="P183" i="4"/>
  <c r="O183" i="4"/>
  <c r="P182" i="4"/>
  <c r="O182" i="4"/>
  <c r="P181" i="4"/>
  <c r="O181" i="4"/>
  <c r="P180" i="4"/>
  <c r="O180" i="4"/>
  <c r="P179" i="4"/>
  <c r="O179" i="4"/>
  <c r="P178" i="4"/>
  <c r="O178" i="4"/>
  <c r="P177" i="4"/>
  <c r="O177" i="4"/>
  <c r="P176" i="4"/>
  <c r="O176" i="4"/>
  <c r="P175" i="4"/>
  <c r="O175" i="4"/>
  <c r="P174" i="4"/>
  <c r="O174" i="4"/>
  <c r="P173" i="4"/>
  <c r="O173" i="4"/>
  <c r="P172" i="4"/>
  <c r="O172" i="4"/>
  <c r="P171" i="4"/>
  <c r="O171" i="4"/>
  <c r="P170" i="4"/>
  <c r="O170" i="4"/>
  <c r="P169" i="4"/>
  <c r="O169" i="4"/>
  <c r="P168" i="4"/>
  <c r="O168" i="4"/>
  <c r="P167" i="4"/>
  <c r="O167" i="4"/>
  <c r="P166" i="4"/>
  <c r="O166" i="4"/>
  <c r="P165" i="4"/>
  <c r="O165" i="4"/>
  <c r="P164" i="4"/>
  <c r="O164" i="4"/>
  <c r="P163" i="4"/>
  <c r="O163" i="4"/>
  <c r="P162" i="4"/>
  <c r="O162" i="4"/>
  <c r="P161" i="4"/>
  <c r="O161" i="4"/>
  <c r="P160" i="4"/>
  <c r="O160" i="4"/>
  <c r="P159" i="4"/>
  <c r="O159" i="4"/>
  <c r="P158" i="4"/>
  <c r="O158" i="4"/>
  <c r="P157" i="4"/>
  <c r="O157" i="4"/>
  <c r="P156" i="4"/>
  <c r="O156" i="4"/>
  <c r="P155" i="4"/>
  <c r="O155" i="4"/>
  <c r="P154" i="4"/>
  <c r="O154" i="4"/>
  <c r="P153" i="4"/>
  <c r="O153" i="4"/>
  <c r="P152" i="4"/>
  <c r="O152" i="4"/>
  <c r="P151" i="4"/>
  <c r="O151" i="4"/>
  <c r="P150" i="4"/>
  <c r="O150" i="4"/>
  <c r="P149" i="4"/>
  <c r="O149" i="4"/>
  <c r="P148" i="4"/>
  <c r="O148" i="4"/>
  <c r="P147" i="4"/>
  <c r="O147" i="4"/>
  <c r="P146" i="4"/>
  <c r="O146" i="4"/>
  <c r="P145" i="4"/>
  <c r="O145" i="4"/>
  <c r="P144" i="4"/>
  <c r="O144" i="4"/>
  <c r="P143" i="4"/>
  <c r="O143" i="4"/>
  <c r="P142" i="4"/>
  <c r="O142" i="4"/>
  <c r="P141" i="4"/>
  <c r="O141" i="4"/>
  <c r="P140" i="4"/>
  <c r="O140" i="4"/>
  <c r="P139" i="4"/>
  <c r="O139" i="4"/>
  <c r="P138" i="4"/>
  <c r="O138" i="4"/>
  <c r="P137" i="4"/>
  <c r="O137" i="4"/>
  <c r="P136" i="4"/>
  <c r="O136" i="4"/>
  <c r="P135" i="4"/>
  <c r="O135" i="4"/>
  <c r="P134" i="4"/>
  <c r="O134" i="4"/>
  <c r="P133" i="4"/>
  <c r="O133" i="4"/>
  <c r="P132" i="4"/>
  <c r="O132" i="4"/>
  <c r="P131" i="4"/>
  <c r="O131" i="4"/>
  <c r="P130" i="4"/>
  <c r="O130" i="4"/>
  <c r="P129" i="4"/>
  <c r="O129" i="4"/>
  <c r="P128" i="4"/>
  <c r="O128" i="4"/>
  <c r="P127" i="4"/>
  <c r="O127" i="4"/>
  <c r="P126" i="4"/>
  <c r="O126" i="4"/>
  <c r="P125" i="4"/>
  <c r="O125" i="4"/>
  <c r="P124" i="4"/>
  <c r="O124" i="4"/>
  <c r="P123" i="4"/>
  <c r="O123" i="4"/>
  <c r="P122" i="4"/>
  <c r="O122" i="4"/>
  <c r="P121" i="4"/>
  <c r="O121" i="4"/>
  <c r="P120" i="4"/>
  <c r="O120" i="4"/>
  <c r="P119" i="4"/>
  <c r="O119" i="4"/>
  <c r="P118" i="4"/>
  <c r="O118" i="4"/>
  <c r="P117" i="4"/>
  <c r="O117" i="4"/>
  <c r="P116" i="4"/>
  <c r="O116" i="4"/>
  <c r="P115" i="4"/>
  <c r="O115" i="4"/>
  <c r="P114" i="4"/>
  <c r="O114" i="4"/>
  <c r="P113" i="4"/>
  <c r="O113" i="4"/>
  <c r="P112" i="4"/>
  <c r="O112" i="4"/>
  <c r="P111" i="4"/>
  <c r="O111" i="4"/>
  <c r="P110" i="4"/>
  <c r="O110" i="4"/>
  <c r="P109" i="4"/>
  <c r="O109" i="4"/>
  <c r="P108" i="4"/>
  <c r="O108" i="4"/>
  <c r="P107" i="4"/>
  <c r="O107" i="4"/>
  <c r="P106" i="4"/>
  <c r="O106" i="4"/>
  <c r="P105" i="4"/>
  <c r="O105" i="4"/>
  <c r="P104" i="4"/>
  <c r="O104" i="4"/>
  <c r="P103" i="4"/>
  <c r="O103" i="4"/>
  <c r="P102" i="4"/>
  <c r="O102" i="4"/>
  <c r="P101" i="4"/>
  <c r="O101" i="4"/>
  <c r="P100" i="4"/>
  <c r="O100" i="4"/>
  <c r="P99" i="4"/>
  <c r="O99" i="4"/>
  <c r="P98" i="4"/>
  <c r="O98" i="4"/>
  <c r="P97" i="4"/>
  <c r="O97" i="4"/>
  <c r="P96" i="4"/>
  <c r="O96" i="4"/>
  <c r="P95" i="4"/>
  <c r="O95" i="4"/>
  <c r="P94" i="4"/>
  <c r="O94" i="4"/>
  <c r="P93" i="4"/>
  <c r="O93" i="4"/>
  <c r="P92" i="4"/>
  <c r="O92" i="4"/>
  <c r="P91" i="4"/>
  <c r="O91" i="4"/>
  <c r="P90" i="4"/>
  <c r="O90" i="4"/>
  <c r="P89" i="4"/>
  <c r="O89" i="4"/>
  <c r="P88" i="4"/>
  <c r="O88" i="4"/>
  <c r="P87" i="4"/>
  <c r="O87" i="4"/>
  <c r="P86" i="4"/>
  <c r="O86" i="4"/>
  <c r="P85" i="4"/>
  <c r="O85" i="4"/>
  <c r="P84" i="4"/>
  <c r="O84" i="4"/>
  <c r="P83" i="4"/>
  <c r="O83" i="4"/>
  <c r="P82" i="4"/>
  <c r="O82" i="4"/>
  <c r="P81" i="4"/>
  <c r="O81" i="4"/>
  <c r="P80" i="4"/>
  <c r="O80" i="4"/>
  <c r="P79" i="4"/>
  <c r="O79" i="4"/>
  <c r="P78" i="4"/>
  <c r="O78" i="4"/>
  <c r="P77" i="4"/>
  <c r="O77" i="4"/>
  <c r="P76" i="4"/>
  <c r="O76" i="4"/>
  <c r="P75" i="4"/>
  <c r="O75" i="4"/>
  <c r="P74" i="4"/>
  <c r="O74" i="4"/>
  <c r="P73" i="4"/>
  <c r="O73" i="4"/>
  <c r="P72" i="4"/>
  <c r="O72" i="4"/>
  <c r="P71" i="4"/>
  <c r="O71" i="4"/>
  <c r="P70" i="4"/>
  <c r="O70" i="4"/>
  <c r="P69" i="4"/>
  <c r="O69" i="4"/>
  <c r="P68" i="4"/>
  <c r="O68" i="4"/>
  <c r="P67" i="4"/>
  <c r="O67" i="4"/>
  <c r="P66" i="4"/>
  <c r="O66" i="4"/>
  <c r="P65" i="4"/>
  <c r="O65" i="4"/>
  <c r="P64" i="4"/>
  <c r="O64" i="4"/>
  <c r="P63" i="4"/>
  <c r="O63" i="4"/>
  <c r="P62" i="4"/>
  <c r="O62" i="4"/>
  <c r="P61" i="4"/>
  <c r="O61" i="4"/>
  <c r="P60" i="4"/>
  <c r="O60" i="4"/>
  <c r="P59" i="4"/>
  <c r="O59" i="4"/>
  <c r="P58" i="4"/>
  <c r="O58" i="4"/>
  <c r="P57" i="4"/>
  <c r="O57" i="4"/>
  <c r="P56" i="4"/>
  <c r="O56" i="4"/>
  <c r="P55" i="4"/>
  <c r="O55" i="4"/>
  <c r="P54" i="4"/>
  <c r="O54" i="4"/>
  <c r="P53" i="4"/>
  <c r="O53" i="4"/>
  <c r="P52" i="4"/>
  <c r="O52" i="4"/>
  <c r="P51" i="4"/>
  <c r="O51" i="4"/>
  <c r="P50" i="4"/>
  <c r="O50" i="4"/>
  <c r="P49" i="4"/>
  <c r="O49" i="4"/>
  <c r="P48" i="4"/>
  <c r="O48" i="4"/>
  <c r="P47" i="4"/>
  <c r="O47" i="4"/>
  <c r="P46" i="4"/>
  <c r="O46" i="4"/>
  <c r="P45" i="4"/>
  <c r="O45" i="4"/>
  <c r="P44" i="4"/>
  <c r="O44" i="4"/>
  <c r="P43" i="4"/>
  <c r="O43" i="4"/>
  <c r="P42" i="4"/>
  <c r="O42" i="4"/>
  <c r="P41" i="4"/>
  <c r="O41" i="4"/>
  <c r="P40" i="4"/>
  <c r="O40" i="4"/>
  <c r="P39" i="4"/>
  <c r="O39" i="4"/>
  <c r="P38" i="4"/>
  <c r="O38" i="4"/>
  <c r="P37" i="4"/>
  <c r="O37" i="4"/>
  <c r="P36" i="4"/>
  <c r="O36" i="4"/>
  <c r="P35" i="4"/>
  <c r="O35" i="4"/>
  <c r="P34" i="4"/>
  <c r="O34" i="4"/>
  <c r="P33" i="4"/>
  <c r="O33" i="4"/>
  <c r="P32" i="4"/>
  <c r="O32" i="4"/>
  <c r="P31" i="4"/>
  <c r="O31" i="4"/>
  <c r="P30" i="4"/>
  <c r="O30" i="4"/>
  <c r="P29" i="4"/>
  <c r="O29" i="4"/>
  <c r="P28" i="4"/>
  <c r="O28" i="4"/>
  <c r="P27" i="4"/>
  <c r="O27" i="4"/>
  <c r="P26" i="4"/>
  <c r="O26" i="4"/>
  <c r="P25" i="4"/>
  <c r="O25" i="4"/>
  <c r="P24" i="4"/>
  <c r="O24" i="4"/>
  <c r="P23" i="4"/>
  <c r="O23" i="4"/>
  <c r="P22" i="4"/>
  <c r="O22" i="4"/>
  <c r="P21" i="4"/>
  <c r="O21" i="4"/>
  <c r="P20" i="4"/>
  <c r="O20" i="4"/>
  <c r="P19" i="4"/>
  <c r="O19" i="4"/>
  <c r="P18" i="4"/>
  <c r="O18" i="4"/>
  <c r="P17" i="4"/>
  <c r="O17" i="4"/>
  <c r="P16" i="4"/>
  <c r="O16" i="4"/>
  <c r="P15" i="4"/>
  <c r="O15" i="4"/>
  <c r="P14" i="4"/>
  <c r="O14" i="4"/>
  <c r="P13" i="4"/>
  <c r="O13" i="4"/>
  <c r="P12" i="4"/>
  <c r="O12" i="4"/>
  <c r="P11" i="4"/>
  <c r="O11" i="4"/>
  <c r="M355" i="4"/>
  <c r="L355" i="4"/>
  <c r="M354" i="4"/>
  <c r="L354" i="4"/>
  <c r="M353" i="4"/>
  <c r="L353" i="4"/>
  <c r="M352" i="4"/>
  <c r="L352" i="4"/>
  <c r="M351" i="4"/>
  <c r="L351" i="4"/>
  <c r="M350" i="4"/>
  <c r="L350" i="4"/>
  <c r="M349" i="4"/>
  <c r="L349" i="4"/>
  <c r="M348" i="4"/>
  <c r="L348" i="4"/>
  <c r="M347" i="4"/>
  <c r="L347" i="4"/>
  <c r="M346" i="4"/>
  <c r="L346" i="4"/>
  <c r="M345" i="4"/>
  <c r="L345" i="4"/>
  <c r="M344" i="4"/>
  <c r="L344" i="4"/>
  <c r="M343" i="4"/>
  <c r="L343" i="4"/>
  <c r="M342" i="4"/>
  <c r="L342" i="4"/>
  <c r="M341" i="4"/>
  <c r="L341" i="4"/>
  <c r="M340" i="4"/>
  <c r="L340" i="4"/>
  <c r="M339" i="4"/>
  <c r="L339" i="4"/>
  <c r="M338" i="4"/>
  <c r="L338" i="4"/>
  <c r="M337" i="4"/>
  <c r="L337" i="4"/>
  <c r="M336" i="4"/>
  <c r="L336" i="4"/>
  <c r="M335" i="4"/>
  <c r="L335" i="4"/>
  <c r="M334" i="4"/>
  <c r="L334" i="4"/>
  <c r="M333" i="4"/>
  <c r="L333" i="4"/>
  <c r="M332" i="4"/>
  <c r="L332" i="4"/>
  <c r="M331" i="4"/>
  <c r="L331" i="4"/>
  <c r="M330" i="4"/>
  <c r="L330" i="4"/>
  <c r="M329" i="4"/>
  <c r="L329" i="4"/>
  <c r="M328" i="4"/>
  <c r="L328" i="4"/>
  <c r="M327" i="4"/>
  <c r="L327" i="4"/>
  <c r="M326" i="4"/>
  <c r="L326" i="4"/>
  <c r="M325" i="4"/>
  <c r="L325" i="4"/>
  <c r="M324" i="4"/>
  <c r="L324" i="4"/>
  <c r="M323" i="4"/>
  <c r="L323" i="4"/>
  <c r="M322" i="4"/>
  <c r="L322" i="4"/>
  <c r="M321" i="4"/>
  <c r="L321" i="4"/>
  <c r="M320" i="4"/>
  <c r="L320" i="4"/>
  <c r="M319" i="4"/>
  <c r="L319" i="4"/>
  <c r="M318" i="4"/>
  <c r="L318" i="4"/>
  <c r="M317" i="4"/>
  <c r="L317" i="4"/>
  <c r="M316" i="4"/>
  <c r="L316" i="4"/>
  <c r="M315" i="4"/>
  <c r="L315" i="4"/>
  <c r="M314" i="4"/>
  <c r="L314" i="4"/>
  <c r="M313" i="4"/>
  <c r="L313" i="4"/>
  <c r="M312" i="4"/>
  <c r="L312" i="4"/>
  <c r="M311" i="4"/>
  <c r="L311" i="4"/>
  <c r="M310" i="4"/>
  <c r="L310" i="4"/>
  <c r="M309" i="4"/>
  <c r="L309" i="4"/>
  <c r="M308" i="4"/>
  <c r="L308" i="4"/>
  <c r="M307" i="4"/>
  <c r="L307" i="4"/>
  <c r="M306" i="4"/>
  <c r="L306" i="4"/>
  <c r="M305" i="4"/>
  <c r="L305" i="4"/>
  <c r="M304" i="4"/>
  <c r="L304" i="4"/>
  <c r="M303" i="4"/>
  <c r="L303" i="4"/>
  <c r="M302" i="4"/>
  <c r="L302" i="4"/>
  <c r="M301" i="4"/>
  <c r="L301" i="4"/>
  <c r="M300" i="4"/>
  <c r="L300" i="4"/>
  <c r="M299" i="4"/>
  <c r="L299" i="4"/>
  <c r="M298" i="4"/>
  <c r="L298" i="4"/>
  <c r="M297" i="4"/>
  <c r="L297" i="4"/>
  <c r="M296" i="4"/>
  <c r="L296" i="4"/>
  <c r="M295" i="4"/>
  <c r="L295" i="4"/>
  <c r="M294" i="4"/>
  <c r="L294" i="4"/>
  <c r="M293" i="4"/>
  <c r="L293" i="4"/>
  <c r="M292" i="4"/>
  <c r="L292" i="4"/>
  <c r="M291" i="4"/>
  <c r="L291" i="4"/>
  <c r="M290" i="4"/>
  <c r="L290" i="4"/>
  <c r="M289" i="4"/>
  <c r="L289" i="4"/>
  <c r="M288" i="4"/>
  <c r="L288" i="4"/>
  <c r="M287" i="4"/>
  <c r="L287" i="4"/>
  <c r="M286" i="4"/>
  <c r="L286" i="4"/>
  <c r="M285" i="4"/>
  <c r="L285" i="4"/>
  <c r="M284" i="4"/>
  <c r="L284" i="4"/>
  <c r="M283" i="4"/>
  <c r="L283" i="4"/>
  <c r="M282" i="4"/>
  <c r="L282" i="4"/>
  <c r="M281" i="4"/>
  <c r="L281" i="4"/>
  <c r="M280" i="4"/>
  <c r="L280" i="4"/>
  <c r="M279" i="4"/>
  <c r="L279" i="4"/>
  <c r="M278" i="4"/>
  <c r="L278" i="4"/>
  <c r="M277" i="4"/>
  <c r="L277" i="4"/>
  <c r="M276" i="4"/>
  <c r="L276" i="4"/>
  <c r="M275" i="4"/>
  <c r="L275" i="4"/>
  <c r="M274" i="4"/>
  <c r="L274" i="4"/>
  <c r="M273" i="4"/>
  <c r="L273" i="4"/>
  <c r="M272" i="4"/>
  <c r="L272" i="4"/>
  <c r="M271" i="4"/>
  <c r="L271" i="4"/>
  <c r="M270" i="4"/>
  <c r="L270" i="4"/>
  <c r="M269" i="4"/>
  <c r="L269" i="4"/>
  <c r="M268" i="4"/>
  <c r="L268" i="4"/>
  <c r="M267" i="4"/>
  <c r="L267" i="4"/>
  <c r="M266" i="4"/>
  <c r="L266" i="4"/>
  <c r="M265" i="4"/>
  <c r="L265" i="4"/>
  <c r="M264" i="4"/>
  <c r="L264" i="4"/>
  <c r="M263" i="4"/>
  <c r="L263" i="4"/>
  <c r="M262" i="4"/>
  <c r="L262" i="4"/>
  <c r="M261" i="4"/>
  <c r="L261" i="4"/>
  <c r="M260" i="4"/>
  <c r="L260" i="4"/>
  <c r="M259" i="4"/>
  <c r="L259" i="4"/>
  <c r="M258" i="4"/>
  <c r="L258" i="4"/>
  <c r="M257" i="4"/>
  <c r="L257" i="4"/>
  <c r="M256" i="4"/>
  <c r="L256" i="4"/>
  <c r="M255" i="4"/>
  <c r="L255" i="4"/>
  <c r="M254" i="4"/>
  <c r="L254" i="4"/>
  <c r="M253" i="4"/>
  <c r="L253" i="4"/>
  <c r="M252" i="4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M221" i="4"/>
  <c r="L221" i="4"/>
  <c r="M220" i="4"/>
  <c r="L220" i="4"/>
  <c r="M219" i="4"/>
  <c r="L219" i="4"/>
  <c r="M218" i="4"/>
  <c r="L218" i="4"/>
  <c r="M217" i="4"/>
  <c r="L217" i="4"/>
  <c r="M216" i="4"/>
  <c r="L216" i="4"/>
  <c r="M215" i="4"/>
  <c r="L215" i="4"/>
  <c r="M214" i="4"/>
  <c r="L214" i="4"/>
  <c r="M213" i="4"/>
  <c r="L213" i="4"/>
  <c r="M212" i="4"/>
  <c r="L212" i="4"/>
  <c r="M211" i="4"/>
  <c r="L211" i="4"/>
  <c r="M210" i="4"/>
  <c r="L210" i="4"/>
  <c r="M209" i="4"/>
  <c r="L209" i="4"/>
  <c r="M208" i="4"/>
  <c r="L208" i="4"/>
  <c r="M207" i="4"/>
  <c r="L207" i="4"/>
  <c r="M206" i="4"/>
  <c r="L206" i="4"/>
  <c r="M205" i="4"/>
  <c r="L205" i="4"/>
  <c r="M204" i="4"/>
  <c r="L204" i="4"/>
  <c r="M203" i="4"/>
  <c r="L203" i="4"/>
  <c r="M202" i="4"/>
  <c r="L202" i="4"/>
  <c r="M201" i="4"/>
  <c r="L201" i="4"/>
  <c r="M200" i="4"/>
  <c r="L200" i="4"/>
  <c r="M199" i="4"/>
  <c r="L199" i="4"/>
  <c r="M198" i="4"/>
  <c r="L198" i="4"/>
  <c r="M197" i="4"/>
  <c r="L197" i="4"/>
  <c r="M196" i="4"/>
  <c r="L196" i="4"/>
  <c r="M195" i="4"/>
  <c r="L195" i="4"/>
  <c r="M194" i="4"/>
  <c r="L194" i="4"/>
  <c r="M193" i="4"/>
  <c r="L193" i="4"/>
  <c r="M192" i="4"/>
  <c r="L192" i="4"/>
  <c r="M191" i="4"/>
  <c r="L191" i="4"/>
  <c r="M190" i="4"/>
  <c r="L190" i="4"/>
  <c r="M189" i="4"/>
  <c r="L189" i="4"/>
  <c r="M188" i="4"/>
  <c r="L188" i="4"/>
  <c r="M187" i="4"/>
  <c r="L187" i="4"/>
  <c r="M186" i="4"/>
  <c r="L186" i="4"/>
  <c r="M185" i="4"/>
  <c r="L185" i="4"/>
  <c r="M184" i="4"/>
  <c r="L184" i="4"/>
  <c r="M183" i="4"/>
  <c r="L183" i="4"/>
  <c r="M182" i="4"/>
  <c r="L182" i="4"/>
  <c r="M181" i="4"/>
  <c r="L181" i="4"/>
  <c r="M180" i="4"/>
  <c r="L180" i="4"/>
  <c r="M179" i="4"/>
  <c r="L179" i="4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M132" i="4"/>
  <c r="L132" i="4"/>
  <c r="M131" i="4"/>
  <c r="L131" i="4"/>
  <c r="M130" i="4"/>
  <c r="L130" i="4"/>
  <c r="M129" i="4"/>
  <c r="L129" i="4"/>
  <c r="M128" i="4"/>
  <c r="L128" i="4"/>
  <c r="M127" i="4"/>
  <c r="L127" i="4"/>
  <c r="M126" i="4"/>
  <c r="L126" i="4"/>
  <c r="M125" i="4"/>
  <c r="L125" i="4"/>
  <c r="M124" i="4"/>
  <c r="L124" i="4"/>
  <c r="M123" i="4"/>
  <c r="L123" i="4"/>
  <c r="M122" i="4"/>
  <c r="L122" i="4"/>
  <c r="M121" i="4"/>
  <c r="L121" i="4"/>
  <c r="M120" i="4"/>
  <c r="L120" i="4"/>
  <c r="M119" i="4"/>
  <c r="L119" i="4"/>
  <c r="M118" i="4"/>
  <c r="L118" i="4"/>
  <c r="M117" i="4"/>
  <c r="L117" i="4"/>
  <c r="M116" i="4"/>
  <c r="L116" i="4"/>
  <c r="M115" i="4"/>
  <c r="L115" i="4"/>
  <c r="M114" i="4"/>
  <c r="L114" i="4"/>
  <c r="M113" i="4"/>
  <c r="L113" i="4"/>
  <c r="M112" i="4"/>
  <c r="L112" i="4"/>
  <c r="M111" i="4"/>
  <c r="L111" i="4"/>
  <c r="M110" i="4"/>
  <c r="L110" i="4"/>
  <c r="M109" i="4"/>
  <c r="L109" i="4"/>
  <c r="M108" i="4"/>
  <c r="L108" i="4"/>
  <c r="M107" i="4"/>
  <c r="L107" i="4"/>
  <c r="M106" i="4"/>
  <c r="L106" i="4"/>
  <c r="M105" i="4"/>
  <c r="L105" i="4"/>
  <c r="M104" i="4"/>
  <c r="L104" i="4"/>
  <c r="M103" i="4"/>
  <c r="L103" i="4"/>
  <c r="M102" i="4"/>
  <c r="L102" i="4"/>
  <c r="M101" i="4"/>
  <c r="L101" i="4"/>
  <c r="M100" i="4"/>
  <c r="L100" i="4"/>
  <c r="M99" i="4"/>
  <c r="L99" i="4"/>
  <c r="M98" i="4"/>
  <c r="L98" i="4"/>
  <c r="M97" i="4"/>
  <c r="L97" i="4"/>
  <c r="M96" i="4"/>
  <c r="L96" i="4"/>
  <c r="M95" i="4"/>
  <c r="L95" i="4"/>
  <c r="M94" i="4"/>
  <c r="L94" i="4"/>
  <c r="M93" i="4"/>
  <c r="L93" i="4"/>
  <c r="M92" i="4"/>
  <c r="L92" i="4"/>
  <c r="M91" i="4"/>
  <c r="L91" i="4"/>
  <c r="M90" i="4"/>
  <c r="L90" i="4"/>
  <c r="M89" i="4"/>
  <c r="L89" i="4"/>
  <c r="M88" i="4"/>
  <c r="L88" i="4"/>
  <c r="M87" i="4"/>
  <c r="L87" i="4"/>
  <c r="M86" i="4"/>
  <c r="L86" i="4"/>
  <c r="M85" i="4"/>
  <c r="L85" i="4"/>
  <c r="M84" i="4"/>
  <c r="L84" i="4"/>
  <c r="M83" i="4"/>
  <c r="L83" i="4"/>
  <c r="M82" i="4"/>
  <c r="L82" i="4"/>
  <c r="M81" i="4"/>
  <c r="L81" i="4"/>
  <c r="M80" i="4"/>
  <c r="L80" i="4"/>
  <c r="M79" i="4"/>
  <c r="L79" i="4"/>
  <c r="M78" i="4"/>
  <c r="L78" i="4"/>
  <c r="M77" i="4"/>
  <c r="L77" i="4"/>
  <c r="M76" i="4"/>
  <c r="L76" i="4"/>
  <c r="M75" i="4"/>
  <c r="L75" i="4"/>
  <c r="M74" i="4"/>
  <c r="L74" i="4"/>
  <c r="M73" i="4"/>
  <c r="L73" i="4"/>
  <c r="M72" i="4"/>
  <c r="L72" i="4"/>
  <c r="M71" i="4"/>
  <c r="L71" i="4"/>
  <c r="M70" i="4"/>
  <c r="L70" i="4"/>
  <c r="M69" i="4"/>
  <c r="L69" i="4"/>
  <c r="M68" i="4"/>
  <c r="L68" i="4"/>
  <c r="M67" i="4"/>
  <c r="L67" i="4"/>
  <c r="M66" i="4"/>
  <c r="L66" i="4"/>
  <c r="M65" i="4"/>
  <c r="L65" i="4"/>
  <c r="M64" i="4"/>
  <c r="L64" i="4"/>
  <c r="M63" i="4"/>
  <c r="L63" i="4"/>
  <c r="M62" i="4"/>
  <c r="L62" i="4"/>
  <c r="M61" i="4"/>
  <c r="L61" i="4"/>
  <c r="M60" i="4"/>
  <c r="L60" i="4"/>
  <c r="M59" i="4"/>
  <c r="L59" i="4"/>
  <c r="M58" i="4"/>
  <c r="L58" i="4"/>
  <c r="M57" i="4"/>
  <c r="L57" i="4"/>
  <c r="M56" i="4"/>
  <c r="L56" i="4"/>
  <c r="M55" i="4"/>
  <c r="L55" i="4"/>
  <c r="M54" i="4"/>
  <c r="L54" i="4"/>
  <c r="M53" i="4"/>
  <c r="L53" i="4"/>
  <c r="M52" i="4"/>
  <c r="L52" i="4"/>
  <c r="M51" i="4"/>
  <c r="L51" i="4"/>
  <c r="M50" i="4"/>
  <c r="L50" i="4"/>
  <c r="M49" i="4"/>
  <c r="L49" i="4"/>
  <c r="M48" i="4"/>
  <c r="L48" i="4"/>
  <c r="M47" i="4"/>
  <c r="L47" i="4"/>
  <c r="M46" i="4"/>
  <c r="L46" i="4"/>
  <c r="M45" i="4"/>
  <c r="L45" i="4"/>
  <c r="M44" i="4"/>
  <c r="L44" i="4"/>
  <c r="M43" i="4"/>
  <c r="L43" i="4"/>
  <c r="M42" i="4"/>
  <c r="L42" i="4"/>
  <c r="M41" i="4"/>
  <c r="L41" i="4"/>
  <c r="M40" i="4"/>
  <c r="L40" i="4"/>
  <c r="M39" i="4"/>
  <c r="L39" i="4"/>
  <c r="M38" i="4"/>
  <c r="L38" i="4"/>
  <c r="M37" i="4"/>
  <c r="L37" i="4"/>
  <c r="M36" i="4"/>
  <c r="L36" i="4"/>
  <c r="M35" i="4"/>
  <c r="L35" i="4"/>
  <c r="M34" i="4"/>
  <c r="L34" i="4"/>
  <c r="M33" i="4"/>
  <c r="L33" i="4"/>
  <c r="M32" i="4"/>
  <c r="L32" i="4"/>
  <c r="M31" i="4"/>
  <c r="L31" i="4"/>
  <c r="M30" i="4"/>
  <c r="L30" i="4"/>
  <c r="M29" i="4"/>
  <c r="L29" i="4"/>
  <c r="M28" i="4"/>
  <c r="L28" i="4"/>
  <c r="M27" i="4"/>
  <c r="L27" i="4"/>
  <c r="M26" i="4"/>
  <c r="L26" i="4"/>
  <c r="M25" i="4"/>
  <c r="L25" i="4"/>
  <c r="M24" i="4"/>
  <c r="L24" i="4"/>
  <c r="M23" i="4"/>
  <c r="L23" i="4"/>
  <c r="M22" i="4"/>
  <c r="L22" i="4"/>
  <c r="M21" i="4"/>
  <c r="L21" i="4"/>
  <c r="M20" i="4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I12" i="4"/>
  <c r="J12" i="4"/>
  <c r="I13" i="4"/>
  <c r="J13" i="4"/>
  <c r="I14" i="4"/>
  <c r="J14" i="4"/>
  <c r="I15" i="4"/>
  <c r="J15" i="4"/>
  <c r="I16" i="4"/>
  <c r="J16" i="4"/>
  <c r="I17" i="4"/>
  <c r="J17" i="4"/>
  <c r="I18" i="4"/>
  <c r="J18" i="4"/>
  <c r="I19" i="4"/>
  <c r="J19" i="4"/>
  <c r="I20" i="4"/>
  <c r="J20" i="4"/>
  <c r="I21" i="4"/>
  <c r="J21" i="4"/>
  <c r="I22" i="4"/>
  <c r="J22" i="4"/>
  <c r="I23" i="4"/>
  <c r="J23" i="4"/>
  <c r="I24" i="4"/>
  <c r="J24" i="4"/>
  <c r="I25" i="4"/>
  <c r="J25" i="4"/>
  <c r="I26" i="4"/>
  <c r="J26" i="4"/>
  <c r="I27" i="4"/>
  <c r="J27" i="4"/>
  <c r="I28" i="4"/>
  <c r="J28" i="4"/>
  <c r="I29" i="4"/>
  <c r="J29" i="4"/>
  <c r="I30" i="4"/>
  <c r="J30" i="4"/>
  <c r="I31" i="4"/>
  <c r="J31" i="4"/>
  <c r="I32" i="4"/>
  <c r="J32" i="4"/>
  <c r="I33" i="4"/>
  <c r="J33" i="4"/>
  <c r="I34" i="4"/>
  <c r="J34" i="4"/>
  <c r="I35" i="4"/>
  <c r="J35" i="4"/>
  <c r="I36" i="4"/>
  <c r="J36" i="4"/>
  <c r="I37" i="4"/>
  <c r="J37" i="4"/>
  <c r="I38" i="4"/>
  <c r="J38" i="4"/>
  <c r="I39" i="4"/>
  <c r="J39" i="4"/>
  <c r="I40" i="4"/>
  <c r="J40" i="4"/>
  <c r="I41" i="4"/>
  <c r="J41" i="4"/>
  <c r="I42" i="4"/>
  <c r="J42" i="4"/>
  <c r="I43" i="4"/>
  <c r="J43" i="4"/>
  <c r="I44" i="4"/>
  <c r="J44" i="4"/>
  <c r="I45" i="4"/>
  <c r="J45" i="4"/>
  <c r="I46" i="4"/>
  <c r="J46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I59" i="4"/>
  <c r="J59" i="4"/>
  <c r="I60" i="4"/>
  <c r="J60" i="4"/>
  <c r="I61" i="4"/>
  <c r="J61" i="4"/>
  <c r="I62" i="4"/>
  <c r="J62" i="4"/>
  <c r="I63" i="4"/>
  <c r="J63" i="4"/>
  <c r="I64" i="4"/>
  <c r="J64" i="4"/>
  <c r="I65" i="4"/>
  <c r="J65" i="4"/>
  <c r="I66" i="4"/>
  <c r="J66" i="4"/>
  <c r="I67" i="4"/>
  <c r="J67" i="4"/>
  <c r="I68" i="4"/>
  <c r="J68" i="4"/>
  <c r="I69" i="4"/>
  <c r="J69" i="4"/>
  <c r="I70" i="4"/>
  <c r="J70" i="4"/>
  <c r="I71" i="4"/>
  <c r="J71" i="4"/>
  <c r="I72" i="4"/>
  <c r="J72" i="4"/>
  <c r="I73" i="4"/>
  <c r="J73" i="4"/>
  <c r="I74" i="4"/>
  <c r="J74" i="4"/>
  <c r="I75" i="4"/>
  <c r="J75" i="4"/>
  <c r="I76" i="4"/>
  <c r="J76" i="4"/>
  <c r="I77" i="4"/>
  <c r="J77" i="4"/>
  <c r="I78" i="4"/>
  <c r="J78" i="4"/>
  <c r="I79" i="4"/>
  <c r="J79" i="4"/>
  <c r="I80" i="4"/>
  <c r="J80" i="4"/>
  <c r="I81" i="4"/>
  <c r="J81" i="4"/>
  <c r="I82" i="4"/>
  <c r="J82" i="4"/>
  <c r="I83" i="4"/>
  <c r="J83" i="4"/>
  <c r="I84" i="4"/>
  <c r="J84" i="4"/>
  <c r="I85" i="4"/>
  <c r="J85" i="4"/>
  <c r="I86" i="4"/>
  <c r="J86" i="4"/>
  <c r="I87" i="4"/>
  <c r="J87" i="4"/>
  <c r="I88" i="4"/>
  <c r="J88" i="4"/>
  <c r="I89" i="4"/>
  <c r="J89" i="4"/>
  <c r="I90" i="4"/>
  <c r="J90" i="4"/>
  <c r="I91" i="4"/>
  <c r="J91" i="4"/>
  <c r="I92" i="4"/>
  <c r="J92" i="4"/>
  <c r="I93" i="4"/>
  <c r="J93" i="4"/>
  <c r="I94" i="4"/>
  <c r="J94" i="4"/>
  <c r="I95" i="4"/>
  <c r="J95" i="4"/>
  <c r="I96" i="4"/>
  <c r="J96" i="4"/>
  <c r="I97" i="4"/>
  <c r="J97" i="4"/>
  <c r="I98" i="4"/>
  <c r="J98" i="4"/>
  <c r="I99" i="4"/>
  <c r="J99" i="4"/>
  <c r="I100" i="4"/>
  <c r="J100" i="4"/>
  <c r="I101" i="4"/>
  <c r="J101" i="4"/>
  <c r="I102" i="4"/>
  <c r="J102" i="4"/>
  <c r="I103" i="4"/>
  <c r="J103" i="4"/>
  <c r="I104" i="4"/>
  <c r="J104" i="4"/>
  <c r="I105" i="4"/>
  <c r="J105" i="4"/>
  <c r="I106" i="4"/>
  <c r="J106" i="4"/>
  <c r="I107" i="4"/>
  <c r="J107" i="4"/>
  <c r="I108" i="4"/>
  <c r="J108" i="4"/>
  <c r="I109" i="4"/>
  <c r="J109" i="4"/>
  <c r="I110" i="4"/>
  <c r="J110" i="4"/>
  <c r="I111" i="4"/>
  <c r="J111" i="4"/>
  <c r="I112" i="4"/>
  <c r="J112" i="4"/>
  <c r="I113" i="4"/>
  <c r="J113" i="4"/>
  <c r="I114" i="4"/>
  <c r="J114" i="4"/>
  <c r="I115" i="4"/>
  <c r="J115" i="4"/>
  <c r="I116" i="4"/>
  <c r="J116" i="4"/>
  <c r="I117" i="4"/>
  <c r="J117" i="4"/>
  <c r="I118" i="4"/>
  <c r="J118" i="4"/>
  <c r="I119" i="4"/>
  <c r="J119" i="4"/>
  <c r="I120" i="4"/>
  <c r="J120" i="4"/>
  <c r="I121" i="4"/>
  <c r="J121" i="4"/>
  <c r="I122" i="4"/>
  <c r="J122" i="4"/>
  <c r="I123" i="4"/>
  <c r="J123" i="4"/>
  <c r="I124" i="4"/>
  <c r="J124" i="4"/>
  <c r="I125" i="4"/>
  <c r="J125" i="4"/>
  <c r="I126" i="4"/>
  <c r="J126" i="4"/>
  <c r="I127" i="4"/>
  <c r="J127" i="4"/>
  <c r="I128" i="4"/>
  <c r="J128" i="4"/>
  <c r="I129" i="4"/>
  <c r="J129" i="4"/>
  <c r="I130" i="4"/>
  <c r="J130" i="4"/>
  <c r="I131" i="4"/>
  <c r="J131" i="4"/>
  <c r="I132" i="4"/>
  <c r="J132" i="4"/>
  <c r="I133" i="4"/>
  <c r="J133" i="4"/>
  <c r="I134" i="4"/>
  <c r="J134" i="4"/>
  <c r="I135" i="4"/>
  <c r="J135" i="4"/>
  <c r="I136" i="4"/>
  <c r="J136" i="4"/>
  <c r="I137" i="4"/>
  <c r="J137" i="4"/>
  <c r="I138" i="4"/>
  <c r="J138" i="4"/>
  <c r="I139" i="4"/>
  <c r="J139" i="4"/>
  <c r="I140" i="4"/>
  <c r="J140" i="4"/>
  <c r="I141" i="4"/>
  <c r="J141" i="4"/>
  <c r="I142" i="4"/>
  <c r="J142" i="4"/>
  <c r="I143" i="4"/>
  <c r="J143" i="4"/>
  <c r="I144" i="4"/>
  <c r="J144" i="4"/>
  <c r="I145" i="4"/>
  <c r="J145" i="4"/>
  <c r="I146" i="4"/>
  <c r="J146" i="4"/>
  <c r="I147" i="4"/>
  <c r="J147" i="4"/>
  <c r="I148" i="4"/>
  <c r="J148" i="4"/>
  <c r="I149" i="4"/>
  <c r="J149" i="4"/>
  <c r="I150" i="4"/>
  <c r="J150" i="4"/>
  <c r="I151" i="4"/>
  <c r="J151" i="4"/>
  <c r="I152" i="4"/>
  <c r="J152" i="4"/>
  <c r="I153" i="4"/>
  <c r="J153" i="4"/>
  <c r="I154" i="4"/>
  <c r="J154" i="4"/>
  <c r="I155" i="4"/>
  <c r="J155" i="4"/>
  <c r="I156" i="4"/>
  <c r="J156" i="4"/>
  <c r="I157" i="4"/>
  <c r="J157" i="4"/>
  <c r="I158" i="4"/>
  <c r="J158" i="4"/>
  <c r="I159" i="4"/>
  <c r="J159" i="4"/>
  <c r="I160" i="4"/>
  <c r="J160" i="4"/>
  <c r="I161" i="4"/>
  <c r="J161" i="4"/>
  <c r="I162" i="4"/>
  <c r="J162" i="4"/>
  <c r="I163" i="4"/>
  <c r="J163" i="4"/>
  <c r="I164" i="4"/>
  <c r="J164" i="4"/>
  <c r="I165" i="4"/>
  <c r="J165" i="4"/>
  <c r="I166" i="4"/>
  <c r="J166" i="4"/>
  <c r="I167" i="4"/>
  <c r="J167" i="4"/>
  <c r="I168" i="4"/>
  <c r="J168" i="4"/>
  <c r="I169" i="4"/>
  <c r="J169" i="4"/>
  <c r="I170" i="4"/>
  <c r="J170" i="4"/>
  <c r="I171" i="4"/>
  <c r="J171" i="4"/>
  <c r="I172" i="4"/>
  <c r="J172" i="4"/>
  <c r="I173" i="4"/>
  <c r="J173" i="4"/>
  <c r="I174" i="4"/>
  <c r="J174" i="4"/>
  <c r="I175" i="4"/>
  <c r="J175" i="4"/>
  <c r="I176" i="4"/>
  <c r="J176" i="4"/>
  <c r="I177" i="4"/>
  <c r="J177" i="4"/>
  <c r="I178" i="4"/>
  <c r="J178" i="4"/>
  <c r="I179" i="4"/>
  <c r="J179" i="4"/>
  <c r="I180" i="4"/>
  <c r="J180" i="4"/>
  <c r="I181" i="4"/>
  <c r="J181" i="4"/>
  <c r="I182" i="4"/>
  <c r="J182" i="4"/>
  <c r="I183" i="4"/>
  <c r="J183" i="4"/>
  <c r="I184" i="4"/>
  <c r="J184" i="4"/>
  <c r="I185" i="4"/>
  <c r="J185" i="4"/>
  <c r="I186" i="4"/>
  <c r="J186" i="4"/>
  <c r="I187" i="4"/>
  <c r="J187" i="4"/>
  <c r="I188" i="4"/>
  <c r="J188" i="4"/>
  <c r="I189" i="4"/>
  <c r="J189" i="4"/>
  <c r="I190" i="4"/>
  <c r="J190" i="4"/>
  <c r="I191" i="4"/>
  <c r="J191" i="4"/>
  <c r="I192" i="4"/>
  <c r="J192" i="4"/>
  <c r="I193" i="4"/>
  <c r="J193" i="4"/>
  <c r="I194" i="4"/>
  <c r="J194" i="4"/>
  <c r="I195" i="4"/>
  <c r="J195" i="4"/>
  <c r="I196" i="4"/>
  <c r="J196" i="4"/>
  <c r="I197" i="4"/>
  <c r="J197" i="4"/>
  <c r="I198" i="4"/>
  <c r="J198" i="4"/>
  <c r="I199" i="4"/>
  <c r="J199" i="4"/>
  <c r="I200" i="4"/>
  <c r="J200" i="4"/>
  <c r="I201" i="4"/>
  <c r="J201" i="4"/>
  <c r="I202" i="4"/>
  <c r="J202" i="4"/>
  <c r="I203" i="4"/>
  <c r="J203" i="4"/>
  <c r="I204" i="4"/>
  <c r="J204" i="4"/>
  <c r="I205" i="4"/>
  <c r="J205" i="4"/>
  <c r="I206" i="4"/>
  <c r="J206" i="4"/>
  <c r="I207" i="4"/>
  <c r="J207" i="4"/>
  <c r="I208" i="4"/>
  <c r="J208" i="4"/>
  <c r="I209" i="4"/>
  <c r="J209" i="4"/>
  <c r="I210" i="4"/>
  <c r="J210" i="4"/>
  <c r="I211" i="4"/>
  <c r="J211" i="4"/>
  <c r="I212" i="4"/>
  <c r="J212" i="4"/>
  <c r="I213" i="4"/>
  <c r="J213" i="4"/>
  <c r="I214" i="4"/>
  <c r="J214" i="4"/>
  <c r="I215" i="4"/>
  <c r="J215" i="4"/>
  <c r="I216" i="4"/>
  <c r="J216" i="4"/>
  <c r="I217" i="4"/>
  <c r="J217" i="4"/>
  <c r="I218" i="4"/>
  <c r="J218" i="4"/>
  <c r="I219" i="4"/>
  <c r="J219" i="4"/>
  <c r="I220" i="4"/>
  <c r="J220" i="4"/>
  <c r="I221" i="4"/>
  <c r="J221" i="4"/>
  <c r="I222" i="4"/>
  <c r="J222" i="4"/>
  <c r="I223" i="4"/>
  <c r="J223" i="4"/>
  <c r="I224" i="4"/>
  <c r="J224" i="4"/>
  <c r="I225" i="4"/>
  <c r="J225" i="4"/>
  <c r="I226" i="4"/>
  <c r="J226" i="4"/>
  <c r="I227" i="4"/>
  <c r="J227" i="4"/>
  <c r="I228" i="4"/>
  <c r="J228" i="4"/>
  <c r="I229" i="4"/>
  <c r="J229" i="4"/>
  <c r="I230" i="4"/>
  <c r="J230" i="4"/>
  <c r="I231" i="4"/>
  <c r="J231" i="4"/>
  <c r="I232" i="4"/>
  <c r="J232" i="4"/>
  <c r="I233" i="4"/>
  <c r="J233" i="4"/>
  <c r="I234" i="4"/>
  <c r="J234" i="4"/>
  <c r="I235" i="4"/>
  <c r="J235" i="4"/>
  <c r="I236" i="4"/>
  <c r="J236" i="4"/>
  <c r="I237" i="4"/>
  <c r="J237" i="4"/>
  <c r="I238" i="4"/>
  <c r="J238" i="4"/>
  <c r="I239" i="4"/>
  <c r="J239" i="4"/>
  <c r="I240" i="4"/>
  <c r="J240" i="4"/>
  <c r="I241" i="4"/>
  <c r="J241" i="4"/>
  <c r="I242" i="4"/>
  <c r="J242" i="4"/>
  <c r="I243" i="4"/>
  <c r="J243" i="4"/>
  <c r="I244" i="4"/>
  <c r="J244" i="4"/>
  <c r="I245" i="4"/>
  <c r="J245" i="4"/>
  <c r="I246" i="4"/>
  <c r="J246" i="4"/>
  <c r="I247" i="4"/>
  <c r="J247" i="4"/>
  <c r="I248" i="4"/>
  <c r="J248" i="4"/>
  <c r="I249" i="4"/>
  <c r="J249" i="4"/>
  <c r="I250" i="4"/>
  <c r="J250" i="4"/>
  <c r="I251" i="4"/>
  <c r="J251" i="4"/>
  <c r="I252" i="4"/>
  <c r="J252" i="4"/>
  <c r="I253" i="4"/>
  <c r="J253" i="4"/>
  <c r="I254" i="4"/>
  <c r="J254" i="4"/>
  <c r="I255" i="4"/>
  <c r="J255" i="4"/>
  <c r="I256" i="4"/>
  <c r="J256" i="4"/>
  <c r="I257" i="4"/>
  <c r="J257" i="4"/>
  <c r="I258" i="4"/>
  <c r="J258" i="4"/>
  <c r="I259" i="4"/>
  <c r="J259" i="4"/>
  <c r="I260" i="4"/>
  <c r="J260" i="4"/>
  <c r="I261" i="4"/>
  <c r="J261" i="4"/>
  <c r="I262" i="4"/>
  <c r="J262" i="4"/>
  <c r="I263" i="4"/>
  <c r="J263" i="4"/>
  <c r="I264" i="4"/>
  <c r="J264" i="4"/>
  <c r="I265" i="4"/>
  <c r="J265" i="4"/>
  <c r="I266" i="4"/>
  <c r="J266" i="4"/>
  <c r="I267" i="4"/>
  <c r="J267" i="4"/>
  <c r="I268" i="4"/>
  <c r="J268" i="4"/>
  <c r="I269" i="4"/>
  <c r="J269" i="4"/>
  <c r="I270" i="4"/>
  <c r="J270" i="4"/>
  <c r="I271" i="4"/>
  <c r="J271" i="4"/>
  <c r="I272" i="4"/>
  <c r="J272" i="4"/>
  <c r="I273" i="4"/>
  <c r="J273" i="4"/>
  <c r="I274" i="4"/>
  <c r="J274" i="4"/>
  <c r="I275" i="4"/>
  <c r="J275" i="4"/>
  <c r="I276" i="4"/>
  <c r="J276" i="4"/>
  <c r="I277" i="4"/>
  <c r="J277" i="4"/>
  <c r="I278" i="4"/>
  <c r="J278" i="4"/>
  <c r="I279" i="4"/>
  <c r="J279" i="4"/>
  <c r="I280" i="4"/>
  <c r="J280" i="4"/>
  <c r="I281" i="4"/>
  <c r="J281" i="4"/>
  <c r="I282" i="4"/>
  <c r="J282" i="4"/>
  <c r="I283" i="4"/>
  <c r="J283" i="4"/>
  <c r="I284" i="4"/>
  <c r="J284" i="4"/>
  <c r="I285" i="4"/>
  <c r="J285" i="4"/>
  <c r="I286" i="4"/>
  <c r="J286" i="4"/>
  <c r="I287" i="4"/>
  <c r="J287" i="4"/>
  <c r="I288" i="4"/>
  <c r="J288" i="4"/>
  <c r="I289" i="4"/>
  <c r="J289" i="4"/>
  <c r="I290" i="4"/>
  <c r="J290" i="4"/>
  <c r="I291" i="4"/>
  <c r="J291" i="4"/>
  <c r="I292" i="4"/>
  <c r="J292" i="4"/>
  <c r="I293" i="4"/>
  <c r="J293" i="4"/>
  <c r="I294" i="4"/>
  <c r="J294" i="4"/>
  <c r="I295" i="4"/>
  <c r="J295" i="4"/>
  <c r="I296" i="4"/>
  <c r="J296" i="4"/>
  <c r="I297" i="4"/>
  <c r="J297" i="4"/>
  <c r="I298" i="4"/>
  <c r="J298" i="4"/>
  <c r="I299" i="4"/>
  <c r="J299" i="4"/>
  <c r="I300" i="4"/>
  <c r="J300" i="4"/>
  <c r="I301" i="4"/>
  <c r="J301" i="4"/>
  <c r="I302" i="4"/>
  <c r="J302" i="4"/>
  <c r="I303" i="4"/>
  <c r="J303" i="4"/>
  <c r="I304" i="4"/>
  <c r="J304" i="4"/>
  <c r="I305" i="4"/>
  <c r="J305" i="4"/>
  <c r="I306" i="4"/>
  <c r="J306" i="4"/>
  <c r="I307" i="4"/>
  <c r="J307" i="4"/>
  <c r="I308" i="4"/>
  <c r="J308" i="4"/>
  <c r="I309" i="4"/>
  <c r="J309" i="4"/>
  <c r="I310" i="4"/>
  <c r="J310" i="4"/>
  <c r="I311" i="4"/>
  <c r="J311" i="4"/>
  <c r="I312" i="4"/>
  <c r="J312" i="4"/>
  <c r="I313" i="4"/>
  <c r="J313" i="4"/>
  <c r="I314" i="4"/>
  <c r="J314" i="4"/>
  <c r="I315" i="4"/>
  <c r="J315" i="4"/>
  <c r="I316" i="4"/>
  <c r="J316" i="4"/>
  <c r="I317" i="4"/>
  <c r="J317" i="4"/>
  <c r="I318" i="4"/>
  <c r="J318" i="4"/>
  <c r="I319" i="4"/>
  <c r="J319" i="4"/>
  <c r="I320" i="4"/>
  <c r="J320" i="4"/>
  <c r="I321" i="4"/>
  <c r="J321" i="4"/>
  <c r="I322" i="4"/>
  <c r="J322" i="4"/>
  <c r="I323" i="4"/>
  <c r="J323" i="4"/>
  <c r="I324" i="4"/>
  <c r="J324" i="4"/>
  <c r="I325" i="4"/>
  <c r="J325" i="4"/>
  <c r="I326" i="4"/>
  <c r="J326" i="4"/>
  <c r="I327" i="4"/>
  <c r="J327" i="4"/>
  <c r="I328" i="4"/>
  <c r="J328" i="4"/>
  <c r="I329" i="4"/>
  <c r="J329" i="4"/>
  <c r="I330" i="4"/>
  <c r="J330" i="4"/>
  <c r="I331" i="4"/>
  <c r="J331" i="4"/>
  <c r="I332" i="4"/>
  <c r="J332" i="4"/>
  <c r="I333" i="4"/>
  <c r="J333" i="4"/>
  <c r="I334" i="4"/>
  <c r="J334" i="4"/>
  <c r="I335" i="4"/>
  <c r="J335" i="4"/>
  <c r="I336" i="4"/>
  <c r="J336" i="4"/>
  <c r="I337" i="4"/>
  <c r="J337" i="4"/>
  <c r="I338" i="4"/>
  <c r="J338" i="4"/>
  <c r="I339" i="4"/>
  <c r="J339" i="4"/>
  <c r="I340" i="4"/>
  <c r="J340" i="4"/>
  <c r="I341" i="4"/>
  <c r="J341" i="4"/>
  <c r="I342" i="4"/>
  <c r="J342" i="4"/>
  <c r="I343" i="4"/>
  <c r="J343" i="4"/>
  <c r="I344" i="4"/>
  <c r="J344" i="4"/>
  <c r="I345" i="4"/>
  <c r="J345" i="4"/>
  <c r="I346" i="4"/>
  <c r="J346" i="4"/>
  <c r="I347" i="4"/>
  <c r="J347" i="4"/>
  <c r="I348" i="4"/>
  <c r="J348" i="4"/>
  <c r="I349" i="4"/>
  <c r="J349" i="4"/>
  <c r="I350" i="4"/>
  <c r="J350" i="4"/>
  <c r="I351" i="4"/>
  <c r="J351" i="4"/>
  <c r="I352" i="4"/>
  <c r="J352" i="4"/>
  <c r="I353" i="4"/>
  <c r="J353" i="4"/>
  <c r="I354" i="4"/>
  <c r="J354" i="4"/>
  <c r="I355" i="4"/>
  <c r="J355" i="4"/>
  <c r="J11" i="4"/>
  <c r="I11" i="4"/>
  <c r="DC10" i="1"/>
  <c r="DD10" i="1"/>
  <c r="DE10" i="1"/>
  <c r="DF10" i="1"/>
  <c r="DC11" i="1"/>
  <c r="DD11" i="1"/>
  <c r="DE11" i="1"/>
  <c r="DF11" i="1"/>
  <c r="DC12" i="1"/>
  <c r="DD12" i="1"/>
  <c r="DE12" i="1"/>
  <c r="DF12" i="1"/>
  <c r="DC13" i="1"/>
  <c r="DD13" i="1"/>
  <c r="DE13" i="1"/>
  <c r="DF13" i="1"/>
  <c r="DC14" i="1"/>
  <c r="DD14" i="1"/>
  <c r="DE14" i="1"/>
  <c r="DF14" i="1"/>
  <c r="DC15" i="1"/>
  <c r="DD15" i="1"/>
  <c r="DE15" i="1"/>
  <c r="DF15" i="1"/>
  <c r="DC16" i="1"/>
  <c r="DD16" i="1"/>
  <c r="DE16" i="1"/>
  <c r="DF16" i="1"/>
  <c r="DC17" i="1"/>
  <c r="DD17" i="1"/>
  <c r="DE17" i="1"/>
  <c r="DF17" i="1"/>
  <c r="DC18" i="1"/>
  <c r="DD18" i="1"/>
  <c r="DE18" i="1"/>
  <c r="DF18" i="1"/>
  <c r="DC19" i="1"/>
  <c r="DD19" i="1"/>
  <c r="DE19" i="1"/>
  <c r="DF19" i="1"/>
  <c r="DC20" i="1"/>
  <c r="DD20" i="1"/>
  <c r="DE20" i="1"/>
  <c r="DF20" i="1"/>
  <c r="DC21" i="1"/>
  <c r="DD21" i="1"/>
  <c r="DE21" i="1"/>
  <c r="DF21" i="1"/>
  <c r="DC22" i="1"/>
  <c r="DD22" i="1"/>
  <c r="DE22" i="1"/>
  <c r="DF22" i="1"/>
  <c r="DC23" i="1"/>
  <c r="DD23" i="1"/>
  <c r="DE23" i="1"/>
  <c r="DF23" i="1"/>
  <c r="DC24" i="1"/>
  <c r="DD24" i="1"/>
  <c r="DE24" i="1"/>
  <c r="DF24" i="1"/>
  <c r="DC25" i="1"/>
  <c r="DD25" i="1"/>
  <c r="DE25" i="1"/>
  <c r="DF25" i="1"/>
  <c r="DC26" i="1"/>
  <c r="DD26" i="1"/>
  <c r="DE26" i="1"/>
  <c r="DF26" i="1"/>
  <c r="DC27" i="1"/>
  <c r="DD27" i="1"/>
  <c r="DE27" i="1"/>
  <c r="DF27" i="1"/>
  <c r="DC28" i="1"/>
  <c r="DD28" i="1"/>
  <c r="DE28" i="1"/>
  <c r="DF28" i="1"/>
  <c r="DC29" i="1"/>
  <c r="DD29" i="1"/>
  <c r="DE29" i="1"/>
  <c r="DF29" i="1"/>
  <c r="DC30" i="1"/>
  <c r="DD30" i="1"/>
  <c r="DE30" i="1"/>
  <c r="DF30" i="1"/>
  <c r="DC31" i="1"/>
  <c r="DD31" i="1"/>
  <c r="DE31" i="1"/>
  <c r="DF31" i="1"/>
  <c r="DC32" i="1"/>
  <c r="DD32" i="1"/>
  <c r="DE32" i="1"/>
  <c r="DF32" i="1"/>
  <c r="DC33" i="1"/>
  <c r="DD33" i="1"/>
  <c r="DE33" i="1"/>
  <c r="DF33" i="1"/>
  <c r="DC34" i="1"/>
  <c r="DD34" i="1"/>
  <c r="DE34" i="1"/>
  <c r="DF34" i="1"/>
  <c r="DC35" i="1"/>
  <c r="DD35" i="1"/>
  <c r="DE35" i="1"/>
  <c r="DF35" i="1"/>
  <c r="DC36" i="1"/>
  <c r="DD36" i="1"/>
  <c r="DE36" i="1"/>
  <c r="DF36" i="1"/>
  <c r="DC37" i="1"/>
  <c r="DD37" i="1"/>
  <c r="DE37" i="1"/>
  <c r="DF37" i="1"/>
  <c r="DC38" i="1"/>
  <c r="DD38" i="1"/>
  <c r="DE38" i="1"/>
  <c r="DF38" i="1"/>
  <c r="DC39" i="1"/>
  <c r="DD39" i="1"/>
  <c r="DE39" i="1"/>
  <c r="DF39" i="1"/>
  <c r="DC40" i="1"/>
  <c r="DD40" i="1"/>
  <c r="DE40" i="1"/>
  <c r="DF40" i="1"/>
  <c r="DC41" i="1"/>
  <c r="DD41" i="1"/>
  <c r="DE41" i="1"/>
  <c r="DF41" i="1"/>
  <c r="DC42" i="1"/>
  <c r="DD42" i="1"/>
  <c r="DE42" i="1"/>
  <c r="DF42" i="1"/>
  <c r="DC43" i="1"/>
  <c r="DD43" i="1"/>
  <c r="DE43" i="1"/>
  <c r="DF43" i="1"/>
  <c r="DC44" i="1"/>
  <c r="DD44" i="1"/>
  <c r="DE44" i="1"/>
  <c r="DF44" i="1"/>
  <c r="DC45" i="1"/>
  <c r="DD45" i="1"/>
  <c r="DE45" i="1"/>
  <c r="DF45" i="1"/>
  <c r="DC46" i="1"/>
  <c r="DD46" i="1"/>
  <c r="DE46" i="1"/>
  <c r="DF46" i="1"/>
  <c r="DC47" i="1"/>
  <c r="DD47" i="1"/>
  <c r="DE47" i="1"/>
  <c r="DF47" i="1"/>
  <c r="DC48" i="1"/>
  <c r="DD48" i="1"/>
  <c r="DE48" i="1"/>
  <c r="DF48" i="1"/>
  <c r="DC49" i="1"/>
  <c r="DD49" i="1"/>
  <c r="DE49" i="1"/>
  <c r="DF49" i="1"/>
  <c r="DC50" i="1"/>
  <c r="DD50" i="1"/>
  <c r="DE50" i="1"/>
  <c r="DF50" i="1"/>
  <c r="DC51" i="1"/>
  <c r="DD51" i="1"/>
  <c r="DE51" i="1"/>
  <c r="DF51" i="1"/>
  <c r="DC52" i="1"/>
  <c r="DD52" i="1"/>
  <c r="DE52" i="1"/>
  <c r="DF52" i="1"/>
  <c r="DC53" i="1"/>
  <c r="DD53" i="1"/>
  <c r="DE53" i="1"/>
  <c r="DF53" i="1"/>
  <c r="DC54" i="1"/>
  <c r="DD54" i="1"/>
  <c r="DE54" i="1"/>
  <c r="DF54" i="1"/>
  <c r="DC55" i="1"/>
  <c r="DD55" i="1"/>
  <c r="DE55" i="1"/>
  <c r="DF55" i="1"/>
  <c r="DC56" i="1"/>
  <c r="DD56" i="1"/>
  <c r="DE56" i="1"/>
  <c r="DF56" i="1"/>
  <c r="DC57" i="1"/>
  <c r="DD57" i="1"/>
  <c r="DE57" i="1"/>
  <c r="DF57" i="1"/>
  <c r="DC58" i="1"/>
  <c r="DD58" i="1"/>
  <c r="DE58" i="1"/>
  <c r="DF58" i="1"/>
  <c r="DC59" i="1"/>
  <c r="DD59" i="1"/>
  <c r="DE59" i="1"/>
  <c r="DF59" i="1"/>
  <c r="DC60" i="1"/>
  <c r="DD60" i="1"/>
  <c r="DE60" i="1"/>
  <c r="DF60" i="1"/>
  <c r="DC61" i="1"/>
  <c r="DD61" i="1"/>
  <c r="DE61" i="1"/>
  <c r="DF61" i="1"/>
  <c r="DC62" i="1"/>
  <c r="DD62" i="1"/>
  <c r="DE62" i="1"/>
  <c r="DF62" i="1"/>
  <c r="DC63" i="1"/>
  <c r="DD63" i="1"/>
  <c r="DE63" i="1"/>
  <c r="DF63" i="1"/>
  <c r="DC64" i="1"/>
  <c r="DD64" i="1"/>
  <c r="DE64" i="1"/>
  <c r="DF64" i="1"/>
  <c r="DC65" i="1"/>
  <c r="DD65" i="1"/>
  <c r="DE65" i="1"/>
  <c r="DF65" i="1"/>
  <c r="DC66" i="1"/>
  <c r="DD66" i="1"/>
  <c r="DE66" i="1"/>
  <c r="DF66" i="1"/>
  <c r="DC67" i="1"/>
  <c r="DD67" i="1"/>
  <c r="DE67" i="1"/>
  <c r="DF67" i="1"/>
  <c r="DC68" i="1"/>
  <c r="DD68" i="1"/>
  <c r="DE68" i="1"/>
  <c r="DF68" i="1"/>
  <c r="DC69" i="1"/>
  <c r="DD69" i="1"/>
  <c r="DE69" i="1"/>
  <c r="DF69" i="1"/>
  <c r="DC70" i="1"/>
  <c r="DD70" i="1"/>
  <c r="DE70" i="1"/>
  <c r="DF70" i="1"/>
  <c r="DC71" i="1"/>
  <c r="DD71" i="1"/>
  <c r="DE71" i="1"/>
  <c r="DF71" i="1"/>
  <c r="DC72" i="1"/>
  <c r="DD72" i="1"/>
  <c r="DE72" i="1"/>
  <c r="DF72" i="1"/>
  <c r="DC73" i="1"/>
  <c r="DD73" i="1"/>
  <c r="DE73" i="1"/>
  <c r="DF73" i="1"/>
  <c r="DC74" i="1"/>
  <c r="DD74" i="1"/>
  <c r="DE74" i="1"/>
  <c r="DF74" i="1"/>
  <c r="DC75" i="1"/>
  <c r="DD75" i="1"/>
  <c r="DE75" i="1"/>
  <c r="DF75" i="1"/>
  <c r="DC76" i="1"/>
  <c r="DD76" i="1"/>
  <c r="DE76" i="1"/>
  <c r="DF76" i="1"/>
  <c r="DC77" i="1"/>
  <c r="DD77" i="1"/>
  <c r="DE77" i="1"/>
  <c r="DF77" i="1"/>
  <c r="DC78" i="1"/>
  <c r="DD78" i="1"/>
  <c r="DE78" i="1"/>
  <c r="DF78" i="1"/>
  <c r="DC79" i="1"/>
  <c r="DD79" i="1"/>
  <c r="DE79" i="1"/>
  <c r="DF79" i="1"/>
  <c r="DC80" i="1"/>
  <c r="DD80" i="1"/>
  <c r="DE80" i="1"/>
  <c r="DF80" i="1"/>
  <c r="DC81" i="1"/>
  <c r="DD81" i="1"/>
  <c r="DE81" i="1"/>
  <c r="DF81" i="1"/>
  <c r="DC82" i="1"/>
  <c r="DD82" i="1"/>
  <c r="DE82" i="1"/>
  <c r="DF82" i="1"/>
  <c r="DC83" i="1"/>
  <c r="DD83" i="1"/>
  <c r="DE83" i="1"/>
  <c r="DF83" i="1"/>
  <c r="DC84" i="1"/>
  <c r="DD84" i="1"/>
  <c r="DE84" i="1"/>
  <c r="DF84" i="1"/>
  <c r="DC85" i="1"/>
  <c r="DD85" i="1"/>
  <c r="DE85" i="1"/>
  <c r="DF85" i="1"/>
  <c r="DC86" i="1"/>
  <c r="DD86" i="1"/>
  <c r="DE86" i="1"/>
  <c r="DF86" i="1"/>
  <c r="DC87" i="1"/>
  <c r="DD87" i="1"/>
  <c r="DE87" i="1"/>
  <c r="DF87" i="1"/>
  <c r="DC88" i="1"/>
  <c r="DD88" i="1"/>
  <c r="DE88" i="1"/>
  <c r="DF88" i="1"/>
  <c r="DC89" i="1"/>
  <c r="DD89" i="1"/>
  <c r="DE89" i="1"/>
  <c r="DF89" i="1"/>
  <c r="DC90" i="1"/>
  <c r="DD90" i="1"/>
  <c r="DE90" i="1"/>
  <c r="DF90" i="1"/>
  <c r="DC91" i="1"/>
  <c r="DD91" i="1"/>
  <c r="DE91" i="1"/>
  <c r="DF91" i="1"/>
  <c r="DC92" i="1"/>
  <c r="DD92" i="1"/>
  <c r="DE92" i="1"/>
  <c r="DF92" i="1"/>
  <c r="DC93" i="1"/>
  <c r="DD93" i="1"/>
  <c r="DE93" i="1"/>
  <c r="DF93" i="1"/>
  <c r="DC94" i="1"/>
  <c r="DD94" i="1"/>
  <c r="DE94" i="1"/>
  <c r="DF94" i="1"/>
  <c r="DC95" i="1"/>
  <c r="DD95" i="1"/>
  <c r="DE95" i="1"/>
  <c r="DF95" i="1"/>
  <c r="DC96" i="1"/>
  <c r="DD96" i="1"/>
  <c r="DE96" i="1"/>
  <c r="DF96" i="1"/>
  <c r="DC97" i="1"/>
  <c r="DD97" i="1"/>
  <c r="DE97" i="1"/>
  <c r="DF97" i="1"/>
  <c r="DC98" i="1"/>
  <c r="DD98" i="1"/>
  <c r="DE98" i="1"/>
  <c r="DF98" i="1"/>
  <c r="DC99" i="1"/>
  <c r="DD99" i="1"/>
  <c r="DE99" i="1"/>
  <c r="DF99" i="1"/>
  <c r="DC100" i="1"/>
  <c r="DD100" i="1"/>
  <c r="DE100" i="1"/>
  <c r="DF100" i="1"/>
  <c r="DC101" i="1"/>
  <c r="DD101" i="1"/>
  <c r="DE101" i="1"/>
  <c r="DF101" i="1"/>
  <c r="DC102" i="1"/>
  <c r="DD102" i="1"/>
  <c r="DE102" i="1"/>
  <c r="DF102" i="1"/>
  <c r="DC103" i="1"/>
  <c r="DD103" i="1"/>
  <c r="DE103" i="1"/>
  <c r="DF103" i="1"/>
  <c r="DC104" i="1"/>
  <c r="DD104" i="1"/>
  <c r="DE104" i="1"/>
  <c r="DF104" i="1"/>
  <c r="DC105" i="1"/>
  <c r="DD105" i="1"/>
  <c r="DE105" i="1"/>
  <c r="DF105" i="1"/>
  <c r="DC106" i="1"/>
  <c r="DD106" i="1"/>
  <c r="DE106" i="1"/>
  <c r="DF106" i="1"/>
  <c r="DC107" i="1"/>
  <c r="DD107" i="1"/>
  <c r="DE107" i="1"/>
  <c r="DF107" i="1"/>
  <c r="DC108" i="1"/>
  <c r="DD108" i="1"/>
  <c r="DE108" i="1"/>
  <c r="DF108" i="1"/>
  <c r="DC109" i="1"/>
  <c r="DD109" i="1"/>
  <c r="DE109" i="1"/>
  <c r="DF109" i="1"/>
  <c r="DC110" i="1"/>
  <c r="DD110" i="1"/>
  <c r="DE110" i="1"/>
  <c r="DF110" i="1"/>
  <c r="DC111" i="1"/>
  <c r="DD111" i="1"/>
  <c r="DE111" i="1"/>
  <c r="DF111" i="1"/>
  <c r="DC112" i="1"/>
  <c r="DD112" i="1"/>
  <c r="DE112" i="1"/>
  <c r="DF112" i="1"/>
  <c r="DC113" i="1"/>
  <c r="DD113" i="1"/>
  <c r="DE113" i="1"/>
  <c r="DF113" i="1"/>
  <c r="DC114" i="1"/>
  <c r="DD114" i="1"/>
  <c r="DE114" i="1"/>
  <c r="DF114" i="1"/>
  <c r="DC115" i="1"/>
  <c r="DD115" i="1"/>
  <c r="DE115" i="1"/>
  <c r="DF115" i="1"/>
  <c r="DC116" i="1"/>
  <c r="DD116" i="1"/>
  <c r="DE116" i="1"/>
  <c r="DF116" i="1"/>
  <c r="DC117" i="1"/>
  <c r="DD117" i="1"/>
  <c r="DE117" i="1"/>
  <c r="DF117" i="1"/>
  <c r="DC118" i="1"/>
  <c r="DD118" i="1"/>
  <c r="DE118" i="1"/>
  <c r="DF118" i="1"/>
  <c r="DC119" i="1"/>
  <c r="DD119" i="1"/>
  <c r="DE119" i="1"/>
  <c r="DF119" i="1"/>
  <c r="DC120" i="1"/>
  <c r="DD120" i="1"/>
  <c r="DE120" i="1"/>
  <c r="DF120" i="1"/>
  <c r="DC121" i="1"/>
  <c r="DD121" i="1"/>
  <c r="DE121" i="1"/>
  <c r="DF121" i="1"/>
  <c r="DC122" i="1"/>
  <c r="DD122" i="1"/>
  <c r="DE122" i="1"/>
  <c r="DF122" i="1"/>
  <c r="DC123" i="1"/>
  <c r="DD123" i="1"/>
  <c r="DE123" i="1"/>
  <c r="DF123" i="1"/>
  <c r="DC124" i="1"/>
  <c r="DD124" i="1"/>
  <c r="DE124" i="1"/>
  <c r="DF124" i="1"/>
  <c r="DC125" i="1"/>
  <c r="DD125" i="1"/>
  <c r="DE125" i="1"/>
  <c r="DF125" i="1"/>
  <c r="DC126" i="1"/>
  <c r="DD126" i="1"/>
  <c r="DE126" i="1"/>
  <c r="DF126" i="1"/>
  <c r="DC127" i="1"/>
  <c r="DD127" i="1"/>
  <c r="DE127" i="1"/>
  <c r="DF127" i="1"/>
  <c r="DC128" i="1"/>
  <c r="DD128" i="1"/>
  <c r="DE128" i="1"/>
  <c r="DF128" i="1"/>
  <c r="DC129" i="1"/>
  <c r="DD129" i="1"/>
  <c r="DE129" i="1"/>
  <c r="DF129" i="1"/>
  <c r="DC130" i="1"/>
  <c r="DD130" i="1"/>
  <c r="DE130" i="1"/>
  <c r="DF130" i="1"/>
  <c r="DC131" i="1"/>
  <c r="DD131" i="1"/>
  <c r="DE131" i="1"/>
  <c r="DF131" i="1"/>
  <c r="DC132" i="1"/>
  <c r="DD132" i="1"/>
  <c r="DE132" i="1"/>
  <c r="DF132" i="1"/>
  <c r="DC133" i="1"/>
  <c r="DD133" i="1"/>
  <c r="DE133" i="1"/>
  <c r="DF133" i="1"/>
  <c r="DC134" i="1"/>
  <c r="DD134" i="1"/>
  <c r="DE134" i="1"/>
  <c r="DF134" i="1"/>
  <c r="DC135" i="1"/>
  <c r="DD135" i="1"/>
  <c r="DE135" i="1"/>
  <c r="DF135" i="1"/>
  <c r="DC136" i="1"/>
  <c r="DD136" i="1"/>
  <c r="DE136" i="1"/>
  <c r="DF136" i="1"/>
  <c r="DC137" i="1"/>
  <c r="DD137" i="1"/>
  <c r="DE137" i="1"/>
  <c r="DF137" i="1"/>
  <c r="DC138" i="1"/>
  <c r="DD138" i="1"/>
  <c r="DE138" i="1"/>
  <c r="DF138" i="1"/>
  <c r="DC139" i="1"/>
  <c r="DD139" i="1"/>
  <c r="DE139" i="1"/>
  <c r="DF139" i="1"/>
  <c r="DC140" i="1"/>
  <c r="DD140" i="1"/>
  <c r="DE140" i="1"/>
  <c r="DF140" i="1"/>
  <c r="DC141" i="1"/>
  <c r="DD141" i="1"/>
  <c r="DE141" i="1"/>
  <c r="DF141" i="1"/>
  <c r="DC142" i="1"/>
  <c r="DD142" i="1"/>
  <c r="DE142" i="1"/>
  <c r="DF142" i="1"/>
  <c r="DC143" i="1"/>
  <c r="DD143" i="1"/>
  <c r="DE143" i="1"/>
  <c r="DF143" i="1"/>
  <c r="DC144" i="1"/>
  <c r="DD144" i="1"/>
  <c r="DE144" i="1"/>
  <c r="DF144" i="1"/>
  <c r="DC145" i="1"/>
  <c r="DD145" i="1"/>
  <c r="DE145" i="1"/>
  <c r="DF145" i="1"/>
  <c r="DC146" i="1"/>
  <c r="DD146" i="1"/>
  <c r="DE146" i="1"/>
  <c r="DF146" i="1"/>
  <c r="DC147" i="1"/>
  <c r="DD147" i="1"/>
  <c r="DE147" i="1"/>
  <c r="DF147" i="1"/>
  <c r="DC148" i="1"/>
  <c r="DD148" i="1"/>
  <c r="DE148" i="1"/>
  <c r="DF148" i="1"/>
  <c r="DC149" i="1"/>
  <c r="DD149" i="1"/>
  <c r="DE149" i="1"/>
  <c r="DF149" i="1"/>
  <c r="DC150" i="1"/>
  <c r="DD150" i="1"/>
  <c r="DE150" i="1"/>
  <c r="DF150" i="1"/>
  <c r="DC151" i="1"/>
  <c r="DD151" i="1"/>
  <c r="DE151" i="1"/>
  <c r="DF151" i="1"/>
  <c r="DC152" i="1"/>
  <c r="DD152" i="1"/>
  <c r="DE152" i="1"/>
  <c r="DF152" i="1"/>
  <c r="DC153" i="1"/>
  <c r="DD153" i="1"/>
  <c r="DE153" i="1"/>
  <c r="DF153" i="1"/>
  <c r="DC154" i="1"/>
  <c r="DD154" i="1"/>
  <c r="DE154" i="1"/>
  <c r="DF154" i="1"/>
  <c r="DC155" i="1"/>
  <c r="DD155" i="1"/>
  <c r="DE155" i="1"/>
  <c r="DF155" i="1"/>
  <c r="DC156" i="1"/>
  <c r="DD156" i="1"/>
  <c r="DE156" i="1"/>
  <c r="DF156" i="1"/>
  <c r="DC157" i="1"/>
  <c r="DD157" i="1"/>
  <c r="DE157" i="1"/>
  <c r="DF157" i="1"/>
  <c r="DC158" i="1"/>
  <c r="DD158" i="1"/>
  <c r="DE158" i="1"/>
  <c r="DF158" i="1"/>
  <c r="DC159" i="1"/>
  <c r="DD159" i="1"/>
  <c r="DE159" i="1"/>
  <c r="DF159" i="1"/>
  <c r="DC160" i="1"/>
  <c r="DD160" i="1"/>
  <c r="DE160" i="1"/>
  <c r="DF160" i="1"/>
  <c r="DC161" i="1"/>
  <c r="DD161" i="1"/>
  <c r="DE161" i="1"/>
  <c r="DF161" i="1"/>
  <c r="DC162" i="1"/>
  <c r="DD162" i="1"/>
  <c r="DE162" i="1"/>
  <c r="DF162" i="1"/>
  <c r="DC163" i="1"/>
  <c r="DD163" i="1"/>
  <c r="DE163" i="1"/>
  <c r="DF163" i="1"/>
  <c r="DC164" i="1"/>
  <c r="DD164" i="1"/>
  <c r="DE164" i="1"/>
  <c r="DF164" i="1"/>
  <c r="DC165" i="1"/>
  <c r="DD165" i="1"/>
  <c r="DE165" i="1"/>
  <c r="DF165" i="1"/>
  <c r="DC166" i="1"/>
  <c r="DD166" i="1"/>
  <c r="DE166" i="1"/>
  <c r="DF166" i="1"/>
  <c r="DC167" i="1"/>
  <c r="DD167" i="1"/>
  <c r="DE167" i="1"/>
  <c r="DF167" i="1"/>
  <c r="DC168" i="1"/>
  <c r="DD168" i="1"/>
  <c r="DE168" i="1"/>
  <c r="DF168" i="1"/>
  <c r="DC169" i="1"/>
  <c r="DD169" i="1"/>
  <c r="DE169" i="1"/>
  <c r="DF169" i="1"/>
  <c r="DC170" i="1"/>
  <c r="DD170" i="1"/>
  <c r="DE170" i="1"/>
  <c r="DF170" i="1"/>
  <c r="DC171" i="1"/>
  <c r="DD171" i="1"/>
  <c r="DE171" i="1"/>
  <c r="DF171" i="1"/>
  <c r="DC172" i="1"/>
  <c r="DD172" i="1"/>
  <c r="DE172" i="1"/>
  <c r="DF172" i="1"/>
  <c r="DC173" i="1"/>
  <c r="DD173" i="1"/>
  <c r="DE173" i="1"/>
  <c r="DF173" i="1"/>
  <c r="DC174" i="1"/>
  <c r="DD174" i="1"/>
  <c r="DE174" i="1"/>
  <c r="DF174" i="1"/>
  <c r="DC175" i="1"/>
  <c r="DD175" i="1"/>
  <c r="DE175" i="1"/>
  <c r="DF175" i="1"/>
  <c r="DC176" i="1"/>
  <c r="DD176" i="1"/>
  <c r="DE176" i="1"/>
  <c r="DF176" i="1"/>
  <c r="DC177" i="1"/>
  <c r="DD177" i="1"/>
  <c r="DE177" i="1"/>
  <c r="DF177" i="1"/>
  <c r="DC178" i="1"/>
  <c r="DD178" i="1"/>
  <c r="DE178" i="1"/>
  <c r="DF178" i="1"/>
  <c r="DC179" i="1"/>
  <c r="DD179" i="1"/>
  <c r="DE179" i="1"/>
  <c r="DF179" i="1"/>
  <c r="DC180" i="1"/>
  <c r="DD180" i="1"/>
  <c r="DE180" i="1"/>
  <c r="DF180" i="1"/>
  <c r="DC181" i="1"/>
  <c r="DD181" i="1"/>
  <c r="DE181" i="1"/>
  <c r="DF181" i="1"/>
  <c r="DC182" i="1"/>
  <c r="DD182" i="1"/>
  <c r="DE182" i="1"/>
  <c r="DF182" i="1"/>
  <c r="DC183" i="1"/>
  <c r="DD183" i="1"/>
  <c r="DE183" i="1"/>
  <c r="DF183" i="1"/>
  <c r="DC184" i="1"/>
  <c r="DD184" i="1"/>
  <c r="DE184" i="1"/>
  <c r="DF184" i="1"/>
  <c r="DC185" i="1"/>
  <c r="DD185" i="1"/>
  <c r="DE185" i="1"/>
  <c r="DF185" i="1"/>
  <c r="DC186" i="1"/>
  <c r="DD186" i="1"/>
  <c r="DE186" i="1"/>
  <c r="DF186" i="1"/>
  <c r="DC187" i="1"/>
  <c r="DD187" i="1"/>
  <c r="DE187" i="1"/>
  <c r="DF187" i="1"/>
  <c r="DC188" i="1"/>
  <c r="DD188" i="1"/>
  <c r="DE188" i="1"/>
  <c r="DF188" i="1"/>
  <c r="DC189" i="1"/>
  <c r="DD189" i="1"/>
  <c r="DE189" i="1"/>
  <c r="DF189" i="1"/>
  <c r="DC190" i="1"/>
  <c r="DD190" i="1"/>
  <c r="DE190" i="1"/>
  <c r="DF190" i="1"/>
  <c r="DC191" i="1"/>
  <c r="DD191" i="1"/>
  <c r="DE191" i="1"/>
  <c r="DF191" i="1"/>
  <c r="DC192" i="1"/>
  <c r="DD192" i="1"/>
  <c r="DE192" i="1"/>
  <c r="DF192" i="1"/>
  <c r="DC193" i="1"/>
  <c r="DD193" i="1"/>
  <c r="DE193" i="1"/>
  <c r="DF193" i="1"/>
  <c r="DC194" i="1"/>
  <c r="DD194" i="1"/>
  <c r="DE194" i="1"/>
  <c r="DF194" i="1"/>
  <c r="DC195" i="1"/>
  <c r="DD195" i="1"/>
  <c r="DE195" i="1"/>
  <c r="DF195" i="1"/>
  <c r="DC196" i="1"/>
  <c r="DD196" i="1"/>
  <c r="DE196" i="1"/>
  <c r="DF196" i="1"/>
  <c r="DC197" i="1"/>
  <c r="DD197" i="1"/>
  <c r="DE197" i="1"/>
  <c r="DF197" i="1"/>
  <c r="DC198" i="1"/>
  <c r="DD198" i="1"/>
  <c r="DE198" i="1"/>
  <c r="DF198" i="1"/>
  <c r="DC199" i="1"/>
  <c r="DD199" i="1"/>
  <c r="DE199" i="1"/>
  <c r="DF199" i="1"/>
  <c r="DC200" i="1"/>
  <c r="DD200" i="1"/>
  <c r="DE200" i="1"/>
  <c r="DF200" i="1"/>
  <c r="DC201" i="1"/>
  <c r="DD201" i="1"/>
  <c r="DE201" i="1"/>
  <c r="DF201" i="1"/>
  <c r="DC202" i="1"/>
  <c r="DD202" i="1"/>
  <c r="DE202" i="1"/>
  <c r="DF202" i="1"/>
  <c r="DC203" i="1"/>
  <c r="DD203" i="1"/>
  <c r="DE203" i="1"/>
  <c r="DF203" i="1"/>
  <c r="DC204" i="1"/>
  <c r="DD204" i="1"/>
  <c r="DE204" i="1"/>
  <c r="DF204" i="1"/>
  <c r="DC205" i="1"/>
  <c r="DD205" i="1"/>
  <c r="DE205" i="1"/>
  <c r="DF205" i="1"/>
  <c r="DC206" i="1"/>
  <c r="DD206" i="1"/>
  <c r="DE206" i="1"/>
  <c r="DF206" i="1"/>
  <c r="DC207" i="1"/>
  <c r="DD207" i="1"/>
  <c r="DE207" i="1"/>
  <c r="DF207" i="1"/>
  <c r="DC208" i="1"/>
  <c r="DD208" i="1"/>
  <c r="DE208" i="1"/>
  <c r="DF208" i="1"/>
  <c r="DC209" i="1"/>
  <c r="DD209" i="1"/>
  <c r="DE209" i="1"/>
  <c r="DF209" i="1"/>
  <c r="DC210" i="1"/>
  <c r="DD210" i="1"/>
  <c r="DE210" i="1"/>
  <c r="DF210" i="1"/>
  <c r="DC211" i="1"/>
  <c r="DD211" i="1"/>
  <c r="DE211" i="1"/>
  <c r="DF211" i="1"/>
  <c r="DC212" i="1"/>
  <c r="DD212" i="1"/>
  <c r="DE212" i="1"/>
  <c r="DF212" i="1"/>
  <c r="DC213" i="1"/>
  <c r="DD213" i="1"/>
  <c r="DE213" i="1"/>
  <c r="DF213" i="1"/>
  <c r="DC214" i="1"/>
  <c r="DD214" i="1"/>
  <c r="DE214" i="1"/>
  <c r="DF214" i="1"/>
  <c r="DC215" i="1"/>
  <c r="DD215" i="1"/>
  <c r="DE215" i="1"/>
  <c r="DF215" i="1"/>
  <c r="DC216" i="1"/>
  <c r="DD216" i="1"/>
  <c r="DE216" i="1"/>
  <c r="DF216" i="1"/>
  <c r="DC217" i="1"/>
  <c r="DD217" i="1"/>
  <c r="DE217" i="1"/>
  <c r="DF217" i="1"/>
  <c r="DC218" i="1"/>
  <c r="DD218" i="1"/>
  <c r="DE218" i="1"/>
  <c r="DF218" i="1"/>
  <c r="DC219" i="1"/>
  <c r="DD219" i="1"/>
  <c r="DE219" i="1"/>
  <c r="DF219" i="1"/>
  <c r="DC220" i="1"/>
  <c r="DD220" i="1"/>
  <c r="DE220" i="1"/>
  <c r="DF220" i="1"/>
  <c r="DC221" i="1"/>
  <c r="DD221" i="1"/>
  <c r="DE221" i="1"/>
  <c r="DF221" i="1"/>
  <c r="DC222" i="1"/>
  <c r="DD222" i="1"/>
  <c r="DE222" i="1"/>
  <c r="DF222" i="1"/>
  <c r="DC223" i="1"/>
  <c r="DD223" i="1"/>
  <c r="DE223" i="1"/>
  <c r="DF223" i="1"/>
  <c r="DC224" i="1"/>
  <c r="DD224" i="1"/>
  <c r="DE224" i="1"/>
  <c r="DF224" i="1"/>
  <c r="DC225" i="1"/>
  <c r="DD225" i="1"/>
  <c r="DE225" i="1"/>
  <c r="DF225" i="1"/>
  <c r="DC226" i="1"/>
  <c r="DD226" i="1"/>
  <c r="DE226" i="1"/>
  <c r="DF226" i="1"/>
  <c r="DC227" i="1"/>
  <c r="DD227" i="1"/>
  <c r="DE227" i="1"/>
  <c r="DF227" i="1"/>
  <c r="DC228" i="1"/>
  <c r="DD228" i="1"/>
  <c r="DE228" i="1"/>
  <c r="DF228" i="1"/>
  <c r="DC229" i="1"/>
  <c r="DD229" i="1"/>
  <c r="DE229" i="1"/>
  <c r="DF229" i="1"/>
  <c r="DC230" i="1"/>
  <c r="DD230" i="1"/>
  <c r="DE230" i="1"/>
  <c r="DF230" i="1"/>
  <c r="DC231" i="1"/>
  <c r="DD231" i="1"/>
  <c r="DE231" i="1"/>
  <c r="DF231" i="1"/>
  <c r="DC232" i="1"/>
  <c r="DD232" i="1"/>
  <c r="DE232" i="1"/>
  <c r="DF232" i="1"/>
  <c r="DC233" i="1"/>
  <c r="DD233" i="1"/>
  <c r="DE233" i="1"/>
  <c r="DF233" i="1"/>
  <c r="DC234" i="1"/>
  <c r="DD234" i="1"/>
  <c r="DE234" i="1"/>
  <c r="DF234" i="1"/>
  <c r="DC235" i="1"/>
  <c r="DD235" i="1"/>
  <c r="DE235" i="1"/>
  <c r="DF235" i="1"/>
  <c r="DC236" i="1"/>
  <c r="DD236" i="1"/>
  <c r="DE236" i="1"/>
  <c r="DF236" i="1"/>
  <c r="DC237" i="1"/>
  <c r="DD237" i="1"/>
  <c r="DE237" i="1"/>
  <c r="DF237" i="1"/>
  <c r="DC238" i="1"/>
  <c r="DD238" i="1"/>
  <c r="DE238" i="1"/>
  <c r="DF238" i="1"/>
  <c r="DC239" i="1"/>
  <c r="DD239" i="1"/>
  <c r="DE239" i="1"/>
  <c r="DF239" i="1"/>
  <c r="DC240" i="1"/>
  <c r="DD240" i="1"/>
  <c r="DE240" i="1"/>
  <c r="DF240" i="1"/>
  <c r="DC241" i="1"/>
  <c r="DD241" i="1"/>
  <c r="DE241" i="1"/>
  <c r="DF241" i="1"/>
  <c r="DC242" i="1"/>
  <c r="DD242" i="1"/>
  <c r="DE242" i="1"/>
  <c r="DF242" i="1"/>
  <c r="DC243" i="1"/>
  <c r="DD243" i="1"/>
  <c r="DE243" i="1"/>
  <c r="DF243" i="1"/>
  <c r="DC244" i="1"/>
  <c r="DD244" i="1"/>
  <c r="DE244" i="1"/>
  <c r="DF244" i="1"/>
  <c r="DC245" i="1"/>
  <c r="DD245" i="1"/>
  <c r="DE245" i="1"/>
  <c r="DF245" i="1"/>
  <c r="DC246" i="1"/>
  <c r="DD246" i="1"/>
  <c r="DE246" i="1"/>
  <c r="DF246" i="1"/>
  <c r="DC247" i="1"/>
  <c r="DD247" i="1"/>
  <c r="DE247" i="1"/>
  <c r="DF247" i="1"/>
  <c r="DC248" i="1"/>
  <c r="DD248" i="1"/>
  <c r="DE248" i="1"/>
  <c r="DF248" i="1"/>
  <c r="DC249" i="1"/>
  <c r="DD249" i="1"/>
  <c r="DE249" i="1"/>
  <c r="DF249" i="1"/>
  <c r="DC250" i="1"/>
  <c r="DD250" i="1"/>
  <c r="DE250" i="1"/>
  <c r="DF250" i="1"/>
  <c r="DC251" i="1"/>
  <c r="DD251" i="1"/>
  <c r="DE251" i="1"/>
  <c r="DF251" i="1"/>
  <c r="DC252" i="1"/>
  <c r="DD252" i="1"/>
  <c r="DE252" i="1"/>
  <c r="DF252" i="1"/>
  <c r="DC253" i="1"/>
  <c r="DD253" i="1"/>
  <c r="DE253" i="1"/>
  <c r="DF253" i="1"/>
  <c r="DC254" i="1"/>
  <c r="DD254" i="1"/>
  <c r="DE254" i="1"/>
  <c r="DF254" i="1"/>
  <c r="DC255" i="1"/>
  <c r="DD255" i="1"/>
  <c r="DE255" i="1"/>
  <c r="DF255" i="1"/>
  <c r="DC256" i="1"/>
  <c r="DD256" i="1"/>
  <c r="DE256" i="1"/>
  <c r="DF256" i="1"/>
  <c r="DC257" i="1"/>
  <c r="DD257" i="1"/>
  <c r="DE257" i="1"/>
  <c r="DF257" i="1"/>
  <c r="DC258" i="1"/>
  <c r="DD258" i="1"/>
  <c r="DE258" i="1"/>
  <c r="DF258" i="1"/>
  <c r="DC259" i="1"/>
  <c r="DD259" i="1"/>
  <c r="DE259" i="1"/>
  <c r="DF259" i="1"/>
  <c r="DC260" i="1"/>
  <c r="DD260" i="1"/>
  <c r="DE260" i="1"/>
  <c r="DF260" i="1"/>
  <c r="DC261" i="1"/>
  <c r="DD261" i="1"/>
  <c r="DE261" i="1"/>
  <c r="DF261" i="1"/>
  <c r="DC262" i="1"/>
  <c r="DD262" i="1"/>
  <c r="DE262" i="1"/>
  <c r="DF262" i="1"/>
  <c r="DC263" i="1"/>
  <c r="DD263" i="1"/>
  <c r="DE263" i="1"/>
  <c r="DF263" i="1"/>
  <c r="DC264" i="1"/>
  <c r="DD264" i="1"/>
  <c r="DE264" i="1"/>
  <c r="DF264" i="1"/>
  <c r="DC265" i="1"/>
  <c r="DD265" i="1"/>
  <c r="DE265" i="1"/>
  <c r="DF265" i="1"/>
  <c r="DC266" i="1"/>
  <c r="DD266" i="1"/>
  <c r="DE266" i="1"/>
  <c r="DF266" i="1"/>
  <c r="DC267" i="1"/>
  <c r="DD267" i="1"/>
  <c r="DE267" i="1"/>
  <c r="DF267" i="1"/>
  <c r="DC268" i="1"/>
  <c r="DD268" i="1"/>
  <c r="DE268" i="1"/>
  <c r="DF268" i="1"/>
  <c r="DC269" i="1"/>
  <c r="DD269" i="1"/>
  <c r="DE269" i="1"/>
  <c r="DF269" i="1"/>
  <c r="DC270" i="1"/>
  <c r="DD270" i="1"/>
  <c r="DE270" i="1"/>
  <c r="DF270" i="1"/>
  <c r="DC271" i="1"/>
  <c r="DD271" i="1"/>
  <c r="DE271" i="1"/>
  <c r="DF271" i="1"/>
  <c r="DC272" i="1"/>
  <c r="DD272" i="1"/>
  <c r="DE272" i="1"/>
  <c r="DF272" i="1"/>
  <c r="DC273" i="1"/>
  <c r="DD273" i="1"/>
  <c r="DE273" i="1"/>
  <c r="DF273" i="1"/>
  <c r="DC274" i="1"/>
  <c r="DD274" i="1"/>
  <c r="DE274" i="1"/>
  <c r="DF274" i="1"/>
  <c r="DC275" i="1"/>
  <c r="DD275" i="1"/>
  <c r="DE275" i="1"/>
  <c r="DF275" i="1"/>
  <c r="DC276" i="1"/>
  <c r="DD276" i="1"/>
  <c r="DE276" i="1"/>
  <c r="DF276" i="1"/>
  <c r="DC277" i="1"/>
  <c r="DD277" i="1"/>
  <c r="DE277" i="1"/>
  <c r="DF277" i="1"/>
  <c r="DC278" i="1"/>
  <c r="DD278" i="1"/>
  <c r="DE278" i="1"/>
  <c r="DF278" i="1"/>
  <c r="DC279" i="1"/>
  <c r="DD279" i="1"/>
  <c r="DE279" i="1"/>
  <c r="DF279" i="1"/>
  <c r="DC280" i="1"/>
  <c r="DD280" i="1"/>
  <c r="DE280" i="1"/>
  <c r="DF280" i="1"/>
  <c r="DC281" i="1"/>
  <c r="DD281" i="1"/>
  <c r="DE281" i="1"/>
  <c r="DF281" i="1"/>
  <c r="DC282" i="1"/>
  <c r="DD282" i="1"/>
  <c r="DE282" i="1"/>
  <c r="DF282" i="1"/>
  <c r="DC283" i="1"/>
  <c r="DD283" i="1"/>
  <c r="DE283" i="1"/>
  <c r="DF283" i="1"/>
  <c r="DC284" i="1"/>
  <c r="DD284" i="1"/>
  <c r="DE284" i="1"/>
  <c r="DF284" i="1"/>
  <c r="DC285" i="1"/>
  <c r="DD285" i="1"/>
  <c r="DE285" i="1"/>
  <c r="DF285" i="1"/>
  <c r="DC286" i="1"/>
  <c r="DD286" i="1"/>
  <c r="DE286" i="1"/>
  <c r="DF286" i="1"/>
  <c r="DC287" i="1"/>
  <c r="DD287" i="1"/>
  <c r="DE287" i="1"/>
  <c r="DF287" i="1"/>
  <c r="DC288" i="1"/>
  <c r="DD288" i="1"/>
  <c r="DE288" i="1"/>
  <c r="DF288" i="1"/>
  <c r="DC289" i="1"/>
  <c r="DD289" i="1"/>
  <c r="DE289" i="1"/>
  <c r="DF289" i="1"/>
  <c r="DC290" i="1"/>
  <c r="DD290" i="1"/>
  <c r="DE290" i="1"/>
  <c r="DF290" i="1"/>
  <c r="DC291" i="1"/>
  <c r="DD291" i="1"/>
  <c r="DE291" i="1"/>
  <c r="DF291" i="1"/>
  <c r="DC292" i="1"/>
  <c r="DD292" i="1"/>
  <c r="DE292" i="1"/>
  <c r="DF292" i="1"/>
  <c r="DC293" i="1"/>
  <c r="DD293" i="1"/>
  <c r="DE293" i="1"/>
  <c r="DF293" i="1"/>
  <c r="DC294" i="1"/>
  <c r="DD294" i="1"/>
  <c r="DE294" i="1"/>
  <c r="DF294" i="1"/>
  <c r="DC295" i="1"/>
  <c r="DD295" i="1"/>
  <c r="DE295" i="1"/>
  <c r="DF295" i="1"/>
  <c r="DC296" i="1"/>
  <c r="DD296" i="1"/>
  <c r="DE296" i="1"/>
  <c r="DF296" i="1"/>
  <c r="DC297" i="1"/>
  <c r="DD297" i="1"/>
  <c r="DE297" i="1"/>
  <c r="DF297" i="1"/>
  <c r="DC298" i="1"/>
  <c r="DD298" i="1"/>
  <c r="DE298" i="1"/>
  <c r="DF298" i="1"/>
  <c r="DC299" i="1"/>
  <c r="DD299" i="1"/>
  <c r="DE299" i="1"/>
  <c r="DF299" i="1"/>
  <c r="DC300" i="1"/>
  <c r="DD300" i="1"/>
  <c r="DE300" i="1"/>
  <c r="DF300" i="1"/>
  <c r="DC301" i="1"/>
  <c r="DD301" i="1"/>
  <c r="DE301" i="1"/>
  <c r="DF301" i="1"/>
  <c r="DC302" i="1"/>
  <c r="DD302" i="1"/>
  <c r="DE302" i="1"/>
  <c r="DF302" i="1"/>
  <c r="DC303" i="1"/>
  <c r="DD303" i="1"/>
  <c r="DE303" i="1"/>
  <c r="DF303" i="1"/>
  <c r="DC304" i="1"/>
  <c r="DD304" i="1"/>
  <c r="DE304" i="1"/>
  <c r="DF304" i="1"/>
  <c r="DC305" i="1"/>
  <c r="DD305" i="1"/>
  <c r="DE305" i="1"/>
  <c r="DF305" i="1"/>
  <c r="DC306" i="1"/>
  <c r="DD306" i="1"/>
  <c r="DE306" i="1"/>
  <c r="DF306" i="1"/>
  <c r="DC307" i="1"/>
  <c r="DD307" i="1"/>
  <c r="DE307" i="1"/>
  <c r="DF307" i="1"/>
  <c r="DC308" i="1"/>
  <c r="DD308" i="1"/>
  <c r="DE308" i="1"/>
  <c r="DF308" i="1"/>
  <c r="DC309" i="1"/>
  <c r="DD309" i="1"/>
  <c r="DE309" i="1"/>
  <c r="DF309" i="1"/>
  <c r="DC310" i="1"/>
  <c r="DD310" i="1"/>
  <c r="DE310" i="1"/>
  <c r="DF310" i="1"/>
  <c r="DC311" i="1"/>
  <c r="DD311" i="1"/>
  <c r="DE311" i="1"/>
  <c r="DF311" i="1"/>
  <c r="DC312" i="1"/>
  <c r="DD312" i="1"/>
  <c r="DE312" i="1"/>
  <c r="DF312" i="1"/>
  <c r="DC313" i="1"/>
  <c r="DD313" i="1"/>
  <c r="DE313" i="1"/>
  <c r="DF313" i="1"/>
  <c r="DC314" i="1"/>
  <c r="DD314" i="1"/>
  <c r="DE314" i="1"/>
  <c r="DF314" i="1"/>
  <c r="DC315" i="1"/>
  <c r="DD315" i="1"/>
  <c r="DE315" i="1"/>
  <c r="DF315" i="1"/>
  <c r="DC316" i="1"/>
  <c r="DD316" i="1"/>
  <c r="DE316" i="1"/>
  <c r="DF316" i="1"/>
  <c r="DC317" i="1"/>
  <c r="DD317" i="1"/>
  <c r="DE317" i="1"/>
  <c r="DF317" i="1"/>
  <c r="DC318" i="1"/>
  <c r="DD318" i="1"/>
  <c r="DE318" i="1"/>
  <c r="DF318" i="1"/>
  <c r="DC319" i="1"/>
  <c r="DD319" i="1"/>
  <c r="DE319" i="1"/>
  <c r="DF319" i="1"/>
  <c r="DC320" i="1"/>
  <c r="DD320" i="1"/>
  <c r="DE320" i="1"/>
  <c r="DF320" i="1"/>
  <c r="DC321" i="1"/>
  <c r="DD321" i="1"/>
  <c r="DE321" i="1"/>
  <c r="DF321" i="1"/>
  <c r="DC322" i="1"/>
  <c r="DD322" i="1"/>
  <c r="DE322" i="1"/>
  <c r="DF322" i="1"/>
  <c r="DC323" i="1"/>
  <c r="DD323" i="1"/>
  <c r="DE323" i="1"/>
  <c r="DF323" i="1"/>
  <c r="DC324" i="1"/>
  <c r="DD324" i="1"/>
  <c r="DE324" i="1"/>
  <c r="DF324" i="1"/>
  <c r="DC325" i="1"/>
  <c r="DD325" i="1"/>
  <c r="DE325" i="1"/>
  <c r="DF325" i="1"/>
  <c r="DC326" i="1"/>
  <c r="DD326" i="1"/>
  <c r="DE326" i="1"/>
  <c r="DF326" i="1"/>
  <c r="DC327" i="1"/>
  <c r="DD327" i="1"/>
  <c r="DE327" i="1"/>
  <c r="DF327" i="1"/>
  <c r="DC328" i="1"/>
  <c r="DD328" i="1"/>
  <c r="DE328" i="1"/>
  <c r="DF328" i="1"/>
  <c r="DC329" i="1"/>
  <c r="DD329" i="1"/>
  <c r="DE329" i="1"/>
  <c r="DF329" i="1"/>
  <c r="DC330" i="1"/>
  <c r="DD330" i="1"/>
  <c r="DE330" i="1"/>
  <c r="DF330" i="1"/>
  <c r="DC331" i="1"/>
  <c r="DD331" i="1"/>
  <c r="DE331" i="1"/>
  <c r="DF331" i="1"/>
  <c r="DC332" i="1"/>
  <c r="DD332" i="1"/>
  <c r="DE332" i="1"/>
  <c r="DF332" i="1"/>
  <c r="DC333" i="1"/>
  <c r="DD333" i="1"/>
  <c r="DE333" i="1"/>
  <c r="DF333" i="1"/>
  <c r="DC334" i="1"/>
  <c r="DD334" i="1"/>
  <c r="DE334" i="1"/>
  <c r="DF334" i="1"/>
  <c r="DC335" i="1"/>
  <c r="DD335" i="1"/>
  <c r="DE335" i="1"/>
  <c r="DF335" i="1"/>
  <c r="DC336" i="1"/>
  <c r="DD336" i="1"/>
  <c r="DE336" i="1"/>
  <c r="DF336" i="1"/>
  <c r="DC337" i="1"/>
  <c r="DD337" i="1"/>
  <c r="DE337" i="1"/>
  <c r="DF337" i="1"/>
  <c r="DC338" i="1"/>
  <c r="DD338" i="1"/>
  <c r="DE338" i="1"/>
  <c r="DF338" i="1"/>
  <c r="DC339" i="1"/>
  <c r="DD339" i="1"/>
  <c r="DE339" i="1"/>
  <c r="DF339" i="1"/>
  <c r="DC340" i="1"/>
  <c r="DD340" i="1"/>
  <c r="DE340" i="1"/>
  <c r="DF340" i="1"/>
  <c r="DC341" i="1"/>
  <c r="DD341" i="1"/>
  <c r="DE341" i="1"/>
  <c r="DF341" i="1"/>
  <c r="DC342" i="1"/>
  <c r="DD342" i="1"/>
  <c r="DE342" i="1"/>
  <c r="DF342" i="1"/>
  <c r="DC343" i="1"/>
  <c r="DD343" i="1"/>
  <c r="DE343" i="1"/>
  <c r="DF343" i="1"/>
  <c r="DC344" i="1"/>
  <c r="DD344" i="1"/>
  <c r="DE344" i="1"/>
  <c r="DF344" i="1"/>
  <c r="DC345" i="1"/>
  <c r="DD345" i="1"/>
  <c r="DE345" i="1"/>
  <c r="DF345" i="1"/>
  <c r="DC346" i="1"/>
  <c r="DD346" i="1"/>
  <c r="DE346" i="1"/>
  <c r="DF346" i="1"/>
  <c r="DC347" i="1"/>
  <c r="DD347" i="1"/>
  <c r="DE347" i="1"/>
  <c r="DF347" i="1"/>
  <c r="DC348" i="1"/>
  <c r="DD348" i="1"/>
  <c r="DE348" i="1"/>
  <c r="DF348" i="1"/>
  <c r="DC349" i="1"/>
  <c r="DD349" i="1"/>
  <c r="DE349" i="1"/>
  <c r="DF349" i="1"/>
  <c r="DC350" i="1"/>
  <c r="DD350" i="1"/>
  <c r="DE350" i="1"/>
  <c r="DF350" i="1"/>
  <c r="DC351" i="1"/>
  <c r="DD351" i="1"/>
  <c r="DE351" i="1"/>
  <c r="DF351" i="1"/>
  <c r="DC352" i="1"/>
  <c r="DD352" i="1"/>
  <c r="DE352" i="1"/>
  <c r="DF352" i="1"/>
  <c r="DC353" i="1"/>
  <c r="DD353" i="1"/>
  <c r="DE353" i="1"/>
  <c r="DF353" i="1"/>
  <c r="DD9" i="1"/>
  <c r="DE9" i="1"/>
  <c r="DF9" i="1"/>
  <c r="DC9" i="1"/>
  <c r="DC6" i="1"/>
  <c r="DA6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9" i="1"/>
  <c r="CY353" i="1"/>
  <c r="CX353" i="1"/>
  <c r="CY352" i="1"/>
  <c r="CX352" i="1"/>
  <c r="CY351" i="1"/>
  <c r="CX351" i="1"/>
  <c r="CY350" i="1"/>
  <c r="CX350" i="1"/>
  <c r="CY349" i="1"/>
  <c r="CX349" i="1"/>
  <c r="CY348" i="1"/>
  <c r="CX348" i="1"/>
  <c r="CY347" i="1"/>
  <c r="CX347" i="1"/>
  <c r="CY346" i="1"/>
  <c r="CX346" i="1"/>
  <c r="CY345" i="1"/>
  <c r="CX345" i="1"/>
  <c r="CY344" i="1"/>
  <c r="CX344" i="1"/>
  <c r="CY343" i="1"/>
  <c r="CX343" i="1"/>
  <c r="CY342" i="1"/>
  <c r="CX342" i="1"/>
  <c r="CY341" i="1"/>
  <c r="CX341" i="1"/>
  <c r="CY340" i="1"/>
  <c r="CX340" i="1"/>
  <c r="CY339" i="1"/>
  <c r="CX339" i="1"/>
  <c r="CY338" i="1"/>
  <c r="CX338" i="1"/>
  <c r="CY337" i="1"/>
  <c r="CX337" i="1"/>
  <c r="CY336" i="1"/>
  <c r="CX336" i="1"/>
  <c r="CY335" i="1"/>
  <c r="CX335" i="1"/>
  <c r="CY334" i="1"/>
  <c r="CX334" i="1"/>
  <c r="CY333" i="1"/>
  <c r="CX333" i="1"/>
  <c r="CY332" i="1"/>
  <c r="CX332" i="1"/>
  <c r="CY331" i="1"/>
  <c r="CX331" i="1"/>
  <c r="CY330" i="1"/>
  <c r="CX330" i="1"/>
  <c r="CY329" i="1"/>
  <c r="CX329" i="1"/>
  <c r="CY328" i="1"/>
  <c r="CX328" i="1"/>
  <c r="CY327" i="1"/>
  <c r="CX327" i="1"/>
  <c r="CY326" i="1"/>
  <c r="CX326" i="1"/>
  <c r="CY325" i="1"/>
  <c r="CX325" i="1"/>
  <c r="CY324" i="1"/>
  <c r="CX324" i="1"/>
  <c r="CY323" i="1"/>
  <c r="CX323" i="1"/>
  <c r="CY322" i="1"/>
  <c r="CX322" i="1"/>
  <c r="CY321" i="1"/>
  <c r="CX321" i="1"/>
  <c r="CY320" i="1"/>
  <c r="CX320" i="1"/>
  <c r="CY319" i="1"/>
  <c r="CX319" i="1"/>
  <c r="CY318" i="1"/>
  <c r="CX318" i="1"/>
  <c r="CY317" i="1"/>
  <c r="CX317" i="1"/>
  <c r="CY316" i="1"/>
  <c r="CX316" i="1"/>
  <c r="CY315" i="1"/>
  <c r="CX315" i="1"/>
  <c r="CY314" i="1"/>
  <c r="CX314" i="1"/>
  <c r="CY313" i="1"/>
  <c r="CX313" i="1"/>
  <c r="CY312" i="1"/>
  <c r="CX312" i="1"/>
  <c r="CY311" i="1"/>
  <c r="CX311" i="1"/>
  <c r="CY310" i="1"/>
  <c r="CX310" i="1"/>
  <c r="CY309" i="1"/>
  <c r="CX309" i="1"/>
  <c r="CY308" i="1"/>
  <c r="CX308" i="1"/>
  <c r="CY307" i="1"/>
  <c r="CX307" i="1"/>
  <c r="CY306" i="1"/>
  <c r="CX306" i="1"/>
  <c r="CY305" i="1"/>
  <c r="CX305" i="1"/>
  <c r="CY304" i="1"/>
  <c r="CX304" i="1"/>
  <c r="CY303" i="1"/>
  <c r="CX303" i="1"/>
  <c r="CY302" i="1"/>
  <c r="CX302" i="1"/>
  <c r="CY301" i="1"/>
  <c r="CX301" i="1"/>
  <c r="CY300" i="1"/>
  <c r="CX300" i="1"/>
  <c r="CY299" i="1"/>
  <c r="CX299" i="1"/>
  <c r="CY298" i="1"/>
  <c r="CX298" i="1"/>
  <c r="CY297" i="1"/>
  <c r="CX297" i="1"/>
  <c r="CY296" i="1"/>
  <c r="CX296" i="1"/>
  <c r="CY295" i="1"/>
  <c r="CX295" i="1"/>
  <c r="CY294" i="1"/>
  <c r="CX294" i="1"/>
  <c r="CY293" i="1"/>
  <c r="CX293" i="1"/>
  <c r="CY292" i="1"/>
  <c r="CX292" i="1"/>
  <c r="CY291" i="1"/>
  <c r="CX291" i="1"/>
  <c r="CY290" i="1"/>
  <c r="CX290" i="1"/>
  <c r="CY289" i="1"/>
  <c r="CX289" i="1"/>
  <c r="CY288" i="1"/>
  <c r="CX288" i="1"/>
  <c r="CY287" i="1"/>
  <c r="CX287" i="1"/>
  <c r="CY286" i="1"/>
  <c r="CX286" i="1"/>
  <c r="CY285" i="1"/>
  <c r="CX285" i="1"/>
  <c r="CY284" i="1"/>
  <c r="CX284" i="1"/>
  <c r="CY283" i="1"/>
  <c r="CX283" i="1"/>
  <c r="CY282" i="1"/>
  <c r="CX282" i="1"/>
  <c r="CY281" i="1"/>
  <c r="CX281" i="1"/>
  <c r="CY280" i="1"/>
  <c r="CX280" i="1"/>
  <c r="CY279" i="1"/>
  <c r="CX279" i="1"/>
  <c r="CY278" i="1"/>
  <c r="CX278" i="1"/>
  <c r="CY277" i="1"/>
  <c r="CX277" i="1"/>
  <c r="CY276" i="1"/>
  <c r="CX276" i="1"/>
  <c r="CY275" i="1"/>
  <c r="CX275" i="1"/>
  <c r="CY274" i="1"/>
  <c r="CX274" i="1"/>
  <c r="CY273" i="1"/>
  <c r="CX273" i="1"/>
  <c r="CY272" i="1"/>
  <c r="CX272" i="1"/>
  <c r="CY271" i="1"/>
  <c r="CX271" i="1"/>
  <c r="CY270" i="1"/>
  <c r="CX270" i="1"/>
  <c r="CY269" i="1"/>
  <c r="CX269" i="1"/>
  <c r="CY268" i="1"/>
  <c r="CX268" i="1"/>
  <c r="CY267" i="1"/>
  <c r="CX267" i="1"/>
  <c r="CY266" i="1"/>
  <c r="CX266" i="1"/>
  <c r="CY265" i="1"/>
  <c r="CX265" i="1"/>
  <c r="CY264" i="1"/>
  <c r="CX264" i="1"/>
  <c r="CY263" i="1"/>
  <c r="CX263" i="1"/>
  <c r="CY262" i="1"/>
  <c r="CX262" i="1"/>
  <c r="CY261" i="1"/>
  <c r="CX261" i="1"/>
  <c r="CY260" i="1"/>
  <c r="CX260" i="1"/>
  <c r="CY259" i="1"/>
  <c r="CX259" i="1"/>
  <c r="CY258" i="1"/>
  <c r="CX258" i="1"/>
  <c r="CY257" i="1"/>
  <c r="CX257" i="1"/>
  <c r="CY256" i="1"/>
  <c r="CX256" i="1"/>
  <c r="CY255" i="1"/>
  <c r="CX255" i="1"/>
  <c r="CY254" i="1"/>
  <c r="CX254" i="1"/>
  <c r="CY253" i="1"/>
  <c r="CX253" i="1"/>
  <c r="CY252" i="1"/>
  <c r="CX252" i="1"/>
  <c r="CY251" i="1"/>
  <c r="CX251" i="1"/>
  <c r="CY250" i="1"/>
  <c r="CX250" i="1"/>
  <c r="CY249" i="1"/>
  <c r="CX249" i="1"/>
  <c r="CY248" i="1"/>
  <c r="CX248" i="1"/>
  <c r="CY247" i="1"/>
  <c r="CX247" i="1"/>
  <c r="CY246" i="1"/>
  <c r="CX246" i="1"/>
  <c r="CY245" i="1"/>
  <c r="CX245" i="1"/>
  <c r="CY244" i="1"/>
  <c r="CX244" i="1"/>
  <c r="CY243" i="1"/>
  <c r="CX243" i="1"/>
  <c r="CY242" i="1"/>
  <c r="CX242" i="1"/>
  <c r="CY241" i="1"/>
  <c r="CX241" i="1"/>
  <c r="CY240" i="1"/>
  <c r="CX240" i="1"/>
  <c r="CY239" i="1"/>
  <c r="CX239" i="1"/>
  <c r="CY238" i="1"/>
  <c r="CX238" i="1"/>
  <c r="CY237" i="1"/>
  <c r="CX237" i="1"/>
  <c r="CY236" i="1"/>
  <c r="CX236" i="1"/>
  <c r="CY235" i="1"/>
  <c r="CX235" i="1"/>
  <c r="CY234" i="1"/>
  <c r="CX234" i="1"/>
  <c r="CY233" i="1"/>
  <c r="CX233" i="1"/>
  <c r="CY232" i="1"/>
  <c r="CX232" i="1"/>
  <c r="CY231" i="1"/>
  <c r="CX231" i="1"/>
  <c r="CY230" i="1"/>
  <c r="CX230" i="1"/>
  <c r="CY229" i="1"/>
  <c r="CX229" i="1"/>
  <c r="CY228" i="1"/>
  <c r="CX228" i="1"/>
  <c r="CY227" i="1"/>
  <c r="CX227" i="1"/>
  <c r="CY226" i="1"/>
  <c r="CX226" i="1"/>
  <c r="CY225" i="1"/>
  <c r="CX225" i="1"/>
  <c r="CY224" i="1"/>
  <c r="CX224" i="1"/>
  <c r="CY223" i="1"/>
  <c r="CX223" i="1"/>
  <c r="CY222" i="1"/>
  <c r="CX222" i="1"/>
  <c r="CY221" i="1"/>
  <c r="CX221" i="1"/>
  <c r="CY220" i="1"/>
  <c r="CX220" i="1"/>
  <c r="CY219" i="1"/>
  <c r="CX219" i="1"/>
  <c r="CY218" i="1"/>
  <c r="CX218" i="1"/>
  <c r="CY217" i="1"/>
  <c r="CX217" i="1"/>
  <c r="CY216" i="1"/>
  <c r="CX216" i="1"/>
  <c r="CY215" i="1"/>
  <c r="CX215" i="1"/>
  <c r="CY214" i="1"/>
  <c r="CX214" i="1"/>
  <c r="CY213" i="1"/>
  <c r="CX213" i="1"/>
  <c r="CY212" i="1"/>
  <c r="CX212" i="1"/>
  <c r="CY211" i="1"/>
  <c r="CX211" i="1"/>
  <c r="CY210" i="1"/>
  <c r="CX210" i="1"/>
  <c r="CY209" i="1"/>
  <c r="CX209" i="1"/>
  <c r="CY208" i="1"/>
  <c r="CX208" i="1"/>
  <c r="CY207" i="1"/>
  <c r="CX207" i="1"/>
  <c r="CY206" i="1"/>
  <c r="CX206" i="1"/>
  <c r="CY205" i="1"/>
  <c r="CX205" i="1"/>
  <c r="CY204" i="1"/>
  <c r="CX204" i="1"/>
  <c r="CY203" i="1"/>
  <c r="CX203" i="1"/>
  <c r="CY202" i="1"/>
  <c r="CX202" i="1"/>
  <c r="CY201" i="1"/>
  <c r="CX201" i="1"/>
  <c r="CY200" i="1"/>
  <c r="CX200" i="1"/>
  <c r="CY199" i="1"/>
  <c r="CX199" i="1"/>
  <c r="CY198" i="1"/>
  <c r="CX198" i="1"/>
  <c r="CY197" i="1"/>
  <c r="CX197" i="1"/>
  <c r="CY196" i="1"/>
  <c r="CX196" i="1"/>
  <c r="CY195" i="1"/>
  <c r="CX195" i="1"/>
  <c r="CY194" i="1"/>
  <c r="CX194" i="1"/>
  <c r="CY193" i="1"/>
  <c r="CX193" i="1"/>
  <c r="CY192" i="1"/>
  <c r="CX192" i="1"/>
  <c r="CY191" i="1"/>
  <c r="CX191" i="1"/>
  <c r="CY190" i="1"/>
  <c r="CX190" i="1"/>
  <c r="CY189" i="1"/>
  <c r="CX189" i="1"/>
  <c r="CY188" i="1"/>
  <c r="CX188" i="1"/>
  <c r="CY187" i="1"/>
  <c r="CX187" i="1"/>
  <c r="CY186" i="1"/>
  <c r="CX186" i="1"/>
  <c r="CY185" i="1"/>
  <c r="CX185" i="1"/>
  <c r="CY184" i="1"/>
  <c r="CX184" i="1"/>
  <c r="CY183" i="1"/>
  <c r="CX183" i="1"/>
  <c r="CY182" i="1"/>
  <c r="CX182" i="1"/>
  <c r="CY181" i="1"/>
  <c r="CX181" i="1"/>
  <c r="CY180" i="1"/>
  <c r="CX180" i="1"/>
  <c r="CY179" i="1"/>
  <c r="CX179" i="1"/>
  <c r="CY178" i="1"/>
  <c r="CX178" i="1"/>
  <c r="CY177" i="1"/>
  <c r="CX177" i="1"/>
  <c r="CY176" i="1"/>
  <c r="CX176" i="1"/>
  <c r="CY175" i="1"/>
  <c r="CX175" i="1"/>
  <c r="CY174" i="1"/>
  <c r="CX174" i="1"/>
  <c r="CY173" i="1"/>
  <c r="CX173" i="1"/>
  <c r="CY172" i="1"/>
  <c r="CX172" i="1"/>
  <c r="CY171" i="1"/>
  <c r="CX171" i="1"/>
  <c r="CY170" i="1"/>
  <c r="CX170" i="1"/>
  <c r="CY169" i="1"/>
  <c r="CX169" i="1"/>
  <c r="CY168" i="1"/>
  <c r="CX168" i="1"/>
  <c r="CY167" i="1"/>
  <c r="CX167" i="1"/>
  <c r="CY166" i="1"/>
  <c r="CX166" i="1"/>
  <c r="CY165" i="1"/>
  <c r="CX165" i="1"/>
  <c r="CY164" i="1"/>
  <c r="CX164" i="1"/>
  <c r="CY163" i="1"/>
  <c r="CX163" i="1"/>
  <c r="CY162" i="1"/>
  <c r="CX162" i="1"/>
  <c r="CY161" i="1"/>
  <c r="CX161" i="1"/>
  <c r="CY160" i="1"/>
  <c r="CX160" i="1"/>
  <c r="CY159" i="1"/>
  <c r="CX159" i="1"/>
  <c r="CY158" i="1"/>
  <c r="CX158" i="1"/>
  <c r="CY157" i="1"/>
  <c r="CX157" i="1"/>
  <c r="CY156" i="1"/>
  <c r="CX156" i="1"/>
  <c r="CY155" i="1"/>
  <c r="CX155" i="1"/>
  <c r="CY154" i="1"/>
  <c r="CX154" i="1"/>
  <c r="CY153" i="1"/>
  <c r="CX153" i="1"/>
  <c r="CY152" i="1"/>
  <c r="CX152" i="1"/>
  <c r="CY151" i="1"/>
  <c r="CX151" i="1"/>
  <c r="CY150" i="1"/>
  <c r="CX150" i="1"/>
  <c r="CY149" i="1"/>
  <c r="CX149" i="1"/>
  <c r="CY148" i="1"/>
  <c r="CX148" i="1"/>
  <c r="CY147" i="1"/>
  <c r="CX147" i="1"/>
  <c r="CY146" i="1"/>
  <c r="CX146" i="1"/>
  <c r="CY145" i="1"/>
  <c r="CX145" i="1"/>
  <c r="CY144" i="1"/>
  <c r="CX144" i="1"/>
  <c r="CY143" i="1"/>
  <c r="CX143" i="1"/>
  <c r="CY142" i="1"/>
  <c r="CX142" i="1"/>
  <c r="CY141" i="1"/>
  <c r="CX141" i="1"/>
  <c r="CY140" i="1"/>
  <c r="CX140" i="1"/>
  <c r="CY139" i="1"/>
  <c r="CX139" i="1"/>
  <c r="CY138" i="1"/>
  <c r="CX138" i="1"/>
  <c r="CY137" i="1"/>
  <c r="CX137" i="1"/>
  <c r="CY136" i="1"/>
  <c r="CX136" i="1"/>
  <c r="CY135" i="1"/>
  <c r="CX135" i="1"/>
  <c r="CY134" i="1"/>
  <c r="CX134" i="1"/>
  <c r="CY133" i="1"/>
  <c r="CX133" i="1"/>
  <c r="CY132" i="1"/>
  <c r="CX132" i="1"/>
  <c r="CY131" i="1"/>
  <c r="CX131" i="1"/>
  <c r="CY130" i="1"/>
  <c r="CX130" i="1"/>
  <c r="CY129" i="1"/>
  <c r="CX129" i="1"/>
  <c r="CY128" i="1"/>
  <c r="CX128" i="1"/>
  <c r="CY127" i="1"/>
  <c r="CX127" i="1"/>
  <c r="CY126" i="1"/>
  <c r="CX126" i="1"/>
  <c r="CY125" i="1"/>
  <c r="CX125" i="1"/>
  <c r="CY124" i="1"/>
  <c r="CX124" i="1"/>
  <c r="CY123" i="1"/>
  <c r="CX123" i="1"/>
  <c r="CY122" i="1"/>
  <c r="CX122" i="1"/>
  <c r="CY121" i="1"/>
  <c r="CX121" i="1"/>
  <c r="CY120" i="1"/>
  <c r="CX120" i="1"/>
  <c r="CY119" i="1"/>
  <c r="CX119" i="1"/>
  <c r="CY118" i="1"/>
  <c r="CX118" i="1"/>
  <c r="CY117" i="1"/>
  <c r="CX117" i="1"/>
  <c r="CY116" i="1"/>
  <c r="CX116" i="1"/>
  <c r="CY115" i="1"/>
  <c r="CX115" i="1"/>
  <c r="CY114" i="1"/>
  <c r="CX114" i="1"/>
  <c r="CY113" i="1"/>
  <c r="CX113" i="1"/>
  <c r="CY112" i="1"/>
  <c r="CX112" i="1"/>
  <c r="CY111" i="1"/>
  <c r="CX111" i="1"/>
  <c r="CY110" i="1"/>
  <c r="CX110" i="1"/>
  <c r="CY109" i="1"/>
  <c r="CX109" i="1"/>
  <c r="CY108" i="1"/>
  <c r="CX108" i="1"/>
  <c r="CY107" i="1"/>
  <c r="CX107" i="1"/>
  <c r="CY106" i="1"/>
  <c r="CX106" i="1"/>
  <c r="CY105" i="1"/>
  <c r="CX105" i="1"/>
  <c r="CY104" i="1"/>
  <c r="CX104" i="1"/>
  <c r="CY103" i="1"/>
  <c r="CX103" i="1"/>
  <c r="CY102" i="1"/>
  <c r="CX102" i="1"/>
  <c r="CY101" i="1"/>
  <c r="CX101" i="1"/>
  <c r="CY100" i="1"/>
  <c r="CX100" i="1"/>
  <c r="CY99" i="1"/>
  <c r="CX99" i="1"/>
  <c r="CY98" i="1"/>
  <c r="CX98" i="1"/>
  <c r="CY97" i="1"/>
  <c r="CX97" i="1"/>
  <c r="CY96" i="1"/>
  <c r="CX96" i="1"/>
  <c r="CY95" i="1"/>
  <c r="CX95" i="1"/>
  <c r="CY94" i="1"/>
  <c r="CX94" i="1"/>
  <c r="CY93" i="1"/>
  <c r="CX93" i="1"/>
  <c r="CY92" i="1"/>
  <c r="CX92" i="1"/>
  <c r="CY91" i="1"/>
  <c r="CX91" i="1"/>
  <c r="CY90" i="1"/>
  <c r="CX90" i="1"/>
  <c r="CY89" i="1"/>
  <c r="CX89" i="1"/>
  <c r="CY88" i="1"/>
  <c r="CX88" i="1"/>
  <c r="CY87" i="1"/>
  <c r="CX87" i="1"/>
  <c r="CY86" i="1"/>
  <c r="CX86" i="1"/>
  <c r="CY85" i="1"/>
  <c r="CX85" i="1"/>
  <c r="CY84" i="1"/>
  <c r="CX84" i="1"/>
  <c r="CY83" i="1"/>
  <c r="CX83" i="1"/>
  <c r="CY82" i="1"/>
  <c r="CX82" i="1"/>
  <c r="CY81" i="1"/>
  <c r="CX81" i="1"/>
  <c r="CY80" i="1"/>
  <c r="CX80" i="1"/>
  <c r="CY79" i="1"/>
  <c r="CX79" i="1"/>
  <c r="CY78" i="1"/>
  <c r="CX78" i="1"/>
  <c r="CY77" i="1"/>
  <c r="CX77" i="1"/>
  <c r="CY76" i="1"/>
  <c r="CX76" i="1"/>
  <c r="CY75" i="1"/>
  <c r="CX75" i="1"/>
  <c r="CY74" i="1"/>
  <c r="CX74" i="1"/>
  <c r="CY73" i="1"/>
  <c r="CX73" i="1"/>
  <c r="CY72" i="1"/>
  <c r="CX72" i="1"/>
  <c r="CY71" i="1"/>
  <c r="CX71" i="1"/>
  <c r="CY70" i="1"/>
  <c r="CX70" i="1"/>
  <c r="CY69" i="1"/>
  <c r="CX69" i="1"/>
  <c r="CY68" i="1"/>
  <c r="CX68" i="1"/>
  <c r="CY67" i="1"/>
  <c r="CX67" i="1"/>
  <c r="CY66" i="1"/>
  <c r="CX66" i="1"/>
  <c r="CY65" i="1"/>
  <c r="CX65" i="1"/>
  <c r="CY64" i="1"/>
  <c r="CX64" i="1"/>
  <c r="CY63" i="1"/>
  <c r="CX63" i="1"/>
  <c r="CY62" i="1"/>
  <c r="CX62" i="1"/>
  <c r="CY61" i="1"/>
  <c r="CX61" i="1"/>
  <c r="CY60" i="1"/>
  <c r="CX60" i="1"/>
  <c r="CY59" i="1"/>
  <c r="CX59" i="1"/>
  <c r="CY58" i="1"/>
  <c r="CX58" i="1"/>
  <c r="CY57" i="1"/>
  <c r="CX57" i="1"/>
  <c r="CY56" i="1"/>
  <c r="CX56" i="1"/>
  <c r="CY55" i="1"/>
  <c r="CX55" i="1"/>
  <c r="CY54" i="1"/>
  <c r="CX54" i="1"/>
  <c r="CY53" i="1"/>
  <c r="CX53" i="1"/>
  <c r="CY52" i="1"/>
  <c r="CX52" i="1"/>
  <c r="CY51" i="1"/>
  <c r="CX51" i="1"/>
  <c r="CY50" i="1"/>
  <c r="CX50" i="1"/>
  <c r="CY49" i="1"/>
  <c r="CX49" i="1"/>
  <c r="CY48" i="1"/>
  <c r="CX48" i="1"/>
  <c r="CY47" i="1"/>
  <c r="CX47" i="1"/>
  <c r="CY46" i="1"/>
  <c r="CX46" i="1"/>
  <c r="CY45" i="1"/>
  <c r="CX45" i="1"/>
  <c r="CY44" i="1"/>
  <c r="CX44" i="1"/>
  <c r="CY43" i="1"/>
  <c r="CX43" i="1"/>
  <c r="CY42" i="1"/>
  <c r="CX42" i="1"/>
  <c r="CY41" i="1"/>
  <c r="CX41" i="1"/>
  <c r="CY40" i="1"/>
  <c r="CX40" i="1"/>
  <c r="CY39" i="1"/>
  <c r="CX39" i="1"/>
  <c r="CY38" i="1"/>
  <c r="CX38" i="1"/>
  <c r="CY37" i="1"/>
  <c r="CX37" i="1"/>
  <c r="CY36" i="1"/>
  <c r="CX36" i="1"/>
  <c r="CY35" i="1"/>
  <c r="CX35" i="1"/>
  <c r="CY34" i="1"/>
  <c r="CX34" i="1"/>
  <c r="CY33" i="1"/>
  <c r="CX33" i="1"/>
  <c r="CY32" i="1"/>
  <c r="CX32" i="1"/>
  <c r="CY31" i="1"/>
  <c r="CX31" i="1"/>
  <c r="CY30" i="1"/>
  <c r="CX30" i="1"/>
  <c r="CY29" i="1"/>
  <c r="CX29" i="1"/>
  <c r="CY28" i="1"/>
  <c r="CX28" i="1"/>
  <c r="CY27" i="1"/>
  <c r="CX27" i="1"/>
  <c r="CY26" i="1"/>
  <c r="CX26" i="1"/>
  <c r="CY25" i="1"/>
  <c r="CX25" i="1"/>
  <c r="CY24" i="1"/>
  <c r="CX24" i="1"/>
  <c r="CY23" i="1"/>
  <c r="CX23" i="1"/>
  <c r="CY22" i="1"/>
  <c r="CX22" i="1"/>
  <c r="CY21" i="1"/>
  <c r="CX21" i="1"/>
  <c r="CY20" i="1"/>
  <c r="CX20" i="1"/>
  <c r="CY19" i="1"/>
  <c r="CX19" i="1"/>
  <c r="CY18" i="1"/>
  <c r="CX18" i="1"/>
  <c r="CY17" i="1"/>
  <c r="CX17" i="1"/>
  <c r="CY16" i="1"/>
  <c r="CX16" i="1"/>
  <c r="CY15" i="1"/>
  <c r="CX15" i="1"/>
  <c r="CY14" i="1"/>
  <c r="CX14" i="1"/>
  <c r="CY13" i="1"/>
  <c r="CX13" i="1"/>
  <c r="CY12" i="1"/>
  <c r="CX12" i="1"/>
  <c r="CY11" i="1"/>
  <c r="CX11" i="1"/>
  <c r="CY10" i="1"/>
  <c r="CX10" i="1"/>
  <c r="CY9" i="1"/>
  <c r="CX9" i="1"/>
  <c r="CM353" i="1"/>
  <c r="CL353" i="1"/>
  <c r="CM352" i="1"/>
  <c r="CL352" i="1"/>
  <c r="CM351" i="1"/>
  <c r="CL351" i="1"/>
  <c r="CM350" i="1"/>
  <c r="CL350" i="1"/>
  <c r="CM349" i="1"/>
  <c r="CL349" i="1"/>
  <c r="CM348" i="1"/>
  <c r="CL348" i="1"/>
  <c r="CM347" i="1"/>
  <c r="CL347" i="1"/>
  <c r="CM346" i="1"/>
  <c r="CL346" i="1"/>
  <c r="CM345" i="1"/>
  <c r="CL345" i="1"/>
  <c r="CM344" i="1"/>
  <c r="CL344" i="1"/>
  <c r="CM343" i="1"/>
  <c r="CL343" i="1"/>
  <c r="CM342" i="1"/>
  <c r="CL342" i="1"/>
  <c r="CM341" i="1"/>
  <c r="CL341" i="1"/>
  <c r="CM340" i="1"/>
  <c r="CL340" i="1"/>
  <c r="CM339" i="1"/>
  <c r="CL339" i="1"/>
  <c r="CM338" i="1"/>
  <c r="CL338" i="1"/>
  <c r="CM337" i="1"/>
  <c r="CL337" i="1"/>
  <c r="CM336" i="1"/>
  <c r="CL336" i="1"/>
  <c r="CM335" i="1"/>
  <c r="CL335" i="1"/>
  <c r="CM334" i="1"/>
  <c r="CL334" i="1"/>
  <c r="CM333" i="1"/>
  <c r="CL333" i="1"/>
  <c r="CM332" i="1"/>
  <c r="CL332" i="1"/>
  <c r="CM331" i="1"/>
  <c r="CL331" i="1"/>
  <c r="CM330" i="1"/>
  <c r="CL330" i="1"/>
  <c r="CM329" i="1"/>
  <c r="CL329" i="1"/>
  <c r="CM328" i="1"/>
  <c r="CL328" i="1"/>
  <c r="CM327" i="1"/>
  <c r="CL327" i="1"/>
  <c r="CM326" i="1"/>
  <c r="CL326" i="1"/>
  <c r="CM325" i="1"/>
  <c r="CL325" i="1"/>
  <c r="CM324" i="1"/>
  <c r="CL324" i="1"/>
  <c r="CM323" i="1"/>
  <c r="CL323" i="1"/>
  <c r="CM322" i="1"/>
  <c r="CL322" i="1"/>
  <c r="CM321" i="1"/>
  <c r="CL321" i="1"/>
  <c r="CM320" i="1"/>
  <c r="CL320" i="1"/>
  <c r="CM319" i="1"/>
  <c r="CL319" i="1"/>
  <c r="CM318" i="1"/>
  <c r="CL318" i="1"/>
  <c r="CM317" i="1"/>
  <c r="CL317" i="1"/>
  <c r="CM316" i="1"/>
  <c r="CL316" i="1"/>
  <c r="CM315" i="1"/>
  <c r="CL315" i="1"/>
  <c r="CM314" i="1"/>
  <c r="CL314" i="1"/>
  <c r="CM313" i="1"/>
  <c r="CL313" i="1"/>
  <c r="CM312" i="1"/>
  <c r="CL312" i="1"/>
  <c r="CM311" i="1"/>
  <c r="CL311" i="1"/>
  <c r="CM310" i="1"/>
  <c r="CL310" i="1"/>
  <c r="CM309" i="1"/>
  <c r="CL309" i="1"/>
  <c r="CM308" i="1"/>
  <c r="CL308" i="1"/>
  <c r="CM307" i="1"/>
  <c r="CL307" i="1"/>
  <c r="CM306" i="1"/>
  <c r="CL306" i="1"/>
  <c r="CM305" i="1"/>
  <c r="CL305" i="1"/>
  <c r="CM304" i="1"/>
  <c r="CL304" i="1"/>
  <c r="CM303" i="1"/>
  <c r="CL303" i="1"/>
  <c r="CM302" i="1"/>
  <c r="CL302" i="1"/>
  <c r="CM301" i="1"/>
  <c r="CL301" i="1"/>
  <c r="CM300" i="1"/>
  <c r="CL300" i="1"/>
  <c r="CM299" i="1"/>
  <c r="CL299" i="1"/>
  <c r="CM298" i="1"/>
  <c r="CL298" i="1"/>
  <c r="CM297" i="1"/>
  <c r="CL297" i="1"/>
  <c r="CM296" i="1"/>
  <c r="CL296" i="1"/>
  <c r="CM295" i="1"/>
  <c r="CL295" i="1"/>
  <c r="CM294" i="1"/>
  <c r="CL294" i="1"/>
  <c r="CM293" i="1"/>
  <c r="CL293" i="1"/>
  <c r="CM292" i="1"/>
  <c r="CL292" i="1"/>
  <c r="CM291" i="1"/>
  <c r="CL291" i="1"/>
  <c r="CM290" i="1"/>
  <c r="CL290" i="1"/>
  <c r="CM289" i="1"/>
  <c r="CL289" i="1"/>
  <c r="CM288" i="1"/>
  <c r="CL288" i="1"/>
  <c r="CM287" i="1"/>
  <c r="CL287" i="1"/>
  <c r="CM286" i="1"/>
  <c r="CL286" i="1"/>
  <c r="CM285" i="1"/>
  <c r="CL285" i="1"/>
  <c r="CM284" i="1"/>
  <c r="CL284" i="1"/>
  <c r="CM283" i="1"/>
  <c r="CL283" i="1"/>
  <c r="CM282" i="1"/>
  <c r="CL282" i="1"/>
  <c r="CM281" i="1"/>
  <c r="CL281" i="1"/>
  <c r="CM280" i="1"/>
  <c r="CL280" i="1"/>
  <c r="CM279" i="1"/>
  <c r="CL279" i="1"/>
  <c r="CM278" i="1"/>
  <c r="CL278" i="1"/>
  <c r="CM277" i="1"/>
  <c r="CL277" i="1"/>
  <c r="CM276" i="1"/>
  <c r="CL276" i="1"/>
  <c r="CM275" i="1"/>
  <c r="CL275" i="1"/>
  <c r="CM274" i="1"/>
  <c r="CL274" i="1"/>
  <c r="CM273" i="1"/>
  <c r="CL273" i="1"/>
  <c r="CM272" i="1"/>
  <c r="CL272" i="1"/>
  <c r="CM271" i="1"/>
  <c r="CL271" i="1"/>
  <c r="CM270" i="1"/>
  <c r="CL270" i="1"/>
  <c r="CM269" i="1"/>
  <c r="CL269" i="1"/>
  <c r="CM268" i="1"/>
  <c r="CL268" i="1"/>
  <c r="CM267" i="1"/>
  <c r="CL267" i="1"/>
  <c r="CM266" i="1"/>
  <c r="CL266" i="1"/>
  <c r="CM265" i="1"/>
  <c r="CL265" i="1"/>
  <c r="CM264" i="1"/>
  <c r="CL264" i="1"/>
  <c r="CM263" i="1"/>
  <c r="CL263" i="1"/>
  <c r="CM262" i="1"/>
  <c r="CL262" i="1"/>
  <c r="CM261" i="1"/>
  <c r="CL261" i="1"/>
  <c r="CM260" i="1"/>
  <c r="CL260" i="1"/>
  <c r="CM259" i="1"/>
  <c r="CL259" i="1"/>
  <c r="CM258" i="1"/>
  <c r="CL258" i="1"/>
  <c r="CM257" i="1"/>
  <c r="CL257" i="1"/>
  <c r="CM256" i="1"/>
  <c r="CL256" i="1"/>
  <c r="CM255" i="1"/>
  <c r="CL255" i="1"/>
  <c r="CM254" i="1"/>
  <c r="CL254" i="1"/>
  <c r="CM253" i="1"/>
  <c r="CL253" i="1"/>
  <c r="CM252" i="1"/>
  <c r="CL252" i="1"/>
  <c r="CM251" i="1"/>
  <c r="CL251" i="1"/>
  <c r="CM250" i="1"/>
  <c r="CL250" i="1"/>
  <c r="CM249" i="1"/>
  <c r="CL249" i="1"/>
  <c r="CM248" i="1"/>
  <c r="CL248" i="1"/>
  <c r="CM247" i="1"/>
  <c r="CL247" i="1"/>
  <c r="CM246" i="1"/>
  <c r="CL246" i="1"/>
  <c r="CM245" i="1"/>
  <c r="CL245" i="1"/>
  <c r="CM244" i="1"/>
  <c r="CL244" i="1"/>
  <c r="CM243" i="1"/>
  <c r="CL243" i="1"/>
  <c r="CM242" i="1"/>
  <c r="CL242" i="1"/>
  <c r="CM241" i="1"/>
  <c r="CL241" i="1"/>
  <c r="CM240" i="1"/>
  <c r="CL240" i="1"/>
  <c r="CM239" i="1"/>
  <c r="CL239" i="1"/>
  <c r="CM238" i="1"/>
  <c r="CL238" i="1"/>
  <c r="CM237" i="1"/>
  <c r="CL237" i="1"/>
  <c r="CM236" i="1"/>
  <c r="CL236" i="1"/>
  <c r="CM235" i="1"/>
  <c r="CL235" i="1"/>
  <c r="CM234" i="1"/>
  <c r="CL234" i="1"/>
  <c r="CM233" i="1"/>
  <c r="CL233" i="1"/>
  <c r="CM232" i="1"/>
  <c r="CL232" i="1"/>
  <c r="CM231" i="1"/>
  <c r="CL231" i="1"/>
  <c r="CM230" i="1"/>
  <c r="CL230" i="1"/>
  <c r="CM229" i="1"/>
  <c r="CL229" i="1"/>
  <c r="CM228" i="1"/>
  <c r="CL228" i="1"/>
  <c r="CM227" i="1"/>
  <c r="CL227" i="1"/>
  <c r="CM226" i="1"/>
  <c r="CL226" i="1"/>
  <c r="CM225" i="1"/>
  <c r="CL225" i="1"/>
  <c r="CM224" i="1"/>
  <c r="CL224" i="1"/>
  <c r="CM223" i="1"/>
  <c r="CL223" i="1"/>
  <c r="CM222" i="1"/>
  <c r="CL222" i="1"/>
  <c r="CM221" i="1"/>
  <c r="CL221" i="1"/>
  <c r="CM220" i="1"/>
  <c r="CL220" i="1"/>
  <c r="CM219" i="1"/>
  <c r="CL219" i="1"/>
  <c r="CM218" i="1"/>
  <c r="CL218" i="1"/>
  <c r="CM217" i="1"/>
  <c r="CL217" i="1"/>
  <c r="CM216" i="1"/>
  <c r="CL216" i="1"/>
  <c r="CM215" i="1"/>
  <c r="CL215" i="1"/>
  <c r="CM214" i="1"/>
  <c r="CL214" i="1"/>
  <c r="CM213" i="1"/>
  <c r="CL213" i="1"/>
  <c r="CM212" i="1"/>
  <c r="CL212" i="1"/>
  <c r="CM211" i="1"/>
  <c r="CL211" i="1"/>
  <c r="CM210" i="1"/>
  <c r="CL210" i="1"/>
  <c r="CM209" i="1"/>
  <c r="CL209" i="1"/>
  <c r="CM208" i="1"/>
  <c r="CL208" i="1"/>
  <c r="CM207" i="1"/>
  <c r="CL207" i="1"/>
  <c r="CM206" i="1"/>
  <c r="CL206" i="1"/>
  <c r="CM205" i="1"/>
  <c r="CL205" i="1"/>
  <c r="CM204" i="1"/>
  <c r="CL204" i="1"/>
  <c r="CM203" i="1"/>
  <c r="CL203" i="1"/>
  <c r="CM202" i="1"/>
  <c r="CL202" i="1"/>
  <c r="CM201" i="1"/>
  <c r="CL201" i="1"/>
  <c r="CM200" i="1"/>
  <c r="CL200" i="1"/>
  <c r="CM199" i="1"/>
  <c r="CL199" i="1"/>
  <c r="CM198" i="1"/>
  <c r="CL198" i="1"/>
  <c r="CM197" i="1"/>
  <c r="CL197" i="1"/>
  <c r="CM196" i="1"/>
  <c r="CL196" i="1"/>
  <c r="CM195" i="1"/>
  <c r="CL195" i="1"/>
  <c r="CM194" i="1"/>
  <c r="CL194" i="1"/>
  <c r="CM193" i="1"/>
  <c r="CL193" i="1"/>
  <c r="CM192" i="1"/>
  <c r="CL192" i="1"/>
  <c r="CM191" i="1"/>
  <c r="CL191" i="1"/>
  <c r="CM190" i="1"/>
  <c r="CL190" i="1"/>
  <c r="CM189" i="1"/>
  <c r="CL189" i="1"/>
  <c r="CM188" i="1"/>
  <c r="CL188" i="1"/>
  <c r="CM187" i="1"/>
  <c r="CL187" i="1"/>
  <c r="CM186" i="1"/>
  <c r="CL186" i="1"/>
  <c r="CM185" i="1"/>
  <c r="CL185" i="1"/>
  <c r="CM184" i="1"/>
  <c r="CL184" i="1"/>
  <c r="CM183" i="1"/>
  <c r="CL183" i="1"/>
  <c r="CM182" i="1"/>
  <c r="CL182" i="1"/>
  <c r="CM181" i="1"/>
  <c r="CL181" i="1"/>
  <c r="CM180" i="1"/>
  <c r="CL180" i="1"/>
  <c r="CM179" i="1"/>
  <c r="CL179" i="1"/>
  <c r="CM178" i="1"/>
  <c r="CL178" i="1"/>
  <c r="CM177" i="1"/>
  <c r="CL177" i="1"/>
  <c r="CM176" i="1"/>
  <c r="CL176" i="1"/>
  <c r="CM175" i="1"/>
  <c r="CL175" i="1"/>
  <c r="CM174" i="1"/>
  <c r="CL174" i="1"/>
  <c r="CM173" i="1"/>
  <c r="CL173" i="1"/>
  <c r="CM172" i="1"/>
  <c r="CL172" i="1"/>
  <c r="CM171" i="1"/>
  <c r="CL171" i="1"/>
  <c r="CM170" i="1"/>
  <c r="CL170" i="1"/>
  <c r="CM169" i="1"/>
  <c r="CL169" i="1"/>
  <c r="CM168" i="1"/>
  <c r="CL168" i="1"/>
  <c r="CM167" i="1"/>
  <c r="CL167" i="1"/>
  <c r="CM166" i="1"/>
  <c r="CL166" i="1"/>
  <c r="CM165" i="1"/>
  <c r="CL165" i="1"/>
  <c r="CM164" i="1"/>
  <c r="CL164" i="1"/>
  <c r="CM163" i="1"/>
  <c r="CL163" i="1"/>
  <c r="CM162" i="1"/>
  <c r="CL162" i="1"/>
  <c r="CM161" i="1"/>
  <c r="CL161" i="1"/>
  <c r="CM160" i="1"/>
  <c r="CL160" i="1"/>
  <c r="CM159" i="1"/>
  <c r="CL159" i="1"/>
  <c r="CM158" i="1"/>
  <c r="CL158" i="1"/>
  <c r="CM157" i="1"/>
  <c r="CL157" i="1"/>
  <c r="CM156" i="1"/>
  <c r="CL156" i="1"/>
  <c r="CM155" i="1"/>
  <c r="CL155" i="1"/>
  <c r="CM154" i="1"/>
  <c r="CL154" i="1"/>
  <c r="CM153" i="1"/>
  <c r="CL153" i="1"/>
  <c r="CM152" i="1"/>
  <c r="CL152" i="1"/>
  <c r="CM151" i="1"/>
  <c r="CL151" i="1"/>
  <c r="CM150" i="1"/>
  <c r="CL150" i="1"/>
  <c r="CM149" i="1"/>
  <c r="CL149" i="1"/>
  <c r="CM148" i="1"/>
  <c r="CL148" i="1"/>
  <c r="CM147" i="1"/>
  <c r="CL147" i="1"/>
  <c r="CM146" i="1"/>
  <c r="CL146" i="1"/>
  <c r="CM145" i="1"/>
  <c r="CL145" i="1"/>
  <c r="CM144" i="1"/>
  <c r="CL144" i="1"/>
  <c r="CM143" i="1"/>
  <c r="CL143" i="1"/>
  <c r="CM142" i="1"/>
  <c r="CL142" i="1"/>
  <c r="CM141" i="1"/>
  <c r="CL141" i="1"/>
  <c r="CM140" i="1"/>
  <c r="CL140" i="1"/>
  <c r="CM139" i="1"/>
  <c r="CL139" i="1"/>
  <c r="CM138" i="1"/>
  <c r="CL138" i="1"/>
  <c r="CM137" i="1"/>
  <c r="CL137" i="1"/>
  <c r="CM136" i="1"/>
  <c r="CL136" i="1"/>
  <c r="CM135" i="1"/>
  <c r="CL135" i="1"/>
  <c r="CM134" i="1"/>
  <c r="CL134" i="1"/>
  <c r="CM133" i="1"/>
  <c r="CL133" i="1"/>
  <c r="CM132" i="1"/>
  <c r="CL132" i="1"/>
  <c r="CM131" i="1"/>
  <c r="CL131" i="1"/>
  <c r="CM130" i="1"/>
  <c r="CL130" i="1"/>
  <c r="CM129" i="1"/>
  <c r="CL129" i="1"/>
  <c r="CM128" i="1"/>
  <c r="CL128" i="1"/>
  <c r="CM127" i="1"/>
  <c r="CL127" i="1"/>
  <c r="CM126" i="1"/>
  <c r="CL126" i="1"/>
  <c r="CM125" i="1"/>
  <c r="CL125" i="1"/>
  <c r="CM124" i="1"/>
  <c r="CL124" i="1"/>
  <c r="CM123" i="1"/>
  <c r="CL123" i="1"/>
  <c r="CM122" i="1"/>
  <c r="CL122" i="1"/>
  <c r="CM121" i="1"/>
  <c r="CL121" i="1"/>
  <c r="CM120" i="1"/>
  <c r="CL120" i="1"/>
  <c r="CM119" i="1"/>
  <c r="CL119" i="1"/>
  <c r="CM118" i="1"/>
  <c r="CL118" i="1"/>
  <c r="CM117" i="1"/>
  <c r="CL117" i="1"/>
  <c r="CM116" i="1"/>
  <c r="CL116" i="1"/>
  <c r="CM115" i="1"/>
  <c r="CL115" i="1"/>
  <c r="CM114" i="1"/>
  <c r="CL114" i="1"/>
  <c r="CM113" i="1"/>
  <c r="CL113" i="1"/>
  <c r="CM112" i="1"/>
  <c r="CL112" i="1"/>
  <c r="CM111" i="1"/>
  <c r="CL111" i="1"/>
  <c r="CM110" i="1"/>
  <c r="CL110" i="1"/>
  <c r="CM109" i="1"/>
  <c r="CL109" i="1"/>
  <c r="CM108" i="1"/>
  <c r="CL108" i="1"/>
  <c r="CM107" i="1"/>
  <c r="CL107" i="1"/>
  <c r="CM106" i="1"/>
  <c r="CL106" i="1"/>
  <c r="CM105" i="1"/>
  <c r="CL105" i="1"/>
  <c r="CM104" i="1"/>
  <c r="CL104" i="1"/>
  <c r="CM103" i="1"/>
  <c r="CL103" i="1"/>
  <c r="CM102" i="1"/>
  <c r="CL102" i="1"/>
  <c r="CM101" i="1"/>
  <c r="CL101" i="1"/>
  <c r="CM100" i="1"/>
  <c r="CL100" i="1"/>
  <c r="CM99" i="1"/>
  <c r="CL99" i="1"/>
  <c r="CM98" i="1"/>
  <c r="CL98" i="1"/>
  <c r="CM97" i="1"/>
  <c r="CL97" i="1"/>
  <c r="CM96" i="1"/>
  <c r="CL96" i="1"/>
  <c r="CM95" i="1"/>
  <c r="CL95" i="1"/>
  <c r="CM94" i="1"/>
  <c r="CL94" i="1"/>
  <c r="CM93" i="1"/>
  <c r="CL93" i="1"/>
  <c r="CM92" i="1"/>
  <c r="CL92" i="1"/>
  <c r="CM91" i="1"/>
  <c r="CL91" i="1"/>
  <c r="CM90" i="1"/>
  <c r="CL90" i="1"/>
  <c r="CM89" i="1"/>
  <c r="CL89" i="1"/>
  <c r="CM88" i="1"/>
  <c r="CL88" i="1"/>
  <c r="CM87" i="1"/>
  <c r="CL87" i="1"/>
  <c r="CM86" i="1"/>
  <c r="CL86" i="1"/>
  <c r="CM85" i="1"/>
  <c r="CL85" i="1"/>
  <c r="CM84" i="1"/>
  <c r="CL84" i="1"/>
  <c r="CM83" i="1"/>
  <c r="CL83" i="1"/>
  <c r="CM82" i="1"/>
  <c r="CL82" i="1"/>
  <c r="CM81" i="1"/>
  <c r="CL81" i="1"/>
  <c r="CM80" i="1"/>
  <c r="CL80" i="1"/>
  <c r="CM79" i="1"/>
  <c r="CL79" i="1"/>
  <c r="CM78" i="1"/>
  <c r="CL78" i="1"/>
  <c r="CM77" i="1"/>
  <c r="CL77" i="1"/>
  <c r="CM76" i="1"/>
  <c r="CL76" i="1"/>
  <c r="CM75" i="1"/>
  <c r="CL75" i="1"/>
  <c r="CM74" i="1"/>
  <c r="CL74" i="1"/>
  <c r="CM73" i="1"/>
  <c r="CL73" i="1"/>
  <c r="CM72" i="1"/>
  <c r="CL72" i="1"/>
  <c r="CM71" i="1"/>
  <c r="CL71" i="1"/>
  <c r="CM70" i="1"/>
  <c r="CL70" i="1"/>
  <c r="CM69" i="1"/>
  <c r="CL69" i="1"/>
  <c r="CM68" i="1"/>
  <c r="CL68" i="1"/>
  <c r="CM67" i="1"/>
  <c r="CL67" i="1"/>
  <c r="CM66" i="1"/>
  <c r="CL66" i="1"/>
  <c r="CM65" i="1"/>
  <c r="CL65" i="1"/>
  <c r="CM64" i="1"/>
  <c r="CL64" i="1"/>
  <c r="CM63" i="1"/>
  <c r="CL63" i="1"/>
  <c r="CM62" i="1"/>
  <c r="CL62" i="1"/>
  <c r="CM61" i="1"/>
  <c r="CL61" i="1"/>
  <c r="CM60" i="1"/>
  <c r="CL60" i="1"/>
  <c r="CM59" i="1"/>
  <c r="CL59" i="1"/>
  <c r="CM58" i="1"/>
  <c r="CL58" i="1"/>
  <c r="CM57" i="1"/>
  <c r="CL57" i="1"/>
  <c r="CM56" i="1"/>
  <c r="CL56" i="1"/>
  <c r="CM55" i="1"/>
  <c r="CL55" i="1"/>
  <c r="CM54" i="1"/>
  <c r="CL54" i="1"/>
  <c r="CM53" i="1"/>
  <c r="CL53" i="1"/>
  <c r="CM52" i="1"/>
  <c r="CL52" i="1"/>
  <c r="CM51" i="1"/>
  <c r="CL51" i="1"/>
  <c r="CM50" i="1"/>
  <c r="CL50" i="1"/>
  <c r="CM49" i="1"/>
  <c r="CL49" i="1"/>
  <c r="CM48" i="1"/>
  <c r="CL48" i="1"/>
  <c r="CM47" i="1"/>
  <c r="CL47" i="1"/>
  <c r="CM46" i="1"/>
  <c r="CL46" i="1"/>
  <c r="CM45" i="1"/>
  <c r="CL45" i="1"/>
  <c r="CM44" i="1"/>
  <c r="CL44" i="1"/>
  <c r="CM43" i="1"/>
  <c r="CL43" i="1"/>
  <c r="CM42" i="1"/>
  <c r="CL42" i="1"/>
  <c r="CM41" i="1"/>
  <c r="CL41" i="1"/>
  <c r="CM40" i="1"/>
  <c r="CL40" i="1"/>
  <c r="CM39" i="1"/>
  <c r="CL39" i="1"/>
  <c r="CM38" i="1"/>
  <c r="CL38" i="1"/>
  <c r="CM37" i="1"/>
  <c r="CL37" i="1"/>
  <c r="CM36" i="1"/>
  <c r="CL36" i="1"/>
  <c r="CM35" i="1"/>
  <c r="CL35" i="1"/>
  <c r="CM34" i="1"/>
  <c r="CL34" i="1"/>
  <c r="CM33" i="1"/>
  <c r="CL33" i="1"/>
  <c r="CM32" i="1"/>
  <c r="CL32" i="1"/>
  <c r="CM31" i="1"/>
  <c r="CL31" i="1"/>
  <c r="CM30" i="1"/>
  <c r="CL30" i="1"/>
  <c r="CM29" i="1"/>
  <c r="CL29" i="1"/>
  <c r="CM28" i="1"/>
  <c r="CL28" i="1"/>
  <c r="CM27" i="1"/>
  <c r="CL27" i="1"/>
  <c r="CM26" i="1"/>
  <c r="CL26" i="1"/>
  <c r="CM25" i="1"/>
  <c r="CL25" i="1"/>
  <c r="CM24" i="1"/>
  <c r="CL24" i="1"/>
  <c r="CM23" i="1"/>
  <c r="CL23" i="1"/>
  <c r="CM22" i="1"/>
  <c r="CL22" i="1"/>
  <c r="CM21" i="1"/>
  <c r="CL21" i="1"/>
  <c r="CM20" i="1"/>
  <c r="CL20" i="1"/>
  <c r="CM19" i="1"/>
  <c r="CL19" i="1"/>
  <c r="CM18" i="1"/>
  <c r="CL18" i="1"/>
  <c r="CM17" i="1"/>
  <c r="CL17" i="1"/>
  <c r="CM16" i="1"/>
  <c r="CL16" i="1"/>
  <c r="CM15" i="1"/>
  <c r="CL15" i="1"/>
  <c r="CM14" i="1"/>
  <c r="CL14" i="1"/>
  <c r="CM13" i="1"/>
  <c r="CL13" i="1"/>
  <c r="CM12" i="1"/>
  <c r="CL12" i="1"/>
  <c r="CM11" i="1"/>
  <c r="CL11" i="1"/>
  <c r="CM10" i="1"/>
  <c r="CL10" i="1"/>
  <c r="CM9" i="1"/>
  <c r="CL9" i="1"/>
  <c r="CJ353" i="1"/>
  <c r="CI353" i="1"/>
  <c r="CJ352" i="1"/>
  <c r="CI352" i="1"/>
  <c r="CJ351" i="1"/>
  <c r="CI351" i="1"/>
  <c r="CJ350" i="1"/>
  <c r="CI350" i="1"/>
  <c r="CJ349" i="1"/>
  <c r="CI349" i="1"/>
  <c r="CJ348" i="1"/>
  <c r="CI348" i="1"/>
  <c r="CJ347" i="1"/>
  <c r="CI347" i="1"/>
  <c r="CJ346" i="1"/>
  <c r="CI346" i="1"/>
  <c r="CJ345" i="1"/>
  <c r="CI345" i="1"/>
  <c r="CJ344" i="1"/>
  <c r="CI344" i="1"/>
  <c r="CJ343" i="1"/>
  <c r="CI343" i="1"/>
  <c r="CJ342" i="1"/>
  <c r="CI342" i="1"/>
  <c r="CJ341" i="1"/>
  <c r="CI341" i="1"/>
  <c r="CJ340" i="1"/>
  <c r="CI340" i="1"/>
  <c r="CJ339" i="1"/>
  <c r="CI339" i="1"/>
  <c r="CJ338" i="1"/>
  <c r="CI338" i="1"/>
  <c r="CJ337" i="1"/>
  <c r="CI337" i="1"/>
  <c r="CJ336" i="1"/>
  <c r="CI336" i="1"/>
  <c r="CJ335" i="1"/>
  <c r="CI335" i="1"/>
  <c r="CJ334" i="1"/>
  <c r="CI334" i="1"/>
  <c r="CJ333" i="1"/>
  <c r="CI333" i="1"/>
  <c r="CJ332" i="1"/>
  <c r="CI332" i="1"/>
  <c r="CJ331" i="1"/>
  <c r="CI331" i="1"/>
  <c r="CJ330" i="1"/>
  <c r="CI330" i="1"/>
  <c r="CJ329" i="1"/>
  <c r="CI329" i="1"/>
  <c r="CJ328" i="1"/>
  <c r="CI328" i="1"/>
  <c r="CJ327" i="1"/>
  <c r="CI327" i="1"/>
  <c r="CJ326" i="1"/>
  <c r="CI326" i="1"/>
  <c r="CJ325" i="1"/>
  <c r="CI325" i="1"/>
  <c r="CJ324" i="1"/>
  <c r="CI324" i="1"/>
  <c r="CJ323" i="1"/>
  <c r="CI323" i="1"/>
  <c r="CJ322" i="1"/>
  <c r="CI322" i="1"/>
  <c r="CJ321" i="1"/>
  <c r="CI321" i="1"/>
  <c r="CJ320" i="1"/>
  <c r="CI320" i="1"/>
  <c r="CJ319" i="1"/>
  <c r="CI319" i="1"/>
  <c r="CJ318" i="1"/>
  <c r="CI318" i="1"/>
  <c r="CJ317" i="1"/>
  <c r="CI317" i="1"/>
  <c r="CJ316" i="1"/>
  <c r="CI316" i="1"/>
  <c r="CJ315" i="1"/>
  <c r="CI315" i="1"/>
  <c r="CJ314" i="1"/>
  <c r="CI314" i="1"/>
  <c r="CJ313" i="1"/>
  <c r="CI313" i="1"/>
  <c r="CJ312" i="1"/>
  <c r="CI312" i="1"/>
  <c r="CJ311" i="1"/>
  <c r="CI311" i="1"/>
  <c r="CJ310" i="1"/>
  <c r="CI310" i="1"/>
  <c r="CJ309" i="1"/>
  <c r="CI309" i="1"/>
  <c r="CJ308" i="1"/>
  <c r="CI308" i="1"/>
  <c r="CJ307" i="1"/>
  <c r="CI307" i="1"/>
  <c r="CJ306" i="1"/>
  <c r="CI306" i="1"/>
  <c r="CJ305" i="1"/>
  <c r="CI305" i="1"/>
  <c r="CJ304" i="1"/>
  <c r="CI304" i="1"/>
  <c r="CJ303" i="1"/>
  <c r="CI303" i="1"/>
  <c r="CJ302" i="1"/>
  <c r="CI302" i="1"/>
  <c r="CJ301" i="1"/>
  <c r="CI301" i="1"/>
  <c r="CJ300" i="1"/>
  <c r="CI300" i="1"/>
  <c r="CJ299" i="1"/>
  <c r="CI299" i="1"/>
  <c r="CJ298" i="1"/>
  <c r="CI298" i="1"/>
  <c r="CJ297" i="1"/>
  <c r="CI297" i="1"/>
  <c r="CJ296" i="1"/>
  <c r="CI296" i="1"/>
  <c r="CJ295" i="1"/>
  <c r="CI295" i="1"/>
  <c r="CJ294" i="1"/>
  <c r="CI294" i="1"/>
  <c r="CJ293" i="1"/>
  <c r="CI293" i="1"/>
  <c r="CJ292" i="1"/>
  <c r="CI292" i="1"/>
  <c r="CJ291" i="1"/>
  <c r="CI291" i="1"/>
  <c r="CJ290" i="1"/>
  <c r="CI290" i="1"/>
  <c r="CJ289" i="1"/>
  <c r="CI289" i="1"/>
  <c r="CJ288" i="1"/>
  <c r="CI288" i="1"/>
  <c r="CJ287" i="1"/>
  <c r="CI287" i="1"/>
  <c r="CJ286" i="1"/>
  <c r="CI286" i="1"/>
  <c r="CJ285" i="1"/>
  <c r="CI285" i="1"/>
  <c r="CJ284" i="1"/>
  <c r="CI284" i="1"/>
  <c r="CJ283" i="1"/>
  <c r="CI283" i="1"/>
  <c r="CJ282" i="1"/>
  <c r="CI282" i="1"/>
  <c r="CJ281" i="1"/>
  <c r="CI281" i="1"/>
  <c r="CJ280" i="1"/>
  <c r="CI280" i="1"/>
  <c r="CJ279" i="1"/>
  <c r="CI279" i="1"/>
  <c r="CJ278" i="1"/>
  <c r="CI278" i="1"/>
  <c r="CJ277" i="1"/>
  <c r="CI277" i="1"/>
  <c r="CJ276" i="1"/>
  <c r="CI276" i="1"/>
  <c r="CJ275" i="1"/>
  <c r="CI275" i="1"/>
  <c r="CJ274" i="1"/>
  <c r="CI274" i="1"/>
  <c r="CJ273" i="1"/>
  <c r="CI273" i="1"/>
  <c r="CJ272" i="1"/>
  <c r="CI272" i="1"/>
  <c r="CJ271" i="1"/>
  <c r="CI271" i="1"/>
  <c r="CJ270" i="1"/>
  <c r="CI270" i="1"/>
  <c r="CJ269" i="1"/>
  <c r="CI269" i="1"/>
  <c r="CJ268" i="1"/>
  <c r="CI268" i="1"/>
  <c r="CJ267" i="1"/>
  <c r="CI267" i="1"/>
  <c r="CJ266" i="1"/>
  <c r="CI266" i="1"/>
  <c r="CJ265" i="1"/>
  <c r="CI265" i="1"/>
  <c r="CJ264" i="1"/>
  <c r="CI264" i="1"/>
  <c r="CJ263" i="1"/>
  <c r="CI263" i="1"/>
  <c r="CJ262" i="1"/>
  <c r="CI262" i="1"/>
  <c r="CJ261" i="1"/>
  <c r="CI261" i="1"/>
  <c r="CJ260" i="1"/>
  <c r="CI260" i="1"/>
  <c r="CJ259" i="1"/>
  <c r="CI259" i="1"/>
  <c r="CJ258" i="1"/>
  <c r="CI258" i="1"/>
  <c r="CJ257" i="1"/>
  <c r="CI257" i="1"/>
  <c r="CJ256" i="1"/>
  <c r="CI256" i="1"/>
  <c r="CJ255" i="1"/>
  <c r="CI255" i="1"/>
  <c r="CJ254" i="1"/>
  <c r="CI254" i="1"/>
  <c r="CJ253" i="1"/>
  <c r="CI253" i="1"/>
  <c r="CJ252" i="1"/>
  <c r="CI252" i="1"/>
  <c r="CJ251" i="1"/>
  <c r="CI251" i="1"/>
  <c r="CJ250" i="1"/>
  <c r="CI250" i="1"/>
  <c r="CJ249" i="1"/>
  <c r="CI249" i="1"/>
  <c r="CJ248" i="1"/>
  <c r="CI248" i="1"/>
  <c r="CJ247" i="1"/>
  <c r="CI247" i="1"/>
  <c r="CJ246" i="1"/>
  <c r="CI246" i="1"/>
  <c r="CJ245" i="1"/>
  <c r="CI245" i="1"/>
  <c r="CJ244" i="1"/>
  <c r="CI244" i="1"/>
  <c r="CJ243" i="1"/>
  <c r="CI243" i="1"/>
  <c r="CJ242" i="1"/>
  <c r="CI242" i="1"/>
  <c r="CJ241" i="1"/>
  <c r="CI241" i="1"/>
  <c r="CJ240" i="1"/>
  <c r="CI240" i="1"/>
  <c r="CJ239" i="1"/>
  <c r="CI239" i="1"/>
  <c r="CJ238" i="1"/>
  <c r="CI238" i="1"/>
  <c r="CJ237" i="1"/>
  <c r="CI237" i="1"/>
  <c r="CJ236" i="1"/>
  <c r="CI236" i="1"/>
  <c r="CJ235" i="1"/>
  <c r="CI235" i="1"/>
  <c r="CJ234" i="1"/>
  <c r="CI234" i="1"/>
  <c r="CJ233" i="1"/>
  <c r="CI233" i="1"/>
  <c r="CJ232" i="1"/>
  <c r="CI232" i="1"/>
  <c r="CJ231" i="1"/>
  <c r="CI231" i="1"/>
  <c r="CJ230" i="1"/>
  <c r="CI230" i="1"/>
  <c r="CJ229" i="1"/>
  <c r="CI229" i="1"/>
  <c r="CJ228" i="1"/>
  <c r="CI228" i="1"/>
  <c r="CJ227" i="1"/>
  <c r="CI227" i="1"/>
  <c r="CJ226" i="1"/>
  <c r="CI226" i="1"/>
  <c r="CJ225" i="1"/>
  <c r="CI225" i="1"/>
  <c r="CJ224" i="1"/>
  <c r="CI224" i="1"/>
  <c r="CJ223" i="1"/>
  <c r="CI223" i="1"/>
  <c r="CJ222" i="1"/>
  <c r="CI222" i="1"/>
  <c r="CJ221" i="1"/>
  <c r="CI221" i="1"/>
  <c r="CJ220" i="1"/>
  <c r="CI220" i="1"/>
  <c r="CJ219" i="1"/>
  <c r="CI219" i="1"/>
  <c r="CJ218" i="1"/>
  <c r="CI218" i="1"/>
  <c r="CJ217" i="1"/>
  <c r="CI217" i="1"/>
  <c r="CJ216" i="1"/>
  <c r="CI216" i="1"/>
  <c r="CJ215" i="1"/>
  <c r="CI215" i="1"/>
  <c r="CJ214" i="1"/>
  <c r="CI214" i="1"/>
  <c r="CJ213" i="1"/>
  <c r="CI213" i="1"/>
  <c r="CJ212" i="1"/>
  <c r="CI212" i="1"/>
  <c r="CJ211" i="1"/>
  <c r="CI211" i="1"/>
  <c r="CJ210" i="1"/>
  <c r="CI210" i="1"/>
  <c r="CJ209" i="1"/>
  <c r="CI209" i="1"/>
  <c r="CJ208" i="1"/>
  <c r="CI208" i="1"/>
  <c r="CJ207" i="1"/>
  <c r="CI207" i="1"/>
  <c r="CJ206" i="1"/>
  <c r="CI206" i="1"/>
  <c r="CJ205" i="1"/>
  <c r="CI205" i="1"/>
  <c r="CJ204" i="1"/>
  <c r="CI204" i="1"/>
  <c r="CJ203" i="1"/>
  <c r="CI203" i="1"/>
  <c r="CJ202" i="1"/>
  <c r="CI202" i="1"/>
  <c r="CJ201" i="1"/>
  <c r="CI201" i="1"/>
  <c r="CJ200" i="1"/>
  <c r="CI200" i="1"/>
  <c r="CJ199" i="1"/>
  <c r="CI199" i="1"/>
  <c r="CJ198" i="1"/>
  <c r="CI198" i="1"/>
  <c r="CJ197" i="1"/>
  <c r="CI197" i="1"/>
  <c r="CJ196" i="1"/>
  <c r="CI196" i="1"/>
  <c r="CJ195" i="1"/>
  <c r="CI195" i="1"/>
  <c r="CJ194" i="1"/>
  <c r="CI194" i="1"/>
  <c r="CJ193" i="1"/>
  <c r="CI193" i="1"/>
  <c r="CJ192" i="1"/>
  <c r="CI192" i="1"/>
  <c r="CJ191" i="1"/>
  <c r="CI191" i="1"/>
  <c r="CJ190" i="1"/>
  <c r="CI190" i="1"/>
  <c r="CJ189" i="1"/>
  <c r="CI189" i="1"/>
  <c r="CJ188" i="1"/>
  <c r="CI188" i="1"/>
  <c r="CJ187" i="1"/>
  <c r="CI187" i="1"/>
  <c r="CJ186" i="1"/>
  <c r="CI186" i="1"/>
  <c r="CJ185" i="1"/>
  <c r="CI185" i="1"/>
  <c r="CJ184" i="1"/>
  <c r="CI184" i="1"/>
  <c r="CJ183" i="1"/>
  <c r="CI183" i="1"/>
  <c r="CJ182" i="1"/>
  <c r="CI182" i="1"/>
  <c r="CJ181" i="1"/>
  <c r="CI181" i="1"/>
  <c r="CJ180" i="1"/>
  <c r="CI180" i="1"/>
  <c r="CJ179" i="1"/>
  <c r="CI179" i="1"/>
  <c r="CJ178" i="1"/>
  <c r="CI178" i="1"/>
  <c r="CJ177" i="1"/>
  <c r="CI177" i="1"/>
  <c r="CJ176" i="1"/>
  <c r="CI176" i="1"/>
  <c r="CJ175" i="1"/>
  <c r="CI175" i="1"/>
  <c r="CJ174" i="1"/>
  <c r="CI174" i="1"/>
  <c r="CJ173" i="1"/>
  <c r="CI173" i="1"/>
  <c r="CJ172" i="1"/>
  <c r="CI172" i="1"/>
  <c r="CJ171" i="1"/>
  <c r="CI171" i="1"/>
  <c r="CJ170" i="1"/>
  <c r="CI170" i="1"/>
  <c r="CJ169" i="1"/>
  <c r="CI169" i="1"/>
  <c r="CJ168" i="1"/>
  <c r="CI168" i="1"/>
  <c r="CJ167" i="1"/>
  <c r="CI167" i="1"/>
  <c r="CJ166" i="1"/>
  <c r="CI166" i="1"/>
  <c r="CJ165" i="1"/>
  <c r="CI165" i="1"/>
  <c r="CJ164" i="1"/>
  <c r="CI164" i="1"/>
  <c r="CJ163" i="1"/>
  <c r="CI163" i="1"/>
  <c r="CJ162" i="1"/>
  <c r="CI162" i="1"/>
  <c r="CJ161" i="1"/>
  <c r="CI161" i="1"/>
  <c r="CJ160" i="1"/>
  <c r="CI160" i="1"/>
  <c r="CJ159" i="1"/>
  <c r="CI159" i="1"/>
  <c r="CJ158" i="1"/>
  <c r="CI158" i="1"/>
  <c r="CJ157" i="1"/>
  <c r="CI157" i="1"/>
  <c r="CJ156" i="1"/>
  <c r="CI156" i="1"/>
  <c r="CJ155" i="1"/>
  <c r="CI155" i="1"/>
  <c r="CJ154" i="1"/>
  <c r="CI154" i="1"/>
  <c r="CJ153" i="1"/>
  <c r="CI153" i="1"/>
  <c r="CJ152" i="1"/>
  <c r="CI152" i="1"/>
  <c r="CJ151" i="1"/>
  <c r="CI151" i="1"/>
  <c r="CJ150" i="1"/>
  <c r="CI150" i="1"/>
  <c r="CJ149" i="1"/>
  <c r="CI149" i="1"/>
  <c r="CJ148" i="1"/>
  <c r="CI148" i="1"/>
  <c r="CJ147" i="1"/>
  <c r="CI147" i="1"/>
  <c r="CJ146" i="1"/>
  <c r="CI146" i="1"/>
  <c r="CJ145" i="1"/>
  <c r="CI145" i="1"/>
  <c r="CJ144" i="1"/>
  <c r="CI144" i="1"/>
  <c r="CJ143" i="1"/>
  <c r="CI143" i="1"/>
  <c r="CJ142" i="1"/>
  <c r="CI142" i="1"/>
  <c r="CJ141" i="1"/>
  <c r="CI141" i="1"/>
  <c r="CJ140" i="1"/>
  <c r="CI140" i="1"/>
  <c r="CJ139" i="1"/>
  <c r="CI139" i="1"/>
  <c r="CJ138" i="1"/>
  <c r="CI138" i="1"/>
  <c r="CJ137" i="1"/>
  <c r="CI137" i="1"/>
  <c r="CJ136" i="1"/>
  <c r="CI136" i="1"/>
  <c r="CJ135" i="1"/>
  <c r="CI135" i="1"/>
  <c r="CJ134" i="1"/>
  <c r="CI134" i="1"/>
  <c r="CJ133" i="1"/>
  <c r="CI133" i="1"/>
  <c r="CJ132" i="1"/>
  <c r="CI132" i="1"/>
  <c r="CJ131" i="1"/>
  <c r="CI131" i="1"/>
  <c r="CJ130" i="1"/>
  <c r="CI130" i="1"/>
  <c r="CJ129" i="1"/>
  <c r="CI129" i="1"/>
  <c r="CJ128" i="1"/>
  <c r="CI128" i="1"/>
  <c r="CJ127" i="1"/>
  <c r="CI127" i="1"/>
  <c r="CJ126" i="1"/>
  <c r="CI126" i="1"/>
  <c r="CJ125" i="1"/>
  <c r="CI125" i="1"/>
  <c r="CJ124" i="1"/>
  <c r="CI124" i="1"/>
  <c r="CJ123" i="1"/>
  <c r="CI123" i="1"/>
  <c r="CJ122" i="1"/>
  <c r="CI122" i="1"/>
  <c r="CJ121" i="1"/>
  <c r="CI121" i="1"/>
  <c r="CJ120" i="1"/>
  <c r="CI120" i="1"/>
  <c r="CJ119" i="1"/>
  <c r="CI119" i="1"/>
  <c r="CJ118" i="1"/>
  <c r="CI118" i="1"/>
  <c r="CJ117" i="1"/>
  <c r="CI117" i="1"/>
  <c r="CJ116" i="1"/>
  <c r="CI116" i="1"/>
  <c r="CJ115" i="1"/>
  <c r="CI115" i="1"/>
  <c r="CJ114" i="1"/>
  <c r="CI114" i="1"/>
  <c r="CJ113" i="1"/>
  <c r="CI113" i="1"/>
  <c r="CJ112" i="1"/>
  <c r="CI112" i="1"/>
  <c r="CJ111" i="1"/>
  <c r="CI111" i="1"/>
  <c r="CJ110" i="1"/>
  <c r="CI110" i="1"/>
  <c r="CJ109" i="1"/>
  <c r="CI109" i="1"/>
  <c r="CJ108" i="1"/>
  <c r="CI108" i="1"/>
  <c r="CJ107" i="1"/>
  <c r="CI107" i="1"/>
  <c r="CJ106" i="1"/>
  <c r="CI106" i="1"/>
  <c r="CJ105" i="1"/>
  <c r="CI105" i="1"/>
  <c r="CJ104" i="1"/>
  <c r="CI104" i="1"/>
  <c r="CJ103" i="1"/>
  <c r="CI103" i="1"/>
  <c r="CJ102" i="1"/>
  <c r="CI102" i="1"/>
  <c r="CJ101" i="1"/>
  <c r="CI101" i="1"/>
  <c r="CJ100" i="1"/>
  <c r="CI100" i="1"/>
  <c r="CJ99" i="1"/>
  <c r="CI99" i="1"/>
  <c r="CJ98" i="1"/>
  <c r="CI98" i="1"/>
  <c r="CJ97" i="1"/>
  <c r="CI97" i="1"/>
  <c r="CJ96" i="1"/>
  <c r="CI96" i="1"/>
  <c r="CJ95" i="1"/>
  <c r="CI95" i="1"/>
  <c r="CJ94" i="1"/>
  <c r="CI94" i="1"/>
  <c r="CJ93" i="1"/>
  <c r="CI93" i="1"/>
  <c r="CJ92" i="1"/>
  <c r="CI92" i="1"/>
  <c r="CJ91" i="1"/>
  <c r="CI91" i="1"/>
  <c r="CJ90" i="1"/>
  <c r="CI90" i="1"/>
  <c r="CJ89" i="1"/>
  <c r="CI89" i="1"/>
  <c r="CJ88" i="1"/>
  <c r="CI88" i="1"/>
  <c r="CJ87" i="1"/>
  <c r="CI87" i="1"/>
  <c r="CJ86" i="1"/>
  <c r="CI86" i="1"/>
  <c r="CJ85" i="1"/>
  <c r="CI85" i="1"/>
  <c r="CJ84" i="1"/>
  <c r="CI84" i="1"/>
  <c r="CJ83" i="1"/>
  <c r="CI83" i="1"/>
  <c r="CJ82" i="1"/>
  <c r="CI82" i="1"/>
  <c r="CJ81" i="1"/>
  <c r="CI81" i="1"/>
  <c r="CJ80" i="1"/>
  <c r="CI80" i="1"/>
  <c r="CJ79" i="1"/>
  <c r="CI79" i="1"/>
  <c r="CJ78" i="1"/>
  <c r="CI78" i="1"/>
  <c r="CJ77" i="1"/>
  <c r="CI77" i="1"/>
  <c r="CJ76" i="1"/>
  <c r="CI76" i="1"/>
  <c r="CJ75" i="1"/>
  <c r="CI75" i="1"/>
  <c r="CJ74" i="1"/>
  <c r="CI74" i="1"/>
  <c r="CJ73" i="1"/>
  <c r="CI73" i="1"/>
  <c r="CJ72" i="1"/>
  <c r="CI72" i="1"/>
  <c r="CJ71" i="1"/>
  <c r="CI71" i="1"/>
  <c r="CJ70" i="1"/>
  <c r="CI70" i="1"/>
  <c r="CJ69" i="1"/>
  <c r="CI69" i="1"/>
  <c r="CJ68" i="1"/>
  <c r="CI68" i="1"/>
  <c r="CJ67" i="1"/>
  <c r="CI67" i="1"/>
  <c r="CJ66" i="1"/>
  <c r="CI66" i="1"/>
  <c r="CJ65" i="1"/>
  <c r="CI65" i="1"/>
  <c r="CJ64" i="1"/>
  <c r="CI64" i="1"/>
  <c r="CJ63" i="1"/>
  <c r="CI63" i="1"/>
  <c r="CJ62" i="1"/>
  <c r="CI62" i="1"/>
  <c r="CJ61" i="1"/>
  <c r="CI61" i="1"/>
  <c r="CJ60" i="1"/>
  <c r="CI60" i="1"/>
  <c r="CJ59" i="1"/>
  <c r="CI59" i="1"/>
  <c r="CJ58" i="1"/>
  <c r="CI58" i="1"/>
  <c r="CJ57" i="1"/>
  <c r="CI57" i="1"/>
  <c r="CJ56" i="1"/>
  <c r="CI56" i="1"/>
  <c r="CJ55" i="1"/>
  <c r="CI55" i="1"/>
  <c r="CJ54" i="1"/>
  <c r="CI54" i="1"/>
  <c r="CJ53" i="1"/>
  <c r="CI53" i="1"/>
  <c r="CJ52" i="1"/>
  <c r="CI52" i="1"/>
  <c r="CJ51" i="1"/>
  <c r="CI51" i="1"/>
  <c r="CJ50" i="1"/>
  <c r="CI50" i="1"/>
  <c r="CJ49" i="1"/>
  <c r="CI49" i="1"/>
  <c r="CJ48" i="1"/>
  <c r="CI48" i="1"/>
  <c r="CJ47" i="1"/>
  <c r="CI47" i="1"/>
  <c r="CJ46" i="1"/>
  <c r="CI46" i="1"/>
  <c r="CJ45" i="1"/>
  <c r="CI45" i="1"/>
  <c r="CJ44" i="1"/>
  <c r="CI44" i="1"/>
  <c r="CJ43" i="1"/>
  <c r="CI43" i="1"/>
  <c r="CJ42" i="1"/>
  <c r="CI42" i="1"/>
  <c r="CJ41" i="1"/>
  <c r="CI41" i="1"/>
  <c r="CJ40" i="1"/>
  <c r="CI40" i="1"/>
  <c r="CJ39" i="1"/>
  <c r="CI39" i="1"/>
  <c r="CJ38" i="1"/>
  <c r="CI38" i="1"/>
  <c r="CJ37" i="1"/>
  <c r="CI37" i="1"/>
  <c r="CJ36" i="1"/>
  <c r="CI36" i="1"/>
  <c r="CJ35" i="1"/>
  <c r="CI35" i="1"/>
  <c r="CJ34" i="1"/>
  <c r="CI34" i="1"/>
  <c r="CJ33" i="1"/>
  <c r="CI33" i="1"/>
  <c r="CJ32" i="1"/>
  <c r="CI32" i="1"/>
  <c r="CJ31" i="1"/>
  <c r="CI31" i="1"/>
  <c r="CJ30" i="1"/>
  <c r="CI30" i="1"/>
  <c r="CJ29" i="1"/>
  <c r="CI29" i="1"/>
  <c r="CJ28" i="1"/>
  <c r="CI28" i="1"/>
  <c r="CJ27" i="1"/>
  <c r="CI27" i="1"/>
  <c r="CJ26" i="1"/>
  <c r="CI26" i="1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CJ16" i="1"/>
  <c r="CI16" i="1"/>
  <c r="CJ15" i="1"/>
  <c r="CI15" i="1"/>
  <c r="CJ14" i="1"/>
  <c r="CI14" i="1"/>
  <c r="CJ13" i="1"/>
  <c r="CI13" i="1"/>
  <c r="CJ12" i="1"/>
  <c r="CI12" i="1"/>
  <c r="CJ11" i="1"/>
  <c r="CI11" i="1"/>
  <c r="CJ10" i="1"/>
  <c r="CI10" i="1"/>
  <c r="CJ9" i="1"/>
  <c r="CI9" i="1"/>
  <c r="CG353" i="1"/>
  <c r="CF353" i="1"/>
  <c r="CG352" i="1"/>
  <c r="CF352" i="1"/>
  <c r="CG351" i="1"/>
  <c r="CF351" i="1"/>
  <c r="CG350" i="1"/>
  <c r="CF350" i="1"/>
  <c r="CG349" i="1"/>
  <c r="CF349" i="1"/>
  <c r="CG348" i="1"/>
  <c r="CF348" i="1"/>
  <c r="CG347" i="1"/>
  <c r="CF347" i="1"/>
  <c r="CG346" i="1"/>
  <c r="CF346" i="1"/>
  <c r="CG345" i="1"/>
  <c r="CF345" i="1"/>
  <c r="CG344" i="1"/>
  <c r="CF344" i="1"/>
  <c r="CG343" i="1"/>
  <c r="CF343" i="1"/>
  <c r="CG342" i="1"/>
  <c r="CF342" i="1"/>
  <c r="CG341" i="1"/>
  <c r="CF341" i="1"/>
  <c r="CG340" i="1"/>
  <c r="CF340" i="1"/>
  <c r="CG339" i="1"/>
  <c r="CF339" i="1"/>
  <c r="CG338" i="1"/>
  <c r="CF338" i="1"/>
  <c r="CG337" i="1"/>
  <c r="CF337" i="1"/>
  <c r="CG336" i="1"/>
  <c r="CF336" i="1"/>
  <c r="CG335" i="1"/>
  <c r="CF335" i="1"/>
  <c r="CG334" i="1"/>
  <c r="CF334" i="1"/>
  <c r="CG333" i="1"/>
  <c r="CF333" i="1"/>
  <c r="CG332" i="1"/>
  <c r="CF332" i="1"/>
  <c r="CG331" i="1"/>
  <c r="CF331" i="1"/>
  <c r="CG330" i="1"/>
  <c r="CF330" i="1"/>
  <c r="CG329" i="1"/>
  <c r="CF329" i="1"/>
  <c r="CG328" i="1"/>
  <c r="CF328" i="1"/>
  <c r="CG327" i="1"/>
  <c r="CF327" i="1"/>
  <c r="CG326" i="1"/>
  <c r="CF326" i="1"/>
  <c r="CG325" i="1"/>
  <c r="CF325" i="1"/>
  <c r="CG324" i="1"/>
  <c r="CF324" i="1"/>
  <c r="CG323" i="1"/>
  <c r="CF323" i="1"/>
  <c r="CG322" i="1"/>
  <c r="CF322" i="1"/>
  <c r="CG321" i="1"/>
  <c r="CF321" i="1"/>
  <c r="CG320" i="1"/>
  <c r="CF320" i="1"/>
  <c r="CG319" i="1"/>
  <c r="CF319" i="1"/>
  <c r="CG318" i="1"/>
  <c r="CF318" i="1"/>
  <c r="CG317" i="1"/>
  <c r="CF317" i="1"/>
  <c r="CG316" i="1"/>
  <c r="CF316" i="1"/>
  <c r="CG315" i="1"/>
  <c r="CF315" i="1"/>
  <c r="CG314" i="1"/>
  <c r="CF314" i="1"/>
  <c r="CG313" i="1"/>
  <c r="CF313" i="1"/>
  <c r="CG312" i="1"/>
  <c r="CF312" i="1"/>
  <c r="CG311" i="1"/>
  <c r="CF311" i="1"/>
  <c r="CG310" i="1"/>
  <c r="CF310" i="1"/>
  <c r="CG309" i="1"/>
  <c r="CF309" i="1"/>
  <c r="CG308" i="1"/>
  <c r="CF308" i="1"/>
  <c r="CG307" i="1"/>
  <c r="CF307" i="1"/>
  <c r="CG306" i="1"/>
  <c r="CF306" i="1"/>
  <c r="CG305" i="1"/>
  <c r="CF305" i="1"/>
  <c r="CG304" i="1"/>
  <c r="CF304" i="1"/>
  <c r="CG303" i="1"/>
  <c r="CF303" i="1"/>
  <c r="CG302" i="1"/>
  <c r="CF302" i="1"/>
  <c r="CG301" i="1"/>
  <c r="CF301" i="1"/>
  <c r="CG300" i="1"/>
  <c r="CF300" i="1"/>
  <c r="CG299" i="1"/>
  <c r="CF299" i="1"/>
  <c r="CG298" i="1"/>
  <c r="CF298" i="1"/>
  <c r="CG297" i="1"/>
  <c r="CF297" i="1"/>
  <c r="CG296" i="1"/>
  <c r="CF296" i="1"/>
  <c r="CG295" i="1"/>
  <c r="CF295" i="1"/>
  <c r="CG294" i="1"/>
  <c r="CF294" i="1"/>
  <c r="CG293" i="1"/>
  <c r="CF293" i="1"/>
  <c r="CG292" i="1"/>
  <c r="CF292" i="1"/>
  <c r="CG291" i="1"/>
  <c r="CF291" i="1"/>
  <c r="CG290" i="1"/>
  <c r="CF290" i="1"/>
  <c r="CG289" i="1"/>
  <c r="CF289" i="1"/>
  <c r="CG288" i="1"/>
  <c r="CF288" i="1"/>
  <c r="CG287" i="1"/>
  <c r="CF287" i="1"/>
  <c r="CG286" i="1"/>
  <c r="CF286" i="1"/>
  <c r="CG285" i="1"/>
  <c r="CF285" i="1"/>
  <c r="CG284" i="1"/>
  <c r="CF284" i="1"/>
  <c r="CG283" i="1"/>
  <c r="CF283" i="1"/>
  <c r="CG282" i="1"/>
  <c r="CF282" i="1"/>
  <c r="CG281" i="1"/>
  <c r="CF281" i="1"/>
  <c r="CG280" i="1"/>
  <c r="CF280" i="1"/>
  <c r="CG279" i="1"/>
  <c r="CF279" i="1"/>
  <c r="CG278" i="1"/>
  <c r="CF278" i="1"/>
  <c r="CG277" i="1"/>
  <c r="CF277" i="1"/>
  <c r="CG276" i="1"/>
  <c r="CF276" i="1"/>
  <c r="CG275" i="1"/>
  <c r="CF275" i="1"/>
  <c r="CG274" i="1"/>
  <c r="CF274" i="1"/>
  <c r="CG273" i="1"/>
  <c r="CF273" i="1"/>
  <c r="CG272" i="1"/>
  <c r="CF272" i="1"/>
  <c r="CG271" i="1"/>
  <c r="CF271" i="1"/>
  <c r="CG270" i="1"/>
  <c r="CF270" i="1"/>
  <c r="CG269" i="1"/>
  <c r="CF269" i="1"/>
  <c r="CG268" i="1"/>
  <c r="CF268" i="1"/>
  <c r="CG267" i="1"/>
  <c r="CF267" i="1"/>
  <c r="CG266" i="1"/>
  <c r="CF266" i="1"/>
  <c r="CG265" i="1"/>
  <c r="CF265" i="1"/>
  <c r="CG264" i="1"/>
  <c r="CF264" i="1"/>
  <c r="CG263" i="1"/>
  <c r="CF263" i="1"/>
  <c r="CG262" i="1"/>
  <c r="CF262" i="1"/>
  <c r="CG261" i="1"/>
  <c r="CF261" i="1"/>
  <c r="CG260" i="1"/>
  <c r="CF260" i="1"/>
  <c r="CG259" i="1"/>
  <c r="CF259" i="1"/>
  <c r="CG258" i="1"/>
  <c r="CF258" i="1"/>
  <c r="CG257" i="1"/>
  <c r="CF257" i="1"/>
  <c r="CG256" i="1"/>
  <c r="CF256" i="1"/>
  <c r="CG255" i="1"/>
  <c r="CF255" i="1"/>
  <c r="CG254" i="1"/>
  <c r="CF254" i="1"/>
  <c r="CG253" i="1"/>
  <c r="CF253" i="1"/>
  <c r="CG252" i="1"/>
  <c r="CF252" i="1"/>
  <c r="CG251" i="1"/>
  <c r="CF251" i="1"/>
  <c r="CG250" i="1"/>
  <c r="CF250" i="1"/>
  <c r="CG249" i="1"/>
  <c r="CF249" i="1"/>
  <c r="CG248" i="1"/>
  <c r="CF248" i="1"/>
  <c r="CG247" i="1"/>
  <c r="CF247" i="1"/>
  <c r="CG246" i="1"/>
  <c r="CF246" i="1"/>
  <c r="CG245" i="1"/>
  <c r="CF245" i="1"/>
  <c r="CG244" i="1"/>
  <c r="CF244" i="1"/>
  <c r="CG243" i="1"/>
  <c r="CF243" i="1"/>
  <c r="CG242" i="1"/>
  <c r="CF242" i="1"/>
  <c r="CG241" i="1"/>
  <c r="CF241" i="1"/>
  <c r="CG240" i="1"/>
  <c r="CF240" i="1"/>
  <c r="CG239" i="1"/>
  <c r="CF239" i="1"/>
  <c r="CG238" i="1"/>
  <c r="CF238" i="1"/>
  <c r="CG237" i="1"/>
  <c r="CF237" i="1"/>
  <c r="CG236" i="1"/>
  <c r="CF236" i="1"/>
  <c r="CG235" i="1"/>
  <c r="CF235" i="1"/>
  <c r="CG234" i="1"/>
  <c r="CF234" i="1"/>
  <c r="CG233" i="1"/>
  <c r="CF233" i="1"/>
  <c r="CG232" i="1"/>
  <c r="CF232" i="1"/>
  <c r="CG231" i="1"/>
  <c r="CF231" i="1"/>
  <c r="CG230" i="1"/>
  <c r="CF230" i="1"/>
  <c r="CG229" i="1"/>
  <c r="CF229" i="1"/>
  <c r="CG228" i="1"/>
  <c r="CF228" i="1"/>
  <c r="CG227" i="1"/>
  <c r="CF227" i="1"/>
  <c r="CG226" i="1"/>
  <c r="CF226" i="1"/>
  <c r="CG225" i="1"/>
  <c r="CF225" i="1"/>
  <c r="CG224" i="1"/>
  <c r="CF224" i="1"/>
  <c r="CG223" i="1"/>
  <c r="CF223" i="1"/>
  <c r="CG222" i="1"/>
  <c r="CF222" i="1"/>
  <c r="CG221" i="1"/>
  <c r="CF221" i="1"/>
  <c r="CG220" i="1"/>
  <c r="CF220" i="1"/>
  <c r="CG219" i="1"/>
  <c r="CF219" i="1"/>
  <c r="CG218" i="1"/>
  <c r="CF218" i="1"/>
  <c r="CG217" i="1"/>
  <c r="CF217" i="1"/>
  <c r="CG216" i="1"/>
  <c r="CF216" i="1"/>
  <c r="CG215" i="1"/>
  <c r="CF215" i="1"/>
  <c r="CG214" i="1"/>
  <c r="CF214" i="1"/>
  <c r="CG213" i="1"/>
  <c r="CF213" i="1"/>
  <c r="CG212" i="1"/>
  <c r="CF212" i="1"/>
  <c r="CG211" i="1"/>
  <c r="CF211" i="1"/>
  <c r="CG210" i="1"/>
  <c r="CF210" i="1"/>
  <c r="CG209" i="1"/>
  <c r="CF209" i="1"/>
  <c r="CG208" i="1"/>
  <c r="CF208" i="1"/>
  <c r="CG207" i="1"/>
  <c r="CF207" i="1"/>
  <c r="CG206" i="1"/>
  <c r="CF206" i="1"/>
  <c r="CG205" i="1"/>
  <c r="CF205" i="1"/>
  <c r="CG204" i="1"/>
  <c r="CF204" i="1"/>
  <c r="CG203" i="1"/>
  <c r="CF203" i="1"/>
  <c r="CG202" i="1"/>
  <c r="CF202" i="1"/>
  <c r="CG201" i="1"/>
  <c r="CF201" i="1"/>
  <c r="CG200" i="1"/>
  <c r="CF200" i="1"/>
  <c r="CG199" i="1"/>
  <c r="CF199" i="1"/>
  <c r="CG198" i="1"/>
  <c r="CF198" i="1"/>
  <c r="CG197" i="1"/>
  <c r="CF197" i="1"/>
  <c r="CG196" i="1"/>
  <c r="CF196" i="1"/>
  <c r="CG195" i="1"/>
  <c r="CF195" i="1"/>
  <c r="CG194" i="1"/>
  <c r="CF194" i="1"/>
  <c r="CG193" i="1"/>
  <c r="CF193" i="1"/>
  <c r="CG192" i="1"/>
  <c r="CF192" i="1"/>
  <c r="CG191" i="1"/>
  <c r="CF191" i="1"/>
  <c r="CG190" i="1"/>
  <c r="CF190" i="1"/>
  <c r="CG189" i="1"/>
  <c r="CF189" i="1"/>
  <c r="CG188" i="1"/>
  <c r="CF188" i="1"/>
  <c r="CG187" i="1"/>
  <c r="CF187" i="1"/>
  <c r="CG186" i="1"/>
  <c r="CF186" i="1"/>
  <c r="CG185" i="1"/>
  <c r="CF185" i="1"/>
  <c r="CG184" i="1"/>
  <c r="CF184" i="1"/>
  <c r="CG183" i="1"/>
  <c r="CF183" i="1"/>
  <c r="CG182" i="1"/>
  <c r="CF182" i="1"/>
  <c r="CG181" i="1"/>
  <c r="CF181" i="1"/>
  <c r="CG180" i="1"/>
  <c r="CF180" i="1"/>
  <c r="CG179" i="1"/>
  <c r="CF179" i="1"/>
  <c r="CG178" i="1"/>
  <c r="CF178" i="1"/>
  <c r="CG177" i="1"/>
  <c r="CF177" i="1"/>
  <c r="CG176" i="1"/>
  <c r="CF176" i="1"/>
  <c r="CG175" i="1"/>
  <c r="CF175" i="1"/>
  <c r="CG174" i="1"/>
  <c r="CF174" i="1"/>
  <c r="CG173" i="1"/>
  <c r="CF173" i="1"/>
  <c r="CG172" i="1"/>
  <c r="CF172" i="1"/>
  <c r="CG171" i="1"/>
  <c r="CF171" i="1"/>
  <c r="CG170" i="1"/>
  <c r="CF170" i="1"/>
  <c r="CG169" i="1"/>
  <c r="CF169" i="1"/>
  <c r="CG168" i="1"/>
  <c r="CF168" i="1"/>
  <c r="CG167" i="1"/>
  <c r="CF167" i="1"/>
  <c r="CG166" i="1"/>
  <c r="CF166" i="1"/>
  <c r="CG165" i="1"/>
  <c r="CF165" i="1"/>
  <c r="CG164" i="1"/>
  <c r="CF164" i="1"/>
  <c r="CG163" i="1"/>
  <c r="CF163" i="1"/>
  <c r="CG162" i="1"/>
  <c r="CF162" i="1"/>
  <c r="CG161" i="1"/>
  <c r="CF161" i="1"/>
  <c r="CG160" i="1"/>
  <c r="CF160" i="1"/>
  <c r="CG159" i="1"/>
  <c r="CF159" i="1"/>
  <c r="CG158" i="1"/>
  <c r="CF158" i="1"/>
  <c r="CG157" i="1"/>
  <c r="CF157" i="1"/>
  <c r="CG156" i="1"/>
  <c r="CF156" i="1"/>
  <c r="CG155" i="1"/>
  <c r="CF155" i="1"/>
  <c r="CG154" i="1"/>
  <c r="CF154" i="1"/>
  <c r="CG153" i="1"/>
  <c r="CF153" i="1"/>
  <c r="CG152" i="1"/>
  <c r="CF152" i="1"/>
  <c r="CG151" i="1"/>
  <c r="CF151" i="1"/>
  <c r="CG150" i="1"/>
  <c r="CF150" i="1"/>
  <c r="CG149" i="1"/>
  <c r="CF149" i="1"/>
  <c r="CG148" i="1"/>
  <c r="CF148" i="1"/>
  <c r="CG147" i="1"/>
  <c r="CF147" i="1"/>
  <c r="CG146" i="1"/>
  <c r="CF146" i="1"/>
  <c r="CG145" i="1"/>
  <c r="CF145" i="1"/>
  <c r="CG144" i="1"/>
  <c r="CF144" i="1"/>
  <c r="CG143" i="1"/>
  <c r="CF143" i="1"/>
  <c r="CG142" i="1"/>
  <c r="CF142" i="1"/>
  <c r="CG141" i="1"/>
  <c r="CF141" i="1"/>
  <c r="CG140" i="1"/>
  <c r="CF140" i="1"/>
  <c r="CG139" i="1"/>
  <c r="CF139" i="1"/>
  <c r="CG138" i="1"/>
  <c r="CF138" i="1"/>
  <c r="CG137" i="1"/>
  <c r="CF137" i="1"/>
  <c r="CG136" i="1"/>
  <c r="CF136" i="1"/>
  <c r="CG135" i="1"/>
  <c r="CF135" i="1"/>
  <c r="CG134" i="1"/>
  <c r="CF134" i="1"/>
  <c r="CG133" i="1"/>
  <c r="CF133" i="1"/>
  <c r="CG132" i="1"/>
  <c r="CF132" i="1"/>
  <c r="CG131" i="1"/>
  <c r="CF131" i="1"/>
  <c r="CG130" i="1"/>
  <c r="CF130" i="1"/>
  <c r="CG129" i="1"/>
  <c r="CF129" i="1"/>
  <c r="CG128" i="1"/>
  <c r="CF128" i="1"/>
  <c r="CG127" i="1"/>
  <c r="CF127" i="1"/>
  <c r="CG126" i="1"/>
  <c r="CF126" i="1"/>
  <c r="CG125" i="1"/>
  <c r="CF125" i="1"/>
  <c r="CG124" i="1"/>
  <c r="CF124" i="1"/>
  <c r="CG123" i="1"/>
  <c r="CF123" i="1"/>
  <c r="CG122" i="1"/>
  <c r="CF122" i="1"/>
  <c r="CG121" i="1"/>
  <c r="CF121" i="1"/>
  <c r="CG120" i="1"/>
  <c r="CF120" i="1"/>
  <c r="CG119" i="1"/>
  <c r="CF119" i="1"/>
  <c r="CG118" i="1"/>
  <c r="CF118" i="1"/>
  <c r="CG117" i="1"/>
  <c r="CF117" i="1"/>
  <c r="CG116" i="1"/>
  <c r="CF116" i="1"/>
  <c r="CG115" i="1"/>
  <c r="CF115" i="1"/>
  <c r="CG114" i="1"/>
  <c r="CF114" i="1"/>
  <c r="CG113" i="1"/>
  <c r="CF113" i="1"/>
  <c r="CG112" i="1"/>
  <c r="CF112" i="1"/>
  <c r="CG111" i="1"/>
  <c r="CF111" i="1"/>
  <c r="CG110" i="1"/>
  <c r="CF110" i="1"/>
  <c r="CG109" i="1"/>
  <c r="CF109" i="1"/>
  <c r="CG108" i="1"/>
  <c r="CF108" i="1"/>
  <c r="CG107" i="1"/>
  <c r="CF107" i="1"/>
  <c r="CG106" i="1"/>
  <c r="CF106" i="1"/>
  <c r="CG105" i="1"/>
  <c r="CF105" i="1"/>
  <c r="CG104" i="1"/>
  <c r="CF104" i="1"/>
  <c r="CG103" i="1"/>
  <c r="CF103" i="1"/>
  <c r="CG102" i="1"/>
  <c r="CF102" i="1"/>
  <c r="CG101" i="1"/>
  <c r="CF101" i="1"/>
  <c r="CG100" i="1"/>
  <c r="CF100" i="1"/>
  <c r="CG99" i="1"/>
  <c r="CF99" i="1"/>
  <c r="CG98" i="1"/>
  <c r="CF98" i="1"/>
  <c r="CG97" i="1"/>
  <c r="CF97" i="1"/>
  <c r="CG96" i="1"/>
  <c r="CF96" i="1"/>
  <c r="CG95" i="1"/>
  <c r="CF95" i="1"/>
  <c r="CG94" i="1"/>
  <c r="CF94" i="1"/>
  <c r="CG93" i="1"/>
  <c r="CF93" i="1"/>
  <c r="CG92" i="1"/>
  <c r="CF92" i="1"/>
  <c r="CG91" i="1"/>
  <c r="CF91" i="1"/>
  <c r="CG90" i="1"/>
  <c r="CF90" i="1"/>
  <c r="CG89" i="1"/>
  <c r="CF89" i="1"/>
  <c r="CG88" i="1"/>
  <c r="CF88" i="1"/>
  <c r="CG87" i="1"/>
  <c r="CF87" i="1"/>
  <c r="CG86" i="1"/>
  <c r="CF86" i="1"/>
  <c r="CG85" i="1"/>
  <c r="CF85" i="1"/>
  <c r="CG84" i="1"/>
  <c r="CF84" i="1"/>
  <c r="CG83" i="1"/>
  <c r="CF83" i="1"/>
  <c r="CG82" i="1"/>
  <c r="CF82" i="1"/>
  <c r="CG81" i="1"/>
  <c r="CF81" i="1"/>
  <c r="CG80" i="1"/>
  <c r="CF80" i="1"/>
  <c r="CG79" i="1"/>
  <c r="CF79" i="1"/>
  <c r="CG78" i="1"/>
  <c r="CF78" i="1"/>
  <c r="CG77" i="1"/>
  <c r="CF77" i="1"/>
  <c r="CG76" i="1"/>
  <c r="CF76" i="1"/>
  <c r="CG75" i="1"/>
  <c r="CF75" i="1"/>
  <c r="CG74" i="1"/>
  <c r="CF74" i="1"/>
  <c r="CG73" i="1"/>
  <c r="CF73" i="1"/>
  <c r="CG72" i="1"/>
  <c r="CF72" i="1"/>
  <c r="CG71" i="1"/>
  <c r="CF71" i="1"/>
  <c r="CG70" i="1"/>
  <c r="CF70" i="1"/>
  <c r="CG69" i="1"/>
  <c r="CF69" i="1"/>
  <c r="CG68" i="1"/>
  <c r="CF68" i="1"/>
  <c r="CG67" i="1"/>
  <c r="CF67" i="1"/>
  <c r="CG66" i="1"/>
  <c r="CF66" i="1"/>
  <c r="CG65" i="1"/>
  <c r="CF65" i="1"/>
  <c r="CG64" i="1"/>
  <c r="CF64" i="1"/>
  <c r="CG63" i="1"/>
  <c r="CF63" i="1"/>
  <c r="CG62" i="1"/>
  <c r="CF62" i="1"/>
  <c r="CG61" i="1"/>
  <c r="CF61" i="1"/>
  <c r="CG60" i="1"/>
  <c r="CF60" i="1"/>
  <c r="CG59" i="1"/>
  <c r="CF59" i="1"/>
  <c r="CG58" i="1"/>
  <c r="CF58" i="1"/>
  <c r="CG57" i="1"/>
  <c r="CF57" i="1"/>
  <c r="CG56" i="1"/>
  <c r="CF56" i="1"/>
  <c r="CG55" i="1"/>
  <c r="CF55" i="1"/>
  <c r="CG54" i="1"/>
  <c r="CF54" i="1"/>
  <c r="CG53" i="1"/>
  <c r="CF53" i="1"/>
  <c r="CG52" i="1"/>
  <c r="CF52" i="1"/>
  <c r="CG51" i="1"/>
  <c r="CF51" i="1"/>
  <c r="CG50" i="1"/>
  <c r="CF50" i="1"/>
  <c r="CG49" i="1"/>
  <c r="CF49" i="1"/>
  <c r="CG48" i="1"/>
  <c r="CF48" i="1"/>
  <c r="CG47" i="1"/>
  <c r="CF47" i="1"/>
  <c r="CG46" i="1"/>
  <c r="CF46" i="1"/>
  <c r="CG45" i="1"/>
  <c r="CF45" i="1"/>
  <c r="CG44" i="1"/>
  <c r="CF44" i="1"/>
  <c r="CG43" i="1"/>
  <c r="CF43" i="1"/>
  <c r="CG42" i="1"/>
  <c r="CF42" i="1"/>
  <c r="CG41" i="1"/>
  <c r="CF41" i="1"/>
  <c r="CG40" i="1"/>
  <c r="CF40" i="1"/>
  <c r="CG39" i="1"/>
  <c r="CF39" i="1"/>
  <c r="CG38" i="1"/>
  <c r="CF38" i="1"/>
  <c r="CG37" i="1"/>
  <c r="CF37" i="1"/>
  <c r="CG36" i="1"/>
  <c r="CF36" i="1"/>
  <c r="CG35" i="1"/>
  <c r="CF35" i="1"/>
  <c r="CG34" i="1"/>
  <c r="CF34" i="1"/>
  <c r="CG33" i="1"/>
  <c r="CF33" i="1"/>
  <c r="CG32" i="1"/>
  <c r="CF32" i="1"/>
  <c r="CG31" i="1"/>
  <c r="CF31" i="1"/>
  <c r="CG30" i="1"/>
  <c r="CF30" i="1"/>
  <c r="CG29" i="1"/>
  <c r="CF29" i="1"/>
  <c r="CG28" i="1"/>
  <c r="CF28" i="1"/>
  <c r="CG27" i="1"/>
  <c r="CF27" i="1"/>
  <c r="CG26" i="1"/>
  <c r="CF26" i="1"/>
  <c r="CG25" i="1"/>
  <c r="CF25" i="1"/>
  <c r="CG24" i="1"/>
  <c r="CF24" i="1"/>
  <c r="CG23" i="1"/>
  <c r="CF23" i="1"/>
  <c r="CG22" i="1"/>
  <c r="CF22" i="1"/>
  <c r="CG21" i="1"/>
  <c r="CF21" i="1"/>
  <c r="CG20" i="1"/>
  <c r="CF20" i="1"/>
  <c r="CG19" i="1"/>
  <c r="CF19" i="1"/>
  <c r="CG18" i="1"/>
  <c r="CF18" i="1"/>
  <c r="CG17" i="1"/>
  <c r="CF17" i="1"/>
  <c r="CG16" i="1"/>
  <c r="CF16" i="1"/>
  <c r="CG15" i="1"/>
  <c r="CF15" i="1"/>
  <c r="CG14" i="1"/>
  <c r="CF14" i="1"/>
  <c r="CG13" i="1"/>
  <c r="CF13" i="1"/>
  <c r="CG12" i="1"/>
  <c r="CF12" i="1"/>
  <c r="CG11" i="1"/>
  <c r="CF11" i="1"/>
  <c r="CG10" i="1"/>
  <c r="CF10" i="1"/>
  <c r="CG9" i="1"/>
  <c r="CF9" i="1"/>
  <c r="CD353" i="1"/>
  <c r="CC353" i="1"/>
  <c r="CD352" i="1"/>
  <c r="CC352" i="1"/>
  <c r="CD351" i="1"/>
  <c r="CC351" i="1"/>
  <c r="CD350" i="1"/>
  <c r="CC350" i="1"/>
  <c r="CD349" i="1"/>
  <c r="CC349" i="1"/>
  <c r="CD348" i="1"/>
  <c r="CC348" i="1"/>
  <c r="CD347" i="1"/>
  <c r="CC347" i="1"/>
  <c r="CD346" i="1"/>
  <c r="CC346" i="1"/>
  <c r="CD345" i="1"/>
  <c r="CC345" i="1"/>
  <c r="CD344" i="1"/>
  <c r="CC344" i="1"/>
  <c r="CD343" i="1"/>
  <c r="CC343" i="1"/>
  <c r="CD342" i="1"/>
  <c r="CC342" i="1"/>
  <c r="CD341" i="1"/>
  <c r="CC341" i="1"/>
  <c r="CD340" i="1"/>
  <c r="CC340" i="1"/>
  <c r="CD339" i="1"/>
  <c r="CC339" i="1"/>
  <c r="CD338" i="1"/>
  <c r="CC338" i="1"/>
  <c r="CD337" i="1"/>
  <c r="CC337" i="1"/>
  <c r="CD336" i="1"/>
  <c r="CC336" i="1"/>
  <c r="CD335" i="1"/>
  <c r="CC335" i="1"/>
  <c r="CD334" i="1"/>
  <c r="CC334" i="1"/>
  <c r="CD333" i="1"/>
  <c r="CC333" i="1"/>
  <c r="CD332" i="1"/>
  <c r="CC332" i="1"/>
  <c r="CD331" i="1"/>
  <c r="CC331" i="1"/>
  <c r="CD330" i="1"/>
  <c r="CC330" i="1"/>
  <c r="CD329" i="1"/>
  <c r="CC329" i="1"/>
  <c r="CD328" i="1"/>
  <c r="CC328" i="1"/>
  <c r="CD327" i="1"/>
  <c r="CC327" i="1"/>
  <c r="CD326" i="1"/>
  <c r="CC326" i="1"/>
  <c r="CD325" i="1"/>
  <c r="CC325" i="1"/>
  <c r="CD324" i="1"/>
  <c r="CC324" i="1"/>
  <c r="CD323" i="1"/>
  <c r="CC323" i="1"/>
  <c r="CD322" i="1"/>
  <c r="CC322" i="1"/>
  <c r="CD321" i="1"/>
  <c r="CC321" i="1"/>
  <c r="CD320" i="1"/>
  <c r="CC320" i="1"/>
  <c r="CD319" i="1"/>
  <c r="CC319" i="1"/>
  <c r="CD318" i="1"/>
  <c r="CC318" i="1"/>
  <c r="CD317" i="1"/>
  <c r="CC317" i="1"/>
  <c r="CD316" i="1"/>
  <c r="CC316" i="1"/>
  <c r="CD315" i="1"/>
  <c r="CC315" i="1"/>
  <c r="CD314" i="1"/>
  <c r="CC314" i="1"/>
  <c r="CD313" i="1"/>
  <c r="CC313" i="1"/>
  <c r="CD312" i="1"/>
  <c r="CC312" i="1"/>
  <c r="CD311" i="1"/>
  <c r="CC311" i="1"/>
  <c r="CD310" i="1"/>
  <c r="CC310" i="1"/>
  <c r="CD309" i="1"/>
  <c r="CC309" i="1"/>
  <c r="CD308" i="1"/>
  <c r="CC308" i="1"/>
  <c r="CD307" i="1"/>
  <c r="CC307" i="1"/>
  <c r="CD306" i="1"/>
  <c r="CC306" i="1"/>
  <c r="CD305" i="1"/>
  <c r="CC305" i="1"/>
  <c r="CD304" i="1"/>
  <c r="CC304" i="1"/>
  <c r="CD303" i="1"/>
  <c r="CC303" i="1"/>
  <c r="CD302" i="1"/>
  <c r="CC302" i="1"/>
  <c r="CD301" i="1"/>
  <c r="CC301" i="1"/>
  <c r="CD300" i="1"/>
  <c r="CC300" i="1"/>
  <c r="CD299" i="1"/>
  <c r="CC299" i="1"/>
  <c r="CD298" i="1"/>
  <c r="CC298" i="1"/>
  <c r="CD297" i="1"/>
  <c r="CC297" i="1"/>
  <c r="CD296" i="1"/>
  <c r="CC296" i="1"/>
  <c r="CD295" i="1"/>
  <c r="CC295" i="1"/>
  <c r="CD294" i="1"/>
  <c r="CC294" i="1"/>
  <c r="CD293" i="1"/>
  <c r="CC293" i="1"/>
  <c r="CD292" i="1"/>
  <c r="CC292" i="1"/>
  <c r="CD291" i="1"/>
  <c r="CC291" i="1"/>
  <c r="CD290" i="1"/>
  <c r="CC290" i="1"/>
  <c r="CD289" i="1"/>
  <c r="CC289" i="1"/>
  <c r="CD288" i="1"/>
  <c r="CC288" i="1"/>
  <c r="CD287" i="1"/>
  <c r="CC287" i="1"/>
  <c r="CD286" i="1"/>
  <c r="CC286" i="1"/>
  <c r="CD285" i="1"/>
  <c r="CC285" i="1"/>
  <c r="CD284" i="1"/>
  <c r="CC284" i="1"/>
  <c r="CD283" i="1"/>
  <c r="CC283" i="1"/>
  <c r="CD282" i="1"/>
  <c r="CC282" i="1"/>
  <c r="CD281" i="1"/>
  <c r="CC281" i="1"/>
  <c r="CD280" i="1"/>
  <c r="CC280" i="1"/>
  <c r="CD279" i="1"/>
  <c r="CC279" i="1"/>
  <c r="CD278" i="1"/>
  <c r="CC278" i="1"/>
  <c r="CD277" i="1"/>
  <c r="CC277" i="1"/>
  <c r="CD276" i="1"/>
  <c r="CC276" i="1"/>
  <c r="CD275" i="1"/>
  <c r="CC275" i="1"/>
  <c r="CD274" i="1"/>
  <c r="CC274" i="1"/>
  <c r="CD273" i="1"/>
  <c r="CC273" i="1"/>
  <c r="CD272" i="1"/>
  <c r="CC272" i="1"/>
  <c r="CD271" i="1"/>
  <c r="CC271" i="1"/>
  <c r="CD270" i="1"/>
  <c r="CC270" i="1"/>
  <c r="CD269" i="1"/>
  <c r="CC269" i="1"/>
  <c r="CD268" i="1"/>
  <c r="CC268" i="1"/>
  <c r="CD267" i="1"/>
  <c r="CC267" i="1"/>
  <c r="CD266" i="1"/>
  <c r="CC266" i="1"/>
  <c r="CD265" i="1"/>
  <c r="CC265" i="1"/>
  <c r="CD264" i="1"/>
  <c r="CC264" i="1"/>
  <c r="CD263" i="1"/>
  <c r="CC263" i="1"/>
  <c r="CD262" i="1"/>
  <c r="CC262" i="1"/>
  <c r="CD261" i="1"/>
  <c r="CC261" i="1"/>
  <c r="CD260" i="1"/>
  <c r="CC260" i="1"/>
  <c r="CD259" i="1"/>
  <c r="CC259" i="1"/>
  <c r="CD258" i="1"/>
  <c r="CC258" i="1"/>
  <c r="CD257" i="1"/>
  <c r="CC257" i="1"/>
  <c r="CD256" i="1"/>
  <c r="CC256" i="1"/>
  <c r="CD255" i="1"/>
  <c r="CC255" i="1"/>
  <c r="CD254" i="1"/>
  <c r="CC254" i="1"/>
  <c r="CD253" i="1"/>
  <c r="CC253" i="1"/>
  <c r="CD252" i="1"/>
  <c r="CC252" i="1"/>
  <c r="CD251" i="1"/>
  <c r="CC251" i="1"/>
  <c r="CD250" i="1"/>
  <c r="CC250" i="1"/>
  <c r="CD249" i="1"/>
  <c r="CC249" i="1"/>
  <c r="CD248" i="1"/>
  <c r="CC248" i="1"/>
  <c r="CD247" i="1"/>
  <c r="CC247" i="1"/>
  <c r="CD246" i="1"/>
  <c r="CC246" i="1"/>
  <c r="CD245" i="1"/>
  <c r="CC245" i="1"/>
  <c r="CD244" i="1"/>
  <c r="CC244" i="1"/>
  <c r="CD243" i="1"/>
  <c r="CC243" i="1"/>
  <c r="CD242" i="1"/>
  <c r="CC242" i="1"/>
  <c r="CD241" i="1"/>
  <c r="CC241" i="1"/>
  <c r="CD240" i="1"/>
  <c r="CC240" i="1"/>
  <c r="CD239" i="1"/>
  <c r="CC239" i="1"/>
  <c r="CD238" i="1"/>
  <c r="CC238" i="1"/>
  <c r="CD237" i="1"/>
  <c r="CC237" i="1"/>
  <c r="CD236" i="1"/>
  <c r="CC236" i="1"/>
  <c r="CD235" i="1"/>
  <c r="CC235" i="1"/>
  <c r="CD234" i="1"/>
  <c r="CC234" i="1"/>
  <c r="CD233" i="1"/>
  <c r="CC233" i="1"/>
  <c r="CD232" i="1"/>
  <c r="CC232" i="1"/>
  <c r="CD231" i="1"/>
  <c r="CC231" i="1"/>
  <c r="CD230" i="1"/>
  <c r="CC230" i="1"/>
  <c r="CD229" i="1"/>
  <c r="CC229" i="1"/>
  <c r="CD228" i="1"/>
  <c r="CC228" i="1"/>
  <c r="CD227" i="1"/>
  <c r="CC227" i="1"/>
  <c r="CD226" i="1"/>
  <c r="CC226" i="1"/>
  <c r="CD225" i="1"/>
  <c r="CC225" i="1"/>
  <c r="CD224" i="1"/>
  <c r="CC224" i="1"/>
  <c r="CD223" i="1"/>
  <c r="CC223" i="1"/>
  <c r="CD222" i="1"/>
  <c r="CC222" i="1"/>
  <c r="CD221" i="1"/>
  <c r="CC221" i="1"/>
  <c r="CD220" i="1"/>
  <c r="CC220" i="1"/>
  <c r="CD219" i="1"/>
  <c r="CC219" i="1"/>
  <c r="CD218" i="1"/>
  <c r="CC218" i="1"/>
  <c r="CD217" i="1"/>
  <c r="CC217" i="1"/>
  <c r="CD216" i="1"/>
  <c r="CC216" i="1"/>
  <c r="CD215" i="1"/>
  <c r="CC215" i="1"/>
  <c r="CD214" i="1"/>
  <c r="CC214" i="1"/>
  <c r="CD213" i="1"/>
  <c r="CC213" i="1"/>
  <c r="CD212" i="1"/>
  <c r="CC212" i="1"/>
  <c r="CD211" i="1"/>
  <c r="CC211" i="1"/>
  <c r="CD210" i="1"/>
  <c r="CC210" i="1"/>
  <c r="CD209" i="1"/>
  <c r="CC209" i="1"/>
  <c r="CD208" i="1"/>
  <c r="CC208" i="1"/>
  <c r="CD207" i="1"/>
  <c r="CC207" i="1"/>
  <c r="CD206" i="1"/>
  <c r="CC206" i="1"/>
  <c r="CD205" i="1"/>
  <c r="CC205" i="1"/>
  <c r="CD204" i="1"/>
  <c r="CC204" i="1"/>
  <c r="CD203" i="1"/>
  <c r="CC203" i="1"/>
  <c r="CD202" i="1"/>
  <c r="CC202" i="1"/>
  <c r="CD201" i="1"/>
  <c r="CC201" i="1"/>
  <c r="CD200" i="1"/>
  <c r="CC200" i="1"/>
  <c r="CD199" i="1"/>
  <c r="CC199" i="1"/>
  <c r="CD198" i="1"/>
  <c r="CC198" i="1"/>
  <c r="CD197" i="1"/>
  <c r="CC197" i="1"/>
  <c r="CD196" i="1"/>
  <c r="CC196" i="1"/>
  <c r="CD195" i="1"/>
  <c r="CC195" i="1"/>
  <c r="CD194" i="1"/>
  <c r="CC194" i="1"/>
  <c r="CD193" i="1"/>
  <c r="CC193" i="1"/>
  <c r="CD192" i="1"/>
  <c r="CC192" i="1"/>
  <c r="CD191" i="1"/>
  <c r="CC191" i="1"/>
  <c r="CD190" i="1"/>
  <c r="CC190" i="1"/>
  <c r="CD189" i="1"/>
  <c r="CC189" i="1"/>
  <c r="CD188" i="1"/>
  <c r="CC188" i="1"/>
  <c r="CD187" i="1"/>
  <c r="CC187" i="1"/>
  <c r="CD186" i="1"/>
  <c r="CC186" i="1"/>
  <c r="CD185" i="1"/>
  <c r="CC185" i="1"/>
  <c r="CD184" i="1"/>
  <c r="CC184" i="1"/>
  <c r="CD183" i="1"/>
  <c r="CC183" i="1"/>
  <c r="CD182" i="1"/>
  <c r="CC182" i="1"/>
  <c r="CD181" i="1"/>
  <c r="CC181" i="1"/>
  <c r="CD180" i="1"/>
  <c r="CC180" i="1"/>
  <c r="CD179" i="1"/>
  <c r="CC179" i="1"/>
  <c r="CD178" i="1"/>
  <c r="CC178" i="1"/>
  <c r="CD177" i="1"/>
  <c r="CC177" i="1"/>
  <c r="CD176" i="1"/>
  <c r="CC176" i="1"/>
  <c r="CD175" i="1"/>
  <c r="CC175" i="1"/>
  <c r="CD174" i="1"/>
  <c r="CC174" i="1"/>
  <c r="CD173" i="1"/>
  <c r="CC173" i="1"/>
  <c r="CD172" i="1"/>
  <c r="CC172" i="1"/>
  <c r="CD171" i="1"/>
  <c r="CC171" i="1"/>
  <c r="CD170" i="1"/>
  <c r="CC170" i="1"/>
  <c r="CD169" i="1"/>
  <c r="CC169" i="1"/>
  <c r="CD168" i="1"/>
  <c r="CC168" i="1"/>
  <c r="CD167" i="1"/>
  <c r="CC167" i="1"/>
  <c r="CD166" i="1"/>
  <c r="CC166" i="1"/>
  <c r="CD165" i="1"/>
  <c r="CC165" i="1"/>
  <c r="CD164" i="1"/>
  <c r="CC164" i="1"/>
  <c r="CD163" i="1"/>
  <c r="CC163" i="1"/>
  <c r="CD162" i="1"/>
  <c r="CC162" i="1"/>
  <c r="CD161" i="1"/>
  <c r="CC161" i="1"/>
  <c r="CD160" i="1"/>
  <c r="CC160" i="1"/>
  <c r="CD159" i="1"/>
  <c r="CC159" i="1"/>
  <c r="CD158" i="1"/>
  <c r="CC158" i="1"/>
  <c r="CD157" i="1"/>
  <c r="CC157" i="1"/>
  <c r="CD156" i="1"/>
  <c r="CC156" i="1"/>
  <c r="CD155" i="1"/>
  <c r="CC155" i="1"/>
  <c r="CD154" i="1"/>
  <c r="CC154" i="1"/>
  <c r="CD153" i="1"/>
  <c r="CC153" i="1"/>
  <c r="CD152" i="1"/>
  <c r="CC152" i="1"/>
  <c r="CD151" i="1"/>
  <c r="CC151" i="1"/>
  <c r="CD150" i="1"/>
  <c r="CC150" i="1"/>
  <c r="CD149" i="1"/>
  <c r="CC149" i="1"/>
  <c r="CD148" i="1"/>
  <c r="CC148" i="1"/>
  <c r="CD147" i="1"/>
  <c r="CC147" i="1"/>
  <c r="CD146" i="1"/>
  <c r="CC146" i="1"/>
  <c r="CD145" i="1"/>
  <c r="CC145" i="1"/>
  <c r="CD144" i="1"/>
  <c r="CC144" i="1"/>
  <c r="CD143" i="1"/>
  <c r="CC143" i="1"/>
  <c r="CD142" i="1"/>
  <c r="CC142" i="1"/>
  <c r="CD141" i="1"/>
  <c r="CC141" i="1"/>
  <c r="CD140" i="1"/>
  <c r="CC140" i="1"/>
  <c r="CD139" i="1"/>
  <c r="CC139" i="1"/>
  <c r="CD138" i="1"/>
  <c r="CC138" i="1"/>
  <c r="CD137" i="1"/>
  <c r="CC137" i="1"/>
  <c r="CD136" i="1"/>
  <c r="CC136" i="1"/>
  <c r="CD135" i="1"/>
  <c r="CC135" i="1"/>
  <c r="CD134" i="1"/>
  <c r="CC134" i="1"/>
  <c r="CD133" i="1"/>
  <c r="CC133" i="1"/>
  <c r="CD132" i="1"/>
  <c r="CC132" i="1"/>
  <c r="CD131" i="1"/>
  <c r="CC131" i="1"/>
  <c r="CD130" i="1"/>
  <c r="CC130" i="1"/>
  <c r="CD129" i="1"/>
  <c r="CC129" i="1"/>
  <c r="CD128" i="1"/>
  <c r="CC128" i="1"/>
  <c r="CD127" i="1"/>
  <c r="CC127" i="1"/>
  <c r="CD126" i="1"/>
  <c r="CC126" i="1"/>
  <c r="CD125" i="1"/>
  <c r="CC125" i="1"/>
  <c r="CD124" i="1"/>
  <c r="CC124" i="1"/>
  <c r="CD123" i="1"/>
  <c r="CC123" i="1"/>
  <c r="CD122" i="1"/>
  <c r="CC122" i="1"/>
  <c r="CD121" i="1"/>
  <c r="CC121" i="1"/>
  <c r="CD120" i="1"/>
  <c r="CC120" i="1"/>
  <c r="CD119" i="1"/>
  <c r="CC119" i="1"/>
  <c r="CD118" i="1"/>
  <c r="CC118" i="1"/>
  <c r="CD117" i="1"/>
  <c r="CC117" i="1"/>
  <c r="CD116" i="1"/>
  <c r="CC116" i="1"/>
  <c r="CD115" i="1"/>
  <c r="CC115" i="1"/>
  <c r="CD114" i="1"/>
  <c r="CC114" i="1"/>
  <c r="CD113" i="1"/>
  <c r="CC113" i="1"/>
  <c r="CD112" i="1"/>
  <c r="CC112" i="1"/>
  <c r="CD111" i="1"/>
  <c r="CC111" i="1"/>
  <c r="CD110" i="1"/>
  <c r="CC110" i="1"/>
  <c r="CD109" i="1"/>
  <c r="CC109" i="1"/>
  <c r="CD108" i="1"/>
  <c r="CC108" i="1"/>
  <c r="CD107" i="1"/>
  <c r="CC107" i="1"/>
  <c r="CD106" i="1"/>
  <c r="CC106" i="1"/>
  <c r="CD105" i="1"/>
  <c r="CC105" i="1"/>
  <c r="CD104" i="1"/>
  <c r="CC104" i="1"/>
  <c r="CD103" i="1"/>
  <c r="CC103" i="1"/>
  <c r="CD102" i="1"/>
  <c r="CC102" i="1"/>
  <c r="CD101" i="1"/>
  <c r="CC101" i="1"/>
  <c r="CD100" i="1"/>
  <c r="CC100" i="1"/>
  <c r="CD99" i="1"/>
  <c r="CC99" i="1"/>
  <c r="CD98" i="1"/>
  <c r="CC98" i="1"/>
  <c r="CD97" i="1"/>
  <c r="CC97" i="1"/>
  <c r="CD96" i="1"/>
  <c r="CC96" i="1"/>
  <c r="CD95" i="1"/>
  <c r="CC95" i="1"/>
  <c r="CD94" i="1"/>
  <c r="CC94" i="1"/>
  <c r="CD93" i="1"/>
  <c r="CC93" i="1"/>
  <c r="CD92" i="1"/>
  <c r="CC92" i="1"/>
  <c r="CD91" i="1"/>
  <c r="CC91" i="1"/>
  <c r="CD90" i="1"/>
  <c r="CC90" i="1"/>
  <c r="CD89" i="1"/>
  <c r="CC89" i="1"/>
  <c r="CD88" i="1"/>
  <c r="CC88" i="1"/>
  <c r="CD87" i="1"/>
  <c r="CC87" i="1"/>
  <c r="CD86" i="1"/>
  <c r="CC86" i="1"/>
  <c r="CD85" i="1"/>
  <c r="CC85" i="1"/>
  <c r="CD84" i="1"/>
  <c r="CC84" i="1"/>
  <c r="CD83" i="1"/>
  <c r="CC83" i="1"/>
  <c r="CD82" i="1"/>
  <c r="CC82" i="1"/>
  <c r="CD81" i="1"/>
  <c r="CC81" i="1"/>
  <c r="CD80" i="1"/>
  <c r="CC80" i="1"/>
  <c r="CD79" i="1"/>
  <c r="CC79" i="1"/>
  <c r="CD78" i="1"/>
  <c r="CC78" i="1"/>
  <c r="CD77" i="1"/>
  <c r="CC77" i="1"/>
  <c r="CD76" i="1"/>
  <c r="CC76" i="1"/>
  <c r="CD75" i="1"/>
  <c r="CC75" i="1"/>
  <c r="CD74" i="1"/>
  <c r="CC74" i="1"/>
  <c r="CD73" i="1"/>
  <c r="CC73" i="1"/>
  <c r="CD72" i="1"/>
  <c r="CC72" i="1"/>
  <c r="CD71" i="1"/>
  <c r="CC71" i="1"/>
  <c r="CD70" i="1"/>
  <c r="CC70" i="1"/>
  <c r="CD69" i="1"/>
  <c r="CC69" i="1"/>
  <c r="CD68" i="1"/>
  <c r="CC68" i="1"/>
  <c r="CD67" i="1"/>
  <c r="CC67" i="1"/>
  <c r="CD66" i="1"/>
  <c r="CC66" i="1"/>
  <c r="CD65" i="1"/>
  <c r="CC65" i="1"/>
  <c r="CD64" i="1"/>
  <c r="CC64" i="1"/>
  <c r="CD63" i="1"/>
  <c r="CC63" i="1"/>
  <c r="CD62" i="1"/>
  <c r="CC62" i="1"/>
  <c r="CD61" i="1"/>
  <c r="CC61" i="1"/>
  <c r="CD60" i="1"/>
  <c r="CC60" i="1"/>
  <c r="CD59" i="1"/>
  <c r="CC59" i="1"/>
  <c r="CD58" i="1"/>
  <c r="CC58" i="1"/>
  <c r="CD57" i="1"/>
  <c r="CC57" i="1"/>
  <c r="CD56" i="1"/>
  <c r="CC56" i="1"/>
  <c r="CD55" i="1"/>
  <c r="CC55" i="1"/>
  <c r="CD54" i="1"/>
  <c r="CC54" i="1"/>
  <c r="CD53" i="1"/>
  <c r="CC53" i="1"/>
  <c r="CD52" i="1"/>
  <c r="CC52" i="1"/>
  <c r="CD51" i="1"/>
  <c r="CC51" i="1"/>
  <c r="CD50" i="1"/>
  <c r="CC50" i="1"/>
  <c r="CD49" i="1"/>
  <c r="CC49" i="1"/>
  <c r="CD48" i="1"/>
  <c r="CC48" i="1"/>
  <c r="CD47" i="1"/>
  <c r="CC47" i="1"/>
  <c r="CD46" i="1"/>
  <c r="CC46" i="1"/>
  <c r="CD45" i="1"/>
  <c r="CC45" i="1"/>
  <c r="CD44" i="1"/>
  <c r="CC44" i="1"/>
  <c r="CD43" i="1"/>
  <c r="CC43" i="1"/>
  <c r="CD42" i="1"/>
  <c r="CC42" i="1"/>
  <c r="CD41" i="1"/>
  <c r="CC41" i="1"/>
  <c r="CD40" i="1"/>
  <c r="CC40" i="1"/>
  <c r="CD39" i="1"/>
  <c r="CC39" i="1"/>
  <c r="CD38" i="1"/>
  <c r="CC38" i="1"/>
  <c r="CD37" i="1"/>
  <c r="CC37" i="1"/>
  <c r="CD36" i="1"/>
  <c r="CC36" i="1"/>
  <c r="CD35" i="1"/>
  <c r="CC35" i="1"/>
  <c r="CD34" i="1"/>
  <c r="CC34" i="1"/>
  <c r="CD33" i="1"/>
  <c r="CC33" i="1"/>
  <c r="CD32" i="1"/>
  <c r="CC32" i="1"/>
  <c r="CD31" i="1"/>
  <c r="CC31" i="1"/>
  <c r="CD30" i="1"/>
  <c r="CC30" i="1"/>
  <c r="CD29" i="1"/>
  <c r="CC29" i="1"/>
  <c r="CD28" i="1"/>
  <c r="CC28" i="1"/>
  <c r="CD27" i="1"/>
  <c r="CC27" i="1"/>
  <c r="CD26" i="1"/>
  <c r="CC26" i="1"/>
  <c r="CD25" i="1"/>
  <c r="CC25" i="1"/>
  <c r="CD24" i="1"/>
  <c r="CC24" i="1"/>
  <c r="CD23" i="1"/>
  <c r="CC23" i="1"/>
  <c r="CD22" i="1"/>
  <c r="CC22" i="1"/>
  <c r="CD21" i="1"/>
  <c r="CC21" i="1"/>
  <c r="CD20" i="1"/>
  <c r="CC20" i="1"/>
  <c r="CD19" i="1"/>
  <c r="CC19" i="1"/>
  <c r="CD18" i="1"/>
  <c r="CC18" i="1"/>
  <c r="CD17" i="1"/>
  <c r="CC17" i="1"/>
  <c r="CD16" i="1"/>
  <c r="CC16" i="1"/>
  <c r="CD15" i="1"/>
  <c r="CC15" i="1"/>
  <c r="CD14" i="1"/>
  <c r="CC14" i="1"/>
  <c r="CD13" i="1"/>
  <c r="CC13" i="1"/>
  <c r="CD12" i="1"/>
  <c r="CC12" i="1"/>
  <c r="CD11" i="1"/>
  <c r="CC11" i="1"/>
  <c r="CD10" i="1"/>
  <c r="CC10" i="1"/>
  <c r="CD9" i="1"/>
  <c r="CC9" i="1"/>
  <c r="CA353" i="1"/>
  <c r="BZ353" i="1"/>
  <c r="CA352" i="1"/>
  <c r="BZ352" i="1"/>
  <c r="CA351" i="1"/>
  <c r="BZ351" i="1"/>
  <c r="CA350" i="1"/>
  <c r="BZ350" i="1"/>
  <c r="CA349" i="1"/>
  <c r="BZ349" i="1"/>
  <c r="CA348" i="1"/>
  <c r="BZ348" i="1"/>
  <c r="CA347" i="1"/>
  <c r="BZ347" i="1"/>
  <c r="CA346" i="1"/>
  <c r="BZ346" i="1"/>
  <c r="CA345" i="1"/>
  <c r="BZ345" i="1"/>
  <c r="CA344" i="1"/>
  <c r="BZ344" i="1"/>
  <c r="CA343" i="1"/>
  <c r="BZ343" i="1"/>
  <c r="CA342" i="1"/>
  <c r="BZ342" i="1"/>
  <c r="CA341" i="1"/>
  <c r="BZ341" i="1"/>
  <c r="CA340" i="1"/>
  <c r="BZ340" i="1"/>
  <c r="CA339" i="1"/>
  <c r="BZ339" i="1"/>
  <c r="CA338" i="1"/>
  <c r="BZ338" i="1"/>
  <c r="CA337" i="1"/>
  <c r="BZ337" i="1"/>
  <c r="CA336" i="1"/>
  <c r="BZ336" i="1"/>
  <c r="CA335" i="1"/>
  <c r="BZ335" i="1"/>
  <c r="CA334" i="1"/>
  <c r="BZ334" i="1"/>
  <c r="CA333" i="1"/>
  <c r="BZ333" i="1"/>
  <c r="CA332" i="1"/>
  <c r="BZ332" i="1"/>
  <c r="CA331" i="1"/>
  <c r="BZ331" i="1"/>
  <c r="CA330" i="1"/>
  <c r="BZ330" i="1"/>
  <c r="CA329" i="1"/>
  <c r="BZ329" i="1"/>
  <c r="CA328" i="1"/>
  <c r="BZ328" i="1"/>
  <c r="CA327" i="1"/>
  <c r="BZ327" i="1"/>
  <c r="CA326" i="1"/>
  <c r="BZ326" i="1"/>
  <c r="CA325" i="1"/>
  <c r="BZ325" i="1"/>
  <c r="CA324" i="1"/>
  <c r="BZ324" i="1"/>
  <c r="CA323" i="1"/>
  <c r="BZ323" i="1"/>
  <c r="CA322" i="1"/>
  <c r="BZ322" i="1"/>
  <c r="CA321" i="1"/>
  <c r="BZ321" i="1"/>
  <c r="CA320" i="1"/>
  <c r="BZ320" i="1"/>
  <c r="CA319" i="1"/>
  <c r="BZ319" i="1"/>
  <c r="CA318" i="1"/>
  <c r="BZ318" i="1"/>
  <c r="CA317" i="1"/>
  <c r="BZ317" i="1"/>
  <c r="CA316" i="1"/>
  <c r="BZ316" i="1"/>
  <c r="CA315" i="1"/>
  <c r="BZ315" i="1"/>
  <c r="CA314" i="1"/>
  <c r="BZ314" i="1"/>
  <c r="CA313" i="1"/>
  <c r="BZ313" i="1"/>
  <c r="CA312" i="1"/>
  <c r="BZ312" i="1"/>
  <c r="CA311" i="1"/>
  <c r="BZ311" i="1"/>
  <c r="CA310" i="1"/>
  <c r="BZ310" i="1"/>
  <c r="CA309" i="1"/>
  <c r="BZ309" i="1"/>
  <c r="CA308" i="1"/>
  <c r="BZ308" i="1"/>
  <c r="CA307" i="1"/>
  <c r="BZ307" i="1"/>
  <c r="CA306" i="1"/>
  <c r="BZ306" i="1"/>
  <c r="CA305" i="1"/>
  <c r="BZ305" i="1"/>
  <c r="CA304" i="1"/>
  <c r="BZ304" i="1"/>
  <c r="CA303" i="1"/>
  <c r="BZ303" i="1"/>
  <c r="CA302" i="1"/>
  <c r="BZ302" i="1"/>
  <c r="CA301" i="1"/>
  <c r="BZ301" i="1"/>
  <c r="CA300" i="1"/>
  <c r="BZ300" i="1"/>
  <c r="CA299" i="1"/>
  <c r="BZ299" i="1"/>
  <c r="CA298" i="1"/>
  <c r="BZ298" i="1"/>
  <c r="CA297" i="1"/>
  <c r="BZ297" i="1"/>
  <c r="CA296" i="1"/>
  <c r="BZ296" i="1"/>
  <c r="CA295" i="1"/>
  <c r="BZ295" i="1"/>
  <c r="CA294" i="1"/>
  <c r="BZ294" i="1"/>
  <c r="CA293" i="1"/>
  <c r="BZ293" i="1"/>
  <c r="CA292" i="1"/>
  <c r="BZ292" i="1"/>
  <c r="CA291" i="1"/>
  <c r="BZ291" i="1"/>
  <c r="CA290" i="1"/>
  <c r="BZ290" i="1"/>
  <c r="CA289" i="1"/>
  <c r="BZ289" i="1"/>
  <c r="CA288" i="1"/>
  <c r="BZ288" i="1"/>
  <c r="CA287" i="1"/>
  <c r="BZ287" i="1"/>
  <c r="CA286" i="1"/>
  <c r="BZ286" i="1"/>
  <c r="CA285" i="1"/>
  <c r="BZ285" i="1"/>
  <c r="CA284" i="1"/>
  <c r="BZ284" i="1"/>
  <c r="CA283" i="1"/>
  <c r="BZ283" i="1"/>
  <c r="CA282" i="1"/>
  <c r="BZ282" i="1"/>
  <c r="CA281" i="1"/>
  <c r="BZ281" i="1"/>
  <c r="CA280" i="1"/>
  <c r="BZ280" i="1"/>
  <c r="CA279" i="1"/>
  <c r="BZ279" i="1"/>
  <c r="CA278" i="1"/>
  <c r="BZ278" i="1"/>
  <c r="CA277" i="1"/>
  <c r="BZ277" i="1"/>
  <c r="CA276" i="1"/>
  <c r="BZ276" i="1"/>
  <c r="CA275" i="1"/>
  <c r="BZ275" i="1"/>
  <c r="CA274" i="1"/>
  <c r="BZ274" i="1"/>
  <c r="CA273" i="1"/>
  <c r="BZ273" i="1"/>
  <c r="CA272" i="1"/>
  <c r="BZ272" i="1"/>
  <c r="CA271" i="1"/>
  <c r="BZ271" i="1"/>
  <c r="CA270" i="1"/>
  <c r="BZ270" i="1"/>
  <c r="CA269" i="1"/>
  <c r="BZ269" i="1"/>
  <c r="CA268" i="1"/>
  <c r="BZ268" i="1"/>
  <c r="CA267" i="1"/>
  <c r="BZ267" i="1"/>
  <c r="CA266" i="1"/>
  <c r="BZ266" i="1"/>
  <c r="CA265" i="1"/>
  <c r="BZ265" i="1"/>
  <c r="CA264" i="1"/>
  <c r="BZ264" i="1"/>
  <c r="CA263" i="1"/>
  <c r="BZ263" i="1"/>
  <c r="CA262" i="1"/>
  <c r="BZ262" i="1"/>
  <c r="CA261" i="1"/>
  <c r="BZ261" i="1"/>
  <c r="CA260" i="1"/>
  <c r="BZ260" i="1"/>
  <c r="CA259" i="1"/>
  <c r="BZ259" i="1"/>
  <c r="CA258" i="1"/>
  <c r="BZ258" i="1"/>
  <c r="CA257" i="1"/>
  <c r="BZ257" i="1"/>
  <c r="CA256" i="1"/>
  <c r="BZ256" i="1"/>
  <c r="CA255" i="1"/>
  <c r="BZ255" i="1"/>
  <c r="CA254" i="1"/>
  <c r="BZ254" i="1"/>
  <c r="CA253" i="1"/>
  <c r="BZ253" i="1"/>
  <c r="CA252" i="1"/>
  <c r="BZ252" i="1"/>
  <c r="CA251" i="1"/>
  <c r="BZ251" i="1"/>
  <c r="CA250" i="1"/>
  <c r="BZ250" i="1"/>
  <c r="CA249" i="1"/>
  <c r="BZ249" i="1"/>
  <c r="CA248" i="1"/>
  <c r="BZ248" i="1"/>
  <c r="CA247" i="1"/>
  <c r="BZ247" i="1"/>
  <c r="CA246" i="1"/>
  <c r="BZ246" i="1"/>
  <c r="CA245" i="1"/>
  <c r="BZ245" i="1"/>
  <c r="CA244" i="1"/>
  <c r="BZ244" i="1"/>
  <c r="CA243" i="1"/>
  <c r="BZ243" i="1"/>
  <c r="CA242" i="1"/>
  <c r="BZ242" i="1"/>
  <c r="CA241" i="1"/>
  <c r="BZ241" i="1"/>
  <c r="CA240" i="1"/>
  <c r="BZ240" i="1"/>
  <c r="CA239" i="1"/>
  <c r="BZ239" i="1"/>
  <c r="CA238" i="1"/>
  <c r="BZ238" i="1"/>
  <c r="CA237" i="1"/>
  <c r="BZ237" i="1"/>
  <c r="CA236" i="1"/>
  <c r="BZ236" i="1"/>
  <c r="CA235" i="1"/>
  <c r="BZ235" i="1"/>
  <c r="CA234" i="1"/>
  <c r="BZ234" i="1"/>
  <c r="CA233" i="1"/>
  <c r="BZ233" i="1"/>
  <c r="CA232" i="1"/>
  <c r="BZ232" i="1"/>
  <c r="CA231" i="1"/>
  <c r="BZ231" i="1"/>
  <c r="CA230" i="1"/>
  <c r="BZ230" i="1"/>
  <c r="CA229" i="1"/>
  <c r="BZ229" i="1"/>
  <c r="CA228" i="1"/>
  <c r="BZ228" i="1"/>
  <c r="CA227" i="1"/>
  <c r="BZ227" i="1"/>
  <c r="CA226" i="1"/>
  <c r="BZ226" i="1"/>
  <c r="CA225" i="1"/>
  <c r="BZ225" i="1"/>
  <c r="CA224" i="1"/>
  <c r="BZ224" i="1"/>
  <c r="CA223" i="1"/>
  <c r="BZ223" i="1"/>
  <c r="CA222" i="1"/>
  <c r="BZ222" i="1"/>
  <c r="CA221" i="1"/>
  <c r="BZ221" i="1"/>
  <c r="CA220" i="1"/>
  <c r="BZ220" i="1"/>
  <c r="CA219" i="1"/>
  <c r="BZ219" i="1"/>
  <c r="CA218" i="1"/>
  <c r="BZ218" i="1"/>
  <c r="CA217" i="1"/>
  <c r="BZ217" i="1"/>
  <c r="CA216" i="1"/>
  <c r="BZ216" i="1"/>
  <c r="CA215" i="1"/>
  <c r="BZ215" i="1"/>
  <c r="CA214" i="1"/>
  <c r="BZ214" i="1"/>
  <c r="CA213" i="1"/>
  <c r="BZ213" i="1"/>
  <c r="CA212" i="1"/>
  <c r="BZ212" i="1"/>
  <c r="CA211" i="1"/>
  <c r="BZ211" i="1"/>
  <c r="CA210" i="1"/>
  <c r="BZ210" i="1"/>
  <c r="CA209" i="1"/>
  <c r="BZ209" i="1"/>
  <c r="CA208" i="1"/>
  <c r="BZ208" i="1"/>
  <c r="CA207" i="1"/>
  <c r="BZ207" i="1"/>
  <c r="CA206" i="1"/>
  <c r="BZ206" i="1"/>
  <c r="CA205" i="1"/>
  <c r="BZ205" i="1"/>
  <c r="CA204" i="1"/>
  <c r="BZ204" i="1"/>
  <c r="CA203" i="1"/>
  <c r="BZ203" i="1"/>
  <c r="CA202" i="1"/>
  <c r="BZ202" i="1"/>
  <c r="CA201" i="1"/>
  <c r="BZ201" i="1"/>
  <c r="CA200" i="1"/>
  <c r="BZ200" i="1"/>
  <c r="CA199" i="1"/>
  <c r="BZ199" i="1"/>
  <c r="CA198" i="1"/>
  <c r="BZ198" i="1"/>
  <c r="CA197" i="1"/>
  <c r="BZ197" i="1"/>
  <c r="CA196" i="1"/>
  <c r="BZ196" i="1"/>
  <c r="CA195" i="1"/>
  <c r="BZ195" i="1"/>
  <c r="CA194" i="1"/>
  <c r="BZ194" i="1"/>
  <c r="CA193" i="1"/>
  <c r="BZ193" i="1"/>
  <c r="CA192" i="1"/>
  <c r="BZ192" i="1"/>
  <c r="CA191" i="1"/>
  <c r="BZ191" i="1"/>
  <c r="CA190" i="1"/>
  <c r="BZ190" i="1"/>
  <c r="CA189" i="1"/>
  <c r="BZ189" i="1"/>
  <c r="CA188" i="1"/>
  <c r="BZ188" i="1"/>
  <c r="CA187" i="1"/>
  <c r="BZ187" i="1"/>
  <c r="CA186" i="1"/>
  <c r="BZ186" i="1"/>
  <c r="CA185" i="1"/>
  <c r="BZ185" i="1"/>
  <c r="CA184" i="1"/>
  <c r="BZ184" i="1"/>
  <c r="CA183" i="1"/>
  <c r="BZ183" i="1"/>
  <c r="CA182" i="1"/>
  <c r="BZ182" i="1"/>
  <c r="CA181" i="1"/>
  <c r="BZ181" i="1"/>
  <c r="CA180" i="1"/>
  <c r="BZ180" i="1"/>
  <c r="CA179" i="1"/>
  <c r="BZ179" i="1"/>
  <c r="CA178" i="1"/>
  <c r="BZ178" i="1"/>
  <c r="CA177" i="1"/>
  <c r="BZ177" i="1"/>
  <c r="CA176" i="1"/>
  <c r="BZ176" i="1"/>
  <c r="CA175" i="1"/>
  <c r="BZ175" i="1"/>
  <c r="CA174" i="1"/>
  <c r="BZ174" i="1"/>
  <c r="CA173" i="1"/>
  <c r="BZ173" i="1"/>
  <c r="CA172" i="1"/>
  <c r="BZ172" i="1"/>
  <c r="CA171" i="1"/>
  <c r="BZ171" i="1"/>
  <c r="CA170" i="1"/>
  <c r="BZ170" i="1"/>
  <c r="CA169" i="1"/>
  <c r="BZ169" i="1"/>
  <c r="CA168" i="1"/>
  <c r="BZ168" i="1"/>
  <c r="CA167" i="1"/>
  <c r="BZ167" i="1"/>
  <c r="CA166" i="1"/>
  <c r="BZ166" i="1"/>
  <c r="CA165" i="1"/>
  <c r="BZ165" i="1"/>
  <c r="CA164" i="1"/>
  <c r="BZ164" i="1"/>
  <c r="CA163" i="1"/>
  <c r="BZ163" i="1"/>
  <c r="CA162" i="1"/>
  <c r="BZ162" i="1"/>
  <c r="CA161" i="1"/>
  <c r="BZ161" i="1"/>
  <c r="CA160" i="1"/>
  <c r="BZ160" i="1"/>
  <c r="CA159" i="1"/>
  <c r="BZ159" i="1"/>
  <c r="CA158" i="1"/>
  <c r="BZ158" i="1"/>
  <c r="CA157" i="1"/>
  <c r="BZ157" i="1"/>
  <c r="CA156" i="1"/>
  <c r="BZ156" i="1"/>
  <c r="CA155" i="1"/>
  <c r="BZ155" i="1"/>
  <c r="CA154" i="1"/>
  <c r="BZ154" i="1"/>
  <c r="CA153" i="1"/>
  <c r="BZ153" i="1"/>
  <c r="CA152" i="1"/>
  <c r="BZ152" i="1"/>
  <c r="CA151" i="1"/>
  <c r="BZ151" i="1"/>
  <c r="CA150" i="1"/>
  <c r="BZ150" i="1"/>
  <c r="CA149" i="1"/>
  <c r="BZ149" i="1"/>
  <c r="CA148" i="1"/>
  <c r="BZ148" i="1"/>
  <c r="CA147" i="1"/>
  <c r="BZ147" i="1"/>
  <c r="CA146" i="1"/>
  <c r="BZ146" i="1"/>
  <c r="CA145" i="1"/>
  <c r="BZ145" i="1"/>
  <c r="CA144" i="1"/>
  <c r="BZ144" i="1"/>
  <c r="CA143" i="1"/>
  <c r="BZ143" i="1"/>
  <c r="CA142" i="1"/>
  <c r="BZ142" i="1"/>
  <c r="CA141" i="1"/>
  <c r="BZ141" i="1"/>
  <c r="CA140" i="1"/>
  <c r="BZ140" i="1"/>
  <c r="CA139" i="1"/>
  <c r="BZ139" i="1"/>
  <c r="CA138" i="1"/>
  <c r="BZ138" i="1"/>
  <c r="CA137" i="1"/>
  <c r="BZ137" i="1"/>
  <c r="CA136" i="1"/>
  <c r="BZ136" i="1"/>
  <c r="CA135" i="1"/>
  <c r="BZ135" i="1"/>
  <c r="CA134" i="1"/>
  <c r="BZ134" i="1"/>
  <c r="CA133" i="1"/>
  <c r="BZ133" i="1"/>
  <c r="CA132" i="1"/>
  <c r="BZ132" i="1"/>
  <c r="CA131" i="1"/>
  <c r="BZ131" i="1"/>
  <c r="CA130" i="1"/>
  <c r="BZ130" i="1"/>
  <c r="CA129" i="1"/>
  <c r="BZ129" i="1"/>
  <c r="CA128" i="1"/>
  <c r="BZ128" i="1"/>
  <c r="CA127" i="1"/>
  <c r="BZ127" i="1"/>
  <c r="CA126" i="1"/>
  <c r="BZ126" i="1"/>
  <c r="CA125" i="1"/>
  <c r="BZ125" i="1"/>
  <c r="CA124" i="1"/>
  <c r="BZ124" i="1"/>
  <c r="CA123" i="1"/>
  <c r="BZ123" i="1"/>
  <c r="CA122" i="1"/>
  <c r="BZ122" i="1"/>
  <c r="CA121" i="1"/>
  <c r="BZ121" i="1"/>
  <c r="CA120" i="1"/>
  <c r="BZ120" i="1"/>
  <c r="CA119" i="1"/>
  <c r="BZ119" i="1"/>
  <c r="CA118" i="1"/>
  <c r="BZ118" i="1"/>
  <c r="CA117" i="1"/>
  <c r="BZ117" i="1"/>
  <c r="CA116" i="1"/>
  <c r="BZ116" i="1"/>
  <c r="CA115" i="1"/>
  <c r="BZ115" i="1"/>
  <c r="CA114" i="1"/>
  <c r="BZ114" i="1"/>
  <c r="CA113" i="1"/>
  <c r="BZ113" i="1"/>
  <c r="CA112" i="1"/>
  <c r="BZ112" i="1"/>
  <c r="CA111" i="1"/>
  <c r="BZ111" i="1"/>
  <c r="CA110" i="1"/>
  <c r="BZ110" i="1"/>
  <c r="CA109" i="1"/>
  <c r="BZ109" i="1"/>
  <c r="CA108" i="1"/>
  <c r="BZ108" i="1"/>
  <c r="CA107" i="1"/>
  <c r="BZ107" i="1"/>
  <c r="CA106" i="1"/>
  <c r="BZ106" i="1"/>
  <c r="CA105" i="1"/>
  <c r="BZ105" i="1"/>
  <c r="CA104" i="1"/>
  <c r="BZ104" i="1"/>
  <c r="CA103" i="1"/>
  <c r="BZ103" i="1"/>
  <c r="CA102" i="1"/>
  <c r="BZ102" i="1"/>
  <c r="CA101" i="1"/>
  <c r="BZ101" i="1"/>
  <c r="CA100" i="1"/>
  <c r="BZ100" i="1"/>
  <c r="CA99" i="1"/>
  <c r="BZ99" i="1"/>
  <c r="CA98" i="1"/>
  <c r="BZ98" i="1"/>
  <c r="CA97" i="1"/>
  <c r="BZ97" i="1"/>
  <c r="CA96" i="1"/>
  <c r="BZ96" i="1"/>
  <c r="CA95" i="1"/>
  <c r="BZ95" i="1"/>
  <c r="CA94" i="1"/>
  <c r="BZ94" i="1"/>
  <c r="CA93" i="1"/>
  <c r="BZ93" i="1"/>
  <c r="CA92" i="1"/>
  <c r="BZ92" i="1"/>
  <c r="CA91" i="1"/>
  <c r="BZ91" i="1"/>
  <c r="CA90" i="1"/>
  <c r="BZ90" i="1"/>
  <c r="CA89" i="1"/>
  <c r="BZ89" i="1"/>
  <c r="CA88" i="1"/>
  <c r="BZ88" i="1"/>
  <c r="CA87" i="1"/>
  <c r="BZ87" i="1"/>
  <c r="CA86" i="1"/>
  <c r="BZ86" i="1"/>
  <c r="CA85" i="1"/>
  <c r="BZ85" i="1"/>
  <c r="CA84" i="1"/>
  <c r="BZ84" i="1"/>
  <c r="CA83" i="1"/>
  <c r="BZ83" i="1"/>
  <c r="CA82" i="1"/>
  <c r="BZ82" i="1"/>
  <c r="CA81" i="1"/>
  <c r="BZ81" i="1"/>
  <c r="CA80" i="1"/>
  <c r="BZ80" i="1"/>
  <c r="CA79" i="1"/>
  <c r="BZ79" i="1"/>
  <c r="CA78" i="1"/>
  <c r="BZ78" i="1"/>
  <c r="CA77" i="1"/>
  <c r="BZ77" i="1"/>
  <c r="CA76" i="1"/>
  <c r="BZ76" i="1"/>
  <c r="CA75" i="1"/>
  <c r="BZ75" i="1"/>
  <c r="CA74" i="1"/>
  <c r="BZ74" i="1"/>
  <c r="CA73" i="1"/>
  <c r="BZ73" i="1"/>
  <c r="CA72" i="1"/>
  <c r="BZ72" i="1"/>
  <c r="CA71" i="1"/>
  <c r="BZ71" i="1"/>
  <c r="CA70" i="1"/>
  <c r="BZ70" i="1"/>
  <c r="CA69" i="1"/>
  <c r="BZ69" i="1"/>
  <c r="CA68" i="1"/>
  <c r="BZ68" i="1"/>
  <c r="CA67" i="1"/>
  <c r="BZ67" i="1"/>
  <c r="CA66" i="1"/>
  <c r="BZ66" i="1"/>
  <c r="CA65" i="1"/>
  <c r="BZ65" i="1"/>
  <c r="CA64" i="1"/>
  <c r="BZ64" i="1"/>
  <c r="CA63" i="1"/>
  <c r="BZ63" i="1"/>
  <c r="CA62" i="1"/>
  <c r="BZ62" i="1"/>
  <c r="CA61" i="1"/>
  <c r="BZ61" i="1"/>
  <c r="CA60" i="1"/>
  <c r="BZ60" i="1"/>
  <c r="CA59" i="1"/>
  <c r="BZ59" i="1"/>
  <c r="CA58" i="1"/>
  <c r="BZ58" i="1"/>
  <c r="CA57" i="1"/>
  <c r="BZ57" i="1"/>
  <c r="CA56" i="1"/>
  <c r="BZ56" i="1"/>
  <c r="CA55" i="1"/>
  <c r="BZ55" i="1"/>
  <c r="CA54" i="1"/>
  <c r="BZ54" i="1"/>
  <c r="CA53" i="1"/>
  <c r="BZ53" i="1"/>
  <c r="CA52" i="1"/>
  <c r="BZ52" i="1"/>
  <c r="CA51" i="1"/>
  <c r="BZ51" i="1"/>
  <c r="CA50" i="1"/>
  <c r="BZ50" i="1"/>
  <c r="CA49" i="1"/>
  <c r="BZ49" i="1"/>
  <c r="CA48" i="1"/>
  <c r="BZ48" i="1"/>
  <c r="CA47" i="1"/>
  <c r="BZ47" i="1"/>
  <c r="CA46" i="1"/>
  <c r="BZ46" i="1"/>
  <c r="CA45" i="1"/>
  <c r="BZ45" i="1"/>
  <c r="CA44" i="1"/>
  <c r="BZ44" i="1"/>
  <c r="CA43" i="1"/>
  <c r="BZ43" i="1"/>
  <c r="CA42" i="1"/>
  <c r="BZ42" i="1"/>
  <c r="CA41" i="1"/>
  <c r="BZ41" i="1"/>
  <c r="CA40" i="1"/>
  <c r="BZ40" i="1"/>
  <c r="CA39" i="1"/>
  <c r="BZ39" i="1"/>
  <c r="CA38" i="1"/>
  <c r="BZ38" i="1"/>
  <c r="CA37" i="1"/>
  <c r="BZ37" i="1"/>
  <c r="CA36" i="1"/>
  <c r="BZ36" i="1"/>
  <c r="CA35" i="1"/>
  <c r="BZ35" i="1"/>
  <c r="CA34" i="1"/>
  <c r="BZ34" i="1"/>
  <c r="CA33" i="1"/>
  <c r="BZ33" i="1"/>
  <c r="CA32" i="1"/>
  <c r="BZ32" i="1"/>
  <c r="CA31" i="1"/>
  <c r="BZ31" i="1"/>
  <c r="CA30" i="1"/>
  <c r="BZ30" i="1"/>
  <c r="CA29" i="1"/>
  <c r="BZ29" i="1"/>
  <c r="CA28" i="1"/>
  <c r="BZ28" i="1"/>
  <c r="CA27" i="1"/>
  <c r="BZ27" i="1"/>
  <c r="CA26" i="1"/>
  <c r="BZ26" i="1"/>
  <c r="CA25" i="1"/>
  <c r="BZ25" i="1"/>
  <c r="CA24" i="1"/>
  <c r="BZ24" i="1"/>
  <c r="CA23" i="1"/>
  <c r="BZ23" i="1"/>
  <c r="CA22" i="1"/>
  <c r="BZ22" i="1"/>
  <c r="CA21" i="1"/>
  <c r="BZ21" i="1"/>
  <c r="CA20" i="1"/>
  <c r="BZ20" i="1"/>
  <c r="CA19" i="1"/>
  <c r="BZ19" i="1"/>
  <c r="CA18" i="1"/>
  <c r="BZ18" i="1"/>
  <c r="CA17" i="1"/>
  <c r="BZ17" i="1"/>
  <c r="CA16" i="1"/>
  <c r="BZ16" i="1"/>
  <c r="CA15" i="1"/>
  <c r="BZ15" i="1"/>
  <c r="CA14" i="1"/>
  <c r="BZ14" i="1"/>
  <c r="CA13" i="1"/>
  <c r="BZ13" i="1"/>
  <c r="CA12" i="1"/>
  <c r="BZ12" i="1"/>
  <c r="CA11" i="1"/>
  <c r="BZ11" i="1"/>
  <c r="CA10" i="1"/>
  <c r="BZ10" i="1"/>
  <c r="CA9" i="1"/>
  <c r="BZ9" i="1"/>
  <c r="BX353" i="1"/>
  <c r="BW353" i="1"/>
  <c r="BX352" i="1"/>
  <c r="BW352" i="1"/>
  <c r="BX351" i="1"/>
  <c r="BW351" i="1"/>
  <c r="BX350" i="1"/>
  <c r="BW350" i="1"/>
  <c r="BX349" i="1"/>
  <c r="BW349" i="1"/>
  <c r="BX348" i="1"/>
  <c r="BW348" i="1"/>
  <c r="BX347" i="1"/>
  <c r="BW347" i="1"/>
  <c r="BX346" i="1"/>
  <c r="BW346" i="1"/>
  <c r="BX345" i="1"/>
  <c r="BW345" i="1"/>
  <c r="BX344" i="1"/>
  <c r="BW344" i="1"/>
  <c r="BX343" i="1"/>
  <c r="BW343" i="1"/>
  <c r="BX342" i="1"/>
  <c r="BW342" i="1"/>
  <c r="BX341" i="1"/>
  <c r="BW341" i="1"/>
  <c r="BX340" i="1"/>
  <c r="BW340" i="1"/>
  <c r="BX339" i="1"/>
  <c r="BW339" i="1"/>
  <c r="BX338" i="1"/>
  <c r="BW338" i="1"/>
  <c r="BX337" i="1"/>
  <c r="BW337" i="1"/>
  <c r="BX336" i="1"/>
  <c r="BW336" i="1"/>
  <c r="BX335" i="1"/>
  <c r="BW335" i="1"/>
  <c r="BX334" i="1"/>
  <c r="BW334" i="1"/>
  <c r="BX333" i="1"/>
  <c r="BW333" i="1"/>
  <c r="BX332" i="1"/>
  <c r="BW332" i="1"/>
  <c r="BX331" i="1"/>
  <c r="BW331" i="1"/>
  <c r="BX330" i="1"/>
  <c r="BW330" i="1"/>
  <c r="BX329" i="1"/>
  <c r="BW329" i="1"/>
  <c r="BX328" i="1"/>
  <c r="BW328" i="1"/>
  <c r="BX327" i="1"/>
  <c r="BW327" i="1"/>
  <c r="BX326" i="1"/>
  <c r="BW326" i="1"/>
  <c r="BX325" i="1"/>
  <c r="BW325" i="1"/>
  <c r="BX324" i="1"/>
  <c r="BW324" i="1"/>
  <c r="BX323" i="1"/>
  <c r="BW323" i="1"/>
  <c r="BX322" i="1"/>
  <c r="BW322" i="1"/>
  <c r="BX321" i="1"/>
  <c r="BW321" i="1"/>
  <c r="BX320" i="1"/>
  <c r="BW320" i="1"/>
  <c r="BX319" i="1"/>
  <c r="BW319" i="1"/>
  <c r="BX318" i="1"/>
  <c r="BW318" i="1"/>
  <c r="BX317" i="1"/>
  <c r="BW317" i="1"/>
  <c r="BX316" i="1"/>
  <c r="BW316" i="1"/>
  <c r="BX315" i="1"/>
  <c r="BW315" i="1"/>
  <c r="BX314" i="1"/>
  <c r="BW314" i="1"/>
  <c r="BX313" i="1"/>
  <c r="BW313" i="1"/>
  <c r="BX312" i="1"/>
  <c r="BW312" i="1"/>
  <c r="BX311" i="1"/>
  <c r="BW311" i="1"/>
  <c r="BX310" i="1"/>
  <c r="BW310" i="1"/>
  <c r="BX309" i="1"/>
  <c r="BW309" i="1"/>
  <c r="BX308" i="1"/>
  <c r="BW308" i="1"/>
  <c r="BX307" i="1"/>
  <c r="BW307" i="1"/>
  <c r="BX306" i="1"/>
  <c r="BW306" i="1"/>
  <c r="BX305" i="1"/>
  <c r="BW305" i="1"/>
  <c r="BX304" i="1"/>
  <c r="BW304" i="1"/>
  <c r="BX303" i="1"/>
  <c r="BW303" i="1"/>
  <c r="BX302" i="1"/>
  <c r="BW302" i="1"/>
  <c r="BX301" i="1"/>
  <c r="BW301" i="1"/>
  <c r="BX300" i="1"/>
  <c r="BW300" i="1"/>
  <c r="BX299" i="1"/>
  <c r="BW299" i="1"/>
  <c r="BX298" i="1"/>
  <c r="BW298" i="1"/>
  <c r="BX297" i="1"/>
  <c r="BW297" i="1"/>
  <c r="BX296" i="1"/>
  <c r="BW296" i="1"/>
  <c r="BX295" i="1"/>
  <c r="BW295" i="1"/>
  <c r="BX294" i="1"/>
  <c r="BW294" i="1"/>
  <c r="BX293" i="1"/>
  <c r="BW293" i="1"/>
  <c r="BX292" i="1"/>
  <c r="BW292" i="1"/>
  <c r="BX291" i="1"/>
  <c r="BW291" i="1"/>
  <c r="BX290" i="1"/>
  <c r="BW290" i="1"/>
  <c r="BX289" i="1"/>
  <c r="BW289" i="1"/>
  <c r="BX288" i="1"/>
  <c r="BW288" i="1"/>
  <c r="BX287" i="1"/>
  <c r="BW287" i="1"/>
  <c r="BX286" i="1"/>
  <c r="BW286" i="1"/>
  <c r="BX285" i="1"/>
  <c r="BW285" i="1"/>
  <c r="BX284" i="1"/>
  <c r="BW284" i="1"/>
  <c r="BX283" i="1"/>
  <c r="BW283" i="1"/>
  <c r="BX282" i="1"/>
  <c r="BW282" i="1"/>
  <c r="BX281" i="1"/>
  <c r="BW281" i="1"/>
  <c r="BX280" i="1"/>
  <c r="BW280" i="1"/>
  <c r="BX279" i="1"/>
  <c r="BW279" i="1"/>
  <c r="BX278" i="1"/>
  <c r="BW278" i="1"/>
  <c r="BX277" i="1"/>
  <c r="BW277" i="1"/>
  <c r="BX276" i="1"/>
  <c r="BW276" i="1"/>
  <c r="BX275" i="1"/>
  <c r="BW275" i="1"/>
  <c r="BX274" i="1"/>
  <c r="BW274" i="1"/>
  <c r="BX273" i="1"/>
  <c r="BW273" i="1"/>
  <c r="BX272" i="1"/>
  <c r="BW272" i="1"/>
  <c r="BX271" i="1"/>
  <c r="BW271" i="1"/>
  <c r="BX270" i="1"/>
  <c r="BW270" i="1"/>
  <c r="BX269" i="1"/>
  <c r="BW269" i="1"/>
  <c r="BX268" i="1"/>
  <c r="BW268" i="1"/>
  <c r="BX267" i="1"/>
  <c r="BW267" i="1"/>
  <c r="BX266" i="1"/>
  <c r="BW266" i="1"/>
  <c r="BX265" i="1"/>
  <c r="BW265" i="1"/>
  <c r="BX264" i="1"/>
  <c r="BW264" i="1"/>
  <c r="BX263" i="1"/>
  <c r="BW263" i="1"/>
  <c r="BX262" i="1"/>
  <c r="BW262" i="1"/>
  <c r="BX261" i="1"/>
  <c r="BW261" i="1"/>
  <c r="BX260" i="1"/>
  <c r="BW260" i="1"/>
  <c r="BX259" i="1"/>
  <c r="BW259" i="1"/>
  <c r="BX258" i="1"/>
  <c r="BW258" i="1"/>
  <c r="BX257" i="1"/>
  <c r="BW257" i="1"/>
  <c r="BX256" i="1"/>
  <c r="BW256" i="1"/>
  <c r="BX255" i="1"/>
  <c r="BW255" i="1"/>
  <c r="BX254" i="1"/>
  <c r="BW254" i="1"/>
  <c r="BX253" i="1"/>
  <c r="BW253" i="1"/>
  <c r="BX252" i="1"/>
  <c r="BW252" i="1"/>
  <c r="BX251" i="1"/>
  <c r="BW251" i="1"/>
  <c r="BX250" i="1"/>
  <c r="BW250" i="1"/>
  <c r="BX249" i="1"/>
  <c r="BW249" i="1"/>
  <c r="BX248" i="1"/>
  <c r="BW248" i="1"/>
  <c r="BX247" i="1"/>
  <c r="BW247" i="1"/>
  <c r="BX246" i="1"/>
  <c r="BW246" i="1"/>
  <c r="BX245" i="1"/>
  <c r="BW245" i="1"/>
  <c r="BX244" i="1"/>
  <c r="BW244" i="1"/>
  <c r="BX243" i="1"/>
  <c r="BW243" i="1"/>
  <c r="BX242" i="1"/>
  <c r="BW242" i="1"/>
  <c r="BX241" i="1"/>
  <c r="BW241" i="1"/>
  <c r="BX240" i="1"/>
  <c r="BW240" i="1"/>
  <c r="BX239" i="1"/>
  <c r="BW239" i="1"/>
  <c r="BX238" i="1"/>
  <c r="BW238" i="1"/>
  <c r="BX237" i="1"/>
  <c r="BW237" i="1"/>
  <c r="BX236" i="1"/>
  <c r="BW236" i="1"/>
  <c r="BX235" i="1"/>
  <c r="BW235" i="1"/>
  <c r="BX234" i="1"/>
  <c r="BW234" i="1"/>
  <c r="BX233" i="1"/>
  <c r="BW233" i="1"/>
  <c r="BX232" i="1"/>
  <c r="BW232" i="1"/>
  <c r="BX231" i="1"/>
  <c r="BW231" i="1"/>
  <c r="BX230" i="1"/>
  <c r="BW230" i="1"/>
  <c r="BX229" i="1"/>
  <c r="BW229" i="1"/>
  <c r="BX228" i="1"/>
  <c r="BW228" i="1"/>
  <c r="BX227" i="1"/>
  <c r="BW227" i="1"/>
  <c r="BX226" i="1"/>
  <c r="BW226" i="1"/>
  <c r="BX225" i="1"/>
  <c r="BW225" i="1"/>
  <c r="BX224" i="1"/>
  <c r="BW224" i="1"/>
  <c r="BX223" i="1"/>
  <c r="BW223" i="1"/>
  <c r="BX222" i="1"/>
  <c r="BW222" i="1"/>
  <c r="BX221" i="1"/>
  <c r="BW221" i="1"/>
  <c r="BX220" i="1"/>
  <c r="BW220" i="1"/>
  <c r="BX219" i="1"/>
  <c r="BW219" i="1"/>
  <c r="BX218" i="1"/>
  <c r="BW218" i="1"/>
  <c r="BX217" i="1"/>
  <c r="BW217" i="1"/>
  <c r="BX216" i="1"/>
  <c r="BW216" i="1"/>
  <c r="BX215" i="1"/>
  <c r="BW215" i="1"/>
  <c r="BX214" i="1"/>
  <c r="BW214" i="1"/>
  <c r="BX213" i="1"/>
  <c r="BW213" i="1"/>
  <c r="BX212" i="1"/>
  <c r="BW212" i="1"/>
  <c r="BX211" i="1"/>
  <c r="BW211" i="1"/>
  <c r="BX210" i="1"/>
  <c r="BW210" i="1"/>
  <c r="BX209" i="1"/>
  <c r="BW209" i="1"/>
  <c r="BX208" i="1"/>
  <c r="BW208" i="1"/>
  <c r="BX207" i="1"/>
  <c r="BW207" i="1"/>
  <c r="BX206" i="1"/>
  <c r="BW206" i="1"/>
  <c r="BX205" i="1"/>
  <c r="BW205" i="1"/>
  <c r="BX204" i="1"/>
  <c r="BW204" i="1"/>
  <c r="BX203" i="1"/>
  <c r="BW203" i="1"/>
  <c r="BX202" i="1"/>
  <c r="BW202" i="1"/>
  <c r="BX201" i="1"/>
  <c r="BW201" i="1"/>
  <c r="BX200" i="1"/>
  <c r="BW200" i="1"/>
  <c r="BX199" i="1"/>
  <c r="BW199" i="1"/>
  <c r="BX198" i="1"/>
  <c r="BW198" i="1"/>
  <c r="BX197" i="1"/>
  <c r="BW197" i="1"/>
  <c r="BX196" i="1"/>
  <c r="BW196" i="1"/>
  <c r="BX195" i="1"/>
  <c r="BW195" i="1"/>
  <c r="BX194" i="1"/>
  <c r="BW194" i="1"/>
  <c r="BX193" i="1"/>
  <c r="BW193" i="1"/>
  <c r="BX192" i="1"/>
  <c r="BW192" i="1"/>
  <c r="BX191" i="1"/>
  <c r="BW191" i="1"/>
  <c r="BX190" i="1"/>
  <c r="BW190" i="1"/>
  <c r="BX189" i="1"/>
  <c r="BW189" i="1"/>
  <c r="BX188" i="1"/>
  <c r="BW188" i="1"/>
  <c r="BX187" i="1"/>
  <c r="BW187" i="1"/>
  <c r="BX186" i="1"/>
  <c r="BW186" i="1"/>
  <c r="BX185" i="1"/>
  <c r="BW185" i="1"/>
  <c r="BX184" i="1"/>
  <c r="BW184" i="1"/>
  <c r="BX183" i="1"/>
  <c r="BW183" i="1"/>
  <c r="BX182" i="1"/>
  <c r="BW182" i="1"/>
  <c r="BX181" i="1"/>
  <c r="BW181" i="1"/>
  <c r="BX180" i="1"/>
  <c r="BW180" i="1"/>
  <c r="BX179" i="1"/>
  <c r="BW179" i="1"/>
  <c r="BX178" i="1"/>
  <c r="BW178" i="1"/>
  <c r="BX177" i="1"/>
  <c r="BW177" i="1"/>
  <c r="BX176" i="1"/>
  <c r="BW176" i="1"/>
  <c r="BX175" i="1"/>
  <c r="BW175" i="1"/>
  <c r="BX174" i="1"/>
  <c r="BW174" i="1"/>
  <c r="BX173" i="1"/>
  <c r="BW173" i="1"/>
  <c r="BX172" i="1"/>
  <c r="BW172" i="1"/>
  <c r="BX171" i="1"/>
  <c r="BW171" i="1"/>
  <c r="BX170" i="1"/>
  <c r="BW170" i="1"/>
  <c r="BX169" i="1"/>
  <c r="BW169" i="1"/>
  <c r="BX168" i="1"/>
  <c r="BW168" i="1"/>
  <c r="BX167" i="1"/>
  <c r="BW167" i="1"/>
  <c r="BX166" i="1"/>
  <c r="BW166" i="1"/>
  <c r="BX165" i="1"/>
  <c r="BW165" i="1"/>
  <c r="BX164" i="1"/>
  <c r="BW164" i="1"/>
  <c r="BX163" i="1"/>
  <c r="BW163" i="1"/>
  <c r="BX162" i="1"/>
  <c r="BW162" i="1"/>
  <c r="BX161" i="1"/>
  <c r="BW161" i="1"/>
  <c r="BX160" i="1"/>
  <c r="BW160" i="1"/>
  <c r="BX159" i="1"/>
  <c r="BW159" i="1"/>
  <c r="BX158" i="1"/>
  <c r="BW158" i="1"/>
  <c r="BX157" i="1"/>
  <c r="BW157" i="1"/>
  <c r="BX156" i="1"/>
  <c r="BW156" i="1"/>
  <c r="BX155" i="1"/>
  <c r="BW155" i="1"/>
  <c r="BX154" i="1"/>
  <c r="BW154" i="1"/>
  <c r="BX153" i="1"/>
  <c r="BW153" i="1"/>
  <c r="BX152" i="1"/>
  <c r="BW152" i="1"/>
  <c r="BX151" i="1"/>
  <c r="BW151" i="1"/>
  <c r="BX150" i="1"/>
  <c r="BW150" i="1"/>
  <c r="BX149" i="1"/>
  <c r="BW149" i="1"/>
  <c r="BX148" i="1"/>
  <c r="BW148" i="1"/>
  <c r="BX147" i="1"/>
  <c r="BW147" i="1"/>
  <c r="BX146" i="1"/>
  <c r="BW146" i="1"/>
  <c r="BX145" i="1"/>
  <c r="BW145" i="1"/>
  <c r="BX144" i="1"/>
  <c r="BW144" i="1"/>
  <c r="BX143" i="1"/>
  <c r="BW143" i="1"/>
  <c r="BX142" i="1"/>
  <c r="BW142" i="1"/>
  <c r="BX141" i="1"/>
  <c r="BW141" i="1"/>
  <c r="BX140" i="1"/>
  <c r="BW140" i="1"/>
  <c r="BX139" i="1"/>
  <c r="BW139" i="1"/>
  <c r="BX138" i="1"/>
  <c r="BW138" i="1"/>
  <c r="BX137" i="1"/>
  <c r="BW137" i="1"/>
  <c r="BX136" i="1"/>
  <c r="BW136" i="1"/>
  <c r="BX135" i="1"/>
  <c r="BW135" i="1"/>
  <c r="BX134" i="1"/>
  <c r="BW134" i="1"/>
  <c r="BX133" i="1"/>
  <c r="BW133" i="1"/>
  <c r="BX132" i="1"/>
  <c r="BW132" i="1"/>
  <c r="BX131" i="1"/>
  <c r="BW131" i="1"/>
  <c r="BX130" i="1"/>
  <c r="BW130" i="1"/>
  <c r="BX129" i="1"/>
  <c r="BW129" i="1"/>
  <c r="BX128" i="1"/>
  <c r="BW128" i="1"/>
  <c r="BX127" i="1"/>
  <c r="BW127" i="1"/>
  <c r="BX126" i="1"/>
  <c r="BW126" i="1"/>
  <c r="BX125" i="1"/>
  <c r="BW125" i="1"/>
  <c r="BX124" i="1"/>
  <c r="BW124" i="1"/>
  <c r="BX123" i="1"/>
  <c r="BW123" i="1"/>
  <c r="BX122" i="1"/>
  <c r="BW122" i="1"/>
  <c r="BX121" i="1"/>
  <c r="BW121" i="1"/>
  <c r="BX120" i="1"/>
  <c r="BW120" i="1"/>
  <c r="BX119" i="1"/>
  <c r="BW119" i="1"/>
  <c r="BX118" i="1"/>
  <c r="BW118" i="1"/>
  <c r="BX117" i="1"/>
  <c r="BW117" i="1"/>
  <c r="BX116" i="1"/>
  <c r="BW116" i="1"/>
  <c r="BX115" i="1"/>
  <c r="BW115" i="1"/>
  <c r="BX114" i="1"/>
  <c r="BW114" i="1"/>
  <c r="BX113" i="1"/>
  <c r="BW113" i="1"/>
  <c r="BX112" i="1"/>
  <c r="BW112" i="1"/>
  <c r="BX111" i="1"/>
  <c r="BW111" i="1"/>
  <c r="BX110" i="1"/>
  <c r="BW110" i="1"/>
  <c r="BX109" i="1"/>
  <c r="BW109" i="1"/>
  <c r="BX108" i="1"/>
  <c r="BW108" i="1"/>
  <c r="BX107" i="1"/>
  <c r="BW107" i="1"/>
  <c r="BX106" i="1"/>
  <c r="BW106" i="1"/>
  <c r="BX105" i="1"/>
  <c r="BW105" i="1"/>
  <c r="BX104" i="1"/>
  <c r="BW104" i="1"/>
  <c r="BX103" i="1"/>
  <c r="BW103" i="1"/>
  <c r="BX102" i="1"/>
  <c r="BW102" i="1"/>
  <c r="BX101" i="1"/>
  <c r="BW101" i="1"/>
  <c r="BX100" i="1"/>
  <c r="BW100" i="1"/>
  <c r="BX99" i="1"/>
  <c r="BW99" i="1"/>
  <c r="BX98" i="1"/>
  <c r="BW98" i="1"/>
  <c r="BX97" i="1"/>
  <c r="BW97" i="1"/>
  <c r="BX96" i="1"/>
  <c r="BW96" i="1"/>
  <c r="BX95" i="1"/>
  <c r="BW95" i="1"/>
  <c r="BX94" i="1"/>
  <c r="BW94" i="1"/>
  <c r="BX93" i="1"/>
  <c r="BW93" i="1"/>
  <c r="BX92" i="1"/>
  <c r="BW92" i="1"/>
  <c r="BX91" i="1"/>
  <c r="BW91" i="1"/>
  <c r="BX90" i="1"/>
  <c r="BW90" i="1"/>
  <c r="BX89" i="1"/>
  <c r="BW89" i="1"/>
  <c r="BX88" i="1"/>
  <c r="BW88" i="1"/>
  <c r="BX87" i="1"/>
  <c r="BW87" i="1"/>
  <c r="BX86" i="1"/>
  <c r="BW86" i="1"/>
  <c r="BX85" i="1"/>
  <c r="BW85" i="1"/>
  <c r="BX84" i="1"/>
  <c r="BW84" i="1"/>
  <c r="BX83" i="1"/>
  <c r="BW83" i="1"/>
  <c r="BX82" i="1"/>
  <c r="BW82" i="1"/>
  <c r="BX81" i="1"/>
  <c r="BW81" i="1"/>
  <c r="BX80" i="1"/>
  <c r="BW80" i="1"/>
  <c r="BX79" i="1"/>
  <c r="BW79" i="1"/>
  <c r="BX78" i="1"/>
  <c r="BW78" i="1"/>
  <c r="BX77" i="1"/>
  <c r="BW77" i="1"/>
  <c r="BX76" i="1"/>
  <c r="BW76" i="1"/>
  <c r="BX75" i="1"/>
  <c r="BW75" i="1"/>
  <c r="BX74" i="1"/>
  <c r="BW74" i="1"/>
  <c r="BX73" i="1"/>
  <c r="BW73" i="1"/>
  <c r="BX72" i="1"/>
  <c r="BW72" i="1"/>
  <c r="BX71" i="1"/>
  <c r="BW71" i="1"/>
  <c r="BX70" i="1"/>
  <c r="BW70" i="1"/>
  <c r="BX69" i="1"/>
  <c r="BW69" i="1"/>
  <c r="BX68" i="1"/>
  <c r="BW68" i="1"/>
  <c r="BX67" i="1"/>
  <c r="BW67" i="1"/>
  <c r="BX66" i="1"/>
  <c r="BW66" i="1"/>
  <c r="BX65" i="1"/>
  <c r="BW65" i="1"/>
  <c r="BX64" i="1"/>
  <c r="BW64" i="1"/>
  <c r="BX63" i="1"/>
  <c r="BW63" i="1"/>
  <c r="BX62" i="1"/>
  <c r="BW62" i="1"/>
  <c r="BX61" i="1"/>
  <c r="BW61" i="1"/>
  <c r="BX60" i="1"/>
  <c r="BW60" i="1"/>
  <c r="BX59" i="1"/>
  <c r="BW59" i="1"/>
  <c r="BX58" i="1"/>
  <c r="BW58" i="1"/>
  <c r="BX57" i="1"/>
  <c r="BW57" i="1"/>
  <c r="BX56" i="1"/>
  <c r="BW56" i="1"/>
  <c r="BX55" i="1"/>
  <c r="BW55" i="1"/>
  <c r="BX54" i="1"/>
  <c r="BW54" i="1"/>
  <c r="BX53" i="1"/>
  <c r="BW53" i="1"/>
  <c r="BX52" i="1"/>
  <c r="BW52" i="1"/>
  <c r="BX51" i="1"/>
  <c r="BW51" i="1"/>
  <c r="BX50" i="1"/>
  <c r="BW50" i="1"/>
  <c r="BX49" i="1"/>
  <c r="BW49" i="1"/>
  <c r="BX48" i="1"/>
  <c r="BW48" i="1"/>
  <c r="BX47" i="1"/>
  <c r="BW47" i="1"/>
  <c r="BX46" i="1"/>
  <c r="BW46" i="1"/>
  <c r="BX45" i="1"/>
  <c r="BW45" i="1"/>
  <c r="BX44" i="1"/>
  <c r="BW44" i="1"/>
  <c r="BX43" i="1"/>
  <c r="BW43" i="1"/>
  <c r="BX42" i="1"/>
  <c r="BW42" i="1"/>
  <c r="BX41" i="1"/>
  <c r="BW41" i="1"/>
  <c r="BX40" i="1"/>
  <c r="BW40" i="1"/>
  <c r="BX39" i="1"/>
  <c r="BW39" i="1"/>
  <c r="BX38" i="1"/>
  <c r="BW38" i="1"/>
  <c r="BX37" i="1"/>
  <c r="BW37" i="1"/>
  <c r="BX36" i="1"/>
  <c r="BW36" i="1"/>
  <c r="BX35" i="1"/>
  <c r="BW35" i="1"/>
  <c r="BX34" i="1"/>
  <c r="BW34" i="1"/>
  <c r="BX33" i="1"/>
  <c r="BW33" i="1"/>
  <c r="BX32" i="1"/>
  <c r="BW32" i="1"/>
  <c r="BX31" i="1"/>
  <c r="BW31" i="1"/>
  <c r="BX30" i="1"/>
  <c r="BW30" i="1"/>
  <c r="BX29" i="1"/>
  <c r="BW29" i="1"/>
  <c r="BX28" i="1"/>
  <c r="BW28" i="1"/>
  <c r="BX27" i="1"/>
  <c r="BW27" i="1"/>
  <c r="BX26" i="1"/>
  <c r="BW26" i="1"/>
  <c r="BX25" i="1"/>
  <c r="BW25" i="1"/>
  <c r="BX24" i="1"/>
  <c r="BW24" i="1"/>
  <c r="BX23" i="1"/>
  <c r="BW23" i="1"/>
  <c r="BX22" i="1"/>
  <c r="BW22" i="1"/>
  <c r="BX21" i="1"/>
  <c r="BW21" i="1"/>
  <c r="BX20" i="1"/>
  <c r="BW20" i="1"/>
  <c r="BX19" i="1"/>
  <c r="BW19" i="1"/>
  <c r="BX18" i="1"/>
  <c r="BW18" i="1"/>
  <c r="BX17" i="1"/>
  <c r="BW17" i="1"/>
  <c r="BX16" i="1"/>
  <c r="BW16" i="1"/>
  <c r="BX15" i="1"/>
  <c r="BW15" i="1"/>
  <c r="BX14" i="1"/>
  <c r="BW14" i="1"/>
  <c r="BX13" i="1"/>
  <c r="BW13" i="1"/>
  <c r="BX12" i="1"/>
  <c r="BW12" i="1"/>
  <c r="BX11" i="1"/>
  <c r="BW11" i="1"/>
  <c r="BX10" i="1"/>
  <c r="BW10" i="1"/>
  <c r="BX9" i="1"/>
  <c r="BW9" i="1"/>
  <c r="BU353" i="1"/>
  <c r="BT353" i="1"/>
  <c r="BU352" i="1"/>
  <c r="BT352" i="1"/>
  <c r="BU351" i="1"/>
  <c r="BT351" i="1"/>
  <c r="BU350" i="1"/>
  <c r="BT350" i="1"/>
  <c r="BU349" i="1"/>
  <c r="BT349" i="1"/>
  <c r="BU348" i="1"/>
  <c r="BT348" i="1"/>
  <c r="BU347" i="1"/>
  <c r="BT347" i="1"/>
  <c r="BU346" i="1"/>
  <c r="BT346" i="1"/>
  <c r="BU345" i="1"/>
  <c r="BT345" i="1"/>
  <c r="BU344" i="1"/>
  <c r="BT344" i="1"/>
  <c r="BU343" i="1"/>
  <c r="BT343" i="1"/>
  <c r="BU342" i="1"/>
  <c r="BT342" i="1"/>
  <c r="BU341" i="1"/>
  <c r="BT341" i="1"/>
  <c r="BU340" i="1"/>
  <c r="BT340" i="1"/>
  <c r="BU339" i="1"/>
  <c r="BT339" i="1"/>
  <c r="BU338" i="1"/>
  <c r="BT338" i="1"/>
  <c r="BU337" i="1"/>
  <c r="BT337" i="1"/>
  <c r="BU336" i="1"/>
  <c r="BT336" i="1"/>
  <c r="BU335" i="1"/>
  <c r="BT335" i="1"/>
  <c r="BU334" i="1"/>
  <c r="BT334" i="1"/>
  <c r="BU333" i="1"/>
  <c r="BT333" i="1"/>
  <c r="BU332" i="1"/>
  <c r="BT332" i="1"/>
  <c r="BU331" i="1"/>
  <c r="BT331" i="1"/>
  <c r="BU330" i="1"/>
  <c r="BT330" i="1"/>
  <c r="BU329" i="1"/>
  <c r="BT329" i="1"/>
  <c r="BU328" i="1"/>
  <c r="BT328" i="1"/>
  <c r="BU327" i="1"/>
  <c r="BT327" i="1"/>
  <c r="BU326" i="1"/>
  <c r="BT326" i="1"/>
  <c r="BU325" i="1"/>
  <c r="BT325" i="1"/>
  <c r="BU324" i="1"/>
  <c r="BT324" i="1"/>
  <c r="BU323" i="1"/>
  <c r="BT323" i="1"/>
  <c r="BU322" i="1"/>
  <c r="BT322" i="1"/>
  <c r="BU321" i="1"/>
  <c r="BT321" i="1"/>
  <c r="BU320" i="1"/>
  <c r="BT320" i="1"/>
  <c r="BU319" i="1"/>
  <c r="BT319" i="1"/>
  <c r="BU318" i="1"/>
  <c r="BT318" i="1"/>
  <c r="BU317" i="1"/>
  <c r="BT317" i="1"/>
  <c r="BU316" i="1"/>
  <c r="BT316" i="1"/>
  <c r="BU315" i="1"/>
  <c r="BT315" i="1"/>
  <c r="BU314" i="1"/>
  <c r="BT314" i="1"/>
  <c r="BU313" i="1"/>
  <c r="BT313" i="1"/>
  <c r="BU312" i="1"/>
  <c r="BT312" i="1"/>
  <c r="BU311" i="1"/>
  <c r="BT311" i="1"/>
  <c r="BU310" i="1"/>
  <c r="BT310" i="1"/>
  <c r="BU309" i="1"/>
  <c r="BT309" i="1"/>
  <c r="BU308" i="1"/>
  <c r="BT308" i="1"/>
  <c r="BU307" i="1"/>
  <c r="BT307" i="1"/>
  <c r="BU306" i="1"/>
  <c r="BT306" i="1"/>
  <c r="BU305" i="1"/>
  <c r="BT305" i="1"/>
  <c r="BU304" i="1"/>
  <c r="BT304" i="1"/>
  <c r="BU303" i="1"/>
  <c r="BT303" i="1"/>
  <c r="BU302" i="1"/>
  <c r="BT302" i="1"/>
  <c r="BU301" i="1"/>
  <c r="BT301" i="1"/>
  <c r="BU300" i="1"/>
  <c r="BT300" i="1"/>
  <c r="BU299" i="1"/>
  <c r="BT299" i="1"/>
  <c r="BU298" i="1"/>
  <c r="BT298" i="1"/>
  <c r="BU297" i="1"/>
  <c r="BT297" i="1"/>
  <c r="BU296" i="1"/>
  <c r="BT296" i="1"/>
  <c r="BU295" i="1"/>
  <c r="BT295" i="1"/>
  <c r="BU294" i="1"/>
  <c r="BT294" i="1"/>
  <c r="BU293" i="1"/>
  <c r="BT293" i="1"/>
  <c r="BU292" i="1"/>
  <c r="BT292" i="1"/>
  <c r="BU291" i="1"/>
  <c r="BT291" i="1"/>
  <c r="BU290" i="1"/>
  <c r="BT290" i="1"/>
  <c r="BU289" i="1"/>
  <c r="BT289" i="1"/>
  <c r="BU288" i="1"/>
  <c r="BT288" i="1"/>
  <c r="BU287" i="1"/>
  <c r="BT287" i="1"/>
  <c r="BU286" i="1"/>
  <c r="BT286" i="1"/>
  <c r="BU285" i="1"/>
  <c r="BT285" i="1"/>
  <c r="BU284" i="1"/>
  <c r="BT284" i="1"/>
  <c r="BU283" i="1"/>
  <c r="BT283" i="1"/>
  <c r="BU282" i="1"/>
  <c r="BT282" i="1"/>
  <c r="BU281" i="1"/>
  <c r="BT281" i="1"/>
  <c r="BU280" i="1"/>
  <c r="BT280" i="1"/>
  <c r="BU279" i="1"/>
  <c r="BT279" i="1"/>
  <c r="BU278" i="1"/>
  <c r="BT278" i="1"/>
  <c r="BU277" i="1"/>
  <c r="BT277" i="1"/>
  <c r="BU276" i="1"/>
  <c r="BT276" i="1"/>
  <c r="BU275" i="1"/>
  <c r="BT275" i="1"/>
  <c r="BU274" i="1"/>
  <c r="BT274" i="1"/>
  <c r="BU273" i="1"/>
  <c r="BT273" i="1"/>
  <c r="BU272" i="1"/>
  <c r="BT272" i="1"/>
  <c r="BU271" i="1"/>
  <c r="BT271" i="1"/>
  <c r="BU270" i="1"/>
  <c r="BT270" i="1"/>
  <c r="BU269" i="1"/>
  <c r="BT269" i="1"/>
  <c r="BU268" i="1"/>
  <c r="BT268" i="1"/>
  <c r="BU267" i="1"/>
  <c r="BT267" i="1"/>
  <c r="BU266" i="1"/>
  <c r="BT266" i="1"/>
  <c r="BU265" i="1"/>
  <c r="BT265" i="1"/>
  <c r="BU264" i="1"/>
  <c r="BT264" i="1"/>
  <c r="BU263" i="1"/>
  <c r="BT263" i="1"/>
  <c r="BU262" i="1"/>
  <c r="BT262" i="1"/>
  <c r="BU261" i="1"/>
  <c r="BT261" i="1"/>
  <c r="BU260" i="1"/>
  <c r="BT260" i="1"/>
  <c r="BU259" i="1"/>
  <c r="BT259" i="1"/>
  <c r="BU258" i="1"/>
  <c r="BT258" i="1"/>
  <c r="BU257" i="1"/>
  <c r="BT257" i="1"/>
  <c r="BU256" i="1"/>
  <c r="BT256" i="1"/>
  <c r="BU255" i="1"/>
  <c r="BT255" i="1"/>
  <c r="BU254" i="1"/>
  <c r="BT254" i="1"/>
  <c r="BU253" i="1"/>
  <c r="BT253" i="1"/>
  <c r="BU252" i="1"/>
  <c r="BT252" i="1"/>
  <c r="BU251" i="1"/>
  <c r="BT251" i="1"/>
  <c r="BU250" i="1"/>
  <c r="BT250" i="1"/>
  <c r="BU249" i="1"/>
  <c r="BT249" i="1"/>
  <c r="BU248" i="1"/>
  <c r="BT248" i="1"/>
  <c r="BU247" i="1"/>
  <c r="BT247" i="1"/>
  <c r="BU246" i="1"/>
  <c r="BT246" i="1"/>
  <c r="BU245" i="1"/>
  <c r="BT245" i="1"/>
  <c r="BU244" i="1"/>
  <c r="BT244" i="1"/>
  <c r="BU243" i="1"/>
  <c r="BT243" i="1"/>
  <c r="BU242" i="1"/>
  <c r="BT242" i="1"/>
  <c r="BU241" i="1"/>
  <c r="BT241" i="1"/>
  <c r="BU240" i="1"/>
  <c r="BT240" i="1"/>
  <c r="BU239" i="1"/>
  <c r="BT239" i="1"/>
  <c r="BU238" i="1"/>
  <c r="BT238" i="1"/>
  <c r="BU237" i="1"/>
  <c r="BT237" i="1"/>
  <c r="BU236" i="1"/>
  <c r="BT236" i="1"/>
  <c r="BU235" i="1"/>
  <c r="BT235" i="1"/>
  <c r="BU234" i="1"/>
  <c r="BT234" i="1"/>
  <c r="BU233" i="1"/>
  <c r="BT233" i="1"/>
  <c r="BU232" i="1"/>
  <c r="BT232" i="1"/>
  <c r="BU231" i="1"/>
  <c r="BT231" i="1"/>
  <c r="BU230" i="1"/>
  <c r="BT230" i="1"/>
  <c r="BU229" i="1"/>
  <c r="BT229" i="1"/>
  <c r="BU228" i="1"/>
  <c r="BT228" i="1"/>
  <c r="BU227" i="1"/>
  <c r="BT227" i="1"/>
  <c r="BU226" i="1"/>
  <c r="BT226" i="1"/>
  <c r="BU225" i="1"/>
  <c r="BT225" i="1"/>
  <c r="BU224" i="1"/>
  <c r="BT224" i="1"/>
  <c r="BU223" i="1"/>
  <c r="BT223" i="1"/>
  <c r="BU222" i="1"/>
  <c r="BT222" i="1"/>
  <c r="BU221" i="1"/>
  <c r="BT221" i="1"/>
  <c r="BU220" i="1"/>
  <c r="BT220" i="1"/>
  <c r="BU219" i="1"/>
  <c r="BT219" i="1"/>
  <c r="BU218" i="1"/>
  <c r="BT218" i="1"/>
  <c r="BU217" i="1"/>
  <c r="BT217" i="1"/>
  <c r="BU216" i="1"/>
  <c r="BT216" i="1"/>
  <c r="BU215" i="1"/>
  <c r="BT215" i="1"/>
  <c r="BU214" i="1"/>
  <c r="BT214" i="1"/>
  <c r="BU213" i="1"/>
  <c r="BT213" i="1"/>
  <c r="BU212" i="1"/>
  <c r="BT212" i="1"/>
  <c r="BU211" i="1"/>
  <c r="BT211" i="1"/>
  <c r="BU210" i="1"/>
  <c r="BT210" i="1"/>
  <c r="BU209" i="1"/>
  <c r="BT209" i="1"/>
  <c r="BU208" i="1"/>
  <c r="BT208" i="1"/>
  <c r="BU207" i="1"/>
  <c r="BT207" i="1"/>
  <c r="BU206" i="1"/>
  <c r="BT206" i="1"/>
  <c r="BU205" i="1"/>
  <c r="BT205" i="1"/>
  <c r="BU204" i="1"/>
  <c r="BT204" i="1"/>
  <c r="BU203" i="1"/>
  <c r="BT203" i="1"/>
  <c r="BU202" i="1"/>
  <c r="BT202" i="1"/>
  <c r="BU201" i="1"/>
  <c r="BT201" i="1"/>
  <c r="BU200" i="1"/>
  <c r="BT200" i="1"/>
  <c r="BU199" i="1"/>
  <c r="BT199" i="1"/>
  <c r="BU198" i="1"/>
  <c r="BT198" i="1"/>
  <c r="BU197" i="1"/>
  <c r="BT197" i="1"/>
  <c r="BU196" i="1"/>
  <c r="BT196" i="1"/>
  <c r="BU195" i="1"/>
  <c r="BT195" i="1"/>
  <c r="BU194" i="1"/>
  <c r="BT194" i="1"/>
  <c r="BU193" i="1"/>
  <c r="BT193" i="1"/>
  <c r="BU192" i="1"/>
  <c r="BT192" i="1"/>
  <c r="BU191" i="1"/>
  <c r="BT191" i="1"/>
  <c r="BU190" i="1"/>
  <c r="BT190" i="1"/>
  <c r="BU189" i="1"/>
  <c r="BT189" i="1"/>
  <c r="BU188" i="1"/>
  <c r="BT188" i="1"/>
  <c r="BU187" i="1"/>
  <c r="BT187" i="1"/>
  <c r="BU186" i="1"/>
  <c r="BT186" i="1"/>
  <c r="BU185" i="1"/>
  <c r="BT185" i="1"/>
  <c r="BU184" i="1"/>
  <c r="BT184" i="1"/>
  <c r="BU183" i="1"/>
  <c r="BT183" i="1"/>
  <c r="BU182" i="1"/>
  <c r="BT182" i="1"/>
  <c r="BU181" i="1"/>
  <c r="BT181" i="1"/>
  <c r="BU180" i="1"/>
  <c r="BT180" i="1"/>
  <c r="BU179" i="1"/>
  <c r="BT179" i="1"/>
  <c r="BU178" i="1"/>
  <c r="BT178" i="1"/>
  <c r="BU177" i="1"/>
  <c r="BT177" i="1"/>
  <c r="BU176" i="1"/>
  <c r="BT176" i="1"/>
  <c r="BU175" i="1"/>
  <c r="BT175" i="1"/>
  <c r="BU174" i="1"/>
  <c r="BT174" i="1"/>
  <c r="BU173" i="1"/>
  <c r="BT173" i="1"/>
  <c r="BU172" i="1"/>
  <c r="BT172" i="1"/>
  <c r="BU171" i="1"/>
  <c r="BT171" i="1"/>
  <c r="BU170" i="1"/>
  <c r="BT170" i="1"/>
  <c r="BU169" i="1"/>
  <c r="BT169" i="1"/>
  <c r="BU168" i="1"/>
  <c r="BT168" i="1"/>
  <c r="BU167" i="1"/>
  <c r="BT167" i="1"/>
  <c r="BU166" i="1"/>
  <c r="BT166" i="1"/>
  <c r="BU165" i="1"/>
  <c r="BT165" i="1"/>
  <c r="BU164" i="1"/>
  <c r="BT164" i="1"/>
  <c r="BU163" i="1"/>
  <c r="BT163" i="1"/>
  <c r="BU162" i="1"/>
  <c r="BT162" i="1"/>
  <c r="BU161" i="1"/>
  <c r="BT161" i="1"/>
  <c r="BU160" i="1"/>
  <c r="BT160" i="1"/>
  <c r="BU159" i="1"/>
  <c r="BT159" i="1"/>
  <c r="BU158" i="1"/>
  <c r="BT158" i="1"/>
  <c r="BU157" i="1"/>
  <c r="BT157" i="1"/>
  <c r="BU156" i="1"/>
  <c r="BT156" i="1"/>
  <c r="BU155" i="1"/>
  <c r="BT155" i="1"/>
  <c r="BU154" i="1"/>
  <c r="BT154" i="1"/>
  <c r="BU153" i="1"/>
  <c r="BT153" i="1"/>
  <c r="BU152" i="1"/>
  <c r="BT152" i="1"/>
  <c r="BU151" i="1"/>
  <c r="BT151" i="1"/>
  <c r="BU150" i="1"/>
  <c r="BT150" i="1"/>
  <c r="BU149" i="1"/>
  <c r="BT149" i="1"/>
  <c r="BU148" i="1"/>
  <c r="BT148" i="1"/>
  <c r="BU147" i="1"/>
  <c r="BT147" i="1"/>
  <c r="BU146" i="1"/>
  <c r="BT146" i="1"/>
  <c r="BU145" i="1"/>
  <c r="BT145" i="1"/>
  <c r="BU144" i="1"/>
  <c r="BT144" i="1"/>
  <c r="BU143" i="1"/>
  <c r="BT143" i="1"/>
  <c r="BU142" i="1"/>
  <c r="BT142" i="1"/>
  <c r="BU141" i="1"/>
  <c r="BT141" i="1"/>
  <c r="BU140" i="1"/>
  <c r="BT140" i="1"/>
  <c r="BU139" i="1"/>
  <c r="BT139" i="1"/>
  <c r="BU138" i="1"/>
  <c r="BT138" i="1"/>
  <c r="BU137" i="1"/>
  <c r="BT137" i="1"/>
  <c r="BU136" i="1"/>
  <c r="BT136" i="1"/>
  <c r="BU135" i="1"/>
  <c r="BT135" i="1"/>
  <c r="BU134" i="1"/>
  <c r="BT134" i="1"/>
  <c r="BU133" i="1"/>
  <c r="BT133" i="1"/>
  <c r="BU132" i="1"/>
  <c r="BT132" i="1"/>
  <c r="BU131" i="1"/>
  <c r="BT131" i="1"/>
  <c r="BU130" i="1"/>
  <c r="BT130" i="1"/>
  <c r="BU129" i="1"/>
  <c r="BT129" i="1"/>
  <c r="BU128" i="1"/>
  <c r="BT128" i="1"/>
  <c r="BU127" i="1"/>
  <c r="BT127" i="1"/>
  <c r="BU126" i="1"/>
  <c r="BT126" i="1"/>
  <c r="BU125" i="1"/>
  <c r="BT125" i="1"/>
  <c r="BU124" i="1"/>
  <c r="BT124" i="1"/>
  <c r="BU123" i="1"/>
  <c r="BT123" i="1"/>
  <c r="BU122" i="1"/>
  <c r="BT122" i="1"/>
  <c r="BU121" i="1"/>
  <c r="BT121" i="1"/>
  <c r="BU120" i="1"/>
  <c r="BT120" i="1"/>
  <c r="BU119" i="1"/>
  <c r="BT119" i="1"/>
  <c r="BU118" i="1"/>
  <c r="BT118" i="1"/>
  <c r="BU117" i="1"/>
  <c r="BT117" i="1"/>
  <c r="BU116" i="1"/>
  <c r="BT116" i="1"/>
  <c r="BU115" i="1"/>
  <c r="BT115" i="1"/>
  <c r="BU114" i="1"/>
  <c r="BT114" i="1"/>
  <c r="BU113" i="1"/>
  <c r="BT113" i="1"/>
  <c r="BU112" i="1"/>
  <c r="BT112" i="1"/>
  <c r="BU111" i="1"/>
  <c r="BT111" i="1"/>
  <c r="BU110" i="1"/>
  <c r="BT110" i="1"/>
  <c r="BU109" i="1"/>
  <c r="BT109" i="1"/>
  <c r="BU108" i="1"/>
  <c r="BT108" i="1"/>
  <c r="BU107" i="1"/>
  <c r="BT107" i="1"/>
  <c r="BU106" i="1"/>
  <c r="BT106" i="1"/>
  <c r="BU105" i="1"/>
  <c r="BT105" i="1"/>
  <c r="BU104" i="1"/>
  <c r="BT104" i="1"/>
  <c r="BU103" i="1"/>
  <c r="BT103" i="1"/>
  <c r="BU102" i="1"/>
  <c r="BT102" i="1"/>
  <c r="BU101" i="1"/>
  <c r="BT101" i="1"/>
  <c r="BU100" i="1"/>
  <c r="BT100" i="1"/>
  <c r="BU99" i="1"/>
  <c r="BT99" i="1"/>
  <c r="BU98" i="1"/>
  <c r="BT98" i="1"/>
  <c r="BU97" i="1"/>
  <c r="BT97" i="1"/>
  <c r="BU96" i="1"/>
  <c r="BT96" i="1"/>
  <c r="BU95" i="1"/>
  <c r="BT95" i="1"/>
  <c r="BU94" i="1"/>
  <c r="BT94" i="1"/>
  <c r="BU93" i="1"/>
  <c r="BT93" i="1"/>
  <c r="BU92" i="1"/>
  <c r="BT92" i="1"/>
  <c r="BU91" i="1"/>
  <c r="BT91" i="1"/>
  <c r="BU90" i="1"/>
  <c r="BT90" i="1"/>
  <c r="BU89" i="1"/>
  <c r="BT89" i="1"/>
  <c r="BU88" i="1"/>
  <c r="BT88" i="1"/>
  <c r="BU87" i="1"/>
  <c r="BT87" i="1"/>
  <c r="BU86" i="1"/>
  <c r="BT86" i="1"/>
  <c r="BU85" i="1"/>
  <c r="BT85" i="1"/>
  <c r="BU84" i="1"/>
  <c r="BT84" i="1"/>
  <c r="BU83" i="1"/>
  <c r="BT83" i="1"/>
  <c r="BU82" i="1"/>
  <c r="BT82" i="1"/>
  <c r="BU81" i="1"/>
  <c r="BT81" i="1"/>
  <c r="BU80" i="1"/>
  <c r="BT80" i="1"/>
  <c r="BU79" i="1"/>
  <c r="BT79" i="1"/>
  <c r="BU78" i="1"/>
  <c r="BT78" i="1"/>
  <c r="BU77" i="1"/>
  <c r="BT77" i="1"/>
  <c r="BU76" i="1"/>
  <c r="BT76" i="1"/>
  <c r="BU75" i="1"/>
  <c r="BT75" i="1"/>
  <c r="BU74" i="1"/>
  <c r="BT74" i="1"/>
  <c r="BU73" i="1"/>
  <c r="BT73" i="1"/>
  <c r="BU72" i="1"/>
  <c r="BT72" i="1"/>
  <c r="BU71" i="1"/>
  <c r="BT71" i="1"/>
  <c r="BU70" i="1"/>
  <c r="BT70" i="1"/>
  <c r="BU69" i="1"/>
  <c r="BT69" i="1"/>
  <c r="BU68" i="1"/>
  <c r="BT68" i="1"/>
  <c r="BU67" i="1"/>
  <c r="BT67" i="1"/>
  <c r="BU66" i="1"/>
  <c r="BT66" i="1"/>
  <c r="BU65" i="1"/>
  <c r="BT65" i="1"/>
  <c r="BU64" i="1"/>
  <c r="BT64" i="1"/>
  <c r="BU63" i="1"/>
  <c r="BT63" i="1"/>
  <c r="BU62" i="1"/>
  <c r="BT62" i="1"/>
  <c r="BU61" i="1"/>
  <c r="BT61" i="1"/>
  <c r="BU60" i="1"/>
  <c r="BT60" i="1"/>
  <c r="BU59" i="1"/>
  <c r="BT59" i="1"/>
  <c r="BU58" i="1"/>
  <c r="BT58" i="1"/>
  <c r="BU57" i="1"/>
  <c r="BT57" i="1"/>
  <c r="BU56" i="1"/>
  <c r="BT56" i="1"/>
  <c r="BU55" i="1"/>
  <c r="BT55" i="1"/>
  <c r="BU54" i="1"/>
  <c r="BT54" i="1"/>
  <c r="BU53" i="1"/>
  <c r="BT53" i="1"/>
  <c r="BU52" i="1"/>
  <c r="BT52" i="1"/>
  <c r="BU51" i="1"/>
  <c r="BT51" i="1"/>
  <c r="BU50" i="1"/>
  <c r="BT50" i="1"/>
  <c r="BU49" i="1"/>
  <c r="BT49" i="1"/>
  <c r="BU48" i="1"/>
  <c r="BT48" i="1"/>
  <c r="BU47" i="1"/>
  <c r="BT47" i="1"/>
  <c r="BU46" i="1"/>
  <c r="BT46" i="1"/>
  <c r="BU45" i="1"/>
  <c r="BT45" i="1"/>
  <c r="BU44" i="1"/>
  <c r="BT44" i="1"/>
  <c r="BU43" i="1"/>
  <c r="BT43" i="1"/>
  <c r="BU42" i="1"/>
  <c r="BT42" i="1"/>
  <c r="BU41" i="1"/>
  <c r="BT41" i="1"/>
  <c r="BU40" i="1"/>
  <c r="BT40" i="1"/>
  <c r="BU39" i="1"/>
  <c r="BT39" i="1"/>
  <c r="BU38" i="1"/>
  <c r="BT38" i="1"/>
  <c r="BU37" i="1"/>
  <c r="BT37" i="1"/>
  <c r="BU36" i="1"/>
  <c r="BT36" i="1"/>
  <c r="BU35" i="1"/>
  <c r="BT35" i="1"/>
  <c r="BU34" i="1"/>
  <c r="BT34" i="1"/>
  <c r="BU33" i="1"/>
  <c r="BT33" i="1"/>
  <c r="BU32" i="1"/>
  <c r="BT32" i="1"/>
  <c r="BU31" i="1"/>
  <c r="BT31" i="1"/>
  <c r="BU30" i="1"/>
  <c r="BT30" i="1"/>
  <c r="BU29" i="1"/>
  <c r="BT29" i="1"/>
  <c r="BU28" i="1"/>
  <c r="BT28" i="1"/>
  <c r="BU27" i="1"/>
  <c r="BT27" i="1"/>
  <c r="BU26" i="1"/>
  <c r="BT26" i="1"/>
  <c r="BU25" i="1"/>
  <c r="BT25" i="1"/>
  <c r="BU24" i="1"/>
  <c r="BT24" i="1"/>
  <c r="BU23" i="1"/>
  <c r="BT23" i="1"/>
  <c r="BU22" i="1"/>
  <c r="BT22" i="1"/>
  <c r="BU21" i="1"/>
  <c r="BT21" i="1"/>
  <c r="BU20" i="1"/>
  <c r="BT20" i="1"/>
  <c r="BU19" i="1"/>
  <c r="BT19" i="1"/>
  <c r="BU18" i="1"/>
  <c r="BT18" i="1"/>
  <c r="BU17" i="1"/>
  <c r="BT17" i="1"/>
  <c r="BU16" i="1"/>
  <c r="BT16" i="1"/>
  <c r="BU15" i="1"/>
  <c r="BT15" i="1"/>
  <c r="BU14" i="1"/>
  <c r="BT14" i="1"/>
  <c r="BU13" i="1"/>
  <c r="BT13" i="1"/>
  <c r="BU12" i="1"/>
  <c r="BT12" i="1"/>
  <c r="BU11" i="1"/>
  <c r="BT11" i="1"/>
  <c r="BU10" i="1"/>
  <c r="BT10" i="1"/>
  <c r="BU9" i="1"/>
  <c r="BT9" i="1"/>
  <c r="BO353" i="1"/>
  <c r="BN353" i="1"/>
  <c r="BO352" i="1"/>
  <c r="BN352" i="1"/>
  <c r="BO351" i="1"/>
  <c r="BN351" i="1"/>
  <c r="BO350" i="1"/>
  <c r="BN350" i="1"/>
  <c r="BO349" i="1"/>
  <c r="BN349" i="1"/>
  <c r="BO348" i="1"/>
  <c r="BN348" i="1"/>
  <c r="BO347" i="1"/>
  <c r="BN347" i="1"/>
  <c r="BO346" i="1"/>
  <c r="BN346" i="1"/>
  <c r="BO345" i="1"/>
  <c r="BN345" i="1"/>
  <c r="BO344" i="1"/>
  <c r="BN344" i="1"/>
  <c r="BO343" i="1"/>
  <c r="BN343" i="1"/>
  <c r="BO342" i="1"/>
  <c r="BN342" i="1"/>
  <c r="BO341" i="1"/>
  <c r="BN341" i="1"/>
  <c r="BO340" i="1"/>
  <c r="BN340" i="1"/>
  <c r="BO339" i="1"/>
  <c r="BN339" i="1"/>
  <c r="BO338" i="1"/>
  <c r="BN338" i="1"/>
  <c r="BO337" i="1"/>
  <c r="BN337" i="1"/>
  <c r="BO336" i="1"/>
  <c r="BN336" i="1"/>
  <c r="BO335" i="1"/>
  <c r="BN335" i="1"/>
  <c r="BO334" i="1"/>
  <c r="BN334" i="1"/>
  <c r="BO333" i="1"/>
  <c r="BN333" i="1"/>
  <c r="BO332" i="1"/>
  <c r="BN332" i="1"/>
  <c r="BO331" i="1"/>
  <c r="BN331" i="1"/>
  <c r="BO330" i="1"/>
  <c r="BN330" i="1"/>
  <c r="BO329" i="1"/>
  <c r="BN329" i="1"/>
  <c r="BO328" i="1"/>
  <c r="BN328" i="1"/>
  <c r="BO327" i="1"/>
  <c r="BN327" i="1"/>
  <c r="BO326" i="1"/>
  <c r="BN326" i="1"/>
  <c r="BO325" i="1"/>
  <c r="BN325" i="1"/>
  <c r="BO324" i="1"/>
  <c r="BN324" i="1"/>
  <c r="BO323" i="1"/>
  <c r="BN323" i="1"/>
  <c r="BO322" i="1"/>
  <c r="BN322" i="1"/>
  <c r="BO321" i="1"/>
  <c r="BN321" i="1"/>
  <c r="BO320" i="1"/>
  <c r="BN320" i="1"/>
  <c r="BO319" i="1"/>
  <c r="BN319" i="1"/>
  <c r="BO318" i="1"/>
  <c r="BN318" i="1"/>
  <c r="BO317" i="1"/>
  <c r="BN317" i="1"/>
  <c r="BO316" i="1"/>
  <c r="BN316" i="1"/>
  <c r="BO315" i="1"/>
  <c r="BN315" i="1"/>
  <c r="BO314" i="1"/>
  <c r="BN314" i="1"/>
  <c r="BO313" i="1"/>
  <c r="BN313" i="1"/>
  <c r="BO312" i="1"/>
  <c r="BN312" i="1"/>
  <c r="BO311" i="1"/>
  <c r="BN311" i="1"/>
  <c r="BO310" i="1"/>
  <c r="BN310" i="1"/>
  <c r="BO309" i="1"/>
  <c r="BN309" i="1"/>
  <c r="BO308" i="1"/>
  <c r="BN308" i="1"/>
  <c r="BO307" i="1"/>
  <c r="BN307" i="1"/>
  <c r="BO306" i="1"/>
  <c r="BN306" i="1"/>
  <c r="BO305" i="1"/>
  <c r="BN305" i="1"/>
  <c r="BO304" i="1"/>
  <c r="BN304" i="1"/>
  <c r="BO303" i="1"/>
  <c r="BN303" i="1"/>
  <c r="BO302" i="1"/>
  <c r="BN302" i="1"/>
  <c r="BO301" i="1"/>
  <c r="BN301" i="1"/>
  <c r="BO300" i="1"/>
  <c r="BN300" i="1"/>
  <c r="BO299" i="1"/>
  <c r="BN299" i="1"/>
  <c r="BO298" i="1"/>
  <c r="BN298" i="1"/>
  <c r="BO297" i="1"/>
  <c r="BN297" i="1"/>
  <c r="BO296" i="1"/>
  <c r="BN296" i="1"/>
  <c r="BO295" i="1"/>
  <c r="BN295" i="1"/>
  <c r="BO294" i="1"/>
  <c r="BN294" i="1"/>
  <c r="BO293" i="1"/>
  <c r="BN293" i="1"/>
  <c r="BO292" i="1"/>
  <c r="BN292" i="1"/>
  <c r="BO291" i="1"/>
  <c r="BN291" i="1"/>
  <c r="BO290" i="1"/>
  <c r="BN290" i="1"/>
  <c r="BO289" i="1"/>
  <c r="BN289" i="1"/>
  <c r="BO288" i="1"/>
  <c r="BN288" i="1"/>
  <c r="BO287" i="1"/>
  <c r="BN287" i="1"/>
  <c r="BO286" i="1"/>
  <c r="BN286" i="1"/>
  <c r="BO285" i="1"/>
  <c r="BN285" i="1"/>
  <c r="BO284" i="1"/>
  <c r="BN284" i="1"/>
  <c r="BO283" i="1"/>
  <c r="BN283" i="1"/>
  <c r="BO282" i="1"/>
  <c r="BN282" i="1"/>
  <c r="BO281" i="1"/>
  <c r="BN281" i="1"/>
  <c r="BO280" i="1"/>
  <c r="BN280" i="1"/>
  <c r="BO279" i="1"/>
  <c r="BN279" i="1"/>
  <c r="BO278" i="1"/>
  <c r="BN278" i="1"/>
  <c r="BO277" i="1"/>
  <c r="BN277" i="1"/>
  <c r="BO276" i="1"/>
  <c r="BN276" i="1"/>
  <c r="BO275" i="1"/>
  <c r="BN275" i="1"/>
  <c r="BO274" i="1"/>
  <c r="BN274" i="1"/>
  <c r="BO273" i="1"/>
  <c r="BN273" i="1"/>
  <c r="BO272" i="1"/>
  <c r="BN272" i="1"/>
  <c r="BO271" i="1"/>
  <c r="BN271" i="1"/>
  <c r="BO270" i="1"/>
  <c r="BN270" i="1"/>
  <c r="BO269" i="1"/>
  <c r="BN269" i="1"/>
  <c r="BO268" i="1"/>
  <c r="BN268" i="1"/>
  <c r="BO267" i="1"/>
  <c r="BN267" i="1"/>
  <c r="BO266" i="1"/>
  <c r="BN266" i="1"/>
  <c r="BO265" i="1"/>
  <c r="BN265" i="1"/>
  <c r="BO264" i="1"/>
  <c r="BN264" i="1"/>
  <c r="BO263" i="1"/>
  <c r="BN263" i="1"/>
  <c r="BO262" i="1"/>
  <c r="BN262" i="1"/>
  <c r="BO261" i="1"/>
  <c r="BN261" i="1"/>
  <c r="BO260" i="1"/>
  <c r="BN260" i="1"/>
  <c r="BO259" i="1"/>
  <c r="BN259" i="1"/>
  <c r="BO258" i="1"/>
  <c r="BN258" i="1"/>
  <c r="BO257" i="1"/>
  <c r="BN257" i="1"/>
  <c r="BO256" i="1"/>
  <c r="BN256" i="1"/>
  <c r="BO255" i="1"/>
  <c r="BN255" i="1"/>
  <c r="BO254" i="1"/>
  <c r="BN254" i="1"/>
  <c r="BO253" i="1"/>
  <c r="BN253" i="1"/>
  <c r="BO252" i="1"/>
  <c r="BN252" i="1"/>
  <c r="BO251" i="1"/>
  <c r="BN251" i="1"/>
  <c r="BO250" i="1"/>
  <c r="BN250" i="1"/>
  <c r="BO249" i="1"/>
  <c r="BN249" i="1"/>
  <c r="BO248" i="1"/>
  <c r="BN248" i="1"/>
  <c r="BO247" i="1"/>
  <c r="BN247" i="1"/>
  <c r="BO246" i="1"/>
  <c r="BN246" i="1"/>
  <c r="BO245" i="1"/>
  <c r="BN245" i="1"/>
  <c r="BO244" i="1"/>
  <c r="BN244" i="1"/>
  <c r="BO243" i="1"/>
  <c r="BN243" i="1"/>
  <c r="BO242" i="1"/>
  <c r="BN242" i="1"/>
  <c r="BO241" i="1"/>
  <c r="BN241" i="1"/>
  <c r="BO240" i="1"/>
  <c r="BN240" i="1"/>
  <c r="BO239" i="1"/>
  <c r="BN239" i="1"/>
  <c r="BO238" i="1"/>
  <c r="BN238" i="1"/>
  <c r="BO237" i="1"/>
  <c r="BN237" i="1"/>
  <c r="BO236" i="1"/>
  <c r="BN236" i="1"/>
  <c r="BO235" i="1"/>
  <c r="BN235" i="1"/>
  <c r="BO234" i="1"/>
  <c r="BN234" i="1"/>
  <c r="BO233" i="1"/>
  <c r="BN233" i="1"/>
  <c r="BO232" i="1"/>
  <c r="BN232" i="1"/>
  <c r="BO231" i="1"/>
  <c r="BN231" i="1"/>
  <c r="BO230" i="1"/>
  <c r="BN230" i="1"/>
  <c r="BO229" i="1"/>
  <c r="BN229" i="1"/>
  <c r="BO228" i="1"/>
  <c r="BN228" i="1"/>
  <c r="BO227" i="1"/>
  <c r="BN227" i="1"/>
  <c r="BO226" i="1"/>
  <c r="BN226" i="1"/>
  <c r="BO225" i="1"/>
  <c r="BN225" i="1"/>
  <c r="BO224" i="1"/>
  <c r="BN224" i="1"/>
  <c r="BO223" i="1"/>
  <c r="BN223" i="1"/>
  <c r="BO222" i="1"/>
  <c r="BN222" i="1"/>
  <c r="BO221" i="1"/>
  <c r="BN221" i="1"/>
  <c r="BO220" i="1"/>
  <c r="BN220" i="1"/>
  <c r="BO219" i="1"/>
  <c r="BN219" i="1"/>
  <c r="BO218" i="1"/>
  <c r="BN218" i="1"/>
  <c r="BO217" i="1"/>
  <c r="BN217" i="1"/>
  <c r="BO216" i="1"/>
  <c r="BN216" i="1"/>
  <c r="BO215" i="1"/>
  <c r="BN215" i="1"/>
  <c r="BO214" i="1"/>
  <c r="BN214" i="1"/>
  <c r="BO213" i="1"/>
  <c r="BN213" i="1"/>
  <c r="BO212" i="1"/>
  <c r="BN212" i="1"/>
  <c r="BO211" i="1"/>
  <c r="BN211" i="1"/>
  <c r="BO210" i="1"/>
  <c r="BN210" i="1"/>
  <c r="BO209" i="1"/>
  <c r="BN209" i="1"/>
  <c r="BO208" i="1"/>
  <c r="BN208" i="1"/>
  <c r="BO207" i="1"/>
  <c r="BN207" i="1"/>
  <c r="BO206" i="1"/>
  <c r="BN206" i="1"/>
  <c r="BO205" i="1"/>
  <c r="BN205" i="1"/>
  <c r="BO204" i="1"/>
  <c r="BN204" i="1"/>
  <c r="BO203" i="1"/>
  <c r="BN203" i="1"/>
  <c r="BO202" i="1"/>
  <c r="BN202" i="1"/>
  <c r="BO201" i="1"/>
  <c r="BN201" i="1"/>
  <c r="BO200" i="1"/>
  <c r="BN200" i="1"/>
  <c r="BO199" i="1"/>
  <c r="BN199" i="1"/>
  <c r="BO198" i="1"/>
  <c r="BN198" i="1"/>
  <c r="BO197" i="1"/>
  <c r="BN197" i="1"/>
  <c r="BO196" i="1"/>
  <c r="BN196" i="1"/>
  <c r="BO195" i="1"/>
  <c r="BN195" i="1"/>
  <c r="BO194" i="1"/>
  <c r="BN194" i="1"/>
  <c r="BO193" i="1"/>
  <c r="BN193" i="1"/>
  <c r="BO192" i="1"/>
  <c r="BN192" i="1"/>
  <c r="BO191" i="1"/>
  <c r="BN191" i="1"/>
  <c r="BO190" i="1"/>
  <c r="BN190" i="1"/>
  <c r="BO189" i="1"/>
  <c r="BN189" i="1"/>
  <c r="BO188" i="1"/>
  <c r="BN188" i="1"/>
  <c r="BO187" i="1"/>
  <c r="BN187" i="1"/>
  <c r="BO186" i="1"/>
  <c r="BN186" i="1"/>
  <c r="BO185" i="1"/>
  <c r="BN185" i="1"/>
  <c r="BO184" i="1"/>
  <c r="BN184" i="1"/>
  <c r="BO183" i="1"/>
  <c r="BN183" i="1"/>
  <c r="BO182" i="1"/>
  <c r="BN182" i="1"/>
  <c r="BO181" i="1"/>
  <c r="BN181" i="1"/>
  <c r="BO180" i="1"/>
  <c r="BN180" i="1"/>
  <c r="BO179" i="1"/>
  <c r="BN179" i="1"/>
  <c r="BO178" i="1"/>
  <c r="BN178" i="1"/>
  <c r="BO177" i="1"/>
  <c r="BN177" i="1"/>
  <c r="BO176" i="1"/>
  <c r="BN176" i="1"/>
  <c r="BO175" i="1"/>
  <c r="BN175" i="1"/>
  <c r="BO174" i="1"/>
  <c r="BN174" i="1"/>
  <c r="BO173" i="1"/>
  <c r="BN173" i="1"/>
  <c r="BO172" i="1"/>
  <c r="BN172" i="1"/>
  <c r="BO171" i="1"/>
  <c r="BN171" i="1"/>
  <c r="BO170" i="1"/>
  <c r="BN170" i="1"/>
  <c r="BO169" i="1"/>
  <c r="BN169" i="1"/>
  <c r="BO168" i="1"/>
  <c r="BN168" i="1"/>
  <c r="BO167" i="1"/>
  <c r="BN167" i="1"/>
  <c r="BO166" i="1"/>
  <c r="BN166" i="1"/>
  <c r="BO165" i="1"/>
  <c r="BN165" i="1"/>
  <c r="BO164" i="1"/>
  <c r="BN164" i="1"/>
  <c r="BO163" i="1"/>
  <c r="BN163" i="1"/>
  <c r="BO162" i="1"/>
  <c r="BN162" i="1"/>
  <c r="BO161" i="1"/>
  <c r="BN161" i="1"/>
  <c r="BO160" i="1"/>
  <c r="BN160" i="1"/>
  <c r="BO159" i="1"/>
  <c r="BN159" i="1"/>
  <c r="BO158" i="1"/>
  <c r="BN158" i="1"/>
  <c r="BO157" i="1"/>
  <c r="BN157" i="1"/>
  <c r="BO156" i="1"/>
  <c r="BN156" i="1"/>
  <c r="BO155" i="1"/>
  <c r="BN155" i="1"/>
  <c r="BO154" i="1"/>
  <c r="BN154" i="1"/>
  <c r="BO153" i="1"/>
  <c r="BN153" i="1"/>
  <c r="BO152" i="1"/>
  <c r="BN152" i="1"/>
  <c r="BO151" i="1"/>
  <c r="BN151" i="1"/>
  <c r="BO150" i="1"/>
  <c r="BN150" i="1"/>
  <c r="BO149" i="1"/>
  <c r="BN149" i="1"/>
  <c r="BO148" i="1"/>
  <c r="BN148" i="1"/>
  <c r="BO147" i="1"/>
  <c r="BN147" i="1"/>
  <c r="BO146" i="1"/>
  <c r="BN146" i="1"/>
  <c r="BO145" i="1"/>
  <c r="BN145" i="1"/>
  <c r="BO144" i="1"/>
  <c r="BN144" i="1"/>
  <c r="BO143" i="1"/>
  <c r="BN143" i="1"/>
  <c r="BO142" i="1"/>
  <c r="BN142" i="1"/>
  <c r="BO141" i="1"/>
  <c r="BN141" i="1"/>
  <c r="BO140" i="1"/>
  <c r="BN140" i="1"/>
  <c r="BO139" i="1"/>
  <c r="BN139" i="1"/>
  <c r="BO138" i="1"/>
  <c r="BN138" i="1"/>
  <c r="BO137" i="1"/>
  <c r="BN137" i="1"/>
  <c r="BO136" i="1"/>
  <c r="BN136" i="1"/>
  <c r="BO135" i="1"/>
  <c r="BN135" i="1"/>
  <c r="BO134" i="1"/>
  <c r="BN134" i="1"/>
  <c r="BO133" i="1"/>
  <c r="BN133" i="1"/>
  <c r="BO132" i="1"/>
  <c r="BN132" i="1"/>
  <c r="BO131" i="1"/>
  <c r="BN131" i="1"/>
  <c r="BO130" i="1"/>
  <c r="BN130" i="1"/>
  <c r="BO129" i="1"/>
  <c r="BN129" i="1"/>
  <c r="BO128" i="1"/>
  <c r="BN128" i="1"/>
  <c r="BO127" i="1"/>
  <c r="BN127" i="1"/>
  <c r="BO126" i="1"/>
  <c r="BN126" i="1"/>
  <c r="BO125" i="1"/>
  <c r="BN125" i="1"/>
  <c r="BO124" i="1"/>
  <c r="BN124" i="1"/>
  <c r="BO123" i="1"/>
  <c r="BN123" i="1"/>
  <c r="BO122" i="1"/>
  <c r="BN122" i="1"/>
  <c r="BO121" i="1"/>
  <c r="BN121" i="1"/>
  <c r="BO120" i="1"/>
  <c r="BN120" i="1"/>
  <c r="BO119" i="1"/>
  <c r="BN119" i="1"/>
  <c r="BO118" i="1"/>
  <c r="BN118" i="1"/>
  <c r="BO117" i="1"/>
  <c r="BN117" i="1"/>
  <c r="BO116" i="1"/>
  <c r="BN116" i="1"/>
  <c r="BO115" i="1"/>
  <c r="BN115" i="1"/>
  <c r="BO114" i="1"/>
  <c r="BN114" i="1"/>
  <c r="BO113" i="1"/>
  <c r="BN113" i="1"/>
  <c r="BO112" i="1"/>
  <c r="BN112" i="1"/>
  <c r="BO111" i="1"/>
  <c r="BN111" i="1"/>
  <c r="BO110" i="1"/>
  <c r="BN110" i="1"/>
  <c r="BO109" i="1"/>
  <c r="BN109" i="1"/>
  <c r="BO108" i="1"/>
  <c r="BN108" i="1"/>
  <c r="BO107" i="1"/>
  <c r="BN107" i="1"/>
  <c r="BO106" i="1"/>
  <c r="BN106" i="1"/>
  <c r="BO105" i="1"/>
  <c r="BN105" i="1"/>
  <c r="BO104" i="1"/>
  <c r="BN104" i="1"/>
  <c r="BO103" i="1"/>
  <c r="BN103" i="1"/>
  <c r="BO102" i="1"/>
  <c r="BN102" i="1"/>
  <c r="BO101" i="1"/>
  <c r="BN101" i="1"/>
  <c r="BO100" i="1"/>
  <c r="BN100" i="1"/>
  <c r="BO99" i="1"/>
  <c r="BN99" i="1"/>
  <c r="BO98" i="1"/>
  <c r="BN98" i="1"/>
  <c r="BO97" i="1"/>
  <c r="BN97" i="1"/>
  <c r="BO96" i="1"/>
  <c r="BN96" i="1"/>
  <c r="BO95" i="1"/>
  <c r="BN95" i="1"/>
  <c r="BO94" i="1"/>
  <c r="BN94" i="1"/>
  <c r="BO93" i="1"/>
  <c r="BN93" i="1"/>
  <c r="BO92" i="1"/>
  <c r="BN92" i="1"/>
  <c r="BO91" i="1"/>
  <c r="BN91" i="1"/>
  <c r="BO90" i="1"/>
  <c r="BN90" i="1"/>
  <c r="BO89" i="1"/>
  <c r="BN89" i="1"/>
  <c r="BO88" i="1"/>
  <c r="BN88" i="1"/>
  <c r="BO87" i="1"/>
  <c r="BN87" i="1"/>
  <c r="BO86" i="1"/>
  <c r="BN86" i="1"/>
  <c r="BO85" i="1"/>
  <c r="BN85" i="1"/>
  <c r="BO84" i="1"/>
  <c r="BN84" i="1"/>
  <c r="BO83" i="1"/>
  <c r="BN83" i="1"/>
  <c r="BO82" i="1"/>
  <c r="BN82" i="1"/>
  <c r="BO81" i="1"/>
  <c r="BN81" i="1"/>
  <c r="BO80" i="1"/>
  <c r="BN80" i="1"/>
  <c r="BO79" i="1"/>
  <c r="BN79" i="1"/>
  <c r="BO78" i="1"/>
  <c r="BN78" i="1"/>
  <c r="BO77" i="1"/>
  <c r="BN77" i="1"/>
  <c r="BO76" i="1"/>
  <c r="BN76" i="1"/>
  <c r="BO75" i="1"/>
  <c r="BN75" i="1"/>
  <c r="BO74" i="1"/>
  <c r="BN74" i="1"/>
  <c r="BO73" i="1"/>
  <c r="BN73" i="1"/>
  <c r="BO72" i="1"/>
  <c r="BN72" i="1"/>
  <c r="BO71" i="1"/>
  <c r="BN71" i="1"/>
  <c r="BO70" i="1"/>
  <c r="BN70" i="1"/>
  <c r="BO69" i="1"/>
  <c r="BN69" i="1"/>
  <c r="BO68" i="1"/>
  <c r="BN68" i="1"/>
  <c r="BO67" i="1"/>
  <c r="BN67" i="1"/>
  <c r="BO66" i="1"/>
  <c r="BN66" i="1"/>
  <c r="BO65" i="1"/>
  <c r="BN65" i="1"/>
  <c r="BO64" i="1"/>
  <c r="BN64" i="1"/>
  <c r="BO63" i="1"/>
  <c r="BN63" i="1"/>
  <c r="BO62" i="1"/>
  <c r="BN62" i="1"/>
  <c r="BO61" i="1"/>
  <c r="BN61" i="1"/>
  <c r="BO60" i="1"/>
  <c r="BN60" i="1"/>
  <c r="BO59" i="1"/>
  <c r="BN59" i="1"/>
  <c r="BO58" i="1"/>
  <c r="BN58" i="1"/>
  <c r="BO57" i="1"/>
  <c r="BN57" i="1"/>
  <c r="BO56" i="1"/>
  <c r="BN56" i="1"/>
  <c r="BO55" i="1"/>
  <c r="BN55" i="1"/>
  <c r="BO54" i="1"/>
  <c r="BN54" i="1"/>
  <c r="BO53" i="1"/>
  <c r="BN53" i="1"/>
  <c r="BO52" i="1"/>
  <c r="BN52" i="1"/>
  <c r="BO51" i="1"/>
  <c r="BN51" i="1"/>
  <c r="BO50" i="1"/>
  <c r="BN50" i="1"/>
  <c r="BO49" i="1"/>
  <c r="BN49" i="1"/>
  <c r="BO48" i="1"/>
  <c r="BN48" i="1"/>
  <c r="BO47" i="1"/>
  <c r="BN47" i="1"/>
  <c r="BO46" i="1"/>
  <c r="BN46" i="1"/>
  <c r="BO45" i="1"/>
  <c r="BN45" i="1"/>
  <c r="BO44" i="1"/>
  <c r="BN44" i="1"/>
  <c r="BO43" i="1"/>
  <c r="BN43" i="1"/>
  <c r="BO42" i="1"/>
  <c r="BN42" i="1"/>
  <c r="BO41" i="1"/>
  <c r="BN41" i="1"/>
  <c r="BO40" i="1"/>
  <c r="BN40" i="1"/>
  <c r="BO39" i="1"/>
  <c r="BN39" i="1"/>
  <c r="BO38" i="1"/>
  <c r="BN38" i="1"/>
  <c r="BO37" i="1"/>
  <c r="BN37" i="1"/>
  <c r="BO36" i="1"/>
  <c r="BN36" i="1"/>
  <c r="BO35" i="1"/>
  <c r="BN35" i="1"/>
  <c r="BO34" i="1"/>
  <c r="BN34" i="1"/>
  <c r="BO33" i="1"/>
  <c r="BN33" i="1"/>
  <c r="BO32" i="1"/>
  <c r="BN32" i="1"/>
  <c r="BO31" i="1"/>
  <c r="BN31" i="1"/>
  <c r="BO30" i="1"/>
  <c r="BN30" i="1"/>
  <c r="BO29" i="1"/>
  <c r="BN29" i="1"/>
  <c r="BO28" i="1"/>
  <c r="BN28" i="1"/>
  <c r="BO27" i="1"/>
  <c r="BN27" i="1"/>
  <c r="BO26" i="1"/>
  <c r="BN26" i="1"/>
  <c r="BO25" i="1"/>
  <c r="BN25" i="1"/>
  <c r="BO24" i="1"/>
  <c r="BN24" i="1"/>
  <c r="BO23" i="1"/>
  <c r="BN23" i="1"/>
  <c r="BO22" i="1"/>
  <c r="BN22" i="1"/>
  <c r="BO21" i="1"/>
  <c r="BN21" i="1"/>
  <c r="BO20" i="1"/>
  <c r="BN20" i="1"/>
  <c r="BO19" i="1"/>
  <c r="BN19" i="1"/>
  <c r="BO18" i="1"/>
  <c r="BN18" i="1"/>
  <c r="BO17" i="1"/>
  <c r="BN17" i="1"/>
  <c r="BO16" i="1"/>
  <c r="BN16" i="1"/>
  <c r="BO15" i="1"/>
  <c r="BN15" i="1"/>
  <c r="BO14" i="1"/>
  <c r="BN14" i="1"/>
  <c r="BO13" i="1"/>
  <c r="BN13" i="1"/>
  <c r="BO12" i="1"/>
  <c r="BN12" i="1"/>
  <c r="BO11" i="1"/>
  <c r="BN11" i="1"/>
  <c r="BO10" i="1"/>
  <c r="BN10" i="1"/>
  <c r="BO9" i="1"/>
  <c r="BN9" i="1"/>
  <c r="BL353" i="1"/>
  <c r="BK353" i="1"/>
  <c r="BL352" i="1"/>
  <c r="BK352" i="1"/>
  <c r="BL351" i="1"/>
  <c r="BK351" i="1"/>
  <c r="BL350" i="1"/>
  <c r="BK350" i="1"/>
  <c r="BL349" i="1"/>
  <c r="BK349" i="1"/>
  <c r="BL348" i="1"/>
  <c r="BK348" i="1"/>
  <c r="BL347" i="1"/>
  <c r="BK347" i="1"/>
  <c r="BL346" i="1"/>
  <c r="BK346" i="1"/>
  <c r="BL345" i="1"/>
  <c r="BK345" i="1"/>
  <c r="BL344" i="1"/>
  <c r="BK344" i="1"/>
  <c r="BL343" i="1"/>
  <c r="BK343" i="1"/>
  <c r="BL342" i="1"/>
  <c r="BK342" i="1"/>
  <c r="BL341" i="1"/>
  <c r="BK341" i="1"/>
  <c r="BL340" i="1"/>
  <c r="BK340" i="1"/>
  <c r="BL339" i="1"/>
  <c r="BK339" i="1"/>
  <c r="BL338" i="1"/>
  <c r="BK338" i="1"/>
  <c r="BL337" i="1"/>
  <c r="BK337" i="1"/>
  <c r="BL336" i="1"/>
  <c r="BK336" i="1"/>
  <c r="BL335" i="1"/>
  <c r="BK335" i="1"/>
  <c r="BL334" i="1"/>
  <c r="BK334" i="1"/>
  <c r="BL333" i="1"/>
  <c r="BK333" i="1"/>
  <c r="BL332" i="1"/>
  <c r="BK332" i="1"/>
  <c r="BL331" i="1"/>
  <c r="BK331" i="1"/>
  <c r="BL330" i="1"/>
  <c r="BK330" i="1"/>
  <c r="BL329" i="1"/>
  <c r="BK329" i="1"/>
  <c r="BL328" i="1"/>
  <c r="BK328" i="1"/>
  <c r="BL327" i="1"/>
  <c r="BK327" i="1"/>
  <c r="BL326" i="1"/>
  <c r="BK326" i="1"/>
  <c r="BL325" i="1"/>
  <c r="BK325" i="1"/>
  <c r="BL324" i="1"/>
  <c r="BK324" i="1"/>
  <c r="BL323" i="1"/>
  <c r="BK323" i="1"/>
  <c r="BL322" i="1"/>
  <c r="BK322" i="1"/>
  <c r="BL321" i="1"/>
  <c r="BK321" i="1"/>
  <c r="BL320" i="1"/>
  <c r="BK320" i="1"/>
  <c r="BL319" i="1"/>
  <c r="BK319" i="1"/>
  <c r="BL318" i="1"/>
  <c r="BK318" i="1"/>
  <c r="BL317" i="1"/>
  <c r="BK317" i="1"/>
  <c r="BL316" i="1"/>
  <c r="BK316" i="1"/>
  <c r="BL315" i="1"/>
  <c r="BK315" i="1"/>
  <c r="BL314" i="1"/>
  <c r="BK314" i="1"/>
  <c r="BL313" i="1"/>
  <c r="BK313" i="1"/>
  <c r="BL312" i="1"/>
  <c r="BK312" i="1"/>
  <c r="BL311" i="1"/>
  <c r="BK311" i="1"/>
  <c r="BL310" i="1"/>
  <c r="BK310" i="1"/>
  <c r="BL309" i="1"/>
  <c r="BK309" i="1"/>
  <c r="BL308" i="1"/>
  <c r="BK308" i="1"/>
  <c r="BL307" i="1"/>
  <c r="BK307" i="1"/>
  <c r="BL306" i="1"/>
  <c r="BK306" i="1"/>
  <c r="BL305" i="1"/>
  <c r="BK305" i="1"/>
  <c r="BL304" i="1"/>
  <c r="BK304" i="1"/>
  <c r="BL303" i="1"/>
  <c r="BK303" i="1"/>
  <c r="BL302" i="1"/>
  <c r="BK302" i="1"/>
  <c r="BL301" i="1"/>
  <c r="BK301" i="1"/>
  <c r="BL300" i="1"/>
  <c r="BK300" i="1"/>
  <c r="BL299" i="1"/>
  <c r="BK299" i="1"/>
  <c r="BL298" i="1"/>
  <c r="BK298" i="1"/>
  <c r="BL297" i="1"/>
  <c r="BK297" i="1"/>
  <c r="BL296" i="1"/>
  <c r="BK296" i="1"/>
  <c r="BL295" i="1"/>
  <c r="BK295" i="1"/>
  <c r="BL294" i="1"/>
  <c r="BK294" i="1"/>
  <c r="BL293" i="1"/>
  <c r="BK293" i="1"/>
  <c r="BL292" i="1"/>
  <c r="BK292" i="1"/>
  <c r="BL291" i="1"/>
  <c r="BK291" i="1"/>
  <c r="BL290" i="1"/>
  <c r="BK290" i="1"/>
  <c r="BL289" i="1"/>
  <c r="BK289" i="1"/>
  <c r="BL288" i="1"/>
  <c r="BK288" i="1"/>
  <c r="BL287" i="1"/>
  <c r="BK287" i="1"/>
  <c r="BL286" i="1"/>
  <c r="BK286" i="1"/>
  <c r="BL285" i="1"/>
  <c r="BK285" i="1"/>
  <c r="BL284" i="1"/>
  <c r="BK284" i="1"/>
  <c r="BL283" i="1"/>
  <c r="BK283" i="1"/>
  <c r="BL282" i="1"/>
  <c r="BK282" i="1"/>
  <c r="BL281" i="1"/>
  <c r="BK281" i="1"/>
  <c r="BL280" i="1"/>
  <c r="BK280" i="1"/>
  <c r="BL279" i="1"/>
  <c r="BK279" i="1"/>
  <c r="BL278" i="1"/>
  <c r="BK278" i="1"/>
  <c r="BL277" i="1"/>
  <c r="BK277" i="1"/>
  <c r="BL276" i="1"/>
  <c r="BK276" i="1"/>
  <c r="BL275" i="1"/>
  <c r="BK275" i="1"/>
  <c r="BL274" i="1"/>
  <c r="BK274" i="1"/>
  <c r="BL273" i="1"/>
  <c r="BK273" i="1"/>
  <c r="BL272" i="1"/>
  <c r="BK272" i="1"/>
  <c r="BL271" i="1"/>
  <c r="BK271" i="1"/>
  <c r="BL270" i="1"/>
  <c r="BK270" i="1"/>
  <c r="BL269" i="1"/>
  <c r="BK269" i="1"/>
  <c r="BL268" i="1"/>
  <c r="BK268" i="1"/>
  <c r="BL267" i="1"/>
  <c r="BK267" i="1"/>
  <c r="BL266" i="1"/>
  <c r="BK266" i="1"/>
  <c r="BL265" i="1"/>
  <c r="BK265" i="1"/>
  <c r="BL264" i="1"/>
  <c r="BK264" i="1"/>
  <c r="BL263" i="1"/>
  <c r="BK263" i="1"/>
  <c r="BL262" i="1"/>
  <c r="BK262" i="1"/>
  <c r="BL261" i="1"/>
  <c r="BK261" i="1"/>
  <c r="BL260" i="1"/>
  <c r="BK260" i="1"/>
  <c r="BL259" i="1"/>
  <c r="BK259" i="1"/>
  <c r="BL258" i="1"/>
  <c r="BK258" i="1"/>
  <c r="BL257" i="1"/>
  <c r="BK257" i="1"/>
  <c r="BL256" i="1"/>
  <c r="BK256" i="1"/>
  <c r="BL255" i="1"/>
  <c r="BK255" i="1"/>
  <c r="BL254" i="1"/>
  <c r="BK254" i="1"/>
  <c r="BL253" i="1"/>
  <c r="BK253" i="1"/>
  <c r="BL252" i="1"/>
  <c r="BK252" i="1"/>
  <c r="BL251" i="1"/>
  <c r="BK251" i="1"/>
  <c r="BL250" i="1"/>
  <c r="BK250" i="1"/>
  <c r="BL249" i="1"/>
  <c r="BK249" i="1"/>
  <c r="BL248" i="1"/>
  <c r="BK248" i="1"/>
  <c r="BL247" i="1"/>
  <c r="BK247" i="1"/>
  <c r="BL246" i="1"/>
  <c r="BK246" i="1"/>
  <c r="BL245" i="1"/>
  <c r="BK245" i="1"/>
  <c r="BL244" i="1"/>
  <c r="BK244" i="1"/>
  <c r="BL243" i="1"/>
  <c r="BK243" i="1"/>
  <c r="BL242" i="1"/>
  <c r="BK242" i="1"/>
  <c r="BL241" i="1"/>
  <c r="BK241" i="1"/>
  <c r="BL240" i="1"/>
  <c r="BK240" i="1"/>
  <c r="BL239" i="1"/>
  <c r="BK239" i="1"/>
  <c r="BL238" i="1"/>
  <c r="BK238" i="1"/>
  <c r="BL237" i="1"/>
  <c r="BK237" i="1"/>
  <c r="BL236" i="1"/>
  <c r="BK236" i="1"/>
  <c r="BL235" i="1"/>
  <c r="BK235" i="1"/>
  <c r="BL234" i="1"/>
  <c r="BK234" i="1"/>
  <c r="BL233" i="1"/>
  <c r="BK233" i="1"/>
  <c r="BL232" i="1"/>
  <c r="BK232" i="1"/>
  <c r="BL231" i="1"/>
  <c r="BK231" i="1"/>
  <c r="BL230" i="1"/>
  <c r="BK230" i="1"/>
  <c r="BL229" i="1"/>
  <c r="BK229" i="1"/>
  <c r="BL228" i="1"/>
  <c r="BK228" i="1"/>
  <c r="BL227" i="1"/>
  <c r="BK227" i="1"/>
  <c r="BL226" i="1"/>
  <c r="BK226" i="1"/>
  <c r="BL225" i="1"/>
  <c r="BK225" i="1"/>
  <c r="BL224" i="1"/>
  <c r="BK224" i="1"/>
  <c r="BL223" i="1"/>
  <c r="BK223" i="1"/>
  <c r="BL222" i="1"/>
  <c r="BK222" i="1"/>
  <c r="BL221" i="1"/>
  <c r="BK221" i="1"/>
  <c r="BL220" i="1"/>
  <c r="BK220" i="1"/>
  <c r="BL219" i="1"/>
  <c r="BK219" i="1"/>
  <c r="BL218" i="1"/>
  <c r="BK218" i="1"/>
  <c r="BL217" i="1"/>
  <c r="BK217" i="1"/>
  <c r="BL216" i="1"/>
  <c r="BK216" i="1"/>
  <c r="BL215" i="1"/>
  <c r="BK215" i="1"/>
  <c r="BL214" i="1"/>
  <c r="BK214" i="1"/>
  <c r="BL213" i="1"/>
  <c r="BK213" i="1"/>
  <c r="BL212" i="1"/>
  <c r="BK212" i="1"/>
  <c r="BL211" i="1"/>
  <c r="BK211" i="1"/>
  <c r="BL210" i="1"/>
  <c r="BK210" i="1"/>
  <c r="BL209" i="1"/>
  <c r="BK209" i="1"/>
  <c r="BL208" i="1"/>
  <c r="BK208" i="1"/>
  <c r="BL207" i="1"/>
  <c r="BK207" i="1"/>
  <c r="BL206" i="1"/>
  <c r="BK206" i="1"/>
  <c r="BL205" i="1"/>
  <c r="BK205" i="1"/>
  <c r="BL204" i="1"/>
  <c r="BK204" i="1"/>
  <c r="BL203" i="1"/>
  <c r="BK203" i="1"/>
  <c r="BL202" i="1"/>
  <c r="BK202" i="1"/>
  <c r="BL201" i="1"/>
  <c r="BK201" i="1"/>
  <c r="BL200" i="1"/>
  <c r="BK200" i="1"/>
  <c r="BL199" i="1"/>
  <c r="BK199" i="1"/>
  <c r="BL198" i="1"/>
  <c r="BK198" i="1"/>
  <c r="BL197" i="1"/>
  <c r="BK197" i="1"/>
  <c r="BL196" i="1"/>
  <c r="BK196" i="1"/>
  <c r="BL195" i="1"/>
  <c r="BK195" i="1"/>
  <c r="BL194" i="1"/>
  <c r="BK194" i="1"/>
  <c r="BL193" i="1"/>
  <c r="BK193" i="1"/>
  <c r="BL192" i="1"/>
  <c r="BK192" i="1"/>
  <c r="BL191" i="1"/>
  <c r="BK191" i="1"/>
  <c r="BL190" i="1"/>
  <c r="BK190" i="1"/>
  <c r="BL189" i="1"/>
  <c r="BK189" i="1"/>
  <c r="BL188" i="1"/>
  <c r="BK188" i="1"/>
  <c r="BL187" i="1"/>
  <c r="BK187" i="1"/>
  <c r="BL186" i="1"/>
  <c r="BK186" i="1"/>
  <c r="BL185" i="1"/>
  <c r="BK185" i="1"/>
  <c r="BL184" i="1"/>
  <c r="BK184" i="1"/>
  <c r="BL183" i="1"/>
  <c r="BK183" i="1"/>
  <c r="BL182" i="1"/>
  <c r="BK182" i="1"/>
  <c r="BL181" i="1"/>
  <c r="BK181" i="1"/>
  <c r="BL180" i="1"/>
  <c r="BK180" i="1"/>
  <c r="BL179" i="1"/>
  <c r="BK179" i="1"/>
  <c r="BL178" i="1"/>
  <c r="BK178" i="1"/>
  <c r="BL177" i="1"/>
  <c r="BK177" i="1"/>
  <c r="BL176" i="1"/>
  <c r="BK176" i="1"/>
  <c r="BL175" i="1"/>
  <c r="BK175" i="1"/>
  <c r="BL174" i="1"/>
  <c r="BK174" i="1"/>
  <c r="BL173" i="1"/>
  <c r="BK173" i="1"/>
  <c r="BL172" i="1"/>
  <c r="BK172" i="1"/>
  <c r="BL171" i="1"/>
  <c r="BK171" i="1"/>
  <c r="BL170" i="1"/>
  <c r="BK170" i="1"/>
  <c r="BL169" i="1"/>
  <c r="BK169" i="1"/>
  <c r="BL168" i="1"/>
  <c r="BK168" i="1"/>
  <c r="BL167" i="1"/>
  <c r="BK167" i="1"/>
  <c r="BL166" i="1"/>
  <c r="BK166" i="1"/>
  <c r="BL165" i="1"/>
  <c r="BK165" i="1"/>
  <c r="BL164" i="1"/>
  <c r="BK164" i="1"/>
  <c r="BL163" i="1"/>
  <c r="BK163" i="1"/>
  <c r="BL162" i="1"/>
  <c r="BK162" i="1"/>
  <c r="BL161" i="1"/>
  <c r="BK161" i="1"/>
  <c r="BL160" i="1"/>
  <c r="BK160" i="1"/>
  <c r="BL159" i="1"/>
  <c r="BK159" i="1"/>
  <c r="BL158" i="1"/>
  <c r="BK158" i="1"/>
  <c r="BL157" i="1"/>
  <c r="BK157" i="1"/>
  <c r="BL156" i="1"/>
  <c r="BK156" i="1"/>
  <c r="BL155" i="1"/>
  <c r="BK155" i="1"/>
  <c r="BL154" i="1"/>
  <c r="BK154" i="1"/>
  <c r="BL153" i="1"/>
  <c r="BK153" i="1"/>
  <c r="BL152" i="1"/>
  <c r="BK152" i="1"/>
  <c r="BL151" i="1"/>
  <c r="BK151" i="1"/>
  <c r="BL150" i="1"/>
  <c r="BK150" i="1"/>
  <c r="BL149" i="1"/>
  <c r="BK149" i="1"/>
  <c r="BL148" i="1"/>
  <c r="BK148" i="1"/>
  <c r="BL147" i="1"/>
  <c r="BK147" i="1"/>
  <c r="BL146" i="1"/>
  <c r="BK146" i="1"/>
  <c r="BL145" i="1"/>
  <c r="BK145" i="1"/>
  <c r="BL144" i="1"/>
  <c r="BK144" i="1"/>
  <c r="BL143" i="1"/>
  <c r="BK143" i="1"/>
  <c r="BL142" i="1"/>
  <c r="BK142" i="1"/>
  <c r="BL141" i="1"/>
  <c r="BK141" i="1"/>
  <c r="BL140" i="1"/>
  <c r="BK140" i="1"/>
  <c r="BL139" i="1"/>
  <c r="BK139" i="1"/>
  <c r="BL138" i="1"/>
  <c r="BK138" i="1"/>
  <c r="BL137" i="1"/>
  <c r="BK137" i="1"/>
  <c r="BL136" i="1"/>
  <c r="BK136" i="1"/>
  <c r="BL135" i="1"/>
  <c r="BK135" i="1"/>
  <c r="BL134" i="1"/>
  <c r="BK134" i="1"/>
  <c r="BL133" i="1"/>
  <c r="BK133" i="1"/>
  <c r="BL132" i="1"/>
  <c r="BK132" i="1"/>
  <c r="BL131" i="1"/>
  <c r="BK131" i="1"/>
  <c r="BL130" i="1"/>
  <c r="BK130" i="1"/>
  <c r="BL129" i="1"/>
  <c r="BK129" i="1"/>
  <c r="BL128" i="1"/>
  <c r="BK128" i="1"/>
  <c r="BL127" i="1"/>
  <c r="BK127" i="1"/>
  <c r="BL126" i="1"/>
  <c r="BK126" i="1"/>
  <c r="BL125" i="1"/>
  <c r="BK125" i="1"/>
  <c r="BL124" i="1"/>
  <c r="BK124" i="1"/>
  <c r="BL123" i="1"/>
  <c r="BK123" i="1"/>
  <c r="BL122" i="1"/>
  <c r="BK122" i="1"/>
  <c r="BL121" i="1"/>
  <c r="BK121" i="1"/>
  <c r="BL120" i="1"/>
  <c r="BK120" i="1"/>
  <c r="BL119" i="1"/>
  <c r="BK119" i="1"/>
  <c r="BL118" i="1"/>
  <c r="BK118" i="1"/>
  <c r="BL117" i="1"/>
  <c r="BK117" i="1"/>
  <c r="BL116" i="1"/>
  <c r="BK116" i="1"/>
  <c r="BL115" i="1"/>
  <c r="BK115" i="1"/>
  <c r="BL114" i="1"/>
  <c r="BK114" i="1"/>
  <c r="BL113" i="1"/>
  <c r="BK113" i="1"/>
  <c r="BL112" i="1"/>
  <c r="BK112" i="1"/>
  <c r="BL111" i="1"/>
  <c r="BK111" i="1"/>
  <c r="BL110" i="1"/>
  <c r="BK110" i="1"/>
  <c r="BL109" i="1"/>
  <c r="BK109" i="1"/>
  <c r="BL108" i="1"/>
  <c r="BK108" i="1"/>
  <c r="BL107" i="1"/>
  <c r="BK107" i="1"/>
  <c r="BL106" i="1"/>
  <c r="BK106" i="1"/>
  <c r="BL105" i="1"/>
  <c r="BK105" i="1"/>
  <c r="BL104" i="1"/>
  <c r="BK104" i="1"/>
  <c r="BL103" i="1"/>
  <c r="BK103" i="1"/>
  <c r="BL102" i="1"/>
  <c r="BK102" i="1"/>
  <c r="BL101" i="1"/>
  <c r="BK101" i="1"/>
  <c r="BL100" i="1"/>
  <c r="BK100" i="1"/>
  <c r="BL99" i="1"/>
  <c r="BK99" i="1"/>
  <c r="BL98" i="1"/>
  <c r="BK98" i="1"/>
  <c r="BL97" i="1"/>
  <c r="BK97" i="1"/>
  <c r="BL96" i="1"/>
  <c r="BK96" i="1"/>
  <c r="BL95" i="1"/>
  <c r="BK95" i="1"/>
  <c r="BL94" i="1"/>
  <c r="BK94" i="1"/>
  <c r="BL93" i="1"/>
  <c r="BK93" i="1"/>
  <c r="BL92" i="1"/>
  <c r="BK92" i="1"/>
  <c r="BL91" i="1"/>
  <c r="BK91" i="1"/>
  <c r="BL90" i="1"/>
  <c r="BK90" i="1"/>
  <c r="BL89" i="1"/>
  <c r="BK89" i="1"/>
  <c r="BL88" i="1"/>
  <c r="BK88" i="1"/>
  <c r="BL87" i="1"/>
  <c r="BK87" i="1"/>
  <c r="BL86" i="1"/>
  <c r="BK86" i="1"/>
  <c r="BL85" i="1"/>
  <c r="BK85" i="1"/>
  <c r="BL84" i="1"/>
  <c r="BK84" i="1"/>
  <c r="BL83" i="1"/>
  <c r="BK83" i="1"/>
  <c r="BL82" i="1"/>
  <c r="BK82" i="1"/>
  <c r="BL81" i="1"/>
  <c r="BK81" i="1"/>
  <c r="BL80" i="1"/>
  <c r="BK80" i="1"/>
  <c r="BL79" i="1"/>
  <c r="BK79" i="1"/>
  <c r="BL78" i="1"/>
  <c r="BK78" i="1"/>
  <c r="BL77" i="1"/>
  <c r="BK77" i="1"/>
  <c r="BL76" i="1"/>
  <c r="BK76" i="1"/>
  <c r="BL75" i="1"/>
  <c r="BK75" i="1"/>
  <c r="BL74" i="1"/>
  <c r="BK74" i="1"/>
  <c r="BL73" i="1"/>
  <c r="BK73" i="1"/>
  <c r="BL72" i="1"/>
  <c r="BK72" i="1"/>
  <c r="BL71" i="1"/>
  <c r="BK71" i="1"/>
  <c r="BL70" i="1"/>
  <c r="BK70" i="1"/>
  <c r="BL69" i="1"/>
  <c r="BK69" i="1"/>
  <c r="BL68" i="1"/>
  <c r="BK68" i="1"/>
  <c r="BL67" i="1"/>
  <c r="BK67" i="1"/>
  <c r="BL66" i="1"/>
  <c r="BK66" i="1"/>
  <c r="BL65" i="1"/>
  <c r="BK65" i="1"/>
  <c r="BL64" i="1"/>
  <c r="BK64" i="1"/>
  <c r="BL63" i="1"/>
  <c r="BK63" i="1"/>
  <c r="BL62" i="1"/>
  <c r="BK62" i="1"/>
  <c r="BL61" i="1"/>
  <c r="BK61" i="1"/>
  <c r="BL60" i="1"/>
  <c r="BK60" i="1"/>
  <c r="BL59" i="1"/>
  <c r="BK59" i="1"/>
  <c r="BL58" i="1"/>
  <c r="BK58" i="1"/>
  <c r="BL57" i="1"/>
  <c r="BK57" i="1"/>
  <c r="BL56" i="1"/>
  <c r="BK56" i="1"/>
  <c r="BL55" i="1"/>
  <c r="BK55" i="1"/>
  <c r="BL54" i="1"/>
  <c r="BK54" i="1"/>
  <c r="BL53" i="1"/>
  <c r="BK53" i="1"/>
  <c r="BL52" i="1"/>
  <c r="BK52" i="1"/>
  <c r="BL51" i="1"/>
  <c r="BK51" i="1"/>
  <c r="BL50" i="1"/>
  <c r="BK50" i="1"/>
  <c r="BL49" i="1"/>
  <c r="BK49" i="1"/>
  <c r="BL48" i="1"/>
  <c r="BK48" i="1"/>
  <c r="BL47" i="1"/>
  <c r="BK47" i="1"/>
  <c r="BL46" i="1"/>
  <c r="BK46" i="1"/>
  <c r="BL45" i="1"/>
  <c r="BK45" i="1"/>
  <c r="BL44" i="1"/>
  <c r="BK44" i="1"/>
  <c r="BL43" i="1"/>
  <c r="BK43" i="1"/>
  <c r="BL42" i="1"/>
  <c r="BK42" i="1"/>
  <c r="BL41" i="1"/>
  <c r="BK41" i="1"/>
  <c r="BL40" i="1"/>
  <c r="BK40" i="1"/>
  <c r="BL39" i="1"/>
  <c r="BK39" i="1"/>
  <c r="BL38" i="1"/>
  <c r="BK38" i="1"/>
  <c r="BL37" i="1"/>
  <c r="BK37" i="1"/>
  <c r="BL36" i="1"/>
  <c r="BK36" i="1"/>
  <c r="BL35" i="1"/>
  <c r="BK35" i="1"/>
  <c r="BL34" i="1"/>
  <c r="BK34" i="1"/>
  <c r="BL33" i="1"/>
  <c r="BK33" i="1"/>
  <c r="BL32" i="1"/>
  <c r="BK32" i="1"/>
  <c r="BL31" i="1"/>
  <c r="BK31" i="1"/>
  <c r="BL30" i="1"/>
  <c r="BK30" i="1"/>
  <c r="BL29" i="1"/>
  <c r="BK29" i="1"/>
  <c r="BL28" i="1"/>
  <c r="BK28" i="1"/>
  <c r="BL27" i="1"/>
  <c r="BK27" i="1"/>
  <c r="BL26" i="1"/>
  <c r="BK26" i="1"/>
  <c r="BL25" i="1"/>
  <c r="BK25" i="1"/>
  <c r="BL24" i="1"/>
  <c r="BK24" i="1"/>
  <c r="BL23" i="1"/>
  <c r="BK23" i="1"/>
  <c r="BL22" i="1"/>
  <c r="BK22" i="1"/>
  <c r="BL21" i="1"/>
  <c r="BK21" i="1"/>
  <c r="BL20" i="1"/>
  <c r="BK20" i="1"/>
  <c r="BL19" i="1"/>
  <c r="BK19" i="1"/>
  <c r="BL18" i="1"/>
  <c r="BK18" i="1"/>
  <c r="BL17" i="1"/>
  <c r="BK17" i="1"/>
  <c r="BL16" i="1"/>
  <c r="BK16" i="1"/>
  <c r="BL15" i="1"/>
  <c r="BK15" i="1"/>
  <c r="BL14" i="1"/>
  <c r="BK14" i="1"/>
  <c r="BL13" i="1"/>
  <c r="BK13" i="1"/>
  <c r="BL12" i="1"/>
  <c r="BK12" i="1"/>
  <c r="BL11" i="1"/>
  <c r="BK11" i="1"/>
  <c r="BL10" i="1"/>
  <c r="BK10" i="1"/>
  <c r="BL9" i="1"/>
  <c r="BK9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F353" i="1"/>
  <c r="BE353" i="1"/>
  <c r="BF352" i="1"/>
  <c r="BE352" i="1"/>
  <c r="BF351" i="1"/>
  <c r="BE351" i="1"/>
  <c r="BF350" i="1"/>
  <c r="BE350" i="1"/>
  <c r="BF349" i="1"/>
  <c r="BE349" i="1"/>
  <c r="BF348" i="1"/>
  <c r="BE348" i="1"/>
  <c r="BF347" i="1"/>
  <c r="BE347" i="1"/>
  <c r="BF346" i="1"/>
  <c r="BE346" i="1"/>
  <c r="BF345" i="1"/>
  <c r="BE345" i="1"/>
  <c r="BF344" i="1"/>
  <c r="BE344" i="1"/>
  <c r="BF343" i="1"/>
  <c r="BE343" i="1"/>
  <c r="BF342" i="1"/>
  <c r="BE342" i="1"/>
  <c r="BF341" i="1"/>
  <c r="BE341" i="1"/>
  <c r="BF340" i="1"/>
  <c r="BE340" i="1"/>
  <c r="BF339" i="1"/>
  <c r="BE339" i="1"/>
  <c r="BF338" i="1"/>
  <c r="BE338" i="1"/>
  <c r="BF337" i="1"/>
  <c r="BE337" i="1"/>
  <c r="BF336" i="1"/>
  <c r="BE336" i="1"/>
  <c r="BF335" i="1"/>
  <c r="BE335" i="1"/>
  <c r="BF334" i="1"/>
  <c r="BE334" i="1"/>
  <c r="BF333" i="1"/>
  <c r="BE333" i="1"/>
  <c r="BF332" i="1"/>
  <c r="BE332" i="1"/>
  <c r="BF331" i="1"/>
  <c r="BE331" i="1"/>
  <c r="BF330" i="1"/>
  <c r="BE330" i="1"/>
  <c r="BF329" i="1"/>
  <c r="BE329" i="1"/>
  <c r="BF328" i="1"/>
  <c r="BE328" i="1"/>
  <c r="BF327" i="1"/>
  <c r="BE327" i="1"/>
  <c r="BF326" i="1"/>
  <c r="BE326" i="1"/>
  <c r="BF325" i="1"/>
  <c r="BE325" i="1"/>
  <c r="BF324" i="1"/>
  <c r="BE324" i="1"/>
  <c r="BF323" i="1"/>
  <c r="BE323" i="1"/>
  <c r="BF322" i="1"/>
  <c r="BE322" i="1"/>
  <c r="BF321" i="1"/>
  <c r="BE321" i="1"/>
  <c r="BF320" i="1"/>
  <c r="BE320" i="1"/>
  <c r="BF319" i="1"/>
  <c r="BE319" i="1"/>
  <c r="BF318" i="1"/>
  <c r="BE318" i="1"/>
  <c r="BF317" i="1"/>
  <c r="BE317" i="1"/>
  <c r="BF316" i="1"/>
  <c r="BE316" i="1"/>
  <c r="BF315" i="1"/>
  <c r="BE315" i="1"/>
  <c r="BF314" i="1"/>
  <c r="BE314" i="1"/>
  <c r="BF313" i="1"/>
  <c r="BE313" i="1"/>
  <c r="BF312" i="1"/>
  <c r="BE312" i="1"/>
  <c r="BF311" i="1"/>
  <c r="BE311" i="1"/>
  <c r="BF310" i="1"/>
  <c r="BE310" i="1"/>
  <c r="BF309" i="1"/>
  <c r="BE309" i="1"/>
  <c r="BF308" i="1"/>
  <c r="BE308" i="1"/>
  <c r="BF307" i="1"/>
  <c r="BE307" i="1"/>
  <c r="BF306" i="1"/>
  <c r="BE306" i="1"/>
  <c r="BF305" i="1"/>
  <c r="BE305" i="1"/>
  <c r="BF304" i="1"/>
  <c r="BE304" i="1"/>
  <c r="BF303" i="1"/>
  <c r="BE303" i="1"/>
  <c r="BF302" i="1"/>
  <c r="BE302" i="1"/>
  <c r="BF301" i="1"/>
  <c r="BE301" i="1"/>
  <c r="BF300" i="1"/>
  <c r="BE300" i="1"/>
  <c r="BF299" i="1"/>
  <c r="BE299" i="1"/>
  <c r="BF298" i="1"/>
  <c r="BE298" i="1"/>
  <c r="BF297" i="1"/>
  <c r="BE297" i="1"/>
  <c r="BF296" i="1"/>
  <c r="BE296" i="1"/>
  <c r="BF295" i="1"/>
  <c r="BE295" i="1"/>
  <c r="BF294" i="1"/>
  <c r="BE294" i="1"/>
  <c r="BF293" i="1"/>
  <c r="BE293" i="1"/>
  <c r="BF292" i="1"/>
  <c r="BE292" i="1"/>
  <c r="BF291" i="1"/>
  <c r="BE291" i="1"/>
  <c r="BF290" i="1"/>
  <c r="BE290" i="1"/>
  <c r="BF289" i="1"/>
  <c r="BE289" i="1"/>
  <c r="BF288" i="1"/>
  <c r="BE288" i="1"/>
  <c r="BF287" i="1"/>
  <c r="BE287" i="1"/>
  <c r="BF286" i="1"/>
  <c r="BE286" i="1"/>
  <c r="BF285" i="1"/>
  <c r="BE285" i="1"/>
  <c r="BF284" i="1"/>
  <c r="BE284" i="1"/>
  <c r="BF283" i="1"/>
  <c r="BE283" i="1"/>
  <c r="BF282" i="1"/>
  <c r="BE282" i="1"/>
  <c r="BF281" i="1"/>
  <c r="BE281" i="1"/>
  <c r="BF280" i="1"/>
  <c r="BE280" i="1"/>
  <c r="BF279" i="1"/>
  <c r="BE279" i="1"/>
  <c r="BF278" i="1"/>
  <c r="BE278" i="1"/>
  <c r="BF277" i="1"/>
  <c r="BE277" i="1"/>
  <c r="BF276" i="1"/>
  <c r="BE276" i="1"/>
  <c r="BF275" i="1"/>
  <c r="BE275" i="1"/>
  <c r="BF274" i="1"/>
  <c r="BE274" i="1"/>
  <c r="BF273" i="1"/>
  <c r="BE273" i="1"/>
  <c r="BF272" i="1"/>
  <c r="BE272" i="1"/>
  <c r="BF271" i="1"/>
  <c r="BE271" i="1"/>
  <c r="BF270" i="1"/>
  <c r="BE270" i="1"/>
  <c r="BF269" i="1"/>
  <c r="BE269" i="1"/>
  <c r="BF268" i="1"/>
  <c r="BE268" i="1"/>
  <c r="BF267" i="1"/>
  <c r="BE267" i="1"/>
  <c r="BF266" i="1"/>
  <c r="BE266" i="1"/>
  <c r="BF265" i="1"/>
  <c r="BE265" i="1"/>
  <c r="BF264" i="1"/>
  <c r="BE264" i="1"/>
  <c r="BF263" i="1"/>
  <c r="BE263" i="1"/>
  <c r="BF262" i="1"/>
  <c r="BE262" i="1"/>
  <c r="BF261" i="1"/>
  <c r="BE261" i="1"/>
  <c r="BF260" i="1"/>
  <c r="BE260" i="1"/>
  <c r="BF259" i="1"/>
  <c r="BE259" i="1"/>
  <c r="BF258" i="1"/>
  <c r="BE258" i="1"/>
  <c r="BF257" i="1"/>
  <c r="BE257" i="1"/>
  <c r="BF256" i="1"/>
  <c r="BE256" i="1"/>
  <c r="BF255" i="1"/>
  <c r="BE255" i="1"/>
  <c r="BF254" i="1"/>
  <c r="BE254" i="1"/>
  <c r="BF253" i="1"/>
  <c r="BE253" i="1"/>
  <c r="BF252" i="1"/>
  <c r="BE252" i="1"/>
  <c r="BF251" i="1"/>
  <c r="BE251" i="1"/>
  <c r="BF250" i="1"/>
  <c r="BE250" i="1"/>
  <c r="BF249" i="1"/>
  <c r="BE249" i="1"/>
  <c r="BF248" i="1"/>
  <c r="BE248" i="1"/>
  <c r="BF247" i="1"/>
  <c r="BE247" i="1"/>
  <c r="BF246" i="1"/>
  <c r="BE246" i="1"/>
  <c r="BF245" i="1"/>
  <c r="BE245" i="1"/>
  <c r="BF244" i="1"/>
  <c r="BE244" i="1"/>
  <c r="BF243" i="1"/>
  <c r="BE243" i="1"/>
  <c r="BF242" i="1"/>
  <c r="BE242" i="1"/>
  <c r="BF241" i="1"/>
  <c r="BE241" i="1"/>
  <c r="BF240" i="1"/>
  <c r="BE240" i="1"/>
  <c r="BF239" i="1"/>
  <c r="BE239" i="1"/>
  <c r="BF238" i="1"/>
  <c r="BE238" i="1"/>
  <c r="BF237" i="1"/>
  <c r="BE237" i="1"/>
  <c r="BF236" i="1"/>
  <c r="BE236" i="1"/>
  <c r="BF235" i="1"/>
  <c r="BE235" i="1"/>
  <c r="BF234" i="1"/>
  <c r="BE234" i="1"/>
  <c r="BF233" i="1"/>
  <c r="BE233" i="1"/>
  <c r="BF232" i="1"/>
  <c r="BE232" i="1"/>
  <c r="BF231" i="1"/>
  <c r="BE231" i="1"/>
  <c r="BF230" i="1"/>
  <c r="BE230" i="1"/>
  <c r="BF229" i="1"/>
  <c r="BE229" i="1"/>
  <c r="BF228" i="1"/>
  <c r="BE228" i="1"/>
  <c r="BF227" i="1"/>
  <c r="BE227" i="1"/>
  <c r="BF226" i="1"/>
  <c r="BE226" i="1"/>
  <c r="BF225" i="1"/>
  <c r="BE225" i="1"/>
  <c r="BF224" i="1"/>
  <c r="BE224" i="1"/>
  <c r="BF223" i="1"/>
  <c r="BE223" i="1"/>
  <c r="BF222" i="1"/>
  <c r="BE222" i="1"/>
  <c r="BF221" i="1"/>
  <c r="BE221" i="1"/>
  <c r="BF220" i="1"/>
  <c r="BE220" i="1"/>
  <c r="BF219" i="1"/>
  <c r="BE219" i="1"/>
  <c r="BF218" i="1"/>
  <c r="BE218" i="1"/>
  <c r="BF217" i="1"/>
  <c r="BE217" i="1"/>
  <c r="BF216" i="1"/>
  <c r="BE216" i="1"/>
  <c r="BF215" i="1"/>
  <c r="BE215" i="1"/>
  <c r="BF214" i="1"/>
  <c r="BE214" i="1"/>
  <c r="BF213" i="1"/>
  <c r="BE213" i="1"/>
  <c r="BF212" i="1"/>
  <c r="BE212" i="1"/>
  <c r="BF211" i="1"/>
  <c r="BE211" i="1"/>
  <c r="BF210" i="1"/>
  <c r="BE210" i="1"/>
  <c r="BF209" i="1"/>
  <c r="BE209" i="1"/>
  <c r="BF208" i="1"/>
  <c r="BE208" i="1"/>
  <c r="BF207" i="1"/>
  <c r="BE207" i="1"/>
  <c r="BF206" i="1"/>
  <c r="BE206" i="1"/>
  <c r="BF205" i="1"/>
  <c r="BE205" i="1"/>
  <c r="BF204" i="1"/>
  <c r="BE204" i="1"/>
  <c r="BF203" i="1"/>
  <c r="BE203" i="1"/>
  <c r="BF202" i="1"/>
  <c r="BE202" i="1"/>
  <c r="BF201" i="1"/>
  <c r="BE201" i="1"/>
  <c r="BF200" i="1"/>
  <c r="BE200" i="1"/>
  <c r="BF199" i="1"/>
  <c r="BE199" i="1"/>
  <c r="BF198" i="1"/>
  <c r="BE198" i="1"/>
  <c r="BF197" i="1"/>
  <c r="BE197" i="1"/>
  <c r="BF196" i="1"/>
  <c r="BE196" i="1"/>
  <c r="BF195" i="1"/>
  <c r="BE195" i="1"/>
  <c r="BF194" i="1"/>
  <c r="BE194" i="1"/>
  <c r="BF193" i="1"/>
  <c r="BE193" i="1"/>
  <c r="BF192" i="1"/>
  <c r="BE192" i="1"/>
  <c r="BF191" i="1"/>
  <c r="BE191" i="1"/>
  <c r="BF190" i="1"/>
  <c r="BE190" i="1"/>
  <c r="BF189" i="1"/>
  <c r="BE189" i="1"/>
  <c r="BF188" i="1"/>
  <c r="BE188" i="1"/>
  <c r="BF187" i="1"/>
  <c r="BE187" i="1"/>
  <c r="BF186" i="1"/>
  <c r="BE186" i="1"/>
  <c r="BF185" i="1"/>
  <c r="BE185" i="1"/>
  <c r="BF184" i="1"/>
  <c r="BE184" i="1"/>
  <c r="BF183" i="1"/>
  <c r="BE183" i="1"/>
  <c r="BF182" i="1"/>
  <c r="BE182" i="1"/>
  <c r="BF181" i="1"/>
  <c r="BE181" i="1"/>
  <c r="BF180" i="1"/>
  <c r="BE180" i="1"/>
  <c r="BF179" i="1"/>
  <c r="BE179" i="1"/>
  <c r="BF178" i="1"/>
  <c r="BE178" i="1"/>
  <c r="BF177" i="1"/>
  <c r="BE177" i="1"/>
  <c r="BF176" i="1"/>
  <c r="BE176" i="1"/>
  <c r="BF175" i="1"/>
  <c r="BE175" i="1"/>
  <c r="BF174" i="1"/>
  <c r="BE174" i="1"/>
  <c r="BF173" i="1"/>
  <c r="BE173" i="1"/>
  <c r="BF172" i="1"/>
  <c r="BE172" i="1"/>
  <c r="BF171" i="1"/>
  <c r="BE171" i="1"/>
  <c r="BF170" i="1"/>
  <c r="BE170" i="1"/>
  <c r="BF169" i="1"/>
  <c r="BE169" i="1"/>
  <c r="BF168" i="1"/>
  <c r="BE168" i="1"/>
  <c r="BF167" i="1"/>
  <c r="BE167" i="1"/>
  <c r="BF166" i="1"/>
  <c r="BE166" i="1"/>
  <c r="BF165" i="1"/>
  <c r="BE165" i="1"/>
  <c r="BF164" i="1"/>
  <c r="BE164" i="1"/>
  <c r="BF163" i="1"/>
  <c r="BE163" i="1"/>
  <c r="BF162" i="1"/>
  <c r="BE162" i="1"/>
  <c r="BF161" i="1"/>
  <c r="BE161" i="1"/>
  <c r="BF160" i="1"/>
  <c r="BE160" i="1"/>
  <c r="BF159" i="1"/>
  <c r="BE159" i="1"/>
  <c r="BF158" i="1"/>
  <c r="BE158" i="1"/>
  <c r="BF157" i="1"/>
  <c r="BE157" i="1"/>
  <c r="BF156" i="1"/>
  <c r="BE156" i="1"/>
  <c r="BF155" i="1"/>
  <c r="BE155" i="1"/>
  <c r="BF154" i="1"/>
  <c r="BE154" i="1"/>
  <c r="BF153" i="1"/>
  <c r="BE153" i="1"/>
  <c r="BF152" i="1"/>
  <c r="BE152" i="1"/>
  <c r="BF151" i="1"/>
  <c r="BE151" i="1"/>
  <c r="BF150" i="1"/>
  <c r="BE150" i="1"/>
  <c r="BF149" i="1"/>
  <c r="BE149" i="1"/>
  <c r="BF148" i="1"/>
  <c r="BE148" i="1"/>
  <c r="BF147" i="1"/>
  <c r="BE147" i="1"/>
  <c r="BF146" i="1"/>
  <c r="BE146" i="1"/>
  <c r="BF145" i="1"/>
  <c r="BE145" i="1"/>
  <c r="BF144" i="1"/>
  <c r="BE144" i="1"/>
  <c r="BF143" i="1"/>
  <c r="BE143" i="1"/>
  <c r="BF142" i="1"/>
  <c r="BE142" i="1"/>
  <c r="BF141" i="1"/>
  <c r="BE141" i="1"/>
  <c r="BF140" i="1"/>
  <c r="BE140" i="1"/>
  <c r="BF139" i="1"/>
  <c r="BE139" i="1"/>
  <c r="BF138" i="1"/>
  <c r="BE138" i="1"/>
  <c r="BF137" i="1"/>
  <c r="BE137" i="1"/>
  <c r="BF136" i="1"/>
  <c r="BE136" i="1"/>
  <c r="BF135" i="1"/>
  <c r="BE135" i="1"/>
  <c r="BF134" i="1"/>
  <c r="BE134" i="1"/>
  <c r="BF133" i="1"/>
  <c r="BE133" i="1"/>
  <c r="BF132" i="1"/>
  <c r="BE132" i="1"/>
  <c r="BF131" i="1"/>
  <c r="BE131" i="1"/>
  <c r="BF130" i="1"/>
  <c r="BE130" i="1"/>
  <c r="BF129" i="1"/>
  <c r="BE129" i="1"/>
  <c r="BF128" i="1"/>
  <c r="BE128" i="1"/>
  <c r="BF127" i="1"/>
  <c r="BE127" i="1"/>
  <c r="BF126" i="1"/>
  <c r="BE126" i="1"/>
  <c r="BF125" i="1"/>
  <c r="BE125" i="1"/>
  <c r="BF124" i="1"/>
  <c r="BE124" i="1"/>
  <c r="BF123" i="1"/>
  <c r="BE123" i="1"/>
  <c r="BF122" i="1"/>
  <c r="BE122" i="1"/>
  <c r="BF121" i="1"/>
  <c r="BE121" i="1"/>
  <c r="BF120" i="1"/>
  <c r="BE120" i="1"/>
  <c r="BF119" i="1"/>
  <c r="BE119" i="1"/>
  <c r="BF118" i="1"/>
  <c r="BE118" i="1"/>
  <c r="BF117" i="1"/>
  <c r="BE117" i="1"/>
  <c r="BF116" i="1"/>
  <c r="BE116" i="1"/>
  <c r="BF115" i="1"/>
  <c r="BE115" i="1"/>
  <c r="BF114" i="1"/>
  <c r="BE114" i="1"/>
  <c r="BF113" i="1"/>
  <c r="BE113" i="1"/>
  <c r="BF112" i="1"/>
  <c r="BE112" i="1"/>
  <c r="BF111" i="1"/>
  <c r="BE111" i="1"/>
  <c r="BF110" i="1"/>
  <c r="BE110" i="1"/>
  <c r="BF109" i="1"/>
  <c r="BE109" i="1"/>
  <c r="BF108" i="1"/>
  <c r="BE108" i="1"/>
  <c r="BF107" i="1"/>
  <c r="BE107" i="1"/>
  <c r="BF106" i="1"/>
  <c r="BE106" i="1"/>
  <c r="BF105" i="1"/>
  <c r="BE105" i="1"/>
  <c r="BF104" i="1"/>
  <c r="BE104" i="1"/>
  <c r="BF103" i="1"/>
  <c r="BE103" i="1"/>
  <c r="BF102" i="1"/>
  <c r="BE102" i="1"/>
  <c r="BF101" i="1"/>
  <c r="BE101" i="1"/>
  <c r="BF100" i="1"/>
  <c r="BE100" i="1"/>
  <c r="BF99" i="1"/>
  <c r="BE99" i="1"/>
  <c r="BF98" i="1"/>
  <c r="BE98" i="1"/>
  <c r="BF97" i="1"/>
  <c r="BE97" i="1"/>
  <c r="BF96" i="1"/>
  <c r="BE96" i="1"/>
  <c r="BF95" i="1"/>
  <c r="BE95" i="1"/>
  <c r="BF94" i="1"/>
  <c r="BE94" i="1"/>
  <c r="BF93" i="1"/>
  <c r="BE93" i="1"/>
  <c r="BF92" i="1"/>
  <c r="BE92" i="1"/>
  <c r="BF91" i="1"/>
  <c r="BE91" i="1"/>
  <c r="BF90" i="1"/>
  <c r="BE90" i="1"/>
  <c r="BF89" i="1"/>
  <c r="BE89" i="1"/>
  <c r="BF88" i="1"/>
  <c r="BE88" i="1"/>
  <c r="BF87" i="1"/>
  <c r="BE87" i="1"/>
  <c r="BF86" i="1"/>
  <c r="BE86" i="1"/>
  <c r="BF85" i="1"/>
  <c r="BE85" i="1"/>
  <c r="BF84" i="1"/>
  <c r="BE84" i="1"/>
  <c r="BF83" i="1"/>
  <c r="BE83" i="1"/>
  <c r="BF82" i="1"/>
  <c r="BE82" i="1"/>
  <c r="BF81" i="1"/>
  <c r="BE81" i="1"/>
  <c r="BF80" i="1"/>
  <c r="BE80" i="1"/>
  <c r="BF79" i="1"/>
  <c r="BE79" i="1"/>
  <c r="BF78" i="1"/>
  <c r="BE78" i="1"/>
  <c r="BF77" i="1"/>
  <c r="BE77" i="1"/>
  <c r="BF76" i="1"/>
  <c r="BE76" i="1"/>
  <c r="BF75" i="1"/>
  <c r="BE75" i="1"/>
  <c r="BF74" i="1"/>
  <c r="BE74" i="1"/>
  <c r="BF73" i="1"/>
  <c r="BE73" i="1"/>
  <c r="BF72" i="1"/>
  <c r="BE72" i="1"/>
  <c r="BF71" i="1"/>
  <c r="BE71" i="1"/>
  <c r="BF70" i="1"/>
  <c r="BE70" i="1"/>
  <c r="BF69" i="1"/>
  <c r="BE69" i="1"/>
  <c r="BF68" i="1"/>
  <c r="BE68" i="1"/>
  <c r="BF67" i="1"/>
  <c r="BE67" i="1"/>
  <c r="BF66" i="1"/>
  <c r="BE66" i="1"/>
  <c r="BF65" i="1"/>
  <c r="BE65" i="1"/>
  <c r="BF64" i="1"/>
  <c r="BE64" i="1"/>
  <c r="BF63" i="1"/>
  <c r="BE63" i="1"/>
  <c r="BF62" i="1"/>
  <c r="BE62" i="1"/>
  <c r="BF61" i="1"/>
  <c r="BE61" i="1"/>
  <c r="BF60" i="1"/>
  <c r="BE60" i="1"/>
  <c r="BF59" i="1"/>
  <c r="BE59" i="1"/>
  <c r="BF58" i="1"/>
  <c r="BE58" i="1"/>
  <c r="BF57" i="1"/>
  <c r="BE57" i="1"/>
  <c r="BF56" i="1"/>
  <c r="BE56" i="1"/>
  <c r="BF55" i="1"/>
  <c r="BE55" i="1"/>
  <c r="BF54" i="1"/>
  <c r="BE54" i="1"/>
  <c r="BF53" i="1"/>
  <c r="BE53" i="1"/>
  <c r="BF52" i="1"/>
  <c r="BE52" i="1"/>
  <c r="BF51" i="1"/>
  <c r="BE51" i="1"/>
  <c r="BF50" i="1"/>
  <c r="BE50" i="1"/>
  <c r="BF49" i="1"/>
  <c r="BE49" i="1"/>
  <c r="BF48" i="1"/>
  <c r="BE48" i="1"/>
  <c r="BF47" i="1"/>
  <c r="BE47" i="1"/>
  <c r="BF46" i="1"/>
  <c r="BE46" i="1"/>
  <c r="BF45" i="1"/>
  <c r="BE45" i="1"/>
  <c r="BF44" i="1"/>
  <c r="BE44" i="1"/>
  <c r="BF43" i="1"/>
  <c r="BE43" i="1"/>
  <c r="BF42" i="1"/>
  <c r="BE42" i="1"/>
  <c r="BF41" i="1"/>
  <c r="BE41" i="1"/>
  <c r="BF40" i="1"/>
  <c r="BE40" i="1"/>
  <c r="BF39" i="1"/>
  <c r="BE39" i="1"/>
  <c r="BF38" i="1"/>
  <c r="BE38" i="1"/>
  <c r="BF37" i="1"/>
  <c r="BE37" i="1"/>
  <c r="BF36" i="1"/>
  <c r="BE36" i="1"/>
  <c r="BF35" i="1"/>
  <c r="BE35" i="1"/>
  <c r="BF34" i="1"/>
  <c r="BE34" i="1"/>
  <c r="BF33" i="1"/>
  <c r="BE33" i="1"/>
  <c r="BF32" i="1"/>
  <c r="BE32" i="1"/>
  <c r="BF31" i="1"/>
  <c r="BE31" i="1"/>
  <c r="BF30" i="1"/>
  <c r="BE30" i="1"/>
  <c r="BF29" i="1"/>
  <c r="BE29" i="1"/>
  <c r="BF28" i="1"/>
  <c r="BE28" i="1"/>
  <c r="BF27" i="1"/>
  <c r="BE27" i="1"/>
  <c r="BF26" i="1"/>
  <c r="BE26" i="1"/>
  <c r="BF25" i="1"/>
  <c r="BE25" i="1"/>
  <c r="BF24" i="1"/>
  <c r="BE24" i="1"/>
  <c r="BF23" i="1"/>
  <c r="BE23" i="1"/>
  <c r="BF22" i="1"/>
  <c r="BE22" i="1"/>
  <c r="BF21" i="1"/>
  <c r="BE21" i="1"/>
  <c r="BF20" i="1"/>
  <c r="BE20" i="1"/>
  <c r="BF19" i="1"/>
  <c r="BE19" i="1"/>
  <c r="BF18" i="1"/>
  <c r="BE18" i="1"/>
  <c r="BF17" i="1"/>
  <c r="BE17" i="1"/>
  <c r="BF16" i="1"/>
  <c r="BE16" i="1"/>
  <c r="BF15" i="1"/>
  <c r="BE15" i="1"/>
  <c r="BF14" i="1"/>
  <c r="BE14" i="1"/>
  <c r="BF13" i="1"/>
  <c r="BE13" i="1"/>
  <c r="BF12" i="1"/>
  <c r="BE12" i="1"/>
  <c r="BF11" i="1"/>
  <c r="BE11" i="1"/>
  <c r="BF10" i="1"/>
  <c r="BE10" i="1"/>
  <c r="BF9" i="1"/>
  <c r="BE9" i="1"/>
  <c r="BC353" i="1"/>
  <c r="BB353" i="1"/>
  <c r="BC352" i="1"/>
  <c r="BB352" i="1"/>
  <c r="BC351" i="1"/>
  <c r="BB351" i="1"/>
  <c r="BC350" i="1"/>
  <c r="BB350" i="1"/>
  <c r="BC349" i="1"/>
  <c r="BB349" i="1"/>
  <c r="BC348" i="1"/>
  <c r="BB348" i="1"/>
  <c r="BC347" i="1"/>
  <c r="BB347" i="1"/>
  <c r="BC346" i="1"/>
  <c r="BB346" i="1"/>
  <c r="BC345" i="1"/>
  <c r="BB345" i="1"/>
  <c r="BC344" i="1"/>
  <c r="BB344" i="1"/>
  <c r="BC343" i="1"/>
  <c r="BB343" i="1"/>
  <c r="BC342" i="1"/>
  <c r="BB342" i="1"/>
  <c r="BC341" i="1"/>
  <c r="BB341" i="1"/>
  <c r="BC340" i="1"/>
  <c r="BB340" i="1"/>
  <c r="BC339" i="1"/>
  <c r="BB339" i="1"/>
  <c r="BC338" i="1"/>
  <c r="BB338" i="1"/>
  <c r="BC337" i="1"/>
  <c r="BB337" i="1"/>
  <c r="BC336" i="1"/>
  <c r="BB336" i="1"/>
  <c r="BC335" i="1"/>
  <c r="BB335" i="1"/>
  <c r="BC334" i="1"/>
  <c r="BB334" i="1"/>
  <c r="BC333" i="1"/>
  <c r="BB333" i="1"/>
  <c r="BC332" i="1"/>
  <c r="BB332" i="1"/>
  <c r="BC331" i="1"/>
  <c r="BB331" i="1"/>
  <c r="BC330" i="1"/>
  <c r="BB330" i="1"/>
  <c r="BC329" i="1"/>
  <c r="BB329" i="1"/>
  <c r="BC328" i="1"/>
  <c r="BB328" i="1"/>
  <c r="BC327" i="1"/>
  <c r="BB327" i="1"/>
  <c r="BC326" i="1"/>
  <c r="BB326" i="1"/>
  <c r="BC325" i="1"/>
  <c r="BB325" i="1"/>
  <c r="BC324" i="1"/>
  <c r="BB324" i="1"/>
  <c r="BC323" i="1"/>
  <c r="BB323" i="1"/>
  <c r="BC322" i="1"/>
  <c r="BB322" i="1"/>
  <c r="BC321" i="1"/>
  <c r="BB321" i="1"/>
  <c r="BC320" i="1"/>
  <c r="BB320" i="1"/>
  <c r="BC319" i="1"/>
  <c r="BB319" i="1"/>
  <c r="BC318" i="1"/>
  <c r="BB318" i="1"/>
  <c r="BC317" i="1"/>
  <c r="BB317" i="1"/>
  <c r="BC316" i="1"/>
  <c r="BB316" i="1"/>
  <c r="BC315" i="1"/>
  <c r="BB315" i="1"/>
  <c r="BC314" i="1"/>
  <c r="BB314" i="1"/>
  <c r="BC313" i="1"/>
  <c r="BB313" i="1"/>
  <c r="BC312" i="1"/>
  <c r="BB312" i="1"/>
  <c r="BC311" i="1"/>
  <c r="BB311" i="1"/>
  <c r="BC310" i="1"/>
  <c r="BB310" i="1"/>
  <c r="BC309" i="1"/>
  <c r="BB309" i="1"/>
  <c r="BC308" i="1"/>
  <c r="BB308" i="1"/>
  <c r="BC307" i="1"/>
  <c r="BB307" i="1"/>
  <c r="BC306" i="1"/>
  <c r="BB306" i="1"/>
  <c r="BC305" i="1"/>
  <c r="BB305" i="1"/>
  <c r="BC304" i="1"/>
  <c r="BB304" i="1"/>
  <c r="BC303" i="1"/>
  <c r="BB303" i="1"/>
  <c r="BC302" i="1"/>
  <c r="BB302" i="1"/>
  <c r="BC301" i="1"/>
  <c r="BB301" i="1"/>
  <c r="BC300" i="1"/>
  <c r="BB300" i="1"/>
  <c r="BC299" i="1"/>
  <c r="BB299" i="1"/>
  <c r="BC298" i="1"/>
  <c r="BB298" i="1"/>
  <c r="BC297" i="1"/>
  <c r="BB297" i="1"/>
  <c r="BC296" i="1"/>
  <c r="BB296" i="1"/>
  <c r="BC295" i="1"/>
  <c r="BB295" i="1"/>
  <c r="BC294" i="1"/>
  <c r="BB294" i="1"/>
  <c r="BC293" i="1"/>
  <c r="BB293" i="1"/>
  <c r="BC292" i="1"/>
  <c r="BB292" i="1"/>
  <c r="BC291" i="1"/>
  <c r="BB291" i="1"/>
  <c r="BC290" i="1"/>
  <c r="BB290" i="1"/>
  <c r="BC289" i="1"/>
  <c r="BB289" i="1"/>
  <c r="BC288" i="1"/>
  <c r="BB288" i="1"/>
  <c r="BC287" i="1"/>
  <c r="BB287" i="1"/>
  <c r="BC286" i="1"/>
  <c r="BB286" i="1"/>
  <c r="BC285" i="1"/>
  <c r="BB285" i="1"/>
  <c r="BC284" i="1"/>
  <c r="BB284" i="1"/>
  <c r="BC283" i="1"/>
  <c r="BB283" i="1"/>
  <c r="BC282" i="1"/>
  <c r="BB282" i="1"/>
  <c r="BC281" i="1"/>
  <c r="BB281" i="1"/>
  <c r="BC280" i="1"/>
  <c r="BB280" i="1"/>
  <c r="BC279" i="1"/>
  <c r="BB279" i="1"/>
  <c r="BC278" i="1"/>
  <c r="BB278" i="1"/>
  <c r="BC277" i="1"/>
  <c r="BB277" i="1"/>
  <c r="BC276" i="1"/>
  <c r="BB276" i="1"/>
  <c r="BC275" i="1"/>
  <c r="BB275" i="1"/>
  <c r="BC274" i="1"/>
  <c r="BB274" i="1"/>
  <c r="BC273" i="1"/>
  <c r="BB273" i="1"/>
  <c r="BC272" i="1"/>
  <c r="BB272" i="1"/>
  <c r="BC271" i="1"/>
  <c r="BB271" i="1"/>
  <c r="BC270" i="1"/>
  <c r="BB270" i="1"/>
  <c r="BC269" i="1"/>
  <c r="BB269" i="1"/>
  <c r="BC268" i="1"/>
  <c r="BB268" i="1"/>
  <c r="BC267" i="1"/>
  <c r="BB267" i="1"/>
  <c r="BC266" i="1"/>
  <c r="BB266" i="1"/>
  <c r="BC265" i="1"/>
  <c r="BB265" i="1"/>
  <c r="BC264" i="1"/>
  <c r="BB264" i="1"/>
  <c r="BC263" i="1"/>
  <c r="BB263" i="1"/>
  <c r="BC262" i="1"/>
  <c r="BB262" i="1"/>
  <c r="BC261" i="1"/>
  <c r="BB261" i="1"/>
  <c r="BC260" i="1"/>
  <c r="BB260" i="1"/>
  <c r="BC259" i="1"/>
  <c r="BB259" i="1"/>
  <c r="BC258" i="1"/>
  <c r="BB258" i="1"/>
  <c r="BC257" i="1"/>
  <c r="BB257" i="1"/>
  <c r="BC256" i="1"/>
  <c r="BB256" i="1"/>
  <c r="BC255" i="1"/>
  <c r="BB255" i="1"/>
  <c r="BC254" i="1"/>
  <c r="BB254" i="1"/>
  <c r="BC253" i="1"/>
  <c r="BB253" i="1"/>
  <c r="BC252" i="1"/>
  <c r="BB252" i="1"/>
  <c r="BC251" i="1"/>
  <c r="BB251" i="1"/>
  <c r="BC250" i="1"/>
  <c r="BB250" i="1"/>
  <c r="BC249" i="1"/>
  <c r="BB249" i="1"/>
  <c r="BC248" i="1"/>
  <c r="BB248" i="1"/>
  <c r="BC247" i="1"/>
  <c r="BB247" i="1"/>
  <c r="BC246" i="1"/>
  <c r="BB246" i="1"/>
  <c r="BC245" i="1"/>
  <c r="BB245" i="1"/>
  <c r="BC244" i="1"/>
  <c r="BB244" i="1"/>
  <c r="BC243" i="1"/>
  <c r="BB243" i="1"/>
  <c r="BC242" i="1"/>
  <c r="BB242" i="1"/>
  <c r="BC241" i="1"/>
  <c r="BB241" i="1"/>
  <c r="BC240" i="1"/>
  <c r="BB240" i="1"/>
  <c r="BC239" i="1"/>
  <c r="BB239" i="1"/>
  <c r="BC238" i="1"/>
  <c r="BB238" i="1"/>
  <c r="BC237" i="1"/>
  <c r="BB237" i="1"/>
  <c r="BC236" i="1"/>
  <c r="BB236" i="1"/>
  <c r="BC235" i="1"/>
  <c r="BB235" i="1"/>
  <c r="BC234" i="1"/>
  <c r="BB234" i="1"/>
  <c r="BC233" i="1"/>
  <c r="BB233" i="1"/>
  <c r="BC232" i="1"/>
  <c r="BB232" i="1"/>
  <c r="BC231" i="1"/>
  <c r="BB231" i="1"/>
  <c r="BC230" i="1"/>
  <c r="BB230" i="1"/>
  <c r="BC229" i="1"/>
  <c r="BB229" i="1"/>
  <c r="BC228" i="1"/>
  <c r="BB228" i="1"/>
  <c r="BC227" i="1"/>
  <c r="BB227" i="1"/>
  <c r="BC226" i="1"/>
  <c r="BB226" i="1"/>
  <c r="BC225" i="1"/>
  <c r="BB225" i="1"/>
  <c r="BC224" i="1"/>
  <c r="BB224" i="1"/>
  <c r="BC223" i="1"/>
  <c r="BB223" i="1"/>
  <c r="BC222" i="1"/>
  <c r="BB222" i="1"/>
  <c r="BC221" i="1"/>
  <c r="BB221" i="1"/>
  <c r="BC220" i="1"/>
  <c r="BB220" i="1"/>
  <c r="BC219" i="1"/>
  <c r="BB219" i="1"/>
  <c r="BC218" i="1"/>
  <c r="BB218" i="1"/>
  <c r="BC217" i="1"/>
  <c r="BB217" i="1"/>
  <c r="BC216" i="1"/>
  <c r="BB216" i="1"/>
  <c r="BC215" i="1"/>
  <c r="BB215" i="1"/>
  <c r="BC214" i="1"/>
  <c r="BB214" i="1"/>
  <c r="BC213" i="1"/>
  <c r="BB213" i="1"/>
  <c r="BC212" i="1"/>
  <c r="BB212" i="1"/>
  <c r="BC211" i="1"/>
  <c r="BB211" i="1"/>
  <c r="BC210" i="1"/>
  <c r="BB210" i="1"/>
  <c r="BC209" i="1"/>
  <c r="BB209" i="1"/>
  <c r="BC208" i="1"/>
  <c r="BB208" i="1"/>
  <c r="BC207" i="1"/>
  <c r="BB207" i="1"/>
  <c r="BC206" i="1"/>
  <c r="BB206" i="1"/>
  <c r="BC205" i="1"/>
  <c r="BB205" i="1"/>
  <c r="BC204" i="1"/>
  <c r="BB204" i="1"/>
  <c r="BC203" i="1"/>
  <c r="BB203" i="1"/>
  <c r="BC202" i="1"/>
  <c r="BB202" i="1"/>
  <c r="BC201" i="1"/>
  <c r="BB201" i="1"/>
  <c r="BC200" i="1"/>
  <c r="BB200" i="1"/>
  <c r="BC199" i="1"/>
  <c r="BB199" i="1"/>
  <c r="BC198" i="1"/>
  <c r="BB198" i="1"/>
  <c r="BC197" i="1"/>
  <c r="BB197" i="1"/>
  <c r="BC196" i="1"/>
  <c r="BB196" i="1"/>
  <c r="BC195" i="1"/>
  <c r="BB195" i="1"/>
  <c r="BC194" i="1"/>
  <c r="BB194" i="1"/>
  <c r="BC193" i="1"/>
  <c r="BB193" i="1"/>
  <c r="BC192" i="1"/>
  <c r="BB192" i="1"/>
  <c r="BC191" i="1"/>
  <c r="BB191" i="1"/>
  <c r="BC190" i="1"/>
  <c r="BB190" i="1"/>
  <c r="BC189" i="1"/>
  <c r="BB189" i="1"/>
  <c r="BC188" i="1"/>
  <c r="BB188" i="1"/>
  <c r="BC187" i="1"/>
  <c r="BB187" i="1"/>
  <c r="BC186" i="1"/>
  <c r="BB186" i="1"/>
  <c r="BC185" i="1"/>
  <c r="BB185" i="1"/>
  <c r="BC184" i="1"/>
  <c r="BB184" i="1"/>
  <c r="BC183" i="1"/>
  <c r="BB183" i="1"/>
  <c r="BC182" i="1"/>
  <c r="BB182" i="1"/>
  <c r="BC181" i="1"/>
  <c r="BB181" i="1"/>
  <c r="BC180" i="1"/>
  <c r="BB180" i="1"/>
  <c r="BC179" i="1"/>
  <c r="BB179" i="1"/>
  <c r="BC178" i="1"/>
  <c r="BB178" i="1"/>
  <c r="BC177" i="1"/>
  <c r="BB177" i="1"/>
  <c r="BC176" i="1"/>
  <c r="BB176" i="1"/>
  <c r="BC175" i="1"/>
  <c r="BB175" i="1"/>
  <c r="BC174" i="1"/>
  <c r="BB174" i="1"/>
  <c r="BC173" i="1"/>
  <c r="BB173" i="1"/>
  <c r="BC172" i="1"/>
  <c r="BB172" i="1"/>
  <c r="BC171" i="1"/>
  <c r="BB171" i="1"/>
  <c r="BC170" i="1"/>
  <c r="BB170" i="1"/>
  <c r="BC169" i="1"/>
  <c r="BB169" i="1"/>
  <c r="BC168" i="1"/>
  <c r="BB168" i="1"/>
  <c r="BC167" i="1"/>
  <c r="BB167" i="1"/>
  <c r="BC166" i="1"/>
  <c r="BB166" i="1"/>
  <c r="BC165" i="1"/>
  <c r="BB165" i="1"/>
  <c r="BC164" i="1"/>
  <c r="BB164" i="1"/>
  <c r="BC163" i="1"/>
  <c r="BB163" i="1"/>
  <c r="BC162" i="1"/>
  <c r="BB162" i="1"/>
  <c r="BC161" i="1"/>
  <c r="BB161" i="1"/>
  <c r="BC160" i="1"/>
  <c r="BB160" i="1"/>
  <c r="BC159" i="1"/>
  <c r="BB159" i="1"/>
  <c r="BC158" i="1"/>
  <c r="BB158" i="1"/>
  <c r="BC157" i="1"/>
  <c r="BB157" i="1"/>
  <c r="BC156" i="1"/>
  <c r="BB156" i="1"/>
  <c r="BC155" i="1"/>
  <c r="BB155" i="1"/>
  <c r="BC154" i="1"/>
  <c r="BB154" i="1"/>
  <c r="BC153" i="1"/>
  <c r="BB153" i="1"/>
  <c r="BC152" i="1"/>
  <c r="BB152" i="1"/>
  <c r="BC151" i="1"/>
  <c r="BB151" i="1"/>
  <c r="BC150" i="1"/>
  <c r="BB150" i="1"/>
  <c r="BC149" i="1"/>
  <c r="BB149" i="1"/>
  <c r="BC148" i="1"/>
  <c r="BB148" i="1"/>
  <c r="BC147" i="1"/>
  <c r="BB147" i="1"/>
  <c r="BC146" i="1"/>
  <c r="BB146" i="1"/>
  <c r="BC145" i="1"/>
  <c r="BB145" i="1"/>
  <c r="BC144" i="1"/>
  <c r="BB144" i="1"/>
  <c r="BC143" i="1"/>
  <c r="BB143" i="1"/>
  <c r="BC142" i="1"/>
  <c r="BB142" i="1"/>
  <c r="BC141" i="1"/>
  <c r="BB141" i="1"/>
  <c r="BC140" i="1"/>
  <c r="BB140" i="1"/>
  <c r="BC139" i="1"/>
  <c r="BB139" i="1"/>
  <c r="BC138" i="1"/>
  <c r="BB138" i="1"/>
  <c r="BC137" i="1"/>
  <c r="BB137" i="1"/>
  <c r="BC136" i="1"/>
  <c r="BB136" i="1"/>
  <c r="BC135" i="1"/>
  <c r="BB135" i="1"/>
  <c r="BC134" i="1"/>
  <c r="BB134" i="1"/>
  <c r="BC133" i="1"/>
  <c r="BB133" i="1"/>
  <c r="BC132" i="1"/>
  <c r="BB132" i="1"/>
  <c r="BC131" i="1"/>
  <c r="BB131" i="1"/>
  <c r="BC130" i="1"/>
  <c r="BB130" i="1"/>
  <c r="BC129" i="1"/>
  <c r="BB129" i="1"/>
  <c r="BC128" i="1"/>
  <c r="BB128" i="1"/>
  <c r="BC127" i="1"/>
  <c r="BB127" i="1"/>
  <c r="BC126" i="1"/>
  <c r="BB126" i="1"/>
  <c r="BC125" i="1"/>
  <c r="BB125" i="1"/>
  <c r="BC124" i="1"/>
  <c r="BB124" i="1"/>
  <c r="BC123" i="1"/>
  <c r="BB123" i="1"/>
  <c r="BC122" i="1"/>
  <c r="BB122" i="1"/>
  <c r="BC121" i="1"/>
  <c r="BB121" i="1"/>
  <c r="BC120" i="1"/>
  <c r="BB120" i="1"/>
  <c r="BC119" i="1"/>
  <c r="BB119" i="1"/>
  <c r="BC118" i="1"/>
  <c r="BB118" i="1"/>
  <c r="BC117" i="1"/>
  <c r="BB117" i="1"/>
  <c r="BC116" i="1"/>
  <c r="BB116" i="1"/>
  <c r="BC115" i="1"/>
  <c r="BB115" i="1"/>
  <c r="BC114" i="1"/>
  <c r="BB114" i="1"/>
  <c r="BC113" i="1"/>
  <c r="BB113" i="1"/>
  <c r="BC112" i="1"/>
  <c r="BB112" i="1"/>
  <c r="BC111" i="1"/>
  <c r="BB111" i="1"/>
  <c r="BC110" i="1"/>
  <c r="BB110" i="1"/>
  <c r="BC109" i="1"/>
  <c r="BB109" i="1"/>
  <c r="BC108" i="1"/>
  <c r="BB108" i="1"/>
  <c r="BC107" i="1"/>
  <c r="BB107" i="1"/>
  <c r="BC106" i="1"/>
  <c r="BB106" i="1"/>
  <c r="BC105" i="1"/>
  <c r="BB105" i="1"/>
  <c r="BC104" i="1"/>
  <c r="BB104" i="1"/>
  <c r="BC103" i="1"/>
  <c r="BB103" i="1"/>
  <c r="BC102" i="1"/>
  <c r="BB102" i="1"/>
  <c r="BC101" i="1"/>
  <c r="BB101" i="1"/>
  <c r="BC100" i="1"/>
  <c r="BB100" i="1"/>
  <c r="BC99" i="1"/>
  <c r="BB99" i="1"/>
  <c r="BC98" i="1"/>
  <c r="BB98" i="1"/>
  <c r="BC97" i="1"/>
  <c r="BB97" i="1"/>
  <c r="BC96" i="1"/>
  <c r="BB96" i="1"/>
  <c r="BC95" i="1"/>
  <c r="BB95" i="1"/>
  <c r="BC94" i="1"/>
  <c r="BB94" i="1"/>
  <c r="BC93" i="1"/>
  <c r="BB93" i="1"/>
  <c r="BC92" i="1"/>
  <c r="BB92" i="1"/>
  <c r="BC91" i="1"/>
  <c r="BB91" i="1"/>
  <c r="BC90" i="1"/>
  <c r="BB90" i="1"/>
  <c r="BC89" i="1"/>
  <c r="BB89" i="1"/>
  <c r="BC88" i="1"/>
  <c r="BB88" i="1"/>
  <c r="BC87" i="1"/>
  <c r="BB87" i="1"/>
  <c r="BC86" i="1"/>
  <c r="BB86" i="1"/>
  <c r="BC85" i="1"/>
  <c r="BB85" i="1"/>
  <c r="BC84" i="1"/>
  <c r="BB84" i="1"/>
  <c r="BC83" i="1"/>
  <c r="BB83" i="1"/>
  <c r="BC82" i="1"/>
  <c r="BB82" i="1"/>
  <c r="BC81" i="1"/>
  <c r="BB81" i="1"/>
  <c r="BC80" i="1"/>
  <c r="BB80" i="1"/>
  <c r="BC79" i="1"/>
  <c r="BB79" i="1"/>
  <c r="BC78" i="1"/>
  <c r="BB78" i="1"/>
  <c r="BC77" i="1"/>
  <c r="BB77" i="1"/>
  <c r="BC76" i="1"/>
  <c r="BB76" i="1"/>
  <c r="BC75" i="1"/>
  <c r="BB75" i="1"/>
  <c r="BC74" i="1"/>
  <c r="BB74" i="1"/>
  <c r="BC73" i="1"/>
  <c r="BB73" i="1"/>
  <c r="BC72" i="1"/>
  <c r="BB72" i="1"/>
  <c r="BC71" i="1"/>
  <c r="BB71" i="1"/>
  <c r="BC70" i="1"/>
  <c r="BB70" i="1"/>
  <c r="BC69" i="1"/>
  <c r="BB69" i="1"/>
  <c r="BC68" i="1"/>
  <c r="BB68" i="1"/>
  <c r="BC67" i="1"/>
  <c r="BB67" i="1"/>
  <c r="BC66" i="1"/>
  <c r="BB66" i="1"/>
  <c r="BC65" i="1"/>
  <c r="BB65" i="1"/>
  <c r="BC64" i="1"/>
  <c r="BB64" i="1"/>
  <c r="BC63" i="1"/>
  <c r="BB63" i="1"/>
  <c r="BC62" i="1"/>
  <c r="BB62" i="1"/>
  <c r="BC61" i="1"/>
  <c r="BB61" i="1"/>
  <c r="BC60" i="1"/>
  <c r="BB60" i="1"/>
  <c r="BC59" i="1"/>
  <c r="BB59" i="1"/>
  <c r="BC58" i="1"/>
  <c r="BB58" i="1"/>
  <c r="BC57" i="1"/>
  <c r="BB57" i="1"/>
  <c r="BC56" i="1"/>
  <c r="BB56" i="1"/>
  <c r="BC55" i="1"/>
  <c r="BB55" i="1"/>
  <c r="BC54" i="1"/>
  <c r="BB54" i="1"/>
  <c r="BC53" i="1"/>
  <c r="BB53" i="1"/>
  <c r="BC52" i="1"/>
  <c r="BB52" i="1"/>
  <c r="BC51" i="1"/>
  <c r="BB51" i="1"/>
  <c r="BC50" i="1"/>
  <c r="BB50" i="1"/>
  <c r="BC49" i="1"/>
  <c r="BB49" i="1"/>
  <c r="BC48" i="1"/>
  <c r="BB48" i="1"/>
  <c r="BC47" i="1"/>
  <c r="BB47" i="1"/>
  <c r="BC46" i="1"/>
  <c r="BB46" i="1"/>
  <c r="BC45" i="1"/>
  <c r="BB45" i="1"/>
  <c r="BC44" i="1"/>
  <c r="BB44" i="1"/>
  <c r="BC43" i="1"/>
  <c r="BB43" i="1"/>
  <c r="BC42" i="1"/>
  <c r="BB42" i="1"/>
  <c r="BC41" i="1"/>
  <c r="BB41" i="1"/>
  <c r="BC40" i="1"/>
  <c r="BB40" i="1"/>
  <c r="BC39" i="1"/>
  <c r="BB39" i="1"/>
  <c r="BC38" i="1"/>
  <c r="BB38" i="1"/>
  <c r="BC37" i="1"/>
  <c r="BB37" i="1"/>
  <c r="BC36" i="1"/>
  <c r="BB36" i="1"/>
  <c r="BC35" i="1"/>
  <c r="BB35" i="1"/>
  <c r="BC34" i="1"/>
  <c r="BB34" i="1"/>
  <c r="BC33" i="1"/>
  <c r="BB33" i="1"/>
  <c r="BC32" i="1"/>
  <c r="BB32" i="1"/>
  <c r="BC31" i="1"/>
  <c r="BB31" i="1"/>
  <c r="BC30" i="1"/>
  <c r="BB30" i="1"/>
  <c r="BC29" i="1"/>
  <c r="BB29" i="1"/>
  <c r="BC28" i="1"/>
  <c r="BB28" i="1"/>
  <c r="BC27" i="1"/>
  <c r="BB27" i="1"/>
  <c r="BC26" i="1"/>
  <c r="BB26" i="1"/>
  <c r="BC25" i="1"/>
  <c r="BB25" i="1"/>
  <c r="BC24" i="1"/>
  <c r="BB24" i="1"/>
  <c r="BC23" i="1"/>
  <c r="BB23" i="1"/>
  <c r="BC22" i="1"/>
  <c r="BB22" i="1"/>
  <c r="BC21" i="1"/>
  <c r="BB21" i="1"/>
  <c r="BC20" i="1"/>
  <c r="BB20" i="1"/>
  <c r="BC19" i="1"/>
  <c r="BB19" i="1"/>
  <c r="BC18" i="1"/>
  <c r="BB18" i="1"/>
  <c r="BC17" i="1"/>
  <c r="BB17" i="1"/>
  <c r="BC16" i="1"/>
  <c r="BB16" i="1"/>
  <c r="BC15" i="1"/>
  <c r="BB15" i="1"/>
  <c r="BC14" i="1"/>
  <c r="BB14" i="1"/>
  <c r="BC13" i="1"/>
  <c r="BB13" i="1"/>
  <c r="BC12" i="1"/>
  <c r="BB12" i="1"/>
  <c r="BC11" i="1"/>
  <c r="BB11" i="1"/>
  <c r="BC10" i="1"/>
  <c r="BB10" i="1"/>
  <c r="BC9" i="1"/>
  <c r="BB9" i="1"/>
  <c r="AZ353" i="1"/>
  <c r="AY353" i="1"/>
  <c r="AZ352" i="1"/>
  <c r="AY352" i="1"/>
  <c r="AZ351" i="1"/>
  <c r="AY351" i="1"/>
  <c r="AZ350" i="1"/>
  <c r="AY350" i="1"/>
  <c r="AZ349" i="1"/>
  <c r="AY349" i="1"/>
  <c r="AZ348" i="1"/>
  <c r="AY348" i="1"/>
  <c r="AZ347" i="1"/>
  <c r="AY347" i="1"/>
  <c r="AZ346" i="1"/>
  <c r="AY346" i="1"/>
  <c r="AZ345" i="1"/>
  <c r="AY345" i="1"/>
  <c r="AZ344" i="1"/>
  <c r="AY344" i="1"/>
  <c r="AZ343" i="1"/>
  <c r="AY343" i="1"/>
  <c r="AZ342" i="1"/>
  <c r="AY342" i="1"/>
  <c r="AZ341" i="1"/>
  <c r="AY341" i="1"/>
  <c r="AZ340" i="1"/>
  <c r="AY340" i="1"/>
  <c r="AZ339" i="1"/>
  <c r="AY339" i="1"/>
  <c r="AZ338" i="1"/>
  <c r="AY338" i="1"/>
  <c r="AZ337" i="1"/>
  <c r="AY337" i="1"/>
  <c r="AZ336" i="1"/>
  <c r="AY336" i="1"/>
  <c r="AZ335" i="1"/>
  <c r="AY335" i="1"/>
  <c r="AZ334" i="1"/>
  <c r="AY334" i="1"/>
  <c r="AZ333" i="1"/>
  <c r="AY333" i="1"/>
  <c r="AZ332" i="1"/>
  <c r="AY332" i="1"/>
  <c r="AZ331" i="1"/>
  <c r="AY331" i="1"/>
  <c r="AZ330" i="1"/>
  <c r="AY330" i="1"/>
  <c r="AZ329" i="1"/>
  <c r="AY329" i="1"/>
  <c r="AZ328" i="1"/>
  <c r="AY328" i="1"/>
  <c r="AZ327" i="1"/>
  <c r="AY327" i="1"/>
  <c r="AZ326" i="1"/>
  <c r="AY326" i="1"/>
  <c r="AZ325" i="1"/>
  <c r="AY325" i="1"/>
  <c r="AZ324" i="1"/>
  <c r="AY324" i="1"/>
  <c r="AZ323" i="1"/>
  <c r="AY323" i="1"/>
  <c r="AZ322" i="1"/>
  <c r="AY322" i="1"/>
  <c r="AZ321" i="1"/>
  <c r="AY321" i="1"/>
  <c r="AZ320" i="1"/>
  <c r="AY320" i="1"/>
  <c r="AZ319" i="1"/>
  <c r="AY319" i="1"/>
  <c r="AZ318" i="1"/>
  <c r="AY318" i="1"/>
  <c r="AZ317" i="1"/>
  <c r="AY317" i="1"/>
  <c r="AZ316" i="1"/>
  <c r="AY316" i="1"/>
  <c r="AZ315" i="1"/>
  <c r="AY315" i="1"/>
  <c r="AZ314" i="1"/>
  <c r="AY314" i="1"/>
  <c r="AZ313" i="1"/>
  <c r="AY313" i="1"/>
  <c r="AZ312" i="1"/>
  <c r="AY312" i="1"/>
  <c r="AZ311" i="1"/>
  <c r="AY311" i="1"/>
  <c r="AZ310" i="1"/>
  <c r="AY310" i="1"/>
  <c r="AZ309" i="1"/>
  <c r="AY309" i="1"/>
  <c r="AZ308" i="1"/>
  <c r="AY308" i="1"/>
  <c r="AZ307" i="1"/>
  <c r="AY307" i="1"/>
  <c r="AZ306" i="1"/>
  <c r="AY306" i="1"/>
  <c r="AZ305" i="1"/>
  <c r="AY305" i="1"/>
  <c r="AZ304" i="1"/>
  <c r="AY304" i="1"/>
  <c r="AZ303" i="1"/>
  <c r="AY303" i="1"/>
  <c r="AZ302" i="1"/>
  <c r="AY302" i="1"/>
  <c r="AZ301" i="1"/>
  <c r="AY301" i="1"/>
  <c r="AZ300" i="1"/>
  <c r="AY300" i="1"/>
  <c r="AZ299" i="1"/>
  <c r="AY299" i="1"/>
  <c r="AZ298" i="1"/>
  <c r="AY298" i="1"/>
  <c r="AZ297" i="1"/>
  <c r="AY297" i="1"/>
  <c r="AZ296" i="1"/>
  <c r="AY296" i="1"/>
  <c r="AZ295" i="1"/>
  <c r="AY295" i="1"/>
  <c r="AZ294" i="1"/>
  <c r="AY294" i="1"/>
  <c r="AZ293" i="1"/>
  <c r="AY293" i="1"/>
  <c r="AZ292" i="1"/>
  <c r="AY292" i="1"/>
  <c r="AZ291" i="1"/>
  <c r="AY291" i="1"/>
  <c r="AZ290" i="1"/>
  <c r="AY290" i="1"/>
  <c r="AZ289" i="1"/>
  <c r="AY289" i="1"/>
  <c r="AZ288" i="1"/>
  <c r="AY288" i="1"/>
  <c r="AZ287" i="1"/>
  <c r="AY287" i="1"/>
  <c r="AZ286" i="1"/>
  <c r="AY286" i="1"/>
  <c r="AZ285" i="1"/>
  <c r="AY285" i="1"/>
  <c r="AZ284" i="1"/>
  <c r="AY284" i="1"/>
  <c r="AZ283" i="1"/>
  <c r="AY283" i="1"/>
  <c r="AZ282" i="1"/>
  <c r="AY282" i="1"/>
  <c r="AZ281" i="1"/>
  <c r="AY281" i="1"/>
  <c r="AZ280" i="1"/>
  <c r="AY280" i="1"/>
  <c r="AZ279" i="1"/>
  <c r="AY279" i="1"/>
  <c r="AZ278" i="1"/>
  <c r="AY278" i="1"/>
  <c r="AZ277" i="1"/>
  <c r="AY277" i="1"/>
  <c r="AZ276" i="1"/>
  <c r="AY276" i="1"/>
  <c r="AZ275" i="1"/>
  <c r="AY275" i="1"/>
  <c r="AZ274" i="1"/>
  <c r="AY274" i="1"/>
  <c r="AZ273" i="1"/>
  <c r="AY273" i="1"/>
  <c r="AZ272" i="1"/>
  <c r="AY272" i="1"/>
  <c r="AZ271" i="1"/>
  <c r="AY271" i="1"/>
  <c r="AZ270" i="1"/>
  <c r="AY270" i="1"/>
  <c r="AZ269" i="1"/>
  <c r="AY269" i="1"/>
  <c r="AZ268" i="1"/>
  <c r="AY268" i="1"/>
  <c r="AZ267" i="1"/>
  <c r="AY267" i="1"/>
  <c r="AZ266" i="1"/>
  <c r="AY266" i="1"/>
  <c r="AZ265" i="1"/>
  <c r="AY265" i="1"/>
  <c r="AZ264" i="1"/>
  <c r="AY264" i="1"/>
  <c r="AZ263" i="1"/>
  <c r="AY263" i="1"/>
  <c r="AZ262" i="1"/>
  <c r="AY262" i="1"/>
  <c r="AZ261" i="1"/>
  <c r="AY261" i="1"/>
  <c r="AZ260" i="1"/>
  <c r="AY260" i="1"/>
  <c r="AZ259" i="1"/>
  <c r="AY259" i="1"/>
  <c r="AZ258" i="1"/>
  <c r="AY258" i="1"/>
  <c r="AZ257" i="1"/>
  <c r="AY257" i="1"/>
  <c r="AZ256" i="1"/>
  <c r="AY256" i="1"/>
  <c r="AZ255" i="1"/>
  <c r="AY255" i="1"/>
  <c r="AZ254" i="1"/>
  <c r="AY254" i="1"/>
  <c r="AZ253" i="1"/>
  <c r="AY253" i="1"/>
  <c r="AZ252" i="1"/>
  <c r="AY252" i="1"/>
  <c r="AZ251" i="1"/>
  <c r="AY251" i="1"/>
  <c r="AZ250" i="1"/>
  <c r="AY250" i="1"/>
  <c r="AZ249" i="1"/>
  <c r="AY249" i="1"/>
  <c r="AZ248" i="1"/>
  <c r="AY248" i="1"/>
  <c r="AZ247" i="1"/>
  <c r="AY247" i="1"/>
  <c r="AZ246" i="1"/>
  <c r="AY246" i="1"/>
  <c r="AZ245" i="1"/>
  <c r="AY245" i="1"/>
  <c r="AZ244" i="1"/>
  <c r="AY244" i="1"/>
  <c r="AZ243" i="1"/>
  <c r="AY243" i="1"/>
  <c r="AZ242" i="1"/>
  <c r="AY242" i="1"/>
  <c r="AZ241" i="1"/>
  <c r="AY241" i="1"/>
  <c r="AZ240" i="1"/>
  <c r="AY240" i="1"/>
  <c r="AZ239" i="1"/>
  <c r="AY239" i="1"/>
  <c r="AZ238" i="1"/>
  <c r="AY238" i="1"/>
  <c r="AZ237" i="1"/>
  <c r="AY237" i="1"/>
  <c r="AZ236" i="1"/>
  <c r="AY236" i="1"/>
  <c r="AZ235" i="1"/>
  <c r="AY235" i="1"/>
  <c r="AZ234" i="1"/>
  <c r="AY234" i="1"/>
  <c r="AZ233" i="1"/>
  <c r="AY233" i="1"/>
  <c r="AZ232" i="1"/>
  <c r="AY232" i="1"/>
  <c r="AZ231" i="1"/>
  <c r="AY231" i="1"/>
  <c r="AZ230" i="1"/>
  <c r="AY230" i="1"/>
  <c r="AZ229" i="1"/>
  <c r="AY229" i="1"/>
  <c r="AZ228" i="1"/>
  <c r="AY228" i="1"/>
  <c r="AZ227" i="1"/>
  <c r="AY227" i="1"/>
  <c r="AZ226" i="1"/>
  <c r="AY226" i="1"/>
  <c r="AZ225" i="1"/>
  <c r="AY225" i="1"/>
  <c r="AZ224" i="1"/>
  <c r="AY224" i="1"/>
  <c r="AZ223" i="1"/>
  <c r="AY223" i="1"/>
  <c r="AZ222" i="1"/>
  <c r="AY222" i="1"/>
  <c r="AZ221" i="1"/>
  <c r="AY221" i="1"/>
  <c r="AZ220" i="1"/>
  <c r="AY220" i="1"/>
  <c r="AZ219" i="1"/>
  <c r="AY219" i="1"/>
  <c r="AZ218" i="1"/>
  <c r="AY218" i="1"/>
  <c r="AZ217" i="1"/>
  <c r="AY217" i="1"/>
  <c r="AZ216" i="1"/>
  <c r="AY216" i="1"/>
  <c r="AZ215" i="1"/>
  <c r="AY215" i="1"/>
  <c r="AZ214" i="1"/>
  <c r="AY214" i="1"/>
  <c r="AZ213" i="1"/>
  <c r="AY213" i="1"/>
  <c r="AZ212" i="1"/>
  <c r="AY212" i="1"/>
  <c r="AZ211" i="1"/>
  <c r="AY211" i="1"/>
  <c r="AZ210" i="1"/>
  <c r="AY210" i="1"/>
  <c r="AZ209" i="1"/>
  <c r="AY209" i="1"/>
  <c r="AZ208" i="1"/>
  <c r="AY208" i="1"/>
  <c r="AZ207" i="1"/>
  <c r="AY207" i="1"/>
  <c r="AZ206" i="1"/>
  <c r="AY206" i="1"/>
  <c r="AZ205" i="1"/>
  <c r="AY205" i="1"/>
  <c r="AZ204" i="1"/>
  <c r="AY204" i="1"/>
  <c r="AZ203" i="1"/>
  <c r="AY203" i="1"/>
  <c r="AZ202" i="1"/>
  <c r="AY202" i="1"/>
  <c r="AZ201" i="1"/>
  <c r="AY201" i="1"/>
  <c r="AZ200" i="1"/>
  <c r="AY200" i="1"/>
  <c r="AZ199" i="1"/>
  <c r="AY199" i="1"/>
  <c r="AZ198" i="1"/>
  <c r="AY198" i="1"/>
  <c r="AZ197" i="1"/>
  <c r="AY197" i="1"/>
  <c r="AZ196" i="1"/>
  <c r="AY196" i="1"/>
  <c r="AZ195" i="1"/>
  <c r="AY195" i="1"/>
  <c r="AZ194" i="1"/>
  <c r="AY194" i="1"/>
  <c r="AZ193" i="1"/>
  <c r="AY193" i="1"/>
  <c r="AZ192" i="1"/>
  <c r="AY192" i="1"/>
  <c r="AZ191" i="1"/>
  <c r="AY191" i="1"/>
  <c r="AZ190" i="1"/>
  <c r="AY190" i="1"/>
  <c r="AZ189" i="1"/>
  <c r="AY189" i="1"/>
  <c r="AZ188" i="1"/>
  <c r="AY188" i="1"/>
  <c r="AZ187" i="1"/>
  <c r="AY187" i="1"/>
  <c r="AZ186" i="1"/>
  <c r="AY186" i="1"/>
  <c r="AZ185" i="1"/>
  <c r="AY185" i="1"/>
  <c r="AZ184" i="1"/>
  <c r="AY184" i="1"/>
  <c r="AZ183" i="1"/>
  <c r="AY183" i="1"/>
  <c r="AZ182" i="1"/>
  <c r="AY182" i="1"/>
  <c r="AZ181" i="1"/>
  <c r="AY181" i="1"/>
  <c r="AZ180" i="1"/>
  <c r="AY180" i="1"/>
  <c r="AZ179" i="1"/>
  <c r="AY179" i="1"/>
  <c r="AZ178" i="1"/>
  <c r="AY178" i="1"/>
  <c r="AZ177" i="1"/>
  <c r="AY177" i="1"/>
  <c r="AZ176" i="1"/>
  <c r="AY176" i="1"/>
  <c r="AZ175" i="1"/>
  <c r="AY175" i="1"/>
  <c r="AZ174" i="1"/>
  <c r="AY174" i="1"/>
  <c r="AZ173" i="1"/>
  <c r="AY173" i="1"/>
  <c r="AZ172" i="1"/>
  <c r="AY172" i="1"/>
  <c r="AZ171" i="1"/>
  <c r="AY171" i="1"/>
  <c r="AZ170" i="1"/>
  <c r="AY170" i="1"/>
  <c r="AZ169" i="1"/>
  <c r="AY169" i="1"/>
  <c r="AZ168" i="1"/>
  <c r="AY168" i="1"/>
  <c r="AZ167" i="1"/>
  <c r="AY167" i="1"/>
  <c r="AZ166" i="1"/>
  <c r="AY166" i="1"/>
  <c r="AZ165" i="1"/>
  <c r="AY165" i="1"/>
  <c r="AZ164" i="1"/>
  <c r="AY164" i="1"/>
  <c r="AZ163" i="1"/>
  <c r="AY163" i="1"/>
  <c r="AZ162" i="1"/>
  <c r="AY162" i="1"/>
  <c r="AZ161" i="1"/>
  <c r="AY161" i="1"/>
  <c r="AZ160" i="1"/>
  <c r="AY160" i="1"/>
  <c r="AZ159" i="1"/>
  <c r="AY159" i="1"/>
  <c r="AZ158" i="1"/>
  <c r="AY158" i="1"/>
  <c r="AZ157" i="1"/>
  <c r="AY157" i="1"/>
  <c r="AZ156" i="1"/>
  <c r="AY156" i="1"/>
  <c r="AZ155" i="1"/>
  <c r="AY155" i="1"/>
  <c r="AZ154" i="1"/>
  <c r="AY154" i="1"/>
  <c r="AZ153" i="1"/>
  <c r="AY153" i="1"/>
  <c r="AZ152" i="1"/>
  <c r="AY152" i="1"/>
  <c r="AZ151" i="1"/>
  <c r="AY151" i="1"/>
  <c r="AZ150" i="1"/>
  <c r="AY150" i="1"/>
  <c r="AZ149" i="1"/>
  <c r="AY149" i="1"/>
  <c r="AZ148" i="1"/>
  <c r="AY148" i="1"/>
  <c r="AZ147" i="1"/>
  <c r="AY147" i="1"/>
  <c r="AZ146" i="1"/>
  <c r="AY146" i="1"/>
  <c r="AZ145" i="1"/>
  <c r="AY145" i="1"/>
  <c r="AZ144" i="1"/>
  <c r="AY144" i="1"/>
  <c r="AZ143" i="1"/>
  <c r="AY143" i="1"/>
  <c r="AZ142" i="1"/>
  <c r="AY142" i="1"/>
  <c r="AZ141" i="1"/>
  <c r="AY141" i="1"/>
  <c r="AZ140" i="1"/>
  <c r="AY140" i="1"/>
  <c r="AZ139" i="1"/>
  <c r="AY139" i="1"/>
  <c r="AZ138" i="1"/>
  <c r="AY138" i="1"/>
  <c r="AZ137" i="1"/>
  <c r="AY137" i="1"/>
  <c r="AZ136" i="1"/>
  <c r="AY136" i="1"/>
  <c r="AZ135" i="1"/>
  <c r="AY135" i="1"/>
  <c r="AZ134" i="1"/>
  <c r="AY134" i="1"/>
  <c r="AZ133" i="1"/>
  <c r="AY133" i="1"/>
  <c r="AZ132" i="1"/>
  <c r="AY132" i="1"/>
  <c r="AZ131" i="1"/>
  <c r="AY131" i="1"/>
  <c r="AZ130" i="1"/>
  <c r="AY130" i="1"/>
  <c r="AZ129" i="1"/>
  <c r="AY129" i="1"/>
  <c r="AZ128" i="1"/>
  <c r="AY128" i="1"/>
  <c r="AZ127" i="1"/>
  <c r="AY127" i="1"/>
  <c r="AZ126" i="1"/>
  <c r="AY126" i="1"/>
  <c r="AZ125" i="1"/>
  <c r="AY125" i="1"/>
  <c r="AZ124" i="1"/>
  <c r="AY124" i="1"/>
  <c r="AZ123" i="1"/>
  <c r="AY123" i="1"/>
  <c r="AZ122" i="1"/>
  <c r="AY122" i="1"/>
  <c r="AZ121" i="1"/>
  <c r="AY121" i="1"/>
  <c r="AZ120" i="1"/>
  <c r="AY120" i="1"/>
  <c r="AZ119" i="1"/>
  <c r="AY119" i="1"/>
  <c r="AZ118" i="1"/>
  <c r="AY118" i="1"/>
  <c r="AZ117" i="1"/>
  <c r="AY117" i="1"/>
  <c r="AZ116" i="1"/>
  <c r="AY116" i="1"/>
  <c r="AZ115" i="1"/>
  <c r="AY115" i="1"/>
  <c r="AZ114" i="1"/>
  <c r="AY114" i="1"/>
  <c r="AZ113" i="1"/>
  <c r="AY113" i="1"/>
  <c r="AZ112" i="1"/>
  <c r="AY112" i="1"/>
  <c r="AZ111" i="1"/>
  <c r="AY111" i="1"/>
  <c r="AZ110" i="1"/>
  <c r="AY110" i="1"/>
  <c r="AZ109" i="1"/>
  <c r="AY109" i="1"/>
  <c r="AZ108" i="1"/>
  <c r="AY108" i="1"/>
  <c r="AZ107" i="1"/>
  <c r="AY107" i="1"/>
  <c r="AZ106" i="1"/>
  <c r="AY106" i="1"/>
  <c r="AZ105" i="1"/>
  <c r="AY105" i="1"/>
  <c r="AZ104" i="1"/>
  <c r="AY104" i="1"/>
  <c r="AZ103" i="1"/>
  <c r="AY103" i="1"/>
  <c r="AZ102" i="1"/>
  <c r="AY102" i="1"/>
  <c r="AZ101" i="1"/>
  <c r="AY101" i="1"/>
  <c r="AZ100" i="1"/>
  <c r="AY100" i="1"/>
  <c r="AZ99" i="1"/>
  <c r="AY99" i="1"/>
  <c r="AZ98" i="1"/>
  <c r="AY98" i="1"/>
  <c r="AZ97" i="1"/>
  <c r="AY97" i="1"/>
  <c r="AZ96" i="1"/>
  <c r="AY96" i="1"/>
  <c r="AZ95" i="1"/>
  <c r="AY95" i="1"/>
  <c r="AZ94" i="1"/>
  <c r="AY94" i="1"/>
  <c r="AZ93" i="1"/>
  <c r="AY93" i="1"/>
  <c r="AZ92" i="1"/>
  <c r="AY92" i="1"/>
  <c r="AZ91" i="1"/>
  <c r="AY91" i="1"/>
  <c r="AZ90" i="1"/>
  <c r="AY90" i="1"/>
  <c r="AZ89" i="1"/>
  <c r="AY89" i="1"/>
  <c r="AZ88" i="1"/>
  <c r="AY88" i="1"/>
  <c r="AZ87" i="1"/>
  <c r="AY87" i="1"/>
  <c r="AZ86" i="1"/>
  <c r="AY86" i="1"/>
  <c r="AZ85" i="1"/>
  <c r="AY85" i="1"/>
  <c r="AZ84" i="1"/>
  <c r="AY84" i="1"/>
  <c r="AZ83" i="1"/>
  <c r="AY83" i="1"/>
  <c r="AZ82" i="1"/>
  <c r="AY82" i="1"/>
  <c r="AZ81" i="1"/>
  <c r="AY81" i="1"/>
  <c r="AZ80" i="1"/>
  <c r="AY80" i="1"/>
  <c r="AZ79" i="1"/>
  <c r="AY79" i="1"/>
  <c r="AZ78" i="1"/>
  <c r="AY78" i="1"/>
  <c r="AZ77" i="1"/>
  <c r="AY77" i="1"/>
  <c r="AZ76" i="1"/>
  <c r="AY76" i="1"/>
  <c r="AZ75" i="1"/>
  <c r="AY75" i="1"/>
  <c r="AZ74" i="1"/>
  <c r="AY74" i="1"/>
  <c r="AZ73" i="1"/>
  <c r="AY73" i="1"/>
  <c r="AZ72" i="1"/>
  <c r="AY72" i="1"/>
  <c r="AZ71" i="1"/>
  <c r="AY71" i="1"/>
  <c r="AZ70" i="1"/>
  <c r="AY70" i="1"/>
  <c r="AZ69" i="1"/>
  <c r="AY69" i="1"/>
  <c r="AZ68" i="1"/>
  <c r="AY68" i="1"/>
  <c r="AZ67" i="1"/>
  <c r="AY67" i="1"/>
  <c r="AZ66" i="1"/>
  <c r="AY66" i="1"/>
  <c r="AZ65" i="1"/>
  <c r="AY65" i="1"/>
  <c r="AZ64" i="1"/>
  <c r="AY64" i="1"/>
  <c r="AZ63" i="1"/>
  <c r="AY63" i="1"/>
  <c r="AZ62" i="1"/>
  <c r="AY62" i="1"/>
  <c r="AZ61" i="1"/>
  <c r="AY61" i="1"/>
  <c r="AZ60" i="1"/>
  <c r="AY60" i="1"/>
  <c r="AZ59" i="1"/>
  <c r="AY59" i="1"/>
  <c r="AZ58" i="1"/>
  <c r="AY58" i="1"/>
  <c r="AZ57" i="1"/>
  <c r="AY57" i="1"/>
  <c r="AZ56" i="1"/>
  <c r="AY56" i="1"/>
  <c r="AZ55" i="1"/>
  <c r="AY55" i="1"/>
  <c r="AZ54" i="1"/>
  <c r="AY54" i="1"/>
  <c r="AZ53" i="1"/>
  <c r="AY53" i="1"/>
  <c r="AZ52" i="1"/>
  <c r="AY52" i="1"/>
  <c r="AZ51" i="1"/>
  <c r="AY51" i="1"/>
  <c r="AZ50" i="1"/>
  <c r="AY50" i="1"/>
  <c r="AZ49" i="1"/>
  <c r="AY49" i="1"/>
  <c r="AZ48" i="1"/>
  <c r="AY48" i="1"/>
  <c r="AZ47" i="1"/>
  <c r="AY47" i="1"/>
  <c r="AZ46" i="1"/>
  <c r="AY46" i="1"/>
  <c r="AZ45" i="1"/>
  <c r="AY45" i="1"/>
  <c r="AZ44" i="1"/>
  <c r="AY44" i="1"/>
  <c r="AZ43" i="1"/>
  <c r="AY43" i="1"/>
  <c r="AZ42" i="1"/>
  <c r="AY42" i="1"/>
  <c r="AZ41" i="1"/>
  <c r="AY41" i="1"/>
  <c r="AZ40" i="1"/>
  <c r="AY40" i="1"/>
  <c r="AZ39" i="1"/>
  <c r="AY39" i="1"/>
  <c r="AZ38" i="1"/>
  <c r="AY38" i="1"/>
  <c r="AZ37" i="1"/>
  <c r="AY37" i="1"/>
  <c r="AZ36" i="1"/>
  <c r="AY36" i="1"/>
  <c r="AZ35" i="1"/>
  <c r="AY35" i="1"/>
  <c r="AZ34" i="1"/>
  <c r="AY34" i="1"/>
  <c r="AZ33" i="1"/>
  <c r="AY33" i="1"/>
  <c r="AZ32" i="1"/>
  <c r="AY32" i="1"/>
  <c r="AZ31" i="1"/>
  <c r="AY31" i="1"/>
  <c r="AZ30" i="1"/>
  <c r="AY30" i="1"/>
  <c r="AZ29" i="1"/>
  <c r="AY29" i="1"/>
  <c r="AZ28" i="1"/>
  <c r="AY28" i="1"/>
  <c r="AZ27" i="1"/>
  <c r="AY27" i="1"/>
  <c r="AZ26" i="1"/>
  <c r="AY26" i="1"/>
  <c r="AZ25" i="1"/>
  <c r="AY25" i="1"/>
  <c r="AZ24" i="1"/>
  <c r="AY24" i="1"/>
  <c r="AZ23" i="1"/>
  <c r="AY23" i="1"/>
  <c r="AZ22" i="1"/>
  <c r="AY22" i="1"/>
  <c r="AZ21" i="1"/>
  <c r="AY21" i="1"/>
  <c r="AZ20" i="1"/>
  <c r="AY20" i="1"/>
  <c r="AZ19" i="1"/>
  <c r="AY19" i="1"/>
  <c r="AZ18" i="1"/>
  <c r="AY18" i="1"/>
  <c r="AZ17" i="1"/>
  <c r="AY17" i="1"/>
  <c r="AZ16" i="1"/>
  <c r="AY16" i="1"/>
  <c r="AZ15" i="1"/>
  <c r="AY15" i="1"/>
  <c r="AZ14" i="1"/>
  <c r="AY14" i="1"/>
  <c r="AZ13" i="1"/>
  <c r="AY13" i="1"/>
  <c r="AZ12" i="1"/>
  <c r="AY12" i="1"/>
  <c r="AZ11" i="1"/>
  <c r="AY11" i="1"/>
  <c r="AZ10" i="1"/>
  <c r="AY10" i="1"/>
  <c r="AZ9" i="1"/>
  <c r="AY9" i="1"/>
  <c r="AW353" i="1"/>
  <c r="AV353" i="1"/>
  <c r="AW352" i="1"/>
  <c r="AV352" i="1"/>
  <c r="AW351" i="1"/>
  <c r="AV351" i="1"/>
  <c r="AW350" i="1"/>
  <c r="AV350" i="1"/>
  <c r="AW349" i="1"/>
  <c r="AV349" i="1"/>
  <c r="AW348" i="1"/>
  <c r="AV348" i="1"/>
  <c r="AW347" i="1"/>
  <c r="AV347" i="1"/>
  <c r="AW346" i="1"/>
  <c r="AV346" i="1"/>
  <c r="AW345" i="1"/>
  <c r="AV345" i="1"/>
  <c r="AW344" i="1"/>
  <c r="AV344" i="1"/>
  <c r="AW343" i="1"/>
  <c r="AV343" i="1"/>
  <c r="AW342" i="1"/>
  <c r="AV342" i="1"/>
  <c r="AW341" i="1"/>
  <c r="AV341" i="1"/>
  <c r="AW340" i="1"/>
  <c r="AV340" i="1"/>
  <c r="AW339" i="1"/>
  <c r="AV339" i="1"/>
  <c r="AW338" i="1"/>
  <c r="AV338" i="1"/>
  <c r="AW337" i="1"/>
  <c r="AV337" i="1"/>
  <c r="AW336" i="1"/>
  <c r="AV336" i="1"/>
  <c r="AW335" i="1"/>
  <c r="AV335" i="1"/>
  <c r="AW334" i="1"/>
  <c r="AV334" i="1"/>
  <c r="AW333" i="1"/>
  <c r="AV333" i="1"/>
  <c r="AW332" i="1"/>
  <c r="AV332" i="1"/>
  <c r="AW331" i="1"/>
  <c r="AV331" i="1"/>
  <c r="AW330" i="1"/>
  <c r="AV330" i="1"/>
  <c r="AW329" i="1"/>
  <c r="AV329" i="1"/>
  <c r="AW328" i="1"/>
  <c r="AV328" i="1"/>
  <c r="AW327" i="1"/>
  <c r="AV327" i="1"/>
  <c r="AW326" i="1"/>
  <c r="AV326" i="1"/>
  <c r="AW325" i="1"/>
  <c r="AV325" i="1"/>
  <c r="AW324" i="1"/>
  <c r="AV324" i="1"/>
  <c r="AW323" i="1"/>
  <c r="AV323" i="1"/>
  <c r="AW322" i="1"/>
  <c r="AV322" i="1"/>
  <c r="AW321" i="1"/>
  <c r="AV321" i="1"/>
  <c r="AW320" i="1"/>
  <c r="AV320" i="1"/>
  <c r="AW319" i="1"/>
  <c r="AV319" i="1"/>
  <c r="AW318" i="1"/>
  <c r="AV318" i="1"/>
  <c r="AW317" i="1"/>
  <c r="AV317" i="1"/>
  <c r="AW316" i="1"/>
  <c r="AV316" i="1"/>
  <c r="AW315" i="1"/>
  <c r="AV315" i="1"/>
  <c r="AW314" i="1"/>
  <c r="AV314" i="1"/>
  <c r="AW313" i="1"/>
  <c r="AV313" i="1"/>
  <c r="AW312" i="1"/>
  <c r="AV312" i="1"/>
  <c r="AW311" i="1"/>
  <c r="AV311" i="1"/>
  <c r="AW310" i="1"/>
  <c r="AV310" i="1"/>
  <c r="AW309" i="1"/>
  <c r="AV309" i="1"/>
  <c r="AW308" i="1"/>
  <c r="AV308" i="1"/>
  <c r="AW307" i="1"/>
  <c r="AV307" i="1"/>
  <c r="AW306" i="1"/>
  <c r="AV306" i="1"/>
  <c r="AW305" i="1"/>
  <c r="AV305" i="1"/>
  <c r="AW304" i="1"/>
  <c r="AV304" i="1"/>
  <c r="AW303" i="1"/>
  <c r="AV303" i="1"/>
  <c r="AW302" i="1"/>
  <c r="AV302" i="1"/>
  <c r="AW301" i="1"/>
  <c r="AV301" i="1"/>
  <c r="AW300" i="1"/>
  <c r="AV300" i="1"/>
  <c r="AW299" i="1"/>
  <c r="AV299" i="1"/>
  <c r="AW298" i="1"/>
  <c r="AV298" i="1"/>
  <c r="AW297" i="1"/>
  <c r="AV297" i="1"/>
  <c r="AW296" i="1"/>
  <c r="AV296" i="1"/>
  <c r="AW295" i="1"/>
  <c r="AV295" i="1"/>
  <c r="AW294" i="1"/>
  <c r="AV294" i="1"/>
  <c r="AW293" i="1"/>
  <c r="AV293" i="1"/>
  <c r="AW292" i="1"/>
  <c r="AV292" i="1"/>
  <c r="AW291" i="1"/>
  <c r="AV291" i="1"/>
  <c r="AW290" i="1"/>
  <c r="AV290" i="1"/>
  <c r="AW289" i="1"/>
  <c r="AV289" i="1"/>
  <c r="AW288" i="1"/>
  <c r="AV288" i="1"/>
  <c r="AW287" i="1"/>
  <c r="AV287" i="1"/>
  <c r="AW286" i="1"/>
  <c r="AV286" i="1"/>
  <c r="AW285" i="1"/>
  <c r="AV285" i="1"/>
  <c r="AW284" i="1"/>
  <c r="AV284" i="1"/>
  <c r="AW283" i="1"/>
  <c r="AV283" i="1"/>
  <c r="AW282" i="1"/>
  <c r="AV282" i="1"/>
  <c r="AW281" i="1"/>
  <c r="AV281" i="1"/>
  <c r="AW280" i="1"/>
  <c r="AV280" i="1"/>
  <c r="AW279" i="1"/>
  <c r="AV279" i="1"/>
  <c r="AW278" i="1"/>
  <c r="AV278" i="1"/>
  <c r="AW277" i="1"/>
  <c r="AV277" i="1"/>
  <c r="AW276" i="1"/>
  <c r="AV276" i="1"/>
  <c r="AW275" i="1"/>
  <c r="AV275" i="1"/>
  <c r="AW274" i="1"/>
  <c r="AV274" i="1"/>
  <c r="AW273" i="1"/>
  <c r="AV273" i="1"/>
  <c r="AW272" i="1"/>
  <c r="AV272" i="1"/>
  <c r="AW271" i="1"/>
  <c r="AV271" i="1"/>
  <c r="AW270" i="1"/>
  <c r="AV270" i="1"/>
  <c r="AW269" i="1"/>
  <c r="AV269" i="1"/>
  <c r="AW268" i="1"/>
  <c r="AV268" i="1"/>
  <c r="AW267" i="1"/>
  <c r="AV267" i="1"/>
  <c r="AW266" i="1"/>
  <c r="AV266" i="1"/>
  <c r="AW265" i="1"/>
  <c r="AV265" i="1"/>
  <c r="AW264" i="1"/>
  <c r="AV264" i="1"/>
  <c r="AW263" i="1"/>
  <c r="AV263" i="1"/>
  <c r="AW262" i="1"/>
  <c r="AV262" i="1"/>
  <c r="AW261" i="1"/>
  <c r="AV261" i="1"/>
  <c r="AW260" i="1"/>
  <c r="AV260" i="1"/>
  <c r="AW259" i="1"/>
  <c r="AV259" i="1"/>
  <c r="AW258" i="1"/>
  <c r="AV258" i="1"/>
  <c r="AW257" i="1"/>
  <c r="AV257" i="1"/>
  <c r="AW256" i="1"/>
  <c r="AV256" i="1"/>
  <c r="AW255" i="1"/>
  <c r="AV255" i="1"/>
  <c r="AW254" i="1"/>
  <c r="AV254" i="1"/>
  <c r="AW253" i="1"/>
  <c r="AV253" i="1"/>
  <c r="AW252" i="1"/>
  <c r="AV252" i="1"/>
  <c r="AW251" i="1"/>
  <c r="AV251" i="1"/>
  <c r="AW250" i="1"/>
  <c r="AV250" i="1"/>
  <c r="AW249" i="1"/>
  <c r="AV249" i="1"/>
  <c r="AW248" i="1"/>
  <c r="AV248" i="1"/>
  <c r="AW247" i="1"/>
  <c r="AV247" i="1"/>
  <c r="AW246" i="1"/>
  <c r="AV246" i="1"/>
  <c r="AW245" i="1"/>
  <c r="AV245" i="1"/>
  <c r="AW244" i="1"/>
  <c r="AV244" i="1"/>
  <c r="AW243" i="1"/>
  <c r="AV243" i="1"/>
  <c r="AW242" i="1"/>
  <c r="AV242" i="1"/>
  <c r="AW241" i="1"/>
  <c r="AV241" i="1"/>
  <c r="AW240" i="1"/>
  <c r="AV240" i="1"/>
  <c r="AW239" i="1"/>
  <c r="AV239" i="1"/>
  <c r="AW238" i="1"/>
  <c r="AV238" i="1"/>
  <c r="AW237" i="1"/>
  <c r="AV237" i="1"/>
  <c r="AW236" i="1"/>
  <c r="AV236" i="1"/>
  <c r="AW235" i="1"/>
  <c r="AV235" i="1"/>
  <c r="AW234" i="1"/>
  <c r="AV234" i="1"/>
  <c r="AW233" i="1"/>
  <c r="AV233" i="1"/>
  <c r="AW232" i="1"/>
  <c r="AV232" i="1"/>
  <c r="AW231" i="1"/>
  <c r="AV231" i="1"/>
  <c r="AW230" i="1"/>
  <c r="AV230" i="1"/>
  <c r="AW229" i="1"/>
  <c r="AV229" i="1"/>
  <c r="AW228" i="1"/>
  <c r="AV228" i="1"/>
  <c r="AW227" i="1"/>
  <c r="AV227" i="1"/>
  <c r="AW226" i="1"/>
  <c r="AV226" i="1"/>
  <c r="AW225" i="1"/>
  <c r="AV225" i="1"/>
  <c r="AW224" i="1"/>
  <c r="AV224" i="1"/>
  <c r="AW223" i="1"/>
  <c r="AV223" i="1"/>
  <c r="AW222" i="1"/>
  <c r="AV222" i="1"/>
  <c r="AW221" i="1"/>
  <c r="AV221" i="1"/>
  <c r="AW220" i="1"/>
  <c r="AV220" i="1"/>
  <c r="AW219" i="1"/>
  <c r="AV219" i="1"/>
  <c r="AW218" i="1"/>
  <c r="AV218" i="1"/>
  <c r="AW217" i="1"/>
  <c r="AV217" i="1"/>
  <c r="AW216" i="1"/>
  <c r="AV216" i="1"/>
  <c r="AW215" i="1"/>
  <c r="AV215" i="1"/>
  <c r="AW214" i="1"/>
  <c r="AV214" i="1"/>
  <c r="AW213" i="1"/>
  <c r="AV213" i="1"/>
  <c r="AW212" i="1"/>
  <c r="AV212" i="1"/>
  <c r="AW211" i="1"/>
  <c r="AV211" i="1"/>
  <c r="AW210" i="1"/>
  <c r="AV210" i="1"/>
  <c r="AW209" i="1"/>
  <c r="AV209" i="1"/>
  <c r="AW208" i="1"/>
  <c r="AV208" i="1"/>
  <c r="AW207" i="1"/>
  <c r="AV207" i="1"/>
  <c r="AW206" i="1"/>
  <c r="AV206" i="1"/>
  <c r="AW205" i="1"/>
  <c r="AV205" i="1"/>
  <c r="AW204" i="1"/>
  <c r="AV204" i="1"/>
  <c r="AW203" i="1"/>
  <c r="AV203" i="1"/>
  <c r="AW202" i="1"/>
  <c r="AV202" i="1"/>
  <c r="AW201" i="1"/>
  <c r="AV201" i="1"/>
  <c r="AW200" i="1"/>
  <c r="AV200" i="1"/>
  <c r="AW199" i="1"/>
  <c r="AV199" i="1"/>
  <c r="AW198" i="1"/>
  <c r="AV198" i="1"/>
  <c r="AW197" i="1"/>
  <c r="AV197" i="1"/>
  <c r="AW196" i="1"/>
  <c r="AV196" i="1"/>
  <c r="AW195" i="1"/>
  <c r="AV195" i="1"/>
  <c r="AW194" i="1"/>
  <c r="AV194" i="1"/>
  <c r="AW193" i="1"/>
  <c r="AV193" i="1"/>
  <c r="AW192" i="1"/>
  <c r="AV192" i="1"/>
  <c r="AW191" i="1"/>
  <c r="AV191" i="1"/>
  <c r="AW190" i="1"/>
  <c r="AV190" i="1"/>
  <c r="AW189" i="1"/>
  <c r="AV189" i="1"/>
  <c r="AW188" i="1"/>
  <c r="AV188" i="1"/>
  <c r="AW187" i="1"/>
  <c r="AV187" i="1"/>
  <c r="AW186" i="1"/>
  <c r="AV186" i="1"/>
  <c r="AW185" i="1"/>
  <c r="AV185" i="1"/>
  <c r="AW184" i="1"/>
  <c r="AV184" i="1"/>
  <c r="AW183" i="1"/>
  <c r="AV183" i="1"/>
  <c r="AW182" i="1"/>
  <c r="AV182" i="1"/>
  <c r="AW181" i="1"/>
  <c r="AV181" i="1"/>
  <c r="AW180" i="1"/>
  <c r="AV180" i="1"/>
  <c r="AW179" i="1"/>
  <c r="AV179" i="1"/>
  <c r="AW178" i="1"/>
  <c r="AV178" i="1"/>
  <c r="AW177" i="1"/>
  <c r="AV177" i="1"/>
  <c r="AW176" i="1"/>
  <c r="AV176" i="1"/>
  <c r="AW175" i="1"/>
  <c r="AV175" i="1"/>
  <c r="AW174" i="1"/>
  <c r="AV174" i="1"/>
  <c r="AW173" i="1"/>
  <c r="AV173" i="1"/>
  <c r="AW172" i="1"/>
  <c r="AV172" i="1"/>
  <c r="AW171" i="1"/>
  <c r="AV171" i="1"/>
  <c r="AW170" i="1"/>
  <c r="AV170" i="1"/>
  <c r="AW169" i="1"/>
  <c r="AV169" i="1"/>
  <c r="AW168" i="1"/>
  <c r="AV168" i="1"/>
  <c r="AW167" i="1"/>
  <c r="AV167" i="1"/>
  <c r="AW166" i="1"/>
  <c r="AV166" i="1"/>
  <c r="AW165" i="1"/>
  <c r="AV165" i="1"/>
  <c r="AW164" i="1"/>
  <c r="AV164" i="1"/>
  <c r="AW163" i="1"/>
  <c r="AV163" i="1"/>
  <c r="AW162" i="1"/>
  <c r="AV162" i="1"/>
  <c r="AW161" i="1"/>
  <c r="AV161" i="1"/>
  <c r="AW160" i="1"/>
  <c r="AV160" i="1"/>
  <c r="AW159" i="1"/>
  <c r="AV159" i="1"/>
  <c r="AW158" i="1"/>
  <c r="AV158" i="1"/>
  <c r="AW157" i="1"/>
  <c r="AV157" i="1"/>
  <c r="AW156" i="1"/>
  <c r="AV156" i="1"/>
  <c r="AW155" i="1"/>
  <c r="AV155" i="1"/>
  <c r="AW154" i="1"/>
  <c r="AV154" i="1"/>
  <c r="AW153" i="1"/>
  <c r="AV153" i="1"/>
  <c r="AW152" i="1"/>
  <c r="AV152" i="1"/>
  <c r="AW151" i="1"/>
  <c r="AV151" i="1"/>
  <c r="AW150" i="1"/>
  <c r="AV150" i="1"/>
  <c r="AW149" i="1"/>
  <c r="AV149" i="1"/>
  <c r="AW148" i="1"/>
  <c r="AV148" i="1"/>
  <c r="AW147" i="1"/>
  <c r="AV147" i="1"/>
  <c r="AW146" i="1"/>
  <c r="AV146" i="1"/>
  <c r="AW145" i="1"/>
  <c r="AV145" i="1"/>
  <c r="AW144" i="1"/>
  <c r="AV144" i="1"/>
  <c r="AW143" i="1"/>
  <c r="AV143" i="1"/>
  <c r="AW142" i="1"/>
  <c r="AV142" i="1"/>
  <c r="AW141" i="1"/>
  <c r="AV141" i="1"/>
  <c r="AW140" i="1"/>
  <c r="AV140" i="1"/>
  <c r="AW139" i="1"/>
  <c r="AV139" i="1"/>
  <c r="AW138" i="1"/>
  <c r="AV138" i="1"/>
  <c r="AW137" i="1"/>
  <c r="AV137" i="1"/>
  <c r="AW136" i="1"/>
  <c r="AV136" i="1"/>
  <c r="AW135" i="1"/>
  <c r="AV135" i="1"/>
  <c r="AW134" i="1"/>
  <c r="AV134" i="1"/>
  <c r="AW133" i="1"/>
  <c r="AV133" i="1"/>
  <c r="AW132" i="1"/>
  <c r="AV132" i="1"/>
  <c r="AW131" i="1"/>
  <c r="AV131" i="1"/>
  <c r="AW130" i="1"/>
  <c r="AV130" i="1"/>
  <c r="AW129" i="1"/>
  <c r="AV129" i="1"/>
  <c r="AW128" i="1"/>
  <c r="AV128" i="1"/>
  <c r="AW127" i="1"/>
  <c r="AV127" i="1"/>
  <c r="AW126" i="1"/>
  <c r="AV126" i="1"/>
  <c r="AW125" i="1"/>
  <c r="AV125" i="1"/>
  <c r="AW124" i="1"/>
  <c r="AV124" i="1"/>
  <c r="AW123" i="1"/>
  <c r="AV123" i="1"/>
  <c r="AW122" i="1"/>
  <c r="AV122" i="1"/>
  <c r="AW121" i="1"/>
  <c r="AV121" i="1"/>
  <c r="AW120" i="1"/>
  <c r="AV120" i="1"/>
  <c r="AW119" i="1"/>
  <c r="AV119" i="1"/>
  <c r="AW118" i="1"/>
  <c r="AV118" i="1"/>
  <c r="AW117" i="1"/>
  <c r="AV117" i="1"/>
  <c r="AW116" i="1"/>
  <c r="AV116" i="1"/>
  <c r="AW115" i="1"/>
  <c r="AV115" i="1"/>
  <c r="AW114" i="1"/>
  <c r="AV114" i="1"/>
  <c r="AW113" i="1"/>
  <c r="AV113" i="1"/>
  <c r="AW112" i="1"/>
  <c r="AV112" i="1"/>
  <c r="AW111" i="1"/>
  <c r="AV111" i="1"/>
  <c r="AW110" i="1"/>
  <c r="AV110" i="1"/>
  <c r="AW109" i="1"/>
  <c r="AV109" i="1"/>
  <c r="AW108" i="1"/>
  <c r="AV108" i="1"/>
  <c r="AW107" i="1"/>
  <c r="AV107" i="1"/>
  <c r="AW106" i="1"/>
  <c r="AV106" i="1"/>
  <c r="AW105" i="1"/>
  <c r="AV105" i="1"/>
  <c r="AW104" i="1"/>
  <c r="AV104" i="1"/>
  <c r="AW103" i="1"/>
  <c r="AV103" i="1"/>
  <c r="AW102" i="1"/>
  <c r="AV102" i="1"/>
  <c r="AW101" i="1"/>
  <c r="AV101" i="1"/>
  <c r="AW100" i="1"/>
  <c r="AV100" i="1"/>
  <c r="AW99" i="1"/>
  <c r="AV99" i="1"/>
  <c r="AW98" i="1"/>
  <c r="AV98" i="1"/>
  <c r="AW97" i="1"/>
  <c r="AV97" i="1"/>
  <c r="AW96" i="1"/>
  <c r="AV96" i="1"/>
  <c r="AW95" i="1"/>
  <c r="AV95" i="1"/>
  <c r="AW94" i="1"/>
  <c r="AV94" i="1"/>
  <c r="AW93" i="1"/>
  <c r="AV93" i="1"/>
  <c r="AW92" i="1"/>
  <c r="AV92" i="1"/>
  <c r="AW91" i="1"/>
  <c r="AV91" i="1"/>
  <c r="AW90" i="1"/>
  <c r="AV90" i="1"/>
  <c r="AW89" i="1"/>
  <c r="AV89" i="1"/>
  <c r="AW88" i="1"/>
  <c r="AV88" i="1"/>
  <c r="AW87" i="1"/>
  <c r="AV87" i="1"/>
  <c r="AW86" i="1"/>
  <c r="AV86" i="1"/>
  <c r="AW85" i="1"/>
  <c r="AV85" i="1"/>
  <c r="AW84" i="1"/>
  <c r="AV84" i="1"/>
  <c r="AW83" i="1"/>
  <c r="AV83" i="1"/>
  <c r="AW82" i="1"/>
  <c r="AV82" i="1"/>
  <c r="AW81" i="1"/>
  <c r="AV81" i="1"/>
  <c r="AW80" i="1"/>
  <c r="AV80" i="1"/>
  <c r="AW79" i="1"/>
  <c r="AV79" i="1"/>
  <c r="AW78" i="1"/>
  <c r="AV78" i="1"/>
  <c r="AW77" i="1"/>
  <c r="AV77" i="1"/>
  <c r="AW76" i="1"/>
  <c r="AV76" i="1"/>
  <c r="AW75" i="1"/>
  <c r="AV75" i="1"/>
  <c r="AW74" i="1"/>
  <c r="AV74" i="1"/>
  <c r="AW73" i="1"/>
  <c r="AV73" i="1"/>
  <c r="AW72" i="1"/>
  <c r="AV72" i="1"/>
  <c r="AW71" i="1"/>
  <c r="AV71" i="1"/>
  <c r="AW70" i="1"/>
  <c r="AV70" i="1"/>
  <c r="AW69" i="1"/>
  <c r="AV69" i="1"/>
  <c r="AW68" i="1"/>
  <c r="AV68" i="1"/>
  <c r="AW67" i="1"/>
  <c r="AV67" i="1"/>
  <c r="AW66" i="1"/>
  <c r="AV66" i="1"/>
  <c r="AW65" i="1"/>
  <c r="AV65" i="1"/>
  <c r="AW64" i="1"/>
  <c r="AV64" i="1"/>
  <c r="AW63" i="1"/>
  <c r="AV63" i="1"/>
  <c r="AW62" i="1"/>
  <c r="AV62" i="1"/>
  <c r="AW61" i="1"/>
  <c r="AV61" i="1"/>
  <c r="AW60" i="1"/>
  <c r="AV60" i="1"/>
  <c r="AW59" i="1"/>
  <c r="AV59" i="1"/>
  <c r="AW58" i="1"/>
  <c r="AV58" i="1"/>
  <c r="AW57" i="1"/>
  <c r="AV57" i="1"/>
  <c r="AW56" i="1"/>
  <c r="AV56" i="1"/>
  <c r="AW55" i="1"/>
  <c r="AV55" i="1"/>
  <c r="AW54" i="1"/>
  <c r="AV54" i="1"/>
  <c r="AW53" i="1"/>
  <c r="AV53" i="1"/>
  <c r="AW52" i="1"/>
  <c r="AV52" i="1"/>
  <c r="AW51" i="1"/>
  <c r="AV51" i="1"/>
  <c r="AW50" i="1"/>
  <c r="AV50" i="1"/>
  <c r="AW49" i="1"/>
  <c r="AV49" i="1"/>
  <c r="AW48" i="1"/>
  <c r="AV48" i="1"/>
  <c r="AW47" i="1"/>
  <c r="AV47" i="1"/>
  <c r="AW46" i="1"/>
  <c r="AV46" i="1"/>
  <c r="AW45" i="1"/>
  <c r="AV45" i="1"/>
  <c r="AW44" i="1"/>
  <c r="AV44" i="1"/>
  <c r="AW43" i="1"/>
  <c r="AV43" i="1"/>
  <c r="AW42" i="1"/>
  <c r="AV42" i="1"/>
  <c r="AW41" i="1"/>
  <c r="AV41" i="1"/>
  <c r="AW40" i="1"/>
  <c r="AV40" i="1"/>
  <c r="AW39" i="1"/>
  <c r="AV39" i="1"/>
  <c r="AW38" i="1"/>
  <c r="AV38" i="1"/>
  <c r="AW37" i="1"/>
  <c r="AV37" i="1"/>
  <c r="AW36" i="1"/>
  <c r="AV36" i="1"/>
  <c r="AW35" i="1"/>
  <c r="AV35" i="1"/>
  <c r="AW34" i="1"/>
  <c r="AV34" i="1"/>
  <c r="AW33" i="1"/>
  <c r="AV33" i="1"/>
  <c r="AW32" i="1"/>
  <c r="AV32" i="1"/>
  <c r="AW31" i="1"/>
  <c r="AV31" i="1"/>
  <c r="AW30" i="1"/>
  <c r="AV30" i="1"/>
  <c r="AW29" i="1"/>
  <c r="AV29" i="1"/>
  <c r="AW28" i="1"/>
  <c r="AV28" i="1"/>
  <c r="AW27" i="1"/>
  <c r="AV27" i="1"/>
  <c r="AW26" i="1"/>
  <c r="AV26" i="1"/>
  <c r="AW25" i="1"/>
  <c r="AV25" i="1"/>
  <c r="AW24" i="1"/>
  <c r="AV24" i="1"/>
  <c r="AW23" i="1"/>
  <c r="AV23" i="1"/>
  <c r="AW22" i="1"/>
  <c r="AV22" i="1"/>
  <c r="AW21" i="1"/>
  <c r="AV21" i="1"/>
  <c r="AW20" i="1"/>
  <c r="AV20" i="1"/>
  <c r="AW19" i="1"/>
  <c r="AV19" i="1"/>
  <c r="AW18" i="1"/>
  <c r="AV18" i="1"/>
  <c r="AW17" i="1"/>
  <c r="AV17" i="1"/>
  <c r="AW16" i="1"/>
  <c r="AV16" i="1"/>
  <c r="AW15" i="1"/>
  <c r="AV15" i="1"/>
  <c r="AW14" i="1"/>
  <c r="AV14" i="1"/>
  <c r="AW13" i="1"/>
  <c r="AV13" i="1"/>
  <c r="AW12" i="1"/>
  <c r="AV12" i="1"/>
  <c r="AW11" i="1"/>
  <c r="AV11" i="1"/>
  <c r="AW10" i="1"/>
  <c r="AV10" i="1"/>
  <c r="AW9" i="1"/>
  <c r="AV9" i="1"/>
  <c r="AT353" i="1"/>
  <c r="AS353" i="1"/>
  <c r="AT352" i="1"/>
  <c r="AS352" i="1"/>
  <c r="AT351" i="1"/>
  <c r="AS351" i="1"/>
  <c r="AT350" i="1"/>
  <c r="AS350" i="1"/>
  <c r="AT349" i="1"/>
  <c r="AS349" i="1"/>
  <c r="AT348" i="1"/>
  <c r="AS348" i="1"/>
  <c r="AT347" i="1"/>
  <c r="AS347" i="1"/>
  <c r="AT346" i="1"/>
  <c r="AS346" i="1"/>
  <c r="AT345" i="1"/>
  <c r="AS345" i="1"/>
  <c r="AT344" i="1"/>
  <c r="AS344" i="1"/>
  <c r="AT343" i="1"/>
  <c r="AS343" i="1"/>
  <c r="AT342" i="1"/>
  <c r="AS342" i="1"/>
  <c r="AT341" i="1"/>
  <c r="AS341" i="1"/>
  <c r="AT340" i="1"/>
  <c r="AS340" i="1"/>
  <c r="AT339" i="1"/>
  <c r="AS339" i="1"/>
  <c r="AT338" i="1"/>
  <c r="AS338" i="1"/>
  <c r="AT337" i="1"/>
  <c r="AS337" i="1"/>
  <c r="AT336" i="1"/>
  <c r="AS336" i="1"/>
  <c r="AT335" i="1"/>
  <c r="AS335" i="1"/>
  <c r="AT334" i="1"/>
  <c r="AS334" i="1"/>
  <c r="AT333" i="1"/>
  <c r="AS333" i="1"/>
  <c r="AT332" i="1"/>
  <c r="AS332" i="1"/>
  <c r="AT331" i="1"/>
  <c r="AS331" i="1"/>
  <c r="AT330" i="1"/>
  <c r="AS330" i="1"/>
  <c r="AT329" i="1"/>
  <c r="AS329" i="1"/>
  <c r="AT328" i="1"/>
  <c r="AS328" i="1"/>
  <c r="AT327" i="1"/>
  <c r="AS327" i="1"/>
  <c r="AT326" i="1"/>
  <c r="AS326" i="1"/>
  <c r="AT325" i="1"/>
  <c r="AS325" i="1"/>
  <c r="AT324" i="1"/>
  <c r="AS324" i="1"/>
  <c r="AT323" i="1"/>
  <c r="AS323" i="1"/>
  <c r="AT322" i="1"/>
  <c r="AS322" i="1"/>
  <c r="AT321" i="1"/>
  <c r="AS321" i="1"/>
  <c r="AT320" i="1"/>
  <c r="AS320" i="1"/>
  <c r="AT319" i="1"/>
  <c r="AS319" i="1"/>
  <c r="AT318" i="1"/>
  <c r="AS318" i="1"/>
  <c r="AT317" i="1"/>
  <c r="AS317" i="1"/>
  <c r="AT316" i="1"/>
  <c r="AS316" i="1"/>
  <c r="AT315" i="1"/>
  <c r="AS315" i="1"/>
  <c r="AT314" i="1"/>
  <c r="AS314" i="1"/>
  <c r="AT313" i="1"/>
  <c r="AS313" i="1"/>
  <c r="AT312" i="1"/>
  <c r="AS312" i="1"/>
  <c r="AT311" i="1"/>
  <c r="AS311" i="1"/>
  <c r="AT310" i="1"/>
  <c r="AS310" i="1"/>
  <c r="AT309" i="1"/>
  <c r="AS309" i="1"/>
  <c r="AT308" i="1"/>
  <c r="AS308" i="1"/>
  <c r="AT307" i="1"/>
  <c r="AS307" i="1"/>
  <c r="AT306" i="1"/>
  <c r="AS306" i="1"/>
  <c r="AT305" i="1"/>
  <c r="AS305" i="1"/>
  <c r="AT304" i="1"/>
  <c r="AS304" i="1"/>
  <c r="AT303" i="1"/>
  <c r="AS303" i="1"/>
  <c r="AT302" i="1"/>
  <c r="AS302" i="1"/>
  <c r="AT301" i="1"/>
  <c r="AS301" i="1"/>
  <c r="AT300" i="1"/>
  <c r="AS300" i="1"/>
  <c r="AT299" i="1"/>
  <c r="AS299" i="1"/>
  <c r="AT298" i="1"/>
  <c r="AS298" i="1"/>
  <c r="AT297" i="1"/>
  <c r="AS297" i="1"/>
  <c r="AT296" i="1"/>
  <c r="AS296" i="1"/>
  <c r="AT295" i="1"/>
  <c r="AS295" i="1"/>
  <c r="AT294" i="1"/>
  <c r="AS294" i="1"/>
  <c r="AT293" i="1"/>
  <c r="AS293" i="1"/>
  <c r="AT292" i="1"/>
  <c r="AS292" i="1"/>
  <c r="AT291" i="1"/>
  <c r="AS291" i="1"/>
  <c r="AT290" i="1"/>
  <c r="AS290" i="1"/>
  <c r="AT289" i="1"/>
  <c r="AS289" i="1"/>
  <c r="AT288" i="1"/>
  <c r="AS288" i="1"/>
  <c r="AT287" i="1"/>
  <c r="AS287" i="1"/>
  <c r="AT286" i="1"/>
  <c r="AS286" i="1"/>
  <c r="AT285" i="1"/>
  <c r="AS285" i="1"/>
  <c r="AT284" i="1"/>
  <c r="AS284" i="1"/>
  <c r="AT283" i="1"/>
  <c r="AS283" i="1"/>
  <c r="AT282" i="1"/>
  <c r="AS282" i="1"/>
  <c r="AT281" i="1"/>
  <c r="AS281" i="1"/>
  <c r="AT280" i="1"/>
  <c r="AS280" i="1"/>
  <c r="AT279" i="1"/>
  <c r="AS279" i="1"/>
  <c r="AT278" i="1"/>
  <c r="AS278" i="1"/>
  <c r="AT277" i="1"/>
  <c r="AS277" i="1"/>
  <c r="AT276" i="1"/>
  <c r="AS276" i="1"/>
  <c r="AT275" i="1"/>
  <c r="AS275" i="1"/>
  <c r="AT274" i="1"/>
  <c r="AS274" i="1"/>
  <c r="AT273" i="1"/>
  <c r="AS273" i="1"/>
  <c r="AT272" i="1"/>
  <c r="AS272" i="1"/>
  <c r="AT271" i="1"/>
  <c r="AS271" i="1"/>
  <c r="AT270" i="1"/>
  <c r="AS270" i="1"/>
  <c r="AT269" i="1"/>
  <c r="AS269" i="1"/>
  <c r="AT268" i="1"/>
  <c r="AS268" i="1"/>
  <c r="AT267" i="1"/>
  <c r="AS267" i="1"/>
  <c r="AT266" i="1"/>
  <c r="AS266" i="1"/>
  <c r="AT265" i="1"/>
  <c r="AS265" i="1"/>
  <c r="AT264" i="1"/>
  <c r="AS264" i="1"/>
  <c r="AT263" i="1"/>
  <c r="AS263" i="1"/>
  <c r="AT262" i="1"/>
  <c r="AS262" i="1"/>
  <c r="AT261" i="1"/>
  <c r="AS261" i="1"/>
  <c r="AT260" i="1"/>
  <c r="AS260" i="1"/>
  <c r="AT259" i="1"/>
  <c r="AS259" i="1"/>
  <c r="AT258" i="1"/>
  <c r="AS258" i="1"/>
  <c r="AT257" i="1"/>
  <c r="AS257" i="1"/>
  <c r="AT256" i="1"/>
  <c r="AS256" i="1"/>
  <c r="AT255" i="1"/>
  <c r="AS255" i="1"/>
  <c r="AT254" i="1"/>
  <c r="AS254" i="1"/>
  <c r="AT253" i="1"/>
  <c r="AS253" i="1"/>
  <c r="AT252" i="1"/>
  <c r="AS252" i="1"/>
  <c r="AT251" i="1"/>
  <c r="AS251" i="1"/>
  <c r="AT250" i="1"/>
  <c r="AS250" i="1"/>
  <c r="AT249" i="1"/>
  <c r="AS249" i="1"/>
  <c r="AT248" i="1"/>
  <c r="AS248" i="1"/>
  <c r="AT247" i="1"/>
  <c r="AS247" i="1"/>
  <c r="AT246" i="1"/>
  <c r="AS246" i="1"/>
  <c r="AT245" i="1"/>
  <c r="AS245" i="1"/>
  <c r="AT244" i="1"/>
  <c r="AS244" i="1"/>
  <c r="AT243" i="1"/>
  <c r="AS243" i="1"/>
  <c r="AT242" i="1"/>
  <c r="AS242" i="1"/>
  <c r="AT241" i="1"/>
  <c r="AS241" i="1"/>
  <c r="AT240" i="1"/>
  <c r="AS240" i="1"/>
  <c r="AT239" i="1"/>
  <c r="AS239" i="1"/>
  <c r="AT238" i="1"/>
  <c r="AS238" i="1"/>
  <c r="AT237" i="1"/>
  <c r="AS237" i="1"/>
  <c r="AT236" i="1"/>
  <c r="AS236" i="1"/>
  <c r="AT235" i="1"/>
  <c r="AS235" i="1"/>
  <c r="AT234" i="1"/>
  <c r="AS234" i="1"/>
  <c r="AT233" i="1"/>
  <c r="AS233" i="1"/>
  <c r="AT232" i="1"/>
  <c r="AS232" i="1"/>
  <c r="AT231" i="1"/>
  <c r="AS231" i="1"/>
  <c r="AT230" i="1"/>
  <c r="AS230" i="1"/>
  <c r="AT229" i="1"/>
  <c r="AS229" i="1"/>
  <c r="AT228" i="1"/>
  <c r="AS228" i="1"/>
  <c r="AT227" i="1"/>
  <c r="AS227" i="1"/>
  <c r="AT226" i="1"/>
  <c r="AS226" i="1"/>
  <c r="AT225" i="1"/>
  <c r="AS225" i="1"/>
  <c r="AT224" i="1"/>
  <c r="AS224" i="1"/>
  <c r="AT223" i="1"/>
  <c r="AS223" i="1"/>
  <c r="AT222" i="1"/>
  <c r="AS222" i="1"/>
  <c r="AT221" i="1"/>
  <c r="AS221" i="1"/>
  <c r="AT220" i="1"/>
  <c r="AS220" i="1"/>
  <c r="AT219" i="1"/>
  <c r="AS219" i="1"/>
  <c r="AT218" i="1"/>
  <c r="AS218" i="1"/>
  <c r="AT217" i="1"/>
  <c r="AS217" i="1"/>
  <c r="AT216" i="1"/>
  <c r="AS216" i="1"/>
  <c r="AT215" i="1"/>
  <c r="AS215" i="1"/>
  <c r="AT214" i="1"/>
  <c r="AS214" i="1"/>
  <c r="AT213" i="1"/>
  <c r="AS213" i="1"/>
  <c r="AT212" i="1"/>
  <c r="AS212" i="1"/>
  <c r="AT211" i="1"/>
  <c r="AS211" i="1"/>
  <c r="AT210" i="1"/>
  <c r="AS210" i="1"/>
  <c r="AT209" i="1"/>
  <c r="AS209" i="1"/>
  <c r="AT208" i="1"/>
  <c r="AS208" i="1"/>
  <c r="AT207" i="1"/>
  <c r="AS207" i="1"/>
  <c r="AT206" i="1"/>
  <c r="AS206" i="1"/>
  <c r="AT205" i="1"/>
  <c r="AS205" i="1"/>
  <c r="AT204" i="1"/>
  <c r="AS204" i="1"/>
  <c r="AT203" i="1"/>
  <c r="AS203" i="1"/>
  <c r="AT202" i="1"/>
  <c r="AS202" i="1"/>
  <c r="AT201" i="1"/>
  <c r="AS201" i="1"/>
  <c r="AT200" i="1"/>
  <c r="AS200" i="1"/>
  <c r="AT199" i="1"/>
  <c r="AS199" i="1"/>
  <c r="AT198" i="1"/>
  <c r="AS198" i="1"/>
  <c r="AT197" i="1"/>
  <c r="AS197" i="1"/>
  <c r="AT196" i="1"/>
  <c r="AS196" i="1"/>
  <c r="AT195" i="1"/>
  <c r="AS195" i="1"/>
  <c r="AT194" i="1"/>
  <c r="AS194" i="1"/>
  <c r="AT193" i="1"/>
  <c r="AS193" i="1"/>
  <c r="AT192" i="1"/>
  <c r="AS192" i="1"/>
  <c r="AT191" i="1"/>
  <c r="AS191" i="1"/>
  <c r="AT190" i="1"/>
  <c r="AS190" i="1"/>
  <c r="AT189" i="1"/>
  <c r="AS189" i="1"/>
  <c r="AT188" i="1"/>
  <c r="AS188" i="1"/>
  <c r="AT187" i="1"/>
  <c r="AS187" i="1"/>
  <c r="AT186" i="1"/>
  <c r="AS186" i="1"/>
  <c r="AT185" i="1"/>
  <c r="AS185" i="1"/>
  <c r="AT184" i="1"/>
  <c r="AS184" i="1"/>
  <c r="AT183" i="1"/>
  <c r="AS183" i="1"/>
  <c r="AT182" i="1"/>
  <c r="AS182" i="1"/>
  <c r="AT181" i="1"/>
  <c r="AS181" i="1"/>
  <c r="AT180" i="1"/>
  <c r="AS180" i="1"/>
  <c r="AT179" i="1"/>
  <c r="AS179" i="1"/>
  <c r="AT178" i="1"/>
  <c r="AS178" i="1"/>
  <c r="AT177" i="1"/>
  <c r="AS177" i="1"/>
  <c r="AT176" i="1"/>
  <c r="AS176" i="1"/>
  <c r="AT175" i="1"/>
  <c r="AS175" i="1"/>
  <c r="AT174" i="1"/>
  <c r="AS174" i="1"/>
  <c r="AT173" i="1"/>
  <c r="AS173" i="1"/>
  <c r="AT172" i="1"/>
  <c r="AS172" i="1"/>
  <c r="AT171" i="1"/>
  <c r="AS171" i="1"/>
  <c r="AT170" i="1"/>
  <c r="AS170" i="1"/>
  <c r="AT169" i="1"/>
  <c r="AS169" i="1"/>
  <c r="AT168" i="1"/>
  <c r="AS168" i="1"/>
  <c r="AT167" i="1"/>
  <c r="AS167" i="1"/>
  <c r="AT166" i="1"/>
  <c r="AS166" i="1"/>
  <c r="AT165" i="1"/>
  <c r="AS165" i="1"/>
  <c r="AT164" i="1"/>
  <c r="AS164" i="1"/>
  <c r="AT163" i="1"/>
  <c r="AS163" i="1"/>
  <c r="AT162" i="1"/>
  <c r="AS162" i="1"/>
  <c r="AT161" i="1"/>
  <c r="AS161" i="1"/>
  <c r="AT160" i="1"/>
  <c r="AS160" i="1"/>
  <c r="AT159" i="1"/>
  <c r="AS159" i="1"/>
  <c r="AT158" i="1"/>
  <c r="AS158" i="1"/>
  <c r="AT157" i="1"/>
  <c r="AS157" i="1"/>
  <c r="AT156" i="1"/>
  <c r="AS156" i="1"/>
  <c r="AT155" i="1"/>
  <c r="AS155" i="1"/>
  <c r="AT154" i="1"/>
  <c r="AS154" i="1"/>
  <c r="AT153" i="1"/>
  <c r="AS153" i="1"/>
  <c r="AT152" i="1"/>
  <c r="AS152" i="1"/>
  <c r="AT151" i="1"/>
  <c r="AS151" i="1"/>
  <c r="AT150" i="1"/>
  <c r="AS150" i="1"/>
  <c r="AT149" i="1"/>
  <c r="AS149" i="1"/>
  <c r="AT148" i="1"/>
  <c r="AS148" i="1"/>
  <c r="AT147" i="1"/>
  <c r="AS147" i="1"/>
  <c r="AT146" i="1"/>
  <c r="AS146" i="1"/>
  <c r="AT145" i="1"/>
  <c r="AS145" i="1"/>
  <c r="AT144" i="1"/>
  <c r="AS144" i="1"/>
  <c r="AT143" i="1"/>
  <c r="AS143" i="1"/>
  <c r="AT142" i="1"/>
  <c r="AS142" i="1"/>
  <c r="AT141" i="1"/>
  <c r="AS141" i="1"/>
  <c r="AT140" i="1"/>
  <c r="AS140" i="1"/>
  <c r="AT139" i="1"/>
  <c r="AS139" i="1"/>
  <c r="AT138" i="1"/>
  <c r="AS138" i="1"/>
  <c r="AT137" i="1"/>
  <c r="AS137" i="1"/>
  <c r="AT136" i="1"/>
  <c r="AS136" i="1"/>
  <c r="AT135" i="1"/>
  <c r="AS135" i="1"/>
  <c r="AT134" i="1"/>
  <c r="AS134" i="1"/>
  <c r="AT133" i="1"/>
  <c r="AS133" i="1"/>
  <c r="AT132" i="1"/>
  <c r="AS132" i="1"/>
  <c r="AT131" i="1"/>
  <c r="AS131" i="1"/>
  <c r="AT130" i="1"/>
  <c r="AS130" i="1"/>
  <c r="AT129" i="1"/>
  <c r="AS129" i="1"/>
  <c r="AT128" i="1"/>
  <c r="AS128" i="1"/>
  <c r="AT127" i="1"/>
  <c r="AS127" i="1"/>
  <c r="AT126" i="1"/>
  <c r="AS126" i="1"/>
  <c r="AT125" i="1"/>
  <c r="AS125" i="1"/>
  <c r="AT124" i="1"/>
  <c r="AS124" i="1"/>
  <c r="AT123" i="1"/>
  <c r="AS123" i="1"/>
  <c r="AT122" i="1"/>
  <c r="AS122" i="1"/>
  <c r="AT121" i="1"/>
  <c r="AS121" i="1"/>
  <c r="AT120" i="1"/>
  <c r="AS120" i="1"/>
  <c r="AT119" i="1"/>
  <c r="AS119" i="1"/>
  <c r="AT118" i="1"/>
  <c r="AS118" i="1"/>
  <c r="AT117" i="1"/>
  <c r="AS117" i="1"/>
  <c r="AT116" i="1"/>
  <c r="AS116" i="1"/>
  <c r="AT115" i="1"/>
  <c r="AS115" i="1"/>
  <c r="AT114" i="1"/>
  <c r="AS114" i="1"/>
  <c r="AT113" i="1"/>
  <c r="AS113" i="1"/>
  <c r="AT112" i="1"/>
  <c r="AS112" i="1"/>
  <c r="AT111" i="1"/>
  <c r="AS111" i="1"/>
  <c r="AT110" i="1"/>
  <c r="AS110" i="1"/>
  <c r="AT109" i="1"/>
  <c r="AS109" i="1"/>
  <c r="AT108" i="1"/>
  <c r="AS108" i="1"/>
  <c r="AT107" i="1"/>
  <c r="AS107" i="1"/>
  <c r="AT106" i="1"/>
  <c r="AS106" i="1"/>
  <c r="AT105" i="1"/>
  <c r="AS105" i="1"/>
  <c r="AT104" i="1"/>
  <c r="AS104" i="1"/>
  <c r="AT103" i="1"/>
  <c r="AS103" i="1"/>
  <c r="AT102" i="1"/>
  <c r="AS102" i="1"/>
  <c r="AT101" i="1"/>
  <c r="AS101" i="1"/>
  <c r="AT100" i="1"/>
  <c r="AS100" i="1"/>
  <c r="AT99" i="1"/>
  <c r="AS99" i="1"/>
  <c r="AT98" i="1"/>
  <c r="AS98" i="1"/>
  <c r="AT97" i="1"/>
  <c r="AS97" i="1"/>
  <c r="AT96" i="1"/>
  <c r="AS96" i="1"/>
  <c r="AT95" i="1"/>
  <c r="AS95" i="1"/>
  <c r="AT94" i="1"/>
  <c r="AS94" i="1"/>
  <c r="AT93" i="1"/>
  <c r="AS93" i="1"/>
  <c r="AT92" i="1"/>
  <c r="AS92" i="1"/>
  <c r="AT91" i="1"/>
  <c r="AS91" i="1"/>
  <c r="AT90" i="1"/>
  <c r="AS90" i="1"/>
  <c r="AT89" i="1"/>
  <c r="AS89" i="1"/>
  <c r="AT88" i="1"/>
  <c r="AS88" i="1"/>
  <c r="AT87" i="1"/>
  <c r="AS87" i="1"/>
  <c r="AT86" i="1"/>
  <c r="AS86" i="1"/>
  <c r="AT85" i="1"/>
  <c r="AS85" i="1"/>
  <c r="AT84" i="1"/>
  <c r="AS84" i="1"/>
  <c r="AT83" i="1"/>
  <c r="AS83" i="1"/>
  <c r="AT82" i="1"/>
  <c r="AS82" i="1"/>
  <c r="AT81" i="1"/>
  <c r="AS81" i="1"/>
  <c r="AT80" i="1"/>
  <c r="AS80" i="1"/>
  <c r="AT79" i="1"/>
  <c r="AS79" i="1"/>
  <c r="AT78" i="1"/>
  <c r="AS78" i="1"/>
  <c r="AT77" i="1"/>
  <c r="AS77" i="1"/>
  <c r="AT76" i="1"/>
  <c r="AS76" i="1"/>
  <c r="AT75" i="1"/>
  <c r="AS75" i="1"/>
  <c r="AT74" i="1"/>
  <c r="AS74" i="1"/>
  <c r="AT73" i="1"/>
  <c r="AS73" i="1"/>
  <c r="AT72" i="1"/>
  <c r="AS72" i="1"/>
  <c r="AT71" i="1"/>
  <c r="AS71" i="1"/>
  <c r="AT70" i="1"/>
  <c r="AS70" i="1"/>
  <c r="AT69" i="1"/>
  <c r="AS69" i="1"/>
  <c r="AT68" i="1"/>
  <c r="AS68" i="1"/>
  <c r="AT67" i="1"/>
  <c r="AS67" i="1"/>
  <c r="AT66" i="1"/>
  <c r="AS66" i="1"/>
  <c r="AT65" i="1"/>
  <c r="AS65" i="1"/>
  <c r="AT64" i="1"/>
  <c r="AS64" i="1"/>
  <c r="AT63" i="1"/>
  <c r="AS63" i="1"/>
  <c r="AT62" i="1"/>
  <c r="AS62" i="1"/>
  <c r="AT61" i="1"/>
  <c r="AS61" i="1"/>
  <c r="AT60" i="1"/>
  <c r="AS60" i="1"/>
  <c r="AT59" i="1"/>
  <c r="AS59" i="1"/>
  <c r="AT58" i="1"/>
  <c r="AS58" i="1"/>
  <c r="AT57" i="1"/>
  <c r="AS57" i="1"/>
  <c r="AT56" i="1"/>
  <c r="AS56" i="1"/>
  <c r="AT55" i="1"/>
  <c r="AS55" i="1"/>
  <c r="AT54" i="1"/>
  <c r="AS54" i="1"/>
  <c r="AT53" i="1"/>
  <c r="AS53" i="1"/>
  <c r="AT52" i="1"/>
  <c r="AS52" i="1"/>
  <c r="AT51" i="1"/>
  <c r="AS51" i="1"/>
  <c r="AT50" i="1"/>
  <c r="AS50" i="1"/>
  <c r="AT49" i="1"/>
  <c r="AS49" i="1"/>
  <c r="AT48" i="1"/>
  <c r="AS48" i="1"/>
  <c r="AT47" i="1"/>
  <c r="AS47" i="1"/>
  <c r="AT46" i="1"/>
  <c r="AS46" i="1"/>
  <c r="AT45" i="1"/>
  <c r="AS45" i="1"/>
  <c r="AT44" i="1"/>
  <c r="AS44" i="1"/>
  <c r="AT43" i="1"/>
  <c r="AS43" i="1"/>
  <c r="AT42" i="1"/>
  <c r="AS42" i="1"/>
  <c r="AT41" i="1"/>
  <c r="AS41" i="1"/>
  <c r="AT40" i="1"/>
  <c r="AS40" i="1"/>
  <c r="AT39" i="1"/>
  <c r="AS39" i="1"/>
  <c r="AT38" i="1"/>
  <c r="AS38" i="1"/>
  <c r="AT37" i="1"/>
  <c r="AS37" i="1"/>
  <c r="AT36" i="1"/>
  <c r="AS36" i="1"/>
  <c r="AT35" i="1"/>
  <c r="AS35" i="1"/>
  <c r="AT34" i="1"/>
  <c r="AS34" i="1"/>
  <c r="AT33" i="1"/>
  <c r="AS33" i="1"/>
  <c r="AT32" i="1"/>
  <c r="AS32" i="1"/>
  <c r="AT31" i="1"/>
  <c r="AS31" i="1"/>
  <c r="AT30" i="1"/>
  <c r="AS30" i="1"/>
  <c r="AT29" i="1"/>
  <c r="AS29" i="1"/>
  <c r="AT28" i="1"/>
  <c r="AS28" i="1"/>
  <c r="AT27" i="1"/>
  <c r="AS27" i="1"/>
  <c r="AT26" i="1"/>
  <c r="AS26" i="1"/>
  <c r="AT25" i="1"/>
  <c r="AS25" i="1"/>
  <c r="AT24" i="1"/>
  <c r="AS24" i="1"/>
  <c r="AT23" i="1"/>
  <c r="AS23" i="1"/>
  <c r="AT22" i="1"/>
  <c r="AS22" i="1"/>
  <c r="AT21" i="1"/>
  <c r="AS21" i="1"/>
  <c r="AT20" i="1"/>
  <c r="AS20" i="1"/>
  <c r="AT19" i="1"/>
  <c r="AS19" i="1"/>
  <c r="AT18" i="1"/>
  <c r="AS18" i="1"/>
  <c r="AT17" i="1"/>
  <c r="AS17" i="1"/>
  <c r="AT16" i="1"/>
  <c r="AS16" i="1"/>
  <c r="AT15" i="1"/>
  <c r="AS15" i="1"/>
  <c r="AT14" i="1"/>
  <c r="AS14" i="1"/>
  <c r="AT13" i="1"/>
  <c r="AS13" i="1"/>
  <c r="AT12" i="1"/>
  <c r="AS12" i="1"/>
  <c r="AT11" i="1"/>
  <c r="AS11" i="1"/>
  <c r="AT10" i="1"/>
  <c r="AS10" i="1"/>
  <c r="AT9" i="1"/>
  <c r="AS9" i="1"/>
  <c r="AQ353" i="1"/>
  <c r="AP353" i="1"/>
  <c r="AQ352" i="1"/>
  <c r="AP352" i="1"/>
  <c r="AQ351" i="1"/>
  <c r="AP351" i="1"/>
  <c r="AQ350" i="1"/>
  <c r="AP350" i="1"/>
  <c r="AQ349" i="1"/>
  <c r="AP349" i="1"/>
  <c r="AQ348" i="1"/>
  <c r="AP348" i="1"/>
  <c r="AQ347" i="1"/>
  <c r="AP347" i="1"/>
  <c r="AQ346" i="1"/>
  <c r="AP346" i="1"/>
  <c r="AQ345" i="1"/>
  <c r="AP345" i="1"/>
  <c r="AQ344" i="1"/>
  <c r="AP344" i="1"/>
  <c r="AQ343" i="1"/>
  <c r="AP343" i="1"/>
  <c r="AQ342" i="1"/>
  <c r="AP342" i="1"/>
  <c r="AQ341" i="1"/>
  <c r="AP341" i="1"/>
  <c r="AQ340" i="1"/>
  <c r="AP340" i="1"/>
  <c r="AQ339" i="1"/>
  <c r="AP339" i="1"/>
  <c r="AQ338" i="1"/>
  <c r="AP338" i="1"/>
  <c r="AQ337" i="1"/>
  <c r="AP337" i="1"/>
  <c r="AQ336" i="1"/>
  <c r="AP336" i="1"/>
  <c r="AQ335" i="1"/>
  <c r="AP335" i="1"/>
  <c r="AQ334" i="1"/>
  <c r="AP334" i="1"/>
  <c r="AQ333" i="1"/>
  <c r="AP333" i="1"/>
  <c r="AQ332" i="1"/>
  <c r="AP332" i="1"/>
  <c r="AQ331" i="1"/>
  <c r="AP331" i="1"/>
  <c r="AQ330" i="1"/>
  <c r="AP330" i="1"/>
  <c r="AQ329" i="1"/>
  <c r="AP329" i="1"/>
  <c r="AQ328" i="1"/>
  <c r="AP328" i="1"/>
  <c r="AQ327" i="1"/>
  <c r="AP327" i="1"/>
  <c r="AQ326" i="1"/>
  <c r="AP326" i="1"/>
  <c r="AQ325" i="1"/>
  <c r="AP325" i="1"/>
  <c r="AQ324" i="1"/>
  <c r="AP324" i="1"/>
  <c r="AQ323" i="1"/>
  <c r="AP323" i="1"/>
  <c r="AQ322" i="1"/>
  <c r="AP322" i="1"/>
  <c r="AQ321" i="1"/>
  <c r="AP321" i="1"/>
  <c r="AQ320" i="1"/>
  <c r="AP320" i="1"/>
  <c r="AQ319" i="1"/>
  <c r="AP319" i="1"/>
  <c r="AQ318" i="1"/>
  <c r="AP318" i="1"/>
  <c r="AQ317" i="1"/>
  <c r="AP317" i="1"/>
  <c r="AQ316" i="1"/>
  <c r="AP316" i="1"/>
  <c r="AQ315" i="1"/>
  <c r="AP315" i="1"/>
  <c r="AQ314" i="1"/>
  <c r="AP314" i="1"/>
  <c r="AQ313" i="1"/>
  <c r="AP313" i="1"/>
  <c r="AQ312" i="1"/>
  <c r="AP312" i="1"/>
  <c r="AQ311" i="1"/>
  <c r="AP311" i="1"/>
  <c r="AQ310" i="1"/>
  <c r="AP310" i="1"/>
  <c r="AQ309" i="1"/>
  <c r="AP309" i="1"/>
  <c r="AQ308" i="1"/>
  <c r="AP308" i="1"/>
  <c r="AQ307" i="1"/>
  <c r="AP307" i="1"/>
  <c r="AQ306" i="1"/>
  <c r="AP306" i="1"/>
  <c r="AQ305" i="1"/>
  <c r="AP305" i="1"/>
  <c r="AQ304" i="1"/>
  <c r="AP304" i="1"/>
  <c r="AQ303" i="1"/>
  <c r="AP303" i="1"/>
  <c r="AQ302" i="1"/>
  <c r="AP302" i="1"/>
  <c r="AQ301" i="1"/>
  <c r="AP301" i="1"/>
  <c r="AQ300" i="1"/>
  <c r="AP300" i="1"/>
  <c r="AQ299" i="1"/>
  <c r="AP299" i="1"/>
  <c r="AQ298" i="1"/>
  <c r="AP298" i="1"/>
  <c r="AQ297" i="1"/>
  <c r="AP297" i="1"/>
  <c r="AQ296" i="1"/>
  <c r="AP296" i="1"/>
  <c r="AQ295" i="1"/>
  <c r="AP295" i="1"/>
  <c r="AQ294" i="1"/>
  <c r="AP294" i="1"/>
  <c r="AQ293" i="1"/>
  <c r="AP293" i="1"/>
  <c r="AQ292" i="1"/>
  <c r="AP292" i="1"/>
  <c r="AQ291" i="1"/>
  <c r="AP291" i="1"/>
  <c r="AQ290" i="1"/>
  <c r="AP290" i="1"/>
  <c r="AQ289" i="1"/>
  <c r="AP289" i="1"/>
  <c r="AQ288" i="1"/>
  <c r="AP288" i="1"/>
  <c r="AQ287" i="1"/>
  <c r="AP287" i="1"/>
  <c r="AQ286" i="1"/>
  <c r="AP286" i="1"/>
  <c r="AQ285" i="1"/>
  <c r="AP285" i="1"/>
  <c r="AQ284" i="1"/>
  <c r="AP284" i="1"/>
  <c r="AQ283" i="1"/>
  <c r="AP283" i="1"/>
  <c r="AQ282" i="1"/>
  <c r="AP282" i="1"/>
  <c r="AQ281" i="1"/>
  <c r="AP281" i="1"/>
  <c r="AQ280" i="1"/>
  <c r="AP280" i="1"/>
  <c r="AQ279" i="1"/>
  <c r="AP279" i="1"/>
  <c r="AQ278" i="1"/>
  <c r="AP278" i="1"/>
  <c r="AQ277" i="1"/>
  <c r="AP277" i="1"/>
  <c r="AQ276" i="1"/>
  <c r="AP276" i="1"/>
  <c r="AQ275" i="1"/>
  <c r="AP275" i="1"/>
  <c r="AQ274" i="1"/>
  <c r="AP274" i="1"/>
  <c r="AQ273" i="1"/>
  <c r="AP273" i="1"/>
  <c r="AQ272" i="1"/>
  <c r="AP272" i="1"/>
  <c r="AQ271" i="1"/>
  <c r="AP271" i="1"/>
  <c r="AQ270" i="1"/>
  <c r="AP270" i="1"/>
  <c r="AQ269" i="1"/>
  <c r="AP269" i="1"/>
  <c r="AQ268" i="1"/>
  <c r="AP268" i="1"/>
  <c r="AQ267" i="1"/>
  <c r="AP267" i="1"/>
  <c r="AQ266" i="1"/>
  <c r="AP266" i="1"/>
  <c r="AQ265" i="1"/>
  <c r="AP265" i="1"/>
  <c r="AQ264" i="1"/>
  <c r="AP264" i="1"/>
  <c r="AQ263" i="1"/>
  <c r="AP263" i="1"/>
  <c r="AQ262" i="1"/>
  <c r="AP262" i="1"/>
  <c r="AQ261" i="1"/>
  <c r="AP261" i="1"/>
  <c r="AQ260" i="1"/>
  <c r="AP260" i="1"/>
  <c r="AQ259" i="1"/>
  <c r="AP259" i="1"/>
  <c r="AQ258" i="1"/>
  <c r="AP258" i="1"/>
  <c r="AQ257" i="1"/>
  <c r="AP257" i="1"/>
  <c r="AQ256" i="1"/>
  <c r="AP256" i="1"/>
  <c r="AQ255" i="1"/>
  <c r="AP255" i="1"/>
  <c r="AQ254" i="1"/>
  <c r="AP254" i="1"/>
  <c r="AQ253" i="1"/>
  <c r="AP253" i="1"/>
  <c r="AQ252" i="1"/>
  <c r="AP252" i="1"/>
  <c r="AQ251" i="1"/>
  <c r="AP251" i="1"/>
  <c r="AQ250" i="1"/>
  <c r="AP250" i="1"/>
  <c r="AQ249" i="1"/>
  <c r="AP249" i="1"/>
  <c r="AQ248" i="1"/>
  <c r="AP248" i="1"/>
  <c r="AQ247" i="1"/>
  <c r="AP247" i="1"/>
  <c r="AQ246" i="1"/>
  <c r="AP246" i="1"/>
  <c r="AQ245" i="1"/>
  <c r="AP245" i="1"/>
  <c r="AQ244" i="1"/>
  <c r="AP244" i="1"/>
  <c r="AQ243" i="1"/>
  <c r="AP243" i="1"/>
  <c r="AQ242" i="1"/>
  <c r="AP242" i="1"/>
  <c r="AQ241" i="1"/>
  <c r="AP241" i="1"/>
  <c r="AQ240" i="1"/>
  <c r="AP240" i="1"/>
  <c r="AQ239" i="1"/>
  <c r="AP239" i="1"/>
  <c r="AQ238" i="1"/>
  <c r="AP238" i="1"/>
  <c r="AQ237" i="1"/>
  <c r="AP237" i="1"/>
  <c r="AQ236" i="1"/>
  <c r="AP236" i="1"/>
  <c r="AQ235" i="1"/>
  <c r="AP235" i="1"/>
  <c r="AQ234" i="1"/>
  <c r="AP234" i="1"/>
  <c r="AQ233" i="1"/>
  <c r="AP233" i="1"/>
  <c r="AQ232" i="1"/>
  <c r="AP232" i="1"/>
  <c r="AQ231" i="1"/>
  <c r="AP231" i="1"/>
  <c r="AQ230" i="1"/>
  <c r="AP230" i="1"/>
  <c r="AQ229" i="1"/>
  <c r="AP229" i="1"/>
  <c r="AQ228" i="1"/>
  <c r="AP228" i="1"/>
  <c r="AQ227" i="1"/>
  <c r="AP227" i="1"/>
  <c r="AQ226" i="1"/>
  <c r="AP226" i="1"/>
  <c r="AQ225" i="1"/>
  <c r="AP225" i="1"/>
  <c r="AQ224" i="1"/>
  <c r="AP224" i="1"/>
  <c r="AQ223" i="1"/>
  <c r="AP223" i="1"/>
  <c r="AQ222" i="1"/>
  <c r="AP222" i="1"/>
  <c r="AQ221" i="1"/>
  <c r="AP221" i="1"/>
  <c r="AQ220" i="1"/>
  <c r="AP220" i="1"/>
  <c r="AQ219" i="1"/>
  <c r="AP219" i="1"/>
  <c r="AQ218" i="1"/>
  <c r="AP218" i="1"/>
  <c r="AQ217" i="1"/>
  <c r="AP217" i="1"/>
  <c r="AQ216" i="1"/>
  <c r="AP216" i="1"/>
  <c r="AQ215" i="1"/>
  <c r="AP215" i="1"/>
  <c r="AQ214" i="1"/>
  <c r="AP214" i="1"/>
  <c r="AQ213" i="1"/>
  <c r="AP213" i="1"/>
  <c r="AQ212" i="1"/>
  <c r="AP212" i="1"/>
  <c r="AQ211" i="1"/>
  <c r="AP211" i="1"/>
  <c r="AQ210" i="1"/>
  <c r="AP210" i="1"/>
  <c r="AQ209" i="1"/>
  <c r="AP209" i="1"/>
  <c r="AQ208" i="1"/>
  <c r="AP208" i="1"/>
  <c r="AQ207" i="1"/>
  <c r="AP207" i="1"/>
  <c r="AQ206" i="1"/>
  <c r="AP206" i="1"/>
  <c r="AQ205" i="1"/>
  <c r="AP205" i="1"/>
  <c r="AQ204" i="1"/>
  <c r="AP204" i="1"/>
  <c r="AQ203" i="1"/>
  <c r="AP203" i="1"/>
  <c r="AQ202" i="1"/>
  <c r="AP202" i="1"/>
  <c r="AQ201" i="1"/>
  <c r="AP201" i="1"/>
  <c r="AQ200" i="1"/>
  <c r="AP200" i="1"/>
  <c r="AQ199" i="1"/>
  <c r="AP199" i="1"/>
  <c r="AQ198" i="1"/>
  <c r="AP198" i="1"/>
  <c r="AQ197" i="1"/>
  <c r="AP197" i="1"/>
  <c r="AQ196" i="1"/>
  <c r="AP196" i="1"/>
  <c r="AQ195" i="1"/>
  <c r="AP195" i="1"/>
  <c r="AQ194" i="1"/>
  <c r="AP194" i="1"/>
  <c r="AQ193" i="1"/>
  <c r="AP193" i="1"/>
  <c r="AQ192" i="1"/>
  <c r="AP192" i="1"/>
  <c r="AQ191" i="1"/>
  <c r="AP191" i="1"/>
  <c r="AQ190" i="1"/>
  <c r="AP190" i="1"/>
  <c r="AQ189" i="1"/>
  <c r="AP189" i="1"/>
  <c r="AQ188" i="1"/>
  <c r="AP188" i="1"/>
  <c r="AQ187" i="1"/>
  <c r="AP187" i="1"/>
  <c r="AQ186" i="1"/>
  <c r="AP186" i="1"/>
  <c r="AQ185" i="1"/>
  <c r="AP185" i="1"/>
  <c r="AQ184" i="1"/>
  <c r="AP184" i="1"/>
  <c r="AQ183" i="1"/>
  <c r="AP183" i="1"/>
  <c r="AQ182" i="1"/>
  <c r="AP182" i="1"/>
  <c r="AQ181" i="1"/>
  <c r="AP181" i="1"/>
  <c r="AQ180" i="1"/>
  <c r="AP180" i="1"/>
  <c r="AQ179" i="1"/>
  <c r="AP179" i="1"/>
  <c r="AQ178" i="1"/>
  <c r="AP178" i="1"/>
  <c r="AQ177" i="1"/>
  <c r="AP177" i="1"/>
  <c r="AQ176" i="1"/>
  <c r="AP176" i="1"/>
  <c r="AQ175" i="1"/>
  <c r="AP175" i="1"/>
  <c r="AQ174" i="1"/>
  <c r="AP174" i="1"/>
  <c r="AQ173" i="1"/>
  <c r="AP173" i="1"/>
  <c r="AQ172" i="1"/>
  <c r="AP172" i="1"/>
  <c r="AQ171" i="1"/>
  <c r="AP171" i="1"/>
  <c r="AQ170" i="1"/>
  <c r="AP170" i="1"/>
  <c r="AQ169" i="1"/>
  <c r="AP169" i="1"/>
  <c r="AQ168" i="1"/>
  <c r="AP168" i="1"/>
  <c r="AQ167" i="1"/>
  <c r="AP167" i="1"/>
  <c r="AQ166" i="1"/>
  <c r="AP166" i="1"/>
  <c r="AQ165" i="1"/>
  <c r="AP165" i="1"/>
  <c r="AQ164" i="1"/>
  <c r="AP164" i="1"/>
  <c r="AQ163" i="1"/>
  <c r="AP163" i="1"/>
  <c r="AQ162" i="1"/>
  <c r="AP162" i="1"/>
  <c r="AQ161" i="1"/>
  <c r="AP161" i="1"/>
  <c r="AQ160" i="1"/>
  <c r="AP160" i="1"/>
  <c r="AQ159" i="1"/>
  <c r="AP159" i="1"/>
  <c r="AQ158" i="1"/>
  <c r="AP158" i="1"/>
  <c r="AQ157" i="1"/>
  <c r="AP157" i="1"/>
  <c r="AQ156" i="1"/>
  <c r="AP156" i="1"/>
  <c r="AQ155" i="1"/>
  <c r="AP155" i="1"/>
  <c r="AQ154" i="1"/>
  <c r="AP154" i="1"/>
  <c r="AQ153" i="1"/>
  <c r="AP153" i="1"/>
  <c r="AQ152" i="1"/>
  <c r="AP152" i="1"/>
  <c r="AQ151" i="1"/>
  <c r="AP151" i="1"/>
  <c r="AQ150" i="1"/>
  <c r="AP150" i="1"/>
  <c r="AQ149" i="1"/>
  <c r="AP149" i="1"/>
  <c r="AQ148" i="1"/>
  <c r="AP148" i="1"/>
  <c r="AQ147" i="1"/>
  <c r="AP147" i="1"/>
  <c r="AQ146" i="1"/>
  <c r="AP146" i="1"/>
  <c r="AQ145" i="1"/>
  <c r="AP145" i="1"/>
  <c r="AQ144" i="1"/>
  <c r="AP144" i="1"/>
  <c r="AQ143" i="1"/>
  <c r="AP143" i="1"/>
  <c r="AQ142" i="1"/>
  <c r="AP142" i="1"/>
  <c r="AQ141" i="1"/>
  <c r="AP141" i="1"/>
  <c r="AQ140" i="1"/>
  <c r="AP140" i="1"/>
  <c r="AQ139" i="1"/>
  <c r="AP139" i="1"/>
  <c r="AQ138" i="1"/>
  <c r="AP138" i="1"/>
  <c r="AQ137" i="1"/>
  <c r="AP137" i="1"/>
  <c r="AQ136" i="1"/>
  <c r="AP136" i="1"/>
  <c r="AQ135" i="1"/>
  <c r="AP135" i="1"/>
  <c r="AQ134" i="1"/>
  <c r="AP134" i="1"/>
  <c r="AQ133" i="1"/>
  <c r="AP133" i="1"/>
  <c r="AQ132" i="1"/>
  <c r="AP132" i="1"/>
  <c r="AQ131" i="1"/>
  <c r="AP131" i="1"/>
  <c r="AQ130" i="1"/>
  <c r="AP130" i="1"/>
  <c r="AQ129" i="1"/>
  <c r="AP129" i="1"/>
  <c r="AQ128" i="1"/>
  <c r="AP128" i="1"/>
  <c r="AQ127" i="1"/>
  <c r="AP127" i="1"/>
  <c r="AQ126" i="1"/>
  <c r="AP126" i="1"/>
  <c r="AQ125" i="1"/>
  <c r="AP125" i="1"/>
  <c r="AQ124" i="1"/>
  <c r="AP124" i="1"/>
  <c r="AQ123" i="1"/>
  <c r="AP123" i="1"/>
  <c r="AQ122" i="1"/>
  <c r="AP122" i="1"/>
  <c r="AQ121" i="1"/>
  <c r="AP121" i="1"/>
  <c r="AQ120" i="1"/>
  <c r="AP120" i="1"/>
  <c r="AQ119" i="1"/>
  <c r="AP119" i="1"/>
  <c r="AQ118" i="1"/>
  <c r="AP118" i="1"/>
  <c r="AQ117" i="1"/>
  <c r="AP117" i="1"/>
  <c r="AQ116" i="1"/>
  <c r="AP116" i="1"/>
  <c r="AQ115" i="1"/>
  <c r="AP115" i="1"/>
  <c r="AQ114" i="1"/>
  <c r="AP114" i="1"/>
  <c r="AQ113" i="1"/>
  <c r="AP113" i="1"/>
  <c r="AQ112" i="1"/>
  <c r="AP112" i="1"/>
  <c r="AQ111" i="1"/>
  <c r="AP111" i="1"/>
  <c r="AQ110" i="1"/>
  <c r="AP110" i="1"/>
  <c r="AQ109" i="1"/>
  <c r="AP109" i="1"/>
  <c r="AQ108" i="1"/>
  <c r="AP108" i="1"/>
  <c r="AQ107" i="1"/>
  <c r="AP107" i="1"/>
  <c r="AQ106" i="1"/>
  <c r="AP106" i="1"/>
  <c r="AQ105" i="1"/>
  <c r="AP105" i="1"/>
  <c r="AQ104" i="1"/>
  <c r="AP104" i="1"/>
  <c r="AQ103" i="1"/>
  <c r="AP103" i="1"/>
  <c r="AQ102" i="1"/>
  <c r="AP102" i="1"/>
  <c r="AQ101" i="1"/>
  <c r="AP101" i="1"/>
  <c r="AQ100" i="1"/>
  <c r="AP100" i="1"/>
  <c r="AQ99" i="1"/>
  <c r="AP99" i="1"/>
  <c r="AQ98" i="1"/>
  <c r="AP98" i="1"/>
  <c r="AQ97" i="1"/>
  <c r="AP97" i="1"/>
  <c r="AQ96" i="1"/>
  <c r="AP96" i="1"/>
  <c r="AQ95" i="1"/>
  <c r="AP95" i="1"/>
  <c r="AQ94" i="1"/>
  <c r="AP94" i="1"/>
  <c r="AQ93" i="1"/>
  <c r="AP93" i="1"/>
  <c r="AQ92" i="1"/>
  <c r="AP92" i="1"/>
  <c r="AQ91" i="1"/>
  <c r="AP91" i="1"/>
  <c r="AQ90" i="1"/>
  <c r="AP90" i="1"/>
  <c r="AQ89" i="1"/>
  <c r="AP89" i="1"/>
  <c r="AQ88" i="1"/>
  <c r="AP88" i="1"/>
  <c r="AQ87" i="1"/>
  <c r="AP87" i="1"/>
  <c r="AQ86" i="1"/>
  <c r="AP86" i="1"/>
  <c r="AQ85" i="1"/>
  <c r="AP85" i="1"/>
  <c r="AQ84" i="1"/>
  <c r="AP84" i="1"/>
  <c r="AQ83" i="1"/>
  <c r="AP83" i="1"/>
  <c r="AQ82" i="1"/>
  <c r="AP82" i="1"/>
  <c r="AQ81" i="1"/>
  <c r="AP81" i="1"/>
  <c r="AQ80" i="1"/>
  <c r="AP80" i="1"/>
  <c r="AQ79" i="1"/>
  <c r="AP79" i="1"/>
  <c r="AQ78" i="1"/>
  <c r="AP78" i="1"/>
  <c r="AQ77" i="1"/>
  <c r="AP77" i="1"/>
  <c r="AQ76" i="1"/>
  <c r="AP76" i="1"/>
  <c r="AQ75" i="1"/>
  <c r="AP75" i="1"/>
  <c r="AQ74" i="1"/>
  <c r="AP74" i="1"/>
  <c r="AQ73" i="1"/>
  <c r="AP73" i="1"/>
  <c r="AQ72" i="1"/>
  <c r="AP72" i="1"/>
  <c r="AQ71" i="1"/>
  <c r="AP71" i="1"/>
  <c r="AQ70" i="1"/>
  <c r="AP70" i="1"/>
  <c r="AQ69" i="1"/>
  <c r="AP69" i="1"/>
  <c r="AQ68" i="1"/>
  <c r="AP68" i="1"/>
  <c r="AQ67" i="1"/>
  <c r="AP67" i="1"/>
  <c r="AQ66" i="1"/>
  <c r="AP66" i="1"/>
  <c r="AQ65" i="1"/>
  <c r="AP65" i="1"/>
  <c r="AQ64" i="1"/>
  <c r="AP64" i="1"/>
  <c r="AQ63" i="1"/>
  <c r="AP63" i="1"/>
  <c r="AQ62" i="1"/>
  <c r="AP62" i="1"/>
  <c r="AQ61" i="1"/>
  <c r="AP61" i="1"/>
  <c r="AQ60" i="1"/>
  <c r="AP60" i="1"/>
  <c r="AQ59" i="1"/>
  <c r="AP59" i="1"/>
  <c r="AQ58" i="1"/>
  <c r="AP58" i="1"/>
  <c r="AQ57" i="1"/>
  <c r="AP57" i="1"/>
  <c r="AQ56" i="1"/>
  <c r="AP56" i="1"/>
  <c r="AQ55" i="1"/>
  <c r="AP55" i="1"/>
  <c r="AQ54" i="1"/>
  <c r="AP54" i="1"/>
  <c r="AQ53" i="1"/>
  <c r="AP53" i="1"/>
  <c r="AQ52" i="1"/>
  <c r="AP52" i="1"/>
  <c r="AQ51" i="1"/>
  <c r="AP51" i="1"/>
  <c r="AQ50" i="1"/>
  <c r="AP50" i="1"/>
  <c r="AQ49" i="1"/>
  <c r="AP49" i="1"/>
  <c r="AQ48" i="1"/>
  <c r="AP48" i="1"/>
  <c r="AQ47" i="1"/>
  <c r="AP47" i="1"/>
  <c r="AQ46" i="1"/>
  <c r="AP46" i="1"/>
  <c r="AQ45" i="1"/>
  <c r="AP45" i="1"/>
  <c r="AQ44" i="1"/>
  <c r="AP44" i="1"/>
  <c r="AQ43" i="1"/>
  <c r="AP43" i="1"/>
  <c r="AQ42" i="1"/>
  <c r="AP42" i="1"/>
  <c r="AQ41" i="1"/>
  <c r="AP41" i="1"/>
  <c r="AQ40" i="1"/>
  <c r="AP40" i="1"/>
  <c r="AQ39" i="1"/>
  <c r="AP39" i="1"/>
  <c r="AQ38" i="1"/>
  <c r="AP38" i="1"/>
  <c r="AQ37" i="1"/>
  <c r="AP37" i="1"/>
  <c r="AQ36" i="1"/>
  <c r="AP36" i="1"/>
  <c r="AQ35" i="1"/>
  <c r="AP35" i="1"/>
  <c r="AQ34" i="1"/>
  <c r="AP34" i="1"/>
  <c r="AQ33" i="1"/>
  <c r="AP33" i="1"/>
  <c r="AQ32" i="1"/>
  <c r="AP32" i="1"/>
  <c r="AQ31" i="1"/>
  <c r="AP31" i="1"/>
  <c r="AQ30" i="1"/>
  <c r="AP30" i="1"/>
  <c r="AQ29" i="1"/>
  <c r="AP29" i="1"/>
  <c r="AQ28" i="1"/>
  <c r="AP28" i="1"/>
  <c r="AQ27" i="1"/>
  <c r="AP27" i="1"/>
  <c r="AQ26" i="1"/>
  <c r="AP26" i="1"/>
  <c r="AQ25" i="1"/>
  <c r="AP25" i="1"/>
  <c r="AQ24" i="1"/>
  <c r="AP24" i="1"/>
  <c r="AQ23" i="1"/>
  <c r="AP23" i="1"/>
  <c r="AQ22" i="1"/>
  <c r="AP22" i="1"/>
  <c r="AQ21" i="1"/>
  <c r="AP21" i="1"/>
  <c r="AQ20" i="1"/>
  <c r="AP20" i="1"/>
  <c r="AQ19" i="1"/>
  <c r="AP19" i="1"/>
  <c r="AQ18" i="1"/>
  <c r="AP18" i="1"/>
  <c r="AQ17" i="1"/>
  <c r="AP17" i="1"/>
  <c r="AQ16" i="1"/>
  <c r="AP16" i="1"/>
  <c r="AQ15" i="1"/>
  <c r="AP15" i="1"/>
  <c r="AQ14" i="1"/>
  <c r="AP14" i="1"/>
  <c r="AQ13" i="1"/>
  <c r="AP13" i="1"/>
  <c r="AQ12" i="1"/>
  <c r="AP12" i="1"/>
  <c r="AQ11" i="1"/>
  <c r="AP11" i="1"/>
  <c r="AQ10" i="1"/>
  <c r="AP10" i="1"/>
  <c r="AQ9" i="1"/>
  <c r="AP9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N321" i="1"/>
  <c r="AM321" i="1"/>
  <c r="AN320" i="1"/>
  <c r="AM320" i="1"/>
  <c r="AN319" i="1"/>
  <c r="AM319" i="1"/>
  <c r="AN318" i="1"/>
  <c r="AM318" i="1"/>
  <c r="AN317" i="1"/>
  <c r="AM317" i="1"/>
  <c r="AN316" i="1"/>
  <c r="AM316" i="1"/>
  <c r="AN315" i="1"/>
  <c r="AM315" i="1"/>
  <c r="AN314" i="1"/>
  <c r="AM314" i="1"/>
  <c r="AN313" i="1"/>
  <c r="AM313" i="1"/>
  <c r="AN312" i="1"/>
  <c r="AM312" i="1"/>
  <c r="AN311" i="1"/>
  <c r="AM311" i="1"/>
  <c r="AN310" i="1"/>
  <c r="AM310" i="1"/>
  <c r="AN309" i="1"/>
  <c r="AM309" i="1"/>
  <c r="AN308" i="1"/>
  <c r="AM308" i="1"/>
  <c r="AN307" i="1"/>
  <c r="AM307" i="1"/>
  <c r="AN306" i="1"/>
  <c r="AM306" i="1"/>
  <c r="AN305" i="1"/>
  <c r="AM305" i="1"/>
  <c r="AN304" i="1"/>
  <c r="AM304" i="1"/>
  <c r="AN303" i="1"/>
  <c r="AM303" i="1"/>
  <c r="AN302" i="1"/>
  <c r="AM302" i="1"/>
  <c r="AN301" i="1"/>
  <c r="AM301" i="1"/>
  <c r="AN300" i="1"/>
  <c r="AM300" i="1"/>
  <c r="AN299" i="1"/>
  <c r="AM299" i="1"/>
  <c r="AN298" i="1"/>
  <c r="AM298" i="1"/>
  <c r="AN297" i="1"/>
  <c r="AM297" i="1"/>
  <c r="AN296" i="1"/>
  <c r="AM296" i="1"/>
  <c r="AN295" i="1"/>
  <c r="AM295" i="1"/>
  <c r="AN294" i="1"/>
  <c r="AM294" i="1"/>
  <c r="AN293" i="1"/>
  <c r="AM293" i="1"/>
  <c r="AN292" i="1"/>
  <c r="AM292" i="1"/>
  <c r="AN291" i="1"/>
  <c r="AM291" i="1"/>
  <c r="AN290" i="1"/>
  <c r="AM290" i="1"/>
  <c r="AN289" i="1"/>
  <c r="AM289" i="1"/>
  <c r="AN288" i="1"/>
  <c r="AM288" i="1"/>
  <c r="AN287" i="1"/>
  <c r="AM287" i="1"/>
  <c r="AN286" i="1"/>
  <c r="AM286" i="1"/>
  <c r="AN285" i="1"/>
  <c r="AM285" i="1"/>
  <c r="AN284" i="1"/>
  <c r="AM284" i="1"/>
  <c r="AN283" i="1"/>
  <c r="AM283" i="1"/>
  <c r="AN282" i="1"/>
  <c r="AM282" i="1"/>
  <c r="AN281" i="1"/>
  <c r="AM281" i="1"/>
  <c r="AN280" i="1"/>
  <c r="AM280" i="1"/>
  <c r="AN279" i="1"/>
  <c r="AM279" i="1"/>
  <c r="AN278" i="1"/>
  <c r="AM278" i="1"/>
  <c r="AN277" i="1"/>
  <c r="AM277" i="1"/>
  <c r="AN276" i="1"/>
  <c r="AM276" i="1"/>
  <c r="AN275" i="1"/>
  <c r="AM275" i="1"/>
  <c r="AN274" i="1"/>
  <c r="AM274" i="1"/>
  <c r="AN273" i="1"/>
  <c r="AM273" i="1"/>
  <c r="AN272" i="1"/>
  <c r="AM272" i="1"/>
  <c r="AN271" i="1"/>
  <c r="AM271" i="1"/>
  <c r="AN270" i="1"/>
  <c r="AM270" i="1"/>
  <c r="AN269" i="1"/>
  <c r="AM269" i="1"/>
  <c r="AN268" i="1"/>
  <c r="AM268" i="1"/>
  <c r="AN267" i="1"/>
  <c r="AM267" i="1"/>
  <c r="AN266" i="1"/>
  <c r="AM266" i="1"/>
  <c r="AN265" i="1"/>
  <c r="AM265" i="1"/>
  <c r="AN264" i="1"/>
  <c r="AM264" i="1"/>
  <c r="AN263" i="1"/>
  <c r="AM263" i="1"/>
  <c r="AN262" i="1"/>
  <c r="AM262" i="1"/>
  <c r="AN261" i="1"/>
  <c r="AM261" i="1"/>
  <c r="AN260" i="1"/>
  <c r="AM260" i="1"/>
  <c r="AN259" i="1"/>
  <c r="AM259" i="1"/>
  <c r="AN258" i="1"/>
  <c r="AM258" i="1"/>
  <c r="AN257" i="1"/>
  <c r="AM257" i="1"/>
  <c r="AN256" i="1"/>
  <c r="AM256" i="1"/>
  <c r="AN255" i="1"/>
  <c r="AM255" i="1"/>
  <c r="AN254" i="1"/>
  <c r="AM254" i="1"/>
  <c r="AN253" i="1"/>
  <c r="AM253" i="1"/>
  <c r="AN252" i="1"/>
  <c r="AM252" i="1"/>
  <c r="AN251" i="1"/>
  <c r="AM251" i="1"/>
  <c r="AN250" i="1"/>
  <c r="AM250" i="1"/>
  <c r="AN249" i="1"/>
  <c r="AM249" i="1"/>
  <c r="AN248" i="1"/>
  <c r="AM248" i="1"/>
  <c r="AN247" i="1"/>
  <c r="AM247" i="1"/>
  <c r="AN246" i="1"/>
  <c r="AM246" i="1"/>
  <c r="AN245" i="1"/>
  <c r="AM245" i="1"/>
  <c r="AN244" i="1"/>
  <c r="AM244" i="1"/>
  <c r="AN243" i="1"/>
  <c r="AM243" i="1"/>
  <c r="AN242" i="1"/>
  <c r="AM242" i="1"/>
  <c r="AN241" i="1"/>
  <c r="AM241" i="1"/>
  <c r="AN240" i="1"/>
  <c r="AM240" i="1"/>
  <c r="AN239" i="1"/>
  <c r="AM239" i="1"/>
  <c r="AN238" i="1"/>
  <c r="AM238" i="1"/>
  <c r="AN237" i="1"/>
  <c r="AM237" i="1"/>
  <c r="AN236" i="1"/>
  <c r="AM236" i="1"/>
  <c r="AN235" i="1"/>
  <c r="AM235" i="1"/>
  <c r="AN234" i="1"/>
  <c r="AM234" i="1"/>
  <c r="AN233" i="1"/>
  <c r="AM233" i="1"/>
  <c r="AN232" i="1"/>
  <c r="AM232" i="1"/>
  <c r="AN231" i="1"/>
  <c r="AM231" i="1"/>
  <c r="AN230" i="1"/>
  <c r="AM230" i="1"/>
  <c r="AN229" i="1"/>
  <c r="AM229" i="1"/>
  <c r="AN228" i="1"/>
  <c r="AM228" i="1"/>
  <c r="AN227" i="1"/>
  <c r="AM227" i="1"/>
  <c r="AN226" i="1"/>
  <c r="AM226" i="1"/>
  <c r="AN225" i="1"/>
  <c r="AM225" i="1"/>
  <c r="AN224" i="1"/>
  <c r="AM224" i="1"/>
  <c r="AN223" i="1"/>
  <c r="AM223" i="1"/>
  <c r="AN222" i="1"/>
  <c r="AM222" i="1"/>
  <c r="AN221" i="1"/>
  <c r="AM221" i="1"/>
  <c r="AN220" i="1"/>
  <c r="AM220" i="1"/>
  <c r="AN219" i="1"/>
  <c r="AM219" i="1"/>
  <c r="AN218" i="1"/>
  <c r="AM218" i="1"/>
  <c r="AN217" i="1"/>
  <c r="AM217" i="1"/>
  <c r="AN216" i="1"/>
  <c r="AM216" i="1"/>
  <c r="AN215" i="1"/>
  <c r="AM215" i="1"/>
  <c r="AN214" i="1"/>
  <c r="AM214" i="1"/>
  <c r="AN213" i="1"/>
  <c r="AM213" i="1"/>
  <c r="AN212" i="1"/>
  <c r="AM212" i="1"/>
  <c r="AN211" i="1"/>
  <c r="AM211" i="1"/>
  <c r="AN210" i="1"/>
  <c r="AM210" i="1"/>
  <c r="AN209" i="1"/>
  <c r="AM209" i="1"/>
  <c r="AN208" i="1"/>
  <c r="AM208" i="1"/>
  <c r="AN207" i="1"/>
  <c r="AM207" i="1"/>
  <c r="AN206" i="1"/>
  <c r="AM206" i="1"/>
  <c r="AN205" i="1"/>
  <c r="AM205" i="1"/>
  <c r="AN204" i="1"/>
  <c r="AM204" i="1"/>
  <c r="AN203" i="1"/>
  <c r="AM203" i="1"/>
  <c r="AN202" i="1"/>
  <c r="AM202" i="1"/>
  <c r="AN201" i="1"/>
  <c r="AM201" i="1"/>
  <c r="AN200" i="1"/>
  <c r="AM200" i="1"/>
  <c r="AN199" i="1"/>
  <c r="AM199" i="1"/>
  <c r="AN198" i="1"/>
  <c r="AM198" i="1"/>
  <c r="AN197" i="1"/>
  <c r="AM197" i="1"/>
  <c r="AN196" i="1"/>
  <c r="AM196" i="1"/>
  <c r="AN195" i="1"/>
  <c r="AM195" i="1"/>
  <c r="AN194" i="1"/>
  <c r="AM194" i="1"/>
  <c r="AN193" i="1"/>
  <c r="AM193" i="1"/>
  <c r="AN192" i="1"/>
  <c r="AM192" i="1"/>
  <c r="AN191" i="1"/>
  <c r="AM191" i="1"/>
  <c r="AN190" i="1"/>
  <c r="AM190" i="1"/>
  <c r="AN189" i="1"/>
  <c r="AM189" i="1"/>
  <c r="AN188" i="1"/>
  <c r="AM188" i="1"/>
  <c r="AN187" i="1"/>
  <c r="AM187" i="1"/>
  <c r="AN186" i="1"/>
  <c r="AM186" i="1"/>
  <c r="AN185" i="1"/>
  <c r="AM185" i="1"/>
  <c r="AN184" i="1"/>
  <c r="AM184" i="1"/>
  <c r="AN183" i="1"/>
  <c r="AM183" i="1"/>
  <c r="AN182" i="1"/>
  <c r="AM182" i="1"/>
  <c r="AN181" i="1"/>
  <c r="AM181" i="1"/>
  <c r="AN180" i="1"/>
  <c r="AM180" i="1"/>
  <c r="AN179" i="1"/>
  <c r="AM179" i="1"/>
  <c r="AN178" i="1"/>
  <c r="AM178" i="1"/>
  <c r="AN177" i="1"/>
  <c r="AM177" i="1"/>
  <c r="AN176" i="1"/>
  <c r="AM176" i="1"/>
  <c r="AN175" i="1"/>
  <c r="AM175" i="1"/>
  <c r="AN174" i="1"/>
  <c r="AM174" i="1"/>
  <c r="AN173" i="1"/>
  <c r="AM173" i="1"/>
  <c r="AN172" i="1"/>
  <c r="AM172" i="1"/>
  <c r="AN171" i="1"/>
  <c r="AM171" i="1"/>
  <c r="AN170" i="1"/>
  <c r="AM170" i="1"/>
  <c r="AN169" i="1"/>
  <c r="AM169" i="1"/>
  <c r="AN168" i="1"/>
  <c r="AM168" i="1"/>
  <c r="AN167" i="1"/>
  <c r="AM167" i="1"/>
  <c r="AN166" i="1"/>
  <c r="AM166" i="1"/>
  <c r="AN165" i="1"/>
  <c r="AM165" i="1"/>
  <c r="AN164" i="1"/>
  <c r="AM164" i="1"/>
  <c r="AN163" i="1"/>
  <c r="AM163" i="1"/>
  <c r="AN162" i="1"/>
  <c r="AM162" i="1"/>
  <c r="AN161" i="1"/>
  <c r="AM161" i="1"/>
  <c r="AN160" i="1"/>
  <c r="AM160" i="1"/>
  <c r="AN159" i="1"/>
  <c r="AM159" i="1"/>
  <c r="AN158" i="1"/>
  <c r="AM158" i="1"/>
  <c r="AN157" i="1"/>
  <c r="AM157" i="1"/>
  <c r="AN156" i="1"/>
  <c r="AM156" i="1"/>
  <c r="AN155" i="1"/>
  <c r="AM155" i="1"/>
  <c r="AN154" i="1"/>
  <c r="AM154" i="1"/>
  <c r="AN153" i="1"/>
  <c r="AM153" i="1"/>
  <c r="AN152" i="1"/>
  <c r="AM152" i="1"/>
  <c r="AN151" i="1"/>
  <c r="AM151" i="1"/>
  <c r="AN150" i="1"/>
  <c r="AM150" i="1"/>
  <c r="AN149" i="1"/>
  <c r="AM149" i="1"/>
  <c r="AN148" i="1"/>
  <c r="AM148" i="1"/>
  <c r="AN147" i="1"/>
  <c r="AM147" i="1"/>
  <c r="AN146" i="1"/>
  <c r="AM146" i="1"/>
  <c r="AN145" i="1"/>
  <c r="AM145" i="1"/>
  <c r="AN144" i="1"/>
  <c r="AM144" i="1"/>
  <c r="AN143" i="1"/>
  <c r="AM143" i="1"/>
  <c r="AN142" i="1"/>
  <c r="AM142" i="1"/>
  <c r="AN141" i="1"/>
  <c r="AM141" i="1"/>
  <c r="AN140" i="1"/>
  <c r="AM140" i="1"/>
  <c r="AN139" i="1"/>
  <c r="AM139" i="1"/>
  <c r="AN138" i="1"/>
  <c r="AM138" i="1"/>
  <c r="AN137" i="1"/>
  <c r="AM137" i="1"/>
  <c r="AN136" i="1"/>
  <c r="AM136" i="1"/>
  <c r="AN135" i="1"/>
  <c r="AM135" i="1"/>
  <c r="AN134" i="1"/>
  <c r="AM134" i="1"/>
  <c r="AN133" i="1"/>
  <c r="AM133" i="1"/>
  <c r="AN132" i="1"/>
  <c r="AM132" i="1"/>
  <c r="AN131" i="1"/>
  <c r="AM131" i="1"/>
  <c r="AN130" i="1"/>
  <c r="AM130" i="1"/>
  <c r="AN129" i="1"/>
  <c r="AM129" i="1"/>
  <c r="AN128" i="1"/>
  <c r="AM128" i="1"/>
  <c r="AN127" i="1"/>
  <c r="AM127" i="1"/>
  <c r="AN126" i="1"/>
  <c r="AM126" i="1"/>
  <c r="AN125" i="1"/>
  <c r="AM125" i="1"/>
  <c r="AN124" i="1"/>
  <c r="AM124" i="1"/>
  <c r="AN123" i="1"/>
  <c r="AM123" i="1"/>
  <c r="AN122" i="1"/>
  <c r="AM122" i="1"/>
  <c r="AN121" i="1"/>
  <c r="AM121" i="1"/>
  <c r="AN120" i="1"/>
  <c r="AM120" i="1"/>
  <c r="AN119" i="1"/>
  <c r="AM119" i="1"/>
  <c r="AN118" i="1"/>
  <c r="AM118" i="1"/>
  <c r="AN117" i="1"/>
  <c r="AM117" i="1"/>
  <c r="AN116" i="1"/>
  <c r="AM116" i="1"/>
  <c r="AN115" i="1"/>
  <c r="AM115" i="1"/>
  <c r="AN114" i="1"/>
  <c r="AM114" i="1"/>
  <c r="AN113" i="1"/>
  <c r="AM113" i="1"/>
  <c r="AN112" i="1"/>
  <c r="AM112" i="1"/>
  <c r="AN111" i="1"/>
  <c r="AM111" i="1"/>
  <c r="AN110" i="1"/>
  <c r="AM110" i="1"/>
  <c r="AN109" i="1"/>
  <c r="AM109" i="1"/>
  <c r="AN108" i="1"/>
  <c r="AM108" i="1"/>
  <c r="AN107" i="1"/>
  <c r="AM107" i="1"/>
  <c r="AN106" i="1"/>
  <c r="AM106" i="1"/>
  <c r="AN105" i="1"/>
  <c r="AM105" i="1"/>
  <c r="AN104" i="1"/>
  <c r="AM104" i="1"/>
  <c r="AN103" i="1"/>
  <c r="AM103" i="1"/>
  <c r="AN102" i="1"/>
  <c r="AM102" i="1"/>
  <c r="AN101" i="1"/>
  <c r="AM101" i="1"/>
  <c r="AN100" i="1"/>
  <c r="AM100" i="1"/>
  <c r="AN99" i="1"/>
  <c r="AM99" i="1"/>
  <c r="AN98" i="1"/>
  <c r="AM98" i="1"/>
  <c r="AN97" i="1"/>
  <c r="AM97" i="1"/>
  <c r="AN96" i="1"/>
  <c r="AM96" i="1"/>
  <c r="AN95" i="1"/>
  <c r="AM95" i="1"/>
  <c r="AN94" i="1"/>
  <c r="AM94" i="1"/>
  <c r="AN93" i="1"/>
  <c r="AM93" i="1"/>
  <c r="AN92" i="1"/>
  <c r="AM92" i="1"/>
  <c r="AN91" i="1"/>
  <c r="AM91" i="1"/>
  <c r="AN90" i="1"/>
  <c r="AM90" i="1"/>
  <c r="AN89" i="1"/>
  <c r="AM89" i="1"/>
  <c r="AN88" i="1"/>
  <c r="AM88" i="1"/>
  <c r="AN87" i="1"/>
  <c r="AM87" i="1"/>
  <c r="AN86" i="1"/>
  <c r="AM86" i="1"/>
  <c r="AN85" i="1"/>
  <c r="AM85" i="1"/>
  <c r="AN84" i="1"/>
  <c r="AM84" i="1"/>
  <c r="AN83" i="1"/>
  <c r="AM83" i="1"/>
  <c r="AN82" i="1"/>
  <c r="AM82" i="1"/>
  <c r="AN81" i="1"/>
  <c r="AM81" i="1"/>
  <c r="AN80" i="1"/>
  <c r="AM80" i="1"/>
  <c r="AN79" i="1"/>
  <c r="AM79" i="1"/>
  <c r="AN78" i="1"/>
  <c r="AM78" i="1"/>
  <c r="AN77" i="1"/>
  <c r="AM77" i="1"/>
  <c r="AN76" i="1"/>
  <c r="AM76" i="1"/>
  <c r="AN75" i="1"/>
  <c r="AM75" i="1"/>
  <c r="AN74" i="1"/>
  <c r="AM74" i="1"/>
  <c r="AN73" i="1"/>
  <c r="AM73" i="1"/>
  <c r="AN72" i="1"/>
  <c r="AM72" i="1"/>
  <c r="AN71" i="1"/>
  <c r="AM71" i="1"/>
  <c r="AN70" i="1"/>
  <c r="AM70" i="1"/>
  <c r="AN69" i="1"/>
  <c r="AM69" i="1"/>
  <c r="AN68" i="1"/>
  <c r="AM68" i="1"/>
  <c r="AN67" i="1"/>
  <c r="AM67" i="1"/>
  <c r="AN66" i="1"/>
  <c r="AM66" i="1"/>
  <c r="AN65" i="1"/>
  <c r="AM65" i="1"/>
  <c r="AN64" i="1"/>
  <c r="AM64" i="1"/>
  <c r="AN63" i="1"/>
  <c r="AM63" i="1"/>
  <c r="AN62" i="1"/>
  <c r="AM62" i="1"/>
  <c r="AN61" i="1"/>
  <c r="AM61" i="1"/>
  <c r="AN60" i="1"/>
  <c r="AM60" i="1"/>
  <c r="AN59" i="1"/>
  <c r="AM59" i="1"/>
  <c r="AN58" i="1"/>
  <c r="AM58" i="1"/>
  <c r="AN57" i="1"/>
  <c r="AM57" i="1"/>
  <c r="AN56" i="1"/>
  <c r="AM56" i="1"/>
  <c r="AN55" i="1"/>
  <c r="AM55" i="1"/>
  <c r="AN54" i="1"/>
  <c r="AM54" i="1"/>
  <c r="AN53" i="1"/>
  <c r="AM53" i="1"/>
  <c r="AN52" i="1"/>
  <c r="AM52" i="1"/>
  <c r="AN51" i="1"/>
  <c r="AM51" i="1"/>
  <c r="AN50" i="1"/>
  <c r="AM50" i="1"/>
  <c r="AN49" i="1"/>
  <c r="AM49" i="1"/>
  <c r="AN48" i="1"/>
  <c r="AM48" i="1"/>
  <c r="AN47" i="1"/>
  <c r="AM47" i="1"/>
  <c r="AN46" i="1"/>
  <c r="AM46" i="1"/>
  <c r="AN45" i="1"/>
  <c r="AM45" i="1"/>
  <c r="AN44" i="1"/>
  <c r="AM44" i="1"/>
  <c r="AN43" i="1"/>
  <c r="AM43" i="1"/>
  <c r="AN42" i="1"/>
  <c r="AM42" i="1"/>
  <c r="AN41" i="1"/>
  <c r="AM41" i="1"/>
  <c r="AN40" i="1"/>
  <c r="AM40" i="1"/>
  <c r="AN39" i="1"/>
  <c r="AM39" i="1"/>
  <c r="AN38" i="1"/>
  <c r="AM38" i="1"/>
  <c r="AN37" i="1"/>
  <c r="AM37" i="1"/>
  <c r="AN36" i="1"/>
  <c r="AM36" i="1"/>
  <c r="AN35" i="1"/>
  <c r="AM35" i="1"/>
  <c r="AN34" i="1"/>
  <c r="AM34" i="1"/>
  <c r="AN33" i="1"/>
  <c r="AM33" i="1"/>
  <c r="AN32" i="1"/>
  <c r="AM32" i="1"/>
  <c r="AN31" i="1"/>
  <c r="AM31" i="1"/>
  <c r="AN30" i="1"/>
  <c r="AM30" i="1"/>
  <c r="AN29" i="1"/>
  <c r="AM29" i="1"/>
  <c r="AN28" i="1"/>
  <c r="AM28" i="1"/>
  <c r="AN27" i="1"/>
  <c r="AM27" i="1"/>
  <c r="AN26" i="1"/>
  <c r="AM26" i="1"/>
  <c r="AN25" i="1"/>
  <c r="AM25" i="1"/>
  <c r="AN24" i="1"/>
  <c r="AM24" i="1"/>
  <c r="AN23" i="1"/>
  <c r="AM23" i="1"/>
  <c r="AN22" i="1"/>
  <c r="AM22" i="1"/>
  <c r="AN21" i="1"/>
  <c r="AM21" i="1"/>
  <c r="AN20" i="1"/>
  <c r="AM20" i="1"/>
  <c r="AN19" i="1"/>
  <c r="AM19" i="1"/>
  <c r="AN18" i="1"/>
  <c r="AM18" i="1"/>
  <c r="AN17" i="1"/>
  <c r="AM17" i="1"/>
  <c r="AN16" i="1"/>
  <c r="AM16" i="1"/>
  <c r="AN15" i="1"/>
  <c r="AM15" i="1"/>
  <c r="AN14" i="1"/>
  <c r="AM14" i="1"/>
  <c r="AN13" i="1"/>
  <c r="AM13" i="1"/>
  <c r="AN12" i="1"/>
  <c r="AM12" i="1"/>
  <c r="AN11" i="1"/>
  <c r="AM11" i="1"/>
  <c r="AN10" i="1"/>
  <c r="AM10" i="1"/>
  <c r="AN9" i="1"/>
  <c r="AM9" i="1"/>
  <c r="AK353" i="1"/>
  <c r="AJ353" i="1"/>
  <c r="AK352" i="1"/>
  <c r="AJ352" i="1"/>
  <c r="AK351" i="1"/>
  <c r="AJ351" i="1"/>
  <c r="AK350" i="1"/>
  <c r="AJ350" i="1"/>
  <c r="AK349" i="1"/>
  <c r="AJ349" i="1"/>
  <c r="AK348" i="1"/>
  <c r="AJ348" i="1"/>
  <c r="AK347" i="1"/>
  <c r="AJ347" i="1"/>
  <c r="AK346" i="1"/>
  <c r="AJ346" i="1"/>
  <c r="AK345" i="1"/>
  <c r="AJ345" i="1"/>
  <c r="AK344" i="1"/>
  <c r="AJ344" i="1"/>
  <c r="AK343" i="1"/>
  <c r="AJ343" i="1"/>
  <c r="AK342" i="1"/>
  <c r="AJ342" i="1"/>
  <c r="AK341" i="1"/>
  <c r="AJ341" i="1"/>
  <c r="AK340" i="1"/>
  <c r="AJ340" i="1"/>
  <c r="AK339" i="1"/>
  <c r="AJ339" i="1"/>
  <c r="AK338" i="1"/>
  <c r="AJ338" i="1"/>
  <c r="AK337" i="1"/>
  <c r="AJ337" i="1"/>
  <c r="AK336" i="1"/>
  <c r="AJ336" i="1"/>
  <c r="AK335" i="1"/>
  <c r="AJ335" i="1"/>
  <c r="AK334" i="1"/>
  <c r="AJ334" i="1"/>
  <c r="AK333" i="1"/>
  <c r="AJ333" i="1"/>
  <c r="AK332" i="1"/>
  <c r="AJ332" i="1"/>
  <c r="AK331" i="1"/>
  <c r="AJ331" i="1"/>
  <c r="AK330" i="1"/>
  <c r="AJ330" i="1"/>
  <c r="AK329" i="1"/>
  <c r="AJ329" i="1"/>
  <c r="AK328" i="1"/>
  <c r="AJ328" i="1"/>
  <c r="AK327" i="1"/>
  <c r="AJ327" i="1"/>
  <c r="AK326" i="1"/>
  <c r="AJ326" i="1"/>
  <c r="AK325" i="1"/>
  <c r="AJ325" i="1"/>
  <c r="AK324" i="1"/>
  <c r="AJ324" i="1"/>
  <c r="AK323" i="1"/>
  <c r="AJ323" i="1"/>
  <c r="AK322" i="1"/>
  <c r="AJ322" i="1"/>
  <c r="AK321" i="1"/>
  <c r="AJ321" i="1"/>
  <c r="AK320" i="1"/>
  <c r="AJ320" i="1"/>
  <c r="AK319" i="1"/>
  <c r="AJ319" i="1"/>
  <c r="AK318" i="1"/>
  <c r="AJ318" i="1"/>
  <c r="AK317" i="1"/>
  <c r="AJ317" i="1"/>
  <c r="AK316" i="1"/>
  <c r="AJ316" i="1"/>
  <c r="AK315" i="1"/>
  <c r="AJ315" i="1"/>
  <c r="AK314" i="1"/>
  <c r="AJ314" i="1"/>
  <c r="AK313" i="1"/>
  <c r="AJ313" i="1"/>
  <c r="AK312" i="1"/>
  <c r="AJ312" i="1"/>
  <c r="AK311" i="1"/>
  <c r="AJ311" i="1"/>
  <c r="AK310" i="1"/>
  <c r="AJ310" i="1"/>
  <c r="AK309" i="1"/>
  <c r="AJ309" i="1"/>
  <c r="AK308" i="1"/>
  <c r="AJ308" i="1"/>
  <c r="AK307" i="1"/>
  <c r="AJ307" i="1"/>
  <c r="AK306" i="1"/>
  <c r="AJ306" i="1"/>
  <c r="AK305" i="1"/>
  <c r="AJ305" i="1"/>
  <c r="AK304" i="1"/>
  <c r="AJ304" i="1"/>
  <c r="AK303" i="1"/>
  <c r="AJ303" i="1"/>
  <c r="AK302" i="1"/>
  <c r="AJ302" i="1"/>
  <c r="AK301" i="1"/>
  <c r="AJ301" i="1"/>
  <c r="AK300" i="1"/>
  <c r="AJ300" i="1"/>
  <c r="AK299" i="1"/>
  <c r="AJ299" i="1"/>
  <c r="AK298" i="1"/>
  <c r="AJ298" i="1"/>
  <c r="AK297" i="1"/>
  <c r="AJ297" i="1"/>
  <c r="AK296" i="1"/>
  <c r="AJ296" i="1"/>
  <c r="AK295" i="1"/>
  <c r="AJ295" i="1"/>
  <c r="AK294" i="1"/>
  <c r="AJ294" i="1"/>
  <c r="AK293" i="1"/>
  <c r="AJ293" i="1"/>
  <c r="AK292" i="1"/>
  <c r="AJ292" i="1"/>
  <c r="AK291" i="1"/>
  <c r="AJ291" i="1"/>
  <c r="AK290" i="1"/>
  <c r="AJ290" i="1"/>
  <c r="AK289" i="1"/>
  <c r="AJ289" i="1"/>
  <c r="AK288" i="1"/>
  <c r="AJ288" i="1"/>
  <c r="AK287" i="1"/>
  <c r="AJ287" i="1"/>
  <c r="AK286" i="1"/>
  <c r="AJ286" i="1"/>
  <c r="AK285" i="1"/>
  <c r="AJ285" i="1"/>
  <c r="AK284" i="1"/>
  <c r="AJ284" i="1"/>
  <c r="AK283" i="1"/>
  <c r="AJ283" i="1"/>
  <c r="AK282" i="1"/>
  <c r="AJ282" i="1"/>
  <c r="AK281" i="1"/>
  <c r="AJ281" i="1"/>
  <c r="AK280" i="1"/>
  <c r="AJ280" i="1"/>
  <c r="AK279" i="1"/>
  <c r="AJ279" i="1"/>
  <c r="AK278" i="1"/>
  <c r="AJ278" i="1"/>
  <c r="AK277" i="1"/>
  <c r="AJ277" i="1"/>
  <c r="AK276" i="1"/>
  <c r="AJ276" i="1"/>
  <c r="AK275" i="1"/>
  <c r="AJ275" i="1"/>
  <c r="AK274" i="1"/>
  <c r="AJ274" i="1"/>
  <c r="AK273" i="1"/>
  <c r="AJ273" i="1"/>
  <c r="AK272" i="1"/>
  <c r="AJ272" i="1"/>
  <c r="AK271" i="1"/>
  <c r="AJ271" i="1"/>
  <c r="AK270" i="1"/>
  <c r="AJ270" i="1"/>
  <c r="AK269" i="1"/>
  <c r="AJ269" i="1"/>
  <c r="AK268" i="1"/>
  <c r="AJ268" i="1"/>
  <c r="AK267" i="1"/>
  <c r="AJ267" i="1"/>
  <c r="AK266" i="1"/>
  <c r="AJ266" i="1"/>
  <c r="AK265" i="1"/>
  <c r="AJ265" i="1"/>
  <c r="AK264" i="1"/>
  <c r="AJ264" i="1"/>
  <c r="AK263" i="1"/>
  <c r="AJ263" i="1"/>
  <c r="AK262" i="1"/>
  <c r="AJ262" i="1"/>
  <c r="AK261" i="1"/>
  <c r="AJ261" i="1"/>
  <c r="AK260" i="1"/>
  <c r="AJ260" i="1"/>
  <c r="AK259" i="1"/>
  <c r="AJ259" i="1"/>
  <c r="AK258" i="1"/>
  <c r="AJ258" i="1"/>
  <c r="AK257" i="1"/>
  <c r="AJ257" i="1"/>
  <c r="AK256" i="1"/>
  <c r="AJ256" i="1"/>
  <c r="AK255" i="1"/>
  <c r="AJ255" i="1"/>
  <c r="AK254" i="1"/>
  <c r="AJ254" i="1"/>
  <c r="AK253" i="1"/>
  <c r="AJ253" i="1"/>
  <c r="AK252" i="1"/>
  <c r="AJ252" i="1"/>
  <c r="AK251" i="1"/>
  <c r="AJ251" i="1"/>
  <c r="AK250" i="1"/>
  <c r="AJ250" i="1"/>
  <c r="AK249" i="1"/>
  <c r="AJ249" i="1"/>
  <c r="AK248" i="1"/>
  <c r="AJ248" i="1"/>
  <c r="AK247" i="1"/>
  <c r="AJ247" i="1"/>
  <c r="AK246" i="1"/>
  <c r="AJ246" i="1"/>
  <c r="AK245" i="1"/>
  <c r="AJ245" i="1"/>
  <c r="AK244" i="1"/>
  <c r="AJ244" i="1"/>
  <c r="AK243" i="1"/>
  <c r="AJ243" i="1"/>
  <c r="AK242" i="1"/>
  <c r="AJ242" i="1"/>
  <c r="AK241" i="1"/>
  <c r="AJ241" i="1"/>
  <c r="AK240" i="1"/>
  <c r="AJ240" i="1"/>
  <c r="AK239" i="1"/>
  <c r="AJ239" i="1"/>
  <c r="AK238" i="1"/>
  <c r="AJ238" i="1"/>
  <c r="AK237" i="1"/>
  <c r="AJ237" i="1"/>
  <c r="AK236" i="1"/>
  <c r="AJ236" i="1"/>
  <c r="AK235" i="1"/>
  <c r="AJ235" i="1"/>
  <c r="AK234" i="1"/>
  <c r="AJ234" i="1"/>
  <c r="AK233" i="1"/>
  <c r="AJ233" i="1"/>
  <c r="AK232" i="1"/>
  <c r="AJ232" i="1"/>
  <c r="AK231" i="1"/>
  <c r="AJ231" i="1"/>
  <c r="AK230" i="1"/>
  <c r="AJ230" i="1"/>
  <c r="AK229" i="1"/>
  <c r="AJ229" i="1"/>
  <c r="AK228" i="1"/>
  <c r="AJ228" i="1"/>
  <c r="AK227" i="1"/>
  <c r="AJ227" i="1"/>
  <c r="AK226" i="1"/>
  <c r="AJ226" i="1"/>
  <c r="AK225" i="1"/>
  <c r="AJ225" i="1"/>
  <c r="AK224" i="1"/>
  <c r="AJ224" i="1"/>
  <c r="AK223" i="1"/>
  <c r="AJ223" i="1"/>
  <c r="AK222" i="1"/>
  <c r="AJ222" i="1"/>
  <c r="AK221" i="1"/>
  <c r="AJ221" i="1"/>
  <c r="AK220" i="1"/>
  <c r="AJ220" i="1"/>
  <c r="AK219" i="1"/>
  <c r="AJ219" i="1"/>
  <c r="AK218" i="1"/>
  <c r="AJ218" i="1"/>
  <c r="AK217" i="1"/>
  <c r="AJ217" i="1"/>
  <c r="AK216" i="1"/>
  <c r="AJ216" i="1"/>
  <c r="AK215" i="1"/>
  <c r="AJ215" i="1"/>
  <c r="AK214" i="1"/>
  <c r="AJ214" i="1"/>
  <c r="AK213" i="1"/>
  <c r="AJ213" i="1"/>
  <c r="AK212" i="1"/>
  <c r="AJ212" i="1"/>
  <c r="AK211" i="1"/>
  <c r="AJ211" i="1"/>
  <c r="AK210" i="1"/>
  <c r="AJ210" i="1"/>
  <c r="AK209" i="1"/>
  <c r="AJ209" i="1"/>
  <c r="AK208" i="1"/>
  <c r="AJ208" i="1"/>
  <c r="AK207" i="1"/>
  <c r="AJ207" i="1"/>
  <c r="AK206" i="1"/>
  <c r="AJ206" i="1"/>
  <c r="AK205" i="1"/>
  <c r="AJ205" i="1"/>
  <c r="AK204" i="1"/>
  <c r="AJ204" i="1"/>
  <c r="AK203" i="1"/>
  <c r="AJ203" i="1"/>
  <c r="AK202" i="1"/>
  <c r="AJ202" i="1"/>
  <c r="AK201" i="1"/>
  <c r="AJ201" i="1"/>
  <c r="AK200" i="1"/>
  <c r="AJ200" i="1"/>
  <c r="AK199" i="1"/>
  <c r="AJ199" i="1"/>
  <c r="AK198" i="1"/>
  <c r="AJ198" i="1"/>
  <c r="AK197" i="1"/>
  <c r="AJ197" i="1"/>
  <c r="AK196" i="1"/>
  <c r="AJ196" i="1"/>
  <c r="AK195" i="1"/>
  <c r="AJ195" i="1"/>
  <c r="AK194" i="1"/>
  <c r="AJ194" i="1"/>
  <c r="AK193" i="1"/>
  <c r="AJ193" i="1"/>
  <c r="AK192" i="1"/>
  <c r="AJ192" i="1"/>
  <c r="AK191" i="1"/>
  <c r="AJ191" i="1"/>
  <c r="AK190" i="1"/>
  <c r="AJ190" i="1"/>
  <c r="AK189" i="1"/>
  <c r="AJ189" i="1"/>
  <c r="AK188" i="1"/>
  <c r="AJ188" i="1"/>
  <c r="AK187" i="1"/>
  <c r="AJ187" i="1"/>
  <c r="AK186" i="1"/>
  <c r="AJ186" i="1"/>
  <c r="AK185" i="1"/>
  <c r="AJ185" i="1"/>
  <c r="AK184" i="1"/>
  <c r="AJ184" i="1"/>
  <c r="AK183" i="1"/>
  <c r="AJ183" i="1"/>
  <c r="AK182" i="1"/>
  <c r="AJ182" i="1"/>
  <c r="AK181" i="1"/>
  <c r="AJ181" i="1"/>
  <c r="AK180" i="1"/>
  <c r="AJ180" i="1"/>
  <c r="AK179" i="1"/>
  <c r="AJ179" i="1"/>
  <c r="AK178" i="1"/>
  <c r="AJ178" i="1"/>
  <c r="AK177" i="1"/>
  <c r="AJ177" i="1"/>
  <c r="AK176" i="1"/>
  <c r="AJ176" i="1"/>
  <c r="AK175" i="1"/>
  <c r="AJ175" i="1"/>
  <c r="AK174" i="1"/>
  <c r="AJ174" i="1"/>
  <c r="AK173" i="1"/>
  <c r="AJ173" i="1"/>
  <c r="AK172" i="1"/>
  <c r="AJ172" i="1"/>
  <c r="AK171" i="1"/>
  <c r="AJ171" i="1"/>
  <c r="AK170" i="1"/>
  <c r="AJ170" i="1"/>
  <c r="AK169" i="1"/>
  <c r="AJ169" i="1"/>
  <c r="AK168" i="1"/>
  <c r="AJ168" i="1"/>
  <c r="AK167" i="1"/>
  <c r="AJ167" i="1"/>
  <c r="AK166" i="1"/>
  <c r="AJ166" i="1"/>
  <c r="AK165" i="1"/>
  <c r="AJ165" i="1"/>
  <c r="AK164" i="1"/>
  <c r="AJ164" i="1"/>
  <c r="AK163" i="1"/>
  <c r="AJ163" i="1"/>
  <c r="AK162" i="1"/>
  <c r="AJ162" i="1"/>
  <c r="AK161" i="1"/>
  <c r="AJ161" i="1"/>
  <c r="AK160" i="1"/>
  <c r="AJ160" i="1"/>
  <c r="AK159" i="1"/>
  <c r="AJ159" i="1"/>
  <c r="AK158" i="1"/>
  <c r="AJ158" i="1"/>
  <c r="AK157" i="1"/>
  <c r="AJ157" i="1"/>
  <c r="AK156" i="1"/>
  <c r="AJ156" i="1"/>
  <c r="AK155" i="1"/>
  <c r="AJ155" i="1"/>
  <c r="AK154" i="1"/>
  <c r="AJ154" i="1"/>
  <c r="AK153" i="1"/>
  <c r="AJ153" i="1"/>
  <c r="AK152" i="1"/>
  <c r="AJ152" i="1"/>
  <c r="AK151" i="1"/>
  <c r="AJ151" i="1"/>
  <c r="AK150" i="1"/>
  <c r="AJ150" i="1"/>
  <c r="AK149" i="1"/>
  <c r="AJ149" i="1"/>
  <c r="AK148" i="1"/>
  <c r="AJ148" i="1"/>
  <c r="AK147" i="1"/>
  <c r="AJ147" i="1"/>
  <c r="AK146" i="1"/>
  <c r="AJ146" i="1"/>
  <c r="AK145" i="1"/>
  <c r="AJ145" i="1"/>
  <c r="AK144" i="1"/>
  <c r="AJ144" i="1"/>
  <c r="AK143" i="1"/>
  <c r="AJ143" i="1"/>
  <c r="AK142" i="1"/>
  <c r="AJ142" i="1"/>
  <c r="AK141" i="1"/>
  <c r="AJ141" i="1"/>
  <c r="AK140" i="1"/>
  <c r="AJ140" i="1"/>
  <c r="AK139" i="1"/>
  <c r="AJ139" i="1"/>
  <c r="AK138" i="1"/>
  <c r="AJ138" i="1"/>
  <c r="AK137" i="1"/>
  <c r="AJ137" i="1"/>
  <c r="AK136" i="1"/>
  <c r="AJ136" i="1"/>
  <c r="AK135" i="1"/>
  <c r="AJ135" i="1"/>
  <c r="AK134" i="1"/>
  <c r="AJ134" i="1"/>
  <c r="AK133" i="1"/>
  <c r="AJ133" i="1"/>
  <c r="AK132" i="1"/>
  <c r="AJ132" i="1"/>
  <c r="AK131" i="1"/>
  <c r="AJ131" i="1"/>
  <c r="AK130" i="1"/>
  <c r="AJ130" i="1"/>
  <c r="AK129" i="1"/>
  <c r="AJ129" i="1"/>
  <c r="AK128" i="1"/>
  <c r="AJ128" i="1"/>
  <c r="AK127" i="1"/>
  <c r="AJ127" i="1"/>
  <c r="AK126" i="1"/>
  <c r="AJ126" i="1"/>
  <c r="AK125" i="1"/>
  <c r="AJ125" i="1"/>
  <c r="AK124" i="1"/>
  <c r="AJ124" i="1"/>
  <c r="AK123" i="1"/>
  <c r="AJ123" i="1"/>
  <c r="AK122" i="1"/>
  <c r="AJ122" i="1"/>
  <c r="AK121" i="1"/>
  <c r="AJ121" i="1"/>
  <c r="AK120" i="1"/>
  <c r="AJ120" i="1"/>
  <c r="AK119" i="1"/>
  <c r="AJ119" i="1"/>
  <c r="AK118" i="1"/>
  <c r="AJ118" i="1"/>
  <c r="AK117" i="1"/>
  <c r="AJ117" i="1"/>
  <c r="AK116" i="1"/>
  <c r="AJ116" i="1"/>
  <c r="AK115" i="1"/>
  <c r="AJ115" i="1"/>
  <c r="AK114" i="1"/>
  <c r="AJ114" i="1"/>
  <c r="AK113" i="1"/>
  <c r="AJ113" i="1"/>
  <c r="AK112" i="1"/>
  <c r="AJ112" i="1"/>
  <c r="AK111" i="1"/>
  <c r="AJ111" i="1"/>
  <c r="AK110" i="1"/>
  <c r="AJ110" i="1"/>
  <c r="AK109" i="1"/>
  <c r="AJ109" i="1"/>
  <c r="AK108" i="1"/>
  <c r="AJ108" i="1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9" i="1"/>
  <c r="AJ99" i="1"/>
  <c r="AK98" i="1"/>
  <c r="AJ98" i="1"/>
  <c r="AK97" i="1"/>
  <c r="AJ97" i="1"/>
  <c r="AK96" i="1"/>
  <c r="AJ96" i="1"/>
  <c r="AK95" i="1"/>
  <c r="AJ95" i="1"/>
  <c r="AK94" i="1"/>
  <c r="AJ94" i="1"/>
  <c r="AK93" i="1"/>
  <c r="AJ93" i="1"/>
  <c r="AK92" i="1"/>
  <c r="AJ92" i="1"/>
  <c r="AK91" i="1"/>
  <c r="AJ91" i="1"/>
  <c r="AK90" i="1"/>
  <c r="AJ90" i="1"/>
  <c r="AK89" i="1"/>
  <c r="AJ89" i="1"/>
  <c r="AK88" i="1"/>
  <c r="AJ88" i="1"/>
  <c r="AK87" i="1"/>
  <c r="AJ87" i="1"/>
  <c r="AK86" i="1"/>
  <c r="AJ86" i="1"/>
  <c r="AK85" i="1"/>
  <c r="AJ85" i="1"/>
  <c r="AK84" i="1"/>
  <c r="AJ84" i="1"/>
  <c r="AK83" i="1"/>
  <c r="AJ83" i="1"/>
  <c r="AK82" i="1"/>
  <c r="AJ82" i="1"/>
  <c r="AK81" i="1"/>
  <c r="AJ81" i="1"/>
  <c r="AK80" i="1"/>
  <c r="AJ80" i="1"/>
  <c r="AK79" i="1"/>
  <c r="AJ79" i="1"/>
  <c r="AK78" i="1"/>
  <c r="AJ78" i="1"/>
  <c r="AK77" i="1"/>
  <c r="AJ77" i="1"/>
  <c r="AK76" i="1"/>
  <c r="AJ76" i="1"/>
  <c r="AK75" i="1"/>
  <c r="AJ75" i="1"/>
  <c r="AK74" i="1"/>
  <c r="AJ74" i="1"/>
  <c r="AK73" i="1"/>
  <c r="AJ73" i="1"/>
  <c r="AK72" i="1"/>
  <c r="AJ72" i="1"/>
  <c r="AK71" i="1"/>
  <c r="AJ71" i="1"/>
  <c r="AK70" i="1"/>
  <c r="AJ70" i="1"/>
  <c r="AK69" i="1"/>
  <c r="AJ69" i="1"/>
  <c r="AK68" i="1"/>
  <c r="AJ68" i="1"/>
  <c r="AK67" i="1"/>
  <c r="AJ67" i="1"/>
  <c r="AK66" i="1"/>
  <c r="AJ66" i="1"/>
  <c r="AK65" i="1"/>
  <c r="AJ65" i="1"/>
  <c r="AK64" i="1"/>
  <c r="AJ64" i="1"/>
  <c r="AK63" i="1"/>
  <c r="AJ63" i="1"/>
  <c r="AK62" i="1"/>
  <c r="AJ62" i="1"/>
  <c r="AK61" i="1"/>
  <c r="AJ61" i="1"/>
  <c r="AK60" i="1"/>
  <c r="AJ60" i="1"/>
  <c r="AK59" i="1"/>
  <c r="AJ59" i="1"/>
  <c r="AK58" i="1"/>
  <c r="AJ58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8" i="1"/>
  <c r="AJ48" i="1"/>
  <c r="AK47" i="1"/>
  <c r="AJ47" i="1"/>
  <c r="AK46" i="1"/>
  <c r="AJ46" i="1"/>
  <c r="AK45" i="1"/>
  <c r="AJ45" i="1"/>
  <c r="AK44" i="1"/>
  <c r="AJ44" i="1"/>
  <c r="AK43" i="1"/>
  <c r="AJ43" i="1"/>
  <c r="AK42" i="1"/>
  <c r="AJ42" i="1"/>
  <c r="AK41" i="1"/>
  <c r="AJ41" i="1"/>
  <c r="AK40" i="1"/>
  <c r="AJ40" i="1"/>
  <c r="AK39" i="1"/>
  <c r="AJ39" i="1"/>
  <c r="AK38" i="1"/>
  <c r="AJ38" i="1"/>
  <c r="AK37" i="1"/>
  <c r="AJ37" i="1"/>
  <c r="AK36" i="1"/>
  <c r="AJ36" i="1"/>
  <c r="AK35" i="1"/>
  <c r="AJ35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8" i="1"/>
  <c r="AJ28" i="1"/>
  <c r="AK27" i="1"/>
  <c r="AJ27" i="1"/>
  <c r="AK26" i="1"/>
  <c r="AJ26" i="1"/>
  <c r="AK25" i="1"/>
  <c r="AJ25" i="1"/>
  <c r="AK24" i="1"/>
  <c r="AJ24" i="1"/>
  <c r="AK23" i="1"/>
  <c r="AJ23" i="1"/>
  <c r="AK22" i="1"/>
  <c r="AJ22" i="1"/>
  <c r="AK21" i="1"/>
  <c r="AJ21" i="1"/>
  <c r="AK20" i="1"/>
  <c r="AJ20" i="1"/>
  <c r="AK19" i="1"/>
  <c r="AJ19" i="1"/>
  <c r="AK18" i="1"/>
  <c r="AJ18" i="1"/>
  <c r="AK17" i="1"/>
  <c r="AJ17" i="1"/>
  <c r="AK16" i="1"/>
  <c r="AJ16" i="1"/>
  <c r="AK15" i="1"/>
  <c r="AJ15" i="1"/>
  <c r="AK14" i="1"/>
  <c r="AJ14" i="1"/>
  <c r="AK13" i="1"/>
  <c r="AJ13" i="1"/>
  <c r="AK12" i="1"/>
  <c r="AJ12" i="1"/>
  <c r="AK11" i="1"/>
  <c r="AJ11" i="1"/>
  <c r="AK10" i="1"/>
  <c r="AJ10" i="1"/>
  <c r="AK9" i="1"/>
  <c r="AJ9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117" i="1"/>
  <c r="AD117" i="1"/>
  <c r="AE116" i="1"/>
  <c r="AD116" i="1"/>
  <c r="AE115" i="1"/>
  <c r="AD115" i="1"/>
  <c r="AE114" i="1"/>
  <c r="AD114" i="1"/>
  <c r="AE113" i="1"/>
  <c r="AD113" i="1"/>
  <c r="AE112" i="1"/>
  <c r="AD112" i="1"/>
  <c r="AE111" i="1"/>
  <c r="AD111" i="1"/>
  <c r="AE110" i="1"/>
  <c r="AD110" i="1"/>
  <c r="AE109" i="1"/>
  <c r="AD109" i="1"/>
  <c r="AE108" i="1"/>
  <c r="AD108" i="1"/>
  <c r="AE107" i="1"/>
  <c r="AD107" i="1"/>
  <c r="AE106" i="1"/>
  <c r="AD106" i="1"/>
  <c r="AE105" i="1"/>
  <c r="AD105" i="1"/>
  <c r="AE104" i="1"/>
  <c r="AD104" i="1"/>
  <c r="AE103" i="1"/>
  <c r="AD103" i="1"/>
  <c r="AE102" i="1"/>
  <c r="AD102" i="1"/>
  <c r="AE101" i="1"/>
  <c r="AD101" i="1"/>
  <c r="AE100" i="1"/>
  <c r="AD100" i="1"/>
  <c r="AE99" i="1"/>
  <c r="AD99" i="1"/>
  <c r="AE98" i="1"/>
  <c r="AD98" i="1"/>
  <c r="AE97" i="1"/>
  <c r="AD97" i="1"/>
  <c r="AE96" i="1"/>
  <c r="AD96" i="1"/>
  <c r="AE95" i="1"/>
  <c r="AD95" i="1"/>
  <c r="AE94" i="1"/>
  <c r="AD94" i="1"/>
  <c r="AE93" i="1"/>
  <c r="AD93" i="1"/>
  <c r="AE92" i="1"/>
  <c r="AD92" i="1"/>
  <c r="AE91" i="1"/>
  <c r="AD91" i="1"/>
  <c r="AE90" i="1"/>
  <c r="AD90" i="1"/>
  <c r="AE89" i="1"/>
  <c r="AD89" i="1"/>
  <c r="AE88" i="1"/>
  <c r="AD88" i="1"/>
  <c r="AE87" i="1"/>
  <c r="AD87" i="1"/>
  <c r="AE86" i="1"/>
  <c r="AD86" i="1"/>
  <c r="AE85" i="1"/>
  <c r="AD85" i="1"/>
  <c r="AE84" i="1"/>
  <c r="AD84" i="1"/>
  <c r="AE83" i="1"/>
  <c r="AD83" i="1"/>
  <c r="AE82" i="1"/>
  <c r="AD82" i="1"/>
  <c r="AE81" i="1"/>
  <c r="AD81" i="1"/>
  <c r="AE80" i="1"/>
  <c r="AD80" i="1"/>
  <c r="AE79" i="1"/>
  <c r="AD79" i="1"/>
  <c r="AE78" i="1"/>
  <c r="AD78" i="1"/>
  <c r="AE77" i="1"/>
  <c r="AD77" i="1"/>
  <c r="AE76" i="1"/>
  <c r="AD76" i="1"/>
  <c r="AE75" i="1"/>
  <c r="AD75" i="1"/>
  <c r="AE74" i="1"/>
  <c r="AD74" i="1"/>
  <c r="AE73" i="1"/>
  <c r="AD73" i="1"/>
  <c r="AE72" i="1"/>
  <c r="AD72" i="1"/>
  <c r="AE71" i="1"/>
  <c r="AD71" i="1"/>
  <c r="AE70" i="1"/>
  <c r="AD70" i="1"/>
  <c r="AE69" i="1"/>
  <c r="AD69" i="1"/>
  <c r="AE68" i="1"/>
  <c r="AD68" i="1"/>
  <c r="AE67" i="1"/>
  <c r="AD67" i="1"/>
  <c r="AE66" i="1"/>
  <c r="AD66" i="1"/>
  <c r="AE65" i="1"/>
  <c r="AD65" i="1"/>
  <c r="AE64" i="1"/>
  <c r="AD64" i="1"/>
  <c r="AE63" i="1"/>
  <c r="AD63" i="1"/>
  <c r="AE62" i="1"/>
  <c r="AD62" i="1"/>
  <c r="AE61" i="1"/>
  <c r="AD61" i="1"/>
  <c r="AE60" i="1"/>
  <c r="AD60" i="1"/>
  <c r="AE59" i="1"/>
  <c r="AD59" i="1"/>
  <c r="AE58" i="1"/>
  <c r="AD58" i="1"/>
  <c r="AE57" i="1"/>
  <c r="AD57" i="1"/>
  <c r="AE56" i="1"/>
  <c r="AD56" i="1"/>
  <c r="AE55" i="1"/>
  <c r="AD55" i="1"/>
  <c r="AE54" i="1"/>
  <c r="AD54" i="1"/>
  <c r="AE53" i="1"/>
  <c r="AD53" i="1"/>
  <c r="AE52" i="1"/>
  <c r="AD52" i="1"/>
  <c r="AE51" i="1"/>
  <c r="AD51" i="1"/>
  <c r="AE50" i="1"/>
  <c r="AD50" i="1"/>
  <c r="AE49" i="1"/>
  <c r="AD49" i="1"/>
  <c r="AE48" i="1"/>
  <c r="AD48" i="1"/>
  <c r="AE47" i="1"/>
  <c r="AD47" i="1"/>
  <c r="AE46" i="1"/>
  <c r="AD46" i="1"/>
  <c r="AE45" i="1"/>
  <c r="AD45" i="1"/>
  <c r="AE44" i="1"/>
  <c r="AD44" i="1"/>
  <c r="AE43" i="1"/>
  <c r="AD43" i="1"/>
  <c r="AE42" i="1"/>
  <c r="AD42" i="1"/>
  <c r="AE41" i="1"/>
  <c r="AD41" i="1"/>
  <c r="AE40" i="1"/>
  <c r="AD40" i="1"/>
  <c r="AE39" i="1"/>
  <c r="AD39" i="1"/>
  <c r="AE38" i="1"/>
  <c r="AD38" i="1"/>
  <c r="AE37" i="1"/>
  <c r="AD37" i="1"/>
  <c r="AE36" i="1"/>
  <c r="AD36" i="1"/>
  <c r="AE35" i="1"/>
  <c r="AD35" i="1"/>
  <c r="AE34" i="1"/>
  <c r="AD34" i="1"/>
  <c r="AE33" i="1"/>
  <c r="AD33" i="1"/>
  <c r="AE32" i="1"/>
  <c r="AD32" i="1"/>
  <c r="AE31" i="1"/>
  <c r="AD31" i="1"/>
  <c r="AE30" i="1"/>
  <c r="AD30" i="1"/>
  <c r="AE29" i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9" i="1"/>
  <c r="AD19" i="1"/>
  <c r="AE18" i="1"/>
  <c r="AD18" i="1"/>
  <c r="AE17" i="1"/>
  <c r="AD17" i="1"/>
  <c r="AE16" i="1"/>
  <c r="AD16" i="1"/>
  <c r="AE15" i="1"/>
  <c r="AD15" i="1"/>
  <c r="AE14" i="1"/>
  <c r="AD14" i="1"/>
  <c r="AE13" i="1"/>
  <c r="AD13" i="1"/>
  <c r="AE12" i="1"/>
  <c r="AD12" i="1"/>
  <c r="AE11" i="1"/>
  <c r="AD11" i="1"/>
  <c r="AE10" i="1"/>
  <c r="AD10" i="1"/>
  <c r="AE9" i="1"/>
  <c r="AD9" i="1"/>
  <c r="AB353" i="1"/>
  <c r="AA353" i="1"/>
  <c r="AB352" i="1"/>
  <c r="AA352" i="1"/>
  <c r="AB351" i="1"/>
  <c r="AA351" i="1"/>
  <c r="AB350" i="1"/>
  <c r="AA350" i="1"/>
  <c r="AB349" i="1"/>
  <c r="AA349" i="1"/>
  <c r="AB348" i="1"/>
  <c r="AA348" i="1"/>
  <c r="AB347" i="1"/>
  <c r="AA347" i="1"/>
  <c r="AB346" i="1"/>
  <c r="AA346" i="1"/>
  <c r="AB345" i="1"/>
  <c r="AA345" i="1"/>
  <c r="AB344" i="1"/>
  <c r="AA344" i="1"/>
  <c r="AB343" i="1"/>
  <c r="AA343" i="1"/>
  <c r="AB342" i="1"/>
  <c r="AA342" i="1"/>
  <c r="AB341" i="1"/>
  <c r="AA341" i="1"/>
  <c r="AB340" i="1"/>
  <c r="AA340" i="1"/>
  <c r="AB339" i="1"/>
  <c r="AA339" i="1"/>
  <c r="AB338" i="1"/>
  <c r="AA338" i="1"/>
  <c r="AB337" i="1"/>
  <c r="AA337" i="1"/>
  <c r="AB336" i="1"/>
  <c r="AA336" i="1"/>
  <c r="AB335" i="1"/>
  <c r="AA335" i="1"/>
  <c r="AB334" i="1"/>
  <c r="AA334" i="1"/>
  <c r="AB333" i="1"/>
  <c r="AA333" i="1"/>
  <c r="AB332" i="1"/>
  <c r="AA332" i="1"/>
  <c r="AB331" i="1"/>
  <c r="AA331" i="1"/>
  <c r="AB330" i="1"/>
  <c r="AA330" i="1"/>
  <c r="AB329" i="1"/>
  <c r="AA329" i="1"/>
  <c r="AB328" i="1"/>
  <c r="AA328" i="1"/>
  <c r="AB327" i="1"/>
  <c r="AA327" i="1"/>
  <c r="AB326" i="1"/>
  <c r="AA326" i="1"/>
  <c r="AB325" i="1"/>
  <c r="AA325" i="1"/>
  <c r="AB324" i="1"/>
  <c r="AA324" i="1"/>
  <c r="AB323" i="1"/>
  <c r="AA323" i="1"/>
  <c r="AB322" i="1"/>
  <c r="AA322" i="1"/>
  <c r="AB321" i="1"/>
  <c r="AA321" i="1"/>
  <c r="AB320" i="1"/>
  <c r="AA320" i="1"/>
  <c r="AB319" i="1"/>
  <c r="AA319" i="1"/>
  <c r="AB318" i="1"/>
  <c r="AA318" i="1"/>
  <c r="AB317" i="1"/>
  <c r="AA317" i="1"/>
  <c r="AB316" i="1"/>
  <c r="AA316" i="1"/>
  <c r="AB315" i="1"/>
  <c r="AA315" i="1"/>
  <c r="AB314" i="1"/>
  <c r="AA314" i="1"/>
  <c r="AB313" i="1"/>
  <c r="AA313" i="1"/>
  <c r="AB312" i="1"/>
  <c r="AA312" i="1"/>
  <c r="AB311" i="1"/>
  <c r="AA311" i="1"/>
  <c r="AB310" i="1"/>
  <c r="AA310" i="1"/>
  <c r="AB309" i="1"/>
  <c r="AA309" i="1"/>
  <c r="AB308" i="1"/>
  <c r="AA308" i="1"/>
  <c r="AB307" i="1"/>
  <c r="AA307" i="1"/>
  <c r="AB306" i="1"/>
  <c r="AA306" i="1"/>
  <c r="AB305" i="1"/>
  <c r="AA305" i="1"/>
  <c r="AB304" i="1"/>
  <c r="AA304" i="1"/>
  <c r="AB303" i="1"/>
  <c r="AA303" i="1"/>
  <c r="AB302" i="1"/>
  <c r="AA302" i="1"/>
  <c r="AB301" i="1"/>
  <c r="AA301" i="1"/>
  <c r="AB300" i="1"/>
  <c r="AA300" i="1"/>
  <c r="AB299" i="1"/>
  <c r="AA299" i="1"/>
  <c r="AB298" i="1"/>
  <c r="AA298" i="1"/>
  <c r="AB297" i="1"/>
  <c r="AA297" i="1"/>
  <c r="AB296" i="1"/>
  <c r="AA296" i="1"/>
  <c r="AB295" i="1"/>
  <c r="AA295" i="1"/>
  <c r="AB294" i="1"/>
  <c r="AA294" i="1"/>
  <c r="AB293" i="1"/>
  <c r="AA293" i="1"/>
  <c r="AB292" i="1"/>
  <c r="AA292" i="1"/>
  <c r="AB291" i="1"/>
  <c r="AA291" i="1"/>
  <c r="AB290" i="1"/>
  <c r="AA290" i="1"/>
  <c r="AB289" i="1"/>
  <c r="AA289" i="1"/>
  <c r="AB288" i="1"/>
  <c r="AA288" i="1"/>
  <c r="AB287" i="1"/>
  <c r="AA287" i="1"/>
  <c r="AB286" i="1"/>
  <c r="AA286" i="1"/>
  <c r="AB285" i="1"/>
  <c r="AA285" i="1"/>
  <c r="AB284" i="1"/>
  <c r="AA284" i="1"/>
  <c r="AB283" i="1"/>
  <c r="AA283" i="1"/>
  <c r="AB282" i="1"/>
  <c r="AA282" i="1"/>
  <c r="AB281" i="1"/>
  <c r="AA281" i="1"/>
  <c r="AB280" i="1"/>
  <c r="AA280" i="1"/>
  <c r="AB279" i="1"/>
  <c r="AA279" i="1"/>
  <c r="AB278" i="1"/>
  <c r="AA278" i="1"/>
  <c r="AB277" i="1"/>
  <c r="AA277" i="1"/>
  <c r="AB276" i="1"/>
  <c r="AA276" i="1"/>
  <c r="AB275" i="1"/>
  <c r="AA275" i="1"/>
  <c r="AB274" i="1"/>
  <c r="AA274" i="1"/>
  <c r="AB273" i="1"/>
  <c r="AA273" i="1"/>
  <c r="AB272" i="1"/>
  <c r="AA272" i="1"/>
  <c r="AB271" i="1"/>
  <c r="AA271" i="1"/>
  <c r="AB270" i="1"/>
  <c r="AA270" i="1"/>
  <c r="AB269" i="1"/>
  <c r="AA269" i="1"/>
  <c r="AB268" i="1"/>
  <c r="AA268" i="1"/>
  <c r="AB267" i="1"/>
  <c r="AA267" i="1"/>
  <c r="AB266" i="1"/>
  <c r="AA266" i="1"/>
  <c r="AB265" i="1"/>
  <c r="AA265" i="1"/>
  <c r="AB264" i="1"/>
  <c r="AA264" i="1"/>
  <c r="AB263" i="1"/>
  <c r="AA263" i="1"/>
  <c r="AB262" i="1"/>
  <c r="AA262" i="1"/>
  <c r="AB261" i="1"/>
  <c r="AA261" i="1"/>
  <c r="AB260" i="1"/>
  <c r="AA260" i="1"/>
  <c r="AB259" i="1"/>
  <c r="AA259" i="1"/>
  <c r="AB258" i="1"/>
  <c r="AA258" i="1"/>
  <c r="AB257" i="1"/>
  <c r="AA257" i="1"/>
  <c r="AB256" i="1"/>
  <c r="AA256" i="1"/>
  <c r="AB255" i="1"/>
  <c r="AA255" i="1"/>
  <c r="AB254" i="1"/>
  <c r="AA254" i="1"/>
  <c r="AB253" i="1"/>
  <c r="AA253" i="1"/>
  <c r="AB252" i="1"/>
  <c r="AA252" i="1"/>
  <c r="AB251" i="1"/>
  <c r="AA251" i="1"/>
  <c r="AB250" i="1"/>
  <c r="AA250" i="1"/>
  <c r="AB249" i="1"/>
  <c r="AA249" i="1"/>
  <c r="AB248" i="1"/>
  <c r="AA248" i="1"/>
  <c r="AB247" i="1"/>
  <c r="AA247" i="1"/>
  <c r="AB246" i="1"/>
  <c r="AA246" i="1"/>
  <c r="AB245" i="1"/>
  <c r="AA245" i="1"/>
  <c r="AB244" i="1"/>
  <c r="AA244" i="1"/>
  <c r="AB243" i="1"/>
  <c r="AA243" i="1"/>
  <c r="AB242" i="1"/>
  <c r="AA242" i="1"/>
  <c r="AB241" i="1"/>
  <c r="AA241" i="1"/>
  <c r="AB240" i="1"/>
  <c r="AA240" i="1"/>
  <c r="AB239" i="1"/>
  <c r="AA239" i="1"/>
  <c r="AB238" i="1"/>
  <c r="AA238" i="1"/>
  <c r="AB237" i="1"/>
  <c r="AA237" i="1"/>
  <c r="AB236" i="1"/>
  <c r="AA236" i="1"/>
  <c r="AB235" i="1"/>
  <c r="AA235" i="1"/>
  <c r="AB234" i="1"/>
  <c r="AA234" i="1"/>
  <c r="AB233" i="1"/>
  <c r="AA233" i="1"/>
  <c r="AB232" i="1"/>
  <c r="AA232" i="1"/>
  <c r="AB231" i="1"/>
  <c r="AA231" i="1"/>
  <c r="AB230" i="1"/>
  <c r="AA230" i="1"/>
  <c r="AB229" i="1"/>
  <c r="AA229" i="1"/>
  <c r="AB228" i="1"/>
  <c r="AA228" i="1"/>
  <c r="AB227" i="1"/>
  <c r="AA227" i="1"/>
  <c r="AB226" i="1"/>
  <c r="AA226" i="1"/>
  <c r="AB225" i="1"/>
  <c r="AA225" i="1"/>
  <c r="AB224" i="1"/>
  <c r="AA224" i="1"/>
  <c r="AB223" i="1"/>
  <c r="AA223" i="1"/>
  <c r="AB222" i="1"/>
  <c r="AA222" i="1"/>
  <c r="AB221" i="1"/>
  <c r="AA221" i="1"/>
  <c r="AB220" i="1"/>
  <c r="AA220" i="1"/>
  <c r="AB219" i="1"/>
  <c r="AA219" i="1"/>
  <c r="AB218" i="1"/>
  <c r="AA218" i="1"/>
  <c r="AB217" i="1"/>
  <c r="AA217" i="1"/>
  <c r="AB216" i="1"/>
  <c r="AA216" i="1"/>
  <c r="AB215" i="1"/>
  <c r="AA215" i="1"/>
  <c r="AB214" i="1"/>
  <c r="AA214" i="1"/>
  <c r="AB213" i="1"/>
  <c r="AA213" i="1"/>
  <c r="AB212" i="1"/>
  <c r="AA212" i="1"/>
  <c r="AB211" i="1"/>
  <c r="AA211" i="1"/>
  <c r="AB210" i="1"/>
  <c r="AA210" i="1"/>
  <c r="AB209" i="1"/>
  <c r="AA209" i="1"/>
  <c r="AB208" i="1"/>
  <c r="AA208" i="1"/>
  <c r="AB207" i="1"/>
  <c r="AA207" i="1"/>
  <c r="AB206" i="1"/>
  <c r="AA206" i="1"/>
  <c r="AB205" i="1"/>
  <c r="AA205" i="1"/>
  <c r="AB204" i="1"/>
  <c r="AA204" i="1"/>
  <c r="AB203" i="1"/>
  <c r="AA203" i="1"/>
  <c r="AB202" i="1"/>
  <c r="AA202" i="1"/>
  <c r="AB201" i="1"/>
  <c r="AA201" i="1"/>
  <c r="AB200" i="1"/>
  <c r="AA200" i="1"/>
  <c r="AB199" i="1"/>
  <c r="AA199" i="1"/>
  <c r="AB198" i="1"/>
  <c r="AA198" i="1"/>
  <c r="AB197" i="1"/>
  <c r="AA197" i="1"/>
  <c r="AB196" i="1"/>
  <c r="AA196" i="1"/>
  <c r="AB195" i="1"/>
  <c r="AA195" i="1"/>
  <c r="AB194" i="1"/>
  <c r="AA194" i="1"/>
  <c r="AB193" i="1"/>
  <c r="AA193" i="1"/>
  <c r="AB192" i="1"/>
  <c r="AA192" i="1"/>
  <c r="AB191" i="1"/>
  <c r="AA191" i="1"/>
  <c r="AB190" i="1"/>
  <c r="AA190" i="1"/>
  <c r="AB189" i="1"/>
  <c r="AA189" i="1"/>
  <c r="AB188" i="1"/>
  <c r="AA188" i="1"/>
  <c r="AB187" i="1"/>
  <c r="AA187" i="1"/>
  <c r="AB186" i="1"/>
  <c r="AA186" i="1"/>
  <c r="AB185" i="1"/>
  <c r="AA185" i="1"/>
  <c r="AB184" i="1"/>
  <c r="AA184" i="1"/>
  <c r="AB183" i="1"/>
  <c r="AA183" i="1"/>
  <c r="AB182" i="1"/>
  <c r="AA182" i="1"/>
  <c r="AB181" i="1"/>
  <c r="AA181" i="1"/>
  <c r="AB180" i="1"/>
  <c r="AA180" i="1"/>
  <c r="AB179" i="1"/>
  <c r="AA179" i="1"/>
  <c r="AB178" i="1"/>
  <c r="AA178" i="1"/>
  <c r="AB177" i="1"/>
  <c r="AA177" i="1"/>
  <c r="AB176" i="1"/>
  <c r="AA176" i="1"/>
  <c r="AB175" i="1"/>
  <c r="AA175" i="1"/>
  <c r="AB174" i="1"/>
  <c r="AA174" i="1"/>
  <c r="AB173" i="1"/>
  <c r="AA173" i="1"/>
  <c r="AB172" i="1"/>
  <c r="AA172" i="1"/>
  <c r="AB171" i="1"/>
  <c r="AA171" i="1"/>
  <c r="AB170" i="1"/>
  <c r="AA170" i="1"/>
  <c r="AB169" i="1"/>
  <c r="AA169" i="1"/>
  <c r="AB168" i="1"/>
  <c r="AA168" i="1"/>
  <c r="AB167" i="1"/>
  <c r="AA167" i="1"/>
  <c r="AB166" i="1"/>
  <c r="AA166" i="1"/>
  <c r="AB165" i="1"/>
  <c r="AA165" i="1"/>
  <c r="AB164" i="1"/>
  <c r="AA164" i="1"/>
  <c r="AB163" i="1"/>
  <c r="AA163" i="1"/>
  <c r="AB162" i="1"/>
  <c r="AA162" i="1"/>
  <c r="AB161" i="1"/>
  <c r="AA161" i="1"/>
  <c r="AB160" i="1"/>
  <c r="AA160" i="1"/>
  <c r="AB159" i="1"/>
  <c r="AA159" i="1"/>
  <c r="AB158" i="1"/>
  <c r="AA158" i="1"/>
  <c r="AB157" i="1"/>
  <c r="AA157" i="1"/>
  <c r="AB156" i="1"/>
  <c r="AA156" i="1"/>
  <c r="AB155" i="1"/>
  <c r="AA155" i="1"/>
  <c r="AB154" i="1"/>
  <c r="AA154" i="1"/>
  <c r="AB153" i="1"/>
  <c r="AA153" i="1"/>
  <c r="AB152" i="1"/>
  <c r="AA152" i="1"/>
  <c r="AB151" i="1"/>
  <c r="AA151" i="1"/>
  <c r="AB150" i="1"/>
  <c r="AA150" i="1"/>
  <c r="AB149" i="1"/>
  <c r="AA149" i="1"/>
  <c r="AB148" i="1"/>
  <c r="AA148" i="1"/>
  <c r="AB147" i="1"/>
  <c r="AA147" i="1"/>
  <c r="AB146" i="1"/>
  <c r="AA146" i="1"/>
  <c r="AB145" i="1"/>
  <c r="AA145" i="1"/>
  <c r="AB144" i="1"/>
  <c r="AA144" i="1"/>
  <c r="AB143" i="1"/>
  <c r="AA143" i="1"/>
  <c r="AB142" i="1"/>
  <c r="AA142" i="1"/>
  <c r="AB141" i="1"/>
  <c r="AA141" i="1"/>
  <c r="AB140" i="1"/>
  <c r="AA140" i="1"/>
  <c r="AB139" i="1"/>
  <c r="AA139" i="1"/>
  <c r="AB138" i="1"/>
  <c r="AA138" i="1"/>
  <c r="AB137" i="1"/>
  <c r="AA137" i="1"/>
  <c r="AB136" i="1"/>
  <c r="AA136" i="1"/>
  <c r="AB135" i="1"/>
  <c r="AA135" i="1"/>
  <c r="AB134" i="1"/>
  <c r="AA134" i="1"/>
  <c r="AB133" i="1"/>
  <c r="AA133" i="1"/>
  <c r="AB132" i="1"/>
  <c r="AA132" i="1"/>
  <c r="AB131" i="1"/>
  <c r="AA131" i="1"/>
  <c r="AB130" i="1"/>
  <c r="AA130" i="1"/>
  <c r="AB129" i="1"/>
  <c r="AA129" i="1"/>
  <c r="AB128" i="1"/>
  <c r="AA128" i="1"/>
  <c r="AB127" i="1"/>
  <c r="AA127" i="1"/>
  <c r="AB126" i="1"/>
  <c r="AA126" i="1"/>
  <c r="AB125" i="1"/>
  <c r="AA125" i="1"/>
  <c r="AB124" i="1"/>
  <c r="AA124" i="1"/>
  <c r="AB123" i="1"/>
  <c r="AA123" i="1"/>
  <c r="AB122" i="1"/>
  <c r="AA122" i="1"/>
  <c r="AB121" i="1"/>
  <c r="AA121" i="1"/>
  <c r="AB120" i="1"/>
  <c r="AA120" i="1"/>
  <c r="AB119" i="1"/>
  <c r="AA119" i="1"/>
  <c r="AB118" i="1"/>
  <c r="AA118" i="1"/>
  <c r="AB117" i="1"/>
  <c r="AA117" i="1"/>
  <c r="AB116" i="1"/>
  <c r="AA116" i="1"/>
  <c r="AB115" i="1"/>
  <c r="AA115" i="1"/>
  <c r="AB114" i="1"/>
  <c r="AA114" i="1"/>
  <c r="AB113" i="1"/>
  <c r="AA113" i="1"/>
  <c r="AB112" i="1"/>
  <c r="AA112" i="1"/>
  <c r="AB111" i="1"/>
  <c r="AA111" i="1"/>
  <c r="AB110" i="1"/>
  <c r="AA110" i="1"/>
  <c r="AB109" i="1"/>
  <c r="AA109" i="1"/>
  <c r="AB108" i="1"/>
  <c r="AA108" i="1"/>
  <c r="AB107" i="1"/>
  <c r="AA107" i="1"/>
  <c r="AB106" i="1"/>
  <c r="AA106" i="1"/>
  <c r="AB105" i="1"/>
  <c r="AA105" i="1"/>
  <c r="AB104" i="1"/>
  <c r="AA104" i="1"/>
  <c r="AB103" i="1"/>
  <c r="AA103" i="1"/>
  <c r="AB102" i="1"/>
  <c r="AA102" i="1"/>
  <c r="AB101" i="1"/>
  <c r="AA101" i="1"/>
  <c r="AB100" i="1"/>
  <c r="AA100" i="1"/>
  <c r="AB99" i="1"/>
  <c r="AA99" i="1"/>
  <c r="AB98" i="1"/>
  <c r="AA98" i="1"/>
  <c r="AB97" i="1"/>
  <c r="AA97" i="1"/>
  <c r="AB96" i="1"/>
  <c r="AA96" i="1"/>
  <c r="AB95" i="1"/>
  <c r="AA95" i="1"/>
  <c r="AB94" i="1"/>
  <c r="AA94" i="1"/>
  <c r="AB93" i="1"/>
  <c r="AA93" i="1"/>
  <c r="AB92" i="1"/>
  <c r="AA92" i="1"/>
  <c r="AB91" i="1"/>
  <c r="AA91" i="1"/>
  <c r="AB90" i="1"/>
  <c r="AA90" i="1"/>
  <c r="AB89" i="1"/>
  <c r="AA89" i="1"/>
  <c r="AB88" i="1"/>
  <c r="AA88" i="1"/>
  <c r="AB87" i="1"/>
  <c r="AA87" i="1"/>
  <c r="AB86" i="1"/>
  <c r="AA86" i="1"/>
  <c r="AB85" i="1"/>
  <c r="AA85" i="1"/>
  <c r="AB84" i="1"/>
  <c r="AA84" i="1"/>
  <c r="AB83" i="1"/>
  <c r="AA83" i="1"/>
  <c r="AB82" i="1"/>
  <c r="AA82" i="1"/>
  <c r="AB81" i="1"/>
  <c r="AA81" i="1"/>
  <c r="AB80" i="1"/>
  <c r="AA80" i="1"/>
  <c r="AB79" i="1"/>
  <c r="AA79" i="1"/>
  <c r="AB78" i="1"/>
  <c r="AA78" i="1"/>
  <c r="AB77" i="1"/>
  <c r="AA77" i="1"/>
  <c r="AB76" i="1"/>
  <c r="AA76" i="1"/>
  <c r="AB75" i="1"/>
  <c r="AA75" i="1"/>
  <c r="AB74" i="1"/>
  <c r="AA74" i="1"/>
  <c r="AB73" i="1"/>
  <c r="AA73" i="1"/>
  <c r="AB72" i="1"/>
  <c r="AA72" i="1"/>
  <c r="AB71" i="1"/>
  <c r="AA71" i="1"/>
  <c r="AB70" i="1"/>
  <c r="AA70" i="1"/>
  <c r="AB69" i="1"/>
  <c r="AA69" i="1"/>
  <c r="AB68" i="1"/>
  <c r="AA68" i="1"/>
  <c r="AB67" i="1"/>
  <c r="AA67" i="1"/>
  <c r="AB66" i="1"/>
  <c r="AA66" i="1"/>
  <c r="AB65" i="1"/>
  <c r="AA65" i="1"/>
  <c r="AB64" i="1"/>
  <c r="AA64" i="1"/>
  <c r="AB63" i="1"/>
  <c r="AA63" i="1"/>
  <c r="AB62" i="1"/>
  <c r="AA62" i="1"/>
  <c r="AB61" i="1"/>
  <c r="AA61" i="1"/>
  <c r="AB60" i="1"/>
  <c r="AA60" i="1"/>
  <c r="AB59" i="1"/>
  <c r="AA59" i="1"/>
  <c r="AB58" i="1"/>
  <c r="AA58" i="1"/>
  <c r="AB57" i="1"/>
  <c r="AA57" i="1"/>
  <c r="AB56" i="1"/>
  <c r="AA56" i="1"/>
  <c r="AB55" i="1"/>
  <c r="AA55" i="1"/>
  <c r="AB54" i="1"/>
  <c r="AA54" i="1"/>
  <c r="AB53" i="1"/>
  <c r="AA53" i="1"/>
  <c r="AB52" i="1"/>
  <c r="AA52" i="1"/>
  <c r="AB51" i="1"/>
  <c r="AA51" i="1"/>
  <c r="AB50" i="1"/>
  <c r="AA50" i="1"/>
  <c r="AB49" i="1"/>
  <c r="AA49" i="1"/>
  <c r="AB48" i="1"/>
  <c r="AA48" i="1"/>
  <c r="AB47" i="1"/>
  <c r="AA47" i="1"/>
  <c r="AB46" i="1"/>
  <c r="AA46" i="1"/>
  <c r="AB45" i="1"/>
  <c r="AA45" i="1"/>
  <c r="AB44" i="1"/>
  <c r="AA44" i="1"/>
  <c r="AB43" i="1"/>
  <c r="AA43" i="1"/>
  <c r="AB42" i="1"/>
  <c r="AA42" i="1"/>
  <c r="AB41" i="1"/>
  <c r="AA41" i="1"/>
  <c r="AB40" i="1"/>
  <c r="AA40" i="1"/>
  <c r="AB39" i="1"/>
  <c r="AA39" i="1"/>
  <c r="AB38" i="1"/>
  <c r="AA38" i="1"/>
  <c r="AB37" i="1"/>
  <c r="AA37" i="1"/>
  <c r="AB36" i="1"/>
  <c r="AA36" i="1"/>
  <c r="AB35" i="1"/>
  <c r="AA35" i="1"/>
  <c r="AB34" i="1"/>
  <c r="AA34" i="1"/>
  <c r="AB33" i="1"/>
  <c r="AA33" i="1"/>
  <c r="AB32" i="1"/>
  <c r="AA32" i="1"/>
  <c r="AB31" i="1"/>
  <c r="AA31" i="1"/>
  <c r="AB30" i="1"/>
  <c r="AA30" i="1"/>
  <c r="AB29" i="1"/>
  <c r="AA29" i="1"/>
  <c r="AB28" i="1"/>
  <c r="AA28" i="1"/>
  <c r="AB27" i="1"/>
  <c r="AA27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Y159" i="1"/>
  <c r="X159" i="1"/>
  <c r="Y158" i="1"/>
  <c r="X158" i="1"/>
  <c r="Y157" i="1"/>
  <c r="X157" i="1"/>
  <c r="Y156" i="1"/>
  <c r="X156" i="1"/>
  <c r="Y155" i="1"/>
  <c r="X155" i="1"/>
  <c r="Y154" i="1"/>
  <c r="X154" i="1"/>
  <c r="Y153" i="1"/>
  <c r="X153" i="1"/>
  <c r="Y152" i="1"/>
  <c r="X152" i="1"/>
  <c r="Y151" i="1"/>
  <c r="X151" i="1"/>
  <c r="Y150" i="1"/>
  <c r="X150" i="1"/>
  <c r="Y149" i="1"/>
  <c r="X149" i="1"/>
  <c r="Y148" i="1"/>
  <c r="X148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X140" i="1"/>
  <c r="Y139" i="1"/>
  <c r="X139" i="1"/>
  <c r="Y138" i="1"/>
  <c r="X138" i="1"/>
  <c r="Y137" i="1"/>
  <c r="X137" i="1"/>
  <c r="Y136" i="1"/>
  <c r="X136" i="1"/>
  <c r="Y135" i="1"/>
  <c r="X135" i="1"/>
  <c r="Y134" i="1"/>
  <c r="X134" i="1"/>
  <c r="Y133" i="1"/>
  <c r="X133" i="1"/>
  <c r="Y132" i="1"/>
  <c r="X132" i="1"/>
  <c r="Y131" i="1"/>
  <c r="X131" i="1"/>
  <c r="Y130" i="1"/>
  <c r="X130" i="1"/>
  <c r="Y129" i="1"/>
  <c r="X129" i="1"/>
  <c r="Y128" i="1"/>
  <c r="X128" i="1"/>
  <c r="Y127" i="1"/>
  <c r="X127" i="1"/>
  <c r="Y126" i="1"/>
  <c r="X126" i="1"/>
  <c r="Y125" i="1"/>
  <c r="X125" i="1"/>
  <c r="Y124" i="1"/>
  <c r="X124" i="1"/>
  <c r="Y123" i="1"/>
  <c r="X123" i="1"/>
  <c r="Y122" i="1"/>
  <c r="X122" i="1"/>
  <c r="Y121" i="1"/>
  <c r="X121" i="1"/>
  <c r="Y120" i="1"/>
  <c r="X120" i="1"/>
  <c r="Y119" i="1"/>
  <c r="X119" i="1"/>
  <c r="Y118" i="1"/>
  <c r="X118" i="1"/>
  <c r="Y117" i="1"/>
  <c r="X117" i="1"/>
  <c r="Y116" i="1"/>
  <c r="X116" i="1"/>
  <c r="Y115" i="1"/>
  <c r="X115" i="1"/>
  <c r="Y114" i="1"/>
  <c r="X114" i="1"/>
  <c r="Y113" i="1"/>
  <c r="X113" i="1"/>
  <c r="Y112" i="1"/>
  <c r="X112" i="1"/>
  <c r="Y111" i="1"/>
  <c r="X111" i="1"/>
  <c r="Y110" i="1"/>
  <c r="X110" i="1"/>
  <c r="Y109" i="1"/>
  <c r="X109" i="1"/>
  <c r="Y108" i="1"/>
  <c r="X108" i="1"/>
  <c r="Y107" i="1"/>
  <c r="X107" i="1"/>
  <c r="Y106" i="1"/>
  <c r="X106" i="1"/>
  <c r="Y105" i="1"/>
  <c r="X105" i="1"/>
  <c r="Y104" i="1"/>
  <c r="X104" i="1"/>
  <c r="Y103" i="1"/>
  <c r="X103" i="1"/>
  <c r="Y102" i="1"/>
  <c r="X102" i="1"/>
  <c r="Y101" i="1"/>
  <c r="X101" i="1"/>
  <c r="Y100" i="1"/>
  <c r="X100" i="1"/>
  <c r="Y99" i="1"/>
  <c r="X99" i="1"/>
  <c r="Y98" i="1"/>
  <c r="X98" i="1"/>
  <c r="Y97" i="1"/>
  <c r="X97" i="1"/>
  <c r="Y96" i="1"/>
  <c r="X96" i="1"/>
  <c r="Y95" i="1"/>
  <c r="X95" i="1"/>
  <c r="Y94" i="1"/>
  <c r="X94" i="1"/>
  <c r="Y93" i="1"/>
  <c r="X93" i="1"/>
  <c r="Y92" i="1"/>
  <c r="X92" i="1"/>
  <c r="Y91" i="1"/>
  <c r="X91" i="1"/>
  <c r="Y90" i="1"/>
  <c r="X90" i="1"/>
  <c r="Y89" i="1"/>
  <c r="X89" i="1"/>
  <c r="Y88" i="1"/>
  <c r="X88" i="1"/>
  <c r="Y87" i="1"/>
  <c r="X87" i="1"/>
  <c r="Y86" i="1"/>
  <c r="X86" i="1"/>
  <c r="Y85" i="1"/>
  <c r="X85" i="1"/>
  <c r="Y84" i="1"/>
  <c r="X84" i="1"/>
  <c r="Y83" i="1"/>
  <c r="X83" i="1"/>
  <c r="Y82" i="1"/>
  <c r="X82" i="1"/>
  <c r="Y81" i="1"/>
  <c r="X81" i="1"/>
  <c r="Y80" i="1"/>
  <c r="X80" i="1"/>
  <c r="Y79" i="1"/>
  <c r="X79" i="1"/>
  <c r="Y78" i="1"/>
  <c r="X78" i="1"/>
  <c r="Y77" i="1"/>
  <c r="X77" i="1"/>
  <c r="Y76" i="1"/>
  <c r="X76" i="1"/>
  <c r="Y75" i="1"/>
  <c r="X75" i="1"/>
  <c r="Y74" i="1"/>
  <c r="X74" i="1"/>
  <c r="Y73" i="1"/>
  <c r="X73" i="1"/>
  <c r="Y72" i="1"/>
  <c r="X72" i="1"/>
  <c r="Y71" i="1"/>
  <c r="X71" i="1"/>
  <c r="Y70" i="1"/>
  <c r="X70" i="1"/>
  <c r="Y69" i="1"/>
  <c r="X69" i="1"/>
  <c r="Y68" i="1"/>
  <c r="X68" i="1"/>
  <c r="Y67" i="1"/>
  <c r="X67" i="1"/>
  <c r="Y66" i="1"/>
  <c r="X66" i="1"/>
  <c r="Y65" i="1"/>
  <c r="X65" i="1"/>
  <c r="Y64" i="1"/>
  <c r="X64" i="1"/>
  <c r="Y63" i="1"/>
  <c r="X63" i="1"/>
  <c r="Y62" i="1"/>
  <c r="X62" i="1"/>
  <c r="Y61" i="1"/>
  <c r="X61" i="1"/>
  <c r="Y60" i="1"/>
  <c r="X60" i="1"/>
  <c r="Y59" i="1"/>
  <c r="X59" i="1"/>
  <c r="Y58" i="1"/>
  <c r="X58" i="1"/>
  <c r="Y57" i="1"/>
  <c r="X57" i="1"/>
  <c r="Y56" i="1"/>
  <c r="X56" i="1"/>
  <c r="Y55" i="1"/>
  <c r="X55" i="1"/>
  <c r="Y54" i="1"/>
  <c r="X54" i="1"/>
  <c r="Y53" i="1"/>
  <c r="X53" i="1"/>
  <c r="Y52" i="1"/>
  <c r="X52" i="1"/>
  <c r="Y51" i="1"/>
  <c r="X51" i="1"/>
  <c r="Y50" i="1"/>
  <c r="X50" i="1"/>
  <c r="Y49" i="1"/>
  <c r="X49" i="1"/>
  <c r="Y48" i="1"/>
  <c r="X48" i="1"/>
  <c r="Y47" i="1"/>
  <c r="X47" i="1"/>
  <c r="Y46" i="1"/>
  <c r="X46" i="1"/>
  <c r="Y45" i="1"/>
  <c r="X45" i="1"/>
  <c r="Y44" i="1"/>
  <c r="X44" i="1"/>
  <c r="Y43" i="1"/>
  <c r="X43" i="1"/>
  <c r="Y42" i="1"/>
  <c r="X42" i="1"/>
  <c r="Y41" i="1"/>
  <c r="X41" i="1"/>
  <c r="Y40" i="1"/>
  <c r="X40" i="1"/>
  <c r="Y39" i="1"/>
  <c r="X39" i="1"/>
  <c r="Y38" i="1"/>
  <c r="X38" i="1"/>
  <c r="Y37" i="1"/>
  <c r="X37" i="1"/>
  <c r="Y36" i="1"/>
  <c r="X36" i="1"/>
  <c r="Y35" i="1"/>
  <c r="X35" i="1"/>
  <c r="Y34" i="1"/>
  <c r="X34" i="1"/>
  <c r="Y33" i="1"/>
  <c r="X33" i="1"/>
  <c r="Y32" i="1"/>
  <c r="X32" i="1"/>
  <c r="Y31" i="1"/>
  <c r="X31" i="1"/>
  <c r="Y30" i="1"/>
  <c r="X30" i="1"/>
  <c r="Y29" i="1"/>
  <c r="X29" i="1"/>
  <c r="Y28" i="1"/>
  <c r="X28" i="1"/>
  <c r="Y27" i="1"/>
  <c r="X27" i="1"/>
  <c r="Y26" i="1"/>
  <c r="X26" i="1"/>
  <c r="Y25" i="1"/>
  <c r="X25" i="1"/>
  <c r="Y24" i="1"/>
  <c r="X24" i="1"/>
  <c r="Y23" i="1"/>
  <c r="X23" i="1"/>
  <c r="Y22" i="1"/>
  <c r="X22" i="1"/>
  <c r="Y21" i="1"/>
  <c r="X21" i="1"/>
  <c r="Y20" i="1"/>
  <c r="X20" i="1"/>
  <c r="Y19" i="1"/>
  <c r="X19" i="1"/>
  <c r="Y18" i="1"/>
  <c r="X18" i="1"/>
  <c r="Y17" i="1"/>
  <c r="X17" i="1"/>
  <c r="Y16" i="1"/>
  <c r="X16" i="1"/>
  <c r="Y15" i="1"/>
  <c r="X15" i="1"/>
  <c r="Y14" i="1"/>
  <c r="X14" i="1"/>
  <c r="Y13" i="1"/>
  <c r="X13" i="1"/>
  <c r="Y12" i="1"/>
  <c r="X12" i="1"/>
  <c r="Y11" i="1"/>
  <c r="X11" i="1"/>
  <c r="Y10" i="1"/>
  <c r="X10" i="1"/>
  <c r="Y9" i="1"/>
  <c r="X9" i="1"/>
  <c r="V353" i="1"/>
  <c r="U353" i="1"/>
  <c r="V352" i="1"/>
  <c r="U352" i="1"/>
  <c r="V351" i="1"/>
  <c r="U351" i="1"/>
  <c r="V350" i="1"/>
  <c r="U350" i="1"/>
  <c r="V349" i="1"/>
  <c r="U349" i="1"/>
  <c r="V348" i="1"/>
  <c r="U348" i="1"/>
  <c r="V347" i="1"/>
  <c r="U347" i="1"/>
  <c r="V346" i="1"/>
  <c r="U346" i="1"/>
  <c r="V345" i="1"/>
  <c r="U345" i="1"/>
  <c r="V344" i="1"/>
  <c r="U344" i="1"/>
  <c r="V343" i="1"/>
  <c r="U343" i="1"/>
  <c r="V342" i="1"/>
  <c r="U342" i="1"/>
  <c r="V341" i="1"/>
  <c r="U341" i="1"/>
  <c r="V340" i="1"/>
  <c r="U340" i="1"/>
  <c r="V339" i="1"/>
  <c r="U339" i="1"/>
  <c r="V338" i="1"/>
  <c r="U338" i="1"/>
  <c r="V337" i="1"/>
  <c r="U337" i="1"/>
  <c r="V336" i="1"/>
  <c r="U336" i="1"/>
  <c r="V335" i="1"/>
  <c r="U335" i="1"/>
  <c r="V334" i="1"/>
  <c r="U334" i="1"/>
  <c r="V333" i="1"/>
  <c r="U333" i="1"/>
  <c r="V332" i="1"/>
  <c r="U332" i="1"/>
  <c r="V331" i="1"/>
  <c r="U331" i="1"/>
  <c r="V330" i="1"/>
  <c r="U330" i="1"/>
  <c r="V329" i="1"/>
  <c r="U329" i="1"/>
  <c r="V328" i="1"/>
  <c r="U328" i="1"/>
  <c r="V327" i="1"/>
  <c r="U327" i="1"/>
  <c r="V326" i="1"/>
  <c r="U326" i="1"/>
  <c r="V325" i="1"/>
  <c r="U325" i="1"/>
  <c r="V324" i="1"/>
  <c r="U324" i="1"/>
  <c r="V323" i="1"/>
  <c r="U323" i="1"/>
  <c r="V322" i="1"/>
  <c r="U322" i="1"/>
  <c r="V321" i="1"/>
  <c r="U321" i="1"/>
  <c r="V320" i="1"/>
  <c r="U320" i="1"/>
  <c r="V319" i="1"/>
  <c r="U319" i="1"/>
  <c r="V318" i="1"/>
  <c r="U318" i="1"/>
  <c r="V317" i="1"/>
  <c r="U317" i="1"/>
  <c r="V316" i="1"/>
  <c r="U316" i="1"/>
  <c r="V315" i="1"/>
  <c r="U315" i="1"/>
  <c r="V314" i="1"/>
  <c r="U314" i="1"/>
  <c r="V313" i="1"/>
  <c r="U313" i="1"/>
  <c r="V312" i="1"/>
  <c r="U312" i="1"/>
  <c r="V311" i="1"/>
  <c r="U311" i="1"/>
  <c r="V310" i="1"/>
  <c r="U310" i="1"/>
  <c r="V309" i="1"/>
  <c r="U309" i="1"/>
  <c r="V308" i="1"/>
  <c r="U308" i="1"/>
  <c r="V307" i="1"/>
  <c r="U307" i="1"/>
  <c r="V306" i="1"/>
  <c r="U306" i="1"/>
  <c r="V305" i="1"/>
  <c r="U305" i="1"/>
  <c r="V304" i="1"/>
  <c r="U304" i="1"/>
  <c r="V303" i="1"/>
  <c r="U303" i="1"/>
  <c r="V302" i="1"/>
  <c r="U302" i="1"/>
  <c r="V301" i="1"/>
  <c r="U301" i="1"/>
  <c r="V300" i="1"/>
  <c r="U300" i="1"/>
  <c r="V299" i="1"/>
  <c r="U299" i="1"/>
  <c r="V298" i="1"/>
  <c r="U298" i="1"/>
  <c r="V297" i="1"/>
  <c r="U297" i="1"/>
  <c r="V296" i="1"/>
  <c r="U296" i="1"/>
  <c r="V295" i="1"/>
  <c r="U295" i="1"/>
  <c r="V294" i="1"/>
  <c r="U294" i="1"/>
  <c r="V293" i="1"/>
  <c r="U293" i="1"/>
  <c r="V292" i="1"/>
  <c r="U292" i="1"/>
  <c r="V291" i="1"/>
  <c r="U291" i="1"/>
  <c r="V290" i="1"/>
  <c r="U290" i="1"/>
  <c r="V289" i="1"/>
  <c r="U289" i="1"/>
  <c r="V288" i="1"/>
  <c r="U288" i="1"/>
  <c r="V287" i="1"/>
  <c r="U287" i="1"/>
  <c r="V286" i="1"/>
  <c r="U286" i="1"/>
  <c r="V285" i="1"/>
  <c r="U285" i="1"/>
  <c r="V284" i="1"/>
  <c r="U284" i="1"/>
  <c r="V283" i="1"/>
  <c r="U283" i="1"/>
  <c r="V282" i="1"/>
  <c r="U282" i="1"/>
  <c r="V281" i="1"/>
  <c r="U281" i="1"/>
  <c r="V280" i="1"/>
  <c r="U280" i="1"/>
  <c r="V279" i="1"/>
  <c r="U279" i="1"/>
  <c r="V278" i="1"/>
  <c r="U278" i="1"/>
  <c r="V277" i="1"/>
  <c r="U277" i="1"/>
  <c r="V276" i="1"/>
  <c r="U276" i="1"/>
  <c r="V275" i="1"/>
  <c r="U275" i="1"/>
  <c r="V274" i="1"/>
  <c r="U274" i="1"/>
  <c r="V273" i="1"/>
  <c r="U273" i="1"/>
  <c r="V272" i="1"/>
  <c r="U272" i="1"/>
  <c r="V271" i="1"/>
  <c r="U271" i="1"/>
  <c r="V270" i="1"/>
  <c r="U270" i="1"/>
  <c r="V269" i="1"/>
  <c r="U269" i="1"/>
  <c r="V268" i="1"/>
  <c r="U268" i="1"/>
  <c r="V267" i="1"/>
  <c r="U267" i="1"/>
  <c r="V266" i="1"/>
  <c r="U266" i="1"/>
  <c r="V265" i="1"/>
  <c r="U265" i="1"/>
  <c r="V264" i="1"/>
  <c r="U264" i="1"/>
  <c r="V263" i="1"/>
  <c r="U263" i="1"/>
  <c r="V262" i="1"/>
  <c r="U262" i="1"/>
  <c r="V261" i="1"/>
  <c r="U261" i="1"/>
  <c r="V260" i="1"/>
  <c r="U260" i="1"/>
  <c r="V259" i="1"/>
  <c r="U259" i="1"/>
  <c r="V258" i="1"/>
  <c r="U258" i="1"/>
  <c r="V257" i="1"/>
  <c r="U257" i="1"/>
  <c r="V256" i="1"/>
  <c r="U256" i="1"/>
  <c r="V255" i="1"/>
  <c r="U255" i="1"/>
  <c r="V254" i="1"/>
  <c r="U254" i="1"/>
  <c r="V253" i="1"/>
  <c r="U253" i="1"/>
  <c r="V252" i="1"/>
  <c r="U252" i="1"/>
  <c r="V251" i="1"/>
  <c r="U251" i="1"/>
  <c r="V250" i="1"/>
  <c r="U250" i="1"/>
  <c r="V249" i="1"/>
  <c r="U249" i="1"/>
  <c r="V248" i="1"/>
  <c r="U248" i="1"/>
  <c r="V247" i="1"/>
  <c r="U247" i="1"/>
  <c r="V246" i="1"/>
  <c r="U246" i="1"/>
  <c r="V245" i="1"/>
  <c r="U245" i="1"/>
  <c r="V244" i="1"/>
  <c r="U244" i="1"/>
  <c r="V243" i="1"/>
  <c r="U243" i="1"/>
  <c r="V242" i="1"/>
  <c r="U242" i="1"/>
  <c r="V241" i="1"/>
  <c r="U241" i="1"/>
  <c r="V240" i="1"/>
  <c r="U240" i="1"/>
  <c r="V239" i="1"/>
  <c r="U239" i="1"/>
  <c r="V238" i="1"/>
  <c r="U238" i="1"/>
  <c r="V237" i="1"/>
  <c r="U237" i="1"/>
  <c r="V236" i="1"/>
  <c r="U236" i="1"/>
  <c r="V235" i="1"/>
  <c r="U235" i="1"/>
  <c r="V234" i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V71" i="1"/>
  <c r="U71" i="1"/>
  <c r="V70" i="1"/>
  <c r="U70" i="1"/>
  <c r="V69" i="1"/>
  <c r="U69" i="1"/>
  <c r="V68" i="1"/>
  <c r="U68" i="1"/>
  <c r="V67" i="1"/>
  <c r="U67" i="1"/>
  <c r="V66" i="1"/>
  <c r="U66" i="1"/>
  <c r="V65" i="1"/>
  <c r="U65" i="1"/>
  <c r="V64" i="1"/>
  <c r="U64" i="1"/>
  <c r="V63" i="1"/>
  <c r="U63" i="1"/>
  <c r="V62" i="1"/>
  <c r="U62" i="1"/>
  <c r="V61" i="1"/>
  <c r="U61" i="1"/>
  <c r="V60" i="1"/>
  <c r="U60" i="1"/>
  <c r="V59" i="1"/>
  <c r="U59" i="1"/>
  <c r="V58" i="1"/>
  <c r="U58" i="1"/>
  <c r="V57" i="1"/>
  <c r="U57" i="1"/>
  <c r="V56" i="1"/>
  <c r="U56" i="1"/>
  <c r="V55" i="1"/>
  <c r="U55" i="1"/>
  <c r="V54" i="1"/>
  <c r="U54" i="1"/>
  <c r="V53" i="1"/>
  <c r="U53" i="1"/>
  <c r="V52" i="1"/>
  <c r="U52" i="1"/>
  <c r="V51" i="1"/>
  <c r="U51" i="1"/>
  <c r="V50" i="1"/>
  <c r="U50" i="1"/>
  <c r="V49" i="1"/>
  <c r="U49" i="1"/>
  <c r="V48" i="1"/>
  <c r="U48" i="1"/>
  <c r="V47" i="1"/>
  <c r="U47" i="1"/>
  <c r="V46" i="1"/>
  <c r="U46" i="1"/>
  <c r="V45" i="1"/>
  <c r="U45" i="1"/>
  <c r="V44" i="1"/>
  <c r="U44" i="1"/>
  <c r="V43" i="1"/>
  <c r="U43" i="1"/>
  <c r="V42" i="1"/>
  <c r="U42" i="1"/>
  <c r="V41" i="1"/>
  <c r="U41" i="1"/>
  <c r="V40" i="1"/>
  <c r="U40" i="1"/>
  <c r="V39" i="1"/>
  <c r="U39" i="1"/>
  <c r="V38" i="1"/>
  <c r="U38" i="1"/>
  <c r="V37" i="1"/>
  <c r="U37" i="1"/>
  <c r="V36" i="1"/>
  <c r="U36" i="1"/>
  <c r="V35" i="1"/>
  <c r="U35" i="1"/>
  <c r="V34" i="1"/>
  <c r="U34" i="1"/>
  <c r="V33" i="1"/>
  <c r="U33" i="1"/>
  <c r="V32" i="1"/>
  <c r="U32" i="1"/>
  <c r="V31" i="1"/>
  <c r="U31" i="1"/>
  <c r="V30" i="1"/>
  <c r="U30" i="1"/>
  <c r="V29" i="1"/>
  <c r="U29" i="1"/>
  <c r="V28" i="1"/>
  <c r="U28" i="1"/>
  <c r="V27" i="1"/>
  <c r="U27" i="1"/>
  <c r="V26" i="1"/>
  <c r="U26" i="1"/>
  <c r="V25" i="1"/>
  <c r="U25" i="1"/>
  <c r="V24" i="1"/>
  <c r="U24" i="1"/>
  <c r="V23" i="1"/>
  <c r="U23" i="1"/>
  <c r="V22" i="1"/>
  <c r="U22" i="1"/>
  <c r="V21" i="1"/>
  <c r="U21" i="1"/>
  <c r="V20" i="1"/>
  <c r="U20" i="1"/>
  <c r="V19" i="1"/>
  <c r="U19" i="1"/>
  <c r="V18" i="1"/>
  <c r="U18" i="1"/>
  <c r="V17" i="1"/>
  <c r="U17" i="1"/>
  <c r="V16" i="1"/>
  <c r="U16" i="1"/>
  <c r="V15" i="1"/>
  <c r="U15" i="1"/>
  <c r="V14" i="1"/>
  <c r="U14" i="1"/>
  <c r="V13" i="1"/>
  <c r="U13" i="1"/>
  <c r="V12" i="1"/>
  <c r="U12" i="1"/>
  <c r="V11" i="1"/>
  <c r="U11" i="1"/>
  <c r="V10" i="1"/>
  <c r="U10" i="1"/>
  <c r="V9" i="1"/>
  <c r="U9" i="1"/>
  <c r="S353" i="1"/>
  <c r="R353" i="1"/>
  <c r="S352" i="1"/>
  <c r="R352" i="1"/>
  <c r="S351" i="1"/>
  <c r="R351" i="1"/>
  <c r="S350" i="1"/>
  <c r="R350" i="1"/>
  <c r="S349" i="1"/>
  <c r="R349" i="1"/>
  <c r="S348" i="1"/>
  <c r="R348" i="1"/>
  <c r="S347" i="1"/>
  <c r="R347" i="1"/>
  <c r="S346" i="1"/>
  <c r="R346" i="1"/>
  <c r="S345" i="1"/>
  <c r="R345" i="1"/>
  <c r="S344" i="1"/>
  <c r="R344" i="1"/>
  <c r="S343" i="1"/>
  <c r="R343" i="1"/>
  <c r="S342" i="1"/>
  <c r="R342" i="1"/>
  <c r="S341" i="1"/>
  <c r="R341" i="1"/>
  <c r="S340" i="1"/>
  <c r="R340" i="1"/>
  <c r="S339" i="1"/>
  <c r="R339" i="1"/>
  <c r="S338" i="1"/>
  <c r="R338" i="1"/>
  <c r="S337" i="1"/>
  <c r="R337" i="1"/>
  <c r="S336" i="1"/>
  <c r="R336" i="1"/>
  <c r="S335" i="1"/>
  <c r="R335" i="1"/>
  <c r="S334" i="1"/>
  <c r="R334" i="1"/>
  <c r="S333" i="1"/>
  <c r="R333" i="1"/>
  <c r="S332" i="1"/>
  <c r="R332" i="1"/>
  <c r="S331" i="1"/>
  <c r="R331" i="1"/>
  <c r="S330" i="1"/>
  <c r="R330" i="1"/>
  <c r="S329" i="1"/>
  <c r="R329" i="1"/>
  <c r="S328" i="1"/>
  <c r="R328" i="1"/>
  <c r="S327" i="1"/>
  <c r="R327" i="1"/>
  <c r="S326" i="1"/>
  <c r="R326" i="1"/>
  <c r="S325" i="1"/>
  <c r="R325" i="1"/>
  <c r="S324" i="1"/>
  <c r="R324" i="1"/>
  <c r="S323" i="1"/>
  <c r="R323" i="1"/>
  <c r="S322" i="1"/>
  <c r="R322" i="1"/>
  <c r="S321" i="1"/>
  <c r="R321" i="1"/>
  <c r="S320" i="1"/>
  <c r="R320" i="1"/>
  <c r="S319" i="1"/>
  <c r="R319" i="1"/>
  <c r="S318" i="1"/>
  <c r="R318" i="1"/>
  <c r="S317" i="1"/>
  <c r="R317" i="1"/>
  <c r="S316" i="1"/>
  <c r="R316" i="1"/>
  <c r="S315" i="1"/>
  <c r="R315" i="1"/>
  <c r="S314" i="1"/>
  <c r="R314" i="1"/>
  <c r="S313" i="1"/>
  <c r="R313" i="1"/>
  <c r="S312" i="1"/>
  <c r="R312" i="1"/>
  <c r="S311" i="1"/>
  <c r="R311" i="1"/>
  <c r="S310" i="1"/>
  <c r="R310" i="1"/>
  <c r="S309" i="1"/>
  <c r="R309" i="1"/>
  <c r="S308" i="1"/>
  <c r="R308" i="1"/>
  <c r="S307" i="1"/>
  <c r="R307" i="1"/>
  <c r="S306" i="1"/>
  <c r="R306" i="1"/>
  <c r="S305" i="1"/>
  <c r="R305" i="1"/>
  <c r="S304" i="1"/>
  <c r="R304" i="1"/>
  <c r="S303" i="1"/>
  <c r="R303" i="1"/>
  <c r="S302" i="1"/>
  <c r="R302" i="1"/>
  <c r="S301" i="1"/>
  <c r="R301" i="1"/>
  <c r="S300" i="1"/>
  <c r="R300" i="1"/>
  <c r="S299" i="1"/>
  <c r="R299" i="1"/>
  <c r="S298" i="1"/>
  <c r="R298" i="1"/>
  <c r="S297" i="1"/>
  <c r="R297" i="1"/>
  <c r="S296" i="1"/>
  <c r="R296" i="1"/>
  <c r="S295" i="1"/>
  <c r="R295" i="1"/>
  <c r="S294" i="1"/>
  <c r="R294" i="1"/>
  <c r="S293" i="1"/>
  <c r="R293" i="1"/>
  <c r="S292" i="1"/>
  <c r="R292" i="1"/>
  <c r="S291" i="1"/>
  <c r="R291" i="1"/>
  <c r="S290" i="1"/>
  <c r="R290" i="1"/>
  <c r="S289" i="1"/>
  <c r="R289" i="1"/>
  <c r="S288" i="1"/>
  <c r="R288" i="1"/>
  <c r="S287" i="1"/>
  <c r="R287" i="1"/>
  <c r="S286" i="1"/>
  <c r="R286" i="1"/>
  <c r="S285" i="1"/>
  <c r="R285" i="1"/>
  <c r="S284" i="1"/>
  <c r="R284" i="1"/>
  <c r="S283" i="1"/>
  <c r="R283" i="1"/>
  <c r="S282" i="1"/>
  <c r="R282" i="1"/>
  <c r="S281" i="1"/>
  <c r="R281" i="1"/>
  <c r="S280" i="1"/>
  <c r="R280" i="1"/>
  <c r="S279" i="1"/>
  <c r="R279" i="1"/>
  <c r="S278" i="1"/>
  <c r="R278" i="1"/>
  <c r="S277" i="1"/>
  <c r="R277" i="1"/>
  <c r="S276" i="1"/>
  <c r="R276" i="1"/>
  <c r="S275" i="1"/>
  <c r="R275" i="1"/>
  <c r="S274" i="1"/>
  <c r="R274" i="1"/>
  <c r="S273" i="1"/>
  <c r="R273" i="1"/>
  <c r="S272" i="1"/>
  <c r="R272" i="1"/>
  <c r="S271" i="1"/>
  <c r="R271" i="1"/>
  <c r="S270" i="1"/>
  <c r="R270" i="1"/>
  <c r="S269" i="1"/>
  <c r="R269" i="1"/>
  <c r="S268" i="1"/>
  <c r="R268" i="1"/>
  <c r="S267" i="1"/>
  <c r="R267" i="1"/>
  <c r="S266" i="1"/>
  <c r="R266" i="1"/>
  <c r="S265" i="1"/>
  <c r="R265" i="1"/>
  <c r="S264" i="1"/>
  <c r="R264" i="1"/>
  <c r="S263" i="1"/>
  <c r="R263" i="1"/>
  <c r="S262" i="1"/>
  <c r="R262" i="1"/>
  <c r="S261" i="1"/>
  <c r="R261" i="1"/>
  <c r="S260" i="1"/>
  <c r="R260" i="1"/>
  <c r="S259" i="1"/>
  <c r="R259" i="1"/>
  <c r="S258" i="1"/>
  <c r="R258" i="1"/>
  <c r="S257" i="1"/>
  <c r="R257" i="1"/>
  <c r="S256" i="1"/>
  <c r="R256" i="1"/>
  <c r="S255" i="1"/>
  <c r="R255" i="1"/>
  <c r="S254" i="1"/>
  <c r="R254" i="1"/>
  <c r="S253" i="1"/>
  <c r="R253" i="1"/>
  <c r="S252" i="1"/>
  <c r="R252" i="1"/>
  <c r="S251" i="1"/>
  <c r="R251" i="1"/>
  <c r="S250" i="1"/>
  <c r="R250" i="1"/>
  <c r="S249" i="1"/>
  <c r="R249" i="1"/>
  <c r="S248" i="1"/>
  <c r="R248" i="1"/>
  <c r="S247" i="1"/>
  <c r="R247" i="1"/>
  <c r="S246" i="1"/>
  <c r="R246" i="1"/>
  <c r="S245" i="1"/>
  <c r="R245" i="1"/>
  <c r="S244" i="1"/>
  <c r="R244" i="1"/>
  <c r="S243" i="1"/>
  <c r="R243" i="1"/>
  <c r="S242" i="1"/>
  <c r="R242" i="1"/>
  <c r="S241" i="1"/>
  <c r="R241" i="1"/>
  <c r="S240" i="1"/>
  <c r="R240" i="1"/>
  <c r="S239" i="1"/>
  <c r="R239" i="1"/>
  <c r="S238" i="1"/>
  <c r="R238" i="1"/>
  <c r="S237" i="1"/>
  <c r="R237" i="1"/>
  <c r="S236" i="1"/>
  <c r="R236" i="1"/>
  <c r="S235" i="1"/>
  <c r="R235" i="1"/>
  <c r="S234" i="1"/>
  <c r="R234" i="1"/>
  <c r="S233" i="1"/>
  <c r="R233" i="1"/>
  <c r="S232" i="1"/>
  <c r="R232" i="1"/>
  <c r="S231" i="1"/>
  <c r="R231" i="1"/>
  <c r="S230" i="1"/>
  <c r="R230" i="1"/>
  <c r="S229" i="1"/>
  <c r="R229" i="1"/>
  <c r="S228" i="1"/>
  <c r="R228" i="1"/>
  <c r="S227" i="1"/>
  <c r="R227" i="1"/>
  <c r="S226" i="1"/>
  <c r="R226" i="1"/>
  <c r="S225" i="1"/>
  <c r="R225" i="1"/>
  <c r="S224" i="1"/>
  <c r="R224" i="1"/>
  <c r="S223" i="1"/>
  <c r="R223" i="1"/>
  <c r="S222" i="1"/>
  <c r="R222" i="1"/>
  <c r="S221" i="1"/>
  <c r="R221" i="1"/>
  <c r="S220" i="1"/>
  <c r="R220" i="1"/>
  <c r="S219" i="1"/>
  <c r="R219" i="1"/>
  <c r="S218" i="1"/>
  <c r="R218" i="1"/>
  <c r="S217" i="1"/>
  <c r="R217" i="1"/>
  <c r="S216" i="1"/>
  <c r="R216" i="1"/>
  <c r="S215" i="1"/>
  <c r="R215" i="1"/>
  <c r="S214" i="1"/>
  <c r="R214" i="1"/>
  <c r="S213" i="1"/>
  <c r="R213" i="1"/>
  <c r="S212" i="1"/>
  <c r="R212" i="1"/>
  <c r="S211" i="1"/>
  <c r="R211" i="1"/>
  <c r="S210" i="1"/>
  <c r="R210" i="1"/>
  <c r="S209" i="1"/>
  <c r="R209" i="1"/>
  <c r="S208" i="1"/>
  <c r="R208" i="1"/>
  <c r="S207" i="1"/>
  <c r="R207" i="1"/>
  <c r="S206" i="1"/>
  <c r="R206" i="1"/>
  <c r="S205" i="1"/>
  <c r="R205" i="1"/>
  <c r="S204" i="1"/>
  <c r="R204" i="1"/>
  <c r="S203" i="1"/>
  <c r="R203" i="1"/>
  <c r="S202" i="1"/>
  <c r="R202" i="1"/>
  <c r="S201" i="1"/>
  <c r="R201" i="1"/>
  <c r="S200" i="1"/>
  <c r="R200" i="1"/>
  <c r="S199" i="1"/>
  <c r="R199" i="1"/>
  <c r="S198" i="1"/>
  <c r="R198" i="1"/>
  <c r="S197" i="1"/>
  <c r="R197" i="1"/>
  <c r="S196" i="1"/>
  <c r="R196" i="1"/>
  <c r="S195" i="1"/>
  <c r="R195" i="1"/>
  <c r="S194" i="1"/>
  <c r="R194" i="1"/>
  <c r="S193" i="1"/>
  <c r="R193" i="1"/>
  <c r="S192" i="1"/>
  <c r="R192" i="1"/>
  <c r="S191" i="1"/>
  <c r="R191" i="1"/>
  <c r="S190" i="1"/>
  <c r="R190" i="1"/>
  <c r="S189" i="1"/>
  <c r="R189" i="1"/>
  <c r="S188" i="1"/>
  <c r="R188" i="1"/>
  <c r="S187" i="1"/>
  <c r="R187" i="1"/>
  <c r="S186" i="1"/>
  <c r="R186" i="1"/>
  <c r="S185" i="1"/>
  <c r="R185" i="1"/>
  <c r="S184" i="1"/>
  <c r="R184" i="1"/>
  <c r="S183" i="1"/>
  <c r="R183" i="1"/>
  <c r="S182" i="1"/>
  <c r="R182" i="1"/>
  <c r="S181" i="1"/>
  <c r="R181" i="1"/>
  <c r="S180" i="1"/>
  <c r="R180" i="1"/>
  <c r="S179" i="1"/>
  <c r="R179" i="1"/>
  <c r="S178" i="1"/>
  <c r="R178" i="1"/>
  <c r="S177" i="1"/>
  <c r="R177" i="1"/>
  <c r="S176" i="1"/>
  <c r="R176" i="1"/>
  <c r="S175" i="1"/>
  <c r="R175" i="1"/>
  <c r="S174" i="1"/>
  <c r="R174" i="1"/>
  <c r="S173" i="1"/>
  <c r="R173" i="1"/>
  <c r="S172" i="1"/>
  <c r="R172" i="1"/>
  <c r="S171" i="1"/>
  <c r="R171" i="1"/>
  <c r="S170" i="1"/>
  <c r="R170" i="1"/>
  <c r="S169" i="1"/>
  <c r="R169" i="1"/>
  <c r="S168" i="1"/>
  <c r="R168" i="1"/>
  <c r="S167" i="1"/>
  <c r="R167" i="1"/>
  <c r="S166" i="1"/>
  <c r="R166" i="1"/>
  <c r="S165" i="1"/>
  <c r="R165" i="1"/>
  <c r="S164" i="1"/>
  <c r="R164" i="1"/>
  <c r="S163" i="1"/>
  <c r="R163" i="1"/>
  <c r="S162" i="1"/>
  <c r="R162" i="1"/>
  <c r="S161" i="1"/>
  <c r="R161" i="1"/>
  <c r="S160" i="1"/>
  <c r="R160" i="1"/>
  <c r="S159" i="1"/>
  <c r="R159" i="1"/>
  <c r="S158" i="1"/>
  <c r="R158" i="1"/>
  <c r="S157" i="1"/>
  <c r="R157" i="1"/>
  <c r="S156" i="1"/>
  <c r="R156" i="1"/>
  <c r="S155" i="1"/>
  <c r="R155" i="1"/>
  <c r="S154" i="1"/>
  <c r="R154" i="1"/>
  <c r="S153" i="1"/>
  <c r="R153" i="1"/>
  <c r="S152" i="1"/>
  <c r="R152" i="1"/>
  <c r="S151" i="1"/>
  <c r="R151" i="1"/>
  <c r="S150" i="1"/>
  <c r="R150" i="1"/>
  <c r="S149" i="1"/>
  <c r="R149" i="1"/>
  <c r="S148" i="1"/>
  <c r="R148" i="1"/>
  <c r="S147" i="1"/>
  <c r="R147" i="1"/>
  <c r="S146" i="1"/>
  <c r="R146" i="1"/>
  <c r="S145" i="1"/>
  <c r="R145" i="1"/>
  <c r="S144" i="1"/>
  <c r="R144" i="1"/>
  <c r="S143" i="1"/>
  <c r="R143" i="1"/>
  <c r="S142" i="1"/>
  <c r="R142" i="1"/>
  <c r="S141" i="1"/>
  <c r="R141" i="1"/>
  <c r="S140" i="1"/>
  <c r="R140" i="1"/>
  <c r="S139" i="1"/>
  <c r="R139" i="1"/>
  <c r="S138" i="1"/>
  <c r="R138" i="1"/>
  <c r="S137" i="1"/>
  <c r="R137" i="1"/>
  <c r="S136" i="1"/>
  <c r="R136" i="1"/>
  <c r="S135" i="1"/>
  <c r="R135" i="1"/>
  <c r="S134" i="1"/>
  <c r="R134" i="1"/>
  <c r="S133" i="1"/>
  <c r="R133" i="1"/>
  <c r="S132" i="1"/>
  <c r="R132" i="1"/>
  <c r="S131" i="1"/>
  <c r="R131" i="1"/>
  <c r="S130" i="1"/>
  <c r="R130" i="1"/>
  <c r="S129" i="1"/>
  <c r="R129" i="1"/>
  <c r="S128" i="1"/>
  <c r="R128" i="1"/>
  <c r="S127" i="1"/>
  <c r="R127" i="1"/>
  <c r="S126" i="1"/>
  <c r="R126" i="1"/>
  <c r="S125" i="1"/>
  <c r="R125" i="1"/>
  <c r="S124" i="1"/>
  <c r="R124" i="1"/>
  <c r="S123" i="1"/>
  <c r="R123" i="1"/>
  <c r="S122" i="1"/>
  <c r="R122" i="1"/>
  <c r="S121" i="1"/>
  <c r="R121" i="1"/>
  <c r="S120" i="1"/>
  <c r="R120" i="1"/>
  <c r="S119" i="1"/>
  <c r="R119" i="1"/>
  <c r="S118" i="1"/>
  <c r="R118" i="1"/>
  <c r="S117" i="1"/>
  <c r="R117" i="1"/>
  <c r="S116" i="1"/>
  <c r="R116" i="1"/>
  <c r="S115" i="1"/>
  <c r="R115" i="1"/>
  <c r="S114" i="1"/>
  <c r="R114" i="1"/>
  <c r="S113" i="1"/>
  <c r="R113" i="1"/>
  <c r="S112" i="1"/>
  <c r="R112" i="1"/>
  <c r="S111" i="1"/>
  <c r="R111" i="1"/>
  <c r="S110" i="1"/>
  <c r="R110" i="1"/>
  <c r="S109" i="1"/>
  <c r="R109" i="1"/>
  <c r="S108" i="1"/>
  <c r="R108" i="1"/>
  <c r="S107" i="1"/>
  <c r="R107" i="1"/>
  <c r="S106" i="1"/>
  <c r="R106" i="1"/>
  <c r="S105" i="1"/>
  <c r="R105" i="1"/>
  <c r="S104" i="1"/>
  <c r="R104" i="1"/>
  <c r="S103" i="1"/>
  <c r="R103" i="1"/>
  <c r="S102" i="1"/>
  <c r="R102" i="1"/>
  <c r="S101" i="1"/>
  <c r="R101" i="1"/>
  <c r="S100" i="1"/>
  <c r="R100" i="1"/>
  <c r="S99" i="1"/>
  <c r="R99" i="1"/>
  <c r="S98" i="1"/>
  <c r="R98" i="1"/>
  <c r="S97" i="1"/>
  <c r="R97" i="1"/>
  <c r="S96" i="1"/>
  <c r="R96" i="1"/>
  <c r="S95" i="1"/>
  <c r="R95" i="1"/>
  <c r="S94" i="1"/>
  <c r="R94" i="1"/>
  <c r="S93" i="1"/>
  <c r="R93" i="1"/>
  <c r="S92" i="1"/>
  <c r="R92" i="1"/>
  <c r="S91" i="1"/>
  <c r="R91" i="1"/>
  <c r="S90" i="1"/>
  <c r="R90" i="1"/>
  <c r="S89" i="1"/>
  <c r="R89" i="1"/>
  <c r="S88" i="1"/>
  <c r="R88" i="1"/>
  <c r="S87" i="1"/>
  <c r="R87" i="1"/>
  <c r="S86" i="1"/>
  <c r="R86" i="1"/>
  <c r="S85" i="1"/>
  <c r="R85" i="1"/>
  <c r="S84" i="1"/>
  <c r="R84" i="1"/>
  <c r="S83" i="1"/>
  <c r="R83" i="1"/>
  <c r="S82" i="1"/>
  <c r="R82" i="1"/>
  <c r="S81" i="1"/>
  <c r="R81" i="1"/>
  <c r="S80" i="1"/>
  <c r="R80" i="1"/>
  <c r="S79" i="1"/>
  <c r="R79" i="1"/>
  <c r="S78" i="1"/>
  <c r="R78" i="1"/>
  <c r="S77" i="1"/>
  <c r="R77" i="1"/>
  <c r="S76" i="1"/>
  <c r="R76" i="1"/>
  <c r="S75" i="1"/>
  <c r="R75" i="1"/>
  <c r="S74" i="1"/>
  <c r="R74" i="1"/>
  <c r="S73" i="1"/>
  <c r="R73" i="1"/>
  <c r="S72" i="1"/>
  <c r="R72" i="1"/>
  <c r="S71" i="1"/>
  <c r="R71" i="1"/>
  <c r="S70" i="1"/>
  <c r="R70" i="1"/>
  <c r="S69" i="1"/>
  <c r="R69" i="1"/>
  <c r="S68" i="1"/>
  <c r="R68" i="1"/>
  <c r="S67" i="1"/>
  <c r="R67" i="1"/>
  <c r="S66" i="1"/>
  <c r="R66" i="1"/>
  <c r="S65" i="1"/>
  <c r="R65" i="1"/>
  <c r="S64" i="1"/>
  <c r="R64" i="1"/>
  <c r="S63" i="1"/>
  <c r="R63" i="1"/>
  <c r="S62" i="1"/>
  <c r="R62" i="1"/>
  <c r="S61" i="1"/>
  <c r="R61" i="1"/>
  <c r="S60" i="1"/>
  <c r="R60" i="1"/>
  <c r="S59" i="1"/>
  <c r="R59" i="1"/>
  <c r="S58" i="1"/>
  <c r="R58" i="1"/>
  <c r="S57" i="1"/>
  <c r="R57" i="1"/>
  <c r="S56" i="1"/>
  <c r="R56" i="1"/>
  <c r="S55" i="1"/>
  <c r="R55" i="1"/>
  <c r="S54" i="1"/>
  <c r="R54" i="1"/>
  <c r="S53" i="1"/>
  <c r="R53" i="1"/>
  <c r="S52" i="1"/>
  <c r="R52" i="1"/>
  <c r="S51" i="1"/>
  <c r="R51" i="1"/>
  <c r="S50" i="1"/>
  <c r="R50" i="1"/>
  <c r="S49" i="1"/>
  <c r="R49" i="1"/>
  <c r="S48" i="1"/>
  <c r="R48" i="1"/>
  <c r="S47" i="1"/>
  <c r="R47" i="1"/>
  <c r="S46" i="1"/>
  <c r="R46" i="1"/>
  <c r="S45" i="1"/>
  <c r="R45" i="1"/>
  <c r="S44" i="1"/>
  <c r="R44" i="1"/>
  <c r="S43" i="1"/>
  <c r="R43" i="1"/>
  <c r="S42" i="1"/>
  <c r="R42" i="1"/>
  <c r="S41" i="1"/>
  <c r="R41" i="1"/>
  <c r="S40" i="1"/>
  <c r="R40" i="1"/>
  <c r="S39" i="1"/>
  <c r="R39" i="1"/>
  <c r="S38" i="1"/>
  <c r="R38" i="1"/>
  <c r="S37" i="1"/>
  <c r="R37" i="1"/>
  <c r="S36" i="1"/>
  <c r="R36" i="1"/>
  <c r="S35" i="1"/>
  <c r="R35" i="1"/>
  <c r="S34" i="1"/>
  <c r="R34" i="1"/>
  <c r="S33" i="1"/>
  <c r="R33" i="1"/>
  <c r="S32" i="1"/>
  <c r="R32" i="1"/>
  <c r="S31" i="1"/>
  <c r="R31" i="1"/>
  <c r="S30" i="1"/>
  <c r="R30" i="1"/>
  <c r="S29" i="1"/>
  <c r="R29" i="1"/>
  <c r="S28" i="1"/>
  <c r="R28" i="1"/>
  <c r="S27" i="1"/>
  <c r="R27" i="1"/>
  <c r="S26" i="1"/>
  <c r="R26" i="1"/>
  <c r="S25" i="1"/>
  <c r="R25" i="1"/>
  <c r="S24" i="1"/>
  <c r="R24" i="1"/>
  <c r="S23" i="1"/>
  <c r="R23" i="1"/>
  <c r="S22" i="1"/>
  <c r="R22" i="1"/>
  <c r="S21" i="1"/>
  <c r="R21" i="1"/>
  <c r="S20" i="1"/>
  <c r="R20" i="1"/>
  <c r="S19" i="1"/>
  <c r="R19" i="1"/>
  <c r="S18" i="1"/>
  <c r="R18" i="1"/>
  <c r="S17" i="1"/>
  <c r="R17" i="1"/>
  <c r="S16" i="1"/>
  <c r="R16" i="1"/>
  <c r="S15" i="1"/>
  <c r="R15" i="1"/>
  <c r="S14" i="1"/>
  <c r="R14" i="1"/>
  <c r="S13" i="1"/>
  <c r="R13" i="1"/>
  <c r="S12" i="1"/>
  <c r="R12" i="1"/>
  <c r="S11" i="1"/>
  <c r="R11" i="1"/>
  <c r="S10" i="1"/>
  <c r="R10" i="1"/>
  <c r="S9" i="1"/>
  <c r="R9" i="1"/>
  <c r="P353" i="1"/>
  <c r="O353" i="1"/>
  <c r="P352" i="1"/>
  <c r="O352" i="1"/>
  <c r="P351" i="1"/>
  <c r="O351" i="1"/>
  <c r="P350" i="1"/>
  <c r="O350" i="1"/>
  <c r="P349" i="1"/>
  <c r="O349" i="1"/>
  <c r="P348" i="1"/>
  <c r="O348" i="1"/>
  <c r="P347" i="1"/>
  <c r="O347" i="1"/>
  <c r="P346" i="1"/>
  <c r="O346" i="1"/>
  <c r="P345" i="1"/>
  <c r="O345" i="1"/>
  <c r="P344" i="1"/>
  <c r="O344" i="1"/>
  <c r="P343" i="1"/>
  <c r="O343" i="1"/>
  <c r="P342" i="1"/>
  <c r="O342" i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P334" i="1"/>
  <c r="O334" i="1"/>
  <c r="P333" i="1"/>
  <c r="O333" i="1"/>
  <c r="P332" i="1"/>
  <c r="O332" i="1"/>
  <c r="P331" i="1"/>
  <c r="O331" i="1"/>
  <c r="P330" i="1"/>
  <c r="O330" i="1"/>
  <c r="P329" i="1"/>
  <c r="O329" i="1"/>
  <c r="P328" i="1"/>
  <c r="O328" i="1"/>
  <c r="P327" i="1"/>
  <c r="O327" i="1"/>
  <c r="P326" i="1"/>
  <c r="O326" i="1"/>
  <c r="P325" i="1"/>
  <c r="O325" i="1"/>
  <c r="P324" i="1"/>
  <c r="O324" i="1"/>
  <c r="P323" i="1"/>
  <c r="O323" i="1"/>
  <c r="P322" i="1"/>
  <c r="O322" i="1"/>
  <c r="P321" i="1"/>
  <c r="O321" i="1"/>
  <c r="P320" i="1"/>
  <c r="O320" i="1"/>
  <c r="P319" i="1"/>
  <c r="O319" i="1"/>
  <c r="P318" i="1"/>
  <c r="O318" i="1"/>
  <c r="P317" i="1"/>
  <c r="O317" i="1"/>
  <c r="P316" i="1"/>
  <c r="O316" i="1"/>
  <c r="P315" i="1"/>
  <c r="O315" i="1"/>
  <c r="P314" i="1"/>
  <c r="O314" i="1"/>
  <c r="P313" i="1"/>
  <c r="O313" i="1"/>
  <c r="P312" i="1"/>
  <c r="O312" i="1"/>
  <c r="P311" i="1"/>
  <c r="O311" i="1"/>
  <c r="P310" i="1"/>
  <c r="O310" i="1"/>
  <c r="P309" i="1"/>
  <c r="O309" i="1"/>
  <c r="P308" i="1"/>
  <c r="O308" i="1"/>
  <c r="P307" i="1"/>
  <c r="O307" i="1"/>
  <c r="P306" i="1"/>
  <c r="O306" i="1"/>
  <c r="P305" i="1"/>
  <c r="O305" i="1"/>
  <c r="P304" i="1"/>
  <c r="O304" i="1"/>
  <c r="P303" i="1"/>
  <c r="O303" i="1"/>
  <c r="P302" i="1"/>
  <c r="O302" i="1"/>
  <c r="P301" i="1"/>
  <c r="O301" i="1"/>
  <c r="P300" i="1"/>
  <c r="O300" i="1"/>
  <c r="P299" i="1"/>
  <c r="O299" i="1"/>
  <c r="P298" i="1"/>
  <c r="O298" i="1"/>
  <c r="P297" i="1"/>
  <c r="O297" i="1"/>
  <c r="P296" i="1"/>
  <c r="O296" i="1"/>
  <c r="P295" i="1"/>
  <c r="O295" i="1"/>
  <c r="P294" i="1"/>
  <c r="O294" i="1"/>
  <c r="P293" i="1"/>
  <c r="O293" i="1"/>
  <c r="P292" i="1"/>
  <c r="O292" i="1"/>
  <c r="P291" i="1"/>
  <c r="O291" i="1"/>
  <c r="P290" i="1"/>
  <c r="O290" i="1"/>
  <c r="P289" i="1"/>
  <c r="O289" i="1"/>
  <c r="P288" i="1"/>
  <c r="O288" i="1"/>
  <c r="P287" i="1"/>
  <c r="O287" i="1"/>
  <c r="P286" i="1"/>
  <c r="O286" i="1"/>
  <c r="P285" i="1"/>
  <c r="O285" i="1"/>
  <c r="P284" i="1"/>
  <c r="O284" i="1"/>
  <c r="P283" i="1"/>
  <c r="O283" i="1"/>
  <c r="P282" i="1"/>
  <c r="O282" i="1"/>
  <c r="P281" i="1"/>
  <c r="O281" i="1"/>
  <c r="P280" i="1"/>
  <c r="O280" i="1"/>
  <c r="P279" i="1"/>
  <c r="O279" i="1"/>
  <c r="P278" i="1"/>
  <c r="O278" i="1"/>
  <c r="P277" i="1"/>
  <c r="O277" i="1"/>
  <c r="P276" i="1"/>
  <c r="O276" i="1"/>
  <c r="P275" i="1"/>
  <c r="O275" i="1"/>
  <c r="P274" i="1"/>
  <c r="O274" i="1"/>
  <c r="P273" i="1"/>
  <c r="O273" i="1"/>
  <c r="P272" i="1"/>
  <c r="O272" i="1"/>
  <c r="P271" i="1"/>
  <c r="O271" i="1"/>
  <c r="P270" i="1"/>
  <c r="O270" i="1"/>
  <c r="P269" i="1"/>
  <c r="O269" i="1"/>
  <c r="P268" i="1"/>
  <c r="O268" i="1"/>
  <c r="P267" i="1"/>
  <c r="O267" i="1"/>
  <c r="P266" i="1"/>
  <c r="O266" i="1"/>
  <c r="P265" i="1"/>
  <c r="O265" i="1"/>
  <c r="P264" i="1"/>
  <c r="O264" i="1"/>
  <c r="P263" i="1"/>
  <c r="O263" i="1"/>
  <c r="P262" i="1"/>
  <c r="O262" i="1"/>
  <c r="P261" i="1"/>
  <c r="O261" i="1"/>
  <c r="P260" i="1"/>
  <c r="O260" i="1"/>
  <c r="P259" i="1"/>
  <c r="O259" i="1"/>
  <c r="P258" i="1"/>
  <c r="O258" i="1"/>
  <c r="P257" i="1"/>
  <c r="O257" i="1"/>
  <c r="P256" i="1"/>
  <c r="O256" i="1"/>
  <c r="P255" i="1"/>
  <c r="O255" i="1"/>
  <c r="P254" i="1"/>
  <c r="O254" i="1"/>
  <c r="P253" i="1"/>
  <c r="O253" i="1"/>
  <c r="P252" i="1"/>
  <c r="O252" i="1"/>
  <c r="P251" i="1"/>
  <c r="O251" i="1"/>
  <c r="P250" i="1"/>
  <c r="O250" i="1"/>
  <c r="P249" i="1"/>
  <c r="O249" i="1"/>
  <c r="P248" i="1"/>
  <c r="O248" i="1"/>
  <c r="P247" i="1"/>
  <c r="O247" i="1"/>
  <c r="P246" i="1"/>
  <c r="O246" i="1"/>
  <c r="P245" i="1"/>
  <c r="O245" i="1"/>
  <c r="P244" i="1"/>
  <c r="O244" i="1"/>
  <c r="P243" i="1"/>
  <c r="O243" i="1"/>
  <c r="P242" i="1"/>
  <c r="O242" i="1"/>
  <c r="P241" i="1"/>
  <c r="O241" i="1"/>
  <c r="P240" i="1"/>
  <c r="O240" i="1"/>
  <c r="P239" i="1"/>
  <c r="O239" i="1"/>
  <c r="P238" i="1"/>
  <c r="O238" i="1"/>
  <c r="P237" i="1"/>
  <c r="O237" i="1"/>
  <c r="P236" i="1"/>
  <c r="O236" i="1"/>
  <c r="P235" i="1"/>
  <c r="O235" i="1"/>
  <c r="P234" i="1"/>
  <c r="O234" i="1"/>
  <c r="P233" i="1"/>
  <c r="O233" i="1"/>
  <c r="P232" i="1"/>
  <c r="O232" i="1"/>
  <c r="P231" i="1"/>
  <c r="O231" i="1"/>
  <c r="P230" i="1"/>
  <c r="O230" i="1"/>
  <c r="P229" i="1"/>
  <c r="O229" i="1"/>
  <c r="P228" i="1"/>
  <c r="O228" i="1"/>
  <c r="P227" i="1"/>
  <c r="O227" i="1"/>
  <c r="P226" i="1"/>
  <c r="O226" i="1"/>
  <c r="P225" i="1"/>
  <c r="O225" i="1"/>
  <c r="P224" i="1"/>
  <c r="O224" i="1"/>
  <c r="P223" i="1"/>
  <c r="O223" i="1"/>
  <c r="P222" i="1"/>
  <c r="O222" i="1"/>
  <c r="P221" i="1"/>
  <c r="O221" i="1"/>
  <c r="P220" i="1"/>
  <c r="O220" i="1"/>
  <c r="P219" i="1"/>
  <c r="O219" i="1"/>
  <c r="P218" i="1"/>
  <c r="O218" i="1"/>
  <c r="P217" i="1"/>
  <c r="O217" i="1"/>
  <c r="P216" i="1"/>
  <c r="O216" i="1"/>
  <c r="P215" i="1"/>
  <c r="O215" i="1"/>
  <c r="P214" i="1"/>
  <c r="O214" i="1"/>
  <c r="P213" i="1"/>
  <c r="O213" i="1"/>
  <c r="P212" i="1"/>
  <c r="O212" i="1"/>
  <c r="P211" i="1"/>
  <c r="O211" i="1"/>
  <c r="P210" i="1"/>
  <c r="O210" i="1"/>
  <c r="P209" i="1"/>
  <c r="O209" i="1"/>
  <c r="P208" i="1"/>
  <c r="O208" i="1"/>
  <c r="P207" i="1"/>
  <c r="O207" i="1"/>
  <c r="P206" i="1"/>
  <c r="O206" i="1"/>
  <c r="P205" i="1"/>
  <c r="O205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7" i="1"/>
  <c r="O157" i="1"/>
  <c r="P156" i="1"/>
  <c r="O156" i="1"/>
  <c r="P155" i="1"/>
  <c r="O155" i="1"/>
  <c r="P154" i="1"/>
  <c r="O154" i="1"/>
  <c r="P153" i="1"/>
  <c r="O153" i="1"/>
  <c r="P152" i="1"/>
  <c r="O152" i="1"/>
  <c r="P151" i="1"/>
  <c r="O151" i="1"/>
  <c r="P150" i="1"/>
  <c r="O150" i="1"/>
  <c r="P149" i="1"/>
  <c r="O149" i="1"/>
  <c r="P148" i="1"/>
  <c r="O148" i="1"/>
  <c r="P147" i="1"/>
  <c r="O147" i="1"/>
  <c r="P146" i="1"/>
  <c r="O146" i="1"/>
  <c r="P145" i="1"/>
  <c r="O145" i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P135" i="1"/>
  <c r="O135" i="1"/>
  <c r="P134" i="1"/>
  <c r="O134" i="1"/>
  <c r="P133" i="1"/>
  <c r="O133" i="1"/>
  <c r="P132" i="1"/>
  <c r="O132" i="1"/>
  <c r="P131" i="1"/>
  <c r="O131" i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23" i="1"/>
  <c r="O123" i="1"/>
  <c r="P122" i="1"/>
  <c r="O122" i="1"/>
  <c r="P121" i="1"/>
  <c r="O121" i="1"/>
  <c r="P120" i="1"/>
  <c r="O120" i="1"/>
  <c r="P119" i="1"/>
  <c r="O119" i="1"/>
  <c r="P118" i="1"/>
  <c r="O118" i="1"/>
  <c r="P117" i="1"/>
  <c r="O117" i="1"/>
  <c r="P116" i="1"/>
  <c r="O116" i="1"/>
  <c r="P115" i="1"/>
  <c r="O115" i="1"/>
  <c r="P114" i="1"/>
  <c r="O114" i="1"/>
  <c r="P113" i="1"/>
  <c r="O113" i="1"/>
  <c r="P112" i="1"/>
  <c r="O112" i="1"/>
  <c r="P111" i="1"/>
  <c r="O111" i="1"/>
  <c r="P110" i="1"/>
  <c r="O110" i="1"/>
  <c r="P109" i="1"/>
  <c r="O109" i="1"/>
  <c r="P108" i="1"/>
  <c r="O108" i="1"/>
  <c r="P107" i="1"/>
  <c r="O107" i="1"/>
  <c r="P106" i="1"/>
  <c r="O106" i="1"/>
  <c r="P105" i="1"/>
  <c r="O105" i="1"/>
  <c r="P104" i="1"/>
  <c r="O104" i="1"/>
  <c r="P103" i="1"/>
  <c r="O103" i="1"/>
  <c r="P102" i="1"/>
  <c r="O102" i="1"/>
  <c r="P101" i="1"/>
  <c r="O101" i="1"/>
  <c r="P100" i="1"/>
  <c r="O100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90" i="1"/>
  <c r="O90" i="1"/>
  <c r="P89" i="1"/>
  <c r="O89" i="1"/>
  <c r="P88" i="1"/>
  <c r="O88" i="1"/>
  <c r="P87" i="1"/>
  <c r="O87" i="1"/>
  <c r="P86" i="1"/>
  <c r="O86" i="1"/>
  <c r="P85" i="1"/>
  <c r="O85" i="1"/>
  <c r="P84" i="1"/>
  <c r="O84" i="1"/>
  <c r="P83" i="1"/>
  <c r="O83" i="1"/>
  <c r="P82" i="1"/>
  <c r="O82" i="1"/>
  <c r="P81" i="1"/>
  <c r="O81" i="1"/>
  <c r="P80" i="1"/>
  <c r="O80" i="1"/>
  <c r="P79" i="1"/>
  <c r="O79" i="1"/>
  <c r="P78" i="1"/>
  <c r="O78" i="1"/>
  <c r="P77" i="1"/>
  <c r="O77" i="1"/>
  <c r="P76" i="1"/>
  <c r="O76" i="1"/>
  <c r="P75" i="1"/>
  <c r="O75" i="1"/>
  <c r="P74" i="1"/>
  <c r="O74" i="1"/>
  <c r="P73" i="1"/>
  <c r="O73" i="1"/>
  <c r="P72" i="1"/>
  <c r="O72" i="1"/>
  <c r="P71" i="1"/>
  <c r="O71" i="1"/>
  <c r="P70" i="1"/>
  <c r="O70" i="1"/>
  <c r="P69" i="1"/>
  <c r="O69" i="1"/>
  <c r="P68" i="1"/>
  <c r="O68" i="1"/>
  <c r="P67" i="1"/>
  <c r="O67" i="1"/>
  <c r="P66" i="1"/>
  <c r="O66" i="1"/>
  <c r="P65" i="1"/>
  <c r="O65" i="1"/>
  <c r="P64" i="1"/>
  <c r="O64" i="1"/>
  <c r="P63" i="1"/>
  <c r="O63" i="1"/>
  <c r="P62" i="1"/>
  <c r="O62" i="1"/>
  <c r="P61" i="1"/>
  <c r="O61" i="1"/>
  <c r="P60" i="1"/>
  <c r="O60" i="1"/>
  <c r="P59" i="1"/>
  <c r="O59" i="1"/>
  <c r="P58" i="1"/>
  <c r="O58" i="1"/>
  <c r="P57" i="1"/>
  <c r="O57" i="1"/>
  <c r="P56" i="1"/>
  <c r="O56" i="1"/>
  <c r="P55" i="1"/>
  <c r="O55" i="1"/>
  <c r="P54" i="1"/>
  <c r="O54" i="1"/>
  <c r="P53" i="1"/>
  <c r="O53" i="1"/>
  <c r="P52" i="1"/>
  <c r="O52" i="1"/>
  <c r="P51" i="1"/>
  <c r="O51" i="1"/>
  <c r="P50" i="1"/>
  <c r="O50" i="1"/>
  <c r="P49" i="1"/>
  <c r="O49" i="1"/>
  <c r="P48" i="1"/>
  <c r="O48" i="1"/>
  <c r="P47" i="1"/>
  <c r="O47" i="1"/>
  <c r="P46" i="1"/>
  <c r="O46" i="1"/>
  <c r="P45" i="1"/>
  <c r="O45" i="1"/>
  <c r="P44" i="1"/>
  <c r="O44" i="1"/>
  <c r="P43" i="1"/>
  <c r="O43" i="1"/>
  <c r="P42" i="1"/>
  <c r="O42" i="1"/>
  <c r="P41" i="1"/>
  <c r="O41" i="1"/>
  <c r="P40" i="1"/>
  <c r="O40" i="1"/>
  <c r="P39" i="1"/>
  <c r="O39" i="1"/>
  <c r="P38" i="1"/>
  <c r="O38" i="1"/>
  <c r="P37" i="1"/>
  <c r="O37" i="1"/>
  <c r="P36" i="1"/>
  <c r="O36" i="1"/>
  <c r="P35" i="1"/>
  <c r="O35" i="1"/>
  <c r="P34" i="1"/>
  <c r="O34" i="1"/>
  <c r="P33" i="1"/>
  <c r="O33" i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  <c r="M353" i="1"/>
  <c r="L353" i="1"/>
  <c r="M352" i="1"/>
  <c r="L352" i="1"/>
  <c r="M351" i="1"/>
  <c r="L351" i="1"/>
  <c r="M350" i="1"/>
  <c r="L350" i="1"/>
  <c r="M349" i="1"/>
  <c r="L349" i="1"/>
  <c r="M348" i="1"/>
  <c r="L348" i="1"/>
  <c r="M347" i="1"/>
  <c r="L347" i="1"/>
  <c r="M346" i="1"/>
  <c r="L346" i="1"/>
  <c r="M345" i="1"/>
  <c r="L345" i="1"/>
  <c r="M344" i="1"/>
  <c r="L344" i="1"/>
  <c r="M343" i="1"/>
  <c r="L343" i="1"/>
  <c r="M342" i="1"/>
  <c r="L342" i="1"/>
  <c r="M341" i="1"/>
  <c r="L341" i="1"/>
  <c r="M340" i="1"/>
  <c r="L340" i="1"/>
  <c r="M339" i="1"/>
  <c r="L339" i="1"/>
  <c r="M338" i="1"/>
  <c r="L338" i="1"/>
  <c r="M337" i="1"/>
  <c r="L337" i="1"/>
  <c r="M336" i="1"/>
  <c r="L336" i="1"/>
  <c r="M335" i="1"/>
  <c r="L335" i="1"/>
  <c r="M334" i="1"/>
  <c r="L334" i="1"/>
  <c r="M333" i="1"/>
  <c r="L333" i="1"/>
  <c r="M332" i="1"/>
  <c r="L332" i="1"/>
  <c r="M331" i="1"/>
  <c r="L331" i="1"/>
  <c r="M330" i="1"/>
  <c r="L330" i="1"/>
  <c r="M329" i="1"/>
  <c r="L329" i="1"/>
  <c r="M328" i="1"/>
  <c r="L328" i="1"/>
  <c r="M327" i="1"/>
  <c r="L327" i="1"/>
  <c r="M326" i="1"/>
  <c r="L326" i="1"/>
  <c r="M325" i="1"/>
  <c r="L325" i="1"/>
  <c r="M324" i="1"/>
  <c r="L324" i="1"/>
  <c r="M323" i="1"/>
  <c r="L323" i="1"/>
  <c r="M322" i="1"/>
  <c r="L322" i="1"/>
  <c r="M321" i="1"/>
  <c r="L321" i="1"/>
  <c r="M320" i="1"/>
  <c r="L320" i="1"/>
  <c r="M319" i="1"/>
  <c r="L319" i="1"/>
  <c r="M318" i="1"/>
  <c r="L318" i="1"/>
  <c r="M317" i="1"/>
  <c r="L317" i="1"/>
  <c r="M316" i="1"/>
  <c r="L316" i="1"/>
  <c r="M315" i="1"/>
  <c r="L315" i="1"/>
  <c r="M314" i="1"/>
  <c r="L314" i="1"/>
  <c r="M313" i="1"/>
  <c r="L313" i="1"/>
  <c r="M312" i="1"/>
  <c r="L312" i="1"/>
  <c r="M311" i="1"/>
  <c r="L311" i="1"/>
  <c r="M310" i="1"/>
  <c r="L310" i="1"/>
  <c r="M309" i="1"/>
  <c r="L309" i="1"/>
  <c r="M308" i="1"/>
  <c r="L308" i="1"/>
  <c r="M307" i="1"/>
  <c r="L307" i="1"/>
  <c r="M306" i="1"/>
  <c r="L306" i="1"/>
  <c r="M305" i="1"/>
  <c r="L305" i="1"/>
  <c r="M304" i="1"/>
  <c r="L304" i="1"/>
  <c r="M303" i="1"/>
  <c r="L303" i="1"/>
  <c r="M302" i="1"/>
  <c r="L302" i="1"/>
  <c r="M301" i="1"/>
  <c r="L301" i="1"/>
  <c r="M300" i="1"/>
  <c r="L300" i="1"/>
  <c r="M299" i="1"/>
  <c r="L299" i="1"/>
  <c r="M298" i="1"/>
  <c r="L298" i="1"/>
  <c r="M297" i="1"/>
  <c r="L297" i="1"/>
  <c r="M296" i="1"/>
  <c r="L296" i="1"/>
  <c r="M295" i="1"/>
  <c r="L295" i="1"/>
  <c r="M294" i="1"/>
  <c r="L294" i="1"/>
  <c r="M293" i="1"/>
  <c r="L293" i="1"/>
  <c r="M292" i="1"/>
  <c r="L292" i="1"/>
  <c r="M291" i="1"/>
  <c r="L291" i="1"/>
  <c r="M290" i="1"/>
  <c r="L290" i="1"/>
  <c r="M289" i="1"/>
  <c r="L289" i="1"/>
  <c r="M288" i="1"/>
  <c r="L288" i="1"/>
  <c r="M287" i="1"/>
  <c r="L287" i="1"/>
  <c r="M286" i="1"/>
  <c r="L286" i="1"/>
  <c r="M285" i="1"/>
  <c r="L285" i="1"/>
  <c r="M284" i="1"/>
  <c r="L284" i="1"/>
  <c r="M283" i="1"/>
  <c r="L283" i="1"/>
  <c r="M282" i="1"/>
  <c r="L282" i="1"/>
  <c r="M281" i="1"/>
  <c r="L281" i="1"/>
  <c r="M280" i="1"/>
  <c r="L280" i="1"/>
  <c r="M279" i="1"/>
  <c r="L279" i="1"/>
  <c r="M278" i="1"/>
  <c r="L278" i="1"/>
  <c r="M277" i="1"/>
  <c r="L277" i="1"/>
  <c r="M276" i="1"/>
  <c r="L276" i="1"/>
  <c r="M275" i="1"/>
  <c r="L275" i="1"/>
  <c r="M274" i="1"/>
  <c r="L274" i="1"/>
  <c r="M273" i="1"/>
  <c r="L273" i="1"/>
  <c r="M272" i="1"/>
  <c r="L272" i="1"/>
  <c r="M271" i="1"/>
  <c r="L271" i="1"/>
  <c r="M270" i="1"/>
  <c r="L270" i="1"/>
  <c r="M269" i="1"/>
  <c r="L269" i="1"/>
  <c r="M268" i="1"/>
  <c r="L268" i="1"/>
  <c r="M267" i="1"/>
  <c r="L267" i="1"/>
  <c r="M266" i="1"/>
  <c r="L266" i="1"/>
  <c r="M265" i="1"/>
  <c r="L265" i="1"/>
  <c r="M264" i="1"/>
  <c r="L264" i="1"/>
  <c r="M263" i="1"/>
  <c r="L263" i="1"/>
  <c r="M262" i="1"/>
  <c r="L262" i="1"/>
  <c r="M261" i="1"/>
  <c r="L261" i="1"/>
  <c r="M260" i="1"/>
  <c r="L260" i="1"/>
  <c r="M259" i="1"/>
  <c r="L259" i="1"/>
  <c r="M258" i="1"/>
  <c r="L258" i="1"/>
  <c r="M257" i="1"/>
  <c r="L257" i="1"/>
  <c r="M256" i="1"/>
  <c r="L256" i="1"/>
  <c r="M255" i="1"/>
  <c r="L255" i="1"/>
  <c r="M254" i="1"/>
  <c r="L254" i="1"/>
  <c r="M253" i="1"/>
  <c r="L253" i="1"/>
  <c r="M252" i="1"/>
  <c r="L252" i="1"/>
  <c r="M251" i="1"/>
  <c r="L251" i="1"/>
  <c r="M250" i="1"/>
  <c r="L250" i="1"/>
  <c r="M249" i="1"/>
  <c r="L249" i="1"/>
  <c r="M248" i="1"/>
  <c r="L248" i="1"/>
  <c r="M247" i="1"/>
  <c r="L247" i="1"/>
  <c r="M246" i="1"/>
  <c r="L246" i="1"/>
  <c r="M245" i="1"/>
  <c r="L245" i="1"/>
  <c r="M244" i="1"/>
  <c r="L244" i="1"/>
  <c r="M243" i="1"/>
  <c r="L243" i="1"/>
  <c r="M242" i="1"/>
  <c r="L242" i="1"/>
  <c r="M241" i="1"/>
  <c r="L241" i="1"/>
  <c r="M240" i="1"/>
  <c r="L240" i="1"/>
  <c r="M239" i="1"/>
  <c r="L239" i="1"/>
  <c r="M238" i="1"/>
  <c r="L238" i="1"/>
  <c r="M237" i="1"/>
  <c r="L237" i="1"/>
  <c r="M236" i="1"/>
  <c r="L236" i="1"/>
  <c r="M235" i="1"/>
  <c r="L235" i="1"/>
  <c r="M234" i="1"/>
  <c r="L234" i="1"/>
  <c r="M233" i="1"/>
  <c r="L233" i="1"/>
  <c r="M232" i="1"/>
  <c r="L232" i="1"/>
  <c r="M231" i="1"/>
  <c r="L231" i="1"/>
  <c r="M230" i="1"/>
  <c r="L230" i="1"/>
  <c r="M229" i="1"/>
  <c r="L229" i="1"/>
  <c r="M228" i="1"/>
  <c r="L228" i="1"/>
  <c r="M227" i="1"/>
  <c r="L227" i="1"/>
  <c r="M226" i="1"/>
  <c r="L226" i="1"/>
  <c r="M225" i="1"/>
  <c r="L225" i="1"/>
  <c r="M224" i="1"/>
  <c r="L224" i="1"/>
  <c r="M223" i="1"/>
  <c r="L223" i="1"/>
  <c r="M222" i="1"/>
  <c r="L222" i="1"/>
  <c r="M221" i="1"/>
  <c r="L221" i="1"/>
  <c r="M220" i="1"/>
  <c r="L220" i="1"/>
  <c r="M219" i="1"/>
  <c r="L219" i="1"/>
  <c r="M218" i="1"/>
  <c r="L218" i="1"/>
  <c r="M217" i="1"/>
  <c r="L217" i="1"/>
  <c r="M216" i="1"/>
  <c r="L216" i="1"/>
  <c r="M215" i="1"/>
  <c r="L215" i="1"/>
  <c r="M214" i="1"/>
  <c r="L214" i="1"/>
  <c r="M213" i="1"/>
  <c r="L213" i="1"/>
  <c r="M212" i="1"/>
  <c r="L212" i="1"/>
  <c r="M211" i="1"/>
  <c r="L211" i="1"/>
  <c r="M210" i="1"/>
  <c r="L210" i="1"/>
  <c r="M209" i="1"/>
  <c r="L209" i="1"/>
  <c r="M208" i="1"/>
  <c r="L208" i="1"/>
  <c r="M207" i="1"/>
  <c r="L207" i="1"/>
  <c r="M206" i="1"/>
  <c r="L206" i="1"/>
  <c r="M205" i="1"/>
  <c r="L205" i="1"/>
  <c r="M204" i="1"/>
  <c r="L204" i="1"/>
  <c r="M203" i="1"/>
  <c r="L203" i="1"/>
  <c r="M202" i="1"/>
  <c r="L202" i="1"/>
  <c r="M201" i="1"/>
  <c r="L201" i="1"/>
  <c r="M200" i="1"/>
  <c r="L200" i="1"/>
  <c r="M199" i="1"/>
  <c r="L199" i="1"/>
  <c r="M198" i="1"/>
  <c r="L198" i="1"/>
  <c r="M197" i="1"/>
  <c r="L197" i="1"/>
  <c r="M196" i="1"/>
  <c r="L196" i="1"/>
  <c r="M195" i="1"/>
  <c r="L195" i="1"/>
  <c r="M194" i="1"/>
  <c r="L194" i="1"/>
  <c r="M193" i="1"/>
  <c r="L193" i="1"/>
  <c r="M192" i="1"/>
  <c r="L192" i="1"/>
  <c r="M191" i="1"/>
  <c r="L191" i="1"/>
  <c r="M190" i="1"/>
  <c r="L190" i="1"/>
  <c r="M189" i="1"/>
  <c r="L189" i="1"/>
  <c r="M188" i="1"/>
  <c r="L188" i="1"/>
  <c r="M187" i="1"/>
  <c r="L187" i="1"/>
  <c r="M186" i="1"/>
  <c r="L186" i="1"/>
  <c r="M185" i="1"/>
  <c r="L185" i="1"/>
  <c r="M184" i="1"/>
  <c r="L184" i="1"/>
  <c r="M183" i="1"/>
  <c r="L183" i="1"/>
  <c r="M182" i="1"/>
  <c r="L182" i="1"/>
  <c r="M181" i="1"/>
  <c r="L181" i="1"/>
  <c r="M180" i="1"/>
  <c r="L180" i="1"/>
  <c r="M179" i="1"/>
  <c r="L179" i="1"/>
  <c r="M178" i="1"/>
  <c r="L178" i="1"/>
  <c r="M177" i="1"/>
  <c r="L177" i="1"/>
  <c r="M176" i="1"/>
  <c r="L176" i="1"/>
  <c r="M175" i="1"/>
  <c r="L175" i="1"/>
  <c r="M174" i="1"/>
  <c r="L174" i="1"/>
  <c r="M173" i="1"/>
  <c r="L173" i="1"/>
  <c r="M172" i="1"/>
  <c r="L172" i="1"/>
  <c r="M171" i="1"/>
  <c r="L171" i="1"/>
  <c r="M170" i="1"/>
  <c r="L170" i="1"/>
  <c r="M169" i="1"/>
  <c r="L169" i="1"/>
  <c r="M168" i="1"/>
  <c r="L168" i="1"/>
  <c r="M167" i="1"/>
  <c r="L167" i="1"/>
  <c r="M166" i="1"/>
  <c r="L166" i="1"/>
  <c r="M165" i="1"/>
  <c r="L165" i="1"/>
  <c r="M164" i="1"/>
  <c r="L164" i="1"/>
  <c r="M163" i="1"/>
  <c r="L163" i="1"/>
  <c r="M162" i="1"/>
  <c r="L162" i="1"/>
  <c r="M161" i="1"/>
  <c r="L161" i="1"/>
  <c r="M160" i="1"/>
  <c r="L160" i="1"/>
  <c r="M159" i="1"/>
  <c r="L159" i="1"/>
  <c r="M158" i="1"/>
  <c r="L158" i="1"/>
  <c r="M157" i="1"/>
  <c r="L157" i="1"/>
  <c r="M156" i="1"/>
  <c r="L156" i="1"/>
  <c r="M155" i="1"/>
  <c r="L155" i="1"/>
  <c r="M154" i="1"/>
  <c r="L154" i="1"/>
  <c r="M153" i="1"/>
  <c r="L153" i="1"/>
  <c r="M152" i="1"/>
  <c r="L152" i="1"/>
  <c r="M151" i="1"/>
  <c r="L151" i="1"/>
  <c r="M150" i="1"/>
  <c r="L150" i="1"/>
  <c r="M149" i="1"/>
  <c r="L149" i="1"/>
  <c r="M148" i="1"/>
  <c r="L148" i="1"/>
  <c r="M147" i="1"/>
  <c r="L147" i="1"/>
  <c r="M146" i="1"/>
  <c r="L146" i="1"/>
  <c r="M145" i="1"/>
  <c r="L145" i="1"/>
  <c r="M144" i="1"/>
  <c r="L144" i="1"/>
  <c r="M143" i="1"/>
  <c r="L143" i="1"/>
  <c r="M142" i="1"/>
  <c r="L142" i="1"/>
  <c r="M141" i="1"/>
  <c r="L141" i="1"/>
  <c r="M140" i="1"/>
  <c r="L140" i="1"/>
  <c r="M139" i="1"/>
  <c r="L139" i="1"/>
  <c r="M138" i="1"/>
  <c r="L138" i="1"/>
  <c r="M137" i="1"/>
  <c r="L137" i="1"/>
  <c r="M136" i="1"/>
  <c r="L136" i="1"/>
  <c r="M135" i="1"/>
  <c r="L135" i="1"/>
  <c r="M134" i="1"/>
  <c r="L134" i="1"/>
  <c r="M133" i="1"/>
  <c r="L133" i="1"/>
  <c r="M132" i="1"/>
  <c r="L132" i="1"/>
  <c r="M131" i="1"/>
  <c r="L131" i="1"/>
  <c r="M130" i="1"/>
  <c r="L130" i="1"/>
  <c r="M129" i="1"/>
  <c r="L129" i="1"/>
  <c r="M128" i="1"/>
  <c r="L128" i="1"/>
  <c r="M127" i="1"/>
  <c r="L127" i="1"/>
  <c r="M126" i="1"/>
  <c r="L126" i="1"/>
  <c r="M125" i="1"/>
  <c r="L125" i="1"/>
  <c r="M124" i="1"/>
  <c r="L124" i="1"/>
  <c r="M123" i="1"/>
  <c r="L123" i="1"/>
  <c r="M122" i="1"/>
  <c r="L122" i="1"/>
  <c r="M121" i="1"/>
  <c r="L121" i="1"/>
  <c r="M120" i="1"/>
  <c r="L120" i="1"/>
  <c r="M119" i="1"/>
  <c r="L119" i="1"/>
  <c r="M118" i="1"/>
  <c r="L118" i="1"/>
  <c r="M117" i="1"/>
  <c r="L117" i="1"/>
  <c r="M116" i="1"/>
  <c r="L116" i="1"/>
  <c r="M115" i="1"/>
  <c r="L115" i="1"/>
  <c r="M114" i="1"/>
  <c r="L114" i="1"/>
  <c r="M113" i="1"/>
  <c r="L113" i="1"/>
  <c r="M112" i="1"/>
  <c r="L112" i="1"/>
  <c r="M111" i="1"/>
  <c r="L111" i="1"/>
  <c r="M110" i="1"/>
  <c r="L110" i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M99" i="1"/>
  <c r="L99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L92" i="1"/>
  <c r="M91" i="1"/>
  <c r="L91" i="1"/>
  <c r="M90" i="1"/>
  <c r="L90" i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M79" i="1"/>
  <c r="L79" i="1"/>
  <c r="M78" i="1"/>
  <c r="L78" i="1"/>
  <c r="M77" i="1"/>
  <c r="L77" i="1"/>
  <c r="M76" i="1"/>
  <c r="L76" i="1"/>
  <c r="M75" i="1"/>
  <c r="L75" i="1"/>
  <c r="M74" i="1"/>
  <c r="L74" i="1"/>
  <c r="M73" i="1"/>
  <c r="L73" i="1"/>
  <c r="M72" i="1"/>
  <c r="L72" i="1"/>
  <c r="M71" i="1"/>
  <c r="L71" i="1"/>
  <c r="M70" i="1"/>
  <c r="L70" i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L62" i="1"/>
  <c r="M61" i="1"/>
  <c r="L61" i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J9" i="1"/>
  <c r="I9" i="1"/>
  <c r="W363" i="4" l="1"/>
  <c r="Y362" i="4"/>
  <c r="AA363" i="4"/>
  <c r="AC362" i="4"/>
  <c r="AE361" i="4"/>
  <c r="AH362" i="4"/>
  <c r="W361" i="4"/>
  <c r="U362" i="4"/>
  <c r="AA361" i="4"/>
  <c r="L363" i="4"/>
  <c r="L361" i="4"/>
  <c r="V362" i="4"/>
  <c r="X363" i="4"/>
  <c r="X361" i="4"/>
  <c r="Z362" i="4"/>
  <c r="AB363" i="4"/>
  <c r="AB361" i="4"/>
  <c r="AF363" i="4"/>
  <c r="AF361" i="4"/>
  <c r="AI362" i="4"/>
  <c r="AL363" i="4"/>
  <c r="AL361" i="4"/>
  <c r="AO362" i="4"/>
  <c r="AR363" i="4"/>
  <c r="AR361" i="4"/>
  <c r="AD362" i="4"/>
  <c r="O362" i="4"/>
  <c r="AK363" i="4"/>
  <c r="AQ363" i="4"/>
  <c r="AQ361" i="4"/>
  <c r="AT362" i="4"/>
  <c r="AW363" i="4"/>
  <c r="AW361" i="4"/>
  <c r="AU362" i="4"/>
  <c r="AX363" i="4"/>
  <c r="AX361" i="4"/>
  <c r="AN362" i="4"/>
  <c r="M363" i="4"/>
  <c r="M361" i="4"/>
  <c r="P362" i="4"/>
  <c r="S363" i="4"/>
  <c r="S361" i="4"/>
  <c r="I363" i="4"/>
  <c r="J361" i="4"/>
  <c r="I361" i="4"/>
  <c r="J362" i="4"/>
  <c r="L362" i="4"/>
  <c r="O363" i="4"/>
  <c r="O361" i="4"/>
  <c r="U363" i="4"/>
  <c r="U361" i="4"/>
  <c r="W362" i="4"/>
  <c r="Y363" i="4"/>
  <c r="Y361" i="4"/>
  <c r="AA362" i="4"/>
  <c r="AC363" i="4"/>
  <c r="AC361" i="4"/>
  <c r="AE362" i="4"/>
  <c r="AH363" i="4"/>
  <c r="AH361" i="4"/>
  <c r="AK362" i="4"/>
  <c r="AN363" i="4"/>
  <c r="AN361" i="4"/>
  <c r="AQ362" i="4"/>
  <c r="AT363" i="4"/>
  <c r="AT361" i="4"/>
  <c r="AW362" i="4"/>
  <c r="AE363" i="4"/>
  <c r="AK361" i="4"/>
  <c r="J363" i="4"/>
  <c r="I362" i="4"/>
  <c r="M362" i="4"/>
  <c r="P363" i="4"/>
  <c r="P361" i="4"/>
  <c r="S362" i="4"/>
  <c r="V363" i="4"/>
  <c r="V361" i="4"/>
  <c r="X362" i="4"/>
  <c r="X364" i="4" s="1"/>
  <c r="Z363" i="4"/>
  <c r="Z361" i="4"/>
  <c r="AB362" i="4"/>
  <c r="AD363" i="4"/>
  <c r="AD361" i="4"/>
  <c r="AF362" i="4"/>
  <c r="AI363" i="4"/>
  <c r="AI361" i="4"/>
  <c r="AL362" i="4"/>
  <c r="AO363" i="4"/>
  <c r="AO361" i="4"/>
  <c r="AR362" i="4"/>
  <c r="AU363" i="4"/>
  <c r="AU361" i="4"/>
  <c r="AX362" i="4"/>
  <c r="EI5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6" i="1"/>
  <c r="EI47" i="1"/>
  <c r="EI48" i="1"/>
  <c r="EI49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127" i="1"/>
  <c r="EI128" i="1"/>
  <c r="EI129" i="1"/>
  <c r="EI130" i="1"/>
  <c r="EI131" i="1"/>
  <c r="EI132" i="1"/>
  <c r="EI133" i="1"/>
  <c r="EI134" i="1"/>
  <c r="EI135" i="1"/>
  <c r="EI136" i="1"/>
  <c r="EI137" i="1"/>
  <c r="EI138" i="1"/>
  <c r="EI139" i="1"/>
  <c r="EI140" i="1"/>
  <c r="EI141" i="1"/>
  <c r="EI142" i="1"/>
  <c r="EI143" i="1"/>
  <c r="EI144" i="1"/>
  <c r="EI145" i="1"/>
  <c r="EI146" i="1"/>
  <c r="EI147" i="1"/>
  <c r="EI148" i="1"/>
  <c r="EI149" i="1"/>
  <c r="EI150" i="1"/>
  <c r="EI151" i="1"/>
  <c r="EI152" i="1"/>
  <c r="EI153" i="1"/>
  <c r="EI154" i="1"/>
  <c r="EI155" i="1"/>
  <c r="EI156" i="1"/>
  <c r="EI157" i="1"/>
  <c r="EI158" i="1"/>
  <c r="EI159" i="1"/>
  <c r="EI160" i="1"/>
  <c r="EI161" i="1"/>
  <c r="EI162" i="1"/>
  <c r="EI163" i="1"/>
  <c r="EI164" i="1"/>
  <c r="EI165" i="1"/>
  <c r="EI166" i="1"/>
  <c r="EI167" i="1"/>
  <c r="EI168" i="1"/>
  <c r="EI169" i="1"/>
  <c r="EI170" i="1"/>
  <c r="EI171" i="1"/>
  <c r="EI172" i="1"/>
  <c r="EI173" i="1"/>
  <c r="EI174" i="1"/>
  <c r="EI175" i="1"/>
  <c r="EI176" i="1"/>
  <c r="EI177" i="1"/>
  <c r="EI178" i="1"/>
  <c r="EI179" i="1"/>
  <c r="EI180" i="1"/>
  <c r="EI181" i="1"/>
  <c r="EI182" i="1"/>
  <c r="EI183" i="1"/>
  <c r="EI184" i="1"/>
  <c r="EI185" i="1"/>
  <c r="EI186" i="1"/>
  <c r="EI187" i="1"/>
  <c r="EI188" i="1"/>
  <c r="EI189" i="1"/>
  <c r="EI190" i="1"/>
  <c r="EI191" i="1"/>
  <c r="EI192" i="1"/>
  <c r="EI193" i="1"/>
  <c r="EI194" i="1"/>
  <c r="EI195" i="1"/>
  <c r="EI196" i="1"/>
  <c r="EI197" i="1"/>
  <c r="EI198" i="1"/>
  <c r="EI199" i="1"/>
  <c r="EI200" i="1"/>
  <c r="EI201" i="1"/>
  <c r="EI202" i="1"/>
  <c r="EI203" i="1"/>
  <c r="EI204" i="1"/>
  <c r="EI205" i="1"/>
  <c r="EI206" i="1"/>
  <c r="EI207" i="1"/>
  <c r="EI208" i="1"/>
  <c r="EI209" i="1"/>
  <c r="EI210" i="1"/>
  <c r="EI211" i="1"/>
  <c r="EI212" i="1"/>
  <c r="EI214" i="1"/>
  <c r="EI215" i="1"/>
  <c r="EI216" i="1"/>
  <c r="EI217" i="1"/>
  <c r="EI218" i="1"/>
  <c r="EI219" i="1"/>
  <c r="EI220" i="1"/>
  <c r="EI221" i="1"/>
  <c r="EI222" i="1"/>
  <c r="EI223" i="1"/>
  <c r="EI224" i="1"/>
  <c r="EI225" i="1"/>
  <c r="EI226" i="1"/>
  <c r="EI227" i="1"/>
  <c r="EI228" i="1"/>
  <c r="EI229" i="1"/>
  <c r="EI230" i="1"/>
  <c r="EI231" i="1"/>
  <c r="EI232" i="1"/>
  <c r="EI233" i="1"/>
  <c r="EI234" i="1"/>
  <c r="EI235" i="1"/>
  <c r="EI236" i="1"/>
  <c r="EI237" i="1"/>
  <c r="EI238" i="1"/>
  <c r="EI239" i="1"/>
  <c r="EI240" i="1"/>
  <c r="EI241" i="1"/>
  <c r="EI242" i="1"/>
  <c r="EI243" i="1"/>
  <c r="EI244" i="1"/>
  <c r="EI245" i="1"/>
  <c r="EI246" i="1"/>
  <c r="EI247" i="1"/>
  <c r="EI248" i="1"/>
  <c r="EI249" i="1"/>
  <c r="EI250" i="1"/>
  <c r="EI251" i="1"/>
  <c r="EI252" i="1"/>
  <c r="EI253" i="1"/>
  <c r="EI254" i="1"/>
  <c r="EI255" i="1"/>
  <c r="EI256" i="1"/>
  <c r="EI257" i="1"/>
  <c r="EI258" i="1"/>
  <c r="EI259" i="1"/>
  <c r="EI260" i="1"/>
  <c r="EI261" i="1"/>
  <c r="EI262" i="1"/>
  <c r="EI263" i="1"/>
  <c r="EI264" i="1"/>
  <c r="EI265" i="1"/>
  <c r="EI266" i="1"/>
  <c r="EI267" i="1"/>
  <c r="EI268" i="1"/>
  <c r="EI269" i="1"/>
  <c r="EI270" i="1"/>
  <c r="EI271" i="1"/>
  <c r="EI272" i="1"/>
  <c r="EI273" i="1"/>
  <c r="EI274" i="1"/>
  <c r="EI275" i="1"/>
  <c r="EI276" i="1"/>
  <c r="EI277" i="1"/>
  <c r="EI278" i="1"/>
  <c r="EI279" i="1"/>
  <c r="EI280" i="1"/>
  <c r="EI281" i="1"/>
  <c r="EI282" i="1"/>
  <c r="EI283" i="1"/>
  <c r="EI284" i="1"/>
  <c r="EI285" i="1"/>
  <c r="EI286" i="1"/>
  <c r="EI287" i="1"/>
  <c r="EI288" i="1"/>
  <c r="EI289" i="1"/>
  <c r="EI290" i="1"/>
  <c r="EI291" i="1"/>
  <c r="EI292" i="1"/>
  <c r="EI293" i="1"/>
  <c r="EI294" i="1"/>
  <c r="EI295" i="1"/>
  <c r="EI296" i="1"/>
  <c r="EI297" i="1"/>
  <c r="EI298" i="1"/>
  <c r="EI299" i="1"/>
  <c r="EI300" i="1"/>
  <c r="EI301" i="1"/>
  <c r="EI302" i="1"/>
  <c r="EI303" i="1"/>
  <c r="EI304" i="1"/>
  <c r="EI305" i="1"/>
  <c r="EI306" i="1"/>
  <c r="EI307" i="1"/>
  <c r="EI308" i="1"/>
  <c r="EI309" i="1"/>
  <c r="EI310" i="1"/>
  <c r="EI311" i="1"/>
  <c r="EI312" i="1"/>
  <c r="EI313" i="1"/>
  <c r="EI314" i="1"/>
  <c r="EI315" i="1"/>
  <c r="EI316" i="1"/>
  <c r="EI317" i="1"/>
  <c r="EI318" i="1"/>
  <c r="EI319" i="1"/>
  <c r="EI320" i="1"/>
  <c r="EI321" i="1"/>
  <c r="EI322" i="1"/>
  <c r="EI323" i="1"/>
  <c r="EI324" i="1"/>
  <c r="EI325" i="1"/>
  <c r="EI326" i="1"/>
  <c r="EI327" i="1"/>
  <c r="EI328" i="1"/>
  <c r="EI329" i="1"/>
  <c r="EI330" i="1"/>
  <c r="EI331" i="1"/>
  <c r="EI332" i="1"/>
  <c r="EI333" i="1"/>
  <c r="EI334" i="1"/>
  <c r="EI335" i="1"/>
  <c r="EI336" i="1"/>
  <c r="EI337" i="1"/>
  <c r="EI338" i="1"/>
  <c r="EI339" i="1"/>
  <c r="EI340" i="1"/>
  <c r="EI341" i="1"/>
  <c r="EI342" i="1"/>
  <c r="EI343" i="1"/>
  <c r="EI344" i="1"/>
  <c r="EI345" i="1"/>
  <c r="EI346" i="1"/>
  <c r="EI347" i="1"/>
  <c r="EI348" i="1"/>
  <c r="EI349" i="1"/>
  <c r="EI350" i="1"/>
  <c r="EI351" i="1"/>
  <c r="EI352" i="1"/>
  <c r="EI353" i="1"/>
  <c r="EI9" i="1"/>
  <c r="W364" i="4" l="1"/>
  <c r="AA364" i="4"/>
  <c r="D47" i="12"/>
  <c r="E47" i="12" s="1"/>
  <c r="L364" i="4"/>
  <c r="EI359" i="1"/>
  <c r="EI357" i="1"/>
  <c r="EI360" i="1" s="1"/>
  <c r="EI358" i="1"/>
  <c r="AR364" i="4"/>
  <c r="AB364" i="4"/>
  <c r="AK364" i="4"/>
  <c r="AC364" i="4"/>
  <c r="AX364" i="4"/>
  <c r="AO364" i="4"/>
  <c r="AF364" i="4"/>
  <c r="Y364" i="4"/>
  <c r="AQ364" i="4"/>
  <c r="AL364" i="4"/>
  <c r="P364" i="4"/>
  <c r="AT364" i="4"/>
  <c r="M364" i="4"/>
  <c r="AE364" i="4"/>
  <c r="S364" i="4"/>
  <c r="AW364" i="4"/>
  <c r="AH364" i="4"/>
  <c r="O364" i="4"/>
  <c r="AD364" i="4"/>
  <c r="I364" i="4"/>
  <c r="AU364" i="4"/>
  <c r="V364" i="4"/>
  <c r="AI364" i="4"/>
  <c r="Z364" i="4"/>
  <c r="J364" i="4"/>
  <c r="AN364" i="4"/>
  <c r="U364" i="4"/>
  <c r="EI354" i="1"/>
  <c r="F33" i="5" l="1"/>
  <c r="F35" i="5" s="1"/>
  <c r="G33" i="5"/>
  <c r="G35" i="5" s="1"/>
  <c r="AZ215" i="4" l="1"/>
  <c r="Q213" i="1"/>
  <c r="T213" i="1"/>
  <c r="W213" i="1"/>
  <c r="AC213" i="1"/>
  <c r="AO213" i="1"/>
  <c r="AU213" i="1"/>
  <c r="BD213" i="1"/>
  <c r="BG213" i="1"/>
  <c r="CE213" i="1"/>
  <c r="CK213" i="1"/>
  <c r="CN213" i="1"/>
  <c r="E213" i="1"/>
  <c r="AZ352" i="4"/>
  <c r="AZ348" i="4"/>
  <c r="AZ344" i="4"/>
  <c r="AZ340" i="4"/>
  <c r="AZ336" i="4"/>
  <c r="AZ332" i="4"/>
  <c r="AZ328" i="4"/>
  <c r="AZ324" i="4"/>
  <c r="AZ320" i="4"/>
  <c r="AZ316" i="4"/>
  <c r="AZ312" i="4"/>
  <c r="AZ308" i="4"/>
  <c r="AZ304" i="4"/>
  <c r="AZ300" i="4"/>
  <c r="AZ285" i="4"/>
  <c r="AZ281" i="4"/>
  <c r="AZ277" i="4"/>
  <c r="AZ273" i="4"/>
  <c r="AZ269" i="4"/>
  <c r="AZ265" i="4"/>
  <c r="AZ261" i="4"/>
  <c r="AZ33" i="4"/>
  <c r="AZ29" i="4"/>
  <c r="AZ153" i="4"/>
  <c r="AZ25" i="4"/>
  <c r="AZ21" i="4"/>
  <c r="AZ17" i="4"/>
  <c r="AZ238" i="4"/>
  <c r="AZ253" i="4"/>
  <c r="AZ294" i="4"/>
  <c r="AZ290" i="4"/>
  <c r="AZ45" i="4"/>
  <c r="AZ41" i="4"/>
  <c r="AZ37" i="4"/>
  <c r="AZ252" i="4"/>
  <c r="AZ248" i="4"/>
  <c r="AZ244" i="4"/>
  <c r="AZ235" i="4"/>
  <c r="AZ231" i="4"/>
  <c r="AZ227" i="4"/>
  <c r="AZ223" i="4"/>
  <c r="AZ219" i="4"/>
  <c r="AZ214" i="4"/>
  <c r="AZ210" i="4"/>
  <c r="AZ206" i="4"/>
  <c r="AZ202" i="4"/>
  <c r="AZ198" i="4"/>
  <c r="AZ194" i="4"/>
  <c r="AZ190" i="4"/>
  <c r="AZ186" i="4"/>
  <c r="AZ182" i="4"/>
  <c r="AZ178" i="4"/>
  <c r="AZ174" i="4"/>
  <c r="AZ170" i="4"/>
  <c r="AZ166" i="4"/>
  <c r="AZ162" i="4"/>
  <c r="AZ158" i="4"/>
  <c r="AZ46" i="4"/>
  <c r="AZ149" i="4"/>
  <c r="AZ145" i="4"/>
  <c r="AZ142" i="4"/>
  <c r="AZ138" i="4"/>
  <c r="AZ134" i="4"/>
  <c r="AZ130" i="4"/>
  <c r="AZ126" i="4"/>
  <c r="AZ122" i="4"/>
  <c r="AZ118" i="4"/>
  <c r="AZ114" i="4"/>
  <c r="AZ110" i="4"/>
  <c r="AZ106" i="4"/>
  <c r="AZ102" i="4"/>
  <c r="AZ98" i="4"/>
  <c r="AZ94" i="4"/>
  <c r="AZ90" i="4"/>
  <c r="AZ86" i="4"/>
  <c r="AZ82" i="4"/>
  <c r="AZ78" i="4"/>
  <c r="AZ74" i="4"/>
  <c r="AZ70" i="4"/>
  <c r="AZ66" i="4"/>
  <c r="AZ62" i="4"/>
  <c r="AZ58" i="4"/>
  <c r="AZ54" i="4"/>
  <c r="AZ50" i="4"/>
  <c r="AZ15" i="4"/>
  <c r="AZ11" i="4"/>
  <c r="AA356" i="4"/>
  <c r="J3" i="4"/>
  <c r="F215" i="4"/>
  <c r="BA108" i="4" l="1"/>
  <c r="BA112" i="4"/>
  <c r="BA124" i="4"/>
  <c r="BA132" i="4"/>
  <c r="BA136" i="4"/>
  <c r="BA144" i="4"/>
  <c r="BA151" i="4"/>
  <c r="BA160" i="4"/>
  <c r="BA168" i="4"/>
  <c r="BA221" i="4"/>
  <c r="BA229" i="4"/>
  <c r="BA242" i="4"/>
  <c r="BA250" i="4"/>
  <c r="BA39" i="4"/>
  <c r="BA288" i="4"/>
  <c r="BA292" i="4"/>
  <c r="BA240" i="4"/>
  <c r="BA19" i="4"/>
  <c r="BA27" i="4"/>
  <c r="BA31" i="4"/>
  <c r="BA267" i="4"/>
  <c r="BA271" i="4"/>
  <c r="BA283" i="4"/>
  <c r="BA298" i="4"/>
  <c r="BA310" i="4"/>
  <c r="BA314" i="4"/>
  <c r="BA318" i="4"/>
  <c r="BA322" i="4"/>
  <c r="BA326" i="4"/>
  <c r="BA330" i="4"/>
  <c r="BA334" i="4"/>
  <c r="BA338" i="4"/>
  <c r="BA342" i="4"/>
  <c r="BA346" i="4"/>
  <c r="BA350" i="4"/>
  <c r="BA354" i="4"/>
  <c r="BA215" i="4"/>
  <c r="X356" i="4"/>
  <c r="BP213" i="1"/>
  <c r="AR213" i="1"/>
  <c r="BA63" i="4"/>
  <c r="BA146" i="4"/>
  <c r="BA183" i="4"/>
  <c r="BA187" i="4"/>
  <c r="BA199" i="4"/>
  <c r="BA207" i="4"/>
  <c r="BA211" i="4"/>
  <c r="BA325" i="4"/>
  <c r="BA329" i="4"/>
  <c r="BA341" i="4"/>
  <c r="BA345" i="4"/>
  <c r="P356" i="4"/>
  <c r="CB213" i="1"/>
  <c r="BV213" i="1"/>
  <c r="BM213" i="1"/>
  <c r="AX213" i="1"/>
  <c r="AG213" i="1"/>
  <c r="AZ14" i="4"/>
  <c r="AZ49" i="4"/>
  <c r="AZ53" i="4"/>
  <c r="AZ57" i="4"/>
  <c r="AZ61" i="4"/>
  <c r="AZ65" i="4"/>
  <c r="AZ69" i="4"/>
  <c r="AZ73" i="4"/>
  <c r="AZ77" i="4"/>
  <c r="AZ81" i="4"/>
  <c r="AZ85" i="4"/>
  <c r="AZ89" i="4"/>
  <c r="AZ93" i="4"/>
  <c r="AZ97" i="4"/>
  <c r="AZ101" i="4"/>
  <c r="AZ105" i="4"/>
  <c r="AZ109" i="4"/>
  <c r="AZ113" i="4"/>
  <c r="AZ117" i="4"/>
  <c r="AZ121" i="4"/>
  <c r="AZ125" i="4"/>
  <c r="AZ129" i="4"/>
  <c r="AZ307" i="4"/>
  <c r="G215" i="4"/>
  <c r="H215" i="4" s="1"/>
  <c r="AF356" i="4"/>
  <c r="BA94" i="4"/>
  <c r="BA138" i="4"/>
  <c r="BA46" i="4"/>
  <c r="BA244" i="4"/>
  <c r="BA37" i="4"/>
  <c r="BA294" i="4"/>
  <c r="BA238" i="4"/>
  <c r="BA21" i="4"/>
  <c r="BA25" i="4"/>
  <c r="BA29" i="4"/>
  <c r="BA33" i="4"/>
  <c r="BA265" i="4"/>
  <c r="BA277" i="4"/>
  <c r="BA285" i="4"/>
  <c r="BA300" i="4"/>
  <c r="BA308" i="4"/>
  <c r="AZ133" i="4"/>
  <c r="AZ137" i="4"/>
  <c r="AZ141" i="4"/>
  <c r="AZ16" i="4"/>
  <c r="AZ148" i="4"/>
  <c r="AZ152" i="4"/>
  <c r="AZ157" i="4"/>
  <c r="AZ161" i="4"/>
  <c r="AZ165" i="4"/>
  <c r="AZ169" i="4"/>
  <c r="AZ173" i="4"/>
  <c r="AZ177" i="4"/>
  <c r="AZ181" i="4"/>
  <c r="AZ185" i="4"/>
  <c r="AZ189" i="4"/>
  <c r="AZ193" i="4"/>
  <c r="AZ197" i="4"/>
  <c r="AZ201" i="4"/>
  <c r="AZ205" i="4"/>
  <c r="AZ209" i="4"/>
  <c r="AZ213" i="4"/>
  <c r="AZ218" i="4"/>
  <c r="AZ222" i="4"/>
  <c r="AZ226" i="4"/>
  <c r="AZ230" i="4"/>
  <c r="AZ234" i="4"/>
  <c r="AZ243" i="4"/>
  <c r="AZ247" i="4"/>
  <c r="AZ251" i="4"/>
  <c r="AZ36" i="4"/>
  <c r="AZ40" i="4"/>
  <c r="AZ44" i="4"/>
  <c r="AZ289" i="4"/>
  <c r="AZ293" i="4"/>
  <c r="AZ297" i="4"/>
  <c r="AZ237" i="4"/>
  <c r="AZ241" i="4"/>
  <c r="AZ20" i="4"/>
  <c r="AZ24" i="4"/>
  <c r="AZ257" i="4"/>
  <c r="AZ28" i="4"/>
  <c r="AZ32" i="4"/>
  <c r="AZ260" i="4"/>
  <c r="AZ264" i="4"/>
  <c r="AZ268" i="4"/>
  <c r="AZ272" i="4"/>
  <c r="AZ276" i="4"/>
  <c r="AZ280" i="4"/>
  <c r="AZ284" i="4"/>
  <c r="AZ299" i="4"/>
  <c r="AZ303" i="4"/>
  <c r="AZ311" i="4"/>
  <c r="AZ315" i="4"/>
  <c r="AZ319" i="4"/>
  <c r="AZ323" i="4"/>
  <c r="AZ327" i="4"/>
  <c r="AZ331" i="4"/>
  <c r="AZ335" i="4"/>
  <c r="AZ339" i="4"/>
  <c r="AZ343" i="4"/>
  <c r="AZ347" i="4"/>
  <c r="AZ351" i="4"/>
  <c r="AZ355" i="4"/>
  <c r="AZ72" i="4"/>
  <c r="AZ116" i="4"/>
  <c r="AZ233" i="4"/>
  <c r="AZ246" i="4"/>
  <c r="AZ39" i="4"/>
  <c r="AZ240" i="4"/>
  <c r="AZ256" i="4"/>
  <c r="AZ27" i="4"/>
  <c r="AZ283" i="4"/>
  <c r="AZ330" i="4"/>
  <c r="AZ346" i="4"/>
  <c r="BA181" i="4"/>
  <c r="BA268" i="4"/>
  <c r="BA303" i="4"/>
  <c r="BA319" i="4"/>
  <c r="BA327" i="4"/>
  <c r="BA351" i="4"/>
  <c r="BB215" i="4"/>
  <c r="AD356" i="4"/>
  <c r="CO213" i="1"/>
  <c r="BQ213" i="1"/>
  <c r="CH213" i="1"/>
  <c r="BJ213" i="1"/>
  <c r="BA213" i="1"/>
  <c r="AL213" i="1"/>
  <c r="N213" i="1"/>
  <c r="AU356" i="4"/>
  <c r="M356" i="4"/>
  <c r="S356" i="4"/>
  <c r="AZ12" i="4"/>
  <c r="AZ83" i="4"/>
  <c r="AZ87" i="4"/>
  <c r="AZ91" i="4"/>
  <c r="AZ95" i="4"/>
  <c r="AZ99" i="4"/>
  <c r="AZ103" i="4"/>
  <c r="AZ107" i="4"/>
  <c r="AZ111" i="4"/>
  <c r="AZ115" i="4"/>
  <c r="AZ119" i="4"/>
  <c r="AZ123" i="4"/>
  <c r="AZ127" i="4"/>
  <c r="AZ131" i="4"/>
  <c r="AZ135" i="4"/>
  <c r="AZ139" i="4"/>
  <c r="AZ274" i="4"/>
  <c r="AZ317" i="4"/>
  <c r="AZ349" i="4"/>
  <c r="Y356" i="4"/>
  <c r="AC356" i="4"/>
  <c r="BA289" i="4"/>
  <c r="BA237" i="4"/>
  <c r="BA260" i="4"/>
  <c r="BA311" i="4"/>
  <c r="AB356" i="4"/>
  <c r="AZ47" i="4"/>
  <c r="AZ51" i="4"/>
  <c r="AZ55" i="4"/>
  <c r="AZ59" i="4"/>
  <c r="AZ63" i="4"/>
  <c r="AZ67" i="4"/>
  <c r="AZ71" i="4"/>
  <c r="AZ75" i="4"/>
  <c r="AZ79" i="4"/>
  <c r="AK356" i="4"/>
  <c r="AZ167" i="4"/>
  <c r="AZ175" i="4"/>
  <c r="AZ245" i="4"/>
  <c r="AZ143" i="4"/>
  <c r="AZ155" i="4"/>
  <c r="AZ159" i="4"/>
  <c r="AZ171" i="4"/>
  <c r="AZ183" i="4"/>
  <c r="AZ187" i="4"/>
  <c r="AZ207" i="4"/>
  <c r="AZ211" i="4"/>
  <c r="AZ220" i="4"/>
  <c r="AZ224" i="4"/>
  <c r="AZ232" i="4"/>
  <c r="AZ236" i="4"/>
  <c r="AZ34" i="4"/>
  <c r="AZ38" i="4"/>
  <c r="AZ42" i="4"/>
  <c r="AZ287" i="4"/>
  <c r="AZ291" i="4"/>
  <c r="AZ295" i="4"/>
  <c r="AZ254" i="4"/>
  <c r="AZ239" i="4"/>
  <c r="AZ18" i="4"/>
  <c r="AZ22" i="4"/>
  <c r="AZ26" i="4"/>
  <c r="AZ154" i="4"/>
  <c r="AZ30" i="4"/>
  <c r="AZ258" i="4"/>
  <c r="AZ262" i="4"/>
  <c r="AZ325" i="4"/>
  <c r="AZ333" i="4"/>
  <c r="AZ337" i="4"/>
  <c r="BA53" i="4"/>
  <c r="BA189" i="4"/>
  <c r="BA197" i="4"/>
  <c r="BA205" i="4"/>
  <c r="BA213" i="4"/>
  <c r="BA297" i="4"/>
  <c r="BA28" i="4"/>
  <c r="BA32" i="4"/>
  <c r="BA264" i="4"/>
  <c r="BA272" i="4"/>
  <c r="BA276" i="4"/>
  <c r="BA280" i="4"/>
  <c r="BA284" i="4"/>
  <c r="BA299" i="4"/>
  <c r="BA307" i="4"/>
  <c r="BA315" i="4"/>
  <c r="BA331" i="4"/>
  <c r="BA339" i="4"/>
  <c r="AZ146" i="4"/>
  <c r="AZ150" i="4"/>
  <c r="AZ163" i="4"/>
  <c r="AZ179" i="4"/>
  <c r="AZ191" i="4"/>
  <c r="AZ195" i="4"/>
  <c r="AZ199" i="4"/>
  <c r="AZ203" i="4"/>
  <c r="AZ216" i="4"/>
  <c r="AZ228" i="4"/>
  <c r="AZ249" i="4"/>
  <c r="AZ266" i="4"/>
  <c r="AZ270" i="4"/>
  <c r="AZ278" i="4"/>
  <c r="AZ282" i="4"/>
  <c r="AZ286" i="4"/>
  <c r="AZ301" i="4"/>
  <c r="AZ305" i="4"/>
  <c r="AZ309" i="4"/>
  <c r="AZ313" i="4"/>
  <c r="AZ321" i="4"/>
  <c r="AZ329" i="4"/>
  <c r="AZ341" i="4"/>
  <c r="AZ345" i="4"/>
  <c r="AZ353" i="4"/>
  <c r="U356" i="4"/>
  <c r="W356" i="4"/>
  <c r="AZ64" i="4"/>
  <c r="AZ68" i="4"/>
  <c r="AZ76" i="4"/>
  <c r="AZ80" i="4"/>
  <c r="AZ120" i="4"/>
  <c r="AZ136" i="4"/>
  <c r="AZ147" i="4"/>
  <c r="AZ151" i="4"/>
  <c r="AZ164" i="4"/>
  <c r="AZ184" i="4"/>
  <c r="AZ200" i="4"/>
  <c r="AZ204" i="4"/>
  <c r="AZ217" i="4"/>
  <c r="AZ242" i="4"/>
  <c r="AZ35" i="4"/>
  <c r="AZ43" i="4"/>
  <c r="AZ288" i="4"/>
  <c r="AZ292" i="4"/>
  <c r="AZ296" i="4"/>
  <c r="AZ255" i="4"/>
  <c r="AZ19" i="4"/>
  <c r="AZ23" i="4"/>
  <c r="AZ31" i="4"/>
  <c r="AZ259" i="4"/>
  <c r="AZ263" i="4"/>
  <c r="AZ267" i="4"/>
  <c r="AZ271" i="4"/>
  <c r="AZ275" i="4"/>
  <c r="AZ279" i="4"/>
  <c r="AZ298" i="4"/>
  <c r="AZ302" i="4"/>
  <c r="AZ306" i="4"/>
  <c r="AZ310" i="4"/>
  <c r="AZ314" i="4"/>
  <c r="AZ318" i="4"/>
  <c r="AZ322" i="4"/>
  <c r="AZ326" i="4"/>
  <c r="AZ334" i="4"/>
  <c r="AZ338" i="4"/>
  <c r="AZ342" i="4"/>
  <c r="AZ350" i="4"/>
  <c r="AZ354" i="4"/>
  <c r="AH356" i="4"/>
  <c r="AN356" i="4"/>
  <c r="AQ356" i="4"/>
  <c r="AT356" i="4"/>
  <c r="AW356" i="4"/>
  <c r="CP213" i="1"/>
  <c r="CQ213" i="1" s="1"/>
  <c r="BR213" i="1"/>
  <c r="L356" i="4"/>
  <c r="O356" i="4"/>
  <c r="J356" i="4"/>
  <c r="BA86" i="4"/>
  <c r="BA126" i="4"/>
  <c r="BA134" i="4"/>
  <c r="BA174" i="4"/>
  <c r="AE356" i="4"/>
  <c r="BA90" i="4"/>
  <c r="BA110" i="4"/>
  <c r="BA118" i="4"/>
  <c r="BA142" i="4"/>
  <c r="BA149" i="4"/>
  <c r="BA162" i="4"/>
  <c r="BA170" i="4"/>
  <c r="BA223" i="4"/>
  <c r="BA227" i="4"/>
  <c r="BA235" i="4"/>
  <c r="BA252" i="4"/>
  <c r="BA41" i="4"/>
  <c r="BA45" i="4"/>
  <c r="BA290" i="4"/>
  <c r="BA253" i="4"/>
  <c r="BA17" i="4"/>
  <c r="BA153" i="4"/>
  <c r="BA261" i="4"/>
  <c r="BA269" i="4"/>
  <c r="BA273" i="4"/>
  <c r="BA281" i="4"/>
  <c r="BA304" i="4"/>
  <c r="BA312" i="4"/>
  <c r="BA316" i="4"/>
  <c r="AX356" i="4"/>
  <c r="AZ13" i="4"/>
  <c r="AZ48" i="4"/>
  <c r="AZ52" i="4"/>
  <c r="AZ56" i="4"/>
  <c r="AZ60" i="4"/>
  <c r="AZ84" i="4"/>
  <c r="AZ88" i="4"/>
  <c r="AZ92" i="4"/>
  <c r="AZ96" i="4"/>
  <c r="AZ100" i="4"/>
  <c r="AZ104" i="4"/>
  <c r="AZ108" i="4"/>
  <c r="AZ112" i="4"/>
  <c r="AZ124" i="4"/>
  <c r="AZ128" i="4"/>
  <c r="AZ132" i="4"/>
  <c r="AZ140" i="4"/>
  <c r="AZ144" i="4"/>
  <c r="AZ156" i="4"/>
  <c r="AZ160" i="4"/>
  <c r="AZ168" i="4"/>
  <c r="AZ172" i="4"/>
  <c r="AZ176" i="4"/>
  <c r="AZ180" i="4"/>
  <c r="AZ188" i="4"/>
  <c r="AZ192" i="4"/>
  <c r="AZ196" i="4"/>
  <c r="AZ208" i="4"/>
  <c r="AZ212" i="4"/>
  <c r="AZ221" i="4"/>
  <c r="AZ225" i="4"/>
  <c r="AZ229" i="4"/>
  <c r="AZ250" i="4"/>
  <c r="BA82" i="4"/>
  <c r="BA122" i="4"/>
  <c r="BA130" i="4"/>
  <c r="BA158" i="4"/>
  <c r="BA166" i="4"/>
  <c r="BA219" i="4"/>
  <c r="BA231" i="4"/>
  <c r="BA248" i="4"/>
  <c r="BA47" i="4"/>
  <c r="BA51" i="4"/>
  <c r="BA55" i="4"/>
  <c r="BA95" i="4"/>
  <c r="BA99" i="4"/>
  <c r="BA103" i="4"/>
  <c r="BA179" i="4"/>
  <c r="BA317" i="4"/>
  <c r="BA321" i="4"/>
  <c r="BA333" i="4"/>
  <c r="BA337" i="4"/>
  <c r="BA349" i="4"/>
  <c r="BA353" i="4"/>
  <c r="AR356" i="4"/>
  <c r="BA67" i="4"/>
  <c r="BA191" i="4"/>
  <c r="BA195" i="4"/>
  <c r="BA203" i="4"/>
  <c r="BA13" i="4"/>
  <c r="BA84" i="4"/>
  <c r="BA88" i="4"/>
  <c r="BA92" i="4"/>
  <c r="BA147" i="4"/>
  <c r="BA156" i="4"/>
  <c r="BA164" i="4"/>
  <c r="BA172" i="4"/>
  <c r="BA217" i="4"/>
  <c r="BA225" i="4"/>
  <c r="BA233" i="4"/>
  <c r="BA246" i="4"/>
  <c r="BA35" i="4"/>
  <c r="BA43" i="4"/>
  <c r="BA296" i="4"/>
  <c r="BA255" i="4"/>
  <c r="BA23" i="4"/>
  <c r="BA256" i="4"/>
  <c r="BA259" i="4"/>
  <c r="BA263" i="4"/>
  <c r="BA275" i="4"/>
  <c r="BA279" i="4"/>
  <c r="BA302" i="4"/>
  <c r="BA306" i="4"/>
  <c r="BA116" i="4"/>
  <c r="BA120" i="4"/>
  <c r="BA128" i="4"/>
  <c r="BA140" i="4"/>
  <c r="BA61" i="4"/>
  <c r="BA65" i="4"/>
  <c r="BA69" i="4"/>
  <c r="BA73" i="4"/>
  <c r="BA77" i="4"/>
  <c r="BA81" i="4"/>
  <c r="BA97" i="4"/>
  <c r="BA101" i="4"/>
  <c r="AL356" i="4"/>
  <c r="BA185" i="4"/>
  <c r="BA193" i="4"/>
  <c r="BA201" i="4"/>
  <c r="BA209" i="4"/>
  <c r="BA241" i="4"/>
  <c r="BA24" i="4"/>
  <c r="BA257" i="4"/>
  <c r="BA105" i="4"/>
  <c r="BA323" i="4"/>
  <c r="BA335" i="4"/>
  <c r="BA343" i="4"/>
  <c r="BA347" i="4"/>
  <c r="BA355" i="4"/>
  <c r="BA49" i="4"/>
  <c r="BA79" i="4"/>
  <c r="BA114" i="4"/>
  <c r="BA16" i="4"/>
  <c r="BA176" i="4"/>
  <c r="BA11" i="4"/>
  <c r="BA15" i="4"/>
  <c r="BA56" i="4"/>
  <c r="BA59" i="4"/>
  <c r="BA71" i="4"/>
  <c r="BA75" i="4"/>
  <c r="BA293" i="4"/>
  <c r="BA20" i="4"/>
  <c r="AO356" i="4"/>
  <c r="BA14" i="4"/>
  <c r="BA48" i="4"/>
  <c r="BA52" i="4"/>
  <c r="BA58" i="4"/>
  <c r="BA62" i="4"/>
  <c r="BA66" i="4"/>
  <c r="BA70" i="4"/>
  <c r="BA74" i="4"/>
  <c r="BA78" i="4"/>
  <c r="BA85" i="4"/>
  <c r="BA89" i="4"/>
  <c r="BA93" i="4"/>
  <c r="BA98" i="4"/>
  <c r="BA102" i="4"/>
  <c r="BA106" i="4"/>
  <c r="BA109" i="4"/>
  <c r="BA113" i="4"/>
  <c r="BA117" i="4"/>
  <c r="BA121" i="4"/>
  <c r="BA125" i="4"/>
  <c r="BA129" i="4"/>
  <c r="BA133" i="4"/>
  <c r="BA137" i="4"/>
  <c r="BA141" i="4"/>
  <c r="BA150" i="4"/>
  <c r="BA155" i="4"/>
  <c r="BA159" i="4"/>
  <c r="BA163" i="4"/>
  <c r="BA167" i="4"/>
  <c r="BA171" i="4"/>
  <c r="BA175" i="4"/>
  <c r="BA178" i="4"/>
  <c r="BA182" i="4"/>
  <c r="BA188" i="4"/>
  <c r="BA192" i="4"/>
  <c r="BA196" i="4"/>
  <c r="BA200" i="4"/>
  <c r="BA204" i="4"/>
  <c r="BA208" i="4"/>
  <c r="BA212" i="4"/>
  <c r="BA216" i="4"/>
  <c r="BA220" i="4"/>
  <c r="BA224" i="4"/>
  <c r="BA228" i="4"/>
  <c r="BA232" i="4"/>
  <c r="BA236" i="4"/>
  <c r="BA245" i="4"/>
  <c r="BA249" i="4"/>
  <c r="BA34" i="4"/>
  <c r="BA38" i="4"/>
  <c r="BA42" i="4"/>
  <c r="BA287" i="4"/>
  <c r="BA291" i="4"/>
  <c r="BA295" i="4"/>
  <c r="BA254" i="4"/>
  <c r="BA239" i="4"/>
  <c r="BA18" i="4"/>
  <c r="BA22" i="4"/>
  <c r="BA26" i="4"/>
  <c r="BA154" i="4"/>
  <c r="BA30" i="4"/>
  <c r="BA258" i="4"/>
  <c r="BA262" i="4"/>
  <c r="BA266" i="4"/>
  <c r="BA270" i="4"/>
  <c r="BA274" i="4"/>
  <c r="BA278" i="4"/>
  <c r="BA282" i="4"/>
  <c r="BA286" i="4"/>
  <c r="BA301" i="4"/>
  <c r="BA305" i="4"/>
  <c r="BA309" i="4"/>
  <c r="BA313" i="4"/>
  <c r="BA320" i="4"/>
  <c r="BA324" i="4"/>
  <c r="BA328" i="4"/>
  <c r="BA332" i="4"/>
  <c r="BA336" i="4"/>
  <c r="BA340" i="4"/>
  <c r="BA344" i="4"/>
  <c r="BA348" i="4"/>
  <c r="BA352" i="4"/>
  <c r="BA12" i="4"/>
  <c r="BA50" i="4"/>
  <c r="BA54" i="4"/>
  <c r="BA57" i="4"/>
  <c r="BA60" i="4"/>
  <c r="BA64" i="4"/>
  <c r="BA68" i="4"/>
  <c r="BA72" i="4"/>
  <c r="BA76" i="4"/>
  <c r="BA80" i="4"/>
  <c r="BA83" i="4"/>
  <c r="BA87" i="4"/>
  <c r="BA91" i="4"/>
  <c r="BA96" i="4"/>
  <c r="BA100" i="4"/>
  <c r="BA104" i="4"/>
  <c r="BA107" i="4"/>
  <c r="BA111" i="4"/>
  <c r="BA115" i="4"/>
  <c r="BA119" i="4"/>
  <c r="BA123" i="4"/>
  <c r="BA127" i="4"/>
  <c r="BA131" i="4"/>
  <c r="BA135" i="4"/>
  <c r="BA139" i="4"/>
  <c r="BA143" i="4"/>
  <c r="BA145" i="4"/>
  <c r="BA148" i="4"/>
  <c r="BA152" i="4"/>
  <c r="BA157" i="4"/>
  <c r="BA161" i="4"/>
  <c r="BA165" i="4"/>
  <c r="BA169" i="4"/>
  <c r="BA173" i="4"/>
  <c r="BA177" i="4"/>
  <c r="BA180" i="4"/>
  <c r="BA184" i="4"/>
  <c r="BA186" i="4"/>
  <c r="BA190" i="4"/>
  <c r="BA194" i="4"/>
  <c r="BA198" i="4"/>
  <c r="BA202" i="4"/>
  <c r="BA206" i="4"/>
  <c r="BA210" i="4"/>
  <c r="BA214" i="4"/>
  <c r="BA218" i="4"/>
  <c r="BA222" i="4"/>
  <c r="BA226" i="4"/>
  <c r="BA230" i="4"/>
  <c r="BA234" i="4"/>
  <c r="BA243" i="4"/>
  <c r="BA247" i="4"/>
  <c r="BA251" i="4"/>
  <c r="BA36" i="4"/>
  <c r="BA40" i="4"/>
  <c r="BA44" i="4"/>
  <c r="AI356" i="4"/>
  <c r="AZ363" i="4" l="1"/>
  <c r="AZ362" i="4"/>
  <c r="BA361" i="4"/>
  <c r="BA363" i="4"/>
  <c r="BA362" i="4"/>
  <c r="AZ361" i="4"/>
  <c r="BS213" i="1"/>
  <c r="CR213" i="1"/>
  <c r="CU213" i="1" s="1"/>
  <c r="AZ356" i="4"/>
  <c r="BA356" i="4"/>
  <c r="AZ364" i="4" l="1"/>
  <c r="BA364" i="4"/>
  <c r="DK358" i="4"/>
  <c r="DJ358" i="4"/>
  <c r="DI356" i="4"/>
  <c r="DF356" i="4"/>
  <c r="DC356" i="4"/>
  <c r="CZ356" i="4"/>
  <c r="CW356" i="4"/>
  <c r="CT356" i="4"/>
  <c r="CQ356" i="4"/>
  <c r="CN356" i="4"/>
  <c r="CM356" i="4"/>
  <c r="CL356" i="4"/>
  <c r="CK356" i="4"/>
  <c r="CJ356" i="4"/>
  <c r="CI356" i="4"/>
  <c r="CH356" i="4"/>
  <c r="CG356" i="4"/>
  <c r="CF356" i="4"/>
  <c r="CE356" i="4"/>
  <c r="CD356" i="4"/>
  <c r="CC356" i="4"/>
  <c r="CB356" i="4"/>
  <c r="CA356" i="4"/>
  <c r="BZ356" i="4"/>
  <c r="BY356" i="4"/>
  <c r="BX356" i="4"/>
  <c r="BW356" i="4"/>
  <c r="BV356" i="4"/>
  <c r="BU356" i="4"/>
  <c r="BT356" i="4"/>
  <c r="BS356" i="4"/>
  <c r="DK355" i="4"/>
  <c r="DL355" i="4" s="1"/>
  <c r="DK354" i="4"/>
  <c r="DL354" i="4" s="1"/>
  <c r="DK353" i="4"/>
  <c r="DL353" i="4" s="1"/>
  <c r="DK352" i="4"/>
  <c r="DL352" i="4" s="1"/>
  <c r="DK351" i="4"/>
  <c r="DL351" i="4" s="1"/>
  <c r="DK350" i="4"/>
  <c r="DL350" i="4" s="1"/>
  <c r="DK349" i="4"/>
  <c r="DL349" i="4" s="1"/>
  <c r="DK348" i="4"/>
  <c r="DL348" i="4" s="1"/>
  <c r="DK347" i="4"/>
  <c r="DL347" i="4" s="1"/>
  <c r="DK346" i="4"/>
  <c r="DL346" i="4" s="1"/>
  <c r="DK345" i="4"/>
  <c r="DL345" i="4" s="1"/>
  <c r="DK344" i="4"/>
  <c r="DL344" i="4" s="1"/>
  <c r="DK343" i="4"/>
  <c r="DL343" i="4" s="1"/>
  <c r="DK342" i="4"/>
  <c r="DL342" i="4" s="1"/>
  <c r="DK341" i="4"/>
  <c r="DL341" i="4" s="1"/>
  <c r="DK340" i="4"/>
  <c r="DL340" i="4" s="1"/>
  <c r="DK339" i="4"/>
  <c r="DL339" i="4" s="1"/>
  <c r="DK338" i="4"/>
  <c r="DL338" i="4" s="1"/>
  <c r="DK337" i="4"/>
  <c r="DL337" i="4" s="1"/>
  <c r="DK336" i="4"/>
  <c r="DL336" i="4" s="1"/>
  <c r="DK335" i="4"/>
  <c r="DL335" i="4" s="1"/>
  <c r="DK334" i="4"/>
  <c r="DL334" i="4" s="1"/>
  <c r="DK333" i="4"/>
  <c r="DL333" i="4" s="1"/>
  <c r="DK332" i="4"/>
  <c r="DL332" i="4" s="1"/>
  <c r="DK331" i="4"/>
  <c r="DL331" i="4" s="1"/>
  <c r="DK330" i="4"/>
  <c r="DL330" i="4" s="1"/>
  <c r="DK329" i="4"/>
  <c r="DL329" i="4" s="1"/>
  <c r="DK328" i="4"/>
  <c r="DL328" i="4" s="1"/>
  <c r="DK327" i="4"/>
  <c r="DL327" i="4" s="1"/>
  <c r="DK326" i="4"/>
  <c r="DL326" i="4" s="1"/>
  <c r="DK325" i="4"/>
  <c r="DL325" i="4" s="1"/>
  <c r="DK324" i="4"/>
  <c r="DL324" i="4" s="1"/>
  <c r="DK323" i="4"/>
  <c r="DL323" i="4" s="1"/>
  <c r="DK322" i="4"/>
  <c r="DL322" i="4" s="1"/>
  <c r="DK321" i="4"/>
  <c r="DL321" i="4" s="1"/>
  <c r="DK320" i="4"/>
  <c r="DL320" i="4" s="1"/>
  <c r="DK319" i="4"/>
  <c r="DL319" i="4" s="1"/>
  <c r="DK318" i="4"/>
  <c r="DL318" i="4" s="1"/>
  <c r="DK317" i="4"/>
  <c r="DL317" i="4" s="1"/>
  <c r="DK316" i="4"/>
  <c r="DL316" i="4" s="1"/>
  <c r="DK315" i="4"/>
  <c r="DL315" i="4" s="1"/>
  <c r="DK314" i="4"/>
  <c r="DL314" i="4" s="1"/>
  <c r="DK313" i="4"/>
  <c r="DL313" i="4" s="1"/>
  <c r="DK312" i="4"/>
  <c r="DL312" i="4" s="1"/>
  <c r="DK311" i="4"/>
  <c r="DL311" i="4" s="1"/>
  <c r="DK310" i="4"/>
  <c r="DL310" i="4" s="1"/>
  <c r="DK309" i="4"/>
  <c r="DL309" i="4" s="1"/>
  <c r="DK308" i="4"/>
  <c r="DL308" i="4" s="1"/>
  <c r="DK307" i="4"/>
  <c r="DL307" i="4" s="1"/>
  <c r="DK306" i="4"/>
  <c r="DL306" i="4" s="1"/>
  <c r="DK305" i="4"/>
  <c r="DL305" i="4" s="1"/>
  <c r="DK304" i="4"/>
  <c r="DL304" i="4" s="1"/>
  <c r="DK303" i="4"/>
  <c r="DL303" i="4" s="1"/>
  <c r="DK302" i="4"/>
  <c r="DL302" i="4" s="1"/>
  <c r="DK301" i="4"/>
  <c r="DL301" i="4" s="1"/>
  <c r="DK300" i="4"/>
  <c r="DL300" i="4" s="1"/>
  <c r="DK299" i="4"/>
  <c r="DL299" i="4" s="1"/>
  <c r="DK298" i="4"/>
  <c r="DL298" i="4" s="1"/>
  <c r="DK286" i="4"/>
  <c r="DL286" i="4" s="1"/>
  <c r="DK285" i="4"/>
  <c r="DL285" i="4" s="1"/>
  <c r="DK284" i="4"/>
  <c r="DL284" i="4" s="1"/>
  <c r="DK283" i="4"/>
  <c r="DL283" i="4" s="1"/>
  <c r="DK282" i="4"/>
  <c r="DL282" i="4" s="1"/>
  <c r="DK281" i="4"/>
  <c r="DL281" i="4" s="1"/>
  <c r="DK280" i="4"/>
  <c r="DL280" i="4" s="1"/>
  <c r="DK279" i="4"/>
  <c r="DL279" i="4" s="1"/>
  <c r="DK278" i="4"/>
  <c r="DL278" i="4" s="1"/>
  <c r="DK277" i="4"/>
  <c r="DL277" i="4" s="1"/>
  <c r="DK276" i="4"/>
  <c r="DL276" i="4" s="1"/>
  <c r="DK275" i="4"/>
  <c r="DL275" i="4" s="1"/>
  <c r="DK274" i="4"/>
  <c r="DL274" i="4" s="1"/>
  <c r="DK273" i="4"/>
  <c r="DL273" i="4" s="1"/>
  <c r="DK272" i="4"/>
  <c r="DL272" i="4" s="1"/>
  <c r="DK271" i="4"/>
  <c r="DL271" i="4" s="1"/>
  <c r="DK270" i="4"/>
  <c r="DL270" i="4" s="1"/>
  <c r="DK269" i="4"/>
  <c r="DL269" i="4" s="1"/>
  <c r="DK268" i="4"/>
  <c r="DL268" i="4" s="1"/>
  <c r="DK267" i="4"/>
  <c r="DL267" i="4" s="1"/>
  <c r="DK266" i="4"/>
  <c r="DL266" i="4" s="1"/>
  <c r="DK265" i="4"/>
  <c r="DL265" i="4" s="1"/>
  <c r="DK264" i="4"/>
  <c r="DL264" i="4" s="1"/>
  <c r="DK263" i="4"/>
  <c r="DL263" i="4" s="1"/>
  <c r="DK262" i="4"/>
  <c r="DL262" i="4" s="1"/>
  <c r="DK261" i="4"/>
  <c r="DL261" i="4" s="1"/>
  <c r="DK260" i="4"/>
  <c r="DL260" i="4" s="1"/>
  <c r="DK259" i="4"/>
  <c r="DL259" i="4" s="1"/>
  <c r="DK258" i="4"/>
  <c r="DL258" i="4" s="1"/>
  <c r="DK33" i="4"/>
  <c r="DL33" i="4" s="1"/>
  <c r="DK32" i="4"/>
  <c r="DL32" i="4" s="1"/>
  <c r="DK31" i="4"/>
  <c r="DL31" i="4" s="1"/>
  <c r="DK30" i="4"/>
  <c r="DL30" i="4" s="1"/>
  <c r="DK29" i="4"/>
  <c r="DL29" i="4" s="1"/>
  <c r="DK28" i="4"/>
  <c r="DL28" i="4" s="1"/>
  <c r="DK27" i="4"/>
  <c r="DL27" i="4" s="1"/>
  <c r="DK154" i="4"/>
  <c r="DL154" i="4" s="1"/>
  <c r="DK153" i="4"/>
  <c r="DL153" i="4" s="1"/>
  <c r="DK257" i="4"/>
  <c r="DL257" i="4" s="1"/>
  <c r="DK256" i="4"/>
  <c r="DL256" i="4" s="1"/>
  <c r="DK26" i="4"/>
  <c r="DL26" i="4" s="1"/>
  <c r="DK25" i="4"/>
  <c r="DL25" i="4" s="1"/>
  <c r="DK24" i="4"/>
  <c r="DL24" i="4" s="1"/>
  <c r="DK23" i="4"/>
  <c r="DL23" i="4" s="1"/>
  <c r="DK22" i="4"/>
  <c r="DL22" i="4" s="1"/>
  <c r="DK21" i="4"/>
  <c r="DL21" i="4" s="1"/>
  <c r="DK20" i="4"/>
  <c r="DL20" i="4" s="1"/>
  <c r="DK19" i="4"/>
  <c r="DL19" i="4" s="1"/>
  <c r="DK18" i="4"/>
  <c r="DL18" i="4" s="1"/>
  <c r="DK17" i="4"/>
  <c r="DL17" i="4" s="1"/>
  <c r="DK241" i="4"/>
  <c r="DL241" i="4" s="1"/>
  <c r="DK240" i="4"/>
  <c r="DL240" i="4" s="1"/>
  <c r="DK239" i="4"/>
  <c r="DL239" i="4" s="1"/>
  <c r="DK238" i="4"/>
  <c r="DL238" i="4" s="1"/>
  <c r="DK237" i="4"/>
  <c r="DL237" i="4" s="1"/>
  <c r="DK255" i="4"/>
  <c r="DL255" i="4" s="1"/>
  <c r="DK254" i="4"/>
  <c r="DL254" i="4" s="1"/>
  <c r="DK253" i="4"/>
  <c r="DL253" i="4" s="1"/>
  <c r="DK297" i="4"/>
  <c r="DL297" i="4" s="1"/>
  <c r="DK296" i="4"/>
  <c r="DL296" i="4" s="1"/>
  <c r="DK295" i="4"/>
  <c r="DL295" i="4" s="1"/>
  <c r="DK294" i="4"/>
  <c r="DL294" i="4" s="1"/>
  <c r="DK293" i="4"/>
  <c r="DL293" i="4" s="1"/>
  <c r="DK292" i="4"/>
  <c r="DL292" i="4" s="1"/>
  <c r="DK291" i="4"/>
  <c r="DL291" i="4" s="1"/>
  <c r="DK290" i="4"/>
  <c r="DL290" i="4" s="1"/>
  <c r="DK289" i="4"/>
  <c r="DL289" i="4" s="1"/>
  <c r="DK288" i="4"/>
  <c r="DL288" i="4" s="1"/>
  <c r="DK287" i="4"/>
  <c r="DL287" i="4" s="1"/>
  <c r="DK45" i="4"/>
  <c r="DL45" i="4" s="1"/>
  <c r="DK44" i="4"/>
  <c r="DL44" i="4" s="1"/>
  <c r="DK43" i="4"/>
  <c r="DL43" i="4" s="1"/>
  <c r="DK42" i="4"/>
  <c r="DL42" i="4" s="1"/>
  <c r="DK41" i="4"/>
  <c r="DL41" i="4" s="1"/>
  <c r="DK40" i="4"/>
  <c r="DL40" i="4" s="1"/>
  <c r="DK39" i="4"/>
  <c r="DL39" i="4" s="1"/>
  <c r="DK38" i="4"/>
  <c r="DL38" i="4" s="1"/>
  <c r="DK37" i="4"/>
  <c r="DL37" i="4" s="1"/>
  <c r="DK36" i="4"/>
  <c r="DL36" i="4" s="1"/>
  <c r="DK35" i="4"/>
  <c r="DL35" i="4" s="1"/>
  <c r="DK34" i="4"/>
  <c r="DL34" i="4" s="1"/>
  <c r="DK252" i="4"/>
  <c r="DL252" i="4" s="1"/>
  <c r="DK251" i="4"/>
  <c r="DL251" i="4" s="1"/>
  <c r="DK250" i="4"/>
  <c r="DL250" i="4" s="1"/>
  <c r="DK249" i="4"/>
  <c r="DL249" i="4" s="1"/>
  <c r="DK248" i="4"/>
  <c r="DL248" i="4" s="1"/>
  <c r="DK247" i="4"/>
  <c r="DL247" i="4" s="1"/>
  <c r="DK246" i="4"/>
  <c r="DL246" i="4" s="1"/>
  <c r="DK245" i="4"/>
  <c r="DL245" i="4" s="1"/>
  <c r="DK244" i="4"/>
  <c r="DL244" i="4" s="1"/>
  <c r="DK243" i="4"/>
  <c r="DL243" i="4" s="1"/>
  <c r="DK242" i="4"/>
  <c r="DL242" i="4" s="1"/>
  <c r="DK236" i="4"/>
  <c r="DL236" i="4" s="1"/>
  <c r="DK235" i="4"/>
  <c r="DL235" i="4" s="1"/>
  <c r="DK234" i="4"/>
  <c r="DL234" i="4" s="1"/>
  <c r="DK233" i="4"/>
  <c r="DL233" i="4" s="1"/>
  <c r="DK232" i="4"/>
  <c r="DL232" i="4" s="1"/>
  <c r="DK231" i="4"/>
  <c r="DL231" i="4" s="1"/>
  <c r="DK230" i="4"/>
  <c r="DL230" i="4" s="1"/>
  <c r="DK229" i="4"/>
  <c r="DL229" i="4" s="1"/>
  <c r="DK228" i="4"/>
  <c r="DL228" i="4" s="1"/>
  <c r="DK227" i="4"/>
  <c r="DL227" i="4" s="1"/>
  <c r="DK226" i="4"/>
  <c r="DL226" i="4" s="1"/>
  <c r="DK225" i="4"/>
  <c r="DL225" i="4" s="1"/>
  <c r="DK224" i="4"/>
  <c r="DL224" i="4" s="1"/>
  <c r="DK223" i="4"/>
  <c r="DL223" i="4" s="1"/>
  <c r="DK222" i="4"/>
  <c r="DL222" i="4" s="1"/>
  <c r="DK221" i="4"/>
  <c r="DL221" i="4" s="1"/>
  <c r="DK220" i="4"/>
  <c r="DL220" i="4" s="1"/>
  <c r="DK219" i="4"/>
  <c r="DL219" i="4" s="1"/>
  <c r="DK218" i="4"/>
  <c r="DL218" i="4" s="1"/>
  <c r="DK217" i="4"/>
  <c r="DL217" i="4" s="1"/>
  <c r="DK216" i="4"/>
  <c r="DL216" i="4" s="1"/>
  <c r="DK214" i="4"/>
  <c r="DL214" i="4" s="1"/>
  <c r="DK213" i="4"/>
  <c r="DL213" i="4" s="1"/>
  <c r="DK212" i="4"/>
  <c r="DL212" i="4" s="1"/>
  <c r="DK211" i="4"/>
  <c r="DL211" i="4" s="1"/>
  <c r="DK210" i="4"/>
  <c r="DL210" i="4" s="1"/>
  <c r="DK209" i="4"/>
  <c r="DL209" i="4" s="1"/>
  <c r="DK208" i="4"/>
  <c r="DL208" i="4" s="1"/>
  <c r="DK207" i="4"/>
  <c r="DL207" i="4" s="1"/>
  <c r="DK206" i="4"/>
  <c r="DL206" i="4" s="1"/>
  <c r="DK205" i="4"/>
  <c r="DL205" i="4" s="1"/>
  <c r="DK204" i="4"/>
  <c r="DL204" i="4" s="1"/>
  <c r="DK203" i="4"/>
  <c r="DL203" i="4" s="1"/>
  <c r="DK202" i="4"/>
  <c r="DL202" i="4" s="1"/>
  <c r="DK201" i="4"/>
  <c r="DL201" i="4" s="1"/>
  <c r="DK200" i="4"/>
  <c r="DL200" i="4" s="1"/>
  <c r="DK199" i="4"/>
  <c r="DL199" i="4" s="1"/>
  <c r="DK198" i="4"/>
  <c r="DL198" i="4" s="1"/>
  <c r="DK197" i="4"/>
  <c r="DL197" i="4" s="1"/>
  <c r="DK196" i="4"/>
  <c r="DL196" i="4" s="1"/>
  <c r="DK195" i="4"/>
  <c r="DL195" i="4" s="1"/>
  <c r="DK194" i="4"/>
  <c r="DL194" i="4" s="1"/>
  <c r="DK193" i="4"/>
  <c r="DL193" i="4" s="1"/>
  <c r="DK192" i="4"/>
  <c r="DL192" i="4" s="1"/>
  <c r="DK191" i="4"/>
  <c r="DL191" i="4" s="1"/>
  <c r="DK190" i="4"/>
  <c r="DL190" i="4" s="1"/>
  <c r="DK189" i="4"/>
  <c r="DL189" i="4" s="1"/>
  <c r="DK188" i="4"/>
  <c r="DL188" i="4" s="1"/>
  <c r="DK187" i="4"/>
  <c r="DL187" i="4" s="1"/>
  <c r="DK186" i="4"/>
  <c r="DL186" i="4" s="1"/>
  <c r="DK185" i="4"/>
  <c r="DL185" i="4" s="1"/>
  <c r="DK184" i="4"/>
  <c r="DL184" i="4" s="1"/>
  <c r="DK183" i="4"/>
  <c r="DL183" i="4" s="1"/>
  <c r="DK182" i="4"/>
  <c r="DL182" i="4" s="1"/>
  <c r="DK181" i="4"/>
  <c r="DL181" i="4" s="1"/>
  <c r="DK180" i="4"/>
  <c r="DL180" i="4" s="1"/>
  <c r="DK179" i="4"/>
  <c r="DL179" i="4" s="1"/>
  <c r="DK178" i="4"/>
  <c r="DL178" i="4" s="1"/>
  <c r="DK177" i="4"/>
  <c r="DL177" i="4" s="1"/>
  <c r="DK176" i="4"/>
  <c r="DL176" i="4" s="1"/>
  <c r="DK175" i="4"/>
  <c r="DL175" i="4" s="1"/>
  <c r="DK174" i="4"/>
  <c r="DL174" i="4" s="1"/>
  <c r="DK173" i="4"/>
  <c r="DL173" i="4" s="1"/>
  <c r="DK172" i="4"/>
  <c r="DL172" i="4" s="1"/>
  <c r="DK171" i="4"/>
  <c r="DL171" i="4" s="1"/>
  <c r="DK170" i="4"/>
  <c r="DL170" i="4" s="1"/>
  <c r="DK169" i="4"/>
  <c r="DL169" i="4" s="1"/>
  <c r="DK168" i="4"/>
  <c r="DL168" i="4" s="1"/>
  <c r="DK167" i="4"/>
  <c r="DL167" i="4" s="1"/>
  <c r="DK166" i="4"/>
  <c r="DL166" i="4" s="1"/>
  <c r="DK165" i="4"/>
  <c r="DL165" i="4" s="1"/>
  <c r="DK164" i="4"/>
  <c r="DL164" i="4" s="1"/>
  <c r="DK163" i="4"/>
  <c r="DL163" i="4" s="1"/>
  <c r="DK162" i="4"/>
  <c r="DL162" i="4" s="1"/>
  <c r="DK161" i="4"/>
  <c r="DL161" i="4" s="1"/>
  <c r="DK160" i="4"/>
  <c r="DL160" i="4" s="1"/>
  <c r="DK159" i="4"/>
  <c r="DL159" i="4" s="1"/>
  <c r="DK158" i="4"/>
  <c r="DL158" i="4" s="1"/>
  <c r="DK157" i="4"/>
  <c r="DL157" i="4" s="1"/>
  <c r="DK156" i="4"/>
  <c r="DL156" i="4" s="1"/>
  <c r="DK155" i="4"/>
  <c r="DL155" i="4" s="1"/>
  <c r="DK46" i="4"/>
  <c r="DL46" i="4" s="1"/>
  <c r="DK152" i="4"/>
  <c r="DL152" i="4" s="1"/>
  <c r="DK151" i="4"/>
  <c r="DL151" i="4" s="1"/>
  <c r="DK150" i="4"/>
  <c r="DL150" i="4" s="1"/>
  <c r="DK149" i="4"/>
  <c r="DL149" i="4" s="1"/>
  <c r="DK148" i="4"/>
  <c r="DL148" i="4" s="1"/>
  <c r="DK147" i="4"/>
  <c r="DL147" i="4" s="1"/>
  <c r="DK146" i="4"/>
  <c r="DL146" i="4" s="1"/>
  <c r="DK145" i="4"/>
  <c r="DL145" i="4" s="1"/>
  <c r="DK16" i="4"/>
  <c r="DL16" i="4" s="1"/>
  <c r="DK144" i="4"/>
  <c r="DL144" i="4" s="1"/>
  <c r="DK143" i="4"/>
  <c r="DL143" i="4" s="1"/>
  <c r="DK142" i="4"/>
  <c r="DL142" i="4" s="1"/>
  <c r="DK141" i="4"/>
  <c r="DL141" i="4" s="1"/>
  <c r="DK140" i="4"/>
  <c r="DL140" i="4" s="1"/>
  <c r="DK139" i="4"/>
  <c r="DL139" i="4" s="1"/>
  <c r="DK138" i="4"/>
  <c r="DL138" i="4" s="1"/>
  <c r="DK137" i="4"/>
  <c r="DL137" i="4" s="1"/>
  <c r="DK136" i="4"/>
  <c r="DL136" i="4" s="1"/>
  <c r="DK135" i="4"/>
  <c r="DL135" i="4" s="1"/>
  <c r="DK134" i="4"/>
  <c r="DL134" i="4" s="1"/>
  <c r="DK133" i="4"/>
  <c r="DL133" i="4" s="1"/>
  <c r="DK132" i="4"/>
  <c r="DL132" i="4" s="1"/>
  <c r="DK131" i="4"/>
  <c r="DL131" i="4" s="1"/>
  <c r="DK130" i="4"/>
  <c r="DL130" i="4" s="1"/>
  <c r="DK129" i="4"/>
  <c r="DL129" i="4" s="1"/>
  <c r="DK128" i="4"/>
  <c r="DL128" i="4" s="1"/>
  <c r="DK127" i="4"/>
  <c r="DL127" i="4" s="1"/>
  <c r="DK126" i="4"/>
  <c r="DL126" i="4" s="1"/>
  <c r="DK125" i="4"/>
  <c r="DL125" i="4" s="1"/>
  <c r="DK124" i="4"/>
  <c r="DL124" i="4" s="1"/>
  <c r="DK123" i="4"/>
  <c r="DL123" i="4" s="1"/>
  <c r="DK122" i="4"/>
  <c r="DL122" i="4" s="1"/>
  <c r="DK121" i="4"/>
  <c r="DL121" i="4" s="1"/>
  <c r="DK120" i="4"/>
  <c r="DL120" i="4" s="1"/>
  <c r="DK119" i="4"/>
  <c r="DL119" i="4" s="1"/>
  <c r="DK118" i="4"/>
  <c r="DL118" i="4" s="1"/>
  <c r="DK117" i="4"/>
  <c r="DL117" i="4" s="1"/>
  <c r="DK116" i="4"/>
  <c r="DL116" i="4" s="1"/>
  <c r="DK115" i="4"/>
  <c r="DL115" i="4" s="1"/>
  <c r="DK114" i="4"/>
  <c r="DL114" i="4" s="1"/>
  <c r="DK113" i="4"/>
  <c r="DL113" i="4" s="1"/>
  <c r="DK112" i="4"/>
  <c r="DL112" i="4" s="1"/>
  <c r="DK111" i="4"/>
  <c r="DL111" i="4" s="1"/>
  <c r="DK110" i="4"/>
  <c r="DL110" i="4" s="1"/>
  <c r="DK109" i="4"/>
  <c r="DL109" i="4" s="1"/>
  <c r="DK108" i="4"/>
  <c r="DL108" i="4" s="1"/>
  <c r="DK107" i="4"/>
  <c r="DL107" i="4" s="1"/>
  <c r="DK106" i="4"/>
  <c r="DL106" i="4" s="1"/>
  <c r="DK105" i="4"/>
  <c r="DL105" i="4" s="1"/>
  <c r="DK104" i="4"/>
  <c r="DL104" i="4" s="1"/>
  <c r="DK103" i="4"/>
  <c r="DL103" i="4" s="1"/>
  <c r="DK102" i="4"/>
  <c r="DL102" i="4" s="1"/>
  <c r="DK101" i="4"/>
  <c r="DL101" i="4" s="1"/>
  <c r="DK100" i="4"/>
  <c r="DL100" i="4" s="1"/>
  <c r="DK99" i="4"/>
  <c r="DL99" i="4" s="1"/>
  <c r="DK98" i="4"/>
  <c r="DL98" i="4" s="1"/>
  <c r="DK97" i="4"/>
  <c r="DL97" i="4" s="1"/>
  <c r="DK96" i="4"/>
  <c r="DL96" i="4" s="1"/>
  <c r="DK95" i="4"/>
  <c r="DL95" i="4" s="1"/>
  <c r="DK94" i="4"/>
  <c r="DL94" i="4" s="1"/>
  <c r="DK93" i="4"/>
  <c r="DL93" i="4" s="1"/>
  <c r="DK92" i="4"/>
  <c r="DL92" i="4" s="1"/>
  <c r="DK91" i="4"/>
  <c r="DL91" i="4" s="1"/>
  <c r="DK90" i="4"/>
  <c r="DL90" i="4" s="1"/>
  <c r="DK89" i="4"/>
  <c r="DL89" i="4" s="1"/>
  <c r="DK88" i="4"/>
  <c r="DL88" i="4" s="1"/>
  <c r="DK87" i="4"/>
  <c r="DL87" i="4" s="1"/>
  <c r="DK86" i="4"/>
  <c r="DL86" i="4" s="1"/>
  <c r="DK85" i="4"/>
  <c r="DL85" i="4" s="1"/>
  <c r="DK84" i="4"/>
  <c r="DL84" i="4" s="1"/>
  <c r="DK83" i="4"/>
  <c r="DL83" i="4" s="1"/>
  <c r="DK82" i="4"/>
  <c r="DL82" i="4" s="1"/>
  <c r="DK81" i="4"/>
  <c r="DL81" i="4" s="1"/>
  <c r="DK80" i="4"/>
  <c r="DL80" i="4" s="1"/>
  <c r="DK79" i="4"/>
  <c r="DL79" i="4" s="1"/>
  <c r="DK78" i="4"/>
  <c r="DL78" i="4" s="1"/>
  <c r="DK77" i="4"/>
  <c r="DL77" i="4" s="1"/>
  <c r="DK76" i="4"/>
  <c r="DL76" i="4" s="1"/>
  <c r="DK75" i="4"/>
  <c r="DL75" i="4" s="1"/>
  <c r="DK74" i="4"/>
  <c r="DL74" i="4" s="1"/>
  <c r="DK73" i="4"/>
  <c r="DL73" i="4" s="1"/>
  <c r="DK72" i="4"/>
  <c r="DL72" i="4" s="1"/>
  <c r="DK71" i="4"/>
  <c r="DL71" i="4" s="1"/>
  <c r="DK70" i="4"/>
  <c r="DL70" i="4" s="1"/>
  <c r="DK69" i="4"/>
  <c r="DL69" i="4" s="1"/>
  <c r="DK68" i="4"/>
  <c r="DL68" i="4" s="1"/>
  <c r="DK67" i="4"/>
  <c r="DL67" i="4" s="1"/>
  <c r="DK66" i="4"/>
  <c r="DL66" i="4" s="1"/>
  <c r="DK65" i="4"/>
  <c r="DL65" i="4" s="1"/>
  <c r="DK64" i="4"/>
  <c r="DL64" i="4" s="1"/>
  <c r="DK63" i="4"/>
  <c r="DL63" i="4" s="1"/>
  <c r="DK62" i="4"/>
  <c r="DL62" i="4" s="1"/>
  <c r="DK61" i="4"/>
  <c r="DL61" i="4" s="1"/>
  <c r="DK60" i="4"/>
  <c r="DL60" i="4" s="1"/>
  <c r="DK59" i="4"/>
  <c r="DL59" i="4" s="1"/>
  <c r="DK58" i="4"/>
  <c r="DL58" i="4" s="1"/>
  <c r="DK57" i="4"/>
  <c r="DL57" i="4" s="1"/>
  <c r="DK56" i="4"/>
  <c r="DL56" i="4" s="1"/>
  <c r="DK55" i="4"/>
  <c r="DL55" i="4" s="1"/>
  <c r="DK54" i="4"/>
  <c r="DL54" i="4" s="1"/>
  <c r="DK53" i="4"/>
  <c r="DL53" i="4" s="1"/>
  <c r="DK52" i="4"/>
  <c r="DL52" i="4" s="1"/>
  <c r="DK51" i="4"/>
  <c r="DL51" i="4" s="1"/>
  <c r="DK50" i="4"/>
  <c r="DL50" i="4" s="1"/>
  <c r="DK49" i="4"/>
  <c r="DL49" i="4" s="1"/>
  <c r="DK48" i="4"/>
  <c r="DL48" i="4" s="1"/>
  <c r="DK47" i="4"/>
  <c r="DL47" i="4" s="1"/>
  <c r="DK15" i="4"/>
  <c r="DL15" i="4" s="1"/>
  <c r="DK14" i="4"/>
  <c r="DL14" i="4" s="1"/>
  <c r="DK13" i="4"/>
  <c r="DL13" i="4" s="1"/>
  <c r="DK12" i="4"/>
  <c r="DL12" i="4" s="1"/>
  <c r="DK11" i="4"/>
  <c r="DL11" i="4" s="1"/>
  <c r="BT3" i="4"/>
  <c r="DK356" i="4" l="1"/>
  <c r="DL356" i="4" s="1"/>
  <c r="AT2" i="7"/>
  <c r="B5" i="6"/>
  <c r="DX357" i="1" l="1"/>
  <c r="DX358" i="1"/>
  <c r="C40" i="12" s="1"/>
  <c r="D51" i="12" s="1"/>
  <c r="DX359" i="1"/>
  <c r="DX354" i="1"/>
  <c r="C40" i="3" s="1"/>
  <c r="DX360" i="1" l="1"/>
  <c r="BQ356" i="4"/>
  <c r="BP356" i="4"/>
  <c r="BM356" i="4"/>
  <c r="BK356" i="4"/>
  <c r="BI356" i="4"/>
  <c r="BJ12" i="4"/>
  <c r="BJ13" i="4"/>
  <c r="BJ14" i="4"/>
  <c r="BJ15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6" i="4"/>
  <c r="BJ145" i="4"/>
  <c r="BJ146" i="4"/>
  <c r="BJ147" i="4"/>
  <c r="BJ148" i="4"/>
  <c r="BJ149" i="4"/>
  <c r="BJ150" i="4"/>
  <c r="BJ151" i="4"/>
  <c r="BJ152" i="4"/>
  <c r="BJ46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BJ233" i="4"/>
  <c r="BJ234" i="4"/>
  <c r="BJ235" i="4"/>
  <c r="BJ236" i="4"/>
  <c r="BJ242" i="4"/>
  <c r="BJ243" i="4"/>
  <c r="BJ244" i="4"/>
  <c r="BJ245" i="4"/>
  <c r="BJ246" i="4"/>
  <c r="BJ247" i="4"/>
  <c r="BJ248" i="4"/>
  <c r="BJ249" i="4"/>
  <c r="BJ250" i="4"/>
  <c r="BJ251" i="4"/>
  <c r="BJ252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287" i="4"/>
  <c r="BJ288" i="4"/>
  <c r="BJ289" i="4"/>
  <c r="BJ290" i="4"/>
  <c r="BJ291" i="4"/>
  <c r="BJ292" i="4"/>
  <c r="BJ293" i="4"/>
  <c r="BJ294" i="4"/>
  <c r="BJ295" i="4"/>
  <c r="BJ296" i="4"/>
  <c r="BJ297" i="4"/>
  <c r="BJ253" i="4"/>
  <c r="BJ254" i="4"/>
  <c r="BJ255" i="4"/>
  <c r="BJ237" i="4"/>
  <c r="BJ238" i="4"/>
  <c r="BJ239" i="4"/>
  <c r="BJ240" i="4"/>
  <c r="BJ241" i="4"/>
  <c r="BJ17" i="4"/>
  <c r="BJ18" i="4"/>
  <c r="BJ19" i="4"/>
  <c r="BJ20" i="4"/>
  <c r="BJ21" i="4"/>
  <c r="BJ22" i="4"/>
  <c r="BJ23" i="4"/>
  <c r="BJ24" i="4"/>
  <c r="BJ25" i="4"/>
  <c r="BJ26" i="4"/>
  <c r="BJ256" i="4"/>
  <c r="BJ257" i="4"/>
  <c r="BJ153" i="4"/>
  <c r="BJ154" i="4"/>
  <c r="BJ27" i="4"/>
  <c r="BJ28" i="4"/>
  <c r="BJ29" i="4"/>
  <c r="BJ30" i="4"/>
  <c r="BJ31" i="4"/>
  <c r="BJ32" i="4"/>
  <c r="BJ33" i="4"/>
  <c r="BJ258" i="4"/>
  <c r="BJ259" i="4"/>
  <c r="BJ260" i="4"/>
  <c r="BJ261" i="4"/>
  <c r="BJ262" i="4"/>
  <c r="BJ263" i="4"/>
  <c r="BJ264" i="4"/>
  <c r="BJ265" i="4"/>
  <c r="BJ266" i="4"/>
  <c r="BJ267" i="4"/>
  <c r="BJ268" i="4"/>
  <c r="BJ269" i="4"/>
  <c r="BJ270" i="4"/>
  <c r="BJ271" i="4"/>
  <c r="BJ272" i="4"/>
  <c r="BJ273" i="4"/>
  <c r="BJ274" i="4"/>
  <c r="BJ275" i="4"/>
  <c r="BJ276" i="4"/>
  <c r="BJ277" i="4"/>
  <c r="BJ278" i="4"/>
  <c r="BJ279" i="4"/>
  <c r="BJ280" i="4"/>
  <c r="BJ281" i="4"/>
  <c r="BJ282" i="4"/>
  <c r="BJ283" i="4"/>
  <c r="BJ284" i="4"/>
  <c r="BJ285" i="4"/>
  <c r="BJ286" i="4"/>
  <c r="BJ298" i="4"/>
  <c r="BJ299" i="4"/>
  <c r="BJ300" i="4"/>
  <c r="BJ301" i="4"/>
  <c r="BJ302" i="4"/>
  <c r="BJ303" i="4"/>
  <c r="BJ304" i="4"/>
  <c r="BJ305" i="4"/>
  <c r="BJ306" i="4"/>
  <c r="BJ307" i="4"/>
  <c r="BJ308" i="4"/>
  <c r="BJ309" i="4"/>
  <c r="BJ310" i="4"/>
  <c r="BJ311" i="4"/>
  <c r="BJ312" i="4"/>
  <c r="BJ313" i="4"/>
  <c r="BJ314" i="4"/>
  <c r="BJ315" i="4"/>
  <c r="BJ316" i="4"/>
  <c r="BJ317" i="4"/>
  <c r="BJ318" i="4"/>
  <c r="BJ319" i="4"/>
  <c r="BJ320" i="4"/>
  <c r="BJ321" i="4"/>
  <c r="BJ322" i="4"/>
  <c r="BJ323" i="4"/>
  <c r="BJ324" i="4"/>
  <c r="BJ325" i="4"/>
  <c r="BJ326" i="4"/>
  <c r="BJ327" i="4"/>
  <c r="BJ328" i="4"/>
  <c r="BJ329" i="4"/>
  <c r="BJ330" i="4"/>
  <c r="BJ331" i="4"/>
  <c r="BJ332" i="4"/>
  <c r="BJ333" i="4"/>
  <c r="BJ334" i="4"/>
  <c r="BJ335" i="4"/>
  <c r="BJ336" i="4"/>
  <c r="BJ337" i="4"/>
  <c r="BJ338" i="4"/>
  <c r="BJ339" i="4"/>
  <c r="BJ340" i="4"/>
  <c r="BJ341" i="4"/>
  <c r="BJ342" i="4"/>
  <c r="BJ343" i="4"/>
  <c r="BJ344" i="4"/>
  <c r="BJ345" i="4"/>
  <c r="BJ346" i="4"/>
  <c r="BJ347" i="4"/>
  <c r="BJ348" i="4"/>
  <c r="BJ349" i="4"/>
  <c r="BJ350" i="4"/>
  <c r="BJ351" i="4"/>
  <c r="BJ352" i="4"/>
  <c r="BJ353" i="4"/>
  <c r="BJ354" i="4"/>
  <c r="BJ355" i="4"/>
  <c r="BJ11" i="4"/>
  <c r="Z356" i="4"/>
  <c r="V356" i="4"/>
  <c r="T356" i="4"/>
  <c r="Q356" i="4"/>
  <c r="N356" i="4"/>
  <c r="K356" i="4"/>
  <c r="I356" i="4"/>
  <c r="BJ356" i="4" l="1"/>
  <c r="BN356" i="4"/>
  <c r="AY356" i="4" l="1"/>
  <c r="BB353" i="4" l="1"/>
  <c r="BB349" i="4"/>
  <c r="BB345" i="4"/>
  <c r="BB341" i="4"/>
  <c r="BB337" i="4"/>
  <c r="BB333" i="4"/>
  <c r="BB329" i="4"/>
  <c r="BB325" i="4"/>
  <c r="BB321" i="4"/>
  <c r="BB317" i="4"/>
  <c r="BB314" i="4"/>
  <c r="BB310" i="4"/>
  <c r="BB306" i="4"/>
  <c r="BB302" i="4"/>
  <c r="BB298" i="4"/>
  <c r="BB283" i="4"/>
  <c r="BB279" i="4"/>
  <c r="BB275" i="4"/>
  <c r="BB271" i="4"/>
  <c r="BB267" i="4"/>
  <c r="BB263" i="4"/>
  <c r="BB259" i="4"/>
  <c r="BB31" i="4"/>
  <c r="BB27" i="4"/>
  <c r="BB256" i="4"/>
  <c r="BB23" i="4"/>
  <c r="BB19" i="4"/>
  <c r="BB240" i="4"/>
  <c r="BB255" i="4"/>
  <c r="BB296" i="4"/>
  <c r="BB292" i="4"/>
  <c r="BB288" i="4"/>
  <c r="BB43" i="4"/>
  <c r="BB39" i="4"/>
  <c r="BB35" i="4"/>
  <c r="BB250" i="4"/>
  <c r="BB246" i="4"/>
  <c r="BB242" i="4"/>
  <c r="BB233" i="4"/>
  <c r="BB229" i="4"/>
  <c r="BB225" i="4"/>
  <c r="BB221" i="4"/>
  <c r="BB217" i="4"/>
  <c r="BB213" i="4"/>
  <c r="BB209" i="4"/>
  <c r="BB205" i="4"/>
  <c r="BB201" i="4"/>
  <c r="BB197" i="4"/>
  <c r="BB193" i="4"/>
  <c r="BB189" i="4"/>
  <c r="BB185" i="4"/>
  <c r="BB183" i="4"/>
  <c r="BB179" i="4"/>
  <c r="BB176" i="4"/>
  <c r="BB172" i="4"/>
  <c r="BB168" i="4"/>
  <c r="BB164" i="4"/>
  <c r="BB160" i="4"/>
  <c r="BB156" i="4"/>
  <c r="BB151" i="4"/>
  <c r="BB147" i="4"/>
  <c r="BB16" i="4"/>
  <c r="BB142" i="4"/>
  <c r="BB138" i="4"/>
  <c r="BB134" i="4"/>
  <c r="BB130" i="4"/>
  <c r="BB126" i="4"/>
  <c r="BB122" i="4"/>
  <c r="BB118" i="4"/>
  <c r="BB114" i="4"/>
  <c r="BB110" i="4"/>
  <c r="BB103" i="4"/>
  <c r="BB99" i="4"/>
  <c r="BB94" i="4"/>
  <c r="BB90" i="4"/>
  <c r="BB86" i="4"/>
  <c r="BB82" i="4"/>
  <c r="BB79" i="4"/>
  <c r="BB75" i="4"/>
  <c r="BB71" i="4"/>
  <c r="BB67" i="4"/>
  <c r="BB63" i="4"/>
  <c r="BB354" i="4"/>
  <c r="BB350" i="4"/>
  <c r="BB346" i="4"/>
  <c r="BB342" i="4"/>
  <c r="BB338" i="4"/>
  <c r="BB334" i="4"/>
  <c r="BB355" i="4"/>
  <c r="BB351" i="4"/>
  <c r="BB347" i="4"/>
  <c r="BB343" i="4"/>
  <c r="BB339" i="4"/>
  <c r="BB335" i="4"/>
  <c r="BB331" i="4"/>
  <c r="BB327" i="4"/>
  <c r="BB11" i="4"/>
  <c r="BB352" i="4"/>
  <c r="BB348" i="4"/>
  <c r="BB344" i="4"/>
  <c r="BB340" i="4"/>
  <c r="BB336" i="4"/>
  <c r="BB332" i="4"/>
  <c r="BB328" i="4"/>
  <c r="BB324" i="4"/>
  <c r="BB320" i="4"/>
  <c r="BB313" i="4"/>
  <c r="BB309" i="4"/>
  <c r="BB305" i="4"/>
  <c r="BB301" i="4"/>
  <c r="BB286" i="4"/>
  <c r="BB282" i="4"/>
  <c r="BB278" i="4"/>
  <c r="BB274" i="4"/>
  <c r="BB270" i="4"/>
  <c r="BB266" i="4"/>
  <c r="BB262" i="4"/>
  <c r="BB258" i="4"/>
  <c r="BB323" i="4"/>
  <c r="BB319" i="4"/>
  <c r="BB316" i="4"/>
  <c r="BB312" i="4"/>
  <c r="BB308" i="4"/>
  <c r="BB304" i="4"/>
  <c r="BB300" i="4"/>
  <c r="BB285" i="4"/>
  <c r="BB281" i="4"/>
  <c r="BB277" i="4"/>
  <c r="BB273" i="4"/>
  <c r="BB269" i="4"/>
  <c r="BB265" i="4"/>
  <c r="BB261" i="4"/>
  <c r="BB33" i="4"/>
  <c r="BB29" i="4"/>
  <c r="BB153" i="4"/>
  <c r="BB25" i="4"/>
  <c r="BB21" i="4"/>
  <c r="BB17" i="4"/>
  <c r="BB238" i="4"/>
  <c r="BB253" i="4"/>
  <c r="BB294" i="4"/>
  <c r="BB290" i="4"/>
  <c r="BB45" i="4"/>
  <c r="BB41" i="4"/>
  <c r="BB37" i="4"/>
  <c r="BB252" i="4"/>
  <c r="BB248" i="4"/>
  <c r="BB244" i="4"/>
  <c r="BB235" i="4"/>
  <c r="BB231" i="4"/>
  <c r="BB227" i="4"/>
  <c r="BB223" i="4"/>
  <c r="BB219" i="4"/>
  <c r="BB211" i="4"/>
  <c r="BB207" i="4"/>
  <c r="BB203" i="4"/>
  <c r="BB199" i="4"/>
  <c r="BB195" i="4"/>
  <c r="BB191" i="4"/>
  <c r="BB187" i="4"/>
  <c r="BB181" i="4"/>
  <c r="BB174" i="4"/>
  <c r="BB170" i="4"/>
  <c r="BB166" i="4"/>
  <c r="BB162" i="4"/>
  <c r="BB158" i="4"/>
  <c r="BB46" i="4"/>
  <c r="BB149" i="4"/>
  <c r="BB146" i="4"/>
  <c r="BB144" i="4"/>
  <c r="BB140" i="4"/>
  <c r="BB136" i="4"/>
  <c r="BB132" i="4"/>
  <c r="BB128" i="4"/>
  <c r="BB124" i="4"/>
  <c r="BB120" i="4"/>
  <c r="BB116" i="4"/>
  <c r="BB112" i="4"/>
  <c r="BB108" i="4"/>
  <c r="BB105" i="4"/>
  <c r="BB101" i="4"/>
  <c r="BB97" i="4"/>
  <c r="BB95" i="4"/>
  <c r="BB92" i="4"/>
  <c r="BB88" i="4"/>
  <c r="BB84" i="4"/>
  <c r="BB81" i="4"/>
  <c r="BB77" i="4"/>
  <c r="BB73" i="4"/>
  <c r="BB69" i="4"/>
  <c r="BB65" i="4"/>
  <c r="BB61" i="4"/>
  <c r="BB55" i="4"/>
  <c r="BB51" i="4"/>
  <c r="BB47" i="4"/>
  <c r="BB13" i="4"/>
  <c r="BB330" i="4"/>
  <c r="BB326" i="4"/>
  <c r="BB322" i="4"/>
  <c r="BB318" i="4"/>
  <c r="BB315" i="4"/>
  <c r="BB311" i="4"/>
  <c r="BB307" i="4"/>
  <c r="BB303" i="4"/>
  <c r="BB299" i="4"/>
  <c r="BB284" i="4"/>
  <c r="BB280" i="4"/>
  <c r="BB276" i="4"/>
  <c r="BB272" i="4"/>
  <c r="BB268" i="4"/>
  <c r="BB264" i="4"/>
  <c r="BB260" i="4"/>
  <c r="BB32" i="4"/>
  <c r="BB28" i="4"/>
  <c r="BB257" i="4"/>
  <c r="BB24" i="4"/>
  <c r="BB20" i="4"/>
  <c r="BB241" i="4"/>
  <c r="BB237" i="4"/>
  <c r="BB297" i="4"/>
  <c r="BB293" i="4"/>
  <c r="BB289" i="4"/>
  <c r="BB44" i="4"/>
  <c r="BB40" i="4"/>
  <c r="BB36" i="4"/>
  <c r="BB251" i="4"/>
  <c r="BB247" i="4"/>
  <c r="BB243" i="4"/>
  <c r="BB234" i="4"/>
  <c r="BB230" i="4"/>
  <c r="BB226" i="4"/>
  <c r="BB222" i="4"/>
  <c r="BB218" i="4"/>
  <c r="BB214" i="4"/>
  <c r="BB210" i="4"/>
  <c r="BB206" i="4"/>
  <c r="BB202" i="4"/>
  <c r="BB198" i="4"/>
  <c r="BB194" i="4"/>
  <c r="BB190" i="4"/>
  <c r="BB186" i="4"/>
  <c r="BB184" i="4"/>
  <c r="BB180" i="4"/>
  <c r="BB177" i="4"/>
  <c r="BB173" i="4"/>
  <c r="BB169" i="4"/>
  <c r="BB165" i="4"/>
  <c r="BB161" i="4"/>
  <c r="BB157" i="4"/>
  <c r="BB152" i="4"/>
  <c r="BB148" i="4"/>
  <c r="BB145" i="4"/>
  <c r="BB143" i="4"/>
  <c r="BB139" i="4"/>
  <c r="BB135" i="4"/>
  <c r="BB131" i="4"/>
  <c r="BB127" i="4"/>
  <c r="BB123" i="4"/>
  <c r="BB119" i="4"/>
  <c r="BB115" i="4"/>
  <c r="BB111" i="4"/>
  <c r="BB107" i="4"/>
  <c r="BB104" i="4"/>
  <c r="BB100" i="4"/>
  <c r="BB96" i="4"/>
  <c r="BB91" i="4"/>
  <c r="BB87" i="4"/>
  <c r="BB83" i="4"/>
  <c r="BB80" i="4"/>
  <c r="BB76" i="4"/>
  <c r="BB72" i="4"/>
  <c r="BB68" i="4"/>
  <c r="BB64" i="4"/>
  <c r="BB60" i="4"/>
  <c r="BB57" i="4"/>
  <c r="BB54" i="4"/>
  <c r="BB50" i="4"/>
  <c r="BB12" i="4"/>
  <c r="BB59" i="4"/>
  <c r="BB56" i="4"/>
  <c r="BB53" i="4"/>
  <c r="BB49" i="4"/>
  <c r="BB15" i="4"/>
  <c r="BB30" i="4"/>
  <c r="BB154" i="4"/>
  <c r="BB26" i="4"/>
  <c r="BB22" i="4"/>
  <c r="BB18" i="4"/>
  <c r="BB239" i="4"/>
  <c r="BB254" i="4"/>
  <c r="BB295" i="4"/>
  <c r="BB291" i="4"/>
  <c r="BB287" i="4"/>
  <c r="BB42" i="4"/>
  <c r="BB38" i="4"/>
  <c r="BB34" i="4"/>
  <c r="BB249" i="4"/>
  <c r="BB245" i="4"/>
  <c r="BB236" i="4"/>
  <c r="BB232" i="4"/>
  <c r="BB228" i="4"/>
  <c r="BB224" i="4"/>
  <c r="BB220" i="4"/>
  <c r="BB216" i="4"/>
  <c r="BB212" i="4"/>
  <c r="BB208" i="4"/>
  <c r="BB204" i="4"/>
  <c r="BB200" i="4"/>
  <c r="BB196" i="4"/>
  <c r="BB192" i="4"/>
  <c r="BB188" i="4"/>
  <c r="BB182" i="4"/>
  <c r="BB178" i="4"/>
  <c r="BB175" i="4"/>
  <c r="BB171" i="4"/>
  <c r="BB167" i="4"/>
  <c r="BB163" i="4"/>
  <c r="BB159" i="4"/>
  <c r="BB155" i="4"/>
  <c r="BB150" i="4"/>
  <c r="BB141" i="4"/>
  <c r="BB137" i="4"/>
  <c r="BB133" i="4"/>
  <c r="BB129" i="4"/>
  <c r="BB125" i="4"/>
  <c r="BB121" i="4"/>
  <c r="BB117" i="4"/>
  <c r="BB113" i="4"/>
  <c r="BB109" i="4"/>
  <c r="BB106" i="4"/>
  <c r="BB102" i="4"/>
  <c r="BB98" i="4"/>
  <c r="BB93" i="4"/>
  <c r="BB89" i="4"/>
  <c r="BB85" i="4"/>
  <c r="BB78" i="4"/>
  <c r="BB74" i="4"/>
  <c r="BB70" i="4"/>
  <c r="BB66" i="4"/>
  <c r="BB62" i="4"/>
  <c r="BB58" i="4"/>
  <c r="BB52" i="4"/>
  <c r="BB48" i="4"/>
  <c r="BB14" i="4"/>
  <c r="AS356" i="4"/>
  <c r="AV356" i="4"/>
  <c r="AJ356" i="4"/>
  <c r="AP356" i="4"/>
  <c r="AM356" i="4"/>
  <c r="AG356" i="4"/>
  <c r="BB356" i="4" l="1"/>
  <c r="DS45" i="1" l="1"/>
  <c r="DS48" i="1"/>
  <c r="DS49" i="1"/>
  <c r="DS50" i="1"/>
  <c r="DS51" i="1"/>
  <c r="DS52" i="1"/>
  <c r="DS60" i="1"/>
  <c r="DS61" i="1"/>
  <c r="DS62" i="1"/>
  <c r="DS63" i="1"/>
  <c r="DS64" i="1"/>
  <c r="DS65" i="1"/>
  <c r="DS66" i="1"/>
  <c r="DS67" i="1"/>
  <c r="DS68" i="1"/>
  <c r="DS74" i="1"/>
  <c r="DS80" i="1"/>
  <c r="DS82" i="1"/>
  <c r="DS83" i="1"/>
  <c r="DS88" i="1"/>
  <c r="DS89" i="1"/>
  <c r="DS90" i="1"/>
  <c r="DS91" i="1"/>
  <c r="DS98" i="1"/>
  <c r="DS111" i="1"/>
  <c r="DS113" i="1"/>
  <c r="DS114" i="1"/>
  <c r="DS115" i="1"/>
  <c r="DS116" i="1"/>
  <c r="DS117" i="1"/>
  <c r="DS120" i="1"/>
  <c r="DS122" i="1"/>
  <c r="DS123" i="1"/>
  <c r="DS124" i="1"/>
  <c r="DS125" i="1"/>
  <c r="DS126" i="1"/>
  <c r="DS127" i="1"/>
  <c r="DS129" i="1"/>
  <c r="DS130" i="1"/>
  <c r="DS132" i="1"/>
  <c r="DS134" i="1"/>
  <c r="DS135" i="1"/>
  <c r="DS145" i="1"/>
  <c r="DS155" i="1"/>
  <c r="DS157" i="1"/>
  <c r="DS158" i="1"/>
  <c r="DS160" i="1"/>
  <c r="DS162" i="1"/>
  <c r="DS163" i="1"/>
  <c r="DS164" i="1"/>
  <c r="DS165" i="1"/>
  <c r="DS169" i="1"/>
  <c r="DS172" i="1"/>
  <c r="DS173" i="1"/>
  <c r="DS175" i="1"/>
  <c r="DS188" i="1"/>
  <c r="DS190" i="1"/>
  <c r="DS204" i="1"/>
  <c r="DS207" i="1"/>
  <c r="DS208" i="1"/>
  <c r="DS209" i="1"/>
  <c r="DS211" i="1"/>
  <c r="DS212" i="1"/>
  <c r="DS216" i="1"/>
  <c r="DS217" i="1"/>
  <c r="DS219" i="1"/>
  <c r="DS225" i="1"/>
  <c r="DS231" i="1"/>
  <c r="DS240" i="1"/>
  <c r="DS243" i="1"/>
  <c r="DS244" i="1"/>
  <c r="DS245" i="1"/>
  <c r="DS32" i="1"/>
  <c r="DS37" i="1"/>
  <c r="DS39" i="1"/>
  <c r="DS285" i="1"/>
  <c r="DS286" i="1"/>
  <c r="DS288" i="1"/>
  <c r="DS291" i="1"/>
  <c r="DS292" i="1"/>
  <c r="DS293" i="1"/>
  <c r="DS295" i="1"/>
  <c r="DS253" i="1"/>
  <c r="DS236" i="1"/>
  <c r="DS238" i="1"/>
  <c r="DS15" i="1"/>
  <c r="DS16" i="1"/>
  <c r="DS17" i="1"/>
  <c r="DS19" i="1"/>
  <c r="DS20" i="1"/>
  <c r="DS21" i="1"/>
  <c r="DS22" i="1"/>
  <c r="DS23" i="1"/>
  <c r="DS151" i="1"/>
  <c r="DS26" i="1"/>
  <c r="DS256" i="1"/>
  <c r="DS257" i="1"/>
  <c r="DS258" i="1"/>
  <c r="DS259" i="1"/>
  <c r="DS260" i="1"/>
  <c r="DS262" i="1"/>
  <c r="DS264" i="1"/>
  <c r="DS265" i="1"/>
  <c r="DS266" i="1"/>
  <c r="DS267" i="1"/>
  <c r="DS268" i="1"/>
  <c r="DS269" i="1"/>
  <c r="DS270" i="1"/>
  <c r="DS271" i="1"/>
  <c r="DS272" i="1"/>
  <c r="DS273" i="1"/>
  <c r="DS276" i="1"/>
  <c r="DS277" i="1"/>
  <c r="DS279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12" i="1"/>
  <c r="DS313" i="1"/>
  <c r="DS314" i="1"/>
  <c r="DS318" i="1"/>
  <c r="DS324" i="1"/>
  <c r="DS325" i="1"/>
  <c r="DS329" i="1"/>
  <c r="DS332" i="1"/>
  <c r="DS334" i="1"/>
  <c r="DS340" i="1"/>
  <c r="DS345" i="1"/>
  <c r="DS346" i="1"/>
  <c r="DS347" i="1"/>
  <c r="DS348" i="1"/>
  <c r="DS349" i="1"/>
  <c r="DS350" i="1"/>
  <c r="DS352" i="1"/>
  <c r="DS353" i="1"/>
  <c r="DD363" i="1"/>
  <c r="C147" i="23" l="1"/>
  <c r="D147" i="23"/>
  <c r="E147" i="23"/>
  <c r="F147" i="23"/>
  <c r="G147" i="23"/>
  <c r="H142" i="23" l="1"/>
  <c r="H143" i="23"/>
  <c r="H144" i="23"/>
  <c r="H145" i="23"/>
  <c r="H146" i="23"/>
  <c r="BD371" i="7" l="1"/>
  <c r="BC371" i="7"/>
  <c r="BB371" i="7"/>
  <c r="BA371" i="7"/>
  <c r="BD385" i="7"/>
  <c r="BC385" i="7"/>
  <c r="BB385" i="7"/>
  <c r="BA385" i="7"/>
  <c r="AR379" i="6"/>
  <c r="AS378" i="6"/>
  <c r="AR378" i="6"/>
  <c r="AS375" i="6"/>
  <c r="AR375" i="6"/>
  <c r="B4" i="6"/>
  <c r="AJ368" i="7" l="1"/>
  <c r="AB368" i="7"/>
  <c r="N368" i="7"/>
  <c r="F368" i="7"/>
  <c r="AZ368" i="6"/>
  <c r="BA368" i="6"/>
  <c r="AY368" i="6"/>
  <c r="BE368" i="6"/>
  <c r="BF368" i="6"/>
  <c r="BH368" i="6"/>
  <c r="BH385" i="6" s="1"/>
  <c r="BD368" i="6"/>
  <c r="BC368" i="6"/>
  <c r="AL258" i="7"/>
  <c r="AL257" i="7"/>
  <c r="AL255" i="7"/>
  <c r="AL83" i="7"/>
  <c r="AL131" i="7"/>
  <c r="AU368" i="6"/>
  <c r="BF356" i="4" l="1"/>
  <c r="AQ368" i="6" l="1"/>
  <c r="AL10" i="6" l="1"/>
  <c r="AI368" i="6" l="1"/>
  <c r="AF368" i="6"/>
  <c r="AC368" i="6" l="1"/>
  <c r="E2" i="7"/>
  <c r="J2" i="6"/>
  <c r="DD370" i="1" l="1"/>
  <c r="H138" i="23"/>
  <c r="H139" i="23"/>
  <c r="H140" i="23"/>
  <c r="H141" i="23"/>
  <c r="C359" i="22" l="1"/>
  <c r="B359" i="22"/>
  <c r="AR378" i="7"/>
  <c r="AQ378" i="7"/>
  <c r="AO378" i="7"/>
  <c r="AJ378" i="7"/>
  <c r="AF378" i="7"/>
  <c r="AC378" i="7"/>
  <c r="AB378" i="7"/>
  <c r="X378" i="7"/>
  <c r="W378" i="7"/>
  <c r="U378" i="7"/>
  <c r="T378" i="7"/>
  <c r="R378" i="7"/>
  <c r="O378" i="7"/>
  <c r="N378" i="7"/>
  <c r="J378" i="7"/>
  <c r="F378" i="7"/>
  <c r="AR377" i="7"/>
  <c r="AQ377" i="7"/>
  <c r="AO377" i="7"/>
  <c r="AJ377" i="7"/>
  <c r="AF377" i="7"/>
  <c r="AC377" i="7"/>
  <c r="AB377" i="7"/>
  <c r="X377" i="7"/>
  <c r="W377" i="7"/>
  <c r="U377" i="7"/>
  <c r="T377" i="7"/>
  <c r="R377" i="7"/>
  <c r="O377" i="7"/>
  <c r="N377" i="7"/>
  <c r="J377" i="7"/>
  <c r="F377" i="7"/>
  <c r="AS376" i="7"/>
  <c r="AR376" i="7"/>
  <c r="AQ376" i="7"/>
  <c r="AO376" i="7"/>
  <c r="AL376" i="7"/>
  <c r="AJ376" i="7"/>
  <c r="AF376" i="7"/>
  <c r="AC376" i="7"/>
  <c r="AB376" i="7"/>
  <c r="X376" i="7"/>
  <c r="W376" i="7"/>
  <c r="U376" i="7"/>
  <c r="T376" i="7"/>
  <c r="R376" i="7"/>
  <c r="O376" i="7"/>
  <c r="N376" i="7"/>
  <c r="J376" i="7"/>
  <c r="F376" i="7"/>
  <c r="X373" i="7"/>
  <c r="AR368" i="7"/>
  <c r="AQ368" i="7"/>
  <c r="AO368" i="7"/>
  <c r="AF368" i="7"/>
  <c r="AC368" i="7"/>
  <c r="X368" i="7"/>
  <c r="W368" i="7"/>
  <c r="U368" i="7"/>
  <c r="T368" i="7"/>
  <c r="R368" i="7"/>
  <c r="O368" i="7"/>
  <c r="J368" i="7"/>
  <c r="Y367" i="7"/>
  <c r="V367" i="7"/>
  <c r="Y366" i="7"/>
  <c r="V366" i="7"/>
  <c r="Y365" i="7"/>
  <c r="V365" i="7"/>
  <c r="Y364" i="7"/>
  <c r="V364" i="7"/>
  <c r="Y363" i="7"/>
  <c r="V363" i="7"/>
  <c r="Y362" i="7"/>
  <c r="V362" i="7"/>
  <c r="Y361" i="7"/>
  <c r="V361" i="7"/>
  <c r="Y360" i="7"/>
  <c r="V360" i="7"/>
  <c r="Y359" i="7"/>
  <c r="V359" i="7"/>
  <c r="Y358" i="7"/>
  <c r="V358" i="7"/>
  <c r="Y357" i="7"/>
  <c r="V357" i="7"/>
  <c r="Y356" i="7"/>
  <c r="V356" i="7"/>
  <c r="Y355" i="7"/>
  <c r="V355" i="7"/>
  <c r="Y354" i="7"/>
  <c r="V354" i="7"/>
  <c r="Y353" i="7"/>
  <c r="V353" i="7"/>
  <c r="Y352" i="7"/>
  <c r="V352" i="7"/>
  <c r="Y351" i="7"/>
  <c r="V351" i="7"/>
  <c r="Y350" i="7"/>
  <c r="V350" i="7"/>
  <c r="Y349" i="7"/>
  <c r="V349" i="7"/>
  <c r="Y348" i="7"/>
  <c r="V348" i="7"/>
  <c r="Y347" i="7"/>
  <c r="V347" i="7"/>
  <c r="Y346" i="7"/>
  <c r="V346" i="7"/>
  <c r="Y345" i="7"/>
  <c r="V345" i="7"/>
  <c r="Y344" i="7"/>
  <c r="V344" i="7"/>
  <c r="Y343" i="7"/>
  <c r="V343" i="7"/>
  <c r="Y342" i="7"/>
  <c r="V342" i="7"/>
  <c r="Y341" i="7"/>
  <c r="V341" i="7"/>
  <c r="Y340" i="7"/>
  <c r="V340" i="7"/>
  <c r="Y339" i="7"/>
  <c r="V339" i="7"/>
  <c r="Y338" i="7"/>
  <c r="V338" i="7"/>
  <c r="Y337" i="7"/>
  <c r="V337" i="7"/>
  <c r="Y336" i="7"/>
  <c r="V336" i="7"/>
  <c r="Y335" i="7"/>
  <c r="V335" i="7"/>
  <c r="Y334" i="7"/>
  <c r="V334" i="7"/>
  <c r="Y333" i="7"/>
  <c r="V333" i="7"/>
  <c r="Y332" i="7"/>
  <c r="V332" i="7"/>
  <c r="Y331" i="7"/>
  <c r="V331" i="7"/>
  <c r="Y330" i="7"/>
  <c r="V330" i="7"/>
  <c r="Y329" i="7"/>
  <c r="V329" i="7"/>
  <c r="Y328" i="7"/>
  <c r="V328" i="7"/>
  <c r="Y327" i="7"/>
  <c r="V327" i="7"/>
  <c r="Y326" i="7"/>
  <c r="V326" i="7"/>
  <c r="Y325" i="7"/>
  <c r="V325" i="7"/>
  <c r="Y324" i="7"/>
  <c r="V324" i="7"/>
  <c r="Y323" i="7"/>
  <c r="V323" i="7"/>
  <c r="Y322" i="7"/>
  <c r="V322" i="7"/>
  <c r="Y321" i="7"/>
  <c r="V321" i="7"/>
  <c r="Y320" i="7"/>
  <c r="V320" i="7"/>
  <c r="Y319" i="7"/>
  <c r="V319" i="7"/>
  <c r="Y318" i="7"/>
  <c r="V318" i="7"/>
  <c r="Y317" i="7"/>
  <c r="V317" i="7"/>
  <c r="Y316" i="7"/>
  <c r="V316" i="7"/>
  <c r="Y315" i="7"/>
  <c r="V315" i="7"/>
  <c r="AS314" i="7"/>
  <c r="Y314" i="7"/>
  <c r="V314" i="7"/>
  <c r="Y313" i="7"/>
  <c r="V313" i="7"/>
  <c r="Y312" i="7"/>
  <c r="V312" i="7"/>
  <c r="Y311" i="7"/>
  <c r="V311" i="7"/>
  <c r="Y310" i="7"/>
  <c r="V310" i="7"/>
  <c r="Y309" i="7"/>
  <c r="V309" i="7"/>
  <c r="Y308" i="7"/>
  <c r="V308" i="7"/>
  <c r="Y307" i="7"/>
  <c r="V307" i="7"/>
  <c r="Y306" i="7"/>
  <c r="V306" i="7"/>
  <c r="Y305" i="7"/>
  <c r="V305" i="7"/>
  <c r="Y304" i="7"/>
  <c r="V304" i="7"/>
  <c r="Y303" i="7"/>
  <c r="V303" i="7"/>
  <c r="Y302" i="7"/>
  <c r="V302" i="7"/>
  <c r="Y301" i="7"/>
  <c r="V301" i="7"/>
  <c r="Y300" i="7"/>
  <c r="V300" i="7"/>
  <c r="Y299" i="7"/>
  <c r="V299" i="7"/>
  <c r="Y298" i="7"/>
  <c r="V298" i="7"/>
  <c r="Y297" i="7"/>
  <c r="V297" i="7"/>
  <c r="Y296" i="7"/>
  <c r="V296" i="7"/>
  <c r="Y295" i="7"/>
  <c r="V295" i="7"/>
  <c r="Y294" i="7"/>
  <c r="V294" i="7"/>
  <c r="Y293" i="7"/>
  <c r="V293" i="7"/>
  <c r="Y292" i="7"/>
  <c r="V292" i="7"/>
  <c r="Y291" i="7"/>
  <c r="V291" i="7"/>
  <c r="Y290" i="7"/>
  <c r="V290" i="7"/>
  <c r="Y289" i="7"/>
  <c r="V289" i="7"/>
  <c r="Y288" i="7"/>
  <c r="V288" i="7"/>
  <c r="Y287" i="7"/>
  <c r="V287" i="7"/>
  <c r="Y286" i="7"/>
  <c r="V286" i="7"/>
  <c r="Y285" i="7"/>
  <c r="V285" i="7"/>
  <c r="Y284" i="7"/>
  <c r="V284" i="7"/>
  <c r="Y283" i="7"/>
  <c r="V283" i="7"/>
  <c r="Y282" i="7"/>
  <c r="V282" i="7"/>
  <c r="Y281" i="7"/>
  <c r="V281" i="7"/>
  <c r="Y280" i="7"/>
  <c r="V280" i="7"/>
  <c r="Y279" i="7"/>
  <c r="V279" i="7"/>
  <c r="Y278" i="7"/>
  <c r="V278" i="7"/>
  <c r="Y277" i="7"/>
  <c r="V277" i="7"/>
  <c r="Y276" i="7"/>
  <c r="V276" i="7"/>
  <c r="Y275" i="7"/>
  <c r="V275" i="7"/>
  <c r="Y274" i="7"/>
  <c r="V274" i="7"/>
  <c r="Y273" i="7"/>
  <c r="V273" i="7"/>
  <c r="Y272" i="7"/>
  <c r="V272" i="7"/>
  <c r="Y271" i="7"/>
  <c r="V271" i="7"/>
  <c r="AS270" i="7"/>
  <c r="Y270" i="7"/>
  <c r="V270" i="7"/>
  <c r="Y269" i="7"/>
  <c r="V269" i="7"/>
  <c r="Y268" i="7"/>
  <c r="V268" i="7"/>
  <c r="Y267" i="7"/>
  <c r="V267" i="7"/>
  <c r="Y266" i="7"/>
  <c r="V266" i="7"/>
  <c r="Y265" i="7"/>
  <c r="V265" i="7"/>
  <c r="Y264" i="7"/>
  <c r="V264" i="7"/>
  <c r="Y263" i="7"/>
  <c r="V263" i="7"/>
  <c r="Y262" i="7"/>
  <c r="V262" i="7"/>
  <c r="Y261" i="7"/>
  <c r="V261" i="7"/>
  <c r="Y260" i="7"/>
  <c r="V260" i="7"/>
  <c r="Y259" i="7"/>
  <c r="V259" i="7"/>
  <c r="Y258" i="7"/>
  <c r="V258" i="7"/>
  <c r="Y257" i="7"/>
  <c r="V257" i="7"/>
  <c r="Y256" i="7"/>
  <c r="V256" i="7"/>
  <c r="Y255" i="7"/>
  <c r="V255" i="7"/>
  <c r="Y254" i="7"/>
  <c r="V254" i="7"/>
  <c r="Y253" i="7"/>
  <c r="V253" i="7"/>
  <c r="Y252" i="7"/>
  <c r="V252" i="7"/>
  <c r="Y251" i="7"/>
  <c r="V251" i="7"/>
  <c r="Y250" i="7"/>
  <c r="V250" i="7"/>
  <c r="Y249" i="7"/>
  <c r="V249" i="7"/>
  <c r="Y248" i="7"/>
  <c r="V248" i="7"/>
  <c r="Y247" i="7"/>
  <c r="V247" i="7"/>
  <c r="Y246" i="7"/>
  <c r="V246" i="7"/>
  <c r="Y245" i="7"/>
  <c r="V245" i="7"/>
  <c r="Y244" i="7"/>
  <c r="V244" i="7"/>
  <c r="Y243" i="7"/>
  <c r="V243" i="7"/>
  <c r="Y242" i="7"/>
  <c r="V242" i="7"/>
  <c r="AS241" i="7"/>
  <c r="Y241" i="7"/>
  <c r="V241" i="7"/>
  <c r="Y240" i="7"/>
  <c r="V240" i="7"/>
  <c r="Y239" i="7"/>
  <c r="V239" i="7"/>
  <c r="Y238" i="7"/>
  <c r="V238" i="7"/>
  <c r="Y237" i="7"/>
  <c r="V237" i="7"/>
  <c r="Y236" i="7"/>
  <c r="V236" i="7"/>
  <c r="AS235" i="7"/>
  <c r="Y235" i="7"/>
  <c r="V235" i="7"/>
  <c r="Y234" i="7"/>
  <c r="V234" i="7"/>
  <c r="Y233" i="7"/>
  <c r="V233" i="7"/>
  <c r="Y232" i="7"/>
  <c r="V232" i="7"/>
  <c r="Y231" i="7"/>
  <c r="V231" i="7"/>
  <c r="Y230" i="7"/>
  <c r="V230" i="7"/>
  <c r="Y229" i="7"/>
  <c r="V229" i="7"/>
  <c r="Y228" i="7"/>
  <c r="V228" i="7"/>
  <c r="Y227" i="7"/>
  <c r="V227" i="7"/>
  <c r="Y226" i="7"/>
  <c r="V226" i="7"/>
  <c r="Y225" i="7"/>
  <c r="V225" i="7"/>
  <c r="Y224" i="7"/>
  <c r="V224" i="7"/>
  <c r="Y223" i="7"/>
  <c r="V223" i="7"/>
  <c r="Y222" i="7"/>
  <c r="V222" i="7"/>
  <c r="Y221" i="7"/>
  <c r="V221" i="7"/>
  <c r="Y220" i="7"/>
  <c r="V220" i="7"/>
  <c r="Y219" i="7"/>
  <c r="V219" i="7"/>
  <c r="Y218" i="7"/>
  <c r="V218" i="7"/>
  <c r="Y217" i="7"/>
  <c r="V217" i="7"/>
  <c r="Y216" i="7"/>
  <c r="V216" i="7"/>
  <c r="Y215" i="7"/>
  <c r="V215" i="7"/>
  <c r="Y214" i="7"/>
  <c r="V214" i="7"/>
  <c r="Y213" i="7"/>
  <c r="V213" i="7"/>
  <c r="Y212" i="7"/>
  <c r="V212" i="7"/>
  <c r="Y211" i="7"/>
  <c r="V211" i="7"/>
  <c r="Y210" i="7"/>
  <c r="V210" i="7"/>
  <c r="Y209" i="7"/>
  <c r="V209" i="7"/>
  <c r="Y208" i="7"/>
  <c r="V208" i="7"/>
  <c r="Y207" i="7"/>
  <c r="V207" i="7"/>
  <c r="Y206" i="7"/>
  <c r="V206" i="7"/>
  <c r="Y205" i="7"/>
  <c r="V205" i="7"/>
  <c r="Y204" i="7"/>
  <c r="V204" i="7"/>
  <c r="Y203" i="7"/>
  <c r="V203" i="7"/>
  <c r="Y202" i="7"/>
  <c r="V202" i="7"/>
  <c r="Y201" i="7"/>
  <c r="V201" i="7"/>
  <c r="Y200" i="7"/>
  <c r="V200" i="7"/>
  <c r="Y199" i="7"/>
  <c r="V199" i="7"/>
  <c r="Y198" i="7"/>
  <c r="V198" i="7"/>
  <c r="Y197" i="7"/>
  <c r="V197" i="7"/>
  <c r="Y196" i="7"/>
  <c r="V196" i="7"/>
  <c r="Y195" i="7"/>
  <c r="V195" i="7"/>
  <c r="Y194" i="7"/>
  <c r="V194" i="7"/>
  <c r="Y193" i="7"/>
  <c r="V193" i="7"/>
  <c r="Y192" i="7"/>
  <c r="V192" i="7"/>
  <c r="Y191" i="7"/>
  <c r="V191" i="7"/>
  <c r="Y190" i="7"/>
  <c r="V190" i="7"/>
  <c r="Y189" i="7"/>
  <c r="V189" i="7"/>
  <c r="Y188" i="7"/>
  <c r="V188" i="7"/>
  <c r="Y187" i="7"/>
  <c r="V187" i="7"/>
  <c r="Y186" i="7"/>
  <c r="V186" i="7"/>
  <c r="Y185" i="7"/>
  <c r="V185" i="7"/>
  <c r="Y184" i="7"/>
  <c r="V184" i="7"/>
  <c r="Y183" i="7"/>
  <c r="V183" i="7"/>
  <c r="Y182" i="7"/>
  <c r="V182" i="7"/>
  <c r="Y181" i="7"/>
  <c r="V181" i="7"/>
  <c r="Y180" i="7"/>
  <c r="V180" i="7"/>
  <c r="Y179" i="7"/>
  <c r="V179" i="7"/>
  <c r="Y178" i="7"/>
  <c r="V178" i="7"/>
  <c r="Y177" i="7"/>
  <c r="V177" i="7"/>
  <c r="Y176" i="7"/>
  <c r="V176" i="7"/>
  <c r="Y175" i="7"/>
  <c r="V175" i="7"/>
  <c r="Y174" i="7"/>
  <c r="V174" i="7"/>
  <c r="Y173" i="7"/>
  <c r="V173" i="7"/>
  <c r="Y172" i="7"/>
  <c r="V172" i="7"/>
  <c r="Y171" i="7"/>
  <c r="V171" i="7"/>
  <c r="Y170" i="7"/>
  <c r="V170" i="7"/>
  <c r="Y169" i="7"/>
  <c r="V169" i="7"/>
  <c r="Y168" i="7"/>
  <c r="V168" i="7"/>
  <c r="Y167" i="7"/>
  <c r="V167" i="7"/>
  <c r="Y166" i="7"/>
  <c r="V166" i="7"/>
  <c r="Y165" i="7"/>
  <c r="V165" i="7"/>
  <c r="Y164" i="7"/>
  <c r="V164" i="7"/>
  <c r="Y163" i="7"/>
  <c r="V163" i="7"/>
  <c r="Y162" i="7"/>
  <c r="V162" i="7"/>
  <c r="Y161" i="7"/>
  <c r="V161" i="7"/>
  <c r="Y160" i="7"/>
  <c r="V160" i="7"/>
  <c r="Y159" i="7"/>
  <c r="V159" i="7"/>
  <c r="Y158" i="7"/>
  <c r="V158" i="7"/>
  <c r="Y157" i="7"/>
  <c r="V157" i="7"/>
  <c r="Y156" i="7"/>
  <c r="V156" i="7"/>
  <c r="Y155" i="7"/>
  <c r="V155" i="7"/>
  <c r="Y154" i="7"/>
  <c r="V154" i="7"/>
  <c r="Y153" i="7"/>
  <c r="V153" i="7"/>
  <c r="Y152" i="7"/>
  <c r="V152" i="7"/>
  <c r="Y151" i="7"/>
  <c r="V151" i="7"/>
  <c r="Y150" i="7"/>
  <c r="V150" i="7"/>
  <c r="Y149" i="7"/>
  <c r="V149" i="7"/>
  <c r="Y148" i="7"/>
  <c r="V148" i="7"/>
  <c r="Y147" i="7"/>
  <c r="V147" i="7"/>
  <c r="Y146" i="7"/>
  <c r="V146" i="7"/>
  <c r="Y145" i="7"/>
  <c r="V145" i="7"/>
  <c r="Y144" i="7"/>
  <c r="V144" i="7"/>
  <c r="Y143" i="7"/>
  <c r="V143" i="7"/>
  <c r="Y142" i="7"/>
  <c r="V142" i="7"/>
  <c r="Y141" i="7"/>
  <c r="V141" i="7"/>
  <c r="Y140" i="7"/>
  <c r="V140" i="7"/>
  <c r="Y139" i="7"/>
  <c r="V139" i="7"/>
  <c r="Y138" i="7"/>
  <c r="V138" i="7"/>
  <c r="Y137" i="7"/>
  <c r="V137" i="7"/>
  <c r="Y136" i="7"/>
  <c r="V136" i="7"/>
  <c r="Y135" i="7"/>
  <c r="V135" i="7"/>
  <c r="Y134" i="7"/>
  <c r="V134" i="7"/>
  <c r="Y133" i="7"/>
  <c r="V133" i="7"/>
  <c r="Y132" i="7"/>
  <c r="V132" i="7"/>
  <c r="Y131" i="7"/>
  <c r="V131" i="7"/>
  <c r="Y130" i="7"/>
  <c r="V130" i="7"/>
  <c r="Y129" i="7"/>
  <c r="V129" i="7"/>
  <c r="Y128" i="7"/>
  <c r="V128" i="7"/>
  <c r="Y127" i="7"/>
  <c r="V127" i="7"/>
  <c r="Y126" i="7"/>
  <c r="V126" i="7"/>
  <c r="Y125" i="7"/>
  <c r="V125" i="7"/>
  <c r="Y124" i="7"/>
  <c r="V124" i="7"/>
  <c r="Y123" i="7"/>
  <c r="V123" i="7"/>
  <c r="Y122" i="7"/>
  <c r="V122" i="7"/>
  <c r="Y121" i="7"/>
  <c r="V121" i="7"/>
  <c r="Y120" i="7"/>
  <c r="V120" i="7"/>
  <c r="Y119" i="7"/>
  <c r="V119" i="7"/>
  <c r="Y118" i="7"/>
  <c r="V118" i="7"/>
  <c r="Y117" i="7"/>
  <c r="V117" i="7"/>
  <c r="Y116" i="7"/>
  <c r="V116" i="7"/>
  <c r="Y115" i="7"/>
  <c r="V115" i="7"/>
  <c r="Y114" i="7"/>
  <c r="V114" i="7"/>
  <c r="Y113" i="7"/>
  <c r="V113" i="7"/>
  <c r="Y112" i="7"/>
  <c r="V112" i="7"/>
  <c r="Y111" i="7"/>
  <c r="V111" i="7"/>
  <c r="Y110" i="7"/>
  <c r="V110" i="7"/>
  <c r="AL377" i="7"/>
  <c r="Y109" i="7"/>
  <c r="V109" i="7"/>
  <c r="Y108" i="7"/>
  <c r="V108" i="7"/>
  <c r="Y107" i="7"/>
  <c r="V107" i="7"/>
  <c r="Y106" i="7"/>
  <c r="V106" i="7"/>
  <c r="Y105" i="7"/>
  <c r="V105" i="7"/>
  <c r="Y104" i="7"/>
  <c r="V104" i="7"/>
  <c r="Y103" i="7"/>
  <c r="V103" i="7"/>
  <c r="Y102" i="7"/>
  <c r="V102" i="7"/>
  <c r="Y101" i="7"/>
  <c r="V101" i="7"/>
  <c r="Y100" i="7"/>
  <c r="V100" i="7"/>
  <c r="Y99" i="7"/>
  <c r="V99" i="7"/>
  <c r="Y98" i="7"/>
  <c r="V98" i="7"/>
  <c r="Y97" i="7"/>
  <c r="V97" i="7"/>
  <c r="Y96" i="7"/>
  <c r="V96" i="7"/>
  <c r="Y95" i="7"/>
  <c r="V95" i="7"/>
  <c r="Y94" i="7"/>
  <c r="V94" i="7"/>
  <c r="Y93" i="7"/>
  <c r="V93" i="7"/>
  <c r="Y92" i="7"/>
  <c r="V92" i="7"/>
  <c r="Y91" i="7"/>
  <c r="V91" i="7"/>
  <c r="Y90" i="7"/>
  <c r="V90" i="7"/>
  <c r="Y89" i="7"/>
  <c r="V89" i="7"/>
  <c r="Y88" i="7"/>
  <c r="V88" i="7"/>
  <c r="Y87" i="7"/>
  <c r="V87" i="7"/>
  <c r="Y86" i="7"/>
  <c r="V86" i="7"/>
  <c r="Y85" i="7"/>
  <c r="V85" i="7"/>
  <c r="Y84" i="7"/>
  <c r="V84" i="7"/>
  <c r="Y83" i="7"/>
  <c r="V83" i="7"/>
  <c r="Y82" i="7"/>
  <c r="V82" i="7"/>
  <c r="Y81" i="7"/>
  <c r="V81" i="7"/>
  <c r="Y80" i="7"/>
  <c r="V80" i="7"/>
  <c r="Y79" i="7"/>
  <c r="V79" i="7"/>
  <c r="Y78" i="7"/>
  <c r="V78" i="7"/>
  <c r="Y77" i="7"/>
  <c r="V77" i="7"/>
  <c r="Y76" i="7"/>
  <c r="V76" i="7"/>
  <c r="Y75" i="7"/>
  <c r="V75" i="7"/>
  <c r="Y74" i="7"/>
  <c r="V74" i="7"/>
  <c r="Y73" i="7"/>
  <c r="V73" i="7"/>
  <c r="Y72" i="7"/>
  <c r="V72" i="7"/>
  <c r="Y71" i="7"/>
  <c r="V71" i="7"/>
  <c r="Y70" i="7"/>
  <c r="V70" i="7"/>
  <c r="Y69" i="7"/>
  <c r="V69" i="7"/>
  <c r="Y68" i="7"/>
  <c r="V68" i="7"/>
  <c r="Y67" i="7"/>
  <c r="V67" i="7"/>
  <c r="Y66" i="7"/>
  <c r="V66" i="7"/>
  <c r="Y65" i="7"/>
  <c r="V65" i="7"/>
  <c r="Y64" i="7"/>
  <c r="V64" i="7"/>
  <c r="Y63" i="7"/>
  <c r="V63" i="7"/>
  <c r="Y62" i="7"/>
  <c r="V62" i="7"/>
  <c r="Y61" i="7"/>
  <c r="V61" i="7"/>
  <c r="Y60" i="7"/>
  <c r="V60" i="7"/>
  <c r="Y59" i="7"/>
  <c r="V59" i="7"/>
  <c r="Y58" i="7"/>
  <c r="V58" i="7"/>
  <c r="Y57" i="7"/>
  <c r="V57" i="7"/>
  <c r="Y56" i="7"/>
  <c r="V56" i="7"/>
  <c r="Y55" i="7"/>
  <c r="V55" i="7"/>
  <c r="Y54" i="7"/>
  <c r="V54" i="7"/>
  <c r="Y53" i="7"/>
  <c r="V53" i="7"/>
  <c r="Y52" i="7"/>
  <c r="V52" i="7"/>
  <c r="Y51" i="7"/>
  <c r="V51" i="7"/>
  <c r="Y50" i="7"/>
  <c r="V50" i="7"/>
  <c r="Y49" i="7"/>
  <c r="V49" i="7"/>
  <c r="Y48" i="7"/>
  <c r="V48" i="7"/>
  <c r="Y47" i="7"/>
  <c r="V47" i="7"/>
  <c r="Y46" i="7"/>
  <c r="V46" i="7"/>
  <c r="Y45" i="7"/>
  <c r="V45" i="7"/>
  <c r="Y44" i="7"/>
  <c r="V44" i="7"/>
  <c r="Y43" i="7"/>
  <c r="V43" i="7"/>
  <c r="Y42" i="7"/>
  <c r="V42" i="7"/>
  <c r="Y41" i="7"/>
  <c r="V41" i="7"/>
  <c r="Y40" i="7"/>
  <c r="V40" i="7"/>
  <c r="Y39" i="7"/>
  <c r="V39" i="7"/>
  <c r="Y38" i="7"/>
  <c r="V38" i="7"/>
  <c r="Y37" i="7"/>
  <c r="V37" i="7"/>
  <c r="Y36" i="7"/>
  <c r="V36" i="7"/>
  <c r="Y35" i="7"/>
  <c r="V35" i="7"/>
  <c r="Y34" i="7"/>
  <c r="V34" i="7"/>
  <c r="Y33" i="7"/>
  <c r="V33" i="7"/>
  <c r="Y32" i="7"/>
  <c r="V32" i="7"/>
  <c r="Y31" i="7"/>
  <c r="V31" i="7"/>
  <c r="Y30" i="7"/>
  <c r="V30" i="7"/>
  <c r="Y29" i="7"/>
  <c r="V29" i="7"/>
  <c r="Y28" i="7"/>
  <c r="V28" i="7"/>
  <c r="Y27" i="7"/>
  <c r="V27" i="7"/>
  <c r="Y26" i="7"/>
  <c r="V26" i="7"/>
  <c r="Y25" i="7"/>
  <c r="V25" i="7"/>
  <c r="Y24" i="7"/>
  <c r="V24" i="7"/>
  <c r="Y23" i="7"/>
  <c r="V23" i="7"/>
  <c r="Y22" i="7"/>
  <c r="V22" i="7"/>
  <c r="Y21" i="7"/>
  <c r="V21" i="7"/>
  <c r="Y20" i="7"/>
  <c r="V20" i="7"/>
  <c r="Y19" i="7"/>
  <c r="V19" i="7"/>
  <c r="Y18" i="7"/>
  <c r="V18" i="7"/>
  <c r="Y17" i="7"/>
  <c r="V17" i="7"/>
  <c r="Y16" i="7"/>
  <c r="V16" i="7"/>
  <c r="Y15" i="7"/>
  <c r="V15" i="7"/>
  <c r="Y14" i="7"/>
  <c r="V14" i="7"/>
  <c r="Y13" i="7"/>
  <c r="V13" i="7"/>
  <c r="Y12" i="7"/>
  <c r="V12" i="7"/>
  <c r="Y11" i="7"/>
  <c r="V11" i="7"/>
  <c r="Y10" i="7"/>
  <c r="V10" i="7"/>
  <c r="Y9" i="7"/>
  <c r="V9" i="7"/>
  <c r="W2" i="7"/>
  <c r="U2" i="7"/>
  <c r="U3" i="7" s="1"/>
  <c r="AS378" i="7" l="1"/>
  <c r="Y376" i="7"/>
  <c r="O379" i="7"/>
  <c r="W379" i="7"/>
  <c r="U379" i="7"/>
  <c r="AC379" i="7"/>
  <c r="R379" i="7"/>
  <c r="W3" i="7"/>
  <c r="AF379" i="7"/>
  <c r="J379" i="7"/>
  <c r="Y377" i="7"/>
  <c r="X379" i="7"/>
  <c r="AR379" i="7"/>
  <c r="AQ379" i="7"/>
  <c r="F379" i="7"/>
  <c r="N379" i="7"/>
  <c r="AL368" i="7"/>
  <c r="AL378" i="7"/>
  <c r="AL379" i="7" s="1"/>
  <c r="Y368" i="7"/>
  <c r="Y378" i="7"/>
  <c r="AS377" i="7"/>
  <c r="AS379" i="7" s="1"/>
  <c r="AS368" i="7"/>
  <c r="V368" i="7"/>
  <c r="V378" i="7"/>
  <c r="V377" i="7"/>
  <c r="V376" i="7"/>
  <c r="T379" i="7"/>
  <c r="AB379" i="7"/>
  <c r="AJ379" i="7"/>
  <c r="AO379" i="7"/>
  <c r="Y379" i="7" l="1"/>
  <c r="V379" i="7"/>
  <c r="AL387" i="6"/>
  <c r="AW378" i="6"/>
  <c r="F375" i="6"/>
  <c r="BO372" i="6"/>
  <c r="BN372" i="6"/>
  <c r="BM372" i="6"/>
  <c r="BL372" i="6"/>
  <c r="BJ372" i="6"/>
  <c r="BH372" i="6"/>
  <c r="BG372" i="6"/>
  <c r="BF372" i="6"/>
  <c r="BE372" i="6"/>
  <c r="BE377" i="6" s="1"/>
  <c r="BD372" i="6"/>
  <c r="BC372" i="6"/>
  <c r="BA372" i="6"/>
  <c r="AZ372" i="6"/>
  <c r="AY372" i="6"/>
  <c r="AW372" i="6"/>
  <c r="AU372" i="6"/>
  <c r="AT372" i="6"/>
  <c r="AT390" i="6" s="1"/>
  <c r="AS372" i="6"/>
  <c r="AR372" i="6"/>
  <c r="AQ372" i="6"/>
  <c r="AM372" i="6"/>
  <c r="AL372" i="6"/>
  <c r="AI372" i="6"/>
  <c r="AF372" i="6"/>
  <c r="AC372" i="6"/>
  <c r="Z372" i="6"/>
  <c r="V372" i="6"/>
  <c r="BO371" i="6"/>
  <c r="BN371" i="6"/>
  <c r="BM371" i="6"/>
  <c r="BL371" i="6"/>
  <c r="BJ371" i="6"/>
  <c r="BH371" i="6"/>
  <c r="BG371" i="6"/>
  <c r="BF371" i="6"/>
  <c r="BE371" i="6"/>
  <c r="BE376" i="6" s="1"/>
  <c r="BD371" i="6"/>
  <c r="BC371" i="6"/>
  <c r="BA371" i="6"/>
  <c r="AZ371" i="6"/>
  <c r="AY371" i="6"/>
  <c r="AW371" i="6"/>
  <c r="AV371" i="6"/>
  <c r="AU371" i="6"/>
  <c r="AT371" i="6"/>
  <c r="AS371" i="6"/>
  <c r="AS390" i="6" s="1"/>
  <c r="AR371" i="6"/>
  <c r="AQ371" i="6"/>
  <c r="AM371" i="6"/>
  <c r="AL371" i="6"/>
  <c r="AI371" i="6"/>
  <c r="AF371" i="6"/>
  <c r="AC371" i="6"/>
  <c r="Z371" i="6"/>
  <c r="V371" i="6"/>
  <c r="BO370" i="6"/>
  <c r="BO373" i="6" s="1"/>
  <c r="BN370" i="6"/>
  <c r="BM370" i="6"/>
  <c r="BL370" i="6"/>
  <c r="BJ370" i="6"/>
  <c r="BH370" i="6"/>
  <c r="BG370" i="6"/>
  <c r="BF370" i="6"/>
  <c r="BE370" i="6"/>
  <c r="BD370" i="6"/>
  <c r="BC370" i="6"/>
  <c r="BA370" i="6"/>
  <c r="AZ370" i="6"/>
  <c r="AY370" i="6"/>
  <c r="AW370" i="6"/>
  <c r="AV370" i="6"/>
  <c r="AU370" i="6"/>
  <c r="AT370" i="6"/>
  <c r="AS370" i="6"/>
  <c r="AR370" i="6"/>
  <c r="AQ370" i="6"/>
  <c r="AM370" i="6"/>
  <c r="AL370" i="6"/>
  <c r="AI370" i="6"/>
  <c r="AF370" i="6"/>
  <c r="AC370" i="6"/>
  <c r="Z370" i="6"/>
  <c r="V370" i="6"/>
  <c r="BV369" i="6"/>
  <c r="BU369" i="6"/>
  <c r="BT369" i="6"/>
  <c r="BW368" i="6"/>
  <c r="BO368" i="6"/>
  <c r="BM368" i="6"/>
  <c r="BL368" i="6"/>
  <c r="BJ368" i="6"/>
  <c r="BH384" i="6"/>
  <c r="BG368" i="6"/>
  <c r="AW368" i="6"/>
  <c r="AT368" i="6"/>
  <c r="AS368" i="6"/>
  <c r="AR368" i="6"/>
  <c r="AM368" i="6"/>
  <c r="AL368" i="6"/>
  <c r="AL375" i="6" s="1"/>
  <c r="Z368" i="6"/>
  <c r="V368" i="6"/>
  <c r="BW367" i="6"/>
  <c r="BI367" i="6"/>
  <c r="AX367" i="6"/>
  <c r="F367" i="6" s="1"/>
  <c r="AP367" i="6"/>
  <c r="AA367" i="6"/>
  <c r="AB367" i="6" s="1"/>
  <c r="S367" i="6"/>
  <c r="N367" i="6"/>
  <c r="G367" i="6"/>
  <c r="C367" i="6"/>
  <c r="BW366" i="6"/>
  <c r="BI366" i="6"/>
  <c r="AX366" i="6"/>
  <c r="AP366" i="6"/>
  <c r="S366" i="6"/>
  <c r="N366" i="6"/>
  <c r="G366" i="6"/>
  <c r="C366" i="6"/>
  <c r="BW365" i="6"/>
  <c r="BI365" i="6"/>
  <c r="AX365" i="6"/>
  <c r="AP365" i="6"/>
  <c r="S365" i="6"/>
  <c r="N365" i="6"/>
  <c r="G365" i="6"/>
  <c r="C365" i="6"/>
  <c r="BW364" i="6"/>
  <c r="BI364" i="6"/>
  <c r="AX364" i="6"/>
  <c r="AP364" i="6"/>
  <c r="S364" i="6"/>
  <c r="N364" i="6"/>
  <c r="G364" i="6"/>
  <c r="C364" i="6"/>
  <c r="BW363" i="6"/>
  <c r="BI363" i="6"/>
  <c r="AX363" i="6"/>
  <c r="AP363" i="6"/>
  <c r="S363" i="6"/>
  <c r="N363" i="6"/>
  <c r="G363" i="6"/>
  <c r="C363" i="6"/>
  <c r="BW362" i="6"/>
  <c r="BI362" i="6"/>
  <c r="AX362" i="6"/>
  <c r="AP362" i="6"/>
  <c r="S362" i="6"/>
  <c r="N362" i="6"/>
  <c r="G362" i="6"/>
  <c r="C362" i="6"/>
  <c r="BW361" i="6"/>
  <c r="BI361" i="6"/>
  <c r="AX361" i="6"/>
  <c r="AP361" i="6"/>
  <c r="S361" i="6"/>
  <c r="N361" i="6"/>
  <c r="G361" i="6"/>
  <c r="C361" i="6"/>
  <c r="BW360" i="6"/>
  <c r="BI360" i="6"/>
  <c r="AX360" i="6"/>
  <c r="AP360" i="6"/>
  <c r="S360" i="6"/>
  <c r="N360" i="6"/>
  <c r="G360" i="6"/>
  <c r="C360" i="6"/>
  <c r="BW359" i="6"/>
  <c r="BI359" i="6"/>
  <c r="AX359" i="6"/>
  <c r="AP359" i="6"/>
  <c r="S359" i="6"/>
  <c r="N359" i="6"/>
  <c r="G359" i="6"/>
  <c r="C359" i="6"/>
  <c r="BW358" i="6"/>
  <c r="BI358" i="6"/>
  <c r="AX358" i="6"/>
  <c r="AP358" i="6"/>
  <c r="S358" i="6"/>
  <c r="N358" i="6"/>
  <c r="G358" i="6"/>
  <c r="C358" i="6"/>
  <c r="BW357" i="6"/>
  <c r="BI357" i="6"/>
  <c r="AX357" i="6"/>
  <c r="AP357" i="6"/>
  <c r="S357" i="6"/>
  <c r="N357" i="6"/>
  <c r="G357" i="6"/>
  <c r="C357" i="6"/>
  <c r="BW356" i="6"/>
  <c r="BI356" i="6"/>
  <c r="AX356" i="6"/>
  <c r="AP356" i="6"/>
  <c r="S356" i="6"/>
  <c r="N356" i="6"/>
  <c r="G356" i="6"/>
  <c r="C356" i="6"/>
  <c r="BW355" i="6"/>
  <c r="BI355" i="6"/>
  <c r="AX355" i="6"/>
  <c r="AP355" i="6"/>
  <c r="S355" i="6"/>
  <c r="N355" i="6"/>
  <c r="G355" i="6"/>
  <c r="C355" i="6"/>
  <c r="BW354" i="6"/>
  <c r="BI354" i="6"/>
  <c r="AX354" i="6"/>
  <c r="AP354" i="6"/>
  <c r="S354" i="6"/>
  <c r="N354" i="6"/>
  <c r="G354" i="6"/>
  <c r="C354" i="6"/>
  <c r="BW353" i="6"/>
  <c r="BI353" i="6"/>
  <c r="AX353" i="6"/>
  <c r="AP353" i="6"/>
  <c r="S353" i="6"/>
  <c r="N353" i="6"/>
  <c r="G353" i="6"/>
  <c r="C353" i="6"/>
  <c r="BW352" i="6"/>
  <c r="BI352" i="6"/>
  <c r="AX352" i="6"/>
  <c r="AP352" i="6"/>
  <c r="S352" i="6"/>
  <c r="N352" i="6"/>
  <c r="G352" i="6"/>
  <c r="C352" i="6"/>
  <c r="BW351" i="6"/>
  <c r="BI351" i="6"/>
  <c r="AX351" i="6"/>
  <c r="AP351" i="6"/>
  <c r="S351" i="6"/>
  <c r="N351" i="6"/>
  <c r="G351" i="6"/>
  <c r="C351" i="6"/>
  <c r="BW350" i="6"/>
  <c r="BI350" i="6"/>
  <c r="AX350" i="6"/>
  <c r="AP350" i="6"/>
  <c r="S350" i="6"/>
  <c r="N350" i="6"/>
  <c r="G350" i="6"/>
  <c r="C350" i="6"/>
  <c r="BW349" i="6"/>
  <c r="BI349" i="6"/>
  <c r="AX349" i="6"/>
  <c r="AP349" i="6"/>
  <c r="S349" i="6"/>
  <c r="N349" i="6"/>
  <c r="G349" i="6"/>
  <c r="C349" i="6"/>
  <c r="BW348" i="6"/>
  <c r="BI348" i="6"/>
  <c r="AX348" i="6"/>
  <c r="AP348" i="6"/>
  <c r="S348" i="6"/>
  <c r="N348" i="6"/>
  <c r="G348" i="6"/>
  <c r="C348" i="6"/>
  <c r="BW347" i="6"/>
  <c r="BI347" i="6"/>
  <c r="AX347" i="6"/>
  <c r="AP347" i="6"/>
  <c r="S347" i="6"/>
  <c r="N347" i="6"/>
  <c r="G347" i="6"/>
  <c r="C347" i="6"/>
  <c r="BW346" i="6"/>
  <c r="BI346" i="6"/>
  <c r="AX346" i="6"/>
  <c r="AP346" i="6"/>
  <c r="S346" i="6"/>
  <c r="N346" i="6"/>
  <c r="G346" i="6"/>
  <c r="C346" i="6"/>
  <c r="BW345" i="6"/>
  <c r="BI345" i="6"/>
  <c r="AX345" i="6"/>
  <c r="AP345" i="6"/>
  <c r="S345" i="6"/>
  <c r="N345" i="6"/>
  <c r="G345" i="6"/>
  <c r="C345" i="6"/>
  <c r="BW344" i="6"/>
  <c r="BI344" i="6"/>
  <c r="AX344" i="6"/>
  <c r="AP344" i="6"/>
  <c r="S344" i="6"/>
  <c r="N344" i="6"/>
  <c r="G344" i="6"/>
  <c r="C344" i="6"/>
  <c r="BW343" i="6"/>
  <c r="BI343" i="6"/>
  <c r="AX343" i="6"/>
  <c r="AP343" i="6"/>
  <c r="S343" i="6"/>
  <c r="N343" i="6"/>
  <c r="G343" i="6"/>
  <c r="C343" i="6"/>
  <c r="BW342" i="6"/>
  <c r="BI342" i="6"/>
  <c r="AX342" i="6"/>
  <c r="AP342" i="6"/>
  <c r="S342" i="6"/>
  <c r="N342" i="6"/>
  <c r="G342" i="6"/>
  <c r="C342" i="6"/>
  <c r="BW341" i="6"/>
  <c r="BI341" i="6"/>
  <c r="AX341" i="6"/>
  <c r="AP341" i="6"/>
  <c r="S341" i="6"/>
  <c r="N341" i="6"/>
  <c r="G341" i="6"/>
  <c r="C341" i="6"/>
  <c r="BW340" i="6"/>
  <c r="BI340" i="6"/>
  <c r="AX340" i="6"/>
  <c r="AP340" i="6"/>
  <c r="S340" i="6"/>
  <c r="N340" i="6"/>
  <c r="G340" i="6"/>
  <c r="C340" i="6"/>
  <c r="BW339" i="6"/>
  <c r="BI339" i="6"/>
  <c r="AX339" i="6"/>
  <c r="AP339" i="6"/>
  <c r="S339" i="6"/>
  <c r="N339" i="6"/>
  <c r="G339" i="6"/>
  <c r="C339" i="6"/>
  <c r="BW338" i="6"/>
  <c r="BI338" i="6"/>
  <c r="AX338" i="6"/>
  <c r="AP338" i="6"/>
  <c r="S338" i="6"/>
  <c r="N338" i="6"/>
  <c r="G338" i="6"/>
  <c r="C338" i="6"/>
  <c r="BW337" i="6"/>
  <c r="BI337" i="6"/>
  <c r="AX337" i="6"/>
  <c r="AP337" i="6"/>
  <c r="S337" i="6"/>
  <c r="N337" i="6"/>
  <c r="G337" i="6"/>
  <c r="C337" i="6"/>
  <c r="BW336" i="6"/>
  <c r="BI336" i="6"/>
  <c r="AX336" i="6"/>
  <c r="AP336" i="6"/>
  <c r="S336" i="6"/>
  <c r="N336" i="6"/>
  <c r="G336" i="6"/>
  <c r="C336" i="6"/>
  <c r="BW335" i="6"/>
  <c r="BI335" i="6"/>
  <c r="AX335" i="6"/>
  <c r="AP335" i="6"/>
  <c r="S335" i="6"/>
  <c r="N335" i="6"/>
  <c r="G335" i="6"/>
  <c r="C335" i="6"/>
  <c r="BW334" i="6"/>
  <c r="BI334" i="6"/>
  <c r="AX334" i="6"/>
  <c r="AP334" i="6"/>
  <c r="S334" i="6"/>
  <c r="N334" i="6"/>
  <c r="G334" i="6"/>
  <c r="C334" i="6"/>
  <c r="BW333" i="6"/>
  <c r="BI333" i="6"/>
  <c r="AX333" i="6"/>
  <c r="AP333" i="6"/>
  <c r="S333" i="6"/>
  <c r="N333" i="6"/>
  <c r="G333" i="6"/>
  <c r="C333" i="6"/>
  <c r="BW332" i="6"/>
  <c r="BI332" i="6"/>
  <c r="AX332" i="6"/>
  <c r="AP332" i="6"/>
  <c r="S332" i="6"/>
  <c r="N332" i="6"/>
  <c r="G332" i="6"/>
  <c r="C332" i="6"/>
  <c r="BW331" i="6"/>
  <c r="BI331" i="6"/>
  <c r="AX331" i="6"/>
  <c r="AP331" i="6"/>
  <c r="S331" i="6"/>
  <c r="N331" i="6"/>
  <c r="G331" i="6"/>
  <c r="C331" i="6"/>
  <c r="BW330" i="6"/>
  <c r="BI330" i="6"/>
  <c r="AX330" i="6"/>
  <c r="AP330" i="6"/>
  <c r="S330" i="6"/>
  <c r="N330" i="6"/>
  <c r="G330" i="6"/>
  <c r="C330" i="6"/>
  <c r="BW329" i="6"/>
  <c r="BI329" i="6"/>
  <c r="AX329" i="6"/>
  <c r="AP329" i="6"/>
  <c r="S329" i="6"/>
  <c r="N329" i="6"/>
  <c r="G329" i="6"/>
  <c r="C329" i="6"/>
  <c r="BW328" i="6"/>
  <c r="BI328" i="6"/>
  <c r="AX328" i="6"/>
  <c r="AP328" i="6"/>
  <c r="S328" i="6"/>
  <c r="N328" i="6"/>
  <c r="G328" i="6"/>
  <c r="C328" i="6"/>
  <c r="BW327" i="6"/>
  <c r="BI327" i="6"/>
  <c r="AX327" i="6"/>
  <c r="AP327" i="6"/>
  <c r="S327" i="6"/>
  <c r="N327" i="6"/>
  <c r="G327" i="6"/>
  <c r="C327" i="6"/>
  <c r="BW326" i="6"/>
  <c r="BI326" i="6"/>
  <c r="AX326" i="6"/>
  <c r="AP326" i="6"/>
  <c r="S326" i="6"/>
  <c r="N326" i="6"/>
  <c r="G326" i="6"/>
  <c r="C326" i="6"/>
  <c r="BW325" i="6"/>
  <c r="BI325" i="6"/>
  <c r="AX325" i="6"/>
  <c r="AP325" i="6"/>
  <c r="S325" i="6"/>
  <c r="N325" i="6"/>
  <c r="G325" i="6"/>
  <c r="C325" i="6"/>
  <c r="BW324" i="6"/>
  <c r="BI324" i="6"/>
  <c r="AX324" i="6"/>
  <c r="AP324" i="6"/>
  <c r="S324" i="6"/>
  <c r="N324" i="6"/>
  <c r="G324" i="6"/>
  <c r="C324" i="6"/>
  <c r="BW323" i="6"/>
  <c r="BI323" i="6"/>
  <c r="AX323" i="6"/>
  <c r="AP323" i="6"/>
  <c r="S323" i="6"/>
  <c r="N323" i="6"/>
  <c r="G323" i="6"/>
  <c r="C323" i="6"/>
  <c r="BW322" i="6"/>
  <c r="BI322" i="6"/>
  <c r="AX322" i="6"/>
  <c r="AP322" i="6"/>
  <c r="S322" i="6"/>
  <c r="N322" i="6"/>
  <c r="G322" i="6"/>
  <c r="C322" i="6"/>
  <c r="BW321" i="6"/>
  <c r="BI321" i="6"/>
  <c r="AX321" i="6"/>
  <c r="AP321" i="6"/>
  <c r="S321" i="6"/>
  <c r="N321" i="6"/>
  <c r="G321" i="6"/>
  <c r="C321" i="6"/>
  <c r="BW320" i="6"/>
  <c r="BI320" i="6"/>
  <c r="AX320" i="6"/>
  <c r="AP320" i="6"/>
  <c r="S320" i="6"/>
  <c r="N320" i="6"/>
  <c r="G320" i="6"/>
  <c r="C320" i="6"/>
  <c r="BW319" i="6"/>
  <c r="BI319" i="6"/>
  <c r="AX319" i="6"/>
  <c r="AP319" i="6"/>
  <c r="S319" i="6"/>
  <c r="N319" i="6"/>
  <c r="G319" i="6"/>
  <c r="C319" i="6"/>
  <c r="BW318" i="6"/>
  <c r="BI318" i="6"/>
  <c r="AX318" i="6"/>
  <c r="AP318" i="6"/>
  <c r="S318" i="6"/>
  <c r="N318" i="6"/>
  <c r="G318" i="6"/>
  <c r="C318" i="6"/>
  <c r="BW317" i="6"/>
  <c r="BI317" i="6"/>
  <c r="AX317" i="6"/>
  <c r="AP317" i="6"/>
  <c r="S317" i="6"/>
  <c r="N317" i="6"/>
  <c r="G317" i="6"/>
  <c r="C317" i="6"/>
  <c r="BW316" i="6"/>
  <c r="BI316" i="6"/>
  <c r="AX316" i="6"/>
  <c r="AP316" i="6"/>
  <c r="S316" i="6"/>
  <c r="N316" i="6"/>
  <c r="G316" i="6"/>
  <c r="C316" i="6"/>
  <c r="BW315" i="6"/>
  <c r="BI315" i="6"/>
  <c r="AX315" i="6"/>
  <c r="AP315" i="6"/>
  <c r="S315" i="6"/>
  <c r="N315" i="6"/>
  <c r="G315" i="6"/>
  <c r="C315" i="6"/>
  <c r="BW314" i="6"/>
  <c r="BI314" i="6"/>
  <c r="AX314" i="6"/>
  <c r="AP314" i="6"/>
  <c r="S314" i="6"/>
  <c r="N314" i="6"/>
  <c r="G314" i="6"/>
  <c r="C314" i="6"/>
  <c r="BW313" i="6"/>
  <c r="BI313" i="6"/>
  <c r="AX313" i="6"/>
  <c r="AP313" i="6"/>
  <c r="S313" i="6"/>
  <c r="N313" i="6"/>
  <c r="G313" i="6"/>
  <c r="C313" i="6"/>
  <c r="BW312" i="6"/>
  <c r="BI312" i="6"/>
  <c r="AX312" i="6"/>
  <c r="AP312" i="6"/>
  <c r="S312" i="6"/>
  <c r="N312" i="6"/>
  <c r="G312" i="6"/>
  <c r="C312" i="6"/>
  <c r="BW311" i="6"/>
  <c r="BI311" i="6"/>
  <c r="AX311" i="6"/>
  <c r="AP311" i="6"/>
  <c r="S311" i="6"/>
  <c r="N311" i="6"/>
  <c r="G311" i="6"/>
  <c r="C311" i="6"/>
  <c r="BW310" i="6"/>
  <c r="BI310" i="6"/>
  <c r="AX310" i="6"/>
  <c r="AP310" i="6"/>
  <c r="S310" i="6"/>
  <c r="N310" i="6"/>
  <c r="G310" i="6"/>
  <c r="C310" i="6"/>
  <c r="BW309" i="6"/>
  <c r="BI309" i="6"/>
  <c r="AX309" i="6"/>
  <c r="AP309" i="6"/>
  <c r="S309" i="6"/>
  <c r="N309" i="6"/>
  <c r="G309" i="6"/>
  <c r="C309" i="6"/>
  <c r="BW308" i="6"/>
  <c r="BI308" i="6"/>
  <c r="AX308" i="6"/>
  <c r="AP308" i="6"/>
  <c r="S308" i="6"/>
  <c r="N308" i="6"/>
  <c r="G308" i="6"/>
  <c r="C308" i="6"/>
  <c r="BW307" i="6"/>
  <c r="BI307" i="6"/>
  <c r="AX307" i="6"/>
  <c r="AP307" i="6"/>
  <c r="S307" i="6"/>
  <c r="N307" i="6"/>
  <c r="G307" i="6"/>
  <c r="C307" i="6"/>
  <c r="BW306" i="6"/>
  <c r="BI306" i="6"/>
  <c r="AX306" i="6"/>
  <c r="AP306" i="6"/>
  <c r="S306" i="6"/>
  <c r="N306" i="6"/>
  <c r="G306" i="6"/>
  <c r="C306" i="6"/>
  <c r="BW305" i="6"/>
  <c r="BI305" i="6"/>
  <c r="AX305" i="6"/>
  <c r="AP305" i="6"/>
  <c r="S305" i="6"/>
  <c r="N305" i="6"/>
  <c r="G305" i="6"/>
  <c r="C305" i="6"/>
  <c r="BW304" i="6"/>
  <c r="BI304" i="6"/>
  <c r="AX304" i="6"/>
  <c r="AP304" i="6"/>
  <c r="S304" i="6"/>
  <c r="N304" i="6"/>
  <c r="G304" i="6"/>
  <c r="C304" i="6"/>
  <c r="BW303" i="6"/>
  <c r="BI303" i="6"/>
  <c r="AX303" i="6"/>
  <c r="AP303" i="6"/>
  <c r="S303" i="6"/>
  <c r="N303" i="6"/>
  <c r="G303" i="6"/>
  <c r="C303" i="6"/>
  <c r="BW302" i="6"/>
  <c r="BI302" i="6"/>
  <c r="AX302" i="6"/>
  <c r="AP302" i="6"/>
  <c r="S302" i="6"/>
  <c r="N302" i="6"/>
  <c r="G302" i="6"/>
  <c r="C302" i="6"/>
  <c r="BW301" i="6"/>
  <c r="BI301" i="6"/>
  <c r="AX301" i="6"/>
  <c r="AP301" i="6"/>
  <c r="S301" i="6"/>
  <c r="N301" i="6"/>
  <c r="G301" i="6"/>
  <c r="C301" i="6"/>
  <c r="BW300" i="6"/>
  <c r="BI300" i="6"/>
  <c r="AX300" i="6"/>
  <c r="AP300" i="6"/>
  <c r="S300" i="6"/>
  <c r="N300" i="6"/>
  <c r="G300" i="6"/>
  <c r="C300" i="6"/>
  <c r="BW299" i="6"/>
  <c r="BI299" i="6"/>
  <c r="AX299" i="6"/>
  <c r="AP299" i="6"/>
  <c r="S299" i="6"/>
  <c r="N299" i="6"/>
  <c r="G299" i="6"/>
  <c r="C299" i="6"/>
  <c r="BW298" i="6"/>
  <c r="BI298" i="6"/>
  <c r="AX298" i="6"/>
  <c r="AP298" i="6"/>
  <c r="S298" i="6"/>
  <c r="N298" i="6"/>
  <c r="G298" i="6"/>
  <c r="C298" i="6"/>
  <c r="BW297" i="6"/>
  <c r="BI297" i="6"/>
  <c r="AX297" i="6"/>
  <c r="AP297" i="6"/>
  <c r="S297" i="6"/>
  <c r="N297" i="6"/>
  <c r="G297" i="6"/>
  <c r="C297" i="6"/>
  <c r="BW296" i="6"/>
  <c r="BI296" i="6"/>
  <c r="AX296" i="6"/>
  <c r="AP296" i="6"/>
  <c r="S296" i="6"/>
  <c r="N296" i="6"/>
  <c r="G296" i="6"/>
  <c r="C296" i="6"/>
  <c r="BW295" i="6"/>
  <c r="BI295" i="6"/>
  <c r="AX295" i="6"/>
  <c r="AP295" i="6"/>
  <c r="S295" i="6"/>
  <c r="N295" i="6"/>
  <c r="G295" i="6"/>
  <c r="C295" i="6"/>
  <c r="BW294" i="6"/>
  <c r="BI294" i="6"/>
  <c r="AX294" i="6"/>
  <c r="AP294" i="6"/>
  <c r="S294" i="6"/>
  <c r="N294" i="6"/>
  <c r="G294" i="6"/>
  <c r="C294" i="6"/>
  <c r="BW293" i="6"/>
  <c r="BI293" i="6"/>
  <c r="AX293" i="6"/>
  <c r="AP293" i="6"/>
  <c r="S293" i="6"/>
  <c r="N293" i="6"/>
  <c r="G293" i="6"/>
  <c r="C293" i="6"/>
  <c r="BW292" i="6"/>
  <c r="BI292" i="6"/>
  <c r="AX292" i="6"/>
  <c r="AP292" i="6"/>
  <c r="S292" i="6"/>
  <c r="N292" i="6"/>
  <c r="G292" i="6"/>
  <c r="C292" i="6"/>
  <c r="BW291" i="6"/>
  <c r="BI291" i="6"/>
  <c r="AX291" i="6"/>
  <c r="AP291" i="6"/>
  <c r="S291" i="6"/>
  <c r="N291" i="6"/>
  <c r="G291" i="6"/>
  <c r="C291" i="6"/>
  <c r="BW290" i="6"/>
  <c r="BI290" i="6"/>
  <c r="AX290" i="6"/>
  <c r="AP290" i="6"/>
  <c r="S290" i="6"/>
  <c r="N290" i="6"/>
  <c r="G290" i="6"/>
  <c r="C290" i="6"/>
  <c r="BW289" i="6"/>
  <c r="BI289" i="6"/>
  <c r="AX289" i="6"/>
  <c r="AP289" i="6"/>
  <c r="S289" i="6"/>
  <c r="N289" i="6"/>
  <c r="G289" i="6"/>
  <c r="C289" i="6"/>
  <c r="BW288" i="6"/>
  <c r="BI288" i="6"/>
  <c r="AX288" i="6"/>
  <c r="AP288" i="6"/>
  <c r="S288" i="6"/>
  <c r="N288" i="6"/>
  <c r="G288" i="6"/>
  <c r="C288" i="6"/>
  <c r="BW287" i="6"/>
  <c r="BI287" i="6"/>
  <c r="AX287" i="6"/>
  <c r="AP287" i="6"/>
  <c r="S287" i="6"/>
  <c r="N287" i="6"/>
  <c r="G287" i="6"/>
  <c r="C287" i="6"/>
  <c r="BW286" i="6"/>
  <c r="BI286" i="6"/>
  <c r="AX286" i="6"/>
  <c r="AP286" i="6"/>
  <c r="S286" i="6"/>
  <c r="N286" i="6"/>
  <c r="G286" i="6"/>
  <c r="C286" i="6"/>
  <c r="BW285" i="6"/>
  <c r="BI285" i="6"/>
  <c r="AX285" i="6"/>
  <c r="AP285" i="6"/>
  <c r="S285" i="6"/>
  <c r="N285" i="6"/>
  <c r="G285" i="6"/>
  <c r="C285" i="6"/>
  <c r="BW284" i="6"/>
  <c r="BI284" i="6"/>
  <c r="AX284" i="6"/>
  <c r="AP284" i="6"/>
  <c r="S284" i="6"/>
  <c r="N284" i="6"/>
  <c r="G284" i="6"/>
  <c r="C284" i="6"/>
  <c r="BW283" i="6"/>
  <c r="BI283" i="6"/>
  <c r="AX283" i="6"/>
  <c r="AP283" i="6"/>
  <c r="S283" i="6"/>
  <c r="N283" i="6"/>
  <c r="G283" i="6"/>
  <c r="C283" i="6"/>
  <c r="BW282" i="6"/>
  <c r="BI282" i="6"/>
  <c r="AX282" i="6"/>
  <c r="AP282" i="6"/>
  <c r="S282" i="6"/>
  <c r="N282" i="6"/>
  <c r="G282" i="6"/>
  <c r="C282" i="6"/>
  <c r="BW281" i="6"/>
  <c r="BI281" i="6"/>
  <c r="AX281" i="6"/>
  <c r="AP281" i="6"/>
  <c r="S281" i="6"/>
  <c r="N281" i="6"/>
  <c r="G281" i="6"/>
  <c r="C281" i="6"/>
  <c r="BW280" i="6"/>
  <c r="BI280" i="6"/>
  <c r="AX280" i="6"/>
  <c r="AP280" i="6"/>
  <c r="S280" i="6"/>
  <c r="N280" i="6"/>
  <c r="G280" i="6"/>
  <c r="C280" i="6"/>
  <c r="BW279" i="6"/>
  <c r="BI279" i="6"/>
  <c r="AX279" i="6"/>
  <c r="AP279" i="6"/>
  <c r="S279" i="6"/>
  <c r="N279" i="6"/>
  <c r="G279" i="6"/>
  <c r="C279" i="6"/>
  <c r="BW278" i="6"/>
  <c r="BI278" i="6"/>
  <c r="AX278" i="6"/>
  <c r="AP278" i="6"/>
  <c r="S278" i="6"/>
  <c r="N278" i="6"/>
  <c r="G278" i="6"/>
  <c r="C278" i="6"/>
  <c r="BW277" i="6"/>
  <c r="BI277" i="6"/>
  <c r="AX277" i="6"/>
  <c r="AP277" i="6"/>
  <c r="S277" i="6"/>
  <c r="N277" i="6"/>
  <c r="G277" i="6"/>
  <c r="C277" i="6"/>
  <c r="BW276" i="6"/>
  <c r="BI276" i="6"/>
  <c r="AX276" i="6"/>
  <c r="AP276" i="6"/>
  <c r="S276" i="6"/>
  <c r="N276" i="6"/>
  <c r="G276" i="6"/>
  <c r="C276" i="6"/>
  <c r="BW275" i="6"/>
  <c r="BI275" i="6"/>
  <c r="AX275" i="6"/>
  <c r="AP275" i="6"/>
  <c r="S275" i="6"/>
  <c r="N275" i="6"/>
  <c r="G275" i="6"/>
  <c r="C275" i="6"/>
  <c r="BW274" i="6"/>
  <c r="BI274" i="6"/>
  <c r="AX274" i="6"/>
  <c r="AP274" i="6"/>
  <c r="S274" i="6"/>
  <c r="N274" i="6"/>
  <c r="G274" i="6"/>
  <c r="C274" i="6"/>
  <c r="BW273" i="6"/>
  <c r="BI273" i="6"/>
  <c r="AX273" i="6"/>
  <c r="AP273" i="6"/>
  <c r="S273" i="6"/>
  <c r="N273" i="6"/>
  <c r="G273" i="6"/>
  <c r="C273" i="6"/>
  <c r="BW272" i="6"/>
  <c r="BI272" i="6"/>
  <c r="AX272" i="6"/>
  <c r="AP272" i="6"/>
  <c r="S272" i="6"/>
  <c r="N272" i="6"/>
  <c r="G272" i="6"/>
  <c r="C272" i="6"/>
  <c r="BW271" i="6"/>
  <c r="BI271" i="6"/>
  <c r="AX271" i="6"/>
  <c r="AP271" i="6"/>
  <c r="S271" i="6"/>
  <c r="N271" i="6"/>
  <c r="G271" i="6"/>
  <c r="C271" i="6"/>
  <c r="BW270" i="6"/>
  <c r="BI270" i="6"/>
  <c r="AX270" i="6"/>
  <c r="AP270" i="6"/>
  <c r="S270" i="6"/>
  <c r="N270" i="6"/>
  <c r="G270" i="6"/>
  <c r="C270" i="6"/>
  <c r="BW269" i="6"/>
  <c r="BI269" i="6"/>
  <c r="AX269" i="6"/>
  <c r="AP269" i="6"/>
  <c r="S269" i="6"/>
  <c r="N269" i="6"/>
  <c r="G269" i="6"/>
  <c r="C269" i="6"/>
  <c r="BW268" i="6"/>
  <c r="BI268" i="6"/>
  <c r="AX268" i="6"/>
  <c r="AP268" i="6"/>
  <c r="S268" i="6"/>
  <c r="N268" i="6"/>
  <c r="G268" i="6"/>
  <c r="C268" i="6"/>
  <c r="BW267" i="6"/>
  <c r="BI267" i="6"/>
  <c r="AX267" i="6"/>
  <c r="AP267" i="6"/>
  <c r="S267" i="6"/>
  <c r="N267" i="6"/>
  <c r="G267" i="6"/>
  <c r="C267" i="6"/>
  <c r="BW266" i="6"/>
  <c r="BI266" i="6"/>
  <c r="AX266" i="6"/>
  <c r="AP266" i="6"/>
  <c r="S266" i="6"/>
  <c r="N266" i="6"/>
  <c r="G266" i="6"/>
  <c r="C266" i="6"/>
  <c r="BW265" i="6"/>
  <c r="BI265" i="6"/>
  <c r="AX265" i="6"/>
  <c r="AP265" i="6"/>
  <c r="S265" i="6"/>
  <c r="N265" i="6"/>
  <c r="G265" i="6"/>
  <c r="C265" i="6"/>
  <c r="BW264" i="6"/>
  <c r="BI264" i="6"/>
  <c r="AX264" i="6"/>
  <c r="AP264" i="6"/>
  <c r="S264" i="6"/>
  <c r="N264" i="6"/>
  <c r="G264" i="6"/>
  <c r="C264" i="6"/>
  <c r="BW263" i="6"/>
  <c r="BI263" i="6"/>
  <c r="AX263" i="6"/>
  <c r="AP263" i="6"/>
  <c r="S263" i="6"/>
  <c r="N263" i="6"/>
  <c r="G263" i="6"/>
  <c r="C263" i="6"/>
  <c r="BW262" i="6"/>
  <c r="BI262" i="6"/>
  <c r="AX262" i="6"/>
  <c r="AP262" i="6"/>
  <c r="S262" i="6"/>
  <c r="N262" i="6"/>
  <c r="G262" i="6"/>
  <c r="C262" i="6"/>
  <c r="BW261" i="6"/>
  <c r="BI261" i="6"/>
  <c r="AX261" i="6"/>
  <c r="AP261" i="6"/>
  <c r="S261" i="6"/>
  <c r="N261" i="6"/>
  <c r="G261" i="6"/>
  <c r="C261" i="6"/>
  <c r="BW260" i="6"/>
  <c r="BI260" i="6"/>
  <c r="AX260" i="6"/>
  <c r="AP260" i="6"/>
  <c r="S260" i="6"/>
  <c r="N260" i="6"/>
  <c r="G260" i="6"/>
  <c r="C260" i="6"/>
  <c r="BW259" i="6"/>
  <c r="BI259" i="6"/>
  <c r="AX259" i="6"/>
  <c r="AP259" i="6"/>
  <c r="S259" i="6"/>
  <c r="N259" i="6"/>
  <c r="G259" i="6"/>
  <c r="C259" i="6"/>
  <c r="BW258" i="6"/>
  <c r="BI258" i="6"/>
  <c r="AX258" i="6"/>
  <c r="AP258" i="6"/>
  <c r="S258" i="6"/>
  <c r="N258" i="6"/>
  <c r="G258" i="6"/>
  <c r="C258" i="6"/>
  <c r="BW257" i="6"/>
  <c r="BI257" i="6"/>
  <c r="AX257" i="6"/>
  <c r="AP257" i="6"/>
  <c r="S257" i="6"/>
  <c r="N257" i="6"/>
  <c r="G257" i="6"/>
  <c r="C257" i="6"/>
  <c r="BW256" i="6"/>
  <c r="BI256" i="6"/>
  <c r="AX256" i="6"/>
  <c r="AP256" i="6"/>
  <c r="S256" i="6"/>
  <c r="N256" i="6"/>
  <c r="G256" i="6"/>
  <c r="C256" i="6"/>
  <c r="BW255" i="6"/>
  <c r="BI255" i="6"/>
  <c r="AX255" i="6"/>
  <c r="AP255" i="6"/>
  <c r="S255" i="6"/>
  <c r="N255" i="6"/>
  <c r="G255" i="6"/>
  <c r="C255" i="6"/>
  <c r="BW254" i="6"/>
  <c r="BI254" i="6"/>
  <c r="AX254" i="6"/>
  <c r="AP254" i="6"/>
  <c r="S254" i="6"/>
  <c r="N254" i="6"/>
  <c r="G254" i="6"/>
  <c r="C254" i="6"/>
  <c r="BW253" i="6"/>
  <c r="BI253" i="6"/>
  <c r="AX253" i="6"/>
  <c r="AP253" i="6"/>
  <c r="S253" i="6"/>
  <c r="N253" i="6"/>
  <c r="G253" i="6"/>
  <c r="C253" i="6"/>
  <c r="BW252" i="6"/>
  <c r="BI252" i="6"/>
  <c r="AX252" i="6"/>
  <c r="AP252" i="6"/>
  <c r="S252" i="6"/>
  <c r="N252" i="6"/>
  <c r="G252" i="6"/>
  <c r="C252" i="6"/>
  <c r="BW251" i="6"/>
  <c r="BI251" i="6"/>
  <c r="AX251" i="6"/>
  <c r="AP251" i="6"/>
  <c r="S251" i="6"/>
  <c r="N251" i="6"/>
  <c r="G251" i="6"/>
  <c r="C251" i="6"/>
  <c r="BW250" i="6"/>
  <c r="BI250" i="6"/>
  <c r="AX250" i="6"/>
  <c r="AP250" i="6"/>
  <c r="S250" i="6"/>
  <c r="N250" i="6"/>
  <c r="G250" i="6"/>
  <c r="C250" i="6"/>
  <c r="BW249" i="6"/>
  <c r="BI249" i="6"/>
  <c r="AX249" i="6"/>
  <c r="AP249" i="6"/>
  <c r="S249" i="6"/>
  <c r="N249" i="6"/>
  <c r="G249" i="6"/>
  <c r="C249" i="6"/>
  <c r="BW248" i="6"/>
  <c r="BI248" i="6"/>
  <c r="AX248" i="6"/>
  <c r="AP248" i="6"/>
  <c r="S248" i="6"/>
  <c r="N248" i="6"/>
  <c r="G248" i="6"/>
  <c r="C248" i="6"/>
  <c r="BW247" i="6"/>
  <c r="BI247" i="6"/>
  <c r="AX247" i="6"/>
  <c r="AP247" i="6"/>
  <c r="S247" i="6"/>
  <c r="N247" i="6"/>
  <c r="G247" i="6"/>
  <c r="C247" i="6"/>
  <c r="BW246" i="6"/>
  <c r="BI246" i="6"/>
  <c r="AX246" i="6"/>
  <c r="AP246" i="6"/>
  <c r="S246" i="6"/>
  <c r="N246" i="6"/>
  <c r="G246" i="6"/>
  <c r="C246" i="6"/>
  <c r="BW245" i="6"/>
  <c r="BI245" i="6"/>
  <c r="AX245" i="6"/>
  <c r="AP245" i="6"/>
  <c r="S245" i="6"/>
  <c r="N245" i="6"/>
  <c r="G245" i="6"/>
  <c r="C245" i="6"/>
  <c r="BW244" i="6"/>
  <c r="BI244" i="6"/>
  <c r="AX244" i="6"/>
  <c r="AP244" i="6"/>
  <c r="S244" i="6"/>
  <c r="N244" i="6"/>
  <c r="G244" i="6"/>
  <c r="C244" i="6"/>
  <c r="BW243" i="6"/>
  <c r="BI243" i="6"/>
  <c r="AX243" i="6"/>
  <c r="AP243" i="6"/>
  <c r="S243" i="6"/>
  <c r="N243" i="6"/>
  <c r="G243" i="6"/>
  <c r="C243" i="6"/>
  <c r="BW242" i="6"/>
  <c r="BI242" i="6"/>
  <c r="AX242" i="6"/>
  <c r="AP242" i="6"/>
  <c r="S242" i="6"/>
  <c r="N242" i="6"/>
  <c r="G242" i="6"/>
  <c r="C242" i="6"/>
  <c r="BW241" i="6"/>
  <c r="BI241" i="6"/>
  <c r="AX241" i="6"/>
  <c r="AP241" i="6"/>
  <c r="S241" i="6"/>
  <c r="N241" i="6"/>
  <c r="G241" i="6"/>
  <c r="C241" i="6"/>
  <c r="BW240" i="6"/>
  <c r="BI240" i="6"/>
  <c r="AX240" i="6"/>
  <c r="AP240" i="6"/>
  <c r="S240" i="6"/>
  <c r="N240" i="6"/>
  <c r="G240" i="6"/>
  <c r="C240" i="6"/>
  <c r="BW239" i="6"/>
  <c r="BI239" i="6"/>
  <c r="AX239" i="6"/>
  <c r="AP239" i="6"/>
  <c r="S239" i="6"/>
  <c r="N239" i="6"/>
  <c r="G239" i="6"/>
  <c r="C239" i="6"/>
  <c r="BW238" i="6"/>
  <c r="BI238" i="6"/>
  <c r="AX238" i="6"/>
  <c r="AP238" i="6"/>
  <c r="S238" i="6"/>
  <c r="N238" i="6"/>
  <c r="G238" i="6"/>
  <c r="C238" i="6"/>
  <c r="BW237" i="6"/>
  <c r="BI237" i="6"/>
  <c r="AX237" i="6"/>
  <c r="AP237" i="6"/>
  <c r="S237" i="6"/>
  <c r="N237" i="6"/>
  <c r="G237" i="6"/>
  <c r="C237" i="6"/>
  <c r="BW236" i="6"/>
  <c r="BI236" i="6"/>
  <c r="AX236" i="6"/>
  <c r="AP236" i="6"/>
  <c r="S236" i="6"/>
  <c r="N236" i="6"/>
  <c r="G236" i="6"/>
  <c r="C236" i="6"/>
  <c r="BW235" i="6"/>
  <c r="BI235" i="6"/>
  <c r="AX235" i="6"/>
  <c r="AP235" i="6"/>
  <c r="S235" i="6"/>
  <c r="N235" i="6"/>
  <c r="G235" i="6"/>
  <c r="C235" i="6"/>
  <c r="BW234" i="6"/>
  <c r="BI234" i="6"/>
  <c r="AX234" i="6"/>
  <c r="AP234" i="6"/>
  <c r="AD234" i="6"/>
  <c r="AE234" i="6" s="1"/>
  <c r="S234" i="6"/>
  <c r="N234" i="6"/>
  <c r="G234" i="6"/>
  <c r="C234" i="6"/>
  <c r="BW233" i="6"/>
  <c r="BI233" i="6"/>
  <c r="AX233" i="6"/>
  <c r="AP233" i="6"/>
  <c r="S233" i="6"/>
  <c r="N233" i="6"/>
  <c r="G233" i="6"/>
  <c r="C233" i="6"/>
  <c r="BW232" i="6"/>
  <c r="BI232" i="6"/>
  <c r="AX232" i="6"/>
  <c r="AP232" i="6"/>
  <c r="S232" i="6"/>
  <c r="N232" i="6"/>
  <c r="G232" i="6"/>
  <c r="C232" i="6"/>
  <c r="BW231" i="6"/>
  <c r="BI231" i="6"/>
  <c r="AX231" i="6"/>
  <c r="AP231" i="6"/>
  <c r="S231" i="6"/>
  <c r="N231" i="6"/>
  <c r="G231" i="6"/>
  <c r="C231" i="6"/>
  <c r="BW230" i="6"/>
  <c r="BI230" i="6"/>
  <c r="AX230" i="6"/>
  <c r="AP230" i="6"/>
  <c r="S230" i="6"/>
  <c r="N230" i="6"/>
  <c r="G230" i="6"/>
  <c r="C230" i="6"/>
  <c r="BW229" i="6"/>
  <c r="BI229" i="6"/>
  <c r="AX229" i="6"/>
  <c r="AP229" i="6"/>
  <c r="S229" i="6"/>
  <c r="N229" i="6"/>
  <c r="G229" i="6"/>
  <c r="C229" i="6"/>
  <c r="BW228" i="6"/>
  <c r="BI228" i="6"/>
  <c r="AX228" i="6"/>
  <c r="AP228" i="6"/>
  <c r="S228" i="6"/>
  <c r="N228" i="6"/>
  <c r="G228" i="6"/>
  <c r="C228" i="6"/>
  <c r="BW227" i="6"/>
  <c r="BI227" i="6"/>
  <c r="AX227" i="6"/>
  <c r="AP227" i="6"/>
  <c r="S227" i="6"/>
  <c r="N227" i="6"/>
  <c r="G227" i="6"/>
  <c r="C227" i="6"/>
  <c r="BW226" i="6"/>
  <c r="BI226" i="6"/>
  <c r="AX226" i="6"/>
  <c r="AP226" i="6"/>
  <c r="S226" i="6"/>
  <c r="N226" i="6"/>
  <c r="G226" i="6"/>
  <c r="C226" i="6"/>
  <c r="BW225" i="6"/>
  <c r="BI225" i="6"/>
  <c r="AX225" i="6"/>
  <c r="AP225" i="6"/>
  <c r="S225" i="6"/>
  <c r="N225" i="6"/>
  <c r="G225" i="6"/>
  <c r="C225" i="6"/>
  <c r="BW224" i="6"/>
  <c r="BI224" i="6"/>
  <c r="AX224" i="6"/>
  <c r="AP224" i="6"/>
  <c r="S224" i="6"/>
  <c r="N224" i="6"/>
  <c r="G224" i="6"/>
  <c r="C224" i="6"/>
  <c r="BW223" i="6"/>
  <c r="BI223" i="6"/>
  <c r="AX223" i="6"/>
  <c r="AP223" i="6"/>
  <c r="S223" i="6"/>
  <c r="N223" i="6"/>
  <c r="G223" i="6"/>
  <c r="C223" i="6"/>
  <c r="BW222" i="6"/>
  <c r="BI222" i="6"/>
  <c r="AX222" i="6"/>
  <c r="AP222" i="6"/>
  <c r="S222" i="6"/>
  <c r="N222" i="6"/>
  <c r="G222" i="6"/>
  <c r="C222" i="6"/>
  <c r="BW221" i="6"/>
  <c r="BI221" i="6"/>
  <c r="AX221" i="6"/>
  <c r="AP221" i="6"/>
  <c r="AG221" i="6"/>
  <c r="AH221" i="6" s="1"/>
  <c r="S221" i="6"/>
  <c r="N221" i="6"/>
  <c r="G221" i="6"/>
  <c r="C221" i="6"/>
  <c r="BW220" i="6"/>
  <c r="BI220" i="6"/>
  <c r="AX220" i="6"/>
  <c r="F220" i="6" s="1"/>
  <c r="AP220" i="6"/>
  <c r="S220" i="6"/>
  <c r="N220" i="6"/>
  <c r="G220" i="6"/>
  <c r="C220" i="6"/>
  <c r="BW219" i="6"/>
  <c r="BI219" i="6"/>
  <c r="AX219" i="6"/>
  <c r="F219" i="6" s="1"/>
  <c r="AP219" i="6"/>
  <c r="S219" i="6"/>
  <c r="N219" i="6"/>
  <c r="G219" i="6"/>
  <c r="C219" i="6"/>
  <c r="BW218" i="6"/>
  <c r="BI218" i="6"/>
  <c r="AX218" i="6"/>
  <c r="F218" i="6" s="1"/>
  <c r="AP218" i="6"/>
  <c r="S218" i="6"/>
  <c r="N218" i="6"/>
  <c r="G218" i="6"/>
  <c r="C218" i="6"/>
  <c r="BW217" i="6"/>
  <c r="BI217" i="6"/>
  <c r="AX217" i="6"/>
  <c r="AP217" i="6"/>
  <c r="S217" i="6"/>
  <c r="N217" i="6"/>
  <c r="G217" i="6"/>
  <c r="C217" i="6"/>
  <c r="BW216" i="6"/>
  <c r="BI216" i="6"/>
  <c r="AX216" i="6"/>
  <c r="AP216" i="6"/>
  <c r="S216" i="6"/>
  <c r="N216" i="6"/>
  <c r="G216" i="6"/>
  <c r="C216" i="6"/>
  <c r="BW215" i="6"/>
  <c r="BI215" i="6"/>
  <c r="AX215" i="6"/>
  <c r="AP215" i="6"/>
  <c r="S215" i="6"/>
  <c r="N215" i="6"/>
  <c r="G215" i="6"/>
  <c r="C215" i="6"/>
  <c r="BW214" i="6"/>
  <c r="BI214" i="6"/>
  <c r="AX214" i="6"/>
  <c r="AP214" i="6"/>
  <c r="S214" i="6"/>
  <c r="N214" i="6"/>
  <c r="G214" i="6"/>
  <c r="C214" i="6"/>
  <c r="BW213" i="6"/>
  <c r="BI213" i="6"/>
  <c r="AX213" i="6"/>
  <c r="AP213" i="6"/>
  <c r="S213" i="6"/>
  <c r="N213" i="6"/>
  <c r="G213" i="6"/>
  <c r="C213" i="6"/>
  <c r="BW212" i="6"/>
  <c r="BI212" i="6"/>
  <c r="AX212" i="6"/>
  <c r="AP212" i="6"/>
  <c r="S212" i="6"/>
  <c r="N212" i="6"/>
  <c r="G212" i="6"/>
  <c r="C212" i="6"/>
  <c r="BW211" i="6"/>
  <c r="BI211" i="6"/>
  <c r="AX211" i="6"/>
  <c r="AP211" i="6"/>
  <c r="S211" i="6"/>
  <c r="N211" i="6"/>
  <c r="G211" i="6"/>
  <c r="C211" i="6"/>
  <c r="BW210" i="6"/>
  <c r="BI210" i="6"/>
  <c r="AX210" i="6"/>
  <c r="AP210" i="6"/>
  <c r="S210" i="6"/>
  <c r="N210" i="6"/>
  <c r="G210" i="6"/>
  <c r="C210" i="6"/>
  <c r="BW209" i="6"/>
  <c r="BI209" i="6"/>
  <c r="AX209" i="6"/>
  <c r="AP209" i="6"/>
  <c r="S209" i="6"/>
  <c r="N209" i="6"/>
  <c r="G209" i="6"/>
  <c r="C209" i="6"/>
  <c r="BW208" i="6"/>
  <c r="BI208" i="6"/>
  <c r="AX208" i="6"/>
  <c r="AP208" i="6"/>
  <c r="S208" i="6"/>
  <c r="N208" i="6"/>
  <c r="G208" i="6"/>
  <c r="C208" i="6"/>
  <c r="BW207" i="6"/>
  <c r="BI207" i="6"/>
  <c r="AX207" i="6"/>
  <c r="AP207" i="6"/>
  <c r="S207" i="6"/>
  <c r="N207" i="6"/>
  <c r="G207" i="6"/>
  <c r="C207" i="6"/>
  <c r="BW206" i="6"/>
  <c r="BI206" i="6"/>
  <c r="AX206" i="6"/>
  <c r="AP206" i="6"/>
  <c r="S206" i="6"/>
  <c r="N206" i="6"/>
  <c r="G206" i="6"/>
  <c r="C206" i="6"/>
  <c r="BW205" i="6"/>
  <c r="BI205" i="6"/>
  <c r="AX205" i="6"/>
  <c r="AP205" i="6"/>
  <c r="S205" i="6"/>
  <c r="N205" i="6"/>
  <c r="G205" i="6"/>
  <c r="C205" i="6"/>
  <c r="BW204" i="6"/>
  <c r="BI204" i="6"/>
  <c r="AX204" i="6"/>
  <c r="AP204" i="6"/>
  <c r="S204" i="6"/>
  <c r="N204" i="6"/>
  <c r="G204" i="6"/>
  <c r="C204" i="6"/>
  <c r="BW203" i="6"/>
  <c r="BI203" i="6"/>
  <c r="AX203" i="6"/>
  <c r="AP203" i="6"/>
  <c r="S203" i="6"/>
  <c r="N203" i="6"/>
  <c r="G203" i="6"/>
  <c r="C203" i="6"/>
  <c r="BW202" i="6"/>
  <c r="BI202" i="6"/>
  <c r="AX202" i="6"/>
  <c r="AP202" i="6"/>
  <c r="S202" i="6"/>
  <c r="N202" i="6"/>
  <c r="G202" i="6"/>
  <c r="C202" i="6"/>
  <c r="BW201" i="6"/>
  <c r="BI201" i="6"/>
  <c r="AX201" i="6"/>
  <c r="AP201" i="6"/>
  <c r="S201" i="6"/>
  <c r="N201" i="6"/>
  <c r="G201" i="6"/>
  <c r="C201" i="6"/>
  <c r="BW200" i="6"/>
  <c r="BI200" i="6"/>
  <c r="AX200" i="6"/>
  <c r="AP200" i="6"/>
  <c r="S200" i="6"/>
  <c r="N200" i="6"/>
  <c r="G200" i="6"/>
  <c r="C200" i="6"/>
  <c r="BW199" i="6"/>
  <c r="BI199" i="6"/>
  <c r="AX199" i="6"/>
  <c r="AP199" i="6"/>
  <c r="S199" i="6"/>
  <c r="N199" i="6"/>
  <c r="G199" i="6"/>
  <c r="C199" i="6"/>
  <c r="BW198" i="6"/>
  <c r="BI198" i="6"/>
  <c r="AX198" i="6"/>
  <c r="AP198" i="6"/>
  <c r="S198" i="6"/>
  <c r="N198" i="6"/>
  <c r="G198" i="6"/>
  <c r="C198" i="6"/>
  <c r="BW197" i="6"/>
  <c r="BI197" i="6"/>
  <c r="AX197" i="6"/>
  <c r="AP197" i="6"/>
  <c r="S197" i="6"/>
  <c r="T197" i="6" s="1"/>
  <c r="N197" i="6"/>
  <c r="G197" i="6"/>
  <c r="C197" i="6"/>
  <c r="BW196" i="6"/>
  <c r="BI196" i="6"/>
  <c r="AX196" i="6"/>
  <c r="AP196" i="6"/>
  <c r="S196" i="6"/>
  <c r="N196" i="6"/>
  <c r="G196" i="6"/>
  <c r="C196" i="6"/>
  <c r="BW195" i="6"/>
  <c r="BI195" i="6"/>
  <c r="AX195" i="6"/>
  <c r="AP195" i="6"/>
  <c r="S195" i="6"/>
  <c r="N195" i="6"/>
  <c r="G195" i="6"/>
  <c r="C195" i="6"/>
  <c r="BW194" i="6"/>
  <c r="BI194" i="6"/>
  <c r="AX194" i="6"/>
  <c r="F194" i="6" s="1"/>
  <c r="AP194" i="6"/>
  <c r="S194" i="6"/>
  <c r="N194" i="6"/>
  <c r="G194" i="6"/>
  <c r="C194" i="6"/>
  <c r="BW193" i="6"/>
  <c r="BI193" i="6"/>
  <c r="AX193" i="6"/>
  <c r="F193" i="6" s="1"/>
  <c r="AP193" i="6"/>
  <c r="S193" i="6"/>
  <c r="N193" i="6"/>
  <c r="G193" i="6"/>
  <c r="C193" i="6"/>
  <c r="BW192" i="6"/>
  <c r="BI192" i="6"/>
  <c r="AX192" i="6"/>
  <c r="F192" i="6" s="1"/>
  <c r="AP192" i="6"/>
  <c r="S192" i="6"/>
  <c r="N192" i="6"/>
  <c r="G192" i="6"/>
  <c r="C192" i="6"/>
  <c r="BW191" i="6"/>
  <c r="BI191" i="6"/>
  <c r="AX191" i="6"/>
  <c r="F191" i="6" s="1"/>
  <c r="AP191" i="6"/>
  <c r="AD191" i="6"/>
  <c r="AE191" i="6" s="1"/>
  <c r="S191" i="6"/>
  <c r="N191" i="6"/>
  <c r="G191" i="6"/>
  <c r="C191" i="6"/>
  <c r="BW190" i="6"/>
  <c r="BI190" i="6"/>
  <c r="AX190" i="6"/>
  <c r="AP190" i="6"/>
  <c r="AA190" i="6"/>
  <c r="AB190" i="6" s="1"/>
  <c r="S190" i="6"/>
  <c r="N190" i="6"/>
  <c r="G190" i="6"/>
  <c r="C190" i="6"/>
  <c r="BW189" i="6"/>
  <c r="BI189" i="6"/>
  <c r="AX189" i="6"/>
  <c r="AP189" i="6"/>
  <c r="S189" i="6"/>
  <c r="N189" i="6"/>
  <c r="G189" i="6"/>
  <c r="C189" i="6"/>
  <c r="BW188" i="6"/>
  <c r="BI188" i="6"/>
  <c r="AX188" i="6"/>
  <c r="AP188" i="6"/>
  <c r="AD188" i="6"/>
  <c r="AE188" i="6" s="1"/>
  <c r="S188" i="6"/>
  <c r="N188" i="6"/>
  <c r="G188" i="6"/>
  <c r="C188" i="6"/>
  <c r="BW187" i="6"/>
  <c r="BI187" i="6"/>
  <c r="AX187" i="6"/>
  <c r="F187" i="6" s="1"/>
  <c r="AP187" i="6"/>
  <c r="S187" i="6"/>
  <c r="N187" i="6"/>
  <c r="G187" i="6"/>
  <c r="C187" i="6"/>
  <c r="BW186" i="6"/>
  <c r="BI186" i="6"/>
  <c r="AX186" i="6"/>
  <c r="F186" i="6" s="1"/>
  <c r="AP186" i="6"/>
  <c r="S186" i="6"/>
  <c r="N186" i="6"/>
  <c r="G186" i="6"/>
  <c r="C186" i="6"/>
  <c r="BW185" i="6"/>
  <c r="BI185" i="6"/>
  <c r="AX185" i="6"/>
  <c r="AP185" i="6"/>
  <c r="S185" i="6"/>
  <c r="N185" i="6"/>
  <c r="G185" i="6"/>
  <c r="C185" i="6"/>
  <c r="BW184" i="6"/>
  <c r="BI184" i="6"/>
  <c r="AX184" i="6"/>
  <c r="AP184" i="6"/>
  <c r="S184" i="6"/>
  <c r="N184" i="6"/>
  <c r="G184" i="6"/>
  <c r="C184" i="6"/>
  <c r="BW183" i="6"/>
  <c r="BI183" i="6"/>
  <c r="AX183" i="6"/>
  <c r="AP183" i="6"/>
  <c r="W183" i="6"/>
  <c r="X183" i="6" s="1"/>
  <c r="S183" i="6"/>
  <c r="N183" i="6"/>
  <c r="G183" i="6"/>
  <c r="C183" i="6"/>
  <c r="BW182" i="6"/>
  <c r="BI182" i="6"/>
  <c r="AX182" i="6"/>
  <c r="AP182" i="6"/>
  <c r="AG182" i="6"/>
  <c r="AH182" i="6" s="1"/>
  <c r="S182" i="6"/>
  <c r="N182" i="6"/>
  <c r="G182" i="6"/>
  <c r="C182" i="6"/>
  <c r="BW181" i="6"/>
  <c r="BI181" i="6"/>
  <c r="AX181" i="6"/>
  <c r="AP181" i="6"/>
  <c r="S181" i="6"/>
  <c r="N181" i="6"/>
  <c r="G181" i="6"/>
  <c r="C181" i="6"/>
  <c r="BW180" i="6"/>
  <c r="BI180" i="6"/>
  <c r="AX180" i="6"/>
  <c r="F180" i="6" s="1"/>
  <c r="AP180" i="6"/>
  <c r="W180" i="6"/>
  <c r="X180" i="6" s="1"/>
  <c r="S180" i="6"/>
  <c r="N180" i="6"/>
  <c r="G180" i="6"/>
  <c r="C180" i="6"/>
  <c r="BW179" i="6"/>
  <c r="BI179" i="6"/>
  <c r="AX179" i="6"/>
  <c r="AP179" i="6"/>
  <c r="S179" i="6"/>
  <c r="N179" i="6"/>
  <c r="G179" i="6"/>
  <c r="C179" i="6"/>
  <c r="BW178" i="6"/>
  <c r="BI178" i="6"/>
  <c r="AX178" i="6"/>
  <c r="AP178" i="6"/>
  <c r="S178" i="6"/>
  <c r="N178" i="6"/>
  <c r="G178" i="6"/>
  <c r="C178" i="6"/>
  <c r="BW177" i="6"/>
  <c r="BI177" i="6"/>
  <c r="AX177" i="6"/>
  <c r="AP177" i="6"/>
  <c r="S177" i="6"/>
  <c r="N177" i="6"/>
  <c r="G177" i="6"/>
  <c r="C177" i="6"/>
  <c r="BW176" i="6"/>
  <c r="BI176" i="6"/>
  <c r="AX176" i="6"/>
  <c r="AP176" i="6"/>
  <c r="S176" i="6"/>
  <c r="N176" i="6"/>
  <c r="G176" i="6"/>
  <c r="C176" i="6"/>
  <c r="BW175" i="6"/>
  <c r="BI175" i="6"/>
  <c r="AX175" i="6"/>
  <c r="AP175" i="6"/>
  <c r="S175" i="6"/>
  <c r="N175" i="6"/>
  <c r="G175" i="6"/>
  <c r="C175" i="6"/>
  <c r="BW174" i="6"/>
  <c r="BI174" i="6"/>
  <c r="AX174" i="6"/>
  <c r="AP174" i="6"/>
  <c r="S174" i="6"/>
  <c r="N174" i="6"/>
  <c r="G174" i="6"/>
  <c r="C174" i="6"/>
  <c r="BW173" i="6"/>
  <c r="BI173" i="6"/>
  <c r="AX173" i="6"/>
  <c r="AP173" i="6"/>
  <c r="S173" i="6"/>
  <c r="N173" i="6"/>
  <c r="G173" i="6"/>
  <c r="C173" i="6"/>
  <c r="BW172" i="6"/>
  <c r="BI172" i="6"/>
  <c r="AX172" i="6"/>
  <c r="AP172" i="6"/>
  <c r="S172" i="6"/>
  <c r="N172" i="6"/>
  <c r="G172" i="6"/>
  <c r="C172" i="6"/>
  <c r="BW171" i="6"/>
  <c r="BI171" i="6"/>
  <c r="AX171" i="6"/>
  <c r="AP171" i="6"/>
  <c r="S171" i="6"/>
  <c r="N171" i="6"/>
  <c r="G171" i="6"/>
  <c r="C171" i="6"/>
  <c r="BW170" i="6"/>
  <c r="BI170" i="6"/>
  <c r="AX170" i="6"/>
  <c r="AP170" i="6"/>
  <c r="S170" i="6"/>
  <c r="N170" i="6"/>
  <c r="G170" i="6"/>
  <c r="C170" i="6"/>
  <c r="BW169" i="6"/>
  <c r="BI169" i="6"/>
  <c r="AX169" i="6"/>
  <c r="AP169" i="6"/>
  <c r="S169" i="6"/>
  <c r="N169" i="6"/>
  <c r="G169" i="6"/>
  <c r="C169" i="6"/>
  <c r="BW168" i="6"/>
  <c r="BI168" i="6"/>
  <c r="AX168" i="6"/>
  <c r="AP168" i="6"/>
  <c r="W168" i="6"/>
  <c r="X168" i="6" s="1"/>
  <c r="S168" i="6"/>
  <c r="N168" i="6"/>
  <c r="G168" i="6"/>
  <c r="C168" i="6"/>
  <c r="BW167" i="6"/>
  <c r="BI167" i="6"/>
  <c r="AX167" i="6"/>
  <c r="AP167" i="6"/>
  <c r="S167" i="6"/>
  <c r="N167" i="6"/>
  <c r="G167" i="6"/>
  <c r="C167" i="6"/>
  <c r="BW166" i="6"/>
  <c r="BI166" i="6"/>
  <c r="AX166" i="6"/>
  <c r="AP166" i="6"/>
  <c r="S166" i="6"/>
  <c r="N166" i="6"/>
  <c r="G166" i="6"/>
  <c r="C166" i="6"/>
  <c r="BW165" i="6"/>
  <c r="BI165" i="6"/>
  <c r="AX165" i="6"/>
  <c r="AP165" i="6"/>
  <c r="S165" i="6"/>
  <c r="N165" i="6"/>
  <c r="G165" i="6"/>
  <c r="C165" i="6"/>
  <c r="BW164" i="6"/>
  <c r="BI164" i="6"/>
  <c r="AX164" i="6"/>
  <c r="AP164" i="6"/>
  <c r="AD164" i="6"/>
  <c r="AE164" i="6" s="1"/>
  <c r="S164" i="6"/>
  <c r="N164" i="6"/>
  <c r="G164" i="6"/>
  <c r="C164" i="6"/>
  <c r="BW163" i="6"/>
  <c r="BI163" i="6"/>
  <c r="AX163" i="6"/>
  <c r="AP163" i="6"/>
  <c r="S163" i="6"/>
  <c r="N163" i="6"/>
  <c r="G163" i="6"/>
  <c r="C163" i="6"/>
  <c r="BW162" i="6"/>
  <c r="BI162" i="6"/>
  <c r="AX162" i="6"/>
  <c r="AP162" i="6"/>
  <c r="S162" i="6"/>
  <c r="N162" i="6"/>
  <c r="G162" i="6"/>
  <c r="C162" i="6"/>
  <c r="BW161" i="6"/>
  <c r="BI161" i="6"/>
  <c r="AX161" i="6"/>
  <c r="AP161" i="6"/>
  <c r="S161" i="6"/>
  <c r="T161" i="6" s="1"/>
  <c r="N161" i="6"/>
  <c r="G161" i="6"/>
  <c r="C161" i="6"/>
  <c r="BW160" i="6"/>
  <c r="BI160" i="6"/>
  <c r="AX160" i="6"/>
  <c r="AP160" i="6"/>
  <c r="S160" i="6"/>
  <c r="N160" i="6"/>
  <c r="G160" i="6"/>
  <c r="C160" i="6"/>
  <c r="BW159" i="6"/>
  <c r="BI159" i="6"/>
  <c r="AX159" i="6"/>
  <c r="AP159" i="6"/>
  <c r="S159" i="6"/>
  <c r="N159" i="6"/>
  <c r="G159" i="6"/>
  <c r="C159" i="6"/>
  <c r="BW158" i="6"/>
  <c r="BI158" i="6"/>
  <c r="AX158" i="6"/>
  <c r="AP158" i="6"/>
  <c r="S158" i="6"/>
  <c r="N158" i="6"/>
  <c r="G158" i="6"/>
  <c r="C158" i="6"/>
  <c r="BW157" i="6"/>
  <c r="BI157" i="6"/>
  <c r="AX157" i="6"/>
  <c r="AP157" i="6"/>
  <c r="S157" i="6"/>
  <c r="N157" i="6"/>
  <c r="G157" i="6"/>
  <c r="C157" i="6"/>
  <c r="BW156" i="6"/>
  <c r="BI156" i="6"/>
  <c r="AX156" i="6"/>
  <c r="F156" i="6" s="1"/>
  <c r="AP156" i="6"/>
  <c r="S156" i="6"/>
  <c r="N156" i="6"/>
  <c r="G156" i="6"/>
  <c r="C156" i="6"/>
  <c r="BW155" i="6"/>
  <c r="BI155" i="6"/>
  <c r="AX155" i="6"/>
  <c r="AP155" i="6"/>
  <c r="S155" i="6"/>
  <c r="N155" i="6"/>
  <c r="G155" i="6"/>
  <c r="C155" i="6"/>
  <c r="BW154" i="6"/>
  <c r="BI154" i="6"/>
  <c r="AX154" i="6"/>
  <c r="AP154" i="6"/>
  <c r="S154" i="6"/>
  <c r="N154" i="6"/>
  <c r="G154" i="6"/>
  <c r="C154" i="6"/>
  <c r="BW153" i="6"/>
  <c r="BI153" i="6"/>
  <c r="AX153" i="6"/>
  <c r="AP153" i="6"/>
  <c r="S153" i="6"/>
  <c r="N153" i="6"/>
  <c r="G153" i="6"/>
  <c r="C153" i="6"/>
  <c r="BW152" i="6"/>
  <c r="BI152" i="6"/>
  <c r="AX152" i="6"/>
  <c r="AP152" i="6"/>
  <c r="W152" i="6"/>
  <c r="X152" i="6" s="1"/>
  <c r="S152" i="6"/>
  <c r="N152" i="6"/>
  <c r="G152" i="6"/>
  <c r="C152" i="6"/>
  <c r="BW151" i="6"/>
  <c r="BI151" i="6"/>
  <c r="AX151" i="6"/>
  <c r="F151" i="6" s="1"/>
  <c r="AP151" i="6"/>
  <c r="S151" i="6"/>
  <c r="N151" i="6"/>
  <c r="G151" i="6"/>
  <c r="C151" i="6"/>
  <c r="BW150" i="6"/>
  <c r="BI150" i="6"/>
  <c r="AX150" i="6"/>
  <c r="F150" i="6" s="1"/>
  <c r="AP150" i="6"/>
  <c r="S150" i="6"/>
  <c r="N150" i="6"/>
  <c r="G150" i="6"/>
  <c r="C150" i="6"/>
  <c r="BW149" i="6"/>
  <c r="BI149" i="6"/>
  <c r="AX149" i="6"/>
  <c r="F149" i="6" s="1"/>
  <c r="AP149" i="6"/>
  <c r="S149" i="6"/>
  <c r="N149" i="6"/>
  <c r="G149" i="6"/>
  <c r="C149" i="6"/>
  <c r="BW148" i="6"/>
  <c r="BI148" i="6"/>
  <c r="AX148" i="6"/>
  <c r="F148" i="6" s="1"/>
  <c r="AP148" i="6"/>
  <c r="AD148" i="6"/>
  <c r="AE148" i="6" s="1"/>
  <c r="S148" i="6"/>
  <c r="N148" i="6"/>
  <c r="G148" i="6"/>
  <c r="C148" i="6"/>
  <c r="BW147" i="6"/>
  <c r="BI147" i="6"/>
  <c r="AX147" i="6"/>
  <c r="AP147" i="6"/>
  <c r="S147" i="6"/>
  <c r="N147" i="6"/>
  <c r="G147" i="6"/>
  <c r="C147" i="6"/>
  <c r="BW146" i="6"/>
  <c r="BI146" i="6"/>
  <c r="AX146" i="6"/>
  <c r="AP146" i="6"/>
  <c r="S146" i="6"/>
  <c r="N146" i="6"/>
  <c r="G146" i="6"/>
  <c r="C146" i="6"/>
  <c r="BW145" i="6"/>
  <c r="BI145" i="6"/>
  <c r="AX145" i="6"/>
  <c r="AP145" i="6"/>
  <c r="S145" i="6"/>
  <c r="T145" i="6" s="1"/>
  <c r="N145" i="6"/>
  <c r="G145" i="6"/>
  <c r="C145" i="6"/>
  <c r="BW144" i="6"/>
  <c r="BI144" i="6"/>
  <c r="AX144" i="6"/>
  <c r="AP144" i="6"/>
  <c r="S144" i="6"/>
  <c r="N144" i="6"/>
  <c r="G144" i="6"/>
  <c r="C144" i="6"/>
  <c r="BW143" i="6"/>
  <c r="BI143" i="6"/>
  <c r="AX143" i="6"/>
  <c r="AP143" i="6"/>
  <c r="S143" i="6"/>
  <c r="N143" i="6"/>
  <c r="G143" i="6"/>
  <c r="C143" i="6"/>
  <c r="BW142" i="6"/>
  <c r="BI142" i="6"/>
  <c r="AX142" i="6"/>
  <c r="AP142" i="6"/>
  <c r="S142" i="6"/>
  <c r="N142" i="6"/>
  <c r="G142" i="6"/>
  <c r="C142" i="6"/>
  <c r="BW141" i="6"/>
  <c r="BI141" i="6"/>
  <c r="AX141" i="6"/>
  <c r="AP141" i="6"/>
  <c r="S141" i="6"/>
  <c r="N141" i="6"/>
  <c r="G141" i="6"/>
  <c r="C141" i="6"/>
  <c r="BW140" i="6"/>
  <c r="BI140" i="6"/>
  <c r="AX140" i="6"/>
  <c r="AP140" i="6"/>
  <c r="S140" i="6"/>
  <c r="N140" i="6"/>
  <c r="G140" i="6"/>
  <c r="C140" i="6"/>
  <c r="BW139" i="6"/>
  <c r="BI139" i="6"/>
  <c r="AX139" i="6"/>
  <c r="AP139" i="6"/>
  <c r="S139" i="6"/>
  <c r="N139" i="6"/>
  <c r="G139" i="6"/>
  <c r="C139" i="6"/>
  <c r="BW138" i="6"/>
  <c r="BI138" i="6"/>
  <c r="AX138" i="6"/>
  <c r="AP138" i="6"/>
  <c r="S138" i="6"/>
  <c r="N138" i="6"/>
  <c r="G138" i="6"/>
  <c r="C138" i="6"/>
  <c r="BW137" i="6"/>
  <c r="BI137" i="6"/>
  <c r="AX137" i="6"/>
  <c r="AP137" i="6"/>
  <c r="S137" i="6"/>
  <c r="N137" i="6"/>
  <c r="G137" i="6"/>
  <c r="C137" i="6"/>
  <c r="BW136" i="6"/>
  <c r="BI136" i="6"/>
  <c r="AX136" i="6"/>
  <c r="AP136" i="6"/>
  <c r="W136" i="6"/>
  <c r="X136" i="6" s="1"/>
  <c r="S136" i="6"/>
  <c r="N136" i="6"/>
  <c r="G136" i="6"/>
  <c r="C136" i="6"/>
  <c r="BW135" i="6"/>
  <c r="BI135" i="6"/>
  <c r="AX135" i="6"/>
  <c r="AP135" i="6"/>
  <c r="S135" i="6"/>
  <c r="N135" i="6"/>
  <c r="G135" i="6"/>
  <c r="C135" i="6"/>
  <c r="BW134" i="6"/>
  <c r="BI134" i="6"/>
  <c r="AX134" i="6"/>
  <c r="AP134" i="6"/>
  <c r="S134" i="6"/>
  <c r="N134" i="6"/>
  <c r="G134" i="6"/>
  <c r="C134" i="6"/>
  <c r="BW133" i="6"/>
  <c r="BI133" i="6"/>
  <c r="AX133" i="6"/>
  <c r="AP133" i="6"/>
  <c r="S133" i="6"/>
  <c r="N133" i="6"/>
  <c r="G133" i="6"/>
  <c r="C133" i="6"/>
  <c r="BW132" i="6"/>
  <c r="BI132" i="6"/>
  <c r="AX132" i="6"/>
  <c r="AP132" i="6"/>
  <c r="AD132" i="6"/>
  <c r="AE132" i="6" s="1"/>
  <c r="S132" i="6"/>
  <c r="N132" i="6"/>
  <c r="G132" i="6"/>
  <c r="C132" i="6"/>
  <c r="BW131" i="6"/>
  <c r="BI131" i="6"/>
  <c r="AX131" i="6"/>
  <c r="F131" i="6" s="1"/>
  <c r="AP131" i="6"/>
  <c r="S131" i="6"/>
  <c r="N131" i="6"/>
  <c r="G131" i="6"/>
  <c r="C131" i="6"/>
  <c r="BW130" i="6"/>
  <c r="BI130" i="6"/>
  <c r="AX130" i="6"/>
  <c r="F130" i="6" s="1"/>
  <c r="AP130" i="6"/>
  <c r="S130" i="6"/>
  <c r="N130" i="6"/>
  <c r="G130" i="6"/>
  <c r="C130" i="6"/>
  <c r="BW129" i="6"/>
  <c r="BI129" i="6"/>
  <c r="AX129" i="6"/>
  <c r="F129" i="6" s="1"/>
  <c r="AP129" i="6"/>
  <c r="S129" i="6"/>
  <c r="T129" i="6" s="1"/>
  <c r="N129" i="6"/>
  <c r="G129" i="6"/>
  <c r="C129" i="6"/>
  <c r="BW128" i="6"/>
  <c r="BI128" i="6"/>
  <c r="AX128" i="6"/>
  <c r="AP128" i="6"/>
  <c r="S128" i="6"/>
  <c r="N128" i="6"/>
  <c r="G128" i="6"/>
  <c r="C128" i="6"/>
  <c r="BW127" i="6"/>
  <c r="BI127" i="6"/>
  <c r="AX127" i="6"/>
  <c r="AP127" i="6"/>
  <c r="AJ127" i="6"/>
  <c r="AK127" i="6" s="1"/>
  <c r="S127" i="6"/>
  <c r="N127" i="6"/>
  <c r="G127" i="6"/>
  <c r="C127" i="6"/>
  <c r="BW126" i="6"/>
  <c r="BI126" i="6"/>
  <c r="AX126" i="6"/>
  <c r="AP126" i="6"/>
  <c r="S126" i="6"/>
  <c r="N126" i="6"/>
  <c r="G126" i="6"/>
  <c r="C126" i="6"/>
  <c r="BW125" i="6"/>
  <c r="BI125" i="6"/>
  <c r="AX125" i="6"/>
  <c r="AP125" i="6"/>
  <c r="S125" i="6"/>
  <c r="T125" i="6" s="1"/>
  <c r="U125" i="6" s="1"/>
  <c r="N125" i="6"/>
  <c r="G125" i="6"/>
  <c r="C125" i="6"/>
  <c r="BW124" i="6"/>
  <c r="BI124" i="6"/>
  <c r="AX124" i="6"/>
  <c r="AP124" i="6"/>
  <c r="S124" i="6"/>
  <c r="N124" i="6"/>
  <c r="G124" i="6"/>
  <c r="C124" i="6"/>
  <c r="BW123" i="6"/>
  <c r="BI123" i="6"/>
  <c r="AX123" i="6"/>
  <c r="AP123" i="6"/>
  <c r="S123" i="6"/>
  <c r="N123" i="6"/>
  <c r="G123" i="6"/>
  <c r="C123" i="6"/>
  <c r="BW122" i="6"/>
  <c r="BI122" i="6"/>
  <c r="AX122" i="6"/>
  <c r="AP122" i="6"/>
  <c r="W122" i="6"/>
  <c r="X122" i="6" s="1"/>
  <c r="S122" i="6"/>
  <c r="N122" i="6"/>
  <c r="G122" i="6"/>
  <c r="C122" i="6"/>
  <c r="BW121" i="6"/>
  <c r="BI121" i="6"/>
  <c r="AX121" i="6"/>
  <c r="AP121" i="6"/>
  <c r="S121" i="6"/>
  <c r="T121" i="6" s="1"/>
  <c r="U121" i="6" s="1"/>
  <c r="N121" i="6"/>
  <c r="G121" i="6"/>
  <c r="C121" i="6"/>
  <c r="BW120" i="6"/>
  <c r="BI120" i="6"/>
  <c r="AX120" i="6"/>
  <c r="AP120" i="6"/>
  <c r="S120" i="6"/>
  <c r="N120" i="6"/>
  <c r="G120" i="6"/>
  <c r="C120" i="6"/>
  <c r="BW119" i="6"/>
  <c r="BI119" i="6"/>
  <c r="AX119" i="6"/>
  <c r="AP119" i="6"/>
  <c r="S119" i="6"/>
  <c r="N119" i="6"/>
  <c r="G119" i="6"/>
  <c r="C119" i="6"/>
  <c r="BW118" i="6"/>
  <c r="BI118" i="6"/>
  <c r="AX118" i="6"/>
  <c r="AP118" i="6"/>
  <c r="W118" i="6"/>
  <c r="X118" i="6" s="1"/>
  <c r="S118" i="6"/>
  <c r="N118" i="6"/>
  <c r="G118" i="6"/>
  <c r="C118" i="6"/>
  <c r="BW117" i="6"/>
  <c r="BI117" i="6"/>
  <c r="AX117" i="6"/>
  <c r="AP117" i="6"/>
  <c r="S117" i="6"/>
  <c r="T117" i="6" s="1"/>
  <c r="U117" i="6" s="1"/>
  <c r="N117" i="6"/>
  <c r="G117" i="6"/>
  <c r="C117" i="6"/>
  <c r="BW116" i="6"/>
  <c r="BI116" i="6"/>
  <c r="AX116" i="6"/>
  <c r="AP116" i="6"/>
  <c r="S116" i="6"/>
  <c r="N116" i="6"/>
  <c r="G116" i="6"/>
  <c r="C116" i="6"/>
  <c r="BW115" i="6"/>
  <c r="BI115" i="6"/>
  <c r="AX115" i="6"/>
  <c r="AP115" i="6"/>
  <c r="S115" i="6"/>
  <c r="N115" i="6"/>
  <c r="G115" i="6"/>
  <c r="C115" i="6"/>
  <c r="BW114" i="6"/>
  <c r="BI114" i="6"/>
  <c r="AX114" i="6"/>
  <c r="AP114" i="6"/>
  <c r="W114" i="6"/>
  <c r="X114" i="6" s="1"/>
  <c r="S114" i="6"/>
  <c r="N114" i="6"/>
  <c r="G114" i="6"/>
  <c r="C114" i="6"/>
  <c r="BW113" i="6"/>
  <c r="BI113" i="6"/>
  <c r="AX113" i="6"/>
  <c r="AP113" i="6"/>
  <c r="S113" i="6"/>
  <c r="T113" i="6" s="1"/>
  <c r="U113" i="6" s="1"/>
  <c r="N113" i="6"/>
  <c r="G113" i="6"/>
  <c r="C113" i="6"/>
  <c r="BW112" i="6"/>
  <c r="BI112" i="6"/>
  <c r="AX112" i="6"/>
  <c r="AP112" i="6"/>
  <c r="S112" i="6"/>
  <c r="N112" i="6"/>
  <c r="G112" i="6"/>
  <c r="C112" i="6"/>
  <c r="BW111" i="6"/>
  <c r="BI111" i="6"/>
  <c r="AX111" i="6"/>
  <c r="AP111" i="6"/>
  <c r="S111" i="6"/>
  <c r="N111" i="6"/>
  <c r="G111" i="6"/>
  <c r="C111" i="6"/>
  <c r="BW110" i="6"/>
  <c r="BI110" i="6"/>
  <c r="AX110" i="6"/>
  <c r="AP110" i="6"/>
  <c r="W110" i="6"/>
  <c r="X110" i="6" s="1"/>
  <c r="S110" i="6"/>
  <c r="N110" i="6"/>
  <c r="G110" i="6"/>
  <c r="C110" i="6"/>
  <c r="BW109" i="6"/>
  <c r="BI109" i="6"/>
  <c r="AX109" i="6"/>
  <c r="AP109" i="6"/>
  <c r="S109" i="6"/>
  <c r="T109" i="6" s="1"/>
  <c r="U109" i="6" s="1"/>
  <c r="N109" i="6"/>
  <c r="G109" i="6"/>
  <c r="C109" i="6"/>
  <c r="BW108" i="6"/>
  <c r="BI108" i="6"/>
  <c r="AX108" i="6"/>
  <c r="F108" i="6" s="1"/>
  <c r="AP108" i="6"/>
  <c r="S108" i="6"/>
  <c r="N108" i="6"/>
  <c r="G108" i="6"/>
  <c r="C108" i="6"/>
  <c r="BW107" i="6"/>
  <c r="BI107" i="6"/>
  <c r="AX107" i="6"/>
  <c r="F107" i="6" s="1"/>
  <c r="AP107" i="6"/>
  <c r="S107" i="6"/>
  <c r="N107" i="6"/>
  <c r="G107" i="6"/>
  <c r="C107" i="6"/>
  <c r="BW106" i="6"/>
  <c r="BI106" i="6"/>
  <c r="AX106" i="6"/>
  <c r="F106" i="6" s="1"/>
  <c r="AP106" i="6"/>
  <c r="W106" i="6"/>
  <c r="X106" i="6" s="1"/>
  <c r="S106" i="6"/>
  <c r="N106" i="6"/>
  <c r="G106" i="6"/>
  <c r="C106" i="6"/>
  <c r="BW105" i="6"/>
  <c r="BI105" i="6"/>
  <c r="AX105" i="6"/>
  <c r="AP105" i="6"/>
  <c r="S105" i="6"/>
  <c r="T105" i="6" s="1"/>
  <c r="U105" i="6" s="1"/>
  <c r="N105" i="6"/>
  <c r="G105" i="6"/>
  <c r="C105" i="6"/>
  <c r="BW104" i="6"/>
  <c r="BI104" i="6"/>
  <c r="AX104" i="6"/>
  <c r="AP104" i="6"/>
  <c r="S104" i="6"/>
  <c r="N104" i="6"/>
  <c r="G104" i="6"/>
  <c r="C104" i="6"/>
  <c r="BW103" i="6"/>
  <c r="BI103" i="6"/>
  <c r="AX103" i="6"/>
  <c r="AP103" i="6"/>
  <c r="S103" i="6"/>
  <c r="N103" i="6"/>
  <c r="G103" i="6"/>
  <c r="C103" i="6"/>
  <c r="BW102" i="6"/>
  <c r="BI102" i="6"/>
  <c r="AX102" i="6"/>
  <c r="AP102" i="6"/>
  <c r="W102" i="6"/>
  <c r="X102" i="6" s="1"/>
  <c r="S102" i="6"/>
  <c r="N102" i="6"/>
  <c r="G102" i="6"/>
  <c r="C102" i="6"/>
  <c r="BW101" i="6"/>
  <c r="BI101" i="6"/>
  <c r="AX101" i="6"/>
  <c r="AP101" i="6"/>
  <c r="S101" i="6"/>
  <c r="T101" i="6" s="1"/>
  <c r="U101" i="6" s="1"/>
  <c r="N101" i="6"/>
  <c r="G101" i="6"/>
  <c r="C101" i="6"/>
  <c r="BW100" i="6"/>
  <c r="BI100" i="6"/>
  <c r="AX100" i="6"/>
  <c r="AP100" i="6"/>
  <c r="S100" i="6"/>
  <c r="N100" i="6"/>
  <c r="G100" i="6"/>
  <c r="C100" i="6"/>
  <c r="BW99" i="6"/>
  <c r="BI99" i="6"/>
  <c r="AX99" i="6"/>
  <c r="AP99" i="6"/>
  <c r="S99" i="6"/>
  <c r="N99" i="6"/>
  <c r="G99" i="6"/>
  <c r="C99" i="6"/>
  <c r="BW98" i="6"/>
  <c r="BI98" i="6"/>
  <c r="AX98" i="6"/>
  <c r="F98" i="6" s="1"/>
  <c r="AP98" i="6"/>
  <c r="W98" i="6"/>
  <c r="X98" i="6" s="1"/>
  <c r="S98" i="6"/>
  <c r="N98" i="6"/>
  <c r="G98" i="6"/>
  <c r="C98" i="6"/>
  <c r="BW97" i="6"/>
  <c r="BI97" i="6"/>
  <c r="AX97" i="6"/>
  <c r="F97" i="6" s="1"/>
  <c r="AP97" i="6"/>
  <c r="S97" i="6"/>
  <c r="T97" i="6" s="1"/>
  <c r="U97" i="6" s="1"/>
  <c r="N97" i="6"/>
  <c r="G97" i="6"/>
  <c r="C97" i="6"/>
  <c r="BW96" i="6"/>
  <c r="BI96" i="6"/>
  <c r="AX96" i="6"/>
  <c r="F96" i="6" s="1"/>
  <c r="AP96" i="6"/>
  <c r="S96" i="6"/>
  <c r="N96" i="6"/>
  <c r="G96" i="6"/>
  <c r="C96" i="6"/>
  <c r="BW95" i="6"/>
  <c r="BI95" i="6"/>
  <c r="AX95" i="6"/>
  <c r="F95" i="6" s="1"/>
  <c r="AP95" i="6"/>
  <c r="S95" i="6"/>
  <c r="N95" i="6"/>
  <c r="G95" i="6"/>
  <c r="C95" i="6"/>
  <c r="BW94" i="6"/>
  <c r="BI94" i="6"/>
  <c r="AX94" i="6"/>
  <c r="F94" i="6" s="1"/>
  <c r="AP94" i="6"/>
  <c r="W94" i="6"/>
  <c r="X94" i="6" s="1"/>
  <c r="S94" i="6"/>
  <c r="N94" i="6"/>
  <c r="G94" i="6"/>
  <c r="C94" i="6"/>
  <c r="BW93" i="6"/>
  <c r="BI93" i="6"/>
  <c r="AX93" i="6"/>
  <c r="AP93" i="6"/>
  <c r="S93" i="6"/>
  <c r="T93" i="6" s="1"/>
  <c r="U93" i="6" s="1"/>
  <c r="N93" i="6"/>
  <c r="G93" i="6"/>
  <c r="C93" i="6"/>
  <c r="BW92" i="6"/>
  <c r="BI92" i="6"/>
  <c r="AX92" i="6"/>
  <c r="AP92" i="6"/>
  <c r="S92" i="6"/>
  <c r="N92" i="6"/>
  <c r="G92" i="6"/>
  <c r="C92" i="6"/>
  <c r="BW91" i="6"/>
  <c r="BI91" i="6"/>
  <c r="AX91" i="6"/>
  <c r="AP91" i="6"/>
  <c r="S91" i="6"/>
  <c r="N91" i="6"/>
  <c r="G91" i="6"/>
  <c r="C91" i="6"/>
  <c r="BW90" i="6"/>
  <c r="BI90" i="6"/>
  <c r="AX90" i="6"/>
  <c r="AP90" i="6"/>
  <c r="W90" i="6"/>
  <c r="X90" i="6" s="1"/>
  <c r="S90" i="6"/>
  <c r="N90" i="6"/>
  <c r="G90" i="6"/>
  <c r="C90" i="6"/>
  <c r="BW89" i="6"/>
  <c r="BI89" i="6"/>
  <c r="AX89" i="6"/>
  <c r="AP89" i="6"/>
  <c r="S89" i="6"/>
  <c r="T89" i="6" s="1"/>
  <c r="U89" i="6" s="1"/>
  <c r="N89" i="6"/>
  <c r="G89" i="6"/>
  <c r="C89" i="6"/>
  <c r="BW88" i="6"/>
  <c r="BI88" i="6"/>
  <c r="AX88" i="6"/>
  <c r="AP88" i="6"/>
  <c r="S88" i="6"/>
  <c r="N88" i="6"/>
  <c r="G88" i="6"/>
  <c r="C88" i="6"/>
  <c r="BW87" i="6"/>
  <c r="BI87" i="6"/>
  <c r="AX87" i="6"/>
  <c r="AP87" i="6"/>
  <c r="S87" i="6"/>
  <c r="N87" i="6"/>
  <c r="G87" i="6"/>
  <c r="C87" i="6"/>
  <c r="BW86" i="6"/>
  <c r="BI86" i="6"/>
  <c r="AX86" i="6"/>
  <c r="AP86" i="6"/>
  <c r="W86" i="6"/>
  <c r="X86" i="6" s="1"/>
  <c r="S86" i="6"/>
  <c r="N86" i="6"/>
  <c r="G86" i="6"/>
  <c r="C86" i="6"/>
  <c r="BW85" i="6"/>
  <c r="BI85" i="6"/>
  <c r="AX85" i="6"/>
  <c r="AP85" i="6"/>
  <c r="S85" i="6"/>
  <c r="T85" i="6" s="1"/>
  <c r="U85" i="6" s="1"/>
  <c r="N85" i="6"/>
  <c r="G85" i="6"/>
  <c r="C85" i="6"/>
  <c r="BW84" i="6"/>
  <c r="BI84" i="6"/>
  <c r="AX84" i="6"/>
  <c r="AP84" i="6"/>
  <c r="AD84" i="6"/>
  <c r="AE84" i="6" s="1"/>
  <c r="S84" i="6"/>
  <c r="N84" i="6"/>
  <c r="G84" i="6"/>
  <c r="C84" i="6"/>
  <c r="BW83" i="6"/>
  <c r="BI83" i="6"/>
  <c r="AX83" i="6"/>
  <c r="AP83" i="6"/>
  <c r="S83" i="6"/>
  <c r="N83" i="6"/>
  <c r="G83" i="6"/>
  <c r="C83" i="6"/>
  <c r="BW82" i="6"/>
  <c r="BI82" i="6"/>
  <c r="AX82" i="6"/>
  <c r="AP82" i="6"/>
  <c r="AA82" i="6"/>
  <c r="AB82" i="6" s="1"/>
  <c r="S82" i="6"/>
  <c r="N82" i="6"/>
  <c r="G82" i="6"/>
  <c r="C82" i="6"/>
  <c r="BW81" i="6"/>
  <c r="BI81" i="6"/>
  <c r="AX81" i="6"/>
  <c r="AP81" i="6"/>
  <c r="S81" i="6"/>
  <c r="N81" i="6"/>
  <c r="G81" i="6"/>
  <c r="C81" i="6"/>
  <c r="BW80" i="6"/>
  <c r="BI80" i="6"/>
  <c r="AX80" i="6"/>
  <c r="AP80" i="6"/>
  <c r="AJ80" i="6"/>
  <c r="AK80" i="6" s="1"/>
  <c r="W80" i="6"/>
  <c r="X80" i="6" s="1"/>
  <c r="S80" i="6"/>
  <c r="N80" i="6"/>
  <c r="G80" i="6"/>
  <c r="C80" i="6"/>
  <c r="BW79" i="6"/>
  <c r="BI79" i="6"/>
  <c r="AX79" i="6"/>
  <c r="AP79" i="6"/>
  <c r="S79" i="6"/>
  <c r="T79" i="6" s="1"/>
  <c r="N79" i="6"/>
  <c r="G79" i="6"/>
  <c r="C79" i="6"/>
  <c r="BW78" i="6"/>
  <c r="BI78" i="6"/>
  <c r="AX78" i="6"/>
  <c r="AP78" i="6"/>
  <c r="AG78" i="6"/>
  <c r="AH78" i="6" s="1"/>
  <c r="S78" i="6"/>
  <c r="T78" i="6" s="1"/>
  <c r="U78" i="6" s="1"/>
  <c r="N78" i="6"/>
  <c r="G78" i="6"/>
  <c r="C78" i="6"/>
  <c r="BW77" i="6"/>
  <c r="BI77" i="6"/>
  <c r="AX77" i="6"/>
  <c r="AP77" i="6"/>
  <c r="S77" i="6"/>
  <c r="N77" i="6"/>
  <c r="G77" i="6"/>
  <c r="C77" i="6"/>
  <c r="BW76" i="6"/>
  <c r="BI76" i="6"/>
  <c r="AX76" i="6"/>
  <c r="AP76" i="6"/>
  <c r="S76" i="6"/>
  <c r="N76" i="6"/>
  <c r="G76" i="6"/>
  <c r="C76" i="6"/>
  <c r="BW75" i="6"/>
  <c r="BI75" i="6"/>
  <c r="AX75" i="6"/>
  <c r="AP75" i="6"/>
  <c r="AJ75" i="6"/>
  <c r="AK75" i="6" s="1"/>
  <c r="AD75" i="6"/>
  <c r="AE75" i="6" s="1"/>
  <c r="W75" i="6"/>
  <c r="X75" i="6" s="1"/>
  <c r="S75" i="6"/>
  <c r="N75" i="6"/>
  <c r="G75" i="6"/>
  <c r="C75" i="6"/>
  <c r="BW74" i="6"/>
  <c r="BI74" i="6"/>
  <c r="AX74" i="6"/>
  <c r="AP74" i="6"/>
  <c r="S74" i="6"/>
  <c r="T74" i="6" s="1"/>
  <c r="U74" i="6" s="1"/>
  <c r="N74" i="6"/>
  <c r="G74" i="6"/>
  <c r="C74" i="6"/>
  <c r="BW73" i="6"/>
  <c r="BI73" i="6"/>
  <c r="AX73" i="6"/>
  <c r="AP73" i="6"/>
  <c r="AG73" i="6"/>
  <c r="AH73" i="6" s="1"/>
  <c r="AA73" i="6"/>
  <c r="AB73" i="6" s="1"/>
  <c r="S73" i="6"/>
  <c r="T73" i="6" s="1"/>
  <c r="U73" i="6" s="1"/>
  <c r="N73" i="6"/>
  <c r="G73" i="6"/>
  <c r="C73" i="6"/>
  <c r="BW72" i="6"/>
  <c r="BI72" i="6"/>
  <c r="AX72" i="6"/>
  <c r="AP72" i="6"/>
  <c r="S72" i="6"/>
  <c r="N72" i="6"/>
  <c r="G72" i="6"/>
  <c r="C72" i="6"/>
  <c r="BW71" i="6"/>
  <c r="BI71" i="6"/>
  <c r="AX71" i="6"/>
  <c r="AP71" i="6"/>
  <c r="AJ71" i="6"/>
  <c r="AK71" i="6" s="1"/>
  <c r="AD71" i="6"/>
  <c r="AE71" i="6" s="1"/>
  <c r="W71" i="6"/>
  <c r="X71" i="6" s="1"/>
  <c r="S71" i="6"/>
  <c r="N71" i="6"/>
  <c r="G71" i="6"/>
  <c r="C71" i="6"/>
  <c r="BW70" i="6"/>
  <c r="BI70" i="6"/>
  <c r="AX70" i="6"/>
  <c r="AP70" i="6"/>
  <c r="S70" i="6"/>
  <c r="T70" i="6" s="1"/>
  <c r="U70" i="6" s="1"/>
  <c r="N70" i="6"/>
  <c r="G70" i="6"/>
  <c r="C70" i="6"/>
  <c r="BW69" i="6"/>
  <c r="BI69" i="6"/>
  <c r="AX69" i="6"/>
  <c r="AP69" i="6"/>
  <c r="AG69" i="6"/>
  <c r="AH69" i="6" s="1"/>
  <c r="AA69" i="6"/>
  <c r="AB69" i="6" s="1"/>
  <c r="S69" i="6"/>
  <c r="T69" i="6" s="1"/>
  <c r="U69" i="6" s="1"/>
  <c r="N69" i="6"/>
  <c r="G69" i="6"/>
  <c r="C69" i="6"/>
  <c r="BW68" i="6"/>
  <c r="BI68" i="6"/>
  <c r="AX68" i="6"/>
  <c r="AP68" i="6"/>
  <c r="S68" i="6"/>
  <c r="N68" i="6"/>
  <c r="G68" i="6"/>
  <c r="C68" i="6"/>
  <c r="BW67" i="6"/>
  <c r="BI67" i="6"/>
  <c r="AX67" i="6"/>
  <c r="AP67" i="6"/>
  <c r="AJ67" i="6"/>
  <c r="AK67" i="6" s="1"/>
  <c r="AD67" i="6"/>
  <c r="AE67" i="6" s="1"/>
  <c r="W67" i="6"/>
  <c r="X67" i="6" s="1"/>
  <c r="S67" i="6"/>
  <c r="N67" i="6"/>
  <c r="G67" i="6"/>
  <c r="C67" i="6"/>
  <c r="BW66" i="6"/>
  <c r="BI66" i="6"/>
  <c r="AX66" i="6"/>
  <c r="AP66" i="6"/>
  <c r="S66" i="6"/>
  <c r="T66" i="6" s="1"/>
  <c r="U66" i="6" s="1"/>
  <c r="N66" i="6"/>
  <c r="G66" i="6"/>
  <c r="C66" i="6"/>
  <c r="BW65" i="6"/>
  <c r="BI65" i="6"/>
  <c r="AX65" i="6"/>
  <c r="F65" i="6" s="1"/>
  <c r="AP65" i="6"/>
  <c r="AG65" i="6"/>
  <c r="AH65" i="6" s="1"/>
  <c r="AA65" i="6"/>
  <c r="AB65" i="6" s="1"/>
  <c r="S65" i="6"/>
  <c r="T65" i="6" s="1"/>
  <c r="U65" i="6" s="1"/>
  <c r="N65" i="6"/>
  <c r="G65" i="6"/>
  <c r="C65" i="6"/>
  <c r="BW64" i="6"/>
  <c r="BI64" i="6"/>
  <c r="AX64" i="6"/>
  <c r="AP64" i="6"/>
  <c r="S64" i="6"/>
  <c r="N64" i="6"/>
  <c r="G64" i="6"/>
  <c r="C64" i="6"/>
  <c r="BW63" i="6"/>
  <c r="BI63" i="6"/>
  <c r="AX63" i="6"/>
  <c r="AP63" i="6"/>
  <c r="AJ63" i="6"/>
  <c r="AK63" i="6" s="1"/>
  <c r="AD63" i="6"/>
  <c r="AE63" i="6" s="1"/>
  <c r="W63" i="6"/>
  <c r="X63" i="6" s="1"/>
  <c r="S63" i="6"/>
  <c r="N63" i="6"/>
  <c r="G63" i="6"/>
  <c r="C63" i="6"/>
  <c r="BW62" i="6"/>
  <c r="BI62" i="6"/>
  <c r="AX62" i="6"/>
  <c r="AP62" i="6"/>
  <c r="S62" i="6"/>
  <c r="T62" i="6" s="1"/>
  <c r="U62" i="6" s="1"/>
  <c r="N62" i="6"/>
  <c r="G62" i="6"/>
  <c r="C62" i="6"/>
  <c r="BW61" i="6"/>
  <c r="BI61" i="6"/>
  <c r="AX61" i="6"/>
  <c r="AP61" i="6"/>
  <c r="AG61" i="6"/>
  <c r="AH61" i="6" s="1"/>
  <c r="AA61" i="6"/>
  <c r="AB61" i="6" s="1"/>
  <c r="S61" i="6"/>
  <c r="T61" i="6" s="1"/>
  <c r="U61" i="6" s="1"/>
  <c r="N61" i="6"/>
  <c r="G61" i="6"/>
  <c r="C61" i="6"/>
  <c r="BW60" i="6"/>
  <c r="BI60" i="6"/>
  <c r="AX60" i="6"/>
  <c r="F60" i="6" s="1"/>
  <c r="AP60" i="6"/>
  <c r="S60" i="6"/>
  <c r="N60" i="6"/>
  <c r="G60" i="6"/>
  <c r="C60" i="6"/>
  <c r="BW59" i="6"/>
  <c r="BI59" i="6"/>
  <c r="AX59" i="6"/>
  <c r="AP59" i="6"/>
  <c r="AJ59" i="6"/>
  <c r="AK59" i="6" s="1"/>
  <c r="AD59" i="6"/>
  <c r="AE59" i="6" s="1"/>
  <c r="W59" i="6"/>
  <c r="X59" i="6" s="1"/>
  <c r="S59" i="6"/>
  <c r="N59" i="6"/>
  <c r="G59" i="6"/>
  <c r="F59" i="6"/>
  <c r="C59" i="6"/>
  <c r="BW58" i="6"/>
  <c r="BI58" i="6"/>
  <c r="AX58" i="6"/>
  <c r="F58" i="6" s="1"/>
  <c r="AP58" i="6"/>
  <c r="S58" i="6"/>
  <c r="T58" i="6" s="1"/>
  <c r="U58" i="6" s="1"/>
  <c r="N58" i="6"/>
  <c r="G58" i="6"/>
  <c r="C58" i="6"/>
  <c r="BW57" i="6"/>
  <c r="BI57" i="6"/>
  <c r="AX57" i="6"/>
  <c r="F57" i="6" s="1"/>
  <c r="AP57" i="6"/>
  <c r="AG57" i="6"/>
  <c r="AH57" i="6" s="1"/>
  <c r="AA57" i="6"/>
  <c r="AB57" i="6" s="1"/>
  <c r="S57" i="6"/>
  <c r="T57" i="6" s="1"/>
  <c r="U57" i="6" s="1"/>
  <c r="N57" i="6"/>
  <c r="G57" i="6"/>
  <c r="C57" i="6"/>
  <c r="BW56" i="6"/>
  <c r="BI56" i="6"/>
  <c r="AX56" i="6"/>
  <c r="AP56" i="6"/>
  <c r="S56" i="6"/>
  <c r="N56" i="6"/>
  <c r="G56" i="6"/>
  <c r="C56" i="6"/>
  <c r="BW55" i="6"/>
  <c r="BI55" i="6"/>
  <c r="AX55" i="6"/>
  <c r="AP55" i="6"/>
  <c r="AJ55" i="6"/>
  <c r="AK55" i="6" s="1"/>
  <c r="AD55" i="6"/>
  <c r="AE55" i="6" s="1"/>
  <c r="W55" i="6"/>
  <c r="X55" i="6" s="1"/>
  <c r="S55" i="6"/>
  <c r="N55" i="6"/>
  <c r="G55" i="6"/>
  <c r="C55" i="6"/>
  <c r="BW54" i="6"/>
  <c r="BI54" i="6"/>
  <c r="AX54" i="6"/>
  <c r="AP54" i="6"/>
  <c r="S54" i="6"/>
  <c r="T54" i="6" s="1"/>
  <c r="U54" i="6" s="1"/>
  <c r="N54" i="6"/>
  <c r="G54" i="6"/>
  <c r="C54" i="6"/>
  <c r="BW53" i="6"/>
  <c r="BI53" i="6"/>
  <c r="AX53" i="6"/>
  <c r="AP53" i="6"/>
  <c r="AG53" i="6"/>
  <c r="AH53" i="6" s="1"/>
  <c r="AA53" i="6"/>
  <c r="AB53" i="6" s="1"/>
  <c r="S53" i="6"/>
  <c r="T53" i="6" s="1"/>
  <c r="U53" i="6" s="1"/>
  <c r="N53" i="6"/>
  <c r="G53" i="6"/>
  <c r="C53" i="6"/>
  <c r="BW52" i="6"/>
  <c r="BI52" i="6"/>
  <c r="AX52" i="6"/>
  <c r="AP52" i="6"/>
  <c r="S52" i="6"/>
  <c r="N52" i="6"/>
  <c r="G52" i="6"/>
  <c r="C52" i="6"/>
  <c r="BW51" i="6"/>
  <c r="BI51" i="6"/>
  <c r="AX51" i="6"/>
  <c r="AP51" i="6"/>
  <c r="AJ51" i="6"/>
  <c r="AK51" i="6" s="1"/>
  <c r="AD51" i="6"/>
  <c r="AE51" i="6" s="1"/>
  <c r="W51" i="6"/>
  <c r="X51" i="6" s="1"/>
  <c r="S51" i="6"/>
  <c r="N51" i="6"/>
  <c r="G51" i="6"/>
  <c r="C51" i="6"/>
  <c r="BW50" i="6"/>
  <c r="BI50" i="6"/>
  <c r="AX50" i="6"/>
  <c r="AP50" i="6"/>
  <c r="S50" i="6"/>
  <c r="T50" i="6" s="1"/>
  <c r="U50" i="6" s="1"/>
  <c r="N50" i="6"/>
  <c r="G50" i="6"/>
  <c r="C50" i="6"/>
  <c r="BW49" i="6"/>
  <c r="BI49" i="6"/>
  <c r="AX49" i="6"/>
  <c r="AP49" i="6"/>
  <c r="AG49" i="6"/>
  <c r="AH49" i="6" s="1"/>
  <c r="AA49" i="6"/>
  <c r="AB49" i="6" s="1"/>
  <c r="S49" i="6"/>
  <c r="T49" i="6" s="1"/>
  <c r="U49" i="6" s="1"/>
  <c r="N49" i="6"/>
  <c r="G49" i="6"/>
  <c r="C49" i="6"/>
  <c r="BW48" i="6"/>
  <c r="BI48" i="6"/>
  <c r="AX48" i="6"/>
  <c r="AP48" i="6"/>
  <c r="S48" i="6"/>
  <c r="N48" i="6"/>
  <c r="G48" i="6"/>
  <c r="C48" i="6"/>
  <c r="BW47" i="6"/>
  <c r="BI47" i="6"/>
  <c r="AX47" i="6"/>
  <c r="AP47" i="6"/>
  <c r="AJ47" i="6"/>
  <c r="AK47" i="6" s="1"/>
  <c r="AD47" i="6"/>
  <c r="AE47" i="6" s="1"/>
  <c r="W47" i="6"/>
  <c r="X47" i="6" s="1"/>
  <c r="S47" i="6"/>
  <c r="N47" i="6"/>
  <c r="G47" i="6"/>
  <c r="C47" i="6"/>
  <c r="BW46" i="6"/>
  <c r="BI46" i="6"/>
  <c r="AX46" i="6"/>
  <c r="AP46" i="6"/>
  <c r="S46" i="6"/>
  <c r="T46" i="6" s="1"/>
  <c r="U46" i="6" s="1"/>
  <c r="N46" i="6"/>
  <c r="G46" i="6"/>
  <c r="C46" i="6"/>
  <c r="BW45" i="6"/>
  <c r="BI45" i="6"/>
  <c r="AX45" i="6"/>
  <c r="AP45" i="6"/>
  <c r="AG45" i="6"/>
  <c r="AH45" i="6" s="1"/>
  <c r="S45" i="6"/>
  <c r="T45" i="6" s="1"/>
  <c r="U45" i="6" s="1"/>
  <c r="N45" i="6"/>
  <c r="G45" i="6"/>
  <c r="C45" i="6"/>
  <c r="BW44" i="6"/>
  <c r="BI44" i="6"/>
  <c r="AX44" i="6"/>
  <c r="AP44" i="6"/>
  <c r="S44" i="6"/>
  <c r="N44" i="6"/>
  <c r="G44" i="6"/>
  <c r="C44" i="6"/>
  <c r="BW43" i="6"/>
  <c r="BI43" i="6"/>
  <c r="AX43" i="6"/>
  <c r="AP43" i="6"/>
  <c r="AJ43" i="6"/>
  <c r="AK43" i="6" s="1"/>
  <c r="AD43" i="6"/>
  <c r="AE43" i="6" s="1"/>
  <c r="W43" i="6"/>
  <c r="X43" i="6" s="1"/>
  <c r="S43" i="6"/>
  <c r="N43" i="6"/>
  <c r="G43" i="6"/>
  <c r="C43" i="6"/>
  <c r="BW42" i="6"/>
  <c r="BI42" i="6"/>
  <c r="AX42" i="6"/>
  <c r="AP42" i="6"/>
  <c r="S42" i="6"/>
  <c r="T42" i="6" s="1"/>
  <c r="U42" i="6" s="1"/>
  <c r="N42" i="6"/>
  <c r="G42" i="6"/>
  <c r="C42" i="6"/>
  <c r="BW41" i="6"/>
  <c r="BI41" i="6"/>
  <c r="AX41" i="6"/>
  <c r="AP41" i="6"/>
  <c r="AG41" i="6"/>
  <c r="AH41" i="6" s="1"/>
  <c r="S41" i="6"/>
  <c r="T41" i="6" s="1"/>
  <c r="U41" i="6" s="1"/>
  <c r="N41" i="6"/>
  <c r="G41" i="6"/>
  <c r="C41" i="6"/>
  <c r="BW40" i="6"/>
  <c r="BI40" i="6"/>
  <c r="AX40" i="6"/>
  <c r="AP40" i="6"/>
  <c r="S40" i="6"/>
  <c r="N40" i="6"/>
  <c r="G40" i="6"/>
  <c r="C40" i="6"/>
  <c r="BW39" i="6"/>
  <c r="BI39" i="6"/>
  <c r="AX39" i="6"/>
  <c r="AP39" i="6"/>
  <c r="AJ39" i="6"/>
  <c r="AK39" i="6" s="1"/>
  <c r="AD39" i="6"/>
  <c r="AE39" i="6" s="1"/>
  <c r="W39" i="6"/>
  <c r="X39" i="6" s="1"/>
  <c r="S39" i="6"/>
  <c r="N39" i="6"/>
  <c r="G39" i="6"/>
  <c r="C39" i="6"/>
  <c r="BW38" i="6"/>
  <c r="BI38" i="6"/>
  <c r="AX38" i="6"/>
  <c r="AP38" i="6"/>
  <c r="S38" i="6"/>
  <c r="T38" i="6" s="1"/>
  <c r="U38" i="6" s="1"/>
  <c r="N38" i="6"/>
  <c r="G38" i="6"/>
  <c r="C38" i="6"/>
  <c r="BW37" i="6"/>
  <c r="BI37" i="6"/>
  <c r="AX37" i="6"/>
  <c r="AP37" i="6"/>
  <c r="AG37" i="6"/>
  <c r="AH37" i="6" s="1"/>
  <c r="AA37" i="6"/>
  <c r="AB37" i="6" s="1"/>
  <c r="S37" i="6"/>
  <c r="T37" i="6" s="1"/>
  <c r="U37" i="6" s="1"/>
  <c r="N37" i="6"/>
  <c r="G37" i="6"/>
  <c r="C37" i="6"/>
  <c r="BW36" i="6"/>
  <c r="BI36" i="6"/>
  <c r="AX36" i="6"/>
  <c r="AP36" i="6"/>
  <c r="S36" i="6"/>
  <c r="N36" i="6"/>
  <c r="G36" i="6"/>
  <c r="C36" i="6"/>
  <c r="BW35" i="6"/>
  <c r="BI35" i="6"/>
  <c r="AX35" i="6"/>
  <c r="AP35" i="6"/>
  <c r="AJ35" i="6"/>
  <c r="AK35" i="6" s="1"/>
  <c r="AD35" i="6"/>
  <c r="AE35" i="6" s="1"/>
  <c r="W35" i="6"/>
  <c r="X35" i="6" s="1"/>
  <c r="S35" i="6"/>
  <c r="N35" i="6"/>
  <c r="G35" i="6"/>
  <c r="C35" i="6"/>
  <c r="BW34" i="6"/>
  <c r="BI34" i="6"/>
  <c r="AX34" i="6"/>
  <c r="AP34" i="6"/>
  <c r="S34" i="6"/>
  <c r="T34" i="6" s="1"/>
  <c r="U34" i="6" s="1"/>
  <c r="N34" i="6"/>
  <c r="G34" i="6"/>
  <c r="C34" i="6"/>
  <c r="BW33" i="6"/>
  <c r="BI33" i="6"/>
  <c r="AX33" i="6"/>
  <c r="AP33" i="6"/>
  <c r="AG33" i="6"/>
  <c r="AH33" i="6" s="1"/>
  <c r="AA33" i="6"/>
  <c r="AB33" i="6" s="1"/>
  <c r="S33" i="6"/>
  <c r="T33" i="6" s="1"/>
  <c r="U33" i="6" s="1"/>
  <c r="N33" i="6"/>
  <c r="G33" i="6"/>
  <c r="C33" i="6"/>
  <c r="BW32" i="6"/>
  <c r="BI32" i="6"/>
  <c r="AX32" i="6"/>
  <c r="AP32" i="6"/>
  <c r="S32" i="6"/>
  <c r="N32" i="6"/>
  <c r="G32" i="6"/>
  <c r="C32" i="6"/>
  <c r="BW31" i="6"/>
  <c r="BI31" i="6"/>
  <c r="AX31" i="6"/>
  <c r="AP31" i="6"/>
  <c r="AJ31" i="6"/>
  <c r="AK31" i="6" s="1"/>
  <c r="AD31" i="6"/>
  <c r="AE31" i="6" s="1"/>
  <c r="W31" i="6"/>
  <c r="X31" i="6" s="1"/>
  <c r="S31" i="6"/>
  <c r="N31" i="6"/>
  <c r="G31" i="6"/>
  <c r="C31" i="6"/>
  <c r="BW30" i="6"/>
  <c r="BI30" i="6"/>
  <c r="AX30" i="6"/>
  <c r="AP30" i="6"/>
  <c r="S30" i="6"/>
  <c r="T30" i="6" s="1"/>
  <c r="U30" i="6" s="1"/>
  <c r="N30" i="6"/>
  <c r="G30" i="6"/>
  <c r="C30" i="6"/>
  <c r="BW29" i="6"/>
  <c r="BI29" i="6"/>
  <c r="AX29" i="6"/>
  <c r="AP29" i="6"/>
  <c r="AG29" i="6"/>
  <c r="AH29" i="6" s="1"/>
  <c r="AA29" i="6"/>
  <c r="AB29" i="6" s="1"/>
  <c r="S29" i="6"/>
  <c r="T29" i="6" s="1"/>
  <c r="U29" i="6" s="1"/>
  <c r="N29" i="6"/>
  <c r="G29" i="6"/>
  <c r="C29" i="6"/>
  <c r="BW28" i="6"/>
  <c r="BI28" i="6"/>
  <c r="AX28" i="6"/>
  <c r="AP28" i="6"/>
  <c r="S28" i="6"/>
  <c r="N28" i="6"/>
  <c r="G28" i="6"/>
  <c r="C28" i="6"/>
  <c r="BW27" i="6"/>
  <c r="BI27" i="6"/>
  <c r="AX27" i="6"/>
  <c r="AP27" i="6"/>
  <c r="AJ27" i="6"/>
  <c r="AK27" i="6" s="1"/>
  <c r="AD27" i="6"/>
  <c r="AE27" i="6" s="1"/>
  <c r="W27" i="6"/>
  <c r="X27" i="6" s="1"/>
  <c r="S27" i="6"/>
  <c r="N27" i="6"/>
  <c r="G27" i="6"/>
  <c r="C27" i="6"/>
  <c r="BW26" i="6"/>
  <c r="BI26" i="6"/>
  <c r="AX26" i="6"/>
  <c r="AP26" i="6"/>
  <c r="S26" i="6"/>
  <c r="T26" i="6" s="1"/>
  <c r="U26" i="6" s="1"/>
  <c r="N26" i="6"/>
  <c r="G26" i="6"/>
  <c r="C26" i="6"/>
  <c r="BW25" i="6"/>
  <c r="BI25" i="6"/>
  <c r="AX25" i="6"/>
  <c r="AP25" i="6"/>
  <c r="AG25" i="6"/>
  <c r="AH25" i="6" s="1"/>
  <c r="AA25" i="6"/>
  <c r="AB25" i="6" s="1"/>
  <c r="S25" i="6"/>
  <c r="T25" i="6" s="1"/>
  <c r="U25" i="6" s="1"/>
  <c r="N25" i="6"/>
  <c r="G25" i="6"/>
  <c r="C25" i="6"/>
  <c r="BW24" i="6"/>
  <c r="BI24" i="6"/>
  <c r="AX24" i="6"/>
  <c r="AP24" i="6"/>
  <c r="S24" i="6"/>
  <c r="N24" i="6"/>
  <c r="G24" i="6"/>
  <c r="C24" i="6"/>
  <c r="BW23" i="6"/>
  <c r="BI23" i="6"/>
  <c r="AX23" i="6"/>
  <c r="AP23" i="6"/>
  <c r="AJ23" i="6"/>
  <c r="AK23" i="6" s="1"/>
  <c r="AD23" i="6"/>
  <c r="AE23" i="6" s="1"/>
  <c r="W23" i="6"/>
  <c r="X23" i="6" s="1"/>
  <c r="S23" i="6"/>
  <c r="N23" i="6"/>
  <c r="G23" i="6"/>
  <c r="C23" i="6"/>
  <c r="BW22" i="6"/>
  <c r="BI22" i="6"/>
  <c r="AX22" i="6"/>
  <c r="AP22" i="6"/>
  <c r="S22" i="6"/>
  <c r="T22" i="6" s="1"/>
  <c r="U22" i="6" s="1"/>
  <c r="N22" i="6"/>
  <c r="G22" i="6"/>
  <c r="C22" i="6"/>
  <c r="BW21" i="6"/>
  <c r="BI21" i="6"/>
  <c r="AX21" i="6"/>
  <c r="AP21" i="6"/>
  <c r="AG21" i="6"/>
  <c r="AH21" i="6" s="1"/>
  <c r="AA21" i="6"/>
  <c r="AB21" i="6" s="1"/>
  <c r="S21" i="6"/>
  <c r="T21" i="6" s="1"/>
  <c r="U21" i="6" s="1"/>
  <c r="N21" i="6"/>
  <c r="G21" i="6"/>
  <c r="C21" i="6"/>
  <c r="BW20" i="6"/>
  <c r="BI20" i="6"/>
  <c r="AX20" i="6"/>
  <c r="AP20" i="6"/>
  <c r="S20" i="6"/>
  <c r="N20" i="6"/>
  <c r="G20" i="6"/>
  <c r="C20" i="6"/>
  <c r="BW19" i="6"/>
  <c r="BI19" i="6"/>
  <c r="AX19" i="6"/>
  <c r="F19" i="6" s="1"/>
  <c r="AP19" i="6"/>
  <c r="AJ19" i="6"/>
  <c r="AK19" i="6" s="1"/>
  <c r="AD19" i="6"/>
  <c r="AE19" i="6" s="1"/>
  <c r="W19" i="6"/>
  <c r="X19" i="6" s="1"/>
  <c r="S19" i="6"/>
  <c r="N19" i="6"/>
  <c r="G19" i="6"/>
  <c r="C19" i="6"/>
  <c r="BW18" i="6"/>
  <c r="BI18" i="6"/>
  <c r="AX18" i="6"/>
  <c r="F18" i="6" s="1"/>
  <c r="AP18" i="6"/>
  <c r="S18" i="6"/>
  <c r="T18" i="6" s="1"/>
  <c r="U18" i="6" s="1"/>
  <c r="N18" i="6"/>
  <c r="G18" i="6"/>
  <c r="C18" i="6"/>
  <c r="BW17" i="6"/>
  <c r="BI17" i="6"/>
  <c r="AX17" i="6"/>
  <c r="F17" i="6" s="1"/>
  <c r="AP17" i="6"/>
  <c r="AG17" i="6"/>
  <c r="AH17" i="6" s="1"/>
  <c r="AA17" i="6"/>
  <c r="AB17" i="6" s="1"/>
  <c r="S17" i="6"/>
  <c r="T17" i="6" s="1"/>
  <c r="U17" i="6" s="1"/>
  <c r="N17" i="6"/>
  <c r="G17" i="6"/>
  <c r="C17" i="6"/>
  <c r="BW16" i="6"/>
  <c r="BI16" i="6"/>
  <c r="AX16" i="6"/>
  <c r="AP16" i="6"/>
  <c r="S16" i="6"/>
  <c r="N16" i="6"/>
  <c r="G16" i="6"/>
  <c r="C16" i="6"/>
  <c r="BW15" i="6"/>
  <c r="BI15" i="6"/>
  <c r="AX15" i="6"/>
  <c r="AP15" i="6"/>
  <c r="AJ15" i="6"/>
  <c r="AK15" i="6" s="1"/>
  <c r="AD15" i="6"/>
  <c r="W15" i="6"/>
  <c r="X15" i="6" s="1"/>
  <c r="S15" i="6"/>
  <c r="N15" i="6"/>
  <c r="G15" i="6"/>
  <c r="C15" i="6"/>
  <c r="BW14" i="6"/>
  <c r="BI14" i="6"/>
  <c r="AX14" i="6"/>
  <c r="F14" i="6" s="1"/>
  <c r="AP14" i="6"/>
  <c r="S14" i="6"/>
  <c r="T14" i="6" s="1"/>
  <c r="U14" i="6" s="1"/>
  <c r="N14" i="6"/>
  <c r="G14" i="6"/>
  <c r="C14" i="6"/>
  <c r="BW13" i="6"/>
  <c r="BI13" i="6"/>
  <c r="AX13" i="6"/>
  <c r="F13" i="6" s="1"/>
  <c r="AP13" i="6"/>
  <c r="AJ13" i="6"/>
  <c r="AK13" i="6" s="1"/>
  <c r="AG13" i="6"/>
  <c r="AH13" i="6" s="1"/>
  <c r="AD13" i="6"/>
  <c r="AE13" i="6" s="1"/>
  <c r="W13" i="6"/>
  <c r="X13" i="6" s="1"/>
  <c r="S13" i="6"/>
  <c r="T13" i="6" s="1"/>
  <c r="U13" i="6" s="1"/>
  <c r="N13" i="6"/>
  <c r="G13" i="6"/>
  <c r="C13" i="6"/>
  <c r="BW12" i="6"/>
  <c r="BI12" i="6"/>
  <c r="AX12" i="6"/>
  <c r="F12" i="6" s="1"/>
  <c r="AP12" i="6"/>
  <c r="S12" i="6"/>
  <c r="N12" i="6"/>
  <c r="G12" i="6"/>
  <c r="C12" i="6"/>
  <c r="BW11" i="6"/>
  <c r="BI11" i="6"/>
  <c r="AX11" i="6"/>
  <c r="F11" i="6" s="1"/>
  <c r="AP11" i="6"/>
  <c r="AJ11" i="6"/>
  <c r="AK11" i="6" s="1"/>
  <c r="AG11" i="6"/>
  <c r="AH11" i="6" s="1"/>
  <c r="AD11" i="6"/>
  <c r="AE11" i="6" s="1"/>
  <c r="AA11" i="6"/>
  <c r="AB11" i="6" s="1"/>
  <c r="W11" i="6"/>
  <c r="X11" i="6" s="1"/>
  <c r="S11" i="6"/>
  <c r="T11" i="6" s="1"/>
  <c r="N11" i="6"/>
  <c r="G11" i="6"/>
  <c r="C11" i="6"/>
  <c r="BW10" i="6"/>
  <c r="BI10" i="6"/>
  <c r="AX10" i="6"/>
  <c r="AP10" i="6"/>
  <c r="S10" i="6"/>
  <c r="N10" i="6"/>
  <c r="G10" i="6"/>
  <c r="C10" i="6"/>
  <c r="BW9" i="6"/>
  <c r="BI9" i="6"/>
  <c r="AX9" i="6"/>
  <c r="AP9" i="6"/>
  <c r="AJ9" i="6"/>
  <c r="AG9" i="6"/>
  <c r="AD9" i="6"/>
  <c r="AA9" i="6"/>
  <c r="AB9" i="6" s="1"/>
  <c r="W9" i="6"/>
  <c r="S9" i="6"/>
  <c r="T9" i="6" s="1"/>
  <c r="U9" i="6" s="1"/>
  <c r="N9" i="6"/>
  <c r="G9" i="6"/>
  <c r="C9" i="6"/>
  <c r="C5" i="6"/>
  <c r="AN209" i="6" s="1"/>
  <c r="AO209" i="6" s="1"/>
  <c r="AS374" i="6" l="1"/>
  <c r="F9" i="6"/>
  <c r="F10" i="6"/>
  <c r="F15" i="6"/>
  <c r="F16" i="6"/>
  <c r="F25" i="6"/>
  <c r="F61" i="6"/>
  <c r="F178" i="6"/>
  <c r="F179" i="6"/>
  <c r="F188" i="6"/>
  <c r="F248" i="6"/>
  <c r="F249" i="6"/>
  <c r="F250" i="6"/>
  <c r="F251" i="6"/>
  <c r="F252" i="6"/>
  <c r="F288" i="6"/>
  <c r="F289" i="6"/>
  <c r="F290" i="6"/>
  <c r="F291" i="6"/>
  <c r="F327" i="6"/>
  <c r="F328" i="6"/>
  <c r="F329" i="6"/>
  <c r="F330" i="6"/>
  <c r="F331" i="6"/>
  <c r="AN21" i="6"/>
  <c r="AO21" i="6" s="1"/>
  <c r="AN53" i="6"/>
  <c r="AO53" i="6" s="1"/>
  <c r="AN37" i="6"/>
  <c r="AO37" i="6" s="1"/>
  <c r="AN69" i="6"/>
  <c r="AO69" i="6" s="1"/>
  <c r="BE375" i="6"/>
  <c r="BJ373" i="6"/>
  <c r="BW369" i="6"/>
  <c r="AU373" i="6"/>
  <c r="F75" i="6"/>
  <c r="F73" i="6"/>
  <c r="F71" i="6"/>
  <c r="F55" i="6"/>
  <c r="F35" i="6"/>
  <c r="F364" i="6"/>
  <c r="F350" i="6"/>
  <c r="F320" i="6"/>
  <c r="F260" i="6"/>
  <c r="F183" i="6"/>
  <c r="F139" i="6"/>
  <c r="F63" i="6"/>
  <c r="F23" i="6"/>
  <c r="F362" i="6"/>
  <c r="F335" i="6"/>
  <c r="F315" i="6"/>
  <c r="F298" i="6"/>
  <c r="F276" i="6"/>
  <c r="F256" i="6"/>
  <c r="F238" i="6"/>
  <c r="F226" i="6"/>
  <c r="F204" i="6"/>
  <c r="F196" i="6"/>
  <c r="F174" i="6"/>
  <c r="F128" i="6"/>
  <c r="F100" i="6"/>
  <c r="F92" i="6"/>
  <c r="F67" i="6"/>
  <c r="F53" i="6"/>
  <c r="F51" i="6"/>
  <c r="F49" i="6"/>
  <c r="F47" i="6"/>
  <c r="F45" i="6"/>
  <c r="F43" i="6"/>
  <c r="F41" i="6"/>
  <c r="F39" i="6"/>
  <c r="F27" i="6"/>
  <c r="F21" i="6"/>
  <c r="F29" i="6"/>
  <c r="F30" i="6"/>
  <c r="F31" i="6"/>
  <c r="F32" i="6"/>
  <c r="F33" i="6"/>
  <c r="F80" i="6"/>
  <c r="F81" i="6"/>
  <c r="F82" i="6"/>
  <c r="F86" i="6"/>
  <c r="F87" i="6"/>
  <c r="F88" i="6"/>
  <c r="F89" i="6"/>
  <c r="F122" i="6"/>
  <c r="F123" i="6"/>
  <c r="F124" i="6"/>
  <c r="F197" i="6"/>
  <c r="F198" i="6"/>
  <c r="F231" i="6"/>
  <c r="F232" i="6"/>
  <c r="F233" i="6"/>
  <c r="F234" i="6"/>
  <c r="F264" i="6"/>
  <c r="F265" i="6"/>
  <c r="F266" i="6"/>
  <c r="F267" i="6"/>
  <c r="F268" i="6"/>
  <c r="F303" i="6"/>
  <c r="F304" i="6"/>
  <c r="F305" i="6"/>
  <c r="F306" i="6"/>
  <c r="F307" i="6"/>
  <c r="F344" i="6"/>
  <c r="F345" i="6"/>
  <c r="F346" i="6"/>
  <c r="AR373" i="6"/>
  <c r="BA373" i="6"/>
  <c r="BD373" i="6"/>
  <c r="BH373" i="6"/>
  <c r="BN373" i="6"/>
  <c r="F76" i="6"/>
  <c r="F77" i="6"/>
  <c r="F102" i="6"/>
  <c r="F103" i="6"/>
  <c r="F104" i="6"/>
  <c r="F105" i="6"/>
  <c r="F114" i="6"/>
  <c r="F115" i="6"/>
  <c r="F116" i="6"/>
  <c r="F152" i="6"/>
  <c r="F153" i="6"/>
  <c r="F154" i="6"/>
  <c r="F155" i="6"/>
  <c r="F164" i="6"/>
  <c r="F165" i="6"/>
  <c r="F166" i="6"/>
  <c r="F167" i="6"/>
  <c r="F168" i="6"/>
  <c r="F199" i="6"/>
  <c r="F200" i="6"/>
  <c r="F201" i="6"/>
  <c r="F202" i="6"/>
  <c r="F269" i="6"/>
  <c r="F270" i="6"/>
  <c r="F271" i="6"/>
  <c r="F272" i="6"/>
  <c r="F310" i="6"/>
  <c r="F311" i="6"/>
  <c r="F312" i="6"/>
  <c r="F347" i="6"/>
  <c r="F348" i="6"/>
  <c r="F349" i="6"/>
  <c r="F354" i="6"/>
  <c r="F355" i="6"/>
  <c r="F356" i="6"/>
  <c r="F357" i="6"/>
  <c r="F358" i="6"/>
  <c r="F359" i="6"/>
  <c r="F143" i="6"/>
  <c r="F144" i="6"/>
  <c r="F145" i="6"/>
  <c r="F146" i="6"/>
  <c r="F147" i="6"/>
  <c r="F157" i="6"/>
  <c r="F158" i="6"/>
  <c r="F159" i="6"/>
  <c r="F160" i="6"/>
  <c r="F214" i="6"/>
  <c r="F215" i="6"/>
  <c r="F216" i="6"/>
  <c r="F217" i="6"/>
  <c r="F240" i="6"/>
  <c r="F241" i="6"/>
  <c r="F242" i="6"/>
  <c r="F243" i="6"/>
  <c r="F244" i="6"/>
  <c r="F286" i="6"/>
  <c r="F287" i="6"/>
  <c r="F324" i="6"/>
  <c r="F325" i="6"/>
  <c r="F326" i="6"/>
  <c r="F20" i="6"/>
  <c r="F26" i="6"/>
  <c r="F28" i="6"/>
  <c r="F37" i="6"/>
  <c r="F38" i="6"/>
  <c r="F40" i="6"/>
  <c r="F42" i="6"/>
  <c r="F44" i="6"/>
  <c r="F46" i="6"/>
  <c r="F48" i="6"/>
  <c r="F50" i="6"/>
  <c r="F52" i="6"/>
  <c r="F66" i="6"/>
  <c r="F68" i="6"/>
  <c r="F78" i="6"/>
  <c r="F79" i="6"/>
  <c r="F90" i="6"/>
  <c r="F91" i="6"/>
  <c r="F99" i="6"/>
  <c r="F127" i="6"/>
  <c r="F132" i="6"/>
  <c r="F133" i="6"/>
  <c r="F134" i="6"/>
  <c r="F135" i="6"/>
  <c r="F171" i="6"/>
  <c r="F172" i="6"/>
  <c r="F173" i="6"/>
  <c r="F181" i="6"/>
  <c r="F195" i="6"/>
  <c r="F203" i="6"/>
  <c r="F222" i="6"/>
  <c r="F223" i="6"/>
  <c r="F224" i="6"/>
  <c r="F225" i="6"/>
  <c r="F235" i="6"/>
  <c r="F236" i="6"/>
  <c r="F237" i="6"/>
  <c r="F253" i="6"/>
  <c r="F254" i="6"/>
  <c r="F255" i="6"/>
  <c r="F273" i="6"/>
  <c r="F274" i="6"/>
  <c r="F275" i="6"/>
  <c r="F294" i="6"/>
  <c r="F295" i="6"/>
  <c r="F296" i="6"/>
  <c r="F297" i="6"/>
  <c r="F313" i="6"/>
  <c r="F314" i="6"/>
  <c r="F332" i="6"/>
  <c r="F333" i="6"/>
  <c r="F334" i="6"/>
  <c r="F360" i="6"/>
  <c r="F361" i="6"/>
  <c r="F22" i="6"/>
  <c r="F24" i="6"/>
  <c r="F62" i="6"/>
  <c r="F64" i="6"/>
  <c r="F83" i="6"/>
  <c r="F110" i="6"/>
  <c r="F111" i="6"/>
  <c r="F112" i="6"/>
  <c r="F113" i="6"/>
  <c r="F118" i="6"/>
  <c r="F119" i="6"/>
  <c r="F120" i="6"/>
  <c r="F121" i="6"/>
  <c r="F136" i="6"/>
  <c r="F137" i="6"/>
  <c r="F138" i="6"/>
  <c r="F163" i="6"/>
  <c r="F175" i="6"/>
  <c r="F176" i="6"/>
  <c r="F177" i="6"/>
  <c r="F182" i="6"/>
  <c r="F189" i="6"/>
  <c r="F207" i="6"/>
  <c r="F208" i="6"/>
  <c r="F209" i="6"/>
  <c r="F210" i="6"/>
  <c r="F211" i="6"/>
  <c r="F212" i="6"/>
  <c r="F213" i="6"/>
  <c r="F227" i="6"/>
  <c r="F228" i="6"/>
  <c r="F229" i="6"/>
  <c r="F230" i="6"/>
  <c r="F239" i="6"/>
  <c r="F257" i="6"/>
  <c r="F258" i="6"/>
  <c r="F259" i="6"/>
  <c r="F280" i="6"/>
  <c r="F281" i="6"/>
  <c r="F282" i="6"/>
  <c r="F283" i="6"/>
  <c r="F284" i="6"/>
  <c r="F285" i="6"/>
  <c r="F299" i="6"/>
  <c r="F300" i="6"/>
  <c r="F301" i="6"/>
  <c r="F302" i="6"/>
  <c r="F316" i="6"/>
  <c r="F317" i="6"/>
  <c r="F318" i="6"/>
  <c r="F319" i="6"/>
  <c r="F340" i="6"/>
  <c r="F341" i="6"/>
  <c r="F342" i="6"/>
  <c r="F343" i="6"/>
  <c r="F363" i="6"/>
  <c r="N370" i="6"/>
  <c r="F34" i="6"/>
  <c r="F36" i="6"/>
  <c r="F54" i="6"/>
  <c r="F56" i="6"/>
  <c r="F69" i="6"/>
  <c r="F70" i="6"/>
  <c r="F72" i="6"/>
  <c r="F74" i="6"/>
  <c r="F84" i="6"/>
  <c r="F85" i="6"/>
  <c r="F93" i="6"/>
  <c r="F101" i="6"/>
  <c r="F109" i="6"/>
  <c r="F117" i="6"/>
  <c r="F125" i="6"/>
  <c r="F126" i="6"/>
  <c r="F140" i="6"/>
  <c r="F141" i="6"/>
  <c r="F142" i="6"/>
  <c r="F161" i="6"/>
  <c r="F162" i="6"/>
  <c r="F169" i="6"/>
  <c r="F170" i="6"/>
  <c r="F184" i="6"/>
  <c r="F185" i="6"/>
  <c r="F190" i="6"/>
  <c r="F205" i="6"/>
  <c r="F206" i="6"/>
  <c r="F221" i="6"/>
  <c r="F245" i="6"/>
  <c r="F246" i="6"/>
  <c r="F247" i="6"/>
  <c r="F261" i="6"/>
  <c r="F262" i="6"/>
  <c r="F263" i="6"/>
  <c r="F277" i="6"/>
  <c r="F278" i="6"/>
  <c r="F279" i="6"/>
  <c r="F292" i="6"/>
  <c r="F293" i="6"/>
  <c r="F308" i="6"/>
  <c r="F309" i="6"/>
  <c r="F321" i="6"/>
  <c r="F322" i="6"/>
  <c r="F323" i="6"/>
  <c r="F336" i="6"/>
  <c r="F337" i="6"/>
  <c r="F338" i="6"/>
  <c r="F339" i="6"/>
  <c r="F351" i="6"/>
  <c r="F352" i="6"/>
  <c r="F353" i="6"/>
  <c r="F365" i="6"/>
  <c r="F366" i="6"/>
  <c r="AS376" i="6"/>
  <c r="AM373" i="6"/>
  <c r="AT373" i="6"/>
  <c r="AY373" i="6"/>
  <c r="BC373" i="6"/>
  <c r="BG373" i="6"/>
  <c r="AP370" i="6"/>
  <c r="V373" i="6"/>
  <c r="AF373" i="6"/>
  <c r="AQ373" i="6"/>
  <c r="AZ373" i="6"/>
  <c r="U11" i="6"/>
  <c r="Z373" i="6"/>
  <c r="AL373" i="6"/>
  <c r="AS373" i="6"/>
  <c r="AW373" i="6"/>
  <c r="BF373" i="6"/>
  <c r="AR390" i="6"/>
  <c r="AU390" i="6" s="1"/>
  <c r="BL373" i="6"/>
  <c r="BM373" i="6"/>
  <c r="BM383" i="6" s="1"/>
  <c r="AN205" i="6"/>
  <c r="AO205" i="6" s="1"/>
  <c r="AN212" i="6"/>
  <c r="AO212" i="6" s="1"/>
  <c r="AN25" i="6"/>
  <c r="AO25" i="6" s="1"/>
  <c r="AN41" i="6"/>
  <c r="AO41" i="6" s="1"/>
  <c r="AN57" i="6"/>
  <c r="AO57" i="6" s="1"/>
  <c r="AN73" i="6"/>
  <c r="AO73" i="6" s="1"/>
  <c r="AN88" i="6"/>
  <c r="AO88" i="6" s="1"/>
  <c r="AN92" i="6"/>
  <c r="AO92" i="6" s="1"/>
  <c r="AN96" i="6"/>
  <c r="AO96" i="6" s="1"/>
  <c r="AN100" i="6"/>
  <c r="AO100" i="6" s="1"/>
  <c r="AN104" i="6"/>
  <c r="AO104" i="6" s="1"/>
  <c r="AN108" i="6"/>
  <c r="AO108" i="6" s="1"/>
  <c r="AN112" i="6"/>
  <c r="AO112" i="6" s="1"/>
  <c r="AN116" i="6"/>
  <c r="AO116" i="6" s="1"/>
  <c r="AN120" i="6"/>
  <c r="AO120" i="6" s="1"/>
  <c r="AN124" i="6"/>
  <c r="AO124" i="6" s="1"/>
  <c r="AN13" i="6"/>
  <c r="AO13" i="6" s="1"/>
  <c r="AN29" i="6"/>
  <c r="AO29" i="6" s="1"/>
  <c r="AN45" i="6"/>
  <c r="AO45" i="6" s="1"/>
  <c r="AN61" i="6"/>
  <c r="AO61" i="6" s="1"/>
  <c r="AN133" i="6"/>
  <c r="AO133" i="6" s="1"/>
  <c r="AN149" i="6"/>
  <c r="AO149" i="6" s="1"/>
  <c r="AN165" i="6"/>
  <c r="AO165" i="6" s="1"/>
  <c r="AN189" i="6"/>
  <c r="AO189" i="6" s="1"/>
  <c r="AN9" i="6"/>
  <c r="AO9" i="6" s="1"/>
  <c r="AN17" i="6"/>
  <c r="AO17" i="6" s="1"/>
  <c r="AN33" i="6"/>
  <c r="AO33" i="6" s="1"/>
  <c r="AN49" i="6"/>
  <c r="AO49" i="6" s="1"/>
  <c r="AN65" i="6"/>
  <c r="AO65" i="6" s="1"/>
  <c r="AN82" i="6"/>
  <c r="AO82" i="6" s="1"/>
  <c r="T91" i="6"/>
  <c r="U91" i="6" s="1"/>
  <c r="T99" i="6"/>
  <c r="U99" i="6" s="1"/>
  <c r="T103" i="6"/>
  <c r="U103" i="6" s="1"/>
  <c r="T111" i="6"/>
  <c r="U111" i="6" s="1"/>
  <c r="T123" i="6"/>
  <c r="U123" i="6" s="1"/>
  <c r="T193" i="6"/>
  <c r="U193" i="6" s="1"/>
  <c r="AJ366" i="6"/>
  <c r="AK366" i="6" s="1"/>
  <c r="AD366" i="6"/>
  <c r="AE366" i="6" s="1"/>
  <c r="W366" i="6"/>
  <c r="X366" i="6" s="1"/>
  <c r="AG364" i="6"/>
  <c r="AH364" i="6" s="1"/>
  <c r="AA364" i="6"/>
  <c r="AB364" i="6" s="1"/>
  <c r="AJ367" i="6"/>
  <c r="AK367" i="6" s="1"/>
  <c r="AD367" i="6"/>
  <c r="AE367" i="6" s="1"/>
  <c r="W367" i="6"/>
  <c r="X367" i="6" s="1"/>
  <c r="AG365" i="6"/>
  <c r="AH365" i="6" s="1"/>
  <c r="AA365" i="6"/>
  <c r="AB365" i="6" s="1"/>
  <c r="AG367" i="6"/>
  <c r="AH367" i="6" s="1"/>
  <c r="T367" i="6"/>
  <c r="U367" i="6" s="1"/>
  <c r="AG366" i="6"/>
  <c r="AH366" i="6" s="1"/>
  <c r="AJ365" i="6"/>
  <c r="AK365" i="6" s="1"/>
  <c r="W365" i="6"/>
  <c r="X365" i="6" s="1"/>
  <c r="AG363" i="6"/>
  <c r="AH363" i="6" s="1"/>
  <c r="AJ361" i="6"/>
  <c r="AK361" i="6" s="1"/>
  <c r="AD361" i="6"/>
  <c r="AE361" i="6" s="1"/>
  <c r="W361" i="6"/>
  <c r="X361" i="6" s="1"/>
  <c r="AG359" i="6"/>
  <c r="AH359" i="6" s="1"/>
  <c r="AA359" i="6"/>
  <c r="AB359" i="6" s="1"/>
  <c r="AJ357" i="6"/>
  <c r="AK357" i="6" s="1"/>
  <c r="AD357" i="6"/>
  <c r="AE357" i="6" s="1"/>
  <c r="W357" i="6"/>
  <c r="X357" i="6" s="1"/>
  <c r="AG355" i="6"/>
  <c r="AH355" i="6" s="1"/>
  <c r="AD365" i="6"/>
  <c r="AE365" i="6" s="1"/>
  <c r="AD364" i="6"/>
  <c r="AE364" i="6" s="1"/>
  <c r="AG362" i="6"/>
  <c r="AH362" i="6" s="1"/>
  <c r="W362" i="6"/>
  <c r="X362" i="6" s="1"/>
  <c r="AD360" i="6"/>
  <c r="AE360" i="6" s="1"/>
  <c r="AJ359" i="6"/>
  <c r="AK359" i="6" s="1"/>
  <c r="AA358" i="6"/>
  <c r="AB358" i="6" s="1"/>
  <c r="W356" i="6"/>
  <c r="X356" i="6" s="1"/>
  <c r="AD355" i="6"/>
  <c r="AE355" i="6" s="1"/>
  <c r="W355" i="6"/>
  <c r="X355" i="6" s="1"/>
  <c r="AG353" i="6"/>
  <c r="AH353" i="6" s="1"/>
  <c r="AA353" i="6"/>
  <c r="AB353" i="6" s="1"/>
  <c r="AJ351" i="6"/>
  <c r="AK351" i="6" s="1"/>
  <c r="AD351" i="6"/>
  <c r="AE351" i="6" s="1"/>
  <c r="W351" i="6"/>
  <c r="X351" i="6" s="1"/>
  <c r="AG349" i="6"/>
  <c r="AH349" i="6" s="1"/>
  <c r="AA349" i="6"/>
  <c r="AB349" i="6" s="1"/>
  <c r="AJ347" i="6"/>
  <c r="AK347" i="6" s="1"/>
  <c r="AD347" i="6"/>
  <c r="AE347" i="6" s="1"/>
  <c r="W347" i="6"/>
  <c r="X347" i="6" s="1"/>
  <c r="AG345" i="6"/>
  <c r="AH345" i="6" s="1"/>
  <c r="AJ343" i="6"/>
  <c r="AK343" i="6" s="1"/>
  <c r="AD343" i="6"/>
  <c r="AE343" i="6" s="1"/>
  <c r="W343" i="6"/>
  <c r="X343" i="6" s="1"/>
  <c r="AG341" i="6"/>
  <c r="AH341" i="6" s="1"/>
  <c r="AJ339" i="6"/>
  <c r="AK339" i="6" s="1"/>
  <c r="AD339" i="6"/>
  <c r="AE339" i="6" s="1"/>
  <c r="W339" i="6"/>
  <c r="X339" i="6" s="1"/>
  <c r="W363" i="6"/>
  <c r="X363" i="6" s="1"/>
  <c r="AD362" i="6"/>
  <c r="AE362" i="6" s="1"/>
  <c r="AA361" i="6"/>
  <c r="AB361" i="6" s="1"/>
  <c r="AJ360" i="6"/>
  <c r="AK360" i="6" s="1"/>
  <c r="AA360" i="6"/>
  <c r="AB360" i="6" s="1"/>
  <c r="W360" i="6"/>
  <c r="X360" i="6" s="1"/>
  <c r="AG357" i="6"/>
  <c r="AH357" i="6" s="1"/>
  <c r="AD356" i="6"/>
  <c r="AE356" i="6" s="1"/>
  <c r="AG354" i="6"/>
  <c r="AH354" i="6" s="1"/>
  <c r="W353" i="6"/>
  <c r="X353" i="6" s="1"/>
  <c r="AD352" i="6"/>
  <c r="AE352" i="6" s="1"/>
  <c r="AA351" i="6"/>
  <c r="AB351" i="6" s="1"/>
  <c r="AJ350" i="6"/>
  <c r="AK350" i="6" s="1"/>
  <c r="AA350" i="6"/>
  <c r="AB350" i="6" s="1"/>
  <c r="AG348" i="6"/>
  <c r="AH348" i="6" s="1"/>
  <c r="W348" i="6"/>
  <c r="X348" i="6" s="1"/>
  <c r="AD346" i="6"/>
  <c r="AE346" i="6" s="1"/>
  <c r="AJ345" i="6"/>
  <c r="AK345" i="6" s="1"/>
  <c r="W342" i="6"/>
  <c r="X342" i="6" s="1"/>
  <c r="AD341" i="6"/>
  <c r="AE341" i="6" s="1"/>
  <c r="AJ340" i="6"/>
  <c r="AK340" i="6" s="1"/>
  <c r="T340" i="6"/>
  <c r="U340" i="6" s="1"/>
  <c r="AG339" i="6"/>
  <c r="AH339" i="6" s="1"/>
  <c r="AG338" i="6"/>
  <c r="AH338" i="6" s="1"/>
  <c r="AJ336" i="6"/>
  <c r="AK336" i="6" s="1"/>
  <c r="AD336" i="6"/>
  <c r="AE336" i="6" s="1"/>
  <c r="W336" i="6"/>
  <c r="X336" i="6" s="1"/>
  <c r="AG334" i="6"/>
  <c r="AH334" i="6" s="1"/>
  <c r="AJ332" i="6"/>
  <c r="AK332" i="6" s="1"/>
  <c r="AD332" i="6"/>
  <c r="AE332" i="6" s="1"/>
  <c r="W332" i="6"/>
  <c r="X332" i="6" s="1"/>
  <c r="AA366" i="6"/>
  <c r="AB366" i="6" s="1"/>
  <c r="AA362" i="6"/>
  <c r="AB362" i="6" s="1"/>
  <c r="AG361" i="6"/>
  <c r="AH361" i="6" s="1"/>
  <c r="AJ358" i="6"/>
  <c r="AK358" i="6" s="1"/>
  <c r="AJ356" i="6"/>
  <c r="AK356" i="6" s="1"/>
  <c r="T356" i="6"/>
  <c r="U356" i="6" s="1"/>
  <c r="AA354" i="6"/>
  <c r="AB354" i="6" s="1"/>
  <c r="AJ352" i="6"/>
  <c r="AK352" i="6" s="1"/>
  <c r="AA352" i="6"/>
  <c r="AB352" i="6" s="1"/>
  <c r="T351" i="6"/>
  <c r="U351" i="6" s="1"/>
  <c r="T350" i="6"/>
  <c r="U350" i="6" s="1"/>
  <c r="AG346" i="6"/>
  <c r="AH346" i="6" s="1"/>
  <c r="W346" i="6"/>
  <c r="X346" i="6" s="1"/>
  <c r="AG343" i="6"/>
  <c r="AH343" i="6" s="1"/>
  <c r="AD342" i="6"/>
  <c r="AE342" i="6" s="1"/>
  <c r="W341" i="6"/>
  <c r="X341" i="6" s="1"/>
  <c r="W338" i="6"/>
  <c r="X338" i="6" s="1"/>
  <c r="AD337" i="6"/>
  <c r="AE337" i="6" s="1"/>
  <c r="AA336" i="6"/>
  <c r="AB336" i="6" s="1"/>
  <c r="AJ335" i="6"/>
  <c r="AK335" i="6" s="1"/>
  <c r="AA335" i="6"/>
  <c r="AB335" i="6" s="1"/>
  <c r="AG333" i="6"/>
  <c r="AH333" i="6" s="1"/>
  <c r="W333" i="6"/>
  <c r="X333" i="6" s="1"/>
  <c r="AG331" i="6"/>
  <c r="AH331" i="6" s="1"/>
  <c r="AA331" i="6"/>
  <c r="AB331" i="6" s="1"/>
  <c r="AJ329" i="6"/>
  <c r="AK329" i="6" s="1"/>
  <c r="AD329" i="6"/>
  <c r="AE329" i="6" s="1"/>
  <c r="W329" i="6"/>
  <c r="X329" i="6" s="1"/>
  <c r="AG327" i="6"/>
  <c r="AH327" i="6" s="1"/>
  <c r="AJ325" i="6"/>
  <c r="AK325" i="6" s="1"/>
  <c r="AD325" i="6"/>
  <c r="AE325" i="6" s="1"/>
  <c r="W325" i="6"/>
  <c r="X325" i="6" s="1"/>
  <c r="AG323" i="6"/>
  <c r="AH323" i="6" s="1"/>
  <c r="AJ364" i="6"/>
  <c r="AK364" i="6" s="1"/>
  <c r="T362" i="6"/>
  <c r="U362" i="6" s="1"/>
  <c r="AG358" i="6"/>
  <c r="AH358" i="6" s="1"/>
  <c r="T358" i="6"/>
  <c r="U358" i="6" s="1"/>
  <c r="AG356" i="6"/>
  <c r="AH356" i="6" s="1"/>
  <c r="AA355" i="6"/>
  <c r="AB355" i="6" s="1"/>
  <c r="AJ354" i="6"/>
  <c r="AK354" i="6" s="1"/>
  <c r="W354" i="6"/>
  <c r="X354" i="6" s="1"/>
  <c r="AD353" i="6"/>
  <c r="AE353" i="6" s="1"/>
  <c r="W352" i="6"/>
  <c r="X352" i="6" s="1"/>
  <c r="AD350" i="6"/>
  <c r="AE350" i="6" s="1"/>
  <c r="AD349" i="6"/>
  <c r="AE349" i="6" s="1"/>
  <c r="AJ348" i="6"/>
  <c r="AK348" i="6" s="1"/>
  <c r="W345" i="6"/>
  <c r="X345" i="6" s="1"/>
  <c r="AJ344" i="6"/>
  <c r="AK344" i="6" s="1"/>
  <c r="W344" i="6"/>
  <c r="X344" i="6" s="1"/>
  <c r="W340" i="6"/>
  <c r="X340" i="6" s="1"/>
  <c r="AD338" i="6"/>
  <c r="AE338" i="6" s="1"/>
  <c r="AJ337" i="6"/>
  <c r="AK337" i="6" s="1"/>
  <c r="T337" i="6"/>
  <c r="U337" i="6" s="1"/>
  <c r="AG336" i="6"/>
  <c r="AH336" i="6" s="1"/>
  <c r="AG335" i="6"/>
  <c r="AH335" i="6" s="1"/>
  <c r="W334" i="6"/>
  <c r="X334" i="6" s="1"/>
  <c r="AD333" i="6"/>
  <c r="AE333" i="6" s="1"/>
  <c r="AA332" i="6"/>
  <c r="AB332" i="6" s="1"/>
  <c r="AJ330" i="6"/>
  <c r="AK330" i="6" s="1"/>
  <c r="AD330" i="6"/>
  <c r="AE330" i="6" s="1"/>
  <c r="W330" i="6"/>
  <c r="X330" i="6" s="1"/>
  <c r="AG328" i="6"/>
  <c r="AH328" i="6" s="1"/>
  <c r="AA328" i="6"/>
  <c r="AB328" i="6" s="1"/>
  <c r="AJ326" i="6"/>
  <c r="AK326" i="6" s="1"/>
  <c r="AD326" i="6"/>
  <c r="AE326" i="6" s="1"/>
  <c r="W326" i="6"/>
  <c r="X326" i="6" s="1"/>
  <c r="AG324" i="6"/>
  <c r="AH324" i="6" s="1"/>
  <c r="AJ322" i="6"/>
  <c r="AK322" i="6" s="1"/>
  <c r="AD322" i="6"/>
  <c r="AE322" i="6" s="1"/>
  <c r="W322" i="6"/>
  <c r="X322" i="6" s="1"/>
  <c r="AG320" i="6"/>
  <c r="AH320" i="6" s="1"/>
  <c r="AA320" i="6"/>
  <c r="AB320" i="6" s="1"/>
  <c r="AJ318" i="6"/>
  <c r="AK318" i="6" s="1"/>
  <c r="AD318" i="6"/>
  <c r="AE318" i="6" s="1"/>
  <c r="W318" i="6"/>
  <c r="X318" i="6" s="1"/>
  <c r="AG316" i="6"/>
  <c r="AH316" i="6" s="1"/>
  <c r="AA316" i="6"/>
  <c r="AB316" i="6" s="1"/>
  <c r="AJ314" i="6"/>
  <c r="AK314" i="6" s="1"/>
  <c r="AD314" i="6"/>
  <c r="AE314" i="6" s="1"/>
  <c r="W314" i="6"/>
  <c r="X314" i="6" s="1"/>
  <c r="AG312" i="6"/>
  <c r="AH312" i="6" s="1"/>
  <c r="AA312" i="6"/>
  <c r="AB312" i="6" s="1"/>
  <c r="W364" i="6"/>
  <c r="X364" i="6" s="1"/>
  <c r="AJ363" i="6"/>
  <c r="AK363" i="6" s="1"/>
  <c r="AJ362" i="6"/>
  <c r="AK362" i="6" s="1"/>
  <c r="AG360" i="6"/>
  <c r="AH360" i="6" s="1"/>
  <c r="AD359" i="6"/>
  <c r="AE359" i="6" s="1"/>
  <c r="AD358" i="6"/>
  <c r="AE358" i="6" s="1"/>
  <c r="AA357" i="6"/>
  <c r="AB357" i="6" s="1"/>
  <c r="AA356" i="6"/>
  <c r="AB356" i="6" s="1"/>
  <c r="AJ355" i="6"/>
  <c r="AK355" i="6" s="1"/>
  <c r="AG352" i="6"/>
  <c r="AH352" i="6" s="1"/>
  <c r="T352" i="6"/>
  <c r="U352" i="6" s="1"/>
  <c r="AG347" i="6"/>
  <c r="AH347" i="6" s="1"/>
  <c r="AG344" i="6"/>
  <c r="AH344" i="6" s="1"/>
  <c r="AJ342" i="6"/>
  <c r="AK342" i="6" s="1"/>
  <c r="AD363" i="6"/>
  <c r="AE363" i="6" s="1"/>
  <c r="W359" i="6"/>
  <c r="X359" i="6" s="1"/>
  <c r="W358" i="6"/>
  <c r="X358" i="6" s="1"/>
  <c r="AD354" i="6"/>
  <c r="AE354" i="6" s="1"/>
  <c r="AG350" i="6"/>
  <c r="AH350" i="6" s="1"/>
  <c r="AJ346" i="6"/>
  <c r="AK346" i="6" s="1"/>
  <c r="AG342" i="6"/>
  <c r="AH342" i="6" s="1"/>
  <c r="AG340" i="6"/>
  <c r="AH340" i="6" s="1"/>
  <c r="AG337" i="6"/>
  <c r="AH337" i="6" s="1"/>
  <c r="AD335" i="6"/>
  <c r="AE335" i="6" s="1"/>
  <c r="AJ331" i="6"/>
  <c r="AK331" i="6" s="1"/>
  <c r="W331" i="6"/>
  <c r="X331" i="6" s="1"/>
  <c r="AG330" i="6"/>
  <c r="AH330" i="6" s="1"/>
  <c r="T330" i="6"/>
  <c r="U330" i="6" s="1"/>
  <c r="AG329" i="6"/>
  <c r="AH329" i="6" s="1"/>
  <c r="AJ328" i="6"/>
  <c r="AK328" i="6" s="1"/>
  <c r="W328" i="6"/>
  <c r="X328" i="6" s="1"/>
  <c r="AD323" i="6"/>
  <c r="AE323" i="6" s="1"/>
  <c r="W321" i="6"/>
  <c r="X321" i="6" s="1"/>
  <c r="AD320" i="6"/>
  <c r="AE320" i="6" s="1"/>
  <c r="AJ319" i="6"/>
  <c r="AK319" i="6" s="1"/>
  <c r="T319" i="6"/>
  <c r="U319" i="6" s="1"/>
  <c r="AG318" i="6"/>
  <c r="AH318" i="6" s="1"/>
  <c r="AG317" i="6"/>
  <c r="AH317" i="6" s="1"/>
  <c r="W316" i="6"/>
  <c r="X316" i="6" s="1"/>
  <c r="AD315" i="6"/>
  <c r="AE315" i="6" s="1"/>
  <c r="AA314" i="6"/>
  <c r="AB314" i="6" s="1"/>
  <c r="AJ313" i="6"/>
  <c r="AK313" i="6" s="1"/>
  <c r="AA313" i="6"/>
  <c r="AB313" i="6" s="1"/>
  <c r="AG311" i="6"/>
  <c r="AH311" i="6" s="1"/>
  <c r="AA311" i="6"/>
  <c r="AB311" i="6" s="1"/>
  <c r="AJ309" i="6"/>
  <c r="AK309" i="6" s="1"/>
  <c r="AD309" i="6"/>
  <c r="AE309" i="6" s="1"/>
  <c r="W309" i="6"/>
  <c r="X309" i="6" s="1"/>
  <c r="AG307" i="6"/>
  <c r="AH307" i="6" s="1"/>
  <c r="AA307" i="6"/>
  <c r="AB307" i="6" s="1"/>
  <c r="AJ305" i="6"/>
  <c r="AK305" i="6" s="1"/>
  <c r="AD305" i="6"/>
  <c r="AE305" i="6" s="1"/>
  <c r="W305" i="6"/>
  <c r="X305" i="6" s="1"/>
  <c r="AG303" i="6"/>
  <c r="AH303" i="6" s="1"/>
  <c r="AA303" i="6"/>
  <c r="AB303" i="6" s="1"/>
  <c r="AJ301" i="6"/>
  <c r="AK301" i="6" s="1"/>
  <c r="AD301" i="6"/>
  <c r="AE301" i="6" s="1"/>
  <c r="W301" i="6"/>
  <c r="X301" i="6" s="1"/>
  <c r="AG299" i="6"/>
  <c r="AH299" i="6" s="1"/>
  <c r="AA299" i="6"/>
  <c r="AB299" i="6" s="1"/>
  <c r="AJ297" i="6"/>
  <c r="AK297" i="6" s="1"/>
  <c r="AD297" i="6"/>
  <c r="AE297" i="6" s="1"/>
  <c r="W297" i="6"/>
  <c r="X297" i="6" s="1"/>
  <c r="AG295" i="6"/>
  <c r="AH295" i="6" s="1"/>
  <c r="AA295" i="6"/>
  <c r="AB295" i="6" s="1"/>
  <c r="AJ293" i="6"/>
  <c r="AK293" i="6" s="1"/>
  <c r="AD293" i="6"/>
  <c r="AE293" i="6" s="1"/>
  <c r="W293" i="6"/>
  <c r="X293" i="6" s="1"/>
  <c r="AG291" i="6"/>
  <c r="AH291" i="6" s="1"/>
  <c r="AA291" i="6"/>
  <c r="AB291" i="6" s="1"/>
  <c r="AJ289" i="6"/>
  <c r="AK289" i="6" s="1"/>
  <c r="AD289" i="6"/>
  <c r="AE289" i="6" s="1"/>
  <c r="W289" i="6"/>
  <c r="X289" i="6" s="1"/>
  <c r="AG287" i="6"/>
  <c r="AH287" i="6" s="1"/>
  <c r="AA287" i="6"/>
  <c r="AB287" i="6" s="1"/>
  <c r="AJ285" i="6"/>
  <c r="AK285" i="6" s="1"/>
  <c r="AD285" i="6"/>
  <c r="AE285" i="6" s="1"/>
  <c r="W285" i="6"/>
  <c r="X285" i="6" s="1"/>
  <c r="AG283" i="6"/>
  <c r="AH283" i="6" s="1"/>
  <c r="AA283" i="6"/>
  <c r="AB283" i="6" s="1"/>
  <c r="AJ281" i="6"/>
  <c r="AK281" i="6" s="1"/>
  <c r="AD281" i="6"/>
  <c r="AE281" i="6" s="1"/>
  <c r="W281" i="6"/>
  <c r="X281" i="6" s="1"/>
  <c r="W350" i="6"/>
  <c r="X350" i="6" s="1"/>
  <c r="AD344" i="6"/>
  <c r="AE344" i="6" s="1"/>
  <c r="T342" i="6"/>
  <c r="U342" i="6" s="1"/>
  <c r="AD340" i="6"/>
  <c r="AE340" i="6" s="1"/>
  <c r="W335" i="6"/>
  <c r="X335" i="6" s="1"/>
  <c r="AA333" i="6"/>
  <c r="AB333" i="6" s="1"/>
  <c r="AD327" i="6"/>
  <c r="AE327" i="6" s="1"/>
  <c r="AA325" i="6"/>
  <c r="AB325" i="6" s="1"/>
  <c r="AD324" i="6"/>
  <c r="AE324" i="6" s="1"/>
  <c r="AD321" i="6"/>
  <c r="AE321" i="6" s="1"/>
  <c r="AJ320" i="6"/>
  <c r="AK320" i="6" s="1"/>
  <c r="AA319" i="6"/>
  <c r="AB319" i="6" s="1"/>
  <c r="W317" i="6"/>
  <c r="X317" i="6" s="1"/>
  <c r="AD316" i="6"/>
  <c r="AE316" i="6" s="1"/>
  <c r="AJ315" i="6"/>
  <c r="AK315" i="6" s="1"/>
  <c r="T315" i="6"/>
  <c r="U315" i="6" s="1"/>
  <c r="AG314" i="6"/>
  <c r="AH314" i="6" s="1"/>
  <c r="AG313" i="6"/>
  <c r="AH313" i="6" s="1"/>
  <c r="W312" i="6"/>
  <c r="X312" i="6" s="1"/>
  <c r="AJ310" i="6"/>
  <c r="AK310" i="6" s="1"/>
  <c r="AD310" i="6"/>
  <c r="AE310" i="6" s="1"/>
  <c r="W310" i="6"/>
  <c r="X310" i="6" s="1"/>
  <c r="AG308" i="6"/>
  <c r="AH308" i="6" s="1"/>
  <c r="AA308" i="6"/>
  <c r="AB308" i="6" s="1"/>
  <c r="AJ306" i="6"/>
  <c r="AK306" i="6" s="1"/>
  <c r="AD306" i="6"/>
  <c r="AE306" i="6" s="1"/>
  <c r="W306" i="6"/>
  <c r="X306" i="6" s="1"/>
  <c r="T355" i="6"/>
  <c r="U355" i="6" s="1"/>
  <c r="AJ349" i="6"/>
  <c r="AK349" i="6" s="1"/>
  <c r="AD348" i="6"/>
  <c r="AE348" i="6" s="1"/>
  <c r="AD345" i="6"/>
  <c r="AE345" i="6" s="1"/>
  <c r="T344" i="6"/>
  <c r="U344" i="6" s="1"/>
  <c r="AJ341" i="6"/>
  <c r="AK341" i="6" s="1"/>
  <c r="T339" i="6"/>
  <c r="U339" i="6" s="1"/>
  <c r="W337" i="6"/>
  <c r="X337" i="6" s="1"/>
  <c r="T335" i="6"/>
  <c r="U335" i="6" s="1"/>
  <c r="AJ334" i="6"/>
  <c r="AK334" i="6" s="1"/>
  <c r="AJ333" i="6"/>
  <c r="AK333" i="6" s="1"/>
  <c r="T333" i="6"/>
  <c r="U333" i="6" s="1"/>
  <c r="AG332" i="6"/>
  <c r="AH332" i="6" s="1"/>
  <c r="AD331" i="6"/>
  <c r="AE331" i="6" s="1"/>
  <c r="AD328" i="6"/>
  <c r="AE328" i="6" s="1"/>
  <c r="AJ323" i="6"/>
  <c r="AK323" i="6" s="1"/>
  <c r="W323" i="6"/>
  <c r="X323" i="6" s="1"/>
  <c r="AA322" i="6"/>
  <c r="AB322" i="6" s="1"/>
  <c r="AJ321" i="6"/>
  <c r="AK321" i="6" s="1"/>
  <c r="AA321" i="6"/>
  <c r="AB321" i="6" s="1"/>
  <c r="AG319" i="6"/>
  <c r="AH319" i="6" s="1"/>
  <c r="W319" i="6"/>
  <c r="X319" i="6" s="1"/>
  <c r="AD317" i="6"/>
  <c r="AE317" i="6" s="1"/>
  <c r="AJ316" i="6"/>
  <c r="AK316" i="6" s="1"/>
  <c r="AA315" i="6"/>
  <c r="AB315" i="6" s="1"/>
  <c r="W313" i="6"/>
  <c r="X313" i="6" s="1"/>
  <c r="T348" i="6"/>
  <c r="U348" i="6" s="1"/>
  <c r="T326" i="6"/>
  <c r="U326" i="6" s="1"/>
  <c r="AG325" i="6"/>
  <c r="AH325" i="6" s="1"/>
  <c r="W320" i="6"/>
  <c r="X320" i="6" s="1"/>
  <c r="AD313" i="6"/>
  <c r="AE313" i="6" s="1"/>
  <c r="AD307" i="6"/>
  <c r="AE307" i="6" s="1"/>
  <c r="AA306" i="6"/>
  <c r="AB306" i="6" s="1"/>
  <c r="AG305" i="6"/>
  <c r="AH305" i="6" s="1"/>
  <c r="AG304" i="6"/>
  <c r="AH304" i="6" s="1"/>
  <c r="W303" i="6"/>
  <c r="X303" i="6" s="1"/>
  <c r="AD302" i="6"/>
  <c r="AE302" i="6" s="1"/>
  <c r="AA301" i="6"/>
  <c r="AB301" i="6" s="1"/>
  <c r="AJ300" i="6"/>
  <c r="AK300" i="6" s="1"/>
  <c r="AA300" i="6"/>
  <c r="AB300" i="6" s="1"/>
  <c r="AG298" i="6"/>
  <c r="AH298" i="6" s="1"/>
  <c r="W298" i="6"/>
  <c r="X298" i="6" s="1"/>
  <c r="AD296" i="6"/>
  <c r="AE296" i="6" s="1"/>
  <c r="AJ295" i="6"/>
  <c r="AK295" i="6" s="1"/>
  <c r="AA294" i="6"/>
  <c r="AB294" i="6" s="1"/>
  <c r="W292" i="6"/>
  <c r="X292" i="6" s="1"/>
  <c r="AD291" i="6"/>
  <c r="AE291" i="6" s="1"/>
  <c r="AJ290" i="6"/>
  <c r="AK290" i="6" s="1"/>
  <c r="T290" i="6"/>
  <c r="U290" i="6" s="1"/>
  <c r="AG289" i="6"/>
  <c r="AH289" i="6" s="1"/>
  <c r="AG288" i="6"/>
  <c r="AH288" i="6" s="1"/>
  <c r="W287" i="6"/>
  <c r="X287" i="6" s="1"/>
  <c r="AD286" i="6"/>
  <c r="AE286" i="6" s="1"/>
  <c r="T336" i="6"/>
  <c r="U336" i="6" s="1"/>
  <c r="T325" i="6"/>
  <c r="U325" i="6" s="1"/>
  <c r="AG322" i="6"/>
  <c r="AH322" i="6" s="1"/>
  <c r="AD319" i="6"/>
  <c r="AE319" i="6" s="1"/>
  <c r="T313" i="6"/>
  <c r="U313" i="6" s="1"/>
  <c r="AD311" i="6"/>
  <c r="AE311" i="6" s="1"/>
  <c r="AA310" i="6"/>
  <c r="AB310" i="6" s="1"/>
  <c r="AA309" i="6"/>
  <c r="AB309" i="6" s="1"/>
  <c r="AD308" i="6"/>
  <c r="AE308" i="6" s="1"/>
  <c r="W304" i="6"/>
  <c r="X304" i="6" s="1"/>
  <c r="AD303" i="6"/>
  <c r="AE303" i="6" s="1"/>
  <c r="AJ302" i="6"/>
  <c r="AK302" i="6" s="1"/>
  <c r="T302" i="6"/>
  <c r="U302" i="6" s="1"/>
  <c r="AG301" i="6"/>
  <c r="AH301" i="6" s="1"/>
  <c r="AG300" i="6"/>
  <c r="AH300" i="6" s="1"/>
  <c r="W299" i="6"/>
  <c r="X299" i="6" s="1"/>
  <c r="AD298" i="6"/>
  <c r="AE298" i="6" s="1"/>
  <c r="AA297" i="6"/>
  <c r="AB297" i="6" s="1"/>
  <c r="AJ296" i="6"/>
  <c r="AK296" i="6" s="1"/>
  <c r="AA296" i="6"/>
  <c r="AB296" i="6" s="1"/>
  <c r="AG294" i="6"/>
  <c r="AH294" i="6" s="1"/>
  <c r="W294" i="6"/>
  <c r="X294" i="6" s="1"/>
  <c r="T293" i="6"/>
  <c r="U293" i="6" s="1"/>
  <c r="AD292" i="6"/>
  <c r="AE292" i="6" s="1"/>
  <c r="T292" i="6"/>
  <c r="U292" i="6" s="1"/>
  <c r="AJ291" i="6"/>
  <c r="AK291" i="6" s="1"/>
  <c r="AA290" i="6"/>
  <c r="AB290" i="6" s="1"/>
  <c r="W288" i="6"/>
  <c r="X288" i="6" s="1"/>
  <c r="W349" i="6"/>
  <c r="X349" i="6" s="1"/>
  <c r="AJ338" i="6"/>
  <c r="AK338" i="6" s="1"/>
  <c r="AJ327" i="6"/>
  <c r="AK327" i="6" s="1"/>
  <c r="AJ324" i="6"/>
  <c r="AK324" i="6" s="1"/>
  <c r="AG321" i="6"/>
  <c r="AH321" i="6" s="1"/>
  <c r="AJ317" i="6"/>
  <c r="AK317" i="6" s="1"/>
  <c r="AG315" i="6"/>
  <c r="AH315" i="6" s="1"/>
  <c r="AJ312" i="6"/>
  <c r="AK312" i="6" s="1"/>
  <c r="AJ307" i="6"/>
  <c r="AK307" i="6" s="1"/>
  <c r="W307" i="6"/>
  <c r="X307" i="6" s="1"/>
  <c r="AG306" i="6"/>
  <c r="AH306" i="6" s="1"/>
  <c r="T306" i="6"/>
  <c r="U306" i="6" s="1"/>
  <c r="AD304" i="6"/>
  <c r="AE304" i="6" s="1"/>
  <c r="AJ303" i="6"/>
  <c r="AK303" i="6" s="1"/>
  <c r="AA302" i="6"/>
  <c r="AB302" i="6" s="1"/>
  <c r="W300" i="6"/>
  <c r="X300" i="6" s="1"/>
  <c r="AD299" i="6"/>
  <c r="AE299" i="6" s="1"/>
  <c r="AJ298" i="6"/>
  <c r="AK298" i="6" s="1"/>
  <c r="T298" i="6"/>
  <c r="U298" i="6" s="1"/>
  <c r="AG297" i="6"/>
  <c r="AH297" i="6" s="1"/>
  <c r="AG296" i="6"/>
  <c r="AH296" i="6" s="1"/>
  <c r="W295" i="6"/>
  <c r="X295" i="6" s="1"/>
  <c r="AD294" i="6"/>
  <c r="AE294" i="6" s="1"/>
  <c r="AA293" i="6"/>
  <c r="AB293" i="6" s="1"/>
  <c r="AJ292" i="6"/>
  <c r="AK292" i="6" s="1"/>
  <c r="AA292" i="6"/>
  <c r="AB292" i="6" s="1"/>
  <c r="AG290" i="6"/>
  <c r="AH290" i="6" s="1"/>
  <c r="W290" i="6"/>
  <c r="X290" i="6" s="1"/>
  <c r="AD288" i="6"/>
  <c r="AE288" i="6" s="1"/>
  <c r="AJ287" i="6"/>
  <c r="AK287" i="6" s="1"/>
  <c r="AA286" i="6"/>
  <c r="AB286" i="6" s="1"/>
  <c r="AJ353" i="6"/>
  <c r="AK353" i="6" s="1"/>
  <c r="W324" i="6"/>
  <c r="X324" i="6" s="1"/>
  <c r="AD312" i="6"/>
  <c r="AE312" i="6" s="1"/>
  <c r="W311" i="6"/>
  <c r="X311" i="6" s="1"/>
  <c r="AG310" i="6"/>
  <c r="AH310" i="6" s="1"/>
  <c r="W308" i="6"/>
  <c r="X308" i="6" s="1"/>
  <c r="AD300" i="6"/>
  <c r="AE300" i="6" s="1"/>
  <c r="W296" i="6"/>
  <c r="X296" i="6" s="1"/>
  <c r="T294" i="6"/>
  <c r="U294" i="6" s="1"/>
  <c r="AA289" i="6"/>
  <c r="AB289" i="6" s="1"/>
  <c r="AA288" i="6"/>
  <c r="AB288" i="6" s="1"/>
  <c r="W286" i="6"/>
  <c r="X286" i="6" s="1"/>
  <c r="AA285" i="6"/>
  <c r="AB285" i="6" s="1"/>
  <c r="AJ284" i="6"/>
  <c r="AK284" i="6" s="1"/>
  <c r="AA284" i="6"/>
  <c r="AB284" i="6" s="1"/>
  <c r="AG282" i="6"/>
  <c r="AH282" i="6" s="1"/>
  <c r="W282" i="6"/>
  <c r="X282" i="6" s="1"/>
  <c r="AD280" i="6"/>
  <c r="AE280" i="6" s="1"/>
  <c r="AG279" i="6"/>
  <c r="AH279" i="6" s="1"/>
  <c r="AA279" i="6"/>
  <c r="AB279" i="6" s="1"/>
  <c r="AJ277" i="6"/>
  <c r="AK277" i="6" s="1"/>
  <c r="AD277" i="6"/>
  <c r="AE277" i="6" s="1"/>
  <c r="W277" i="6"/>
  <c r="X277" i="6" s="1"/>
  <c r="AG275" i="6"/>
  <c r="AH275" i="6" s="1"/>
  <c r="AA275" i="6"/>
  <c r="AB275" i="6" s="1"/>
  <c r="AJ273" i="6"/>
  <c r="AK273" i="6" s="1"/>
  <c r="AD273" i="6"/>
  <c r="AE273" i="6" s="1"/>
  <c r="W273" i="6"/>
  <c r="X273" i="6" s="1"/>
  <c r="AG271" i="6"/>
  <c r="AH271" i="6" s="1"/>
  <c r="AJ269" i="6"/>
  <c r="AK269" i="6" s="1"/>
  <c r="AD269" i="6"/>
  <c r="AE269" i="6" s="1"/>
  <c r="W269" i="6"/>
  <c r="X269" i="6" s="1"/>
  <c r="AG267" i="6"/>
  <c r="AH267" i="6" s="1"/>
  <c r="AA267" i="6"/>
  <c r="AB267" i="6" s="1"/>
  <c r="AJ265" i="6"/>
  <c r="AK265" i="6" s="1"/>
  <c r="AD265" i="6"/>
  <c r="AE265" i="6" s="1"/>
  <c r="W265" i="6"/>
  <c r="X265" i="6" s="1"/>
  <c r="AG263" i="6"/>
  <c r="AH263" i="6" s="1"/>
  <c r="AA263" i="6"/>
  <c r="AB263" i="6" s="1"/>
  <c r="AJ261" i="6"/>
  <c r="AK261" i="6" s="1"/>
  <c r="AD261" i="6"/>
  <c r="AE261" i="6" s="1"/>
  <c r="W261" i="6"/>
  <c r="X261" i="6" s="1"/>
  <c r="AG259" i="6"/>
  <c r="AH259" i="6" s="1"/>
  <c r="AA259" i="6"/>
  <c r="AB259" i="6" s="1"/>
  <c r="AJ257" i="6"/>
  <c r="AK257" i="6" s="1"/>
  <c r="AD257" i="6"/>
  <c r="AE257" i="6" s="1"/>
  <c r="W257" i="6"/>
  <c r="X257" i="6" s="1"/>
  <c r="AG255" i="6"/>
  <c r="AH255" i="6" s="1"/>
  <c r="AJ253" i="6"/>
  <c r="AK253" i="6" s="1"/>
  <c r="AD253" i="6"/>
  <c r="AE253" i="6" s="1"/>
  <c r="W253" i="6"/>
  <c r="X253" i="6" s="1"/>
  <c r="AG251" i="6"/>
  <c r="AH251" i="6" s="1"/>
  <c r="AA251" i="6"/>
  <c r="AB251" i="6" s="1"/>
  <c r="AJ249" i="6"/>
  <c r="AK249" i="6" s="1"/>
  <c r="AD249" i="6"/>
  <c r="AE249" i="6" s="1"/>
  <c r="W249" i="6"/>
  <c r="X249" i="6" s="1"/>
  <c r="AG247" i="6"/>
  <c r="AH247" i="6" s="1"/>
  <c r="AA247" i="6"/>
  <c r="AB247" i="6" s="1"/>
  <c r="AJ245" i="6"/>
  <c r="AK245" i="6" s="1"/>
  <c r="AD245" i="6"/>
  <c r="AE245" i="6" s="1"/>
  <c r="W245" i="6"/>
  <c r="X245" i="6" s="1"/>
  <c r="AG243" i="6"/>
  <c r="AH243" i="6" s="1"/>
  <c r="AA243" i="6"/>
  <c r="AB243" i="6" s="1"/>
  <c r="AJ241" i="6"/>
  <c r="AK241" i="6" s="1"/>
  <c r="AD241" i="6"/>
  <c r="AE241" i="6" s="1"/>
  <c r="W241" i="6"/>
  <c r="X241" i="6" s="1"/>
  <c r="AG326" i="6"/>
  <c r="AH326" i="6" s="1"/>
  <c r="AA318" i="6"/>
  <c r="AB318" i="6" s="1"/>
  <c r="T310" i="6"/>
  <c r="U310" i="6" s="1"/>
  <c r="AG309" i="6"/>
  <c r="AH309" i="6" s="1"/>
  <c r="AJ304" i="6"/>
  <c r="AK304" i="6" s="1"/>
  <c r="T300" i="6"/>
  <c r="U300" i="6" s="1"/>
  <c r="AJ299" i="6"/>
  <c r="AK299" i="6" s="1"/>
  <c r="AA298" i="6"/>
  <c r="AB298" i="6" s="1"/>
  <c r="AD295" i="6"/>
  <c r="AE295" i="6" s="1"/>
  <c r="AG293" i="6"/>
  <c r="AH293" i="6" s="1"/>
  <c r="W291" i="6"/>
  <c r="X291" i="6" s="1"/>
  <c r="AJ286" i="6"/>
  <c r="AK286" i="6" s="1"/>
  <c r="T286" i="6"/>
  <c r="U286" i="6" s="1"/>
  <c r="AG284" i="6"/>
  <c r="AH284" i="6" s="1"/>
  <c r="W283" i="6"/>
  <c r="X283" i="6" s="1"/>
  <c r="AD282" i="6"/>
  <c r="AE282" i="6" s="1"/>
  <c r="AJ280" i="6"/>
  <c r="AK280" i="6" s="1"/>
  <c r="AA280" i="6"/>
  <c r="AB280" i="6" s="1"/>
  <c r="T280" i="6"/>
  <c r="U280" i="6" s="1"/>
  <c r="AJ278" i="6"/>
  <c r="AK278" i="6" s="1"/>
  <c r="AD278" i="6"/>
  <c r="AE278" i="6" s="1"/>
  <c r="W278" i="6"/>
  <c r="X278" i="6" s="1"/>
  <c r="AG276" i="6"/>
  <c r="AH276" i="6" s="1"/>
  <c r="T276" i="6"/>
  <c r="U276" i="6" s="1"/>
  <c r="AJ274" i="6"/>
  <c r="AK274" i="6" s="1"/>
  <c r="AD274" i="6"/>
  <c r="AE274" i="6" s="1"/>
  <c r="W274" i="6"/>
  <c r="X274" i="6" s="1"/>
  <c r="AG272" i="6"/>
  <c r="AH272" i="6" s="1"/>
  <c r="T272" i="6"/>
  <c r="U272" i="6" s="1"/>
  <c r="AJ270" i="6"/>
  <c r="AK270" i="6" s="1"/>
  <c r="AD270" i="6"/>
  <c r="AE270" i="6" s="1"/>
  <c r="W270" i="6"/>
  <c r="X270" i="6" s="1"/>
  <c r="AG268" i="6"/>
  <c r="AH268" i="6" s="1"/>
  <c r="AA268" i="6"/>
  <c r="AB268" i="6" s="1"/>
  <c r="T268" i="6"/>
  <c r="U268" i="6" s="1"/>
  <c r="AJ266" i="6"/>
  <c r="AK266" i="6" s="1"/>
  <c r="AD266" i="6"/>
  <c r="AE266" i="6" s="1"/>
  <c r="W266" i="6"/>
  <c r="X266" i="6" s="1"/>
  <c r="AG264" i="6"/>
  <c r="AH264" i="6" s="1"/>
  <c r="AA264" i="6"/>
  <c r="AB264" i="6" s="1"/>
  <c r="T264" i="6"/>
  <c r="U264" i="6" s="1"/>
  <c r="AJ262" i="6"/>
  <c r="AK262" i="6" s="1"/>
  <c r="AD262" i="6"/>
  <c r="AE262" i="6" s="1"/>
  <c r="W262" i="6"/>
  <c r="X262" i="6" s="1"/>
  <c r="AG260" i="6"/>
  <c r="AH260" i="6" s="1"/>
  <c r="AA260" i="6"/>
  <c r="AB260" i="6" s="1"/>
  <c r="T260" i="6"/>
  <c r="U260" i="6" s="1"/>
  <c r="AJ258" i="6"/>
  <c r="AK258" i="6" s="1"/>
  <c r="AD258" i="6"/>
  <c r="AE258" i="6" s="1"/>
  <c r="W258" i="6"/>
  <c r="X258" i="6" s="1"/>
  <c r="AG256" i="6"/>
  <c r="AH256" i="6" s="1"/>
  <c r="T256" i="6"/>
  <c r="U256" i="6" s="1"/>
  <c r="AJ254" i="6"/>
  <c r="AK254" i="6" s="1"/>
  <c r="AD254" i="6"/>
  <c r="AE254" i="6" s="1"/>
  <c r="W254" i="6"/>
  <c r="X254" i="6" s="1"/>
  <c r="AG252" i="6"/>
  <c r="AH252" i="6" s="1"/>
  <c r="AA252" i="6"/>
  <c r="AB252" i="6" s="1"/>
  <c r="T252" i="6"/>
  <c r="U252" i="6" s="1"/>
  <c r="AJ250" i="6"/>
  <c r="AK250" i="6" s="1"/>
  <c r="AD250" i="6"/>
  <c r="AE250" i="6" s="1"/>
  <c r="W250" i="6"/>
  <c r="X250" i="6" s="1"/>
  <c r="AG248" i="6"/>
  <c r="AH248" i="6" s="1"/>
  <c r="AA248" i="6"/>
  <c r="AB248" i="6" s="1"/>
  <c r="T248" i="6"/>
  <c r="U248" i="6" s="1"/>
  <c r="AJ246" i="6"/>
  <c r="AK246" i="6" s="1"/>
  <c r="AD246" i="6"/>
  <c r="AE246" i="6" s="1"/>
  <c r="W246" i="6"/>
  <c r="X246" i="6" s="1"/>
  <c r="AG244" i="6"/>
  <c r="AH244" i="6" s="1"/>
  <c r="AA244" i="6"/>
  <c r="AB244" i="6" s="1"/>
  <c r="T244" i="6"/>
  <c r="U244" i="6" s="1"/>
  <c r="AD334" i="6"/>
  <c r="AE334" i="6" s="1"/>
  <c r="W327" i="6"/>
  <c r="X327" i="6" s="1"/>
  <c r="AA317" i="6"/>
  <c r="AB317" i="6" s="1"/>
  <c r="T309" i="6"/>
  <c r="U309" i="6" s="1"/>
  <c r="AA305" i="6"/>
  <c r="AB305" i="6" s="1"/>
  <c r="AA304" i="6"/>
  <c r="AB304" i="6" s="1"/>
  <c r="AG302" i="6"/>
  <c r="AH302" i="6" s="1"/>
  <c r="AJ294" i="6"/>
  <c r="AK294" i="6" s="1"/>
  <c r="AG292" i="6"/>
  <c r="AH292" i="6" s="1"/>
  <c r="AD290" i="6"/>
  <c r="AE290" i="6" s="1"/>
  <c r="AG286" i="6"/>
  <c r="AH286" i="6" s="1"/>
  <c r="AG285" i="6"/>
  <c r="AH285" i="6" s="1"/>
  <c r="W284" i="6"/>
  <c r="X284" i="6" s="1"/>
  <c r="AD283" i="6"/>
  <c r="AE283" i="6" s="1"/>
  <c r="AJ282" i="6"/>
  <c r="AK282" i="6" s="1"/>
  <c r="T282" i="6"/>
  <c r="U282" i="6" s="1"/>
  <c r="AG281" i="6"/>
  <c r="AH281" i="6" s="1"/>
  <c r="AG280" i="6"/>
  <c r="AH280" i="6" s="1"/>
  <c r="AJ279" i="6"/>
  <c r="AK279" i="6" s="1"/>
  <c r="AD279" i="6"/>
  <c r="AE279" i="6" s="1"/>
  <c r="W279" i="6"/>
  <c r="X279" i="6" s="1"/>
  <c r="AG277" i="6"/>
  <c r="AH277" i="6" s="1"/>
  <c r="AA277" i="6"/>
  <c r="AB277" i="6" s="1"/>
  <c r="AJ275" i="6"/>
  <c r="AK275" i="6" s="1"/>
  <c r="AD275" i="6"/>
  <c r="AE275" i="6" s="1"/>
  <c r="W275" i="6"/>
  <c r="X275" i="6" s="1"/>
  <c r="AG273" i="6"/>
  <c r="AH273" i="6" s="1"/>
  <c r="AA273" i="6"/>
  <c r="AB273" i="6" s="1"/>
  <c r="AJ271" i="6"/>
  <c r="AK271" i="6" s="1"/>
  <c r="AD271" i="6"/>
  <c r="AE271" i="6" s="1"/>
  <c r="W271" i="6"/>
  <c r="X271" i="6" s="1"/>
  <c r="AG269" i="6"/>
  <c r="AH269" i="6" s="1"/>
  <c r="AA269" i="6"/>
  <c r="AB269" i="6" s="1"/>
  <c r="AJ267" i="6"/>
  <c r="AK267" i="6" s="1"/>
  <c r="AD267" i="6"/>
  <c r="AE267" i="6" s="1"/>
  <c r="W267" i="6"/>
  <c r="X267" i="6" s="1"/>
  <c r="AG265" i="6"/>
  <c r="AH265" i="6" s="1"/>
  <c r="AA265" i="6"/>
  <c r="AB265" i="6" s="1"/>
  <c r="AJ263" i="6"/>
  <c r="AK263" i="6" s="1"/>
  <c r="AD263" i="6"/>
  <c r="AE263" i="6" s="1"/>
  <c r="W263" i="6"/>
  <c r="X263" i="6" s="1"/>
  <c r="AG261" i="6"/>
  <c r="AH261" i="6" s="1"/>
  <c r="AA261" i="6"/>
  <c r="AB261" i="6" s="1"/>
  <c r="AJ259" i="6"/>
  <c r="AK259" i="6" s="1"/>
  <c r="AD259" i="6"/>
  <c r="AE259" i="6" s="1"/>
  <c r="W259" i="6"/>
  <c r="X259" i="6" s="1"/>
  <c r="AG257" i="6"/>
  <c r="AH257" i="6" s="1"/>
  <c r="AJ255" i="6"/>
  <c r="AK255" i="6" s="1"/>
  <c r="AD255" i="6"/>
  <c r="AE255" i="6" s="1"/>
  <c r="W255" i="6"/>
  <c r="X255" i="6" s="1"/>
  <c r="AG253" i="6"/>
  <c r="AH253" i="6" s="1"/>
  <c r="AJ251" i="6"/>
  <c r="AK251" i="6" s="1"/>
  <c r="AD251" i="6"/>
  <c r="AE251" i="6" s="1"/>
  <c r="W251" i="6"/>
  <c r="X251" i="6" s="1"/>
  <c r="AG249" i="6"/>
  <c r="AH249" i="6" s="1"/>
  <c r="AA249" i="6"/>
  <c r="AB249" i="6" s="1"/>
  <c r="AJ247" i="6"/>
  <c r="AK247" i="6" s="1"/>
  <c r="AD247" i="6"/>
  <c r="AE247" i="6" s="1"/>
  <c r="W247" i="6"/>
  <c r="X247" i="6" s="1"/>
  <c r="AG245" i="6"/>
  <c r="AH245" i="6" s="1"/>
  <c r="AA245" i="6"/>
  <c r="AB245" i="6" s="1"/>
  <c r="AJ243" i="6"/>
  <c r="AK243" i="6" s="1"/>
  <c r="AD243" i="6"/>
  <c r="AE243" i="6" s="1"/>
  <c r="W243" i="6"/>
  <c r="X243" i="6" s="1"/>
  <c r="AG241" i="6"/>
  <c r="AH241" i="6" s="1"/>
  <c r="AA241" i="6"/>
  <c r="AB241" i="6" s="1"/>
  <c r="W315" i="6"/>
  <c r="X315" i="6" s="1"/>
  <c r="AD284" i="6"/>
  <c r="AE284" i="6" s="1"/>
  <c r="W280" i="6"/>
  <c r="X280" i="6" s="1"/>
  <c r="W276" i="6"/>
  <c r="X276" i="6" s="1"/>
  <c r="W272" i="6"/>
  <c r="X272" i="6" s="1"/>
  <c r="W268" i="6"/>
  <c r="X268" i="6" s="1"/>
  <c r="W264" i="6"/>
  <c r="X264" i="6" s="1"/>
  <c r="W260" i="6"/>
  <c r="X260" i="6" s="1"/>
  <c r="W256" i="6"/>
  <c r="X256" i="6" s="1"/>
  <c r="W252" i="6"/>
  <c r="X252" i="6" s="1"/>
  <c r="W248" i="6"/>
  <c r="X248" i="6" s="1"/>
  <c r="W244" i="6"/>
  <c r="X244" i="6" s="1"/>
  <c r="AD242" i="6"/>
  <c r="AE242" i="6" s="1"/>
  <c r="AA240" i="6"/>
  <c r="AB240" i="6" s="1"/>
  <c r="AG238" i="6"/>
  <c r="AH238" i="6" s="1"/>
  <c r="AA238" i="6"/>
  <c r="AB238" i="6" s="1"/>
  <c r="AJ236" i="6"/>
  <c r="AK236" i="6" s="1"/>
  <c r="AD236" i="6"/>
  <c r="AE236" i="6" s="1"/>
  <c r="W236" i="6"/>
  <c r="X236" i="6" s="1"/>
  <c r="AG234" i="6"/>
  <c r="AH234" i="6" s="1"/>
  <c r="AA234" i="6"/>
  <c r="AB234" i="6" s="1"/>
  <c r="T234" i="6"/>
  <c r="U234" i="6" s="1"/>
  <c r="AJ232" i="6"/>
  <c r="AK232" i="6" s="1"/>
  <c r="AD232" i="6"/>
  <c r="AE232" i="6" s="1"/>
  <c r="W232" i="6"/>
  <c r="X232" i="6" s="1"/>
  <c r="AG230" i="6"/>
  <c r="AH230" i="6" s="1"/>
  <c r="T230" i="6"/>
  <c r="U230" i="6" s="1"/>
  <c r="AJ228" i="6"/>
  <c r="AK228" i="6" s="1"/>
  <c r="AD228" i="6"/>
  <c r="AE228" i="6" s="1"/>
  <c r="W228" i="6"/>
  <c r="X228" i="6" s="1"/>
  <c r="AG226" i="6"/>
  <c r="AH226" i="6" s="1"/>
  <c r="AA226" i="6"/>
  <c r="AB226" i="6" s="1"/>
  <c r="T226" i="6"/>
  <c r="U226" i="6" s="1"/>
  <c r="AJ224" i="6"/>
  <c r="AK224" i="6" s="1"/>
  <c r="AD224" i="6"/>
  <c r="AE224" i="6" s="1"/>
  <c r="W224" i="6"/>
  <c r="X224" i="6" s="1"/>
  <c r="AG222" i="6"/>
  <c r="AH222" i="6" s="1"/>
  <c r="AA222" i="6"/>
  <c r="AB222" i="6" s="1"/>
  <c r="T222" i="6"/>
  <c r="U222" i="6" s="1"/>
  <c r="AJ220" i="6"/>
  <c r="AK220" i="6" s="1"/>
  <c r="AD220" i="6"/>
  <c r="AE220" i="6" s="1"/>
  <c r="W220" i="6"/>
  <c r="X220" i="6" s="1"/>
  <c r="AG218" i="6"/>
  <c r="AH218" i="6" s="1"/>
  <c r="AA218" i="6"/>
  <c r="AB218" i="6" s="1"/>
  <c r="T218" i="6"/>
  <c r="U218" i="6" s="1"/>
  <c r="AJ216" i="6"/>
  <c r="AK216" i="6" s="1"/>
  <c r="AD216" i="6"/>
  <c r="AE216" i="6" s="1"/>
  <c r="W216" i="6"/>
  <c r="X216" i="6" s="1"/>
  <c r="AG214" i="6"/>
  <c r="AH214" i="6" s="1"/>
  <c r="AA214" i="6"/>
  <c r="AB214" i="6" s="1"/>
  <c r="T214" i="6"/>
  <c r="U214" i="6" s="1"/>
  <c r="AJ212" i="6"/>
  <c r="AK212" i="6" s="1"/>
  <c r="AD212" i="6"/>
  <c r="AE212" i="6" s="1"/>
  <c r="W212" i="6"/>
  <c r="X212" i="6" s="1"/>
  <c r="AG210" i="6"/>
  <c r="AH210" i="6" s="1"/>
  <c r="T210" i="6"/>
  <c r="U210" i="6" s="1"/>
  <c r="AJ208" i="6"/>
  <c r="AK208" i="6" s="1"/>
  <c r="AD208" i="6"/>
  <c r="AE208" i="6" s="1"/>
  <c r="W208" i="6"/>
  <c r="X208" i="6" s="1"/>
  <c r="AD287" i="6"/>
  <c r="AE287" i="6" s="1"/>
  <c r="T284" i="6"/>
  <c r="U284" i="6" s="1"/>
  <c r="AJ283" i="6"/>
  <c r="AK283" i="6" s="1"/>
  <c r="AG278" i="6"/>
  <c r="AH278" i="6" s="1"/>
  <c r="AG274" i="6"/>
  <c r="AH274" i="6" s="1"/>
  <c r="AG270" i="6"/>
  <c r="AH270" i="6" s="1"/>
  <c r="AG266" i="6"/>
  <c r="AH266" i="6" s="1"/>
  <c r="AG262" i="6"/>
  <c r="AH262" i="6" s="1"/>
  <c r="AG258" i="6"/>
  <c r="AH258" i="6" s="1"/>
  <c r="AG254" i="6"/>
  <c r="AH254" i="6" s="1"/>
  <c r="AG250" i="6"/>
  <c r="AH250" i="6" s="1"/>
  <c r="AG246" i="6"/>
  <c r="AH246" i="6" s="1"/>
  <c r="AA242" i="6"/>
  <c r="AB242" i="6" s="1"/>
  <c r="AJ240" i="6"/>
  <c r="AK240" i="6" s="1"/>
  <c r="W240" i="6"/>
  <c r="X240" i="6" s="1"/>
  <c r="AG239" i="6"/>
  <c r="AH239" i="6" s="1"/>
  <c r="AA239" i="6"/>
  <c r="AB239" i="6" s="1"/>
  <c r="T239" i="6"/>
  <c r="U239" i="6" s="1"/>
  <c r="AJ237" i="6"/>
  <c r="AK237" i="6" s="1"/>
  <c r="AD237" i="6"/>
  <c r="AE237" i="6" s="1"/>
  <c r="W237" i="6"/>
  <c r="X237" i="6" s="1"/>
  <c r="AG235" i="6"/>
  <c r="AH235" i="6" s="1"/>
  <c r="AA235" i="6"/>
  <c r="AB235" i="6" s="1"/>
  <c r="AJ233" i="6"/>
  <c r="AK233" i="6" s="1"/>
  <c r="AD233" i="6"/>
  <c r="AE233" i="6" s="1"/>
  <c r="W233" i="6"/>
  <c r="X233" i="6" s="1"/>
  <c r="AG231" i="6"/>
  <c r="AH231" i="6" s="1"/>
  <c r="AA231" i="6"/>
  <c r="AB231" i="6" s="1"/>
  <c r="AJ229" i="6"/>
  <c r="AK229" i="6" s="1"/>
  <c r="AD229" i="6"/>
  <c r="AE229" i="6" s="1"/>
  <c r="W229" i="6"/>
  <c r="X229" i="6" s="1"/>
  <c r="AG227" i="6"/>
  <c r="AH227" i="6" s="1"/>
  <c r="AA227" i="6"/>
  <c r="AB227" i="6" s="1"/>
  <c r="AJ225" i="6"/>
  <c r="AK225" i="6" s="1"/>
  <c r="AD225" i="6"/>
  <c r="AE225" i="6" s="1"/>
  <c r="W225" i="6"/>
  <c r="X225" i="6" s="1"/>
  <c r="AG223" i="6"/>
  <c r="AH223" i="6" s="1"/>
  <c r="AA223" i="6"/>
  <c r="AB223" i="6" s="1"/>
  <c r="AJ221" i="6"/>
  <c r="AK221" i="6" s="1"/>
  <c r="AD221" i="6"/>
  <c r="AE221" i="6" s="1"/>
  <c r="W221" i="6"/>
  <c r="X221" i="6" s="1"/>
  <c r="AG219" i="6"/>
  <c r="AH219" i="6" s="1"/>
  <c r="AA219" i="6"/>
  <c r="AB219" i="6" s="1"/>
  <c r="AJ217" i="6"/>
  <c r="AK217" i="6" s="1"/>
  <c r="AD217" i="6"/>
  <c r="AE217" i="6" s="1"/>
  <c r="W217" i="6"/>
  <c r="X217" i="6" s="1"/>
  <c r="AG215" i="6"/>
  <c r="AH215" i="6" s="1"/>
  <c r="AJ213" i="6"/>
  <c r="AK213" i="6" s="1"/>
  <c r="AD213" i="6"/>
  <c r="AE213" i="6" s="1"/>
  <c r="W213" i="6"/>
  <c r="X213" i="6" s="1"/>
  <c r="AG211" i="6"/>
  <c r="AH211" i="6" s="1"/>
  <c r="AA211" i="6"/>
  <c r="AB211" i="6" s="1"/>
  <c r="AJ209" i="6"/>
  <c r="AK209" i="6" s="1"/>
  <c r="AD209" i="6"/>
  <c r="AE209" i="6" s="1"/>
  <c r="W209" i="6"/>
  <c r="X209" i="6" s="1"/>
  <c r="AG207" i="6"/>
  <c r="AH207" i="6" s="1"/>
  <c r="AA207" i="6"/>
  <c r="AB207" i="6" s="1"/>
  <c r="AJ205" i="6"/>
  <c r="AK205" i="6" s="1"/>
  <c r="AD205" i="6"/>
  <c r="AE205" i="6" s="1"/>
  <c r="W205" i="6"/>
  <c r="X205" i="6" s="1"/>
  <c r="AG351" i="6"/>
  <c r="AH351" i="6" s="1"/>
  <c r="T314" i="6"/>
  <c r="U314" i="6" s="1"/>
  <c r="AJ311" i="6"/>
  <c r="AK311" i="6" s="1"/>
  <c r="AJ308" i="6"/>
  <c r="AK308" i="6" s="1"/>
  <c r="W302" i="6"/>
  <c r="X302" i="6" s="1"/>
  <c r="T301" i="6"/>
  <c r="U301" i="6" s="1"/>
  <c r="AA278" i="6"/>
  <c r="AB278" i="6" s="1"/>
  <c r="AJ276" i="6"/>
  <c r="AK276" i="6" s="1"/>
  <c r="AA274" i="6"/>
  <c r="AB274" i="6" s="1"/>
  <c r="AJ272" i="6"/>
  <c r="AK272" i="6" s="1"/>
  <c r="AA270" i="6"/>
  <c r="AB270" i="6" s="1"/>
  <c r="AJ268" i="6"/>
  <c r="AK268" i="6" s="1"/>
  <c r="AA266" i="6"/>
  <c r="AB266" i="6" s="1"/>
  <c r="AJ264" i="6"/>
  <c r="AK264" i="6" s="1"/>
  <c r="AA262" i="6"/>
  <c r="AB262" i="6" s="1"/>
  <c r="AJ260" i="6"/>
  <c r="AK260" i="6" s="1"/>
  <c r="AJ256" i="6"/>
  <c r="AK256" i="6" s="1"/>
  <c r="AJ252" i="6"/>
  <c r="AK252" i="6" s="1"/>
  <c r="AA250" i="6"/>
  <c r="AB250" i="6" s="1"/>
  <c r="AJ248" i="6"/>
  <c r="AK248" i="6" s="1"/>
  <c r="AA246" i="6"/>
  <c r="AB246" i="6" s="1"/>
  <c r="AJ244" i="6"/>
  <c r="AK244" i="6" s="1"/>
  <c r="AJ242" i="6"/>
  <c r="AK242" i="6" s="1"/>
  <c r="W242" i="6"/>
  <c r="X242" i="6" s="1"/>
  <c r="AG240" i="6"/>
  <c r="AH240" i="6" s="1"/>
  <c r="T240" i="6"/>
  <c r="U240" i="6" s="1"/>
  <c r="AJ238" i="6"/>
  <c r="AK238" i="6" s="1"/>
  <c r="AD238" i="6"/>
  <c r="AE238" i="6" s="1"/>
  <c r="AJ288" i="6"/>
  <c r="AK288" i="6" s="1"/>
  <c r="AJ239" i="6"/>
  <c r="AK239" i="6" s="1"/>
  <c r="AJ234" i="6"/>
  <c r="AK234" i="6" s="1"/>
  <c r="W234" i="6"/>
  <c r="X234" i="6" s="1"/>
  <c r="AG233" i="6"/>
  <c r="AH233" i="6" s="1"/>
  <c r="T233" i="6"/>
  <c r="U233" i="6" s="1"/>
  <c r="AD230" i="6"/>
  <c r="AE230" i="6" s="1"/>
  <c r="AA229" i="6"/>
  <c r="AB229" i="6" s="1"/>
  <c r="AJ226" i="6"/>
  <c r="AK226" i="6" s="1"/>
  <c r="W226" i="6"/>
  <c r="X226" i="6" s="1"/>
  <c r="AG225" i="6"/>
  <c r="AH225" i="6" s="1"/>
  <c r="T225" i="6"/>
  <c r="U225" i="6" s="1"/>
  <c r="AD222" i="6"/>
  <c r="AE222" i="6" s="1"/>
  <c r="AA221" i="6"/>
  <c r="AB221" i="6" s="1"/>
  <c r="AJ218" i="6"/>
  <c r="AK218" i="6" s="1"/>
  <c r="W218" i="6"/>
  <c r="X218" i="6" s="1"/>
  <c r="AG217" i="6"/>
  <c r="AH217" i="6" s="1"/>
  <c r="T217" i="6"/>
  <c r="U217" i="6" s="1"/>
  <c r="AD214" i="6"/>
  <c r="AE214" i="6" s="1"/>
  <c r="AJ210" i="6"/>
  <c r="AK210" i="6" s="1"/>
  <c r="W210" i="6"/>
  <c r="X210" i="6" s="1"/>
  <c r="AG209" i="6"/>
  <c r="AH209" i="6" s="1"/>
  <c r="T209" i="6"/>
  <c r="U209" i="6" s="1"/>
  <c r="AG206" i="6"/>
  <c r="AH206" i="6" s="1"/>
  <c r="W206" i="6"/>
  <c r="X206" i="6" s="1"/>
  <c r="AD204" i="6"/>
  <c r="AE204" i="6" s="1"/>
  <c r="AG203" i="6"/>
  <c r="AH203" i="6" s="1"/>
  <c r="AJ201" i="6"/>
  <c r="AK201" i="6" s="1"/>
  <c r="AD201" i="6"/>
  <c r="AE201" i="6" s="1"/>
  <c r="W201" i="6"/>
  <c r="X201" i="6" s="1"/>
  <c r="AG199" i="6"/>
  <c r="AH199" i="6" s="1"/>
  <c r="AA199" i="6"/>
  <c r="AB199" i="6" s="1"/>
  <c r="AJ197" i="6"/>
  <c r="AK197" i="6" s="1"/>
  <c r="AD197" i="6"/>
  <c r="AE197" i="6" s="1"/>
  <c r="W197" i="6"/>
  <c r="X197" i="6" s="1"/>
  <c r="AG195" i="6"/>
  <c r="AH195" i="6" s="1"/>
  <c r="AA195" i="6"/>
  <c r="AB195" i="6" s="1"/>
  <c r="AJ193" i="6"/>
  <c r="AK193" i="6" s="1"/>
  <c r="AD193" i="6"/>
  <c r="AE193" i="6" s="1"/>
  <c r="W193" i="6"/>
  <c r="X193" i="6" s="1"/>
  <c r="AG191" i="6"/>
  <c r="AH191" i="6" s="1"/>
  <c r="AA191" i="6"/>
  <c r="AB191" i="6" s="1"/>
  <c r="AJ189" i="6"/>
  <c r="AK189" i="6" s="1"/>
  <c r="AD189" i="6"/>
  <c r="AE189" i="6" s="1"/>
  <c r="W189" i="6"/>
  <c r="X189" i="6" s="1"/>
  <c r="AG187" i="6"/>
  <c r="AH187" i="6" s="1"/>
  <c r="AA187" i="6"/>
  <c r="AB187" i="6" s="1"/>
  <c r="AJ185" i="6"/>
  <c r="AK185" i="6" s="1"/>
  <c r="AD185" i="6"/>
  <c r="AE185" i="6" s="1"/>
  <c r="W185" i="6"/>
  <c r="X185" i="6" s="1"/>
  <c r="AG183" i="6"/>
  <c r="AH183" i="6" s="1"/>
  <c r="AJ181" i="6"/>
  <c r="AK181" i="6" s="1"/>
  <c r="AD181" i="6"/>
  <c r="AE181" i="6" s="1"/>
  <c r="W181" i="6"/>
  <c r="X181" i="6" s="1"/>
  <c r="AG179" i="6"/>
  <c r="AH179" i="6" s="1"/>
  <c r="AA179" i="6"/>
  <c r="AB179" i="6" s="1"/>
  <c r="AJ177" i="6"/>
  <c r="AK177" i="6" s="1"/>
  <c r="AD177" i="6"/>
  <c r="AE177" i="6" s="1"/>
  <c r="W177" i="6"/>
  <c r="X177" i="6" s="1"/>
  <c r="AG175" i="6"/>
  <c r="AH175" i="6" s="1"/>
  <c r="AA175" i="6"/>
  <c r="AB175" i="6" s="1"/>
  <c r="AJ173" i="6"/>
  <c r="AK173" i="6" s="1"/>
  <c r="AD173" i="6"/>
  <c r="AE173" i="6" s="1"/>
  <c r="W173" i="6"/>
  <c r="X173" i="6" s="1"/>
  <c r="AG171" i="6"/>
  <c r="AH171" i="6" s="1"/>
  <c r="AA171" i="6"/>
  <c r="AB171" i="6" s="1"/>
  <c r="AJ169" i="6"/>
  <c r="AK169" i="6" s="1"/>
  <c r="AD169" i="6"/>
  <c r="AE169" i="6" s="1"/>
  <c r="W169" i="6"/>
  <c r="X169" i="6" s="1"/>
  <c r="AG167" i="6"/>
  <c r="AH167" i="6" s="1"/>
  <c r="AA167" i="6"/>
  <c r="AB167" i="6" s="1"/>
  <c r="T167" i="6"/>
  <c r="U167" i="6" s="1"/>
  <c r="AJ165" i="6"/>
  <c r="AK165" i="6" s="1"/>
  <c r="AD165" i="6"/>
  <c r="AE165" i="6" s="1"/>
  <c r="W165" i="6"/>
  <c r="X165" i="6" s="1"/>
  <c r="AG163" i="6"/>
  <c r="AH163" i="6" s="1"/>
  <c r="AA163" i="6"/>
  <c r="AB163" i="6" s="1"/>
  <c r="T163" i="6"/>
  <c r="U163" i="6" s="1"/>
  <c r="AJ161" i="6"/>
  <c r="AK161" i="6" s="1"/>
  <c r="AD161" i="6"/>
  <c r="AE161" i="6" s="1"/>
  <c r="W161" i="6"/>
  <c r="X161" i="6" s="1"/>
  <c r="AG159" i="6"/>
  <c r="AH159" i="6" s="1"/>
  <c r="AA159" i="6"/>
  <c r="AB159" i="6" s="1"/>
  <c r="T159" i="6"/>
  <c r="U159" i="6" s="1"/>
  <c r="AJ157" i="6"/>
  <c r="AK157" i="6" s="1"/>
  <c r="AD157" i="6"/>
  <c r="AE157" i="6" s="1"/>
  <c r="W157" i="6"/>
  <c r="X157" i="6" s="1"/>
  <c r="AG155" i="6"/>
  <c r="AH155" i="6" s="1"/>
  <c r="AA155" i="6"/>
  <c r="AB155" i="6" s="1"/>
  <c r="T155" i="6"/>
  <c r="U155" i="6" s="1"/>
  <c r="AJ153" i="6"/>
  <c r="AK153" i="6" s="1"/>
  <c r="AD153" i="6"/>
  <c r="AE153" i="6" s="1"/>
  <c r="W153" i="6"/>
  <c r="X153" i="6" s="1"/>
  <c r="AG151" i="6"/>
  <c r="AH151" i="6" s="1"/>
  <c r="T151" i="6"/>
  <c r="U151" i="6" s="1"/>
  <c r="AJ149" i="6"/>
  <c r="AK149" i="6" s="1"/>
  <c r="AD149" i="6"/>
  <c r="AE149" i="6" s="1"/>
  <c r="W149" i="6"/>
  <c r="X149" i="6" s="1"/>
  <c r="AG147" i="6"/>
  <c r="AH147" i="6" s="1"/>
  <c r="T147" i="6"/>
  <c r="U147" i="6" s="1"/>
  <c r="AJ145" i="6"/>
  <c r="AK145" i="6" s="1"/>
  <c r="AD145" i="6"/>
  <c r="AE145" i="6" s="1"/>
  <c r="W145" i="6"/>
  <c r="X145" i="6" s="1"/>
  <c r="AG143" i="6"/>
  <c r="AH143" i="6" s="1"/>
  <c r="AA143" i="6"/>
  <c r="AB143" i="6" s="1"/>
  <c r="T143" i="6"/>
  <c r="U143" i="6" s="1"/>
  <c r="AJ141" i="6"/>
  <c r="AK141" i="6" s="1"/>
  <c r="AD141" i="6"/>
  <c r="AE141" i="6" s="1"/>
  <c r="W141" i="6"/>
  <c r="X141" i="6" s="1"/>
  <c r="AG139" i="6"/>
  <c r="AH139" i="6" s="1"/>
  <c r="AA139" i="6"/>
  <c r="AB139" i="6" s="1"/>
  <c r="T139" i="6"/>
  <c r="U139" i="6" s="1"/>
  <c r="AJ137" i="6"/>
  <c r="AK137" i="6" s="1"/>
  <c r="AD137" i="6"/>
  <c r="AE137" i="6" s="1"/>
  <c r="W137" i="6"/>
  <c r="X137" i="6" s="1"/>
  <c r="AG135" i="6"/>
  <c r="AH135" i="6" s="1"/>
  <c r="T135" i="6"/>
  <c r="U135" i="6" s="1"/>
  <c r="AJ133" i="6"/>
  <c r="AK133" i="6" s="1"/>
  <c r="AD133" i="6"/>
  <c r="AE133" i="6" s="1"/>
  <c r="W133" i="6"/>
  <c r="X133" i="6" s="1"/>
  <c r="AG131" i="6"/>
  <c r="AH131" i="6" s="1"/>
  <c r="T131" i="6"/>
  <c r="U131" i="6" s="1"/>
  <c r="AJ129" i="6"/>
  <c r="AK129" i="6" s="1"/>
  <c r="AD129" i="6"/>
  <c r="AE129" i="6" s="1"/>
  <c r="W129" i="6"/>
  <c r="X129" i="6" s="1"/>
  <c r="AD276" i="6"/>
  <c r="AE276" i="6" s="1"/>
  <c r="T274" i="6"/>
  <c r="U274" i="6" s="1"/>
  <c r="AD268" i="6"/>
  <c r="AE268" i="6" s="1"/>
  <c r="T266" i="6"/>
  <c r="U266" i="6" s="1"/>
  <c r="AD260" i="6"/>
  <c r="AE260" i="6" s="1"/>
  <c r="T258" i="6"/>
  <c r="U258" i="6" s="1"/>
  <c r="AD252" i="6"/>
  <c r="AE252" i="6" s="1"/>
  <c r="T250" i="6"/>
  <c r="U250" i="6" s="1"/>
  <c r="AD244" i="6"/>
  <c r="AE244" i="6" s="1"/>
  <c r="AD240" i="6"/>
  <c r="AE240" i="6" s="1"/>
  <c r="AD239" i="6"/>
  <c r="AE239" i="6" s="1"/>
  <c r="W238" i="6"/>
  <c r="X238" i="6" s="1"/>
  <c r="AG237" i="6"/>
  <c r="AH237" i="6" s="1"/>
  <c r="T237" i="6"/>
  <c r="U237" i="6" s="1"/>
  <c r="AG236" i="6"/>
  <c r="AH236" i="6" s="1"/>
  <c r="AJ235" i="6"/>
  <c r="AK235" i="6" s="1"/>
  <c r="W235" i="6"/>
  <c r="X235" i="6" s="1"/>
  <c r="AA232" i="6"/>
  <c r="AB232" i="6" s="1"/>
  <c r="AD231" i="6"/>
  <c r="AE231" i="6" s="1"/>
  <c r="AG228" i="6"/>
  <c r="AH228" i="6" s="1"/>
  <c r="AJ227" i="6"/>
  <c r="AK227" i="6" s="1"/>
  <c r="W227" i="6"/>
  <c r="X227" i="6" s="1"/>
  <c r="AA224" i="6"/>
  <c r="AB224" i="6" s="1"/>
  <c r="AD223" i="6"/>
  <c r="AE223" i="6" s="1"/>
  <c r="AG220" i="6"/>
  <c r="AH220" i="6" s="1"/>
  <c r="AJ219" i="6"/>
  <c r="AK219" i="6" s="1"/>
  <c r="W219" i="6"/>
  <c r="X219" i="6" s="1"/>
  <c r="AD215" i="6"/>
  <c r="AE215" i="6" s="1"/>
  <c r="AG212" i="6"/>
  <c r="AH212" i="6" s="1"/>
  <c r="AJ211" i="6"/>
  <c r="AK211" i="6" s="1"/>
  <c r="W211" i="6"/>
  <c r="X211" i="6" s="1"/>
  <c r="AD207" i="6"/>
  <c r="AE207" i="6" s="1"/>
  <c r="AD206" i="6"/>
  <c r="AE206" i="6" s="1"/>
  <c r="AJ204" i="6"/>
  <c r="AK204" i="6" s="1"/>
  <c r="AJ202" i="6"/>
  <c r="AK202" i="6" s="1"/>
  <c r="AD202" i="6"/>
  <c r="AE202" i="6" s="1"/>
  <c r="W202" i="6"/>
  <c r="X202" i="6" s="1"/>
  <c r="AG200" i="6"/>
  <c r="AH200" i="6" s="1"/>
  <c r="AJ198" i="6"/>
  <c r="AK198" i="6" s="1"/>
  <c r="AD198" i="6"/>
  <c r="AE198" i="6" s="1"/>
  <c r="W198" i="6"/>
  <c r="X198" i="6" s="1"/>
  <c r="AG196" i="6"/>
  <c r="AH196" i="6" s="1"/>
  <c r="AA196" i="6"/>
  <c r="AB196" i="6" s="1"/>
  <c r="AJ194" i="6"/>
  <c r="AK194" i="6" s="1"/>
  <c r="AD194" i="6"/>
  <c r="AE194" i="6" s="1"/>
  <c r="W194" i="6"/>
  <c r="X194" i="6" s="1"/>
  <c r="AG192" i="6"/>
  <c r="AH192" i="6" s="1"/>
  <c r="AA192" i="6"/>
  <c r="AB192" i="6" s="1"/>
  <c r="AJ190" i="6"/>
  <c r="AK190" i="6" s="1"/>
  <c r="AD190" i="6"/>
  <c r="AE190" i="6" s="1"/>
  <c r="W190" i="6"/>
  <c r="X190" i="6" s="1"/>
  <c r="AG188" i="6"/>
  <c r="AH188" i="6" s="1"/>
  <c r="AA188" i="6"/>
  <c r="AB188" i="6" s="1"/>
  <c r="AJ186" i="6"/>
  <c r="AK186" i="6" s="1"/>
  <c r="AD186" i="6"/>
  <c r="AE186" i="6" s="1"/>
  <c r="W186" i="6"/>
  <c r="X186" i="6" s="1"/>
  <c r="AG184" i="6"/>
  <c r="AH184" i="6" s="1"/>
  <c r="AJ182" i="6"/>
  <c r="AK182" i="6" s="1"/>
  <c r="AD182" i="6"/>
  <c r="AE182" i="6" s="1"/>
  <c r="W182" i="6"/>
  <c r="X182" i="6" s="1"/>
  <c r="AG180" i="6"/>
  <c r="AH180" i="6" s="1"/>
  <c r="AA180" i="6"/>
  <c r="AB180" i="6" s="1"/>
  <c r="AJ178" i="6"/>
  <c r="AK178" i="6" s="1"/>
  <c r="AD178" i="6"/>
  <c r="AE178" i="6" s="1"/>
  <c r="W178" i="6"/>
  <c r="X178" i="6" s="1"/>
  <c r="AG176" i="6"/>
  <c r="AH176" i="6" s="1"/>
  <c r="AA176" i="6"/>
  <c r="AB176" i="6" s="1"/>
  <c r="AJ174" i="6"/>
  <c r="AK174" i="6" s="1"/>
  <c r="AD174" i="6"/>
  <c r="AE174" i="6" s="1"/>
  <c r="W174" i="6"/>
  <c r="X174" i="6" s="1"/>
  <c r="AG172" i="6"/>
  <c r="AH172" i="6" s="1"/>
  <c r="AA172" i="6"/>
  <c r="AB172" i="6" s="1"/>
  <c r="AJ170" i="6"/>
  <c r="AK170" i="6" s="1"/>
  <c r="AD170" i="6"/>
  <c r="AE170" i="6" s="1"/>
  <c r="W170" i="6"/>
  <c r="X170" i="6" s="1"/>
  <c r="AG168" i="6"/>
  <c r="AH168" i="6" s="1"/>
  <c r="AA168" i="6"/>
  <c r="AB168" i="6" s="1"/>
  <c r="AJ166" i="6"/>
  <c r="AK166" i="6" s="1"/>
  <c r="AD166" i="6"/>
  <c r="AE166" i="6" s="1"/>
  <c r="W166" i="6"/>
  <c r="X166" i="6" s="1"/>
  <c r="AG164" i="6"/>
  <c r="AH164" i="6" s="1"/>
  <c r="AA164" i="6"/>
  <c r="AB164" i="6" s="1"/>
  <c r="AJ162" i="6"/>
  <c r="AK162" i="6" s="1"/>
  <c r="AD162" i="6"/>
  <c r="AE162" i="6" s="1"/>
  <c r="W162" i="6"/>
  <c r="X162" i="6" s="1"/>
  <c r="AG160" i="6"/>
  <c r="AH160" i="6" s="1"/>
  <c r="AA160" i="6"/>
  <c r="AB160" i="6" s="1"/>
  <c r="AJ158" i="6"/>
  <c r="AK158" i="6" s="1"/>
  <c r="AD158" i="6"/>
  <c r="AE158" i="6" s="1"/>
  <c r="W158" i="6"/>
  <c r="X158" i="6" s="1"/>
  <c r="AG156" i="6"/>
  <c r="AH156" i="6" s="1"/>
  <c r="AA156" i="6"/>
  <c r="AB156" i="6" s="1"/>
  <c r="AJ154" i="6"/>
  <c r="AK154" i="6" s="1"/>
  <c r="AD154" i="6"/>
  <c r="AE154" i="6" s="1"/>
  <c r="W154" i="6"/>
  <c r="X154" i="6" s="1"/>
  <c r="AG152" i="6"/>
  <c r="AH152" i="6" s="1"/>
  <c r="AJ150" i="6"/>
  <c r="AK150" i="6" s="1"/>
  <c r="AD150" i="6"/>
  <c r="AE150" i="6" s="1"/>
  <c r="W150" i="6"/>
  <c r="X150" i="6" s="1"/>
  <c r="AG148" i="6"/>
  <c r="AH148" i="6" s="1"/>
  <c r="AA148" i="6"/>
  <c r="AB148" i="6" s="1"/>
  <c r="AJ146" i="6"/>
  <c r="AK146" i="6" s="1"/>
  <c r="AD146" i="6"/>
  <c r="AE146" i="6" s="1"/>
  <c r="W146" i="6"/>
  <c r="X146" i="6" s="1"/>
  <c r="AG144" i="6"/>
  <c r="AH144" i="6" s="1"/>
  <c r="AA144" i="6"/>
  <c r="AB144" i="6" s="1"/>
  <c r="AJ142" i="6"/>
  <c r="AK142" i="6" s="1"/>
  <c r="AD142" i="6"/>
  <c r="AE142" i="6" s="1"/>
  <c r="W142" i="6"/>
  <c r="X142" i="6" s="1"/>
  <c r="AG140" i="6"/>
  <c r="AH140" i="6" s="1"/>
  <c r="AA140" i="6"/>
  <c r="AB140" i="6" s="1"/>
  <c r="AJ138" i="6"/>
  <c r="AK138" i="6" s="1"/>
  <c r="AD138" i="6"/>
  <c r="AE138" i="6" s="1"/>
  <c r="W138" i="6"/>
  <c r="X138" i="6" s="1"/>
  <c r="AG136" i="6"/>
  <c r="AH136" i="6" s="1"/>
  <c r="AA136" i="6"/>
  <c r="AB136" i="6" s="1"/>
  <c r="AJ134" i="6"/>
  <c r="AK134" i="6" s="1"/>
  <c r="AD134" i="6"/>
  <c r="AE134" i="6" s="1"/>
  <c r="W134" i="6"/>
  <c r="X134" i="6" s="1"/>
  <c r="AG132" i="6"/>
  <c r="AH132" i="6" s="1"/>
  <c r="AA132" i="6"/>
  <c r="AB132" i="6" s="1"/>
  <c r="AJ130" i="6"/>
  <c r="AK130" i="6" s="1"/>
  <c r="AD130" i="6"/>
  <c r="AE130" i="6" s="1"/>
  <c r="W130" i="6"/>
  <c r="X130" i="6" s="1"/>
  <c r="AG128" i="6"/>
  <c r="AH128" i="6" s="1"/>
  <c r="AA128" i="6"/>
  <c r="AB128" i="6" s="1"/>
  <c r="AJ126" i="6"/>
  <c r="AK126" i="6" s="1"/>
  <c r="AD126" i="6"/>
  <c r="AE126" i="6" s="1"/>
  <c r="W126" i="6"/>
  <c r="X126" i="6" s="1"/>
  <c r="T285" i="6"/>
  <c r="U285" i="6" s="1"/>
  <c r="AG242" i="6"/>
  <c r="AH242" i="6" s="1"/>
  <c r="W239" i="6"/>
  <c r="X239" i="6" s="1"/>
  <c r="T278" i="6"/>
  <c r="U278" i="6" s="1"/>
  <c r="AD264" i="6"/>
  <c r="AE264" i="6" s="1"/>
  <c r="T246" i="6"/>
  <c r="U246" i="6" s="1"/>
  <c r="AA233" i="6"/>
  <c r="AB233" i="6" s="1"/>
  <c r="AJ230" i="6"/>
  <c r="AK230" i="6" s="1"/>
  <c r="AG229" i="6"/>
  <c r="AH229" i="6" s="1"/>
  <c r="AG224" i="6"/>
  <c r="AH224" i="6" s="1"/>
  <c r="W223" i="6"/>
  <c r="X223" i="6" s="1"/>
  <c r="AD219" i="6"/>
  <c r="AE219" i="6" s="1"/>
  <c r="W214" i="6"/>
  <c r="X214" i="6" s="1"/>
  <c r="T213" i="6"/>
  <c r="U213" i="6" s="1"/>
  <c r="AD210" i="6"/>
  <c r="AE210" i="6" s="1"/>
  <c r="T208" i="6"/>
  <c r="U208" i="6" s="1"/>
  <c r="AJ207" i="6"/>
  <c r="AK207" i="6" s="1"/>
  <c r="AJ206" i="6"/>
  <c r="AK206" i="6" s="1"/>
  <c r="T206" i="6"/>
  <c r="U206" i="6" s="1"/>
  <c r="AG205" i="6"/>
  <c r="AH205" i="6" s="1"/>
  <c r="AJ203" i="6"/>
  <c r="AK203" i="6" s="1"/>
  <c r="W203" i="6"/>
  <c r="X203" i="6" s="1"/>
  <c r="AG202" i="6"/>
  <c r="AH202" i="6" s="1"/>
  <c r="T202" i="6"/>
  <c r="U202" i="6" s="1"/>
  <c r="AG201" i="6"/>
  <c r="AH201" i="6" s="1"/>
  <c r="AJ200" i="6"/>
  <c r="AK200" i="6" s="1"/>
  <c r="W200" i="6"/>
  <c r="X200" i="6" s="1"/>
  <c r="AD195" i="6"/>
  <c r="AE195" i="6" s="1"/>
  <c r="AA194" i="6"/>
  <c r="AB194" i="6" s="1"/>
  <c r="AA193" i="6"/>
  <c r="AB193" i="6" s="1"/>
  <c r="AD192" i="6"/>
  <c r="AE192" i="6" s="1"/>
  <c r="AJ187" i="6"/>
  <c r="AK187" i="6" s="1"/>
  <c r="W187" i="6"/>
  <c r="X187" i="6" s="1"/>
  <c r="AG186" i="6"/>
  <c r="AH186" i="6" s="1"/>
  <c r="T186" i="6"/>
  <c r="U186" i="6" s="1"/>
  <c r="AG185" i="6"/>
  <c r="AH185" i="6" s="1"/>
  <c r="AJ184" i="6"/>
  <c r="AK184" i="6" s="1"/>
  <c r="W184" i="6"/>
  <c r="X184" i="6" s="1"/>
  <c r="AD179" i="6"/>
  <c r="AE179" i="6" s="1"/>
  <c r="AA178" i="6"/>
  <c r="AB178" i="6" s="1"/>
  <c r="AA177" i="6"/>
  <c r="AB177" i="6" s="1"/>
  <c r="AD176" i="6"/>
  <c r="AE176" i="6" s="1"/>
  <c r="AJ171" i="6"/>
  <c r="AK171" i="6" s="1"/>
  <c r="W171" i="6"/>
  <c r="X171" i="6" s="1"/>
  <c r="AG170" i="6"/>
  <c r="AH170" i="6" s="1"/>
  <c r="T170" i="6"/>
  <c r="U170" i="6" s="1"/>
  <c r="AD167" i="6"/>
  <c r="AE167" i="6" s="1"/>
  <c r="AA166" i="6"/>
  <c r="AB166" i="6" s="1"/>
  <c r="AJ163" i="6"/>
  <c r="AK163" i="6" s="1"/>
  <c r="W163" i="6"/>
  <c r="X163" i="6" s="1"/>
  <c r="AG162" i="6"/>
  <c r="AH162" i="6" s="1"/>
  <c r="T162" i="6"/>
  <c r="U162" i="6" s="1"/>
  <c r="AD159" i="6"/>
  <c r="AE159" i="6" s="1"/>
  <c r="AJ155" i="6"/>
  <c r="AK155" i="6" s="1"/>
  <c r="W155" i="6"/>
  <c r="X155" i="6" s="1"/>
  <c r="AG154" i="6"/>
  <c r="AH154" i="6" s="1"/>
  <c r="T154" i="6"/>
  <c r="U154" i="6" s="1"/>
  <c r="AD151" i="6"/>
  <c r="AE151" i="6" s="1"/>
  <c r="AJ147" i="6"/>
  <c r="AK147" i="6" s="1"/>
  <c r="W147" i="6"/>
  <c r="X147" i="6" s="1"/>
  <c r="AG146" i="6"/>
  <c r="AH146" i="6" s="1"/>
  <c r="T146" i="6"/>
  <c r="U146" i="6" s="1"/>
  <c r="AD143" i="6"/>
  <c r="AE143" i="6" s="1"/>
  <c r="AA142" i="6"/>
  <c r="AB142" i="6" s="1"/>
  <c r="AJ139" i="6"/>
  <c r="AK139" i="6" s="1"/>
  <c r="W139" i="6"/>
  <c r="X139" i="6" s="1"/>
  <c r="AG138" i="6"/>
  <c r="AH138" i="6" s="1"/>
  <c r="T138" i="6"/>
  <c r="U138" i="6" s="1"/>
  <c r="AD135" i="6"/>
  <c r="AE135" i="6" s="1"/>
  <c r="AA134" i="6"/>
  <c r="AB134" i="6" s="1"/>
  <c r="AJ131" i="6"/>
  <c r="AK131" i="6" s="1"/>
  <c r="W131" i="6"/>
  <c r="X131" i="6" s="1"/>
  <c r="AG130" i="6"/>
  <c r="AH130" i="6" s="1"/>
  <c r="T130" i="6"/>
  <c r="U130" i="6" s="1"/>
  <c r="AG125" i="6"/>
  <c r="AH125" i="6" s="1"/>
  <c r="AA125" i="6"/>
  <c r="AB125" i="6" s="1"/>
  <c r="AJ123" i="6"/>
  <c r="AK123" i="6" s="1"/>
  <c r="AD123" i="6"/>
  <c r="AE123" i="6" s="1"/>
  <c r="W123" i="6"/>
  <c r="X123" i="6" s="1"/>
  <c r="AG121" i="6"/>
  <c r="AH121" i="6" s="1"/>
  <c r="AA121" i="6"/>
  <c r="AB121" i="6" s="1"/>
  <c r="AJ119" i="6"/>
  <c r="AK119" i="6" s="1"/>
  <c r="AD119" i="6"/>
  <c r="AE119" i="6" s="1"/>
  <c r="W119" i="6"/>
  <c r="X119" i="6" s="1"/>
  <c r="AG117" i="6"/>
  <c r="AH117" i="6" s="1"/>
  <c r="AA117" i="6"/>
  <c r="AB117" i="6" s="1"/>
  <c r="AJ115" i="6"/>
  <c r="AK115" i="6" s="1"/>
  <c r="AD115" i="6"/>
  <c r="AE115" i="6" s="1"/>
  <c r="W115" i="6"/>
  <c r="X115" i="6" s="1"/>
  <c r="AG113" i="6"/>
  <c r="AH113" i="6" s="1"/>
  <c r="AJ111" i="6"/>
  <c r="AK111" i="6" s="1"/>
  <c r="AD111" i="6"/>
  <c r="AE111" i="6" s="1"/>
  <c r="W111" i="6"/>
  <c r="X111" i="6" s="1"/>
  <c r="AG109" i="6"/>
  <c r="AH109" i="6" s="1"/>
  <c r="AA109" i="6"/>
  <c r="AB109" i="6" s="1"/>
  <c r="AJ107" i="6"/>
  <c r="AK107" i="6" s="1"/>
  <c r="AD107" i="6"/>
  <c r="AE107" i="6" s="1"/>
  <c r="W107" i="6"/>
  <c r="X107" i="6" s="1"/>
  <c r="AG105" i="6"/>
  <c r="AH105" i="6" s="1"/>
  <c r="AA105" i="6"/>
  <c r="AB105" i="6" s="1"/>
  <c r="AJ103" i="6"/>
  <c r="AK103" i="6" s="1"/>
  <c r="AD103" i="6"/>
  <c r="AE103" i="6" s="1"/>
  <c r="W103" i="6"/>
  <c r="X103" i="6" s="1"/>
  <c r="AG101" i="6"/>
  <c r="AH101" i="6" s="1"/>
  <c r="AA101" i="6"/>
  <c r="AB101" i="6" s="1"/>
  <c r="AJ99" i="6"/>
  <c r="AK99" i="6" s="1"/>
  <c r="AD99" i="6"/>
  <c r="AE99" i="6" s="1"/>
  <c r="W99" i="6"/>
  <c r="X99" i="6" s="1"/>
  <c r="AG97" i="6"/>
  <c r="AH97" i="6" s="1"/>
  <c r="AA97" i="6"/>
  <c r="AB97" i="6" s="1"/>
  <c r="AJ95" i="6"/>
  <c r="AK95" i="6" s="1"/>
  <c r="AD95" i="6"/>
  <c r="AE95" i="6" s="1"/>
  <c r="W95" i="6"/>
  <c r="X95" i="6" s="1"/>
  <c r="AG93" i="6"/>
  <c r="AH93" i="6" s="1"/>
  <c r="AJ91" i="6"/>
  <c r="AK91" i="6" s="1"/>
  <c r="AD91" i="6"/>
  <c r="AE91" i="6" s="1"/>
  <c r="W91" i="6"/>
  <c r="X91" i="6" s="1"/>
  <c r="AG89" i="6"/>
  <c r="AH89" i="6" s="1"/>
  <c r="AA89" i="6"/>
  <c r="AB89" i="6" s="1"/>
  <c r="AJ87" i="6"/>
  <c r="AK87" i="6" s="1"/>
  <c r="AD87" i="6"/>
  <c r="AE87" i="6" s="1"/>
  <c r="W87" i="6"/>
  <c r="X87" i="6" s="1"/>
  <c r="AG85" i="6"/>
  <c r="AH85" i="6" s="1"/>
  <c r="AJ83" i="6"/>
  <c r="AK83" i="6" s="1"/>
  <c r="AD83" i="6"/>
  <c r="AE83" i="6" s="1"/>
  <c r="W83" i="6"/>
  <c r="X83" i="6" s="1"/>
  <c r="AG81" i="6"/>
  <c r="AH81" i="6" s="1"/>
  <c r="AA81" i="6"/>
  <c r="AB81" i="6" s="1"/>
  <c r="AJ79" i="6"/>
  <c r="AK79" i="6" s="1"/>
  <c r="AD79" i="6"/>
  <c r="AE79" i="6" s="1"/>
  <c r="W79" i="6"/>
  <c r="X79" i="6" s="1"/>
  <c r="AG77" i="6"/>
  <c r="AH77" i="6" s="1"/>
  <c r="AA77" i="6"/>
  <c r="AB77" i="6" s="1"/>
  <c r="T270" i="6"/>
  <c r="U270" i="6" s="1"/>
  <c r="AD256" i="6"/>
  <c r="AE256" i="6" s="1"/>
  <c r="T242" i="6"/>
  <c r="U242" i="6" s="1"/>
  <c r="AA237" i="6"/>
  <c r="AB237" i="6" s="1"/>
  <c r="AG232" i="6"/>
  <c r="AH232" i="6" s="1"/>
  <c r="W231" i="6"/>
  <c r="X231" i="6" s="1"/>
  <c r="AD227" i="6"/>
  <c r="AE227" i="6" s="1"/>
  <c r="W222" i="6"/>
  <c r="X222" i="6" s="1"/>
  <c r="T221" i="6"/>
  <c r="U221" i="6" s="1"/>
  <c r="AD218" i="6"/>
  <c r="AE218" i="6" s="1"/>
  <c r="T216" i="6"/>
  <c r="U216" i="6" s="1"/>
  <c r="AJ215" i="6"/>
  <c r="AK215" i="6" s="1"/>
  <c r="AA212" i="6"/>
  <c r="AB212" i="6" s="1"/>
  <c r="W204" i="6"/>
  <c r="X204" i="6" s="1"/>
  <c r="AD199" i="6"/>
  <c r="AE199" i="6" s="1"/>
  <c r="AD196" i="6"/>
  <c r="AE196" i="6" s="1"/>
  <c r="AJ191" i="6"/>
  <c r="AK191" i="6" s="1"/>
  <c r="W191" i="6"/>
  <c r="X191" i="6" s="1"/>
  <c r="AG190" i="6"/>
  <c r="AH190" i="6" s="1"/>
  <c r="T190" i="6"/>
  <c r="U190" i="6" s="1"/>
  <c r="AG189" i="6"/>
  <c r="AH189" i="6" s="1"/>
  <c r="T189" i="6"/>
  <c r="U189" i="6" s="1"/>
  <c r="AJ188" i="6"/>
  <c r="AK188" i="6" s="1"/>
  <c r="W188" i="6"/>
  <c r="X188" i="6" s="1"/>
  <c r="AD183" i="6"/>
  <c r="AE183" i="6" s="1"/>
  <c r="AA182" i="6"/>
  <c r="AB182" i="6" s="1"/>
  <c r="AD180" i="6"/>
  <c r="AE180" i="6" s="1"/>
  <c r="AJ175" i="6"/>
  <c r="AK175" i="6" s="1"/>
  <c r="W175" i="6"/>
  <c r="X175" i="6" s="1"/>
  <c r="AG174" i="6"/>
  <c r="AH174" i="6" s="1"/>
  <c r="T174" i="6"/>
  <c r="U174" i="6" s="1"/>
  <c r="AG173" i="6"/>
  <c r="AH173" i="6" s="1"/>
  <c r="T173" i="6"/>
  <c r="U173" i="6" s="1"/>
  <c r="AJ172" i="6"/>
  <c r="AK172" i="6" s="1"/>
  <c r="W172" i="6"/>
  <c r="X172" i="6" s="1"/>
  <c r="AA169" i="6"/>
  <c r="AB169" i="6" s="1"/>
  <c r="AD168" i="6"/>
  <c r="AE168" i="6" s="1"/>
  <c r="AG165" i="6"/>
  <c r="AH165" i="6" s="1"/>
  <c r="T165" i="6"/>
  <c r="U165" i="6" s="1"/>
  <c r="AJ164" i="6"/>
  <c r="AK164" i="6" s="1"/>
  <c r="W164" i="6"/>
  <c r="X164" i="6" s="1"/>
  <c r="AD160" i="6"/>
  <c r="AE160" i="6" s="1"/>
  <c r="AG157" i="6"/>
  <c r="AH157" i="6" s="1"/>
  <c r="T157" i="6"/>
  <c r="U157" i="6" s="1"/>
  <c r="AJ156" i="6"/>
  <c r="AK156" i="6" s="1"/>
  <c r="W156" i="6"/>
  <c r="X156" i="6" s="1"/>
  <c r="AD152" i="6"/>
  <c r="AE152" i="6" s="1"/>
  <c r="AG149" i="6"/>
  <c r="AH149" i="6" s="1"/>
  <c r="T149" i="6"/>
  <c r="U149" i="6" s="1"/>
  <c r="AJ148" i="6"/>
  <c r="AK148" i="6" s="1"/>
  <c r="W148" i="6"/>
  <c r="X148" i="6" s="1"/>
  <c r="AD144" i="6"/>
  <c r="AE144" i="6" s="1"/>
  <c r="AG141" i="6"/>
  <c r="AH141" i="6" s="1"/>
  <c r="T141" i="6"/>
  <c r="U141" i="6" s="1"/>
  <c r="AJ140" i="6"/>
  <c r="AK140" i="6" s="1"/>
  <c r="W140" i="6"/>
  <c r="X140" i="6" s="1"/>
  <c r="AA137" i="6"/>
  <c r="AB137" i="6" s="1"/>
  <c r="AD136" i="6"/>
  <c r="AE136" i="6" s="1"/>
  <c r="AG133" i="6"/>
  <c r="AH133" i="6" s="1"/>
  <c r="T133" i="6"/>
  <c r="U133" i="6" s="1"/>
  <c r="AJ132" i="6"/>
  <c r="AK132" i="6" s="1"/>
  <c r="W132" i="6"/>
  <c r="X132" i="6" s="1"/>
  <c r="AA129" i="6"/>
  <c r="AB129" i="6" s="1"/>
  <c r="AD128" i="6"/>
  <c r="AE128" i="6" s="1"/>
  <c r="AG127" i="6"/>
  <c r="AH127" i="6" s="1"/>
  <c r="W127" i="6"/>
  <c r="X127" i="6" s="1"/>
  <c r="T126" i="6"/>
  <c r="U126" i="6" s="1"/>
  <c r="AJ124" i="6"/>
  <c r="AK124" i="6" s="1"/>
  <c r="AD124" i="6"/>
  <c r="AE124" i="6" s="1"/>
  <c r="W124" i="6"/>
  <c r="X124" i="6" s="1"/>
  <c r="AG122" i="6"/>
  <c r="AH122" i="6" s="1"/>
  <c r="AA122" i="6"/>
  <c r="AB122" i="6" s="1"/>
  <c r="T122" i="6"/>
  <c r="U122" i="6" s="1"/>
  <c r="AJ120" i="6"/>
  <c r="AK120" i="6" s="1"/>
  <c r="AD120" i="6"/>
  <c r="AE120" i="6" s="1"/>
  <c r="W120" i="6"/>
  <c r="X120" i="6" s="1"/>
  <c r="AG118" i="6"/>
  <c r="AH118" i="6" s="1"/>
  <c r="AA118" i="6"/>
  <c r="AB118" i="6" s="1"/>
  <c r="T118" i="6"/>
  <c r="U118" i="6" s="1"/>
  <c r="AJ116" i="6"/>
  <c r="AK116" i="6" s="1"/>
  <c r="AD116" i="6"/>
  <c r="AE116" i="6" s="1"/>
  <c r="W116" i="6"/>
  <c r="X116" i="6" s="1"/>
  <c r="AG114" i="6"/>
  <c r="AH114" i="6" s="1"/>
  <c r="T114" i="6"/>
  <c r="U114" i="6" s="1"/>
  <c r="AJ112" i="6"/>
  <c r="AK112" i="6" s="1"/>
  <c r="AD112" i="6"/>
  <c r="AE112" i="6" s="1"/>
  <c r="W112" i="6"/>
  <c r="X112" i="6" s="1"/>
  <c r="AG110" i="6"/>
  <c r="AH110" i="6" s="1"/>
  <c r="AA110" i="6"/>
  <c r="AB110" i="6" s="1"/>
  <c r="T110" i="6"/>
  <c r="U110" i="6" s="1"/>
  <c r="AJ108" i="6"/>
  <c r="AK108" i="6" s="1"/>
  <c r="AD108" i="6"/>
  <c r="AE108" i="6" s="1"/>
  <c r="W108" i="6"/>
  <c r="X108" i="6" s="1"/>
  <c r="AG106" i="6"/>
  <c r="AH106" i="6" s="1"/>
  <c r="AA106" i="6"/>
  <c r="AB106" i="6" s="1"/>
  <c r="T106" i="6"/>
  <c r="U106" i="6" s="1"/>
  <c r="AJ104" i="6"/>
  <c r="AK104" i="6" s="1"/>
  <c r="AD104" i="6"/>
  <c r="AE104" i="6" s="1"/>
  <c r="W104" i="6"/>
  <c r="X104" i="6" s="1"/>
  <c r="AG102" i="6"/>
  <c r="AH102" i="6" s="1"/>
  <c r="AA102" i="6"/>
  <c r="AB102" i="6" s="1"/>
  <c r="T102" i="6"/>
  <c r="U102" i="6" s="1"/>
  <c r="AJ100" i="6"/>
  <c r="AK100" i="6" s="1"/>
  <c r="AD100" i="6"/>
  <c r="AE100" i="6" s="1"/>
  <c r="W100" i="6"/>
  <c r="X100" i="6" s="1"/>
  <c r="AG98" i="6"/>
  <c r="AH98" i="6" s="1"/>
  <c r="AA98" i="6"/>
  <c r="AB98" i="6" s="1"/>
  <c r="T98" i="6"/>
  <c r="U98" i="6" s="1"/>
  <c r="AJ96" i="6"/>
  <c r="AK96" i="6" s="1"/>
  <c r="AD96" i="6"/>
  <c r="AE96" i="6" s="1"/>
  <c r="W96" i="6"/>
  <c r="X96" i="6" s="1"/>
  <c r="AG94" i="6"/>
  <c r="AH94" i="6" s="1"/>
  <c r="T94" i="6"/>
  <c r="U94" i="6" s="1"/>
  <c r="AJ92" i="6"/>
  <c r="AK92" i="6" s="1"/>
  <c r="AD92" i="6"/>
  <c r="AE92" i="6" s="1"/>
  <c r="W92" i="6"/>
  <c r="X92" i="6" s="1"/>
  <c r="AG90" i="6"/>
  <c r="AH90" i="6" s="1"/>
  <c r="AA90" i="6"/>
  <c r="AB90" i="6" s="1"/>
  <c r="T90" i="6"/>
  <c r="U90" i="6" s="1"/>
  <c r="AJ88" i="6"/>
  <c r="AK88" i="6" s="1"/>
  <c r="AD88" i="6"/>
  <c r="AE88" i="6" s="1"/>
  <c r="W88" i="6"/>
  <c r="X88" i="6" s="1"/>
  <c r="AG86" i="6"/>
  <c r="AH86" i="6" s="1"/>
  <c r="T86" i="6"/>
  <c r="U86" i="6" s="1"/>
  <c r="T262" i="6"/>
  <c r="U262" i="6" s="1"/>
  <c r="AD248" i="6"/>
  <c r="AE248" i="6" s="1"/>
  <c r="AA236" i="6"/>
  <c r="AB236" i="6" s="1"/>
  <c r="AD235" i="6"/>
  <c r="AE235" i="6" s="1"/>
  <c r="W230" i="6"/>
  <c r="X230" i="6" s="1"/>
  <c r="T229" i="6"/>
  <c r="U229" i="6" s="1"/>
  <c r="AD226" i="6"/>
  <c r="AE226" i="6" s="1"/>
  <c r="T224" i="6"/>
  <c r="U224" i="6" s="1"/>
  <c r="AJ223" i="6"/>
  <c r="AK223" i="6" s="1"/>
  <c r="AA220" i="6"/>
  <c r="AB220" i="6" s="1"/>
  <c r="AA217" i="6"/>
  <c r="AB217" i="6" s="1"/>
  <c r="AJ214" i="6"/>
  <c r="AK214" i="6" s="1"/>
  <c r="AG213" i="6"/>
  <c r="AH213" i="6" s="1"/>
  <c r="AG208" i="6"/>
  <c r="AH208" i="6" s="1"/>
  <c r="W207" i="6"/>
  <c r="X207" i="6" s="1"/>
  <c r="AG204" i="6"/>
  <c r="AH204" i="6" s="1"/>
  <c r="AD203" i="6"/>
  <c r="AE203" i="6" s="1"/>
  <c r="AA201" i="6"/>
  <c r="AB201" i="6" s="1"/>
  <c r="AD200" i="6"/>
  <c r="AE200" i="6" s="1"/>
  <c r="AJ195" i="6"/>
  <c r="AK195" i="6" s="1"/>
  <c r="W195" i="6"/>
  <c r="X195" i="6" s="1"/>
  <c r="AG194" i="6"/>
  <c r="AH194" i="6" s="1"/>
  <c r="T194" i="6"/>
  <c r="U194" i="6" s="1"/>
  <c r="AG193" i="6"/>
  <c r="AH193" i="6" s="1"/>
  <c r="AJ192" i="6"/>
  <c r="AK192" i="6" s="1"/>
  <c r="W192" i="6"/>
  <c r="X192" i="6" s="1"/>
  <c r="AD187" i="6"/>
  <c r="AE187" i="6" s="1"/>
  <c r="AA186" i="6"/>
  <c r="AB186" i="6" s="1"/>
  <c r="AD184" i="6"/>
  <c r="AE184" i="6" s="1"/>
  <c r="AJ179" i="6"/>
  <c r="AK179" i="6" s="1"/>
  <c r="W179" i="6"/>
  <c r="X179" i="6" s="1"/>
  <c r="AG178" i="6"/>
  <c r="AH178" i="6" s="1"/>
  <c r="T178" i="6"/>
  <c r="U178" i="6" s="1"/>
  <c r="AG177" i="6"/>
  <c r="AH177" i="6" s="1"/>
  <c r="AJ176" i="6"/>
  <c r="AK176" i="6" s="1"/>
  <c r="W176" i="6"/>
  <c r="X176" i="6" s="1"/>
  <c r="AD171" i="6"/>
  <c r="AE171" i="6" s="1"/>
  <c r="AA170" i="6"/>
  <c r="AB170" i="6" s="1"/>
  <c r="AJ167" i="6"/>
  <c r="AK167" i="6" s="1"/>
  <c r="W167" i="6"/>
  <c r="X167" i="6" s="1"/>
  <c r="AG166" i="6"/>
  <c r="AH166" i="6" s="1"/>
  <c r="T166" i="6"/>
  <c r="U166" i="6" s="1"/>
  <c r="AD163" i="6"/>
  <c r="AE163" i="6" s="1"/>
  <c r="AA162" i="6"/>
  <c r="AB162" i="6" s="1"/>
  <c r="AJ159" i="6"/>
  <c r="AK159" i="6" s="1"/>
  <c r="W159" i="6"/>
  <c r="X159" i="6" s="1"/>
  <c r="AG158" i="6"/>
  <c r="AH158" i="6" s="1"/>
  <c r="T158" i="6"/>
  <c r="U158" i="6" s="1"/>
  <c r="AD155" i="6"/>
  <c r="AE155" i="6" s="1"/>
  <c r="AJ151" i="6"/>
  <c r="AK151" i="6" s="1"/>
  <c r="W151" i="6"/>
  <c r="X151" i="6" s="1"/>
  <c r="AG150" i="6"/>
  <c r="AH150" i="6" s="1"/>
  <c r="T150" i="6"/>
  <c r="U150" i="6" s="1"/>
  <c r="AD147" i="6"/>
  <c r="AE147" i="6" s="1"/>
  <c r="AA146" i="6"/>
  <c r="AB146" i="6" s="1"/>
  <c r="AJ143" i="6"/>
  <c r="AK143" i="6" s="1"/>
  <c r="W143" i="6"/>
  <c r="X143" i="6" s="1"/>
  <c r="AG142" i="6"/>
  <c r="AH142" i="6" s="1"/>
  <c r="T142" i="6"/>
  <c r="U142" i="6" s="1"/>
  <c r="AD139" i="6"/>
  <c r="AE139" i="6" s="1"/>
  <c r="AA138" i="6"/>
  <c r="AB138" i="6" s="1"/>
  <c r="AJ135" i="6"/>
  <c r="AK135" i="6" s="1"/>
  <c r="W135" i="6"/>
  <c r="X135" i="6" s="1"/>
  <c r="AG134" i="6"/>
  <c r="AH134" i="6" s="1"/>
  <c r="T134" i="6"/>
  <c r="U134" i="6" s="1"/>
  <c r="AD131" i="6"/>
  <c r="AE131" i="6" s="1"/>
  <c r="AA130" i="6"/>
  <c r="AB130" i="6" s="1"/>
  <c r="AD127" i="6"/>
  <c r="AE127" i="6" s="1"/>
  <c r="AJ125" i="6"/>
  <c r="AK125" i="6" s="1"/>
  <c r="AD125" i="6"/>
  <c r="AE125" i="6" s="1"/>
  <c r="W125" i="6"/>
  <c r="X125" i="6" s="1"/>
  <c r="AG123" i="6"/>
  <c r="AH123" i="6" s="1"/>
  <c r="AA123" i="6"/>
  <c r="AB123" i="6" s="1"/>
  <c r="AJ121" i="6"/>
  <c r="AK121" i="6" s="1"/>
  <c r="AD121" i="6"/>
  <c r="AE121" i="6" s="1"/>
  <c r="W121" i="6"/>
  <c r="X121" i="6" s="1"/>
  <c r="AG119" i="6"/>
  <c r="AH119" i="6" s="1"/>
  <c r="AA119" i="6"/>
  <c r="AB119" i="6" s="1"/>
  <c r="AJ117" i="6"/>
  <c r="AK117" i="6" s="1"/>
  <c r="AD117" i="6"/>
  <c r="AE117" i="6" s="1"/>
  <c r="W117" i="6"/>
  <c r="X117" i="6" s="1"/>
  <c r="AG115" i="6"/>
  <c r="AH115" i="6" s="1"/>
  <c r="AA115" i="6"/>
  <c r="AB115" i="6" s="1"/>
  <c r="AJ113" i="6"/>
  <c r="AK113" i="6" s="1"/>
  <c r="AD113" i="6"/>
  <c r="AE113" i="6" s="1"/>
  <c r="W113" i="6"/>
  <c r="X113" i="6" s="1"/>
  <c r="AG111" i="6"/>
  <c r="AH111" i="6" s="1"/>
  <c r="AA111" i="6"/>
  <c r="AB111" i="6" s="1"/>
  <c r="AJ109" i="6"/>
  <c r="AK109" i="6" s="1"/>
  <c r="AD109" i="6"/>
  <c r="AE109" i="6" s="1"/>
  <c r="W109" i="6"/>
  <c r="X109" i="6" s="1"/>
  <c r="AG107" i="6"/>
  <c r="AH107" i="6" s="1"/>
  <c r="AA107" i="6"/>
  <c r="AB107" i="6" s="1"/>
  <c r="AJ105" i="6"/>
  <c r="AK105" i="6" s="1"/>
  <c r="AD105" i="6"/>
  <c r="AE105" i="6" s="1"/>
  <c r="W105" i="6"/>
  <c r="X105" i="6" s="1"/>
  <c r="AG103" i="6"/>
  <c r="AH103" i="6" s="1"/>
  <c r="AA103" i="6"/>
  <c r="AB103" i="6" s="1"/>
  <c r="AJ101" i="6"/>
  <c r="AK101" i="6" s="1"/>
  <c r="AD101" i="6"/>
  <c r="AE101" i="6" s="1"/>
  <c r="W101" i="6"/>
  <c r="X101" i="6" s="1"/>
  <c r="AG99" i="6"/>
  <c r="AH99" i="6" s="1"/>
  <c r="AA99" i="6"/>
  <c r="AB99" i="6" s="1"/>
  <c r="AJ97" i="6"/>
  <c r="AK97" i="6" s="1"/>
  <c r="AD97" i="6"/>
  <c r="AE97" i="6" s="1"/>
  <c r="W97" i="6"/>
  <c r="X97" i="6" s="1"/>
  <c r="AG95" i="6"/>
  <c r="AH95" i="6" s="1"/>
  <c r="AJ93" i="6"/>
  <c r="AK93" i="6" s="1"/>
  <c r="AD93" i="6"/>
  <c r="AE93" i="6" s="1"/>
  <c r="W93" i="6"/>
  <c r="X93" i="6" s="1"/>
  <c r="AG91" i="6"/>
  <c r="AH91" i="6" s="1"/>
  <c r="AJ89" i="6"/>
  <c r="AK89" i="6" s="1"/>
  <c r="AD89" i="6"/>
  <c r="AE89" i="6" s="1"/>
  <c r="W89" i="6"/>
  <c r="X89" i="6" s="1"/>
  <c r="AG87" i="6"/>
  <c r="AH87" i="6" s="1"/>
  <c r="AA87" i="6"/>
  <c r="AB87" i="6" s="1"/>
  <c r="AJ85" i="6"/>
  <c r="AK85" i="6" s="1"/>
  <c r="AD85" i="6"/>
  <c r="AE85" i="6" s="1"/>
  <c r="W85" i="6"/>
  <c r="X85" i="6" s="1"/>
  <c r="AG83" i="6"/>
  <c r="AH83" i="6" s="1"/>
  <c r="AJ81" i="6"/>
  <c r="AK81" i="6" s="1"/>
  <c r="AD81" i="6"/>
  <c r="AE81" i="6" s="1"/>
  <c r="W81" i="6"/>
  <c r="X81" i="6" s="1"/>
  <c r="AG79" i="6"/>
  <c r="AH79" i="6" s="1"/>
  <c r="AA79" i="6"/>
  <c r="AB79" i="6" s="1"/>
  <c r="AJ77" i="6"/>
  <c r="AK77" i="6" s="1"/>
  <c r="AD77" i="6"/>
  <c r="AE77" i="6" s="1"/>
  <c r="W77" i="6"/>
  <c r="X77" i="6" s="1"/>
  <c r="AH9" i="6"/>
  <c r="N371" i="6"/>
  <c r="W10" i="6"/>
  <c r="AD10" i="6"/>
  <c r="AJ10" i="6"/>
  <c r="AP371" i="6"/>
  <c r="T12" i="6"/>
  <c r="U12" i="6" s="1"/>
  <c r="AG12" i="6"/>
  <c r="AH12" i="6" s="1"/>
  <c r="AN12" i="6"/>
  <c r="AO12" i="6" s="1"/>
  <c r="W14" i="6"/>
  <c r="X14" i="6" s="1"/>
  <c r="AD14" i="6"/>
  <c r="AE14" i="6" s="1"/>
  <c r="AJ14" i="6"/>
  <c r="AK14" i="6" s="1"/>
  <c r="C370" i="6"/>
  <c r="G370" i="6"/>
  <c r="S370" i="6"/>
  <c r="AE15" i="6"/>
  <c r="AX370" i="6"/>
  <c r="T16" i="6"/>
  <c r="U16" i="6" s="1"/>
  <c r="AA16" i="6"/>
  <c r="AB16" i="6" s="1"/>
  <c r="AG16" i="6"/>
  <c r="AH16" i="6" s="1"/>
  <c r="AN16" i="6"/>
  <c r="AO16" i="6" s="1"/>
  <c r="W18" i="6"/>
  <c r="X18" i="6" s="1"/>
  <c r="AD18" i="6"/>
  <c r="AE18" i="6" s="1"/>
  <c r="AJ18" i="6"/>
  <c r="AK18" i="6" s="1"/>
  <c r="T20" i="6"/>
  <c r="U20" i="6" s="1"/>
  <c r="AA20" i="6"/>
  <c r="AB20" i="6" s="1"/>
  <c r="AG20" i="6"/>
  <c r="AH20" i="6" s="1"/>
  <c r="AN20" i="6"/>
  <c r="AO20" i="6" s="1"/>
  <c r="W22" i="6"/>
  <c r="X22" i="6" s="1"/>
  <c r="AD22" i="6"/>
  <c r="AE22" i="6" s="1"/>
  <c r="AJ22" i="6"/>
  <c r="AK22" i="6" s="1"/>
  <c r="T24" i="6"/>
  <c r="U24" i="6" s="1"/>
  <c r="AA24" i="6"/>
  <c r="AB24" i="6" s="1"/>
  <c r="AG24" i="6"/>
  <c r="AH24" i="6" s="1"/>
  <c r="AN24" i="6"/>
  <c r="AO24" i="6" s="1"/>
  <c r="W26" i="6"/>
  <c r="X26" i="6" s="1"/>
  <c r="AD26" i="6"/>
  <c r="AE26" i="6" s="1"/>
  <c r="AJ26" i="6"/>
  <c r="AK26" i="6" s="1"/>
  <c r="T28" i="6"/>
  <c r="U28" i="6" s="1"/>
  <c r="AA28" i="6"/>
  <c r="AB28" i="6" s="1"/>
  <c r="AG28" i="6"/>
  <c r="AH28" i="6" s="1"/>
  <c r="AN28" i="6"/>
  <c r="AO28" i="6" s="1"/>
  <c r="W30" i="6"/>
  <c r="X30" i="6" s="1"/>
  <c r="AD30" i="6"/>
  <c r="AE30" i="6" s="1"/>
  <c r="AJ30" i="6"/>
  <c r="AK30" i="6" s="1"/>
  <c r="T32" i="6"/>
  <c r="U32" i="6" s="1"/>
  <c r="AA32" i="6"/>
  <c r="AB32" i="6" s="1"/>
  <c r="AG32" i="6"/>
  <c r="AH32" i="6" s="1"/>
  <c r="AN32" i="6"/>
  <c r="AO32" i="6" s="1"/>
  <c r="W34" i="6"/>
  <c r="X34" i="6" s="1"/>
  <c r="AD34" i="6"/>
  <c r="AE34" i="6" s="1"/>
  <c r="AJ34" i="6"/>
  <c r="AK34" i="6" s="1"/>
  <c r="T36" i="6"/>
  <c r="U36" i="6" s="1"/>
  <c r="AA36" i="6"/>
  <c r="AB36" i="6" s="1"/>
  <c r="AG36" i="6"/>
  <c r="AH36" i="6" s="1"/>
  <c r="AN36" i="6"/>
  <c r="AO36" i="6" s="1"/>
  <c r="W38" i="6"/>
  <c r="X38" i="6" s="1"/>
  <c r="AD38" i="6"/>
  <c r="AE38" i="6" s="1"/>
  <c r="AJ38" i="6"/>
  <c r="AK38" i="6" s="1"/>
  <c r="T40" i="6"/>
  <c r="U40" i="6" s="1"/>
  <c r="AA40" i="6"/>
  <c r="AB40" i="6" s="1"/>
  <c r="AG40" i="6"/>
  <c r="AH40" i="6" s="1"/>
  <c r="AN40" i="6"/>
  <c r="AO40" i="6" s="1"/>
  <c r="W42" i="6"/>
  <c r="X42" i="6" s="1"/>
  <c r="AD42" i="6"/>
  <c r="AE42" i="6" s="1"/>
  <c r="AJ42" i="6"/>
  <c r="AK42" i="6" s="1"/>
  <c r="T44" i="6"/>
  <c r="U44" i="6" s="1"/>
  <c r="AG44" i="6"/>
  <c r="AH44" i="6" s="1"/>
  <c r="AN44" i="6"/>
  <c r="AO44" i="6" s="1"/>
  <c r="W46" i="6"/>
  <c r="X46" i="6" s="1"/>
  <c r="AD46" i="6"/>
  <c r="AE46" i="6" s="1"/>
  <c r="AJ46" i="6"/>
  <c r="AK46" i="6" s="1"/>
  <c r="T48" i="6"/>
  <c r="U48" i="6" s="1"/>
  <c r="AA48" i="6"/>
  <c r="AB48" i="6" s="1"/>
  <c r="AG48" i="6"/>
  <c r="AH48" i="6" s="1"/>
  <c r="AN48" i="6"/>
  <c r="AO48" i="6" s="1"/>
  <c r="W50" i="6"/>
  <c r="X50" i="6" s="1"/>
  <c r="AD50" i="6"/>
  <c r="AE50" i="6" s="1"/>
  <c r="AJ50" i="6"/>
  <c r="AK50" i="6" s="1"/>
  <c r="T52" i="6"/>
  <c r="U52" i="6" s="1"/>
  <c r="AA52" i="6"/>
  <c r="AB52" i="6" s="1"/>
  <c r="AG52" i="6"/>
  <c r="AH52" i="6" s="1"/>
  <c r="AN52" i="6"/>
  <c r="AO52" i="6" s="1"/>
  <c r="W54" i="6"/>
  <c r="X54" i="6" s="1"/>
  <c r="AD54" i="6"/>
  <c r="AE54" i="6" s="1"/>
  <c r="AJ54" i="6"/>
  <c r="AK54" i="6" s="1"/>
  <c r="T56" i="6"/>
  <c r="U56" i="6" s="1"/>
  <c r="AA56" i="6"/>
  <c r="AB56" i="6" s="1"/>
  <c r="AG56" i="6"/>
  <c r="AH56" i="6" s="1"/>
  <c r="AN56" i="6"/>
  <c r="AO56" i="6" s="1"/>
  <c r="W58" i="6"/>
  <c r="X58" i="6" s="1"/>
  <c r="AD58" i="6"/>
  <c r="AE58" i="6" s="1"/>
  <c r="AJ58" i="6"/>
  <c r="AK58" i="6" s="1"/>
  <c r="T60" i="6"/>
  <c r="U60" i="6" s="1"/>
  <c r="AA60" i="6"/>
  <c r="AB60" i="6" s="1"/>
  <c r="AG60" i="6"/>
  <c r="AH60" i="6" s="1"/>
  <c r="AN60" i="6"/>
  <c r="AO60" i="6" s="1"/>
  <c r="W62" i="6"/>
  <c r="X62" i="6" s="1"/>
  <c r="AD62" i="6"/>
  <c r="AE62" i="6" s="1"/>
  <c r="AJ62" i="6"/>
  <c r="AK62" i="6" s="1"/>
  <c r="T64" i="6"/>
  <c r="U64" i="6" s="1"/>
  <c r="AA64" i="6"/>
  <c r="AB64" i="6" s="1"/>
  <c r="AG64" i="6"/>
  <c r="AH64" i="6" s="1"/>
  <c r="AN64" i="6"/>
  <c r="AO64" i="6" s="1"/>
  <c r="W66" i="6"/>
  <c r="X66" i="6" s="1"/>
  <c r="AD66" i="6"/>
  <c r="AE66" i="6" s="1"/>
  <c r="AJ66" i="6"/>
  <c r="AK66" i="6" s="1"/>
  <c r="T68" i="6"/>
  <c r="U68" i="6" s="1"/>
  <c r="AA68" i="6"/>
  <c r="AB68" i="6" s="1"/>
  <c r="AG68" i="6"/>
  <c r="AH68" i="6" s="1"/>
  <c r="AN68" i="6"/>
  <c r="AO68" i="6" s="1"/>
  <c r="W70" i="6"/>
  <c r="X70" i="6" s="1"/>
  <c r="AD70" i="6"/>
  <c r="AE70" i="6" s="1"/>
  <c r="AJ70" i="6"/>
  <c r="AK70" i="6" s="1"/>
  <c r="T72" i="6"/>
  <c r="U72" i="6" s="1"/>
  <c r="AG72" i="6"/>
  <c r="AH72" i="6" s="1"/>
  <c r="AN72" i="6"/>
  <c r="AO72" i="6" s="1"/>
  <c r="W74" i="6"/>
  <c r="X74" i="6" s="1"/>
  <c r="AD74" i="6"/>
  <c r="AE74" i="6" s="1"/>
  <c r="AJ74" i="6"/>
  <c r="AK74" i="6" s="1"/>
  <c r="T76" i="6"/>
  <c r="U76" i="6" s="1"/>
  <c r="AA76" i="6"/>
  <c r="AB76" i="6" s="1"/>
  <c r="AG76" i="6"/>
  <c r="AH76" i="6" s="1"/>
  <c r="T77" i="6"/>
  <c r="U77" i="6" s="1"/>
  <c r="W78" i="6"/>
  <c r="X78" i="6" s="1"/>
  <c r="AJ78" i="6"/>
  <c r="AK78" i="6" s="1"/>
  <c r="U79" i="6"/>
  <c r="AA80" i="6"/>
  <c r="AB80" i="6" s="1"/>
  <c r="AN80" i="6"/>
  <c r="AO80" i="6" s="1"/>
  <c r="AD82" i="6"/>
  <c r="AE82" i="6" s="1"/>
  <c r="T84" i="6"/>
  <c r="U84" i="6" s="1"/>
  <c r="AG84" i="6"/>
  <c r="AH84" i="6" s="1"/>
  <c r="AD86" i="6"/>
  <c r="AE86" i="6" s="1"/>
  <c r="T88" i="6"/>
  <c r="U88" i="6" s="1"/>
  <c r="AD90" i="6"/>
  <c r="AE90" i="6" s="1"/>
  <c r="T92" i="6"/>
  <c r="U92" i="6" s="1"/>
  <c r="AD94" i="6"/>
  <c r="AE94" i="6" s="1"/>
  <c r="T96" i="6"/>
  <c r="U96" i="6" s="1"/>
  <c r="AD98" i="6"/>
  <c r="AE98" i="6" s="1"/>
  <c r="T100" i="6"/>
  <c r="U100" i="6" s="1"/>
  <c r="AD102" i="6"/>
  <c r="AE102" i="6" s="1"/>
  <c r="T104" i="6"/>
  <c r="U104" i="6" s="1"/>
  <c r="AD106" i="6"/>
  <c r="AE106" i="6" s="1"/>
  <c r="T108" i="6"/>
  <c r="U108" i="6" s="1"/>
  <c r="AD110" i="6"/>
  <c r="AE110" i="6" s="1"/>
  <c r="T112" i="6"/>
  <c r="U112" i="6" s="1"/>
  <c r="AD114" i="6"/>
  <c r="AE114" i="6" s="1"/>
  <c r="T116" i="6"/>
  <c r="U116" i="6" s="1"/>
  <c r="AD118" i="6"/>
  <c r="AE118" i="6" s="1"/>
  <c r="T120" i="6"/>
  <c r="U120" i="6" s="1"/>
  <c r="AD122" i="6"/>
  <c r="AE122" i="6" s="1"/>
  <c r="T124" i="6"/>
  <c r="U124" i="6" s="1"/>
  <c r="AG126" i="6"/>
  <c r="AH126" i="6" s="1"/>
  <c r="AG129" i="6"/>
  <c r="AH129" i="6" s="1"/>
  <c r="AJ136" i="6"/>
  <c r="AK136" i="6" s="1"/>
  <c r="AA141" i="6"/>
  <c r="AB141" i="6" s="1"/>
  <c r="AG145" i="6"/>
  <c r="AH145" i="6" s="1"/>
  <c r="AJ152" i="6"/>
  <c r="AK152" i="6" s="1"/>
  <c r="AG161" i="6"/>
  <c r="AH161" i="6" s="1"/>
  <c r="AJ168" i="6"/>
  <c r="AK168" i="6" s="1"/>
  <c r="AA173" i="6"/>
  <c r="AB173" i="6" s="1"/>
  <c r="T175" i="6"/>
  <c r="U175" i="6" s="1"/>
  <c r="AJ180" i="6"/>
  <c r="AK180" i="6" s="1"/>
  <c r="AJ183" i="6"/>
  <c r="AK183" i="6" s="1"/>
  <c r="AN190" i="6"/>
  <c r="AO190" i="6" s="1"/>
  <c r="T192" i="6"/>
  <c r="U192" i="6" s="1"/>
  <c r="AG197" i="6"/>
  <c r="AH197" i="6" s="1"/>
  <c r="T198" i="6"/>
  <c r="U198" i="6" s="1"/>
  <c r="AG216" i="6"/>
  <c r="AH216" i="6" s="1"/>
  <c r="AJ231" i="6"/>
  <c r="AK231" i="6" s="1"/>
  <c r="T235" i="6"/>
  <c r="U235" i="6" s="1"/>
  <c r="T95" i="6"/>
  <c r="U95" i="6" s="1"/>
  <c r="T115" i="6"/>
  <c r="U115" i="6" s="1"/>
  <c r="AN364" i="6"/>
  <c r="AO364" i="6" s="1"/>
  <c r="AN365" i="6"/>
  <c r="AO365" i="6" s="1"/>
  <c r="AN359" i="6"/>
  <c r="AO359" i="6" s="1"/>
  <c r="AN355" i="6"/>
  <c r="AO355" i="6" s="1"/>
  <c r="AN357" i="6"/>
  <c r="AO357" i="6" s="1"/>
  <c r="AN356" i="6"/>
  <c r="AO356" i="6" s="1"/>
  <c r="AN353" i="6"/>
  <c r="AO353" i="6" s="1"/>
  <c r="AN349" i="6"/>
  <c r="AO349" i="6" s="1"/>
  <c r="AN345" i="6"/>
  <c r="AO345" i="6" s="1"/>
  <c r="AN341" i="6"/>
  <c r="AO341" i="6" s="1"/>
  <c r="AN362" i="6"/>
  <c r="AO362" i="6" s="1"/>
  <c r="AN367" i="6"/>
  <c r="AO367" i="6" s="1"/>
  <c r="AN360" i="6"/>
  <c r="AO360" i="6" s="1"/>
  <c r="AN358" i="6"/>
  <c r="AO358" i="6" s="1"/>
  <c r="AN352" i="6"/>
  <c r="AO352" i="6" s="1"/>
  <c r="AN343" i="6"/>
  <c r="AO343" i="6" s="1"/>
  <c r="AN342" i="6"/>
  <c r="AO342" i="6" s="1"/>
  <c r="AN338" i="6"/>
  <c r="AO338" i="6" s="1"/>
  <c r="AN334" i="6"/>
  <c r="AO334" i="6" s="1"/>
  <c r="AN348" i="6"/>
  <c r="AO348" i="6" s="1"/>
  <c r="AN347" i="6"/>
  <c r="AO347" i="6" s="1"/>
  <c r="AN344" i="6"/>
  <c r="AO344" i="6" s="1"/>
  <c r="AN340" i="6"/>
  <c r="AO340" i="6" s="1"/>
  <c r="AN339" i="6"/>
  <c r="AO339" i="6" s="1"/>
  <c r="AN337" i="6"/>
  <c r="AO337" i="6" s="1"/>
  <c r="AN331" i="6"/>
  <c r="AO331" i="6" s="1"/>
  <c r="AN327" i="6"/>
  <c r="AO327" i="6" s="1"/>
  <c r="AN323" i="6"/>
  <c r="AO323" i="6" s="1"/>
  <c r="AN363" i="6"/>
  <c r="AO363" i="6" s="1"/>
  <c r="AN351" i="6"/>
  <c r="AO351" i="6" s="1"/>
  <c r="AN350" i="6"/>
  <c r="AO350" i="6" s="1"/>
  <c r="AN333" i="6"/>
  <c r="AO333" i="6" s="1"/>
  <c r="AN328" i="6"/>
  <c r="AO328" i="6" s="1"/>
  <c r="AN324" i="6"/>
  <c r="AO324" i="6" s="1"/>
  <c r="AN320" i="6"/>
  <c r="AO320" i="6" s="1"/>
  <c r="AN316" i="6"/>
  <c r="AO316" i="6" s="1"/>
  <c r="AN312" i="6"/>
  <c r="AO312" i="6" s="1"/>
  <c r="AN346" i="6"/>
  <c r="AO346" i="6" s="1"/>
  <c r="AN322" i="6"/>
  <c r="AO322" i="6" s="1"/>
  <c r="AN321" i="6"/>
  <c r="AO321" i="6" s="1"/>
  <c r="AN315" i="6"/>
  <c r="AO315" i="6" s="1"/>
  <c r="AN311" i="6"/>
  <c r="AO311" i="6" s="1"/>
  <c r="AN307" i="6"/>
  <c r="AO307" i="6" s="1"/>
  <c r="AN303" i="6"/>
  <c r="AO303" i="6" s="1"/>
  <c r="AN299" i="6"/>
  <c r="AO299" i="6" s="1"/>
  <c r="AN295" i="6"/>
  <c r="AO295" i="6" s="1"/>
  <c r="AN291" i="6"/>
  <c r="AO291" i="6" s="1"/>
  <c r="AN287" i="6"/>
  <c r="AO287" i="6" s="1"/>
  <c r="AN283" i="6"/>
  <c r="AO283" i="6" s="1"/>
  <c r="AN361" i="6"/>
  <c r="AO361" i="6" s="1"/>
  <c r="AN335" i="6"/>
  <c r="AO335" i="6" s="1"/>
  <c r="AN332" i="6"/>
  <c r="AO332" i="6" s="1"/>
  <c r="AN326" i="6"/>
  <c r="AO326" i="6" s="1"/>
  <c r="AN325" i="6"/>
  <c r="AO325" i="6" s="1"/>
  <c r="AN318" i="6"/>
  <c r="AO318" i="6" s="1"/>
  <c r="AN317" i="6"/>
  <c r="AO317" i="6" s="1"/>
  <c r="AN308" i="6"/>
  <c r="AO308" i="6" s="1"/>
  <c r="AN366" i="6"/>
  <c r="AO366" i="6" s="1"/>
  <c r="AN336" i="6"/>
  <c r="AO336" i="6" s="1"/>
  <c r="AN330" i="6"/>
  <c r="AO330" i="6" s="1"/>
  <c r="AN329" i="6"/>
  <c r="AO329" i="6" s="1"/>
  <c r="AN314" i="6"/>
  <c r="AO314" i="6" s="1"/>
  <c r="AN313" i="6"/>
  <c r="AO313" i="6" s="1"/>
  <c r="AN354" i="6"/>
  <c r="AO354" i="6" s="1"/>
  <c r="AN319" i="6"/>
  <c r="AO319" i="6" s="1"/>
  <c r="AN306" i="6"/>
  <c r="AO306" i="6" s="1"/>
  <c r="AN302" i="6"/>
  <c r="AO302" i="6" s="1"/>
  <c r="AN293" i="6"/>
  <c r="AO293" i="6" s="1"/>
  <c r="AN292" i="6"/>
  <c r="AO292" i="6" s="1"/>
  <c r="AN286" i="6"/>
  <c r="AO286" i="6" s="1"/>
  <c r="AN310" i="6"/>
  <c r="AO310" i="6" s="1"/>
  <c r="AN309" i="6"/>
  <c r="AO309" i="6" s="1"/>
  <c r="AN305" i="6"/>
  <c r="AO305" i="6" s="1"/>
  <c r="AN304" i="6"/>
  <c r="AO304" i="6" s="1"/>
  <c r="AN298" i="6"/>
  <c r="AO298" i="6" s="1"/>
  <c r="AN289" i="6"/>
  <c r="AO289" i="6" s="1"/>
  <c r="AN288" i="6"/>
  <c r="AO288" i="6" s="1"/>
  <c r="AN301" i="6"/>
  <c r="AO301" i="6" s="1"/>
  <c r="AN300" i="6"/>
  <c r="AO300" i="6" s="1"/>
  <c r="AN294" i="6"/>
  <c r="AO294" i="6" s="1"/>
  <c r="AN285" i="6"/>
  <c r="AO285" i="6" s="1"/>
  <c r="AN279" i="6"/>
  <c r="AO279" i="6" s="1"/>
  <c r="AN275" i="6"/>
  <c r="AO275" i="6" s="1"/>
  <c r="AN271" i="6"/>
  <c r="AO271" i="6" s="1"/>
  <c r="AN267" i="6"/>
  <c r="AO267" i="6" s="1"/>
  <c r="AN263" i="6"/>
  <c r="AO263" i="6" s="1"/>
  <c r="AN259" i="6"/>
  <c r="AO259" i="6" s="1"/>
  <c r="AN255" i="6"/>
  <c r="AO255" i="6" s="1"/>
  <c r="AN251" i="6"/>
  <c r="AO251" i="6" s="1"/>
  <c r="AN247" i="6"/>
  <c r="AO247" i="6" s="1"/>
  <c r="AN243" i="6"/>
  <c r="AO243" i="6" s="1"/>
  <c r="AN297" i="6"/>
  <c r="AO297" i="6" s="1"/>
  <c r="AN290" i="6"/>
  <c r="AO290" i="6" s="1"/>
  <c r="AN282" i="6"/>
  <c r="AO282" i="6" s="1"/>
  <c r="AN276" i="6"/>
  <c r="AO276" i="6" s="1"/>
  <c r="AN272" i="6"/>
  <c r="AO272" i="6" s="1"/>
  <c r="AN268" i="6"/>
  <c r="AO268" i="6" s="1"/>
  <c r="AN264" i="6"/>
  <c r="AO264" i="6" s="1"/>
  <c r="AN260" i="6"/>
  <c r="AO260" i="6" s="1"/>
  <c r="AN256" i="6"/>
  <c r="AO256" i="6" s="1"/>
  <c r="AN252" i="6"/>
  <c r="AO252" i="6" s="1"/>
  <c r="AN248" i="6"/>
  <c r="AO248" i="6" s="1"/>
  <c r="AN244" i="6"/>
  <c r="AO244" i="6" s="1"/>
  <c r="AN296" i="6"/>
  <c r="AO296" i="6" s="1"/>
  <c r="AN284" i="6"/>
  <c r="AO284" i="6" s="1"/>
  <c r="AN277" i="6"/>
  <c r="AO277" i="6" s="1"/>
  <c r="AN273" i="6"/>
  <c r="AO273" i="6" s="1"/>
  <c r="AN269" i="6"/>
  <c r="AO269" i="6" s="1"/>
  <c r="AN265" i="6"/>
  <c r="AO265" i="6" s="1"/>
  <c r="AN261" i="6"/>
  <c r="AO261" i="6" s="1"/>
  <c r="AN257" i="6"/>
  <c r="AO257" i="6" s="1"/>
  <c r="AN253" i="6"/>
  <c r="AO253" i="6" s="1"/>
  <c r="AN249" i="6"/>
  <c r="AO249" i="6" s="1"/>
  <c r="AN245" i="6"/>
  <c r="AO245" i="6" s="1"/>
  <c r="AN241" i="6"/>
  <c r="AO241" i="6" s="1"/>
  <c r="AN278" i="6"/>
  <c r="AO278" i="6" s="1"/>
  <c r="AN274" i="6"/>
  <c r="AO274" i="6" s="1"/>
  <c r="AN270" i="6"/>
  <c r="AO270" i="6" s="1"/>
  <c r="AN266" i="6"/>
  <c r="AO266" i="6" s="1"/>
  <c r="AN262" i="6"/>
  <c r="AO262" i="6" s="1"/>
  <c r="AN258" i="6"/>
  <c r="AO258" i="6" s="1"/>
  <c r="AN254" i="6"/>
  <c r="AO254" i="6" s="1"/>
  <c r="AN250" i="6"/>
  <c r="AO250" i="6" s="1"/>
  <c r="AN246" i="6"/>
  <c r="AO246" i="6" s="1"/>
  <c r="AN240" i="6"/>
  <c r="AO240" i="6" s="1"/>
  <c r="AN238" i="6"/>
  <c r="AO238" i="6" s="1"/>
  <c r="AN234" i="6"/>
  <c r="AO234" i="6" s="1"/>
  <c r="AN230" i="6"/>
  <c r="AO230" i="6" s="1"/>
  <c r="AN226" i="6"/>
  <c r="AO226" i="6" s="1"/>
  <c r="AN222" i="6"/>
  <c r="AO222" i="6" s="1"/>
  <c r="AN218" i="6"/>
  <c r="AO218" i="6" s="1"/>
  <c r="AN214" i="6"/>
  <c r="AO214" i="6" s="1"/>
  <c r="AN210" i="6"/>
  <c r="AO210" i="6" s="1"/>
  <c r="AN281" i="6"/>
  <c r="AO281" i="6" s="1"/>
  <c r="AN242" i="6"/>
  <c r="AO242" i="6" s="1"/>
  <c r="AN239" i="6"/>
  <c r="AO239" i="6" s="1"/>
  <c r="AN235" i="6"/>
  <c r="AO235" i="6" s="1"/>
  <c r="AN231" i="6"/>
  <c r="AO231" i="6" s="1"/>
  <c r="AN227" i="6"/>
  <c r="AO227" i="6" s="1"/>
  <c r="AN223" i="6"/>
  <c r="AO223" i="6" s="1"/>
  <c r="AN219" i="6"/>
  <c r="AO219" i="6" s="1"/>
  <c r="AN215" i="6"/>
  <c r="AO215" i="6" s="1"/>
  <c r="AN211" i="6"/>
  <c r="AO211" i="6" s="1"/>
  <c r="AN207" i="6"/>
  <c r="AO207" i="6" s="1"/>
  <c r="AN280" i="6"/>
  <c r="AO280" i="6" s="1"/>
  <c r="AN229" i="6"/>
  <c r="AO229" i="6" s="1"/>
  <c r="AN221" i="6"/>
  <c r="AO221" i="6" s="1"/>
  <c r="AN213" i="6"/>
  <c r="AO213" i="6" s="1"/>
  <c r="AN203" i="6"/>
  <c r="AO203" i="6" s="1"/>
  <c r="AN199" i="6"/>
  <c r="AO199" i="6" s="1"/>
  <c r="AN195" i="6"/>
  <c r="AO195" i="6" s="1"/>
  <c r="AN191" i="6"/>
  <c r="AO191" i="6" s="1"/>
  <c r="AN187" i="6"/>
  <c r="AO187" i="6" s="1"/>
  <c r="AN183" i="6"/>
  <c r="AO183" i="6" s="1"/>
  <c r="AN179" i="6"/>
  <c r="AO179" i="6" s="1"/>
  <c r="AN175" i="6"/>
  <c r="AO175" i="6" s="1"/>
  <c r="AN171" i="6"/>
  <c r="AO171" i="6" s="1"/>
  <c r="AN167" i="6"/>
  <c r="AO167" i="6" s="1"/>
  <c r="AN163" i="6"/>
  <c r="AO163" i="6" s="1"/>
  <c r="AN159" i="6"/>
  <c r="AO159" i="6" s="1"/>
  <c r="AN155" i="6"/>
  <c r="AO155" i="6" s="1"/>
  <c r="AN151" i="6"/>
  <c r="AO151" i="6" s="1"/>
  <c r="AN147" i="6"/>
  <c r="AO147" i="6" s="1"/>
  <c r="AN143" i="6"/>
  <c r="AO143" i="6" s="1"/>
  <c r="AN139" i="6"/>
  <c r="AO139" i="6" s="1"/>
  <c r="AN135" i="6"/>
  <c r="AO135" i="6" s="1"/>
  <c r="AN131" i="6"/>
  <c r="AO131" i="6" s="1"/>
  <c r="AN232" i="6"/>
  <c r="AO232" i="6" s="1"/>
  <c r="AN224" i="6"/>
  <c r="AO224" i="6" s="1"/>
  <c r="AN216" i="6"/>
  <c r="AO216" i="6" s="1"/>
  <c r="AN208" i="6"/>
  <c r="AO208" i="6" s="1"/>
  <c r="AN206" i="6"/>
  <c r="AO206" i="6" s="1"/>
  <c r="AN200" i="6"/>
  <c r="AO200" i="6" s="1"/>
  <c r="AN196" i="6"/>
  <c r="AO196" i="6" s="1"/>
  <c r="AN192" i="6"/>
  <c r="AO192" i="6" s="1"/>
  <c r="AN188" i="6"/>
  <c r="AO188" i="6" s="1"/>
  <c r="AN184" i="6"/>
  <c r="AO184" i="6" s="1"/>
  <c r="AN180" i="6"/>
  <c r="AO180" i="6" s="1"/>
  <c r="AN176" i="6"/>
  <c r="AO176" i="6" s="1"/>
  <c r="AN172" i="6"/>
  <c r="AO172" i="6" s="1"/>
  <c r="AN168" i="6"/>
  <c r="AO168" i="6" s="1"/>
  <c r="AN164" i="6"/>
  <c r="AO164" i="6" s="1"/>
  <c r="AN160" i="6"/>
  <c r="AO160" i="6" s="1"/>
  <c r="AN156" i="6"/>
  <c r="AO156" i="6" s="1"/>
  <c r="AN152" i="6"/>
  <c r="AO152" i="6" s="1"/>
  <c r="AN148" i="6"/>
  <c r="AO148" i="6" s="1"/>
  <c r="AN144" i="6"/>
  <c r="AO144" i="6" s="1"/>
  <c r="AN140" i="6"/>
  <c r="AO140" i="6" s="1"/>
  <c r="AN136" i="6"/>
  <c r="AO136" i="6" s="1"/>
  <c r="AN132" i="6"/>
  <c r="AO132" i="6" s="1"/>
  <c r="AN128" i="6"/>
  <c r="AO128" i="6" s="1"/>
  <c r="AN237" i="6"/>
  <c r="AO237" i="6" s="1"/>
  <c r="AN220" i="6"/>
  <c r="AO220" i="6" s="1"/>
  <c r="AN217" i="6"/>
  <c r="AO217" i="6" s="1"/>
  <c r="AN194" i="6"/>
  <c r="AO194" i="6" s="1"/>
  <c r="AN193" i="6"/>
  <c r="AO193" i="6" s="1"/>
  <c r="AN178" i="6"/>
  <c r="AO178" i="6" s="1"/>
  <c r="AN177" i="6"/>
  <c r="AO177" i="6" s="1"/>
  <c r="AN166" i="6"/>
  <c r="AO166" i="6" s="1"/>
  <c r="AN158" i="6"/>
  <c r="AO158" i="6" s="1"/>
  <c r="AN150" i="6"/>
  <c r="AO150" i="6" s="1"/>
  <c r="AN142" i="6"/>
  <c r="AO142" i="6" s="1"/>
  <c r="AN134" i="6"/>
  <c r="AO134" i="6" s="1"/>
  <c r="AN126" i="6"/>
  <c r="AO126" i="6" s="1"/>
  <c r="AN125" i="6"/>
  <c r="AO125" i="6" s="1"/>
  <c r="AN121" i="6"/>
  <c r="AO121" i="6" s="1"/>
  <c r="AN117" i="6"/>
  <c r="AO117" i="6" s="1"/>
  <c r="AN113" i="6"/>
  <c r="AO113" i="6" s="1"/>
  <c r="AN109" i="6"/>
  <c r="AO109" i="6" s="1"/>
  <c r="AN105" i="6"/>
  <c r="AO105" i="6" s="1"/>
  <c r="AN101" i="6"/>
  <c r="AO101" i="6" s="1"/>
  <c r="AN97" i="6"/>
  <c r="AO97" i="6" s="1"/>
  <c r="AN93" i="6"/>
  <c r="AO93" i="6" s="1"/>
  <c r="AN89" i="6"/>
  <c r="AO89" i="6" s="1"/>
  <c r="AN85" i="6"/>
  <c r="AO85" i="6" s="1"/>
  <c r="AN81" i="6"/>
  <c r="AO81" i="6" s="1"/>
  <c r="AN77" i="6"/>
  <c r="AO77" i="6" s="1"/>
  <c r="AN236" i="6"/>
  <c r="AO236" i="6" s="1"/>
  <c r="AN228" i="6"/>
  <c r="AO228" i="6" s="1"/>
  <c r="AN225" i="6"/>
  <c r="AO225" i="6" s="1"/>
  <c r="AN204" i="6"/>
  <c r="AO204" i="6" s="1"/>
  <c r="AN198" i="6"/>
  <c r="AO198" i="6" s="1"/>
  <c r="AN197" i="6"/>
  <c r="AO197" i="6" s="1"/>
  <c r="AN182" i="6"/>
  <c r="AO182" i="6" s="1"/>
  <c r="AN181" i="6"/>
  <c r="AO181" i="6" s="1"/>
  <c r="AN169" i="6"/>
  <c r="AO169" i="6" s="1"/>
  <c r="AN161" i="6"/>
  <c r="AO161" i="6" s="1"/>
  <c r="AN153" i="6"/>
  <c r="AO153" i="6" s="1"/>
  <c r="AN145" i="6"/>
  <c r="AO145" i="6" s="1"/>
  <c r="AN137" i="6"/>
  <c r="AO137" i="6" s="1"/>
  <c r="AN129" i="6"/>
  <c r="AO129" i="6" s="1"/>
  <c r="AN122" i="6"/>
  <c r="AO122" i="6" s="1"/>
  <c r="AN118" i="6"/>
  <c r="AO118" i="6" s="1"/>
  <c r="AN114" i="6"/>
  <c r="AO114" i="6" s="1"/>
  <c r="AN110" i="6"/>
  <c r="AO110" i="6" s="1"/>
  <c r="AN106" i="6"/>
  <c r="AO106" i="6" s="1"/>
  <c r="AN102" i="6"/>
  <c r="AO102" i="6" s="1"/>
  <c r="AN98" i="6"/>
  <c r="AO98" i="6" s="1"/>
  <c r="AN94" i="6"/>
  <c r="AO94" i="6" s="1"/>
  <c r="AN90" i="6"/>
  <c r="AO90" i="6" s="1"/>
  <c r="AN86" i="6"/>
  <c r="AO86" i="6" s="1"/>
  <c r="AN233" i="6"/>
  <c r="AO233" i="6" s="1"/>
  <c r="AN202" i="6"/>
  <c r="AO202" i="6" s="1"/>
  <c r="AN201" i="6"/>
  <c r="AO201" i="6" s="1"/>
  <c r="AN186" i="6"/>
  <c r="AO186" i="6" s="1"/>
  <c r="AN185" i="6"/>
  <c r="AO185" i="6" s="1"/>
  <c r="AN170" i="6"/>
  <c r="AO170" i="6" s="1"/>
  <c r="AN162" i="6"/>
  <c r="AO162" i="6" s="1"/>
  <c r="AN154" i="6"/>
  <c r="AO154" i="6" s="1"/>
  <c r="AN146" i="6"/>
  <c r="AO146" i="6" s="1"/>
  <c r="AN138" i="6"/>
  <c r="AO138" i="6" s="1"/>
  <c r="AN130" i="6"/>
  <c r="AO130" i="6" s="1"/>
  <c r="AN127" i="6"/>
  <c r="AO127" i="6" s="1"/>
  <c r="AN123" i="6"/>
  <c r="AO123" i="6" s="1"/>
  <c r="AN119" i="6"/>
  <c r="AO119" i="6" s="1"/>
  <c r="AN115" i="6"/>
  <c r="AO115" i="6" s="1"/>
  <c r="AN111" i="6"/>
  <c r="AO111" i="6" s="1"/>
  <c r="AN107" i="6"/>
  <c r="AO107" i="6" s="1"/>
  <c r="AN103" i="6"/>
  <c r="AO103" i="6" s="1"/>
  <c r="AN99" i="6"/>
  <c r="AO99" i="6" s="1"/>
  <c r="AN95" i="6"/>
  <c r="AO95" i="6" s="1"/>
  <c r="AN91" i="6"/>
  <c r="AO91" i="6" s="1"/>
  <c r="AN87" i="6"/>
  <c r="AO87" i="6" s="1"/>
  <c r="AN83" i="6"/>
  <c r="AO83" i="6" s="1"/>
  <c r="AN79" i="6"/>
  <c r="AO79" i="6" s="1"/>
  <c r="N372" i="6"/>
  <c r="N368" i="6"/>
  <c r="AP372" i="6"/>
  <c r="G371" i="6"/>
  <c r="AX371" i="6"/>
  <c r="T15" i="6"/>
  <c r="U15" i="6" s="1"/>
  <c r="AG15" i="6"/>
  <c r="AN15" i="6"/>
  <c r="BI370" i="6"/>
  <c r="W17" i="6"/>
  <c r="X17" i="6" s="1"/>
  <c r="AD17" i="6"/>
  <c r="AE17" i="6" s="1"/>
  <c r="AJ17" i="6"/>
  <c r="AK17" i="6" s="1"/>
  <c r="T19" i="6"/>
  <c r="U19" i="6" s="1"/>
  <c r="AA19" i="6"/>
  <c r="AB19" i="6" s="1"/>
  <c r="AG19" i="6"/>
  <c r="AH19" i="6" s="1"/>
  <c r="AN19" i="6"/>
  <c r="AO19" i="6" s="1"/>
  <c r="W21" i="6"/>
  <c r="X21" i="6" s="1"/>
  <c r="AD21" i="6"/>
  <c r="AE21" i="6" s="1"/>
  <c r="AJ21" i="6"/>
  <c r="AK21" i="6" s="1"/>
  <c r="T23" i="6"/>
  <c r="U23" i="6" s="1"/>
  <c r="AG23" i="6"/>
  <c r="AH23" i="6" s="1"/>
  <c r="AN23" i="6"/>
  <c r="AO23" i="6" s="1"/>
  <c r="W25" i="6"/>
  <c r="X25" i="6" s="1"/>
  <c r="AD25" i="6"/>
  <c r="AE25" i="6" s="1"/>
  <c r="AJ25" i="6"/>
  <c r="AK25" i="6" s="1"/>
  <c r="T27" i="6"/>
  <c r="U27" i="6" s="1"/>
  <c r="AA27" i="6"/>
  <c r="AB27" i="6" s="1"/>
  <c r="AG27" i="6"/>
  <c r="AH27" i="6" s="1"/>
  <c r="AN27" i="6"/>
  <c r="AO27" i="6" s="1"/>
  <c r="W29" i="6"/>
  <c r="X29" i="6" s="1"/>
  <c r="AD29" i="6"/>
  <c r="AE29" i="6" s="1"/>
  <c r="AJ29" i="6"/>
  <c r="AK29" i="6" s="1"/>
  <c r="T31" i="6"/>
  <c r="U31" i="6" s="1"/>
  <c r="AA31" i="6"/>
  <c r="AB31" i="6" s="1"/>
  <c r="AG31" i="6"/>
  <c r="AH31" i="6" s="1"/>
  <c r="AN31" i="6"/>
  <c r="AO31" i="6" s="1"/>
  <c r="W33" i="6"/>
  <c r="X33" i="6" s="1"/>
  <c r="AD33" i="6"/>
  <c r="AE33" i="6" s="1"/>
  <c r="AJ33" i="6"/>
  <c r="AK33" i="6" s="1"/>
  <c r="T35" i="6"/>
  <c r="U35" i="6" s="1"/>
  <c r="AA35" i="6"/>
  <c r="AB35" i="6" s="1"/>
  <c r="AG35" i="6"/>
  <c r="AH35" i="6" s="1"/>
  <c r="AN35" i="6"/>
  <c r="AO35" i="6" s="1"/>
  <c r="W37" i="6"/>
  <c r="X37" i="6" s="1"/>
  <c r="AD37" i="6"/>
  <c r="AE37" i="6" s="1"/>
  <c r="AJ37" i="6"/>
  <c r="AK37" i="6" s="1"/>
  <c r="T39" i="6"/>
  <c r="U39" i="6" s="1"/>
  <c r="AA39" i="6"/>
  <c r="AB39" i="6" s="1"/>
  <c r="AG39" i="6"/>
  <c r="AH39" i="6" s="1"/>
  <c r="AN39" i="6"/>
  <c r="AO39" i="6" s="1"/>
  <c r="W41" i="6"/>
  <c r="X41" i="6" s="1"/>
  <c r="AD41" i="6"/>
  <c r="AE41" i="6" s="1"/>
  <c r="AJ41" i="6"/>
  <c r="AK41" i="6" s="1"/>
  <c r="T43" i="6"/>
  <c r="U43" i="6" s="1"/>
  <c r="AG43" i="6"/>
  <c r="AH43" i="6" s="1"/>
  <c r="AN43" i="6"/>
  <c r="AO43" i="6" s="1"/>
  <c r="W45" i="6"/>
  <c r="X45" i="6" s="1"/>
  <c r="AD45" i="6"/>
  <c r="AE45" i="6" s="1"/>
  <c r="AJ45" i="6"/>
  <c r="AK45" i="6" s="1"/>
  <c r="T47" i="6"/>
  <c r="U47" i="6" s="1"/>
  <c r="AA47" i="6"/>
  <c r="AB47" i="6" s="1"/>
  <c r="AG47" i="6"/>
  <c r="AH47" i="6" s="1"/>
  <c r="AN47" i="6"/>
  <c r="AO47" i="6" s="1"/>
  <c r="W49" i="6"/>
  <c r="X49" i="6" s="1"/>
  <c r="AD49" i="6"/>
  <c r="AE49" i="6" s="1"/>
  <c r="AJ49" i="6"/>
  <c r="AK49" i="6" s="1"/>
  <c r="T51" i="6"/>
  <c r="U51" i="6" s="1"/>
  <c r="AA51" i="6"/>
  <c r="AB51" i="6" s="1"/>
  <c r="AG51" i="6"/>
  <c r="AH51" i="6" s="1"/>
  <c r="AN51" i="6"/>
  <c r="AO51" i="6" s="1"/>
  <c r="W53" i="6"/>
  <c r="X53" i="6" s="1"/>
  <c r="AD53" i="6"/>
  <c r="AE53" i="6" s="1"/>
  <c r="AJ53" i="6"/>
  <c r="AK53" i="6" s="1"/>
  <c r="T55" i="6"/>
  <c r="U55" i="6" s="1"/>
  <c r="AA55" i="6"/>
  <c r="AB55" i="6" s="1"/>
  <c r="AG55" i="6"/>
  <c r="AH55" i="6" s="1"/>
  <c r="AN55" i="6"/>
  <c r="AO55" i="6" s="1"/>
  <c r="W57" i="6"/>
  <c r="X57" i="6" s="1"/>
  <c r="AD57" i="6"/>
  <c r="AE57" i="6" s="1"/>
  <c r="AJ57" i="6"/>
  <c r="AK57" i="6" s="1"/>
  <c r="T59" i="6"/>
  <c r="U59" i="6" s="1"/>
  <c r="AA59" i="6"/>
  <c r="AB59" i="6" s="1"/>
  <c r="AG59" i="6"/>
  <c r="AH59" i="6" s="1"/>
  <c r="AN59" i="6"/>
  <c r="AO59" i="6" s="1"/>
  <c r="W61" i="6"/>
  <c r="X61" i="6" s="1"/>
  <c r="AD61" i="6"/>
  <c r="AE61" i="6" s="1"/>
  <c r="AJ61" i="6"/>
  <c r="AK61" i="6" s="1"/>
  <c r="T63" i="6"/>
  <c r="U63" i="6" s="1"/>
  <c r="AG63" i="6"/>
  <c r="AH63" i="6" s="1"/>
  <c r="AN63" i="6"/>
  <c r="AO63" i="6" s="1"/>
  <c r="W65" i="6"/>
  <c r="X65" i="6" s="1"/>
  <c r="AD65" i="6"/>
  <c r="AE65" i="6" s="1"/>
  <c r="AJ65" i="6"/>
  <c r="AK65" i="6" s="1"/>
  <c r="T67" i="6"/>
  <c r="U67" i="6" s="1"/>
  <c r="AG67" i="6"/>
  <c r="AH67" i="6" s="1"/>
  <c r="AN67" i="6"/>
  <c r="AO67" i="6" s="1"/>
  <c r="W69" i="6"/>
  <c r="X69" i="6" s="1"/>
  <c r="AD69" i="6"/>
  <c r="AE69" i="6" s="1"/>
  <c r="AJ69" i="6"/>
  <c r="AK69" i="6" s="1"/>
  <c r="T71" i="6"/>
  <c r="U71" i="6" s="1"/>
  <c r="AA71" i="6"/>
  <c r="AB71" i="6" s="1"/>
  <c r="AG71" i="6"/>
  <c r="AH71" i="6" s="1"/>
  <c r="AN71" i="6"/>
  <c r="AO71" i="6" s="1"/>
  <c r="W73" i="6"/>
  <c r="X73" i="6" s="1"/>
  <c r="AD73" i="6"/>
  <c r="AE73" i="6" s="1"/>
  <c r="AJ73" i="6"/>
  <c r="AK73" i="6" s="1"/>
  <c r="T75" i="6"/>
  <c r="U75" i="6" s="1"/>
  <c r="AA75" i="6"/>
  <c r="AB75" i="6" s="1"/>
  <c r="AG75" i="6"/>
  <c r="AH75" i="6" s="1"/>
  <c r="AN75" i="6"/>
  <c r="AO75" i="6" s="1"/>
  <c r="AJ76" i="6"/>
  <c r="AK76" i="6" s="1"/>
  <c r="AA78" i="6"/>
  <c r="AB78" i="6" s="1"/>
  <c r="AN78" i="6"/>
  <c r="AO78" i="6" s="1"/>
  <c r="AD80" i="6"/>
  <c r="AE80" i="6" s="1"/>
  <c r="T82" i="6"/>
  <c r="U82" i="6" s="1"/>
  <c r="AG82" i="6"/>
  <c r="AH82" i="6" s="1"/>
  <c r="T83" i="6"/>
  <c r="U83" i="6" s="1"/>
  <c r="W84" i="6"/>
  <c r="X84" i="6" s="1"/>
  <c r="AJ84" i="6"/>
  <c r="AK84" i="6" s="1"/>
  <c r="AJ86" i="6"/>
  <c r="AK86" i="6" s="1"/>
  <c r="AJ90" i="6"/>
  <c r="AK90" i="6" s="1"/>
  <c r="AJ94" i="6"/>
  <c r="AK94" i="6" s="1"/>
  <c r="AJ98" i="6"/>
  <c r="AK98" i="6" s="1"/>
  <c r="AA100" i="6"/>
  <c r="AB100" i="6" s="1"/>
  <c r="AJ102" i="6"/>
  <c r="AK102" i="6" s="1"/>
  <c r="AA104" i="6"/>
  <c r="AB104" i="6" s="1"/>
  <c r="AJ106" i="6"/>
  <c r="AK106" i="6" s="1"/>
  <c r="AA108" i="6"/>
  <c r="AB108" i="6" s="1"/>
  <c r="AJ110" i="6"/>
  <c r="AK110" i="6" s="1"/>
  <c r="AA112" i="6"/>
  <c r="AB112" i="6" s="1"/>
  <c r="AJ114" i="6"/>
  <c r="AK114" i="6" s="1"/>
  <c r="AA116" i="6"/>
  <c r="AB116" i="6" s="1"/>
  <c r="AJ118" i="6"/>
  <c r="AK118" i="6" s="1"/>
  <c r="AA120" i="6"/>
  <c r="AB120" i="6" s="1"/>
  <c r="AJ122" i="6"/>
  <c r="AK122" i="6" s="1"/>
  <c r="AA124" i="6"/>
  <c r="AB124" i="6" s="1"/>
  <c r="T127" i="6"/>
  <c r="U127" i="6" s="1"/>
  <c r="W128" i="6"/>
  <c r="X128" i="6" s="1"/>
  <c r="T137" i="6"/>
  <c r="U137" i="6" s="1"/>
  <c r="AD140" i="6"/>
  <c r="AE140" i="6" s="1"/>
  <c r="AN141" i="6"/>
  <c r="AO141" i="6" s="1"/>
  <c r="W144" i="6"/>
  <c r="X144" i="6" s="1"/>
  <c r="T153" i="6"/>
  <c r="U153" i="6" s="1"/>
  <c r="AD156" i="6"/>
  <c r="AE156" i="6" s="1"/>
  <c r="AN157" i="6"/>
  <c r="AO157" i="6" s="1"/>
  <c r="W160" i="6"/>
  <c r="X160" i="6" s="1"/>
  <c r="T169" i="6"/>
  <c r="U169" i="6" s="1"/>
  <c r="AD172" i="6"/>
  <c r="AE172" i="6" s="1"/>
  <c r="AN173" i="6"/>
  <c r="AO173" i="6" s="1"/>
  <c r="AA174" i="6"/>
  <c r="AB174" i="6" s="1"/>
  <c r="AD175" i="6"/>
  <c r="AE175" i="6" s="1"/>
  <c r="T177" i="6"/>
  <c r="U177" i="6" s="1"/>
  <c r="T181" i="6"/>
  <c r="U181" i="6" s="1"/>
  <c r="W196" i="6"/>
  <c r="X196" i="6" s="1"/>
  <c r="AG198" i="6"/>
  <c r="AH198" i="6" s="1"/>
  <c r="W199" i="6"/>
  <c r="X199" i="6" s="1"/>
  <c r="AD211" i="6"/>
  <c r="AE211" i="6" s="1"/>
  <c r="AJ222" i="6"/>
  <c r="AK222" i="6" s="1"/>
  <c r="AA228" i="6"/>
  <c r="AB228" i="6" s="1"/>
  <c r="T87" i="6"/>
  <c r="U87" i="6" s="1"/>
  <c r="T107" i="6"/>
  <c r="U107" i="6" s="1"/>
  <c r="T119" i="6"/>
  <c r="U119" i="6" s="1"/>
  <c r="C371" i="6"/>
  <c r="S371" i="6"/>
  <c r="AN11" i="6"/>
  <c r="AO11" i="6" s="1"/>
  <c r="C372" i="6"/>
  <c r="C368" i="6"/>
  <c r="G372" i="6"/>
  <c r="G368" i="6"/>
  <c r="S372" i="6"/>
  <c r="S368" i="6"/>
  <c r="X9" i="6"/>
  <c r="AE9" i="6"/>
  <c r="AK9" i="6"/>
  <c r="AX368" i="6"/>
  <c r="AX372" i="6"/>
  <c r="T10" i="6"/>
  <c r="AA10" i="6"/>
  <c r="AG10" i="6"/>
  <c r="AN10" i="6"/>
  <c r="W12" i="6"/>
  <c r="X12" i="6" s="1"/>
  <c r="AD12" i="6"/>
  <c r="AE12" i="6" s="1"/>
  <c r="AJ12" i="6"/>
  <c r="AK12" i="6" s="1"/>
  <c r="AA14" i="6"/>
  <c r="AB14" i="6" s="1"/>
  <c r="AG14" i="6"/>
  <c r="AH14" i="6" s="1"/>
  <c r="AN14" i="6"/>
  <c r="AO14" i="6" s="1"/>
  <c r="W16" i="6"/>
  <c r="X16" i="6" s="1"/>
  <c r="AD16" i="6"/>
  <c r="AE16" i="6" s="1"/>
  <c r="AJ16" i="6"/>
  <c r="AK16" i="6" s="1"/>
  <c r="AA18" i="6"/>
  <c r="AB18" i="6" s="1"/>
  <c r="AG18" i="6"/>
  <c r="AH18" i="6" s="1"/>
  <c r="AN18" i="6"/>
  <c r="AO18" i="6" s="1"/>
  <c r="W20" i="6"/>
  <c r="X20" i="6" s="1"/>
  <c r="AD20" i="6"/>
  <c r="AE20" i="6" s="1"/>
  <c r="AJ20" i="6"/>
  <c r="AK20" i="6" s="1"/>
  <c r="AA22" i="6"/>
  <c r="AB22" i="6" s="1"/>
  <c r="AG22" i="6"/>
  <c r="AH22" i="6" s="1"/>
  <c r="AN22" i="6"/>
  <c r="AO22" i="6" s="1"/>
  <c r="W24" i="6"/>
  <c r="X24" i="6" s="1"/>
  <c r="AD24" i="6"/>
  <c r="AE24" i="6" s="1"/>
  <c r="AJ24" i="6"/>
  <c r="AK24" i="6" s="1"/>
  <c r="AA26" i="6"/>
  <c r="AB26" i="6" s="1"/>
  <c r="AG26" i="6"/>
  <c r="AH26" i="6" s="1"/>
  <c r="AN26" i="6"/>
  <c r="AO26" i="6" s="1"/>
  <c r="W28" i="6"/>
  <c r="X28" i="6" s="1"/>
  <c r="AD28" i="6"/>
  <c r="AE28" i="6" s="1"/>
  <c r="AJ28" i="6"/>
  <c r="AK28" i="6" s="1"/>
  <c r="AA30" i="6"/>
  <c r="AB30" i="6" s="1"/>
  <c r="AG30" i="6"/>
  <c r="AH30" i="6" s="1"/>
  <c r="AN30" i="6"/>
  <c r="AO30" i="6" s="1"/>
  <c r="W32" i="6"/>
  <c r="X32" i="6" s="1"/>
  <c r="AD32" i="6"/>
  <c r="AE32" i="6" s="1"/>
  <c r="AJ32" i="6"/>
  <c r="AK32" i="6" s="1"/>
  <c r="AA34" i="6"/>
  <c r="AB34" i="6" s="1"/>
  <c r="AG34" i="6"/>
  <c r="AH34" i="6" s="1"/>
  <c r="AN34" i="6"/>
  <c r="AO34" i="6" s="1"/>
  <c r="W36" i="6"/>
  <c r="X36" i="6" s="1"/>
  <c r="AD36" i="6"/>
  <c r="AE36" i="6" s="1"/>
  <c r="AJ36" i="6"/>
  <c r="AK36" i="6" s="1"/>
  <c r="AA38" i="6"/>
  <c r="AB38" i="6" s="1"/>
  <c r="AG38" i="6"/>
  <c r="AH38" i="6" s="1"/>
  <c r="AN38" i="6"/>
  <c r="AO38" i="6" s="1"/>
  <c r="W40" i="6"/>
  <c r="X40" i="6" s="1"/>
  <c r="AD40" i="6"/>
  <c r="AE40" i="6" s="1"/>
  <c r="AJ40" i="6"/>
  <c r="AK40" i="6" s="1"/>
  <c r="AG42" i="6"/>
  <c r="AH42" i="6" s="1"/>
  <c r="AN42" i="6"/>
  <c r="AO42" i="6" s="1"/>
  <c r="W44" i="6"/>
  <c r="X44" i="6" s="1"/>
  <c r="AD44" i="6"/>
  <c r="AE44" i="6" s="1"/>
  <c r="AJ44" i="6"/>
  <c r="AK44" i="6" s="1"/>
  <c r="AA46" i="6"/>
  <c r="AB46" i="6" s="1"/>
  <c r="AG46" i="6"/>
  <c r="AH46" i="6" s="1"/>
  <c r="AN46" i="6"/>
  <c r="AO46" i="6" s="1"/>
  <c r="W48" i="6"/>
  <c r="X48" i="6" s="1"/>
  <c r="AD48" i="6"/>
  <c r="AE48" i="6" s="1"/>
  <c r="AJ48" i="6"/>
  <c r="AK48" i="6" s="1"/>
  <c r="AA50" i="6"/>
  <c r="AB50" i="6" s="1"/>
  <c r="AG50" i="6"/>
  <c r="AH50" i="6" s="1"/>
  <c r="AN50" i="6"/>
  <c r="AO50" i="6" s="1"/>
  <c r="W52" i="6"/>
  <c r="X52" i="6" s="1"/>
  <c r="AD52" i="6"/>
  <c r="AE52" i="6" s="1"/>
  <c r="AJ52" i="6"/>
  <c r="AK52" i="6" s="1"/>
  <c r="AA54" i="6"/>
  <c r="AB54" i="6" s="1"/>
  <c r="AG54" i="6"/>
  <c r="AH54" i="6" s="1"/>
  <c r="AN54" i="6"/>
  <c r="AO54" i="6" s="1"/>
  <c r="W56" i="6"/>
  <c r="X56" i="6" s="1"/>
  <c r="AD56" i="6"/>
  <c r="AE56" i="6" s="1"/>
  <c r="AJ56" i="6"/>
  <c r="AK56" i="6" s="1"/>
  <c r="AA58" i="6"/>
  <c r="AB58" i="6" s="1"/>
  <c r="AG58" i="6"/>
  <c r="AH58" i="6" s="1"/>
  <c r="AN58" i="6"/>
  <c r="AO58" i="6" s="1"/>
  <c r="W60" i="6"/>
  <c r="X60" i="6" s="1"/>
  <c r="AD60" i="6"/>
  <c r="AE60" i="6" s="1"/>
  <c r="AJ60" i="6"/>
  <c r="AK60" i="6" s="1"/>
  <c r="AA62" i="6"/>
  <c r="AB62" i="6" s="1"/>
  <c r="AG62" i="6"/>
  <c r="AH62" i="6" s="1"/>
  <c r="AN62" i="6"/>
  <c r="AO62" i="6" s="1"/>
  <c r="W64" i="6"/>
  <c r="X64" i="6" s="1"/>
  <c r="AD64" i="6"/>
  <c r="AE64" i="6" s="1"/>
  <c r="AJ64" i="6"/>
  <c r="AK64" i="6" s="1"/>
  <c r="AA66" i="6"/>
  <c r="AB66" i="6" s="1"/>
  <c r="AG66" i="6"/>
  <c r="AH66" i="6" s="1"/>
  <c r="AN66" i="6"/>
  <c r="AO66" i="6" s="1"/>
  <c r="W68" i="6"/>
  <c r="X68" i="6" s="1"/>
  <c r="AD68" i="6"/>
  <c r="AE68" i="6" s="1"/>
  <c r="AJ68" i="6"/>
  <c r="AK68" i="6" s="1"/>
  <c r="AG70" i="6"/>
  <c r="AH70" i="6" s="1"/>
  <c r="AN70" i="6"/>
  <c r="AO70" i="6" s="1"/>
  <c r="W72" i="6"/>
  <c r="X72" i="6" s="1"/>
  <c r="AD72" i="6"/>
  <c r="AE72" i="6" s="1"/>
  <c r="AJ72" i="6"/>
  <c r="AK72" i="6" s="1"/>
  <c r="AG74" i="6"/>
  <c r="AH74" i="6" s="1"/>
  <c r="AN74" i="6"/>
  <c r="AO74" i="6" s="1"/>
  <c r="W76" i="6"/>
  <c r="X76" i="6" s="1"/>
  <c r="AD76" i="6"/>
  <c r="AE76" i="6" s="1"/>
  <c r="AN76" i="6"/>
  <c r="AO76" i="6" s="1"/>
  <c r="AD78" i="6"/>
  <c r="AE78" i="6" s="1"/>
  <c r="T80" i="6"/>
  <c r="U80" i="6" s="1"/>
  <c r="AG80" i="6"/>
  <c r="AH80" i="6" s="1"/>
  <c r="T81" i="6"/>
  <c r="U81" i="6" s="1"/>
  <c r="W82" i="6"/>
  <c r="X82" i="6" s="1"/>
  <c r="AJ82" i="6"/>
  <c r="AK82" i="6" s="1"/>
  <c r="AN84" i="6"/>
  <c r="AO84" i="6" s="1"/>
  <c r="AG88" i="6"/>
  <c r="AH88" i="6" s="1"/>
  <c r="AG92" i="6"/>
  <c r="AH92" i="6" s="1"/>
  <c r="AG96" i="6"/>
  <c r="AH96" i="6" s="1"/>
  <c r="AG100" i="6"/>
  <c r="AH100" i="6" s="1"/>
  <c r="AG104" i="6"/>
  <c r="AH104" i="6" s="1"/>
  <c r="AG108" i="6"/>
  <c r="AH108" i="6" s="1"/>
  <c r="AG112" i="6"/>
  <c r="AH112" i="6" s="1"/>
  <c r="AG116" i="6"/>
  <c r="AH116" i="6" s="1"/>
  <c r="AG120" i="6"/>
  <c r="AH120" i="6" s="1"/>
  <c r="AG124" i="6"/>
  <c r="AH124" i="6" s="1"/>
  <c r="AJ128" i="6"/>
  <c r="AK128" i="6" s="1"/>
  <c r="AA133" i="6"/>
  <c r="AB133" i="6" s="1"/>
  <c r="AG137" i="6"/>
  <c r="AH137" i="6" s="1"/>
  <c r="AJ144" i="6"/>
  <c r="AK144" i="6" s="1"/>
  <c r="AG153" i="6"/>
  <c r="AH153" i="6" s="1"/>
  <c r="AJ160" i="6"/>
  <c r="AK160" i="6" s="1"/>
  <c r="AA165" i="6"/>
  <c r="AB165" i="6" s="1"/>
  <c r="AG169" i="6"/>
  <c r="AH169" i="6" s="1"/>
  <c r="AN174" i="6"/>
  <c r="AO174" i="6" s="1"/>
  <c r="T176" i="6"/>
  <c r="U176" i="6" s="1"/>
  <c r="AG181" i="6"/>
  <c r="AH181" i="6" s="1"/>
  <c r="T182" i="6"/>
  <c r="U182" i="6" s="1"/>
  <c r="AA189" i="6"/>
  <c r="AB189" i="6" s="1"/>
  <c r="T191" i="6"/>
  <c r="U191" i="6" s="1"/>
  <c r="AJ196" i="6"/>
  <c r="AK196" i="6" s="1"/>
  <c r="AJ199" i="6"/>
  <c r="AK199" i="6" s="1"/>
  <c r="W215" i="6"/>
  <c r="X215" i="6" s="1"/>
  <c r="T220" i="6"/>
  <c r="U220" i="6" s="1"/>
  <c r="AA225" i="6"/>
  <c r="AB225" i="6" s="1"/>
  <c r="T232" i="6"/>
  <c r="U232" i="6" s="1"/>
  <c r="T254" i="6"/>
  <c r="U254" i="6" s="1"/>
  <c r="AD272" i="6"/>
  <c r="AE272" i="6" s="1"/>
  <c r="T132" i="6"/>
  <c r="U132" i="6" s="1"/>
  <c r="T140" i="6"/>
  <c r="U140" i="6" s="1"/>
  <c r="T148" i="6"/>
  <c r="U148" i="6" s="1"/>
  <c r="T156" i="6"/>
  <c r="U156" i="6" s="1"/>
  <c r="T164" i="6"/>
  <c r="U164" i="6" s="1"/>
  <c r="T171" i="6"/>
  <c r="U171" i="6" s="1"/>
  <c r="T172" i="6"/>
  <c r="U172" i="6" s="1"/>
  <c r="T187" i="6"/>
  <c r="U187" i="6" s="1"/>
  <c r="T188" i="6"/>
  <c r="U188" i="6" s="1"/>
  <c r="T203" i="6"/>
  <c r="U203" i="6" s="1"/>
  <c r="T212" i="6"/>
  <c r="U212" i="6" s="1"/>
  <c r="T227" i="6"/>
  <c r="U227" i="6" s="1"/>
  <c r="T238" i="6"/>
  <c r="U238" i="6" s="1"/>
  <c r="T183" i="6"/>
  <c r="U183" i="6" s="1"/>
  <c r="T184" i="6"/>
  <c r="U184" i="6" s="1"/>
  <c r="T199" i="6"/>
  <c r="U199" i="6" s="1"/>
  <c r="T200" i="6"/>
  <c r="U200" i="6" s="1"/>
  <c r="T219" i="6"/>
  <c r="U219" i="6" s="1"/>
  <c r="T128" i="6"/>
  <c r="U128" i="6" s="1"/>
  <c r="U129" i="6"/>
  <c r="T136" i="6"/>
  <c r="U136" i="6" s="1"/>
  <c r="T144" i="6"/>
  <c r="U144" i="6" s="1"/>
  <c r="U145" i="6"/>
  <c r="T152" i="6"/>
  <c r="U152" i="6" s="1"/>
  <c r="T160" i="6"/>
  <c r="U160" i="6" s="1"/>
  <c r="U161" i="6"/>
  <c r="T168" i="6"/>
  <c r="U168" i="6" s="1"/>
  <c r="T179" i="6"/>
  <c r="U179" i="6" s="1"/>
  <c r="T180" i="6"/>
  <c r="U180" i="6" s="1"/>
  <c r="T185" i="6"/>
  <c r="U185" i="6" s="1"/>
  <c r="T195" i="6"/>
  <c r="U195" i="6" s="1"/>
  <c r="T196" i="6"/>
  <c r="U196" i="6" s="1"/>
  <c r="U197" i="6"/>
  <c r="T201" i="6"/>
  <c r="U201" i="6" s="1"/>
  <c r="T205" i="6"/>
  <c r="U205" i="6" s="1"/>
  <c r="T211" i="6"/>
  <c r="U211" i="6" s="1"/>
  <c r="T228" i="6"/>
  <c r="U228" i="6" s="1"/>
  <c r="T283" i="6"/>
  <c r="U283" i="6" s="1"/>
  <c r="T299" i="6"/>
  <c r="U299" i="6" s="1"/>
  <c r="T236" i="6"/>
  <c r="U236" i="6" s="1"/>
  <c r="T204" i="6"/>
  <c r="U204" i="6" s="1"/>
  <c r="T207" i="6"/>
  <c r="U207" i="6" s="1"/>
  <c r="T215" i="6"/>
  <c r="U215" i="6" s="1"/>
  <c r="T223" i="6"/>
  <c r="U223" i="6" s="1"/>
  <c r="T231" i="6"/>
  <c r="U231" i="6" s="1"/>
  <c r="T243" i="6"/>
  <c r="U243" i="6" s="1"/>
  <c r="T305" i="6"/>
  <c r="U305" i="6" s="1"/>
  <c r="T241" i="6"/>
  <c r="U241" i="6" s="1"/>
  <c r="T245" i="6"/>
  <c r="U245" i="6" s="1"/>
  <c r="T247" i="6"/>
  <c r="U247" i="6" s="1"/>
  <c r="T249" i="6"/>
  <c r="U249" i="6" s="1"/>
  <c r="T251" i="6"/>
  <c r="U251" i="6" s="1"/>
  <c r="T253" i="6"/>
  <c r="U253" i="6" s="1"/>
  <c r="T255" i="6"/>
  <c r="U255" i="6" s="1"/>
  <c r="T257" i="6"/>
  <c r="U257" i="6" s="1"/>
  <c r="T259" i="6"/>
  <c r="U259" i="6" s="1"/>
  <c r="T261" i="6"/>
  <c r="U261" i="6" s="1"/>
  <c r="T263" i="6"/>
  <c r="U263" i="6" s="1"/>
  <c r="T265" i="6"/>
  <c r="U265" i="6" s="1"/>
  <c r="T267" i="6"/>
  <c r="U267" i="6" s="1"/>
  <c r="T269" i="6"/>
  <c r="U269" i="6" s="1"/>
  <c r="T271" i="6"/>
  <c r="U271" i="6" s="1"/>
  <c r="T273" i="6"/>
  <c r="U273" i="6" s="1"/>
  <c r="T275" i="6"/>
  <c r="U275" i="6" s="1"/>
  <c r="T277" i="6"/>
  <c r="U277" i="6" s="1"/>
  <c r="T279" i="6"/>
  <c r="U279" i="6" s="1"/>
  <c r="T281" i="6"/>
  <c r="U281" i="6" s="1"/>
  <c r="T304" i="6"/>
  <c r="U304" i="6" s="1"/>
  <c r="T338" i="6"/>
  <c r="U338" i="6" s="1"/>
  <c r="T288" i="6"/>
  <c r="U288" i="6" s="1"/>
  <c r="T289" i="6"/>
  <c r="U289" i="6" s="1"/>
  <c r="T297" i="6"/>
  <c r="U297" i="6" s="1"/>
  <c r="T287" i="6"/>
  <c r="U287" i="6" s="1"/>
  <c r="T303" i="6"/>
  <c r="U303" i="6" s="1"/>
  <c r="T312" i="6"/>
  <c r="U312" i="6" s="1"/>
  <c r="T347" i="6"/>
  <c r="U347" i="6" s="1"/>
  <c r="T291" i="6"/>
  <c r="U291" i="6" s="1"/>
  <c r="T311" i="6"/>
  <c r="U311" i="6" s="1"/>
  <c r="T364" i="6"/>
  <c r="U364" i="6" s="1"/>
  <c r="T365" i="6"/>
  <c r="U365" i="6" s="1"/>
  <c r="T295" i="6"/>
  <c r="U295" i="6" s="1"/>
  <c r="T296" i="6"/>
  <c r="U296" i="6" s="1"/>
  <c r="T307" i="6"/>
  <c r="U307" i="6" s="1"/>
  <c r="T308" i="6"/>
  <c r="U308" i="6" s="1"/>
  <c r="T317" i="6"/>
  <c r="U317" i="6" s="1"/>
  <c r="T318" i="6"/>
  <c r="U318" i="6" s="1"/>
  <c r="T316" i="6"/>
  <c r="U316" i="6" s="1"/>
  <c r="T331" i="6"/>
  <c r="U331" i="6" s="1"/>
  <c r="T332" i="6"/>
  <c r="U332" i="6" s="1"/>
  <c r="T334" i="6"/>
  <c r="U334" i="6" s="1"/>
  <c r="T361" i="6"/>
  <c r="U361" i="6" s="1"/>
  <c r="T320" i="6"/>
  <c r="U320" i="6" s="1"/>
  <c r="T321" i="6"/>
  <c r="U321" i="6" s="1"/>
  <c r="T322" i="6"/>
  <c r="U322" i="6" s="1"/>
  <c r="T327" i="6"/>
  <c r="U327" i="6" s="1"/>
  <c r="T328" i="6"/>
  <c r="U328" i="6" s="1"/>
  <c r="T354" i="6"/>
  <c r="U354" i="6" s="1"/>
  <c r="T323" i="6"/>
  <c r="U323" i="6" s="1"/>
  <c r="T324" i="6"/>
  <c r="U324" i="6" s="1"/>
  <c r="T329" i="6"/>
  <c r="U329" i="6" s="1"/>
  <c r="T341" i="6"/>
  <c r="U341" i="6" s="1"/>
  <c r="T346" i="6"/>
  <c r="U346" i="6" s="1"/>
  <c r="T349" i="6"/>
  <c r="U349" i="6" s="1"/>
  <c r="T353" i="6"/>
  <c r="U353" i="6" s="1"/>
  <c r="T363" i="6"/>
  <c r="U363" i="6" s="1"/>
  <c r="T343" i="6"/>
  <c r="U343" i="6" s="1"/>
  <c r="T357" i="6"/>
  <c r="U357" i="6" s="1"/>
  <c r="T345" i="6"/>
  <c r="U345" i="6" s="1"/>
  <c r="AI373" i="6"/>
  <c r="AS379" i="6"/>
  <c r="T359" i="6"/>
  <c r="U359" i="6" s="1"/>
  <c r="T360" i="6"/>
  <c r="U360" i="6" s="1"/>
  <c r="T366" i="6"/>
  <c r="U366" i="6" s="1"/>
  <c r="AR389" i="6"/>
  <c r="AC373" i="6"/>
  <c r="BE373" i="6"/>
  <c r="AS389" i="6"/>
  <c r="AT389" i="6"/>
  <c r="AV381" i="6" l="1"/>
  <c r="AV372" i="6"/>
  <c r="AV373" i="6" s="1"/>
  <c r="AV368" i="6"/>
  <c r="AV384" i="6" s="1"/>
  <c r="AT374" i="6"/>
  <c r="F372" i="6"/>
  <c r="F371" i="6"/>
  <c r="F370" i="6"/>
  <c r="F368" i="6"/>
  <c r="F377" i="6" s="1"/>
  <c r="C373" i="6"/>
  <c r="AP373" i="6"/>
  <c r="N373" i="6"/>
  <c r="AO372" i="6"/>
  <c r="X370" i="6"/>
  <c r="AK370" i="6"/>
  <c r="T368" i="6"/>
  <c r="U370" i="6"/>
  <c r="U372" i="6"/>
  <c r="X372" i="6"/>
  <c r="W368" i="6"/>
  <c r="AG371" i="6"/>
  <c r="AH10" i="6"/>
  <c r="AH371" i="6" s="1"/>
  <c r="O367" i="6"/>
  <c r="O364" i="6"/>
  <c r="O362" i="6"/>
  <c r="O358" i="6"/>
  <c r="O365" i="6"/>
  <c r="O361" i="6"/>
  <c r="O360" i="6"/>
  <c r="O352" i="6"/>
  <c r="O348" i="6"/>
  <c r="O344" i="6"/>
  <c r="O340" i="6"/>
  <c r="O347" i="6"/>
  <c r="O346" i="6"/>
  <c r="O341" i="6"/>
  <c r="O337" i="6"/>
  <c r="O333" i="6"/>
  <c r="O351" i="6"/>
  <c r="O350" i="6"/>
  <c r="O332" i="6"/>
  <c r="O330" i="6"/>
  <c r="O326" i="6"/>
  <c r="O354" i="6"/>
  <c r="O338" i="6"/>
  <c r="O331" i="6"/>
  <c r="O327" i="6"/>
  <c r="O323" i="6"/>
  <c r="O319" i="6"/>
  <c r="O315" i="6"/>
  <c r="O366" i="6"/>
  <c r="O363" i="6"/>
  <c r="O357" i="6"/>
  <c r="O355" i="6"/>
  <c r="O345" i="6"/>
  <c r="O342" i="6"/>
  <c r="O339" i="6"/>
  <c r="O320" i="6"/>
  <c r="O310" i="6"/>
  <c r="O306" i="6"/>
  <c r="O302" i="6"/>
  <c r="O298" i="6"/>
  <c r="O294" i="6"/>
  <c r="O290" i="6"/>
  <c r="O286" i="6"/>
  <c r="O282" i="6"/>
  <c r="O356" i="6"/>
  <c r="O349" i="6"/>
  <c r="O335" i="6"/>
  <c r="O322" i="6"/>
  <c r="O321" i="6"/>
  <c r="O316" i="6"/>
  <c r="O311" i="6"/>
  <c r="O307" i="6"/>
  <c r="O359" i="6"/>
  <c r="O353" i="6"/>
  <c r="O343" i="6"/>
  <c r="O336" i="6"/>
  <c r="O325" i="6"/>
  <c r="O324" i="6"/>
  <c r="O318" i="6"/>
  <c r="O317" i="6"/>
  <c r="O297" i="6"/>
  <c r="O296" i="6"/>
  <c r="O291" i="6"/>
  <c r="O334" i="6"/>
  <c r="O314" i="6"/>
  <c r="O303" i="6"/>
  <c r="O293" i="6"/>
  <c r="O292" i="6"/>
  <c r="O329" i="6"/>
  <c r="O328" i="6"/>
  <c r="O309" i="6"/>
  <c r="O308" i="6"/>
  <c r="O305" i="6"/>
  <c r="O304" i="6"/>
  <c r="O299" i="6"/>
  <c r="O289" i="6"/>
  <c r="O288" i="6"/>
  <c r="O295" i="6"/>
  <c r="O287" i="6"/>
  <c r="O281" i="6"/>
  <c r="O278" i="6"/>
  <c r="O274" i="6"/>
  <c r="O270" i="6"/>
  <c r="O266" i="6"/>
  <c r="O262" i="6"/>
  <c r="O258" i="6"/>
  <c r="O254" i="6"/>
  <c r="O250" i="6"/>
  <c r="O246" i="6"/>
  <c r="O242" i="6"/>
  <c r="O301" i="6"/>
  <c r="O279" i="6"/>
  <c r="O275" i="6"/>
  <c r="O271" i="6"/>
  <c r="O267" i="6"/>
  <c r="O263" i="6"/>
  <c r="O259" i="6"/>
  <c r="O255" i="6"/>
  <c r="O251" i="6"/>
  <c r="O247" i="6"/>
  <c r="O312" i="6"/>
  <c r="O283" i="6"/>
  <c r="O280" i="6"/>
  <c r="O276" i="6"/>
  <c r="O272" i="6"/>
  <c r="O268" i="6"/>
  <c r="O264" i="6"/>
  <c r="O260" i="6"/>
  <c r="O256" i="6"/>
  <c r="O252" i="6"/>
  <c r="O248" i="6"/>
  <c r="O244" i="6"/>
  <c r="O240" i="6"/>
  <c r="O313" i="6"/>
  <c r="O241" i="6"/>
  <c r="O237" i="6"/>
  <c r="O233" i="6"/>
  <c r="O229" i="6"/>
  <c r="O225" i="6"/>
  <c r="O221" i="6"/>
  <c r="O217" i="6"/>
  <c r="O213" i="6"/>
  <c r="O209" i="6"/>
  <c r="O285" i="6"/>
  <c r="O277" i="6"/>
  <c r="O273" i="6"/>
  <c r="O269" i="6"/>
  <c r="O265" i="6"/>
  <c r="O261" i="6"/>
  <c r="O257" i="6"/>
  <c r="O253" i="6"/>
  <c r="O249" i="6"/>
  <c r="O245" i="6"/>
  <c r="O243" i="6"/>
  <c r="O238" i="6"/>
  <c r="O234" i="6"/>
  <c r="O230" i="6"/>
  <c r="O226" i="6"/>
  <c r="O222" i="6"/>
  <c r="O218" i="6"/>
  <c r="O214" i="6"/>
  <c r="O210" i="6"/>
  <c r="O206" i="6"/>
  <c r="O300" i="6"/>
  <c r="O239" i="6"/>
  <c r="O236" i="6"/>
  <c r="O235" i="6"/>
  <c r="O228" i="6"/>
  <c r="O227" i="6"/>
  <c r="O220" i="6"/>
  <c r="O219" i="6"/>
  <c r="O212" i="6"/>
  <c r="O211" i="6"/>
  <c r="O205" i="6"/>
  <c r="O204" i="6"/>
  <c r="O202" i="6"/>
  <c r="O198" i="6"/>
  <c r="O194" i="6"/>
  <c r="O190" i="6"/>
  <c r="O186" i="6"/>
  <c r="O182" i="6"/>
  <c r="O178" i="6"/>
  <c r="O174" i="6"/>
  <c r="O170" i="6"/>
  <c r="O166" i="6"/>
  <c r="O162" i="6"/>
  <c r="O158" i="6"/>
  <c r="O154" i="6"/>
  <c r="O150" i="6"/>
  <c r="O146" i="6"/>
  <c r="O142" i="6"/>
  <c r="O138" i="6"/>
  <c r="O134" i="6"/>
  <c r="O130" i="6"/>
  <c r="O203" i="6"/>
  <c r="O199" i="6"/>
  <c r="O195" i="6"/>
  <c r="O191" i="6"/>
  <c r="O187" i="6"/>
  <c r="O183" i="6"/>
  <c r="O179" i="6"/>
  <c r="O175" i="6"/>
  <c r="O171" i="6"/>
  <c r="O167" i="6"/>
  <c r="O163" i="6"/>
  <c r="O159" i="6"/>
  <c r="O155" i="6"/>
  <c r="O151" i="6"/>
  <c r="O147" i="6"/>
  <c r="O143" i="6"/>
  <c r="O139" i="6"/>
  <c r="O135" i="6"/>
  <c r="O131" i="6"/>
  <c r="O127" i="6"/>
  <c r="O284" i="6"/>
  <c r="O224" i="6"/>
  <c r="O207" i="6"/>
  <c r="O189" i="6"/>
  <c r="O188" i="6"/>
  <c r="O173" i="6"/>
  <c r="O172" i="6"/>
  <c r="O165" i="6"/>
  <c r="O164" i="6"/>
  <c r="O157" i="6"/>
  <c r="O156" i="6"/>
  <c r="O149" i="6"/>
  <c r="O148" i="6"/>
  <c r="O141" i="6"/>
  <c r="O140" i="6"/>
  <c r="O133" i="6"/>
  <c r="O132" i="6"/>
  <c r="O124" i="6"/>
  <c r="O120" i="6"/>
  <c r="O116" i="6"/>
  <c r="O112" i="6"/>
  <c r="O108" i="6"/>
  <c r="O104" i="6"/>
  <c r="O100" i="6"/>
  <c r="O96" i="6"/>
  <c r="O92" i="6"/>
  <c r="O88" i="6"/>
  <c r="O84" i="6"/>
  <c r="O80" i="6"/>
  <c r="O232" i="6"/>
  <c r="O215" i="6"/>
  <c r="O193" i="6"/>
  <c r="O192" i="6"/>
  <c r="O177" i="6"/>
  <c r="O176" i="6"/>
  <c r="O125" i="6"/>
  <c r="O121" i="6"/>
  <c r="O117" i="6"/>
  <c r="O113" i="6"/>
  <c r="O109" i="6"/>
  <c r="O105" i="6"/>
  <c r="O101" i="6"/>
  <c r="O97" i="6"/>
  <c r="O93" i="6"/>
  <c r="O89" i="6"/>
  <c r="O85" i="6"/>
  <c r="O223" i="6"/>
  <c r="O208" i="6"/>
  <c r="O197" i="6"/>
  <c r="O196" i="6"/>
  <c r="O181" i="6"/>
  <c r="O180" i="6"/>
  <c r="O169" i="6"/>
  <c r="O168" i="6"/>
  <c r="O161" i="6"/>
  <c r="O160" i="6"/>
  <c r="O153" i="6"/>
  <c r="O152" i="6"/>
  <c r="O145" i="6"/>
  <c r="O144" i="6"/>
  <c r="O137" i="6"/>
  <c r="O136" i="6"/>
  <c r="O129" i="6"/>
  <c r="O128" i="6"/>
  <c r="O126" i="6"/>
  <c r="O122" i="6"/>
  <c r="O118" i="6"/>
  <c r="O114" i="6"/>
  <c r="O110" i="6"/>
  <c r="O106" i="6"/>
  <c r="O102" i="6"/>
  <c r="O98" i="6"/>
  <c r="O94" i="6"/>
  <c r="O90" i="6"/>
  <c r="O86" i="6"/>
  <c r="O82" i="6"/>
  <c r="O78" i="6"/>
  <c r="O231" i="6"/>
  <c r="O216" i="6"/>
  <c r="O201" i="6"/>
  <c r="O200" i="6"/>
  <c r="O123" i="6"/>
  <c r="O119" i="6"/>
  <c r="O115" i="6"/>
  <c r="O111" i="6"/>
  <c r="O107" i="6"/>
  <c r="O103" i="6"/>
  <c r="O99" i="6"/>
  <c r="O95" i="6"/>
  <c r="O91" i="6"/>
  <c r="O87" i="6"/>
  <c r="O77" i="6"/>
  <c r="O73" i="6"/>
  <c r="O69" i="6"/>
  <c r="O65" i="6"/>
  <c r="O61" i="6"/>
  <c r="O57" i="6"/>
  <c r="O53" i="6"/>
  <c r="O49" i="6"/>
  <c r="O45" i="6"/>
  <c r="O41" i="6"/>
  <c r="O37" i="6"/>
  <c r="O33" i="6"/>
  <c r="O29" i="6"/>
  <c r="O25" i="6"/>
  <c r="O21" i="6"/>
  <c r="O17" i="6"/>
  <c r="O13" i="6"/>
  <c r="O9" i="6"/>
  <c r="O83" i="6"/>
  <c r="O76" i="6"/>
  <c r="O52" i="6"/>
  <c r="O48" i="6"/>
  <c r="O28" i="6"/>
  <c r="O24" i="6"/>
  <c r="O16" i="6"/>
  <c r="O79" i="6"/>
  <c r="O74" i="6"/>
  <c r="O70" i="6"/>
  <c r="O66" i="6"/>
  <c r="O62" i="6"/>
  <c r="O58" i="6"/>
  <c r="O54" i="6"/>
  <c r="O50" i="6"/>
  <c r="O46" i="6"/>
  <c r="O42" i="6"/>
  <c r="O38" i="6"/>
  <c r="O34" i="6"/>
  <c r="O30" i="6"/>
  <c r="O26" i="6"/>
  <c r="O22" i="6"/>
  <c r="O18" i="6"/>
  <c r="O14" i="6"/>
  <c r="O10" i="6"/>
  <c r="O72" i="6"/>
  <c r="O68" i="6"/>
  <c r="O64" i="6"/>
  <c r="O60" i="6"/>
  <c r="O44" i="6"/>
  <c r="O40" i="6"/>
  <c r="O36" i="6"/>
  <c r="O32" i="6"/>
  <c r="O20" i="6"/>
  <c r="O185" i="6"/>
  <c r="O184" i="6"/>
  <c r="O81" i="6"/>
  <c r="O75" i="6"/>
  <c r="O71" i="6"/>
  <c r="O67" i="6"/>
  <c r="O63" i="6"/>
  <c r="O59" i="6"/>
  <c r="O55" i="6"/>
  <c r="O51" i="6"/>
  <c r="O47" i="6"/>
  <c r="O43" i="6"/>
  <c r="O39" i="6"/>
  <c r="O35" i="6"/>
  <c r="O31" i="6"/>
  <c r="O27" i="6"/>
  <c r="O23" i="6"/>
  <c r="O19" i="6"/>
  <c r="O15" i="6"/>
  <c r="O11" i="6"/>
  <c r="O56" i="6"/>
  <c r="O12" i="6"/>
  <c r="AD372" i="6"/>
  <c r="AN370" i="6"/>
  <c r="AO15" i="6"/>
  <c r="AO370" i="6" s="1"/>
  <c r="W372" i="6"/>
  <c r="AE370" i="6"/>
  <c r="AJ371" i="6"/>
  <c r="AK10" i="6"/>
  <c r="AK371" i="6" s="1"/>
  <c r="AH372" i="6"/>
  <c r="AD370" i="6"/>
  <c r="AG368" i="6"/>
  <c r="AN371" i="6"/>
  <c r="AO10" i="6"/>
  <c r="W370" i="6"/>
  <c r="AX373" i="6"/>
  <c r="AG372" i="6"/>
  <c r="L364" i="6"/>
  <c r="L365" i="6"/>
  <c r="L363" i="6"/>
  <c r="L359" i="6"/>
  <c r="L366" i="6"/>
  <c r="L357" i="6"/>
  <c r="L353" i="6"/>
  <c r="L349" i="6"/>
  <c r="L345" i="6"/>
  <c r="L341" i="6"/>
  <c r="L367" i="6"/>
  <c r="L362" i="6"/>
  <c r="L361" i="6"/>
  <c r="L356" i="6"/>
  <c r="L354" i="6"/>
  <c r="L352" i="6"/>
  <c r="L343" i="6"/>
  <c r="L338" i="6"/>
  <c r="L334" i="6"/>
  <c r="L358" i="6"/>
  <c r="L355" i="6"/>
  <c r="L348" i="6"/>
  <c r="L347" i="6"/>
  <c r="L342" i="6"/>
  <c r="L340" i="6"/>
  <c r="L339" i="6"/>
  <c r="L337" i="6"/>
  <c r="L331" i="6"/>
  <c r="L327" i="6"/>
  <c r="L323" i="6"/>
  <c r="L360" i="6"/>
  <c r="L346" i="6"/>
  <c r="L335" i="6"/>
  <c r="L333" i="6"/>
  <c r="L328" i="6"/>
  <c r="L324" i="6"/>
  <c r="L320" i="6"/>
  <c r="L316" i="6"/>
  <c r="L350" i="6"/>
  <c r="L344" i="6"/>
  <c r="L351" i="6"/>
  <c r="L336" i="6"/>
  <c r="L325" i="6"/>
  <c r="L322" i="6"/>
  <c r="L317" i="6"/>
  <c r="L315" i="6"/>
  <c r="L311" i="6"/>
  <c r="L307" i="6"/>
  <c r="L303" i="6"/>
  <c r="L299" i="6"/>
  <c r="L295" i="6"/>
  <c r="L291" i="6"/>
  <c r="L287" i="6"/>
  <c r="L283" i="6"/>
  <c r="L329" i="6"/>
  <c r="L326" i="6"/>
  <c r="L318" i="6"/>
  <c r="L313" i="6"/>
  <c r="L312" i="6"/>
  <c r="L308" i="6"/>
  <c r="L330" i="6"/>
  <c r="L314" i="6"/>
  <c r="L332" i="6"/>
  <c r="L309" i="6"/>
  <c r="L306" i="6"/>
  <c r="L304" i="6"/>
  <c r="L302" i="6"/>
  <c r="L293" i="6"/>
  <c r="L288" i="6"/>
  <c r="L310" i="6"/>
  <c r="L305" i="6"/>
  <c r="L300" i="6"/>
  <c r="L298" i="6"/>
  <c r="L289" i="6"/>
  <c r="L319" i="6"/>
  <c r="L301" i="6"/>
  <c r="L296" i="6"/>
  <c r="L294" i="6"/>
  <c r="L286" i="6"/>
  <c r="L279" i="6"/>
  <c r="L275" i="6"/>
  <c r="L271" i="6"/>
  <c r="L267" i="6"/>
  <c r="L263" i="6"/>
  <c r="L259" i="6"/>
  <c r="L255" i="6"/>
  <c r="L251" i="6"/>
  <c r="L247" i="6"/>
  <c r="L243" i="6"/>
  <c r="L284" i="6"/>
  <c r="L282" i="6"/>
  <c r="L280" i="6"/>
  <c r="L276" i="6"/>
  <c r="L272" i="6"/>
  <c r="L268" i="6"/>
  <c r="L264" i="6"/>
  <c r="L260" i="6"/>
  <c r="L256" i="6"/>
  <c r="L252" i="6"/>
  <c r="L248" i="6"/>
  <c r="L244" i="6"/>
  <c r="L285" i="6"/>
  <c r="L277" i="6"/>
  <c r="L273" i="6"/>
  <c r="L269" i="6"/>
  <c r="L265" i="6"/>
  <c r="L261" i="6"/>
  <c r="L257" i="6"/>
  <c r="L253" i="6"/>
  <c r="L249" i="6"/>
  <c r="L245" i="6"/>
  <c r="L241" i="6"/>
  <c r="L297" i="6"/>
  <c r="L242" i="6"/>
  <c r="L238" i="6"/>
  <c r="L234" i="6"/>
  <c r="L230" i="6"/>
  <c r="L226" i="6"/>
  <c r="L222" i="6"/>
  <c r="L218" i="6"/>
  <c r="L214" i="6"/>
  <c r="L210" i="6"/>
  <c r="L290" i="6"/>
  <c r="L239" i="6"/>
  <c r="L235" i="6"/>
  <c r="L231" i="6"/>
  <c r="L227" i="6"/>
  <c r="L223" i="6"/>
  <c r="L219" i="6"/>
  <c r="L215" i="6"/>
  <c r="L211" i="6"/>
  <c r="L207" i="6"/>
  <c r="L281" i="6"/>
  <c r="L274" i="6"/>
  <c r="L266" i="6"/>
  <c r="L258" i="6"/>
  <c r="L250" i="6"/>
  <c r="L240" i="6"/>
  <c r="L232" i="6"/>
  <c r="L229" i="6"/>
  <c r="L224" i="6"/>
  <c r="L221" i="6"/>
  <c r="L216" i="6"/>
  <c r="L213" i="6"/>
  <c r="L208" i="6"/>
  <c r="L203" i="6"/>
  <c r="L199" i="6"/>
  <c r="L195" i="6"/>
  <c r="L191" i="6"/>
  <c r="L187" i="6"/>
  <c r="L183" i="6"/>
  <c r="L179" i="6"/>
  <c r="L175" i="6"/>
  <c r="L171" i="6"/>
  <c r="L167" i="6"/>
  <c r="L163" i="6"/>
  <c r="L159" i="6"/>
  <c r="L155" i="6"/>
  <c r="L151" i="6"/>
  <c r="L147" i="6"/>
  <c r="L143" i="6"/>
  <c r="L139" i="6"/>
  <c r="L135" i="6"/>
  <c r="L131" i="6"/>
  <c r="L292" i="6"/>
  <c r="L206" i="6"/>
  <c r="L200" i="6"/>
  <c r="L196" i="6"/>
  <c r="L192" i="6"/>
  <c r="L188" i="6"/>
  <c r="L184" i="6"/>
  <c r="L180" i="6"/>
  <c r="L176" i="6"/>
  <c r="L172" i="6"/>
  <c r="L168" i="6"/>
  <c r="L164" i="6"/>
  <c r="L160" i="6"/>
  <c r="L156" i="6"/>
  <c r="L152" i="6"/>
  <c r="L148" i="6"/>
  <c r="L144" i="6"/>
  <c r="L140" i="6"/>
  <c r="L136" i="6"/>
  <c r="L132" i="6"/>
  <c r="L128" i="6"/>
  <c r="L278" i="6"/>
  <c r="L270" i="6"/>
  <c r="L262" i="6"/>
  <c r="L254" i="6"/>
  <c r="L246" i="6"/>
  <c r="L236" i="6"/>
  <c r="L217" i="6"/>
  <c r="L197" i="6"/>
  <c r="L194" i="6"/>
  <c r="L181" i="6"/>
  <c r="L178" i="6"/>
  <c r="L169" i="6"/>
  <c r="L166" i="6"/>
  <c r="L161" i="6"/>
  <c r="L158" i="6"/>
  <c r="L153" i="6"/>
  <c r="L150" i="6"/>
  <c r="L145" i="6"/>
  <c r="L142" i="6"/>
  <c r="L137" i="6"/>
  <c r="L134" i="6"/>
  <c r="L129" i="6"/>
  <c r="L125" i="6"/>
  <c r="L121" i="6"/>
  <c r="L117" i="6"/>
  <c r="L113" i="6"/>
  <c r="L109" i="6"/>
  <c r="L105" i="6"/>
  <c r="L101" i="6"/>
  <c r="L97" i="6"/>
  <c r="L93" i="6"/>
  <c r="L89" i="6"/>
  <c r="L85" i="6"/>
  <c r="L81" i="6"/>
  <c r="L77" i="6"/>
  <c r="L237" i="6"/>
  <c r="L225" i="6"/>
  <c r="L212" i="6"/>
  <c r="L205" i="6"/>
  <c r="L201" i="6"/>
  <c r="L198" i="6"/>
  <c r="L185" i="6"/>
  <c r="L182" i="6"/>
  <c r="L126" i="6"/>
  <c r="L122" i="6"/>
  <c r="L118" i="6"/>
  <c r="L114" i="6"/>
  <c r="L110" i="6"/>
  <c r="L106" i="6"/>
  <c r="L102" i="6"/>
  <c r="L98" i="6"/>
  <c r="L94" i="6"/>
  <c r="L90" i="6"/>
  <c r="L86" i="6"/>
  <c r="L233" i="6"/>
  <c r="L220" i="6"/>
  <c r="L204" i="6"/>
  <c r="L202" i="6"/>
  <c r="L189" i="6"/>
  <c r="L186" i="6"/>
  <c r="L173" i="6"/>
  <c r="L170" i="6"/>
  <c r="L165" i="6"/>
  <c r="L162" i="6"/>
  <c r="L157" i="6"/>
  <c r="L154" i="6"/>
  <c r="L149" i="6"/>
  <c r="L146" i="6"/>
  <c r="L141" i="6"/>
  <c r="L138" i="6"/>
  <c r="L133" i="6"/>
  <c r="L130" i="6"/>
  <c r="L127" i="6"/>
  <c r="L123" i="6"/>
  <c r="L119" i="6"/>
  <c r="L115" i="6"/>
  <c r="L111" i="6"/>
  <c r="L107" i="6"/>
  <c r="L103" i="6"/>
  <c r="L99" i="6"/>
  <c r="L95" i="6"/>
  <c r="L91" i="6"/>
  <c r="L87" i="6"/>
  <c r="L83" i="6"/>
  <c r="L79" i="6"/>
  <c r="L228" i="6"/>
  <c r="L78" i="6"/>
  <c r="L74" i="6"/>
  <c r="L70" i="6"/>
  <c r="L66" i="6"/>
  <c r="L62" i="6"/>
  <c r="L58" i="6"/>
  <c r="L54" i="6"/>
  <c r="L50" i="6"/>
  <c r="L46" i="6"/>
  <c r="L42" i="6"/>
  <c r="L38" i="6"/>
  <c r="L34" i="6"/>
  <c r="L30" i="6"/>
  <c r="L26" i="6"/>
  <c r="L22" i="6"/>
  <c r="L18" i="6"/>
  <c r="L14" i="6"/>
  <c r="L10" i="6"/>
  <c r="L11" i="6"/>
  <c r="L321" i="6"/>
  <c r="L73" i="6"/>
  <c r="L69" i="6"/>
  <c r="L65" i="6"/>
  <c r="L37" i="6"/>
  <c r="L33" i="6"/>
  <c r="L29" i="6"/>
  <c r="L25" i="6"/>
  <c r="L21" i="6"/>
  <c r="L9" i="6"/>
  <c r="L209" i="6"/>
  <c r="L193" i="6"/>
  <c r="L174" i="6"/>
  <c r="L80" i="6"/>
  <c r="L75" i="6"/>
  <c r="L71" i="6"/>
  <c r="L67" i="6"/>
  <c r="L63" i="6"/>
  <c r="L59" i="6"/>
  <c r="L55" i="6"/>
  <c r="L51" i="6"/>
  <c r="L47" i="6"/>
  <c r="L43" i="6"/>
  <c r="L39" i="6"/>
  <c r="L35" i="6"/>
  <c r="L31" i="6"/>
  <c r="L27" i="6"/>
  <c r="L23" i="6"/>
  <c r="L19" i="6"/>
  <c r="L15" i="6"/>
  <c r="L84" i="6"/>
  <c r="L41" i="6"/>
  <c r="L124" i="6"/>
  <c r="L120" i="6"/>
  <c r="L116" i="6"/>
  <c r="L112" i="6"/>
  <c r="L108" i="6"/>
  <c r="L104" i="6"/>
  <c r="L100" i="6"/>
  <c r="L96" i="6"/>
  <c r="L92" i="6"/>
  <c r="L88" i="6"/>
  <c r="L82" i="6"/>
  <c r="L76" i="6"/>
  <c r="L72" i="6"/>
  <c r="L68" i="6"/>
  <c r="L64" i="6"/>
  <c r="L60" i="6"/>
  <c r="L56" i="6"/>
  <c r="L52" i="6"/>
  <c r="L48" i="6"/>
  <c r="L44" i="6"/>
  <c r="L40" i="6"/>
  <c r="L36" i="6"/>
  <c r="L32" i="6"/>
  <c r="L28" i="6"/>
  <c r="L24" i="6"/>
  <c r="L20" i="6"/>
  <c r="L16" i="6"/>
  <c r="L12" i="6"/>
  <c r="L190" i="6"/>
  <c r="L177" i="6"/>
  <c r="L61" i="6"/>
  <c r="L57" i="6"/>
  <c r="L53" i="6"/>
  <c r="L49" i="6"/>
  <c r="L45" i="6"/>
  <c r="L17" i="6"/>
  <c r="L13" i="6"/>
  <c r="AB10" i="6"/>
  <c r="AK372" i="6"/>
  <c r="AJ368" i="6"/>
  <c r="AG370" i="6"/>
  <c r="AH15" i="6"/>
  <c r="AH370" i="6" s="1"/>
  <c r="T372" i="6"/>
  <c r="S373" i="6"/>
  <c r="AD371" i="6"/>
  <c r="AE10" i="6"/>
  <c r="AE371" i="6" s="1"/>
  <c r="AD368" i="6"/>
  <c r="T370" i="6"/>
  <c r="AN372" i="6"/>
  <c r="AU389" i="6"/>
  <c r="T371" i="6"/>
  <c r="U10" i="6"/>
  <c r="AE372" i="6"/>
  <c r="AJ372" i="6"/>
  <c r="AJ370" i="6"/>
  <c r="AN368" i="6"/>
  <c r="G373" i="6"/>
  <c r="W371" i="6"/>
  <c r="X10" i="6"/>
  <c r="X371" i="6" s="1"/>
  <c r="AR374" i="6" l="1"/>
  <c r="AR376" i="6" s="1"/>
  <c r="D17" i="6" s="1"/>
  <c r="D13" i="6"/>
  <c r="D21" i="6"/>
  <c r="D25" i="6"/>
  <c r="D29" i="6"/>
  <c r="D33" i="6"/>
  <c r="D37" i="6"/>
  <c r="D41" i="6"/>
  <c r="D45" i="6"/>
  <c r="D49" i="6"/>
  <c r="D53" i="6"/>
  <c r="D57" i="6"/>
  <c r="D61" i="6"/>
  <c r="D65" i="6"/>
  <c r="D69" i="6"/>
  <c r="D73" i="6"/>
  <c r="D77" i="6"/>
  <c r="D81" i="6"/>
  <c r="D85" i="6"/>
  <c r="D89" i="6"/>
  <c r="D93" i="6"/>
  <c r="D97" i="6"/>
  <c r="D101" i="6"/>
  <c r="D105" i="6"/>
  <c r="D109" i="6"/>
  <c r="D113" i="6"/>
  <c r="D117" i="6"/>
  <c r="D121" i="6"/>
  <c r="D125" i="6"/>
  <c r="D129" i="6"/>
  <c r="D133" i="6"/>
  <c r="D137" i="6"/>
  <c r="D141" i="6"/>
  <c r="D145" i="6"/>
  <c r="D149" i="6"/>
  <c r="D153" i="6"/>
  <c r="D157" i="6"/>
  <c r="D161" i="6"/>
  <c r="D165" i="6"/>
  <c r="D169" i="6"/>
  <c r="D173" i="6"/>
  <c r="D177" i="6"/>
  <c r="D181" i="6"/>
  <c r="D185" i="6"/>
  <c r="D189" i="6"/>
  <c r="D193" i="6"/>
  <c r="D197" i="6"/>
  <c r="D201" i="6"/>
  <c r="D205" i="6"/>
  <c r="D209" i="6"/>
  <c r="D213" i="6"/>
  <c r="D217" i="6"/>
  <c r="D221" i="6"/>
  <c r="D225" i="6"/>
  <c r="D229" i="6"/>
  <c r="D233" i="6"/>
  <c r="D237" i="6"/>
  <c r="D241" i="6"/>
  <c r="D245" i="6"/>
  <c r="D249" i="6"/>
  <c r="D253" i="6"/>
  <c r="D257" i="6"/>
  <c r="D261" i="6"/>
  <c r="D265" i="6"/>
  <c r="D269" i="6"/>
  <c r="D273" i="6"/>
  <c r="D277" i="6"/>
  <c r="D281" i="6"/>
  <c r="D285" i="6"/>
  <c r="D289" i="6"/>
  <c r="D293" i="6"/>
  <c r="D297" i="6"/>
  <c r="D301" i="6"/>
  <c r="D305" i="6"/>
  <c r="D10" i="6"/>
  <c r="D14" i="6"/>
  <c r="D18" i="6"/>
  <c r="D22" i="6"/>
  <c r="D26" i="6"/>
  <c r="D30" i="6"/>
  <c r="D34" i="6"/>
  <c r="D38" i="6"/>
  <c r="D42" i="6"/>
  <c r="D46" i="6"/>
  <c r="D50" i="6"/>
  <c r="D54" i="6"/>
  <c r="D58" i="6"/>
  <c r="D62" i="6"/>
  <c r="D66" i="6"/>
  <c r="D70" i="6"/>
  <c r="D74" i="6"/>
  <c r="D78" i="6"/>
  <c r="D82" i="6"/>
  <c r="D86" i="6"/>
  <c r="D90" i="6"/>
  <c r="D94" i="6"/>
  <c r="D98" i="6"/>
  <c r="D102" i="6"/>
  <c r="D106" i="6"/>
  <c r="D110" i="6"/>
  <c r="D114" i="6"/>
  <c r="D118" i="6"/>
  <c r="D122" i="6"/>
  <c r="D126" i="6"/>
  <c r="D130" i="6"/>
  <c r="D134" i="6"/>
  <c r="D138" i="6"/>
  <c r="D142" i="6"/>
  <c r="D146" i="6"/>
  <c r="D150" i="6"/>
  <c r="D154" i="6"/>
  <c r="D158" i="6"/>
  <c r="D162" i="6"/>
  <c r="D166" i="6"/>
  <c r="D170" i="6"/>
  <c r="D174" i="6"/>
  <c r="D178" i="6"/>
  <c r="D182" i="6"/>
  <c r="D186" i="6"/>
  <c r="D190" i="6"/>
  <c r="D194" i="6"/>
  <c r="D198" i="6"/>
  <c r="D202" i="6"/>
  <c r="D206" i="6"/>
  <c r="D210" i="6"/>
  <c r="D214" i="6"/>
  <c r="D218" i="6"/>
  <c r="D222" i="6"/>
  <c r="D226" i="6"/>
  <c r="D230" i="6"/>
  <c r="D234" i="6"/>
  <c r="D238" i="6"/>
  <c r="D242" i="6"/>
  <c r="D246" i="6"/>
  <c r="D250" i="6"/>
  <c r="D254" i="6"/>
  <c r="D258" i="6"/>
  <c r="D262" i="6"/>
  <c r="D266" i="6"/>
  <c r="D270" i="6"/>
  <c r="D274" i="6"/>
  <c r="D278" i="6"/>
  <c r="D282" i="6"/>
  <c r="D286" i="6"/>
  <c r="D290" i="6"/>
  <c r="D294" i="6"/>
  <c r="D11" i="6"/>
  <c r="D15" i="6"/>
  <c r="D19" i="6"/>
  <c r="D23" i="6"/>
  <c r="D27" i="6"/>
  <c r="D31" i="6"/>
  <c r="D35" i="6"/>
  <c r="D39" i="6"/>
  <c r="D43" i="6"/>
  <c r="D47" i="6"/>
  <c r="D51" i="6"/>
  <c r="D55" i="6"/>
  <c r="D59" i="6"/>
  <c r="D63" i="6"/>
  <c r="D67" i="6"/>
  <c r="D71" i="6"/>
  <c r="D75" i="6"/>
  <c r="D79" i="6"/>
  <c r="D83" i="6"/>
  <c r="D87" i="6"/>
  <c r="D91" i="6"/>
  <c r="D95" i="6"/>
  <c r="D99" i="6"/>
  <c r="D103" i="6"/>
  <c r="D107" i="6"/>
  <c r="D111" i="6"/>
  <c r="D115" i="6"/>
  <c r="D119" i="6"/>
  <c r="D123" i="6"/>
  <c r="D127" i="6"/>
  <c r="D131" i="6"/>
  <c r="D135" i="6"/>
  <c r="D139" i="6"/>
  <c r="D143" i="6"/>
  <c r="D147" i="6"/>
  <c r="D151" i="6"/>
  <c r="D155" i="6"/>
  <c r="D159" i="6"/>
  <c r="D163" i="6"/>
  <c r="D167" i="6"/>
  <c r="D171" i="6"/>
  <c r="D175" i="6"/>
  <c r="D179" i="6"/>
  <c r="D183" i="6"/>
  <c r="D187" i="6"/>
  <c r="D191" i="6"/>
  <c r="D195" i="6"/>
  <c r="D199" i="6"/>
  <c r="D203" i="6"/>
  <c r="D207" i="6"/>
  <c r="D211" i="6"/>
  <c r="D215" i="6"/>
  <c r="D219" i="6"/>
  <c r="D223" i="6"/>
  <c r="D227" i="6"/>
  <c r="D231" i="6"/>
  <c r="D235" i="6"/>
  <c r="D239" i="6"/>
  <c r="D243" i="6"/>
  <c r="D247" i="6"/>
  <c r="D251" i="6"/>
  <c r="D255" i="6"/>
  <c r="D259" i="6"/>
  <c r="D263" i="6"/>
  <c r="D267" i="6"/>
  <c r="D271" i="6"/>
  <c r="D275" i="6"/>
  <c r="D279" i="6"/>
  <c r="D283" i="6"/>
  <c r="D287" i="6"/>
  <c r="D291" i="6"/>
  <c r="D295" i="6"/>
  <c r="D299" i="6"/>
  <c r="D303" i="6"/>
  <c r="D307" i="6"/>
  <c r="D311" i="6"/>
  <c r="D315" i="6"/>
  <c r="D319" i="6"/>
  <c r="D323" i="6"/>
  <c r="D327" i="6"/>
  <c r="D331" i="6"/>
  <c r="D335" i="6"/>
  <c r="D339" i="6"/>
  <c r="D343" i="6"/>
  <c r="D347" i="6"/>
  <c r="D24" i="6"/>
  <c r="D40" i="6"/>
  <c r="D56" i="6"/>
  <c r="D72" i="6"/>
  <c r="D88" i="6"/>
  <c r="D104" i="6"/>
  <c r="D120" i="6"/>
  <c r="D136" i="6"/>
  <c r="D152" i="6"/>
  <c r="D168" i="6"/>
  <c r="D184" i="6"/>
  <c r="D200" i="6"/>
  <c r="D216" i="6"/>
  <c r="D232" i="6"/>
  <c r="D248" i="6"/>
  <c r="D264" i="6"/>
  <c r="D280" i="6"/>
  <c r="D296" i="6"/>
  <c r="D304" i="6"/>
  <c r="D310" i="6"/>
  <c r="D316" i="6"/>
  <c r="D321" i="6"/>
  <c r="D326" i="6"/>
  <c r="D332" i="6"/>
  <c r="D337" i="6"/>
  <c r="D342" i="6"/>
  <c r="D348" i="6"/>
  <c r="D352" i="6"/>
  <c r="D356" i="6"/>
  <c r="D360" i="6"/>
  <c r="D364" i="6"/>
  <c r="D9" i="6"/>
  <c r="D64" i="6"/>
  <c r="D112" i="6"/>
  <c r="D144" i="6"/>
  <c r="D176" i="6"/>
  <c r="D208" i="6"/>
  <c r="D240" i="6"/>
  <c r="D272" i="6"/>
  <c r="D300" i="6"/>
  <c r="D313" i="6"/>
  <c r="D324" i="6"/>
  <c r="D334" i="6"/>
  <c r="D345" i="6"/>
  <c r="D354" i="6"/>
  <c r="D362" i="6"/>
  <c r="D20" i="6"/>
  <c r="D52" i="6"/>
  <c r="D84" i="6"/>
  <c r="D116" i="6"/>
  <c r="D148" i="6"/>
  <c r="D180" i="6"/>
  <c r="D212" i="6"/>
  <c r="D244" i="6"/>
  <c r="D276" i="6"/>
  <c r="D309" i="6"/>
  <c r="D320" i="6"/>
  <c r="D330" i="6"/>
  <c r="D341" i="6"/>
  <c r="D351" i="6"/>
  <c r="D359" i="6"/>
  <c r="D367" i="6"/>
  <c r="D12" i="6"/>
  <c r="D28" i="6"/>
  <c r="D44" i="6"/>
  <c r="D60" i="6"/>
  <c r="D76" i="6"/>
  <c r="D92" i="6"/>
  <c r="D108" i="6"/>
  <c r="D124" i="6"/>
  <c r="D140" i="6"/>
  <c r="D156" i="6"/>
  <c r="D172" i="6"/>
  <c r="D188" i="6"/>
  <c r="D204" i="6"/>
  <c r="D220" i="6"/>
  <c r="D236" i="6"/>
  <c r="D252" i="6"/>
  <c r="D268" i="6"/>
  <c r="D284" i="6"/>
  <c r="D298" i="6"/>
  <c r="D306" i="6"/>
  <c r="D312" i="6"/>
  <c r="D317" i="6"/>
  <c r="D322" i="6"/>
  <c r="D328" i="6"/>
  <c r="D333" i="6"/>
  <c r="D338" i="6"/>
  <c r="D344" i="6"/>
  <c r="D349" i="6"/>
  <c r="D353" i="6"/>
  <c r="D357" i="6"/>
  <c r="D361" i="6"/>
  <c r="D365" i="6"/>
  <c r="D16" i="6"/>
  <c r="D32" i="6"/>
  <c r="D48" i="6"/>
  <c r="D80" i="6"/>
  <c r="D96" i="6"/>
  <c r="D128" i="6"/>
  <c r="D160" i="6"/>
  <c r="D192" i="6"/>
  <c r="D224" i="6"/>
  <c r="D256" i="6"/>
  <c r="D288" i="6"/>
  <c r="D308" i="6"/>
  <c r="D318" i="6"/>
  <c r="D329" i="6"/>
  <c r="D340" i="6"/>
  <c r="D350" i="6"/>
  <c r="D358" i="6"/>
  <c r="D366" i="6"/>
  <c r="D36" i="6"/>
  <c r="D68" i="6"/>
  <c r="D100" i="6"/>
  <c r="D132" i="6"/>
  <c r="D164" i="6"/>
  <c r="D196" i="6"/>
  <c r="D228" i="6"/>
  <c r="D260" i="6"/>
  <c r="D292" i="6"/>
  <c r="D302" i="6"/>
  <c r="D314" i="6"/>
  <c r="D325" i="6"/>
  <c r="D336" i="6"/>
  <c r="D346" i="6"/>
  <c r="D355" i="6"/>
  <c r="D363" i="6"/>
  <c r="F373" i="6"/>
  <c r="J376" i="6"/>
  <c r="J344" i="6" s="1"/>
  <c r="AK368" i="6"/>
  <c r="AE368" i="6"/>
  <c r="X373" i="6"/>
  <c r="AK373" i="6"/>
  <c r="M177" i="6"/>
  <c r="P177" i="6"/>
  <c r="M52" i="6"/>
  <c r="P52" i="6"/>
  <c r="M104" i="6"/>
  <c r="P104" i="6"/>
  <c r="M31" i="6"/>
  <c r="P31" i="6"/>
  <c r="M80" i="6"/>
  <c r="P80" i="6"/>
  <c r="P73" i="6"/>
  <c r="M73" i="6"/>
  <c r="P46" i="6"/>
  <c r="M46" i="6"/>
  <c r="M78" i="6"/>
  <c r="P78" i="6"/>
  <c r="M103" i="6"/>
  <c r="P103" i="6"/>
  <c r="M149" i="6"/>
  <c r="P149" i="6"/>
  <c r="M98" i="6"/>
  <c r="P98" i="6"/>
  <c r="M205" i="6"/>
  <c r="P205" i="6"/>
  <c r="P109" i="6"/>
  <c r="M109" i="6"/>
  <c r="P158" i="6"/>
  <c r="M158" i="6"/>
  <c r="M262" i="6"/>
  <c r="P262" i="6"/>
  <c r="M164" i="6"/>
  <c r="P164" i="6"/>
  <c r="P131" i="6"/>
  <c r="M131" i="6"/>
  <c r="P195" i="6"/>
  <c r="M195" i="6"/>
  <c r="P207" i="6"/>
  <c r="M207" i="6"/>
  <c r="P241" i="6"/>
  <c r="M241" i="6"/>
  <c r="U371" i="6"/>
  <c r="U373" i="6" s="1"/>
  <c r="U368" i="6"/>
  <c r="AH373" i="6"/>
  <c r="M13" i="6"/>
  <c r="P13" i="6"/>
  <c r="P53" i="6"/>
  <c r="M53" i="6"/>
  <c r="P190" i="6"/>
  <c r="M190" i="6"/>
  <c r="M24" i="6"/>
  <c r="P24" i="6"/>
  <c r="M40" i="6"/>
  <c r="P40" i="6"/>
  <c r="M56" i="6"/>
  <c r="P56" i="6"/>
  <c r="M72" i="6"/>
  <c r="P72" i="6"/>
  <c r="M92" i="6"/>
  <c r="P92" i="6"/>
  <c r="M108" i="6"/>
  <c r="P108" i="6"/>
  <c r="M124" i="6"/>
  <c r="P124" i="6"/>
  <c r="M19" i="6"/>
  <c r="P19" i="6"/>
  <c r="M35" i="6"/>
  <c r="P35" i="6"/>
  <c r="M51" i="6"/>
  <c r="P51" i="6"/>
  <c r="M67" i="6"/>
  <c r="P67" i="6"/>
  <c r="P174" i="6"/>
  <c r="M174" i="6"/>
  <c r="P21" i="6"/>
  <c r="M21" i="6"/>
  <c r="M37" i="6"/>
  <c r="P37" i="6"/>
  <c r="M321" i="6"/>
  <c r="P321" i="6"/>
  <c r="P18" i="6"/>
  <c r="M18" i="6"/>
  <c r="P34" i="6"/>
  <c r="M34" i="6"/>
  <c r="P50" i="6"/>
  <c r="M50" i="6"/>
  <c r="P66" i="6"/>
  <c r="M66" i="6"/>
  <c r="M228" i="6"/>
  <c r="P228" i="6"/>
  <c r="M91" i="6"/>
  <c r="P91" i="6"/>
  <c r="M107" i="6"/>
  <c r="P107" i="6"/>
  <c r="M123" i="6"/>
  <c r="P123" i="6"/>
  <c r="M138" i="6"/>
  <c r="P138" i="6"/>
  <c r="M154" i="6"/>
  <c r="P154" i="6"/>
  <c r="M170" i="6"/>
  <c r="P170" i="6"/>
  <c r="M202" i="6"/>
  <c r="P202" i="6"/>
  <c r="M86" i="6"/>
  <c r="P86" i="6"/>
  <c r="M102" i="6"/>
  <c r="P102" i="6"/>
  <c r="M118" i="6"/>
  <c r="P118" i="6"/>
  <c r="M185" i="6"/>
  <c r="P185" i="6"/>
  <c r="M212" i="6"/>
  <c r="P212" i="6"/>
  <c r="P81" i="6"/>
  <c r="M81" i="6"/>
  <c r="P97" i="6"/>
  <c r="M97" i="6"/>
  <c r="P113" i="6"/>
  <c r="M113" i="6"/>
  <c r="M129" i="6"/>
  <c r="P129" i="6"/>
  <c r="M145" i="6"/>
  <c r="P145" i="6"/>
  <c r="M161" i="6"/>
  <c r="P161" i="6"/>
  <c r="M181" i="6"/>
  <c r="P181" i="6"/>
  <c r="M236" i="6"/>
  <c r="P236" i="6"/>
  <c r="M270" i="6"/>
  <c r="P270" i="6"/>
  <c r="M136" i="6"/>
  <c r="P136" i="6"/>
  <c r="M152" i="6"/>
  <c r="P152" i="6"/>
  <c r="M168" i="6"/>
  <c r="P168" i="6"/>
  <c r="M184" i="6"/>
  <c r="P184" i="6"/>
  <c r="M200" i="6"/>
  <c r="P200" i="6"/>
  <c r="P135" i="6"/>
  <c r="M135" i="6"/>
  <c r="P151" i="6"/>
  <c r="M151" i="6"/>
  <c r="P167" i="6"/>
  <c r="M167" i="6"/>
  <c r="P183" i="6"/>
  <c r="M183" i="6"/>
  <c r="P199" i="6"/>
  <c r="M199" i="6"/>
  <c r="M216" i="6"/>
  <c r="P216" i="6"/>
  <c r="M232" i="6"/>
  <c r="P232" i="6"/>
  <c r="M266" i="6"/>
  <c r="P266" i="6"/>
  <c r="M211" i="6"/>
  <c r="P211" i="6"/>
  <c r="M227" i="6"/>
  <c r="P227" i="6"/>
  <c r="P290" i="6"/>
  <c r="M290" i="6"/>
  <c r="P222" i="6"/>
  <c r="M222" i="6"/>
  <c r="P238" i="6"/>
  <c r="M238" i="6"/>
  <c r="M245" i="6"/>
  <c r="P245" i="6"/>
  <c r="M261" i="6"/>
  <c r="P261" i="6"/>
  <c r="M277" i="6"/>
  <c r="P277" i="6"/>
  <c r="M252" i="6"/>
  <c r="P252" i="6"/>
  <c r="M268" i="6"/>
  <c r="P268" i="6"/>
  <c r="M282" i="6"/>
  <c r="P282" i="6"/>
  <c r="P251" i="6"/>
  <c r="M251" i="6"/>
  <c r="P267" i="6"/>
  <c r="M267" i="6"/>
  <c r="P286" i="6"/>
  <c r="M286" i="6"/>
  <c r="P319" i="6"/>
  <c r="M319" i="6"/>
  <c r="M305" i="6"/>
  <c r="P305" i="6"/>
  <c r="P302" i="6"/>
  <c r="M302" i="6"/>
  <c r="P332" i="6"/>
  <c r="M332" i="6"/>
  <c r="P312" i="6"/>
  <c r="M312" i="6"/>
  <c r="M329" i="6"/>
  <c r="P329" i="6"/>
  <c r="P295" i="6"/>
  <c r="M295" i="6"/>
  <c r="P311" i="6"/>
  <c r="M311" i="6"/>
  <c r="M325" i="6"/>
  <c r="P325" i="6"/>
  <c r="M350" i="6"/>
  <c r="P350" i="6"/>
  <c r="M328" i="6"/>
  <c r="P328" i="6"/>
  <c r="M360" i="6"/>
  <c r="P360" i="6"/>
  <c r="P337" i="6"/>
  <c r="M337" i="6"/>
  <c r="P347" i="6"/>
  <c r="M347" i="6"/>
  <c r="P334" i="6"/>
  <c r="M334" i="6"/>
  <c r="M354" i="6"/>
  <c r="P354" i="6"/>
  <c r="M367" i="6"/>
  <c r="P367" i="6"/>
  <c r="P353" i="6"/>
  <c r="M353" i="6"/>
  <c r="P363" i="6"/>
  <c r="M363" i="6"/>
  <c r="P49" i="6"/>
  <c r="M49" i="6"/>
  <c r="M36" i="6"/>
  <c r="P36" i="6"/>
  <c r="M88" i="6"/>
  <c r="P88" i="6"/>
  <c r="L370" i="6"/>
  <c r="M15" i="6"/>
  <c r="P15" i="6"/>
  <c r="M63" i="6"/>
  <c r="P63" i="6"/>
  <c r="M33" i="6"/>
  <c r="P33" i="6"/>
  <c r="P62" i="6"/>
  <c r="M62" i="6"/>
  <c r="M133" i="6"/>
  <c r="P133" i="6"/>
  <c r="M189" i="6"/>
  <c r="P189" i="6"/>
  <c r="M114" i="6"/>
  <c r="P114" i="6"/>
  <c r="P77" i="6"/>
  <c r="M77" i="6"/>
  <c r="P125" i="6"/>
  <c r="M125" i="6"/>
  <c r="P178" i="6"/>
  <c r="M178" i="6"/>
  <c r="M148" i="6"/>
  <c r="P148" i="6"/>
  <c r="M196" i="6"/>
  <c r="P196" i="6"/>
  <c r="P163" i="6"/>
  <c r="M163" i="6"/>
  <c r="P213" i="6"/>
  <c r="M213" i="6"/>
  <c r="M258" i="6"/>
  <c r="P258" i="6"/>
  <c r="M239" i="6"/>
  <c r="P239" i="6"/>
  <c r="P218" i="6"/>
  <c r="M218" i="6"/>
  <c r="M257" i="6"/>
  <c r="P257" i="6"/>
  <c r="M248" i="6"/>
  <c r="P248" i="6"/>
  <c r="M280" i="6"/>
  <c r="P280" i="6"/>
  <c r="P263" i="6"/>
  <c r="M263" i="6"/>
  <c r="M300" i="6"/>
  <c r="P300" i="6"/>
  <c r="M309" i="6"/>
  <c r="P309" i="6"/>
  <c r="M326" i="6"/>
  <c r="P326" i="6"/>
  <c r="P307" i="6"/>
  <c r="M307" i="6"/>
  <c r="M344" i="6"/>
  <c r="P344" i="6"/>
  <c r="M346" i="6"/>
  <c r="P346" i="6"/>
  <c r="M342" i="6"/>
  <c r="P342" i="6"/>
  <c r="P358" i="6"/>
  <c r="M358" i="6"/>
  <c r="M362" i="6"/>
  <c r="P362" i="6"/>
  <c r="P349" i="6"/>
  <c r="M349" i="6"/>
  <c r="P359" i="6"/>
  <c r="M359" i="6"/>
  <c r="O372" i="6"/>
  <c r="O368" i="6"/>
  <c r="AG373" i="6"/>
  <c r="P17" i="6"/>
  <c r="M17" i="6"/>
  <c r="P57" i="6"/>
  <c r="M57" i="6"/>
  <c r="M12" i="6"/>
  <c r="P12" i="6"/>
  <c r="M28" i="6"/>
  <c r="P28" i="6"/>
  <c r="M44" i="6"/>
  <c r="P44" i="6"/>
  <c r="M60" i="6"/>
  <c r="P60" i="6"/>
  <c r="M76" i="6"/>
  <c r="P76" i="6"/>
  <c r="M96" i="6"/>
  <c r="P96" i="6"/>
  <c r="M112" i="6"/>
  <c r="P112" i="6"/>
  <c r="P41" i="6"/>
  <c r="M41" i="6"/>
  <c r="M23" i="6"/>
  <c r="P23" i="6"/>
  <c r="M39" i="6"/>
  <c r="P39" i="6"/>
  <c r="M55" i="6"/>
  <c r="P55" i="6"/>
  <c r="M71" i="6"/>
  <c r="P71" i="6"/>
  <c r="M193" i="6"/>
  <c r="P193" i="6"/>
  <c r="P25" i="6"/>
  <c r="M25" i="6"/>
  <c r="M65" i="6"/>
  <c r="P65" i="6"/>
  <c r="M11" i="6"/>
  <c r="P11" i="6"/>
  <c r="P22" i="6"/>
  <c r="M22" i="6"/>
  <c r="P38" i="6"/>
  <c r="M38" i="6"/>
  <c r="P54" i="6"/>
  <c r="M54" i="6"/>
  <c r="P70" i="6"/>
  <c r="M70" i="6"/>
  <c r="P79" i="6"/>
  <c r="M79" i="6"/>
  <c r="M95" i="6"/>
  <c r="P95" i="6"/>
  <c r="M111" i="6"/>
  <c r="P111" i="6"/>
  <c r="M127" i="6"/>
  <c r="P127" i="6"/>
  <c r="M141" i="6"/>
  <c r="P141" i="6"/>
  <c r="M157" i="6"/>
  <c r="P157" i="6"/>
  <c r="M173" i="6"/>
  <c r="P173" i="6"/>
  <c r="M204" i="6"/>
  <c r="P204" i="6"/>
  <c r="M90" i="6"/>
  <c r="P90" i="6"/>
  <c r="M106" i="6"/>
  <c r="P106" i="6"/>
  <c r="M122" i="6"/>
  <c r="P122" i="6"/>
  <c r="M198" i="6"/>
  <c r="P198" i="6"/>
  <c r="M225" i="6"/>
  <c r="P225" i="6"/>
  <c r="P85" i="6"/>
  <c r="M85" i="6"/>
  <c r="P101" i="6"/>
  <c r="M101" i="6"/>
  <c r="P117" i="6"/>
  <c r="M117" i="6"/>
  <c r="P134" i="6"/>
  <c r="M134" i="6"/>
  <c r="P150" i="6"/>
  <c r="M150" i="6"/>
  <c r="P166" i="6"/>
  <c r="M166" i="6"/>
  <c r="P194" i="6"/>
  <c r="M194" i="6"/>
  <c r="M246" i="6"/>
  <c r="P246" i="6"/>
  <c r="M278" i="6"/>
  <c r="P278" i="6"/>
  <c r="M140" i="6"/>
  <c r="P140" i="6"/>
  <c r="M156" i="6"/>
  <c r="P156" i="6"/>
  <c r="M172" i="6"/>
  <c r="P172" i="6"/>
  <c r="M188" i="6"/>
  <c r="P188" i="6"/>
  <c r="M206" i="6"/>
  <c r="P206" i="6"/>
  <c r="P139" i="6"/>
  <c r="M139" i="6"/>
  <c r="P155" i="6"/>
  <c r="M155" i="6"/>
  <c r="P171" i="6"/>
  <c r="M171" i="6"/>
  <c r="P187" i="6"/>
  <c r="M187" i="6"/>
  <c r="P203" i="6"/>
  <c r="M203" i="6"/>
  <c r="P221" i="6"/>
  <c r="M221" i="6"/>
  <c r="M240" i="6"/>
  <c r="P240" i="6"/>
  <c r="M274" i="6"/>
  <c r="P274" i="6"/>
  <c r="M215" i="6"/>
  <c r="P215" i="6"/>
  <c r="M231" i="6"/>
  <c r="P231" i="6"/>
  <c r="P210" i="6"/>
  <c r="M210" i="6"/>
  <c r="P226" i="6"/>
  <c r="M226" i="6"/>
  <c r="M242" i="6"/>
  <c r="P242" i="6"/>
  <c r="M249" i="6"/>
  <c r="P249" i="6"/>
  <c r="M265" i="6"/>
  <c r="P265" i="6"/>
  <c r="M285" i="6"/>
  <c r="P285" i="6"/>
  <c r="M256" i="6"/>
  <c r="P256" i="6"/>
  <c r="M272" i="6"/>
  <c r="P272" i="6"/>
  <c r="M284" i="6"/>
  <c r="P284" i="6"/>
  <c r="P255" i="6"/>
  <c r="M255" i="6"/>
  <c r="P271" i="6"/>
  <c r="M271" i="6"/>
  <c r="M294" i="6"/>
  <c r="P294" i="6"/>
  <c r="M289" i="6"/>
  <c r="P289" i="6"/>
  <c r="M310" i="6"/>
  <c r="P310" i="6"/>
  <c r="M304" i="6"/>
  <c r="P304" i="6"/>
  <c r="M314" i="6"/>
  <c r="P314" i="6"/>
  <c r="M313" i="6"/>
  <c r="P313" i="6"/>
  <c r="P283" i="6"/>
  <c r="M283" i="6"/>
  <c r="P299" i="6"/>
  <c r="M299" i="6"/>
  <c r="P315" i="6"/>
  <c r="M315" i="6"/>
  <c r="M336" i="6"/>
  <c r="P336" i="6"/>
  <c r="P316" i="6"/>
  <c r="M316" i="6"/>
  <c r="M333" i="6"/>
  <c r="P333" i="6"/>
  <c r="P323" i="6"/>
  <c r="M323" i="6"/>
  <c r="M339" i="6"/>
  <c r="P339" i="6"/>
  <c r="M348" i="6"/>
  <c r="P348" i="6"/>
  <c r="P338" i="6"/>
  <c r="M338" i="6"/>
  <c r="M356" i="6"/>
  <c r="P356" i="6"/>
  <c r="P341" i="6"/>
  <c r="M341" i="6"/>
  <c r="P357" i="6"/>
  <c r="M357" i="6"/>
  <c r="M365" i="6"/>
  <c r="P365" i="6"/>
  <c r="W373" i="6"/>
  <c r="AD373" i="6"/>
  <c r="AN373" i="6"/>
  <c r="X368" i="6"/>
  <c r="J363" i="6"/>
  <c r="J222" i="6"/>
  <c r="J90" i="6"/>
  <c r="J110" i="6"/>
  <c r="J103" i="6"/>
  <c r="J93" i="6"/>
  <c r="J264" i="6"/>
  <c r="J246" i="6"/>
  <c r="J367" i="6"/>
  <c r="J325" i="6"/>
  <c r="J288" i="6"/>
  <c r="J72" i="6"/>
  <c r="J192" i="6"/>
  <c r="J191" i="6"/>
  <c r="J312" i="6"/>
  <c r="J349" i="6"/>
  <c r="J174" i="6"/>
  <c r="J253" i="6"/>
  <c r="J80" i="6"/>
  <c r="J49" i="6"/>
  <c r="J175" i="6"/>
  <c r="J88" i="6"/>
  <c r="J176" i="6"/>
  <c r="J272" i="6"/>
  <c r="J266" i="6"/>
  <c r="J60" i="6"/>
  <c r="J328" i="6"/>
  <c r="J341" i="6"/>
  <c r="M20" i="6"/>
  <c r="P20" i="6"/>
  <c r="M68" i="6"/>
  <c r="P68" i="6"/>
  <c r="M120" i="6"/>
  <c r="P120" i="6"/>
  <c r="M47" i="6"/>
  <c r="P47" i="6"/>
  <c r="L372" i="6"/>
  <c r="L368" i="6"/>
  <c r="M9" i="6"/>
  <c r="P9" i="6"/>
  <c r="P14" i="6"/>
  <c r="M14" i="6"/>
  <c r="P30" i="6"/>
  <c r="M30" i="6"/>
  <c r="M87" i="6"/>
  <c r="P87" i="6"/>
  <c r="M119" i="6"/>
  <c r="P119" i="6"/>
  <c r="M165" i="6"/>
  <c r="P165" i="6"/>
  <c r="M233" i="6"/>
  <c r="P233" i="6"/>
  <c r="M182" i="6"/>
  <c r="P182" i="6"/>
  <c r="P93" i="6"/>
  <c r="M93" i="6"/>
  <c r="P142" i="6"/>
  <c r="M142" i="6"/>
  <c r="M217" i="6"/>
  <c r="P217" i="6"/>
  <c r="M132" i="6"/>
  <c r="P132" i="6"/>
  <c r="M180" i="6"/>
  <c r="P180" i="6"/>
  <c r="P147" i="6"/>
  <c r="M147" i="6"/>
  <c r="P179" i="6"/>
  <c r="M179" i="6"/>
  <c r="P229" i="6"/>
  <c r="M229" i="6"/>
  <c r="M223" i="6"/>
  <c r="P223" i="6"/>
  <c r="P234" i="6"/>
  <c r="M234" i="6"/>
  <c r="M273" i="6"/>
  <c r="P273" i="6"/>
  <c r="M264" i="6"/>
  <c r="P264" i="6"/>
  <c r="P247" i="6"/>
  <c r="M247" i="6"/>
  <c r="P279" i="6"/>
  <c r="M279" i="6"/>
  <c r="M301" i="6"/>
  <c r="P301" i="6"/>
  <c r="P293" i="6"/>
  <c r="M293" i="6"/>
  <c r="M308" i="6"/>
  <c r="P308" i="6"/>
  <c r="P291" i="6"/>
  <c r="M291" i="6"/>
  <c r="P322" i="6"/>
  <c r="M322" i="6"/>
  <c r="M324" i="6"/>
  <c r="P324" i="6"/>
  <c r="P331" i="6"/>
  <c r="M331" i="6"/>
  <c r="P352" i="6"/>
  <c r="M352" i="6"/>
  <c r="AJ373" i="6"/>
  <c r="T373" i="6"/>
  <c r="P45" i="6"/>
  <c r="M45" i="6"/>
  <c r="P61" i="6"/>
  <c r="M61" i="6"/>
  <c r="M16" i="6"/>
  <c r="P16" i="6"/>
  <c r="M32" i="6"/>
  <c r="P32" i="6"/>
  <c r="M48" i="6"/>
  <c r="P48" i="6"/>
  <c r="M64" i="6"/>
  <c r="P64" i="6"/>
  <c r="M82" i="6"/>
  <c r="P82" i="6"/>
  <c r="M100" i="6"/>
  <c r="P100" i="6"/>
  <c r="M116" i="6"/>
  <c r="P116" i="6"/>
  <c r="M84" i="6"/>
  <c r="P84" i="6"/>
  <c r="M27" i="6"/>
  <c r="P27" i="6"/>
  <c r="M43" i="6"/>
  <c r="P43" i="6"/>
  <c r="M59" i="6"/>
  <c r="P59" i="6"/>
  <c r="M75" i="6"/>
  <c r="P75" i="6"/>
  <c r="M209" i="6"/>
  <c r="P209" i="6"/>
  <c r="P29" i="6"/>
  <c r="M29" i="6"/>
  <c r="P69" i="6"/>
  <c r="M69" i="6"/>
  <c r="L371" i="6"/>
  <c r="P10" i="6"/>
  <c r="M10" i="6"/>
  <c r="P26" i="6"/>
  <c r="M26" i="6"/>
  <c r="P42" i="6"/>
  <c r="M42" i="6"/>
  <c r="P58" i="6"/>
  <c r="M58" i="6"/>
  <c r="P74" i="6"/>
  <c r="M74" i="6"/>
  <c r="P83" i="6"/>
  <c r="M83" i="6"/>
  <c r="M99" i="6"/>
  <c r="P99" i="6"/>
  <c r="M115" i="6"/>
  <c r="P115" i="6"/>
  <c r="M130" i="6"/>
  <c r="P130" i="6"/>
  <c r="M146" i="6"/>
  <c r="P146" i="6"/>
  <c r="M162" i="6"/>
  <c r="P162" i="6"/>
  <c r="M186" i="6"/>
  <c r="P186" i="6"/>
  <c r="M220" i="6"/>
  <c r="P220" i="6"/>
  <c r="M94" i="6"/>
  <c r="P94" i="6"/>
  <c r="M110" i="6"/>
  <c r="P110" i="6"/>
  <c r="M126" i="6"/>
  <c r="P126" i="6"/>
  <c r="M201" i="6"/>
  <c r="P201" i="6"/>
  <c r="P237" i="6"/>
  <c r="M237" i="6"/>
  <c r="P89" i="6"/>
  <c r="M89" i="6"/>
  <c r="P105" i="6"/>
  <c r="M105" i="6"/>
  <c r="P121" i="6"/>
  <c r="M121" i="6"/>
  <c r="M137" i="6"/>
  <c r="P137" i="6"/>
  <c r="M153" i="6"/>
  <c r="P153" i="6"/>
  <c r="M169" i="6"/>
  <c r="P169" i="6"/>
  <c r="M197" i="6"/>
  <c r="P197" i="6"/>
  <c r="M254" i="6"/>
  <c r="P254" i="6"/>
  <c r="M128" i="6"/>
  <c r="P128" i="6"/>
  <c r="M144" i="6"/>
  <c r="P144" i="6"/>
  <c r="M160" i="6"/>
  <c r="P160" i="6"/>
  <c r="M176" i="6"/>
  <c r="P176" i="6"/>
  <c r="M192" i="6"/>
  <c r="P192" i="6"/>
  <c r="M292" i="6"/>
  <c r="P292" i="6"/>
  <c r="P143" i="6"/>
  <c r="M143" i="6"/>
  <c r="P159" i="6"/>
  <c r="M159" i="6"/>
  <c r="P175" i="6"/>
  <c r="M175" i="6"/>
  <c r="P191" i="6"/>
  <c r="M191" i="6"/>
  <c r="M208" i="6"/>
  <c r="P208" i="6"/>
  <c r="M224" i="6"/>
  <c r="P224" i="6"/>
  <c r="M250" i="6"/>
  <c r="P250" i="6"/>
  <c r="M281" i="6"/>
  <c r="P281" i="6"/>
  <c r="M219" i="6"/>
  <c r="P219" i="6"/>
  <c r="M235" i="6"/>
  <c r="P235" i="6"/>
  <c r="P214" i="6"/>
  <c r="M214" i="6"/>
  <c r="P230" i="6"/>
  <c r="M230" i="6"/>
  <c r="M297" i="6"/>
  <c r="P297" i="6"/>
  <c r="M253" i="6"/>
  <c r="P253" i="6"/>
  <c r="M269" i="6"/>
  <c r="P269" i="6"/>
  <c r="M244" i="6"/>
  <c r="P244" i="6"/>
  <c r="M260" i="6"/>
  <c r="P260" i="6"/>
  <c r="M276" i="6"/>
  <c r="P276" i="6"/>
  <c r="P243" i="6"/>
  <c r="M243" i="6"/>
  <c r="P259" i="6"/>
  <c r="M259" i="6"/>
  <c r="P275" i="6"/>
  <c r="M275" i="6"/>
  <c r="M296" i="6"/>
  <c r="P296" i="6"/>
  <c r="M298" i="6"/>
  <c r="P298" i="6"/>
  <c r="M288" i="6"/>
  <c r="P288" i="6"/>
  <c r="P306" i="6"/>
  <c r="M306" i="6"/>
  <c r="M330" i="6"/>
  <c r="P330" i="6"/>
  <c r="M318" i="6"/>
  <c r="P318" i="6"/>
  <c r="P287" i="6"/>
  <c r="M287" i="6"/>
  <c r="P303" i="6"/>
  <c r="M303" i="6"/>
  <c r="M317" i="6"/>
  <c r="P317" i="6"/>
  <c r="M351" i="6"/>
  <c r="P351" i="6"/>
  <c r="P320" i="6"/>
  <c r="M320" i="6"/>
  <c r="M335" i="6"/>
  <c r="P335" i="6"/>
  <c r="P327" i="6"/>
  <c r="M327" i="6"/>
  <c r="P340" i="6"/>
  <c r="M340" i="6"/>
  <c r="M355" i="6"/>
  <c r="P355" i="6"/>
  <c r="P343" i="6"/>
  <c r="M343" i="6"/>
  <c r="P361" i="6"/>
  <c r="M361" i="6"/>
  <c r="P345" i="6"/>
  <c r="M345" i="6"/>
  <c r="M366" i="6"/>
  <c r="P366" i="6"/>
  <c r="P364" i="6"/>
  <c r="M364" i="6"/>
  <c r="AO371" i="6"/>
  <c r="AO373" i="6" s="1"/>
  <c r="AO368" i="6"/>
  <c r="AH368" i="6"/>
  <c r="AE373" i="6"/>
  <c r="O370" i="6"/>
  <c r="O371" i="6"/>
  <c r="D371" i="6" l="1"/>
  <c r="D368" i="6"/>
  <c r="BH388" i="6" s="1"/>
  <c r="H17" i="6"/>
  <c r="E17" i="6"/>
  <c r="I17" i="6" s="1"/>
  <c r="H363" i="6"/>
  <c r="E363" i="6"/>
  <c r="H329" i="6"/>
  <c r="E329" i="6"/>
  <c r="I329" i="6" s="1"/>
  <c r="H32" i="6"/>
  <c r="E32" i="6"/>
  <c r="E220" i="6"/>
  <c r="H220" i="6"/>
  <c r="H28" i="6"/>
  <c r="E28" i="6"/>
  <c r="H180" i="6"/>
  <c r="E180" i="6"/>
  <c r="I180" i="6" s="1"/>
  <c r="H300" i="6"/>
  <c r="E300" i="6"/>
  <c r="H352" i="6"/>
  <c r="E352" i="6"/>
  <c r="I352" i="6" s="1"/>
  <c r="H264" i="6"/>
  <c r="E264" i="6"/>
  <c r="H72" i="6"/>
  <c r="E72" i="6"/>
  <c r="I72" i="6" s="1"/>
  <c r="K72" i="6" s="1"/>
  <c r="H283" i="6"/>
  <c r="E283" i="6"/>
  <c r="H235" i="6"/>
  <c r="E235" i="6"/>
  <c r="I235" i="6" s="1"/>
  <c r="H187" i="6"/>
  <c r="E187" i="6"/>
  <c r="H139" i="6"/>
  <c r="I139" i="6"/>
  <c r="E139" i="6"/>
  <c r="H91" i="6"/>
  <c r="E91" i="6"/>
  <c r="H43" i="6"/>
  <c r="E43" i="6"/>
  <c r="H250" i="6"/>
  <c r="E250" i="6"/>
  <c r="E202" i="6"/>
  <c r="H202" i="6"/>
  <c r="H154" i="6"/>
  <c r="E154" i="6"/>
  <c r="I154" i="6" s="1"/>
  <c r="H106" i="6"/>
  <c r="E106" i="6"/>
  <c r="H26" i="6"/>
  <c r="E26" i="6"/>
  <c r="H37" i="6"/>
  <c r="E37" i="6"/>
  <c r="H355" i="6"/>
  <c r="E355" i="6"/>
  <c r="I355" i="6" s="1"/>
  <c r="H314" i="6"/>
  <c r="E314" i="6"/>
  <c r="E228" i="6"/>
  <c r="H228" i="6"/>
  <c r="H100" i="6"/>
  <c r="E100" i="6"/>
  <c r="H358" i="6"/>
  <c r="E358" i="6"/>
  <c r="I358" i="6" s="1"/>
  <c r="H318" i="6"/>
  <c r="E318" i="6"/>
  <c r="H224" i="6"/>
  <c r="E224" i="6"/>
  <c r="H96" i="6"/>
  <c r="E96" i="6"/>
  <c r="H16" i="6"/>
  <c r="E16" i="6"/>
  <c r="I16" i="6" s="1"/>
  <c r="H353" i="6"/>
  <c r="E353" i="6"/>
  <c r="H333" i="6"/>
  <c r="E333" i="6"/>
  <c r="I333" i="6" s="1"/>
  <c r="H312" i="6"/>
  <c r="E312" i="6"/>
  <c r="H268" i="6"/>
  <c r="E268" i="6"/>
  <c r="I268" i="6" s="1"/>
  <c r="E204" i="6"/>
  <c r="I204" i="6" s="1"/>
  <c r="H204" i="6"/>
  <c r="H140" i="6"/>
  <c r="E140" i="6"/>
  <c r="H76" i="6"/>
  <c r="E76" i="6"/>
  <c r="H12" i="6"/>
  <c r="E12" i="6"/>
  <c r="H341" i="6"/>
  <c r="E341" i="6"/>
  <c r="H276" i="6"/>
  <c r="E276" i="6"/>
  <c r="H148" i="6"/>
  <c r="E148" i="6"/>
  <c r="H20" i="6"/>
  <c r="E20" i="6"/>
  <c r="I20" i="6" s="1"/>
  <c r="H334" i="6"/>
  <c r="E334" i="6"/>
  <c r="H272" i="6"/>
  <c r="E272" i="6"/>
  <c r="H144" i="6"/>
  <c r="E144" i="6"/>
  <c r="H364" i="6"/>
  <c r="E364" i="6"/>
  <c r="H348" i="6"/>
  <c r="E348" i="6"/>
  <c r="H326" i="6"/>
  <c r="E326" i="6"/>
  <c r="H304" i="6"/>
  <c r="E304" i="6"/>
  <c r="H248" i="6"/>
  <c r="E248" i="6"/>
  <c r="I248" i="6" s="1"/>
  <c r="E184" i="6"/>
  <c r="I184" i="6" s="1"/>
  <c r="H184" i="6"/>
  <c r="H120" i="6"/>
  <c r="E120" i="6"/>
  <c r="I120" i="6" s="1"/>
  <c r="H56" i="6"/>
  <c r="E56" i="6"/>
  <c r="H343" i="6"/>
  <c r="E343" i="6"/>
  <c r="H327" i="6"/>
  <c r="E327" i="6"/>
  <c r="H311" i="6"/>
  <c r="E311" i="6"/>
  <c r="H295" i="6"/>
  <c r="E295" i="6"/>
  <c r="H279" i="6"/>
  <c r="E279" i="6"/>
  <c r="H263" i="6"/>
  <c r="E263" i="6"/>
  <c r="H247" i="6"/>
  <c r="E247" i="6"/>
  <c r="H231" i="6"/>
  <c r="E231" i="6"/>
  <c r="H215" i="6"/>
  <c r="E215" i="6"/>
  <c r="H199" i="6"/>
  <c r="E199" i="6"/>
  <c r="H183" i="6"/>
  <c r="E183" i="6"/>
  <c r="H167" i="6"/>
  <c r="E167" i="6"/>
  <c r="H151" i="6"/>
  <c r="E151" i="6"/>
  <c r="H135" i="6"/>
  <c r="E135" i="6"/>
  <c r="H119" i="6"/>
  <c r="E119" i="6"/>
  <c r="H103" i="6"/>
  <c r="E103" i="6"/>
  <c r="H87" i="6"/>
  <c r="E87" i="6"/>
  <c r="H71" i="6"/>
  <c r="E71" i="6"/>
  <c r="H55" i="6"/>
  <c r="E55" i="6"/>
  <c r="H39" i="6"/>
  <c r="E39" i="6"/>
  <c r="H23" i="6"/>
  <c r="E23" i="6"/>
  <c r="H294" i="6"/>
  <c r="E294" i="6"/>
  <c r="H278" i="6"/>
  <c r="E278" i="6"/>
  <c r="H262" i="6"/>
  <c r="E262" i="6"/>
  <c r="H246" i="6"/>
  <c r="E246" i="6"/>
  <c r="I246" i="6" s="1"/>
  <c r="K246" i="6" s="1"/>
  <c r="E230" i="6"/>
  <c r="H230" i="6"/>
  <c r="E214" i="6"/>
  <c r="H214" i="6"/>
  <c r="E198" i="6"/>
  <c r="H198" i="6"/>
  <c r="H182" i="6"/>
  <c r="E182" i="6"/>
  <c r="I182" i="6" s="1"/>
  <c r="H166" i="6"/>
  <c r="E166" i="6"/>
  <c r="H150" i="6"/>
  <c r="E150" i="6"/>
  <c r="I150" i="6" s="1"/>
  <c r="H134" i="6"/>
  <c r="E134" i="6"/>
  <c r="H118" i="6"/>
  <c r="E118" i="6"/>
  <c r="H102" i="6"/>
  <c r="E102" i="6"/>
  <c r="H86" i="6"/>
  <c r="E86" i="6"/>
  <c r="I86" i="6" s="1"/>
  <c r="H70" i="6"/>
  <c r="E70" i="6"/>
  <c r="H54" i="6"/>
  <c r="E54" i="6"/>
  <c r="I54" i="6" s="1"/>
  <c r="H38" i="6"/>
  <c r="E38" i="6"/>
  <c r="H22" i="6"/>
  <c r="E22" i="6"/>
  <c r="I22" i="6" s="1"/>
  <c r="H305" i="6"/>
  <c r="E305" i="6"/>
  <c r="H289" i="6"/>
  <c r="E289" i="6"/>
  <c r="H273" i="6"/>
  <c r="E273" i="6"/>
  <c r="H257" i="6"/>
  <c r="E257" i="6"/>
  <c r="H241" i="6"/>
  <c r="E241" i="6"/>
  <c r="H225" i="6"/>
  <c r="E225" i="6"/>
  <c r="H209" i="6"/>
  <c r="E209" i="6"/>
  <c r="H193" i="6"/>
  <c r="E193" i="6"/>
  <c r="H177" i="6"/>
  <c r="E177" i="6"/>
  <c r="H161" i="6"/>
  <c r="E161" i="6"/>
  <c r="H145" i="6"/>
  <c r="E145" i="6"/>
  <c r="H129" i="6"/>
  <c r="E129" i="6"/>
  <c r="H113" i="6"/>
  <c r="E113" i="6"/>
  <c r="H97" i="6"/>
  <c r="E97" i="6"/>
  <c r="H81" i="6"/>
  <c r="E81" i="6"/>
  <c r="H65" i="6"/>
  <c r="E65" i="6"/>
  <c r="I65" i="6" s="1"/>
  <c r="H49" i="6"/>
  <c r="E49" i="6"/>
  <c r="H33" i="6"/>
  <c r="E33" i="6"/>
  <c r="H325" i="6"/>
  <c r="E325" i="6"/>
  <c r="H366" i="6"/>
  <c r="E366" i="6"/>
  <c r="I366" i="6" s="1"/>
  <c r="H128" i="6"/>
  <c r="E128" i="6"/>
  <c r="H338" i="6"/>
  <c r="E338" i="6"/>
  <c r="I338" i="6"/>
  <c r="H284" i="6"/>
  <c r="E284" i="6"/>
  <c r="H92" i="6"/>
  <c r="E92" i="6"/>
  <c r="I92" i="6" s="1"/>
  <c r="H309" i="6"/>
  <c r="E309" i="6"/>
  <c r="H345" i="6"/>
  <c r="E345" i="6"/>
  <c r="I345" i="6" s="1"/>
  <c r="H176" i="6"/>
  <c r="E176" i="6"/>
  <c r="H332" i="6"/>
  <c r="E332" i="6"/>
  <c r="I332" i="6" s="1"/>
  <c r="H200" i="6"/>
  <c r="E200" i="6"/>
  <c r="H347" i="6"/>
  <c r="E347" i="6"/>
  <c r="H315" i="6"/>
  <c r="E315" i="6"/>
  <c r="H251" i="6"/>
  <c r="E251" i="6"/>
  <c r="I251" i="6" s="1"/>
  <c r="H203" i="6"/>
  <c r="E203" i="6"/>
  <c r="H155" i="6"/>
  <c r="E155" i="6"/>
  <c r="I155" i="6" s="1"/>
  <c r="H107" i="6"/>
  <c r="E107" i="6"/>
  <c r="H59" i="6"/>
  <c r="I59" i="6"/>
  <c r="E59" i="6"/>
  <c r="H11" i="6"/>
  <c r="E11" i="6"/>
  <c r="H266" i="6"/>
  <c r="E266" i="6"/>
  <c r="E218" i="6"/>
  <c r="H218" i="6"/>
  <c r="H170" i="6"/>
  <c r="E170" i="6"/>
  <c r="H122" i="6"/>
  <c r="E122" i="6"/>
  <c r="I122" i="6" s="1"/>
  <c r="H74" i="6"/>
  <c r="I74" i="6" s="1"/>
  <c r="E74" i="6"/>
  <c r="H42" i="6"/>
  <c r="E42" i="6"/>
  <c r="I42" i="6" s="1"/>
  <c r="H293" i="6"/>
  <c r="E293" i="6"/>
  <c r="H85" i="6"/>
  <c r="E85" i="6"/>
  <c r="I85" i="6" s="1"/>
  <c r="H346" i="6"/>
  <c r="I346" i="6" s="1"/>
  <c r="E346" i="6"/>
  <c r="H302" i="6"/>
  <c r="E302" i="6"/>
  <c r="I302" i="6" s="1"/>
  <c r="E196" i="6"/>
  <c r="H196" i="6"/>
  <c r="H68" i="6"/>
  <c r="E68" i="6"/>
  <c r="H350" i="6"/>
  <c r="E350" i="6"/>
  <c r="H308" i="6"/>
  <c r="E308" i="6"/>
  <c r="H192" i="6"/>
  <c r="E192" i="6"/>
  <c r="H80" i="6"/>
  <c r="E80" i="6"/>
  <c r="H365" i="6"/>
  <c r="E365" i="6"/>
  <c r="H349" i="6"/>
  <c r="E349" i="6"/>
  <c r="H328" i="6"/>
  <c r="E328" i="6"/>
  <c r="H306" i="6"/>
  <c r="E306" i="6"/>
  <c r="H252" i="6"/>
  <c r="E252" i="6"/>
  <c r="E188" i="6"/>
  <c r="H188" i="6"/>
  <c r="H124" i="6"/>
  <c r="E124" i="6"/>
  <c r="H60" i="6"/>
  <c r="E60" i="6"/>
  <c r="H367" i="6"/>
  <c r="E367" i="6"/>
  <c r="H330" i="6"/>
  <c r="E330" i="6"/>
  <c r="H244" i="6"/>
  <c r="E244" i="6"/>
  <c r="H116" i="6"/>
  <c r="E116" i="6"/>
  <c r="H362" i="6"/>
  <c r="E362" i="6"/>
  <c r="H324" i="6"/>
  <c r="E324" i="6"/>
  <c r="H240" i="6"/>
  <c r="E240" i="6"/>
  <c r="H112" i="6"/>
  <c r="E112" i="6"/>
  <c r="I112" i="6" s="1"/>
  <c r="H360" i="6"/>
  <c r="E360" i="6"/>
  <c r="H342" i="6"/>
  <c r="E342" i="6"/>
  <c r="I342" i="6" s="1"/>
  <c r="H321" i="6"/>
  <c r="E321" i="6"/>
  <c r="H296" i="6"/>
  <c r="E296" i="6"/>
  <c r="I296" i="6" s="1"/>
  <c r="H232" i="6"/>
  <c r="E232" i="6"/>
  <c r="H168" i="6"/>
  <c r="E168" i="6"/>
  <c r="H104" i="6"/>
  <c r="E104" i="6"/>
  <c r="H40" i="6"/>
  <c r="E40" i="6"/>
  <c r="H339" i="6"/>
  <c r="E339" i="6"/>
  <c r="H323" i="6"/>
  <c r="E323" i="6"/>
  <c r="H307" i="6"/>
  <c r="E307" i="6"/>
  <c r="H291" i="6"/>
  <c r="E291" i="6"/>
  <c r="H275" i="6"/>
  <c r="E275" i="6"/>
  <c r="H259" i="6"/>
  <c r="E259" i="6"/>
  <c r="H243" i="6"/>
  <c r="E243" i="6"/>
  <c r="H227" i="6"/>
  <c r="E227" i="6"/>
  <c r="H211" i="6"/>
  <c r="E211" i="6"/>
  <c r="H195" i="6"/>
  <c r="E195" i="6"/>
  <c r="H179" i="6"/>
  <c r="E179" i="6"/>
  <c r="H163" i="6"/>
  <c r="E163" i="6"/>
  <c r="H147" i="6"/>
  <c r="E147" i="6"/>
  <c r="H131" i="6"/>
  <c r="E131" i="6"/>
  <c r="H115" i="6"/>
  <c r="E115" i="6"/>
  <c r="H99" i="6"/>
  <c r="E99" i="6"/>
  <c r="H83" i="6"/>
  <c r="E83" i="6"/>
  <c r="H67" i="6"/>
  <c r="E67" i="6"/>
  <c r="H51" i="6"/>
  <c r="E51" i="6"/>
  <c r="H35" i="6"/>
  <c r="E35" i="6"/>
  <c r="H19" i="6"/>
  <c r="E19" i="6"/>
  <c r="H290" i="6"/>
  <c r="E290" i="6"/>
  <c r="H274" i="6"/>
  <c r="E274" i="6"/>
  <c r="H258" i="6"/>
  <c r="E258" i="6"/>
  <c r="H242" i="6"/>
  <c r="E242" i="6"/>
  <c r="E226" i="6"/>
  <c r="H226" i="6"/>
  <c r="E210" i="6"/>
  <c r="H210" i="6"/>
  <c r="E194" i="6"/>
  <c r="H194" i="6"/>
  <c r="I194" i="6"/>
  <c r="H178" i="6"/>
  <c r="E178" i="6"/>
  <c r="H162" i="6"/>
  <c r="E162" i="6"/>
  <c r="I162" i="6" s="1"/>
  <c r="H146" i="6"/>
  <c r="E146" i="6"/>
  <c r="H130" i="6"/>
  <c r="E130" i="6"/>
  <c r="I130" i="6" s="1"/>
  <c r="H114" i="6"/>
  <c r="E114" i="6"/>
  <c r="H98" i="6"/>
  <c r="E98" i="6"/>
  <c r="H82" i="6"/>
  <c r="E82" i="6"/>
  <c r="H66" i="6"/>
  <c r="E66" i="6"/>
  <c r="I66" i="6" s="1"/>
  <c r="H50" i="6"/>
  <c r="E50" i="6"/>
  <c r="H34" i="6"/>
  <c r="E34" i="6"/>
  <c r="H18" i="6"/>
  <c r="E18" i="6"/>
  <c r="H301" i="6"/>
  <c r="E301" i="6"/>
  <c r="H285" i="6"/>
  <c r="E285" i="6"/>
  <c r="H269" i="6"/>
  <c r="E269" i="6"/>
  <c r="H253" i="6"/>
  <c r="E253" i="6"/>
  <c r="H237" i="6"/>
  <c r="E237" i="6"/>
  <c r="H221" i="6"/>
  <c r="E221" i="6"/>
  <c r="H205" i="6"/>
  <c r="E205" i="6"/>
  <c r="H189" i="6"/>
  <c r="E189" i="6"/>
  <c r="H173" i="6"/>
  <c r="E173" i="6"/>
  <c r="H157" i="6"/>
  <c r="E157" i="6"/>
  <c r="H141" i="6"/>
  <c r="E141" i="6"/>
  <c r="H125" i="6"/>
  <c r="E125" i="6"/>
  <c r="H109" i="6"/>
  <c r="E109" i="6"/>
  <c r="H93" i="6"/>
  <c r="E93" i="6"/>
  <c r="H77" i="6"/>
  <c r="E77" i="6"/>
  <c r="I77" i="6" s="1"/>
  <c r="H61" i="6"/>
  <c r="E61" i="6"/>
  <c r="H45" i="6"/>
  <c r="E45" i="6"/>
  <c r="H29" i="6"/>
  <c r="E29" i="6"/>
  <c r="H13" i="6"/>
  <c r="E13" i="6"/>
  <c r="H260" i="6"/>
  <c r="E260" i="6"/>
  <c r="H132" i="6"/>
  <c r="E132" i="6"/>
  <c r="H256" i="6"/>
  <c r="E256" i="6"/>
  <c r="H357" i="6"/>
  <c r="E357" i="6"/>
  <c r="H317" i="6"/>
  <c r="E317" i="6"/>
  <c r="H156" i="6"/>
  <c r="E156" i="6"/>
  <c r="H351" i="6"/>
  <c r="E351" i="6"/>
  <c r="H52" i="6"/>
  <c r="E52" i="6"/>
  <c r="I52" i="6" s="1"/>
  <c r="H9" i="6"/>
  <c r="E9" i="6"/>
  <c r="H310" i="6"/>
  <c r="E310" i="6"/>
  <c r="H136" i="6"/>
  <c r="E136" i="6"/>
  <c r="H331" i="6"/>
  <c r="E331" i="6"/>
  <c r="H299" i="6"/>
  <c r="E299" i="6"/>
  <c r="H267" i="6"/>
  <c r="E267" i="6"/>
  <c r="H219" i="6"/>
  <c r="E219" i="6"/>
  <c r="H171" i="6"/>
  <c r="E171" i="6"/>
  <c r="H123" i="6"/>
  <c r="E123" i="6"/>
  <c r="H75" i="6"/>
  <c r="E75" i="6"/>
  <c r="H27" i="6"/>
  <c r="E27" i="6"/>
  <c r="H282" i="6"/>
  <c r="E282" i="6"/>
  <c r="H234" i="6"/>
  <c r="E234" i="6"/>
  <c r="E186" i="6"/>
  <c r="H186" i="6"/>
  <c r="H138" i="6"/>
  <c r="E138" i="6"/>
  <c r="H90" i="6"/>
  <c r="E90" i="6"/>
  <c r="I90" i="6" s="1"/>
  <c r="K90" i="6" s="1"/>
  <c r="H58" i="6"/>
  <c r="E58" i="6"/>
  <c r="H10" i="6"/>
  <c r="E10" i="6"/>
  <c r="H277" i="6"/>
  <c r="E277" i="6"/>
  <c r="H261" i="6"/>
  <c r="E261" i="6"/>
  <c r="H245" i="6"/>
  <c r="E245" i="6"/>
  <c r="H229" i="6"/>
  <c r="E229" i="6"/>
  <c r="I229" i="6" s="1"/>
  <c r="H213" i="6"/>
  <c r="E213" i="6"/>
  <c r="H197" i="6"/>
  <c r="E197" i="6"/>
  <c r="I197" i="6" s="1"/>
  <c r="H181" i="6"/>
  <c r="E181" i="6"/>
  <c r="H165" i="6"/>
  <c r="E165" i="6"/>
  <c r="I165" i="6" s="1"/>
  <c r="H149" i="6"/>
  <c r="E149" i="6"/>
  <c r="H133" i="6"/>
  <c r="E133" i="6"/>
  <c r="I133" i="6" s="1"/>
  <c r="H117" i="6"/>
  <c r="E117" i="6"/>
  <c r="H101" i="6"/>
  <c r="E101" i="6"/>
  <c r="I101" i="6" s="1"/>
  <c r="H69" i="6"/>
  <c r="E69" i="6"/>
  <c r="H53" i="6"/>
  <c r="E53" i="6"/>
  <c r="H21" i="6"/>
  <c r="E21" i="6"/>
  <c r="H336" i="6"/>
  <c r="E336" i="6"/>
  <c r="H292" i="6"/>
  <c r="E292" i="6"/>
  <c r="H164" i="6"/>
  <c r="E164" i="6"/>
  <c r="I164" i="6" s="1"/>
  <c r="H36" i="6"/>
  <c r="E36" i="6"/>
  <c r="H340" i="6"/>
  <c r="E340" i="6"/>
  <c r="I340" i="6" s="1"/>
  <c r="E288" i="6"/>
  <c r="H288" i="6"/>
  <c r="H160" i="6"/>
  <c r="E160" i="6"/>
  <c r="I160" i="6" s="1"/>
  <c r="H48" i="6"/>
  <c r="E48" i="6"/>
  <c r="H361" i="6"/>
  <c r="E361" i="6"/>
  <c r="I361" i="6" s="1"/>
  <c r="H344" i="6"/>
  <c r="E344" i="6"/>
  <c r="I344" i="6" s="1"/>
  <c r="K344" i="6" s="1"/>
  <c r="H322" i="6"/>
  <c r="E322" i="6"/>
  <c r="H298" i="6"/>
  <c r="E298" i="6"/>
  <c r="H236" i="6"/>
  <c r="E236" i="6"/>
  <c r="H172" i="6"/>
  <c r="E172" i="6"/>
  <c r="I172" i="6" s="1"/>
  <c r="H108" i="6"/>
  <c r="E108" i="6"/>
  <c r="H44" i="6"/>
  <c r="E44" i="6"/>
  <c r="I44" i="6" s="1"/>
  <c r="H359" i="6"/>
  <c r="E359" i="6"/>
  <c r="H320" i="6"/>
  <c r="E320" i="6"/>
  <c r="I320" i="6" s="1"/>
  <c r="E212" i="6"/>
  <c r="H212" i="6"/>
  <c r="H84" i="6"/>
  <c r="E84" i="6"/>
  <c r="I84" i="6" s="1"/>
  <c r="H354" i="6"/>
  <c r="E354" i="6"/>
  <c r="H313" i="6"/>
  <c r="E313" i="6"/>
  <c r="I313" i="6" s="1"/>
  <c r="H208" i="6"/>
  <c r="E208" i="6"/>
  <c r="H64" i="6"/>
  <c r="E64" i="6"/>
  <c r="H356" i="6"/>
  <c r="E356" i="6"/>
  <c r="H337" i="6"/>
  <c r="E337" i="6"/>
  <c r="H316" i="6"/>
  <c r="E316" i="6"/>
  <c r="E280" i="6"/>
  <c r="H280" i="6"/>
  <c r="H216" i="6"/>
  <c r="E216" i="6"/>
  <c r="H152" i="6"/>
  <c r="E152" i="6"/>
  <c r="H88" i="6"/>
  <c r="E88" i="6"/>
  <c r="H24" i="6"/>
  <c r="E24" i="6"/>
  <c r="H335" i="6"/>
  <c r="E335" i="6"/>
  <c r="H319" i="6"/>
  <c r="E319" i="6"/>
  <c r="H303" i="6"/>
  <c r="E303" i="6"/>
  <c r="H287" i="6"/>
  <c r="E287" i="6"/>
  <c r="H271" i="6"/>
  <c r="E271" i="6"/>
  <c r="H255" i="6"/>
  <c r="E255" i="6"/>
  <c r="H239" i="6"/>
  <c r="E239" i="6"/>
  <c r="H223" i="6"/>
  <c r="E223" i="6"/>
  <c r="H207" i="6"/>
  <c r="E207" i="6"/>
  <c r="H191" i="6"/>
  <c r="E191" i="6"/>
  <c r="H175" i="6"/>
  <c r="E175" i="6"/>
  <c r="H159" i="6"/>
  <c r="E159" i="6"/>
  <c r="H143" i="6"/>
  <c r="E143" i="6"/>
  <c r="H127" i="6"/>
  <c r="E127" i="6"/>
  <c r="H111" i="6"/>
  <c r="E111" i="6"/>
  <c r="H95" i="6"/>
  <c r="E95" i="6"/>
  <c r="H79" i="6"/>
  <c r="E79" i="6"/>
  <c r="H63" i="6"/>
  <c r="E63" i="6"/>
  <c r="I63" i="6" s="1"/>
  <c r="H47" i="6"/>
  <c r="E47" i="6"/>
  <c r="H31" i="6"/>
  <c r="E31" i="6"/>
  <c r="I31" i="6" s="1"/>
  <c r="H15" i="6"/>
  <c r="E15" i="6"/>
  <c r="H286" i="6"/>
  <c r="E286" i="6"/>
  <c r="I286" i="6" s="1"/>
  <c r="H270" i="6"/>
  <c r="E270" i="6"/>
  <c r="H254" i="6"/>
  <c r="E254" i="6"/>
  <c r="I254" i="6" s="1"/>
  <c r="H238" i="6"/>
  <c r="E238" i="6"/>
  <c r="E222" i="6"/>
  <c r="H222" i="6"/>
  <c r="E206" i="6"/>
  <c r="H206" i="6"/>
  <c r="E190" i="6"/>
  <c r="H190" i="6"/>
  <c r="H174" i="6"/>
  <c r="E174" i="6"/>
  <c r="H158" i="6"/>
  <c r="E158" i="6"/>
  <c r="H142" i="6"/>
  <c r="E142" i="6"/>
  <c r="H126" i="6"/>
  <c r="E126" i="6"/>
  <c r="I126" i="6" s="1"/>
  <c r="H110" i="6"/>
  <c r="E110" i="6"/>
  <c r="H94" i="6"/>
  <c r="E94" i="6"/>
  <c r="I94" i="6" s="1"/>
  <c r="H78" i="6"/>
  <c r="E78" i="6"/>
  <c r="H62" i="6"/>
  <c r="E62" i="6"/>
  <c r="I62" i="6" s="1"/>
  <c r="H46" i="6"/>
  <c r="E46" i="6"/>
  <c r="I46" i="6" s="1"/>
  <c r="H30" i="6"/>
  <c r="E30" i="6"/>
  <c r="H14" i="6"/>
  <c r="E14" i="6"/>
  <c r="H297" i="6"/>
  <c r="E297" i="6"/>
  <c r="H281" i="6"/>
  <c r="E281" i="6"/>
  <c r="H265" i="6"/>
  <c r="E265" i="6"/>
  <c r="H249" i="6"/>
  <c r="E249" i="6"/>
  <c r="I249" i="6" s="1"/>
  <c r="H233" i="6"/>
  <c r="E233" i="6"/>
  <c r="H217" i="6"/>
  <c r="E217" i="6"/>
  <c r="I217" i="6" s="1"/>
  <c r="H201" i="6"/>
  <c r="E201" i="6"/>
  <c r="H185" i="6"/>
  <c r="E185" i="6"/>
  <c r="H169" i="6"/>
  <c r="E169" i="6"/>
  <c r="H153" i="6"/>
  <c r="E153" i="6"/>
  <c r="I153" i="6" s="1"/>
  <c r="H137" i="6"/>
  <c r="E137" i="6"/>
  <c r="H121" i="6"/>
  <c r="E121" i="6"/>
  <c r="H105" i="6"/>
  <c r="E105" i="6"/>
  <c r="H89" i="6"/>
  <c r="E89" i="6"/>
  <c r="I89" i="6" s="1"/>
  <c r="H73" i="6"/>
  <c r="E73" i="6"/>
  <c r="H57" i="6"/>
  <c r="E57" i="6"/>
  <c r="H41" i="6"/>
  <c r="E41" i="6"/>
  <c r="H25" i="6"/>
  <c r="E25" i="6"/>
  <c r="J159" i="6"/>
  <c r="J236" i="6"/>
  <c r="J204" i="6"/>
  <c r="J120" i="6"/>
  <c r="J146" i="6"/>
  <c r="J22" i="6"/>
  <c r="J57" i="6"/>
  <c r="J277" i="6"/>
  <c r="J67" i="6"/>
  <c r="J130" i="6"/>
  <c r="J318" i="6"/>
  <c r="J237" i="6"/>
  <c r="J32" i="6"/>
  <c r="J86" i="6"/>
  <c r="J292" i="6"/>
  <c r="J184" i="6"/>
  <c r="J265" i="6"/>
  <c r="J104" i="6"/>
  <c r="J18" i="6"/>
  <c r="J316" i="6"/>
  <c r="J332" i="6"/>
  <c r="J273" i="6"/>
  <c r="J62" i="6"/>
  <c r="J51" i="6"/>
  <c r="J311" i="6"/>
  <c r="J125" i="6"/>
  <c r="J61" i="6"/>
  <c r="J187" i="6"/>
  <c r="J356" i="6"/>
  <c r="J365" i="6"/>
  <c r="J327" i="6"/>
  <c r="J295" i="6"/>
  <c r="J211" i="6"/>
  <c r="J135" i="6"/>
  <c r="J131" i="6"/>
  <c r="J140" i="6"/>
  <c r="J155" i="6"/>
  <c r="J82" i="6"/>
  <c r="J70" i="6"/>
  <c r="J34" i="6"/>
  <c r="J153" i="6"/>
  <c r="J105" i="6"/>
  <c r="J152" i="6"/>
  <c r="J149" i="6"/>
  <c r="J228" i="6"/>
  <c r="J270" i="6"/>
  <c r="J308" i="6"/>
  <c r="J352" i="6"/>
  <c r="J268" i="6"/>
  <c r="J338" i="6"/>
  <c r="J162" i="6"/>
  <c r="J142" i="6"/>
  <c r="J302" i="6"/>
  <c r="J58" i="6"/>
  <c r="J16" i="6"/>
  <c r="J99" i="6"/>
  <c r="J196" i="6"/>
  <c r="J248" i="6"/>
  <c r="J233" i="6"/>
  <c r="J263" i="6"/>
  <c r="J362" i="6"/>
  <c r="J274" i="6"/>
  <c r="J23" i="6"/>
  <c r="J19" i="6"/>
  <c r="J238" i="6"/>
  <c r="J243" i="6"/>
  <c r="J297" i="6"/>
  <c r="J27" i="6"/>
  <c r="J40" i="6"/>
  <c r="J63" i="6"/>
  <c r="J36" i="6"/>
  <c r="J200" i="6"/>
  <c r="J168" i="6"/>
  <c r="J92" i="6"/>
  <c r="J108" i="6"/>
  <c r="J124" i="6"/>
  <c r="J183" i="6"/>
  <c r="J202" i="6"/>
  <c r="J141" i="6"/>
  <c r="J223" i="6"/>
  <c r="J305" i="6"/>
  <c r="J74" i="6"/>
  <c r="J280" i="6"/>
  <c r="J251" i="6"/>
  <c r="J319" i="6"/>
  <c r="J303" i="6"/>
  <c r="J230" i="6"/>
  <c r="J218" i="6"/>
  <c r="J118" i="6"/>
  <c r="J43" i="6"/>
  <c r="J87" i="6"/>
  <c r="J121" i="6"/>
  <c r="J178" i="6"/>
  <c r="J309" i="6"/>
  <c r="J355" i="6"/>
  <c r="J64" i="6"/>
  <c r="J269" i="6"/>
  <c r="J48" i="6"/>
  <c r="J136" i="6"/>
  <c r="J198" i="6"/>
  <c r="J296" i="6"/>
  <c r="J337" i="6"/>
  <c r="J107" i="6"/>
  <c r="J299" i="6"/>
  <c r="J59" i="6"/>
  <c r="J55" i="6"/>
  <c r="J111" i="6"/>
  <c r="J100" i="6"/>
  <c r="J160" i="6"/>
  <c r="J232" i="6"/>
  <c r="J252" i="6"/>
  <c r="J39" i="6"/>
  <c r="J285" i="6"/>
  <c r="J359" i="6"/>
  <c r="J331" i="6"/>
  <c r="J287" i="6"/>
  <c r="J219" i="6"/>
  <c r="J227" i="6"/>
  <c r="J164" i="6"/>
  <c r="J78" i="6"/>
  <c r="J139" i="6"/>
  <c r="J41" i="6"/>
  <c r="J33" i="6"/>
  <c r="J52" i="6"/>
  <c r="J169" i="6"/>
  <c r="J109" i="6"/>
  <c r="J129" i="6"/>
  <c r="J165" i="6"/>
  <c r="J244" i="6"/>
  <c r="J278" i="6"/>
  <c r="J315" i="6"/>
  <c r="J336" i="6"/>
  <c r="J250" i="6"/>
  <c r="J366" i="6"/>
  <c r="J91" i="6"/>
  <c r="J224" i="6"/>
  <c r="J289" i="6"/>
  <c r="J76" i="6"/>
  <c r="J11" i="6"/>
  <c r="J115" i="6"/>
  <c r="J206" i="6"/>
  <c r="J134" i="6"/>
  <c r="J213" i="6"/>
  <c r="J271" i="6"/>
  <c r="J310" i="6"/>
  <c r="J294" i="6"/>
  <c r="J31" i="6"/>
  <c r="J37" i="6"/>
  <c r="J158" i="6"/>
  <c r="J267" i="6"/>
  <c r="J343" i="6"/>
  <c r="J45" i="6"/>
  <c r="J13" i="6"/>
  <c r="J38" i="6"/>
  <c r="J50" i="6"/>
  <c r="J95" i="6"/>
  <c r="J199" i="6"/>
  <c r="J96" i="6"/>
  <c r="J112" i="6"/>
  <c r="J128" i="6"/>
  <c r="J234" i="6"/>
  <c r="J217" i="6"/>
  <c r="J157" i="6"/>
  <c r="J185" i="6"/>
  <c r="J351" i="6"/>
  <c r="J14" i="6"/>
  <c r="J182" i="6"/>
  <c r="J304" i="6"/>
  <c r="J342" i="6"/>
  <c r="J323" i="6"/>
  <c r="J167" i="6"/>
  <c r="J94" i="6"/>
  <c r="J122" i="6"/>
  <c r="J12" i="6"/>
  <c r="J89" i="6"/>
  <c r="J197" i="6"/>
  <c r="J205" i="6"/>
  <c r="J321" i="6"/>
  <c r="J298" i="6"/>
  <c r="J257" i="6"/>
  <c r="J357" i="6"/>
  <c r="J53" i="6"/>
  <c r="J9" i="6"/>
  <c r="J261" i="6"/>
  <c r="J354" i="6"/>
  <c r="J127" i="6"/>
  <c r="J209" i="6"/>
  <c r="J329" i="6"/>
  <c r="J30" i="6"/>
  <c r="J68" i="6"/>
  <c r="J77" i="6"/>
  <c r="J116" i="6"/>
  <c r="J210" i="6"/>
  <c r="J173" i="6"/>
  <c r="J28" i="6"/>
  <c r="J194" i="6"/>
  <c r="J322" i="6"/>
  <c r="J42" i="6"/>
  <c r="J350" i="6"/>
  <c r="J283" i="6"/>
  <c r="J335" i="6"/>
  <c r="J320" i="6"/>
  <c r="J301" i="6"/>
  <c r="J255" i="6"/>
  <c r="J245" i="6"/>
  <c r="J215" i="6"/>
  <c r="J166" i="6"/>
  <c r="J231" i="6"/>
  <c r="J208" i="6"/>
  <c r="J170" i="6"/>
  <c r="J225" i="6"/>
  <c r="J15" i="6"/>
  <c r="J35" i="6"/>
  <c r="J54" i="6"/>
  <c r="J17" i="6"/>
  <c r="J44" i="6"/>
  <c r="J346" i="6"/>
  <c r="J275" i="6"/>
  <c r="J221" i="6"/>
  <c r="J177" i="6"/>
  <c r="J154" i="6"/>
  <c r="J81" i="6"/>
  <c r="J46" i="6"/>
  <c r="J364" i="6"/>
  <c r="J282" i="6"/>
  <c r="J220" i="6"/>
  <c r="J340" i="6"/>
  <c r="J326" i="6"/>
  <c r="J317" i="6"/>
  <c r="J281" i="6"/>
  <c r="J291" i="6"/>
  <c r="J262" i="6"/>
  <c r="J276" i="6"/>
  <c r="J212" i="6"/>
  <c r="J256" i="6"/>
  <c r="J133" i="6"/>
  <c r="J161" i="6"/>
  <c r="J190" i="6"/>
  <c r="J117" i="6"/>
  <c r="J101" i="6"/>
  <c r="J85" i="6"/>
  <c r="J137" i="6"/>
  <c r="J79" i="6"/>
  <c r="J20" i="6"/>
  <c r="J65" i="6"/>
  <c r="J25" i="6"/>
  <c r="J29" i="6"/>
  <c r="J102" i="6"/>
  <c r="J126" i="6"/>
  <c r="J171" i="6"/>
  <c r="J132" i="6"/>
  <c r="J156" i="6"/>
  <c r="J98" i="6"/>
  <c r="J147" i="6"/>
  <c r="J235" i="6"/>
  <c r="J143" i="6"/>
  <c r="J179" i="6"/>
  <c r="J239" i="6"/>
  <c r="J242" i="6"/>
  <c r="J286" i="6"/>
  <c r="J307" i="6"/>
  <c r="J333" i="6"/>
  <c r="J345" i="6"/>
  <c r="J348" i="6"/>
  <c r="J347" i="6"/>
  <c r="J314" i="6"/>
  <c r="J216" i="6"/>
  <c r="J306" i="6"/>
  <c r="J324" i="6"/>
  <c r="J279" i="6"/>
  <c r="J247" i="6"/>
  <c r="J229" i="6"/>
  <c r="J201" i="6"/>
  <c r="J150" i="6"/>
  <c r="J193" i="6"/>
  <c r="J226" i="6"/>
  <c r="J138" i="6"/>
  <c r="J181" i="6"/>
  <c r="J84" i="6"/>
  <c r="J21" i="6"/>
  <c r="J24" i="6"/>
  <c r="J73" i="6"/>
  <c r="J26" i="6"/>
  <c r="J293" i="6"/>
  <c r="J259" i="6"/>
  <c r="J249" i="6"/>
  <c r="J83" i="6"/>
  <c r="J123" i="6"/>
  <c r="J69" i="6"/>
  <c r="J56" i="6"/>
  <c r="J330" i="6"/>
  <c r="J258" i="6"/>
  <c r="J361" i="6"/>
  <c r="J360" i="6"/>
  <c r="J358" i="6"/>
  <c r="J334" i="6"/>
  <c r="J290" i="6"/>
  <c r="J241" i="6"/>
  <c r="J254" i="6"/>
  <c r="J260" i="6"/>
  <c r="J240" i="6"/>
  <c r="J189" i="6"/>
  <c r="J186" i="6"/>
  <c r="J145" i="6"/>
  <c r="J144" i="6"/>
  <c r="J113" i="6"/>
  <c r="J97" i="6"/>
  <c r="J180" i="6"/>
  <c r="J119" i="6"/>
  <c r="J66" i="6"/>
  <c r="J10" i="6"/>
  <c r="J47" i="6"/>
  <c r="J75" i="6"/>
  <c r="J71" i="6"/>
  <c r="J106" i="6"/>
  <c r="J148" i="6"/>
  <c r="J203" i="6"/>
  <c r="J188" i="6"/>
  <c r="J172" i="6"/>
  <c r="J114" i="6"/>
  <c r="J163" i="6"/>
  <c r="J207" i="6"/>
  <c r="J151" i="6"/>
  <c r="J195" i="6"/>
  <c r="J214" i="6"/>
  <c r="J284" i="6"/>
  <c r="J300" i="6"/>
  <c r="J313" i="6"/>
  <c r="J339" i="6"/>
  <c r="J353" i="6"/>
  <c r="D370" i="6"/>
  <c r="D372" i="6"/>
  <c r="Q153" i="6"/>
  <c r="R153" i="6" s="1"/>
  <c r="Q9" i="6"/>
  <c r="R9" i="6" s="1"/>
  <c r="Q359" i="6"/>
  <c r="R359" i="6" s="1"/>
  <c r="Q267" i="6"/>
  <c r="R267" i="6" s="1"/>
  <c r="Q113" i="6"/>
  <c r="R113" i="6" s="1"/>
  <c r="Q366" i="6"/>
  <c r="R366" i="6" s="1"/>
  <c r="Q87" i="6"/>
  <c r="R87" i="6" s="1"/>
  <c r="Q348" i="6"/>
  <c r="R348" i="6" s="1"/>
  <c r="Q255" i="6"/>
  <c r="R255" i="6" s="1"/>
  <c r="Q206" i="6"/>
  <c r="R206" i="6" s="1"/>
  <c r="Q79" i="6"/>
  <c r="R79" i="6" s="1"/>
  <c r="Q109" i="6"/>
  <c r="R109" i="6" s="1"/>
  <c r="Q29" i="6"/>
  <c r="R29" i="6" s="1"/>
  <c r="Q61" i="6"/>
  <c r="R61" i="6" s="1"/>
  <c r="Q352" i="6"/>
  <c r="R352" i="6" s="1"/>
  <c r="Q164" i="6"/>
  <c r="R164" i="6" s="1"/>
  <c r="Q115" i="6"/>
  <c r="R115" i="6" s="1"/>
  <c r="Q165" i="6"/>
  <c r="R165" i="6" s="1"/>
  <c r="Q202" i="6"/>
  <c r="R202" i="6" s="1"/>
  <c r="Q154" i="6"/>
  <c r="R154" i="6" s="1"/>
  <c r="Q85" i="6"/>
  <c r="R85" i="6" s="1"/>
  <c r="Q344" i="6"/>
  <c r="R344" i="6" s="1"/>
  <c r="Q282" i="6"/>
  <c r="R282" i="6" s="1"/>
  <c r="Q196" i="6"/>
  <c r="R196" i="6" s="1"/>
  <c r="Q361" i="6"/>
  <c r="R361" i="6" s="1"/>
  <c r="Q320" i="6"/>
  <c r="R320" i="6" s="1"/>
  <c r="Q191" i="6"/>
  <c r="R191" i="6" s="1"/>
  <c r="Q201" i="6"/>
  <c r="R201" i="6" s="1"/>
  <c r="Q220" i="6"/>
  <c r="R220" i="6" s="1"/>
  <c r="Q301" i="6"/>
  <c r="R301" i="6" s="1"/>
  <c r="Q323" i="6"/>
  <c r="R323" i="6" s="1"/>
  <c r="Q307" i="6"/>
  <c r="R307" i="6" s="1"/>
  <c r="Q248" i="6"/>
  <c r="R248" i="6" s="1"/>
  <c r="Q218" i="6"/>
  <c r="R218" i="6" s="1"/>
  <c r="Q114" i="6"/>
  <c r="R114" i="6" s="1"/>
  <c r="Q251" i="6"/>
  <c r="R251" i="6" s="1"/>
  <c r="Q287" i="6"/>
  <c r="R287" i="6" s="1"/>
  <c r="Q253" i="6"/>
  <c r="R253" i="6" s="1"/>
  <c r="Q224" i="6"/>
  <c r="R224" i="6" s="1"/>
  <c r="Q169" i="6"/>
  <c r="R169" i="6" s="1"/>
  <c r="Q105" i="6"/>
  <c r="R105" i="6" s="1"/>
  <c r="Q162" i="6"/>
  <c r="R162" i="6" s="1"/>
  <c r="Q130" i="6"/>
  <c r="R130" i="6" s="1"/>
  <c r="Q45" i="6"/>
  <c r="R45" i="6" s="1"/>
  <c r="Q291" i="6"/>
  <c r="R291" i="6" s="1"/>
  <c r="Q223" i="6"/>
  <c r="R223" i="6" s="1"/>
  <c r="Q119" i="6"/>
  <c r="R119" i="6" s="1"/>
  <c r="Q271" i="6"/>
  <c r="R271" i="6" s="1"/>
  <c r="Q284" i="6"/>
  <c r="R284" i="6" s="1"/>
  <c r="Q242" i="6"/>
  <c r="R242" i="6" s="1"/>
  <c r="Q240" i="6"/>
  <c r="R240" i="6" s="1"/>
  <c r="Q127" i="6"/>
  <c r="R127" i="6" s="1"/>
  <c r="Q25" i="6"/>
  <c r="R25" i="6" s="1"/>
  <c r="Q148" i="6"/>
  <c r="R148" i="6" s="1"/>
  <c r="Q363" i="6"/>
  <c r="R363" i="6" s="1"/>
  <c r="Q73" i="6"/>
  <c r="R73" i="6" s="1"/>
  <c r="Q345" i="6"/>
  <c r="R345" i="6" s="1"/>
  <c r="Q303" i="6"/>
  <c r="R303" i="6" s="1"/>
  <c r="Q306" i="6"/>
  <c r="R306" i="6" s="1"/>
  <c r="Q132" i="6"/>
  <c r="R132" i="6" s="1"/>
  <c r="Q63" i="6"/>
  <c r="R63" i="6" s="1"/>
  <c r="Q135" i="6"/>
  <c r="R135" i="6" s="1"/>
  <c r="Q89" i="6"/>
  <c r="R89" i="6" s="1"/>
  <c r="Q101" i="6"/>
  <c r="R101" i="6" s="1"/>
  <c r="Q17" i="6"/>
  <c r="R17" i="6" s="1"/>
  <c r="Q349" i="6"/>
  <c r="R349" i="6" s="1"/>
  <c r="Q358" i="6"/>
  <c r="R358" i="6" s="1"/>
  <c r="Q346" i="6"/>
  <c r="R346" i="6" s="1"/>
  <c r="Q88" i="6"/>
  <c r="R88" i="6" s="1"/>
  <c r="Q21" i="6"/>
  <c r="R21" i="6" s="1"/>
  <c r="Q340" i="6"/>
  <c r="R340" i="6" s="1"/>
  <c r="Q318" i="6"/>
  <c r="R318" i="6" s="1"/>
  <c r="Q269" i="6"/>
  <c r="R269" i="6" s="1"/>
  <c r="Q197" i="6"/>
  <c r="R197" i="6" s="1"/>
  <c r="Q137" i="6"/>
  <c r="R137" i="6" s="1"/>
  <c r="Q58" i="6"/>
  <c r="R58" i="6" s="1"/>
  <c r="Q308" i="6"/>
  <c r="R308" i="6" s="1"/>
  <c r="Q229" i="6"/>
  <c r="R229" i="6" s="1"/>
  <c r="Q71" i="6"/>
  <c r="R71" i="6" s="1"/>
  <c r="Q39" i="6"/>
  <c r="R39" i="6" s="1"/>
  <c r="Q151" i="6"/>
  <c r="R151" i="6" s="1"/>
  <c r="Q53" i="6"/>
  <c r="R53" i="6" s="1"/>
  <c r="Q355" i="6"/>
  <c r="R355" i="6" s="1"/>
  <c r="Q99" i="6"/>
  <c r="R99" i="6" s="1"/>
  <c r="Q180" i="6"/>
  <c r="R180" i="6" s="1"/>
  <c r="Q310" i="6"/>
  <c r="R310" i="6" s="1"/>
  <c r="Q57" i="6"/>
  <c r="R57" i="6" s="1"/>
  <c r="Q281" i="6"/>
  <c r="R281" i="6" s="1"/>
  <c r="Q47" i="6"/>
  <c r="R47" i="6" s="1"/>
  <c r="Q225" i="6"/>
  <c r="R225" i="6" s="1"/>
  <c r="Q55" i="6"/>
  <c r="R55" i="6" s="1"/>
  <c r="Q23" i="6"/>
  <c r="R23" i="6" s="1"/>
  <c r="Q12" i="6"/>
  <c r="R12" i="6" s="1"/>
  <c r="Q300" i="6"/>
  <c r="R300" i="6" s="1"/>
  <c r="Q280" i="6"/>
  <c r="R280" i="6" s="1"/>
  <c r="Q239" i="6"/>
  <c r="R239" i="6" s="1"/>
  <c r="Q36" i="6"/>
  <c r="R36" i="6" s="1"/>
  <c r="Q354" i="6"/>
  <c r="R354" i="6" s="1"/>
  <c r="Q360" i="6"/>
  <c r="R360" i="6" s="1"/>
  <c r="Q350" i="6"/>
  <c r="R350" i="6" s="1"/>
  <c r="Q98" i="6"/>
  <c r="R98" i="6" s="1"/>
  <c r="Q69" i="6"/>
  <c r="R69" i="6" s="1"/>
  <c r="Q324" i="6"/>
  <c r="R324" i="6" s="1"/>
  <c r="Q293" i="6"/>
  <c r="R293" i="6" s="1"/>
  <c r="Q147" i="6"/>
  <c r="R147" i="6" s="1"/>
  <c r="Q142" i="6"/>
  <c r="R142" i="6" s="1"/>
  <c r="Q182" i="6"/>
  <c r="R182" i="6" s="1"/>
  <c r="Q62" i="6"/>
  <c r="R62" i="6" s="1"/>
  <c r="L373" i="6"/>
  <c r="Q238" i="6"/>
  <c r="R238" i="6" s="1"/>
  <c r="Q199" i="6"/>
  <c r="R199" i="6" s="1"/>
  <c r="Q167" i="6"/>
  <c r="R167" i="6" s="1"/>
  <c r="Q97" i="6"/>
  <c r="R97" i="6" s="1"/>
  <c r="Q66" i="6"/>
  <c r="R66" i="6" s="1"/>
  <c r="Q34" i="6"/>
  <c r="R34" i="6" s="1"/>
  <c r="Q78" i="6"/>
  <c r="R78" i="6" s="1"/>
  <c r="Q31" i="6"/>
  <c r="R31" i="6" s="1"/>
  <c r="Q175" i="6"/>
  <c r="R175" i="6" s="1"/>
  <c r="Q298" i="6"/>
  <c r="R298" i="6" s="1"/>
  <c r="Q297" i="6"/>
  <c r="R297" i="6" s="1"/>
  <c r="Q250" i="6"/>
  <c r="R250" i="6" s="1"/>
  <c r="Q254" i="6"/>
  <c r="R254" i="6" s="1"/>
  <c r="Q186" i="6"/>
  <c r="R186" i="6" s="1"/>
  <c r="Q146" i="6"/>
  <c r="R146" i="6" s="1"/>
  <c r="Q42" i="6"/>
  <c r="R42" i="6" s="1"/>
  <c r="Q331" i="6"/>
  <c r="R331" i="6" s="1"/>
  <c r="Q30" i="6"/>
  <c r="R30" i="6" s="1"/>
  <c r="Q341" i="6"/>
  <c r="R341" i="6" s="1"/>
  <c r="Q38" i="6"/>
  <c r="R38" i="6" s="1"/>
  <c r="Q205" i="6"/>
  <c r="R205" i="6" s="1"/>
  <c r="Q351" i="6"/>
  <c r="R351" i="6" s="1"/>
  <c r="Q208" i="6"/>
  <c r="R208" i="6" s="1"/>
  <c r="Q121" i="6"/>
  <c r="R121" i="6" s="1"/>
  <c r="Q84" i="6"/>
  <c r="R84" i="6" s="1"/>
  <c r="Q322" i="6"/>
  <c r="R322" i="6" s="1"/>
  <c r="Q264" i="6"/>
  <c r="R264" i="6" s="1"/>
  <c r="Q234" i="6"/>
  <c r="R234" i="6" s="1"/>
  <c r="Q217" i="6"/>
  <c r="R217" i="6" s="1"/>
  <c r="Q233" i="6"/>
  <c r="R233" i="6" s="1"/>
  <c r="Q313" i="6"/>
  <c r="R313" i="6" s="1"/>
  <c r="Q304" i="6"/>
  <c r="R304" i="6" s="1"/>
  <c r="Q117" i="6"/>
  <c r="R117" i="6" s="1"/>
  <c r="Q41" i="6"/>
  <c r="R41" i="6" s="1"/>
  <c r="Q362" i="6"/>
  <c r="R362" i="6" s="1"/>
  <c r="Q163" i="6"/>
  <c r="R163" i="6" s="1"/>
  <c r="Q15" i="6"/>
  <c r="R15" i="6" s="1"/>
  <c r="Q222" i="6"/>
  <c r="R222" i="6" s="1"/>
  <c r="Q183" i="6"/>
  <c r="R183" i="6" s="1"/>
  <c r="Q50" i="6"/>
  <c r="R50" i="6" s="1"/>
  <c r="Q174" i="6"/>
  <c r="R174" i="6" s="1"/>
  <c r="Q51" i="6"/>
  <c r="R51" i="6" s="1"/>
  <c r="Q190" i="6"/>
  <c r="R190" i="6" s="1"/>
  <c r="Q294" i="6"/>
  <c r="R294" i="6" s="1"/>
  <c r="Q275" i="6"/>
  <c r="R275" i="6" s="1"/>
  <c r="Q243" i="6"/>
  <c r="R243" i="6" s="1"/>
  <c r="Q209" i="6"/>
  <c r="R209" i="6" s="1"/>
  <c r="Q333" i="6"/>
  <c r="R333" i="6" s="1"/>
  <c r="Q364" i="6"/>
  <c r="R364" i="6" s="1"/>
  <c r="Q259" i="6"/>
  <c r="R259" i="6" s="1"/>
  <c r="Q273" i="6"/>
  <c r="R273" i="6" s="1"/>
  <c r="Q343" i="6"/>
  <c r="R343" i="6" s="1"/>
  <c r="Q74" i="6"/>
  <c r="R74" i="6" s="1"/>
  <c r="Q357" i="6"/>
  <c r="R357" i="6" s="1"/>
  <c r="Q338" i="6"/>
  <c r="R338" i="6" s="1"/>
  <c r="Q299" i="6"/>
  <c r="R299" i="6" s="1"/>
  <c r="Q70" i="6"/>
  <c r="R70" i="6" s="1"/>
  <c r="Q138" i="6"/>
  <c r="R138" i="6" s="1"/>
  <c r="Q342" i="6"/>
  <c r="R342" i="6" s="1"/>
  <c r="Q330" i="6"/>
  <c r="R330" i="6" s="1"/>
  <c r="Q237" i="6"/>
  <c r="R237" i="6" s="1"/>
  <c r="Q83" i="6"/>
  <c r="R83" i="6" s="1"/>
  <c r="Q316" i="6"/>
  <c r="R316" i="6" s="1"/>
  <c r="Q315" i="6"/>
  <c r="R315" i="6" s="1"/>
  <c r="Q283" i="6"/>
  <c r="R283" i="6" s="1"/>
  <c r="Q226" i="6"/>
  <c r="R226" i="6" s="1"/>
  <c r="Q198" i="6"/>
  <c r="R198" i="6" s="1"/>
  <c r="Q22" i="6"/>
  <c r="R22" i="6" s="1"/>
  <c r="Q311" i="6"/>
  <c r="R311" i="6" s="1"/>
  <c r="Q80" i="6"/>
  <c r="R80" i="6" s="1"/>
  <c r="Q326" i="6"/>
  <c r="R326" i="6" s="1"/>
  <c r="Q295" i="6"/>
  <c r="R295" i="6" s="1"/>
  <c r="Q312" i="6"/>
  <c r="R312" i="6" s="1"/>
  <c r="Q302" i="6"/>
  <c r="R302" i="6" s="1"/>
  <c r="Q319" i="6"/>
  <c r="R319" i="6" s="1"/>
  <c r="Q241" i="6"/>
  <c r="R241" i="6" s="1"/>
  <c r="Q195" i="6"/>
  <c r="R195" i="6" s="1"/>
  <c r="Q367" i="6"/>
  <c r="R367" i="6" s="1"/>
  <c r="Q334" i="6"/>
  <c r="R334" i="6" s="1"/>
  <c r="Q337" i="6"/>
  <c r="R337" i="6" s="1"/>
  <c r="Q332" i="6"/>
  <c r="R332" i="6" s="1"/>
  <c r="Q290" i="6"/>
  <c r="R290" i="6" s="1"/>
  <c r="Q81" i="6"/>
  <c r="R81" i="6" s="1"/>
  <c r="Q170" i="6"/>
  <c r="R170" i="6" s="1"/>
  <c r="Q46" i="6"/>
  <c r="R46" i="6" s="1"/>
  <c r="M371" i="6"/>
  <c r="O373" i="6"/>
  <c r="Q335" i="6"/>
  <c r="R335" i="6" s="1"/>
  <c r="Q317" i="6"/>
  <c r="R317" i="6" s="1"/>
  <c r="Q288" i="6"/>
  <c r="R288" i="6" s="1"/>
  <c r="Q296" i="6"/>
  <c r="R296" i="6" s="1"/>
  <c r="Q276" i="6"/>
  <c r="R276" i="6" s="1"/>
  <c r="Q260" i="6"/>
  <c r="R260" i="6" s="1"/>
  <c r="Q244" i="6"/>
  <c r="R244" i="6" s="1"/>
  <c r="Q235" i="6"/>
  <c r="R235" i="6" s="1"/>
  <c r="Q219" i="6"/>
  <c r="R219" i="6" s="1"/>
  <c r="Q292" i="6"/>
  <c r="R292" i="6" s="1"/>
  <c r="Q192" i="6"/>
  <c r="R192" i="6" s="1"/>
  <c r="Q176" i="6"/>
  <c r="R176" i="6" s="1"/>
  <c r="Q160" i="6"/>
  <c r="R160" i="6" s="1"/>
  <c r="Q144" i="6"/>
  <c r="R144" i="6" s="1"/>
  <c r="Q128" i="6"/>
  <c r="R128" i="6" s="1"/>
  <c r="Q126" i="6"/>
  <c r="R126" i="6" s="1"/>
  <c r="Q110" i="6"/>
  <c r="R110" i="6" s="1"/>
  <c r="Q94" i="6"/>
  <c r="R94" i="6" s="1"/>
  <c r="P371" i="6"/>
  <c r="Q116" i="6"/>
  <c r="R116" i="6" s="1"/>
  <c r="Q100" i="6"/>
  <c r="R100" i="6" s="1"/>
  <c r="Q64" i="6"/>
  <c r="R64" i="6" s="1"/>
  <c r="Q48" i="6"/>
  <c r="R48" i="6" s="1"/>
  <c r="Q32" i="6"/>
  <c r="R32" i="6" s="1"/>
  <c r="Q16" i="6"/>
  <c r="R16" i="6" s="1"/>
  <c r="Q179" i="6"/>
  <c r="R179" i="6" s="1"/>
  <c r="P372" i="6"/>
  <c r="P368" i="6"/>
  <c r="Q120" i="6"/>
  <c r="R120" i="6" s="1"/>
  <c r="Q68" i="6"/>
  <c r="R68" i="6" s="1"/>
  <c r="Q20" i="6"/>
  <c r="R20" i="6" s="1"/>
  <c r="Q339" i="6"/>
  <c r="R339" i="6" s="1"/>
  <c r="Q336" i="6"/>
  <c r="R336" i="6" s="1"/>
  <c r="Q314" i="6"/>
  <c r="R314" i="6" s="1"/>
  <c r="Q289" i="6"/>
  <c r="R289" i="6" s="1"/>
  <c r="Q285" i="6"/>
  <c r="R285" i="6" s="1"/>
  <c r="Q265" i="6"/>
  <c r="R265" i="6" s="1"/>
  <c r="Q249" i="6"/>
  <c r="R249" i="6" s="1"/>
  <c r="Q210" i="6"/>
  <c r="R210" i="6" s="1"/>
  <c r="Q274" i="6"/>
  <c r="R274" i="6" s="1"/>
  <c r="Q221" i="6"/>
  <c r="R221" i="6" s="1"/>
  <c r="Q203" i="6"/>
  <c r="R203" i="6" s="1"/>
  <c r="Q187" i="6"/>
  <c r="R187" i="6" s="1"/>
  <c r="Q171" i="6"/>
  <c r="R171" i="6" s="1"/>
  <c r="Q155" i="6"/>
  <c r="R155" i="6" s="1"/>
  <c r="Q139" i="6"/>
  <c r="R139" i="6" s="1"/>
  <c r="Q278" i="6"/>
  <c r="R278" i="6" s="1"/>
  <c r="Q246" i="6"/>
  <c r="R246" i="6" s="1"/>
  <c r="Q194" i="6"/>
  <c r="R194" i="6" s="1"/>
  <c r="Q166" i="6"/>
  <c r="R166" i="6" s="1"/>
  <c r="Q150" i="6"/>
  <c r="R150" i="6" s="1"/>
  <c r="Q134" i="6"/>
  <c r="R134" i="6" s="1"/>
  <c r="Q173" i="6"/>
  <c r="R173" i="6" s="1"/>
  <c r="Q157" i="6"/>
  <c r="R157" i="6" s="1"/>
  <c r="Q141" i="6"/>
  <c r="R141" i="6" s="1"/>
  <c r="Q111" i="6"/>
  <c r="R111" i="6" s="1"/>
  <c r="Q95" i="6"/>
  <c r="R95" i="6" s="1"/>
  <c r="Q54" i="6"/>
  <c r="R54" i="6" s="1"/>
  <c r="Q65" i="6"/>
  <c r="R65" i="6" s="1"/>
  <c r="Q193" i="6"/>
  <c r="R193" i="6" s="1"/>
  <c r="Q112" i="6"/>
  <c r="R112" i="6" s="1"/>
  <c r="Q96" i="6"/>
  <c r="R96" i="6" s="1"/>
  <c r="Q76" i="6"/>
  <c r="R76" i="6" s="1"/>
  <c r="Q60" i="6"/>
  <c r="R60" i="6" s="1"/>
  <c r="Q44" i="6"/>
  <c r="R44" i="6" s="1"/>
  <c r="Q28" i="6"/>
  <c r="R28" i="6" s="1"/>
  <c r="Q263" i="6"/>
  <c r="R263" i="6" s="1"/>
  <c r="Q125" i="6"/>
  <c r="R125" i="6" s="1"/>
  <c r="Q77" i="6"/>
  <c r="R77" i="6" s="1"/>
  <c r="P370" i="6"/>
  <c r="Q353" i="6"/>
  <c r="R353" i="6" s="1"/>
  <c r="Q347" i="6"/>
  <c r="R347" i="6" s="1"/>
  <c r="Q325" i="6"/>
  <c r="R325" i="6" s="1"/>
  <c r="Q329" i="6"/>
  <c r="R329" i="6" s="1"/>
  <c r="Q305" i="6"/>
  <c r="R305" i="6" s="1"/>
  <c r="Q277" i="6"/>
  <c r="R277" i="6" s="1"/>
  <c r="Q261" i="6"/>
  <c r="R261" i="6" s="1"/>
  <c r="Q245" i="6"/>
  <c r="R245" i="6" s="1"/>
  <c r="Q266" i="6"/>
  <c r="R266" i="6" s="1"/>
  <c r="Q232" i="6"/>
  <c r="R232" i="6" s="1"/>
  <c r="Q216" i="6"/>
  <c r="R216" i="6" s="1"/>
  <c r="Q270" i="6"/>
  <c r="R270" i="6" s="1"/>
  <c r="Q236" i="6"/>
  <c r="R236" i="6" s="1"/>
  <c r="Q181" i="6"/>
  <c r="R181" i="6" s="1"/>
  <c r="Q161" i="6"/>
  <c r="R161" i="6" s="1"/>
  <c r="Q145" i="6"/>
  <c r="R145" i="6" s="1"/>
  <c r="Q129" i="6"/>
  <c r="R129" i="6" s="1"/>
  <c r="Q212" i="6"/>
  <c r="R212" i="6" s="1"/>
  <c r="Q185" i="6"/>
  <c r="R185" i="6" s="1"/>
  <c r="Q123" i="6"/>
  <c r="R123" i="6" s="1"/>
  <c r="Q107" i="6"/>
  <c r="R107" i="6" s="1"/>
  <c r="Q91" i="6"/>
  <c r="R91" i="6" s="1"/>
  <c r="Q228" i="6"/>
  <c r="R228" i="6" s="1"/>
  <c r="Q18" i="6"/>
  <c r="R18" i="6" s="1"/>
  <c r="Q37" i="6"/>
  <c r="R37" i="6" s="1"/>
  <c r="Q124" i="6"/>
  <c r="R124" i="6" s="1"/>
  <c r="Q108" i="6"/>
  <c r="R108" i="6" s="1"/>
  <c r="Q92" i="6"/>
  <c r="R92" i="6" s="1"/>
  <c r="Q72" i="6"/>
  <c r="R72" i="6" s="1"/>
  <c r="Q56" i="6"/>
  <c r="R56" i="6" s="1"/>
  <c r="Q40" i="6"/>
  <c r="R40" i="6" s="1"/>
  <c r="Q24" i="6"/>
  <c r="R24" i="6" s="1"/>
  <c r="Q13" i="6"/>
  <c r="R13" i="6" s="1"/>
  <c r="Q131" i="6"/>
  <c r="R131" i="6" s="1"/>
  <c r="Q262" i="6"/>
  <c r="R262" i="6" s="1"/>
  <c r="Q158" i="6"/>
  <c r="R158" i="6" s="1"/>
  <c r="Q149" i="6"/>
  <c r="R149" i="6" s="1"/>
  <c r="Q103" i="6"/>
  <c r="R103" i="6" s="1"/>
  <c r="Q104" i="6"/>
  <c r="R104" i="6" s="1"/>
  <c r="Q52" i="6"/>
  <c r="R52" i="6" s="1"/>
  <c r="Q177" i="6"/>
  <c r="R177" i="6" s="1"/>
  <c r="Q327" i="6"/>
  <c r="R327" i="6" s="1"/>
  <c r="Q230" i="6"/>
  <c r="R230" i="6" s="1"/>
  <c r="Q214" i="6"/>
  <c r="R214" i="6" s="1"/>
  <c r="Q159" i="6"/>
  <c r="R159" i="6" s="1"/>
  <c r="Q143" i="6"/>
  <c r="R143" i="6" s="1"/>
  <c r="Q26" i="6"/>
  <c r="R26" i="6" s="1"/>
  <c r="Q10" i="6"/>
  <c r="R10" i="6" s="1"/>
  <c r="Q75" i="6"/>
  <c r="R75" i="6" s="1"/>
  <c r="Q59" i="6"/>
  <c r="R59" i="6" s="1"/>
  <c r="Q43" i="6"/>
  <c r="R43" i="6" s="1"/>
  <c r="Q27" i="6"/>
  <c r="R27" i="6" s="1"/>
  <c r="Q82" i="6"/>
  <c r="R82" i="6" s="1"/>
  <c r="Q279" i="6"/>
  <c r="R279" i="6" s="1"/>
  <c r="Q247" i="6"/>
  <c r="R247" i="6" s="1"/>
  <c r="Q93" i="6"/>
  <c r="R93" i="6" s="1"/>
  <c r="Q14" i="6"/>
  <c r="R14" i="6" s="1"/>
  <c r="M368" i="6"/>
  <c r="M372" i="6"/>
  <c r="Q365" i="6"/>
  <c r="R365" i="6" s="1"/>
  <c r="Q356" i="6"/>
  <c r="R356" i="6" s="1"/>
  <c r="Q272" i="6"/>
  <c r="R272" i="6" s="1"/>
  <c r="Q256" i="6"/>
  <c r="R256" i="6" s="1"/>
  <c r="Q231" i="6"/>
  <c r="R231" i="6" s="1"/>
  <c r="Q215" i="6"/>
  <c r="R215" i="6" s="1"/>
  <c r="Q188" i="6"/>
  <c r="R188" i="6" s="1"/>
  <c r="Q172" i="6"/>
  <c r="R172" i="6" s="1"/>
  <c r="Q156" i="6"/>
  <c r="R156" i="6" s="1"/>
  <c r="Q140" i="6"/>
  <c r="R140" i="6" s="1"/>
  <c r="Q122" i="6"/>
  <c r="R122" i="6" s="1"/>
  <c r="Q106" i="6"/>
  <c r="R106" i="6" s="1"/>
  <c r="Q90" i="6"/>
  <c r="R90" i="6" s="1"/>
  <c r="Q204" i="6"/>
  <c r="R204" i="6" s="1"/>
  <c r="Q11" i="6"/>
  <c r="R11" i="6" s="1"/>
  <c r="Q309" i="6"/>
  <c r="R309" i="6" s="1"/>
  <c r="Q257" i="6"/>
  <c r="R257" i="6" s="1"/>
  <c r="Q258" i="6"/>
  <c r="R258" i="6" s="1"/>
  <c r="Q213" i="6"/>
  <c r="R213" i="6" s="1"/>
  <c r="Q178" i="6"/>
  <c r="R178" i="6" s="1"/>
  <c r="Q189" i="6"/>
  <c r="R189" i="6" s="1"/>
  <c r="Q133" i="6"/>
  <c r="R133" i="6" s="1"/>
  <c r="Q33" i="6"/>
  <c r="R33" i="6" s="1"/>
  <c r="M370" i="6"/>
  <c r="Q49" i="6"/>
  <c r="R49" i="6" s="1"/>
  <c r="Q328" i="6"/>
  <c r="R328" i="6" s="1"/>
  <c r="Q286" i="6"/>
  <c r="R286" i="6" s="1"/>
  <c r="Q268" i="6"/>
  <c r="R268" i="6" s="1"/>
  <c r="Q252" i="6"/>
  <c r="R252" i="6" s="1"/>
  <c r="Q227" i="6"/>
  <c r="R227" i="6" s="1"/>
  <c r="Q211" i="6"/>
  <c r="R211" i="6" s="1"/>
  <c r="Q200" i="6"/>
  <c r="R200" i="6" s="1"/>
  <c r="Q184" i="6"/>
  <c r="R184" i="6" s="1"/>
  <c r="Q168" i="6"/>
  <c r="R168" i="6" s="1"/>
  <c r="Q152" i="6"/>
  <c r="R152" i="6" s="1"/>
  <c r="Q136" i="6"/>
  <c r="R136" i="6" s="1"/>
  <c r="Q118" i="6"/>
  <c r="R118" i="6" s="1"/>
  <c r="Q102" i="6"/>
  <c r="R102" i="6" s="1"/>
  <c r="Q86" i="6"/>
  <c r="R86" i="6" s="1"/>
  <c r="Q321" i="6"/>
  <c r="R321" i="6" s="1"/>
  <c r="Q67" i="6"/>
  <c r="R67" i="6" s="1"/>
  <c r="Q35" i="6"/>
  <c r="R35" i="6" s="1"/>
  <c r="Q19" i="6"/>
  <c r="R19" i="6" s="1"/>
  <c r="Q207" i="6"/>
  <c r="R207" i="6" s="1"/>
  <c r="I206" i="6" l="1"/>
  <c r="I79" i="6"/>
  <c r="I208" i="6"/>
  <c r="I359" i="6"/>
  <c r="K359" i="6" s="1"/>
  <c r="I258" i="6"/>
  <c r="I137" i="6"/>
  <c r="I60" i="6"/>
  <c r="I188" i="6"/>
  <c r="K188" i="6" s="1"/>
  <c r="I68" i="6"/>
  <c r="I67" i="6"/>
  <c r="I323" i="6"/>
  <c r="K323" i="6" s="1"/>
  <c r="I55" i="6"/>
  <c r="K130" i="6"/>
  <c r="I288" i="6"/>
  <c r="K288" i="6" s="1"/>
  <c r="H371" i="6"/>
  <c r="H373" i="6" s="1"/>
  <c r="I178" i="6"/>
  <c r="K178" i="6" s="1"/>
  <c r="I210" i="6"/>
  <c r="I274" i="6"/>
  <c r="K274" i="6" s="1"/>
  <c r="I19" i="6"/>
  <c r="I51" i="6"/>
  <c r="K51" i="6" s="1"/>
  <c r="I83" i="6"/>
  <c r="I115" i="6"/>
  <c r="I211" i="6"/>
  <c r="I243" i="6"/>
  <c r="K243" i="6" s="1"/>
  <c r="I275" i="6"/>
  <c r="I307" i="6"/>
  <c r="I240" i="6"/>
  <c r="K240" i="6" s="1"/>
  <c r="I244" i="6"/>
  <c r="K244" i="6" s="1"/>
  <c r="I328" i="6"/>
  <c r="K328" i="6" s="1"/>
  <c r="I365" i="6"/>
  <c r="I192" i="6"/>
  <c r="K192" i="6" s="1"/>
  <c r="I262" i="6"/>
  <c r="K262" i="6" s="1"/>
  <c r="I39" i="6"/>
  <c r="I263" i="6"/>
  <c r="I295" i="6"/>
  <c r="K295" i="6" s="1"/>
  <c r="I327" i="6"/>
  <c r="K327" i="6" s="1"/>
  <c r="I56" i="6"/>
  <c r="I304" i="6"/>
  <c r="I144" i="6"/>
  <c r="I148" i="6"/>
  <c r="K148" i="6" s="1"/>
  <c r="I341" i="6"/>
  <c r="I76" i="6"/>
  <c r="I300" i="6"/>
  <c r="K300" i="6" s="1"/>
  <c r="K60" i="6"/>
  <c r="K338" i="6"/>
  <c r="I230" i="6"/>
  <c r="I238" i="6"/>
  <c r="I280" i="6"/>
  <c r="K280" i="6" s="1"/>
  <c r="I282" i="6"/>
  <c r="I269" i="6"/>
  <c r="I232" i="6"/>
  <c r="K232" i="6" s="1"/>
  <c r="I193" i="6"/>
  <c r="K193" i="6" s="1"/>
  <c r="K86" i="6"/>
  <c r="K296" i="6"/>
  <c r="I306" i="6"/>
  <c r="K306" i="6" s="1"/>
  <c r="I198" i="6"/>
  <c r="K198" i="6" s="1"/>
  <c r="H370" i="6"/>
  <c r="I111" i="6"/>
  <c r="I143" i="6"/>
  <c r="K143" i="6" s="1"/>
  <c r="I175" i="6"/>
  <c r="K175" i="6" s="1"/>
  <c r="I207" i="6"/>
  <c r="I239" i="6"/>
  <c r="I271" i="6"/>
  <c r="I335" i="6"/>
  <c r="K335" i="6" s="1"/>
  <c r="I88" i="6"/>
  <c r="K88" i="6" s="1"/>
  <c r="I216" i="6"/>
  <c r="K216" i="6" s="1"/>
  <c r="I316" i="6"/>
  <c r="I356" i="6"/>
  <c r="K356" i="6" s="1"/>
  <c r="I27" i="6"/>
  <c r="I123" i="6"/>
  <c r="K123" i="6" s="1"/>
  <c r="I219" i="6"/>
  <c r="K219" i="6" s="1"/>
  <c r="I299" i="6"/>
  <c r="I136" i="6"/>
  <c r="I351" i="6"/>
  <c r="I260" i="6"/>
  <c r="K260" i="6" s="1"/>
  <c r="I221" i="6"/>
  <c r="K221" i="6" s="1"/>
  <c r="I253" i="6"/>
  <c r="K253" i="6" s="1"/>
  <c r="I285" i="6"/>
  <c r="K285" i="6" s="1"/>
  <c r="I18" i="6"/>
  <c r="I40" i="6"/>
  <c r="K40" i="6" s="1"/>
  <c r="I168" i="6"/>
  <c r="I124" i="6"/>
  <c r="K124" i="6" s="1"/>
  <c r="I252" i="6"/>
  <c r="K252" i="6" s="1"/>
  <c r="I170" i="6"/>
  <c r="K170" i="6" s="1"/>
  <c r="I81" i="6"/>
  <c r="I113" i="6"/>
  <c r="I145" i="6"/>
  <c r="K145" i="6" s="1"/>
  <c r="I209" i="6"/>
  <c r="I241" i="6"/>
  <c r="I311" i="6"/>
  <c r="K311" i="6" s="1"/>
  <c r="I314" i="6"/>
  <c r="K314" i="6" s="1"/>
  <c r="I28" i="6"/>
  <c r="K282" i="6"/>
  <c r="K194" i="6"/>
  <c r="I222" i="6"/>
  <c r="K222" i="6" s="1"/>
  <c r="I132" i="6"/>
  <c r="I348" i="6"/>
  <c r="I228" i="6"/>
  <c r="K228" i="6" s="1"/>
  <c r="K208" i="6"/>
  <c r="I190" i="6"/>
  <c r="I156" i="6"/>
  <c r="K156" i="6" s="1"/>
  <c r="K204" i="6"/>
  <c r="I14" i="6"/>
  <c r="I142" i="6"/>
  <c r="I95" i="6"/>
  <c r="I127" i="6"/>
  <c r="K127" i="6" s="1"/>
  <c r="I223" i="6"/>
  <c r="K223" i="6" s="1"/>
  <c r="I255" i="6"/>
  <c r="K255" i="6" s="1"/>
  <c r="I287" i="6"/>
  <c r="K287" i="6" s="1"/>
  <c r="I319" i="6"/>
  <c r="I354" i="6"/>
  <c r="K354" i="6" s="1"/>
  <c r="I108" i="6"/>
  <c r="K108" i="6" s="1"/>
  <c r="I236" i="6"/>
  <c r="K236" i="6" s="1"/>
  <c r="I322" i="6"/>
  <c r="K322" i="6" s="1"/>
  <c r="I292" i="6"/>
  <c r="I21" i="6"/>
  <c r="K21" i="6" s="1"/>
  <c r="I69" i="6"/>
  <c r="I10" i="6"/>
  <c r="K10" i="6" s="1"/>
  <c r="I186" i="6"/>
  <c r="I267" i="6"/>
  <c r="K267" i="6" s="1"/>
  <c r="I317" i="6"/>
  <c r="I256" i="6"/>
  <c r="K256" i="6" s="1"/>
  <c r="I109" i="6"/>
  <c r="K109" i="6" s="1"/>
  <c r="I141" i="6"/>
  <c r="I173" i="6"/>
  <c r="I205" i="6"/>
  <c r="K205" i="6" s="1"/>
  <c r="I50" i="6"/>
  <c r="K50" i="6" s="1"/>
  <c r="I82" i="6"/>
  <c r="K82" i="6" s="1"/>
  <c r="I146" i="6"/>
  <c r="K146" i="6" s="1"/>
  <c r="I290" i="6"/>
  <c r="I339" i="6"/>
  <c r="K339" i="6" s="1"/>
  <c r="I116" i="6"/>
  <c r="I330" i="6"/>
  <c r="K330" i="6" s="1"/>
  <c r="I349" i="6"/>
  <c r="K349" i="6" s="1"/>
  <c r="I350" i="6"/>
  <c r="I218" i="6"/>
  <c r="K218" i="6" s="1"/>
  <c r="I107" i="6"/>
  <c r="K107" i="6" s="1"/>
  <c r="I203" i="6"/>
  <c r="K203" i="6" s="1"/>
  <c r="I200" i="6"/>
  <c r="K200" i="6" s="1"/>
  <c r="I176" i="6"/>
  <c r="K176" i="6" s="1"/>
  <c r="I309" i="6"/>
  <c r="K309" i="6" s="1"/>
  <c r="I284" i="6"/>
  <c r="I97" i="6"/>
  <c r="K97" i="6" s="1"/>
  <c r="I129" i="6"/>
  <c r="K129" i="6" s="1"/>
  <c r="I38" i="6"/>
  <c r="I70" i="6"/>
  <c r="K70" i="6" s="1"/>
  <c r="I102" i="6"/>
  <c r="I214" i="6"/>
  <c r="K214" i="6" s="1"/>
  <c r="I364" i="6"/>
  <c r="I272" i="6"/>
  <c r="K272" i="6" s="1"/>
  <c r="I312" i="6"/>
  <c r="I353" i="6"/>
  <c r="K353" i="6" s="1"/>
  <c r="I96" i="6"/>
  <c r="I318" i="6"/>
  <c r="K318" i="6" s="1"/>
  <c r="I100" i="6"/>
  <c r="I250" i="6"/>
  <c r="I187" i="6"/>
  <c r="K187" i="6" s="1"/>
  <c r="I283" i="6"/>
  <c r="K68" i="6"/>
  <c r="K55" i="6"/>
  <c r="I41" i="6"/>
  <c r="K41" i="6" s="1"/>
  <c r="I73" i="6"/>
  <c r="I265" i="6"/>
  <c r="I297" i="6"/>
  <c r="I117" i="6"/>
  <c r="K117" i="6" s="1"/>
  <c r="I245" i="6"/>
  <c r="I277" i="6"/>
  <c r="I58" i="6"/>
  <c r="K58" i="6" s="1"/>
  <c r="I138" i="6"/>
  <c r="K138" i="6" s="1"/>
  <c r="I234" i="6"/>
  <c r="I29" i="6"/>
  <c r="K29" i="6" s="1"/>
  <c r="I301" i="6"/>
  <c r="K301" i="6" s="1"/>
  <c r="I34" i="6"/>
  <c r="K34" i="6" s="1"/>
  <c r="I99" i="6"/>
  <c r="I131" i="6"/>
  <c r="K131" i="6" s="1"/>
  <c r="I163" i="6"/>
  <c r="K163" i="6" s="1"/>
  <c r="I195" i="6"/>
  <c r="K195" i="6" s="1"/>
  <c r="I227" i="6"/>
  <c r="I259" i="6"/>
  <c r="I321" i="6"/>
  <c r="I308" i="6"/>
  <c r="K308" i="6" s="1"/>
  <c r="I225" i="6"/>
  <c r="I257" i="6"/>
  <c r="K257" i="6" s="1"/>
  <c r="I166" i="6"/>
  <c r="K166" i="6" s="1"/>
  <c r="I87" i="6"/>
  <c r="K87" i="6" s="1"/>
  <c r="I119" i="6"/>
  <c r="I151" i="6"/>
  <c r="K151" i="6" s="1"/>
  <c r="I183" i="6"/>
  <c r="K183" i="6" s="1"/>
  <c r="I215" i="6"/>
  <c r="I247" i="6"/>
  <c r="I279" i="6"/>
  <c r="K279" i="6" s="1"/>
  <c r="I276" i="6"/>
  <c r="K276" i="6" s="1"/>
  <c r="I37" i="6"/>
  <c r="I106" i="6"/>
  <c r="I43" i="6"/>
  <c r="K43" i="6" s="1"/>
  <c r="I363" i="6"/>
  <c r="K363" i="6" s="1"/>
  <c r="I25" i="6"/>
  <c r="K25" i="6" s="1"/>
  <c r="I57" i="6"/>
  <c r="I169" i="6"/>
  <c r="I201" i="6"/>
  <c r="K201" i="6" s="1"/>
  <c r="I233" i="6"/>
  <c r="K233" i="6" s="1"/>
  <c r="I78" i="6"/>
  <c r="E370" i="6"/>
  <c r="I47" i="6"/>
  <c r="K47" i="6" s="1"/>
  <c r="I159" i="6"/>
  <c r="K159" i="6" s="1"/>
  <c r="I191" i="6"/>
  <c r="I303" i="6"/>
  <c r="I337" i="6"/>
  <c r="K337" i="6" s="1"/>
  <c r="I64" i="6"/>
  <c r="K64" i="6" s="1"/>
  <c r="I212" i="6"/>
  <c r="I48" i="6"/>
  <c r="K48" i="6" s="1"/>
  <c r="I336" i="6"/>
  <c r="K336" i="6" s="1"/>
  <c r="I53" i="6"/>
  <c r="I181" i="6"/>
  <c r="I213" i="6"/>
  <c r="I75" i="6"/>
  <c r="K75" i="6" s="1"/>
  <c r="I171" i="6"/>
  <c r="K171" i="6" s="1"/>
  <c r="I357" i="6"/>
  <c r="K357" i="6" s="1"/>
  <c r="I93" i="6"/>
  <c r="K93" i="6" s="1"/>
  <c r="I125" i="6"/>
  <c r="K125" i="6" s="1"/>
  <c r="I237" i="6"/>
  <c r="K237" i="6" s="1"/>
  <c r="I98" i="6"/>
  <c r="I360" i="6"/>
  <c r="K360" i="6" s="1"/>
  <c r="I315" i="6"/>
  <c r="K315" i="6" s="1"/>
  <c r="I33" i="6"/>
  <c r="I177" i="6"/>
  <c r="I289" i="6"/>
  <c r="I134" i="6"/>
  <c r="K134" i="6" s="1"/>
  <c r="I220" i="6"/>
  <c r="K164" i="6"/>
  <c r="I121" i="6"/>
  <c r="K121" i="6" s="1"/>
  <c r="I30" i="6"/>
  <c r="K30" i="6" s="1"/>
  <c r="I174" i="6"/>
  <c r="K174" i="6" s="1"/>
  <c r="I298" i="6"/>
  <c r="K298" i="6" s="1"/>
  <c r="I36" i="6"/>
  <c r="K36" i="6" s="1"/>
  <c r="I331" i="6"/>
  <c r="I45" i="6"/>
  <c r="K45" i="6" s="1"/>
  <c r="I157" i="6"/>
  <c r="K157" i="6" s="1"/>
  <c r="I189" i="6"/>
  <c r="K189" i="6" s="1"/>
  <c r="I226" i="6"/>
  <c r="I362" i="6"/>
  <c r="K365" i="6"/>
  <c r="K22" i="6"/>
  <c r="I294" i="6"/>
  <c r="K294" i="6" s="1"/>
  <c r="I71" i="6"/>
  <c r="I224" i="6"/>
  <c r="K224" i="6" s="1"/>
  <c r="I26" i="6"/>
  <c r="K26" i="6" s="1"/>
  <c r="I202" i="6"/>
  <c r="K329" i="6"/>
  <c r="K119" i="6"/>
  <c r="K96" i="6"/>
  <c r="K248" i="6"/>
  <c r="K217" i="6"/>
  <c r="K238" i="6"/>
  <c r="I35" i="6"/>
  <c r="I147" i="6"/>
  <c r="I179" i="6"/>
  <c r="K179" i="6" s="1"/>
  <c r="I291" i="6"/>
  <c r="K291" i="6" s="1"/>
  <c r="I324" i="6"/>
  <c r="I367" i="6"/>
  <c r="K367" i="6" s="1"/>
  <c r="I80" i="6"/>
  <c r="K80" i="6" s="1"/>
  <c r="I196" i="6"/>
  <c r="K196" i="6" s="1"/>
  <c r="I293" i="6"/>
  <c r="I347" i="6"/>
  <c r="I128" i="6"/>
  <c r="K128" i="6" s="1"/>
  <c r="I325" i="6"/>
  <c r="I161" i="6"/>
  <c r="I273" i="6"/>
  <c r="K273" i="6" s="1"/>
  <c r="I305" i="6"/>
  <c r="K305" i="6" s="1"/>
  <c r="I118" i="6"/>
  <c r="K118" i="6" s="1"/>
  <c r="I278" i="6"/>
  <c r="I23" i="6"/>
  <c r="I135" i="6"/>
  <c r="K135" i="6" s="1"/>
  <c r="I167" i="6"/>
  <c r="I199" i="6"/>
  <c r="I231" i="6"/>
  <c r="I343" i="6"/>
  <c r="K343" i="6" s="1"/>
  <c r="I326" i="6"/>
  <c r="K326" i="6" s="1"/>
  <c r="I334" i="6"/>
  <c r="I140" i="6"/>
  <c r="K140" i="6" s="1"/>
  <c r="I91" i="6"/>
  <c r="K91" i="6" s="1"/>
  <c r="I32" i="6"/>
  <c r="K32" i="6" s="1"/>
  <c r="K258" i="6"/>
  <c r="K234" i="6"/>
  <c r="I105" i="6"/>
  <c r="K105" i="6" s="1"/>
  <c r="I281" i="6"/>
  <c r="K281" i="6" s="1"/>
  <c r="I158" i="6"/>
  <c r="I270" i="6"/>
  <c r="K270" i="6" s="1"/>
  <c r="I24" i="6"/>
  <c r="K24" i="6" s="1"/>
  <c r="I152" i="6"/>
  <c r="K152" i="6" s="1"/>
  <c r="I149" i="6"/>
  <c r="I261" i="6"/>
  <c r="K261" i="6" s="1"/>
  <c r="I310" i="6"/>
  <c r="K310" i="6" s="1"/>
  <c r="I61" i="6"/>
  <c r="K61" i="6" s="1"/>
  <c r="I114" i="6"/>
  <c r="K114" i="6" s="1"/>
  <c r="I242" i="6"/>
  <c r="K74" i="6"/>
  <c r="K325" i="6"/>
  <c r="K341" i="6"/>
  <c r="K290" i="6"/>
  <c r="K307" i="6"/>
  <c r="K346" i="6"/>
  <c r="K191" i="6"/>
  <c r="K14" i="6"/>
  <c r="K302" i="6"/>
  <c r="D373" i="6"/>
  <c r="K180" i="6"/>
  <c r="K293" i="6"/>
  <c r="K226" i="6"/>
  <c r="K229" i="6"/>
  <c r="K348" i="6"/>
  <c r="K133" i="6"/>
  <c r="K177" i="6"/>
  <c r="K231" i="6"/>
  <c r="K342" i="6"/>
  <c r="K351" i="6"/>
  <c r="K250" i="6"/>
  <c r="K168" i="6"/>
  <c r="K362" i="6"/>
  <c r="K268" i="6"/>
  <c r="K155" i="6"/>
  <c r="K211" i="6"/>
  <c r="K332" i="6"/>
  <c r="I185" i="6"/>
  <c r="K185" i="6" s="1"/>
  <c r="I110" i="6"/>
  <c r="K110" i="6" s="1"/>
  <c r="I15" i="6"/>
  <c r="K15" i="6" s="1"/>
  <c r="E368" i="6"/>
  <c r="E372" i="6"/>
  <c r="I13" i="6"/>
  <c r="K13" i="6" s="1"/>
  <c r="I104" i="6"/>
  <c r="K104" i="6" s="1"/>
  <c r="I49" i="6"/>
  <c r="K49" i="6" s="1"/>
  <c r="I103" i="6"/>
  <c r="K103" i="6" s="1"/>
  <c r="K144" i="6"/>
  <c r="K324" i="6"/>
  <c r="K161" i="6"/>
  <c r="K173" i="6"/>
  <c r="K53" i="6"/>
  <c r="H368" i="6"/>
  <c r="K172" i="6"/>
  <c r="K186" i="6"/>
  <c r="K358" i="6"/>
  <c r="K84" i="6"/>
  <c r="K345" i="6"/>
  <c r="K132" i="6"/>
  <c r="K17" i="6"/>
  <c r="K225" i="6"/>
  <c r="K350" i="6"/>
  <c r="K197" i="6"/>
  <c r="K304" i="6"/>
  <c r="K37" i="6"/>
  <c r="K78" i="6"/>
  <c r="K100" i="6"/>
  <c r="K263" i="6"/>
  <c r="K99" i="6"/>
  <c r="K142" i="6"/>
  <c r="K184" i="6"/>
  <c r="K120" i="6"/>
  <c r="I266" i="6"/>
  <c r="K266" i="6" s="1"/>
  <c r="I11" i="6"/>
  <c r="I12" i="6"/>
  <c r="K12" i="6" s="1"/>
  <c r="I264" i="6"/>
  <c r="K264" i="6" s="1"/>
  <c r="K85" i="6"/>
  <c r="K317" i="6"/>
  <c r="K321" i="6"/>
  <c r="K366" i="6"/>
  <c r="K202" i="6"/>
  <c r="K312" i="6"/>
  <c r="H372" i="6"/>
  <c r="K76" i="6"/>
  <c r="K241" i="6"/>
  <c r="K56" i="6"/>
  <c r="K181" i="6"/>
  <c r="K150" i="6"/>
  <c r="K333" i="6"/>
  <c r="K147" i="6"/>
  <c r="K137" i="6"/>
  <c r="K81" i="6"/>
  <c r="K275" i="6"/>
  <c r="K54" i="6"/>
  <c r="K28" i="6"/>
  <c r="K77" i="6"/>
  <c r="K182" i="6"/>
  <c r="K213" i="6"/>
  <c r="K136" i="6"/>
  <c r="K355" i="6"/>
  <c r="K162" i="6"/>
  <c r="K18" i="6"/>
  <c r="K292" i="6"/>
  <c r="E371" i="6"/>
  <c r="I9" i="6"/>
  <c r="K9" i="6" s="1"/>
  <c r="K254" i="6"/>
  <c r="K46" i="6"/>
  <c r="K94" i="6"/>
  <c r="K95" i="6"/>
  <c r="K271" i="6"/>
  <c r="K352" i="6"/>
  <c r="K284" i="6"/>
  <c r="K320" i="6"/>
  <c r="K297" i="6"/>
  <c r="K361" i="6"/>
  <c r="K126" i="6"/>
  <c r="K303" i="6"/>
  <c r="K63" i="6"/>
  <c r="K158" i="6"/>
  <c r="K206" i="6"/>
  <c r="K319" i="6"/>
  <c r="K153" i="6"/>
  <c r="K265" i="6"/>
  <c r="K38" i="6"/>
  <c r="K278" i="6"/>
  <c r="K227" i="6"/>
  <c r="K89" i="6"/>
  <c r="K31" i="6"/>
  <c r="K141" i="6"/>
  <c r="K57" i="6"/>
  <c r="K16" i="6"/>
  <c r="K230" i="6"/>
  <c r="K33" i="6"/>
  <c r="K331" i="6"/>
  <c r="K209" i="6"/>
  <c r="K92" i="6"/>
  <c r="K316" i="6"/>
  <c r="K277" i="6"/>
  <c r="K115" i="6"/>
  <c r="K39" i="6"/>
  <c r="K112" i="6"/>
  <c r="K111" i="6"/>
  <c r="K62" i="6"/>
  <c r="K11" i="6"/>
  <c r="K42" i="6"/>
  <c r="K167" i="6"/>
  <c r="K239" i="6"/>
  <c r="K23" i="6"/>
  <c r="K210" i="6"/>
  <c r="K71" i="6"/>
  <c r="K169" i="6"/>
  <c r="K269" i="6"/>
  <c r="K289" i="6"/>
  <c r="K139" i="6"/>
  <c r="K160" i="6"/>
  <c r="K199" i="6"/>
  <c r="K67" i="6"/>
  <c r="K59" i="6"/>
  <c r="K122" i="6"/>
  <c r="K340" i="6"/>
  <c r="K251" i="6"/>
  <c r="K116" i="6"/>
  <c r="K149" i="6"/>
  <c r="K165" i="6"/>
  <c r="K27" i="6"/>
  <c r="K299" i="6"/>
  <c r="K52" i="6"/>
  <c r="K19" i="6"/>
  <c r="K313" i="6"/>
  <c r="K220" i="6"/>
  <c r="K73" i="6"/>
  <c r="K212" i="6"/>
  <c r="K113" i="6"/>
  <c r="K249" i="6"/>
  <c r="K364" i="6"/>
  <c r="K235" i="6"/>
  <c r="K242" i="6"/>
  <c r="K190" i="6"/>
  <c r="K207" i="6"/>
  <c r="K215" i="6"/>
  <c r="K79" i="6"/>
  <c r="K44" i="6"/>
  <c r="K286" i="6"/>
  <c r="K334" i="6"/>
  <c r="K98" i="6"/>
  <c r="K69" i="6"/>
  <c r="K65" i="6"/>
  <c r="K35" i="6"/>
  <c r="K245" i="6"/>
  <c r="K259" i="6"/>
  <c r="K154" i="6"/>
  <c r="J372" i="6"/>
  <c r="J370" i="6"/>
  <c r="K347" i="6"/>
  <c r="J371" i="6"/>
  <c r="K102" i="6"/>
  <c r="K83" i="6"/>
  <c r="J368" i="6"/>
  <c r="K283" i="6"/>
  <c r="K247" i="6"/>
  <c r="K20" i="6"/>
  <c r="K106" i="6"/>
  <c r="K101" i="6"/>
  <c r="Q370" i="6"/>
  <c r="R372" i="6"/>
  <c r="R370" i="6"/>
  <c r="R371" i="6"/>
  <c r="Q368" i="6"/>
  <c r="K66" i="6"/>
  <c r="Q372" i="6"/>
  <c r="M373" i="6"/>
  <c r="Q371" i="6"/>
  <c r="R368" i="6"/>
  <c r="P373" i="6"/>
  <c r="E373" i="6" l="1"/>
  <c r="I370" i="6"/>
  <c r="I368" i="6"/>
  <c r="BH393" i="6"/>
  <c r="BH390" i="6"/>
  <c r="BH392" i="6" s="1"/>
  <c r="I372" i="6"/>
  <c r="I371" i="6"/>
  <c r="I373" i="6" s="1"/>
  <c r="J373" i="6"/>
  <c r="K371" i="6"/>
  <c r="K372" i="6"/>
  <c r="K370" i="6"/>
  <c r="Q373" i="6"/>
  <c r="K368" i="6"/>
  <c r="R373" i="6"/>
  <c r="BH394" i="6" l="1"/>
  <c r="K373" i="6"/>
  <c r="AT3" i="7"/>
  <c r="H135" i="23"/>
  <c r="H136" i="23"/>
  <c r="H137" i="23"/>
  <c r="CA2" i="1" l="1"/>
  <c r="H131" i="23"/>
  <c r="H132" i="23"/>
  <c r="H133" i="23"/>
  <c r="H134" i="23"/>
  <c r="BU2" i="1" l="1"/>
  <c r="BD387" i="7"/>
  <c r="BD392" i="7" s="1"/>
  <c r="BB388" i="7"/>
  <c r="BB393" i="7" s="1"/>
  <c r="B5" i="7"/>
  <c r="B4" i="7"/>
  <c r="C4" i="7" s="1"/>
  <c r="BC388" i="7"/>
  <c r="BC393" i="7" s="1"/>
  <c r="BA388" i="7"/>
  <c r="BA393" i="7" s="1"/>
  <c r="BC384" i="7"/>
  <c r="BB384" i="7"/>
  <c r="BA384" i="7"/>
  <c r="BI378" i="7"/>
  <c r="BD378" i="7"/>
  <c r="BC378" i="7"/>
  <c r="BB378" i="7"/>
  <c r="BA378" i="7"/>
  <c r="BI377" i="7"/>
  <c r="BD377" i="7"/>
  <c r="BC377" i="7"/>
  <c r="BB377" i="7"/>
  <c r="BA377" i="7"/>
  <c r="BI376" i="7"/>
  <c r="BD376" i="7"/>
  <c r="BC376" i="7"/>
  <c r="BB376" i="7"/>
  <c r="BA376" i="7"/>
  <c r="AU375" i="7"/>
  <c r="BI368" i="7"/>
  <c r="BD368" i="7"/>
  <c r="BC368" i="7"/>
  <c r="BB368" i="7"/>
  <c r="BA368" i="7"/>
  <c r="BF367" i="7"/>
  <c r="BF366" i="7"/>
  <c r="BF365" i="7"/>
  <c r="BF364" i="7"/>
  <c r="BF363" i="7"/>
  <c r="BF362" i="7"/>
  <c r="BF361" i="7"/>
  <c r="BF360" i="7"/>
  <c r="BF327" i="7"/>
  <c r="BF326" i="7"/>
  <c r="BF325" i="7"/>
  <c r="BF324" i="7"/>
  <c r="BF323" i="7"/>
  <c r="AT322" i="7"/>
  <c r="BF321" i="7"/>
  <c r="BF320" i="7"/>
  <c r="BF319" i="7"/>
  <c r="BF318" i="7"/>
  <c r="BF317" i="7"/>
  <c r="BF316" i="7"/>
  <c r="BF315" i="7"/>
  <c r="BF314" i="7"/>
  <c r="BF313" i="7"/>
  <c r="BF312" i="7"/>
  <c r="BF311" i="7"/>
  <c r="BF310" i="7"/>
  <c r="BF309" i="7"/>
  <c r="AT307" i="7"/>
  <c r="AT306" i="7"/>
  <c r="AT305" i="7"/>
  <c r="AT304" i="7"/>
  <c r="BF303" i="7"/>
  <c r="BF293" i="7"/>
  <c r="BF292" i="7"/>
  <c r="BF290" i="7"/>
  <c r="BF288" i="7"/>
  <c r="BF287" i="7"/>
  <c r="BF286" i="7"/>
  <c r="BF285" i="7"/>
  <c r="BF283" i="7"/>
  <c r="BF280" i="7"/>
  <c r="AT279" i="7"/>
  <c r="AT277" i="7"/>
  <c r="BF276" i="7"/>
  <c r="AT275" i="7"/>
  <c r="BF274" i="7"/>
  <c r="BF273" i="7"/>
  <c r="BF272" i="7"/>
  <c r="BF271" i="7"/>
  <c r="AT268" i="7"/>
  <c r="BF267" i="7"/>
  <c r="BF266" i="7"/>
  <c r="BF265" i="7"/>
  <c r="BF264" i="7"/>
  <c r="BF263" i="7"/>
  <c r="BF262" i="7"/>
  <c r="BF261" i="7"/>
  <c r="BF260" i="7"/>
  <c r="BF259" i="7"/>
  <c r="BF253" i="7"/>
  <c r="AT252" i="7"/>
  <c r="AT251" i="7"/>
  <c r="BF239" i="7"/>
  <c r="BF238" i="7"/>
  <c r="BF237" i="7"/>
  <c r="BF236" i="7"/>
  <c r="BF235" i="7"/>
  <c r="BF234" i="7"/>
  <c r="BF233" i="7"/>
  <c r="BF232" i="7"/>
  <c r="AT231" i="7"/>
  <c r="BF230" i="7"/>
  <c r="BF229" i="7"/>
  <c r="BF228" i="7"/>
  <c r="BF227" i="7"/>
  <c r="BF225" i="7"/>
  <c r="AT223" i="7"/>
  <c r="BF222" i="7"/>
  <c r="BF221" i="7"/>
  <c r="BF220" i="7"/>
  <c r="BF219" i="7"/>
  <c r="BF218" i="7"/>
  <c r="BF217" i="7"/>
  <c r="BF216" i="7"/>
  <c r="BF215" i="7"/>
  <c r="BF214" i="7"/>
  <c r="BF213" i="7"/>
  <c r="AT212" i="7"/>
  <c r="AT211" i="7"/>
  <c r="BF210" i="7"/>
  <c r="BF209" i="7"/>
  <c r="BF208" i="7"/>
  <c r="BF207" i="7"/>
  <c r="BF206" i="7"/>
  <c r="BF205" i="7"/>
  <c r="BF204" i="7"/>
  <c r="BF203" i="7"/>
  <c r="BF202" i="7"/>
  <c r="BF200" i="7"/>
  <c r="BF199" i="7"/>
  <c r="BF198" i="7"/>
  <c r="BF197" i="7"/>
  <c r="BF196" i="7"/>
  <c r="BF195" i="7"/>
  <c r="BF194" i="7"/>
  <c r="BF193" i="7"/>
  <c r="BF192" i="7"/>
  <c r="BF191" i="7"/>
  <c r="BF190" i="7"/>
  <c r="BF186" i="7"/>
  <c r="AT178" i="7"/>
  <c r="AT177" i="7"/>
  <c r="AT176" i="7"/>
  <c r="AT175" i="7"/>
  <c r="AT171" i="7"/>
  <c r="AT170" i="7"/>
  <c r="AT169" i="7"/>
  <c r="AT168" i="7"/>
  <c r="AT167" i="7"/>
  <c r="AT166" i="7"/>
  <c r="AT165" i="7"/>
  <c r="AT164" i="7"/>
  <c r="AT163" i="7"/>
  <c r="AT162" i="7"/>
  <c r="BF161" i="7"/>
  <c r="AT160" i="7"/>
  <c r="AT159" i="7"/>
  <c r="BF158" i="7"/>
  <c r="BF157" i="7"/>
  <c r="AT156" i="7"/>
  <c r="AT155" i="7"/>
  <c r="BF154" i="7"/>
  <c r="BF153" i="7"/>
  <c r="BF152" i="7"/>
  <c r="BF151" i="7"/>
  <c r="BF150" i="7"/>
  <c r="BF149" i="7"/>
  <c r="BF148" i="7"/>
  <c r="BF147" i="7"/>
  <c r="AT146" i="7"/>
  <c r="BF145" i="7"/>
  <c r="BF144" i="7"/>
  <c r="BF143" i="7"/>
  <c r="BF142" i="7"/>
  <c r="BF141" i="7"/>
  <c r="AT141" i="7"/>
  <c r="BF140" i="7"/>
  <c r="BF139" i="7"/>
  <c r="BF138" i="7"/>
  <c r="BF137" i="7"/>
  <c r="BF136" i="7"/>
  <c r="BF135" i="7"/>
  <c r="BF134" i="7"/>
  <c r="AT133" i="7"/>
  <c r="AT132" i="7"/>
  <c r="AT130" i="7"/>
  <c r="AT129" i="7"/>
  <c r="AT128" i="7"/>
  <c r="AT124" i="7"/>
  <c r="AT123" i="7"/>
  <c r="AT122" i="7"/>
  <c r="AT120" i="7"/>
  <c r="AT119" i="7"/>
  <c r="AT118" i="7"/>
  <c r="AT117" i="7"/>
  <c r="AT115" i="7"/>
  <c r="BF114" i="7"/>
  <c r="BF113" i="7"/>
  <c r="BF112" i="7"/>
  <c r="BF111" i="7"/>
  <c r="BF110" i="7"/>
  <c r="BF109" i="7"/>
  <c r="BF108" i="7"/>
  <c r="BF107" i="7"/>
  <c r="BF106" i="7"/>
  <c r="BF105" i="7"/>
  <c r="BF104" i="7"/>
  <c r="BF103" i="7"/>
  <c r="BF102" i="7"/>
  <c r="BF101" i="7"/>
  <c r="BF100" i="7"/>
  <c r="BF99" i="7"/>
  <c r="BF97" i="7"/>
  <c r="BF96" i="7"/>
  <c r="BF95" i="7"/>
  <c r="BF94" i="7"/>
  <c r="BF93" i="7"/>
  <c r="BF92" i="7"/>
  <c r="BF91" i="7"/>
  <c r="BF90" i="7"/>
  <c r="AT89" i="7"/>
  <c r="BF88" i="7"/>
  <c r="AT87" i="7"/>
  <c r="BF86" i="7"/>
  <c r="AT82" i="7"/>
  <c r="AT80" i="7"/>
  <c r="AT79" i="7"/>
  <c r="AT78" i="7"/>
  <c r="AT77" i="7"/>
  <c r="AT76" i="7"/>
  <c r="AT75" i="7"/>
  <c r="BF74" i="7"/>
  <c r="BF73" i="7"/>
  <c r="BF72" i="7"/>
  <c r="BF71" i="7"/>
  <c r="BF70" i="7"/>
  <c r="AT69" i="7"/>
  <c r="AT68" i="7"/>
  <c r="BF67" i="7"/>
  <c r="AT66" i="7"/>
  <c r="AT65" i="7"/>
  <c r="BF64" i="7"/>
  <c r="BF63" i="7"/>
  <c r="BF62" i="7"/>
  <c r="BF61" i="7"/>
  <c r="AT60" i="7"/>
  <c r="AT59" i="7"/>
  <c r="BF58" i="7"/>
  <c r="BF57" i="7"/>
  <c r="BF56" i="7"/>
  <c r="BF55" i="7"/>
  <c r="BF54" i="7"/>
  <c r="BF53" i="7"/>
  <c r="AT52" i="7"/>
  <c r="BF51" i="7"/>
  <c r="BF50" i="7"/>
  <c r="BF49" i="7"/>
  <c r="AT48" i="7"/>
  <c r="AT47" i="7"/>
  <c r="BF46" i="7"/>
  <c r="BF40" i="7"/>
  <c r="BF39" i="7"/>
  <c r="BF38" i="7"/>
  <c r="BF37" i="7"/>
  <c r="BF36" i="7"/>
  <c r="BF35" i="7"/>
  <c r="BF34" i="7"/>
  <c r="BF33" i="7"/>
  <c r="BF32" i="7"/>
  <c r="AT30" i="7"/>
  <c r="AT28" i="7"/>
  <c r="AT26" i="7"/>
  <c r="AT25" i="7"/>
  <c r="AT24" i="7"/>
  <c r="BF22" i="7"/>
  <c r="BF21" i="7"/>
  <c r="AT20" i="7"/>
  <c r="BF19" i="7"/>
  <c r="AT14" i="7"/>
  <c r="BD379" i="7" l="1"/>
  <c r="BA379" i="7"/>
  <c r="BA399" i="7"/>
  <c r="BL45" i="7" s="1"/>
  <c r="D45" i="7" s="1"/>
  <c r="H45" i="7" s="1"/>
  <c r="BI379" i="7"/>
  <c r="BC399" i="7"/>
  <c r="BN243" i="7" s="1"/>
  <c r="Z243" i="7" s="1"/>
  <c r="AD243" i="7" s="1"/>
  <c r="BL122" i="7"/>
  <c r="D122" i="7" s="1"/>
  <c r="H122" i="7" s="1"/>
  <c r="BL299" i="7"/>
  <c r="D299" i="7" s="1"/>
  <c r="H299" i="7" s="1"/>
  <c r="BC379" i="7"/>
  <c r="BD398" i="7"/>
  <c r="BO280" i="7" s="1"/>
  <c r="AH280" i="7" s="1"/>
  <c r="AM280" i="7" s="1"/>
  <c r="BA386" i="7"/>
  <c r="BB399" i="7"/>
  <c r="BA387" i="7"/>
  <c r="BA392" i="7" s="1"/>
  <c r="BA398" i="7" s="1"/>
  <c r="BB379" i="7"/>
  <c r="BB386" i="7"/>
  <c r="BB387" i="7"/>
  <c r="BB392" i="7" s="1"/>
  <c r="BB398" i="7" s="1"/>
  <c r="BC386" i="7"/>
  <c r="BC387" i="7"/>
  <c r="BC392" i="7" s="1"/>
  <c r="BC398" i="7" s="1"/>
  <c r="BD384" i="7"/>
  <c r="BD386" i="7"/>
  <c r="BD388" i="7"/>
  <c r="BD393" i="7" s="1"/>
  <c r="BD399" i="7" s="1"/>
  <c r="BL338" i="7" l="1"/>
  <c r="D338" i="7" s="1"/>
  <c r="H338" i="7" s="1"/>
  <c r="BL241" i="7"/>
  <c r="D241" i="7" s="1"/>
  <c r="H241" i="7" s="1"/>
  <c r="BL77" i="7"/>
  <c r="D77" i="7" s="1"/>
  <c r="H77" i="7" s="1"/>
  <c r="BL28" i="7"/>
  <c r="D28" i="7" s="1"/>
  <c r="H28" i="7" s="1"/>
  <c r="BL358" i="7"/>
  <c r="D358" i="7" s="1"/>
  <c r="H358" i="7" s="1"/>
  <c r="BL333" i="7"/>
  <c r="D333" i="7" s="1"/>
  <c r="H333" i="7" s="1"/>
  <c r="BL167" i="7"/>
  <c r="D167" i="7" s="1"/>
  <c r="H167" i="7" s="1"/>
  <c r="BL41" i="7"/>
  <c r="D41" i="7" s="1"/>
  <c r="H41" i="7" s="1"/>
  <c r="BL270" i="7"/>
  <c r="D270" i="7" s="1"/>
  <c r="H270" i="7" s="1"/>
  <c r="BL84" i="7"/>
  <c r="D84" i="7" s="1"/>
  <c r="H84" i="7" s="1"/>
  <c r="BL347" i="7"/>
  <c r="D347" i="7" s="1"/>
  <c r="H347" i="7" s="1"/>
  <c r="BL85" i="7"/>
  <c r="D85" i="7" s="1"/>
  <c r="H85" i="7" s="1"/>
  <c r="BL117" i="7"/>
  <c r="D117" i="7" s="1"/>
  <c r="H117" i="7" s="1"/>
  <c r="BL24" i="7"/>
  <c r="D24" i="7" s="1"/>
  <c r="H24" i="7" s="1"/>
  <c r="BL339" i="7"/>
  <c r="D339" i="7" s="1"/>
  <c r="H339" i="7" s="1"/>
  <c r="BO309" i="7"/>
  <c r="AH309" i="7" s="1"/>
  <c r="AM309" i="7" s="1"/>
  <c r="BL23" i="7"/>
  <c r="D23" i="7" s="1"/>
  <c r="H23" i="7" s="1"/>
  <c r="BL355" i="7"/>
  <c r="D355" i="7" s="1"/>
  <c r="H355" i="7" s="1"/>
  <c r="BL334" i="7"/>
  <c r="D334" i="7" s="1"/>
  <c r="H334" i="7" s="1"/>
  <c r="BO61" i="7"/>
  <c r="AH61" i="7" s="1"/>
  <c r="AM61" i="7" s="1"/>
  <c r="BO57" i="7"/>
  <c r="AH57" i="7" s="1"/>
  <c r="AM57" i="7" s="1"/>
  <c r="BL350" i="7"/>
  <c r="D350" i="7" s="1"/>
  <c r="H350" i="7" s="1"/>
  <c r="BL281" i="7"/>
  <c r="D281" i="7" s="1"/>
  <c r="H281" i="7" s="1"/>
  <c r="BL165" i="7"/>
  <c r="D165" i="7" s="1"/>
  <c r="H165" i="7" s="1"/>
  <c r="BL76" i="7"/>
  <c r="D76" i="7" s="1"/>
  <c r="H76" i="7" s="1"/>
  <c r="BL248" i="7"/>
  <c r="D248" i="7" s="1"/>
  <c r="H248" i="7" s="1"/>
  <c r="BL307" i="7"/>
  <c r="D307" i="7" s="1"/>
  <c r="H307" i="7" s="1"/>
  <c r="BO196" i="7"/>
  <c r="AH196" i="7" s="1"/>
  <c r="AM196" i="7" s="1"/>
  <c r="BO186" i="7"/>
  <c r="AH186" i="7" s="1"/>
  <c r="AM186" i="7" s="1"/>
  <c r="BO58" i="7"/>
  <c r="AH58" i="7" s="1"/>
  <c r="AM58" i="7" s="1"/>
  <c r="BO363" i="7"/>
  <c r="AH363" i="7" s="1"/>
  <c r="AM363" i="7" s="1"/>
  <c r="BO256" i="7"/>
  <c r="AH256" i="7" s="1"/>
  <c r="AM256" i="7" s="1"/>
  <c r="BO217" i="7"/>
  <c r="AH217" i="7" s="1"/>
  <c r="AM217" i="7" s="1"/>
  <c r="BO222" i="7"/>
  <c r="AH222" i="7" s="1"/>
  <c r="AM222" i="7" s="1"/>
  <c r="BO19" i="7"/>
  <c r="AH19" i="7" s="1"/>
  <c r="AM19" i="7" s="1"/>
  <c r="BO32" i="7"/>
  <c r="AH32" i="7" s="1"/>
  <c r="AM32" i="7" s="1"/>
  <c r="BO292" i="7"/>
  <c r="AH292" i="7" s="1"/>
  <c r="AM292" i="7" s="1"/>
  <c r="BO310" i="7"/>
  <c r="AH310" i="7" s="1"/>
  <c r="AM310" i="7" s="1"/>
  <c r="BL346" i="7"/>
  <c r="D346" i="7" s="1"/>
  <c r="H346" i="7" s="1"/>
  <c r="BL282" i="7"/>
  <c r="D282" i="7" s="1"/>
  <c r="H282" i="7" s="1"/>
  <c r="BL181" i="7"/>
  <c r="D181" i="7" s="1"/>
  <c r="H181" i="7" s="1"/>
  <c r="BL121" i="7"/>
  <c r="D121" i="7" s="1"/>
  <c r="H121" i="7" s="1"/>
  <c r="BL43" i="7"/>
  <c r="D43" i="7" s="1"/>
  <c r="H43" i="7" s="1"/>
  <c r="BL284" i="7"/>
  <c r="D284" i="7" s="1"/>
  <c r="H284" i="7" s="1"/>
  <c r="BL44" i="7"/>
  <c r="D44" i="7" s="1"/>
  <c r="H44" i="7" s="1"/>
  <c r="BL343" i="7"/>
  <c r="D343" i="7" s="1"/>
  <c r="H343" i="7" s="1"/>
  <c r="BL306" i="7"/>
  <c r="D306" i="7" s="1"/>
  <c r="H306" i="7" s="1"/>
  <c r="BN178" i="7"/>
  <c r="Z178" i="7" s="1"/>
  <c r="AD178" i="7" s="1"/>
  <c r="BL305" i="7"/>
  <c r="D305" i="7" s="1"/>
  <c r="H305" i="7" s="1"/>
  <c r="BL357" i="7"/>
  <c r="D357" i="7" s="1"/>
  <c r="H357" i="7" s="1"/>
  <c r="BL342" i="7"/>
  <c r="D342" i="7" s="1"/>
  <c r="H342" i="7" s="1"/>
  <c r="BL291" i="7"/>
  <c r="D291" i="7" s="1"/>
  <c r="H291" i="7" s="1"/>
  <c r="BL247" i="7"/>
  <c r="D247" i="7" s="1"/>
  <c r="H247" i="7" s="1"/>
  <c r="BL166" i="7"/>
  <c r="D166" i="7" s="1"/>
  <c r="H166" i="7" s="1"/>
  <c r="BL119" i="7"/>
  <c r="D119" i="7" s="1"/>
  <c r="H119" i="7" s="1"/>
  <c r="BL75" i="7"/>
  <c r="D75" i="7" s="1"/>
  <c r="H75" i="7" s="1"/>
  <c r="BL13" i="7"/>
  <c r="D13" i="7" s="1"/>
  <c r="H13" i="7" s="1"/>
  <c r="BL242" i="7"/>
  <c r="D242" i="7" s="1"/>
  <c r="H242" i="7" s="1"/>
  <c r="BL27" i="7"/>
  <c r="D27" i="7" s="1"/>
  <c r="H27" i="7" s="1"/>
  <c r="BL351" i="7"/>
  <c r="D351" i="7" s="1"/>
  <c r="H351" i="7" s="1"/>
  <c r="BL330" i="7"/>
  <c r="D330" i="7" s="1"/>
  <c r="H330" i="7" s="1"/>
  <c r="BL177" i="7"/>
  <c r="D177" i="7" s="1"/>
  <c r="H177" i="7" s="1"/>
  <c r="BL240" i="7"/>
  <c r="D240" i="7" s="1"/>
  <c r="H240" i="7" s="1"/>
  <c r="BO108" i="7"/>
  <c r="AH108" i="7" s="1"/>
  <c r="AM108" i="7" s="1"/>
  <c r="BO234" i="7"/>
  <c r="AH234" i="7" s="1"/>
  <c r="AM234" i="7" s="1"/>
  <c r="BO362" i="7"/>
  <c r="AH362" i="7" s="1"/>
  <c r="AM362" i="7" s="1"/>
  <c r="BO365" i="7"/>
  <c r="AH365" i="7" s="1"/>
  <c r="AM365" i="7" s="1"/>
  <c r="BO98" i="7"/>
  <c r="AH98" i="7" s="1"/>
  <c r="AM98" i="7" s="1"/>
  <c r="BO262" i="7"/>
  <c r="AH262" i="7" s="1"/>
  <c r="AM262" i="7" s="1"/>
  <c r="BO103" i="7"/>
  <c r="AH103" i="7" s="1"/>
  <c r="AM103" i="7" s="1"/>
  <c r="BO229" i="7"/>
  <c r="AH229" i="7" s="1"/>
  <c r="AM229" i="7" s="1"/>
  <c r="BO323" i="7"/>
  <c r="AH323" i="7" s="1"/>
  <c r="AM323" i="7" s="1"/>
  <c r="BO137" i="7"/>
  <c r="AH137" i="7" s="1"/>
  <c r="AM137" i="7" s="1"/>
  <c r="BO265" i="7"/>
  <c r="AH265" i="7" s="1"/>
  <c r="AM265" i="7" s="1"/>
  <c r="BO11" i="7"/>
  <c r="AH11" i="7" s="1"/>
  <c r="AM11" i="7" s="1"/>
  <c r="BO367" i="7"/>
  <c r="AH367" i="7" s="1"/>
  <c r="AM367" i="7" s="1"/>
  <c r="BO144" i="7"/>
  <c r="AH144" i="7" s="1"/>
  <c r="AM144" i="7" s="1"/>
  <c r="BO312" i="7"/>
  <c r="AH312" i="7" s="1"/>
  <c r="AM312" i="7" s="1"/>
  <c r="BO162" i="7"/>
  <c r="AH162" i="7" s="1"/>
  <c r="AM162" i="7" s="1"/>
  <c r="BO259" i="7"/>
  <c r="AH259" i="7" s="1"/>
  <c r="AM259" i="7" s="1"/>
  <c r="BO33" i="7"/>
  <c r="AH33" i="7" s="1"/>
  <c r="AM33" i="7" s="1"/>
  <c r="BO190" i="7"/>
  <c r="AH190" i="7" s="1"/>
  <c r="AM190" i="7" s="1"/>
  <c r="BO300" i="7"/>
  <c r="AH300" i="7" s="1"/>
  <c r="AM300" i="7" s="1"/>
  <c r="BO143" i="7"/>
  <c r="AH143" i="7" s="1"/>
  <c r="AM143" i="7" s="1"/>
  <c r="BL118" i="7"/>
  <c r="D118" i="7" s="1"/>
  <c r="H118" i="7" s="1"/>
  <c r="BO105" i="7"/>
  <c r="AH105" i="7" s="1"/>
  <c r="AM105" i="7" s="1"/>
  <c r="BN43" i="7"/>
  <c r="Z43" i="7" s="1"/>
  <c r="AD43" i="7" s="1"/>
  <c r="BL182" i="7"/>
  <c r="D182" i="7" s="1"/>
  <c r="H182" i="7" s="1"/>
  <c r="BO195" i="7"/>
  <c r="AH195" i="7" s="1"/>
  <c r="AM195" i="7" s="1"/>
  <c r="BO55" i="7"/>
  <c r="AH55" i="7" s="1"/>
  <c r="AM55" i="7" s="1"/>
  <c r="BL178" i="7"/>
  <c r="D178" i="7" s="1"/>
  <c r="H178" i="7" s="1"/>
  <c r="BO303" i="7"/>
  <c r="AH303" i="7" s="1"/>
  <c r="AM303" i="7" s="1"/>
  <c r="BL47" i="7"/>
  <c r="D47" i="7" s="1"/>
  <c r="H47" i="7" s="1"/>
  <c r="BO235" i="7"/>
  <c r="AH235" i="7" s="1"/>
  <c r="AM235" i="7" s="1"/>
  <c r="BO266" i="7"/>
  <c r="AH266" i="7" s="1"/>
  <c r="AM266" i="7" s="1"/>
  <c r="BO366" i="7"/>
  <c r="AH366" i="7" s="1"/>
  <c r="AM366" i="7" s="1"/>
  <c r="BL116" i="7"/>
  <c r="D116" i="7" s="1"/>
  <c r="H116" i="7" s="1"/>
  <c r="BL354" i="7"/>
  <c r="D354" i="7" s="1"/>
  <c r="H354" i="7" s="1"/>
  <c r="BL352" i="7"/>
  <c r="D352" i="7" s="1"/>
  <c r="H352" i="7" s="1"/>
  <c r="BL344" i="7"/>
  <c r="D344" i="7" s="1"/>
  <c r="H344" i="7" s="1"/>
  <c r="BL335" i="7"/>
  <c r="D335" i="7" s="1"/>
  <c r="H335" i="7" s="1"/>
  <c r="BL249" i="7"/>
  <c r="D249" i="7" s="1"/>
  <c r="H249" i="7" s="1"/>
  <c r="BL243" i="7"/>
  <c r="D243" i="7" s="1"/>
  <c r="H243" i="7" s="1"/>
  <c r="BL131" i="7"/>
  <c r="D131" i="7" s="1"/>
  <c r="H131" i="7" s="1"/>
  <c r="BL125" i="7"/>
  <c r="D125" i="7" s="1"/>
  <c r="H125" i="7" s="1"/>
  <c r="BL25" i="7"/>
  <c r="D25" i="7" s="1"/>
  <c r="H25" i="7" s="1"/>
  <c r="BL250" i="7"/>
  <c r="D250" i="7" s="1"/>
  <c r="H250" i="7" s="1"/>
  <c r="BL244" i="7"/>
  <c r="D244" i="7" s="1"/>
  <c r="H244" i="7" s="1"/>
  <c r="BL183" i="7"/>
  <c r="D183" i="7" s="1"/>
  <c r="H183" i="7" s="1"/>
  <c r="BL9" i="7"/>
  <c r="D9" i="7" s="1"/>
  <c r="BL340" i="7"/>
  <c r="D340" i="7" s="1"/>
  <c r="H340" i="7" s="1"/>
  <c r="BL331" i="7"/>
  <c r="D331" i="7" s="1"/>
  <c r="H331" i="7" s="1"/>
  <c r="BL289" i="7"/>
  <c r="D289" i="7" s="1"/>
  <c r="H289" i="7" s="1"/>
  <c r="BL245" i="7"/>
  <c r="D245" i="7" s="1"/>
  <c r="H245" i="7" s="1"/>
  <c r="BL184" i="7"/>
  <c r="D184" i="7" s="1"/>
  <c r="H184" i="7" s="1"/>
  <c r="BL83" i="7"/>
  <c r="D83" i="7" s="1"/>
  <c r="H83" i="7" s="1"/>
  <c r="BL30" i="7"/>
  <c r="D30" i="7" s="1"/>
  <c r="H30" i="7" s="1"/>
  <c r="BL359" i="7"/>
  <c r="D359" i="7" s="1"/>
  <c r="H359" i="7" s="1"/>
  <c r="BL341" i="7"/>
  <c r="D341" i="7" s="1"/>
  <c r="H341" i="7" s="1"/>
  <c r="BL332" i="7"/>
  <c r="D332" i="7" s="1"/>
  <c r="H332" i="7" s="1"/>
  <c r="BL175" i="7"/>
  <c r="D175" i="7" s="1"/>
  <c r="H175" i="7" s="1"/>
  <c r="BL171" i="7"/>
  <c r="D171" i="7" s="1"/>
  <c r="H171" i="7" s="1"/>
  <c r="BL168" i="7"/>
  <c r="D168" i="7" s="1"/>
  <c r="H168" i="7" s="1"/>
  <c r="BL133" i="7"/>
  <c r="D133" i="7" s="1"/>
  <c r="H133" i="7" s="1"/>
  <c r="BL130" i="7"/>
  <c r="D130" i="7" s="1"/>
  <c r="H130" i="7" s="1"/>
  <c r="BL128" i="7"/>
  <c r="D128" i="7" s="1"/>
  <c r="H128" i="7" s="1"/>
  <c r="BL42" i="7"/>
  <c r="D42" i="7" s="1"/>
  <c r="H42" i="7" s="1"/>
  <c r="BL353" i="7"/>
  <c r="D353" i="7" s="1"/>
  <c r="H353" i="7" s="1"/>
  <c r="BL345" i="7"/>
  <c r="D345" i="7" s="1"/>
  <c r="H345" i="7" s="1"/>
  <c r="BL337" i="7"/>
  <c r="D337" i="7" s="1"/>
  <c r="H337" i="7" s="1"/>
  <c r="BL336" i="7"/>
  <c r="D336" i="7" s="1"/>
  <c r="H336" i="7" s="1"/>
  <c r="BL308" i="7"/>
  <c r="D308" i="7" s="1"/>
  <c r="H308" i="7" s="1"/>
  <c r="BL304" i="7"/>
  <c r="D304" i="7" s="1"/>
  <c r="H304" i="7" s="1"/>
  <c r="BL120" i="7"/>
  <c r="D120" i="7" s="1"/>
  <c r="H120" i="7" s="1"/>
  <c r="BL356" i="7"/>
  <c r="D356" i="7" s="1"/>
  <c r="H356" i="7" s="1"/>
  <c r="BL348" i="7"/>
  <c r="D348" i="7" s="1"/>
  <c r="H348" i="7" s="1"/>
  <c r="BL179" i="7"/>
  <c r="D179" i="7" s="1"/>
  <c r="H179" i="7" s="1"/>
  <c r="BL173" i="7"/>
  <c r="D173" i="7" s="1"/>
  <c r="H173" i="7" s="1"/>
  <c r="BL48" i="7"/>
  <c r="D48" i="7" s="1"/>
  <c r="H48" i="7" s="1"/>
  <c r="BL29" i="7"/>
  <c r="D29" i="7" s="1"/>
  <c r="H29" i="7" s="1"/>
  <c r="BL12" i="7"/>
  <c r="D12" i="7" s="1"/>
  <c r="H12" i="7" s="1"/>
  <c r="BL349" i="7"/>
  <c r="D349" i="7" s="1"/>
  <c r="H349" i="7" s="1"/>
  <c r="BL246" i="7"/>
  <c r="D246" i="7" s="1"/>
  <c r="H246" i="7" s="1"/>
  <c r="BL185" i="7"/>
  <c r="D185" i="7" s="1"/>
  <c r="H185" i="7" s="1"/>
  <c r="BL176" i="7"/>
  <c r="D176" i="7" s="1"/>
  <c r="H176" i="7" s="1"/>
  <c r="BL174" i="7"/>
  <c r="D174" i="7" s="1"/>
  <c r="H174" i="7" s="1"/>
  <c r="BL170" i="7"/>
  <c r="D170" i="7" s="1"/>
  <c r="H170" i="7" s="1"/>
  <c r="BL169" i="7"/>
  <c r="D169" i="7" s="1"/>
  <c r="H169" i="7" s="1"/>
  <c r="BL132" i="7"/>
  <c r="D132" i="7" s="1"/>
  <c r="H132" i="7" s="1"/>
  <c r="BL129" i="7"/>
  <c r="D129" i="7" s="1"/>
  <c r="H129" i="7" s="1"/>
  <c r="BL124" i="7"/>
  <c r="D124" i="7" s="1"/>
  <c r="H124" i="7" s="1"/>
  <c r="BL123" i="7"/>
  <c r="D123" i="7" s="1"/>
  <c r="H123" i="7" s="1"/>
  <c r="BL31" i="7"/>
  <c r="D31" i="7" s="1"/>
  <c r="H31" i="7" s="1"/>
  <c r="BL26" i="7"/>
  <c r="D26" i="7" s="1"/>
  <c r="H26" i="7" s="1"/>
  <c r="BL20" i="7"/>
  <c r="D20" i="7" s="1"/>
  <c r="H20" i="7" s="1"/>
  <c r="BL14" i="7"/>
  <c r="D14" i="7" s="1"/>
  <c r="H14" i="7" s="1"/>
  <c r="BO35" i="7"/>
  <c r="AH35" i="7" s="1"/>
  <c r="AM35" i="7" s="1"/>
  <c r="BO102" i="7"/>
  <c r="AH102" i="7" s="1"/>
  <c r="AM102" i="7" s="1"/>
  <c r="BO220" i="7"/>
  <c r="AH220" i="7" s="1"/>
  <c r="AM220" i="7" s="1"/>
  <c r="BO263" i="7"/>
  <c r="AH263" i="7" s="1"/>
  <c r="AM263" i="7" s="1"/>
  <c r="BO36" i="7"/>
  <c r="AH36" i="7" s="1"/>
  <c r="AM36" i="7" s="1"/>
  <c r="BO107" i="7"/>
  <c r="AH107" i="7" s="1"/>
  <c r="AM107" i="7" s="1"/>
  <c r="BO189" i="7"/>
  <c r="AH189" i="7" s="1"/>
  <c r="AM189" i="7" s="1"/>
  <c r="BO233" i="7"/>
  <c r="AH233" i="7" s="1"/>
  <c r="AM233" i="7" s="1"/>
  <c r="BO295" i="7"/>
  <c r="AH295" i="7" s="1"/>
  <c r="AM295" i="7" s="1"/>
  <c r="BO324" i="7"/>
  <c r="AH324" i="7" s="1"/>
  <c r="AM324" i="7" s="1"/>
  <c r="BO59" i="7"/>
  <c r="AH59" i="7" s="1"/>
  <c r="AM59" i="7" s="1"/>
  <c r="BO138" i="7"/>
  <c r="AH138" i="7" s="1"/>
  <c r="AM138" i="7" s="1"/>
  <c r="BO223" i="7"/>
  <c r="AH223" i="7" s="1"/>
  <c r="AM223" i="7" s="1"/>
  <c r="BO283" i="7"/>
  <c r="AH283" i="7" s="1"/>
  <c r="AM283" i="7" s="1"/>
  <c r="BO327" i="7"/>
  <c r="AH327" i="7" s="1"/>
  <c r="AM327" i="7" s="1"/>
  <c r="BO21" i="7"/>
  <c r="AH21" i="7" s="1"/>
  <c r="AM21" i="7" s="1"/>
  <c r="BO109" i="7"/>
  <c r="AH109" i="7" s="1"/>
  <c r="AM109" i="7" s="1"/>
  <c r="BO199" i="7"/>
  <c r="AH199" i="7" s="1"/>
  <c r="AM199" i="7" s="1"/>
  <c r="BO267" i="7"/>
  <c r="AH267" i="7" s="1"/>
  <c r="AM267" i="7" s="1"/>
  <c r="BO56" i="7"/>
  <c r="AH56" i="7" s="1"/>
  <c r="AM56" i="7" s="1"/>
  <c r="BO114" i="7"/>
  <c r="AH114" i="7" s="1"/>
  <c r="AM114" i="7" s="1"/>
  <c r="BO236" i="7"/>
  <c r="AH236" i="7" s="1"/>
  <c r="AM236" i="7" s="1"/>
  <c r="BO290" i="7"/>
  <c r="AH290" i="7" s="1"/>
  <c r="AM290" i="7" s="1"/>
  <c r="BO53" i="7"/>
  <c r="AH53" i="7" s="1"/>
  <c r="AM53" i="7" s="1"/>
  <c r="BO136" i="7"/>
  <c r="AH136" i="7" s="1"/>
  <c r="AM136" i="7" s="1"/>
  <c r="BO207" i="7"/>
  <c r="AH207" i="7" s="1"/>
  <c r="AM207" i="7" s="1"/>
  <c r="BO255" i="7"/>
  <c r="AH255" i="7" s="1"/>
  <c r="AM255" i="7" s="1"/>
  <c r="BO298" i="7"/>
  <c r="AH298" i="7" s="1"/>
  <c r="AM298" i="7" s="1"/>
  <c r="BO329" i="7"/>
  <c r="AH329" i="7" s="1"/>
  <c r="AM329" i="7" s="1"/>
  <c r="BO104" i="7"/>
  <c r="AH104" i="7" s="1"/>
  <c r="AM104" i="7" s="1"/>
  <c r="BO180" i="7"/>
  <c r="AH180" i="7" s="1"/>
  <c r="AM180" i="7" s="1"/>
  <c r="BO230" i="7"/>
  <c r="AH230" i="7" s="1"/>
  <c r="AM230" i="7" s="1"/>
  <c r="BO294" i="7"/>
  <c r="AH294" i="7" s="1"/>
  <c r="AM294" i="7" s="1"/>
  <c r="BO361" i="7"/>
  <c r="AH361" i="7" s="1"/>
  <c r="AM361" i="7" s="1"/>
  <c r="BO38" i="7"/>
  <c r="AH38" i="7" s="1"/>
  <c r="AM38" i="7" s="1"/>
  <c r="BO142" i="7"/>
  <c r="AH142" i="7" s="1"/>
  <c r="AM142" i="7" s="1"/>
  <c r="BO231" i="7"/>
  <c r="AH231" i="7" s="1"/>
  <c r="AM231" i="7" s="1"/>
  <c r="BN299" i="7"/>
  <c r="Z299" i="7" s="1"/>
  <c r="AD299" i="7" s="1"/>
  <c r="BN121" i="7"/>
  <c r="Z121" i="7" s="1"/>
  <c r="AD121" i="7" s="1"/>
  <c r="BN339" i="7"/>
  <c r="Z339" i="7" s="1"/>
  <c r="AD339" i="7" s="1"/>
  <c r="BN358" i="7"/>
  <c r="Z358" i="7" s="1"/>
  <c r="AD358" i="7" s="1"/>
  <c r="BN41" i="7"/>
  <c r="Z41" i="7" s="1"/>
  <c r="AD41" i="7" s="1"/>
  <c r="BN47" i="7"/>
  <c r="Z47" i="7" s="1"/>
  <c r="AD47" i="7" s="1"/>
  <c r="BN24" i="7"/>
  <c r="Z24" i="7" s="1"/>
  <c r="AD24" i="7" s="1"/>
  <c r="BN26" i="7"/>
  <c r="Z26" i="7" s="1"/>
  <c r="AD26" i="7" s="1"/>
  <c r="BN20" i="7"/>
  <c r="Z20" i="7" s="1"/>
  <c r="AD20" i="7" s="1"/>
  <c r="BN176" i="7"/>
  <c r="Z176" i="7" s="1"/>
  <c r="AD176" i="7" s="1"/>
  <c r="BN183" i="7"/>
  <c r="Z183" i="7" s="1"/>
  <c r="AD183" i="7" s="1"/>
  <c r="BN289" i="7"/>
  <c r="Z289" i="7" s="1"/>
  <c r="AD289" i="7" s="1"/>
  <c r="BN338" i="7"/>
  <c r="Z338" i="7" s="1"/>
  <c r="AD338" i="7" s="1"/>
  <c r="BN185" i="7"/>
  <c r="Z185" i="7" s="1"/>
  <c r="AD185" i="7" s="1"/>
  <c r="BN305" i="7"/>
  <c r="Z305" i="7" s="1"/>
  <c r="AD305" i="7" s="1"/>
  <c r="BN13" i="7"/>
  <c r="Z13" i="7" s="1"/>
  <c r="AD13" i="7" s="1"/>
  <c r="BN77" i="7"/>
  <c r="Z77" i="7" s="1"/>
  <c r="AD77" i="7" s="1"/>
  <c r="BN25" i="7"/>
  <c r="Z25" i="7" s="1"/>
  <c r="AD25" i="7" s="1"/>
  <c r="BN118" i="7"/>
  <c r="Z118" i="7" s="1"/>
  <c r="AD118" i="7" s="1"/>
  <c r="BN131" i="7"/>
  <c r="Z131" i="7" s="1"/>
  <c r="AD131" i="7" s="1"/>
  <c r="BN184" i="7"/>
  <c r="Z184" i="7" s="1"/>
  <c r="AD184" i="7" s="1"/>
  <c r="BN307" i="7"/>
  <c r="Z307" i="7" s="1"/>
  <c r="AD307" i="7" s="1"/>
  <c r="BN76" i="7"/>
  <c r="Z76" i="7" s="1"/>
  <c r="AD76" i="7" s="1"/>
  <c r="BN165" i="7"/>
  <c r="Z165" i="7" s="1"/>
  <c r="AD165" i="7" s="1"/>
  <c r="BN244" i="7"/>
  <c r="Z244" i="7" s="1"/>
  <c r="AD244" i="7" s="1"/>
  <c r="BN333" i="7"/>
  <c r="Z333" i="7" s="1"/>
  <c r="AD333" i="7" s="1"/>
  <c r="BN9" i="7"/>
  <c r="Z9" i="7" s="1"/>
  <c r="BN117" i="7"/>
  <c r="Z117" i="7" s="1"/>
  <c r="AD117" i="7" s="1"/>
  <c r="BN28" i="7"/>
  <c r="Z28" i="7" s="1"/>
  <c r="AD28" i="7" s="1"/>
  <c r="BN84" i="7"/>
  <c r="Z84" i="7" s="1"/>
  <c r="AD84" i="7" s="1"/>
  <c r="BN171" i="7"/>
  <c r="Z171" i="7" s="1"/>
  <c r="AD171" i="7" s="1"/>
  <c r="BN247" i="7"/>
  <c r="Z247" i="7" s="1"/>
  <c r="AD247" i="7" s="1"/>
  <c r="BN341" i="7"/>
  <c r="Z341" i="7" s="1"/>
  <c r="AD341" i="7" s="1"/>
  <c r="BN345" i="7"/>
  <c r="Z345" i="7" s="1"/>
  <c r="AD345" i="7" s="1"/>
  <c r="BN349" i="7"/>
  <c r="Z349" i="7" s="1"/>
  <c r="AD349" i="7" s="1"/>
  <c r="BN353" i="7"/>
  <c r="Z353" i="7" s="1"/>
  <c r="AD353" i="7" s="1"/>
  <c r="BN355" i="7"/>
  <c r="Z355" i="7" s="1"/>
  <c r="AD355" i="7" s="1"/>
  <c r="BN179" i="7"/>
  <c r="Z179" i="7" s="1"/>
  <c r="AD179" i="7" s="1"/>
  <c r="BN249" i="7"/>
  <c r="Z249" i="7" s="1"/>
  <c r="AD249" i="7" s="1"/>
  <c r="BN291" i="7"/>
  <c r="Z291" i="7" s="1"/>
  <c r="AD291" i="7" s="1"/>
  <c r="BN119" i="7"/>
  <c r="Z119" i="7" s="1"/>
  <c r="AD119" i="7" s="1"/>
  <c r="BN241" i="7"/>
  <c r="Z241" i="7" s="1"/>
  <c r="AD241" i="7" s="1"/>
  <c r="BN330" i="7"/>
  <c r="Z330" i="7" s="1"/>
  <c r="AD330" i="7" s="1"/>
  <c r="BN29" i="7"/>
  <c r="Z29" i="7" s="1"/>
  <c r="AD29" i="7" s="1"/>
  <c r="BN133" i="7"/>
  <c r="Z133" i="7" s="1"/>
  <c r="AD133" i="7" s="1"/>
  <c r="BN30" i="7"/>
  <c r="Z30" i="7" s="1"/>
  <c r="AD30" i="7" s="1"/>
  <c r="BN120" i="7"/>
  <c r="Z120" i="7" s="1"/>
  <c r="AD120" i="7" s="1"/>
  <c r="BN166" i="7"/>
  <c r="Z166" i="7" s="1"/>
  <c r="AD166" i="7" s="1"/>
  <c r="BN240" i="7"/>
  <c r="Z240" i="7" s="1"/>
  <c r="AD240" i="7" s="1"/>
  <c r="BN308" i="7"/>
  <c r="Z308" i="7" s="1"/>
  <c r="AD308" i="7" s="1"/>
  <c r="BN116" i="7"/>
  <c r="Z116" i="7" s="1"/>
  <c r="AD116" i="7" s="1"/>
  <c r="BN169" i="7"/>
  <c r="Z169" i="7" s="1"/>
  <c r="AD169" i="7" s="1"/>
  <c r="BN248" i="7"/>
  <c r="Z248" i="7" s="1"/>
  <c r="AD248" i="7" s="1"/>
  <c r="BN335" i="7"/>
  <c r="Z335" i="7" s="1"/>
  <c r="AD335" i="7" s="1"/>
  <c r="BN12" i="7"/>
  <c r="Z12" i="7" s="1"/>
  <c r="AD12" i="7" s="1"/>
  <c r="BN125" i="7"/>
  <c r="Z125" i="7" s="1"/>
  <c r="AD125" i="7" s="1"/>
  <c r="BN31" i="7"/>
  <c r="Z31" i="7" s="1"/>
  <c r="AD31" i="7" s="1"/>
  <c r="BN85" i="7"/>
  <c r="Z85" i="7" s="1"/>
  <c r="AD85" i="7" s="1"/>
  <c r="BN175" i="7"/>
  <c r="Z175" i="7" s="1"/>
  <c r="AD175" i="7" s="1"/>
  <c r="BN281" i="7"/>
  <c r="Z281" i="7" s="1"/>
  <c r="AD281" i="7" s="1"/>
  <c r="BN342" i="7"/>
  <c r="Z342" i="7" s="1"/>
  <c r="AD342" i="7" s="1"/>
  <c r="BN346" i="7"/>
  <c r="Z346" i="7" s="1"/>
  <c r="AD346" i="7" s="1"/>
  <c r="BN350" i="7"/>
  <c r="Z350" i="7" s="1"/>
  <c r="AD350" i="7" s="1"/>
  <c r="BN354" i="7"/>
  <c r="Z354" i="7" s="1"/>
  <c r="AD354" i="7" s="1"/>
  <c r="BN356" i="7"/>
  <c r="Z356" i="7" s="1"/>
  <c r="AD356" i="7" s="1"/>
  <c r="BN182" i="7"/>
  <c r="Z182" i="7" s="1"/>
  <c r="AD182" i="7" s="1"/>
  <c r="BN337" i="7"/>
  <c r="Z337" i="7" s="1"/>
  <c r="AD337" i="7" s="1"/>
  <c r="BN282" i="7"/>
  <c r="Z282" i="7" s="1"/>
  <c r="AD282" i="7" s="1"/>
  <c r="BN44" i="7"/>
  <c r="Z44" i="7" s="1"/>
  <c r="AD44" i="7" s="1"/>
  <c r="BN75" i="7"/>
  <c r="Z75" i="7" s="1"/>
  <c r="AD75" i="7" s="1"/>
  <c r="BN170" i="7"/>
  <c r="Z170" i="7" s="1"/>
  <c r="AD170" i="7" s="1"/>
  <c r="BN359" i="7"/>
  <c r="Z359" i="7" s="1"/>
  <c r="AD359" i="7" s="1"/>
  <c r="BN242" i="7"/>
  <c r="Z242" i="7" s="1"/>
  <c r="AD242" i="7" s="1"/>
  <c r="BN357" i="7"/>
  <c r="Z357" i="7" s="1"/>
  <c r="AD357" i="7" s="1"/>
  <c r="BN14" i="7"/>
  <c r="Z14" i="7" s="1"/>
  <c r="AD14" i="7" s="1"/>
  <c r="BN128" i="7"/>
  <c r="Z128" i="7" s="1"/>
  <c r="AD128" i="7" s="1"/>
  <c r="BN340" i="7"/>
  <c r="Z340" i="7" s="1"/>
  <c r="AD340" i="7" s="1"/>
  <c r="BN348" i="7"/>
  <c r="Z348" i="7" s="1"/>
  <c r="AD348" i="7" s="1"/>
  <c r="BN270" i="7"/>
  <c r="Z270" i="7" s="1"/>
  <c r="AD270" i="7" s="1"/>
  <c r="BN23" i="7"/>
  <c r="Z23" i="7" s="1"/>
  <c r="AD23" i="7" s="1"/>
  <c r="BN304" i="7"/>
  <c r="Z304" i="7" s="1"/>
  <c r="AD304" i="7" s="1"/>
  <c r="BN331" i="7"/>
  <c r="Z331" i="7" s="1"/>
  <c r="AD331" i="7" s="1"/>
  <c r="BN83" i="7"/>
  <c r="Z83" i="7" s="1"/>
  <c r="AD83" i="7" s="1"/>
  <c r="BN344" i="7"/>
  <c r="Z344" i="7" s="1"/>
  <c r="AD344" i="7" s="1"/>
  <c r="BN250" i="7"/>
  <c r="Z250" i="7" s="1"/>
  <c r="AD250" i="7" s="1"/>
  <c r="BN122" i="7"/>
  <c r="Z122" i="7" s="1"/>
  <c r="AD122" i="7" s="1"/>
  <c r="BN332" i="7"/>
  <c r="Z332" i="7" s="1"/>
  <c r="AD332" i="7" s="1"/>
  <c r="BN173" i="7"/>
  <c r="Z173" i="7" s="1"/>
  <c r="AD173" i="7" s="1"/>
  <c r="BN123" i="7"/>
  <c r="Z123" i="7" s="1"/>
  <c r="AD123" i="7" s="1"/>
  <c r="BN245" i="7"/>
  <c r="Z245" i="7" s="1"/>
  <c r="AD245" i="7" s="1"/>
  <c r="BN124" i="7"/>
  <c r="Z124" i="7" s="1"/>
  <c r="AD124" i="7" s="1"/>
  <c r="BN284" i="7"/>
  <c r="Z284" i="7" s="1"/>
  <c r="AD284" i="7" s="1"/>
  <c r="BN27" i="7"/>
  <c r="Z27" i="7" s="1"/>
  <c r="AD27" i="7" s="1"/>
  <c r="BN45" i="7"/>
  <c r="Z45" i="7" s="1"/>
  <c r="AD45" i="7" s="1"/>
  <c r="BN177" i="7"/>
  <c r="Z177" i="7" s="1"/>
  <c r="AD177" i="7" s="1"/>
  <c r="BN343" i="7"/>
  <c r="Z343" i="7" s="1"/>
  <c r="AD343" i="7" s="1"/>
  <c r="BN351" i="7"/>
  <c r="Z351" i="7" s="1"/>
  <c r="AD351" i="7" s="1"/>
  <c r="BN129" i="7"/>
  <c r="Z129" i="7" s="1"/>
  <c r="AD129" i="7" s="1"/>
  <c r="BN167" i="7"/>
  <c r="Z167" i="7" s="1"/>
  <c r="AD167" i="7" s="1"/>
  <c r="BN334" i="7"/>
  <c r="Z334" i="7" s="1"/>
  <c r="AD334" i="7" s="1"/>
  <c r="BN130" i="7"/>
  <c r="Z130" i="7" s="1"/>
  <c r="AD130" i="7" s="1"/>
  <c r="BN132" i="7"/>
  <c r="Z132" i="7" s="1"/>
  <c r="AD132" i="7" s="1"/>
  <c r="BN42" i="7"/>
  <c r="Z42" i="7" s="1"/>
  <c r="AD42" i="7" s="1"/>
  <c r="BN246" i="7"/>
  <c r="Z246" i="7" s="1"/>
  <c r="AD246" i="7" s="1"/>
  <c r="BN352" i="7"/>
  <c r="Z352" i="7" s="1"/>
  <c r="AD352" i="7" s="1"/>
  <c r="BN174" i="7"/>
  <c r="Z174" i="7" s="1"/>
  <c r="AD174" i="7" s="1"/>
  <c r="BN168" i="7"/>
  <c r="Z168" i="7" s="1"/>
  <c r="AD168" i="7" s="1"/>
  <c r="BN306" i="7"/>
  <c r="Z306" i="7" s="1"/>
  <c r="AD306" i="7" s="1"/>
  <c r="BN347" i="7"/>
  <c r="Z347" i="7" s="1"/>
  <c r="AD347" i="7" s="1"/>
  <c r="BN336" i="7"/>
  <c r="Z336" i="7" s="1"/>
  <c r="AD336" i="7" s="1"/>
  <c r="BN48" i="7"/>
  <c r="Z48" i="7" s="1"/>
  <c r="AD48" i="7" s="1"/>
  <c r="BN181" i="7"/>
  <c r="Z181" i="7" s="1"/>
  <c r="AD181" i="7" s="1"/>
  <c r="BO314" i="7"/>
  <c r="AH314" i="7" s="1"/>
  <c r="AM314" i="7" s="1"/>
  <c r="BO278" i="7"/>
  <c r="AH278" i="7" s="1"/>
  <c r="AM278" i="7" s="1"/>
  <c r="BO261" i="7"/>
  <c r="AH261" i="7" s="1"/>
  <c r="AM261" i="7" s="1"/>
  <c r="BO227" i="7"/>
  <c r="AH227" i="7" s="1"/>
  <c r="AM227" i="7" s="1"/>
  <c r="BO191" i="7"/>
  <c r="AH191" i="7" s="1"/>
  <c r="AM191" i="7" s="1"/>
  <c r="BO141" i="7"/>
  <c r="AH141" i="7" s="1"/>
  <c r="AM141" i="7" s="1"/>
  <c r="BO101" i="7"/>
  <c r="AH101" i="7" s="1"/>
  <c r="AM101" i="7" s="1"/>
  <c r="BO34" i="7"/>
  <c r="AH34" i="7" s="1"/>
  <c r="AM34" i="7" s="1"/>
  <c r="BO10" i="7"/>
  <c r="AH10" i="7" s="1"/>
  <c r="BO360" i="7"/>
  <c r="AH360" i="7" s="1"/>
  <c r="AM360" i="7" s="1"/>
  <c r="BO302" i="7"/>
  <c r="AH302" i="7" s="1"/>
  <c r="AM302" i="7" s="1"/>
  <c r="BO293" i="7"/>
  <c r="AH293" i="7" s="1"/>
  <c r="AM293" i="7" s="1"/>
  <c r="BO260" i="7"/>
  <c r="AH260" i="7" s="1"/>
  <c r="AM260" i="7" s="1"/>
  <c r="BO226" i="7"/>
  <c r="AH226" i="7" s="1"/>
  <c r="AM226" i="7" s="1"/>
  <c r="BO218" i="7"/>
  <c r="AH218" i="7" s="1"/>
  <c r="AM218" i="7" s="1"/>
  <c r="BO140" i="7"/>
  <c r="AH140" i="7" s="1"/>
  <c r="AM140" i="7" s="1"/>
  <c r="BO134" i="7"/>
  <c r="AH134" i="7" s="1"/>
  <c r="AM134" i="7" s="1"/>
  <c r="BO100" i="7"/>
  <c r="AH100" i="7" s="1"/>
  <c r="AM100" i="7" s="1"/>
  <c r="BO54" i="7"/>
  <c r="AH54" i="7" s="1"/>
  <c r="AM54" i="7" s="1"/>
  <c r="BO326" i="7"/>
  <c r="AH326" i="7" s="1"/>
  <c r="AM326" i="7" s="1"/>
  <c r="BO316" i="7"/>
  <c r="AH316" i="7" s="1"/>
  <c r="AM316" i="7" s="1"/>
  <c r="BO297" i="7"/>
  <c r="AH297" i="7" s="1"/>
  <c r="AM297" i="7" s="1"/>
  <c r="BO287" i="7"/>
  <c r="AH287" i="7" s="1"/>
  <c r="AM287" i="7" s="1"/>
  <c r="BO254" i="7"/>
  <c r="AH254" i="7" s="1"/>
  <c r="AM254" i="7" s="1"/>
  <c r="BO224" i="7"/>
  <c r="AH224" i="7" s="1"/>
  <c r="AM224" i="7" s="1"/>
  <c r="BO201" i="7"/>
  <c r="AH201" i="7" s="1"/>
  <c r="AM201" i="7" s="1"/>
  <c r="BO164" i="7"/>
  <c r="AH164" i="7" s="1"/>
  <c r="AM164" i="7" s="1"/>
  <c r="BO115" i="7"/>
  <c r="AH115" i="7" s="1"/>
  <c r="AM115" i="7" s="1"/>
  <c r="BO99" i="7"/>
  <c r="AH99" i="7" s="1"/>
  <c r="AM99" i="7" s="1"/>
  <c r="BO46" i="7"/>
  <c r="AH46" i="7" s="1"/>
  <c r="AM46" i="7" s="1"/>
  <c r="BO322" i="7"/>
  <c r="AH322" i="7" s="1"/>
  <c r="AM322" i="7" s="1"/>
  <c r="BO286" i="7"/>
  <c r="AH286" i="7" s="1"/>
  <c r="AM286" i="7" s="1"/>
  <c r="BO258" i="7"/>
  <c r="AH258" i="7" s="1"/>
  <c r="AM258" i="7" s="1"/>
  <c r="BO232" i="7"/>
  <c r="AH232" i="7" s="1"/>
  <c r="AM232" i="7" s="1"/>
  <c r="BO192" i="7"/>
  <c r="AH192" i="7" s="1"/>
  <c r="AM192" i="7" s="1"/>
  <c r="BO110" i="7"/>
  <c r="AH110" i="7" s="1"/>
  <c r="AM110" i="7" s="1"/>
  <c r="BO97" i="7"/>
  <c r="AH97" i="7" s="1"/>
  <c r="AM97" i="7" s="1"/>
  <c r="BO52" i="7"/>
  <c r="AH52" i="7" s="1"/>
  <c r="AM52" i="7" s="1"/>
  <c r="BO311" i="7"/>
  <c r="AH311" i="7" s="1"/>
  <c r="AM311" i="7" s="1"/>
  <c r="BO268" i="7"/>
  <c r="AH268" i="7" s="1"/>
  <c r="AM268" i="7" s="1"/>
  <c r="BO239" i="7"/>
  <c r="AH239" i="7" s="1"/>
  <c r="AM239" i="7" s="1"/>
  <c r="BO219" i="7"/>
  <c r="AH219" i="7" s="1"/>
  <c r="AM219" i="7" s="1"/>
  <c r="BO172" i="7"/>
  <c r="AH172" i="7" s="1"/>
  <c r="AM172" i="7" s="1"/>
  <c r="BO113" i="7"/>
  <c r="AH113" i="7" s="1"/>
  <c r="AM113" i="7" s="1"/>
  <c r="BO60" i="7"/>
  <c r="AH60" i="7" s="1"/>
  <c r="AM60" i="7" s="1"/>
  <c r="BO22" i="7"/>
  <c r="AH22" i="7" s="1"/>
  <c r="AM22" i="7" s="1"/>
  <c r="BO364" i="7"/>
  <c r="AH364" i="7" s="1"/>
  <c r="AM364" i="7" s="1"/>
  <c r="BO328" i="7"/>
  <c r="AH328" i="7" s="1"/>
  <c r="AM328" i="7" s="1"/>
  <c r="BO301" i="7"/>
  <c r="AH301" i="7" s="1"/>
  <c r="AM301" i="7" s="1"/>
  <c r="BO288" i="7"/>
  <c r="AH288" i="7" s="1"/>
  <c r="AM288" i="7" s="1"/>
  <c r="BO238" i="7"/>
  <c r="AH238" i="7" s="1"/>
  <c r="AM238" i="7" s="1"/>
  <c r="BO225" i="7"/>
  <c r="AH225" i="7" s="1"/>
  <c r="AM225" i="7" s="1"/>
  <c r="BO194" i="7"/>
  <c r="AH194" i="7" s="1"/>
  <c r="AM194" i="7" s="1"/>
  <c r="BO139" i="7"/>
  <c r="AH139" i="7" s="1"/>
  <c r="AM139" i="7" s="1"/>
  <c r="BO112" i="7"/>
  <c r="AH112" i="7" s="1"/>
  <c r="AM112" i="7" s="1"/>
  <c r="BO64" i="7"/>
  <c r="AH64" i="7" s="1"/>
  <c r="AM64" i="7" s="1"/>
  <c r="BO37" i="7"/>
  <c r="AH37" i="7" s="1"/>
  <c r="AM37" i="7" s="1"/>
  <c r="BO325" i="7"/>
  <c r="AH325" i="7" s="1"/>
  <c r="AM325" i="7" s="1"/>
  <c r="BO313" i="7"/>
  <c r="AH313" i="7" s="1"/>
  <c r="AM313" i="7" s="1"/>
  <c r="BO296" i="7"/>
  <c r="AH296" i="7" s="1"/>
  <c r="AM296" i="7" s="1"/>
  <c r="BO264" i="7"/>
  <c r="AH264" i="7" s="1"/>
  <c r="AM264" i="7" s="1"/>
  <c r="BO237" i="7"/>
  <c r="AH237" i="7" s="1"/>
  <c r="AM237" i="7" s="1"/>
  <c r="BO221" i="7"/>
  <c r="AH221" i="7" s="1"/>
  <c r="AM221" i="7" s="1"/>
  <c r="BO193" i="7"/>
  <c r="AH193" i="7" s="1"/>
  <c r="AM193" i="7" s="1"/>
  <c r="BO163" i="7"/>
  <c r="AH163" i="7" s="1"/>
  <c r="AM163" i="7" s="1"/>
  <c r="BO111" i="7"/>
  <c r="AH111" i="7" s="1"/>
  <c r="AM111" i="7" s="1"/>
  <c r="BO63" i="7"/>
  <c r="AH63" i="7" s="1"/>
  <c r="AM63" i="7" s="1"/>
  <c r="BO40" i="7"/>
  <c r="AH40" i="7" s="1"/>
  <c r="AM40" i="7" s="1"/>
  <c r="BO315" i="7"/>
  <c r="AH315" i="7" s="1"/>
  <c r="AM315" i="7" s="1"/>
  <c r="BO285" i="7"/>
  <c r="AH285" i="7" s="1"/>
  <c r="AM285" i="7" s="1"/>
  <c r="BO257" i="7"/>
  <c r="AH257" i="7" s="1"/>
  <c r="AM257" i="7" s="1"/>
  <c r="BO228" i="7"/>
  <c r="AH228" i="7" s="1"/>
  <c r="AM228" i="7" s="1"/>
  <c r="BO146" i="7"/>
  <c r="AH146" i="7" s="1"/>
  <c r="AM146" i="7" s="1"/>
  <c r="BO106" i="7"/>
  <c r="AH106" i="7" s="1"/>
  <c r="AM106" i="7" s="1"/>
  <c r="BO62" i="7"/>
  <c r="AH62" i="7" s="1"/>
  <c r="AM62" i="7" s="1"/>
  <c r="BO39" i="7"/>
  <c r="AH39" i="7" s="1"/>
  <c r="AM39" i="7" s="1"/>
  <c r="BO356" i="7"/>
  <c r="AH356" i="7" s="1"/>
  <c r="AM356" i="7" s="1"/>
  <c r="BO358" i="7"/>
  <c r="AH358" i="7" s="1"/>
  <c r="AM358" i="7" s="1"/>
  <c r="BO350" i="7"/>
  <c r="AH350" i="7" s="1"/>
  <c r="AM350" i="7" s="1"/>
  <c r="BO346" i="7"/>
  <c r="AH346" i="7" s="1"/>
  <c r="AM346" i="7" s="1"/>
  <c r="BO342" i="7"/>
  <c r="AH342" i="7" s="1"/>
  <c r="AM342" i="7" s="1"/>
  <c r="BO337" i="7"/>
  <c r="AH337" i="7" s="1"/>
  <c r="AM337" i="7" s="1"/>
  <c r="BO336" i="7"/>
  <c r="AH336" i="7" s="1"/>
  <c r="AM336" i="7" s="1"/>
  <c r="BO359" i="7"/>
  <c r="AH359" i="7" s="1"/>
  <c r="AM359" i="7" s="1"/>
  <c r="BO355" i="7"/>
  <c r="AH355" i="7" s="1"/>
  <c r="AM355" i="7" s="1"/>
  <c r="BO351" i="7"/>
  <c r="AH351" i="7" s="1"/>
  <c r="AM351" i="7" s="1"/>
  <c r="BO347" i="7"/>
  <c r="AH347" i="7" s="1"/>
  <c r="AM347" i="7" s="1"/>
  <c r="BO357" i="7"/>
  <c r="AH357" i="7" s="1"/>
  <c r="AM357" i="7" s="1"/>
  <c r="BO338" i="7"/>
  <c r="AH338" i="7" s="1"/>
  <c r="AM338" i="7" s="1"/>
  <c r="BO354" i="7"/>
  <c r="AH354" i="7" s="1"/>
  <c r="AM354" i="7" s="1"/>
  <c r="BO352" i="7"/>
  <c r="AH352" i="7" s="1"/>
  <c r="AM352" i="7" s="1"/>
  <c r="BO348" i="7"/>
  <c r="AH348" i="7" s="1"/>
  <c r="AM348" i="7" s="1"/>
  <c r="BO344" i="7"/>
  <c r="AH344" i="7" s="1"/>
  <c r="AM344" i="7" s="1"/>
  <c r="BO340" i="7"/>
  <c r="AH340" i="7" s="1"/>
  <c r="AM340" i="7" s="1"/>
  <c r="BO341" i="7"/>
  <c r="AH341" i="7" s="1"/>
  <c r="AM341" i="7" s="1"/>
  <c r="BO332" i="7"/>
  <c r="AH332" i="7" s="1"/>
  <c r="AM332" i="7" s="1"/>
  <c r="BO339" i="7"/>
  <c r="AH339" i="7" s="1"/>
  <c r="AM339" i="7" s="1"/>
  <c r="BO333" i="7"/>
  <c r="AH333" i="7" s="1"/>
  <c r="AM333" i="7" s="1"/>
  <c r="BO334" i="7"/>
  <c r="AH334" i="7" s="1"/>
  <c r="AM334" i="7" s="1"/>
  <c r="BO330" i="7"/>
  <c r="AH330" i="7" s="1"/>
  <c r="AM330" i="7" s="1"/>
  <c r="BO349" i="7"/>
  <c r="AH349" i="7" s="1"/>
  <c r="AM349" i="7" s="1"/>
  <c r="BO335" i="7"/>
  <c r="AH335" i="7" s="1"/>
  <c r="AM335" i="7" s="1"/>
  <c r="BO331" i="7"/>
  <c r="AH331" i="7" s="1"/>
  <c r="AM331" i="7" s="1"/>
  <c r="BO307" i="7"/>
  <c r="AH307" i="7" s="1"/>
  <c r="AM307" i="7" s="1"/>
  <c r="BO353" i="7"/>
  <c r="AH353" i="7" s="1"/>
  <c r="AM353" i="7" s="1"/>
  <c r="BO308" i="7"/>
  <c r="AH308" i="7" s="1"/>
  <c r="AM308" i="7" s="1"/>
  <c r="BO304" i="7"/>
  <c r="AH304" i="7" s="1"/>
  <c r="AM304" i="7" s="1"/>
  <c r="BO299" i="7"/>
  <c r="AH299" i="7" s="1"/>
  <c r="AM299" i="7" s="1"/>
  <c r="BO345" i="7"/>
  <c r="AH345" i="7" s="1"/>
  <c r="AM345" i="7" s="1"/>
  <c r="BO343" i="7"/>
  <c r="AH343" i="7" s="1"/>
  <c r="AM343" i="7" s="1"/>
  <c r="BO305" i="7"/>
  <c r="AH305" i="7" s="1"/>
  <c r="AM305" i="7" s="1"/>
  <c r="BO289" i="7"/>
  <c r="AH289" i="7" s="1"/>
  <c r="AM289" i="7" s="1"/>
  <c r="BO270" i="7"/>
  <c r="AH270" i="7" s="1"/>
  <c r="AM270" i="7" s="1"/>
  <c r="BO291" i="7"/>
  <c r="AH291" i="7" s="1"/>
  <c r="AM291" i="7" s="1"/>
  <c r="BO281" i="7"/>
  <c r="AH281" i="7" s="1"/>
  <c r="AM281" i="7" s="1"/>
  <c r="BO306" i="7"/>
  <c r="AH306" i="7" s="1"/>
  <c r="AM306" i="7" s="1"/>
  <c r="BO282" i="7"/>
  <c r="AH282" i="7" s="1"/>
  <c r="AM282" i="7" s="1"/>
  <c r="BO248" i="7"/>
  <c r="AH248" i="7" s="1"/>
  <c r="AM248" i="7" s="1"/>
  <c r="BO244" i="7"/>
  <c r="AH244" i="7" s="1"/>
  <c r="AM244" i="7" s="1"/>
  <c r="BO284" i="7"/>
  <c r="AH284" i="7" s="1"/>
  <c r="AM284" i="7" s="1"/>
  <c r="BO249" i="7"/>
  <c r="AH249" i="7" s="1"/>
  <c r="AM249" i="7" s="1"/>
  <c r="BO245" i="7"/>
  <c r="AH245" i="7" s="1"/>
  <c r="AM245" i="7" s="1"/>
  <c r="BO241" i="7"/>
  <c r="AH241" i="7" s="1"/>
  <c r="AM241" i="7" s="1"/>
  <c r="BO240" i="7"/>
  <c r="AH240" i="7" s="1"/>
  <c r="AM240" i="7" s="1"/>
  <c r="BO250" i="7"/>
  <c r="AH250" i="7" s="1"/>
  <c r="AM250" i="7" s="1"/>
  <c r="BO246" i="7"/>
  <c r="AH246" i="7" s="1"/>
  <c r="AM246" i="7" s="1"/>
  <c r="BO242" i="7"/>
  <c r="AH242" i="7" s="1"/>
  <c r="AM242" i="7" s="1"/>
  <c r="BO243" i="7"/>
  <c r="AH243" i="7" s="1"/>
  <c r="AM243" i="7" s="1"/>
  <c r="BO183" i="7"/>
  <c r="AH183" i="7" s="1"/>
  <c r="AM183" i="7" s="1"/>
  <c r="BO179" i="7"/>
  <c r="AH179" i="7" s="1"/>
  <c r="AM179" i="7" s="1"/>
  <c r="BO175" i="7"/>
  <c r="AH175" i="7" s="1"/>
  <c r="AM175" i="7" s="1"/>
  <c r="BO171" i="7"/>
  <c r="AH171" i="7" s="1"/>
  <c r="AM171" i="7" s="1"/>
  <c r="BO167" i="7"/>
  <c r="AH167" i="7" s="1"/>
  <c r="AM167" i="7" s="1"/>
  <c r="BO247" i="7"/>
  <c r="AH247" i="7" s="1"/>
  <c r="AM247" i="7" s="1"/>
  <c r="BO184" i="7"/>
  <c r="AH184" i="7" s="1"/>
  <c r="AM184" i="7" s="1"/>
  <c r="BO176" i="7"/>
  <c r="AH176" i="7" s="1"/>
  <c r="AM176" i="7" s="1"/>
  <c r="BO168" i="7"/>
  <c r="AH168" i="7" s="1"/>
  <c r="AM168" i="7" s="1"/>
  <c r="BO174" i="7"/>
  <c r="AH174" i="7" s="1"/>
  <c r="AM174" i="7" s="1"/>
  <c r="BO165" i="7"/>
  <c r="AH165" i="7" s="1"/>
  <c r="AM165" i="7" s="1"/>
  <c r="BO130" i="7"/>
  <c r="AH130" i="7" s="1"/>
  <c r="AM130" i="7" s="1"/>
  <c r="BO122" i="7"/>
  <c r="AH122" i="7" s="1"/>
  <c r="AM122" i="7" s="1"/>
  <c r="BO118" i="7"/>
  <c r="AH118" i="7" s="1"/>
  <c r="AM118" i="7" s="1"/>
  <c r="BO178" i="7"/>
  <c r="AH178" i="7" s="1"/>
  <c r="AM178" i="7" s="1"/>
  <c r="BO177" i="7"/>
  <c r="AH177" i="7" s="1"/>
  <c r="AM177" i="7" s="1"/>
  <c r="BO131" i="7"/>
  <c r="AH131" i="7" s="1"/>
  <c r="AM131" i="7" s="1"/>
  <c r="BO123" i="7"/>
  <c r="AH123" i="7" s="1"/>
  <c r="AM123" i="7" s="1"/>
  <c r="BO119" i="7"/>
  <c r="AH119" i="7" s="1"/>
  <c r="AM119" i="7" s="1"/>
  <c r="BO181" i="7"/>
  <c r="AH181" i="7" s="1"/>
  <c r="AM181" i="7" s="1"/>
  <c r="BO166" i="7"/>
  <c r="AH166" i="7" s="1"/>
  <c r="AM166" i="7" s="1"/>
  <c r="BO132" i="7"/>
  <c r="AH132" i="7" s="1"/>
  <c r="AM132" i="7" s="1"/>
  <c r="BO128" i="7"/>
  <c r="AH128" i="7" s="1"/>
  <c r="AM128" i="7" s="1"/>
  <c r="BO124" i="7"/>
  <c r="AH124" i="7" s="1"/>
  <c r="AM124" i="7" s="1"/>
  <c r="BO120" i="7"/>
  <c r="AH120" i="7" s="1"/>
  <c r="AM120" i="7" s="1"/>
  <c r="BO116" i="7"/>
  <c r="AH116" i="7" s="1"/>
  <c r="AM116" i="7" s="1"/>
  <c r="BO170" i="7"/>
  <c r="AH170" i="7" s="1"/>
  <c r="AM170" i="7" s="1"/>
  <c r="BO133" i="7"/>
  <c r="AH133" i="7" s="1"/>
  <c r="AM133" i="7" s="1"/>
  <c r="BO117" i="7"/>
  <c r="AH117" i="7" s="1"/>
  <c r="AM117" i="7" s="1"/>
  <c r="BO85" i="7"/>
  <c r="AH85" i="7" s="1"/>
  <c r="AM85" i="7" s="1"/>
  <c r="BO77" i="7"/>
  <c r="AH77" i="7" s="1"/>
  <c r="AM77" i="7" s="1"/>
  <c r="BO44" i="7"/>
  <c r="AH44" i="7" s="1"/>
  <c r="AM44" i="7" s="1"/>
  <c r="BO31" i="7"/>
  <c r="AH31" i="7" s="1"/>
  <c r="AM31" i="7" s="1"/>
  <c r="BO27" i="7"/>
  <c r="AH27" i="7" s="1"/>
  <c r="AM27" i="7" s="1"/>
  <c r="BO23" i="7"/>
  <c r="AH23" i="7" s="1"/>
  <c r="AM23" i="7" s="1"/>
  <c r="BO182" i="7"/>
  <c r="AH182" i="7" s="1"/>
  <c r="AM182" i="7" s="1"/>
  <c r="BO129" i="7"/>
  <c r="AH129" i="7" s="1"/>
  <c r="AM129" i="7" s="1"/>
  <c r="BO125" i="7"/>
  <c r="AH125" i="7" s="1"/>
  <c r="AM125" i="7" s="1"/>
  <c r="BO45" i="7"/>
  <c r="AH45" i="7" s="1"/>
  <c r="AM45" i="7" s="1"/>
  <c r="BO41" i="7"/>
  <c r="AH41" i="7" s="1"/>
  <c r="AM41" i="7" s="1"/>
  <c r="BO28" i="7"/>
  <c r="AH28" i="7" s="1"/>
  <c r="AM28" i="7" s="1"/>
  <c r="BO185" i="7"/>
  <c r="AH185" i="7" s="1"/>
  <c r="AM185" i="7" s="1"/>
  <c r="BO173" i="7"/>
  <c r="AH173" i="7" s="1"/>
  <c r="AM173" i="7" s="1"/>
  <c r="BO169" i="7"/>
  <c r="AH169" i="7" s="1"/>
  <c r="AM169" i="7" s="1"/>
  <c r="BO121" i="7"/>
  <c r="AH121" i="7" s="1"/>
  <c r="AM121" i="7" s="1"/>
  <c r="BO83" i="7"/>
  <c r="AH83" i="7" s="1"/>
  <c r="AM83" i="7" s="1"/>
  <c r="BO75" i="7"/>
  <c r="AH75" i="7" s="1"/>
  <c r="AM75" i="7" s="1"/>
  <c r="BO47" i="7"/>
  <c r="AH47" i="7" s="1"/>
  <c r="AM47" i="7" s="1"/>
  <c r="BO42" i="7"/>
  <c r="AH42" i="7" s="1"/>
  <c r="AM42" i="7" s="1"/>
  <c r="BO29" i="7"/>
  <c r="AH29" i="7" s="1"/>
  <c r="AM29" i="7" s="1"/>
  <c r="BO25" i="7"/>
  <c r="AH25" i="7" s="1"/>
  <c r="AM25" i="7" s="1"/>
  <c r="BO24" i="7"/>
  <c r="AH24" i="7" s="1"/>
  <c r="AM24" i="7" s="1"/>
  <c r="BO13" i="7"/>
  <c r="AH13" i="7" s="1"/>
  <c r="AM13" i="7" s="1"/>
  <c r="BO9" i="7"/>
  <c r="AH9" i="7" s="1"/>
  <c r="BO30" i="7"/>
  <c r="AH30" i="7" s="1"/>
  <c r="AM30" i="7" s="1"/>
  <c r="BO84" i="7"/>
  <c r="AH84" i="7" s="1"/>
  <c r="AM84" i="7" s="1"/>
  <c r="BO43" i="7"/>
  <c r="AH43" i="7" s="1"/>
  <c r="AM43" i="7" s="1"/>
  <c r="BO14" i="7"/>
  <c r="AH14" i="7" s="1"/>
  <c r="AM14" i="7" s="1"/>
  <c r="BO12" i="7"/>
  <c r="AH12" i="7" s="1"/>
  <c r="AM12" i="7" s="1"/>
  <c r="BO76" i="7"/>
  <c r="AH76" i="7" s="1"/>
  <c r="AM76" i="7" s="1"/>
  <c r="BO48" i="7"/>
  <c r="AH48" i="7" s="1"/>
  <c r="AM48" i="7" s="1"/>
  <c r="BO26" i="7"/>
  <c r="AH26" i="7" s="1"/>
  <c r="AM26" i="7" s="1"/>
  <c r="BO20" i="7"/>
  <c r="AH20" i="7" s="1"/>
  <c r="AM20" i="7" s="1"/>
  <c r="BC391" i="7"/>
  <c r="BC389" i="7"/>
  <c r="BL367" i="7"/>
  <c r="D367" i="7" s="1"/>
  <c r="H367" i="7" s="1"/>
  <c r="BL366" i="7"/>
  <c r="D366" i="7" s="1"/>
  <c r="H366" i="7" s="1"/>
  <c r="BL365" i="7"/>
  <c r="D365" i="7" s="1"/>
  <c r="H365" i="7" s="1"/>
  <c r="BL364" i="7"/>
  <c r="D364" i="7" s="1"/>
  <c r="H364" i="7" s="1"/>
  <c r="BL363" i="7"/>
  <c r="D363" i="7" s="1"/>
  <c r="H363" i="7" s="1"/>
  <c r="BL361" i="7"/>
  <c r="D361" i="7" s="1"/>
  <c r="H361" i="7" s="1"/>
  <c r="BL360" i="7"/>
  <c r="D360" i="7" s="1"/>
  <c r="H360" i="7" s="1"/>
  <c r="BL362" i="7"/>
  <c r="D362" i="7" s="1"/>
  <c r="H362" i="7" s="1"/>
  <c r="BL329" i="7"/>
  <c r="D329" i="7" s="1"/>
  <c r="H329" i="7" s="1"/>
  <c r="BL327" i="7"/>
  <c r="D327" i="7" s="1"/>
  <c r="H327" i="7" s="1"/>
  <c r="BL326" i="7"/>
  <c r="D326" i="7" s="1"/>
  <c r="H326" i="7" s="1"/>
  <c r="BL325" i="7"/>
  <c r="D325" i="7" s="1"/>
  <c r="H325" i="7" s="1"/>
  <c r="BL324" i="7"/>
  <c r="D324" i="7" s="1"/>
  <c r="H324" i="7" s="1"/>
  <c r="BL323" i="7"/>
  <c r="D323" i="7" s="1"/>
  <c r="H323" i="7" s="1"/>
  <c r="BL322" i="7"/>
  <c r="D322" i="7" s="1"/>
  <c r="H322" i="7" s="1"/>
  <c r="BL328" i="7"/>
  <c r="D328" i="7" s="1"/>
  <c r="H328" i="7" s="1"/>
  <c r="BL316" i="7"/>
  <c r="D316" i="7" s="1"/>
  <c r="H316" i="7" s="1"/>
  <c r="BL313" i="7"/>
  <c r="D313" i="7" s="1"/>
  <c r="H313" i="7" s="1"/>
  <c r="BL312" i="7"/>
  <c r="D312" i="7" s="1"/>
  <c r="H312" i="7" s="1"/>
  <c r="BL311" i="7"/>
  <c r="D311" i="7" s="1"/>
  <c r="H311" i="7" s="1"/>
  <c r="BL310" i="7"/>
  <c r="D310" i="7" s="1"/>
  <c r="H310" i="7" s="1"/>
  <c r="BL309" i="7"/>
  <c r="D309" i="7" s="1"/>
  <c r="H309" i="7" s="1"/>
  <c r="BL300" i="7"/>
  <c r="D300" i="7" s="1"/>
  <c r="H300" i="7" s="1"/>
  <c r="BL315" i="7"/>
  <c r="D315" i="7" s="1"/>
  <c r="H315" i="7" s="1"/>
  <c r="BL314" i="7"/>
  <c r="D314" i="7" s="1"/>
  <c r="H314" i="7" s="1"/>
  <c r="BL303" i="7"/>
  <c r="D303" i="7" s="1"/>
  <c r="H303" i="7" s="1"/>
  <c r="BL297" i="7"/>
  <c r="D297" i="7" s="1"/>
  <c r="H297" i="7" s="1"/>
  <c r="BL293" i="7"/>
  <c r="D293" i="7" s="1"/>
  <c r="H293" i="7" s="1"/>
  <c r="BL292" i="7"/>
  <c r="D292" i="7" s="1"/>
  <c r="H292" i="7" s="1"/>
  <c r="BL298" i="7"/>
  <c r="D298" i="7" s="1"/>
  <c r="H298" i="7" s="1"/>
  <c r="BL294" i="7"/>
  <c r="D294" i="7" s="1"/>
  <c r="H294" i="7" s="1"/>
  <c r="BL283" i="7"/>
  <c r="D283" i="7" s="1"/>
  <c r="H283" i="7" s="1"/>
  <c r="BL267" i="7"/>
  <c r="D267" i="7" s="1"/>
  <c r="H267" i="7" s="1"/>
  <c r="BL266" i="7"/>
  <c r="D266" i="7" s="1"/>
  <c r="H266" i="7" s="1"/>
  <c r="BL265" i="7"/>
  <c r="D265" i="7" s="1"/>
  <c r="H265" i="7" s="1"/>
  <c r="BL264" i="7"/>
  <c r="D264" i="7" s="1"/>
  <c r="H264" i="7" s="1"/>
  <c r="BL263" i="7"/>
  <c r="D263" i="7" s="1"/>
  <c r="H263" i="7" s="1"/>
  <c r="BL262" i="7"/>
  <c r="D262" i="7" s="1"/>
  <c r="H262" i="7" s="1"/>
  <c r="BL261" i="7"/>
  <c r="D261" i="7" s="1"/>
  <c r="H261" i="7" s="1"/>
  <c r="BL260" i="7"/>
  <c r="D260" i="7" s="1"/>
  <c r="H260" i="7" s="1"/>
  <c r="BL259" i="7"/>
  <c r="D259" i="7" s="1"/>
  <c r="H259" i="7" s="1"/>
  <c r="BL258" i="7"/>
  <c r="D258" i="7" s="1"/>
  <c r="H258" i="7" s="1"/>
  <c r="BL295" i="7"/>
  <c r="D295" i="7" s="1"/>
  <c r="H295" i="7" s="1"/>
  <c r="BL288" i="7"/>
  <c r="D288" i="7" s="1"/>
  <c r="H288" i="7" s="1"/>
  <c r="BL287" i="7"/>
  <c r="D287" i="7" s="1"/>
  <c r="H287" i="7" s="1"/>
  <c r="BL286" i="7"/>
  <c r="D286" i="7" s="1"/>
  <c r="H286" i="7" s="1"/>
  <c r="BL285" i="7"/>
  <c r="D285" i="7" s="1"/>
  <c r="H285" i="7" s="1"/>
  <c r="BL278" i="7"/>
  <c r="D278" i="7" s="1"/>
  <c r="H278" i="7" s="1"/>
  <c r="BL268" i="7"/>
  <c r="D268" i="7" s="1"/>
  <c r="H268" i="7" s="1"/>
  <c r="BL255" i="7"/>
  <c r="D255" i="7" s="1"/>
  <c r="H255" i="7" s="1"/>
  <c r="BL301" i="7"/>
  <c r="D301" i="7" s="1"/>
  <c r="H301" i="7" s="1"/>
  <c r="BL257" i="7"/>
  <c r="D257" i="7" s="1"/>
  <c r="H257" i="7" s="1"/>
  <c r="BL256" i="7"/>
  <c r="D256" i="7" s="1"/>
  <c r="H256" i="7" s="1"/>
  <c r="BL254" i="7"/>
  <c r="D254" i="7" s="1"/>
  <c r="H254" i="7" s="1"/>
  <c r="BL234" i="7"/>
  <c r="D234" i="7" s="1"/>
  <c r="H234" i="7" s="1"/>
  <c r="BL233" i="7"/>
  <c r="D233" i="7" s="1"/>
  <c r="H233" i="7" s="1"/>
  <c r="BL232" i="7"/>
  <c r="D232" i="7" s="1"/>
  <c r="H232" i="7" s="1"/>
  <c r="BL231" i="7"/>
  <c r="D231" i="7" s="1"/>
  <c r="H231" i="7" s="1"/>
  <c r="BL222" i="7"/>
  <c r="D222" i="7" s="1"/>
  <c r="H222" i="7" s="1"/>
  <c r="BL221" i="7"/>
  <c r="D221" i="7" s="1"/>
  <c r="H221" i="7" s="1"/>
  <c r="BL302" i="7"/>
  <c r="D302" i="7" s="1"/>
  <c r="H302" i="7" s="1"/>
  <c r="BL280" i="7"/>
  <c r="D280" i="7" s="1"/>
  <c r="H280" i="7" s="1"/>
  <c r="BL223" i="7"/>
  <c r="D223" i="7" s="1"/>
  <c r="H223" i="7" s="1"/>
  <c r="BL296" i="7"/>
  <c r="D296" i="7" s="1"/>
  <c r="H296" i="7" s="1"/>
  <c r="BL290" i="7"/>
  <c r="D290" i="7" s="1"/>
  <c r="H290" i="7" s="1"/>
  <c r="BL225" i="7"/>
  <c r="D225" i="7" s="1"/>
  <c r="H225" i="7" s="1"/>
  <c r="BL224" i="7"/>
  <c r="D224" i="7" s="1"/>
  <c r="H224" i="7" s="1"/>
  <c r="BL219" i="7"/>
  <c r="D219" i="7" s="1"/>
  <c r="H219" i="7" s="1"/>
  <c r="BL218" i="7"/>
  <c r="D218" i="7" s="1"/>
  <c r="H218" i="7" s="1"/>
  <c r="BL217" i="7"/>
  <c r="D217" i="7" s="1"/>
  <c r="H217" i="7" s="1"/>
  <c r="BL220" i="7"/>
  <c r="D220" i="7" s="1"/>
  <c r="H220" i="7" s="1"/>
  <c r="BL199" i="7"/>
  <c r="D199" i="7" s="1"/>
  <c r="H199" i="7" s="1"/>
  <c r="BL196" i="7"/>
  <c r="D196" i="7" s="1"/>
  <c r="H196" i="7" s="1"/>
  <c r="BL195" i="7"/>
  <c r="D195" i="7" s="1"/>
  <c r="H195" i="7" s="1"/>
  <c r="BL194" i="7"/>
  <c r="D194" i="7" s="1"/>
  <c r="H194" i="7" s="1"/>
  <c r="BL193" i="7"/>
  <c r="D193" i="7" s="1"/>
  <c r="H193" i="7" s="1"/>
  <c r="BL192" i="7"/>
  <c r="D192" i="7" s="1"/>
  <c r="H192" i="7" s="1"/>
  <c r="BL191" i="7"/>
  <c r="D191" i="7" s="1"/>
  <c r="H191" i="7" s="1"/>
  <c r="BL190" i="7"/>
  <c r="D190" i="7" s="1"/>
  <c r="H190" i="7" s="1"/>
  <c r="BL189" i="7"/>
  <c r="D189" i="7" s="1"/>
  <c r="H189" i="7" s="1"/>
  <c r="BL180" i="7"/>
  <c r="D180" i="7" s="1"/>
  <c r="H180" i="7" s="1"/>
  <c r="BL172" i="7"/>
  <c r="D172" i="7" s="1"/>
  <c r="H172" i="7" s="1"/>
  <c r="BL230" i="7"/>
  <c r="D230" i="7" s="1"/>
  <c r="H230" i="7" s="1"/>
  <c r="BL229" i="7"/>
  <c r="D229" i="7" s="1"/>
  <c r="H229" i="7" s="1"/>
  <c r="BL228" i="7"/>
  <c r="D228" i="7" s="1"/>
  <c r="H228" i="7" s="1"/>
  <c r="BL227" i="7"/>
  <c r="D227" i="7" s="1"/>
  <c r="H227" i="7" s="1"/>
  <c r="BL226" i="7"/>
  <c r="D226" i="7" s="1"/>
  <c r="H226" i="7" s="1"/>
  <c r="BL207" i="7"/>
  <c r="D207" i="7" s="1"/>
  <c r="H207" i="7" s="1"/>
  <c r="BL201" i="7"/>
  <c r="D201" i="7" s="1"/>
  <c r="H201" i="7" s="1"/>
  <c r="BL186" i="7"/>
  <c r="D186" i="7" s="1"/>
  <c r="H186" i="7" s="1"/>
  <c r="BL162" i="7"/>
  <c r="D162" i="7" s="1"/>
  <c r="H162" i="7" s="1"/>
  <c r="BL115" i="7"/>
  <c r="D115" i="7" s="1"/>
  <c r="H115" i="7" s="1"/>
  <c r="BL239" i="7"/>
  <c r="D239" i="7" s="1"/>
  <c r="H239" i="7" s="1"/>
  <c r="BL238" i="7"/>
  <c r="D238" i="7" s="1"/>
  <c r="H238" i="7" s="1"/>
  <c r="BL237" i="7"/>
  <c r="D237" i="7" s="1"/>
  <c r="H237" i="7" s="1"/>
  <c r="BL236" i="7"/>
  <c r="D236" i="7" s="1"/>
  <c r="H236" i="7" s="1"/>
  <c r="BL235" i="7"/>
  <c r="D235" i="7" s="1"/>
  <c r="H235" i="7" s="1"/>
  <c r="BL163" i="7"/>
  <c r="D163" i="7" s="1"/>
  <c r="H163" i="7" s="1"/>
  <c r="BL164" i="7"/>
  <c r="D164" i="7" s="1"/>
  <c r="H164" i="7" s="1"/>
  <c r="BL144" i="7"/>
  <c r="D144" i="7" s="1"/>
  <c r="H144" i="7" s="1"/>
  <c r="BL143" i="7"/>
  <c r="D143" i="7" s="1"/>
  <c r="H143" i="7" s="1"/>
  <c r="BL142" i="7"/>
  <c r="D142" i="7" s="1"/>
  <c r="H142" i="7" s="1"/>
  <c r="BL141" i="7"/>
  <c r="D141" i="7" s="1"/>
  <c r="H141" i="7" s="1"/>
  <c r="BL140" i="7"/>
  <c r="D140" i="7" s="1"/>
  <c r="H140" i="7" s="1"/>
  <c r="BL139" i="7"/>
  <c r="D139" i="7" s="1"/>
  <c r="H139" i="7" s="1"/>
  <c r="BL138" i="7"/>
  <c r="D138" i="7" s="1"/>
  <c r="H138" i="7" s="1"/>
  <c r="BL137" i="7"/>
  <c r="D137" i="7" s="1"/>
  <c r="H137" i="7" s="1"/>
  <c r="BL136" i="7"/>
  <c r="D136" i="7" s="1"/>
  <c r="H136" i="7" s="1"/>
  <c r="BL134" i="7"/>
  <c r="D134" i="7" s="1"/>
  <c r="H134" i="7" s="1"/>
  <c r="BL146" i="7"/>
  <c r="D146" i="7" s="1"/>
  <c r="H146" i="7" s="1"/>
  <c r="BL102" i="7"/>
  <c r="D102" i="7" s="1"/>
  <c r="H102" i="7" s="1"/>
  <c r="BL98" i="7"/>
  <c r="D98" i="7" s="1"/>
  <c r="H98" i="7" s="1"/>
  <c r="BL97" i="7"/>
  <c r="D97" i="7" s="1"/>
  <c r="H97" i="7" s="1"/>
  <c r="BL59" i="7"/>
  <c r="D59" i="7" s="1"/>
  <c r="H59" i="7" s="1"/>
  <c r="BL46" i="7"/>
  <c r="D46" i="7" s="1"/>
  <c r="H46" i="7" s="1"/>
  <c r="BL99" i="7"/>
  <c r="D99" i="7" s="1"/>
  <c r="H99" i="7" s="1"/>
  <c r="BL64" i="7"/>
  <c r="D64" i="7" s="1"/>
  <c r="H64" i="7" s="1"/>
  <c r="BL63" i="7"/>
  <c r="D63" i="7" s="1"/>
  <c r="H63" i="7" s="1"/>
  <c r="BL62" i="7"/>
  <c r="D62" i="7" s="1"/>
  <c r="H62" i="7" s="1"/>
  <c r="BL61" i="7"/>
  <c r="D61" i="7" s="1"/>
  <c r="H61" i="7" s="1"/>
  <c r="BL60" i="7"/>
  <c r="D60" i="7" s="1"/>
  <c r="H60" i="7" s="1"/>
  <c r="BL114" i="7"/>
  <c r="D114" i="7" s="1"/>
  <c r="H114" i="7" s="1"/>
  <c r="BL113" i="7"/>
  <c r="D113" i="7" s="1"/>
  <c r="H113" i="7" s="1"/>
  <c r="BL112" i="7"/>
  <c r="D112" i="7" s="1"/>
  <c r="H112" i="7" s="1"/>
  <c r="BL111" i="7"/>
  <c r="D111" i="7" s="1"/>
  <c r="H111" i="7" s="1"/>
  <c r="BL110" i="7"/>
  <c r="D110" i="7" s="1"/>
  <c r="H110" i="7" s="1"/>
  <c r="BL109" i="7"/>
  <c r="D109" i="7" s="1"/>
  <c r="H109" i="7" s="1"/>
  <c r="BL108" i="7"/>
  <c r="D108" i="7" s="1"/>
  <c r="H108" i="7" s="1"/>
  <c r="BL107" i="7"/>
  <c r="D107" i="7" s="1"/>
  <c r="H107" i="7" s="1"/>
  <c r="BL106" i="7"/>
  <c r="D106" i="7" s="1"/>
  <c r="H106" i="7" s="1"/>
  <c r="BL105" i="7"/>
  <c r="D105" i="7" s="1"/>
  <c r="H105" i="7" s="1"/>
  <c r="BL104" i="7"/>
  <c r="D104" i="7" s="1"/>
  <c r="H104" i="7" s="1"/>
  <c r="BL103" i="7"/>
  <c r="D103" i="7" s="1"/>
  <c r="H103" i="7" s="1"/>
  <c r="BL100" i="7"/>
  <c r="D100" i="7" s="1"/>
  <c r="H100" i="7" s="1"/>
  <c r="BL22" i="7"/>
  <c r="D22" i="7" s="1"/>
  <c r="H22" i="7" s="1"/>
  <c r="BL21" i="7"/>
  <c r="D21" i="7" s="1"/>
  <c r="H21" i="7" s="1"/>
  <c r="BL40" i="7"/>
  <c r="D40" i="7" s="1"/>
  <c r="H40" i="7" s="1"/>
  <c r="BL39" i="7"/>
  <c r="D39" i="7" s="1"/>
  <c r="H39" i="7" s="1"/>
  <c r="BL38" i="7"/>
  <c r="D38" i="7" s="1"/>
  <c r="H38" i="7" s="1"/>
  <c r="BL37" i="7"/>
  <c r="D37" i="7" s="1"/>
  <c r="H37" i="7" s="1"/>
  <c r="BL36" i="7"/>
  <c r="D36" i="7" s="1"/>
  <c r="H36" i="7" s="1"/>
  <c r="BL35" i="7"/>
  <c r="D35" i="7" s="1"/>
  <c r="H35" i="7" s="1"/>
  <c r="BL34" i="7"/>
  <c r="D34" i="7" s="1"/>
  <c r="H34" i="7" s="1"/>
  <c r="BL33" i="7"/>
  <c r="D33" i="7" s="1"/>
  <c r="H33" i="7" s="1"/>
  <c r="BL32" i="7"/>
  <c r="D32" i="7" s="1"/>
  <c r="H32" i="7" s="1"/>
  <c r="BL10" i="7"/>
  <c r="D10" i="7" s="1"/>
  <c r="BL101" i="7"/>
  <c r="D101" i="7" s="1"/>
  <c r="H101" i="7" s="1"/>
  <c r="BL19" i="7"/>
  <c r="D19" i="7" s="1"/>
  <c r="H19" i="7" s="1"/>
  <c r="BL11" i="7"/>
  <c r="D11" i="7" s="1"/>
  <c r="H11" i="7" s="1"/>
  <c r="BL58" i="7"/>
  <c r="D58" i="7" s="1"/>
  <c r="H58" i="7" s="1"/>
  <c r="BL57" i="7"/>
  <c r="D57" i="7" s="1"/>
  <c r="H57" i="7" s="1"/>
  <c r="BL56" i="7"/>
  <c r="D56" i="7" s="1"/>
  <c r="H56" i="7" s="1"/>
  <c r="BL55" i="7"/>
  <c r="D55" i="7" s="1"/>
  <c r="H55" i="7" s="1"/>
  <c r="BL54" i="7"/>
  <c r="D54" i="7" s="1"/>
  <c r="H54" i="7" s="1"/>
  <c r="BL53" i="7"/>
  <c r="D53" i="7" s="1"/>
  <c r="H53" i="7" s="1"/>
  <c r="BL52" i="7"/>
  <c r="D52" i="7" s="1"/>
  <c r="H52" i="7" s="1"/>
  <c r="BM366" i="7"/>
  <c r="L366" i="7" s="1"/>
  <c r="P366" i="7" s="1"/>
  <c r="BM364" i="7"/>
  <c r="L364" i="7" s="1"/>
  <c r="P364" i="7" s="1"/>
  <c r="BM362" i="7"/>
  <c r="L362" i="7" s="1"/>
  <c r="P362" i="7" s="1"/>
  <c r="BM361" i="7"/>
  <c r="L361" i="7" s="1"/>
  <c r="P361" i="7" s="1"/>
  <c r="BM360" i="7"/>
  <c r="L360" i="7" s="1"/>
  <c r="P360" i="7" s="1"/>
  <c r="BM365" i="7"/>
  <c r="L365" i="7" s="1"/>
  <c r="P365" i="7" s="1"/>
  <c r="BM363" i="7"/>
  <c r="L363" i="7" s="1"/>
  <c r="P363" i="7" s="1"/>
  <c r="BM316" i="7"/>
  <c r="L316" i="7" s="1"/>
  <c r="P316" i="7" s="1"/>
  <c r="BM367" i="7"/>
  <c r="L367" i="7" s="1"/>
  <c r="P367" i="7" s="1"/>
  <c r="BM327" i="7"/>
  <c r="L327" i="7" s="1"/>
  <c r="P327" i="7" s="1"/>
  <c r="BM326" i="7"/>
  <c r="L326" i="7" s="1"/>
  <c r="P326" i="7" s="1"/>
  <c r="BM325" i="7"/>
  <c r="L325" i="7" s="1"/>
  <c r="P325" i="7" s="1"/>
  <c r="BM324" i="7"/>
  <c r="L324" i="7" s="1"/>
  <c r="P324" i="7" s="1"/>
  <c r="BM323" i="7"/>
  <c r="L323" i="7" s="1"/>
  <c r="P323" i="7" s="1"/>
  <c r="BM328" i="7"/>
  <c r="L328" i="7" s="1"/>
  <c r="P328" i="7" s="1"/>
  <c r="BM300" i="7"/>
  <c r="L300" i="7" s="1"/>
  <c r="P300" i="7" s="1"/>
  <c r="BM301" i="7"/>
  <c r="L301" i="7" s="1"/>
  <c r="P301" i="7" s="1"/>
  <c r="BM329" i="7"/>
  <c r="L329" i="7" s="1"/>
  <c r="P329" i="7" s="1"/>
  <c r="BM315" i="7"/>
  <c r="L315" i="7" s="1"/>
  <c r="P315" i="7" s="1"/>
  <c r="BM314" i="7"/>
  <c r="L314" i="7" s="1"/>
  <c r="P314" i="7" s="1"/>
  <c r="BM310" i="7"/>
  <c r="L310" i="7" s="1"/>
  <c r="P310" i="7" s="1"/>
  <c r="BM298" i="7"/>
  <c r="L298" i="7" s="1"/>
  <c r="P298" i="7" s="1"/>
  <c r="BM294" i="7"/>
  <c r="L294" i="7" s="1"/>
  <c r="P294" i="7" s="1"/>
  <c r="BM283" i="7"/>
  <c r="L283" i="7" s="1"/>
  <c r="P283" i="7" s="1"/>
  <c r="BM267" i="7"/>
  <c r="L267" i="7" s="1"/>
  <c r="P267" i="7" s="1"/>
  <c r="BM266" i="7"/>
  <c r="L266" i="7" s="1"/>
  <c r="P266" i="7" s="1"/>
  <c r="BM265" i="7"/>
  <c r="L265" i="7" s="1"/>
  <c r="P265" i="7" s="1"/>
  <c r="BM264" i="7"/>
  <c r="L264" i="7" s="1"/>
  <c r="P264" i="7" s="1"/>
  <c r="BM263" i="7"/>
  <c r="L263" i="7" s="1"/>
  <c r="P263" i="7" s="1"/>
  <c r="BM262" i="7"/>
  <c r="L262" i="7" s="1"/>
  <c r="P262" i="7" s="1"/>
  <c r="BM261" i="7"/>
  <c r="L261" i="7" s="1"/>
  <c r="P261" i="7" s="1"/>
  <c r="BM313" i="7"/>
  <c r="L313" i="7" s="1"/>
  <c r="P313" i="7" s="1"/>
  <c r="BM309" i="7"/>
  <c r="L309" i="7" s="1"/>
  <c r="P309" i="7" s="1"/>
  <c r="BM295" i="7"/>
  <c r="L295" i="7" s="1"/>
  <c r="P295" i="7" s="1"/>
  <c r="BM288" i="7"/>
  <c r="L288" i="7" s="1"/>
  <c r="P288" i="7" s="1"/>
  <c r="BM287" i="7"/>
  <c r="L287" i="7" s="1"/>
  <c r="P287" i="7" s="1"/>
  <c r="BM286" i="7"/>
  <c r="L286" i="7" s="1"/>
  <c r="P286" i="7" s="1"/>
  <c r="BM285" i="7"/>
  <c r="L285" i="7" s="1"/>
  <c r="P285" i="7" s="1"/>
  <c r="BM278" i="7"/>
  <c r="L278" i="7" s="1"/>
  <c r="P278" i="7" s="1"/>
  <c r="BM268" i="7"/>
  <c r="L268" i="7" s="1"/>
  <c r="P268" i="7" s="1"/>
  <c r="BM255" i="7"/>
  <c r="L255" i="7" s="1"/>
  <c r="P255" i="7" s="1"/>
  <c r="BM312" i="7"/>
  <c r="L312" i="7" s="1"/>
  <c r="P312" i="7" s="1"/>
  <c r="BM302" i="7"/>
  <c r="L302" i="7" s="1"/>
  <c r="P302" i="7" s="1"/>
  <c r="BM296" i="7"/>
  <c r="L296" i="7" s="1"/>
  <c r="P296" i="7" s="1"/>
  <c r="BM290" i="7"/>
  <c r="L290" i="7" s="1"/>
  <c r="P290" i="7" s="1"/>
  <c r="BM280" i="7"/>
  <c r="L280" i="7" s="1"/>
  <c r="P280" i="7" s="1"/>
  <c r="BM256" i="7"/>
  <c r="L256" i="7" s="1"/>
  <c r="P256" i="7" s="1"/>
  <c r="BM293" i="7"/>
  <c r="L293" i="7" s="1"/>
  <c r="P293" i="7" s="1"/>
  <c r="BM260" i="7"/>
  <c r="L260" i="7" s="1"/>
  <c r="P260" i="7" s="1"/>
  <c r="BM223" i="7"/>
  <c r="L223" i="7" s="1"/>
  <c r="P223" i="7" s="1"/>
  <c r="BM292" i="7"/>
  <c r="L292" i="7" s="1"/>
  <c r="P292" i="7" s="1"/>
  <c r="BM259" i="7"/>
  <c r="L259" i="7" s="1"/>
  <c r="P259" i="7" s="1"/>
  <c r="BM225" i="7"/>
  <c r="L225" i="7" s="1"/>
  <c r="P225" i="7" s="1"/>
  <c r="BM224" i="7"/>
  <c r="L224" i="7" s="1"/>
  <c r="P224" i="7" s="1"/>
  <c r="BM322" i="7"/>
  <c r="L322" i="7" s="1"/>
  <c r="P322" i="7" s="1"/>
  <c r="BM303" i="7"/>
  <c r="L303" i="7" s="1"/>
  <c r="P303" i="7" s="1"/>
  <c r="BM258" i="7"/>
  <c r="L258" i="7" s="1"/>
  <c r="P258" i="7" s="1"/>
  <c r="BM239" i="7"/>
  <c r="L239" i="7" s="1"/>
  <c r="P239" i="7" s="1"/>
  <c r="BM238" i="7"/>
  <c r="L238" i="7" s="1"/>
  <c r="P238" i="7" s="1"/>
  <c r="BM237" i="7"/>
  <c r="L237" i="7" s="1"/>
  <c r="P237" i="7" s="1"/>
  <c r="BM236" i="7"/>
  <c r="L236" i="7" s="1"/>
  <c r="P236" i="7" s="1"/>
  <c r="BM235" i="7"/>
  <c r="L235" i="7" s="1"/>
  <c r="P235" i="7" s="1"/>
  <c r="BM230" i="7"/>
  <c r="L230" i="7" s="1"/>
  <c r="P230" i="7" s="1"/>
  <c r="BM229" i="7"/>
  <c r="L229" i="7" s="1"/>
  <c r="P229" i="7" s="1"/>
  <c r="BM228" i="7"/>
  <c r="L228" i="7" s="1"/>
  <c r="P228" i="7" s="1"/>
  <c r="BM227" i="7"/>
  <c r="L227" i="7" s="1"/>
  <c r="P227" i="7" s="1"/>
  <c r="BM226" i="7"/>
  <c r="L226" i="7" s="1"/>
  <c r="P226" i="7" s="1"/>
  <c r="BM297" i="7"/>
  <c r="L297" i="7" s="1"/>
  <c r="P297" i="7" s="1"/>
  <c r="BM254" i="7"/>
  <c r="L254" i="7" s="1"/>
  <c r="P254" i="7" s="1"/>
  <c r="BM233" i="7"/>
  <c r="L233" i="7" s="1"/>
  <c r="P233" i="7" s="1"/>
  <c r="BM220" i="7"/>
  <c r="L220" i="7" s="1"/>
  <c r="P220" i="7" s="1"/>
  <c r="BM199" i="7"/>
  <c r="L199" i="7" s="1"/>
  <c r="P199" i="7" s="1"/>
  <c r="BM196" i="7"/>
  <c r="L196" i="7" s="1"/>
  <c r="P196" i="7" s="1"/>
  <c r="BM195" i="7"/>
  <c r="L195" i="7" s="1"/>
  <c r="P195" i="7" s="1"/>
  <c r="BM194" i="7"/>
  <c r="L194" i="7" s="1"/>
  <c r="P194" i="7" s="1"/>
  <c r="BM193" i="7"/>
  <c r="L193" i="7" s="1"/>
  <c r="P193" i="7" s="1"/>
  <c r="BM192" i="7"/>
  <c r="L192" i="7" s="1"/>
  <c r="P192" i="7" s="1"/>
  <c r="BM191" i="7"/>
  <c r="L191" i="7" s="1"/>
  <c r="P191" i="7" s="1"/>
  <c r="BM190" i="7"/>
  <c r="L190" i="7" s="1"/>
  <c r="P190" i="7" s="1"/>
  <c r="BM189" i="7"/>
  <c r="L189" i="7" s="1"/>
  <c r="P189" i="7" s="1"/>
  <c r="BM311" i="7"/>
  <c r="L311" i="7" s="1"/>
  <c r="P311" i="7" s="1"/>
  <c r="BM257" i="7"/>
  <c r="L257" i="7" s="1"/>
  <c r="P257" i="7" s="1"/>
  <c r="BM232" i="7"/>
  <c r="L232" i="7" s="1"/>
  <c r="P232" i="7" s="1"/>
  <c r="BM207" i="7"/>
  <c r="L207" i="7" s="1"/>
  <c r="P207" i="7" s="1"/>
  <c r="BM201" i="7"/>
  <c r="L201" i="7" s="1"/>
  <c r="P201" i="7" s="1"/>
  <c r="BM186" i="7"/>
  <c r="L186" i="7" s="1"/>
  <c r="P186" i="7" s="1"/>
  <c r="BM231" i="7"/>
  <c r="L231" i="7" s="1"/>
  <c r="P231" i="7" s="1"/>
  <c r="BM222" i="7"/>
  <c r="L222" i="7" s="1"/>
  <c r="P222" i="7" s="1"/>
  <c r="BM219" i="7"/>
  <c r="L219" i="7" s="1"/>
  <c r="P219" i="7" s="1"/>
  <c r="BM172" i="7"/>
  <c r="L172" i="7" s="1"/>
  <c r="P172" i="7" s="1"/>
  <c r="BM163" i="7"/>
  <c r="L163" i="7" s="1"/>
  <c r="P163" i="7" s="1"/>
  <c r="BM218" i="7"/>
  <c r="L218" i="7" s="1"/>
  <c r="P218" i="7" s="1"/>
  <c r="BM164" i="7"/>
  <c r="L164" i="7" s="1"/>
  <c r="P164" i="7" s="1"/>
  <c r="BM144" i="7"/>
  <c r="L144" i="7" s="1"/>
  <c r="P144" i="7" s="1"/>
  <c r="BM143" i="7"/>
  <c r="L143" i="7" s="1"/>
  <c r="P143" i="7" s="1"/>
  <c r="BM142" i="7"/>
  <c r="L142" i="7" s="1"/>
  <c r="P142" i="7" s="1"/>
  <c r="BM141" i="7"/>
  <c r="L141" i="7" s="1"/>
  <c r="P141" i="7" s="1"/>
  <c r="BM140" i="7"/>
  <c r="L140" i="7" s="1"/>
  <c r="P140" i="7" s="1"/>
  <c r="BM139" i="7"/>
  <c r="L139" i="7" s="1"/>
  <c r="P139" i="7" s="1"/>
  <c r="BM138" i="7"/>
  <c r="L138" i="7" s="1"/>
  <c r="P138" i="7" s="1"/>
  <c r="BM137" i="7"/>
  <c r="L137" i="7" s="1"/>
  <c r="P137" i="7" s="1"/>
  <c r="BM136" i="7"/>
  <c r="L136" i="7" s="1"/>
  <c r="P136" i="7" s="1"/>
  <c r="BM134" i="7"/>
  <c r="L134" i="7" s="1"/>
  <c r="P134" i="7" s="1"/>
  <c r="BM97" i="7"/>
  <c r="L97" i="7" s="1"/>
  <c r="P97" i="7" s="1"/>
  <c r="BM234" i="7"/>
  <c r="L234" i="7" s="1"/>
  <c r="P234" i="7" s="1"/>
  <c r="BM217" i="7"/>
  <c r="L217" i="7" s="1"/>
  <c r="P217" i="7" s="1"/>
  <c r="BM146" i="7"/>
  <c r="L146" i="7" s="1"/>
  <c r="P146" i="7" s="1"/>
  <c r="BM114" i="7"/>
  <c r="L114" i="7" s="1"/>
  <c r="P114" i="7" s="1"/>
  <c r="BM113" i="7"/>
  <c r="L113" i="7" s="1"/>
  <c r="P113" i="7" s="1"/>
  <c r="BM112" i="7"/>
  <c r="L112" i="7" s="1"/>
  <c r="P112" i="7" s="1"/>
  <c r="BM111" i="7"/>
  <c r="L111" i="7" s="1"/>
  <c r="P111" i="7" s="1"/>
  <c r="BM110" i="7"/>
  <c r="L110" i="7" s="1"/>
  <c r="P110" i="7" s="1"/>
  <c r="BM109" i="7"/>
  <c r="L109" i="7" s="1"/>
  <c r="P109" i="7" s="1"/>
  <c r="BM108" i="7"/>
  <c r="L108" i="7" s="1"/>
  <c r="P108" i="7" s="1"/>
  <c r="BM107" i="7"/>
  <c r="L107" i="7" s="1"/>
  <c r="P107" i="7" s="1"/>
  <c r="BM106" i="7"/>
  <c r="L106" i="7" s="1"/>
  <c r="P106" i="7" s="1"/>
  <c r="BM105" i="7"/>
  <c r="L105" i="7" s="1"/>
  <c r="P105" i="7" s="1"/>
  <c r="BM104" i="7"/>
  <c r="L104" i="7" s="1"/>
  <c r="P104" i="7" s="1"/>
  <c r="BM103" i="7"/>
  <c r="L103" i="7" s="1"/>
  <c r="P103" i="7" s="1"/>
  <c r="BM99" i="7"/>
  <c r="L99" i="7" s="1"/>
  <c r="P99" i="7" s="1"/>
  <c r="BM64" i="7"/>
  <c r="L64" i="7" s="1"/>
  <c r="P64" i="7" s="1"/>
  <c r="BM63" i="7"/>
  <c r="L63" i="7" s="1"/>
  <c r="P63" i="7" s="1"/>
  <c r="BM62" i="7"/>
  <c r="L62" i="7" s="1"/>
  <c r="P62" i="7" s="1"/>
  <c r="BM61" i="7"/>
  <c r="L61" i="7" s="1"/>
  <c r="P61" i="7" s="1"/>
  <c r="BM60" i="7"/>
  <c r="L60" i="7" s="1"/>
  <c r="P60" i="7" s="1"/>
  <c r="BM19" i="7"/>
  <c r="L19" i="7" s="1"/>
  <c r="P19" i="7" s="1"/>
  <c r="BM100" i="7"/>
  <c r="L100" i="7" s="1"/>
  <c r="P100" i="7" s="1"/>
  <c r="BM221" i="7"/>
  <c r="L221" i="7" s="1"/>
  <c r="P221" i="7" s="1"/>
  <c r="BM180" i="7"/>
  <c r="L180" i="7" s="1"/>
  <c r="P180" i="7" s="1"/>
  <c r="BM115" i="7"/>
  <c r="L115" i="7" s="1"/>
  <c r="P115" i="7" s="1"/>
  <c r="BM101" i="7"/>
  <c r="L101" i="7" s="1"/>
  <c r="P101" i="7" s="1"/>
  <c r="BM58" i="7"/>
  <c r="L58" i="7" s="1"/>
  <c r="P58" i="7" s="1"/>
  <c r="BM57" i="7"/>
  <c r="L57" i="7" s="1"/>
  <c r="P57" i="7" s="1"/>
  <c r="BM56" i="7"/>
  <c r="L56" i="7" s="1"/>
  <c r="P56" i="7" s="1"/>
  <c r="BM55" i="7"/>
  <c r="L55" i="7" s="1"/>
  <c r="P55" i="7" s="1"/>
  <c r="BM54" i="7"/>
  <c r="L54" i="7" s="1"/>
  <c r="P54" i="7" s="1"/>
  <c r="BM53" i="7"/>
  <c r="L53" i="7" s="1"/>
  <c r="P53" i="7" s="1"/>
  <c r="BM52" i="7"/>
  <c r="L52" i="7" s="1"/>
  <c r="P52" i="7" s="1"/>
  <c r="BM40" i="7"/>
  <c r="L40" i="7" s="1"/>
  <c r="P40" i="7" s="1"/>
  <c r="BM39" i="7"/>
  <c r="L39" i="7" s="1"/>
  <c r="P39" i="7" s="1"/>
  <c r="BM38" i="7"/>
  <c r="L38" i="7" s="1"/>
  <c r="P38" i="7" s="1"/>
  <c r="BM37" i="7"/>
  <c r="L37" i="7" s="1"/>
  <c r="P37" i="7" s="1"/>
  <c r="BM36" i="7"/>
  <c r="L36" i="7" s="1"/>
  <c r="P36" i="7" s="1"/>
  <c r="BM35" i="7"/>
  <c r="L35" i="7" s="1"/>
  <c r="P35" i="7" s="1"/>
  <c r="BM34" i="7"/>
  <c r="L34" i="7" s="1"/>
  <c r="P34" i="7" s="1"/>
  <c r="BM33" i="7"/>
  <c r="L33" i="7" s="1"/>
  <c r="P33" i="7" s="1"/>
  <c r="BM32" i="7"/>
  <c r="L32" i="7" s="1"/>
  <c r="P32" i="7" s="1"/>
  <c r="BM162" i="7"/>
  <c r="L162" i="7" s="1"/>
  <c r="P162" i="7" s="1"/>
  <c r="BM11" i="7"/>
  <c r="L11" i="7" s="1"/>
  <c r="P11" i="7" s="1"/>
  <c r="BM46" i="7"/>
  <c r="L46" i="7" s="1"/>
  <c r="P46" i="7" s="1"/>
  <c r="BM21" i="7"/>
  <c r="L21" i="7" s="1"/>
  <c r="P21" i="7" s="1"/>
  <c r="BM10" i="7"/>
  <c r="L10" i="7" s="1"/>
  <c r="BM102" i="7"/>
  <c r="L102" i="7" s="1"/>
  <c r="P102" i="7" s="1"/>
  <c r="BM98" i="7"/>
  <c r="L98" i="7" s="1"/>
  <c r="P98" i="7" s="1"/>
  <c r="BM59" i="7"/>
  <c r="L59" i="7" s="1"/>
  <c r="P59" i="7" s="1"/>
  <c r="BM22" i="7"/>
  <c r="L22" i="7" s="1"/>
  <c r="P22" i="7" s="1"/>
  <c r="BN362" i="7"/>
  <c r="Z362" i="7" s="1"/>
  <c r="AD362" i="7" s="1"/>
  <c r="BN361" i="7"/>
  <c r="Z361" i="7" s="1"/>
  <c r="AD361" i="7" s="1"/>
  <c r="BN360" i="7"/>
  <c r="Z360" i="7" s="1"/>
  <c r="AD360" i="7" s="1"/>
  <c r="BN367" i="7"/>
  <c r="Z367" i="7" s="1"/>
  <c r="AD367" i="7" s="1"/>
  <c r="BN365" i="7"/>
  <c r="Z365" i="7" s="1"/>
  <c r="AD365" i="7" s="1"/>
  <c r="BN363" i="7"/>
  <c r="Z363" i="7" s="1"/>
  <c r="AD363" i="7" s="1"/>
  <c r="BN366" i="7"/>
  <c r="Z366" i="7" s="1"/>
  <c r="AD366" i="7" s="1"/>
  <c r="BN327" i="7"/>
  <c r="Z327" i="7" s="1"/>
  <c r="AD327" i="7" s="1"/>
  <c r="BN326" i="7"/>
  <c r="Z326" i="7" s="1"/>
  <c r="AD326" i="7" s="1"/>
  <c r="BN325" i="7"/>
  <c r="Z325" i="7" s="1"/>
  <c r="AD325" i="7" s="1"/>
  <c r="BN324" i="7"/>
  <c r="Z324" i="7" s="1"/>
  <c r="AD324" i="7" s="1"/>
  <c r="BN323" i="7"/>
  <c r="Z323" i="7" s="1"/>
  <c r="AD323" i="7" s="1"/>
  <c r="BN322" i="7"/>
  <c r="Z322" i="7" s="1"/>
  <c r="AD322" i="7" s="1"/>
  <c r="BN364" i="7"/>
  <c r="Z364" i="7" s="1"/>
  <c r="AD364" i="7" s="1"/>
  <c r="BN328" i="7"/>
  <c r="Z328" i="7" s="1"/>
  <c r="AD328" i="7" s="1"/>
  <c r="BN329" i="7"/>
  <c r="Z329" i="7" s="1"/>
  <c r="AD329" i="7" s="1"/>
  <c r="BN301" i="7"/>
  <c r="Z301" i="7" s="1"/>
  <c r="AD301" i="7" s="1"/>
  <c r="BN315" i="7"/>
  <c r="Z315" i="7" s="1"/>
  <c r="AD315" i="7" s="1"/>
  <c r="BN314" i="7"/>
  <c r="Z314" i="7" s="1"/>
  <c r="AD314" i="7" s="1"/>
  <c r="BN303" i="7"/>
  <c r="Z303" i="7" s="1"/>
  <c r="AD303" i="7" s="1"/>
  <c r="BN302" i="7"/>
  <c r="Z302" i="7" s="1"/>
  <c r="AD302" i="7" s="1"/>
  <c r="BN313" i="7"/>
  <c r="Z313" i="7" s="1"/>
  <c r="AD313" i="7" s="1"/>
  <c r="BN312" i="7"/>
  <c r="Z312" i="7" s="1"/>
  <c r="AD312" i="7" s="1"/>
  <c r="BN311" i="7"/>
  <c r="Z311" i="7" s="1"/>
  <c r="AD311" i="7" s="1"/>
  <c r="BN310" i="7"/>
  <c r="Z310" i="7" s="1"/>
  <c r="AD310" i="7" s="1"/>
  <c r="BN309" i="7"/>
  <c r="Z309" i="7" s="1"/>
  <c r="AD309" i="7" s="1"/>
  <c r="BN295" i="7"/>
  <c r="Z295" i="7" s="1"/>
  <c r="AD295" i="7" s="1"/>
  <c r="BN288" i="7"/>
  <c r="Z288" i="7" s="1"/>
  <c r="AD288" i="7" s="1"/>
  <c r="BN287" i="7"/>
  <c r="Z287" i="7" s="1"/>
  <c r="AD287" i="7" s="1"/>
  <c r="BN286" i="7"/>
  <c r="Z286" i="7" s="1"/>
  <c r="AD286" i="7" s="1"/>
  <c r="BN285" i="7"/>
  <c r="Z285" i="7" s="1"/>
  <c r="AD285" i="7" s="1"/>
  <c r="BN278" i="7"/>
  <c r="Z278" i="7" s="1"/>
  <c r="AD278" i="7" s="1"/>
  <c r="BN268" i="7"/>
  <c r="Z268" i="7" s="1"/>
  <c r="AD268" i="7" s="1"/>
  <c r="BN316" i="7"/>
  <c r="Z316" i="7" s="1"/>
  <c r="AD316" i="7" s="1"/>
  <c r="BN300" i="7"/>
  <c r="Z300" i="7" s="1"/>
  <c r="AD300" i="7" s="1"/>
  <c r="BN296" i="7"/>
  <c r="Z296" i="7" s="1"/>
  <c r="AD296" i="7" s="1"/>
  <c r="BN290" i="7"/>
  <c r="Z290" i="7" s="1"/>
  <c r="AD290" i="7" s="1"/>
  <c r="BN280" i="7"/>
  <c r="Z280" i="7" s="1"/>
  <c r="AD280" i="7" s="1"/>
  <c r="BN256" i="7"/>
  <c r="Z256" i="7" s="1"/>
  <c r="AD256" i="7" s="1"/>
  <c r="BN297" i="7"/>
  <c r="Z297" i="7" s="1"/>
  <c r="AD297" i="7" s="1"/>
  <c r="BN293" i="7"/>
  <c r="Z293" i="7" s="1"/>
  <c r="AD293" i="7" s="1"/>
  <c r="BN292" i="7"/>
  <c r="Z292" i="7" s="1"/>
  <c r="AD292" i="7" s="1"/>
  <c r="BN257" i="7"/>
  <c r="Z257" i="7" s="1"/>
  <c r="AD257" i="7" s="1"/>
  <c r="BN294" i="7"/>
  <c r="Z294" i="7" s="1"/>
  <c r="AD294" i="7" s="1"/>
  <c r="BN283" i="7"/>
  <c r="Z283" i="7" s="1"/>
  <c r="AD283" i="7" s="1"/>
  <c r="BN267" i="7"/>
  <c r="Z267" i="7" s="1"/>
  <c r="AD267" i="7" s="1"/>
  <c r="BN265" i="7"/>
  <c r="Z265" i="7" s="1"/>
  <c r="AD265" i="7" s="1"/>
  <c r="BN263" i="7"/>
  <c r="Z263" i="7" s="1"/>
  <c r="AD263" i="7" s="1"/>
  <c r="BN261" i="7"/>
  <c r="Z261" i="7" s="1"/>
  <c r="AD261" i="7" s="1"/>
  <c r="BN259" i="7"/>
  <c r="Z259" i="7" s="1"/>
  <c r="AD259" i="7" s="1"/>
  <c r="BN225" i="7"/>
  <c r="Z225" i="7" s="1"/>
  <c r="AD225" i="7" s="1"/>
  <c r="BN224" i="7"/>
  <c r="Z224" i="7" s="1"/>
  <c r="AD224" i="7" s="1"/>
  <c r="BN258" i="7"/>
  <c r="Z258" i="7" s="1"/>
  <c r="AD258" i="7" s="1"/>
  <c r="BN239" i="7"/>
  <c r="Z239" i="7" s="1"/>
  <c r="AD239" i="7" s="1"/>
  <c r="BN238" i="7"/>
  <c r="Z238" i="7" s="1"/>
  <c r="AD238" i="7" s="1"/>
  <c r="BN237" i="7"/>
  <c r="Z237" i="7" s="1"/>
  <c r="AD237" i="7" s="1"/>
  <c r="BN236" i="7"/>
  <c r="Z236" i="7" s="1"/>
  <c r="AD236" i="7" s="1"/>
  <c r="BN235" i="7"/>
  <c r="Z235" i="7" s="1"/>
  <c r="AD235" i="7" s="1"/>
  <c r="BN230" i="7"/>
  <c r="Z230" i="7" s="1"/>
  <c r="AD230" i="7" s="1"/>
  <c r="BN229" i="7"/>
  <c r="Z229" i="7" s="1"/>
  <c r="AD229" i="7" s="1"/>
  <c r="BN228" i="7"/>
  <c r="Z228" i="7" s="1"/>
  <c r="AD228" i="7" s="1"/>
  <c r="BN227" i="7"/>
  <c r="Z227" i="7" s="1"/>
  <c r="AD227" i="7" s="1"/>
  <c r="BN226" i="7"/>
  <c r="Z226" i="7" s="1"/>
  <c r="AD226" i="7" s="1"/>
  <c r="BN266" i="7"/>
  <c r="Z266" i="7" s="1"/>
  <c r="AD266" i="7" s="1"/>
  <c r="BN264" i="7"/>
  <c r="Z264" i="7" s="1"/>
  <c r="AD264" i="7" s="1"/>
  <c r="BN262" i="7"/>
  <c r="Z262" i="7" s="1"/>
  <c r="AD262" i="7" s="1"/>
  <c r="BN255" i="7"/>
  <c r="Z255" i="7" s="1"/>
  <c r="AD255" i="7" s="1"/>
  <c r="BN254" i="7"/>
  <c r="Z254" i="7" s="1"/>
  <c r="AD254" i="7" s="1"/>
  <c r="BN234" i="7"/>
  <c r="Z234" i="7" s="1"/>
  <c r="AD234" i="7" s="1"/>
  <c r="BN233" i="7"/>
  <c r="Z233" i="7" s="1"/>
  <c r="AD233" i="7" s="1"/>
  <c r="BN232" i="7"/>
  <c r="Z232" i="7" s="1"/>
  <c r="AD232" i="7" s="1"/>
  <c r="BN231" i="7"/>
  <c r="Z231" i="7" s="1"/>
  <c r="AD231" i="7" s="1"/>
  <c r="BN222" i="7"/>
  <c r="Z222" i="7" s="1"/>
  <c r="AD222" i="7" s="1"/>
  <c r="BN221" i="7"/>
  <c r="Z221" i="7" s="1"/>
  <c r="AD221" i="7" s="1"/>
  <c r="BN298" i="7"/>
  <c r="Z298" i="7" s="1"/>
  <c r="AD298" i="7" s="1"/>
  <c r="BN260" i="7"/>
  <c r="Z260" i="7" s="1"/>
  <c r="AD260" i="7" s="1"/>
  <c r="BN207" i="7"/>
  <c r="Z207" i="7" s="1"/>
  <c r="AD207" i="7" s="1"/>
  <c r="BN201" i="7"/>
  <c r="Z201" i="7" s="1"/>
  <c r="AD201" i="7" s="1"/>
  <c r="BN186" i="7"/>
  <c r="Z186" i="7" s="1"/>
  <c r="AD186" i="7" s="1"/>
  <c r="BN219" i="7"/>
  <c r="Z219" i="7" s="1"/>
  <c r="AD219" i="7" s="1"/>
  <c r="BN218" i="7"/>
  <c r="Z218" i="7" s="1"/>
  <c r="AD218" i="7" s="1"/>
  <c r="BN217" i="7"/>
  <c r="Z217" i="7" s="1"/>
  <c r="AD217" i="7" s="1"/>
  <c r="BN223" i="7"/>
  <c r="Z223" i="7" s="1"/>
  <c r="AD223" i="7" s="1"/>
  <c r="BN220" i="7"/>
  <c r="Z220" i="7" s="1"/>
  <c r="AD220" i="7" s="1"/>
  <c r="BN196" i="7"/>
  <c r="Z196" i="7" s="1"/>
  <c r="AD196" i="7" s="1"/>
  <c r="BN194" i="7"/>
  <c r="Z194" i="7" s="1"/>
  <c r="AD194" i="7" s="1"/>
  <c r="BN192" i="7"/>
  <c r="Z192" i="7" s="1"/>
  <c r="AD192" i="7" s="1"/>
  <c r="BN190" i="7"/>
  <c r="Z190" i="7" s="1"/>
  <c r="AD190" i="7" s="1"/>
  <c r="BN164" i="7"/>
  <c r="Z164" i="7" s="1"/>
  <c r="AD164" i="7" s="1"/>
  <c r="BN144" i="7"/>
  <c r="Z144" i="7" s="1"/>
  <c r="AD144" i="7" s="1"/>
  <c r="BN143" i="7"/>
  <c r="Z143" i="7" s="1"/>
  <c r="AD143" i="7" s="1"/>
  <c r="BN142" i="7"/>
  <c r="Z142" i="7" s="1"/>
  <c r="AD142" i="7" s="1"/>
  <c r="BN141" i="7"/>
  <c r="Z141" i="7" s="1"/>
  <c r="AD141" i="7" s="1"/>
  <c r="BN140" i="7"/>
  <c r="Z140" i="7" s="1"/>
  <c r="AD140" i="7" s="1"/>
  <c r="BN139" i="7"/>
  <c r="Z139" i="7" s="1"/>
  <c r="AD139" i="7" s="1"/>
  <c r="BN138" i="7"/>
  <c r="Z138" i="7" s="1"/>
  <c r="AD138" i="7" s="1"/>
  <c r="BN137" i="7"/>
  <c r="Z137" i="7" s="1"/>
  <c r="AD137" i="7" s="1"/>
  <c r="BN136" i="7"/>
  <c r="Z136" i="7" s="1"/>
  <c r="AD136" i="7" s="1"/>
  <c r="BN134" i="7"/>
  <c r="Z134" i="7" s="1"/>
  <c r="AD134" i="7" s="1"/>
  <c r="BN97" i="7"/>
  <c r="Z97" i="7" s="1"/>
  <c r="AD97" i="7" s="1"/>
  <c r="BN146" i="7"/>
  <c r="Z146" i="7" s="1"/>
  <c r="AD146" i="7" s="1"/>
  <c r="BN114" i="7"/>
  <c r="Z114" i="7" s="1"/>
  <c r="AD114" i="7" s="1"/>
  <c r="BN113" i="7"/>
  <c r="Z113" i="7" s="1"/>
  <c r="AD113" i="7" s="1"/>
  <c r="BN112" i="7"/>
  <c r="Z112" i="7" s="1"/>
  <c r="AD112" i="7" s="1"/>
  <c r="BN111" i="7"/>
  <c r="Z111" i="7" s="1"/>
  <c r="AD111" i="7" s="1"/>
  <c r="BN110" i="7"/>
  <c r="Z110" i="7" s="1"/>
  <c r="AD110" i="7" s="1"/>
  <c r="BN109" i="7"/>
  <c r="Z109" i="7" s="1"/>
  <c r="AD109" i="7" s="1"/>
  <c r="BN108" i="7"/>
  <c r="Z108" i="7" s="1"/>
  <c r="AD108" i="7" s="1"/>
  <c r="BN107" i="7"/>
  <c r="Z107" i="7" s="1"/>
  <c r="AD107" i="7" s="1"/>
  <c r="BN106" i="7"/>
  <c r="Z106" i="7" s="1"/>
  <c r="AD106" i="7" s="1"/>
  <c r="BN105" i="7"/>
  <c r="Z105" i="7" s="1"/>
  <c r="AD105" i="7" s="1"/>
  <c r="BN104" i="7"/>
  <c r="Z104" i="7" s="1"/>
  <c r="AD104" i="7" s="1"/>
  <c r="BN103" i="7"/>
  <c r="Z103" i="7" s="1"/>
  <c r="AD103" i="7" s="1"/>
  <c r="BN102" i="7"/>
  <c r="Z102" i="7" s="1"/>
  <c r="AD102" i="7" s="1"/>
  <c r="BN101" i="7"/>
  <c r="Z101" i="7" s="1"/>
  <c r="AD101" i="7" s="1"/>
  <c r="BN100" i="7"/>
  <c r="Z100" i="7" s="1"/>
  <c r="AD100" i="7" s="1"/>
  <c r="BN99" i="7"/>
  <c r="Z99" i="7" s="1"/>
  <c r="AD99" i="7" s="1"/>
  <c r="BN98" i="7"/>
  <c r="Z98" i="7" s="1"/>
  <c r="AD98" i="7" s="1"/>
  <c r="BN199" i="7"/>
  <c r="Z199" i="7" s="1"/>
  <c r="AD199" i="7" s="1"/>
  <c r="BN195" i="7"/>
  <c r="Z195" i="7" s="1"/>
  <c r="AD195" i="7" s="1"/>
  <c r="BN193" i="7"/>
  <c r="Z193" i="7" s="1"/>
  <c r="AD193" i="7" s="1"/>
  <c r="BN191" i="7"/>
  <c r="Z191" i="7" s="1"/>
  <c r="AD191" i="7" s="1"/>
  <c r="BN189" i="7"/>
  <c r="Z189" i="7" s="1"/>
  <c r="AD189" i="7" s="1"/>
  <c r="BN180" i="7"/>
  <c r="Z180" i="7" s="1"/>
  <c r="AD180" i="7" s="1"/>
  <c r="BN162" i="7"/>
  <c r="Z162" i="7" s="1"/>
  <c r="AD162" i="7" s="1"/>
  <c r="BN115" i="7"/>
  <c r="Z115" i="7" s="1"/>
  <c r="AD115" i="7" s="1"/>
  <c r="BN163" i="7"/>
  <c r="Z163" i="7" s="1"/>
  <c r="AD163" i="7" s="1"/>
  <c r="BN22" i="7"/>
  <c r="Z22" i="7" s="1"/>
  <c r="AD22" i="7" s="1"/>
  <c r="BN21" i="7"/>
  <c r="Z21" i="7" s="1"/>
  <c r="AD21" i="7" s="1"/>
  <c r="BN58" i="7"/>
  <c r="Z58" i="7" s="1"/>
  <c r="AD58" i="7" s="1"/>
  <c r="BN57" i="7"/>
  <c r="Z57" i="7" s="1"/>
  <c r="AD57" i="7" s="1"/>
  <c r="BN56" i="7"/>
  <c r="Z56" i="7" s="1"/>
  <c r="AD56" i="7" s="1"/>
  <c r="BN55" i="7"/>
  <c r="Z55" i="7" s="1"/>
  <c r="AD55" i="7" s="1"/>
  <c r="BN54" i="7"/>
  <c r="Z54" i="7" s="1"/>
  <c r="AD54" i="7" s="1"/>
  <c r="BN53" i="7"/>
  <c r="Z53" i="7" s="1"/>
  <c r="AD53" i="7" s="1"/>
  <c r="BN52" i="7"/>
  <c r="Z52" i="7" s="1"/>
  <c r="AD52" i="7" s="1"/>
  <c r="BN40" i="7"/>
  <c r="Z40" i="7" s="1"/>
  <c r="AD40" i="7" s="1"/>
  <c r="BN39" i="7"/>
  <c r="Z39" i="7" s="1"/>
  <c r="AD39" i="7" s="1"/>
  <c r="BN38" i="7"/>
  <c r="Z38" i="7" s="1"/>
  <c r="AD38" i="7" s="1"/>
  <c r="BN37" i="7"/>
  <c r="Z37" i="7" s="1"/>
  <c r="AD37" i="7" s="1"/>
  <c r="BN36" i="7"/>
  <c r="Z36" i="7" s="1"/>
  <c r="AD36" i="7" s="1"/>
  <c r="BN35" i="7"/>
  <c r="Z35" i="7" s="1"/>
  <c r="AD35" i="7" s="1"/>
  <c r="BN34" i="7"/>
  <c r="Z34" i="7" s="1"/>
  <c r="AD34" i="7" s="1"/>
  <c r="BN33" i="7"/>
  <c r="Z33" i="7" s="1"/>
  <c r="AD33" i="7" s="1"/>
  <c r="BN32" i="7"/>
  <c r="Z32" i="7" s="1"/>
  <c r="AD32" i="7" s="1"/>
  <c r="BN59" i="7"/>
  <c r="Z59" i="7" s="1"/>
  <c r="AD59" i="7" s="1"/>
  <c r="BN46" i="7"/>
  <c r="Z46" i="7" s="1"/>
  <c r="AD46" i="7" s="1"/>
  <c r="BN19" i="7"/>
  <c r="Z19" i="7" s="1"/>
  <c r="AD19" i="7" s="1"/>
  <c r="BN172" i="7"/>
  <c r="Z172" i="7" s="1"/>
  <c r="AD172" i="7" s="1"/>
  <c r="BN64" i="7"/>
  <c r="Z64" i="7" s="1"/>
  <c r="AD64" i="7" s="1"/>
  <c r="BN63" i="7"/>
  <c r="Z63" i="7" s="1"/>
  <c r="AD63" i="7" s="1"/>
  <c r="BN61" i="7"/>
  <c r="Z61" i="7" s="1"/>
  <c r="AD61" i="7" s="1"/>
  <c r="BN62" i="7"/>
  <c r="Z62" i="7" s="1"/>
  <c r="AD62" i="7" s="1"/>
  <c r="BN11" i="7"/>
  <c r="Z11" i="7" s="1"/>
  <c r="AD11" i="7" s="1"/>
  <c r="BN10" i="7"/>
  <c r="Z10" i="7" s="1"/>
  <c r="BN60" i="7"/>
  <c r="Z60" i="7" s="1"/>
  <c r="AD60" i="7" s="1"/>
  <c r="BD391" i="7"/>
  <c r="BD389" i="7"/>
  <c r="BM358" i="7"/>
  <c r="L358" i="7" s="1"/>
  <c r="P358" i="7" s="1"/>
  <c r="BM354" i="7"/>
  <c r="L354" i="7" s="1"/>
  <c r="P354" i="7" s="1"/>
  <c r="BM359" i="7"/>
  <c r="L359" i="7" s="1"/>
  <c r="P359" i="7" s="1"/>
  <c r="BM357" i="7"/>
  <c r="L357" i="7" s="1"/>
  <c r="P357" i="7" s="1"/>
  <c r="BM352" i="7"/>
  <c r="L352" i="7" s="1"/>
  <c r="P352" i="7" s="1"/>
  <c r="BM348" i="7"/>
  <c r="L348" i="7" s="1"/>
  <c r="P348" i="7" s="1"/>
  <c r="BM344" i="7"/>
  <c r="L344" i="7" s="1"/>
  <c r="P344" i="7" s="1"/>
  <c r="BM339" i="7"/>
  <c r="L339" i="7" s="1"/>
  <c r="P339" i="7" s="1"/>
  <c r="BM353" i="7"/>
  <c r="L353" i="7" s="1"/>
  <c r="P353" i="7" s="1"/>
  <c r="BM349" i="7"/>
  <c r="L349" i="7" s="1"/>
  <c r="P349" i="7" s="1"/>
  <c r="BM345" i="7"/>
  <c r="L345" i="7" s="1"/>
  <c r="P345" i="7" s="1"/>
  <c r="BM340" i="7"/>
  <c r="L340" i="7" s="1"/>
  <c r="P340" i="7" s="1"/>
  <c r="BM356" i="7"/>
  <c r="L356" i="7" s="1"/>
  <c r="P356" i="7" s="1"/>
  <c r="BM351" i="7"/>
  <c r="L351" i="7" s="1"/>
  <c r="P351" i="7" s="1"/>
  <c r="BM347" i="7"/>
  <c r="L347" i="7" s="1"/>
  <c r="P347" i="7" s="1"/>
  <c r="BM338" i="7"/>
  <c r="L338" i="7" s="1"/>
  <c r="P338" i="7" s="1"/>
  <c r="BM337" i="7"/>
  <c r="L337" i="7" s="1"/>
  <c r="P337" i="7" s="1"/>
  <c r="BM350" i="7"/>
  <c r="L350" i="7" s="1"/>
  <c r="P350" i="7" s="1"/>
  <c r="BM346" i="7"/>
  <c r="L346" i="7" s="1"/>
  <c r="P346" i="7" s="1"/>
  <c r="BM334" i="7"/>
  <c r="L334" i="7" s="1"/>
  <c r="P334" i="7" s="1"/>
  <c r="BM330" i="7"/>
  <c r="L330" i="7" s="1"/>
  <c r="P330" i="7" s="1"/>
  <c r="BM343" i="7"/>
  <c r="L343" i="7" s="1"/>
  <c r="P343" i="7" s="1"/>
  <c r="BM336" i="7"/>
  <c r="L336" i="7" s="1"/>
  <c r="P336" i="7" s="1"/>
  <c r="BM335" i="7"/>
  <c r="L335" i="7" s="1"/>
  <c r="P335" i="7" s="1"/>
  <c r="BM331" i="7"/>
  <c r="L331" i="7" s="1"/>
  <c r="P331" i="7" s="1"/>
  <c r="BM342" i="7"/>
  <c r="L342" i="7" s="1"/>
  <c r="P342" i="7" s="1"/>
  <c r="BM341" i="7"/>
  <c r="L341" i="7" s="1"/>
  <c r="P341" i="7" s="1"/>
  <c r="BM332" i="7"/>
  <c r="L332" i="7" s="1"/>
  <c r="P332" i="7" s="1"/>
  <c r="BM305" i="7"/>
  <c r="L305" i="7" s="1"/>
  <c r="P305" i="7" s="1"/>
  <c r="BM355" i="7"/>
  <c r="L355" i="7" s="1"/>
  <c r="P355" i="7" s="1"/>
  <c r="BM306" i="7"/>
  <c r="L306" i="7" s="1"/>
  <c r="P306" i="7" s="1"/>
  <c r="BM333" i="7"/>
  <c r="L333" i="7" s="1"/>
  <c r="P333" i="7" s="1"/>
  <c r="BM307" i="7"/>
  <c r="L307" i="7" s="1"/>
  <c r="P307" i="7" s="1"/>
  <c r="BM304" i="7"/>
  <c r="L304" i="7" s="1"/>
  <c r="P304" i="7" s="1"/>
  <c r="BM282" i="7"/>
  <c r="L282" i="7" s="1"/>
  <c r="P282" i="7" s="1"/>
  <c r="BM284" i="7"/>
  <c r="L284" i="7" s="1"/>
  <c r="P284" i="7" s="1"/>
  <c r="BM308" i="7"/>
  <c r="L308" i="7" s="1"/>
  <c r="P308" i="7" s="1"/>
  <c r="BM289" i="7"/>
  <c r="L289" i="7" s="1"/>
  <c r="P289" i="7" s="1"/>
  <c r="BM270" i="7"/>
  <c r="L270" i="7" s="1"/>
  <c r="P270" i="7" s="1"/>
  <c r="BM250" i="7"/>
  <c r="L250" i="7" s="1"/>
  <c r="P250" i="7" s="1"/>
  <c r="BM246" i="7"/>
  <c r="L246" i="7" s="1"/>
  <c r="P246" i="7" s="1"/>
  <c r="BM242" i="7"/>
  <c r="L242" i="7" s="1"/>
  <c r="P242" i="7" s="1"/>
  <c r="BM281" i="7"/>
  <c r="L281" i="7" s="1"/>
  <c r="P281" i="7" s="1"/>
  <c r="BM247" i="7"/>
  <c r="L247" i="7" s="1"/>
  <c r="P247" i="7" s="1"/>
  <c r="BM243" i="7"/>
  <c r="L243" i="7" s="1"/>
  <c r="P243" i="7" s="1"/>
  <c r="BM291" i="7"/>
  <c r="L291" i="7" s="1"/>
  <c r="P291" i="7" s="1"/>
  <c r="BM248" i="7"/>
  <c r="L248" i="7" s="1"/>
  <c r="P248" i="7" s="1"/>
  <c r="BM244" i="7"/>
  <c r="L244" i="7" s="1"/>
  <c r="P244" i="7" s="1"/>
  <c r="BM245" i="7"/>
  <c r="L245" i="7" s="1"/>
  <c r="P245" i="7" s="1"/>
  <c r="BM185" i="7"/>
  <c r="L185" i="7" s="1"/>
  <c r="P185" i="7" s="1"/>
  <c r="BM181" i="7"/>
  <c r="L181" i="7" s="1"/>
  <c r="P181" i="7" s="1"/>
  <c r="BM177" i="7"/>
  <c r="L177" i="7" s="1"/>
  <c r="P177" i="7" s="1"/>
  <c r="BM173" i="7"/>
  <c r="L173" i="7" s="1"/>
  <c r="P173" i="7" s="1"/>
  <c r="BM169" i="7"/>
  <c r="L169" i="7" s="1"/>
  <c r="P169" i="7" s="1"/>
  <c r="BM241" i="7"/>
  <c r="L241" i="7" s="1"/>
  <c r="P241" i="7" s="1"/>
  <c r="BM182" i="7"/>
  <c r="L182" i="7" s="1"/>
  <c r="P182" i="7" s="1"/>
  <c r="BM178" i="7"/>
  <c r="L178" i="7" s="1"/>
  <c r="P178" i="7" s="1"/>
  <c r="BM174" i="7"/>
  <c r="L174" i="7" s="1"/>
  <c r="P174" i="7" s="1"/>
  <c r="BM170" i="7"/>
  <c r="L170" i="7" s="1"/>
  <c r="P170" i="7" s="1"/>
  <c r="BM166" i="7"/>
  <c r="L166" i="7" s="1"/>
  <c r="P166" i="7" s="1"/>
  <c r="BM299" i="7"/>
  <c r="L299" i="7" s="1"/>
  <c r="P299" i="7" s="1"/>
  <c r="BM249" i="7"/>
  <c r="L249" i="7" s="1"/>
  <c r="P249" i="7" s="1"/>
  <c r="BM240" i="7"/>
  <c r="L240" i="7" s="1"/>
  <c r="P240" i="7" s="1"/>
  <c r="BM179" i="7"/>
  <c r="L179" i="7" s="1"/>
  <c r="P179" i="7" s="1"/>
  <c r="BM167" i="7"/>
  <c r="L167" i="7" s="1"/>
  <c r="P167" i="7" s="1"/>
  <c r="BM132" i="7"/>
  <c r="L132" i="7" s="1"/>
  <c r="P132" i="7" s="1"/>
  <c r="BM128" i="7"/>
  <c r="L128" i="7" s="1"/>
  <c r="P128" i="7" s="1"/>
  <c r="BM124" i="7"/>
  <c r="L124" i="7" s="1"/>
  <c r="P124" i="7" s="1"/>
  <c r="BM120" i="7"/>
  <c r="L120" i="7" s="1"/>
  <c r="P120" i="7" s="1"/>
  <c r="BM116" i="7"/>
  <c r="L116" i="7" s="1"/>
  <c r="P116" i="7" s="1"/>
  <c r="BM184" i="7"/>
  <c r="L184" i="7" s="1"/>
  <c r="P184" i="7" s="1"/>
  <c r="BM176" i="7"/>
  <c r="L176" i="7" s="1"/>
  <c r="P176" i="7" s="1"/>
  <c r="BM171" i="7"/>
  <c r="L171" i="7" s="1"/>
  <c r="P171" i="7" s="1"/>
  <c r="BM133" i="7"/>
  <c r="L133" i="7" s="1"/>
  <c r="P133" i="7" s="1"/>
  <c r="BM129" i="7"/>
  <c r="L129" i="7" s="1"/>
  <c r="P129" i="7" s="1"/>
  <c r="BM125" i="7"/>
  <c r="L125" i="7" s="1"/>
  <c r="P125" i="7" s="1"/>
  <c r="BM121" i="7"/>
  <c r="L121" i="7" s="1"/>
  <c r="P121" i="7" s="1"/>
  <c r="BM117" i="7"/>
  <c r="L117" i="7" s="1"/>
  <c r="P117" i="7" s="1"/>
  <c r="BM183" i="7"/>
  <c r="L183" i="7" s="1"/>
  <c r="P183" i="7" s="1"/>
  <c r="BM175" i="7"/>
  <c r="L175" i="7" s="1"/>
  <c r="P175" i="7" s="1"/>
  <c r="BM165" i="7"/>
  <c r="L165" i="7" s="1"/>
  <c r="P165" i="7" s="1"/>
  <c r="BM130" i="7"/>
  <c r="L130" i="7" s="1"/>
  <c r="P130" i="7" s="1"/>
  <c r="BM122" i="7"/>
  <c r="L122" i="7" s="1"/>
  <c r="P122" i="7" s="1"/>
  <c r="BM118" i="7"/>
  <c r="L118" i="7" s="1"/>
  <c r="P118" i="7" s="1"/>
  <c r="BM83" i="7"/>
  <c r="L83" i="7" s="1"/>
  <c r="P83" i="7" s="1"/>
  <c r="BM75" i="7"/>
  <c r="L75" i="7" s="1"/>
  <c r="P75" i="7" s="1"/>
  <c r="BM47" i="7"/>
  <c r="L47" i="7" s="1"/>
  <c r="P47" i="7" s="1"/>
  <c r="BM42" i="7"/>
  <c r="L42" i="7" s="1"/>
  <c r="P42" i="7" s="1"/>
  <c r="BM29" i="7"/>
  <c r="L29" i="7" s="1"/>
  <c r="P29" i="7" s="1"/>
  <c r="BM25" i="7"/>
  <c r="L25" i="7" s="1"/>
  <c r="P25" i="7" s="1"/>
  <c r="BM84" i="7"/>
  <c r="L84" i="7" s="1"/>
  <c r="P84" i="7" s="1"/>
  <c r="BM76" i="7"/>
  <c r="L76" i="7" s="1"/>
  <c r="P76" i="7" s="1"/>
  <c r="BM48" i="7"/>
  <c r="L48" i="7" s="1"/>
  <c r="P48" i="7" s="1"/>
  <c r="BM43" i="7"/>
  <c r="L43" i="7" s="1"/>
  <c r="P43" i="7" s="1"/>
  <c r="BM30" i="7"/>
  <c r="L30" i="7" s="1"/>
  <c r="P30" i="7" s="1"/>
  <c r="BM26" i="7"/>
  <c r="L26" i="7" s="1"/>
  <c r="P26" i="7" s="1"/>
  <c r="BM131" i="7"/>
  <c r="L131" i="7" s="1"/>
  <c r="P131" i="7" s="1"/>
  <c r="BM123" i="7"/>
  <c r="L123" i="7" s="1"/>
  <c r="P123" i="7" s="1"/>
  <c r="BM85" i="7"/>
  <c r="L85" i="7" s="1"/>
  <c r="P85" i="7" s="1"/>
  <c r="BM77" i="7"/>
  <c r="L77" i="7" s="1"/>
  <c r="P77" i="7" s="1"/>
  <c r="BM44" i="7"/>
  <c r="L44" i="7" s="1"/>
  <c r="P44" i="7" s="1"/>
  <c r="BM31" i="7"/>
  <c r="L31" i="7" s="1"/>
  <c r="P31" i="7" s="1"/>
  <c r="BM27" i="7"/>
  <c r="L27" i="7" s="1"/>
  <c r="P27" i="7" s="1"/>
  <c r="BM23" i="7"/>
  <c r="L23" i="7" s="1"/>
  <c r="P23" i="7" s="1"/>
  <c r="BM168" i="7"/>
  <c r="L168" i="7" s="1"/>
  <c r="P168" i="7" s="1"/>
  <c r="BM20" i="7"/>
  <c r="L20" i="7" s="1"/>
  <c r="P20" i="7" s="1"/>
  <c r="BM14" i="7"/>
  <c r="L14" i="7" s="1"/>
  <c r="P14" i="7" s="1"/>
  <c r="BM119" i="7"/>
  <c r="L119" i="7" s="1"/>
  <c r="P119" i="7" s="1"/>
  <c r="BM28" i="7"/>
  <c r="L28" i="7" s="1"/>
  <c r="P28" i="7" s="1"/>
  <c r="BM12" i="7"/>
  <c r="L12" i="7" s="1"/>
  <c r="P12" i="7" s="1"/>
  <c r="BM45" i="7"/>
  <c r="L45" i="7" s="1"/>
  <c r="P45" i="7" s="1"/>
  <c r="BM24" i="7"/>
  <c r="L24" i="7" s="1"/>
  <c r="P24" i="7" s="1"/>
  <c r="BM13" i="7"/>
  <c r="L13" i="7" s="1"/>
  <c r="P13" i="7" s="1"/>
  <c r="BM9" i="7"/>
  <c r="L9" i="7" s="1"/>
  <c r="BM41" i="7"/>
  <c r="L41" i="7" s="1"/>
  <c r="P41" i="7" s="1"/>
  <c r="BB391" i="7"/>
  <c r="BB389" i="7"/>
  <c r="BA391" i="7"/>
  <c r="BA389" i="7"/>
  <c r="AM9" i="7" l="1"/>
  <c r="AM378" i="7" s="1"/>
  <c r="AH378" i="7"/>
  <c r="AM10" i="7"/>
  <c r="AM377" i="7" s="1"/>
  <c r="AH377" i="7"/>
  <c r="Z378" i="7"/>
  <c r="AD9" i="7"/>
  <c r="AD378" i="7" s="1"/>
  <c r="Z377" i="7"/>
  <c r="AD10" i="7"/>
  <c r="AD377" i="7" s="1"/>
  <c r="P9" i="7"/>
  <c r="P378" i="7" s="1"/>
  <c r="L378" i="7"/>
  <c r="P10" i="7"/>
  <c r="P377" i="7" s="1"/>
  <c r="L377" i="7"/>
  <c r="D378" i="7"/>
  <c r="H9" i="7"/>
  <c r="H378" i="7" s="1"/>
  <c r="D377" i="7"/>
  <c r="H10" i="7"/>
  <c r="H377" i="7" s="1"/>
  <c r="BA397" i="7"/>
  <c r="BA394" i="7"/>
  <c r="BA369" i="7" s="1"/>
  <c r="BB397" i="7"/>
  <c r="BB394" i="7"/>
  <c r="BB369" i="7" s="1"/>
  <c r="BD397" i="7"/>
  <c r="BD394" i="7"/>
  <c r="BD369" i="7" s="1"/>
  <c r="BC397" i="7"/>
  <c r="BC394" i="7"/>
  <c r="BC369" i="7" s="1"/>
  <c r="BN321" i="7" l="1"/>
  <c r="Z321" i="7" s="1"/>
  <c r="BN319" i="7"/>
  <c r="Z319" i="7" s="1"/>
  <c r="BN317" i="7"/>
  <c r="Z317" i="7" s="1"/>
  <c r="BN320" i="7"/>
  <c r="Z320" i="7" s="1"/>
  <c r="BN318" i="7"/>
  <c r="Z318" i="7" s="1"/>
  <c r="BN279" i="7"/>
  <c r="Z279" i="7" s="1"/>
  <c r="BN274" i="7"/>
  <c r="Z274" i="7" s="1"/>
  <c r="BN273" i="7"/>
  <c r="Z273" i="7" s="1"/>
  <c r="BN272" i="7"/>
  <c r="Z272" i="7" s="1"/>
  <c r="BN271" i="7"/>
  <c r="Z271" i="7" s="1"/>
  <c r="BN269" i="7"/>
  <c r="Z269" i="7" s="1"/>
  <c r="BN276" i="7"/>
  <c r="Z276" i="7" s="1"/>
  <c r="BN275" i="7"/>
  <c r="Z275" i="7" s="1"/>
  <c r="BN251" i="7"/>
  <c r="Z251" i="7" s="1"/>
  <c r="BN253" i="7"/>
  <c r="Z253" i="7" s="1"/>
  <c r="BN252" i="7"/>
  <c r="Z252" i="7" s="1"/>
  <c r="BN277" i="7"/>
  <c r="Z277" i="7" s="1"/>
  <c r="BN210" i="7"/>
  <c r="Z210" i="7" s="1"/>
  <c r="BN209" i="7"/>
  <c r="Z209" i="7" s="1"/>
  <c r="BN208" i="7"/>
  <c r="Z208" i="7" s="1"/>
  <c r="BN206" i="7"/>
  <c r="Z206" i="7" s="1"/>
  <c r="BN205" i="7"/>
  <c r="Z205" i="7" s="1"/>
  <c r="BN204" i="7"/>
  <c r="Z204" i="7" s="1"/>
  <c r="BN203" i="7"/>
  <c r="Z203" i="7" s="1"/>
  <c r="BN202" i="7"/>
  <c r="Z202" i="7" s="1"/>
  <c r="BN211" i="7"/>
  <c r="Z211" i="7" s="1"/>
  <c r="BN187" i="7"/>
  <c r="Z187" i="7" s="1"/>
  <c r="BN216" i="7"/>
  <c r="Z216" i="7" s="1"/>
  <c r="BN215" i="7"/>
  <c r="Z215" i="7" s="1"/>
  <c r="BN214" i="7"/>
  <c r="Z214" i="7" s="1"/>
  <c r="BN213" i="7"/>
  <c r="Z213" i="7" s="1"/>
  <c r="BN212" i="7"/>
  <c r="Z212" i="7" s="1"/>
  <c r="BN188" i="7"/>
  <c r="Z188" i="7" s="1"/>
  <c r="BN159" i="7"/>
  <c r="Z159" i="7" s="1"/>
  <c r="BN145" i="7"/>
  <c r="Z145" i="7" s="1"/>
  <c r="BN135" i="7"/>
  <c r="Z135" i="7" s="1"/>
  <c r="BN96" i="7"/>
  <c r="Z96" i="7" s="1"/>
  <c r="BN95" i="7"/>
  <c r="Z95" i="7" s="1"/>
  <c r="BN94" i="7"/>
  <c r="Z94" i="7" s="1"/>
  <c r="BN93" i="7"/>
  <c r="Z93" i="7" s="1"/>
  <c r="BN92" i="7"/>
  <c r="Z92" i="7" s="1"/>
  <c r="BN91" i="7"/>
  <c r="Z91" i="7" s="1"/>
  <c r="BN90" i="7"/>
  <c r="Z90" i="7" s="1"/>
  <c r="BN200" i="7"/>
  <c r="Z200" i="7" s="1"/>
  <c r="BN161" i="7"/>
  <c r="Z161" i="7" s="1"/>
  <c r="BN160" i="7"/>
  <c r="Z160" i="7" s="1"/>
  <c r="BN154" i="7"/>
  <c r="Z154" i="7" s="1"/>
  <c r="BN153" i="7"/>
  <c r="Z153" i="7" s="1"/>
  <c r="BN152" i="7"/>
  <c r="Z152" i="7" s="1"/>
  <c r="BN151" i="7"/>
  <c r="Z151" i="7" s="1"/>
  <c r="BN150" i="7"/>
  <c r="Z150" i="7" s="1"/>
  <c r="BN149" i="7"/>
  <c r="Z149" i="7" s="1"/>
  <c r="BN148" i="7"/>
  <c r="Z148" i="7" s="1"/>
  <c r="BN147" i="7"/>
  <c r="Z147" i="7" s="1"/>
  <c r="BN126" i="7"/>
  <c r="Z126" i="7" s="1"/>
  <c r="BN155" i="7"/>
  <c r="Z155" i="7" s="1"/>
  <c r="BN127" i="7"/>
  <c r="Z127" i="7" s="1"/>
  <c r="BN197" i="7"/>
  <c r="Z197" i="7" s="1"/>
  <c r="BN80" i="7"/>
  <c r="Z80" i="7" s="1"/>
  <c r="BN67" i="7"/>
  <c r="Z67" i="7" s="1"/>
  <c r="BN65" i="7"/>
  <c r="Z65" i="7" s="1"/>
  <c r="BN51" i="7"/>
  <c r="Z51" i="7" s="1"/>
  <c r="BN50" i="7"/>
  <c r="Z50" i="7" s="1"/>
  <c r="BN49" i="7"/>
  <c r="Z49" i="7" s="1"/>
  <c r="BN198" i="7"/>
  <c r="Z198" i="7" s="1"/>
  <c r="BN86" i="7"/>
  <c r="Z86" i="7" s="1"/>
  <c r="BN81" i="7"/>
  <c r="Z81" i="7" s="1"/>
  <c r="BN68" i="7"/>
  <c r="Z68" i="7" s="1"/>
  <c r="BN66" i="7"/>
  <c r="Z66" i="7" s="1"/>
  <c r="BN88" i="7"/>
  <c r="Z88" i="7" s="1"/>
  <c r="BN87" i="7"/>
  <c r="Z87" i="7" s="1"/>
  <c r="BN82" i="7"/>
  <c r="Z82" i="7" s="1"/>
  <c r="BN78" i="7"/>
  <c r="Z78" i="7" s="1"/>
  <c r="BN74" i="7"/>
  <c r="Z74" i="7" s="1"/>
  <c r="BN73" i="7"/>
  <c r="Z73" i="7" s="1"/>
  <c r="BN72" i="7"/>
  <c r="Z72" i="7" s="1"/>
  <c r="BN71" i="7"/>
  <c r="Z71" i="7" s="1"/>
  <c r="BN70" i="7"/>
  <c r="Z70" i="7" s="1"/>
  <c r="BN69" i="7"/>
  <c r="Z69" i="7" s="1"/>
  <c r="BN158" i="7"/>
  <c r="Z158" i="7" s="1"/>
  <c r="BN16" i="7"/>
  <c r="Z16" i="7" s="1"/>
  <c r="BN157" i="7"/>
  <c r="Z157" i="7" s="1"/>
  <c r="BN15" i="7"/>
  <c r="Z15" i="7" s="1"/>
  <c r="BN89" i="7"/>
  <c r="Z89" i="7" s="1"/>
  <c r="BN17" i="7"/>
  <c r="Z17" i="7" s="1"/>
  <c r="BN156" i="7"/>
  <c r="Z156" i="7" s="1"/>
  <c r="BN79" i="7"/>
  <c r="Z79" i="7" s="1"/>
  <c r="BN18" i="7"/>
  <c r="Z18" i="7" s="1"/>
  <c r="BB370" i="7"/>
  <c r="BB372" i="7"/>
  <c r="BC370" i="7"/>
  <c r="BC372" i="7"/>
  <c r="BL321" i="7"/>
  <c r="D321" i="7" s="1"/>
  <c r="BL319" i="7"/>
  <c r="D319" i="7" s="1"/>
  <c r="BL317" i="7"/>
  <c r="D317" i="7" s="1"/>
  <c r="BL276" i="7"/>
  <c r="D276" i="7" s="1"/>
  <c r="BL275" i="7"/>
  <c r="D275" i="7" s="1"/>
  <c r="BL318" i="7"/>
  <c r="D318" i="7" s="1"/>
  <c r="BL277" i="7"/>
  <c r="D277" i="7" s="1"/>
  <c r="BL320" i="7"/>
  <c r="D320" i="7" s="1"/>
  <c r="BL279" i="7"/>
  <c r="D279" i="7" s="1"/>
  <c r="BL274" i="7"/>
  <c r="D274" i="7" s="1"/>
  <c r="BL272" i="7"/>
  <c r="D272" i="7" s="1"/>
  <c r="BL269" i="7"/>
  <c r="D269" i="7" s="1"/>
  <c r="BL251" i="7"/>
  <c r="D251" i="7" s="1"/>
  <c r="BL252" i="7"/>
  <c r="D252" i="7" s="1"/>
  <c r="BL216" i="7"/>
  <c r="D216" i="7" s="1"/>
  <c r="BL215" i="7"/>
  <c r="D215" i="7" s="1"/>
  <c r="BL214" i="7"/>
  <c r="D214" i="7" s="1"/>
  <c r="BL213" i="7"/>
  <c r="D213" i="7" s="1"/>
  <c r="BL212" i="7"/>
  <c r="D212" i="7" s="1"/>
  <c r="BL188" i="7"/>
  <c r="D188" i="7" s="1"/>
  <c r="BL200" i="7"/>
  <c r="D200" i="7" s="1"/>
  <c r="BL198" i="7"/>
  <c r="D198" i="7" s="1"/>
  <c r="BL197" i="7"/>
  <c r="D197" i="7" s="1"/>
  <c r="BL273" i="7"/>
  <c r="D273" i="7" s="1"/>
  <c r="BL271" i="7"/>
  <c r="D271" i="7" s="1"/>
  <c r="BL253" i="7"/>
  <c r="D253" i="7" s="1"/>
  <c r="BL210" i="7"/>
  <c r="D210" i="7" s="1"/>
  <c r="BL209" i="7"/>
  <c r="D209" i="7" s="1"/>
  <c r="BL208" i="7"/>
  <c r="D208" i="7" s="1"/>
  <c r="BL206" i="7"/>
  <c r="D206" i="7" s="1"/>
  <c r="BL205" i="7"/>
  <c r="D205" i="7" s="1"/>
  <c r="BL204" i="7"/>
  <c r="D204" i="7" s="1"/>
  <c r="BL203" i="7"/>
  <c r="D203" i="7" s="1"/>
  <c r="BL202" i="7"/>
  <c r="D202" i="7" s="1"/>
  <c r="BL211" i="7"/>
  <c r="D211" i="7" s="1"/>
  <c r="BL155" i="7"/>
  <c r="D155" i="7" s="1"/>
  <c r="BL127" i="7"/>
  <c r="D127" i="7" s="1"/>
  <c r="BL158" i="7"/>
  <c r="D158" i="7" s="1"/>
  <c r="BL157" i="7"/>
  <c r="D157" i="7" s="1"/>
  <c r="BL156" i="7"/>
  <c r="D156" i="7" s="1"/>
  <c r="BL187" i="7"/>
  <c r="D187" i="7" s="1"/>
  <c r="BL159" i="7"/>
  <c r="D159" i="7" s="1"/>
  <c r="BL145" i="7"/>
  <c r="D145" i="7" s="1"/>
  <c r="BL135" i="7"/>
  <c r="D135" i="7" s="1"/>
  <c r="BL160" i="7"/>
  <c r="D160" i="7" s="1"/>
  <c r="BL93" i="7"/>
  <c r="D93" i="7" s="1"/>
  <c r="BL88" i="7"/>
  <c r="D88" i="7" s="1"/>
  <c r="BL87" i="7"/>
  <c r="D87" i="7" s="1"/>
  <c r="BL82" i="7"/>
  <c r="D82" i="7" s="1"/>
  <c r="BL78" i="7"/>
  <c r="D78" i="7" s="1"/>
  <c r="BL74" i="7"/>
  <c r="D74" i="7" s="1"/>
  <c r="BL73" i="7"/>
  <c r="D73" i="7" s="1"/>
  <c r="BL72" i="7"/>
  <c r="D72" i="7" s="1"/>
  <c r="BL71" i="7"/>
  <c r="D71" i="7" s="1"/>
  <c r="BL70" i="7"/>
  <c r="D70" i="7" s="1"/>
  <c r="BL69" i="7"/>
  <c r="D69" i="7" s="1"/>
  <c r="BL153" i="7"/>
  <c r="D153" i="7" s="1"/>
  <c r="BL151" i="7"/>
  <c r="D151" i="7" s="1"/>
  <c r="BL149" i="7"/>
  <c r="D149" i="7" s="1"/>
  <c r="BL147" i="7"/>
  <c r="D147" i="7" s="1"/>
  <c r="BL96" i="7"/>
  <c r="D96" i="7" s="1"/>
  <c r="BL92" i="7"/>
  <c r="D92" i="7" s="1"/>
  <c r="BL89" i="7"/>
  <c r="D89" i="7" s="1"/>
  <c r="BL79" i="7"/>
  <c r="D79" i="7" s="1"/>
  <c r="BL161" i="7"/>
  <c r="D161" i="7" s="1"/>
  <c r="BL95" i="7"/>
  <c r="D95" i="7" s="1"/>
  <c r="BL80" i="7"/>
  <c r="D80" i="7" s="1"/>
  <c r="BL67" i="7"/>
  <c r="D67" i="7" s="1"/>
  <c r="BL65" i="7"/>
  <c r="D65" i="7" s="1"/>
  <c r="BL51" i="7"/>
  <c r="D51" i="7" s="1"/>
  <c r="BL50" i="7"/>
  <c r="D50" i="7" s="1"/>
  <c r="BL49" i="7"/>
  <c r="D49" i="7" s="1"/>
  <c r="BL94" i="7"/>
  <c r="D94" i="7" s="1"/>
  <c r="BL90" i="7"/>
  <c r="D90" i="7" s="1"/>
  <c r="BL86" i="7"/>
  <c r="D86" i="7" s="1"/>
  <c r="BL81" i="7"/>
  <c r="D81" i="7" s="1"/>
  <c r="BL18" i="7"/>
  <c r="D18" i="7" s="1"/>
  <c r="BL126" i="7"/>
  <c r="D126" i="7" s="1"/>
  <c r="BL66" i="7"/>
  <c r="D66" i="7" s="1"/>
  <c r="BL154" i="7"/>
  <c r="D154" i="7" s="1"/>
  <c r="BL152" i="7"/>
  <c r="D152" i="7" s="1"/>
  <c r="BL150" i="7"/>
  <c r="D150" i="7" s="1"/>
  <c r="BL148" i="7"/>
  <c r="D148" i="7" s="1"/>
  <c r="BL68" i="7"/>
  <c r="D68" i="7" s="1"/>
  <c r="BL15" i="7"/>
  <c r="D15" i="7" s="1"/>
  <c r="BL16" i="7"/>
  <c r="D16" i="7" s="1"/>
  <c r="BL91" i="7"/>
  <c r="D91" i="7" s="1"/>
  <c r="BL17" i="7"/>
  <c r="D17" i="7" s="1"/>
  <c r="BD370" i="7"/>
  <c r="BD372" i="7"/>
  <c r="BM321" i="7"/>
  <c r="L321" i="7" s="1"/>
  <c r="BM320" i="7"/>
  <c r="L320" i="7" s="1"/>
  <c r="BM319" i="7"/>
  <c r="L319" i="7" s="1"/>
  <c r="BM318" i="7"/>
  <c r="L318" i="7" s="1"/>
  <c r="BM317" i="7"/>
  <c r="L317" i="7" s="1"/>
  <c r="BM277" i="7"/>
  <c r="L277" i="7" s="1"/>
  <c r="BM279" i="7"/>
  <c r="L279" i="7" s="1"/>
  <c r="BM274" i="7"/>
  <c r="L274" i="7" s="1"/>
  <c r="BM273" i="7"/>
  <c r="L273" i="7" s="1"/>
  <c r="BM272" i="7"/>
  <c r="L272" i="7" s="1"/>
  <c r="BM271" i="7"/>
  <c r="L271" i="7" s="1"/>
  <c r="BM269" i="7"/>
  <c r="L269" i="7" s="1"/>
  <c r="BM276" i="7"/>
  <c r="L276" i="7" s="1"/>
  <c r="BM251" i="7"/>
  <c r="L251" i="7" s="1"/>
  <c r="BM253" i="7"/>
  <c r="L253" i="7" s="1"/>
  <c r="BM252" i="7"/>
  <c r="L252" i="7" s="1"/>
  <c r="BM200" i="7"/>
  <c r="L200" i="7" s="1"/>
  <c r="BM198" i="7"/>
  <c r="L198" i="7" s="1"/>
  <c r="BM197" i="7"/>
  <c r="L197" i="7" s="1"/>
  <c r="BM210" i="7"/>
  <c r="L210" i="7" s="1"/>
  <c r="BM209" i="7"/>
  <c r="L209" i="7" s="1"/>
  <c r="BM208" i="7"/>
  <c r="L208" i="7" s="1"/>
  <c r="BM206" i="7"/>
  <c r="L206" i="7" s="1"/>
  <c r="BM205" i="7"/>
  <c r="L205" i="7" s="1"/>
  <c r="BM204" i="7"/>
  <c r="L204" i="7" s="1"/>
  <c r="BM203" i="7"/>
  <c r="L203" i="7" s="1"/>
  <c r="BM202" i="7"/>
  <c r="L202" i="7" s="1"/>
  <c r="BM275" i="7"/>
  <c r="L275" i="7" s="1"/>
  <c r="BM211" i="7"/>
  <c r="L211" i="7" s="1"/>
  <c r="BM187" i="7"/>
  <c r="L187" i="7" s="1"/>
  <c r="BM214" i="7"/>
  <c r="L214" i="7" s="1"/>
  <c r="BM158" i="7"/>
  <c r="L158" i="7" s="1"/>
  <c r="BM157" i="7"/>
  <c r="L157" i="7" s="1"/>
  <c r="BM156" i="7"/>
  <c r="L156" i="7" s="1"/>
  <c r="BM215" i="7"/>
  <c r="L215" i="7" s="1"/>
  <c r="BM188" i="7"/>
  <c r="L188" i="7" s="1"/>
  <c r="BM159" i="7"/>
  <c r="L159" i="7" s="1"/>
  <c r="BM145" i="7"/>
  <c r="L145" i="7" s="1"/>
  <c r="BM135" i="7"/>
  <c r="L135" i="7" s="1"/>
  <c r="BM96" i="7"/>
  <c r="L96" i="7" s="1"/>
  <c r="BM95" i="7"/>
  <c r="L95" i="7" s="1"/>
  <c r="BM94" i="7"/>
  <c r="L94" i="7" s="1"/>
  <c r="BM93" i="7"/>
  <c r="L93" i="7" s="1"/>
  <c r="BM92" i="7"/>
  <c r="L92" i="7" s="1"/>
  <c r="BM216" i="7"/>
  <c r="L216" i="7" s="1"/>
  <c r="BM212" i="7"/>
  <c r="L212" i="7" s="1"/>
  <c r="BM161" i="7"/>
  <c r="L161" i="7" s="1"/>
  <c r="BM160" i="7"/>
  <c r="L160" i="7" s="1"/>
  <c r="BM154" i="7"/>
  <c r="L154" i="7" s="1"/>
  <c r="BM153" i="7"/>
  <c r="L153" i="7" s="1"/>
  <c r="BM152" i="7"/>
  <c r="L152" i="7" s="1"/>
  <c r="BM151" i="7"/>
  <c r="L151" i="7" s="1"/>
  <c r="BM150" i="7"/>
  <c r="L150" i="7" s="1"/>
  <c r="BM149" i="7"/>
  <c r="L149" i="7" s="1"/>
  <c r="BM148" i="7"/>
  <c r="L148" i="7" s="1"/>
  <c r="BM147" i="7"/>
  <c r="L147" i="7" s="1"/>
  <c r="BM126" i="7"/>
  <c r="L126" i="7" s="1"/>
  <c r="BM89" i="7"/>
  <c r="L89" i="7" s="1"/>
  <c r="BM79" i="7"/>
  <c r="L79" i="7" s="1"/>
  <c r="BM18" i="7"/>
  <c r="L18" i="7" s="1"/>
  <c r="BM155" i="7"/>
  <c r="L155" i="7" s="1"/>
  <c r="BM80" i="7"/>
  <c r="L80" i="7" s="1"/>
  <c r="BM67" i="7"/>
  <c r="L67" i="7" s="1"/>
  <c r="BM65" i="7"/>
  <c r="L65" i="7" s="1"/>
  <c r="BM51" i="7"/>
  <c r="L51" i="7" s="1"/>
  <c r="BM50" i="7"/>
  <c r="L50" i="7" s="1"/>
  <c r="BM49" i="7"/>
  <c r="L49" i="7" s="1"/>
  <c r="BM213" i="7"/>
  <c r="L213" i="7" s="1"/>
  <c r="BM127" i="7"/>
  <c r="L127" i="7" s="1"/>
  <c r="BM91" i="7"/>
  <c r="L91" i="7" s="1"/>
  <c r="BM90" i="7"/>
  <c r="L90" i="7" s="1"/>
  <c r="BM86" i="7"/>
  <c r="L86" i="7" s="1"/>
  <c r="BM81" i="7"/>
  <c r="L81" i="7" s="1"/>
  <c r="BM68" i="7"/>
  <c r="L68" i="7" s="1"/>
  <c r="BM66" i="7"/>
  <c r="L66" i="7" s="1"/>
  <c r="BM78" i="7"/>
  <c r="L78" i="7" s="1"/>
  <c r="BM74" i="7"/>
  <c r="L74" i="7" s="1"/>
  <c r="BM70" i="7"/>
  <c r="L70" i="7" s="1"/>
  <c r="BM15" i="7"/>
  <c r="L15" i="7" s="1"/>
  <c r="BM71" i="7"/>
  <c r="L71" i="7" s="1"/>
  <c r="BM16" i="7"/>
  <c r="L16" i="7" s="1"/>
  <c r="BM73" i="7"/>
  <c r="L73" i="7" s="1"/>
  <c r="BM87" i="7"/>
  <c r="L87" i="7" s="1"/>
  <c r="BM82" i="7"/>
  <c r="L82" i="7" s="1"/>
  <c r="BM72" i="7"/>
  <c r="L72" i="7" s="1"/>
  <c r="BM17" i="7"/>
  <c r="L17" i="7" s="1"/>
  <c r="BM88" i="7"/>
  <c r="L88" i="7" s="1"/>
  <c r="BM69" i="7"/>
  <c r="L69" i="7" s="1"/>
  <c r="BO321" i="7"/>
  <c r="AH321" i="7" s="1"/>
  <c r="BO320" i="7"/>
  <c r="AH320" i="7" s="1"/>
  <c r="BO319" i="7"/>
  <c r="AH319" i="7" s="1"/>
  <c r="BO318" i="7"/>
  <c r="AH318" i="7" s="1"/>
  <c r="BO317" i="7"/>
  <c r="AH317" i="7" s="1"/>
  <c r="BO279" i="7"/>
  <c r="AH279" i="7" s="1"/>
  <c r="BO274" i="7"/>
  <c r="AH274" i="7" s="1"/>
  <c r="BO273" i="7"/>
  <c r="AH273" i="7" s="1"/>
  <c r="BO272" i="7"/>
  <c r="AH272" i="7" s="1"/>
  <c r="BO271" i="7"/>
  <c r="AH271" i="7" s="1"/>
  <c r="BO269" i="7"/>
  <c r="AH269" i="7" s="1"/>
  <c r="BO276" i="7"/>
  <c r="AH276" i="7" s="1"/>
  <c r="BO275" i="7"/>
  <c r="AH275" i="7" s="1"/>
  <c r="BO277" i="7"/>
  <c r="AH277" i="7" s="1"/>
  <c r="BO253" i="7"/>
  <c r="AH253" i="7" s="1"/>
  <c r="BO252" i="7"/>
  <c r="AH252" i="7" s="1"/>
  <c r="BO211" i="7"/>
  <c r="AH211" i="7" s="1"/>
  <c r="BO187" i="7"/>
  <c r="AH187" i="7" s="1"/>
  <c r="BO216" i="7"/>
  <c r="AH216" i="7" s="1"/>
  <c r="BO215" i="7"/>
  <c r="AH215" i="7" s="1"/>
  <c r="BO214" i="7"/>
  <c r="AH214" i="7" s="1"/>
  <c r="BO213" i="7"/>
  <c r="AH213" i="7" s="1"/>
  <c r="BO212" i="7"/>
  <c r="AH212" i="7" s="1"/>
  <c r="BO188" i="7"/>
  <c r="AH188" i="7" s="1"/>
  <c r="BO200" i="7"/>
  <c r="AH200" i="7" s="1"/>
  <c r="BO198" i="7"/>
  <c r="AH198" i="7" s="1"/>
  <c r="BO197" i="7"/>
  <c r="AH197" i="7" s="1"/>
  <c r="BO251" i="7"/>
  <c r="AH251" i="7" s="1"/>
  <c r="BO203" i="7"/>
  <c r="AH203" i="7" s="1"/>
  <c r="BO161" i="7"/>
  <c r="AH161" i="7" s="1"/>
  <c r="BO160" i="7"/>
  <c r="AH160" i="7" s="1"/>
  <c r="BO154" i="7"/>
  <c r="AH154" i="7" s="1"/>
  <c r="BO153" i="7"/>
  <c r="AH153" i="7" s="1"/>
  <c r="BO152" i="7"/>
  <c r="AH152" i="7" s="1"/>
  <c r="BO151" i="7"/>
  <c r="AH151" i="7" s="1"/>
  <c r="BO150" i="7"/>
  <c r="AH150" i="7" s="1"/>
  <c r="BO149" i="7"/>
  <c r="AH149" i="7" s="1"/>
  <c r="BO148" i="7"/>
  <c r="AH148" i="7" s="1"/>
  <c r="BO147" i="7"/>
  <c r="AH147" i="7" s="1"/>
  <c r="BO126" i="7"/>
  <c r="AH126" i="7" s="1"/>
  <c r="BO208" i="7"/>
  <c r="AH208" i="7" s="1"/>
  <c r="BO204" i="7"/>
  <c r="AH204" i="7" s="1"/>
  <c r="BO155" i="7"/>
  <c r="AH155" i="7" s="1"/>
  <c r="BO127" i="7"/>
  <c r="AH127" i="7" s="1"/>
  <c r="BO209" i="7"/>
  <c r="AH209" i="7" s="1"/>
  <c r="BO205" i="7"/>
  <c r="AH205" i="7" s="1"/>
  <c r="BO158" i="7"/>
  <c r="AH158" i="7" s="1"/>
  <c r="BO157" i="7"/>
  <c r="AH157" i="7" s="1"/>
  <c r="BO156" i="7"/>
  <c r="AH156" i="7" s="1"/>
  <c r="BO96" i="7"/>
  <c r="AH96" i="7" s="1"/>
  <c r="BO92" i="7"/>
  <c r="AH92" i="7" s="1"/>
  <c r="BO86" i="7"/>
  <c r="AH86" i="7" s="1"/>
  <c r="BO81" i="7"/>
  <c r="AH81" i="7" s="1"/>
  <c r="BO68" i="7"/>
  <c r="AH68" i="7" s="1"/>
  <c r="BO66" i="7"/>
  <c r="AH66" i="7" s="1"/>
  <c r="BO95" i="7"/>
  <c r="AH95" i="7" s="1"/>
  <c r="BO91" i="7"/>
  <c r="AH91" i="7" s="1"/>
  <c r="BO90" i="7"/>
  <c r="AH90" i="7" s="1"/>
  <c r="BO88" i="7"/>
  <c r="AH88" i="7" s="1"/>
  <c r="BO87" i="7"/>
  <c r="AH87" i="7" s="1"/>
  <c r="BO82" i="7"/>
  <c r="AH82" i="7" s="1"/>
  <c r="BO78" i="7"/>
  <c r="AH78" i="7" s="1"/>
  <c r="BO74" i="7"/>
  <c r="AH74" i="7" s="1"/>
  <c r="BO73" i="7"/>
  <c r="AH73" i="7" s="1"/>
  <c r="BO72" i="7"/>
  <c r="AH72" i="7" s="1"/>
  <c r="BO71" i="7"/>
  <c r="AH71" i="7" s="1"/>
  <c r="BO70" i="7"/>
  <c r="AH70" i="7" s="1"/>
  <c r="BO69" i="7"/>
  <c r="AH69" i="7" s="1"/>
  <c r="BO202" i="7"/>
  <c r="AH202" i="7" s="1"/>
  <c r="BO135" i="7"/>
  <c r="AH135" i="7" s="1"/>
  <c r="BO94" i="7"/>
  <c r="AH94" i="7" s="1"/>
  <c r="BO89" i="7"/>
  <c r="AH89" i="7" s="1"/>
  <c r="BO79" i="7"/>
  <c r="AH79" i="7" s="1"/>
  <c r="BO210" i="7"/>
  <c r="AH210" i="7" s="1"/>
  <c r="BO145" i="7"/>
  <c r="AH145" i="7" s="1"/>
  <c r="BO67" i="7"/>
  <c r="AH67" i="7" s="1"/>
  <c r="BO50" i="7"/>
  <c r="AH50" i="7" s="1"/>
  <c r="BO17" i="7"/>
  <c r="AH17" i="7" s="1"/>
  <c r="BO93" i="7"/>
  <c r="AH93" i="7" s="1"/>
  <c r="BO49" i="7"/>
  <c r="AH49" i="7" s="1"/>
  <c r="BO159" i="7"/>
  <c r="AH159" i="7" s="1"/>
  <c r="BO51" i="7"/>
  <c r="AH51" i="7" s="1"/>
  <c r="BO206" i="7"/>
  <c r="AH206" i="7" s="1"/>
  <c r="BO16" i="7"/>
  <c r="AH16" i="7" s="1"/>
  <c r="BO80" i="7"/>
  <c r="AH80" i="7" s="1"/>
  <c r="BO65" i="7"/>
  <c r="AH65" i="7" s="1"/>
  <c r="BO18" i="7"/>
  <c r="AH18" i="7" s="1"/>
  <c r="BO15" i="7"/>
  <c r="AH15" i="7" s="1"/>
  <c r="BA374" i="7"/>
  <c r="BA375" i="7" s="1"/>
  <c r="BA370" i="7"/>
  <c r="BA372" i="7"/>
  <c r="AI51" i="7" l="1"/>
  <c r="AM51" i="7"/>
  <c r="AM17" i="7"/>
  <c r="AI17" i="7"/>
  <c r="AM210" i="7"/>
  <c r="AI210" i="7"/>
  <c r="AM135" i="7"/>
  <c r="AI135" i="7"/>
  <c r="AI71" i="7"/>
  <c r="AM71" i="7"/>
  <c r="AI78" i="7"/>
  <c r="AM78" i="7"/>
  <c r="AM90" i="7"/>
  <c r="AI90" i="7"/>
  <c r="AI68" i="7"/>
  <c r="AM68" i="7"/>
  <c r="AI96" i="7"/>
  <c r="AM96" i="7"/>
  <c r="AM205" i="7"/>
  <c r="AI205" i="7"/>
  <c r="AM204" i="7"/>
  <c r="AI204" i="7"/>
  <c r="AM148" i="7"/>
  <c r="AI148" i="7"/>
  <c r="AM152" i="7"/>
  <c r="AI152" i="7"/>
  <c r="AM161" i="7"/>
  <c r="AI161" i="7"/>
  <c r="AM198" i="7"/>
  <c r="AI198" i="7"/>
  <c r="AM213" i="7"/>
  <c r="AI213" i="7"/>
  <c r="AM187" i="7"/>
  <c r="AI187" i="7"/>
  <c r="AI277" i="7"/>
  <c r="AM277" i="7"/>
  <c r="AM271" i="7"/>
  <c r="AI271" i="7"/>
  <c r="AI279" i="7"/>
  <c r="AM279" i="7"/>
  <c r="AI320" i="7"/>
  <c r="AM320" i="7"/>
  <c r="AM65" i="7"/>
  <c r="AI65" i="7"/>
  <c r="AI80" i="7"/>
  <c r="AM80" i="7"/>
  <c r="AM159" i="7"/>
  <c r="AI159" i="7"/>
  <c r="AM50" i="7"/>
  <c r="AI50" i="7"/>
  <c r="AI79" i="7"/>
  <c r="AM79" i="7"/>
  <c r="AM202" i="7"/>
  <c r="AI202" i="7"/>
  <c r="AI72" i="7"/>
  <c r="AM72" i="7"/>
  <c r="AM82" i="7"/>
  <c r="AI82" i="7"/>
  <c r="AM91" i="7"/>
  <c r="AI91" i="7"/>
  <c r="AI81" i="7"/>
  <c r="AM81" i="7"/>
  <c r="AM156" i="7"/>
  <c r="AI156" i="7"/>
  <c r="AM209" i="7"/>
  <c r="AI209" i="7"/>
  <c r="AM208" i="7"/>
  <c r="AI208" i="7"/>
  <c r="AM149" i="7"/>
  <c r="AI149" i="7"/>
  <c r="AM153" i="7"/>
  <c r="AI153" i="7"/>
  <c r="AM203" i="7"/>
  <c r="AI203" i="7"/>
  <c r="AM200" i="7"/>
  <c r="AI200" i="7"/>
  <c r="AM214" i="7"/>
  <c r="AI214" i="7"/>
  <c r="AM211" i="7"/>
  <c r="AI211" i="7"/>
  <c r="AI275" i="7"/>
  <c r="AM275" i="7"/>
  <c r="AM272" i="7"/>
  <c r="AI272" i="7"/>
  <c r="AI317" i="7"/>
  <c r="AM317" i="7"/>
  <c r="AM321" i="7"/>
  <c r="AI321" i="7"/>
  <c r="AM15" i="7"/>
  <c r="AH368" i="7"/>
  <c r="AH376" i="7"/>
  <c r="AH379" i="7" s="1"/>
  <c r="AI15" i="7"/>
  <c r="AM16" i="7"/>
  <c r="AI16" i="7"/>
  <c r="AM49" i="7"/>
  <c r="AI49" i="7"/>
  <c r="AI67" i="7"/>
  <c r="AM67" i="7"/>
  <c r="AI89" i="7"/>
  <c r="AM89" i="7"/>
  <c r="AI69" i="7"/>
  <c r="AM69" i="7"/>
  <c r="AI73" i="7"/>
  <c r="AM73" i="7"/>
  <c r="AM87" i="7"/>
  <c r="AI87" i="7"/>
  <c r="AM95" i="7"/>
  <c r="AI95" i="7"/>
  <c r="AM86" i="7"/>
  <c r="AI86" i="7"/>
  <c r="AM157" i="7"/>
  <c r="AI157" i="7"/>
  <c r="AI127" i="7"/>
  <c r="AM127" i="7"/>
  <c r="AM126" i="7"/>
  <c r="AI126" i="7"/>
  <c r="AM150" i="7"/>
  <c r="AI150" i="7"/>
  <c r="AM154" i="7"/>
  <c r="AI154" i="7"/>
  <c r="AM251" i="7"/>
  <c r="AI251" i="7"/>
  <c r="AM188" i="7"/>
  <c r="AI188" i="7"/>
  <c r="AM215" i="7"/>
  <c r="AI215" i="7"/>
  <c r="AI252" i="7"/>
  <c r="AM252" i="7"/>
  <c r="AM276" i="7"/>
  <c r="AI276" i="7"/>
  <c r="AI273" i="7"/>
  <c r="AM273" i="7"/>
  <c r="AI318" i="7"/>
  <c r="AM318" i="7"/>
  <c r="AI366" i="7"/>
  <c r="AI355" i="7"/>
  <c r="AI343" i="7"/>
  <c r="AI334" i="7"/>
  <c r="AI313" i="7"/>
  <c r="AI310" i="7"/>
  <c r="AI267" i="7"/>
  <c r="AI255" i="7"/>
  <c r="AI243" i="7"/>
  <c r="AI236" i="7"/>
  <c r="AI235" i="7"/>
  <c r="AI118" i="7"/>
  <c r="AI108" i="7"/>
  <c r="AI104" i="7"/>
  <c r="AI100" i="7"/>
  <c r="AI84" i="7"/>
  <c r="AI77" i="7"/>
  <c r="AI75" i="7"/>
  <c r="AI61" i="7"/>
  <c r="AI57" i="7"/>
  <c r="AI367" i="7"/>
  <c r="AI363" i="7"/>
  <c r="AI357" i="7"/>
  <c r="AI351" i="7"/>
  <c r="AI337" i="7"/>
  <c r="AI335" i="7"/>
  <c r="AI314" i="7"/>
  <c r="AI305" i="7"/>
  <c r="AI303" i="7"/>
  <c r="AI301" i="7"/>
  <c r="AI299" i="7"/>
  <c r="AI263" i="7"/>
  <c r="AI260" i="7"/>
  <c r="AI246" i="7"/>
  <c r="AI240" i="7"/>
  <c r="AI232" i="7"/>
  <c r="AI130" i="7"/>
  <c r="AI114" i="7"/>
  <c r="AI109" i="7"/>
  <c r="AI105" i="7"/>
  <c r="AI101" i="7"/>
  <c r="AI97" i="7"/>
  <c r="AI85" i="7"/>
  <c r="AI62" i="7"/>
  <c r="AI58" i="7"/>
  <c r="AI364" i="7"/>
  <c r="AI362" i="7"/>
  <c r="AI342" i="7"/>
  <c r="AI339" i="7"/>
  <c r="AI332" i="7"/>
  <c r="AI268" i="7"/>
  <c r="AI237" i="7"/>
  <c r="AI233" i="7"/>
  <c r="AI110" i="7"/>
  <c r="AI106" i="7"/>
  <c r="AI102" i="7"/>
  <c r="AI98" i="7"/>
  <c r="AI76" i="7"/>
  <c r="AI63" i="7"/>
  <c r="AI59" i="7"/>
  <c r="AI365" i="7"/>
  <c r="AI358" i="7"/>
  <c r="AI350" i="7"/>
  <c r="AI347" i="7"/>
  <c r="AI333" i="7"/>
  <c r="AI309" i="7"/>
  <c r="AI306" i="7"/>
  <c r="AI304" i="7"/>
  <c r="AI302" i="7"/>
  <c r="AI300" i="7"/>
  <c r="AI259" i="7"/>
  <c r="AI242" i="7"/>
  <c r="AI241" i="7"/>
  <c r="AI234" i="7"/>
  <c r="AI122" i="7"/>
  <c r="AI107" i="7"/>
  <c r="AI103" i="7"/>
  <c r="AI99" i="7"/>
  <c r="AI83" i="7"/>
  <c r="AI64" i="7"/>
  <c r="AI60" i="7"/>
  <c r="AI56" i="7"/>
  <c r="AI55" i="7"/>
  <c r="AI47" i="7"/>
  <c r="AI52" i="7"/>
  <c r="AI48" i="7"/>
  <c r="AI54" i="7"/>
  <c r="AI53" i="7"/>
  <c r="AI46" i="7"/>
  <c r="AI116" i="7"/>
  <c r="AI131" i="7"/>
  <c r="AI185" i="7"/>
  <c r="AI238" i="7"/>
  <c r="AI281" i="7"/>
  <c r="AI134" i="7"/>
  <c r="AI136" i="7"/>
  <c r="AI139" i="7"/>
  <c r="AI142" i="7"/>
  <c r="AI144" i="7"/>
  <c r="AI163" i="7"/>
  <c r="AI166" i="7"/>
  <c r="AI168" i="7"/>
  <c r="AI171" i="7"/>
  <c r="AI289" i="7"/>
  <c r="AI9" i="7"/>
  <c r="AI12" i="7"/>
  <c r="AI22" i="7"/>
  <c r="AI26" i="7"/>
  <c r="AI30" i="7"/>
  <c r="AI34" i="7"/>
  <c r="AI38" i="7"/>
  <c r="AI42" i="7"/>
  <c r="AI117" i="7"/>
  <c r="AI129" i="7"/>
  <c r="AI184" i="7"/>
  <c r="AI190" i="7"/>
  <c r="AI119" i="7"/>
  <c r="AI112" i="7"/>
  <c r="AI120" i="7"/>
  <c r="AI124" i="7"/>
  <c r="AI123" i="7"/>
  <c r="AI174" i="7"/>
  <c r="AI297" i="7"/>
  <c r="AI283" i="7"/>
  <c r="AI239" i="7"/>
  <c r="AI132" i="7"/>
  <c r="AI143" i="7"/>
  <c r="AI164" i="7"/>
  <c r="AI182" i="7"/>
  <c r="AI264" i="7"/>
  <c r="AI311" i="7"/>
  <c r="AI261" i="7"/>
  <c r="AI10" i="7"/>
  <c r="AI19" i="7"/>
  <c r="AI24" i="7"/>
  <c r="AI29" i="7"/>
  <c r="AI35" i="7"/>
  <c r="AI40" i="7"/>
  <c r="AI45" i="7"/>
  <c r="AI113" i="7"/>
  <c r="AI293" i="7"/>
  <c r="AI176" i="7"/>
  <c r="AI192" i="7"/>
  <c r="AI196" i="7"/>
  <c r="AI128" i="7"/>
  <c r="AI291" i="7"/>
  <c r="AI178" i="7"/>
  <c r="AI133" i="7"/>
  <c r="AI137" i="7"/>
  <c r="AI140" i="7"/>
  <c r="AI162" i="7"/>
  <c r="AI165" i="7"/>
  <c r="AI169" i="7"/>
  <c r="AI172" i="7"/>
  <c r="AI247" i="7"/>
  <c r="AI295" i="7"/>
  <c r="AI248" i="7"/>
  <c r="AI11" i="7"/>
  <c r="AI20" i="7"/>
  <c r="AI25" i="7"/>
  <c r="AI31" i="7"/>
  <c r="AI36" i="7"/>
  <c r="AI41" i="7"/>
  <c r="AI326" i="7"/>
  <c r="AI180" i="7"/>
  <c r="AI189" i="7"/>
  <c r="AI193" i="7"/>
  <c r="AI207" i="7"/>
  <c r="AI217" i="7"/>
  <c r="AI220" i="7"/>
  <c r="AI223" i="7"/>
  <c r="AI225" i="7"/>
  <c r="AI228" i="7"/>
  <c r="AI231" i="7"/>
  <c r="AI280" i="7"/>
  <c r="AI284" i="7"/>
  <c r="AI294" i="7"/>
  <c r="AI183" i="7"/>
  <c r="AI328" i="7"/>
  <c r="AI245" i="7"/>
  <c r="AI256" i="7"/>
  <c r="AI323" i="7"/>
  <c r="AI138" i="7"/>
  <c r="AI141" i="7"/>
  <c r="AI170" i="7"/>
  <c r="AI177" i="7"/>
  <c r="AI173" i="7"/>
  <c r="AI167" i="7"/>
  <c r="AI13" i="7"/>
  <c r="AI28" i="7"/>
  <c r="AI39" i="7"/>
  <c r="AI125" i="7"/>
  <c r="AI186" i="7"/>
  <c r="AI194" i="7"/>
  <c r="AI201" i="7"/>
  <c r="AI227" i="7"/>
  <c r="AI230" i="7"/>
  <c r="AI278" i="7"/>
  <c r="AI298" i="7"/>
  <c r="AI179" i="7"/>
  <c r="AI249" i="7"/>
  <c r="AI262" i="7"/>
  <c r="AI325" i="7"/>
  <c r="AI353" i="7"/>
  <c r="AI331" i="7"/>
  <c r="AI360" i="7"/>
  <c r="AI344" i="7"/>
  <c r="AI352" i="7"/>
  <c r="AI37" i="7"/>
  <c r="AI121" i="7"/>
  <c r="AI219" i="7"/>
  <c r="AI226" i="7"/>
  <c r="AI282" i="7"/>
  <c r="AI290" i="7"/>
  <c r="AI257" i="7"/>
  <c r="AI307" i="7"/>
  <c r="AI316" i="7"/>
  <c r="AI287" i="7"/>
  <c r="AI14" i="7"/>
  <c r="AI21" i="7"/>
  <c r="AI32" i="7"/>
  <c r="AI43" i="7"/>
  <c r="AI315" i="7"/>
  <c r="AI195" i="7"/>
  <c r="AI224" i="7"/>
  <c r="AI288" i="7"/>
  <c r="AI292" i="7"/>
  <c r="AI296" i="7"/>
  <c r="AI327" i="7"/>
  <c r="AI254" i="7"/>
  <c r="AI266" i="7"/>
  <c r="AI308" i="7"/>
  <c r="AI346" i="7"/>
  <c r="AI336" i="7"/>
  <c r="AI349" i="7"/>
  <c r="AI359" i="7"/>
  <c r="AI115" i="7"/>
  <c r="AI27" i="7"/>
  <c r="AI199" i="7"/>
  <c r="AI222" i="7"/>
  <c r="AI229" i="7"/>
  <c r="AI286" i="7"/>
  <c r="AI175" i="7"/>
  <c r="AI265" i="7"/>
  <c r="AI250" i="7"/>
  <c r="AI270" i="7"/>
  <c r="AI312" i="7"/>
  <c r="AI354" i="7"/>
  <c r="AI111" i="7"/>
  <c r="AI146" i="7"/>
  <c r="AI23" i="7"/>
  <c r="AI33" i="7"/>
  <c r="AI44" i="7"/>
  <c r="AI181" i="7"/>
  <c r="AI285" i="7"/>
  <c r="AI191" i="7"/>
  <c r="AI218" i="7"/>
  <c r="AI221" i="7"/>
  <c r="AI244" i="7"/>
  <c r="AI322" i="7"/>
  <c r="AI345" i="7"/>
  <c r="AI324" i="7"/>
  <c r="AI258" i="7"/>
  <c r="AI329" i="7"/>
  <c r="AI330" i="7"/>
  <c r="AI338" i="7"/>
  <c r="AI341" i="7"/>
  <c r="AI340" i="7"/>
  <c r="AI348" i="7"/>
  <c r="AI356" i="7"/>
  <c r="AI361" i="7"/>
  <c r="AM18" i="7"/>
  <c r="AI18" i="7"/>
  <c r="AM206" i="7"/>
  <c r="AI206" i="7"/>
  <c r="AI93" i="7"/>
  <c r="AM93" i="7"/>
  <c r="AM145" i="7"/>
  <c r="AI145" i="7"/>
  <c r="AM94" i="7"/>
  <c r="AI94" i="7"/>
  <c r="AI70" i="7"/>
  <c r="AM70" i="7"/>
  <c r="AI74" i="7"/>
  <c r="AM74" i="7"/>
  <c r="AI88" i="7"/>
  <c r="AM88" i="7"/>
  <c r="AI66" i="7"/>
  <c r="AM66" i="7"/>
  <c r="AI92" i="7"/>
  <c r="AM92" i="7"/>
  <c r="AM158" i="7"/>
  <c r="AI158" i="7"/>
  <c r="AM155" i="7"/>
  <c r="AI155" i="7"/>
  <c r="AM147" i="7"/>
  <c r="AI147" i="7"/>
  <c r="AM151" i="7"/>
  <c r="AI151" i="7"/>
  <c r="AM160" i="7"/>
  <c r="AI160" i="7"/>
  <c r="AM197" i="7"/>
  <c r="AI197" i="7"/>
  <c r="AM212" i="7"/>
  <c r="AI212" i="7"/>
  <c r="AM216" i="7"/>
  <c r="AI216" i="7"/>
  <c r="AI253" i="7"/>
  <c r="AM253" i="7"/>
  <c r="AI269" i="7"/>
  <c r="AM269" i="7"/>
  <c r="AI274" i="7"/>
  <c r="AM274" i="7"/>
  <c r="AI319" i="7"/>
  <c r="AM319" i="7"/>
  <c r="AA357" i="7"/>
  <c r="AA356" i="7"/>
  <c r="AA350" i="7"/>
  <c r="AA344" i="7"/>
  <c r="AA339" i="7"/>
  <c r="AA338" i="7"/>
  <c r="AA335" i="7"/>
  <c r="AA328" i="7"/>
  <c r="AA324" i="7"/>
  <c r="AA316" i="7"/>
  <c r="AA310" i="7"/>
  <c r="AE310" i="7" s="1"/>
  <c r="AG310" i="7" s="1"/>
  <c r="AA305" i="7"/>
  <c r="AE305" i="7" s="1"/>
  <c r="AG305" i="7" s="1"/>
  <c r="AA301" i="7"/>
  <c r="AA267" i="7"/>
  <c r="AE267" i="7" s="1"/>
  <c r="AG267" i="7" s="1"/>
  <c r="AA266" i="7"/>
  <c r="AE266" i="7" s="1"/>
  <c r="AG266" i="7" s="1"/>
  <c r="AA265" i="7"/>
  <c r="AA264" i="7"/>
  <c r="AA255" i="7"/>
  <c r="AE255" i="7" s="1"/>
  <c r="AG255" i="7" s="1"/>
  <c r="AA254" i="7"/>
  <c r="AE254" i="7" s="1"/>
  <c r="AG254" i="7" s="1"/>
  <c r="AA246" i="7"/>
  <c r="AA362" i="7"/>
  <c r="AA361" i="7"/>
  <c r="AE361" i="7" s="1"/>
  <c r="AG361" i="7" s="1"/>
  <c r="AA355" i="7"/>
  <c r="AA354" i="7"/>
  <c r="AA349" i="7"/>
  <c r="AA348" i="7"/>
  <c r="AA343" i="7"/>
  <c r="AA337" i="7"/>
  <c r="AA336" i="7"/>
  <c r="AA329" i="7"/>
  <c r="AA325" i="7"/>
  <c r="AA314" i="7"/>
  <c r="AE314" i="7" s="1"/>
  <c r="AG314" i="7" s="1"/>
  <c r="AA304" i="7"/>
  <c r="AE304" i="7" s="1"/>
  <c r="AG304" i="7" s="1"/>
  <c r="AA300" i="7"/>
  <c r="AA263" i="7"/>
  <c r="AE263" i="7" s="1"/>
  <c r="AG263" i="7" s="1"/>
  <c r="AA262" i="7"/>
  <c r="AE262" i="7" s="1"/>
  <c r="AG262" i="7" s="1"/>
  <c r="AA261" i="7"/>
  <c r="AA242" i="7"/>
  <c r="AE242" i="7" s="1"/>
  <c r="AG242" i="7" s="1"/>
  <c r="AA241" i="7"/>
  <c r="AA231" i="7"/>
  <c r="AE231" i="7" s="1"/>
  <c r="AG231" i="7" s="1"/>
  <c r="AA230" i="7"/>
  <c r="AA229" i="7"/>
  <c r="AA228" i="7"/>
  <c r="AA227" i="7"/>
  <c r="AA226" i="7"/>
  <c r="AA225" i="7"/>
  <c r="AE225" i="7" s="1"/>
  <c r="AG225" i="7" s="1"/>
  <c r="AA224" i="7"/>
  <c r="AA223" i="7"/>
  <c r="AA222" i="7"/>
  <c r="AA221" i="7"/>
  <c r="AE221" i="7" s="1"/>
  <c r="AG221" i="7" s="1"/>
  <c r="AA220" i="7"/>
  <c r="AA219" i="7"/>
  <c r="AE219" i="7" s="1"/>
  <c r="AG219" i="7" s="1"/>
  <c r="AA218" i="7"/>
  <c r="AA217" i="7"/>
  <c r="AE217" i="7" s="1"/>
  <c r="AG217" i="7" s="1"/>
  <c r="AA207" i="7"/>
  <c r="AA201" i="7"/>
  <c r="AE201" i="7" s="1"/>
  <c r="AG201" i="7" s="1"/>
  <c r="AA199" i="7"/>
  <c r="AE199" i="7" s="1"/>
  <c r="AG199" i="7" s="1"/>
  <c r="AA196" i="7"/>
  <c r="AA195" i="7"/>
  <c r="AA194" i="7"/>
  <c r="AA193" i="7"/>
  <c r="AE193" i="7" s="1"/>
  <c r="AG193" i="7" s="1"/>
  <c r="AA192" i="7"/>
  <c r="AA191" i="7"/>
  <c r="AA190" i="7"/>
  <c r="AA189" i="7"/>
  <c r="AE189" i="7" s="1"/>
  <c r="AG189" i="7" s="1"/>
  <c r="AA184" i="7"/>
  <c r="AA183" i="7"/>
  <c r="AA360" i="7"/>
  <c r="AA359" i="7"/>
  <c r="AA353" i="7"/>
  <c r="AA352" i="7"/>
  <c r="AA347" i="7"/>
  <c r="AA346" i="7"/>
  <c r="AA342" i="7"/>
  <c r="AA330" i="7"/>
  <c r="AA326" i="7"/>
  <c r="AE326" i="7" s="1"/>
  <c r="AG326" i="7" s="1"/>
  <c r="AA322" i="7"/>
  <c r="AE322" i="7" s="1"/>
  <c r="AG322" i="7" s="1"/>
  <c r="AA309" i="7"/>
  <c r="AE309" i="7" s="1"/>
  <c r="AG309" i="7" s="1"/>
  <c r="AA308" i="7"/>
  <c r="AA307" i="7"/>
  <c r="AE307" i="7" s="1"/>
  <c r="AG307" i="7" s="1"/>
  <c r="AA303" i="7"/>
  <c r="AA299" i="7"/>
  <c r="AA270" i="7"/>
  <c r="AE270" i="7" s="1"/>
  <c r="AG270" i="7" s="1"/>
  <c r="AA260" i="7"/>
  <c r="AA250" i="7"/>
  <c r="AE250" i="7" s="1"/>
  <c r="AG250" i="7" s="1"/>
  <c r="AA247" i="7"/>
  <c r="AA240" i="7"/>
  <c r="AA239" i="7"/>
  <c r="AA237" i="7"/>
  <c r="AA178" i="7"/>
  <c r="AA175" i="7"/>
  <c r="AA358" i="7"/>
  <c r="AA351" i="7"/>
  <c r="AE351" i="7" s="1"/>
  <c r="AG351" i="7" s="1"/>
  <c r="AA345" i="7"/>
  <c r="AA341" i="7"/>
  <c r="AA340" i="7"/>
  <c r="AA327" i="7"/>
  <c r="AA323" i="7"/>
  <c r="AA315" i="7"/>
  <c r="AA313" i="7"/>
  <c r="AA312" i="7"/>
  <c r="AE312" i="7" s="1"/>
  <c r="AG312" i="7" s="1"/>
  <c r="AA311" i="7"/>
  <c r="AE311" i="7" s="1"/>
  <c r="AG311" i="7" s="1"/>
  <c r="AA306" i="7"/>
  <c r="AA302" i="7"/>
  <c r="AA298" i="7"/>
  <c r="AA268" i="7"/>
  <c r="AE268" i="7" s="1"/>
  <c r="AG268" i="7" s="1"/>
  <c r="AA259" i="7"/>
  <c r="AE259" i="7" s="1"/>
  <c r="AG259" i="7" s="1"/>
  <c r="AA258" i="7"/>
  <c r="AE258" i="7" s="1"/>
  <c r="AG258" i="7" s="1"/>
  <c r="AA257" i="7"/>
  <c r="AA256" i="7"/>
  <c r="AE256" i="7" s="1"/>
  <c r="AG256" i="7" s="1"/>
  <c r="AA238" i="7"/>
  <c r="AA236" i="7"/>
  <c r="AA180" i="7"/>
  <c r="AA179" i="7"/>
  <c r="AA172" i="7"/>
  <c r="AE172" i="7" s="1"/>
  <c r="AG172" i="7" s="1"/>
  <c r="AA171" i="7"/>
  <c r="AA170" i="7"/>
  <c r="AA169" i="7"/>
  <c r="AA131" i="7"/>
  <c r="AE131" i="7" s="1"/>
  <c r="AG131" i="7" s="1"/>
  <c r="AA118" i="7"/>
  <c r="AA117" i="7"/>
  <c r="AA116" i="7"/>
  <c r="AE116" i="7" s="1"/>
  <c r="AG116" i="7" s="1"/>
  <c r="AA115" i="7"/>
  <c r="AA77" i="7"/>
  <c r="AA123" i="7"/>
  <c r="AE123" i="7" s="1"/>
  <c r="AG123" i="7" s="1"/>
  <c r="AA75" i="7"/>
  <c r="AA165" i="7"/>
  <c r="AA144" i="7"/>
  <c r="AE144" i="7" s="1"/>
  <c r="AG144" i="7" s="1"/>
  <c r="AA142" i="7"/>
  <c r="AE142" i="7" s="1"/>
  <c r="AG142" i="7" s="1"/>
  <c r="AA140" i="7"/>
  <c r="AA138" i="7"/>
  <c r="AE138" i="7" s="1"/>
  <c r="AG138" i="7" s="1"/>
  <c r="AA132" i="7"/>
  <c r="AA121" i="7"/>
  <c r="AA174" i="7"/>
  <c r="AE174" i="7" s="1"/>
  <c r="AG174" i="7" s="1"/>
  <c r="AA130" i="7"/>
  <c r="AA129" i="7"/>
  <c r="AA128" i="7"/>
  <c r="AE128" i="7" s="1"/>
  <c r="AG128" i="7" s="1"/>
  <c r="AA114" i="7"/>
  <c r="AE114" i="7" s="1"/>
  <c r="AG114" i="7" s="1"/>
  <c r="AA113" i="7"/>
  <c r="AA112" i="7"/>
  <c r="AE112" i="7" s="1"/>
  <c r="AG112" i="7" s="1"/>
  <c r="AA111" i="7"/>
  <c r="AA76" i="7"/>
  <c r="AA176" i="7"/>
  <c r="AE176" i="7" s="1"/>
  <c r="AG176" i="7" s="1"/>
  <c r="AA125" i="7"/>
  <c r="AA124" i="7"/>
  <c r="AE124" i="7" s="1"/>
  <c r="AG124" i="7" s="1"/>
  <c r="AA110" i="7"/>
  <c r="AA168" i="7"/>
  <c r="AE168" i="7" s="1"/>
  <c r="AG168" i="7" s="1"/>
  <c r="AA167" i="7"/>
  <c r="AA166" i="7"/>
  <c r="AA164" i="7"/>
  <c r="AE164" i="7" s="1"/>
  <c r="AG164" i="7" s="1"/>
  <c r="AA163" i="7"/>
  <c r="AA162" i="7"/>
  <c r="AA146" i="7"/>
  <c r="AA143" i="7"/>
  <c r="AA141" i="7"/>
  <c r="AA139" i="7"/>
  <c r="AA137" i="7"/>
  <c r="AA136" i="7"/>
  <c r="AA134" i="7"/>
  <c r="AE134" i="7" s="1"/>
  <c r="AG134" i="7" s="1"/>
  <c r="AA133" i="7"/>
  <c r="AA122" i="7"/>
  <c r="AE122" i="7" s="1"/>
  <c r="AG122" i="7" s="1"/>
  <c r="AA120" i="7"/>
  <c r="AE120" i="7" s="1"/>
  <c r="AG120" i="7" s="1"/>
  <c r="AA119" i="7"/>
  <c r="AE119" i="7" s="1"/>
  <c r="AG119" i="7" s="1"/>
  <c r="AA101" i="7"/>
  <c r="AA104" i="7"/>
  <c r="AA62" i="7"/>
  <c r="AA98" i="7"/>
  <c r="AA57" i="7"/>
  <c r="AA56" i="7"/>
  <c r="AA58" i="7"/>
  <c r="AA12" i="7"/>
  <c r="AA14" i="7"/>
  <c r="AE14" i="7" s="1"/>
  <c r="AG14" i="7" s="1"/>
  <c r="AA19" i="7"/>
  <c r="AA21" i="7"/>
  <c r="AE21" i="7" s="1"/>
  <c r="AG21" i="7" s="1"/>
  <c r="AA23" i="7"/>
  <c r="AA25" i="7"/>
  <c r="AE25" i="7" s="1"/>
  <c r="AG25" i="7" s="1"/>
  <c r="AA27" i="7"/>
  <c r="AA29" i="7"/>
  <c r="AE29" i="7" s="1"/>
  <c r="AG29" i="7" s="1"/>
  <c r="AA31" i="7"/>
  <c r="AA33" i="7"/>
  <c r="AE33" i="7" s="1"/>
  <c r="AG33" i="7" s="1"/>
  <c r="AA35" i="7"/>
  <c r="AA37" i="7"/>
  <c r="AE37" i="7" s="1"/>
  <c r="AG37" i="7" s="1"/>
  <c r="AA39" i="7"/>
  <c r="AA41" i="7"/>
  <c r="AE41" i="7" s="1"/>
  <c r="AG41" i="7" s="1"/>
  <c r="AA43" i="7"/>
  <c r="AA45" i="7"/>
  <c r="AE45" i="7" s="1"/>
  <c r="AG45" i="7" s="1"/>
  <c r="AA296" i="7"/>
  <c r="AA244" i="7"/>
  <c r="AA294" i="7"/>
  <c r="AA245" i="7"/>
  <c r="AA331" i="7"/>
  <c r="AE331" i="7" s="1"/>
  <c r="AG331" i="7" s="1"/>
  <c r="AA333" i="7"/>
  <c r="AA248" i="7"/>
  <c r="AE248" i="7" s="1"/>
  <c r="AG248" i="7" s="1"/>
  <c r="AA107" i="7"/>
  <c r="AA63" i="7"/>
  <c r="AA54" i="7"/>
  <c r="AA102" i="7"/>
  <c r="AA48" i="7"/>
  <c r="AA61" i="7"/>
  <c r="AA97" i="7"/>
  <c r="AA106" i="7"/>
  <c r="AA334" i="7"/>
  <c r="AA234" i="7"/>
  <c r="AE234" i="7" s="1"/>
  <c r="AG234" i="7" s="1"/>
  <c r="AA9" i="7"/>
  <c r="AA13" i="7"/>
  <c r="AA22" i="7"/>
  <c r="AE22" i="7" s="1"/>
  <c r="AG22" i="7" s="1"/>
  <c r="AA26" i="7"/>
  <c r="AE26" i="7" s="1"/>
  <c r="AG26" i="7" s="1"/>
  <c r="AA30" i="7"/>
  <c r="AE30" i="7" s="1"/>
  <c r="AG30" i="7" s="1"/>
  <c r="AA34" i="7"/>
  <c r="AE34" i="7" s="1"/>
  <c r="AG34" i="7" s="1"/>
  <c r="AA38" i="7"/>
  <c r="AE38" i="7" s="1"/>
  <c r="AG38" i="7" s="1"/>
  <c r="AA42" i="7"/>
  <c r="AE42" i="7" s="1"/>
  <c r="AG42" i="7" s="1"/>
  <c r="AA52" i="7"/>
  <c r="AA53" i="7"/>
  <c r="AA108" i="7"/>
  <c r="AA60" i="7"/>
  <c r="AA99" i="7"/>
  <c r="AA105" i="7"/>
  <c r="AA84" i="7"/>
  <c r="AA103" i="7"/>
  <c r="AA364" i="7"/>
  <c r="AA284" i="7"/>
  <c r="AA181" i="7"/>
  <c r="AA185" i="7"/>
  <c r="AA282" i="7"/>
  <c r="AE282" i="7" s="1"/>
  <c r="AG282" i="7" s="1"/>
  <c r="AA290" i="7"/>
  <c r="AE290" i="7" s="1"/>
  <c r="AG290" i="7" s="1"/>
  <c r="AA332" i="7"/>
  <c r="AE332" i="7" s="1"/>
  <c r="AG332" i="7" s="1"/>
  <c r="AA233" i="7"/>
  <c r="AA281" i="7"/>
  <c r="AE281" i="7" s="1"/>
  <c r="AG281" i="7" s="1"/>
  <c r="AA285" i="7"/>
  <c r="AE285" i="7" s="1"/>
  <c r="AG285" i="7" s="1"/>
  <c r="AA289" i="7"/>
  <c r="AE289" i="7" s="1"/>
  <c r="AG289" i="7" s="1"/>
  <c r="AA293" i="7"/>
  <c r="AA297" i="7"/>
  <c r="AE297" i="7" s="1"/>
  <c r="AG297" i="7" s="1"/>
  <c r="AA367" i="7"/>
  <c r="AA85" i="7"/>
  <c r="AA11" i="7"/>
  <c r="AA20" i="7"/>
  <c r="AE20" i="7" s="1"/>
  <c r="AG20" i="7" s="1"/>
  <c r="AA24" i="7"/>
  <c r="AE24" i="7" s="1"/>
  <c r="AG24" i="7" s="1"/>
  <c r="AA28" i="7"/>
  <c r="AE28" i="7" s="1"/>
  <c r="AG28" i="7" s="1"/>
  <c r="AA32" i="7"/>
  <c r="AE32" i="7" s="1"/>
  <c r="AG32" i="7" s="1"/>
  <c r="AA36" i="7"/>
  <c r="AE36" i="7" s="1"/>
  <c r="AG36" i="7" s="1"/>
  <c r="AA40" i="7"/>
  <c r="AE40" i="7" s="1"/>
  <c r="AG40" i="7" s="1"/>
  <c r="AA44" i="7"/>
  <c r="AE44" i="7" s="1"/>
  <c r="AG44" i="7" s="1"/>
  <c r="AA182" i="7"/>
  <c r="AE182" i="7" s="1"/>
  <c r="AG182" i="7" s="1"/>
  <c r="AA243" i="7"/>
  <c r="AA59" i="7"/>
  <c r="AA64" i="7"/>
  <c r="AA186" i="7"/>
  <c r="AE186" i="7" s="1"/>
  <c r="AG186" i="7" s="1"/>
  <c r="AA286" i="7"/>
  <c r="AE286" i="7" s="1"/>
  <c r="AG286" i="7" s="1"/>
  <c r="AA295" i="7"/>
  <c r="AE295" i="7" s="1"/>
  <c r="AG295" i="7" s="1"/>
  <c r="AA109" i="7"/>
  <c r="AA46" i="7"/>
  <c r="AA83" i="7"/>
  <c r="AA100" i="7"/>
  <c r="AA177" i="7"/>
  <c r="AA280" i="7"/>
  <c r="AA291" i="7"/>
  <c r="AE291" i="7" s="1"/>
  <c r="AG291" i="7" s="1"/>
  <c r="AA47" i="7"/>
  <c r="AA235" i="7"/>
  <c r="AA10" i="7"/>
  <c r="AA292" i="7"/>
  <c r="AA288" i="7"/>
  <c r="AE288" i="7" s="1"/>
  <c r="AG288" i="7" s="1"/>
  <c r="AA173" i="7"/>
  <c r="AA287" i="7"/>
  <c r="AE287" i="7" s="1"/>
  <c r="AG287" i="7" s="1"/>
  <c r="AA55" i="7"/>
  <c r="AA278" i="7"/>
  <c r="AA232" i="7"/>
  <c r="AA283" i="7"/>
  <c r="AA366" i="7"/>
  <c r="AA249" i="7"/>
  <c r="AA365" i="7"/>
  <c r="AE365" i="7" s="1"/>
  <c r="AG365" i="7" s="1"/>
  <c r="AA363" i="7"/>
  <c r="AA18" i="7"/>
  <c r="AD18" i="7"/>
  <c r="AA89" i="7"/>
  <c r="AD89" i="7"/>
  <c r="AA158" i="7"/>
  <c r="AD158" i="7"/>
  <c r="AA72" i="7"/>
  <c r="AD72" i="7"/>
  <c r="AA82" i="7"/>
  <c r="AD82" i="7"/>
  <c r="AD68" i="7"/>
  <c r="AA68" i="7"/>
  <c r="AA49" i="7"/>
  <c r="AD49" i="7"/>
  <c r="AA67" i="7"/>
  <c r="AD67" i="7"/>
  <c r="AA155" i="7"/>
  <c r="AD155" i="7"/>
  <c r="AA149" i="7"/>
  <c r="AD149" i="7"/>
  <c r="AA153" i="7"/>
  <c r="AD153" i="7"/>
  <c r="AA200" i="7"/>
  <c r="AD200" i="7"/>
  <c r="AA93" i="7"/>
  <c r="AD93" i="7"/>
  <c r="AA135" i="7"/>
  <c r="AD135" i="7"/>
  <c r="AA212" i="7"/>
  <c r="AD212" i="7"/>
  <c r="AA216" i="7"/>
  <c r="AD216" i="7"/>
  <c r="AA203" i="7"/>
  <c r="AD203" i="7"/>
  <c r="AA208" i="7"/>
  <c r="AD208" i="7"/>
  <c r="AD252" i="7"/>
  <c r="AA252" i="7"/>
  <c r="AD276" i="7"/>
  <c r="AA276" i="7"/>
  <c r="AD273" i="7"/>
  <c r="AA273" i="7"/>
  <c r="AA320" i="7"/>
  <c r="AD320" i="7"/>
  <c r="AA79" i="7"/>
  <c r="AD79" i="7"/>
  <c r="AD15" i="7"/>
  <c r="Z376" i="7"/>
  <c r="Z379" i="7" s="1"/>
  <c r="AA15" i="7"/>
  <c r="Z368" i="7"/>
  <c r="AA69" i="7"/>
  <c r="AD69" i="7"/>
  <c r="AD73" i="7"/>
  <c r="AA73" i="7"/>
  <c r="AA87" i="7"/>
  <c r="AD87" i="7"/>
  <c r="AA81" i="7"/>
  <c r="AD81" i="7"/>
  <c r="AA50" i="7"/>
  <c r="AD50" i="7"/>
  <c r="AA80" i="7"/>
  <c r="AD80" i="7"/>
  <c r="AA126" i="7"/>
  <c r="AD126" i="7"/>
  <c r="AA150" i="7"/>
  <c r="AD150" i="7"/>
  <c r="AA154" i="7"/>
  <c r="AD154" i="7"/>
  <c r="AA90" i="7"/>
  <c r="AD90" i="7"/>
  <c r="AA94" i="7"/>
  <c r="AD94" i="7"/>
  <c r="AA145" i="7"/>
  <c r="AD145" i="7"/>
  <c r="AA213" i="7"/>
  <c r="AD213" i="7"/>
  <c r="AD187" i="7"/>
  <c r="AA187" i="7"/>
  <c r="AA204" i="7"/>
  <c r="AD204" i="7"/>
  <c r="AA209" i="7"/>
  <c r="AD209" i="7"/>
  <c r="AA253" i="7"/>
  <c r="AD253" i="7"/>
  <c r="AD269" i="7"/>
  <c r="AA269" i="7"/>
  <c r="AA274" i="7"/>
  <c r="AD274" i="7"/>
  <c r="AA317" i="7"/>
  <c r="AD317" i="7"/>
  <c r="AA156" i="7"/>
  <c r="AD156" i="7"/>
  <c r="AA157" i="7"/>
  <c r="AD157" i="7"/>
  <c r="AA70" i="7"/>
  <c r="AD70" i="7"/>
  <c r="AD74" i="7"/>
  <c r="AA74" i="7"/>
  <c r="AA88" i="7"/>
  <c r="AD88" i="7"/>
  <c r="AA86" i="7"/>
  <c r="AD86" i="7"/>
  <c r="AA51" i="7"/>
  <c r="AD51" i="7"/>
  <c r="AA197" i="7"/>
  <c r="AD197" i="7"/>
  <c r="AA147" i="7"/>
  <c r="AD147" i="7"/>
  <c r="AA151" i="7"/>
  <c r="AD151" i="7"/>
  <c r="AA160" i="7"/>
  <c r="AD160" i="7"/>
  <c r="AA91" i="7"/>
  <c r="AD91" i="7"/>
  <c r="AA95" i="7"/>
  <c r="AD95" i="7"/>
  <c r="AA159" i="7"/>
  <c r="AD159" i="7"/>
  <c r="AA214" i="7"/>
  <c r="AD214" i="7"/>
  <c r="AA211" i="7"/>
  <c r="AD211" i="7"/>
  <c r="AA205" i="7"/>
  <c r="AD205" i="7"/>
  <c r="AA210" i="7"/>
  <c r="AD210" i="7"/>
  <c r="AD251" i="7"/>
  <c r="AA251" i="7"/>
  <c r="AA271" i="7"/>
  <c r="AD271" i="7"/>
  <c r="AA279" i="7"/>
  <c r="AD279" i="7"/>
  <c r="AA319" i="7"/>
  <c r="AD319" i="7"/>
  <c r="AA17" i="7"/>
  <c r="AD17" i="7"/>
  <c r="AD16" i="7"/>
  <c r="AA16" i="7"/>
  <c r="AD71" i="7"/>
  <c r="AA71" i="7"/>
  <c r="AD78" i="7"/>
  <c r="AA78" i="7"/>
  <c r="AD66" i="7"/>
  <c r="AA66" i="7"/>
  <c r="AA198" i="7"/>
  <c r="AD198" i="7"/>
  <c r="AA65" i="7"/>
  <c r="AD65" i="7"/>
  <c r="AD127" i="7"/>
  <c r="AA127" i="7"/>
  <c r="AA148" i="7"/>
  <c r="AD148" i="7"/>
  <c r="AA152" i="7"/>
  <c r="AD152" i="7"/>
  <c r="AA161" i="7"/>
  <c r="AD161" i="7"/>
  <c r="AA92" i="7"/>
  <c r="AD92" i="7"/>
  <c r="AA96" i="7"/>
  <c r="AD96" i="7"/>
  <c r="AD188" i="7"/>
  <c r="AA188" i="7"/>
  <c r="AA215" i="7"/>
  <c r="AD215" i="7"/>
  <c r="AA202" i="7"/>
  <c r="AD202" i="7"/>
  <c r="AA206" i="7"/>
  <c r="AD206" i="7"/>
  <c r="AD277" i="7"/>
  <c r="AA277" i="7"/>
  <c r="AD275" i="7"/>
  <c r="AA275" i="7"/>
  <c r="AD272" i="7"/>
  <c r="AA272" i="7"/>
  <c r="AA318" i="7"/>
  <c r="AD318" i="7"/>
  <c r="AA321" i="7"/>
  <c r="AD321" i="7"/>
  <c r="M17" i="7"/>
  <c r="P17" i="7"/>
  <c r="P73" i="7"/>
  <c r="M73" i="7"/>
  <c r="P70" i="7"/>
  <c r="M70" i="7"/>
  <c r="P68" i="7"/>
  <c r="M68" i="7"/>
  <c r="M91" i="7"/>
  <c r="P91" i="7"/>
  <c r="P50" i="7"/>
  <c r="M50" i="7"/>
  <c r="M80" i="7"/>
  <c r="P80" i="7"/>
  <c r="P89" i="7"/>
  <c r="M89" i="7"/>
  <c r="P149" i="7"/>
  <c r="M149" i="7"/>
  <c r="P153" i="7"/>
  <c r="M153" i="7"/>
  <c r="P212" i="7"/>
  <c r="M212" i="7"/>
  <c r="P94" i="7"/>
  <c r="M94" i="7"/>
  <c r="P145" i="7"/>
  <c r="M145" i="7"/>
  <c r="P156" i="7"/>
  <c r="M156" i="7"/>
  <c r="M187" i="7"/>
  <c r="P187" i="7"/>
  <c r="P203" i="7"/>
  <c r="M203" i="7"/>
  <c r="M208" i="7"/>
  <c r="P208" i="7"/>
  <c r="P198" i="7"/>
  <c r="M198" i="7"/>
  <c r="M251" i="7"/>
  <c r="P251" i="7"/>
  <c r="P272" i="7"/>
  <c r="M272" i="7"/>
  <c r="P277" i="7"/>
  <c r="M277" i="7"/>
  <c r="M320" i="7"/>
  <c r="P320" i="7"/>
  <c r="P72" i="7"/>
  <c r="M72" i="7"/>
  <c r="M16" i="7"/>
  <c r="P16" i="7"/>
  <c r="M74" i="7"/>
  <c r="P74" i="7"/>
  <c r="P81" i="7"/>
  <c r="M81" i="7"/>
  <c r="M127" i="7"/>
  <c r="P127" i="7"/>
  <c r="P51" i="7"/>
  <c r="M51" i="7"/>
  <c r="P155" i="7"/>
  <c r="M155" i="7"/>
  <c r="M126" i="7"/>
  <c r="P126" i="7"/>
  <c r="M150" i="7"/>
  <c r="P150" i="7"/>
  <c r="P154" i="7"/>
  <c r="M154" i="7"/>
  <c r="M216" i="7"/>
  <c r="P216" i="7"/>
  <c r="P95" i="7"/>
  <c r="M95" i="7"/>
  <c r="P159" i="7"/>
  <c r="M159" i="7"/>
  <c r="P157" i="7"/>
  <c r="M157" i="7"/>
  <c r="M211" i="7"/>
  <c r="P211" i="7"/>
  <c r="P204" i="7"/>
  <c r="M204" i="7"/>
  <c r="M209" i="7"/>
  <c r="P209" i="7"/>
  <c r="M200" i="7"/>
  <c r="P200" i="7"/>
  <c r="P276" i="7"/>
  <c r="M276" i="7"/>
  <c r="P273" i="7"/>
  <c r="M273" i="7"/>
  <c r="P317" i="7"/>
  <c r="M317" i="7"/>
  <c r="P321" i="7"/>
  <c r="M321" i="7"/>
  <c r="P69" i="7"/>
  <c r="M69" i="7"/>
  <c r="P82" i="7"/>
  <c r="M82" i="7"/>
  <c r="P71" i="7"/>
  <c r="M71" i="7"/>
  <c r="P78" i="7"/>
  <c r="M78" i="7"/>
  <c r="P86" i="7"/>
  <c r="M86" i="7"/>
  <c r="P213" i="7"/>
  <c r="M213" i="7"/>
  <c r="P65" i="7"/>
  <c r="M65" i="7"/>
  <c r="M18" i="7"/>
  <c r="P18" i="7"/>
  <c r="P147" i="7"/>
  <c r="M147" i="7"/>
  <c r="P151" i="7"/>
  <c r="M151" i="7"/>
  <c r="P160" i="7"/>
  <c r="M160" i="7"/>
  <c r="M92" i="7"/>
  <c r="P92" i="7"/>
  <c r="P96" i="7"/>
  <c r="M96" i="7"/>
  <c r="P188" i="7"/>
  <c r="M188" i="7"/>
  <c r="M158" i="7"/>
  <c r="P158" i="7"/>
  <c r="P275" i="7"/>
  <c r="M275" i="7"/>
  <c r="P205" i="7"/>
  <c r="M205" i="7"/>
  <c r="M210" i="7"/>
  <c r="P210" i="7"/>
  <c r="P252" i="7"/>
  <c r="M252" i="7"/>
  <c r="P269" i="7"/>
  <c r="M269" i="7"/>
  <c r="P274" i="7"/>
  <c r="M274" i="7"/>
  <c r="M318" i="7"/>
  <c r="P318" i="7"/>
  <c r="M364" i="7"/>
  <c r="M345" i="7"/>
  <c r="Q345" i="7" s="1"/>
  <c r="S345" i="7" s="1"/>
  <c r="M314" i="7"/>
  <c r="Q314" i="7" s="1"/>
  <c r="S314" i="7" s="1"/>
  <c r="M313" i="7"/>
  <c r="M304" i="7"/>
  <c r="M300" i="7"/>
  <c r="M299" i="7"/>
  <c r="Q299" i="7" s="1"/>
  <c r="S299" i="7" s="1"/>
  <c r="M298" i="7"/>
  <c r="M259" i="7"/>
  <c r="M256" i="7"/>
  <c r="Q256" i="7" s="1"/>
  <c r="S256" i="7" s="1"/>
  <c r="M248" i="7"/>
  <c r="M234" i="7"/>
  <c r="M131" i="7"/>
  <c r="M122" i="7"/>
  <c r="Q122" i="7" s="1"/>
  <c r="S122" i="7" s="1"/>
  <c r="M109" i="7"/>
  <c r="M108" i="7"/>
  <c r="M107" i="7"/>
  <c r="M106" i="7"/>
  <c r="M77" i="7"/>
  <c r="Q77" i="7" s="1"/>
  <c r="S77" i="7" s="1"/>
  <c r="M76" i="7"/>
  <c r="Q76" i="7" s="1"/>
  <c r="S76" i="7" s="1"/>
  <c r="M75" i="7"/>
  <c r="Q75" i="7" s="1"/>
  <c r="S75" i="7" s="1"/>
  <c r="M59" i="7"/>
  <c r="M58" i="7"/>
  <c r="M57" i="7"/>
  <c r="M56" i="7"/>
  <c r="Q56" i="7" s="1"/>
  <c r="S56" i="7" s="1"/>
  <c r="M360" i="7"/>
  <c r="Q360" i="7" s="1"/>
  <c r="S360" i="7" s="1"/>
  <c r="M353" i="7"/>
  <c r="Q353" i="7" s="1"/>
  <c r="S353" i="7" s="1"/>
  <c r="M340" i="7"/>
  <c r="M337" i="7"/>
  <c r="Q337" i="7" s="1"/>
  <c r="S337" i="7" s="1"/>
  <c r="M310" i="7"/>
  <c r="M309" i="7"/>
  <c r="M305" i="7"/>
  <c r="Q305" i="7" s="1"/>
  <c r="S305" i="7" s="1"/>
  <c r="M301" i="7"/>
  <c r="M263" i="7"/>
  <c r="Q263" i="7" s="1"/>
  <c r="S263" i="7" s="1"/>
  <c r="M245" i="7"/>
  <c r="M241" i="7"/>
  <c r="M123" i="7"/>
  <c r="Q123" i="7" s="1"/>
  <c r="S123" i="7" s="1"/>
  <c r="M114" i="7"/>
  <c r="M105" i="7"/>
  <c r="M104" i="7"/>
  <c r="M103" i="7"/>
  <c r="M102" i="7"/>
  <c r="Q102" i="7" s="1"/>
  <c r="S102" i="7" s="1"/>
  <c r="M55" i="7"/>
  <c r="M54" i="7"/>
  <c r="M53" i="7"/>
  <c r="M52" i="7"/>
  <c r="Q52" i="7" s="1"/>
  <c r="S52" i="7" s="1"/>
  <c r="M366" i="7"/>
  <c r="M333" i="7"/>
  <c r="M306" i="7"/>
  <c r="M302" i="7"/>
  <c r="Q302" i="7" s="1"/>
  <c r="S302" i="7" s="1"/>
  <c r="M267" i="7"/>
  <c r="M264" i="7"/>
  <c r="M239" i="7"/>
  <c r="Q239" i="7" s="1"/>
  <c r="S239" i="7" s="1"/>
  <c r="M238" i="7"/>
  <c r="Q238" i="7" s="1"/>
  <c r="S238" i="7" s="1"/>
  <c r="M118" i="7"/>
  <c r="Q118" i="7" s="1"/>
  <c r="S118" i="7" s="1"/>
  <c r="M115" i="7"/>
  <c r="M101" i="7"/>
  <c r="M100" i="7"/>
  <c r="M99" i="7"/>
  <c r="M98" i="7"/>
  <c r="M85" i="7"/>
  <c r="M84" i="7"/>
  <c r="M83" i="7"/>
  <c r="M64" i="7"/>
  <c r="Q64" i="7" s="1"/>
  <c r="S64" i="7" s="1"/>
  <c r="M48" i="7"/>
  <c r="M363" i="7"/>
  <c r="M255" i="7"/>
  <c r="M367" i="7"/>
  <c r="M110" i="7"/>
  <c r="M47" i="7"/>
  <c r="M365" i="7"/>
  <c r="M341" i="7"/>
  <c r="M303" i="7"/>
  <c r="M268" i="7"/>
  <c r="Q268" i="7" s="1"/>
  <c r="S268" i="7" s="1"/>
  <c r="M233" i="7"/>
  <c r="Q233" i="7" s="1"/>
  <c r="S233" i="7" s="1"/>
  <c r="M349" i="7"/>
  <c r="Q349" i="7" s="1"/>
  <c r="S349" i="7" s="1"/>
  <c r="M244" i="7"/>
  <c r="M235" i="7"/>
  <c r="M130" i="7"/>
  <c r="M63" i="7"/>
  <c r="M62" i="7"/>
  <c r="M61" i="7"/>
  <c r="M60" i="7"/>
  <c r="Q60" i="7" s="1"/>
  <c r="S60" i="7" s="1"/>
  <c r="M334" i="7"/>
  <c r="M97" i="7"/>
  <c r="M46" i="7"/>
  <c r="M11" i="7"/>
  <c r="M39" i="7"/>
  <c r="M35" i="7"/>
  <c r="M28" i="7"/>
  <c r="M44" i="7"/>
  <c r="M33" i="7"/>
  <c r="M111" i="7"/>
  <c r="Q111" i="7" s="1"/>
  <c r="S111" i="7" s="1"/>
  <c r="M332" i="7"/>
  <c r="M30" i="7"/>
  <c r="M178" i="7"/>
  <c r="M180" i="7"/>
  <c r="Q180" i="7" s="1"/>
  <c r="S180" i="7" s="1"/>
  <c r="M249" i="7"/>
  <c r="Q249" i="7" s="1"/>
  <c r="S249" i="7" s="1"/>
  <c r="M112" i="7"/>
  <c r="M120" i="7"/>
  <c r="M286" i="7"/>
  <c r="Q286" i="7" s="1"/>
  <c r="S286" i="7" s="1"/>
  <c r="M134" i="7"/>
  <c r="M142" i="7"/>
  <c r="M166" i="7"/>
  <c r="M240" i="7"/>
  <c r="Q240" i="7" s="1"/>
  <c r="S240" i="7" s="1"/>
  <c r="M19" i="7"/>
  <c r="M12" i="7"/>
  <c r="M43" i="7"/>
  <c r="M186" i="7"/>
  <c r="Q186" i="7" s="1"/>
  <c r="S186" i="7" s="1"/>
  <c r="M32" i="7"/>
  <c r="M21" i="7"/>
  <c r="M37" i="7"/>
  <c r="M173" i="7"/>
  <c r="M34" i="7"/>
  <c r="M119" i="7"/>
  <c r="Q119" i="7" s="1"/>
  <c r="S119" i="7" s="1"/>
  <c r="M294" i="7"/>
  <c r="Q294" i="7" s="1"/>
  <c r="S294" i="7" s="1"/>
  <c r="M183" i="7"/>
  <c r="Q183" i="7" s="1"/>
  <c r="S183" i="7" s="1"/>
  <c r="M246" i="7"/>
  <c r="Q246" i="7" s="1"/>
  <c r="S246" i="7" s="1"/>
  <c r="M257" i="7"/>
  <c r="Q257" i="7" s="1"/>
  <c r="S257" i="7" s="1"/>
  <c r="M184" i="7"/>
  <c r="Q184" i="7" s="1"/>
  <c r="S184" i="7" s="1"/>
  <c r="M132" i="7"/>
  <c r="M133" i="7"/>
  <c r="M139" i="7"/>
  <c r="Q139" i="7" s="1"/>
  <c r="S139" i="7" s="1"/>
  <c r="M140" i="7"/>
  <c r="Q140" i="7" s="1"/>
  <c r="S140" i="7" s="1"/>
  <c r="M141" i="7"/>
  <c r="Q141" i="7" s="1"/>
  <c r="S141" i="7" s="1"/>
  <c r="M163" i="7"/>
  <c r="M164" i="7"/>
  <c r="Q164" i="7" s="1"/>
  <c r="S164" i="7" s="1"/>
  <c r="M165" i="7"/>
  <c r="Q165" i="7" s="1"/>
  <c r="S165" i="7" s="1"/>
  <c r="M171" i="7"/>
  <c r="Q171" i="7" s="1"/>
  <c r="S171" i="7" s="1"/>
  <c r="M172" i="7"/>
  <c r="Q172" i="7" s="1"/>
  <c r="S172" i="7" s="1"/>
  <c r="M175" i="7"/>
  <c r="Q175" i="7" s="1"/>
  <c r="S175" i="7" s="1"/>
  <c r="M23" i="7"/>
  <c r="M331" i="7"/>
  <c r="M20" i="7"/>
  <c r="M36" i="7"/>
  <c r="M25" i="7"/>
  <c r="M41" i="7"/>
  <c r="M181" i="7"/>
  <c r="M22" i="7"/>
  <c r="M38" i="7"/>
  <c r="M174" i="7"/>
  <c r="M185" i="7"/>
  <c r="M278" i="7"/>
  <c r="Q278" i="7" s="1"/>
  <c r="S278" i="7" s="1"/>
  <c r="M116" i="7"/>
  <c r="M128" i="7"/>
  <c r="M138" i="7"/>
  <c r="M146" i="7"/>
  <c r="M162" i="7"/>
  <c r="M170" i="7"/>
  <c r="M282" i="7"/>
  <c r="Q282" i="7" s="1"/>
  <c r="S282" i="7" s="1"/>
  <c r="M290" i="7"/>
  <c r="Q290" i="7" s="1"/>
  <c r="S290" i="7" s="1"/>
  <c r="M129" i="7"/>
  <c r="Q129" i="7" s="1"/>
  <c r="S129" i="7" s="1"/>
  <c r="M280" i="7"/>
  <c r="Q280" i="7" s="1"/>
  <c r="S280" i="7" s="1"/>
  <c r="M288" i="7"/>
  <c r="Q288" i="7" s="1"/>
  <c r="S288" i="7" s="1"/>
  <c r="M192" i="7"/>
  <c r="Q192" i="7" s="1"/>
  <c r="S192" i="7" s="1"/>
  <c r="M193" i="7"/>
  <c r="Q193" i="7" s="1"/>
  <c r="S193" i="7" s="1"/>
  <c r="M194" i="7"/>
  <c r="Q194" i="7" s="1"/>
  <c r="S194" i="7" s="1"/>
  <c r="M201" i="7"/>
  <c r="Q201" i="7" s="1"/>
  <c r="S201" i="7" s="1"/>
  <c r="M31" i="7"/>
  <c r="M24" i="7"/>
  <c r="M45" i="7"/>
  <c r="M42" i="7"/>
  <c r="M237" i="7"/>
  <c r="M236" i="7"/>
  <c r="Q236" i="7" s="1"/>
  <c r="S236" i="7" s="1"/>
  <c r="M265" i="7"/>
  <c r="Q265" i="7" s="1"/>
  <c r="S265" i="7" s="1"/>
  <c r="M167" i="7"/>
  <c r="Q167" i="7" s="1"/>
  <c r="S167" i="7" s="1"/>
  <c r="M168" i="7"/>
  <c r="Q168" i="7" s="1"/>
  <c r="S168" i="7" s="1"/>
  <c r="M169" i="7"/>
  <c r="M260" i="7"/>
  <c r="M176" i="7"/>
  <c r="M179" i="7"/>
  <c r="M329" i="7"/>
  <c r="Q329" i="7" s="1"/>
  <c r="S329" i="7" s="1"/>
  <c r="M189" i="7"/>
  <c r="M190" i="7"/>
  <c r="M199" i="7"/>
  <c r="M217" i="7"/>
  <c r="M218" i="7"/>
  <c r="Q218" i="7" s="1"/>
  <c r="S218" i="7" s="1"/>
  <c r="M224" i="7"/>
  <c r="Q224" i="7" s="1"/>
  <c r="S224" i="7" s="1"/>
  <c r="M225" i="7"/>
  <c r="Q225" i="7" s="1"/>
  <c r="S225" i="7" s="1"/>
  <c r="M226" i="7"/>
  <c r="Q226" i="7" s="1"/>
  <c r="S226" i="7" s="1"/>
  <c r="M232" i="7"/>
  <c r="Q232" i="7" s="1"/>
  <c r="S232" i="7" s="1"/>
  <c r="M242" i="7"/>
  <c r="M308" i="7"/>
  <c r="M324" i="7"/>
  <c r="Q324" i="7" s="1"/>
  <c r="S324" i="7" s="1"/>
  <c r="M347" i="7"/>
  <c r="Q347" i="7" s="1"/>
  <c r="S347" i="7" s="1"/>
  <c r="M261" i="7"/>
  <c r="M322" i="7"/>
  <c r="Q322" i="7" s="1"/>
  <c r="S322" i="7" s="1"/>
  <c r="M326" i="7"/>
  <c r="Q326" i="7" s="1"/>
  <c r="S326" i="7" s="1"/>
  <c r="M336" i="7"/>
  <c r="M361" i="7"/>
  <c r="M350" i="7"/>
  <c r="M354" i="7"/>
  <c r="Q354" i="7" s="1"/>
  <c r="S354" i="7" s="1"/>
  <c r="M357" i="7"/>
  <c r="M311" i="7"/>
  <c r="Q311" i="7" s="1"/>
  <c r="S311" i="7" s="1"/>
  <c r="M327" i="7"/>
  <c r="Q327" i="7" s="1"/>
  <c r="S327" i="7" s="1"/>
  <c r="M335" i="7"/>
  <c r="Q335" i="7" s="1"/>
  <c r="S335" i="7" s="1"/>
  <c r="M339" i="7"/>
  <c r="Q339" i="7" s="1"/>
  <c r="S339" i="7" s="1"/>
  <c r="M351" i="7"/>
  <c r="M13" i="7"/>
  <c r="M40" i="7"/>
  <c r="M143" i="7"/>
  <c r="M144" i="7"/>
  <c r="Q144" i="7" s="1"/>
  <c r="S144" i="7" s="1"/>
  <c r="M292" i="7"/>
  <c r="Q292" i="7" s="1"/>
  <c r="S292" i="7" s="1"/>
  <c r="M196" i="7"/>
  <c r="Q196" i="7" s="1"/>
  <c r="S196" i="7" s="1"/>
  <c r="M207" i="7"/>
  <c r="M223" i="7"/>
  <c r="M231" i="7"/>
  <c r="M281" i="7"/>
  <c r="Q281" i="7" s="1"/>
  <c r="S281" i="7" s="1"/>
  <c r="M283" i="7"/>
  <c r="Q283" i="7" s="1"/>
  <c r="S283" i="7" s="1"/>
  <c r="M285" i="7"/>
  <c r="Q285" i="7" s="1"/>
  <c r="S285" i="7" s="1"/>
  <c r="M287" i="7"/>
  <c r="Q287" i="7" s="1"/>
  <c r="S287" i="7" s="1"/>
  <c r="M289" i="7"/>
  <c r="Q289" i="7" s="1"/>
  <c r="S289" i="7" s="1"/>
  <c r="M291" i="7"/>
  <c r="Q291" i="7" s="1"/>
  <c r="S291" i="7" s="1"/>
  <c r="M293" i="7"/>
  <c r="Q293" i="7" s="1"/>
  <c r="S293" i="7" s="1"/>
  <c r="M295" i="7"/>
  <c r="Q295" i="7" s="1"/>
  <c r="S295" i="7" s="1"/>
  <c r="M297" i="7"/>
  <c r="Q297" i="7" s="1"/>
  <c r="S297" i="7" s="1"/>
  <c r="M312" i="7"/>
  <c r="M243" i="7"/>
  <c r="M247" i="7"/>
  <c r="Q247" i="7" s="1"/>
  <c r="S247" i="7" s="1"/>
  <c r="M315" i="7"/>
  <c r="Q315" i="7" s="1"/>
  <c r="S315" i="7" s="1"/>
  <c r="M323" i="7"/>
  <c r="Q323" i="7" s="1"/>
  <c r="S323" i="7" s="1"/>
  <c r="M344" i="7"/>
  <c r="M27" i="7"/>
  <c r="M182" i="7"/>
  <c r="Q182" i="7" s="1"/>
  <c r="S182" i="7" s="1"/>
  <c r="M177" i="7"/>
  <c r="M124" i="7"/>
  <c r="M136" i="7"/>
  <c r="Q136" i="7" s="1"/>
  <c r="S136" i="7" s="1"/>
  <c r="M137" i="7"/>
  <c r="Q137" i="7" s="1"/>
  <c r="S137" i="7" s="1"/>
  <c r="M113" i="7"/>
  <c r="Q113" i="7" s="1"/>
  <c r="S113" i="7" s="1"/>
  <c r="M296" i="7"/>
  <c r="Q296" i="7" s="1"/>
  <c r="S296" i="7" s="1"/>
  <c r="M195" i="7"/>
  <c r="M220" i="7"/>
  <c r="M221" i="7"/>
  <c r="Q221" i="7" s="1"/>
  <c r="S221" i="7" s="1"/>
  <c r="M222" i="7"/>
  <c r="M228" i="7"/>
  <c r="Q228" i="7" s="1"/>
  <c r="S228" i="7" s="1"/>
  <c r="M229" i="7"/>
  <c r="Q229" i="7" s="1"/>
  <c r="S229" i="7" s="1"/>
  <c r="M230" i="7"/>
  <c r="Q230" i="7" s="1"/>
  <c r="S230" i="7" s="1"/>
  <c r="M316" i="7"/>
  <c r="Q316" i="7" s="1"/>
  <c r="S316" i="7" s="1"/>
  <c r="M356" i="7"/>
  <c r="M307" i="7"/>
  <c r="Q307" i="7" s="1"/>
  <c r="S307" i="7" s="1"/>
  <c r="M355" i="7"/>
  <c r="M330" i="7"/>
  <c r="Q330" i="7" s="1"/>
  <c r="S330" i="7" s="1"/>
  <c r="M343" i="7"/>
  <c r="M338" i="7"/>
  <c r="Q338" i="7" s="1"/>
  <c r="S338" i="7" s="1"/>
  <c r="M342" i="7"/>
  <c r="M358" i="7"/>
  <c r="M14" i="7"/>
  <c r="M328" i="7"/>
  <c r="M325" i="7"/>
  <c r="Q325" i="7" s="1"/>
  <c r="S325" i="7" s="1"/>
  <c r="M29" i="7"/>
  <c r="M191" i="7"/>
  <c r="M362" i="7"/>
  <c r="M352" i="7"/>
  <c r="M26" i="7"/>
  <c r="M284" i="7"/>
  <c r="Q284" i="7" s="1"/>
  <c r="S284" i="7" s="1"/>
  <c r="M348" i="7"/>
  <c r="M219" i="7"/>
  <c r="M254" i="7"/>
  <c r="M258" i="7"/>
  <c r="M262" i="7"/>
  <c r="M266" i="7"/>
  <c r="M270" i="7"/>
  <c r="M346" i="7"/>
  <c r="M359" i="7"/>
  <c r="M9" i="7"/>
  <c r="M10" i="7"/>
  <c r="M117" i="7"/>
  <c r="Q117" i="7" s="1"/>
  <c r="S117" i="7" s="1"/>
  <c r="M121" i="7"/>
  <c r="M125" i="7"/>
  <c r="M227" i="7"/>
  <c r="M250" i="7"/>
  <c r="P88" i="7"/>
  <c r="M88" i="7"/>
  <c r="P87" i="7"/>
  <c r="M87" i="7"/>
  <c r="P15" i="7"/>
  <c r="L368" i="7"/>
  <c r="M15" i="7"/>
  <c r="L376" i="7"/>
  <c r="L379" i="7" s="1"/>
  <c r="M66" i="7"/>
  <c r="P66" i="7"/>
  <c r="M90" i="7"/>
  <c r="P90" i="7"/>
  <c r="P49" i="7"/>
  <c r="M49" i="7"/>
  <c r="P67" i="7"/>
  <c r="M67" i="7"/>
  <c r="P79" i="7"/>
  <c r="M79" i="7"/>
  <c r="P148" i="7"/>
  <c r="M148" i="7"/>
  <c r="P152" i="7"/>
  <c r="M152" i="7"/>
  <c r="P161" i="7"/>
  <c r="M161" i="7"/>
  <c r="M93" i="7"/>
  <c r="P93" i="7"/>
  <c r="P135" i="7"/>
  <c r="M135" i="7"/>
  <c r="P215" i="7"/>
  <c r="M215" i="7"/>
  <c r="P214" i="7"/>
  <c r="M214" i="7"/>
  <c r="M202" i="7"/>
  <c r="P202" i="7"/>
  <c r="P206" i="7"/>
  <c r="M206" i="7"/>
  <c r="P197" i="7"/>
  <c r="M197" i="7"/>
  <c r="P253" i="7"/>
  <c r="M253" i="7"/>
  <c r="P271" i="7"/>
  <c r="M271" i="7"/>
  <c r="P279" i="7"/>
  <c r="M279" i="7"/>
  <c r="P319" i="7"/>
  <c r="M319" i="7"/>
  <c r="H17" i="7"/>
  <c r="E17" i="7"/>
  <c r="H68" i="7"/>
  <c r="E68" i="7"/>
  <c r="E154" i="7"/>
  <c r="H154" i="7"/>
  <c r="H81" i="7"/>
  <c r="E81" i="7"/>
  <c r="H49" i="7"/>
  <c r="E49" i="7"/>
  <c r="H67" i="7"/>
  <c r="E67" i="7"/>
  <c r="H79" i="7"/>
  <c r="E79" i="7"/>
  <c r="E147" i="7"/>
  <c r="H147" i="7"/>
  <c r="E69" i="7"/>
  <c r="H69" i="7"/>
  <c r="H73" i="7"/>
  <c r="E73" i="7"/>
  <c r="H87" i="7"/>
  <c r="E87" i="7"/>
  <c r="E135" i="7"/>
  <c r="H135" i="7"/>
  <c r="E156" i="7"/>
  <c r="H156" i="7"/>
  <c r="E155" i="7"/>
  <c r="H155" i="7"/>
  <c r="E204" i="7"/>
  <c r="H204" i="7"/>
  <c r="E209" i="7"/>
  <c r="H209" i="7"/>
  <c r="E273" i="7"/>
  <c r="H273" i="7"/>
  <c r="H188" i="7"/>
  <c r="E188" i="7"/>
  <c r="E215" i="7"/>
  <c r="H215" i="7"/>
  <c r="E269" i="7"/>
  <c r="H269" i="7"/>
  <c r="E320" i="7"/>
  <c r="H320" i="7"/>
  <c r="E276" i="7"/>
  <c r="H276" i="7"/>
  <c r="H91" i="7"/>
  <c r="E91" i="7"/>
  <c r="E148" i="7"/>
  <c r="H148" i="7"/>
  <c r="H66" i="7"/>
  <c r="E66" i="7"/>
  <c r="H86" i="7"/>
  <c r="E86" i="7"/>
  <c r="E50" i="7"/>
  <c r="H50" i="7"/>
  <c r="H80" i="7"/>
  <c r="E80" i="7"/>
  <c r="E89" i="7"/>
  <c r="H89" i="7"/>
  <c r="E149" i="7"/>
  <c r="H149" i="7"/>
  <c r="E70" i="7"/>
  <c r="H70" i="7"/>
  <c r="E74" i="7"/>
  <c r="H74" i="7"/>
  <c r="E88" i="7"/>
  <c r="H88" i="7"/>
  <c r="E145" i="7"/>
  <c r="H145" i="7"/>
  <c r="E157" i="7"/>
  <c r="H157" i="7"/>
  <c r="E211" i="7"/>
  <c r="H211" i="7"/>
  <c r="E205" i="7"/>
  <c r="H205" i="7"/>
  <c r="E210" i="7"/>
  <c r="H210" i="7"/>
  <c r="E197" i="7"/>
  <c r="H197" i="7"/>
  <c r="E212" i="7"/>
  <c r="H212" i="7"/>
  <c r="E216" i="7"/>
  <c r="H216" i="7"/>
  <c r="E272" i="7"/>
  <c r="H272" i="7"/>
  <c r="E277" i="7"/>
  <c r="H277" i="7"/>
  <c r="E317" i="7"/>
  <c r="H317" i="7"/>
  <c r="H16" i="7"/>
  <c r="E16" i="7"/>
  <c r="E150" i="7"/>
  <c r="H150" i="7"/>
  <c r="E126" i="7"/>
  <c r="H126" i="7"/>
  <c r="H90" i="7"/>
  <c r="E90" i="7"/>
  <c r="E51" i="7"/>
  <c r="H51" i="7"/>
  <c r="H95" i="7"/>
  <c r="E95" i="7"/>
  <c r="H92" i="7"/>
  <c r="E92" i="7"/>
  <c r="E151" i="7"/>
  <c r="H151" i="7"/>
  <c r="H71" i="7"/>
  <c r="E71" i="7"/>
  <c r="E78" i="7"/>
  <c r="H78" i="7"/>
  <c r="H93" i="7"/>
  <c r="E93" i="7"/>
  <c r="E159" i="7"/>
  <c r="H159" i="7"/>
  <c r="E158" i="7"/>
  <c r="H158" i="7"/>
  <c r="E202" i="7"/>
  <c r="H202" i="7"/>
  <c r="E206" i="7"/>
  <c r="H206" i="7"/>
  <c r="E253" i="7"/>
  <c r="H253" i="7"/>
  <c r="E198" i="7"/>
  <c r="H198" i="7"/>
  <c r="E213" i="7"/>
  <c r="H213" i="7"/>
  <c r="H252" i="7"/>
  <c r="E252" i="7"/>
  <c r="E274" i="7"/>
  <c r="H274" i="7"/>
  <c r="E318" i="7"/>
  <c r="H318" i="7"/>
  <c r="E319" i="7"/>
  <c r="H319" i="7"/>
  <c r="E334" i="7"/>
  <c r="E330" i="7"/>
  <c r="E328" i="7"/>
  <c r="E326" i="7"/>
  <c r="E324" i="7"/>
  <c r="E322" i="7"/>
  <c r="E316" i="7"/>
  <c r="E313" i="7"/>
  <c r="E312" i="7"/>
  <c r="E311" i="7"/>
  <c r="E294" i="7"/>
  <c r="E290" i="7"/>
  <c r="E286" i="7"/>
  <c r="E282" i="7"/>
  <c r="E278" i="7"/>
  <c r="E270" i="7"/>
  <c r="E267" i="7"/>
  <c r="E266" i="7"/>
  <c r="E265" i="7"/>
  <c r="E260" i="7"/>
  <c r="E250" i="7"/>
  <c r="E246" i="7"/>
  <c r="E242" i="7"/>
  <c r="E229" i="7"/>
  <c r="E225" i="7"/>
  <c r="E221" i="7"/>
  <c r="E217" i="7"/>
  <c r="E201" i="7"/>
  <c r="E193" i="7"/>
  <c r="E176" i="7"/>
  <c r="E175" i="7"/>
  <c r="E170" i="7"/>
  <c r="E166" i="7"/>
  <c r="E162" i="7"/>
  <c r="E146" i="7"/>
  <c r="E142" i="7"/>
  <c r="E138" i="7"/>
  <c r="E134" i="7"/>
  <c r="E131" i="7"/>
  <c r="E125" i="7"/>
  <c r="E124" i="7"/>
  <c r="E114" i="7"/>
  <c r="E113" i="7"/>
  <c r="E112" i="7"/>
  <c r="E111" i="7"/>
  <c r="E314" i="7"/>
  <c r="E309" i="7"/>
  <c r="E308" i="7"/>
  <c r="E307" i="7"/>
  <c r="E297" i="7"/>
  <c r="E293" i="7"/>
  <c r="E289" i="7"/>
  <c r="E285" i="7"/>
  <c r="E281" i="7"/>
  <c r="E264" i="7"/>
  <c r="E255" i="7"/>
  <c r="E254" i="7"/>
  <c r="E245" i="7"/>
  <c r="E230" i="7"/>
  <c r="E226" i="7"/>
  <c r="E222" i="7"/>
  <c r="E218" i="7"/>
  <c r="E194" i="7"/>
  <c r="E190" i="7"/>
  <c r="E185" i="7"/>
  <c r="E181" i="7"/>
  <c r="E179" i="7"/>
  <c r="E171" i="7"/>
  <c r="E167" i="7"/>
  <c r="E163" i="7"/>
  <c r="E143" i="7"/>
  <c r="E139" i="7"/>
  <c r="E123" i="7"/>
  <c r="E118" i="7"/>
  <c r="E117" i="7"/>
  <c r="E116" i="7"/>
  <c r="E332" i="7"/>
  <c r="E329" i="7"/>
  <c r="E327" i="7"/>
  <c r="E325" i="7"/>
  <c r="E323" i="7"/>
  <c r="E315" i="7"/>
  <c r="E310" i="7"/>
  <c r="E296" i="7"/>
  <c r="E292" i="7"/>
  <c r="E288" i="7"/>
  <c r="E284" i="7"/>
  <c r="E280" i="7"/>
  <c r="E268" i="7"/>
  <c r="E259" i="7"/>
  <c r="E258" i="7"/>
  <c r="E257" i="7"/>
  <c r="E247" i="7"/>
  <c r="E244" i="7"/>
  <c r="E243" i="7"/>
  <c r="E235" i="7"/>
  <c r="E234" i="7"/>
  <c r="E231" i="7"/>
  <c r="E227" i="7"/>
  <c r="E223" i="7"/>
  <c r="E219" i="7"/>
  <c r="E207" i="7"/>
  <c r="E199" i="7"/>
  <c r="E195" i="7"/>
  <c r="E191" i="7"/>
  <c r="E184" i="7"/>
  <c r="E180" i="7"/>
  <c r="E172" i="7"/>
  <c r="E168" i="7"/>
  <c r="E164" i="7"/>
  <c r="E144" i="7"/>
  <c r="E140" i="7"/>
  <c r="E136" i="7"/>
  <c r="E132" i="7"/>
  <c r="E130" i="7"/>
  <c r="E129" i="7"/>
  <c r="E128" i="7"/>
  <c r="E115" i="7"/>
  <c r="E110" i="7"/>
  <c r="E364" i="7"/>
  <c r="E331" i="7"/>
  <c r="E295" i="7"/>
  <c r="E291" i="7"/>
  <c r="E287" i="7"/>
  <c r="E283" i="7"/>
  <c r="E263" i="7"/>
  <c r="E262" i="7"/>
  <c r="E261" i="7"/>
  <c r="E256" i="7"/>
  <c r="E249" i="7"/>
  <c r="E248" i="7"/>
  <c r="E232" i="7"/>
  <c r="E228" i="7"/>
  <c r="E224" i="7"/>
  <c r="E220" i="7"/>
  <c r="E196" i="7"/>
  <c r="E192" i="7"/>
  <c r="E177" i="7"/>
  <c r="E173" i="7"/>
  <c r="E169" i="7"/>
  <c r="E165" i="7"/>
  <c r="E141" i="7"/>
  <c r="E137" i="7"/>
  <c r="E133" i="7"/>
  <c r="E122" i="7"/>
  <c r="E121" i="7"/>
  <c r="E120" i="7"/>
  <c r="E119" i="7"/>
  <c r="E44" i="7"/>
  <c r="E40" i="7"/>
  <c r="E36" i="7"/>
  <c r="E32" i="7"/>
  <c r="E28" i="7"/>
  <c r="E24" i="7"/>
  <c r="E20" i="7"/>
  <c r="E12" i="7"/>
  <c r="E35" i="7"/>
  <c r="E31" i="7"/>
  <c r="E23" i="7"/>
  <c r="E19" i="7"/>
  <c r="E11" i="7"/>
  <c r="E45" i="7"/>
  <c r="E41" i="7"/>
  <c r="E37" i="7"/>
  <c r="E33" i="7"/>
  <c r="E29" i="7"/>
  <c r="E25" i="7"/>
  <c r="E21" i="7"/>
  <c r="E13" i="7"/>
  <c r="E9" i="7"/>
  <c r="E43" i="7"/>
  <c r="E42" i="7"/>
  <c r="E38" i="7"/>
  <c r="E34" i="7"/>
  <c r="E30" i="7"/>
  <c r="E26" i="7"/>
  <c r="E22" i="7"/>
  <c r="E14" i="7"/>
  <c r="E10" i="7"/>
  <c r="E39" i="7"/>
  <c r="E27" i="7"/>
  <c r="E46" i="7"/>
  <c r="E183" i="7"/>
  <c r="E60" i="7"/>
  <c r="E64" i="7"/>
  <c r="E54" i="7"/>
  <c r="E59" i="7"/>
  <c r="E56" i="7"/>
  <c r="E97" i="7"/>
  <c r="E105" i="7"/>
  <c r="E58" i="7"/>
  <c r="E104" i="7"/>
  <c r="E62" i="7"/>
  <c r="E84" i="7"/>
  <c r="E174" i="7"/>
  <c r="E240" i="7"/>
  <c r="E100" i="7"/>
  <c r="E55" i="7"/>
  <c r="E57" i="7"/>
  <c r="E98" i="7"/>
  <c r="E182" i="7"/>
  <c r="E236" i="7"/>
  <c r="E178" i="7"/>
  <c r="E103" i="7"/>
  <c r="E107" i="7"/>
  <c r="E47" i="7"/>
  <c r="E48" i="7"/>
  <c r="E53" i="7"/>
  <c r="E77" i="7"/>
  <c r="E75" i="7"/>
  <c r="E106" i="7"/>
  <c r="E83" i="7"/>
  <c r="E233" i="7"/>
  <c r="E338" i="7"/>
  <c r="E238" i="7"/>
  <c r="E298" i="7"/>
  <c r="E335" i="7"/>
  <c r="E303" i="7"/>
  <c r="E343" i="7"/>
  <c r="E351" i="7"/>
  <c r="E363" i="7"/>
  <c r="I363" i="7" s="1"/>
  <c r="K363" i="7" s="1"/>
  <c r="E341" i="7"/>
  <c r="E349" i="7"/>
  <c r="E358" i="7"/>
  <c r="E360" i="7"/>
  <c r="E186" i="7"/>
  <c r="E344" i="7"/>
  <c r="E239" i="7"/>
  <c r="E365" i="7"/>
  <c r="E347" i="7"/>
  <c r="E355" i="7"/>
  <c r="E348" i="7"/>
  <c r="E300" i="7"/>
  <c r="E304" i="7"/>
  <c r="E333" i="7"/>
  <c r="E346" i="7"/>
  <c r="E354" i="7"/>
  <c r="E109" i="7"/>
  <c r="E63" i="7"/>
  <c r="E102" i="7"/>
  <c r="E76" i="7"/>
  <c r="E99" i="7"/>
  <c r="E241" i="7"/>
  <c r="E189" i="7"/>
  <c r="E339" i="7"/>
  <c r="E299" i="7"/>
  <c r="E366" i="7"/>
  <c r="E336" i="7"/>
  <c r="E367" i="7"/>
  <c r="E301" i="7"/>
  <c r="E305" i="7"/>
  <c r="E342" i="7"/>
  <c r="E350" i="7"/>
  <c r="E362" i="7"/>
  <c r="E337" i="7"/>
  <c r="E345" i="7"/>
  <c r="E353" i="7"/>
  <c r="E85" i="7"/>
  <c r="E108" i="7"/>
  <c r="E352" i="7"/>
  <c r="E340" i="7"/>
  <c r="E306" i="7"/>
  <c r="E101" i="7"/>
  <c r="E61" i="7"/>
  <c r="E361" i="7"/>
  <c r="E357" i="7"/>
  <c r="E237" i="7"/>
  <c r="E356" i="7"/>
  <c r="E359" i="7"/>
  <c r="E52" i="7"/>
  <c r="E302" i="7"/>
  <c r="E15" i="7"/>
  <c r="D368" i="7"/>
  <c r="D376" i="7"/>
  <c r="D379" i="7" s="1"/>
  <c r="H15" i="7"/>
  <c r="E152" i="7"/>
  <c r="H152" i="7"/>
  <c r="H18" i="7"/>
  <c r="E18" i="7"/>
  <c r="H94" i="7"/>
  <c r="E94" i="7"/>
  <c r="E65" i="7"/>
  <c r="H65" i="7"/>
  <c r="E161" i="7"/>
  <c r="H161" i="7"/>
  <c r="H96" i="7"/>
  <c r="E96" i="7"/>
  <c r="E153" i="7"/>
  <c r="H153" i="7"/>
  <c r="H72" i="7"/>
  <c r="E72" i="7"/>
  <c r="H82" i="7"/>
  <c r="E82" i="7"/>
  <c r="E160" i="7"/>
  <c r="H160" i="7"/>
  <c r="E187" i="7"/>
  <c r="H187" i="7"/>
  <c r="H127" i="7"/>
  <c r="E127" i="7"/>
  <c r="E203" i="7"/>
  <c r="H203" i="7"/>
  <c r="E208" i="7"/>
  <c r="H208" i="7"/>
  <c r="E271" i="7"/>
  <c r="H271" i="7"/>
  <c r="E200" i="7"/>
  <c r="H200" i="7"/>
  <c r="E214" i="7"/>
  <c r="H214" i="7"/>
  <c r="E251" i="7"/>
  <c r="H251" i="7"/>
  <c r="E279" i="7"/>
  <c r="H279" i="7"/>
  <c r="E275" i="7"/>
  <c r="H275" i="7"/>
  <c r="E321" i="7"/>
  <c r="H321" i="7"/>
  <c r="Q274" i="7" l="1"/>
  <c r="S274" i="7" s="1"/>
  <c r="Q252" i="7"/>
  <c r="S252" i="7" s="1"/>
  <c r="Q205" i="7"/>
  <c r="S205" i="7" s="1"/>
  <c r="Q96" i="7"/>
  <c r="S96" i="7" s="1"/>
  <c r="Q160" i="7"/>
  <c r="Q147" i="7"/>
  <c r="Q65" i="7"/>
  <c r="S65" i="7" s="1"/>
  <c r="Q86" i="7"/>
  <c r="S86" i="7" s="1"/>
  <c r="Q71" i="7"/>
  <c r="S71" i="7" s="1"/>
  <c r="Q69" i="7"/>
  <c r="S69" i="7" s="1"/>
  <c r="Q317" i="7"/>
  <c r="S317" i="7" s="1"/>
  <c r="Q269" i="7"/>
  <c r="S269" i="7" s="1"/>
  <c r="Q275" i="7"/>
  <c r="S275" i="7" s="1"/>
  <c r="Q151" i="7"/>
  <c r="S151" i="7" s="1"/>
  <c r="Q213" i="7"/>
  <c r="S213" i="7" s="1"/>
  <c r="Q78" i="7"/>
  <c r="S78" i="7" s="1"/>
  <c r="Q321" i="7"/>
  <c r="S321" i="7" s="1"/>
  <c r="Q204" i="7"/>
  <c r="S204" i="7" s="1"/>
  <c r="Q157" i="7"/>
  <c r="S157" i="7" s="1"/>
  <c r="Q95" i="7"/>
  <c r="S95" i="7" s="1"/>
  <c r="Q154" i="7"/>
  <c r="S154" i="7" s="1"/>
  <c r="Q81" i="7"/>
  <c r="Q272" i="7"/>
  <c r="S272" i="7" s="1"/>
  <c r="Q198" i="7"/>
  <c r="S198" i="7" s="1"/>
  <c r="Q156" i="7"/>
  <c r="S156" i="7" s="1"/>
  <c r="Q94" i="7"/>
  <c r="Q153" i="7"/>
  <c r="S153" i="7" s="1"/>
  <c r="Q68" i="7"/>
  <c r="S68" i="7" s="1"/>
  <c r="Q73" i="7"/>
  <c r="S73" i="7" s="1"/>
  <c r="AE269" i="7"/>
  <c r="AE187" i="7"/>
  <c r="AG187" i="7" s="1"/>
  <c r="Q276" i="7"/>
  <c r="S276" i="7" s="1"/>
  <c r="Q159" i="7"/>
  <c r="S159" i="7" s="1"/>
  <c r="Q155" i="7"/>
  <c r="S155" i="7" s="1"/>
  <c r="Q72" i="7"/>
  <c r="S72" i="7" s="1"/>
  <c r="Q277" i="7"/>
  <c r="S277" i="7" s="1"/>
  <c r="Q145" i="7"/>
  <c r="S145" i="7" s="1"/>
  <c r="AE275" i="7"/>
  <c r="AG275" i="7" s="1"/>
  <c r="AE251" i="7"/>
  <c r="AG251" i="7" s="1"/>
  <c r="AE155" i="7"/>
  <c r="AG155" i="7" s="1"/>
  <c r="AE153" i="7"/>
  <c r="AE73" i="7"/>
  <c r="AG73" i="7" s="1"/>
  <c r="Q279" i="7"/>
  <c r="S279" i="7" s="1"/>
  <c r="Q253" i="7"/>
  <c r="S253" i="7" s="1"/>
  <c r="Q161" i="7"/>
  <c r="S161" i="7" s="1"/>
  <c r="Q148" i="7"/>
  <c r="S148" i="7" s="1"/>
  <c r="Q67" i="7"/>
  <c r="S67" i="7" s="1"/>
  <c r="AE321" i="7"/>
  <c r="AG321" i="7" s="1"/>
  <c r="AE92" i="7"/>
  <c r="AE319" i="7"/>
  <c r="AG319" i="7" s="1"/>
  <c r="AE271" i="7"/>
  <c r="AG271" i="7" s="1"/>
  <c r="AE210" i="7"/>
  <c r="AG210" i="7" s="1"/>
  <c r="AE211" i="7"/>
  <c r="AG211" i="7" s="1"/>
  <c r="AE91" i="7"/>
  <c r="AG91" i="7" s="1"/>
  <c r="AE151" i="7"/>
  <c r="AG151" i="7" s="1"/>
  <c r="AE273" i="7"/>
  <c r="AG273" i="7" s="1"/>
  <c r="AE149" i="7"/>
  <c r="AE89" i="7"/>
  <c r="AG89" i="7" s="1"/>
  <c r="AE15" i="7"/>
  <c r="AG15" i="7" s="1"/>
  <c r="Q271" i="7"/>
  <c r="S271" i="7" s="1"/>
  <c r="Q197" i="7"/>
  <c r="Q152" i="7"/>
  <c r="S152" i="7" s="1"/>
  <c r="Q91" i="7"/>
  <c r="S91" i="7" s="1"/>
  <c r="Q17" i="7"/>
  <c r="S17" i="7" s="1"/>
  <c r="AE147" i="7"/>
  <c r="AE51" i="7"/>
  <c r="AG51" i="7" s="1"/>
  <c r="AE88" i="7"/>
  <c r="AG88" i="7" s="1"/>
  <c r="AE274" i="7"/>
  <c r="AG274" i="7" s="1"/>
  <c r="AE253" i="7"/>
  <c r="AG253" i="7" s="1"/>
  <c r="AE213" i="7"/>
  <c r="AG213" i="7" s="1"/>
  <c r="AE154" i="7"/>
  <c r="AG154" i="7" s="1"/>
  <c r="AE126" i="7"/>
  <c r="AG126" i="7" s="1"/>
  <c r="AE87" i="7"/>
  <c r="AG87" i="7" s="1"/>
  <c r="AE276" i="7"/>
  <c r="AG276" i="7" s="1"/>
  <c r="AE18" i="7"/>
  <c r="AG18" i="7" s="1"/>
  <c r="AE318" i="7"/>
  <c r="AG318" i="7" s="1"/>
  <c r="AE206" i="7"/>
  <c r="AG206" i="7" s="1"/>
  <c r="AE96" i="7"/>
  <c r="AG96" i="7" s="1"/>
  <c r="AE161" i="7"/>
  <c r="AG161" i="7" s="1"/>
  <c r="AE65" i="7"/>
  <c r="AG65" i="7" s="1"/>
  <c r="AE66" i="7"/>
  <c r="AG66" i="7" s="1"/>
  <c r="AE197" i="7"/>
  <c r="AG197" i="7" s="1"/>
  <c r="AE157" i="7"/>
  <c r="AG157" i="7" s="1"/>
  <c r="AE209" i="7"/>
  <c r="AG209" i="7" s="1"/>
  <c r="AE145" i="7"/>
  <c r="AE150" i="7"/>
  <c r="AG150" i="7" s="1"/>
  <c r="AE252" i="7"/>
  <c r="AG252" i="7" s="1"/>
  <c r="AE203" i="7"/>
  <c r="AG203" i="7" s="1"/>
  <c r="AE93" i="7"/>
  <c r="AG93" i="7" s="1"/>
  <c r="AE272" i="7"/>
  <c r="AG272" i="7" s="1"/>
  <c r="AE277" i="7"/>
  <c r="AG277" i="7" s="1"/>
  <c r="AE188" i="7"/>
  <c r="AG188" i="7" s="1"/>
  <c r="AE127" i="7"/>
  <c r="AG127" i="7" s="1"/>
  <c r="AE279" i="7"/>
  <c r="AG279" i="7" s="1"/>
  <c r="AE205" i="7"/>
  <c r="AG205" i="7" s="1"/>
  <c r="AE214" i="7"/>
  <c r="AG214" i="7" s="1"/>
  <c r="AE160" i="7"/>
  <c r="AG160" i="7" s="1"/>
  <c r="AE216" i="7"/>
  <c r="AG216" i="7" s="1"/>
  <c r="AE200" i="7"/>
  <c r="AG200" i="7" s="1"/>
  <c r="Q90" i="7"/>
  <c r="S90" i="7" s="1"/>
  <c r="Q15" i="7"/>
  <c r="S15" i="7" s="1"/>
  <c r="Q149" i="7"/>
  <c r="S149" i="7" s="1"/>
  <c r="Q88" i="7"/>
  <c r="S88" i="7" s="1"/>
  <c r="Q158" i="7"/>
  <c r="S158" i="7" s="1"/>
  <c r="Q209" i="7"/>
  <c r="S209" i="7" s="1"/>
  <c r="Q211" i="7"/>
  <c r="S211" i="7" s="1"/>
  <c r="Q216" i="7"/>
  <c r="S216" i="7" s="1"/>
  <c r="Q150" i="7"/>
  <c r="S150" i="7" s="1"/>
  <c r="Q127" i="7"/>
  <c r="S127" i="7" s="1"/>
  <c r="Q74" i="7"/>
  <c r="S74" i="7" s="1"/>
  <c r="Q208" i="7"/>
  <c r="S208" i="7" s="1"/>
  <c r="Q187" i="7"/>
  <c r="S187" i="7" s="1"/>
  <c r="Q93" i="7"/>
  <c r="S93" i="7" s="1"/>
  <c r="Q66" i="7"/>
  <c r="S66" i="7" s="1"/>
  <c r="Q318" i="7"/>
  <c r="Q18" i="7"/>
  <c r="S18" i="7" s="1"/>
  <c r="Q200" i="7"/>
  <c r="S200" i="7" s="1"/>
  <c r="Q126" i="7"/>
  <c r="S126" i="7" s="1"/>
  <c r="Q320" i="7"/>
  <c r="S320" i="7" s="1"/>
  <c r="Q79" i="7"/>
  <c r="S79" i="7" s="1"/>
  <c r="Q210" i="7"/>
  <c r="S210" i="7" s="1"/>
  <c r="AI377" i="7"/>
  <c r="AI378" i="7"/>
  <c r="AI368" i="7"/>
  <c r="AM376" i="7"/>
  <c r="AM379" i="7" s="1"/>
  <c r="AM368" i="7"/>
  <c r="AI376" i="7"/>
  <c r="AE152" i="7"/>
  <c r="AG152" i="7" s="1"/>
  <c r="AE90" i="7"/>
  <c r="AG90" i="7" s="1"/>
  <c r="AE80" i="7"/>
  <c r="AG80" i="7" s="1"/>
  <c r="AE148" i="7"/>
  <c r="AG148" i="7" s="1"/>
  <c r="AE70" i="7"/>
  <c r="AG70" i="7" s="1"/>
  <c r="AE320" i="7"/>
  <c r="AG320" i="7" s="1"/>
  <c r="AE158" i="7"/>
  <c r="AG158" i="7" s="1"/>
  <c r="AE204" i="7"/>
  <c r="AG204" i="7" s="1"/>
  <c r="AE212" i="7"/>
  <c r="AG212" i="7" s="1"/>
  <c r="AE72" i="7"/>
  <c r="AG72" i="7" s="1"/>
  <c r="AG92" i="7"/>
  <c r="AG269" i="7"/>
  <c r="AE215" i="7"/>
  <c r="AG215" i="7" s="1"/>
  <c r="AE69" i="7"/>
  <c r="AG69" i="7" s="1"/>
  <c r="AE135" i="7"/>
  <c r="AG135" i="7" s="1"/>
  <c r="AE82" i="7"/>
  <c r="AG82" i="7" s="1"/>
  <c r="AE198" i="7"/>
  <c r="AG198" i="7" s="1"/>
  <c r="AE78" i="7"/>
  <c r="AG78" i="7" s="1"/>
  <c r="AE16" i="7"/>
  <c r="AG16" i="7" s="1"/>
  <c r="AE74" i="7"/>
  <c r="AG74" i="7" s="1"/>
  <c r="AE94" i="7"/>
  <c r="AG94" i="7" s="1"/>
  <c r="AE208" i="7"/>
  <c r="AG208" i="7" s="1"/>
  <c r="AE366" i="7"/>
  <c r="AG366" i="7" s="1"/>
  <c r="AE55" i="7"/>
  <c r="AG55" i="7" s="1"/>
  <c r="AE292" i="7"/>
  <c r="AG292" i="7" s="1"/>
  <c r="AE83" i="7"/>
  <c r="AG83" i="7" s="1"/>
  <c r="AE243" i="7"/>
  <c r="AG243" i="7" s="1"/>
  <c r="AE364" i="7"/>
  <c r="AG364" i="7" s="1"/>
  <c r="AE99" i="7"/>
  <c r="AG99" i="7" s="1"/>
  <c r="AE52" i="7"/>
  <c r="AG52" i="7" s="1"/>
  <c r="AA368" i="7"/>
  <c r="AA378" i="7"/>
  <c r="AE9" i="7"/>
  <c r="AE97" i="7"/>
  <c r="AG97" i="7" s="1"/>
  <c r="AE54" i="7"/>
  <c r="AG54" i="7" s="1"/>
  <c r="AE333" i="7"/>
  <c r="AG333" i="7" s="1"/>
  <c r="AE244" i="7"/>
  <c r="AG244" i="7" s="1"/>
  <c r="AE57" i="7"/>
  <c r="AG57" i="7" s="1"/>
  <c r="AE101" i="7"/>
  <c r="AG101" i="7" s="1"/>
  <c r="AE133" i="7"/>
  <c r="AG133" i="7" s="1"/>
  <c r="AE139" i="7"/>
  <c r="AG139" i="7" s="1"/>
  <c r="AE162" i="7"/>
  <c r="AG162" i="7" s="1"/>
  <c r="AE167" i="7"/>
  <c r="AG167" i="7" s="1"/>
  <c r="AE125" i="7"/>
  <c r="AG125" i="7" s="1"/>
  <c r="AE129" i="7"/>
  <c r="AG129" i="7" s="1"/>
  <c r="AE132" i="7"/>
  <c r="AG132" i="7" s="1"/>
  <c r="AE77" i="7"/>
  <c r="AG77" i="7" s="1"/>
  <c r="AE118" i="7"/>
  <c r="AG118" i="7" s="1"/>
  <c r="AE171" i="7"/>
  <c r="AG171" i="7" s="1"/>
  <c r="AE236" i="7"/>
  <c r="AG236" i="7" s="1"/>
  <c r="AE302" i="7"/>
  <c r="AG302" i="7" s="1"/>
  <c r="AE313" i="7"/>
  <c r="AG313" i="7" s="1"/>
  <c r="AE340" i="7"/>
  <c r="AG340" i="7" s="1"/>
  <c r="AE358" i="7"/>
  <c r="AG358" i="7" s="1"/>
  <c r="AE239" i="7"/>
  <c r="AG239" i="7" s="1"/>
  <c r="AE260" i="7"/>
  <c r="AG260" i="7" s="1"/>
  <c r="AE347" i="7"/>
  <c r="AG347" i="7" s="1"/>
  <c r="AE360" i="7"/>
  <c r="AG360" i="7" s="1"/>
  <c r="AE190" i="7"/>
  <c r="AG190" i="7" s="1"/>
  <c r="AE194" i="7"/>
  <c r="AG194" i="7" s="1"/>
  <c r="AE223" i="7"/>
  <c r="AG223" i="7" s="1"/>
  <c r="AE227" i="7"/>
  <c r="AG227" i="7" s="1"/>
  <c r="AE337" i="7"/>
  <c r="AG337" i="7" s="1"/>
  <c r="AE354" i="7"/>
  <c r="AG354" i="7" s="1"/>
  <c r="AE246" i="7"/>
  <c r="AG246" i="7" s="1"/>
  <c r="AE265" i="7"/>
  <c r="AG265" i="7" s="1"/>
  <c r="AE328" i="7"/>
  <c r="AG328" i="7" s="1"/>
  <c r="AE344" i="7"/>
  <c r="AG344" i="7" s="1"/>
  <c r="AE86" i="7"/>
  <c r="AG86" i="7" s="1"/>
  <c r="AE156" i="7"/>
  <c r="AG156" i="7" s="1"/>
  <c r="AE317" i="7"/>
  <c r="AG317" i="7" s="1"/>
  <c r="AG145" i="7"/>
  <c r="AE81" i="7"/>
  <c r="AG81" i="7" s="1"/>
  <c r="AA376" i="7"/>
  <c r="AE79" i="7"/>
  <c r="AG79" i="7" s="1"/>
  <c r="AG149" i="7"/>
  <c r="AE67" i="7"/>
  <c r="AG67" i="7" s="1"/>
  <c r="AE49" i="7"/>
  <c r="AG49" i="7" s="1"/>
  <c r="AE363" i="7"/>
  <c r="AG363" i="7" s="1"/>
  <c r="AE283" i="7"/>
  <c r="AG283" i="7" s="1"/>
  <c r="AE10" i="7"/>
  <c r="AA377" i="7"/>
  <c r="AE280" i="7"/>
  <c r="AG280" i="7" s="1"/>
  <c r="AE46" i="7"/>
  <c r="AG46" i="7" s="1"/>
  <c r="AE11" i="7"/>
  <c r="AG11" i="7" s="1"/>
  <c r="AE293" i="7"/>
  <c r="AG293" i="7" s="1"/>
  <c r="AE233" i="7"/>
  <c r="AG233" i="7" s="1"/>
  <c r="AE185" i="7"/>
  <c r="AG185" i="7" s="1"/>
  <c r="AE103" i="7"/>
  <c r="AG103" i="7" s="1"/>
  <c r="AE60" i="7"/>
  <c r="AG60" i="7" s="1"/>
  <c r="AE61" i="7"/>
  <c r="AG61" i="7" s="1"/>
  <c r="AE63" i="7"/>
  <c r="AG63" i="7" s="1"/>
  <c r="AE296" i="7"/>
  <c r="AG296" i="7" s="1"/>
  <c r="AE39" i="7"/>
  <c r="AG39" i="7" s="1"/>
  <c r="AE31" i="7"/>
  <c r="AG31" i="7" s="1"/>
  <c r="AE23" i="7"/>
  <c r="AG23" i="7" s="1"/>
  <c r="AE12" i="7"/>
  <c r="AG12" i="7" s="1"/>
  <c r="AE98" i="7"/>
  <c r="AG98" i="7" s="1"/>
  <c r="AE141" i="7"/>
  <c r="AG141" i="7" s="1"/>
  <c r="AE163" i="7"/>
  <c r="AG163" i="7" s="1"/>
  <c r="AE113" i="7"/>
  <c r="AG113" i="7" s="1"/>
  <c r="AE130" i="7"/>
  <c r="AG130" i="7" s="1"/>
  <c r="AE165" i="7"/>
  <c r="AG165" i="7" s="1"/>
  <c r="AE115" i="7"/>
  <c r="AG115" i="7" s="1"/>
  <c r="AE238" i="7"/>
  <c r="AG238" i="7" s="1"/>
  <c r="AE306" i="7"/>
  <c r="AG306" i="7" s="1"/>
  <c r="AE315" i="7"/>
  <c r="AG315" i="7" s="1"/>
  <c r="AE341" i="7"/>
  <c r="AG341" i="7" s="1"/>
  <c r="AE175" i="7"/>
  <c r="AG175" i="7" s="1"/>
  <c r="AE240" i="7"/>
  <c r="AG240" i="7" s="1"/>
  <c r="AE308" i="7"/>
  <c r="AG308" i="7" s="1"/>
  <c r="AE330" i="7"/>
  <c r="AG330" i="7" s="1"/>
  <c r="AE352" i="7"/>
  <c r="AG352" i="7" s="1"/>
  <c r="AE183" i="7"/>
  <c r="AG183" i="7" s="1"/>
  <c r="AE191" i="7"/>
  <c r="AG191" i="7" s="1"/>
  <c r="AE195" i="7"/>
  <c r="AG195" i="7" s="1"/>
  <c r="AE207" i="7"/>
  <c r="AG207" i="7" s="1"/>
  <c r="AE220" i="7"/>
  <c r="AG220" i="7" s="1"/>
  <c r="AE224" i="7"/>
  <c r="AG224" i="7" s="1"/>
  <c r="AE228" i="7"/>
  <c r="AG228" i="7" s="1"/>
  <c r="AE241" i="7"/>
  <c r="AG241" i="7" s="1"/>
  <c r="AE325" i="7"/>
  <c r="AG325" i="7" s="1"/>
  <c r="AE343" i="7"/>
  <c r="AG343" i="7" s="1"/>
  <c r="AE355" i="7"/>
  <c r="AG355" i="7" s="1"/>
  <c r="AE335" i="7"/>
  <c r="AG335" i="7" s="1"/>
  <c r="AE350" i="7"/>
  <c r="AG350" i="7" s="1"/>
  <c r="AE232" i="7"/>
  <c r="AG232" i="7" s="1"/>
  <c r="AE173" i="7"/>
  <c r="AG173" i="7" s="1"/>
  <c r="AE235" i="7"/>
  <c r="AG235" i="7" s="1"/>
  <c r="AE177" i="7"/>
  <c r="AG177" i="7" s="1"/>
  <c r="AE109" i="7"/>
  <c r="AG109" i="7" s="1"/>
  <c r="AE64" i="7"/>
  <c r="AG64" i="7" s="1"/>
  <c r="AE85" i="7"/>
  <c r="AG85" i="7" s="1"/>
  <c r="AE181" i="7"/>
  <c r="AG181" i="7" s="1"/>
  <c r="AE84" i="7"/>
  <c r="AG84" i="7" s="1"/>
  <c r="AE108" i="7"/>
  <c r="AG108" i="7" s="1"/>
  <c r="AE334" i="7"/>
  <c r="AG334" i="7" s="1"/>
  <c r="AE48" i="7"/>
  <c r="AG48" i="7" s="1"/>
  <c r="AE107" i="7"/>
  <c r="AG107" i="7" s="1"/>
  <c r="AE245" i="7"/>
  <c r="AG245" i="7" s="1"/>
  <c r="AE58" i="7"/>
  <c r="AG58" i="7" s="1"/>
  <c r="AE62" i="7"/>
  <c r="AG62" i="7" s="1"/>
  <c r="AE136" i="7"/>
  <c r="AG136" i="7" s="1"/>
  <c r="AE143" i="7"/>
  <c r="AG143" i="7" s="1"/>
  <c r="AE110" i="7"/>
  <c r="AG110" i="7" s="1"/>
  <c r="AE76" i="7"/>
  <c r="AG76" i="7" s="1"/>
  <c r="AE140" i="7"/>
  <c r="AG140" i="7" s="1"/>
  <c r="AE75" i="7"/>
  <c r="AG75" i="7" s="1"/>
  <c r="AE169" i="7"/>
  <c r="AG169" i="7" s="1"/>
  <c r="AE179" i="7"/>
  <c r="AG179" i="7" s="1"/>
  <c r="AE323" i="7"/>
  <c r="AG323" i="7" s="1"/>
  <c r="AE345" i="7"/>
  <c r="AG345" i="7" s="1"/>
  <c r="AE178" i="7"/>
  <c r="AG178" i="7" s="1"/>
  <c r="AE247" i="7"/>
  <c r="AG247" i="7" s="1"/>
  <c r="AE299" i="7"/>
  <c r="AG299" i="7" s="1"/>
  <c r="AE342" i="7"/>
  <c r="AG342" i="7" s="1"/>
  <c r="AE353" i="7"/>
  <c r="AG353" i="7" s="1"/>
  <c r="AE184" i="7"/>
  <c r="AG184" i="7" s="1"/>
  <c r="AE192" i="7"/>
  <c r="AG192" i="7" s="1"/>
  <c r="AE196" i="7"/>
  <c r="AG196" i="7" s="1"/>
  <c r="AE229" i="7"/>
  <c r="AG229" i="7" s="1"/>
  <c r="AE300" i="7"/>
  <c r="AG300" i="7" s="1"/>
  <c r="AE329" i="7"/>
  <c r="AG329" i="7" s="1"/>
  <c r="AE348" i="7"/>
  <c r="AG348" i="7" s="1"/>
  <c r="AE316" i="7"/>
  <c r="AG316" i="7" s="1"/>
  <c r="AE338" i="7"/>
  <c r="AG338" i="7" s="1"/>
  <c r="AE356" i="7"/>
  <c r="AG356" i="7" s="1"/>
  <c r="AE202" i="7"/>
  <c r="AG202" i="7" s="1"/>
  <c r="AE71" i="7"/>
  <c r="AG71" i="7" s="1"/>
  <c r="AE17" i="7"/>
  <c r="AG17" i="7" s="1"/>
  <c r="AE159" i="7"/>
  <c r="AG159" i="7" s="1"/>
  <c r="AE95" i="7"/>
  <c r="AG95" i="7" s="1"/>
  <c r="AG147" i="7"/>
  <c r="AE50" i="7"/>
  <c r="AG50" i="7" s="1"/>
  <c r="AD368" i="7"/>
  <c r="AD376" i="7"/>
  <c r="AD379" i="7" s="1"/>
  <c r="AG153" i="7"/>
  <c r="AE68" i="7"/>
  <c r="AG68" i="7" s="1"/>
  <c r="AE249" i="7"/>
  <c r="AG249" i="7" s="1"/>
  <c r="AE278" i="7"/>
  <c r="AG278" i="7" s="1"/>
  <c r="AE47" i="7"/>
  <c r="AG47" i="7" s="1"/>
  <c r="AE100" i="7"/>
  <c r="AG100" i="7" s="1"/>
  <c r="AE59" i="7"/>
  <c r="AG59" i="7" s="1"/>
  <c r="AE367" i="7"/>
  <c r="AG367" i="7" s="1"/>
  <c r="AE284" i="7"/>
  <c r="AG284" i="7" s="1"/>
  <c r="AE105" i="7"/>
  <c r="AG105" i="7" s="1"/>
  <c r="AE53" i="7"/>
  <c r="AG53" i="7" s="1"/>
  <c r="AE13" i="7"/>
  <c r="AG13" i="7" s="1"/>
  <c r="AE106" i="7"/>
  <c r="AG106" i="7" s="1"/>
  <c r="AE102" i="7"/>
  <c r="AG102" i="7" s="1"/>
  <c r="AE294" i="7"/>
  <c r="AG294" i="7" s="1"/>
  <c r="AE43" i="7"/>
  <c r="AG43" i="7" s="1"/>
  <c r="AE35" i="7"/>
  <c r="AG35" i="7" s="1"/>
  <c r="AE27" i="7"/>
  <c r="AG27" i="7" s="1"/>
  <c r="AE19" i="7"/>
  <c r="AG19" i="7" s="1"/>
  <c r="AE56" i="7"/>
  <c r="AG56" i="7" s="1"/>
  <c r="AE104" i="7"/>
  <c r="AG104" i="7" s="1"/>
  <c r="AE137" i="7"/>
  <c r="AG137" i="7" s="1"/>
  <c r="AE146" i="7"/>
  <c r="AG146" i="7" s="1"/>
  <c r="AE166" i="7"/>
  <c r="AG166" i="7" s="1"/>
  <c r="AE111" i="7"/>
  <c r="AG111" i="7" s="1"/>
  <c r="AE121" i="7"/>
  <c r="AG121" i="7" s="1"/>
  <c r="AE117" i="7"/>
  <c r="AG117" i="7" s="1"/>
  <c r="AE170" i="7"/>
  <c r="AG170" i="7" s="1"/>
  <c r="AE180" i="7"/>
  <c r="AG180" i="7" s="1"/>
  <c r="AE257" i="7"/>
  <c r="AG257" i="7" s="1"/>
  <c r="AE298" i="7"/>
  <c r="AG298" i="7" s="1"/>
  <c r="AE327" i="7"/>
  <c r="AG327" i="7" s="1"/>
  <c r="AE237" i="7"/>
  <c r="AG237" i="7" s="1"/>
  <c r="AE303" i="7"/>
  <c r="AG303" i="7" s="1"/>
  <c r="AE346" i="7"/>
  <c r="AG346" i="7" s="1"/>
  <c r="AE359" i="7"/>
  <c r="AG359" i="7" s="1"/>
  <c r="AE218" i="7"/>
  <c r="AG218" i="7" s="1"/>
  <c r="AE222" i="7"/>
  <c r="AG222" i="7" s="1"/>
  <c r="AE226" i="7"/>
  <c r="AG226" i="7" s="1"/>
  <c r="AE230" i="7"/>
  <c r="AG230" i="7" s="1"/>
  <c r="AE261" i="7"/>
  <c r="AG261" i="7" s="1"/>
  <c r="AE336" i="7"/>
  <c r="AG336" i="7" s="1"/>
  <c r="AE349" i="7"/>
  <c r="AG349" i="7" s="1"/>
  <c r="AE362" i="7"/>
  <c r="AG362" i="7" s="1"/>
  <c r="AE264" i="7"/>
  <c r="AG264" i="7" s="1"/>
  <c r="AE301" i="7"/>
  <c r="AG301" i="7" s="1"/>
  <c r="AE324" i="7"/>
  <c r="AG324" i="7" s="1"/>
  <c r="AE339" i="7"/>
  <c r="AG339" i="7" s="1"/>
  <c r="AE357" i="7"/>
  <c r="AG357" i="7" s="1"/>
  <c r="Q188" i="7"/>
  <c r="S160" i="7"/>
  <c r="Q212" i="7"/>
  <c r="S212" i="7" s="1"/>
  <c r="Q70" i="7"/>
  <c r="S70" i="7" s="1"/>
  <c r="Q206" i="7"/>
  <c r="S206" i="7" s="1"/>
  <c r="Q214" i="7"/>
  <c r="S214" i="7" s="1"/>
  <c r="Q135" i="7"/>
  <c r="S135" i="7" s="1"/>
  <c r="S94" i="7"/>
  <c r="S188" i="7"/>
  <c r="Q202" i="7"/>
  <c r="S202" i="7" s="1"/>
  <c r="Q215" i="7"/>
  <c r="S215" i="7" s="1"/>
  <c r="Q49" i="7"/>
  <c r="S49" i="7" s="1"/>
  <c r="M376" i="7"/>
  <c r="Q87" i="7"/>
  <c r="S87" i="7" s="1"/>
  <c r="Q121" i="7"/>
  <c r="S121" i="7" s="1"/>
  <c r="Q359" i="7"/>
  <c r="S359" i="7" s="1"/>
  <c r="Q262" i="7"/>
  <c r="S262" i="7" s="1"/>
  <c r="Q348" i="7"/>
  <c r="S348" i="7" s="1"/>
  <c r="Q362" i="7"/>
  <c r="S362" i="7" s="1"/>
  <c r="Q328" i="7"/>
  <c r="S328" i="7" s="1"/>
  <c r="Q220" i="7"/>
  <c r="S220" i="7" s="1"/>
  <c r="Q40" i="7"/>
  <c r="S40" i="7" s="1"/>
  <c r="Q217" i="7"/>
  <c r="S217" i="7" s="1"/>
  <c r="Q169" i="7"/>
  <c r="S169" i="7" s="1"/>
  <c r="Q24" i="7"/>
  <c r="S24" i="7" s="1"/>
  <c r="Q162" i="7"/>
  <c r="S162" i="7" s="1"/>
  <c r="Q116" i="7"/>
  <c r="S116" i="7" s="1"/>
  <c r="Q38" i="7"/>
  <c r="S38" i="7" s="1"/>
  <c r="Q25" i="7"/>
  <c r="S25" i="7" s="1"/>
  <c r="Q23" i="7"/>
  <c r="S23" i="7" s="1"/>
  <c r="Q37" i="7"/>
  <c r="S37" i="7" s="1"/>
  <c r="Q43" i="7"/>
  <c r="S43" i="7" s="1"/>
  <c r="Q166" i="7"/>
  <c r="S166" i="7" s="1"/>
  <c r="Q120" i="7"/>
  <c r="S120" i="7" s="1"/>
  <c r="Q178" i="7"/>
  <c r="S178" i="7" s="1"/>
  <c r="Q33" i="7"/>
  <c r="S33" i="7" s="1"/>
  <c r="Q39" i="7"/>
  <c r="S39" i="7" s="1"/>
  <c r="Q334" i="7"/>
  <c r="S334" i="7" s="1"/>
  <c r="Q63" i="7"/>
  <c r="S63" i="7" s="1"/>
  <c r="Q341" i="7"/>
  <c r="S341" i="7" s="1"/>
  <c r="Q367" i="7"/>
  <c r="S367" i="7" s="1"/>
  <c r="Q98" i="7"/>
  <c r="S98" i="7" s="1"/>
  <c r="Q115" i="7"/>
  <c r="S115" i="7" s="1"/>
  <c r="Q264" i="7"/>
  <c r="S264" i="7" s="1"/>
  <c r="Q333" i="7"/>
  <c r="S333" i="7" s="1"/>
  <c r="Q54" i="7"/>
  <c r="S54" i="7" s="1"/>
  <c r="Q104" i="7"/>
  <c r="S104" i="7" s="1"/>
  <c r="Q241" i="7"/>
  <c r="S241" i="7" s="1"/>
  <c r="Q340" i="7"/>
  <c r="S340" i="7" s="1"/>
  <c r="Q57" i="7"/>
  <c r="S57" i="7" s="1"/>
  <c r="Q108" i="7"/>
  <c r="S108" i="7" s="1"/>
  <c r="Q234" i="7"/>
  <c r="S234" i="7" s="1"/>
  <c r="Q298" i="7"/>
  <c r="S298" i="7" s="1"/>
  <c r="Q313" i="7"/>
  <c r="S313" i="7" s="1"/>
  <c r="S318" i="7"/>
  <c r="S147" i="7"/>
  <c r="Q82" i="7"/>
  <c r="S82" i="7" s="1"/>
  <c r="Q273" i="7"/>
  <c r="S273" i="7" s="1"/>
  <c r="S81" i="7"/>
  <c r="Q16" i="7"/>
  <c r="S16" i="7" s="1"/>
  <c r="Q251" i="7"/>
  <c r="S251" i="7" s="1"/>
  <c r="Q203" i="7"/>
  <c r="S203" i="7" s="1"/>
  <c r="Q80" i="7"/>
  <c r="S80" i="7" s="1"/>
  <c r="Q50" i="7"/>
  <c r="S50" i="7" s="1"/>
  <c r="S197" i="7"/>
  <c r="Q250" i="7"/>
  <c r="S250" i="7" s="1"/>
  <c r="Q346" i="7"/>
  <c r="S346" i="7" s="1"/>
  <c r="Q258" i="7"/>
  <c r="S258" i="7" s="1"/>
  <c r="Q191" i="7"/>
  <c r="S191" i="7" s="1"/>
  <c r="Q14" i="7"/>
  <c r="S14" i="7" s="1"/>
  <c r="Q343" i="7"/>
  <c r="S343" i="7" s="1"/>
  <c r="Q356" i="7"/>
  <c r="S356" i="7" s="1"/>
  <c r="Q195" i="7"/>
  <c r="S195" i="7" s="1"/>
  <c r="Q27" i="7"/>
  <c r="S27" i="7" s="1"/>
  <c r="Q231" i="7"/>
  <c r="S231" i="7" s="1"/>
  <c r="Q13" i="7"/>
  <c r="S13" i="7" s="1"/>
  <c r="Q350" i="7"/>
  <c r="S350" i="7" s="1"/>
  <c r="Q308" i="7"/>
  <c r="S308" i="7" s="1"/>
  <c r="Q199" i="7"/>
  <c r="S199" i="7" s="1"/>
  <c r="Q179" i="7"/>
  <c r="S179" i="7" s="1"/>
  <c r="Q237" i="7"/>
  <c r="S237" i="7" s="1"/>
  <c r="Q31" i="7"/>
  <c r="S31" i="7" s="1"/>
  <c r="Q146" i="7"/>
  <c r="S146" i="7" s="1"/>
  <c r="Q22" i="7"/>
  <c r="S22" i="7" s="1"/>
  <c r="Q36" i="7"/>
  <c r="S36" i="7" s="1"/>
  <c r="Q21" i="7"/>
  <c r="S21" i="7" s="1"/>
  <c r="Q12" i="7"/>
  <c r="S12" i="7" s="1"/>
  <c r="Q142" i="7"/>
  <c r="S142" i="7" s="1"/>
  <c r="Q112" i="7"/>
  <c r="S112" i="7" s="1"/>
  <c r="Q30" i="7"/>
  <c r="S30" i="7" s="1"/>
  <c r="Q44" i="7"/>
  <c r="S44" i="7" s="1"/>
  <c r="Q11" i="7"/>
  <c r="S11" i="7" s="1"/>
  <c r="Q130" i="7"/>
  <c r="S130" i="7" s="1"/>
  <c r="Q365" i="7"/>
  <c r="S365" i="7" s="1"/>
  <c r="Q255" i="7"/>
  <c r="S255" i="7" s="1"/>
  <c r="Q83" i="7"/>
  <c r="S83" i="7" s="1"/>
  <c r="Q99" i="7"/>
  <c r="S99" i="7" s="1"/>
  <c r="Q267" i="7"/>
  <c r="S267" i="7" s="1"/>
  <c r="Q366" i="7"/>
  <c r="S366" i="7" s="1"/>
  <c r="Q55" i="7"/>
  <c r="S55" i="7" s="1"/>
  <c r="Q105" i="7"/>
  <c r="S105" i="7" s="1"/>
  <c r="Q245" i="7"/>
  <c r="S245" i="7" s="1"/>
  <c r="Q309" i="7"/>
  <c r="S309" i="7" s="1"/>
  <c r="Q58" i="7"/>
  <c r="S58" i="7" s="1"/>
  <c r="Q109" i="7"/>
  <c r="S109" i="7" s="1"/>
  <c r="Q248" i="7"/>
  <c r="S248" i="7" s="1"/>
  <c r="Q51" i="7"/>
  <c r="S51" i="7" s="1"/>
  <c r="Q89" i="7"/>
  <c r="S89" i="7" s="1"/>
  <c r="Q319" i="7"/>
  <c r="S319" i="7" s="1"/>
  <c r="P376" i="7"/>
  <c r="P379" i="7" s="1"/>
  <c r="P368" i="7"/>
  <c r="Q227" i="7"/>
  <c r="S227" i="7" s="1"/>
  <c r="M377" i="7"/>
  <c r="Q10" i="7"/>
  <c r="S10" i="7" s="1"/>
  <c r="Q270" i="7"/>
  <c r="S270" i="7" s="1"/>
  <c r="Q254" i="7"/>
  <c r="S254" i="7" s="1"/>
  <c r="Q26" i="7"/>
  <c r="S26" i="7" s="1"/>
  <c r="Q29" i="7"/>
  <c r="S29" i="7" s="1"/>
  <c r="Q358" i="7"/>
  <c r="S358" i="7" s="1"/>
  <c r="Q222" i="7"/>
  <c r="S222" i="7" s="1"/>
  <c r="Q124" i="7"/>
  <c r="S124" i="7" s="1"/>
  <c r="Q344" i="7"/>
  <c r="S344" i="7" s="1"/>
  <c r="Q243" i="7"/>
  <c r="S243" i="7" s="1"/>
  <c r="Q223" i="7"/>
  <c r="S223" i="7" s="1"/>
  <c r="Q351" i="7"/>
  <c r="S351" i="7" s="1"/>
  <c r="Q361" i="7"/>
  <c r="S361" i="7" s="1"/>
  <c r="Q261" i="7"/>
  <c r="S261" i="7" s="1"/>
  <c r="Q242" i="7"/>
  <c r="S242" i="7" s="1"/>
  <c r="Q190" i="7"/>
  <c r="S190" i="7" s="1"/>
  <c r="Q176" i="7"/>
  <c r="S176" i="7" s="1"/>
  <c r="Q42" i="7"/>
  <c r="S42" i="7" s="1"/>
  <c r="Q138" i="7"/>
  <c r="S138" i="7" s="1"/>
  <c r="Q185" i="7"/>
  <c r="S185" i="7" s="1"/>
  <c r="Q181" i="7"/>
  <c r="S181" i="7" s="1"/>
  <c r="Q20" i="7"/>
  <c r="S20" i="7" s="1"/>
  <c r="Q163" i="7"/>
  <c r="S163" i="7" s="1"/>
  <c r="Q133" i="7"/>
  <c r="S133" i="7" s="1"/>
  <c r="Q34" i="7"/>
  <c r="S34" i="7" s="1"/>
  <c r="Q32" i="7"/>
  <c r="S32" i="7" s="1"/>
  <c r="Q19" i="7"/>
  <c r="S19" i="7" s="1"/>
  <c r="Q134" i="7"/>
  <c r="S134" i="7" s="1"/>
  <c r="Q332" i="7"/>
  <c r="S332" i="7" s="1"/>
  <c r="Q28" i="7"/>
  <c r="S28" i="7" s="1"/>
  <c r="Q46" i="7"/>
  <c r="S46" i="7" s="1"/>
  <c r="Q61" i="7"/>
  <c r="S61" i="7" s="1"/>
  <c r="Q235" i="7"/>
  <c r="S235" i="7" s="1"/>
  <c r="Q47" i="7"/>
  <c r="S47" i="7" s="1"/>
  <c r="Q363" i="7"/>
  <c r="S363" i="7" s="1"/>
  <c r="Q84" i="7"/>
  <c r="S84" i="7" s="1"/>
  <c r="Q100" i="7"/>
  <c r="S100" i="7" s="1"/>
  <c r="Q114" i="7"/>
  <c r="S114" i="7" s="1"/>
  <c r="Q310" i="7"/>
  <c r="S310" i="7" s="1"/>
  <c r="Q59" i="7"/>
  <c r="S59" i="7" s="1"/>
  <c r="Q106" i="7"/>
  <c r="S106" i="7" s="1"/>
  <c r="Q300" i="7"/>
  <c r="S300" i="7" s="1"/>
  <c r="Q125" i="7"/>
  <c r="S125" i="7" s="1"/>
  <c r="M378" i="7"/>
  <c r="M368" i="7"/>
  <c r="Q9" i="7"/>
  <c r="S9" i="7" s="1"/>
  <c r="Q266" i="7"/>
  <c r="S266" i="7" s="1"/>
  <c r="Q219" i="7"/>
  <c r="S219" i="7" s="1"/>
  <c r="Q352" i="7"/>
  <c r="S352" i="7" s="1"/>
  <c r="Q342" i="7"/>
  <c r="S342" i="7" s="1"/>
  <c r="Q355" i="7"/>
  <c r="S355" i="7" s="1"/>
  <c r="Q177" i="7"/>
  <c r="S177" i="7" s="1"/>
  <c r="Q312" i="7"/>
  <c r="S312" i="7" s="1"/>
  <c r="Q207" i="7"/>
  <c r="S207" i="7" s="1"/>
  <c r="Q143" i="7"/>
  <c r="S143" i="7" s="1"/>
  <c r="Q357" i="7"/>
  <c r="S357" i="7" s="1"/>
  <c r="Q336" i="7"/>
  <c r="S336" i="7" s="1"/>
  <c r="Q189" i="7"/>
  <c r="S189" i="7" s="1"/>
  <c r="Q260" i="7"/>
  <c r="S260" i="7" s="1"/>
  <c r="Q45" i="7"/>
  <c r="S45" i="7" s="1"/>
  <c r="Q170" i="7"/>
  <c r="S170" i="7" s="1"/>
  <c r="Q128" i="7"/>
  <c r="S128" i="7" s="1"/>
  <c r="Q174" i="7"/>
  <c r="S174" i="7" s="1"/>
  <c r="Q41" i="7"/>
  <c r="S41" i="7" s="1"/>
  <c r="Q331" i="7"/>
  <c r="S331" i="7" s="1"/>
  <c r="Q132" i="7"/>
  <c r="S132" i="7" s="1"/>
  <c r="Q173" i="7"/>
  <c r="S173" i="7" s="1"/>
  <c r="Q35" i="7"/>
  <c r="S35" i="7" s="1"/>
  <c r="Q97" i="7"/>
  <c r="S97" i="7" s="1"/>
  <c r="Q62" i="7"/>
  <c r="S62" i="7" s="1"/>
  <c r="Q244" i="7"/>
  <c r="S244" i="7" s="1"/>
  <c r="Q303" i="7"/>
  <c r="S303" i="7" s="1"/>
  <c r="Q110" i="7"/>
  <c r="S110" i="7" s="1"/>
  <c r="Q48" i="7"/>
  <c r="S48" i="7" s="1"/>
  <c r="Q85" i="7"/>
  <c r="S85" i="7" s="1"/>
  <c r="Q101" i="7"/>
  <c r="S101" i="7" s="1"/>
  <c r="Q306" i="7"/>
  <c r="S306" i="7" s="1"/>
  <c r="Q53" i="7"/>
  <c r="S53" i="7" s="1"/>
  <c r="Q103" i="7"/>
  <c r="S103" i="7" s="1"/>
  <c r="Q301" i="7"/>
  <c r="S301" i="7" s="1"/>
  <c r="Q107" i="7"/>
  <c r="S107" i="7" s="1"/>
  <c r="Q131" i="7"/>
  <c r="S131" i="7" s="1"/>
  <c r="Q259" i="7"/>
  <c r="S259" i="7" s="1"/>
  <c r="Q304" i="7"/>
  <c r="S304" i="7" s="1"/>
  <c r="Q364" i="7"/>
  <c r="S364" i="7" s="1"/>
  <c r="Q92" i="7"/>
  <c r="S92" i="7" s="1"/>
  <c r="E376" i="7"/>
  <c r="H368" i="7"/>
  <c r="H376" i="7"/>
  <c r="H379" i="7" s="1"/>
  <c r="E377" i="7"/>
  <c r="E368" i="7"/>
  <c r="E378" i="7"/>
  <c r="AI379" i="7" l="1"/>
  <c r="AA379" i="7"/>
  <c r="AG376" i="7"/>
  <c r="AE376" i="7"/>
  <c r="AE378" i="7"/>
  <c r="AE368" i="7"/>
  <c r="AE377" i="7"/>
  <c r="AG10" i="7"/>
  <c r="AG377" i="7" s="1"/>
  <c r="AG9" i="7"/>
  <c r="Q376" i="7"/>
  <c r="S377" i="7"/>
  <c r="S376" i="7"/>
  <c r="S378" i="7"/>
  <c r="S368" i="7"/>
  <c r="Q377" i="7"/>
  <c r="M379" i="7"/>
  <c r="Q378" i="7"/>
  <c r="Q368" i="7"/>
  <c r="E379" i="7"/>
  <c r="Q379" i="7" l="1"/>
  <c r="AG368" i="7"/>
  <c r="AG378" i="7"/>
  <c r="AG379" i="7" s="1"/>
  <c r="AE379" i="7"/>
  <c r="S379" i="7"/>
  <c r="H130" i="23" l="1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H6" i="23"/>
  <c r="H5" i="23"/>
  <c r="H4" i="23"/>
  <c r="H3" i="23"/>
  <c r="H2" i="23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C151" i="23" l="1"/>
  <c r="C152" i="23"/>
  <c r="C150" i="23"/>
  <c r="G152" i="23"/>
  <c r="G151" i="23"/>
  <c r="G150" i="23"/>
  <c r="E152" i="23"/>
  <c r="D151" i="23"/>
  <c r="E150" i="23"/>
  <c r="F150" i="23"/>
  <c r="E151" i="23"/>
  <c r="D150" i="23"/>
  <c r="F152" i="23"/>
  <c r="F151" i="23"/>
  <c r="D152" i="23"/>
  <c r="G153" i="23" l="1"/>
  <c r="C153" i="23"/>
  <c r="D153" i="23"/>
  <c r="F153" i="23"/>
  <c r="E153" i="23"/>
  <c r="DC363" i="1"/>
  <c r="E151" i="1"/>
  <c r="C163" i="7" l="1"/>
  <c r="C164" i="7"/>
  <c r="E236" i="1"/>
  <c r="E12" i="1"/>
  <c r="E96" i="1"/>
  <c r="E81" i="1"/>
  <c r="E83" i="1"/>
  <c r="E89" i="1"/>
  <c r="E180" i="1"/>
  <c r="E30" i="1"/>
  <c r="E267" i="1"/>
  <c r="E271" i="1"/>
  <c r="E279" i="1"/>
  <c r="E353" i="1"/>
  <c r="E349" i="1"/>
  <c r="E275" i="1"/>
  <c r="E55" i="1"/>
  <c r="E101" i="1"/>
  <c r="E154" i="1"/>
  <c r="E192" i="1"/>
  <c r="E196" i="1"/>
  <c r="E212" i="1"/>
  <c r="E246" i="1"/>
  <c r="E33" i="1"/>
  <c r="E23" i="1"/>
  <c r="E127" i="1"/>
  <c r="E13" i="1"/>
  <c r="E48" i="1"/>
  <c r="E50" i="1"/>
  <c r="E72" i="1"/>
  <c r="E77" i="1"/>
  <c r="E80" i="1"/>
  <c r="E163" i="1"/>
  <c r="E165" i="1"/>
  <c r="E202" i="1"/>
  <c r="E207" i="1"/>
  <c r="E209" i="1"/>
  <c r="E247" i="1"/>
  <c r="E32" i="1"/>
  <c r="E237" i="1"/>
  <c r="E28" i="1"/>
  <c r="E312" i="1"/>
  <c r="E319" i="1"/>
  <c r="E114" i="1"/>
  <c r="E118" i="1"/>
  <c r="E123" i="1"/>
  <c r="E181" i="1"/>
  <c r="E244" i="1"/>
  <c r="E235" i="1"/>
  <c r="E239" i="1"/>
  <c r="E258" i="1"/>
  <c r="E335" i="1"/>
  <c r="E113" i="1"/>
  <c r="E9" i="1"/>
  <c r="E69" i="1"/>
  <c r="E73" i="1"/>
  <c r="E108" i="1"/>
  <c r="E168" i="1"/>
  <c r="E183" i="1"/>
  <c r="E253" i="1"/>
  <c r="E238" i="1"/>
  <c r="E20" i="1"/>
  <c r="E264" i="1"/>
  <c r="E272" i="1"/>
  <c r="E60" i="1"/>
  <c r="E93" i="1"/>
  <c r="E104" i="1"/>
  <c r="E128" i="1"/>
  <c r="E132" i="1"/>
  <c r="E149" i="1"/>
  <c r="E159" i="1"/>
  <c r="E187" i="1"/>
  <c r="E191" i="1"/>
  <c r="E204" i="1"/>
  <c r="E231" i="1"/>
  <c r="E38" i="1"/>
  <c r="E40" i="1"/>
  <c r="E287" i="1"/>
  <c r="E289" i="1"/>
  <c r="E295" i="1"/>
  <c r="E252" i="1"/>
  <c r="E259" i="1"/>
  <c r="E281" i="1"/>
  <c r="E298" i="1"/>
  <c r="E306" i="1"/>
  <c r="E308" i="1"/>
  <c r="E347" i="1"/>
  <c r="E99" i="1"/>
  <c r="E107" i="1"/>
  <c r="E117" i="1"/>
  <c r="E147" i="1"/>
  <c r="E257" i="1"/>
  <c r="E311" i="1"/>
  <c r="E339" i="1"/>
  <c r="E343" i="1"/>
  <c r="E11" i="1"/>
  <c r="E46" i="1"/>
  <c r="E57" i="1"/>
  <c r="E61" i="1"/>
  <c r="E74" i="1"/>
  <c r="E76" i="1"/>
  <c r="E78" i="1"/>
  <c r="E95" i="1"/>
  <c r="E103" i="1"/>
  <c r="E120" i="1"/>
  <c r="E138" i="1"/>
  <c r="E142" i="1"/>
  <c r="E144" i="1"/>
  <c r="E150" i="1"/>
  <c r="E160" i="1"/>
  <c r="E162" i="1"/>
  <c r="E200" i="1"/>
  <c r="E205" i="1"/>
  <c r="E219" i="1"/>
  <c r="E229" i="1"/>
  <c r="E41" i="1"/>
  <c r="E286" i="1"/>
  <c r="E288" i="1"/>
  <c r="E294" i="1"/>
  <c r="E19" i="1"/>
  <c r="E21" i="1"/>
  <c r="E255" i="1"/>
  <c r="E310" i="1"/>
  <c r="E336" i="1"/>
  <c r="E340" i="1"/>
  <c r="E344" i="1"/>
  <c r="E348" i="1"/>
  <c r="E67" i="1"/>
  <c r="E87" i="1"/>
  <c r="E97" i="1"/>
  <c r="E184" i="1"/>
  <c r="E188" i="1"/>
  <c r="E217" i="1"/>
  <c r="E290" i="1"/>
  <c r="E15" i="1"/>
  <c r="E90" i="1"/>
  <c r="E98" i="1"/>
  <c r="E173" i="1"/>
  <c r="E221" i="1"/>
  <c r="E228" i="1"/>
  <c r="E232" i="1"/>
  <c r="E234" i="1"/>
  <c r="E242" i="1"/>
  <c r="E262" i="1"/>
  <c r="E283" i="1"/>
  <c r="E302" i="1"/>
  <c r="E351" i="1"/>
  <c r="E59" i="1"/>
  <c r="E63" i="1"/>
  <c r="E105" i="1"/>
  <c r="E141" i="1"/>
  <c r="E143" i="1"/>
  <c r="E49" i="1"/>
  <c r="E51" i="1"/>
  <c r="E56" i="1"/>
  <c r="E84" i="1"/>
  <c r="E92" i="1"/>
  <c r="E100" i="1"/>
  <c r="E124" i="1"/>
  <c r="E131" i="1"/>
  <c r="E135" i="1"/>
  <c r="E137" i="1"/>
  <c r="E148" i="1"/>
  <c r="E155" i="1"/>
  <c r="E164" i="1"/>
  <c r="E169" i="1"/>
  <c r="E172" i="1"/>
  <c r="E178" i="1"/>
  <c r="E182" i="1"/>
  <c r="E215" i="4" s="1"/>
  <c r="E195" i="1"/>
  <c r="E203" i="1"/>
  <c r="E208" i="1"/>
  <c r="E210" i="1"/>
  <c r="E216" i="1"/>
  <c r="E220" i="1"/>
  <c r="E224" i="1"/>
  <c r="E227" i="1"/>
  <c r="E230" i="1"/>
  <c r="E243" i="1"/>
  <c r="E245" i="1"/>
  <c r="E37" i="1"/>
  <c r="E18" i="1"/>
  <c r="E27" i="1"/>
  <c r="E29" i="1"/>
  <c r="E263" i="1"/>
  <c r="E265" i="1"/>
  <c r="E270" i="1"/>
  <c r="E280" i="1"/>
  <c r="E282" i="1"/>
  <c r="E299" i="1"/>
  <c r="E301" i="1"/>
  <c r="E307" i="1"/>
  <c r="E309" i="1"/>
  <c r="E337" i="1"/>
  <c r="E341" i="1"/>
  <c r="E345" i="1"/>
  <c r="E45" i="1"/>
  <c r="E146" i="1"/>
  <c r="E156" i="1"/>
  <c r="E170" i="1"/>
  <c r="E174" i="1"/>
  <c r="E71" i="1"/>
  <c r="E116" i="1"/>
  <c r="E136" i="1"/>
  <c r="E201" i="1"/>
  <c r="E222" i="1"/>
  <c r="E34" i="1"/>
  <c r="E314" i="1"/>
  <c r="E316" i="1"/>
  <c r="E52" i="1"/>
  <c r="E70" i="1"/>
  <c r="E94" i="1"/>
  <c r="E109" i="1"/>
  <c r="E115" i="1"/>
  <c r="E119" i="1"/>
  <c r="E218" i="1"/>
  <c r="E152" i="1"/>
  <c r="E320" i="1"/>
  <c r="E326" i="1"/>
  <c r="E330" i="1"/>
  <c r="E334" i="1"/>
  <c r="E53" i="1"/>
  <c r="E64" i="1"/>
  <c r="E66" i="1"/>
  <c r="E68" i="1"/>
  <c r="E75" i="1"/>
  <c r="E102" i="1"/>
  <c r="E106" i="1"/>
  <c r="E110" i="1"/>
  <c r="E157" i="1"/>
  <c r="E167" i="1"/>
  <c r="E171" i="1"/>
  <c r="E175" i="1"/>
  <c r="E177" i="1"/>
  <c r="E186" i="1"/>
  <c r="E189" i="1"/>
  <c r="E194" i="1"/>
  <c r="E197" i="1"/>
  <c r="E211" i="1"/>
  <c r="E223" i="1"/>
  <c r="E226" i="1"/>
  <c r="E233" i="1"/>
  <c r="E241" i="1"/>
  <c r="E248" i="1"/>
  <c r="E250" i="1"/>
  <c r="E36" i="1"/>
  <c r="E43" i="1"/>
  <c r="E291" i="1"/>
  <c r="E293" i="1"/>
  <c r="E17" i="1"/>
  <c r="E22" i="1"/>
  <c r="E24" i="1"/>
  <c r="E25" i="1"/>
  <c r="E261" i="1"/>
  <c r="E266" i="1"/>
  <c r="E268" i="1"/>
  <c r="E277" i="1"/>
  <c r="E284" i="1"/>
  <c r="E297" i="1"/>
  <c r="E304" i="1"/>
  <c r="E313" i="1"/>
  <c r="E315" i="1"/>
  <c r="E318" i="1"/>
  <c r="E321" i="1"/>
  <c r="E323" i="1"/>
  <c r="E327" i="1"/>
  <c r="E331" i="1"/>
  <c r="E346" i="1"/>
  <c r="E54" i="1"/>
  <c r="E65" i="1"/>
  <c r="E79" i="1"/>
  <c r="E86" i="1"/>
  <c r="E88" i="1"/>
  <c r="E91" i="1"/>
  <c r="E153" i="1"/>
  <c r="E176" i="1"/>
  <c r="E179" i="1"/>
  <c r="E185" i="1"/>
  <c r="E190" i="1"/>
  <c r="E193" i="1"/>
  <c r="E198" i="1"/>
  <c r="E199" i="1"/>
  <c r="E214" i="1"/>
  <c r="E215" i="1"/>
  <c r="E225" i="1"/>
  <c r="E240" i="1"/>
  <c r="E249" i="1"/>
  <c r="E35" i="1"/>
  <c r="E42" i="1"/>
  <c r="E285" i="1"/>
  <c r="E292" i="1"/>
  <c r="E16" i="1"/>
  <c r="E254" i="1"/>
  <c r="E26" i="1"/>
  <c r="E256" i="1"/>
  <c r="E260" i="1"/>
  <c r="E269" i="1"/>
  <c r="E274" i="1"/>
  <c r="E276" i="1"/>
  <c r="E278" i="1"/>
  <c r="E296" i="1"/>
  <c r="E303" i="1"/>
  <c r="E305" i="1"/>
  <c r="E317" i="1"/>
  <c r="E322" i="1"/>
  <c r="E342" i="1"/>
  <c r="E350" i="1"/>
  <c r="E352" i="1"/>
  <c r="E111" i="1"/>
  <c r="F354" i="1"/>
  <c r="E10" i="1"/>
  <c r="E58" i="1"/>
  <c r="E85" i="1"/>
  <c r="E122" i="1"/>
  <c r="E125" i="1"/>
  <c r="E130" i="1"/>
  <c r="E133" i="1"/>
  <c r="E140" i="1"/>
  <c r="E145" i="1"/>
  <c r="E325" i="1"/>
  <c r="E329" i="1"/>
  <c r="E333" i="1"/>
  <c r="H354" i="1"/>
  <c r="G354" i="1"/>
  <c r="E47" i="1"/>
  <c r="E62" i="1"/>
  <c r="E82" i="1"/>
  <c r="E112" i="1"/>
  <c r="E121" i="1"/>
  <c r="E126" i="1"/>
  <c r="E129" i="1"/>
  <c r="E134" i="1"/>
  <c r="E139" i="1"/>
  <c r="E14" i="1"/>
  <c r="E44" i="1"/>
  <c r="E158" i="1"/>
  <c r="E161" i="1"/>
  <c r="E166" i="1"/>
  <c r="E206" i="1"/>
  <c r="E39" i="1"/>
  <c r="E251" i="1"/>
  <c r="E31" i="1"/>
  <c r="E273" i="1"/>
  <c r="E300" i="1"/>
  <c r="E324" i="1"/>
  <c r="E328" i="1"/>
  <c r="E332" i="1"/>
  <c r="E338" i="1"/>
  <c r="C271" i="7" l="1"/>
  <c r="C90" i="7"/>
  <c r="C254" i="7"/>
  <c r="C95" i="7"/>
  <c r="C276" i="7"/>
  <c r="C191" i="7"/>
  <c r="C142" i="7"/>
  <c r="C20" i="7"/>
  <c r="C267" i="7"/>
  <c r="C178" i="7"/>
  <c r="C26" i="7"/>
  <c r="C367" i="7"/>
  <c r="C278" i="7"/>
  <c r="C56" i="7"/>
  <c r="C255" i="7"/>
  <c r="C356" i="7"/>
  <c r="C300" i="7"/>
  <c r="C226" i="7"/>
  <c r="C132" i="7"/>
  <c r="C25" i="7"/>
  <c r="C301" i="7"/>
  <c r="C248" i="7"/>
  <c r="C208" i="7"/>
  <c r="C179" i="7"/>
  <c r="C136" i="7"/>
  <c r="C36" i="7"/>
  <c r="C340" i="7"/>
  <c r="C42" i="7"/>
  <c r="C93" i="7"/>
  <c r="C355" i="7"/>
  <c r="C294" i="7"/>
  <c r="C220" i="7"/>
  <c r="C185" i="7"/>
  <c r="C128" i="7"/>
  <c r="C122" i="7"/>
  <c r="C31" i="7"/>
  <c r="C210" i="7"/>
  <c r="C170" i="7"/>
  <c r="C39" i="7"/>
  <c r="C263" i="7"/>
  <c r="C182" i="7"/>
  <c r="C123" i="7"/>
  <c r="C50" i="7"/>
  <c r="C353" i="7"/>
  <c r="C321" i="7"/>
  <c r="C283" i="7"/>
  <c r="C186" i="7"/>
  <c r="C129" i="7"/>
  <c r="C147" i="7"/>
  <c r="C12" i="7"/>
  <c r="C339" i="7"/>
  <c r="C110" i="7"/>
  <c r="C88" i="7"/>
  <c r="C336" i="7"/>
  <c r="C298" i="7"/>
  <c r="C240" i="7"/>
  <c r="C181" i="7"/>
  <c r="C68" i="7"/>
  <c r="C51" i="7"/>
  <c r="C335" i="7"/>
  <c r="C292" i="7"/>
  <c r="C246" i="7"/>
  <c r="C205" i="7"/>
  <c r="C87" i="7"/>
  <c r="C262" i="7"/>
  <c r="C125" i="7"/>
  <c r="C107" i="7"/>
  <c r="C30" i="7"/>
  <c r="C366" i="7"/>
  <c r="C331" i="7"/>
  <c r="C309" i="7"/>
  <c r="C293" i="7"/>
  <c r="C269" i="7"/>
  <c r="C238" i="7"/>
  <c r="C207" i="7"/>
  <c r="C180" i="7"/>
  <c r="C159" i="7"/>
  <c r="C64" i="7"/>
  <c r="C37" i="7"/>
  <c r="C345" i="7"/>
  <c r="C332" i="7"/>
  <c r="C310" i="7"/>
  <c r="C290" i="7"/>
  <c r="C266" i="7"/>
  <c r="C239" i="7"/>
  <c r="C218" i="7"/>
  <c r="C195" i="7"/>
  <c r="C171" i="7"/>
  <c r="C150" i="7"/>
  <c r="C83" i="7"/>
  <c r="C40" i="7"/>
  <c r="C348" i="7"/>
  <c r="C272" i="7"/>
  <c r="C86" i="7"/>
  <c r="C330" i="7"/>
  <c r="C183" i="7"/>
  <c r="C153" i="7"/>
  <c r="C15" i="7"/>
  <c r="C322" i="7"/>
  <c r="C306" i="7"/>
  <c r="C287" i="7"/>
  <c r="C233" i="7"/>
  <c r="C209" i="7"/>
  <c r="C192" i="7"/>
  <c r="C162" i="7"/>
  <c r="C143" i="7"/>
  <c r="C112" i="7"/>
  <c r="C65" i="7"/>
  <c r="C19" i="7"/>
  <c r="C82" i="7"/>
  <c r="C315" i="7"/>
  <c r="C216" i="7"/>
  <c r="C152" i="7"/>
  <c r="C245" i="7"/>
  <c r="C73" i="7"/>
  <c r="C358" i="7"/>
  <c r="C270" i="7"/>
  <c r="C243" i="7"/>
  <c r="C201" i="7"/>
  <c r="C139" i="7"/>
  <c r="C115" i="7"/>
  <c r="C66" i="7"/>
  <c r="C46" i="7"/>
  <c r="C11" i="7"/>
  <c r="C281" i="7"/>
  <c r="C75" i="7"/>
  <c r="C311" i="7"/>
  <c r="C250" i="7"/>
  <c r="C234" i="7"/>
  <c r="C169" i="7"/>
  <c r="C105" i="7"/>
  <c r="C296" i="7"/>
  <c r="C253" i="7"/>
  <c r="C45" i="7"/>
  <c r="C349" i="7"/>
  <c r="C221" i="7"/>
  <c r="C91" i="7"/>
  <c r="C256" i="7"/>
  <c r="C189" i="7"/>
  <c r="C53" i="7"/>
  <c r="C18" i="7"/>
  <c r="C229" i="7"/>
  <c r="C174" i="7"/>
  <c r="C24" i="7"/>
  <c r="C303" i="7"/>
  <c r="C160" i="7"/>
  <c r="C54" i="7"/>
  <c r="C346" i="7"/>
  <c r="C297" i="7"/>
  <c r="C188" i="7"/>
  <c r="C131" i="7"/>
  <c r="C111" i="7"/>
  <c r="C89" i="7"/>
  <c r="C17" i="7"/>
  <c r="C343" i="7"/>
  <c r="C117" i="7"/>
  <c r="C99" i="7"/>
  <c r="C318" i="7"/>
  <c r="C280" i="7"/>
  <c r="C247" i="7"/>
  <c r="C196" i="7"/>
  <c r="C172" i="7"/>
  <c r="C59" i="7"/>
  <c r="C337" i="7"/>
  <c r="C326" i="7"/>
  <c r="C273" i="7"/>
  <c r="C227" i="7"/>
  <c r="C157" i="7"/>
  <c r="C78" i="7"/>
  <c r="C96" i="7"/>
  <c r="C230" i="7"/>
  <c r="C135" i="7"/>
  <c r="C314" i="7"/>
  <c r="C275" i="7"/>
  <c r="C202" i="7"/>
  <c r="C151" i="7"/>
  <c r="C101" i="7"/>
  <c r="C28" i="7"/>
  <c r="C286" i="7"/>
  <c r="C63" i="7"/>
  <c r="C350" i="7"/>
  <c r="C237" i="7"/>
  <c r="C79" i="7"/>
  <c r="C29" i="7"/>
  <c r="C94" i="7"/>
  <c r="C242" i="7"/>
  <c r="C67" i="7"/>
  <c r="C264" i="7"/>
  <c r="C9" i="7"/>
  <c r="C258" i="7"/>
  <c r="C100" i="7"/>
  <c r="C325" i="7"/>
  <c r="C224" i="7"/>
  <c r="C144" i="7"/>
  <c r="C44" i="7"/>
  <c r="C104" i="7"/>
  <c r="C194" i="7"/>
  <c r="C77" i="7"/>
  <c r="C363" i="7"/>
  <c r="C291" i="7"/>
  <c r="C62" i="7"/>
  <c r="C342" i="7"/>
  <c r="C279" i="7"/>
  <c r="C145" i="7"/>
  <c r="C124" i="7"/>
  <c r="C106" i="7"/>
  <c r="C69" i="7"/>
  <c r="C58" i="7"/>
  <c r="C316" i="7"/>
  <c r="C274" i="7"/>
  <c r="C217" i="7"/>
  <c r="C167" i="7"/>
  <c r="C360" i="7"/>
  <c r="C317" i="7"/>
  <c r="C268" i="7"/>
  <c r="C225" i="7"/>
  <c r="C176" i="7"/>
  <c r="C154" i="7"/>
  <c r="C47" i="7"/>
  <c r="C23" i="7"/>
  <c r="C334" i="7"/>
  <c r="C92" i="7"/>
  <c r="C22" i="7"/>
  <c r="C204" i="7"/>
  <c r="C43" i="7"/>
  <c r="C126" i="7"/>
  <c r="C351" i="7"/>
  <c r="C312" i="7"/>
  <c r="C289" i="7"/>
  <c r="C212" i="7"/>
  <c r="C198" i="7"/>
  <c r="C177" i="7"/>
  <c r="C148" i="7"/>
  <c r="C114" i="7"/>
  <c r="C76" i="7"/>
  <c r="C21" i="7"/>
  <c r="C118" i="7"/>
  <c r="C365" i="7"/>
  <c r="C219" i="7"/>
  <c r="C203" i="7"/>
  <c r="C259" i="7"/>
  <c r="C166" i="7"/>
  <c r="C362" i="7"/>
  <c r="C323" i="7"/>
  <c r="C249" i="7"/>
  <c r="C211" i="7"/>
  <c r="C141" i="7"/>
  <c r="C119" i="7"/>
  <c r="C71" i="7"/>
  <c r="C48" i="7"/>
  <c r="C16" i="7"/>
  <c r="C324" i="7"/>
  <c r="C84" i="7"/>
  <c r="C319" i="7"/>
  <c r="C252" i="7"/>
  <c r="C236" i="7"/>
  <c r="C173" i="7"/>
  <c r="C109" i="7"/>
  <c r="C32" i="7"/>
  <c r="C257" i="7"/>
  <c r="C85" i="7"/>
  <c r="C338" i="7"/>
  <c r="C251" i="7"/>
  <c r="C140" i="7"/>
  <c r="C121" i="7"/>
  <c r="C103" i="7"/>
  <c r="C55" i="7"/>
  <c r="C352" i="7"/>
  <c r="C313" i="7"/>
  <c r="C235" i="7"/>
  <c r="C137" i="7"/>
  <c r="C116" i="7"/>
  <c r="C98" i="7"/>
  <c r="C34" i="7"/>
  <c r="C347" i="7"/>
  <c r="C120" i="7"/>
  <c r="C102" i="7"/>
  <c r="C10" i="7"/>
  <c r="C364" i="7"/>
  <c r="C328" i="7"/>
  <c r="C302" i="7"/>
  <c r="C284" i="7"/>
  <c r="C260" i="7"/>
  <c r="C231" i="7"/>
  <c r="C197" i="7"/>
  <c r="C175" i="7"/>
  <c r="C156" i="7"/>
  <c r="C61" i="7"/>
  <c r="C27" i="7"/>
  <c r="C341" i="7"/>
  <c r="C329" i="7"/>
  <c r="C308" i="7"/>
  <c r="C285" i="7"/>
  <c r="C261" i="7"/>
  <c r="C232" i="7"/>
  <c r="C215" i="7"/>
  <c r="C193" i="7"/>
  <c r="C168" i="7"/>
  <c r="C146" i="7"/>
  <c r="C81" i="7"/>
  <c r="C38" i="7"/>
  <c r="C344" i="7"/>
  <c r="C200" i="7"/>
  <c r="C70" i="7"/>
  <c r="C327" i="7"/>
  <c r="C113" i="7"/>
  <c r="C149" i="7"/>
  <c r="C359" i="7"/>
  <c r="C320" i="7"/>
  <c r="C304" i="7"/>
  <c r="C277" i="7"/>
  <c r="C222" i="7"/>
  <c r="C206" i="7"/>
  <c r="C190" i="7"/>
  <c r="C158" i="7"/>
  <c r="C134" i="7"/>
  <c r="C108" i="7"/>
  <c r="C57" i="7"/>
  <c r="C14" i="7"/>
  <c r="C35" i="7"/>
  <c r="C307" i="7"/>
  <c r="C214" i="7"/>
  <c r="C74" i="7"/>
  <c r="C199" i="7"/>
  <c r="C60" i="7"/>
  <c r="C354" i="7"/>
  <c r="C265" i="7"/>
  <c r="C241" i="7"/>
  <c r="C187" i="7"/>
  <c r="C130" i="7"/>
  <c r="C97" i="7"/>
  <c r="C52" i="7"/>
  <c r="C33" i="7"/>
  <c r="C357" i="7"/>
  <c r="C127" i="7"/>
  <c r="C361" i="7"/>
  <c r="C305" i="7"/>
  <c r="C244" i="7"/>
  <c r="C213" i="7"/>
  <c r="C138" i="7"/>
  <c r="C80" i="7"/>
  <c r="C288" i="7"/>
  <c r="C165" i="7"/>
  <c r="C41" i="7"/>
  <c r="C282" i="7"/>
  <c r="C161" i="7"/>
  <c r="C333" i="7"/>
  <c r="C228" i="7"/>
  <c r="C184" i="7"/>
  <c r="C49" i="7"/>
  <c r="C13" i="7"/>
  <c r="C223" i="7"/>
  <c r="C133" i="7"/>
  <c r="C299" i="7"/>
  <c r="C295" i="7"/>
  <c r="C155" i="7"/>
  <c r="C72" i="7"/>
  <c r="E354" i="1"/>
  <c r="E355" i="1"/>
  <c r="C368" i="7" l="1"/>
  <c r="C381" i="7"/>
  <c r="G362" i="7" l="1"/>
  <c r="I362" i="7" s="1"/>
  <c r="K362" i="7" s="1"/>
  <c r="G361" i="7"/>
  <c r="I361" i="7" s="1"/>
  <c r="K361" i="7" s="1"/>
  <c r="G360" i="7"/>
  <c r="I360" i="7" s="1"/>
  <c r="K360" i="7" s="1"/>
  <c r="G359" i="7"/>
  <c r="I359" i="7" s="1"/>
  <c r="K359" i="7" s="1"/>
  <c r="G358" i="7"/>
  <c r="I358" i="7" s="1"/>
  <c r="K358" i="7" s="1"/>
  <c r="G357" i="7"/>
  <c r="I357" i="7" s="1"/>
  <c r="K357" i="7" s="1"/>
  <c r="G356" i="7"/>
  <c r="I356" i="7" s="1"/>
  <c r="K356" i="7" s="1"/>
  <c r="G355" i="7"/>
  <c r="I355" i="7" s="1"/>
  <c r="K355" i="7" s="1"/>
  <c r="G354" i="7"/>
  <c r="I354" i="7" s="1"/>
  <c r="K354" i="7" s="1"/>
  <c r="G353" i="7"/>
  <c r="I353" i="7" s="1"/>
  <c r="K353" i="7" s="1"/>
  <c r="G352" i="7"/>
  <c r="I352" i="7" s="1"/>
  <c r="K352" i="7" s="1"/>
  <c r="G351" i="7"/>
  <c r="I351" i="7" s="1"/>
  <c r="K351" i="7" s="1"/>
  <c r="G350" i="7"/>
  <c r="I350" i="7" s="1"/>
  <c r="K350" i="7" s="1"/>
  <c r="G349" i="7"/>
  <c r="I349" i="7" s="1"/>
  <c r="K349" i="7" s="1"/>
  <c r="G348" i="7"/>
  <c r="I348" i="7" s="1"/>
  <c r="K348" i="7" s="1"/>
  <c r="G347" i="7"/>
  <c r="I347" i="7" s="1"/>
  <c r="K347" i="7" s="1"/>
  <c r="G346" i="7"/>
  <c r="I346" i="7" s="1"/>
  <c r="K346" i="7" s="1"/>
  <c r="G345" i="7"/>
  <c r="I345" i="7" s="1"/>
  <c r="K345" i="7" s="1"/>
  <c r="G344" i="7"/>
  <c r="I344" i="7" s="1"/>
  <c r="K344" i="7" s="1"/>
  <c r="G343" i="7"/>
  <c r="I343" i="7" s="1"/>
  <c r="K343" i="7" s="1"/>
  <c r="G342" i="7"/>
  <c r="I342" i="7" s="1"/>
  <c r="K342" i="7" s="1"/>
  <c r="G341" i="7"/>
  <c r="I341" i="7" s="1"/>
  <c r="K341" i="7" s="1"/>
  <c r="G340" i="7"/>
  <c r="I340" i="7" s="1"/>
  <c r="K340" i="7" s="1"/>
  <c r="G339" i="7"/>
  <c r="I339" i="7" s="1"/>
  <c r="K339" i="7" s="1"/>
  <c r="G338" i="7"/>
  <c r="I338" i="7" s="1"/>
  <c r="K338" i="7" s="1"/>
  <c r="G337" i="7"/>
  <c r="I337" i="7" s="1"/>
  <c r="K337" i="7" s="1"/>
  <c r="G336" i="7"/>
  <c r="I336" i="7" s="1"/>
  <c r="K336" i="7" s="1"/>
  <c r="G335" i="7"/>
  <c r="I335" i="7" s="1"/>
  <c r="K335" i="7" s="1"/>
  <c r="AK314" i="7"/>
  <c r="AN314" i="7" s="1"/>
  <c r="AP314" i="7" s="1"/>
  <c r="AK313" i="7"/>
  <c r="AN313" i="7" s="1"/>
  <c r="AP313" i="7" s="1"/>
  <c r="AK312" i="7"/>
  <c r="AN312" i="7" s="1"/>
  <c r="AP312" i="7" s="1"/>
  <c r="AK311" i="7"/>
  <c r="AN311" i="7" s="1"/>
  <c r="AP311" i="7" s="1"/>
  <c r="AK310" i="7"/>
  <c r="AN310" i="7" s="1"/>
  <c r="AP310" i="7" s="1"/>
  <c r="AK309" i="7"/>
  <c r="AN309" i="7" s="1"/>
  <c r="AP309" i="7" s="1"/>
  <c r="AK308" i="7"/>
  <c r="AN308" i="7" s="1"/>
  <c r="AP308" i="7" s="1"/>
  <c r="AK307" i="7"/>
  <c r="AN307" i="7" s="1"/>
  <c r="AP307" i="7" s="1"/>
  <c r="AK306" i="7"/>
  <c r="AN306" i="7" s="1"/>
  <c r="AP306" i="7" s="1"/>
  <c r="AK305" i="7"/>
  <c r="AN305" i="7" s="1"/>
  <c r="AP305" i="7" s="1"/>
  <c r="AK304" i="7"/>
  <c r="AN304" i="7" s="1"/>
  <c r="AP304" i="7" s="1"/>
  <c r="AK303" i="7"/>
  <c r="AN303" i="7" s="1"/>
  <c r="AP303" i="7" s="1"/>
  <c r="AK302" i="7"/>
  <c r="AN302" i="7" s="1"/>
  <c r="AP302" i="7" s="1"/>
  <c r="AK301" i="7"/>
  <c r="AN301" i="7" s="1"/>
  <c r="AP301" i="7" s="1"/>
  <c r="AK300" i="7"/>
  <c r="AN300" i="7" s="1"/>
  <c r="AP300" i="7" s="1"/>
  <c r="AK299" i="7"/>
  <c r="AN299" i="7" s="1"/>
  <c r="AP299" i="7" s="1"/>
  <c r="AK298" i="7"/>
  <c r="AN298" i="7" s="1"/>
  <c r="AP298" i="7" s="1"/>
  <c r="AK297" i="7"/>
  <c r="AN297" i="7" s="1"/>
  <c r="AP297" i="7" s="1"/>
  <c r="AK296" i="7"/>
  <c r="AN296" i="7" s="1"/>
  <c r="AP296" i="7" s="1"/>
  <c r="AK295" i="7"/>
  <c r="AN295" i="7" s="1"/>
  <c r="AP295" i="7" s="1"/>
  <c r="AK294" i="7"/>
  <c r="AN294" i="7" s="1"/>
  <c r="AP294" i="7" s="1"/>
  <c r="AK293" i="7"/>
  <c r="AN293" i="7" s="1"/>
  <c r="AP293" i="7" s="1"/>
  <c r="AK292" i="7"/>
  <c r="AN292" i="7" s="1"/>
  <c r="AP292" i="7" s="1"/>
  <c r="AK291" i="7"/>
  <c r="AN291" i="7" s="1"/>
  <c r="AP291" i="7" s="1"/>
  <c r="AK290" i="7"/>
  <c r="AN290" i="7" s="1"/>
  <c r="AP290" i="7" s="1"/>
  <c r="AK289" i="7"/>
  <c r="AN289" i="7" s="1"/>
  <c r="AP289" i="7" s="1"/>
  <c r="AK288" i="7"/>
  <c r="AN288" i="7" s="1"/>
  <c r="AP288" i="7" s="1"/>
  <c r="AK287" i="7"/>
  <c r="AN287" i="7" s="1"/>
  <c r="AP287" i="7" s="1"/>
  <c r="AK286" i="7"/>
  <c r="AK285" i="7"/>
  <c r="AN285" i="7" s="1"/>
  <c r="AP285" i="7" s="1"/>
  <c r="AK284" i="7"/>
  <c r="AN284" i="7" s="1"/>
  <c r="AP284" i="7" s="1"/>
  <c r="AK283" i="7"/>
  <c r="AN283" i="7" s="1"/>
  <c r="AP283" i="7" s="1"/>
  <c r="AK282" i="7"/>
  <c r="AN282" i="7" s="1"/>
  <c r="AP282" i="7" s="1"/>
  <c r="AK281" i="7"/>
  <c r="AN281" i="7" s="1"/>
  <c r="AP281" i="7" s="1"/>
  <c r="AK280" i="7"/>
  <c r="AN280" i="7" s="1"/>
  <c r="AP280" i="7" s="1"/>
  <c r="AK279" i="7"/>
  <c r="AN279" i="7" s="1"/>
  <c r="AP279" i="7" s="1"/>
  <c r="AK278" i="7"/>
  <c r="AN278" i="7" s="1"/>
  <c r="AP278" i="7" s="1"/>
  <c r="AK277" i="7"/>
  <c r="AN277" i="7" s="1"/>
  <c r="AP277" i="7" s="1"/>
  <c r="AK276" i="7"/>
  <c r="AN276" i="7" s="1"/>
  <c r="AP276" i="7" s="1"/>
  <c r="AK275" i="7"/>
  <c r="AN275" i="7" s="1"/>
  <c r="AP275" i="7" s="1"/>
  <c r="AK274" i="7"/>
  <c r="AN274" i="7" s="1"/>
  <c r="AP274" i="7" s="1"/>
  <c r="AK273" i="7"/>
  <c r="AK272" i="7"/>
  <c r="AN272" i="7" s="1"/>
  <c r="AP272" i="7" s="1"/>
  <c r="AK271" i="7"/>
  <c r="AN271" i="7" s="1"/>
  <c r="AP271" i="7" s="1"/>
  <c r="G270" i="7"/>
  <c r="I270" i="7" s="1"/>
  <c r="K270" i="7" s="1"/>
  <c r="G269" i="7"/>
  <c r="I269" i="7" s="1"/>
  <c r="K269" i="7" s="1"/>
  <c r="G268" i="7"/>
  <c r="I268" i="7" s="1"/>
  <c r="K268" i="7" s="1"/>
  <c r="G267" i="7"/>
  <c r="I267" i="7" s="1"/>
  <c r="K267" i="7" s="1"/>
  <c r="G266" i="7"/>
  <c r="I266" i="7" s="1"/>
  <c r="K266" i="7" s="1"/>
  <c r="G265" i="7"/>
  <c r="I265" i="7" s="1"/>
  <c r="K265" i="7" s="1"/>
  <c r="G264" i="7"/>
  <c r="I264" i="7" s="1"/>
  <c r="K264" i="7" s="1"/>
  <c r="G263" i="7"/>
  <c r="I263" i="7" s="1"/>
  <c r="K263" i="7" s="1"/>
  <c r="G262" i="7"/>
  <c r="I262" i="7" s="1"/>
  <c r="K262" i="7" s="1"/>
  <c r="G261" i="7"/>
  <c r="I261" i="7" s="1"/>
  <c r="K261" i="7" s="1"/>
  <c r="G260" i="7"/>
  <c r="I260" i="7" s="1"/>
  <c r="K260" i="7" s="1"/>
  <c r="G259" i="7"/>
  <c r="I259" i="7" s="1"/>
  <c r="K259" i="7" s="1"/>
  <c r="G258" i="7"/>
  <c r="I258" i="7" s="1"/>
  <c r="K258" i="7" s="1"/>
  <c r="G367" i="7"/>
  <c r="I367" i="7" s="1"/>
  <c r="K367" i="7" s="1"/>
  <c r="G366" i="7"/>
  <c r="I366" i="7" s="1"/>
  <c r="K366" i="7" s="1"/>
  <c r="G365" i="7"/>
  <c r="I365" i="7" s="1"/>
  <c r="K365" i="7" s="1"/>
  <c r="G364" i="7"/>
  <c r="I364" i="7" s="1"/>
  <c r="K364" i="7" s="1"/>
  <c r="AK362" i="7"/>
  <c r="AN362" i="7" s="1"/>
  <c r="AP362" i="7" s="1"/>
  <c r="AK361" i="7"/>
  <c r="AN361" i="7" s="1"/>
  <c r="AP361" i="7" s="1"/>
  <c r="AK360" i="7"/>
  <c r="AN360" i="7" s="1"/>
  <c r="AP360" i="7" s="1"/>
  <c r="AK359" i="7"/>
  <c r="AN359" i="7" s="1"/>
  <c r="AP359" i="7" s="1"/>
  <c r="AK358" i="7"/>
  <c r="AN358" i="7" s="1"/>
  <c r="AP358" i="7" s="1"/>
  <c r="AK357" i="7"/>
  <c r="AN357" i="7" s="1"/>
  <c r="AP357" i="7" s="1"/>
  <c r="AK356" i="7"/>
  <c r="AN356" i="7" s="1"/>
  <c r="AP356" i="7" s="1"/>
  <c r="AK355" i="7"/>
  <c r="AN355" i="7" s="1"/>
  <c r="AP355" i="7" s="1"/>
  <c r="AK354" i="7"/>
  <c r="AN354" i="7" s="1"/>
  <c r="AP354" i="7" s="1"/>
  <c r="AK353" i="7"/>
  <c r="AN353" i="7" s="1"/>
  <c r="AP353" i="7" s="1"/>
  <c r="AK352" i="7"/>
  <c r="AN352" i="7" s="1"/>
  <c r="AP352" i="7" s="1"/>
  <c r="AK351" i="7"/>
  <c r="AN351" i="7" s="1"/>
  <c r="AP351" i="7" s="1"/>
  <c r="AK350" i="7"/>
  <c r="AN350" i="7" s="1"/>
  <c r="AP350" i="7" s="1"/>
  <c r="AK349" i="7"/>
  <c r="AN349" i="7" s="1"/>
  <c r="AP349" i="7" s="1"/>
  <c r="AK348" i="7"/>
  <c r="AN348" i="7" s="1"/>
  <c r="AP348" i="7" s="1"/>
  <c r="AK347" i="7"/>
  <c r="AN347" i="7" s="1"/>
  <c r="AP347" i="7" s="1"/>
  <c r="AK346" i="7"/>
  <c r="AN346" i="7" s="1"/>
  <c r="AP346" i="7" s="1"/>
  <c r="AK345" i="7"/>
  <c r="AN345" i="7" s="1"/>
  <c r="AP345" i="7" s="1"/>
  <c r="AK344" i="7"/>
  <c r="AN344" i="7" s="1"/>
  <c r="AP344" i="7" s="1"/>
  <c r="AK343" i="7"/>
  <c r="AN343" i="7" s="1"/>
  <c r="AP343" i="7" s="1"/>
  <c r="AK342" i="7"/>
  <c r="AN342" i="7" s="1"/>
  <c r="AP342" i="7" s="1"/>
  <c r="AK341" i="7"/>
  <c r="AN341" i="7" s="1"/>
  <c r="AP341" i="7" s="1"/>
  <c r="AK340" i="7"/>
  <c r="AN340" i="7" s="1"/>
  <c r="AP340" i="7" s="1"/>
  <c r="AK339" i="7"/>
  <c r="AN339" i="7" s="1"/>
  <c r="AP339" i="7" s="1"/>
  <c r="AK338" i="7"/>
  <c r="AN338" i="7" s="1"/>
  <c r="AP338" i="7" s="1"/>
  <c r="AK337" i="7"/>
  <c r="AN337" i="7" s="1"/>
  <c r="AP337" i="7" s="1"/>
  <c r="AK336" i="7"/>
  <c r="AN336" i="7" s="1"/>
  <c r="AP336" i="7" s="1"/>
  <c r="AK335" i="7"/>
  <c r="AN335" i="7" s="1"/>
  <c r="AP335" i="7" s="1"/>
  <c r="G334" i="7"/>
  <c r="I334" i="7" s="1"/>
  <c r="K334" i="7" s="1"/>
  <c r="G333" i="7"/>
  <c r="I333" i="7" s="1"/>
  <c r="K333" i="7" s="1"/>
  <c r="G332" i="7"/>
  <c r="I332" i="7" s="1"/>
  <c r="K332" i="7" s="1"/>
  <c r="G331" i="7"/>
  <c r="I331" i="7" s="1"/>
  <c r="K331" i="7" s="1"/>
  <c r="AK270" i="7"/>
  <c r="AN270" i="7" s="1"/>
  <c r="AP270" i="7" s="1"/>
  <c r="AK269" i="7"/>
  <c r="AK268" i="7"/>
  <c r="AN268" i="7" s="1"/>
  <c r="AP268" i="7" s="1"/>
  <c r="AK267" i="7"/>
  <c r="AN267" i="7" s="1"/>
  <c r="AP267" i="7" s="1"/>
  <c r="AK266" i="7"/>
  <c r="AN266" i="7" s="1"/>
  <c r="AP266" i="7" s="1"/>
  <c r="AK265" i="7"/>
  <c r="AN265" i="7" s="1"/>
  <c r="AP265" i="7" s="1"/>
  <c r="AK264" i="7"/>
  <c r="AN264" i="7" s="1"/>
  <c r="AP264" i="7" s="1"/>
  <c r="AK263" i="7"/>
  <c r="AN263" i="7" s="1"/>
  <c r="AP263" i="7" s="1"/>
  <c r="AK262" i="7"/>
  <c r="AN262" i="7" s="1"/>
  <c r="AP262" i="7" s="1"/>
  <c r="AK261" i="7"/>
  <c r="AN261" i="7" s="1"/>
  <c r="AP261" i="7" s="1"/>
  <c r="AK260" i="7"/>
  <c r="AN260" i="7" s="1"/>
  <c r="AP260" i="7" s="1"/>
  <c r="AK259" i="7"/>
  <c r="AN259" i="7" s="1"/>
  <c r="AP259" i="7" s="1"/>
  <c r="AK258" i="7"/>
  <c r="AN258" i="7" s="1"/>
  <c r="AP258" i="7" s="1"/>
  <c r="AK257" i="7"/>
  <c r="AN257" i="7" s="1"/>
  <c r="AP257" i="7" s="1"/>
  <c r="AK256" i="7"/>
  <c r="AN256" i="7" s="1"/>
  <c r="AP256" i="7" s="1"/>
  <c r="AK365" i="7"/>
  <c r="AN365" i="7" s="1"/>
  <c r="AP365" i="7" s="1"/>
  <c r="AK332" i="7"/>
  <c r="AN332" i="7" s="1"/>
  <c r="AP332" i="7" s="1"/>
  <c r="G312" i="7"/>
  <c r="I312" i="7" s="1"/>
  <c r="K312" i="7" s="1"/>
  <c r="G308" i="7"/>
  <c r="I308" i="7" s="1"/>
  <c r="K308" i="7" s="1"/>
  <c r="G304" i="7"/>
  <c r="I304" i="7" s="1"/>
  <c r="K304" i="7" s="1"/>
  <c r="G300" i="7"/>
  <c r="I300" i="7" s="1"/>
  <c r="K300" i="7" s="1"/>
  <c r="G296" i="7"/>
  <c r="I296" i="7" s="1"/>
  <c r="K296" i="7" s="1"/>
  <c r="G292" i="7"/>
  <c r="I292" i="7" s="1"/>
  <c r="K292" i="7" s="1"/>
  <c r="G288" i="7"/>
  <c r="I288" i="7" s="1"/>
  <c r="K288" i="7" s="1"/>
  <c r="G284" i="7"/>
  <c r="I284" i="7" s="1"/>
  <c r="K284" i="7" s="1"/>
  <c r="G280" i="7"/>
  <c r="I280" i="7" s="1"/>
  <c r="K280" i="7" s="1"/>
  <c r="G276" i="7"/>
  <c r="I276" i="7" s="1"/>
  <c r="K276" i="7" s="1"/>
  <c r="G272" i="7"/>
  <c r="I272" i="7" s="1"/>
  <c r="K272" i="7" s="1"/>
  <c r="G256" i="7"/>
  <c r="I256" i="7" s="1"/>
  <c r="K256" i="7" s="1"/>
  <c r="G255" i="7"/>
  <c r="I255" i="7" s="1"/>
  <c r="K255" i="7" s="1"/>
  <c r="G254" i="7"/>
  <c r="I254" i="7" s="1"/>
  <c r="K254" i="7" s="1"/>
  <c r="G253" i="7"/>
  <c r="G252" i="7"/>
  <c r="I252" i="7" s="1"/>
  <c r="K252" i="7" s="1"/>
  <c r="G251" i="7"/>
  <c r="I251" i="7" s="1"/>
  <c r="K251" i="7" s="1"/>
  <c r="G250" i="7"/>
  <c r="I250" i="7" s="1"/>
  <c r="K250" i="7" s="1"/>
  <c r="G249" i="7"/>
  <c r="I249" i="7" s="1"/>
  <c r="K249" i="7" s="1"/>
  <c r="G248" i="7"/>
  <c r="I248" i="7" s="1"/>
  <c r="K248" i="7" s="1"/>
  <c r="G247" i="7"/>
  <c r="I247" i="7" s="1"/>
  <c r="K247" i="7" s="1"/>
  <c r="G246" i="7"/>
  <c r="I246" i="7" s="1"/>
  <c r="K246" i="7" s="1"/>
  <c r="G245" i="7"/>
  <c r="I245" i="7" s="1"/>
  <c r="K245" i="7" s="1"/>
  <c r="G244" i="7"/>
  <c r="I244" i="7" s="1"/>
  <c r="K244" i="7" s="1"/>
  <c r="G243" i="7"/>
  <c r="I243" i="7" s="1"/>
  <c r="K243" i="7" s="1"/>
  <c r="G242" i="7"/>
  <c r="I242" i="7" s="1"/>
  <c r="K242" i="7" s="1"/>
  <c r="AK131" i="7"/>
  <c r="AN131" i="7" s="1"/>
  <c r="AP131" i="7" s="1"/>
  <c r="AK130" i="7"/>
  <c r="AN130" i="7" s="1"/>
  <c r="AP130" i="7" s="1"/>
  <c r="AK129" i="7"/>
  <c r="AN129" i="7" s="1"/>
  <c r="AP129" i="7" s="1"/>
  <c r="AK128" i="7"/>
  <c r="AN128" i="7" s="1"/>
  <c r="AP128" i="7" s="1"/>
  <c r="AK127" i="7"/>
  <c r="AK126" i="7"/>
  <c r="AN126" i="7" s="1"/>
  <c r="AP126" i="7" s="1"/>
  <c r="AK125" i="7"/>
  <c r="AN125" i="7" s="1"/>
  <c r="AP125" i="7" s="1"/>
  <c r="AK124" i="7"/>
  <c r="AN124" i="7" s="1"/>
  <c r="AP124" i="7" s="1"/>
  <c r="AK123" i="7"/>
  <c r="AN123" i="7" s="1"/>
  <c r="AP123" i="7" s="1"/>
  <c r="AK122" i="7"/>
  <c r="AN122" i="7" s="1"/>
  <c r="AP122" i="7" s="1"/>
  <c r="AK121" i="7"/>
  <c r="AN121" i="7" s="1"/>
  <c r="AP121" i="7" s="1"/>
  <c r="AK120" i="7"/>
  <c r="AN120" i="7" s="1"/>
  <c r="AP120" i="7" s="1"/>
  <c r="AK119" i="7"/>
  <c r="AN119" i="7" s="1"/>
  <c r="AP119" i="7" s="1"/>
  <c r="AK118" i="7"/>
  <c r="AN118" i="7" s="1"/>
  <c r="AP118" i="7" s="1"/>
  <c r="AK117" i="7"/>
  <c r="AN117" i="7" s="1"/>
  <c r="AP117" i="7" s="1"/>
  <c r="AK116" i="7"/>
  <c r="AN116" i="7" s="1"/>
  <c r="AP116" i="7" s="1"/>
  <c r="AK115" i="7"/>
  <c r="AN115" i="7" s="1"/>
  <c r="AP115" i="7" s="1"/>
  <c r="AK114" i="7"/>
  <c r="AN114" i="7" s="1"/>
  <c r="AP114" i="7" s="1"/>
  <c r="AK113" i="7"/>
  <c r="AN113" i="7" s="1"/>
  <c r="AP113" i="7" s="1"/>
  <c r="AK112" i="7"/>
  <c r="AN112" i="7" s="1"/>
  <c r="AP112" i="7" s="1"/>
  <c r="AK111" i="7"/>
  <c r="AN111" i="7" s="1"/>
  <c r="AP111" i="7" s="1"/>
  <c r="AK110" i="7"/>
  <c r="G109" i="7"/>
  <c r="I109" i="7" s="1"/>
  <c r="K109" i="7" s="1"/>
  <c r="G108" i="7"/>
  <c r="I108" i="7" s="1"/>
  <c r="K108" i="7" s="1"/>
  <c r="G107" i="7"/>
  <c r="I107" i="7" s="1"/>
  <c r="K107" i="7" s="1"/>
  <c r="G106" i="7"/>
  <c r="I106" i="7" s="1"/>
  <c r="K106" i="7" s="1"/>
  <c r="G105" i="7"/>
  <c r="I105" i="7" s="1"/>
  <c r="K105" i="7" s="1"/>
  <c r="G104" i="7"/>
  <c r="I104" i="7" s="1"/>
  <c r="K104" i="7" s="1"/>
  <c r="G103" i="7"/>
  <c r="I103" i="7" s="1"/>
  <c r="K103" i="7" s="1"/>
  <c r="G102" i="7"/>
  <c r="I102" i="7" s="1"/>
  <c r="K102" i="7" s="1"/>
  <c r="G101" i="7"/>
  <c r="I101" i="7" s="1"/>
  <c r="K101" i="7" s="1"/>
  <c r="G100" i="7"/>
  <c r="I100" i="7" s="1"/>
  <c r="K100" i="7" s="1"/>
  <c r="G99" i="7"/>
  <c r="I99" i="7" s="1"/>
  <c r="K99" i="7" s="1"/>
  <c r="G98" i="7"/>
  <c r="I98" i="7" s="1"/>
  <c r="K98" i="7" s="1"/>
  <c r="G97" i="7"/>
  <c r="G96" i="7"/>
  <c r="G95" i="7"/>
  <c r="I95" i="7" s="1"/>
  <c r="K95" i="7" s="1"/>
  <c r="G94" i="7"/>
  <c r="G93" i="7"/>
  <c r="G92" i="7"/>
  <c r="G91" i="7"/>
  <c r="I91" i="7" s="1"/>
  <c r="K91" i="7" s="1"/>
  <c r="G90" i="7"/>
  <c r="I90" i="7" s="1"/>
  <c r="K90" i="7" s="1"/>
  <c r="G89" i="7"/>
  <c r="I89" i="7" s="1"/>
  <c r="K89" i="7" s="1"/>
  <c r="G88" i="7"/>
  <c r="G87" i="7"/>
  <c r="I87" i="7" s="1"/>
  <c r="K87" i="7" s="1"/>
  <c r="G86" i="7"/>
  <c r="I86" i="7" s="1"/>
  <c r="K86" i="7" s="1"/>
  <c r="G85" i="7"/>
  <c r="G84" i="7"/>
  <c r="I84" i="7" s="1"/>
  <c r="K84" i="7" s="1"/>
  <c r="G83" i="7"/>
  <c r="I83" i="7" s="1"/>
  <c r="K83" i="7" s="1"/>
  <c r="G82" i="7"/>
  <c r="I82" i="7" s="1"/>
  <c r="K82" i="7" s="1"/>
  <c r="G81" i="7"/>
  <c r="G80" i="7"/>
  <c r="I80" i="7" s="1"/>
  <c r="K80" i="7" s="1"/>
  <c r="G79" i="7"/>
  <c r="I79" i="7" s="1"/>
  <c r="K79" i="7" s="1"/>
  <c r="G78" i="7"/>
  <c r="I78" i="7" s="1"/>
  <c r="K78" i="7" s="1"/>
  <c r="G77" i="7"/>
  <c r="I77" i="7" s="1"/>
  <c r="K77" i="7" s="1"/>
  <c r="G76" i="7"/>
  <c r="I76" i="7" s="1"/>
  <c r="K76" i="7" s="1"/>
  <c r="G75" i="7"/>
  <c r="I75" i="7" s="1"/>
  <c r="K75" i="7" s="1"/>
  <c r="G74" i="7"/>
  <c r="I74" i="7" s="1"/>
  <c r="K74" i="7" s="1"/>
  <c r="G73" i="7"/>
  <c r="I73" i="7" s="1"/>
  <c r="K73" i="7" s="1"/>
  <c r="G72" i="7"/>
  <c r="I72" i="7" s="1"/>
  <c r="K72" i="7" s="1"/>
  <c r="G71" i="7"/>
  <c r="I71" i="7" s="1"/>
  <c r="K71" i="7" s="1"/>
  <c r="G70" i="7"/>
  <c r="I70" i="7" s="1"/>
  <c r="K70" i="7" s="1"/>
  <c r="G69" i="7"/>
  <c r="I69" i="7" s="1"/>
  <c r="K69" i="7" s="1"/>
  <c r="G68" i="7"/>
  <c r="G67" i="7"/>
  <c r="G66" i="7"/>
  <c r="I66" i="7" s="1"/>
  <c r="K66" i="7" s="1"/>
  <c r="G65" i="7"/>
  <c r="I65" i="7" s="1"/>
  <c r="K65" i="7" s="1"/>
  <c r="G64" i="7"/>
  <c r="I64" i="7" s="1"/>
  <c r="K64" i="7" s="1"/>
  <c r="G63" i="7"/>
  <c r="I63" i="7" s="1"/>
  <c r="K63" i="7" s="1"/>
  <c r="G62" i="7"/>
  <c r="I62" i="7" s="1"/>
  <c r="K62" i="7" s="1"/>
  <c r="G61" i="7"/>
  <c r="I61" i="7" s="1"/>
  <c r="K61" i="7" s="1"/>
  <c r="G60" i="7"/>
  <c r="I60" i="7" s="1"/>
  <c r="K60" i="7" s="1"/>
  <c r="G59" i="7"/>
  <c r="I59" i="7" s="1"/>
  <c r="K59" i="7" s="1"/>
  <c r="AK366" i="7"/>
  <c r="AN366" i="7" s="1"/>
  <c r="AP366" i="7" s="1"/>
  <c r="AK333" i="7"/>
  <c r="AN333" i="7" s="1"/>
  <c r="AP333" i="7" s="1"/>
  <c r="G313" i="7"/>
  <c r="I313" i="7" s="1"/>
  <c r="K313" i="7" s="1"/>
  <c r="G309" i="7"/>
  <c r="I309" i="7" s="1"/>
  <c r="K309" i="7" s="1"/>
  <c r="G305" i="7"/>
  <c r="I305" i="7" s="1"/>
  <c r="K305" i="7" s="1"/>
  <c r="G301" i="7"/>
  <c r="I301" i="7" s="1"/>
  <c r="K301" i="7" s="1"/>
  <c r="G297" i="7"/>
  <c r="G293" i="7"/>
  <c r="I293" i="7" s="1"/>
  <c r="K293" i="7" s="1"/>
  <c r="G289" i="7"/>
  <c r="I289" i="7" s="1"/>
  <c r="K289" i="7" s="1"/>
  <c r="G285" i="7"/>
  <c r="I285" i="7" s="1"/>
  <c r="K285" i="7" s="1"/>
  <c r="G281" i="7"/>
  <c r="I281" i="7" s="1"/>
  <c r="K281" i="7" s="1"/>
  <c r="G277" i="7"/>
  <c r="I277" i="7" s="1"/>
  <c r="K277" i="7" s="1"/>
  <c r="G273" i="7"/>
  <c r="I273" i="7" s="1"/>
  <c r="K273" i="7" s="1"/>
  <c r="G257" i="7"/>
  <c r="I257" i="7" s="1"/>
  <c r="K257" i="7" s="1"/>
  <c r="AK255" i="7"/>
  <c r="AN255" i="7" s="1"/>
  <c r="AP255" i="7" s="1"/>
  <c r="AK254" i="7"/>
  <c r="AN254" i="7" s="1"/>
  <c r="AP254" i="7" s="1"/>
  <c r="AK253" i="7"/>
  <c r="AK252" i="7"/>
  <c r="AK251" i="7"/>
  <c r="AN251" i="7" s="1"/>
  <c r="AP251" i="7" s="1"/>
  <c r="AK250" i="7"/>
  <c r="AN250" i="7" s="1"/>
  <c r="AP250" i="7" s="1"/>
  <c r="AK249" i="7"/>
  <c r="AN249" i="7" s="1"/>
  <c r="AP249" i="7" s="1"/>
  <c r="AK248" i="7"/>
  <c r="AN248" i="7" s="1"/>
  <c r="AP248" i="7" s="1"/>
  <c r="AK247" i="7"/>
  <c r="AN247" i="7" s="1"/>
  <c r="AP247" i="7" s="1"/>
  <c r="AK246" i="7"/>
  <c r="AN246" i="7" s="1"/>
  <c r="AP246" i="7" s="1"/>
  <c r="AK245" i="7"/>
  <c r="AN245" i="7" s="1"/>
  <c r="AP245" i="7" s="1"/>
  <c r="AK244" i="7"/>
  <c r="AN244" i="7" s="1"/>
  <c r="AP244" i="7" s="1"/>
  <c r="AK243" i="7"/>
  <c r="AN243" i="7" s="1"/>
  <c r="AP243" i="7" s="1"/>
  <c r="AK242" i="7"/>
  <c r="AN242" i="7" s="1"/>
  <c r="AP242" i="7" s="1"/>
  <c r="G241" i="7"/>
  <c r="I241" i="7" s="1"/>
  <c r="K241" i="7" s="1"/>
  <c r="G240" i="7"/>
  <c r="I240" i="7" s="1"/>
  <c r="K240" i="7" s="1"/>
  <c r="G239" i="7"/>
  <c r="G238" i="7"/>
  <c r="I238" i="7" s="1"/>
  <c r="K238" i="7" s="1"/>
  <c r="G237" i="7"/>
  <c r="I237" i="7" s="1"/>
  <c r="K237" i="7" s="1"/>
  <c r="G236" i="7"/>
  <c r="I236" i="7" s="1"/>
  <c r="K236" i="7" s="1"/>
  <c r="AK109" i="7"/>
  <c r="AN109" i="7" s="1"/>
  <c r="AP109" i="7" s="1"/>
  <c r="AK108" i="7"/>
  <c r="AN108" i="7" s="1"/>
  <c r="AP108" i="7" s="1"/>
  <c r="AK107" i="7"/>
  <c r="AN107" i="7" s="1"/>
  <c r="AP107" i="7" s="1"/>
  <c r="AK106" i="7"/>
  <c r="AN106" i="7" s="1"/>
  <c r="AP106" i="7" s="1"/>
  <c r="AK105" i="7"/>
  <c r="AN105" i="7" s="1"/>
  <c r="AP105" i="7" s="1"/>
  <c r="AK104" i="7"/>
  <c r="AN104" i="7" s="1"/>
  <c r="AP104" i="7" s="1"/>
  <c r="AK103" i="7"/>
  <c r="AN103" i="7" s="1"/>
  <c r="AP103" i="7" s="1"/>
  <c r="AK102" i="7"/>
  <c r="AN102" i="7" s="1"/>
  <c r="AP102" i="7" s="1"/>
  <c r="AK101" i="7"/>
  <c r="AN101" i="7" s="1"/>
  <c r="AP101" i="7" s="1"/>
  <c r="AK100" i="7"/>
  <c r="AN100" i="7" s="1"/>
  <c r="AP100" i="7" s="1"/>
  <c r="AK99" i="7"/>
  <c r="AN99" i="7" s="1"/>
  <c r="AP99" i="7" s="1"/>
  <c r="AK98" i="7"/>
  <c r="AN98" i="7" s="1"/>
  <c r="AP98" i="7" s="1"/>
  <c r="AK97" i="7"/>
  <c r="AN97" i="7" s="1"/>
  <c r="AP97" i="7" s="1"/>
  <c r="AK96" i="7"/>
  <c r="AN96" i="7" s="1"/>
  <c r="AP96" i="7" s="1"/>
  <c r="AK95" i="7"/>
  <c r="AN95" i="7" s="1"/>
  <c r="AP95" i="7" s="1"/>
  <c r="AK94" i="7"/>
  <c r="AN94" i="7" s="1"/>
  <c r="AP94" i="7" s="1"/>
  <c r="AK93" i="7"/>
  <c r="AN93" i="7" s="1"/>
  <c r="AP93" i="7" s="1"/>
  <c r="AK92" i="7"/>
  <c r="AN92" i="7" s="1"/>
  <c r="AP92" i="7" s="1"/>
  <c r="AK91" i="7"/>
  <c r="AN91" i="7" s="1"/>
  <c r="AP91" i="7" s="1"/>
  <c r="AK90" i="7"/>
  <c r="AN90" i="7" s="1"/>
  <c r="AP90" i="7" s="1"/>
  <c r="AK89" i="7"/>
  <c r="AN89" i="7" s="1"/>
  <c r="AP89" i="7" s="1"/>
  <c r="AK88" i="7"/>
  <c r="AN88" i="7" s="1"/>
  <c r="AP88" i="7" s="1"/>
  <c r="AK87" i="7"/>
  <c r="AN87" i="7" s="1"/>
  <c r="AP87" i="7" s="1"/>
  <c r="AK86" i="7"/>
  <c r="AN86" i="7" s="1"/>
  <c r="AP86" i="7" s="1"/>
  <c r="AK85" i="7"/>
  <c r="AN85" i="7" s="1"/>
  <c r="AP85" i="7" s="1"/>
  <c r="AK84" i="7"/>
  <c r="AN84" i="7" s="1"/>
  <c r="AP84" i="7" s="1"/>
  <c r="AK83" i="7"/>
  <c r="AN83" i="7" s="1"/>
  <c r="AP83" i="7" s="1"/>
  <c r="AK82" i="7"/>
  <c r="AN82" i="7" s="1"/>
  <c r="AP82" i="7" s="1"/>
  <c r="AK81" i="7"/>
  <c r="AN81" i="7" s="1"/>
  <c r="AP81" i="7" s="1"/>
  <c r="AK80" i="7"/>
  <c r="AN80" i="7" s="1"/>
  <c r="AP80" i="7" s="1"/>
  <c r="AK79" i="7"/>
  <c r="AN79" i="7" s="1"/>
  <c r="AP79" i="7" s="1"/>
  <c r="AK78" i="7"/>
  <c r="AN78" i="7" s="1"/>
  <c r="AP78" i="7" s="1"/>
  <c r="AK77" i="7"/>
  <c r="AN77" i="7" s="1"/>
  <c r="AP77" i="7" s="1"/>
  <c r="AK76" i="7"/>
  <c r="AN76" i="7" s="1"/>
  <c r="AP76" i="7" s="1"/>
  <c r="AK75" i="7"/>
  <c r="AN75" i="7" s="1"/>
  <c r="AP75" i="7" s="1"/>
  <c r="AK74" i="7"/>
  <c r="AN74" i="7" s="1"/>
  <c r="AP74" i="7" s="1"/>
  <c r="AK73" i="7"/>
  <c r="AK72" i="7"/>
  <c r="AK71" i="7"/>
  <c r="AN71" i="7" s="1"/>
  <c r="AP71" i="7" s="1"/>
  <c r="AK70" i="7"/>
  <c r="AN70" i="7" s="1"/>
  <c r="AP70" i="7" s="1"/>
  <c r="AK69" i="7"/>
  <c r="AK68" i="7"/>
  <c r="AK67" i="7"/>
  <c r="AN67" i="7" s="1"/>
  <c r="AP67" i="7" s="1"/>
  <c r="AK66" i="7"/>
  <c r="AN66" i="7" s="1"/>
  <c r="AP66" i="7" s="1"/>
  <c r="AK65" i="7"/>
  <c r="AK64" i="7"/>
  <c r="AN64" i="7" s="1"/>
  <c r="AP64" i="7" s="1"/>
  <c r="AK63" i="7"/>
  <c r="AN63" i="7" s="1"/>
  <c r="AP63" i="7" s="1"/>
  <c r="AK62" i="7"/>
  <c r="AN62" i="7" s="1"/>
  <c r="AP62" i="7" s="1"/>
  <c r="AK61" i="7"/>
  <c r="AN61" i="7" s="1"/>
  <c r="AP61" i="7" s="1"/>
  <c r="AK60" i="7"/>
  <c r="AN60" i="7" s="1"/>
  <c r="AP60" i="7" s="1"/>
  <c r="AK59" i="7"/>
  <c r="AN59" i="7" s="1"/>
  <c r="AP59" i="7" s="1"/>
  <c r="AK367" i="7"/>
  <c r="AN367" i="7" s="1"/>
  <c r="AP367" i="7" s="1"/>
  <c r="AK363" i="7"/>
  <c r="AN363" i="7" s="1"/>
  <c r="AP363" i="7" s="1"/>
  <c r="AK334" i="7"/>
  <c r="AN334" i="7" s="1"/>
  <c r="AP334" i="7" s="1"/>
  <c r="G330" i="7"/>
  <c r="I330" i="7" s="1"/>
  <c r="K330" i="7" s="1"/>
  <c r="G329" i="7"/>
  <c r="I329" i="7" s="1"/>
  <c r="K329" i="7" s="1"/>
  <c r="G328" i="7"/>
  <c r="I328" i="7" s="1"/>
  <c r="K328" i="7" s="1"/>
  <c r="G327" i="7"/>
  <c r="I327" i="7" s="1"/>
  <c r="K327" i="7" s="1"/>
  <c r="G326" i="7"/>
  <c r="I326" i="7" s="1"/>
  <c r="K326" i="7" s="1"/>
  <c r="G325" i="7"/>
  <c r="I325" i="7" s="1"/>
  <c r="K325" i="7" s="1"/>
  <c r="G324" i="7"/>
  <c r="I324" i="7" s="1"/>
  <c r="K324" i="7" s="1"/>
  <c r="G323" i="7"/>
  <c r="I323" i="7" s="1"/>
  <c r="K323" i="7" s="1"/>
  <c r="G322" i="7"/>
  <c r="I322" i="7" s="1"/>
  <c r="K322" i="7" s="1"/>
  <c r="G321" i="7"/>
  <c r="I321" i="7" s="1"/>
  <c r="K321" i="7" s="1"/>
  <c r="G320" i="7"/>
  <c r="I320" i="7" s="1"/>
  <c r="K320" i="7" s="1"/>
  <c r="G319" i="7"/>
  <c r="G318" i="7"/>
  <c r="I318" i="7" s="1"/>
  <c r="K318" i="7" s="1"/>
  <c r="G317" i="7"/>
  <c r="I317" i="7" s="1"/>
  <c r="K317" i="7" s="1"/>
  <c r="G316" i="7"/>
  <c r="I316" i="7" s="1"/>
  <c r="K316" i="7" s="1"/>
  <c r="G315" i="7"/>
  <c r="I315" i="7" s="1"/>
  <c r="K315" i="7" s="1"/>
  <c r="G314" i="7"/>
  <c r="I314" i="7" s="1"/>
  <c r="K314" i="7" s="1"/>
  <c r="G310" i="7"/>
  <c r="I310" i="7" s="1"/>
  <c r="K310" i="7" s="1"/>
  <c r="G306" i="7"/>
  <c r="I306" i="7" s="1"/>
  <c r="K306" i="7" s="1"/>
  <c r="G302" i="7"/>
  <c r="I302" i="7" s="1"/>
  <c r="K302" i="7" s="1"/>
  <c r="G298" i="7"/>
  <c r="I298" i="7" s="1"/>
  <c r="K298" i="7" s="1"/>
  <c r="G294" i="7"/>
  <c r="I294" i="7" s="1"/>
  <c r="K294" i="7" s="1"/>
  <c r="G290" i="7"/>
  <c r="I290" i="7" s="1"/>
  <c r="K290" i="7" s="1"/>
  <c r="G286" i="7"/>
  <c r="I286" i="7" s="1"/>
  <c r="K286" i="7" s="1"/>
  <c r="G282" i="7"/>
  <c r="I282" i="7" s="1"/>
  <c r="K282" i="7" s="1"/>
  <c r="G278" i="7"/>
  <c r="I278" i="7" s="1"/>
  <c r="K278" i="7" s="1"/>
  <c r="G274" i="7"/>
  <c r="AK364" i="7"/>
  <c r="AN364" i="7" s="1"/>
  <c r="AP364" i="7" s="1"/>
  <c r="AK331" i="7"/>
  <c r="AN331" i="7" s="1"/>
  <c r="AP331" i="7" s="1"/>
  <c r="AK330" i="7"/>
  <c r="AN330" i="7" s="1"/>
  <c r="AP330" i="7" s="1"/>
  <c r="AK326" i="7"/>
  <c r="AN326" i="7" s="1"/>
  <c r="AP326" i="7" s="1"/>
  <c r="AK322" i="7"/>
  <c r="AN322" i="7" s="1"/>
  <c r="AP322" i="7" s="1"/>
  <c r="AK318" i="7"/>
  <c r="G299" i="7"/>
  <c r="I299" i="7" s="1"/>
  <c r="K299" i="7" s="1"/>
  <c r="G283" i="7"/>
  <c r="I283" i="7" s="1"/>
  <c r="K283" i="7" s="1"/>
  <c r="AK241" i="7"/>
  <c r="AN241" i="7" s="1"/>
  <c r="AP241" i="7" s="1"/>
  <c r="AK237" i="7"/>
  <c r="AN237" i="7" s="1"/>
  <c r="AP237" i="7" s="1"/>
  <c r="G129" i="7"/>
  <c r="I129" i="7" s="1"/>
  <c r="K129" i="7" s="1"/>
  <c r="G125" i="7"/>
  <c r="I125" i="7" s="1"/>
  <c r="K125" i="7" s="1"/>
  <c r="G121" i="7"/>
  <c r="I121" i="7" s="1"/>
  <c r="K121" i="7" s="1"/>
  <c r="G117" i="7"/>
  <c r="I117" i="7" s="1"/>
  <c r="K117" i="7" s="1"/>
  <c r="G113" i="7"/>
  <c r="I113" i="7" s="1"/>
  <c r="K113" i="7" s="1"/>
  <c r="G58" i="7"/>
  <c r="I58" i="7" s="1"/>
  <c r="K58" i="7" s="1"/>
  <c r="G57" i="7"/>
  <c r="I57" i="7" s="1"/>
  <c r="K57" i="7" s="1"/>
  <c r="G56" i="7"/>
  <c r="I56" i="7" s="1"/>
  <c r="K56" i="7" s="1"/>
  <c r="G55" i="7"/>
  <c r="I55" i="7" s="1"/>
  <c r="K55" i="7" s="1"/>
  <c r="G54" i="7"/>
  <c r="I54" i="7" s="1"/>
  <c r="K54" i="7" s="1"/>
  <c r="G53" i="7"/>
  <c r="I53" i="7" s="1"/>
  <c r="K53" i="7" s="1"/>
  <c r="G52" i="7"/>
  <c r="I52" i="7" s="1"/>
  <c r="K52" i="7" s="1"/>
  <c r="G51" i="7"/>
  <c r="I51" i="7" s="1"/>
  <c r="K51" i="7" s="1"/>
  <c r="G50" i="7"/>
  <c r="I50" i="7" s="1"/>
  <c r="K50" i="7" s="1"/>
  <c r="G49" i="7"/>
  <c r="G48" i="7"/>
  <c r="I48" i="7" s="1"/>
  <c r="K48" i="7" s="1"/>
  <c r="G47" i="7"/>
  <c r="I47" i="7" s="1"/>
  <c r="K47" i="7" s="1"/>
  <c r="G46" i="7"/>
  <c r="I46" i="7" s="1"/>
  <c r="K46" i="7" s="1"/>
  <c r="G36" i="7"/>
  <c r="I36" i="7" s="1"/>
  <c r="K36" i="7" s="1"/>
  <c r="G33" i="7"/>
  <c r="I33" i="7" s="1"/>
  <c r="K33" i="7" s="1"/>
  <c r="G31" i="7"/>
  <c r="I31" i="7" s="1"/>
  <c r="K31" i="7" s="1"/>
  <c r="G29" i="7"/>
  <c r="I29" i="7" s="1"/>
  <c r="K29" i="7" s="1"/>
  <c r="G23" i="7"/>
  <c r="I23" i="7" s="1"/>
  <c r="K23" i="7" s="1"/>
  <c r="G21" i="7"/>
  <c r="I21" i="7" s="1"/>
  <c r="K21" i="7" s="1"/>
  <c r="G19" i="7"/>
  <c r="I19" i="7" s="1"/>
  <c r="K19" i="7" s="1"/>
  <c r="G18" i="7"/>
  <c r="G16" i="7"/>
  <c r="I16" i="7" s="1"/>
  <c r="K16" i="7" s="1"/>
  <c r="G15" i="7"/>
  <c r="G14" i="7"/>
  <c r="I14" i="7" s="1"/>
  <c r="K14" i="7" s="1"/>
  <c r="G12" i="7"/>
  <c r="I12" i="7" s="1"/>
  <c r="K12" i="7" s="1"/>
  <c r="G11" i="7"/>
  <c r="I11" i="7" s="1"/>
  <c r="K11" i="7" s="1"/>
  <c r="G10" i="7"/>
  <c r="G226" i="7"/>
  <c r="I226" i="7" s="1"/>
  <c r="K226" i="7" s="1"/>
  <c r="G221" i="7"/>
  <c r="I221" i="7" s="1"/>
  <c r="K221" i="7" s="1"/>
  <c r="G217" i="7"/>
  <c r="I217" i="7" s="1"/>
  <c r="K217" i="7" s="1"/>
  <c r="G214" i="7"/>
  <c r="I214" i="7" s="1"/>
  <c r="K214" i="7" s="1"/>
  <c r="G212" i="7"/>
  <c r="I212" i="7" s="1"/>
  <c r="K212" i="7" s="1"/>
  <c r="G209" i="7"/>
  <c r="G205" i="7"/>
  <c r="I205" i="7" s="1"/>
  <c r="K205" i="7" s="1"/>
  <c r="G202" i="7"/>
  <c r="I202" i="7" s="1"/>
  <c r="K202" i="7" s="1"/>
  <c r="G200" i="7"/>
  <c r="I200" i="7" s="1"/>
  <c r="K200" i="7" s="1"/>
  <c r="G196" i="7"/>
  <c r="I196" i="7" s="1"/>
  <c r="K196" i="7" s="1"/>
  <c r="G192" i="7"/>
  <c r="I192" i="7" s="1"/>
  <c r="K192" i="7" s="1"/>
  <c r="G189" i="7"/>
  <c r="I189" i="7" s="1"/>
  <c r="K189" i="7" s="1"/>
  <c r="G186" i="7"/>
  <c r="I186" i="7" s="1"/>
  <c r="K186" i="7" s="1"/>
  <c r="G184" i="7"/>
  <c r="I184" i="7" s="1"/>
  <c r="K184" i="7" s="1"/>
  <c r="G181" i="7"/>
  <c r="I181" i="7" s="1"/>
  <c r="K181" i="7" s="1"/>
  <c r="G178" i="7"/>
  <c r="I178" i="7" s="1"/>
  <c r="K178" i="7" s="1"/>
  <c r="G174" i="7"/>
  <c r="I174" i="7" s="1"/>
  <c r="K174" i="7" s="1"/>
  <c r="G171" i="7"/>
  <c r="I171" i="7" s="1"/>
  <c r="K171" i="7" s="1"/>
  <c r="G168" i="7"/>
  <c r="I168" i="7" s="1"/>
  <c r="K168" i="7" s="1"/>
  <c r="G165" i="7"/>
  <c r="I165" i="7" s="1"/>
  <c r="K165" i="7" s="1"/>
  <c r="G162" i="7"/>
  <c r="I162" i="7" s="1"/>
  <c r="K162" i="7" s="1"/>
  <c r="G159" i="7"/>
  <c r="I159" i="7" s="1"/>
  <c r="K159" i="7" s="1"/>
  <c r="G156" i="7"/>
  <c r="I156" i="7" s="1"/>
  <c r="K156" i="7" s="1"/>
  <c r="G153" i="7"/>
  <c r="I153" i="7" s="1"/>
  <c r="K153" i="7" s="1"/>
  <c r="G150" i="7"/>
  <c r="I150" i="7" s="1"/>
  <c r="K150" i="7" s="1"/>
  <c r="G147" i="7"/>
  <c r="I147" i="7" s="1"/>
  <c r="K147" i="7" s="1"/>
  <c r="G144" i="7"/>
  <c r="I144" i="7" s="1"/>
  <c r="K144" i="7" s="1"/>
  <c r="G140" i="7"/>
  <c r="I140" i="7" s="1"/>
  <c r="K140" i="7" s="1"/>
  <c r="G136" i="7"/>
  <c r="I136" i="7" s="1"/>
  <c r="K136" i="7" s="1"/>
  <c r="G134" i="7"/>
  <c r="I134" i="7" s="1"/>
  <c r="K134" i="7" s="1"/>
  <c r="G131" i="7"/>
  <c r="I131" i="7" s="1"/>
  <c r="K131" i="7" s="1"/>
  <c r="G115" i="7"/>
  <c r="I115" i="7" s="1"/>
  <c r="K115" i="7" s="1"/>
  <c r="AK45" i="7"/>
  <c r="AN45" i="7" s="1"/>
  <c r="AP45" i="7" s="1"/>
  <c r="AK42" i="7"/>
  <c r="AN42" i="7" s="1"/>
  <c r="AP42" i="7" s="1"/>
  <c r="AK40" i="7"/>
  <c r="AN40" i="7" s="1"/>
  <c r="AP40" i="7" s="1"/>
  <c r="AK37" i="7"/>
  <c r="AN37" i="7" s="1"/>
  <c r="AP37" i="7" s="1"/>
  <c r="AK34" i="7"/>
  <c r="AN34" i="7" s="1"/>
  <c r="AP34" i="7" s="1"/>
  <c r="AK31" i="7"/>
  <c r="AN31" i="7" s="1"/>
  <c r="AP31" i="7" s="1"/>
  <c r="AK29" i="7"/>
  <c r="AN29" i="7" s="1"/>
  <c r="AP29" i="7" s="1"/>
  <c r="AK27" i="7"/>
  <c r="AN27" i="7" s="1"/>
  <c r="AP27" i="7" s="1"/>
  <c r="AK25" i="7"/>
  <c r="AN25" i="7" s="1"/>
  <c r="AP25" i="7" s="1"/>
  <c r="AK23" i="7"/>
  <c r="AN23" i="7" s="1"/>
  <c r="AP23" i="7" s="1"/>
  <c r="AK21" i="7"/>
  <c r="AN21" i="7" s="1"/>
  <c r="AP21" i="7" s="1"/>
  <c r="AK19" i="7"/>
  <c r="AN19" i="7" s="1"/>
  <c r="AP19" i="7" s="1"/>
  <c r="AK16" i="7"/>
  <c r="AN16" i="7" s="1"/>
  <c r="AP16" i="7" s="1"/>
  <c r="AK14" i="7"/>
  <c r="AN14" i="7" s="1"/>
  <c r="AP14" i="7" s="1"/>
  <c r="AK12" i="7"/>
  <c r="AN12" i="7" s="1"/>
  <c r="AP12" i="7" s="1"/>
  <c r="AK10" i="7"/>
  <c r="G287" i="7"/>
  <c r="I287" i="7" s="1"/>
  <c r="K287" i="7" s="1"/>
  <c r="AK240" i="7"/>
  <c r="AN240" i="7" s="1"/>
  <c r="AP240" i="7" s="1"/>
  <c r="AK233" i="7"/>
  <c r="AN233" i="7" s="1"/>
  <c r="AP233" i="7" s="1"/>
  <c r="AK230" i="7"/>
  <c r="AN230" i="7" s="1"/>
  <c r="AP230" i="7" s="1"/>
  <c r="AK227" i="7"/>
  <c r="AN227" i="7" s="1"/>
  <c r="AP227" i="7" s="1"/>
  <c r="AK223" i="7"/>
  <c r="AN223" i="7" s="1"/>
  <c r="AP223" i="7" s="1"/>
  <c r="AK219" i="7"/>
  <c r="AN219" i="7" s="1"/>
  <c r="AP219" i="7" s="1"/>
  <c r="AK214" i="7"/>
  <c r="AN214" i="7" s="1"/>
  <c r="AP214" i="7" s="1"/>
  <c r="AK210" i="7"/>
  <c r="AN210" i="7" s="1"/>
  <c r="AP210" i="7" s="1"/>
  <c r="AK207" i="7"/>
  <c r="AN207" i="7" s="1"/>
  <c r="AP207" i="7" s="1"/>
  <c r="AK203" i="7"/>
  <c r="AK199" i="7"/>
  <c r="AN199" i="7" s="1"/>
  <c r="AP199" i="7" s="1"/>
  <c r="AK195" i="7"/>
  <c r="AN195" i="7" s="1"/>
  <c r="AP195" i="7" s="1"/>
  <c r="AK191" i="7"/>
  <c r="AN191" i="7" s="1"/>
  <c r="AP191" i="7" s="1"/>
  <c r="AK186" i="7"/>
  <c r="AN186" i="7" s="1"/>
  <c r="AP186" i="7" s="1"/>
  <c r="AK182" i="7"/>
  <c r="AN182" i="7" s="1"/>
  <c r="AP182" i="7" s="1"/>
  <c r="AK179" i="7"/>
  <c r="AN179" i="7" s="1"/>
  <c r="AP179" i="7" s="1"/>
  <c r="AK175" i="7"/>
  <c r="AN175" i="7" s="1"/>
  <c r="AP175" i="7" s="1"/>
  <c r="AK170" i="7"/>
  <c r="AN170" i="7" s="1"/>
  <c r="AP170" i="7" s="1"/>
  <c r="AK166" i="7"/>
  <c r="AN166" i="7" s="1"/>
  <c r="AP166" i="7" s="1"/>
  <c r="AK162" i="7"/>
  <c r="AN162" i="7" s="1"/>
  <c r="AP162" i="7" s="1"/>
  <c r="AK158" i="7"/>
  <c r="AN158" i="7" s="1"/>
  <c r="AP158" i="7" s="1"/>
  <c r="AK327" i="7"/>
  <c r="AN327" i="7" s="1"/>
  <c r="AP327" i="7" s="1"/>
  <c r="AK323" i="7"/>
  <c r="AN323" i="7" s="1"/>
  <c r="AP323" i="7" s="1"/>
  <c r="AK319" i="7"/>
  <c r="AN319" i="7" s="1"/>
  <c r="AP319" i="7" s="1"/>
  <c r="AK315" i="7"/>
  <c r="AN315" i="7" s="1"/>
  <c r="AP315" i="7" s="1"/>
  <c r="G311" i="7"/>
  <c r="I311" i="7" s="1"/>
  <c r="K311" i="7" s="1"/>
  <c r="G295" i="7"/>
  <c r="I295" i="7" s="1"/>
  <c r="K295" i="7" s="1"/>
  <c r="G279" i="7"/>
  <c r="I279" i="7" s="1"/>
  <c r="K279" i="7" s="1"/>
  <c r="AK238" i="7"/>
  <c r="AN238" i="7" s="1"/>
  <c r="AP238" i="7" s="1"/>
  <c r="G130" i="7"/>
  <c r="I130" i="7" s="1"/>
  <c r="K130" i="7" s="1"/>
  <c r="G126" i="7"/>
  <c r="I126" i="7" s="1"/>
  <c r="K126" i="7" s="1"/>
  <c r="G122" i="7"/>
  <c r="I122" i="7" s="1"/>
  <c r="K122" i="7" s="1"/>
  <c r="AU122" i="7" s="1"/>
  <c r="G118" i="7"/>
  <c r="I118" i="7" s="1"/>
  <c r="K118" i="7" s="1"/>
  <c r="G114" i="7"/>
  <c r="I114" i="7" s="1"/>
  <c r="K114" i="7" s="1"/>
  <c r="G110" i="7"/>
  <c r="I110" i="7" s="1"/>
  <c r="K110" i="7" s="1"/>
  <c r="AK58" i="7"/>
  <c r="AN58" i="7" s="1"/>
  <c r="AP58" i="7" s="1"/>
  <c r="AK57" i="7"/>
  <c r="AN57" i="7" s="1"/>
  <c r="AP57" i="7" s="1"/>
  <c r="AK56" i="7"/>
  <c r="AN56" i="7" s="1"/>
  <c r="AP56" i="7" s="1"/>
  <c r="AK55" i="7"/>
  <c r="AN55" i="7" s="1"/>
  <c r="AP55" i="7" s="1"/>
  <c r="AK54" i="7"/>
  <c r="AN54" i="7" s="1"/>
  <c r="AP54" i="7" s="1"/>
  <c r="AK53" i="7"/>
  <c r="AN53" i="7" s="1"/>
  <c r="AP53" i="7" s="1"/>
  <c r="AK52" i="7"/>
  <c r="AK51" i="7"/>
  <c r="AN51" i="7" s="1"/>
  <c r="AP51" i="7" s="1"/>
  <c r="AK50" i="7"/>
  <c r="AN50" i="7" s="1"/>
  <c r="AP50" i="7" s="1"/>
  <c r="AK49" i="7"/>
  <c r="AN49" i="7" s="1"/>
  <c r="AP49" i="7" s="1"/>
  <c r="AK48" i="7"/>
  <c r="AN48" i="7" s="1"/>
  <c r="AP48" i="7" s="1"/>
  <c r="AK47" i="7"/>
  <c r="AN47" i="7" s="1"/>
  <c r="AP47" i="7" s="1"/>
  <c r="AK46" i="7"/>
  <c r="AN46" i="7" s="1"/>
  <c r="AP46" i="7" s="1"/>
  <c r="G45" i="7"/>
  <c r="I45" i="7" s="1"/>
  <c r="K45" i="7" s="1"/>
  <c r="G44" i="7"/>
  <c r="I44" i="7" s="1"/>
  <c r="K44" i="7" s="1"/>
  <c r="G43" i="7"/>
  <c r="I43" i="7" s="1"/>
  <c r="K43" i="7" s="1"/>
  <c r="G42" i="7"/>
  <c r="I42" i="7" s="1"/>
  <c r="K42" i="7" s="1"/>
  <c r="G41" i="7"/>
  <c r="I41" i="7" s="1"/>
  <c r="K41" i="7" s="1"/>
  <c r="G40" i="7"/>
  <c r="I40" i="7" s="1"/>
  <c r="K40" i="7" s="1"/>
  <c r="G39" i="7"/>
  <c r="I39" i="7" s="1"/>
  <c r="K39" i="7" s="1"/>
  <c r="G38" i="7"/>
  <c r="I38" i="7" s="1"/>
  <c r="K38" i="7" s="1"/>
  <c r="G37" i="7"/>
  <c r="I37" i="7" s="1"/>
  <c r="K37" i="7" s="1"/>
  <c r="G35" i="7"/>
  <c r="I35" i="7" s="1"/>
  <c r="K35" i="7" s="1"/>
  <c r="G34" i="7"/>
  <c r="G32" i="7"/>
  <c r="I32" i="7" s="1"/>
  <c r="K32" i="7" s="1"/>
  <c r="G30" i="7"/>
  <c r="I30" i="7" s="1"/>
  <c r="K30" i="7" s="1"/>
  <c r="G28" i="7"/>
  <c r="I28" i="7" s="1"/>
  <c r="K28" i="7" s="1"/>
  <c r="G27" i="7"/>
  <c r="I27" i="7" s="1"/>
  <c r="K27" i="7" s="1"/>
  <c r="G26" i="7"/>
  <c r="I26" i="7" s="1"/>
  <c r="K26" i="7" s="1"/>
  <c r="G25" i="7"/>
  <c r="I25" i="7" s="1"/>
  <c r="K25" i="7" s="1"/>
  <c r="G24" i="7"/>
  <c r="I24" i="7" s="1"/>
  <c r="K24" i="7" s="1"/>
  <c r="G22" i="7"/>
  <c r="I22" i="7" s="1"/>
  <c r="K22" i="7" s="1"/>
  <c r="G20" i="7"/>
  <c r="I20" i="7" s="1"/>
  <c r="K20" i="7" s="1"/>
  <c r="G17" i="7"/>
  <c r="I17" i="7" s="1"/>
  <c r="K17" i="7" s="1"/>
  <c r="G13" i="7"/>
  <c r="I13" i="7" s="1"/>
  <c r="K13" i="7" s="1"/>
  <c r="G9" i="7"/>
  <c r="G232" i="7"/>
  <c r="I232" i="7" s="1"/>
  <c r="K232" i="7" s="1"/>
  <c r="G228" i="7"/>
  <c r="I228" i="7" s="1"/>
  <c r="K228" i="7" s="1"/>
  <c r="G224" i="7"/>
  <c r="I224" i="7" s="1"/>
  <c r="K224" i="7" s="1"/>
  <c r="G222" i="7"/>
  <c r="I222" i="7" s="1"/>
  <c r="K222" i="7" s="1"/>
  <c r="G219" i="7"/>
  <c r="I219" i="7" s="1"/>
  <c r="K219" i="7" s="1"/>
  <c r="G216" i="7"/>
  <c r="I216" i="7" s="1"/>
  <c r="K216" i="7" s="1"/>
  <c r="G213" i="7"/>
  <c r="I213" i="7" s="1"/>
  <c r="K213" i="7" s="1"/>
  <c r="G210" i="7"/>
  <c r="I210" i="7" s="1"/>
  <c r="K210" i="7" s="1"/>
  <c r="G207" i="7"/>
  <c r="I207" i="7" s="1"/>
  <c r="K207" i="7" s="1"/>
  <c r="G204" i="7"/>
  <c r="I204" i="7" s="1"/>
  <c r="K204" i="7" s="1"/>
  <c r="G201" i="7"/>
  <c r="I201" i="7" s="1"/>
  <c r="K201" i="7" s="1"/>
  <c r="G199" i="7"/>
  <c r="I199" i="7" s="1"/>
  <c r="K199" i="7" s="1"/>
  <c r="G197" i="7"/>
  <c r="I197" i="7" s="1"/>
  <c r="K197" i="7" s="1"/>
  <c r="G194" i="7"/>
  <c r="I194" i="7" s="1"/>
  <c r="K194" i="7" s="1"/>
  <c r="G191" i="7"/>
  <c r="I191" i="7" s="1"/>
  <c r="K191" i="7" s="1"/>
  <c r="G188" i="7"/>
  <c r="G185" i="7"/>
  <c r="I185" i="7" s="1"/>
  <c r="K185" i="7" s="1"/>
  <c r="G182" i="7"/>
  <c r="I182" i="7" s="1"/>
  <c r="K182" i="7" s="1"/>
  <c r="G179" i="7"/>
  <c r="I179" i="7" s="1"/>
  <c r="K179" i="7" s="1"/>
  <c r="G176" i="7"/>
  <c r="I176" i="7" s="1"/>
  <c r="K176" i="7" s="1"/>
  <c r="G175" i="7"/>
  <c r="I175" i="7" s="1"/>
  <c r="K175" i="7" s="1"/>
  <c r="G172" i="7"/>
  <c r="I172" i="7" s="1"/>
  <c r="K172" i="7" s="1"/>
  <c r="G169" i="7"/>
  <c r="I169" i="7" s="1"/>
  <c r="K169" i="7" s="1"/>
  <c r="G166" i="7"/>
  <c r="I166" i="7" s="1"/>
  <c r="K166" i="7" s="1"/>
  <c r="G163" i="7"/>
  <c r="I163" i="7" s="1"/>
  <c r="K163" i="7" s="1"/>
  <c r="G160" i="7"/>
  <c r="I160" i="7" s="1"/>
  <c r="K160" i="7" s="1"/>
  <c r="G157" i="7"/>
  <c r="G154" i="7"/>
  <c r="G151" i="7"/>
  <c r="I151" i="7" s="1"/>
  <c r="K151" i="7" s="1"/>
  <c r="G148" i="7"/>
  <c r="G145" i="7"/>
  <c r="I145" i="7" s="1"/>
  <c r="K145" i="7" s="1"/>
  <c r="G142" i="7"/>
  <c r="I142" i="7" s="1"/>
  <c r="K142" i="7" s="1"/>
  <c r="G141" i="7"/>
  <c r="I141" i="7" s="1"/>
  <c r="K141" i="7" s="1"/>
  <c r="G138" i="7"/>
  <c r="G135" i="7"/>
  <c r="G132" i="7"/>
  <c r="I132" i="7" s="1"/>
  <c r="K132" i="7" s="1"/>
  <c r="G123" i="7"/>
  <c r="I123" i="7" s="1"/>
  <c r="K123" i="7" s="1"/>
  <c r="G111" i="7"/>
  <c r="I111" i="7" s="1"/>
  <c r="K111" i="7" s="1"/>
  <c r="AK43" i="7"/>
  <c r="AN43" i="7" s="1"/>
  <c r="AP43" i="7" s="1"/>
  <c r="AK38" i="7"/>
  <c r="AN38" i="7" s="1"/>
  <c r="AP38" i="7" s="1"/>
  <c r="AK35" i="7"/>
  <c r="AN35" i="7" s="1"/>
  <c r="AP35" i="7" s="1"/>
  <c r="AK32" i="7"/>
  <c r="AN32" i="7" s="1"/>
  <c r="AP32" i="7" s="1"/>
  <c r="AK18" i="7"/>
  <c r="AK11" i="7"/>
  <c r="AN11" i="7" s="1"/>
  <c r="AP11" i="7" s="1"/>
  <c r="AK234" i="7"/>
  <c r="AN234" i="7" s="1"/>
  <c r="AP234" i="7" s="1"/>
  <c r="AK229" i="7"/>
  <c r="AN229" i="7" s="1"/>
  <c r="AP229" i="7" s="1"/>
  <c r="AK224" i="7"/>
  <c r="AN224" i="7" s="1"/>
  <c r="AP224" i="7" s="1"/>
  <c r="AK221" i="7"/>
  <c r="AN221" i="7" s="1"/>
  <c r="AP221" i="7" s="1"/>
  <c r="AK217" i="7"/>
  <c r="AN217" i="7" s="1"/>
  <c r="AP217" i="7" s="1"/>
  <c r="AK213" i="7"/>
  <c r="AK209" i="7"/>
  <c r="AK205" i="7"/>
  <c r="AK201" i="7"/>
  <c r="AN201" i="7" s="1"/>
  <c r="AP201" i="7" s="1"/>
  <c r="AK197" i="7"/>
  <c r="AN197" i="7" s="1"/>
  <c r="AP197" i="7" s="1"/>
  <c r="AK193" i="7"/>
  <c r="AN193" i="7" s="1"/>
  <c r="AP193" i="7" s="1"/>
  <c r="AK189" i="7"/>
  <c r="AN189" i="7" s="1"/>
  <c r="AP189" i="7" s="1"/>
  <c r="AK185" i="7"/>
  <c r="AN185" i="7" s="1"/>
  <c r="AP185" i="7" s="1"/>
  <c r="AK181" i="7"/>
  <c r="AN181" i="7" s="1"/>
  <c r="AP181" i="7" s="1"/>
  <c r="AK177" i="7"/>
  <c r="AN177" i="7" s="1"/>
  <c r="AP177" i="7" s="1"/>
  <c r="AK172" i="7"/>
  <c r="AN172" i="7" s="1"/>
  <c r="AP172" i="7" s="1"/>
  <c r="AK169" i="7"/>
  <c r="AN169" i="7" s="1"/>
  <c r="AP169" i="7" s="1"/>
  <c r="AK165" i="7"/>
  <c r="AN165" i="7" s="1"/>
  <c r="AP165" i="7" s="1"/>
  <c r="AK161" i="7"/>
  <c r="AK157" i="7"/>
  <c r="AN157" i="7" s="1"/>
  <c r="AP157" i="7" s="1"/>
  <c r="AK328" i="7"/>
  <c r="AN328" i="7" s="1"/>
  <c r="AP328" i="7" s="1"/>
  <c r="AK324" i="7"/>
  <c r="AN324" i="7" s="1"/>
  <c r="AP324" i="7" s="1"/>
  <c r="AK320" i="7"/>
  <c r="AN320" i="7" s="1"/>
  <c r="AP320" i="7" s="1"/>
  <c r="AK316" i="7"/>
  <c r="AN316" i="7" s="1"/>
  <c r="AP316" i="7" s="1"/>
  <c r="G307" i="7"/>
  <c r="I307" i="7" s="1"/>
  <c r="K307" i="7" s="1"/>
  <c r="G291" i="7"/>
  <c r="I291" i="7" s="1"/>
  <c r="K291" i="7" s="1"/>
  <c r="G275" i="7"/>
  <c r="I275" i="7" s="1"/>
  <c r="K275" i="7" s="1"/>
  <c r="AK239" i="7"/>
  <c r="AN239" i="7" s="1"/>
  <c r="AP239" i="7" s="1"/>
  <c r="G235" i="7"/>
  <c r="I235" i="7" s="1"/>
  <c r="K235" i="7" s="1"/>
  <c r="G234" i="7"/>
  <c r="I234" i="7" s="1"/>
  <c r="K234" i="7" s="1"/>
  <c r="G233" i="7"/>
  <c r="I233" i="7" s="1"/>
  <c r="K233" i="7" s="1"/>
  <c r="G231" i="7"/>
  <c r="I231" i="7" s="1"/>
  <c r="K231" i="7" s="1"/>
  <c r="G230" i="7"/>
  <c r="I230" i="7" s="1"/>
  <c r="K230" i="7" s="1"/>
  <c r="G229" i="7"/>
  <c r="I229" i="7" s="1"/>
  <c r="K229" i="7" s="1"/>
  <c r="G227" i="7"/>
  <c r="I227" i="7" s="1"/>
  <c r="K227" i="7" s="1"/>
  <c r="G225" i="7"/>
  <c r="I225" i="7" s="1"/>
  <c r="K225" i="7" s="1"/>
  <c r="G223" i="7"/>
  <c r="I223" i="7" s="1"/>
  <c r="K223" i="7" s="1"/>
  <c r="G220" i="7"/>
  <c r="I220" i="7" s="1"/>
  <c r="K220" i="7" s="1"/>
  <c r="G218" i="7"/>
  <c r="I218" i="7" s="1"/>
  <c r="K218" i="7" s="1"/>
  <c r="G215" i="7"/>
  <c r="I215" i="7" s="1"/>
  <c r="K215" i="7" s="1"/>
  <c r="G211" i="7"/>
  <c r="G208" i="7"/>
  <c r="I208" i="7" s="1"/>
  <c r="K208" i="7" s="1"/>
  <c r="G206" i="7"/>
  <c r="I206" i="7" s="1"/>
  <c r="K206" i="7" s="1"/>
  <c r="G203" i="7"/>
  <c r="I203" i="7" s="1"/>
  <c r="K203" i="7" s="1"/>
  <c r="G198" i="7"/>
  <c r="I198" i="7" s="1"/>
  <c r="K198" i="7" s="1"/>
  <c r="G195" i="7"/>
  <c r="I195" i="7" s="1"/>
  <c r="K195" i="7" s="1"/>
  <c r="G193" i="7"/>
  <c r="I193" i="7" s="1"/>
  <c r="K193" i="7" s="1"/>
  <c r="G190" i="7"/>
  <c r="I190" i="7" s="1"/>
  <c r="K190" i="7" s="1"/>
  <c r="G187" i="7"/>
  <c r="I187" i="7" s="1"/>
  <c r="K187" i="7" s="1"/>
  <c r="G183" i="7"/>
  <c r="I183" i="7" s="1"/>
  <c r="K183" i="7" s="1"/>
  <c r="G180" i="7"/>
  <c r="I180" i="7" s="1"/>
  <c r="K180" i="7" s="1"/>
  <c r="G177" i="7"/>
  <c r="I177" i="7" s="1"/>
  <c r="K177" i="7" s="1"/>
  <c r="G173" i="7"/>
  <c r="I173" i="7" s="1"/>
  <c r="K173" i="7" s="1"/>
  <c r="G170" i="7"/>
  <c r="I170" i="7" s="1"/>
  <c r="K170" i="7" s="1"/>
  <c r="G167" i="7"/>
  <c r="I167" i="7" s="1"/>
  <c r="K167" i="7" s="1"/>
  <c r="G164" i="7"/>
  <c r="I164" i="7" s="1"/>
  <c r="K164" i="7" s="1"/>
  <c r="G161" i="7"/>
  <c r="G158" i="7"/>
  <c r="G155" i="7"/>
  <c r="I155" i="7" s="1"/>
  <c r="K155" i="7" s="1"/>
  <c r="G152" i="7"/>
  <c r="I152" i="7" s="1"/>
  <c r="K152" i="7" s="1"/>
  <c r="G149" i="7"/>
  <c r="G146" i="7"/>
  <c r="I146" i="7" s="1"/>
  <c r="K146" i="7" s="1"/>
  <c r="G143" i="7"/>
  <c r="I143" i="7" s="1"/>
  <c r="K143" i="7" s="1"/>
  <c r="G139" i="7"/>
  <c r="I139" i="7" s="1"/>
  <c r="K139" i="7" s="1"/>
  <c r="G137" i="7"/>
  <c r="I137" i="7" s="1"/>
  <c r="K137" i="7" s="1"/>
  <c r="G133" i="7"/>
  <c r="I133" i="7" s="1"/>
  <c r="K133" i="7" s="1"/>
  <c r="G127" i="7"/>
  <c r="I127" i="7" s="1"/>
  <c r="K127" i="7" s="1"/>
  <c r="G119" i="7"/>
  <c r="AK44" i="7"/>
  <c r="AN44" i="7" s="1"/>
  <c r="AP44" i="7" s="1"/>
  <c r="AK41" i="7"/>
  <c r="AN41" i="7" s="1"/>
  <c r="AP41" i="7" s="1"/>
  <c r="AK39" i="7"/>
  <c r="AN39" i="7" s="1"/>
  <c r="AP39" i="7" s="1"/>
  <c r="AK36" i="7"/>
  <c r="AN36" i="7" s="1"/>
  <c r="AP36" i="7" s="1"/>
  <c r="AK33" i="7"/>
  <c r="AN33" i="7" s="1"/>
  <c r="AP33" i="7" s="1"/>
  <c r="AK30" i="7"/>
  <c r="AN30" i="7" s="1"/>
  <c r="AP30" i="7" s="1"/>
  <c r="AK28" i="7"/>
  <c r="AN28" i="7" s="1"/>
  <c r="AP28" i="7" s="1"/>
  <c r="AK26" i="7"/>
  <c r="AN26" i="7" s="1"/>
  <c r="AP26" i="7" s="1"/>
  <c r="AK24" i="7"/>
  <c r="AN24" i="7" s="1"/>
  <c r="AP24" i="7" s="1"/>
  <c r="AK22" i="7"/>
  <c r="AN22" i="7" s="1"/>
  <c r="AP22" i="7" s="1"/>
  <c r="AK20" i="7"/>
  <c r="AN20" i="7" s="1"/>
  <c r="AP20" i="7" s="1"/>
  <c r="AK17" i="7"/>
  <c r="AN17" i="7" s="1"/>
  <c r="AP17" i="7" s="1"/>
  <c r="AK15" i="7"/>
  <c r="AK13" i="7"/>
  <c r="AN13" i="7" s="1"/>
  <c r="AP13" i="7" s="1"/>
  <c r="AK9" i="7"/>
  <c r="G303" i="7"/>
  <c r="I303" i="7" s="1"/>
  <c r="K303" i="7" s="1"/>
  <c r="G271" i="7"/>
  <c r="I271" i="7" s="1"/>
  <c r="K271" i="7" s="1"/>
  <c r="AK236" i="7"/>
  <c r="AN236" i="7" s="1"/>
  <c r="AP236" i="7" s="1"/>
  <c r="AK232" i="7"/>
  <c r="AN232" i="7" s="1"/>
  <c r="AP232" i="7" s="1"/>
  <c r="AK228" i="7"/>
  <c r="AN228" i="7" s="1"/>
  <c r="AP228" i="7" s="1"/>
  <c r="AK225" i="7"/>
  <c r="AN225" i="7" s="1"/>
  <c r="AP225" i="7" s="1"/>
  <c r="AK222" i="7"/>
  <c r="AN222" i="7" s="1"/>
  <c r="AP222" i="7" s="1"/>
  <c r="AK218" i="7"/>
  <c r="AN218" i="7" s="1"/>
  <c r="AP218" i="7" s="1"/>
  <c r="AK215" i="7"/>
  <c r="AK211" i="7"/>
  <c r="AK206" i="7"/>
  <c r="AN206" i="7" s="1"/>
  <c r="AP206" i="7" s="1"/>
  <c r="AK202" i="7"/>
  <c r="AN202" i="7" s="1"/>
  <c r="AP202" i="7" s="1"/>
  <c r="AK198" i="7"/>
  <c r="AK194" i="7"/>
  <c r="AN194" i="7" s="1"/>
  <c r="AP194" i="7" s="1"/>
  <c r="AK190" i="7"/>
  <c r="AN190" i="7" s="1"/>
  <c r="AP190" i="7" s="1"/>
  <c r="AK187" i="7"/>
  <c r="AN187" i="7" s="1"/>
  <c r="AP187" i="7" s="1"/>
  <c r="AK183" i="7"/>
  <c r="AK178" i="7"/>
  <c r="AN178" i="7" s="1"/>
  <c r="AP178" i="7" s="1"/>
  <c r="AK174" i="7"/>
  <c r="AN174" i="7" s="1"/>
  <c r="AP174" i="7" s="1"/>
  <c r="AK171" i="7"/>
  <c r="AN171" i="7" s="1"/>
  <c r="AP171" i="7" s="1"/>
  <c r="AK167" i="7"/>
  <c r="AN167" i="7" s="1"/>
  <c r="AP167" i="7" s="1"/>
  <c r="AK163" i="7"/>
  <c r="AN163" i="7" s="1"/>
  <c r="AP163" i="7" s="1"/>
  <c r="AK329" i="7"/>
  <c r="AN329" i="7" s="1"/>
  <c r="AP329" i="7" s="1"/>
  <c r="AK325" i="7"/>
  <c r="AN325" i="7" s="1"/>
  <c r="AP325" i="7" s="1"/>
  <c r="AK321" i="7"/>
  <c r="AN321" i="7" s="1"/>
  <c r="AP321" i="7" s="1"/>
  <c r="AK317" i="7"/>
  <c r="AK235" i="7"/>
  <c r="AN235" i="7" s="1"/>
  <c r="AP235" i="7" s="1"/>
  <c r="AK231" i="7"/>
  <c r="AN231" i="7" s="1"/>
  <c r="AP231" i="7" s="1"/>
  <c r="AK226" i="7"/>
  <c r="AN226" i="7" s="1"/>
  <c r="AP226" i="7" s="1"/>
  <c r="AK220" i="7"/>
  <c r="AN220" i="7" s="1"/>
  <c r="AP220" i="7" s="1"/>
  <c r="AK216" i="7"/>
  <c r="AN216" i="7" s="1"/>
  <c r="AP216" i="7" s="1"/>
  <c r="AK212" i="7"/>
  <c r="AK208" i="7"/>
  <c r="AK204" i="7"/>
  <c r="AK200" i="7"/>
  <c r="AK196" i="7"/>
  <c r="AN196" i="7" s="1"/>
  <c r="AP196" i="7" s="1"/>
  <c r="AK192" i="7"/>
  <c r="AN192" i="7" s="1"/>
  <c r="AP192" i="7" s="1"/>
  <c r="AK188" i="7"/>
  <c r="AN188" i="7" s="1"/>
  <c r="AP188" i="7" s="1"/>
  <c r="AK184" i="7"/>
  <c r="AN184" i="7" s="1"/>
  <c r="AP184" i="7" s="1"/>
  <c r="AK180" i="7"/>
  <c r="AK176" i="7"/>
  <c r="AN176" i="7" s="1"/>
  <c r="AP176" i="7" s="1"/>
  <c r="AK173" i="7"/>
  <c r="AK168" i="7"/>
  <c r="AN168" i="7" s="1"/>
  <c r="AP168" i="7" s="1"/>
  <c r="AK164" i="7"/>
  <c r="AN164" i="7" s="1"/>
  <c r="AP164" i="7" s="1"/>
  <c r="AK160" i="7"/>
  <c r="AN160" i="7" s="1"/>
  <c r="AP160" i="7" s="1"/>
  <c r="AK156" i="7"/>
  <c r="AN156" i="7" s="1"/>
  <c r="AP156" i="7" s="1"/>
  <c r="AK159" i="7"/>
  <c r="AN159" i="7" s="1"/>
  <c r="AP159" i="7" s="1"/>
  <c r="AK154" i="7"/>
  <c r="AK150" i="7"/>
  <c r="AK146" i="7"/>
  <c r="AN146" i="7" s="1"/>
  <c r="AP146" i="7" s="1"/>
  <c r="AK142" i="7"/>
  <c r="AN142" i="7" s="1"/>
  <c r="AP142" i="7" s="1"/>
  <c r="AK138" i="7"/>
  <c r="AN138" i="7" s="1"/>
  <c r="AP138" i="7" s="1"/>
  <c r="AK134" i="7"/>
  <c r="AN134" i="7" s="1"/>
  <c r="AP134" i="7" s="1"/>
  <c r="G120" i="7"/>
  <c r="I120" i="7" s="1"/>
  <c r="K120" i="7" s="1"/>
  <c r="AK155" i="7"/>
  <c r="AK151" i="7"/>
  <c r="AK147" i="7"/>
  <c r="AK143" i="7"/>
  <c r="AN143" i="7" s="1"/>
  <c r="AP143" i="7" s="1"/>
  <c r="AK139" i="7"/>
  <c r="AN139" i="7" s="1"/>
  <c r="AP139" i="7" s="1"/>
  <c r="AK135" i="7"/>
  <c r="G116" i="7"/>
  <c r="I116" i="7" s="1"/>
  <c r="K116" i="7" s="1"/>
  <c r="AK152" i="7"/>
  <c r="AN152" i="7" s="1"/>
  <c r="AP152" i="7" s="1"/>
  <c r="AK148" i="7"/>
  <c r="AK144" i="7"/>
  <c r="AN144" i="7" s="1"/>
  <c r="AP144" i="7" s="1"/>
  <c r="AK140" i="7"/>
  <c r="AN140" i="7" s="1"/>
  <c r="AP140" i="7" s="1"/>
  <c r="AK136" i="7"/>
  <c r="AN136" i="7" s="1"/>
  <c r="AP136" i="7" s="1"/>
  <c r="AK132" i="7"/>
  <c r="G128" i="7"/>
  <c r="I128" i="7" s="1"/>
  <c r="K128" i="7" s="1"/>
  <c r="G112" i="7"/>
  <c r="I112" i="7" s="1"/>
  <c r="K112" i="7" s="1"/>
  <c r="AK153" i="7"/>
  <c r="AK149" i="7"/>
  <c r="AN149" i="7" s="1"/>
  <c r="AP149" i="7" s="1"/>
  <c r="AK145" i="7"/>
  <c r="AK141" i="7"/>
  <c r="AN141" i="7" s="1"/>
  <c r="AP141" i="7" s="1"/>
  <c r="AK137" i="7"/>
  <c r="AN137" i="7" s="1"/>
  <c r="AP137" i="7" s="1"/>
  <c r="AK133" i="7"/>
  <c r="AN133" i="7" s="1"/>
  <c r="AP133" i="7" s="1"/>
  <c r="G124" i="7"/>
  <c r="I124" i="7" s="1"/>
  <c r="K124" i="7" s="1"/>
  <c r="C383" i="7"/>
  <c r="AU2" i="7"/>
  <c r="AT5" i="7" s="1"/>
  <c r="AT31" i="7" s="1"/>
  <c r="AU306" i="7"/>
  <c r="D386" i="1"/>
  <c r="D385" i="1"/>
  <c r="D384" i="1"/>
  <c r="D383" i="1"/>
  <c r="D382" i="1"/>
  <c r="D381" i="1"/>
  <c r="D380" i="1"/>
  <c r="D379" i="1"/>
  <c r="D378" i="1"/>
  <c r="D377" i="1"/>
  <c r="D376" i="1"/>
  <c r="C371" i="1"/>
  <c r="C370" i="1"/>
  <c r="C369" i="1"/>
  <c r="B368" i="38"/>
  <c r="AU170" i="7" l="1"/>
  <c r="AU304" i="7"/>
  <c r="AU48" i="7"/>
  <c r="AU169" i="7"/>
  <c r="AN317" i="7"/>
  <c r="AP317" i="7" s="1"/>
  <c r="I149" i="7"/>
  <c r="K149" i="7" s="1"/>
  <c r="I85" i="7"/>
  <c r="K85" i="7" s="1"/>
  <c r="I93" i="7"/>
  <c r="K93" i="7" s="1"/>
  <c r="AN150" i="7"/>
  <c r="AP150" i="7" s="1"/>
  <c r="AN208" i="7"/>
  <c r="AP208" i="7" s="1"/>
  <c r="AN198" i="7"/>
  <c r="AP198" i="7" s="1"/>
  <c r="I119" i="7"/>
  <c r="K119" i="7" s="1"/>
  <c r="AU119" i="7" s="1"/>
  <c r="AN205" i="7"/>
  <c r="AP205" i="7" s="1"/>
  <c r="G378" i="7"/>
  <c r="G368" i="7"/>
  <c r="I9" i="7"/>
  <c r="I34" i="7"/>
  <c r="K34" i="7" s="1"/>
  <c r="AN132" i="7"/>
  <c r="AP132" i="7" s="1"/>
  <c r="AU132" i="7" s="1"/>
  <c r="AN148" i="7"/>
  <c r="AP148" i="7" s="1"/>
  <c r="AN155" i="7"/>
  <c r="AP155" i="7" s="1"/>
  <c r="AU155" i="7" s="1"/>
  <c r="AN200" i="7"/>
  <c r="AP200" i="7" s="1"/>
  <c r="I158" i="7"/>
  <c r="K158" i="7" s="1"/>
  <c r="AN213" i="7"/>
  <c r="AP213" i="7" s="1"/>
  <c r="I138" i="7"/>
  <c r="K138" i="7" s="1"/>
  <c r="I148" i="7"/>
  <c r="K148" i="7" s="1"/>
  <c r="I209" i="7"/>
  <c r="K209" i="7" s="1"/>
  <c r="I18" i="7"/>
  <c r="K18" i="7" s="1"/>
  <c r="I274" i="7"/>
  <c r="K274" i="7" s="1"/>
  <c r="AN65" i="7"/>
  <c r="AP65" i="7" s="1"/>
  <c r="AU65" i="7" s="1"/>
  <c r="AN69" i="7"/>
  <c r="AP69" i="7" s="1"/>
  <c r="AU69" i="7" s="1"/>
  <c r="AN73" i="7"/>
  <c r="AP73" i="7" s="1"/>
  <c r="I239" i="7"/>
  <c r="K239" i="7" s="1"/>
  <c r="I297" i="7"/>
  <c r="K297" i="7" s="1"/>
  <c r="I68" i="7"/>
  <c r="K68" i="7" s="1"/>
  <c r="I88" i="7"/>
  <c r="K88" i="7" s="1"/>
  <c r="I92" i="7"/>
  <c r="K92" i="7" s="1"/>
  <c r="I96" i="7"/>
  <c r="K96" i="7" s="1"/>
  <c r="AN204" i="7"/>
  <c r="AP204" i="7" s="1"/>
  <c r="I81" i="7"/>
  <c r="K81" i="7" s="1"/>
  <c r="AN153" i="7"/>
  <c r="AP153" i="7" s="1"/>
  <c r="AN173" i="7"/>
  <c r="AP173" i="7" s="1"/>
  <c r="AN211" i="7"/>
  <c r="AP211" i="7" s="1"/>
  <c r="I161" i="7"/>
  <c r="K161" i="7" s="1"/>
  <c r="AN252" i="7"/>
  <c r="AP252" i="7" s="1"/>
  <c r="AU252" i="7" s="1"/>
  <c r="AN269" i="7"/>
  <c r="AP269" i="7" s="1"/>
  <c r="AK377" i="7"/>
  <c r="AN10" i="7"/>
  <c r="G377" i="7"/>
  <c r="I10" i="7"/>
  <c r="G376" i="7"/>
  <c r="I15" i="7"/>
  <c r="K15" i="7" s="1"/>
  <c r="AN318" i="7"/>
  <c r="AP318" i="7" s="1"/>
  <c r="AN253" i="7"/>
  <c r="AP253" i="7" s="1"/>
  <c r="I94" i="7"/>
  <c r="K94" i="7" s="1"/>
  <c r="AN110" i="7"/>
  <c r="AP110" i="7" s="1"/>
  <c r="AN273" i="7"/>
  <c r="AP273" i="7" s="1"/>
  <c r="AK376" i="7"/>
  <c r="AN15" i="7"/>
  <c r="I211" i="7"/>
  <c r="K211" i="7" s="1"/>
  <c r="I97" i="7"/>
  <c r="K97" i="7" s="1"/>
  <c r="AN147" i="7"/>
  <c r="AP147" i="7" s="1"/>
  <c r="AN183" i="7"/>
  <c r="AP183" i="7" s="1"/>
  <c r="AN215" i="7"/>
  <c r="AP215" i="7" s="1"/>
  <c r="I154" i="7"/>
  <c r="K154" i="7" s="1"/>
  <c r="I188" i="7"/>
  <c r="K188" i="7" s="1"/>
  <c r="AN145" i="7"/>
  <c r="AP145" i="7" s="1"/>
  <c r="AN135" i="7"/>
  <c r="AP135" i="7" s="1"/>
  <c r="AN151" i="7"/>
  <c r="AP151" i="7" s="1"/>
  <c r="AN154" i="7"/>
  <c r="AP154" i="7" s="1"/>
  <c r="AN180" i="7"/>
  <c r="AP180" i="7" s="1"/>
  <c r="AN212" i="7"/>
  <c r="AP212" i="7" s="1"/>
  <c r="AU212" i="7" s="1"/>
  <c r="AK368" i="7"/>
  <c r="AK378" i="7"/>
  <c r="AN9" i="7"/>
  <c r="AP9" i="7" s="1"/>
  <c r="AN161" i="7"/>
  <c r="AP161" i="7" s="1"/>
  <c r="AN209" i="7"/>
  <c r="AP209" i="7" s="1"/>
  <c r="AN18" i="7"/>
  <c r="AP18" i="7" s="1"/>
  <c r="I135" i="7"/>
  <c r="K135" i="7" s="1"/>
  <c r="I157" i="7"/>
  <c r="K157" i="7" s="1"/>
  <c r="AN52" i="7"/>
  <c r="AP52" i="7" s="1"/>
  <c r="AU52" i="7" s="1"/>
  <c r="AN203" i="7"/>
  <c r="AP203" i="7" s="1"/>
  <c r="I49" i="7"/>
  <c r="K49" i="7" s="1"/>
  <c r="I319" i="7"/>
  <c r="K319" i="7" s="1"/>
  <c r="AN68" i="7"/>
  <c r="AP68" i="7" s="1"/>
  <c r="AN72" i="7"/>
  <c r="AP72" i="7" s="1"/>
  <c r="I67" i="7"/>
  <c r="K67" i="7" s="1"/>
  <c r="AN127" i="7"/>
  <c r="AP127" i="7" s="1"/>
  <c r="I253" i="7"/>
  <c r="K253" i="7" s="1"/>
  <c r="AN286" i="7"/>
  <c r="AP286" i="7" s="1"/>
  <c r="AU31" i="7"/>
  <c r="AT27" i="7"/>
  <c r="AU27" i="7" s="1"/>
  <c r="AT29" i="7"/>
  <c r="AU29" i="7" s="1"/>
  <c r="AU14" i="7"/>
  <c r="AU175" i="7"/>
  <c r="AU251" i="7"/>
  <c r="AU177" i="7"/>
  <c r="AU231" i="7"/>
  <c r="AU75" i="7"/>
  <c r="AU166" i="7"/>
  <c r="AU171" i="7"/>
  <c r="AU79" i="7"/>
  <c r="AU162" i="7"/>
  <c r="AU223" i="7"/>
  <c r="AU275" i="7"/>
  <c r="AU47" i="7"/>
  <c r="AU305" i="7"/>
  <c r="AU307" i="7"/>
  <c r="AU129" i="7"/>
  <c r="AU159" i="7"/>
  <c r="AU26" i="7"/>
  <c r="AU118" i="7"/>
  <c r="AU160" i="7"/>
  <c r="AU120" i="7"/>
  <c r="AU176" i="7"/>
  <c r="AU164" i="7"/>
  <c r="AU124" i="7"/>
  <c r="AU168" i="7"/>
  <c r="AU28" i="7"/>
  <c r="AU59" i="7"/>
  <c r="AU178" i="7"/>
  <c r="AU25" i="7"/>
  <c r="AU165" i="7"/>
  <c r="AU20" i="7"/>
  <c r="AU76" i="7"/>
  <c r="AU89" i="7"/>
  <c r="AU128" i="7"/>
  <c r="AU156" i="7"/>
  <c r="AU115" i="7"/>
  <c r="AU268" i="7"/>
  <c r="AU133" i="7"/>
  <c r="AU77" i="7"/>
  <c r="AU60" i="7"/>
  <c r="AU130" i="7"/>
  <c r="AT271" i="7"/>
  <c r="AU271" i="7" s="1"/>
  <c r="AT72" i="7"/>
  <c r="AT74" i="7"/>
  <c r="AT329" i="7"/>
  <c r="AU329" i="7" s="1"/>
  <c r="AT249" i="7"/>
  <c r="AU249" i="7" s="1"/>
  <c r="AT62" i="7"/>
  <c r="AU62" i="7" s="1"/>
  <c r="AT202" i="7"/>
  <c r="AU202" i="7" s="1"/>
  <c r="AT91" i="7"/>
  <c r="AU91" i="7" s="1"/>
  <c r="AT290" i="7"/>
  <c r="AU290" i="7" s="1"/>
  <c r="AT267" i="7"/>
  <c r="AU267" i="7" s="1"/>
  <c r="AT215" i="7"/>
  <c r="AT319" i="7"/>
  <c r="AT144" i="7"/>
  <c r="AU144" i="7" s="1"/>
  <c r="AT135" i="7"/>
  <c r="AT174" i="7"/>
  <c r="AU174" i="7" s="1"/>
  <c r="AT253" i="7"/>
  <c r="AT46" i="7"/>
  <c r="AU46" i="7" s="1"/>
  <c r="AT152" i="7"/>
  <c r="AU152" i="7" s="1"/>
  <c r="AT330" i="7"/>
  <c r="AU330" i="7" s="1"/>
  <c r="AT37" i="7"/>
  <c r="AU37" i="7" s="1"/>
  <c r="AT262" i="7"/>
  <c r="AU262" i="7" s="1"/>
  <c r="AT181" i="7"/>
  <c r="AU181" i="7" s="1"/>
  <c r="AT147" i="7"/>
  <c r="AT182" i="7"/>
  <c r="AU182" i="7" s="1"/>
  <c r="AT340" i="7"/>
  <c r="AU340" i="7" s="1"/>
  <c r="AT142" i="7"/>
  <c r="AU142" i="7" s="1"/>
  <c r="AT108" i="7"/>
  <c r="AU108" i="7" s="1"/>
  <c r="AT32" i="7"/>
  <c r="AU32" i="7" s="1"/>
  <c r="AT314" i="7"/>
  <c r="AU314" i="7" s="1"/>
  <c r="AT228" i="7"/>
  <c r="AU228" i="7" s="1"/>
  <c r="AT244" i="7"/>
  <c r="AU244" i="7" s="1"/>
  <c r="AT354" i="7"/>
  <c r="AU354" i="7" s="1"/>
  <c r="AT190" i="7"/>
  <c r="AU190" i="7" s="1"/>
  <c r="AT344" i="7"/>
  <c r="AU344" i="7" s="1"/>
  <c r="AT341" i="7"/>
  <c r="AU341" i="7" s="1"/>
  <c r="AT10" i="7"/>
  <c r="AT140" i="7"/>
  <c r="AU140" i="7" s="1"/>
  <c r="AT236" i="7"/>
  <c r="AU236" i="7" s="1"/>
  <c r="AT21" i="7"/>
  <c r="AU21" i="7" s="1"/>
  <c r="AT204" i="7"/>
  <c r="AT317" i="7"/>
  <c r="AT145" i="7"/>
  <c r="AT264" i="7"/>
  <c r="AU264" i="7" s="1"/>
  <c r="AT273" i="7"/>
  <c r="AT17" i="7"/>
  <c r="AU17" i="7" s="1"/>
  <c r="AT11" i="7"/>
  <c r="AU11" i="7" s="1"/>
  <c r="AT15" i="7"/>
  <c r="AT64" i="7"/>
  <c r="AU64" i="7" s="1"/>
  <c r="AT12" i="7"/>
  <c r="AU12" i="7" s="1"/>
  <c r="AT226" i="7"/>
  <c r="AU226" i="7" s="1"/>
  <c r="AT95" i="7"/>
  <c r="AT265" i="7"/>
  <c r="AU265" i="7" s="1"/>
  <c r="AT197" i="7"/>
  <c r="AU197" i="7" s="1"/>
  <c r="AT84" i="7"/>
  <c r="AU84" i="7" s="1"/>
  <c r="AT326" i="7"/>
  <c r="AU326" i="7" s="1"/>
  <c r="AT311" i="7"/>
  <c r="AU311" i="7" s="1"/>
  <c r="AT107" i="7"/>
  <c r="AU107" i="7" s="1"/>
  <c r="AT288" i="7"/>
  <c r="AU288" i="7" s="1"/>
  <c r="AT187" i="7"/>
  <c r="AU187" i="7" s="1"/>
  <c r="AT102" i="7"/>
  <c r="AU102" i="7" s="1"/>
  <c r="AT16" i="7"/>
  <c r="AT43" i="7"/>
  <c r="AU43" i="7" s="1"/>
  <c r="AT194" i="7"/>
  <c r="AU194" i="7" s="1"/>
  <c r="AT9" i="7"/>
  <c r="AT53" i="7"/>
  <c r="AU53" i="7" s="1"/>
  <c r="AT250" i="7"/>
  <c r="AU250" i="7" s="1"/>
  <c r="AT216" i="7"/>
  <c r="AU216" i="7" s="1"/>
  <c r="AT83" i="7"/>
  <c r="AU83" i="7" s="1"/>
  <c r="AT180" i="7"/>
  <c r="AT246" i="7"/>
  <c r="AU246" i="7" s="1"/>
  <c r="AT220" i="7"/>
  <c r="AU220" i="7" s="1"/>
  <c r="AT248" i="7"/>
  <c r="AU248" i="7" s="1"/>
  <c r="AT280" i="7"/>
  <c r="AU280" i="7" s="1"/>
  <c r="AT112" i="7"/>
  <c r="AU112" i="7" s="1"/>
  <c r="AT294" i="7"/>
  <c r="AU294" i="7" s="1"/>
  <c r="AT214" i="7"/>
  <c r="AU214" i="7" s="1"/>
  <c r="AT320" i="7"/>
  <c r="AU320" i="7" s="1"/>
  <c r="AT71" i="7"/>
  <c r="AT44" i="7"/>
  <c r="AU44" i="7" s="1"/>
  <c r="AT221" i="7"/>
  <c r="AU221" i="7" s="1"/>
  <c r="AT233" i="7"/>
  <c r="AU233" i="7" s="1"/>
  <c r="AT238" i="7"/>
  <c r="AU238" i="7" s="1"/>
  <c r="AT42" i="7"/>
  <c r="AU42" i="7" s="1"/>
  <c r="AT213" i="7"/>
  <c r="AT149" i="7"/>
  <c r="AT121" i="7"/>
  <c r="AU121" i="7" s="1"/>
  <c r="AT334" i="7"/>
  <c r="AU334" i="7" s="1"/>
  <c r="AT94" i="7"/>
  <c r="AT99" i="7"/>
  <c r="AU99" i="7" s="1"/>
  <c r="AT287" i="7"/>
  <c r="AU287" i="7" s="1"/>
  <c r="AT39" i="7"/>
  <c r="AU39" i="7" s="1"/>
  <c r="AT199" i="7"/>
  <c r="AU199" i="7" s="1"/>
  <c r="AT235" i="7"/>
  <c r="AU235" i="7" s="1"/>
  <c r="AT23" i="7"/>
  <c r="AU23" i="7" s="1"/>
  <c r="AT63" i="7"/>
  <c r="AU63" i="7" s="1"/>
  <c r="AT247" i="7"/>
  <c r="AU247" i="7" s="1"/>
  <c r="AT189" i="7"/>
  <c r="AU189" i="7" s="1"/>
  <c r="AT234" i="7"/>
  <c r="AU234" i="7" s="1"/>
  <c r="AT270" i="7"/>
  <c r="AU270" i="7" s="1"/>
  <c r="AT209" i="7"/>
  <c r="AT195" i="7"/>
  <c r="AU195" i="7" s="1"/>
  <c r="AT309" i="7"/>
  <c r="AU309" i="7" s="1"/>
  <c r="AT292" i="7"/>
  <c r="AU292" i="7" s="1"/>
  <c r="AT88" i="7"/>
  <c r="AT321" i="7"/>
  <c r="AT185" i="7"/>
  <c r="AU185" i="7" s="1"/>
  <c r="AT301" i="7"/>
  <c r="AU301" i="7" s="1"/>
  <c r="AT254" i="7"/>
  <c r="AU254" i="7" s="1"/>
  <c r="AT260" i="7"/>
  <c r="AU260" i="7" s="1"/>
  <c r="AT289" i="7"/>
  <c r="AU289" i="7" s="1"/>
  <c r="AT54" i="7"/>
  <c r="AU54" i="7" s="1"/>
  <c r="AT41" i="7"/>
  <c r="AU41" i="7" s="1"/>
  <c r="AT357" i="7"/>
  <c r="AU357" i="7" s="1"/>
  <c r="AT57" i="7"/>
  <c r="AU57" i="7" s="1"/>
  <c r="AT113" i="7"/>
  <c r="AU113" i="7" s="1"/>
  <c r="AT261" i="7"/>
  <c r="AU261" i="7" s="1"/>
  <c r="AT284" i="7"/>
  <c r="AU284" i="7" s="1"/>
  <c r="AT116" i="7"/>
  <c r="AU116" i="7" s="1"/>
  <c r="AT257" i="7"/>
  <c r="AU257" i="7" s="1"/>
  <c r="AT323" i="7"/>
  <c r="AU323" i="7" s="1"/>
  <c r="AT312" i="7"/>
  <c r="AU312" i="7" s="1"/>
  <c r="AT154" i="7"/>
  <c r="AT58" i="7"/>
  <c r="AU58" i="7" s="1"/>
  <c r="AT104" i="7"/>
  <c r="AU104" i="7" s="1"/>
  <c r="AT237" i="7"/>
  <c r="AU237" i="7" s="1"/>
  <c r="AT172" i="7"/>
  <c r="AU172" i="7" s="1"/>
  <c r="AT346" i="7"/>
  <c r="AU346" i="7" s="1"/>
  <c r="AT143" i="7"/>
  <c r="AU143" i="7" s="1"/>
  <c r="AT86" i="7"/>
  <c r="AT335" i="7"/>
  <c r="AU335" i="7" s="1"/>
  <c r="AT263" i="7"/>
  <c r="AU263" i="7" s="1"/>
  <c r="AT367" i="7"/>
  <c r="AU367" i="7" s="1"/>
  <c r="AT333" i="7"/>
  <c r="AU333" i="7" s="1"/>
  <c r="AT200" i="7"/>
  <c r="AT313" i="7"/>
  <c r="AU313" i="7" s="1"/>
  <c r="AT148" i="7"/>
  <c r="AT350" i="7"/>
  <c r="AU350" i="7" s="1"/>
  <c r="AT131" i="7"/>
  <c r="AU131" i="7" s="1"/>
  <c r="AT272" i="7"/>
  <c r="AT208" i="7"/>
  <c r="AT295" i="7"/>
  <c r="AU295" i="7" s="1"/>
  <c r="AT98" i="7"/>
  <c r="AU98" i="7" s="1"/>
  <c r="AT219" i="7"/>
  <c r="AU219" i="7" s="1"/>
  <c r="AT224" i="7"/>
  <c r="AU224" i="7" s="1"/>
  <c r="AT45" i="7"/>
  <c r="AU45" i="7" s="1"/>
  <c r="AT150" i="7"/>
  <c r="AT151" i="7"/>
  <c r="AT349" i="7"/>
  <c r="AU349" i="7" s="1"/>
  <c r="AT153" i="7"/>
  <c r="AT366" i="7"/>
  <c r="AU366" i="7" s="1"/>
  <c r="AT51" i="7"/>
  <c r="AU51" i="7" s="1"/>
  <c r="AT93" i="7"/>
  <c r="AT300" i="7"/>
  <c r="AU300" i="7" s="1"/>
  <c r="AT137" i="7"/>
  <c r="AU137" i="7" s="1"/>
  <c r="AT49" i="7"/>
  <c r="AT241" i="7"/>
  <c r="AU241" i="7" s="1"/>
  <c r="AT308" i="7"/>
  <c r="AU308" i="7" s="1"/>
  <c r="AT352" i="7"/>
  <c r="AU352" i="7" s="1"/>
  <c r="AT365" i="7"/>
  <c r="AU365" i="7" s="1"/>
  <c r="AT126" i="7"/>
  <c r="AU126" i="7" s="1"/>
  <c r="AT106" i="7"/>
  <c r="AU106" i="7" s="1"/>
  <c r="AT157" i="7"/>
  <c r="AT256" i="7"/>
  <c r="AU256" i="7" s="1"/>
  <c r="AT310" i="7"/>
  <c r="AU310" i="7" s="1"/>
  <c r="AT191" i="7"/>
  <c r="AU191" i="7" s="1"/>
  <c r="AT285" i="7"/>
  <c r="AU285" i="7" s="1"/>
  <c r="AT316" i="7"/>
  <c r="AU316" i="7" s="1"/>
  <c r="AT303" i="7"/>
  <c r="AU303" i="7" s="1"/>
  <c r="AT278" i="7"/>
  <c r="AU278" i="7" s="1"/>
  <c r="AT38" i="7"/>
  <c r="AU38" i="7" s="1"/>
  <c r="AT351" i="7"/>
  <c r="AU351" i="7" s="1"/>
  <c r="AT184" i="7"/>
  <c r="AU184" i="7" s="1"/>
  <c r="AT206" i="7"/>
  <c r="AU206" i="7" s="1"/>
  <c r="AT302" i="7"/>
  <c r="AU302" i="7" s="1"/>
  <c r="AT198" i="7"/>
  <c r="AT100" i="7"/>
  <c r="AU100" i="7" s="1"/>
  <c r="AT227" i="7"/>
  <c r="AU227" i="7" s="1"/>
  <c r="AT315" i="7"/>
  <c r="AU315" i="7" s="1"/>
  <c r="AT207" i="7"/>
  <c r="AU207" i="7" s="1"/>
  <c r="AT299" i="7"/>
  <c r="AU299" i="7" s="1"/>
  <c r="AT203" i="7"/>
  <c r="AT258" i="7"/>
  <c r="AU258" i="7" s="1"/>
  <c r="AT96" i="7"/>
  <c r="AT18" i="7"/>
  <c r="AT105" i="7"/>
  <c r="AU105" i="7" s="1"/>
  <c r="AT201" i="7"/>
  <c r="AU201" i="7" s="1"/>
  <c r="AT19" i="7"/>
  <c r="AU19" i="7" s="1"/>
  <c r="AT40" i="7"/>
  <c r="AU40" i="7" s="1"/>
  <c r="AT269" i="7"/>
  <c r="AT205" i="7"/>
  <c r="AT298" i="7"/>
  <c r="AU298" i="7" s="1"/>
  <c r="AT186" i="7"/>
  <c r="AU186" i="7" s="1"/>
  <c r="AT210" i="7"/>
  <c r="AT136" i="7"/>
  <c r="AU136" i="7" s="1"/>
  <c r="AT276" i="7"/>
  <c r="AU276" i="7" s="1"/>
  <c r="AT232" i="7"/>
  <c r="AU232" i="7" s="1"/>
  <c r="AT362" i="7"/>
  <c r="AU362" i="7" s="1"/>
  <c r="AT196" i="7"/>
  <c r="AU196" i="7" s="1"/>
  <c r="AT161" i="7"/>
  <c r="AT361" i="7"/>
  <c r="AU361" i="7" s="1"/>
  <c r="AT35" i="7"/>
  <c r="AU35" i="7" s="1"/>
  <c r="AT222" i="7"/>
  <c r="AU222" i="7" s="1"/>
  <c r="AT81" i="7"/>
  <c r="AT61" i="7"/>
  <c r="AU61" i="7" s="1"/>
  <c r="AT34" i="7"/>
  <c r="AT338" i="7"/>
  <c r="AU338" i="7" s="1"/>
  <c r="AT324" i="7"/>
  <c r="AU324" i="7" s="1"/>
  <c r="AT114" i="7"/>
  <c r="AU114" i="7" s="1"/>
  <c r="AT92" i="7"/>
  <c r="AT274" i="7"/>
  <c r="AT291" i="7"/>
  <c r="AU291" i="7" s="1"/>
  <c r="AT242" i="7"/>
  <c r="AU242" i="7" s="1"/>
  <c r="AT337" i="7"/>
  <c r="AU337" i="7" s="1"/>
  <c r="AT188" i="7"/>
  <c r="AT139" i="7"/>
  <c r="AU139" i="7" s="1"/>
  <c r="AT183" i="7"/>
  <c r="AT331" i="7"/>
  <c r="AU331" i="7" s="1"/>
  <c r="AT283" i="7"/>
  <c r="AU283" i="7" s="1"/>
  <c r="AT356" i="7"/>
  <c r="AU356" i="7" s="1"/>
  <c r="AT13" i="7"/>
  <c r="AU13" i="7" s="1"/>
  <c r="AT158" i="7"/>
  <c r="AT364" i="7"/>
  <c r="AU364" i="7" s="1"/>
  <c r="AT259" i="7"/>
  <c r="AU259" i="7" s="1"/>
  <c r="AT347" i="7"/>
  <c r="AU347" i="7" s="1"/>
  <c r="AT22" i="7"/>
  <c r="AU22" i="7" s="1"/>
  <c r="AT230" i="7"/>
  <c r="AU230" i="7" s="1"/>
  <c r="AT243" i="7"/>
  <c r="AU243" i="7" s="1"/>
  <c r="AT218" i="7"/>
  <c r="AU218" i="7" s="1"/>
  <c r="AT336" i="7"/>
  <c r="AU336" i="7" s="1"/>
  <c r="AT327" i="7"/>
  <c r="AU327" i="7" s="1"/>
  <c r="AT360" i="7"/>
  <c r="AU360" i="7" s="1"/>
  <c r="AT343" i="7"/>
  <c r="AU343" i="7" s="1"/>
  <c r="AT358" i="7"/>
  <c r="AU358" i="7" s="1"/>
  <c r="AT266" i="7"/>
  <c r="AU266" i="7" s="1"/>
  <c r="AT293" i="7"/>
  <c r="AU293" i="7" s="1"/>
  <c r="AT110" i="7"/>
  <c r="AT36" i="7"/>
  <c r="AU36" i="7" s="1"/>
  <c r="AT56" i="7"/>
  <c r="AU56" i="7" s="1"/>
  <c r="AT97" i="7"/>
  <c r="AT193" i="7"/>
  <c r="AU193" i="7" s="1"/>
  <c r="AT173" i="7"/>
  <c r="AT217" i="7"/>
  <c r="AU217" i="7" s="1"/>
  <c r="AT286" i="7"/>
  <c r="AT297" i="7"/>
  <c r="AT255" i="7"/>
  <c r="AU255" i="7" s="1"/>
  <c r="AT359" i="7"/>
  <c r="AU359" i="7" s="1"/>
  <c r="AT103" i="7"/>
  <c r="AU103" i="7" s="1"/>
  <c r="AT342" i="7"/>
  <c r="AU342" i="7" s="1"/>
  <c r="AT111" i="7"/>
  <c r="AU111" i="7" s="1"/>
  <c r="AT281" i="7"/>
  <c r="AU281" i="7" s="1"/>
  <c r="AT73" i="7"/>
  <c r="AT332" i="7"/>
  <c r="AU332" i="7" s="1"/>
  <c r="AT339" i="7"/>
  <c r="AU339" i="7" s="1"/>
  <c r="AT50" i="7"/>
  <c r="AT282" i="7"/>
  <c r="AU282" i="7" s="1"/>
  <c r="AT67" i="7"/>
  <c r="AT138" i="7"/>
  <c r="AT134" i="7"/>
  <c r="AU134" i="7" s="1"/>
  <c r="AT70" i="7"/>
  <c r="AT328" i="7"/>
  <c r="AU328" i="7" s="1"/>
  <c r="AT109" i="7"/>
  <c r="AU109" i="7" s="1"/>
  <c r="AT225" i="7"/>
  <c r="AU225" i="7" s="1"/>
  <c r="AT325" i="7"/>
  <c r="AU325" i="7" s="1"/>
  <c r="AT318" i="7"/>
  <c r="AT192" i="7"/>
  <c r="AU192" i="7" s="1"/>
  <c r="AT240" i="7"/>
  <c r="AU240" i="7" s="1"/>
  <c r="AT355" i="7"/>
  <c r="AU355" i="7" s="1"/>
  <c r="AT33" i="7"/>
  <c r="AU33" i="7" s="1"/>
  <c r="AT85" i="7"/>
  <c r="AT101" i="7"/>
  <c r="AU101" i="7" s="1"/>
  <c r="AT239" i="7"/>
  <c r="AT127" i="7"/>
  <c r="AT55" i="7"/>
  <c r="AU55" i="7" s="1"/>
  <c r="AT363" i="7"/>
  <c r="AU363" i="7" s="1"/>
  <c r="AT229" i="7"/>
  <c r="AU229" i="7" s="1"/>
  <c r="AT296" i="7"/>
  <c r="AU296" i="7" s="1"/>
  <c r="AT245" i="7"/>
  <c r="AU245" i="7" s="1"/>
  <c r="AT348" i="7"/>
  <c r="AU348" i="7" s="1"/>
  <c r="AT345" i="7"/>
  <c r="AU345" i="7" s="1"/>
  <c r="AT125" i="7"/>
  <c r="AU125" i="7" s="1"/>
  <c r="AT353" i="7"/>
  <c r="AU353" i="7" s="1"/>
  <c r="AT179" i="7"/>
  <c r="AU179" i="7" s="1"/>
  <c r="AT90" i="7"/>
  <c r="AU90" i="7" s="1"/>
  <c r="AU66" i="7"/>
  <c r="AU80" i="7"/>
  <c r="AU117" i="7"/>
  <c r="AU163" i="7"/>
  <c r="AU322" i="7"/>
  <c r="AU30" i="7"/>
  <c r="AU24" i="7"/>
  <c r="AU78" i="7"/>
  <c r="AU123" i="7"/>
  <c r="AU167" i="7"/>
  <c r="AU146" i="7"/>
  <c r="AU82" i="7"/>
  <c r="AU279" i="7"/>
  <c r="AU141" i="7"/>
  <c r="D387" i="1"/>
  <c r="C372" i="1"/>
  <c r="EH358" i="1"/>
  <c r="EH357" i="1"/>
  <c r="EH354" i="1"/>
  <c r="EH359" i="1"/>
  <c r="AU239" i="7" l="1"/>
  <c r="AU211" i="7"/>
  <c r="AU274" i="7"/>
  <c r="AU157" i="7"/>
  <c r="AU72" i="7"/>
  <c r="K376" i="7"/>
  <c r="AU34" i="7"/>
  <c r="AU269" i="7"/>
  <c r="AK379" i="7"/>
  <c r="AU147" i="7"/>
  <c r="AU215" i="7"/>
  <c r="AU68" i="7"/>
  <c r="AP10" i="7"/>
  <c r="AP377" i="7" s="1"/>
  <c r="AN377" i="7"/>
  <c r="I368" i="7"/>
  <c r="I378" i="7"/>
  <c r="AU138" i="7"/>
  <c r="AU173" i="7"/>
  <c r="AU92" i="7"/>
  <c r="AU127" i="7"/>
  <c r="AU297" i="7"/>
  <c r="AU110" i="7"/>
  <c r="AU183" i="7"/>
  <c r="AU93" i="7"/>
  <c r="AU208" i="7"/>
  <c r="AU148" i="7"/>
  <c r="AU209" i="7"/>
  <c r="AU94" i="7"/>
  <c r="AU204" i="7"/>
  <c r="AN378" i="7"/>
  <c r="AN368" i="7"/>
  <c r="K10" i="7"/>
  <c r="K377" i="7" s="1"/>
  <c r="I377" i="7"/>
  <c r="AU286" i="7"/>
  <c r="AU81" i="7"/>
  <c r="AU161" i="7"/>
  <c r="AU96" i="7"/>
  <c r="AU151" i="7"/>
  <c r="AP15" i="7"/>
  <c r="AP376" i="7" s="1"/>
  <c r="AN376" i="7"/>
  <c r="AU73" i="7"/>
  <c r="AU97" i="7"/>
  <c r="I376" i="7"/>
  <c r="AU85" i="7"/>
  <c r="AU158" i="7"/>
  <c r="AU153" i="7"/>
  <c r="AU180" i="7"/>
  <c r="AU317" i="7"/>
  <c r="AP378" i="7"/>
  <c r="G379" i="7"/>
  <c r="K9" i="7"/>
  <c r="AU150" i="7"/>
  <c r="AU205" i="7"/>
  <c r="AU319" i="7"/>
  <c r="AU273" i="7"/>
  <c r="AU87" i="7"/>
  <c r="AU95" i="7"/>
  <c r="AU86" i="7"/>
  <c r="AU203" i="7"/>
  <c r="AU74" i="7"/>
  <c r="AU145" i="7"/>
  <c r="AU50" i="7"/>
  <c r="AU213" i="7"/>
  <c r="AU188" i="7"/>
  <c r="AU135" i="7"/>
  <c r="AU200" i="7"/>
  <c r="AU154" i="7"/>
  <c r="AU149" i="7"/>
  <c r="AU210" i="7"/>
  <c r="AU70" i="7"/>
  <c r="AU88" i="7"/>
  <c r="AU272" i="7"/>
  <c r="AU318" i="7"/>
  <c r="AU16" i="7"/>
  <c r="AU198" i="7"/>
  <c r="AU49" i="7"/>
  <c r="AU67" i="7"/>
  <c r="AU71" i="7"/>
  <c r="AU253" i="7"/>
  <c r="AT378" i="7"/>
  <c r="AT368" i="7"/>
  <c r="AU18" i="7"/>
  <c r="AT376" i="7"/>
  <c r="AT377" i="7"/>
  <c r="AU277" i="7"/>
  <c r="AU321" i="7"/>
  <c r="EH360" i="1"/>
  <c r="EH364" i="1"/>
  <c r="EH365" i="1"/>
  <c r="AU15" i="7" l="1"/>
  <c r="AP368" i="7"/>
  <c r="AN379" i="7"/>
  <c r="K378" i="7"/>
  <c r="K379" i="7" s="1"/>
  <c r="K368" i="7"/>
  <c r="I379" i="7"/>
  <c r="AP379" i="7"/>
  <c r="AU10" i="7"/>
  <c r="AU377" i="7" s="1"/>
  <c r="AT379" i="7"/>
  <c r="AU9" i="7"/>
  <c r="AU376" i="7"/>
  <c r="EH366" i="1"/>
  <c r="EF9" i="1"/>
  <c r="EF10" i="1"/>
  <c r="EF11" i="1"/>
  <c r="EF12" i="1"/>
  <c r="EF13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" i="1"/>
  <c r="EF143" i="1"/>
  <c r="EF144" i="1"/>
  <c r="EF145" i="1"/>
  <c r="EF146" i="1"/>
  <c r="EF147" i="1"/>
  <c r="EF148" i="1"/>
  <c r="EF149" i="1"/>
  <c r="EF150" i="1"/>
  <c r="EF44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F205" i="1"/>
  <c r="EF206" i="1"/>
  <c r="EF207" i="1"/>
  <c r="EF208" i="1"/>
  <c r="EF209" i="1"/>
  <c r="EF210" i="1"/>
  <c r="EF211" i="1"/>
  <c r="EF212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40" i="1"/>
  <c r="EF241" i="1"/>
  <c r="EF242" i="1"/>
  <c r="EF243" i="1"/>
  <c r="EF244" i="1"/>
  <c r="EF245" i="1"/>
  <c r="EF246" i="1"/>
  <c r="EF247" i="1"/>
  <c r="EF248" i="1"/>
  <c r="EF249" i="1"/>
  <c r="EF250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285" i="1"/>
  <c r="EF286" i="1"/>
  <c r="EF287" i="1"/>
  <c r="EF288" i="1"/>
  <c r="EF289" i="1"/>
  <c r="EF290" i="1"/>
  <c r="EF291" i="1"/>
  <c r="EF292" i="1"/>
  <c r="EF293" i="1"/>
  <c r="EF294" i="1"/>
  <c r="EF295" i="1"/>
  <c r="EF251" i="1"/>
  <c r="EF252" i="1"/>
  <c r="EF253" i="1"/>
  <c r="EF235" i="1"/>
  <c r="EF236" i="1"/>
  <c r="EF237" i="1"/>
  <c r="EF238" i="1"/>
  <c r="EF239" i="1"/>
  <c r="EF15" i="1"/>
  <c r="EF16" i="1"/>
  <c r="EF17" i="1"/>
  <c r="EF18" i="1"/>
  <c r="EF19" i="1"/>
  <c r="EF20" i="1"/>
  <c r="EF21" i="1"/>
  <c r="EF22" i="1"/>
  <c r="EF23" i="1"/>
  <c r="EF24" i="1"/>
  <c r="EF254" i="1"/>
  <c r="EF255" i="1"/>
  <c r="EF151" i="1"/>
  <c r="EF152" i="1"/>
  <c r="EF25" i="1"/>
  <c r="EF26" i="1"/>
  <c r="EF27" i="1"/>
  <c r="EF28" i="1"/>
  <c r="EF29" i="1"/>
  <c r="EF30" i="1"/>
  <c r="EF31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F280" i="1"/>
  <c r="EF281" i="1"/>
  <c r="EF282" i="1"/>
  <c r="EF283" i="1"/>
  <c r="EF284" i="1"/>
  <c r="EF296" i="1"/>
  <c r="EF297" i="1"/>
  <c r="EF298" i="1"/>
  <c r="EF299" i="1"/>
  <c r="EF300" i="1"/>
  <c r="EF301" i="1"/>
  <c r="EF302" i="1"/>
  <c r="EF303" i="1"/>
  <c r="EF304" i="1"/>
  <c r="EF305" i="1"/>
  <c r="EF306" i="1"/>
  <c r="EF307" i="1"/>
  <c r="EF308" i="1"/>
  <c r="EF309" i="1"/>
  <c r="EF310" i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DG365" i="1"/>
  <c r="DG364" i="1"/>
  <c r="AU368" i="7" l="1"/>
  <c r="AU378" i="7"/>
  <c r="AU379" i="7" s="1"/>
  <c r="DG366" i="1"/>
  <c r="DR10" i="1" l="1"/>
  <c r="DR11" i="1"/>
  <c r="DR12" i="1"/>
  <c r="DR13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EE358" i="1" l="1"/>
  <c r="EE357" i="1"/>
  <c r="C70" i="12" s="1"/>
  <c r="D70" i="12" s="1"/>
  <c r="EE332" i="1"/>
  <c r="EF332" i="1" s="1"/>
  <c r="C44" i="12"/>
  <c r="C51" i="12" s="1"/>
  <c r="C45" i="12"/>
  <c r="EF364" i="1" l="1"/>
  <c r="EF365" i="1"/>
  <c r="EE354" i="1"/>
  <c r="EE364" i="1"/>
  <c r="EE365" i="1"/>
  <c r="EE359" i="1"/>
  <c r="EE360" i="1" s="1"/>
  <c r="EF366" i="1" l="1"/>
  <c r="EE366" i="1"/>
  <c r="DG354" i="1" l="1"/>
  <c r="EF354" i="1" s="1"/>
  <c r="DW359" i="1"/>
  <c r="M43" i="3" s="1"/>
  <c r="DW358" i="1"/>
  <c r="J43" i="3" s="1"/>
  <c r="DW357" i="1"/>
  <c r="D52" i="12" s="1"/>
  <c r="DW354" i="1"/>
  <c r="C43" i="3" s="1"/>
  <c r="D43" i="3" s="1"/>
  <c r="F43" i="3" l="1"/>
  <c r="K43" i="3" s="1"/>
  <c r="E43" i="3"/>
  <c r="DW360" i="1"/>
  <c r="G43" i="3"/>
  <c r="DI359" i="1"/>
  <c r="M44" i="3" s="1"/>
  <c r="DI357" i="1"/>
  <c r="G44" i="3" l="1"/>
  <c r="H43" i="3"/>
  <c r="N43" i="3"/>
  <c r="DI354" i="1"/>
  <c r="C44" i="3" s="1"/>
  <c r="DI358" i="1"/>
  <c r="DI360" i="1" l="1"/>
  <c r="J44" i="3"/>
  <c r="DA357" i="1" l="1"/>
  <c r="DB357" i="1"/>
  <c r="DA358" i="1"/>
  <c r="DB358" i="1"/>
  <c r="DA359" i="1"/>
  <c r="DB359" i="1"/>
  <c r="DR103" i="1" l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" i="1"/>
  <c r="DR143" i="1"/>
  <c r="DR144" i="1"/>
  <c r="DR145" i="1"/>
  <c r="DR146" i="1"/>
  <c r="DR147" i="1"/>
  <c r="DR148" i="1"/>
  <c r="DR149" i="1"/>
  <c r="DR150" i="1"/>
  <c r="DR44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40" i="1"/>
  <c r="DR241" i="1"/>
  <c r="DR242" i="1"/>
  <c r="DR243" i="1"/>
  <c r="DR244" i="1"/>
  <c r="DR245" i="1"/>
  <c r="DR246" i="1"/>
  <c r="DR247" i="1"/>
  <c r="DR248" i="1"/>
  <c r="DR249" i="1"/>
  <c r="DR250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285" i="1"/>
  <c r="DR286" i="1"/>
  <c r="DR287" i="1"/>
  <c r="DR288" i="1"/>
  <c r="DR289" i="1"/>
  <c r="DR290" i="1"/>
  <c r="DR291" i="1"/>
  <c r="DR292" i="1"/>
  <c r="DR293" i="1"/>
  <c r="DR294" i="1"/>
  <c r="DR295" i="1"/>
  <c r="DR251" i="1"/>
  <c r="DR252" i="1"/>
  <c r="DR253" i="1"/>
  <c r="DR235" i="1"/>
  <c r="DR236" i="1"/>
  <c r="DR237" i="1"/>
  <c r="DR238" i="1"/>
  <c r="DR239" i="1"/>
  <c r="DR15" i="1"/>
  <c r="DR16" i="1"/>
  <c r="DR17" i="1"/>
  <c r="DR18" i="1"/>
  <c r="DR19" i="1"/>
  <c r="DR20" i="1"/>
  <c r="DR21" i="1"/>
  <c r="DR22" i="1"/>
  <c r="DR23" i="1"/>
  <c r="DR24" i="1"/>
  <c r="DR254" i="1"/>
  <c r="DR255" i="1"/>
  <c r="DR151" i="1"/>
  <c r="DR152" i="1"/>
  <c r="DR25" i="1"/>
  <c r="DR26" i="1"/>
  <c r="DR27" i="1"/>
  <c r="DR28" i="1"/>
  <c r="DR29" i="1"/>
  <c r="DR30" i="1"/>
  <c r="DR31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9" i="1"/>
  <c r="O204" i="30" l="1"/>
  <c r="G211" i="30"/>
  <c r="L146" i="30" l="1"/>
  <c r="I146" i="30"/>
  <c r="F146" i="30"/>
  <c r="C146" i="30"/>
  <c r="L96" i="30"/>
  <c r="I96" i="30"/>
  <c r="F96" i="30"/>
  <c r="C96" i="30"/>
  <c r="L46" i="30"/>
  <c r="I46" i="30"/>
  <c r="F46" i="30"/>
  <c r="C46" i="30"/>
  <c r="DS354" i="1" l="1"/>
  <c r="DT10" i="1"/>
  <c r="DT11" i="1"/>
  <c r="DT12" i="1"/>
  <c r="DT13" i="1"/>
  <c r="DT45" i="1"/>
  <c r="DT46" i="1"/>
  <c r="DT47" i="1"/>
  <c r="DT48" i="1"/>
  <c r="DT49" i="1"/>
  <c r="DT50" i="1"/>
  <c r="DT51" i="1"/>
  <c r="DT52" i="1"/>
  <c r="DT53" i="1"/>
  <c r="DT54" i="1"/>
  <c r="DT55" i="1"/>
  <c r="DT56" i="1"/>
  <c r="DT57" i="1"/>
  <c r="DT58" i="1"/>
  <c r="DT59" i="1"/>
  <c r="DT60" i="1"/>
  <c r="DT61" i="1"/>
  <c r="DT62" i="1"/>
  <c r="DT63" i="1"/>
  <c r="DT64" i="1"/>
  <c r="DT65" i="1"/>
  <c r="DT66" i="1"/>
  <c r="DT67" i="1"/>
  <c r="DT68" i="1"/>
  <c r="DT69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120" i="1"/>
  <c r="DT121" i="1"/>
  <c r="DT122" i="1"/>
  <c r="DT123" i="1"/>
  <c r="DT124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38" i="1"/>
  <c r="DT139" i="1"/>
  <c r="DT140" i="1"/>
  <c r="DT141" i="1"/>
  <c r="DT142" i="1"/>
  <c r="DT14" i="1"/>
  <c r="DT143" i="1"/>
  <c r="DT144" i="1"/>
  <c r="DT145" i="1"/>
  <c r="DT146" i="1"/>
  <c r="DT147" i="1"/>
  <c r="DT148" i="1"/>
  <c r="DT149" i="1"/>
  <c r="DT150" i="1"/>
  <c r="DT44" i="1"/>
  <c r="DT153" i="1"/>
  <c r="DT154" i="1"/>
  <c r="DT155" i="1"/>
  <c r="DT156" i="1"/>
  <c r="DT157" i="1"/>
  <c r="DT158" i="1"/>
  <c r="DT159" i="1"/>
  <c r="DT160" i="1"/>
  <c r="DT161" i="1"/>
  <c r="DT162" i="1"/>
  <c r="DT163" i="1"/>
  <c r="DT164" i="1"/>
  <c r="DT165" i="1"/>
  <c r="DT166" i="1"/>
  <c r="DT167" i="1"/>
  <c r="DT168" i="1"/>
  <c r="DT169" i="1"/>
  <c r="DT170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DT188" i="1"/>
  <c r="DT189" i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7" i="1"/>
  <c r="DT208" i="1"/>
  <c r="DT209" i="1"/>
  <c r="DT210" i="1"/>
  <c r="DT211" i="1"/>
  <c r="DT212" i="1"/>
  <c r="DT214" i="1"/>
  <c r="DT215" i="1"/>
  <c r="DT216" i="1"/>
  <c r="DT217" i="1"/>
  <c r="DT218" i="1"/>
  <c r="DT219" i="1"/>
  <c r="DT220" i="1"/>
  <c r="DT221" i="1"/>
  <c r="DT222" i="1"/>
  <c r="DT223" i="1"/>
  <c r="DT224" i="1"/>
  <c r="DT225" i="1"/>
  <c r="DT226" i="1"/>
  <c r="DT227" i="1"/>
  <c r="DT228" i="1"/>
  <c r="DT229" i="1"/>
  <c r="DT230" i="1"/>
  <c r="DT231" i="1"/>
  <c r="DT232" i="1"/>
  <c r="DT233" i="1"/>
  <c r="DT234" i="1"/>
  <c r="DT240" i="1"/>
  <c r="DT241" i="1"/>
  <c r="DT242" i="1"/>
  <c r="DT243" i="1"/>
  <c r="DT244" i="1"/>
  <c r="DT245" i="1"/>
  <c r="DT246" i="1"/>
  <c r="DT247" i="1"/>
  <c r="DT248" i="1"/>
  <c r="DT249" i="1"/>
  <c r="DT250" i="1"/>
  <c r="DT32" i="1"/>
  <c r="DT33" i="1"/>
  <c r="DT34" i="1"/>
  <c r="DT35" i="1"/>
  <c r="DT36" i="1"/>
  <c r="DT37" i="1"/>
  <c r="DT38" i="1"/>
  <c r="DT39" i="1"/>
  <c r="DT40" i="1"/>
  <c r="DT41" i="1"/>
  <c r="DT42" i="1"/>
  <c r="DT43" i="1"/>
  <c r="DT285" i="1"/>
  <c r="DT286" i="1"/>
  <c r="DT287" i="1"/>
  <c r="DT288" i="1"/>
  <c r="DT289" i="1"/>
  <c r="DT290" i="1"/>
  <c r="DT291" i="1"/>
  <c r="DT292" i="1"/>
  <c r="DT293" i="1"/>
  <c r="DT294" i="1"/>
  <c r="DT295" i="1"/>
  <c r="DT251" i="1"/>
  <c r="DT252" i="1"/>
  <c r="DT253" i="1"/>
  <c r="DT235" i="1"/>
  <c r="DT236" i="1"/>
  <c r="DT237" i="1"/>
  <c r="DT238" i="1"/>
  <c r="DT239" i="1"/>
  <c r="DT15" i="1"/>
  <c r="DT16" i="1"/>
  <c r="DT17" i="1"/>
  <c r="DT18" i="1"/>
  <c r="DT19" i="1"/>
  <c r="DT20" i="1"/>
  <c r="DT21" i="1"/>
  <c r="DT22" i="1"/>
  <c r="DT23" i="1"/>
  <c r="DT24" i="1"/>
  <c r="DT254" i="1"/>
  <c r="DT255" i="1"/>
  <c r="DT151" i="1"/>
  <c r="DT152" i="1"/>
  <c r="DT25" i="1"/>
  <c r="DT26" i="1"/>
  <c r="DT27" i="1"/>
  <c r="DT28" i="1"/>
  <c r="DT29" i="1"/>
  <c r="DT30" i="1"/>
  <c r="DT31" i="1"/>
  <c r="DT256" i="1"/>
  <c r="DT257" i="1"/>
  <c r="DT258" i="1"/>
  <c r="DT259" i="1"/>
  <c r="DT260" i="1"/>
  <c r="DT261" i="1"/>
  <c r="DT262" i="1"/>
  <c r="DT263" i="1"/>
  <c r="DT264" i="1"/>
  <c r="DT265" i="1"/>
  <c r="DT266" i="1"/>
  <c r="DT267" i="1"/>
  <c r="DT268" i="1"/>
  <c r="DT269" i="1"/>
  <c r="DT270" i="1"/>
  <c r="DT271" i="1"/>
  <c r="DT272" i="1"/>
  <c r="DT273" i="1"/>
  <c r="DT274" i="1"/>
  <c r="DT275" i="1"/>
  <c r="DT276" i="1"/>
  <c r="DT277" i="1"/>
  <c r="DT278" i="1"/>
  <c r="DT279" i="1"/>
  <c r="DT280" i="1"/>
  <c r="DT281" i="1"/>
  <c r="DT282" i="1"/>
  <c r="DT283" i="1"/>
  <c r="DT284" i="1"/>
  <c r="DT296" i="1"/>
  <c r="DT297" i="1"/>
  <c r="DT298" i="1"/>
  <c r="DT299" i="1"/>
  <c r="DT300" i="1"/>
  <c r="DT301" i="1"/>
  <c r="DT302" i="1"/>
  <c r="DT303" i="1"/>
  <c r="DT304" i="1"/>
  <c r="DT305" i="1"/>
  <c r="DT306" i="1"/>
  <c r="DT307" i="1"/>
  <c r="DT308" i="1"/>
  <c r="DT309" i="1"/>
  <c r="DT310" i="1"/>
  <c r="DT311" i="1"/>
  <c r="DT312" i="1"/>
  <c r="DT313" i="1"/>
  <c r="DT314" i="1"/>
  <c r="DT315" i="1"/>
  <c r="DT316" i="1"/>
  <c r="DT317" i="1"/>
  <c r="DT318" i="1"/>
  <c r="DT319" i="1"/>
  <c r="DT320" i="1"/>
  <c r="DT321" i="1"/>
  <c r="DT322" i="1"/>
  <c r="DT323" i="1"/>
  <c r="DT324" i="1"/>
  <c r="DT325" i="1"/>
  <c r="DT326" i="1"/>
  <c r="DT327" i="1"/>
  <c r="DT328" i="1"/>
  <c r="DT329" i="1"/>
  <c r="DT330" i="1"/>
  <c r="DT331" i="1"/>
  <c r="DT332" i="1"/>
  <c r="DT333" i="1"/>
  <c r="DT334" i="1"/>
  <c r="DT335" i="1"/>
  <c r="DT336" i="1"/>
  <c r="DT337" i="1"/>
  <c r="DT338" i="1"/>
  <c r="DT339" i="1"/>
  <c r="DT340" i="1"/>
  <c r="DT341" i="1"/>
  <c r="DT342" i="1"/>
  <c r="DT343" i="1"/>
  <c r="DT344" i="1"/>
  <c r="DT345" i="1"/>
  <c r="DT346" i="1"/>
  <c r="DT347" i="1"/>
  <c r="DT348" i="1"/>
  <c r="DT349" i="1"/>
  <c r="DT350" i="1"/>
  <c r="DT351" i="1"/>
  <c r="DT352" i="1"/>
  <c r="DT353" i="1"/>
  <c r="DT9" i="1"/>
  <c r="D389" i="4" l="1"/>
  <c r="E388" i="4"/>
  <c r="C388" i="4" s="1"/>
  <c r="E387" i="4"/>
  <c r="C387" i="4" s="1"/>
  <c r="E386" i="4"/>
  <c r="C386" i="4" s="1"/>
  <c r="E383" i="4"/>
  <c r="C383" i="4" s="1"/>
  <c r="E373" i="4"/>
  <c r="C373" i="4" s="1"/>
  <c r="E369" i="4"/>
  <c r="C369" i="4" s="1"/>
  <c r="E366" i="4"/>
  <c r="E372" i="4" l="1"/>
  <c r="C372" i="4" s="1"/>
  <c r="E376" i="4"/>
  <c r="C376" i="4" s="1"/>
  <c r="E374" i="4"/>
  <c r="C374" i="4" s="1"/>
  <c r="E370" i="4"/>
  <c r="C370" i="4" s="1"/>
  <c r="D377" i="4"/>
  <c r="D392" i="4" s="1"/>
  <c r="D393" i="4" s="1"/>
  <c r="G12" i="4" l="1"/>
  <c r="G348" i="4"/>
  <c r="G354" i="4"/>
  <c r="G341" i="4"/>
  <c r="G322" i="4"/>
  <c r="G333" i="4"/>
  <c r="G324" i="4"/>
  <c r="G281" i="4"/>
  <c r="G272" i="4"/>
  <c r="G309" i="4"/>
  <c r="G278" i="4"/>
  <c r="G275" i="4"/>
  <c r="G298" i="4"/>
  <c r="G336" i="4"/>
  <c r="G340" i="4"/>
  <c r="G355" i="4"/>
  <c r="G346" i="4"/>
  <c r="G321" i="4"/>
  <c r="G312" i="4"/>
  <c r="G334" i="4"/>
  <c r="G318" i="4"/>
  <c r="G344" i="4"/>
  <c r="G308" i="4"/>
  <c r="G331" i="4"/>
  <c r="G323" i="4"/>
  <c r="G307" i="4"/>
  <c r="G279" i="4"/>
  <c r="G270" i="4"/>
  <c r="G315" i="4"/>
  <c r="G273" i="4"/>
  <c r="G305" i="4"/>
  <c r="G300" i="4"/>
  <c r="G343" i="4"/>
  <c r="G325" i="4"/>
  <c r="G317" i="4"/>
  <c r="G351" i="4"/>
  <c r="G345" i="4"/>
  <c r="G330" i="4"/>
  <c r="G310" i="4"/>
  <c r="G338" i="4"/>
  <c r="G328" i="4"/>
  <c r="G320" i="4"/>
  <c r="G284" i="4"/>
  <c r="G276" i="4"/>
  <c r="G353" i="4"/>
  <c r="G311" i="4"/>
  <c r="G285" i="4"/>
  <c r="G271" i="4"/>
  <c r="G301" i="4"/>
  <c r="G303" i="4"/>
  <c r="G302" i="4"/>
  <c r="G339" i="4"/>
  <c r="G314" i="4"/>
  <c r="G329" i="4"/>
  <c r="G316" i="4"/>
  <c r="G350" i="4"/>
  <c r="G342" i="4"/>
  <c r="G326" i="4"/>
  <c r="G352" i="4"/>
  <c r="G313" i="4"/>
  <c r="G337" i="4"/>
  <c r="G327" i="4"/>
  <c r="G282" i="4"/>
  <c r="G274" i="4"/>
  <c r="G349" i="4"/>
  <c r="G283" i="4"/>
  <c r="G269" i="4"/>
  <c r="G286" i="4"/>
  <c r="G280" i="4"/>
  <c r="G277" i="4"/>
  <c r="G304" i="4"/>
  <c r="G299" i="4"/>
  <c r="G306" i="4"/>
  <c r="G319" i="4"/>
  <c r="G335" i="4"/>
  <c r="G332" i="4"/>
  <c r="G347" i="4"/>
  <c r="G235" i="4"/>
  <c r="G74" i="4"/>
  <c r="G160" i="4"/>
  <c r="G206" i="4"/>
  <c r="G186" i="4"/>
  <c r="G156" i="4"/>
  <c r="G178" i="4"/>
  <c r="G102" i="4"/>
  <c r="G81" i="4"/>
  <c r="G108" i="4"/>
  <c r="G121" i="4"/>
  <c r="G115" i="4"/>
  <c r="G103" i="4"/>
  <c r="G111" i="4"/>
  <c r="G73" i="4"/>
  <c r="G60" i="4"/>
  <c r="G66" i="4"/>
  <c r="G53" i="4"/>
  <c r="G50" i="4"/>
  <c r="G15" i="4"/>
  <c r="G137" i="4"/>
  <c r="G124" i="4"/>
  <c r="G132" i="4"/>
  <c r="G117" i="4"/>
  <c r="G191" i="4"/>
  <c r="G174" i="4"/>
  <c r="G229" i="4"/>
  <c r="G209" i="4"/>
  <c r="G294" i="4"/>
  <c r="G30" i="4"/>
  <c r="G154" i="4"/>
  <c r="G266" i="4"/>
  <c r="G261" i="4"/>
  <c r="G26" i="4"/>
  <c r="G267" i="4"/>
  <c r="G241" i="4"/>
  <c r="G17" i="4"/>
  <c r="G36" i="4"/>
  <c r="G243" i="4"/>
  <c r="G226" i="4"/>
  <c r="G32" i="4"/>
  <c r="G20" i="4"/>
  <c r="G23" i="4"/>
  <c r="G292" i="4"/>
  <c r="G40" i="4"/>
  <c r="G34" i="4"/>
  <c r="G246" i="4"/>
  <c r="G297" i="4"/>
  <c r="G289" i="4"/>
  <c r="G219" i="4"/>
  <c r="G212" i="4"/>
  <c r="G203" i="4"/>
  <c r="G170" i="4"/>
  <c r="G146" i="4"/>
  <c r="G139" i="4"/>
  <c r="G166" i="4"/>
  <c r="G158" i="4"/>
  <c r="G144" i="4"/>
  <c r="G236" i="4"/>
  <c r="G230" i="4"/>
  <c r="G192" i="4"/>
  <c r="G176" i="4"/>
  <c r="G200" i="4"/>
  <c r="G143" i="4"/>
  <c r="G179" i="4"/>
  <c r="G105" i="4"/>
  <c r="G100" i="4"/>
  <c r="G93" i="4"/>
  <c r="G86" i="4"/>
  <c r="G167" i="4"/>
  <c r="G159" i="4"/>
  <c r="G96" i="4"/>
  <c r="G135" i="4"/>
  <c r="G127" i="4"/>
  <c r="G114" i="4"/>
  <c r="G101" i="4"/>
  <c r="G90" i="4"/>
  <c r="G83" i="4"/>
  <c r="G110" i="4"/>
  <c r="G79" i="4"/>
  <c r="G65" i="4"/>
  <c r="G59" i="4"/>
  <c r="G64" i="4"/>
  <c r="G61" i="4"/>
  <c r="G51" i="4"/>
  <c r="G120" i="4"/>
  <c r="G67" i="4"/>
  <c r="G72" i="4"/>
  <c r="G56" i="4"/>
  <c r="G48" i="4"/>
  <c r="G116" i="4"/>
  <c r="G126" i="4"/>
  <c r="G134" i="4"/>
  <c r="G185" i="4"/>
  <c r="G194" i="4"/>
  <c r="G43" i="4"/>
  <c r="G264" i="4"/>
  <c r="G57" i="4"/>
  <c r="G245" i="4"/>
  <c r="G239" i="4"/>
  <c r="G291" i="4"/>
  <c r="G148" i="4"/>
  <c r="G138" i="4"/>
  <c r="G94" i="4"/>
  <c r="G129" i="4"/>
  <c r="G85" i="4"/>
  <c r="G35" i="4"/>
  <c r="G262" i="4"/>
  <c r="G295" i="4"/>
  <c r="G211" i="4"/>
  <c r="G254" i="4"/>
  <c r="G233" i="4"/>
  <c r="G164" i="4"/>
  <c r="G142" i="4"/>
  <c r="G225" i="4"/>
  <c r="G197" i="4"/>
  <c r="G190" i="4"/>
  <c r="G184" i="4"/>
  <c r="G173" i="4"/>
  <c r="G147" i="4"/>
  <c r="G169" i="4"/>
  <c r="G91" i="4"/>
  <c r="G84" i="4"/>
  <c r="G141" i="4"/>
  <c r="G199" i="4"/>
  <c r="G151" i="4"/>
  <c r="G133" i="4"/>
  <c r="G125" i="4"/>
  <c r="G112" i="4"/>
  <c r="G98" i="4"/>
  <c r="G89" i="4"/>
  <c r="G107" i="4"/>
  <c r="G75" i="4"/>
  <c r="G71" i="4"/>
  <c r="G63" i="4"/>
  <c r="G80" i="4"/>
  <c r="G49" i="4"/>
  <c r="G58" i="4"/>
  <c r="G119" i="4"/>
  <c r="G68" i="4"/>
  <c r="G54" i="4"/>
  <c r="G118" i="4"/>
  <c r="G128" i="4"/>
  <c r="G136" i="4"/>
  <c r="G181" i="4"/>
  <c r="G187" i="4"/>
  <c r="G196" i="4"/>
  <c r="G45" i="4"/>
  <c r="G33" i="4"/>
  <c r="G55" i="4"/>
  <c r="G18" i="4"/>
  <c r="G38" i="4"/>
  <c r="G228" i="4"/>
  <c r="G218" i="4"/>
  <c r="G259" i="4"/>
  <c r="G257" i="4"/>
  <c r="G25" i="4"/>
  <c r="G296" i="4"/>
  <c r="G42" i="4"/>
  <c r="G248" i="4"/>
  <c r="G237" i="4"/>
  <c r="G231" i="4"/>
  <c r="G232" i="4"/>
  <c r="G222" i="4"/>
  <c r="G172" i="4"/>
  <c r="G46" i="4"/>
  <c r="G39" i="4"/>
  <c r="G205" i="4"/>
  <c r="G168" i="4"/>
  <c r="G217" i="4"/>
  <c r="G193" i="4"/>
  <c r="G180" i="4"/>
  <c r="G161" i="4"/>
  <c r="G149" i="4"/>
  <c r="G88" i="4"/>
  <c r="G175" i="4"/>
  <c r="G92" i="4"/>
  <c r="G69" i="4"/>
  <c r="G76" i="4"/>
  <c r="G268" i="4"/>
  <c r="G258" i="4"/>
  <c r="G24" i="4"/>
  <c r="G31" i="4"/>
  <c r="G249" i="4"/>
  <c r="G242" i="4"/>
  <c r="G224" i="4"/>
  <c r="G28" i="4"/>
  <c r="G21" i="4"/>
  <c r="G288" i="4"/>
  <c r="G251" i="4"/>
  <c r="G244" i="4"/>
  <c r="G287" i="4"/>
  <c r="G227" i="4"/>
  <c r="G202" i="4"/>
  <c r="G157" i="4"/>
  <c r="G265" i="4"/>
  <c r="G27" i="4"/>
  <c r="G263" i="4"/>
  <c r="G256" i="4"/>
  <c r="G240" i="4"/>
  <c r="G252" i="4"/>
  <c r="G247" i="4"/>
  <c r="G234" i="4"/>
  <c r="G220" i="4"/>
  <c r="G260" i="4"/>
  <c r="G153" i="4"/>
  <c r="G22" i="4"/>
  <c r="G19" i="4"/>
  <c r="G29" i="4"/>
  <c r="G238" i="4"/>
  <c r="G44" i="4"/>
  <c r="G37" i="4"/>
  <c r="G250" i="4"/>
  <c r="G214" i="4"/>
  <c r="G293" i="4"/>
  <c r="G41" i="4"/>
  <c r="G207" i="4"/>
  <c r="G253" i="4"/>
  <c r="G223" i="4"/>
  <c r="G216" i="4"/>
  <c r="G208" i="4"/>
  <c r="G201" i="4"/>
  <c r="G155" i="4"/>
  <c r="G16" i="4"/>
  <c r="G213" i="4"/>
  <c r="G162" i="4"/>
  <c r="G150" i="4"/>
  <c r="G255" i="4"/>
  <c r="G221" i="4"/>
  <c r="G210" i="4"/>
  <c r="G195" i="4"/>
  <c r="G188" i="4"/>
  <c r="G182" i="4"/>
  <c r="G171" i="4"/>
  <c r="G145" i="4"/>
  <c r="G140" i="4"/>
  <c r="G165" i="4"/>
  <c r="G152" i="4"/>
  <c r="G104" i="4"/>
  <c r="G82" i="4"/>
  <c r="G177" i="4"/>
  <c r="G163" i="4"/>
  <c r="G95" i="4"/>
  <c r="G131" i="4"/>
  <c r="G123" i="4"/>
  <c r="G109" i="4"/>
  <c r="G97" i="4"/>
  <c r="G87" i="4"/>
  <c r="G78" i="4"/>
  <c r="G99" i="4"/>
  <c r="G70" i="4"/>
  <c r="G62" i="4"/>
  <c r="G14" i="4"/>
  <c r="G106" i="4"/>
  <c r="G77" i="4"/>
  <c r="G52" i="4"/>
  <c r="G113" i="4"/>
  <c r="G122" i="4"/>
  <c r="G130" i="4"/>
  <c r="G183" i="4"/>
  <c r="G189" i="4"/>
  <c r="G198" i="4"/>
  <c r="G204" i="4"/>
  <c r="G290" i="4"/>
  <c r="G13" i="4"/>
  <c r="E382" i="4"/>
  <c r="C382" i="4" s="1"/>
  <c r="E385" i="4"/>
  <c r="C385" i="4" s="1"/>
  <c r="G47" i="4"/>
  <c r="E384" i="4"/>
  <c r="C384" i="4" s="1"/>
  <c r="G361" i="4" l="1"/>
  <c r="G362" i="4"/>
  <c r="E390" i="4"/>
  <c r="C389" i="4"/>
  <c r="E389" i="4" s="1"/>
  <c r="E375" i="4" l="1"/>
  <c r="C375" i="4" s="1"/>
  <c r="E371" i="4"/>
  <c r="C371" i="4" s="1"/>
  <c r="G11" i="4"/>
  <c r="G363" i="4" s="1"/>
  <c r="C377" i="4" l="1"/>
  <c r="C392" i="4" s="1"/>
  <c r="C393" i="4" s="1"/>
  <c r="E377" i="4"/>
  <c r="E392" i="4" s="1"/>
  <c r="E393" i="4" s="1"/>
  <c r="D394" i="4" s="1"/>
  <c r="G356" i="4"/>
  <c r="E378" i="4" s="1"/>
  <c r="G364" i="4"/>
  <c r="F378" i="4" l="1"/>
  <c r="C394" i="4"/>
  <c r="C33" i="5" l="1"/>
  <c r="C35" i="5" s="1"/>
  <c r="F215" i="30"/>
  <c r="E214" i="30"/>
  <c r="O150" i="30" s="1"/>
  <c r="D214" i="30"/>
  <c r="O100" i="30" s="1"/>
  <c r="C214" i="30"/>
  <c r="O50" i="30" s="1"/>
  <c r="C222" i="30"/>
  <c r="E213" i="30" s="1"/>
  <c r="O149" i="30" s="1"/>
  <c r="D213" i="30" l="1"/>
  <c r="O99" i="30" s="1"/>
  <c r="F214" i="30"/>
  <c r="C213" i="30"/>
  <c r="O49" i="30" l="1"/>
  <c r="F213" i="30"/>
  <c r="K163" i="30" l="1"/>
  <c r="N163" i="30" s="1"/>
  <c r="O146" i="30"/>
  <c r="O96" i="30"/>
  <c r="O46" i="30"/>
  <c r="DC359" i="1" l="1"/>
  <c r="DC357" i="1"/>
  <c r="DC358" i="1"/>
  <c r="K270" i="30"/>
  <c r="M270" i="30" s="1"/>
  <c r="H270" i="30"/>
  <c r="E270" i="30"/>
  <c r="G270" i="30" s="1"/>
  <c r="B270" i="30"/>
  <c r="O269" i="30"/>
  <c r="N269" i="30"/>
  <c r="M269" i="30"/>
  <c r="J269" i="30"/>
  <c r="G269" i="30"/>
  <c r="D269" i="30"/>
  <c r="O268" i="30"/>
  <c r="N268" i="30"/>
  <c r="M268" i="30"/>
  <c r="J268" i="30"/>
  <c r="G268" i="30"/>
  <c r="D268" i="30"/>
  <c r="O267" i="30"/>
  <c r="N267" i="30"/>
  <c r="M267" i="30"/>
  <c r="J267" i="30"/>
  <c r="G267" i="30"/>
  <c r="D267" i="30"/>
  <c r="O266" i="30"/>
  <c r="N266" i="30"/>
  <c r="M266" i="30"/>
  <c r="J266" i="30"/>
  <c r="G266" i="30"/>
  <c r="D266" i="30"/>
  <c r="O265" i="30"/>
  <c r="N265" i="30"/>
  <c r="M265" i="30"/>
  <c r="J265" i="30"/>
  <c r="G265" i="30"/>
  <c r="D265" i="30"/>
  <c r="O262" i="30"/>
  <c r="K262" i="30"/>
  <c r="M262" i="30" s="1"/>
  <c r="J262" i="30"/>
  <c r="E262" i="30"/>
  <c r="G262" i="30" s="1"/>
  <c r="B262" i="30"/>
  <c r="K255" i="30"/>
  <c r="M255" i="30" s="1"/>
  <c r="H255" i="30"/>
  <c r="E255" i="30"/>
  <c r="G255" i="30" s="1"/>
  <c r="B255" i="30"/>
  <c r="O254" i="30"/>
  <c r="N254" i="30"/>
  <c r="M254" i="30"/>
  <c r="G254" i="30"/>
  <c r="O253" i="30"/>
  <c r="N253" i="30"/>
  <c r="M253" i="30"/>
  <c r="G253" i="30"/>
  <c r="O252" i="30"/>
  <c r="N252" i="30"/>
  <c r="M252" i="30"/>
  <c r="G252" i="30"/>
  <c r="O251" i="30"/>
  <c r="N251" i="30"/>
  <c r="M251" i="30"/>
  <c r="G251" i="30"/>
  <c r="O250" i="30"/>
  <c r="N250" i="30"/>
  <c r="N255" i="30" s="1"/>
  <c r="M250" i="30"/>
  <c r="G250" i="30"/>
  <c r="O247" i="30"/>
  <c r="K247" i="30"/>
  <c r="M247" i="30" s="1"/>
  <c r="E247" i="30"/>
  <c r="G247" i="30" s="1"/>
  <c r="B247" i="30"/>
  <c r="L240" i="30"/>
  <c r="K240" i="30"/>
  <c r="I240" i="30"/>
  <c r="H240" i="30"/>
  <c r="F240" i="30"/>
  <c r="E240" i="30"/>
  <c r="B240" i="30"/>
  <c r="O239" i="30"/>
  <c r="N239" i="30"/>
  <c r="M239" i="30"/>
  <c r="J239" i="30"/>
  <c r="G239" i="30"/>
  <c r="D239" i="30"/>
  <c r="O238" i="30"/>
  <c r="N238" i="30"/>
  <c r="M238" i="30"/>
  <c r="J238" i="30"/>
  <c r="G238" i="30"/>
  <c r="D238" i="30"/>
  <c r="O237" i="30"/>
  <c r="N237" i="30"/>
  <c r="M237" i="30"/>
  <c r="J237" i="30"/>
  <c r="G237" i="30"/>
  <c r="D237" i="30"/>
  <c r="O236" i="30"/>
  <c r="N236" i="30"/>
  <c r="M236" i="30"/>
  <c r="J236" i="30"/>
  <c r="G236" i="30"/>
  <c r="D236" i="30"/>
  <c r="O235" i="30"/>
  <c r="N235" i="30"/>
  <c r="M235" i="30"/>
  <c r="J235" i="30"/>
  <c r="G235" i="30"/>
  <c r="D235" i="30"/>
  <c r="O232" i="30"/>
  <c r="K232" i="30"/>
  <c r="M232" i="30" s="1"/>
  <c r="J232" i="30"/>
  <c r="E232" i="30"/>
  <c r="G232" i="30" s="1"/>
  <c r="B232" i="30"/>
  <c r="D232" i="30" s="1"/>
  <c r="D213" i="34"/>
  <c r="D159" i="34"/>
  <c r="D352" i="34"/>
  <c r="D349" i="34"/>
  <c r="D348" i="34"/>
  <c r="D299" i="34"/>
  <c r="D298" i="34"/>
  <c r="D297" i="34"/>
  <c r="D295" i="34"/>
  <c r="D294" i="34"/>
  <c r="D293" i="34"/>
  <c r="D292" i="34"/>
  <c r="D291" i="34"/>
  <c r="D290" i="34"/>
  <c r="D289" i="34"/>
  <c r="D288" i="34"/>
  <c r="D287" i="34"/>
  <c r="D286" i="34"/>
  <c r="D276" i="34"/>
  <c r="D273" i="34"/>
  <c r="D272" i="34"/>
  <c r="D142" i="34"/>
  <c r="D139" i="34"/>
  <c r="D138" i="34"/>
  <c r="D137" i="34"/>
  <c r="D123" i="34"/>
  <c r="D59" i="34"/>
  <c r="D228" i="34"/>
  <c r="D223" i="34"/>
  <c r="D222" i="34"/>
  <c r="D219" i="34"/>
  <c r="D218" i="34"/>
  <c r="D206" i="34"/>
  <c r="D179" i="34"/>
  <c r="D175" i="34"/>
  <c r="D192" i="34"/>
  <c r="D193" i="34"/>
  <c r="D164" i="34"/>
  <c r="D162" i="34"/>
  <c r="D307" i="34"/>
  <c r="D128" i="34"/>
  <c r="D341" i="34"/>
  <c r="D337" i="34"/>
  <c r="D336" i="34"/>
  <c r="D267" i="34"/>
  <c r="D266" i="34"/>
  <c r="D262" i="34"/>
  <c r="D260" i="34"/>
  <c r="D258" i="34"/>
  <c r="D247" i="34"/>
  <c r="D246" i="34"/>
  <c r="D245" i="34"/>
  <c r="D378" i="34"/>
  <c r="D369" i="34"/>
  <c r="D197" i="34"/>
  <c r="D101" i="34"/>
  <c r="D28" i="34"/>
  <c r="D27" i="34"/>
  <c r="D20" i="34"/>
  <c r="D237" i="34"/>
  <c r="D325" i="34"/>
  <c r="D331" i="34"/>
  <c r="D329" i="34"/>
  <c r="D316" i="34"/>
  <c r="D79" i="34"/>
  <c r="D10" i="34"/>
  <c r="EA10" i="1" l="1"/>
  <c r="EA78" i="1"/>
  <c r="EA92" i="1"/>
  <c r="EA119" i="1"/>
  <c r="EA147" i="1"/>
  <c r="EA171" i="1"/>
  <c r="EA184" i="1"/>
  <c r="EA192" i="1"/>
  <c r="EA200" i="1"/>
  <c r="EA215" i="1"/>
  <c r="EA33" i="1"/>
  <c r="EA41" i="1"/>
  <c r="EA254" i="1"/>
  <c r="EA58" i="1"/>
  <c r="EA81" i="1"/>
  <c r="EA101" i="1"/>
  <c r="EA107" i="1"/>
  <c r="EA131" i="1"/>
  <c r="EA139" i="1"/>
  <c r="EA144" i="1"/>
  <c r="EA44" i="1"/>
  <c r="EA159" i="1"/>
  <c r="EA167" i="1"/>
  <c r="EA182" i="1"/>
  <c r="EA196" i="1"/>
  <c r="EA227" i="1"/>
  <c r="EA248" i="1"/>
  <c r="EA294" i="1"/>
  <c r="EA21" i="1"/>
  <c r="EA152" i="1"/>
  <c r="EA31" i="1"/>
  <c r="EA278" i="1"/>
  <c r="EA320" i="1"/>
  <c r="EA328" i="1"/>
  <c r="EA336" i="1"/>
  <c r="EA344" i="1"/>
  <c r="EA45" i="1"/>
  <c r="EA53" i="1"/>
  <c r="EA59" i="1"/>
  <c r="EA75" i="1"/>
  <c r="EA94" i="1"/>
  <c r="EA102" i="1"/>
  <c r="EA108" i="1"/>
  <c r="EA140" i="1"/>
  <c r="EA168" i="1"/>
  <c r="EA189" i="1"/>
  <c r="EA197" i="1"/>
  <c r="EA205" i="1"/>
  <c r="EA220" i="1"/>
  <c r="EA228" i="1"/>
  <c r="EA241" i="1"/>
  <c r="EA249" i="1"/>
  <c r="EA38" i="1"/>
  <c r="EA287" i="1"/>
  <c r="EA239" i="1"/>
  <c r="EA25" i="1"/>
  <c r="EA263" i="1"/>
  <c r="EA321" i="1"/>
  <c r="EA337" i="1"/>
  <c r="EA46" i="1"/>
  <c r="EA76" i="1"/>
  <c r="EA95" i="1"/>
  <c r="EA109" i="1"/>
  <c r="EA133" i="1"/>
  <c r="EA141" i="1"/>
  <c r="EA153" i="1"/>
  <c r="EA161" i="1"/>
  <c r="EA176" i="1"/>
  <c r="EA198" i="1"/>
  <c r="EA206" i="1"/>
  <c r="EA214" i="1"/>
  <c r="EA221" i="1"/>
  <c r="EA229" i="1"/>
  <c r="EA242" i="1"/>
  <c r="EA250" i="1"/>
  <c r="EA251" i="1"/>
  <c r="EA280" i="1"/>
  <c r="EA322" i="1"/>
  <c r="EA330" i="1"/>
  <c r="EA338" i="1"/>
  <c r="EA9" i="1"/>
  <c r="EA47" i="1"/>
  <c r="EA54" i="1"/>
  <c r="EA69" i="1"/>
  <c r="EA77" i="1"/>
  <c r="EA84" i="1"/>
  <c r="EA96" i="1"/>
  <c r="EA103" i="1"/>
  <c r="EA110" i="1"/>
  <c r="EA118" i="1"/>
  <c r="EA142" i="1"/>
  <c r="EA146" i="1"/>
  <c r="EA154" i="1"/>
  <c r="EA170" i="1"/>
  <c r="EA177" i="1"/>
  <c r="EA183" i="1"/>
  <c r="EA191" i="1"/>
  <c r="EA199" i="1"/>
  <c r="EA222" i="1"/>
  <c r="EA230" i="1"/>
  <c r="EA40" i="1"/>
  <c r="EA289" i="1"/>
  <c r="EA252" i="1"/>
  <c r="EA24" i="1"/>
  <c r="EA27" i="1"/>
  <c r="EA281" i="1"/>
  <c r="EA308" i="1"/>
  <c r="EA315" i="1"/>
  <c r="EA323" i="1"/>
  <c r="EA331" i="1"/>
  <c r="EA339" i="1"/>
  <c r="EA55" i="1"/>
  <c r="EA70" i="1"/>
  <c r="EA85" i="1"/>
  <c r="EA97" i="1"/>
  <c r="EA104" i="1"/>
  <c r="EA178" i="1"/>
  <c r="EA223" i="1"/>
  <c r="EA290" i="1"/>
  <c r="EA28" i="1"/>
  <c r="EA274" i="1"/>
  <c r="EA282" i="1"/>
  <c r="EA309" i="1"/>
  <c r="EA316" i="1"/>
  <c r="EA11" i="1"/>
  <c r="EA71" i="1"/>
  <c r="EA79" i="1"/>
  <c r="EA86" i="1"/>
  <c r="EA112" i="1"/>
  <c r="EA128" i="1"/>
  <c r="EA136" i="1"/>
  <c r="EA14" i="1"/>
  <c r="EA148" i="1"/>
  <c r="EA156" i="1"/>
  <c r="EA179" i="1"/>
  <c r="EA185" i="1"/>
  <c r="EA193" i="1"/>
  <c r="EA201" i="1"/>
  <c r="EA224" i="1"/>
  <c r="EA232" i="1"/>
  <c r="EA34" i="1"/>
  <c r="EA42" i="1"/>
  <c r="EA235" i="1"/>
  <c r="EA18" i="1"/>
  <c r="EA29" i="1"/>
  <c r="EA275" i="1"/>
  <c r="EA283" i="1"/>
  <c r="EA310" i="1"/>
  <c r="EA317" i="1"/>
  <c r="EA333" i="1"/>
  <c r="EA341" i="1"/>
  <c r="EA12" i="1"/>
  <c r="EA56" i="1"/>
  <c r="EA72" i="1"/>
  <c r="EA87" i="1"/>
  <c r="EA93" i="1"/>
  <c r="EA99" i="1"/>
  <c r="EA105" i="1"/>
  <c r="EA121" i="1"/>
  <c r="EA137" i="1"/>
  <c r="EA149" i="1"/>
  <c r="EA180" i="1"/>
  <c r="EA186" i="1"/>
  <c r="EA194" i="1"/>
  <c r="EA202" i="1"/>
  <c r="EA210" i="1"/>
  <c r="EA233" i="1"/>
  <c r="EA246" i="1"/>
  <c r="EA35" i="1"/>
  <c r="EA43" i="1"/>
  <c r="EA255" i="1"/>
  <c r="EA30" i="1"/>
  <c r="EA284" i="1"/>
  <c r="EA311" i="1"/>
  <c r="EA326" i="1"/>
  <c r="EA342" i="1"/>
  <c r="EA13" i="1"/>
  <c r="EA57" i="1"/>
  <c r="EA73" i="1"/>
  <c r="EA100" i="1"/>
  <c r="EA106" i="1"/>
  <c r="EA138" i="1"/>
  <c r="EA143" i="1"/>
  <c r="EA150" i="1"/>
  <c r="EA166" i="1"/>
  <c r="EA174" i="1"/>
  <c r="EA181" i="1"/>
  <c r="EA187" i="1"/>
  <c r="EA195" i="1"/>
  <c r="EA203" i="1"/>
  <c r="EA218" i="1"/>
  <c r="EA226" i="1"/>
  <c r="EA234" i="1"/>
  <c r="EA247" i="1"/>
  <c r="EA36" i="1"/>
  <c r="EA237" i="1"/>
  <c r="EA261" i="1"/>
  <c r="EA319" i="1"/>
  <c r="EA327" i="1"/>
  <c r="EA335" i="1"/>
  <c r="EA343" i="1"/>
  <c r="EA351" i="1"/>
  <c r="P236" i="30"/>
  <c r="N240" i="30"/>
  <c r="N232" i="30"/>
  <c r="N262" i="30"/>
  <c r="P262" i="30" s="1"/>
  <c r="P267" i="30"/>
  <c r="P269" i="30"/>
  <c r="G240" i="30"/>
  <c r="M240" i="30"/>
  <c r="P253" i="30"/>
  <c r="P254" i="30"/>
  <c r="P266" i="30"/>
  <c r="P268" i="30"/>
  <c r="D270" i="30"/>
  <c r="J270" i="30"/>
  <c r="P237" i="30"/>
  <c r="P239" i="30"/>
  <c r="N247" i="30"/>
  <c r="P247" i="30" s="1"/>
  <c r="N270" i="30"/>
  <c r="O270" i="30"/>
  <c r="P265" i="30"/>
  <c r="D262" i="30"/>
  <c r="O255" i="30"/>
  <c r="P255" i="30" s="1"/>
  <c r="P252" i="30"/>
  <c r="P251" i="30"/>
  <c r="P250" i="30"/>
  <c r="J240" i="30"/>
  <c r="O240" i="30"/>
  <c r="P232" i="30"/>
  <c r="P238" i="30"/>
  <c r="D240" i="30"/>
  <c r="P235" i="30"/>
  <c r="P240" i="30" l="1"/>
  <c r="P270" i="30"/>
  <c r="B5" i="33" l="1"/>
  <c r="L12" i="30" l="1"/>
  <c r="L112" i="30"/>
  <c r="A54" i="30" l="1"/>
  <c r="A103" i="30" s="1"/>
  <c r="A153" i="30" s="1"/>
  <c r="L196" i="30" l="1"/>
  <c r="K196" i="30"/>
  <c r="I196" i="30"/>
  <c r="H196" i="30"/>
  <c r="F196" i="30"/>
  <c r="E196" i="30"/>
  <c r="C196" i="30"/>
  <c r="B196" i="30"/>
  <c r="M146" i="30"/>
  <c r="J146" i="30"/>
  <c r="G146" i="30"/>
  <c r="D146" i="30"/>
  <c r="M96" i="30"/>
  <c r="J96" i="30"/>
  <c r="G96" i="30"/>
  <c r="D96" i="30"/>
  <c r="M46" i="30"/>
  <c r="J46" i="30"/>
  <c r="G46" i="30"/>
  <c r="D46" i="30"/>
  <c r="M196" i="30" l="1"/>
  <c r="D196" i="30"/>
  <c r="J196" i="30"/>
  <c r="G196" i="30"/>
  <c r="H12" i="31" l="1"/>
  <c r="D10" i="31"/>
  <c r="C10" i="31"/>
  <c r="B10" i="31"/>
  <c r="H11" i="31"/>
  <c r="H13" i="31"/>
  <c r="E14" i="31"/>
  <c r="E15" i="31" s="1"/>
  <c r="F14" i="31"/>
  <c r="F15" i="31" s="1"/>
  <c r="G14" i="31"/>
  <c r="G15" i="31" s="1"/>
  <c r="D9" i="31"/>
  <c r="C9" i="31"/>
  <c r="B9" i="31"/>
  <c r="P54" i="30"/>
  <c r="P103" i="30" s="1"/>
  <c r="P153" i="30" s="1"/>
  <c r="O200" i="30"/>
  <c r="O199" i="30"/>
  <c r="N198" i="30"/>
  <c r="N199" i="30"/>
  <c r="K192" i="30"/>
  <c r="N192" i="30" s="1"/>
  <c r="K191" i="30"/>
  <c r="K189" i="30"/>
  <c r="N189" i="30" s="1"/>
  <c r="K188" i="30"/>
  <c r="N188" i="30" s="1"/>
  <c r="L186" i="30"/>
  <c r="K186" i="30"/>
  <c r="H186" i="30"/>
  <c r="E186" i="30"/>
  <c r="B186" i="30"/>
  <c r="K184" i="30"/>
  <c r="H184" i="30"/>
  <c r="E184" i="30"/>
  <c r="B184" i="30"/>
  <c r="B177" i="30"/>
  <c r="C177" i="30"/>
  <c r="E177" i="30"/>
  <c r="F177" i="30"/>
  <c r="H177" i="30"/>
  <c r="I177" i="30"/>
  <c r="K177" i="30"/>
  <c r="L177" i="30"/>
  <c r="B178" i="30"/>
  <c r="C178" i="30"/>
  <c r="E178" i="30"/>
  <c r="F178" i="30"/>
  <c r="H178" i="30"/>
  <c r="I178" i="30"/>
  <c r="K178" i="30"/>
  <c r="L178" i="30"/>
  <c r="B179" i="30"/>
  <c r="C179" i="30"/>
  <c r="E179" i="30"/>
  <c r="F179" i="30"/>
  <c r="H179" i="30"/>
  <c r="I179" i="30"/>
  <c r="K179" i="30"/>
  <c r="L179" i="30"/>
  <c r="B180" i="30"/>
  <c r="C180" i="30"/>
  <c r="E180" i="30"/>
  <c r="F180" i="30"/>
  <c r="H180" i="30"/>
  <c r="I180" i="30"/>
  <c r="K180" i="30"/>
  <c r="L180" i="30"/>
  <c r="L176" i="30"/>
  <c r="K176" i="30"/>
  <c r="I176" i="30"/>
  <c r="H176" i="30"/>
  <c r="F176" i="30"/>
  <c r="E176" i="30"/>
  <c r="C176" i="30"/>
  <c r="B176" i="30"/>
  <c r="L173" i="30"/>
  <c r="I173" i="30"/>
  <c r="H173" i="30"/>
  <c r="F173" i="30"/>
  <c r="C173" i="30"/>
  <c r="K171" i="30"/>
  <c r="N171" i="30" s="1"/>
  <c r="K169" i="30"/>
  <c r="K168" i="30"/>
  <c r="N168" i="30" s="1"/>
  <c r="K166" i="30"/>
  <c r="N166" i="30" s="1"/>
  <c r="K162" i="30"/>
  <c r="K161" i="30"/>
  <c r="K160" i="30"/>
  <c r="K159" i="30"/>
  <c r="H162" i="30"/>
  <c r="I161" i="30"/>
  <c r="H161" i="30"/>
  <c r="J161" i="30" s="1"/>
  <c r="I160" i="30"/>
  <c r="H160" i="30"/>
  <c r="H159" i="30"/>
  <c r="E162" i="30"/>
  <c r="F161" i="30"/>
  <c r="E161" i="30"/>
  <c r="F160" i="30"/>
  <c r="E160" i="30"/>
  <c r="E159" i="30"/>
  <c r="C160" i="30"/>
  <c r="C161" i="30"/>
  <c r="B160" i="30"/>
  <c r="B161" i="30"/>
  <c r="B162" i="30"/>
  <c r="B159" i="30"/>
  <c r="N191" i="30"/>
  <c r="N169" i="30"/>
  <c r="O1" i="30"/>
  <c r="O54" i="30" s="1"/>
  <c r="O103" i="30" s="1"/>
  <c r="O153" i="30" s="1"/>
  <c r="O196" i="30"/>
  <c r="B211" i="30" s="1"/>
  <c r="K123" i="30"/>
  <c r="M123" i="30" s="1"/>
  <c r="N96" i="30"/>
  <c r="K73" i="30"/>
  <c r="N46" i="30"/>
  <c r="K23" i="30"/>
  <c r="N47" i="30"/>
  <c r="N197" i="30" s="1"/>
  <c r="E123" i="30"/>
  <c r="G123" i="30" s="1"/>
  <c r="B123" i="30"/>
  <c r="D123" i="30" s="1"/>
  <c r="P149" i="30"/>
  <c r="P146" i="30"/>
  <c r="N142" i="30"/>
  <c r="N141" i="30"/>
  <c r="N139" i="30"/>
  <c r="N138" i="30"/>
  <c r="N136" i="30"/>
  <c r="M136" i="30"/>
  <c r="N134" i="30"/>
  <c r="L131" i="30"/>
  <c r="K131" i="30"/>
  <c r="I131" i="30"/>
  <c r="H131" i="30"/>
  <c r="D8" i="31" s="1"/>
  <c r="F131" i="30"/>
  <c r="E131" i="30"/>
  <c r="C131" i="30"/>
  <c r="B131" i="30"/>
  <c r="O130" i="30"/>
  <c r="N130" i="30"/>
  <c r="M130" i="30"/>
  <c r="J130" i="30"/>
  <c r="G130" i="30"/>
  <c r="D130" i="30"/>
  <c r="O129" i="30"/>
  <c r="N129" i="30"/>
  <c r="M129" i="30"/>
  <c r="J129" i="30"/>
  <c r="G129" i="30"/>
  <c r="D129" i="30"/>
  <c r="O128" i="30"/>
  <c r="N128" i="30"/>
  <c r="M128" i="30"/>
  <c r="J128" i="30"/>
  <c r="G128" i="30"/>
  <c r="D128" i="30"/>
  <c r="O127" i="30"/>
  <c r="N127" i="30"/>
  <c r="M127" i="30"/>
  <c r="J127" i="30"/>
  <c r="G127" i="30"/>
  <c r="D127" i="30"/>
  <c r="O126" i="30"/>
  <c r="N126" i="30"/>
  <c r="M126" i="30"/>
  <c r="J126" i="30"/>
  <c r="G126" i="30"/>
  <c r="D126" i="30"/>
  <c r="O123" i="30"/>
  <c r="J123" i="30"/>
  <c r="N121" i="30"/>
  <c r="N119" i="30"/>
  <c r="N118" i="30"/>
  <c r="N116" i="30"/>
  <c r="K114" i="30"/>
  <c r="H114" i="30"/>
  <c r="E114" i="30"/>
  <c r="B114" i="30"/>
  <c r="N112" i="30"/>
  <c r="M112" i="30"/>
  <c r="N111" i="30"/>
  <c r="J111" i="30"/>
  <c r="G111" i="30"/>
  <c r="D111" i="30"/>
  <c r="N110" i="30"/>
  <c r="J110" i="30"/>
  <c r="G110" i="30"/>
  <c r="D110" i="30"/>
  <c r="N109" i="30"/>
  <c r="L109" i="30"/>
  <c r="G161" i="30" l="1"/>
  <c r="J160" i="30"/>
  <c r="K164" i="30"/>
  <c r="G176" i="30"/>
  <c r="B181" i="30"/>
  <c r="N176" i="30"/>
  <c r="G160" i="30"/>
  <c r="H164" i="30"/>
  <c r="N161" i="30"/>
  <c r="E164" i="30"/>
  <c r="L181" i="30"/>
  <c r="C181" i="30"/>
  <c r="D181" i="30" s="1"/>
  <c r="K173" i="30"/>
  <c r="M173" i="30" s="1"/>
  <c r="H181" i="30"/>
  <c r="M180" i="30"/>
  <c r="O180" i="30"/>
  <c r="M179" i="30"/>
  <c r="M178" i="30"/>
  <c r="O178" i="30"/>
  <c r="N186" i="30"/>
  <c r="N184" i="30"/>
  <c r="P199" i="30"/>
  <c r="O176" i="30"/>
  <c r="H144" i="30"/>
  <c r="H151" i="30" s="1"/>
  <c r="N196" i="30"/>
  <c r="F181" i="30"/>
  <c r="D180" i="30"/>
  <c r="J179" i="30"/>
  <c r="D179" i="30"/>
  <c r="D178" i="30"/>
  <c r="D177" i="30"/>
  <c r="M176" i="30"/>
  <c r="M177" i="30"/>
  <c r="J177" i="30"/>
  <c r="G179" i="30"/>
  <c r="D7" i="31"/>
  <c r="D14" i="31" s="1"/>
  <c r="D15" i="31" s="1"/>
  <c r="H9" i="31"/>
  <c r="H10" i="31"/>
  <c r="N159" i="30"/>
  <c r="D161" i="30"/>
  <c r="N180" i="30"/>
  <c r="N178" i="30"/>
  <c r="N162" i="30"/>
  <c r="J180" i="30"/>
  <c r="J178" i="30"/>
  <c r="M186" i="30"/>
  <c r="K181" i="30"/>
  <c r="E181" i="30"/>
  <c r="B164" i="30"/>
  <c r="J173" i="30"/>
  <c r="D176" i="30"/>
  <c r="J176" i="30"/>
  <c r="P196" i="30"/>
  <c r="N179" i="30"/>
  <c r="O177" i="30"/>
  <c r="O179" i="30"/>
  <c r="I181" i="30"/>
  <c r="G180" i="30"/>
  <c r="G178" i="30"/>
  <c r="G177" i="30"/>
  <c r="N177" i="30"/>
  <c r="O173" i="30"/>
  <c r="D160" i="30"/>
  <c r="N160" i="30"/>
  <c r="P130" i="30"/>
  <c r="K144" i="30"/>
  <c r="K151" i="30" s="1"/>
  <c r="N123" i="30"/>
  <c r="P123" i="30" s="1"/>
  <c r="P128" i="30"/>
  <c r="M131" i="30"/>
  <c r="G131" i="30"/>
  <c r="P126" i="30"/>
  <c r="J131" i="30"/>
  <c r="E144" i="30"/>
  <c r="E151" i="30" s="1"/>
  <c r="P129" i="30"/>
  <c r="B144" i="30"/>
  <c r="B151" i="30" s="1"/>
  <c r="P127" i="30"/>
  <c r="D131" i="30"/>
  <c r="N114" i="30"/>
  <c r="N131" i="30"/>
  <c r="O131" i="30"/>
  <c r="M109" i="30"/>
  <c r="P176" i="30" l="1"/>
  <c r="J181" i="30"/>
  <c r="H194" i="30"/>
  <c r="H201" i="30" s="1"/>
  <c r="P178" i="30"/>
  <c r="N164" i="30"/>
  <c r="M181" i="30"/>
  <c r="P180" i="30"/>
  <c r="G181" i="30"/>
  <c r="P177" i="30"/>
  <c r="K194" i="30"/>
  <c r="K201" i="30" s="1"/>
  <c r="O181" i="30"/>
  <c r="N144" i="30"/>
  <c r="N151" i="30" s="1"/>
  <c r="N181" i="30"/>
  <c r="P179" i="30"/>
  <c r="P131" i="30"/>
  <c r="P181" i="30" l="1"/>
  <c r="E73" i="30" l="1"/>
  <c r="G73" i="30" s="1"/>
  <c r="B73" i="30"/>
  <c r="P99" i="30"/>
  <c r="P96" i="30"/>
  <c r="N92" i="30"/>
  <c r="N91" i="30"/>
  <c r="N89" i="30"/>
  <c r="N88" i="30"/>
  <c r="N86" i="30"/>
  <c r="M86" i="30"/>
  <c r="N84" i="30"/>
  <c r="L81" i="30"/>
  <c r="K81" i="30"/>
  <c r="I81" i="30"/>
  <c r="H81" i="30"/>
  <c r="C8" i="31" s="1"/>
  <c r="F81" i="30"/>
  <c r="E81" i="30"/>
  <c r="C81" i="30"/>
  <c r="B81" i="30"/>
  <c r="O80" i="30"/>
  <c r="N80" i="30"/>
  <c r="M80" i="30"/>
  <c r="J80" i="30"/>
  <c r="G80" i="30"/>
  <c r="D80" i="30"/>
  <c r="O79" i="30"/>
  <c r="N79" i="30"/>
  <c r="M79" i="30"/>
  <c r="J79" i="30"/>
  <c r="G79" i="30"/>
  <c r="D79" i="30"/>
  <c r="O78" i="30"/>
  <c r="N78" i="30"/>
  <c r="M78" i="30"/>
  <c r="J78" i="30"/>
  <c r="G78" i="30"/>
  <c r="D78" i="30"/>
  <c r="O77" i="30"/>
  <c r="N77" i="30"/>
  <c r="M77" i="30"/>
  <c r="J77" i="30"/>
  <c r="G77" i="30"/>
  <c r="D77" i="30"/>
  <c r="O76" i="30"/>
  <c r="N76" i="30"/>
  <c r="M76" i="30"/>
  <c r="J76" i="30"/>
  <c r="G76" i="30"/>
  <c r="D76" i="30"/>
  <c r="O73" i="30"/>
  <c r="M73" i="30"/>
  <c r="J73" i="30"/>
  <c r="N71" i="30"/>
  <c r="N69" i="30"/>
  <c r="N68" i="30"/>
  <c r="N66" i="30"/>
  <c r="K64" i="30"/>
  <c r="H64" i="30"/>
  <c r="C7" i="31" s="1"/>
  <c r="E64" i="30"/>
  <c r="B64" i="30"/>
  <c r="N62" i="30"/>
  <c r="N61" i="30"/>
  <c r="J61" i="30"/>
  <c r="G61" i="30"/>
  <c r="D61" i="30"/>
  <c r="N60" i="30"/>
  <c r="J60" i="30"/>
  <c r="G60" i="30"/>
  <c r="D60" i="30"/>
  <c r="N59" i="30"/>
  <c r="C14" i="31" l="1"/>
  <c r="C15" i="31" s="1"/>
  <c r="P78" i="30"/>
  <c r="B94" i="30"/>
  <c r="B101" i="30" s="1"/>
  <c r="M81" i="30"/>
  <c r="N73" i="30"/>
  <c r="P73" i="30" s="1"/>
  <c r="J81" i="30"/>
  <c r="G81" i="30"/>
  <c r="P80" i="30"/>
  <c r="E94" i="30"/>
  <c r="E101" i="30" s="1"/>
  <c r="P77" i="30"/>
  <c r="P79" i="30"/>
  <c r="N81" i="30"/>
  <c r="D81" i="30"/>
  <c r="P76" i="30"/>
  <c r="D73" i="30"/>
  <c r="K94" i="30"/>
  <c r="K101" i="30" s="1"/>
  <c r="N64" i="30"/>
  <c r="O81" i="30"/>
  <c r="H94" i="30"/>
  <c r="H101" i="30" s="1"/>
  <c r="N94" i="30" l="1"/>
  <c r="N101" i="30" s="1"/>
  <c r="P81" i="30"/>
  <c r="P49" i="30" l="1"/>
  <c r="P46" i="30" l="1"/>
  <c r="N16" i="30" l="1"/>
  <c r="E23" i="30"/>
  <c r="E173" i="30" s="1"/>
  <c r="B23" i="30"/>
  <c r="B173" i="30" s="1"/>
  <c r="N42" i="30"/>
  <c r="N41" i="30"/>
  <c r="N39" i="30"/>
  <c r="N38" i="30"/>
  <c r="M36" i="30"/>
  <c r="N36" i="30"/>
  <c r="N34" i="30"/>
  <c r="M30" i="30"/>
  <c r="M29" i="30"/>
  <c r="M28" i="30"/>
  <c r="M27" i="30"/>
  <c r="M26" i="30"/>
  <c r="J30" i="30"/>
  <c r="J29" i="30"/>
  <c r="J28" i="30"/>
  <c r="J27" i="30"/>
  <c r="J26" i="30"/>
  <c r="G30" i="30"/>
  <c r="G29" i="30"/>
  <c r="G28" i="30"/>
  <c r="G27" i="30"/>
  <c r="G26" i="30"/>
  <c r="D30" i="30"/>
  <c r="D29" i="30"/>
  <c r="D28" i="30"/>
  <c r="D27" i="30"/>
  <c r="D26" i="30"/>
  <c r="L31" i="30"/>
  <c r="O30" i="30"/>
  <c r="I31" i="30"/>
  <c r="F31" i="30"/>
  <c r="C31" i="30"/>
  <c r="O29" i="30"/>
  <c r="O27" i="30"/>
  <c r="O28" i="30"/>
  <c r="N173" i="30" l="1"/>
  <c r="D173" i="30"/>
  <c r="B194" i="30"/>
  <c r="B201" i="30" s="1"/>
  <c r="G173" i="30"/>
  <c r="E194" i="30"/>
  <c r="E201" i="30" s="1"/>
  <c r="N194" i="30" l="1"/>
  <c r="N201" i="30" s="1"/>
  <c r="P173" i="30"/>
  <c r="O26" i="30" l="1"/>
  <c r="B31" i="30"/>
  <c r="D31" i="30" s="1"/>
  <c r="E31" i="30"/>
  <c r="G31" i="30" s="1"/>
  <c r="H31" i="30"/>
  <c r="K31" i="30"/>
  <c r="M31" i="30" s="1"/>
  <c r="N30" i="30"/>
  <c r="P30" i="30" s="1"/>
  <c r="N29" i="30"/>
  <c r="P29" i="30" s="1"/>
  <c r="N28" i="30"/>
  <c r="P28" i="30" s="1"/>
  <c r="N27" i="30"/>
  <c r="P27" i="30" s="1"/>
  <c r="N26" i="30"/>
  <c r="M23" i="30"/>
  <c r="J23" i="30"/>
  <c r="G23" i="30"/>
  <c r="D23" i="30"/>
  <c r="O23" i="30"/>
  <c r="N23" i="30"/>
  <c r="J31" i="30" l="1"/>
  <c r="B8" i="31"/>
  <c r="H8" i="31" s="1"/>
  <c r="P23" i="30"/>
  <c r="P26" i="30"/>
  <c r="O31" i="30"/>
  <c r="N31" i="30"/>
  <c r="N21" i="30"/>
  <c r="N19" i="30"/>
  <c r="N18" i="30"/>
  <c r="J10" i="30"/>
  <c r="J11" i="30"/>
  <c r="G10" i="30"/>
  <c r="G11" i="30"/>
  <c r="D10" i="30"/>
  <c r="D11" i="30"/>
  <c r="L11" i="30"/>
  <c r="L10" i="30"/>
  <c r="L61" i="30"/>
  <c r="L60" i="30"/>
  <c r="L62" i="30"/>
  <c r="M62" i="30" s="1"/>
  <c r="L63" i="30"/>
  <c r="L111" i="30"/>
  <c r="L110" i="30"/>
  <c r="L113" i="30"/>
  <c r="O113" i="30" s="1"/>
  <c r="E14" i="30"/>
  <c r="E44" i="30" s="1"/>
  <c r="E51" i="30" s="1"/>
  <c r="H14" i="30"/>
  <c r="K14" i="30"/>
  <c r="K44" i="30" s="1"/>
  <c r="K51" i="30" s="1"/>
  <c r="B14" i="30"/>
  <c r="B44" i="30" s="1"/>
  <c r="B51" i="30" s="1"/>
  <c r="N10" i="30"/>
  <c r="N11" i="30"/>
  <c r="N12" i="30"/>
  <c r="N9" i="30"/>
  <c r="O63" i="30" l="1"/>
  <c r="L163" i="30"/>
  <c r="O163" i="30" s="1"/>
  <c r="P163" i="30" s="1"/>
  <c r="L114" i="30"/>
  <c r="M114" i="30" s="1"/>
  <c r="L59" i="30"/>
  <c r="M59" i="30" s="1"/>
  <c r="M111" i="30"/>
  <c r="O111" i="30"/>
  <c r="P111" i="30" s="1"/>
  <c r="O60" i="30"/>
  <c r="P60" i="30" s="1"/>
  <c r="M60" i="30"/>
  <c r="M110" i="30"/>
  <c r="O110" i="30"/>
  <c r="P110" i="30" s="1"/>
  <c r="O61" i="30"/>
  <c r="P61" i="30" s="1"/>
  <c r="M61" i="30"/>
  <c r="H44" i="30"/>
  <c r="H51" i="30" s="1"/>
  <c r="B7" i="31"/>
  <c r="M10" i="30"/>
  <c r="L160" i="30"/>
  <c r="M11" i="30"/>
  <c r="L161" i="30"/>
  <c r="P31" i="30"/>
  <c r="L9" i="30"/>
  <c r="N14" i="30"/>
  <c r="N44" i="30" s="1"/>
  <c r="O11" i="30"/>
  <c r="P11" i="30" s="1"/>
  <c r="O10" i="30"/>
  <c r="P10" i="30" s="1"/>
  <c r="L42" i="30"/>
  <c r="L92" i="30"/>
  <c r="L142" i="30"/>
  <c r="L41" i="30"/>
  <c r="L91" i="30"/>
  <c r="L141" i="30"/>
  <c r="L119" i="30"/>
  <c r="L39" i="30"/>
  <c r="L89" i="30"/>
  <c r="L139" i="30"/>
  <c r="L21" i="30"/>
  <c r="M21" i="30" s="1"/>
  <c r="L71" i="30"/>
  <c r="L64" i="30" l="1"/>
  <c r="M64" i="30" s="1"/>
  <c r="O39" i="30"/>
  <c r="P39" i="30" s="1"/>
  <c r="L189" i="30"/>
  <c r="M39" i="30"/>
  <c r="O42" i="30"/>
  <c r="P42" i="30" s="1"/>
  <c r="M42" i="30"/>
  <c r="L192" i="30"/>
  <c r="M92" i="30"/>
  <c r="O92" i="30"/>
  <c r="P92" i="30" s="1"/>
  <c r="O21" i="30"/>
  <c r="P21" i="30" s="1"/>
  <c r="L121" i="30"/>
  <c r="O89" i="30"/>
  <c r="P89" i="30" s="1"/>
  <c r="M89" i="30"/>
  <c r="M139" i="30"/>
  <c r="O139" i="30"/>
  <c r="P139" i="30" s="1"/>
  <c r="M119" i="30"/>
  <c r="O119" i="30"/>
  <c r="P119" i="30" s="1"/>
  <c r="M41" i="30"/>
  <c r="L191" i="30"/>
  <c r="O41" i="30"/>
  <c r="P41" i="30" s="1"/>
  <c r="O142" i="30"/>
  <c r="P142" i="30" s="1"/>
  <c r="M142" i="30"/>
  <c r="M141" i="30"/>
  <c r="O141" i="30"/>
  <c r="P141" i="30" s="1"/>
  <c r="O71" i="30"/>
  <c r="P71" i="30" s="1"/>
  <c r="M71" i="30"/>
  <c r="O91" i="30"/>
  <c r="P91" i="30" s="1"/>
  <c r="M91" i="30"/>
  <c r="B14" i="31"/>
  <c r="B15" i="31" s="1"/>
  <c r="H15" i="31" s="1"/>
  <c r="H7" i="31"/>
  <c r="H14" i="31" s="1"/>
  <c r="M161" i="30"/>
  <c r="O161" i="30"/>
  <c r="P161" i="30" s="1"/>
  <c r="M160" i="30"/>
  <c r="O160" i="30"/>
  <c r="P160" i="30" s="1"/>
  <c r="N51" i="30"/>
  <c r="M12" i="30"/>
  <c r="L162" i="30"/>
  <c r="M162" i="30" s="1"/>
  <c r="M9" i="30"/>
  <c r="L159" i="30"/>
  <c r="L14" i="30"/>
  <c r="M14" i="30" s="1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5" i="26"/>
  <c r="AO6" i="26"/>
  <c r="R6" i="26" s="1"/>
  <c r="AO7" i="26"/>
  <c r="R7" i="26" s="1"/>
  <c r="AO8" i="26"/>
  <c r="R8" i="26" s="1"/>
  <c r="AO9" i="26"/>
  <c r="R9" i="26" s="1"/>
  <c r="AO10" i="26"/>
  <c r="R10" i="26" s="1"/>
  <c r="AO11" i="26"/>
  <c r="R11" i="26" s="1"/>
  <c r="AO12" i="26"/>
  <c r="R12" i="26" s="1"/>
  <c r="AO13" i="26"/>
  <c r="R13" i="26" s="1"/>
  <c r="AO14" i="26"/>
  <c r="R14" i="26" s="1"/>
  <c r="AO15" i="26"/>
  <c r="R15" i="26" s="1"/>
  <c r="AO16" i="26"/>
  <c r="R16" i="26" s="1"/>
  <c r="AO17" i="26"/>
  <c r="R17" i="26" s="1"/>
  <c r="AO18" i="26"/>
  <c r="R18" i="26" s="1"/>
  <c r="AO19" i="26"/>
  <c r="R19" i="26" s="1"/>
  <c r="AO20" i="26"/>
  <c r="R20" i="26" s="1"/>
  <c r="AO21" i="26"/>
  <c r="R21" i="26" s="1"/>
  <c r="AO22" i="26"/>
  <c r="R22" i="26" s="1"/>
  <c r="AO23" i="26"/>
  <c r="R23" i="26" s="1"/>
  <c r="AO24" i="26"/>
  <c r="R24" i="26" s="1"/>
  <c r="AO25" i="26"/>
  <c r="R25" i="26" s="1"/>
  <c r="AO26" i="26"/>
  <c r="R26" i="26" s="1"/>
  <c r="AO27" i="26"/>
  <c r="R27" i="26" s="1"/>
  <c r="AO28" i="26"/>
  <c r="R28" i="26" s="1"/>
  <c r="AO29" i="26"/>
  <c r="R29" i="26" s="1"/>
  <c r="AO30" i="26"/>
  <c r="R30" i="26" s="1"/>
  <c r="AO31" i="26"/>
  <c r="R31" i="26" s="1"/>
  <c r="AO32" i="26"/>
  <c r="R32" i="26" s="1"/>
  <c r="AO33" i="26"/>
  <c r="R33" i="26" s="1"/>
  <c r="AO34" i="26"/>
  <c r="R34" i="26" s="1"/>
  <c r="AO35" i="26"/>
  <c r="R35" i="26" s="1"/>
  <c r="AO36" i="26"/>
  <c r="R36" i="26" s="1"/>
  <c r="AO37" i="26"/>
  <c r="R37" i="26" s="1"/>
  <c r="AO38" i="26"/>
  <c r="R38" i="26" s="1"/>
  <c r="AO39" i="26"/>
  <c r="R39" i="26" s="1"/>
  <c r="AO40" i="26"/>
  <c r="R40" i="26" s="1"/>
  <c r="AO41" i="26"/>
  <c r="R41" i="26" s="1"/>
  <c r="AO42" i="26"/>
  <c r="R42" i="26" s="1"/>
  <c r="AO43" i="26"/>
  <c r="R43" i="26" s="1"/>
  <c r="AO44" i="26"/>
  <c r="R44" i="26" s="1"/>
  <c r="AO45" i="26"/>
  <c r="R45" i="26" s="1"/>
  <c r="AO46" i="26"/>
  <c r="R46" i="26" s="1"/>
  <c r="AO47" i="26"/>
  <c r="R47" i="26" s="1"/>
  <c r="AO48" i="26"/>
  <c r="R48" i="26" s="1"/>
  <c r="AO49" i="26"/>
  <c r="R49" i="26" s="1"/>
  <c r="AO50" i="26"/>
  <c r="R50" i="26" s="1"/>
  <c r="AO51" i="26"/>
  <c r="R51" i="26" s="1"/>
  <c r="AO52" i="26"/>
  <c r="R52" i="26" s="1"/>
  <c r="AO53" i="26"/>
  <c r="R53" i="26" s="1"/>
  <c r="AO54" i="26"/>
  <c r="R54" i="26" s="1"/>
  <c r="AO55" i="26"/>
  <c r="R55" i="26" s="1"/>
  <c r="AO56" i="26"/>
  <c r="R56" i="26" s="1"/>
  <c r="AO57" i="26"/>
  <c r="R57" i="26" s="1"/>
  <c r="AO58" i="26"/>
  <c r="R58" i="26" s="1"/>
  <c r="AO59" i="26"/>
  <c r="R59" i="26" s="1"/>
  <c r="AO60" i="26"/>
  <c r="R60" i="26" s="1"/>
  <c r="AO61" i="26"/>
  <c r="R61" i="26" s="1"/>
  <c r="AO62" i="26"/>
  <c r="R62" i="26" s="1"/>
  <c r="AO63" i="26"/>
  <c r="R63" i="26" s="1"/>
  <c r="AO64" i="26"/>
  <c r="R64" i="26" s="1"/>
  <c r="AO65" i="26"/>
  <c r="R65" i="26" s="1"/>
  <c r="AO66" i="26"/>
  <c r="R66" i="26" s="1"/>
  <c r="AO67" i="26"/>
  <c r="R67" i="26" s="1"/>
  <c r="AO68" i="26"/>
  <c r="R68" i="26" s="1"/>
  <c r="AO69" i="26"/>
  <c r="R69" i="26" s="1"/>
  <c r="AO70" i="26"/>
  <c r="R70" i="26" s="1"/>
  <c r="AO71" i="26"/>
  <c r="R71" i="26" s="1"/>
  <c r="AO72" i="26"/>
  <c r="R72" i="26" s="1"/>
  <c r="AO73" i="26"/>
  <c r="R73" i="26" s="1"/>
  <c r="AO74" i="26"/>
  <c r="R74" i="26" s="1"/>
  <c r="AO75" i="26"/>
  <c r="R75" i="26" s="1"/>
  <c r="AO76" i="26"/>
  <c r="R76" i="26" s="1"/>
  <c r="AO77" i="26"/>
  <c r="R77" i="26" s="1"/>
  <c r="AO78" i="26"/>
  <c r="R78" i="26" s="1"/>
  <c r="AO79" i="26"/>
  <c r="R79" i="26" s="1"/>
  <c r="AO80" i="26"/>
  <c r="R80" i="26" s="1"/>
  <c r="AO81" i="26"/>
  <c r="R81" i="26" s="1"/>
  <c r="AO82" i="26"/>
  <c r="R82" i="26" s="1"/>
  <c r="AO83" i="26"/>
  <c r="R83" i="26" s="1"/>
  <c r="AO84" i="26"/>
  <c r="R84" i="26" s="1"/>
  <c r="AO85" i="26"/>
  <c r="R85" i="26" s="1"/>
  <c r="AO86" i="26"/>
  <c r="R86" i="26" s="1"/>
  <c r="AO87" i="26"/>
  <c r="R87" i="26" s="1"/>
  <c r="AO88" i="26"/>
  <c r="R88" i="26" s="1"/>
  <c r="AO89" i="26"/>
  <c r="R89" i="26" s="1"/>
  <c r="AO90" i="26"/>
  <c r="R90" i="26" s="1"/>
  <c r="AO91" i="26"/>
  <c r="R91" i="26" s="1"/>
  <c r="AO92" i="26"/>
  <c r="R92" i="26" s="1"/>
  <c r="AO93" i="26"/>
  <c r="R93" i="26" s="1"/>
  <c r="AO94" i="26"/>
  <c r="R94" i="26" s="1"/>
  <c r="AO95" i="26"/>
  <c r="R95" i="26" s="1"/>
  <c r="AO96" i="26"/>
  <c r="R96" i="26" s="1"/>
  <c r="AO97" i="26"/>
  <c r="R97" i="26" s="1"/>
  <c r="AO98" i="26"/>
  <c r="R98" i="26" s="1"/>
  <c r="AO99" i="26"/>
  <c r="R99" i="26" s="1"/>
  <c r="AO100" i="26"/>
  <c r="R100" i="26" s="1"/>
  <c r="AO101" i="26"/>
  <c r="R101" i="26" s="1"/>
  <c r="AO102" i="26"/>
  <c r="R102" i="26" s="1"/>
  <c r="AO103" i="26"/>
  <c r="R103" i="26" s="1"/>
  <c r="AO104" i="26"/>
  <c r="R104" i="26" s="1"/>
  <c r="AO105" i="26"/>
  <c r="R105" i="26" s="1"/>
  <c r="AO106" i="26"/>
  <c r="R106" i="26" s="1"/>
  <c r="AO107" i="26"/>
  <c r="R107" i="26" s="1"/>
  <c r="AO108" i="26"/>
  <c r="R108" i="26" s="1"/>
  <c r="AO109" i="26"/>
  <c r="R109" i="26" s="1"/>
  <c r="AO110" i="26"/>
  <c r="R110" i="26" s="1"/>
  <c r="AO111" i="26"/>
  <c r="R111" i="26" s="1"/>
  <c r="AO112" i="26"/>
  <c r="R112" i="26" s="1"/>
  <c r="AO113" i="26"/>
  <c r="R113" i="26" s="1"/>
  <c r="AO114" i="26"/>
  <c r="R114" i="26" s="1"/>
  <c r="AO115" i="26"/>
  <c r="R115" i="26" s="1"/>
  <c r="AO116" i="26"/>
  <c r="R116" i="26" s="1"/>
  <c r="AO117" i="26"/>
  <c r="R117" i="26" s="1"/>
  <c r="AO118" i="26"/>
  <c r="R118" i="26" s="1"/>
  <c r="AO119" i="26"/>
  <c r="R119" i="26" s="1"/>
  <c r="AO120" i="26"/>
  <c r="R120" i="26" s="1"/>
  <c r="AO121" i="26"/>
  <c r="R121" i="26" s="1"/>
  <c r="AO122" i="26"/>
  <c r="R122" i="26" s="1"/>
  <c r="AO123" i="26"/>
  <c r="R123" i="26" s="1"/>
  <c r="AO124" i="26"/>
  <c r="R124" i="26" s="1"/>
  <c r="AO125" i="26"/>
  <c r="R125" i="26" s="1"/>
  <c r="AO126" i="26"/>
  <c r="R126" i="26" s="1"/>
  <c r="AO127" i="26"/>
  <c r="R127" i="26" s="1"/>
  <c r="AO128" i="26"/>
  <c r="R128" i="26" s="1"/>
  <c r="AO129" i="26"/>
  <c r="R129" i="26" s="1"/>
  <c r="AO130" i="26"/>
  <c r="R130" i="26" s="1"/>
  <c r="AO131" i="26"/>
  <c r="R131" i="26" s="1"/>
  <c r="AO132" i="26"/>
  <c r="R132" i="26" s="1"/>
  <c r="AO133" i="26"/>
  <c r="R133" i="26" s="1"/>
  <c r="AO134" i="26"/>
  <c r="R134" i="26" s="1"/>
  <c r="AO135" i="26"/>
  <c r="R135" i="26" s="1"/>
  <c r="AO136" i="26"/>
  <c r="R136" i="26" s="1"/>
  <c r="AO137" i="26"/>
  <c r="R137" i="26" s="1"/>
  <c r="AO138" i="26"/>
  <c r="R138" i="26" s="1"/>
  <c r="AO139" i="26"/>
  <c r="R139" i="26" s="1"/>
  <c r="AO140" i="26"/>
  <c r="R140" i="26" s="1"/>
  <c r="AO141" i="26"/>
  <c r="R141" i="26" s="1"/>
  <c r="AO142" i="26"/>
  <c r="R142" i="26" s="1"/>
  <c r="AO143" i="26"/>
  <c r="R143" i="26" s="1"/>
  <c r="AO144" i="26"/>
  <c r="R144" i="26" s="1"/>
  <c r="AO145" i="26"/>
  <c r="R145" i="26" s="1"/>
  <c r="AO146" i="26"/>
  <c r="R146" i="26" s="1"/>
  <c r="AO147" i="26"/>
  <c r="R147" i="26" s="1"/>
  <c r="AO148" i="26"/>
  <c r="R148" i="26" s="1"/>
  <c r="AO149" i="26"/>
  <c r="R149" i="26" s="1"/>
  <c r="AO150" i="26"/>
  <c r="R150" i="26" s="1"/>
  <c r="AO151" i="26"/>
  <c r="R151" i="26" s="1"/>
  <c r="AO152" i="26"/>
  <c r="R152" i="26" s="1"/>
  <c r="AO153" i="26"/>
  <c r="R153" i="26" s="1"/>
  <c r="AO154" i="26"/>
  <c r="R154" i="26" s="1"/>
  <c r="AO155" i="26"/>
  <c r="R155" i="26" s="1"/>
  <c r="AO156" i="26"/>
  <c r="R156" i="26" s="1"/>
  <c r="AO157" i="26"/>
  <c r="R157" i="26" s="1"/>
  <c r="AO158" i="26"/>
  <c r="R158" i="26" s="1"/>
  <c r="AO159" i="26"/>
  <c r="R159" i="26" s="1"/>
  <c r="AO160" i="26"/>
  <c r="R160" i="26" s="1"/>
  <c r="AO161" i="26"/>
  <c r="R161" i="26" s="1"/>
  <c r="AO162" i="26"/>
  <c r="R162" i="26" s="1"/>
  <c r="AO163" i="26"/>
  <c r="R163" i="26" s="1"/>
  <c r="AO164" i="26"/>
  <c r="R164" i="26" s="1"/>
  <c r="AO165" i="26"/>
  <c r="R165" i="26" s="1"/>
  <c r="AO166" i="26"/>
  <c r="R166" i="26" s="1"/>
  <c r="AO167" i="26"/>
  <c r="R167" i="26" s="1"/>
  <c r="AO168" i="26"/>
  <c r="R168" i="26" s="1"/>
  <c r="AO169" i="26"/>
  <c r="R169" i="26" s="1"/>
  <c r="AO170" i="26"/>
  <c r="R170" i="26" s="1"/>
  <c r="AO171" i="26"/>
  <c r="R171" i="26" s="1"/>
  <c r="AO172" i="26"/>
  <c r="R172" i="26" s="1"/>
  <c r="AO173" i="26"/>
  <c r="R173" i="26" s="1"/>
  <c r="AO174" i="26"/>
  <c r="R174" i="26" s="1"/>
  <c r="AO175" i="26"/>
  <c r="R175" i="26" s="1"/>
  <c r="AO176" i="26"/>
  <c r="R176" i="26" s="1"/>
  <c r="AO177" i="26"/>
  <c r="R177" i="26" s="1"/>
  <c r="AO178" i="26"/>
  <c r="R178" i="26" s="1"/>
  <c r="AO179" i="26"/>
  <c r="R179" i="26" s="1"/>
  <c r="AO180" i="26"/>
  <c r="R180" i="26" s="1"/>
  <c r="AO181" i="26"/>
  <c r="R181" i="26" s="1"/>
  <c r="AO182" i="26"/>
  <c r="R182" i="26" s="1"/>
  <c r="AO183" i="26"/>
  <c r="R183" i="26" s="1"/>
  <c r="AO184" i="26"/>
  <c r="R184" i="26" s="1"/>
  <c r="AO185" i="26"/>
  <c r="R185" i="26" s="1"/>
  <c r="AO186" i="26"/>
  <c r="R186" i="26" s="1"/>
  <c r="AO187" i="26"/>
  <c r="R187" i="26" s="1"/>
  <c r="AO188" i="26"/>
  <c r="R188" i="26" s="1"/>
  <c r="AO189" i="26"/>
  <c r="R189" i="26" s="1"/>
  <c r="AO190" i="26"/>
  <c r="R190" i="26" s="1"/>
  <c r="AO191" i="26"/>
  <c r="R191" i="26" s="1"/>
  <c r="AO192" i="26"/>
  <c r="R192" i="26" s="1"/>
  <c r="AO193" i="26"/>
  <c r="R193" i="26" s="1"/>
  <c r="AO194" i="26"/>
  <c r="R194" i="26" s="1"/>
  <c r="AO195" i="26"/>
  <c r="R195" i="26" s="1"/>
  <c r="AO196" i="26"/>
  <c r="R196" i="26" s="1"/>
  <c r="AO197" i="26"/>
  <c r="R197" i="26" s="1"/>
  <c r="AO198" i="26"/>
  <c r="R198" i="26" s="1"/>
  <c r="AO199" i="26"/>
  <c r="R199" i="26" s="1"/>
  <c r="AO200" i="26"/>
  <c r="R200" i="26" s="1"/>
  <c r="AO201" i="26"/>
  <c r="R201" i="26" s="1"/>
  <c r="AO202" i="26"/>
  <c r="R202" i="26" s="1"/>
  <c r="AO203" i="26"/>
  <c r="R203" i="26" s="1"/>
  <c r="AO204" i="26"/>
  <c r="R204" i="26" s="1"/>
  <c r="AO205" i="26"/>
  <c r="R205" i="26" s="1"/>
  <c r="AO206" i="26"/>
  <c r="R206" i="26" s="1"/>
  <c r="AO207" i="26"/>
  <c r="R207" i="26" s="1"/>
  <c r="AO208" i="26"/>
  <c r="R208" i="26" s="1"/>
  <c r="AO209" i="26"/>
  <c r="R209" i="26" s="1"/>
  <c r="AO210" i="26"/>
  <c r="R210" i="26" s="1"/>
  <c r="AO211" i="26"/>
  <c r="R211" i="26" s="1"/>
  <c r="AO212" i="26"/>
  <c r="R212" i="26" s="1"/>
  <c r="AO213" i="26"/>
  <c r="R213" i="26" s="1"/>
  <c r="AO214" i="26"/>
  <c r="R214" i="26" s="1"/>
  <c r="AO215" i="26"/>
  <c r="R215" i="26" s="1"/>
  <c r="AO216" i="26"/>
  <c r="R216" i="26" s="1"/>
  <c r="AO217" i="26"/>
  <c r="R217" i="26" s="1"/>
  <c r="AO218" i="26"/>
  <c r="R218" i="26" s="1"/>
  <c r="AO219" i="26"/>
  <c r="R219" i="26" s="1"/>
  <c r="AO220" i="26"/>
  <c r="R220" i="26" s="1"/>
  <c r="AO221" i="26"/>
  <c r="R221" i="26" s="1"/>
  <c r="AO222" i="26"/>
  <c r="R222" i="26" s="1"/>
  <c r="AO223" i="26"/>
  <c r="R223" i="26" s="1"/>
  <c r="AO224" i="26"/>
  <c r="R224" i="26" s="1"/>
  <c r="AO225" i="26"/>
  <c r="R225" i="26" s="1"/>
  <c r="AO226" i="26"/>
  <c r="R226" i="26" s="1"/>
  <c r="AO227" i="26"/>
  <c r="R227" i="26" s="1"/>
  <c r="AO228" i="26"/>
  <c r="R228" i="26" s="1"/>
  <c r="AO229" i="26"/>
  <c r="R229" i="26" s="1"/>
  <c r="AO230" i="26"/>
  <c r="R230" i="26" s="1"/>
  <c r="AO231" i="26"/>
  <c r="R231" i="26" s="1"/>
  <c r="AO232" i="26"/>
  <c r="R232" i="26" s="1"/>
  <c r="AO233" i="26"/>
  <c r="R233" i="26" s="1"/>
  <c r="AO234" i="26"/>
  <c r="R234" i="26" s="1"/>
  <c r="AO235" i="26"/>
  <c r="R235" i="26" s="1"/>
  <c r="AO236" i="26"/>
  <c r="R236" i="26" s="1"/>
  <c r="AO237" i="26"/>
  <c r="R237" i="26" s="1"/>
  <c r="AO238" i="26"/>
  <c r="R238" i="26" s="1"/>
  <c r="AO239" i="26"/>
  <c r="R239" i="26" s="1"/>
  <c r="AO240" i="26"/>
  <c r="R240" i="26" s="1"/>
  <c r="AO241" i="26"/>
  <c r="R241" i="26" s="1"/>
  <c r="AO242" i="26"/>
  <c r="R242" i="26" s="1"/>
  <c r="AO243" i="26"/>
  <c r="R243" i="26" s="1"/>
  <c r="AO244" i="26"/>
  <c r="R244" i="26" s="1"/>
  <c r="AO245" i="26"/>
  <c r="R245" i="26" s="1"/>
  <c r="AO246" i="26"/>
  <c r="R246" i="26" s="1"/>
  <c r="AO247" i="26"/>
  <c r="R247" i="26" s="1"/>
  <c r="AO248" i="26"/>
  <c r="R248" i="26" s="1"/>
  <c r="AO249" i="26"/>
  <c r="R249" i="26" s="1"/>
  <c r="AO250" i="26"/>
  <c r="R250" i="26" s="1"/>
  <c r="AO251" i="26"/>
  <c r="R251" i="26" s="1"/>
  <c r="AO252" i="26"/>
  <c r="R252" i="26" s="1"/>
  <c r="AO253" i="26"/>
  <c r="R253" i="26" s="1"/>
  <c r="AO254" i="26"/>
  <c r="R254" i="26" s="1"/>
  <c r="AO255" i="26"/>
  <c r="R255" i="26" s="1"/>
  <c r="AO256" i="26"/>
  <c r="R256" i="26" s="1"/>
  <c r="AO257" i="26"/>
  <c r="R257" i="26" s="1"/>
  <c r="AO258" i="26"/>
  <c r="R258" i="26" s="1"/>
  <c r="AO259" i="26"/>
  <c r="R259" i="26" s="1"/>
  <c r="AO260" i="26"/>
  <c r="R260" i="26" s="1"/>
  <c r="AO261" i="26"/>
  <c r="R261" i="26" s="1"/>
  <c r="AO262" i="26"/>
  <c r="R262" i="26" s="1"/>
  <c r="AO263" i="26"/>
  <c r="R263" i="26" s="1"/>
  <c r="AO264" i="26"/>
  <c r="R264" i="26" s="1"/>
  <c r="AO265" i="26"/>
  <c r="R265" i="26" s="1"/>
  <c r="AO266" i="26"/>
  <c r="R266" i="26" s="1"/>
  <c r="AO267" i="26"/>
  <c r="R267" i="26" s="1"/>
  <c r="AO268" i="26"/>
  <c r="R268" i="26" s="1"/>
  <c r="AO269" i="26"/>
  <c r="R269" i="26" s="1"/>
  <c r="AO270" i="26"/>
  <c r="R270" i="26" s="1"/>
  <c r="AO271" i="26"/>
  <c r="R271" i="26" s="1"/>
  <c r="AO272" i="26"/>
  <c r="R272" i="26" s="1"/>
  <c r="AO273" i="26"/>
  <c r="R273" i="26" s="1"/>
  <c r="AO274" i="26"/>
  <c r="R274" i="26" s="1"/>
  <c r="AO275" i="26"/>
  <c r="R275" i="26" s="1"/>
  <c r="AO276" i="26"/>
  <c r="R276" i="26" s="1"/>
  <c r="AO277" i="26"/>
  <c r="R277" i="26" s="1"/>
  <c r="AO278" i="26"/>
  <c r="R278" i="26" s="1"/>
  <c r="AO279" i="26"/>
  <c r="R279" i="26" s="1"/>
  <c r="AO280" i="26"/>
  <c r="R280" i="26" s="1"/>
  <c r="AO281" i="26"/>
  <c r="R281" i="26" s="1"/>
  <c r="AO282" i="26"/>
  <c r="R282" i="26" s="1"/>
  <c r="AO283" i="26"/>
  <c r="R283" i="26" s="1"/>
  <c r="AO284" i="26"/>
  <c r="R284" i="26" s="1"/>
  <c r="AO285" i="26"/>
  <c r="R285" i="26" s="1"/>
  <c r="AO286" i="26"/>
  <c r="R286" i="26" s="1"/>
  <c r="AO287" i="26"/>
  <c r="R287" i="26" s="1"/>
  <c r="AO288" i="26"/>
  <c r="R288" i="26" s="1"/>
  <c r="AO289" i="26"/>
  <c r="R289" i="26" s="1"/>
  <c r="AO290" i="26"/>
  <c r="R290" i="26" s="1"/>
  <c r="AO291" i="26"/>
  <c r="R291" i="26" s="1"/>
  <c r="AO292" i="26"/>
  <c r="R292" i="26" s="1"/>
  <c r="AO293" i="26"/>
  <c r="R293" i="26" s="1"/>
  <c r="AO294" i="26"/>
  <c r="R294" i="26" s="1"/>
  <c r="AO295" i="26"/>
  <c r="R295" i="26" s="1"/>
  <c r="AO296" i="26"/>
  <c r="R296" i="26" s="1"/>
  <c r="AO297" i="26"/>
  <c r="R297" i="26" s="1"/>
  <c r="AO298" i="26"/>
  <c r="R298" i="26" s="1"/>
  <c r="AO299" i="26"/>
  <c r="R299" i="26" s="1"/>
  <c r="AO300" i="26"/>
  <c r="R300" i="26" s="1"/>
  <c r="AO301" i="26"/>
  <c r="R301" i="26" s="1"/>
  <c r="AO302" i="26"/>
  <c r="R302" i="26" s="1"/>
  <c r="AO303" i="26"/>
  <c r="R303" i="26" s="1"/>
  <c r="AO304" i="26"/>
  <c r="R304" i="26" s="1"/>
  <c r="AO305" i="26"/>
  <c r="R305" i="26" s="1"/>
  <c r="AO306" i="26"/>
  <c r="R306" i="26" s="1"/>
  <c r="AO307" i="26"/>
  <c r="R307" i="26" s="1"/>
  <c r="AO308" i="26"/>
  <c r="R308" i="26" s="1"/>
  <c r="AO309" i="26"/>
  <c r="R309" i="26" s="1"/>
  <c r="AO310" i="26"/>
  <c r="R310" i="26" s="1"/>
  <c r="AO311" i="26"/>
  <c r="R311" i="26" s="1"/>
  <c r="AO312" i="26"/>
  <c r="R312" i="26" s="1"/>
  <c r="AO313" i="26"/>
  <c r="R313" i="26" s="1"/>
  <c r="AO314" i="26"/>
  <c r="R314" i="26" s="1"/>
  <c r="AO315" i="26"/>
  <c r="R315" i="26" s="1"/>
  <c r="AO316" i="26"/>
  <c r="R316" i="26" s="1"/>
  <c r="AO317" i="26"/>
  <c r="R317" i="26" s="1"/>
  <c r="AO318" i="26"/>
  <c r="R318" i="26" s="1"/>
  <c r="AO319" i="26"/>
  <c r="R319" i="26" s="1"/>
  <c r="AO320" i="26"/>
  <c r="R320" i="26" s="1"/>
  <c r="AO321" i="26"/>
  <c r="R321" i="26" s="1"/>
  <c r="AO322" i="26"/>
  <c r="R322" i="26" s="1"/>
  <c r="AO323" i="26"/>
  <c r="R323" i="26" s="1"/>
  <c r="AO324" i="26"/>
  <c r="R324" i="26" s="1"/>
  <c r="AO325" i="26"/>
  <c r="R325" i="26" s="1"/>
  <c r="AO326" i="26"/>
  <c r="R326" i="26" s="1"/>
  <c r="AO327" i="26"/>
  <c r="R327" i="26" s="1"/>
  <c r="AO328" i="26"/>
  <c r="R328" i="26" s="1"/>
  <c r="AO329" i="26"/>
  <c r="R329" i="26" s="1"/>
  <c r="AO330" i="26"/>
  <c r="R330" i="26" s="1"/>
  <c r="AO331" i="26"/>
  <c r="R331" i="26" s="1"/>
  <c r="AO332" i="26"/>
  <c r="R332" i="26" s="1"/>
  <c r="AO333" i="26"/>
  <c r="R333" i="26" s="1"/>
  <c r="AO334" i="26"/>
  <c r="R334" i="26" s="1"/>
  <c r="AO335" i="26"/>
  <c r="R335" i="26" s="1"/>
  <c r="AO336" i="26"/>
  <c r="R336" i="26" s="1"/>
  <c r="AO337" i="26"/>
  <c r="R337" i="26" s="1"/>
  <c r="AO338" i="26"/>
  <c r="R338" i="26" s="1"/>
  <c r="AO339" i="26"/>
  <c r="R339" i="26" s="1"/>
  <c r="AO340" i="26"/>
  <c r="R340" i="26" s="1"/>
  <c r="AO341" i="26"/>
  <c r="R341" i="26" s="1"/>
  <c r="AO342" i="26"/>
  <c r="R342" i="26" s="1"/>
  <c r="AO343" i="26"/>
  <c r="R343" i="26" s="1"/>
  <c r="AO344" i="26"/>
  <c r="R344" i="26" s="1"/>
  <c r="AO345" i="26"/>
  <c r="R345" i="26" s="1"/>
  <c r="AO346" i="26"/>
  <c r="R346" i="26" s="1"/>
  <c r="AO347" i="26"/>
  <c r="R347" i="26" s="1"/>
  <c r="AO348" i="26"/>
  <c r="R348" i="26" s="1"/>
  <c r="AO349" i="26"/>
  <c r="R349" i="26" s="1"/>
  <c r="AO350" i="26"/>
  <c r="R350" i="26" s="1"/>
  <c r="AO351" i="26"/>
  <c r="R351" i="26" s="1"/>
  <c r="AO352" i="26"/>
  <c r="R352" i="26" s="1"/>
  <c r="AO353" i="26"/>
  <c r="R353" i="26" s="1"/>
  <c r="AO354" i="26"/>
  <c r="R354" i="26" s="1"/>
  <c r="AO355" i="26"/>
  <c r="R355" i="26" s="1"/>
  <c r="AO356" i="26"/>
  <c r="R356" i="26" s="1"/>
  <c r="AO357" i="26"/>
  <c r="R357" i="26" s="1"/>
  <c r="AO358" i="26"/>
  <c r="R358" i="26" s="1"/>
  <c r="AO359" i="26"/>
  <c r="R359" i="26" s="1"/>
  <c r="AO360" i="26"/>
  <c r="R360" i="26" s="1"/>
  <c r="AO361" i="26"/>
  <c r="R361" i="26" s="1"/>
  <c r="AO362" i="26"/>
  <c r="R362" i="26" s="1"/>
  <c r="AO363" i="26"/>
  <c r="R363" i="26" s="1"/>
  <c r="AO364" i="26"/>
  <c r="R364" i="26" s="1"/>
  <c r="AO365" i="26"/>
  <c r="R365" i="26" s="1"/>
  <c r="AO366" i="26"/>
  <c r="R366" i="26" s="1"/>
  <c r="AO367" i="26"/>
  <c r="R367" i="26" s="1"/>
  <c r="AO368" i="26"/>
  <c r="R368" i="26" s="1"/>
  <c r="AO369" i="26"/>
  <c r="R369" i="26" s="1"/>
  <c r="AO370" i="26"/>
  <c r="R370" i="26" s="1"/>
  <c r="AO371" i="26"/>
  <c r="R371" i="26" s="1"/>
  <c r="AO372" i="26"/>
  <c r="R372" i="26" s="1"/>
  <c r="AO373" i="26"/>
  <c r="R373" i="26" s="1"/>
  <c r="AO374" i="26"/>
  <c r="R374" i="26" s="1"/>
  <c r="AO375" i="26"/>
  <c r="R375" i="26" s="1"/>
  <c r="AO376" i="26"/>
  <c r="R376" i="26" s="1"/>
  <c r="AO377" i="26"/>
  <c r="R377" i="26" s="1"/>
  <c r="AO378" i="26"/>
  <c r="R378" i="26" s="1"/>
  <c r="AO379" i="26"/>
  <c r="R379" i="26" s="1"/>
  <c r="AO380" i="26"/>
  <c r="R380" i="26" s="1"/>
  <c r="AO381" i="26"/>
  <c r="R381" i="26" s="1"/>
  <c r="AO382" i="26"/>
  <c r="R382" i="26" s="1"/>
  <c r="AO383" i="26"/>
  <c r="R383" i="26" s="1"/>
  <c r="AO384" i="26"/>
  <c r="R384" i="26" s="1"/>
  <c r="AO385" i="26"/>
  <c r="R385" i="26" s="1"/>
  <c r="AO386" i="26"/>
  <c r="R386" i="26" s="1"/>
  <c r="AO387" i="26"/>
  <c r="R387" i="26" s="1"/>
  <c r="AO388" i="26"/>
  <c r="R388" i="26" s="1"/>
  <c r="AO389" i="26"/>
  <c r="R389" i="26" s="1"/>
  <c r="AO390" i="26"/>
  <c r="R390" i="26" s="1"/>
  <c r="AO391" i="26"/>
  <c r="R391" i="26" s="1"/>
  <c r="AO392" i="26"/>
  <c r="R392" i="26" s="1"/>
  <c r="AO393" i="26"/>
  <c r="R393" i="26" s="1"/>
  <c r="AO394" i="26"/>
  <c r="R394" i="26" s="1"/>
  <c r="AO395" i="26"/>
  <c r="R395" i="26" s="1"/>
  <c r="AO396" i="26"/>
  <c r="R396" i="26" s="1"/>
  <c r="AO397" i="26"/>
  <c r="R397" i="26" s="1"/>
  <c r="AO398" i="26"/>
  <c r="R398" i="26" s="1"/>
  <c r="AO399" i="26"/>
  <c r="R399" i="26" s="1"/>
  <c r="AO5" i="26"/>
  <c r="R5" i="26" s="1"/>
  <c r="AL400" i="26"/>
  <c r="AM400" i="26"/>
  <c r="F15" i="4" l="1"/>
  <c r="H15" i="4" s="1"/>
  <c r="F109" i="4"/>
  <c r="H109" i="4" s="1"/>
  <c r="F14" i="4"/>
  <c r="H14" i="4" s="1"/>
  <c r="F108" i="4"/>
  <c r="H108" i="4" s="1"/>
  <c r="F55" i="4"/>
  <c r="H55" i="4" s="1"/>
  <c r="F110" i="4"/>
  <c r="H110" i="4" s="1"/>
  <c r="AI397" i="26"/>
  <c r="DU254" i="1" s="1"/>
  <c r="DV254" i="1" s="1"/>
  <c r="AI393" i="26"/>
  <c r="DU241" i="1" s="1"/>
  <c r="DV241" i="1" s="1"/>
  <c r="AI389" i="26"/>
  <c r="DU243" i="1" s="1"/>
  <c r="DV243" i="1" s="1"/>
  <c r="AI385" i="26"/>
  <c r="DU249" i="1" s="1"/>
  <c r="DV249" i="1" s="1"/>
  <c r="AI381" i="26"/>
  <c r="DU176" i="1" s="1"/>
  <c r="DV176" i="1" s="1"/>
  <c r="AI377" i="26"/>
  <c r="DU179" i="1" s="1"/>
  <c r="DV179" i="1" s="1"/>
  <c r="AI373" i="26"/>
  <c r="DU175" i="1" s="1"/>
  <c r="DV175" i="1" s="1"/>
  <c r="AI369" i="26"/>
  <c r="DU171" i="1" s="1"/>
  <c r="DV171" i="1" s="1"/>
  <c r="AI365" i="26"/>
  <c r="DU166" i="1" s="1"/>
  <c r="DV166" i="1" s="1"/>
  <c r="AI361" i="26"/>
  <c r="DU161" i="1" s="1"/>
  <c r="DV161" i="1" s="1"/>
  <c r="AI357" i="26"/>
  <c r="DU157" i="1" s="1"/>
  <c r="DV157" i="1" s="1"/>
  <c r="AI353" i="26"/>
  <c r="DU56" i="1" s="1"/>
  <c r="DV56" i="1" s="1"/>
  <c r="AI349" i="26"/>
  <c r="DU54" i="1" s="1"/>
  <c r="DV54" i="1" s="1"/>
  <c r="AI345" i="26"/>
  <c r="DU55" i="1" s="1"/>
  <c r="DV55" i="1" s="1"/>
  <c r="AI341" i="26"/>
  <c r="DU76" i="1" s="1"/>
  <c r="DV76" i="1" s="1"/>
  <c r="AI337" i="26"/>
  <c r="DU71" i="1" s="1"/>
  <c r="DV71" i="1" s="1"/>
  <c r="AI333" i="26"/>
  <c r="DU64" i="1" s="1"/>
  <c r="DV64" i="1" s="1"/>
  <c r="AI329" i="26"/>
  <c r="AI325" i="26"/>
  <c r="DU49" i="1" s="1"/>
  <c r="DV49" i="1" s="1"/>
  <c r="AI321" i="26"/>
  <c r="DU228" i="1" s="1"/>
  <c r="DV228" i="1" s="1"/>
  <c r="AI317" i="26"/>
  <c r="DU226" i="1" s="1"/>
  <c r="DV226" i="1" s="1"/>
  <c r="AI313" i="26"/>
  <c r="DU234" i="1" s="1"/>
  <c r="DV234" i="1" s="1"/>
  <c r="AI309" i="26"/>
  <c r="DU231" i="1" s="1"/>
  <c r="DV231" i="1" s="1"/>
  <c r="AI305" i="26"/>
  <c r="DU220" i="1" s="1"/>
  <c r="DV220" i="1" s="1"/>
  <c r="AI301" i="26"/>
  <c r="AI297" i="26"/>
  <c r="DU210" i="1" s="1"/>
  <c r="DV210" i="1" s="1"/>
  <c r="AI293" i="26"/>
  <c r="DU204" i="1" s="1"/>
  <c r="DV204" i="1" s="1"/>
  <c r="AI289" i="26"/>
  <c r="DU211" i="1" s="1"/>
  <c r="DV211" i="1" s="1"/>
  <c r="AI285" i="26"/>
  <c r="DU343" i="1" s="1"/>
  <c r="DV343" i="1" s="1"/>
  <c r="AI281" i="26"/>
  <c r="DU339" i="1" s="1"/>
  <c r="DV339" i="1" s="1"/>
  <c r="AI277" i="26"/>
  <c r="DU335" i="1" s="1"/>
  <c r="DV335" i="1" s="1"/>
  <c r="AI273" i="26"/>
  <c r="DU331" i="1" s="1"/>
  <c r="DV331" i="1" s="1"/>
  <c r="AI269" i="26"/>
  <c r="DU327" i="1" s="1"/>
  <c r="DV327" i="1" s="1"/>
  <c r="AI265" i="26"/>
  <c r="DU323" i="1" s="1"/>
  <c r="DV323" i="1" s="1"/>
  <c r="AI261" i="26"/>
  <c r="DU318" i="1" s="1"/>
  <c r="DV318" i="1" s="1"/>
  <c r="AI257" i="26"/>
  <c r="DU314" i="1" s="1"/>
  <c r="DV314" i="1" s="1"/>
  <c r="AI253" i="26"/>
  <c r="DU310" i="1" s="1"/>
  <c r="DV310" i="1" s="1"/>
  <c r="AI249" i="26"/>
  <c r="DU350" i="1" s="1"/>
  <c r="DV350" i="1" s="1"/>
  <c r="AI245" i="26"/>
  <c r="DU346" i="1" s="1"/>
  <c r="DV346" i="1" s="1"/>
  <c r="AI241" i="26"/>
  <c r="DU297" i="1" s="1"/>
  <c r="DV297" i="1" s="1"/>
  <c r="AI237" i="26"/>
  <c r="DU305" i="1" s="1"/>
  <c r="DV305" i="1" s="1"/>
  <c r="AI233" i="26"/>
  <c r="DU299" i="1" s="1"/>
  <c r="DV299" i="1" s="1"/>
  <c r="AI229" i="26"/>
  <c r="DU30" i="1" s="1"/>
  <c r="DV30" i="1" s="1"/>
  <c r="AI225" i="26"/>
  <c r="DU28" i="1" s="1"/>
  <c r="DV28" i="1" s="1"/>
  <c r="AI221" i="26"/>
  <c r="AI217" i="26"/>
  <c r="DU260" i="1" s="1"/>
  <c r="DV260" i="1" s="1"/>
  <c r="AI213" i="26"/>
  <c r="DU258" i="1" s="1"/>
  <c r="DV258" i="1" s="1"/>
  <c r="AI209" i="26"/>
  <c r="DU275" i="1" s="1"/>
  <c r="DV275" i="1" s="1"/>
  <c r="AI205" i="26"/>
  <c r="DU270" i="1" s="1"/>
  <c r="DV270" i="1" s="1"/>
  <c r="AI201" i="26"/>
  <c r="DU265" i="1" s="1"/>
  <c r="DV265" i="1" s="1"/>
  <c r="AI197" i="26"/>
  <c r="DU261" i="1" s="1"/>
  <c r="DV261" i="1" s="1"/>
  <c r="AI193" i="26"/>
  <c r="DU154" i="1" s="1"/>
  <c r="DV154" i="1" s="1"/>
  <c r="AI189" i="26"/>
  <c r="DU197" i="1" s="1"/>
  <c r="DV197" i="1" s="1"/>
  <c r="AI185" i="26"/>
  <c r="DU195" i="1" s="1"/>
  <c r="DV195" i="1" s="1"/>
  <c r="AI181" i="26"/>
  <c r="DU235" i="1" s="1"/>
  <c r="DV235" i="1" s="1"/>
  <c r="AI177" i="26"/>
  <c r="DU10" i="1" s="1"/>
  <c r="DV10" i="1" s="1"/>
  <c r="AI173" i="26"/>
  <c r="DU24" i="1" s="1"/>
  <c r="DV24" i="1" s="1"/>
  <c r="AI169" i="26"/>
  <c r="DU22" i="1" s="1"/>
  <c r="DV22" i="1" s="1"/>
  <c r="AI165" i="26"/>
  <c r="DU17" i="1" s="1"/>
  <c r="DV17" i="1" s="1"/>
  <c r="AI161" i="26"/>
  <c r="AI157" i="26"/>
  <c r="DU41" i="1" s="1"/>
  <c r="DV41" i="1" s="1"/>
  <c r="AI153" i="26"/>
  <c r="DU291" i="1" s="1"/>
  <c r="DV291" i="1" s="1"/>
  <c r="AI149" i="26"/>
  <c r="DU290" i="1" s="1"/>
  <c r="DV290" i="1" s="1"/>
  <c r="AI145" i="26"/>
  <c r="DU286" i="1" s="1"/>
  <c r="DV286" i="1" s="1"/>
  <c r="AI141" i="26"/>
  <c r="DU282" i="1" s="1"/>
  <c r="DV282" i="1" s="1"/>
  <c r="AI137" i="26"/>
  <c r="DU12" i="1" s="1"/>
  <c r="DV12" i="1" s="1"/>
  <c r="AI133" i="26"/>
  <c r="DU199" i="1" s="1"/>
  <c r="DV199" i="1" s="1"/>
  <c r="AI129" i="26"/>
  <c r="DU150" i="1" s="1"/>
  <c r="DV150" i="1" s="1"/>
  <c r="AI125" i="26"/>
  <c r="AI121" i="26"/>
  <c r="DU35" i="1" s="1"/>
  <c r="DV35" i="1" s="1"/>
  <c r="AI117" i="26"/>
  <c r="DU106" i="1" s="1"/>
  <c r="DV106" i="1" s="1"/>
  <c r="AI113" i="26"/>
  <c r="DU101" i="1" s="1"/>
  <c r="DV101" i="1" s="1"/>
  <c r="AI109" i="26"/>
  <c r="AI105" i="26"/>
  <c r="DU116" i="1" s="1"/>
  <c r="DV116" i="1" s="1"/>
  <c r="AI101" i="26"/>
  <c r="DU130" i="1" s="1"/>
  <c r="DV130" i="1" s="1"/>
  <c r="AI97" i="26"/>
  <c r="DU136" i="1" s="1"/>
  <c r="DV136" i="1" s="1"/>
  <c r="AI93" i="26"/>
  <c r="DU132" i="1" s="1"/>
  <c r="DV132" i="1" s="1"/>
  <c r="AI89" i="26"/>
  <c r="DU127" i="1" s="1"/>
  <c r="DV127" i="1" s="1"/>
  <c r="AI85" i="26"/>
  <c r="DU123" i="1" s="1"/>
  <c r="DV123" i="1" s="1"/>
  <c r="AI81" i="26"/>
  <c r="DU112" i="1" s="1"/>
  <c r="DV112" i="1" s="1"/>
  <c r="AI77" i="26"/>
  <c r="DU113" i="1" s="1"/>
  <c r="DV113" i="1" s="1"/>
  <c r="AI73" i="26"/>
  <c r="AI69" i="26"/>
  <c r="AI61" i="26"/>
  <c r="DU144" i="1" s="1"/>
  <c r="DV144" i="1" s="1"/>
  <c r="AI57" i="26"/>
  <c r="AI53" i="26"/>
  <c r="AI45" i="26"/>
  <c r="DU182" i="1" s="1"/>
  <c r="DV182" i="1" s="1"/>
  <c r="AI41" i="26"/>
  <c r="DU95" i="1" s="1"/>
  <c r="DV95" i="1" s="1"/>
  <c r="AI33" i="26"/>
  <c r="DU91" i="1" s="1"/>
  <c r="DV91" i="1" s="1"/>
  <c r="AI29" i="26"/>
  <c r="AI25" i="26"/>
  <c r="DU82" i="1" s="1"/>
  <c r="DV82" i="1" s="1"/>
  <c r="AI21" i="26"/>
  <c r="DU189" i="1" s="1"/>
  <c r="DV189" i="1" s="1"/>
  <c r="AI17" i="26"/>
  <c r="DU185" i="1" s="1"/>
  <c r="DV185" i="1" s="1"/>
  <c r="AI13" i="26"/>
  <c r="DU48" i="1" s="1"/>
  <c r="DV48" i="1" s="1"/>
  <c r="AI9" i="26"/>
  <c r="DU147" i="1" s="1"/>
  <c r="DV147" i="1" s="1"/>
  <c r="AI5" i="26"/>
  <c r="AI396" i="26"/>
  <c r="DU192" i="1" s="1"/>
  <c r="DV192" i="1" s="1"/>
  <c r="AI392" i="26"/>
  <c r="DU247" i="1" s="1"/>
  <c r="DV247" i="1" s="1"/>
  <c r="AI388" i="26"/>
  <c r="DU242" i="1" s="1"/>
  <c r="DV242" i="1" s="1"/>
  <c r="AI384" i="26"/>
  <c r="DU248" i="1" s="1"/>
  <c r="DV248" i="1" s="1"/>
  <c r="AI380" i="26"/>
  <c r="DU169" i="1" s="1"/>
  <c r="DV169" i="1" s="1"/>
  <c r="AI376" i="26"/>
  <c r="DU178" i="1" s="1"/>
  <c r="DV178" i="1" s="1"/>
  <c r="AI372" i="26"/>
  <c r="DU174" i="1" s="1"/>
  <c r="DV174" i="1" s="1"/>
  <c r="AI368" i="26"/>
  <c r="DU170" i="1" s="1"/>
  <c r="DV170" i="1" s="1"/>
  <c r="AI364" i="26"/>
  <c r="DU165" i="1" s="1"/>
  <c r="DV165" i="1" s="1"/>
  <c r="AI360" i="26"/>
  <c r="DU160" i="1" s="1"/>
  <c r="DV160" i="1" s="1"/>
  <c r="AI356" i="26"/>
  <c r="DU155" i="1" s="1"/>
  <c r="DV155" i="1" s="1"/>
  <c r="AI352" i="26"/>
  <c r="DU59" i="1" s="1"/>
  <c r="DV59" i="1" s="1"/>
  <c r="AI348" i="26"/>
  <c r="DU74" i="1" s="1"/>
  <c r="DV74" i="1" s="1"/>
  <c r="AI344" i="26"/>
  <c r="AI340" i="26"/>
  <c r="DU75" i="1" s="1"/>
  <c r="DV75" i="1" s="1"/>
  <c r="AI336" i="26"/>
  <c r="DU70" i="1" s="1"/>
  <c r="DV70" i="1" s="1"/>
  <c r="AI332" i="26"/>
  <c r="DU63" i="1" s="1"/>
  <c r="DV63" i="1" s="1"/>
  <c r="AI328" i="26"/>
  <c r="DU60" i="1" s="1"/>
  <c r="DV60" i="1" s="1"/>
  <c r="AI324" i="26"/>
  <c r="DU68" i="1" s="1"/>
  <c r="DV68" i="1" s="1"/>
  <c r="AI320" i="26"/>
  <c r="DU224" i="1" s="1"/>
  <c r="DV224" i="1" s="1"/>
  <c r="AI316" i="26"/>
  <c r="DU222" i="1" s="1"/>
  <c r="DV222" i="1" s="1"/>
  <c r="AI312" i="26"/>
  <c r="DU233" i="1" s="1"/>
  <c r="DV233" i="1" s="1"/>
  <c r="AI308" i="26"/>
  <c r="DU230" i="1" s="1"/>
  <c r="DV230" i="1" s="1"/>
  <c r="AI304" i="26"/>
  <c r="DU218" i="1" s="1"/>
  <c r="DV218" i="1" s="1"/>
  <c r="AI300" i="26"/>
  <c r="DU214" i="1" s="1"/>
  <c r="DV214" i="1" s="1"/>
  <c r="AI296" i="26"/>
  <c r="DU209" i="1" s="1"/>
  <c r="DV209" i="1" s="1"/>
  <c r="AI292" i="26"/>
  <c r="DU225" i="1" s="1"/>
  <c r="DV225" i="1" s="1"/>
  <c r="AI288" i="26"/>
  <c r="DU320" i="1" s="1"/>
  <c r="DV320" i="1" s="1"/>
  <c r="AI284" i="26"/>
  <c r="DU342" i="1" s="1"/>
  <c r="DV342" i="1" s="1"/>
  <c r="AI280" i="26"/>
  <c r="DU338" i="1" s="1"/>
  <c r="DV338" i="1" s="1"/>
  <c r="AI276" i="26"/>
  <c r="DU334" i="1" s="1"/>
  <c r="DV334" i="1" s="1"/>
  <c r="AI272" i="26"/>
  <c r="DU330" i="1" s="1"/>
  <c r="DV330" i="1" s="1"/>
  <c r="AI268" i="26"/>
  <c r="DU326" i="1" s="1"/>
  <c r="DV326" i="1" s="1"/>
  <c r="AI264" i="26"/>
  <c r="DU322" i="1" s="1"/>
  <c r="DV322" i="1" s="1"/>
  <c r="AI260" i="26"/>
  <c r="DU317" i="1" s="1"/>
  <c r="DV317" i="1" s="1"/>
  <c r="AI256" i="26"/>
  <c r="DU313" i="1" s="1"/>
  <c r="DV313" i="1" s="1"/>
  <c r="AI252" i="26"/>
  <c r="DU353" i="1" s="1"/>
  <c r="DV353" i="1" s="1"/>
  <c r="AI248" i="26"/>
  <c r="DU349" i="1" s="1"/>
  <c r="DV349" i="1" s="1"/>
  <c r="AI244" i="26"/>
  <c r="DU308" i="1" s="1"/>
  <c r="DV308" i="1" s="1"/>
  <c r="AI240" i="26"/>
  <c r="DU309" i="1" s="1"/>
  <c r="DV309" i="1" s="1"/>
  <c r="AI236" i="26"/>
  <c r="DU304" i="1" s="1"/>
  <c r="DV304" i="1" s="1"/>
  <c r="AI232" i="26"/>
  <c r="DU298" i="1" s="1"/>
  <c r="DV298" i="1" s="1"/>
  <c r="AI228" i="26"/>
  <c r="AI224" i="26"/>
  <c r="DU27" i="1" s="1"/>
  <c r="DV27" i="1" s="1"/>
  <c r="AI220" i="26"/>
  <c r="AI216" i="26"/>
  <c r="DU278" i="1" s="1"/>
  <c r="DV278" i="1" s="1"/>
  <c r="AI212" i="26"/>
  <c r="DU257" i="1" s="1"/>
  <c r="DV257" i="1" s="1"/>
  <c r="AI208" i="26"/>
  <c r="DU273" i="1" s="1"/>
  <c r="DV273" i="1" s="1"/>
  <c r="AI204" i="26"/>
  <c r="DU268" i="1" s="1"/>
  <c r="DV268" i="1" s="1"/>
  <c r="AI200" i="26"/>
  <c r="DU264" i="1" s="1"/>
  <c r="DV264" i="1" s="1"/>
  <c r="AI196" i="26"/>
  <c r="DU259" i="1" s="1"/>
  <c r="DV259" i="1" s="1"/>
  <c r="AI192" i="26"/>
  <c r="DU255" i="1" s="1"/>
  <c r="DV255" i="1" s="1"/>
  <c r="AI188" i="26"/>
  <c r="DU196" i="1" s="1"/>
  <c r="DV196" i="1" s="1"/>
  <c r="AI184" i="26"/>
  <c r="DU194" i="1" s="1"/>
  <c r="DV194" i="1" s="1"/>
  <c r="AI180" i="26"/>
  <c r="DU237" i="1" s="1"/>
  <c r="DV237" i="1" s="1"/>
  <c r="AI176" i="26"/>
  <c r="DU253" i="1" s="1"/>
  <c r="DV253" i="1" s="1"/>
  <c r="AI172" i="26"/>
  <c r="DU21" i="1" s="1"/>
  <c r="DV21" i="1" s="1"/>
  <c r="AI168" i="26"/>
  <c r="DU20" i="1" s="1"/>
  <c r="DV20" i="1" s="1"/>
  <c r="AI164" i="26"/>
  <c r="DU15" i="1" s="1"/>
  <c r="DV15" i="1" s="1"/>
  <c r="AI160" i="26"/>
  <c r="DU36" i="1" s="1"/>
  <c r="DV36" i="1" s="1"/>
  <c r="AI156" i="26"/>
  <c r="DU40" i="1" s="1"/>
  <c r="DV40" i="1" s="1"/>
  <c r="AI152" i="26"/>
  <c r="DU294" i="1" s="1"/>
  <c r="DV294" i="1" s="1"/>
  <c r="AI148" i="26"/>
  <c r="DU289" i="1" s="1"/>
  <c r="DV289" i="1" s="1"/>
  <c r="AI144" i="26"/>
  <c r="DU285" i="1" s="1"/>
  <c r="DV285" i="1" s="1"/>
  <c r="AI140" i="26"/>
  <c r="DU281" i="1" s="1"/>
  <c r="DV281" i="1" s="1"/>
  <c r="AI136" i="26"/>
  <c r="DU203" i="1" s="1"/>
  <c r="DV203" i="1" s="1"/>
  <c r="AI132" i="26"/>
  <c r="DU202" i="1" s="1"/>
  <c r="DV202" i="1" s="1"/>
  <c r="AI128" i="26"/>
  <c r="DU149" i="1" s="1"/>
  <c r="DV149" i="1" s="1"/>
  <c r="AI124" i="26"/>
  <c r="DU34" i="1" s="1"/>
  <c r="DV34" i="1" s="1"/>
  <c r="AI120" i="26"/>
  <c r="AI116" i="26"/>
  <c r="DU44" i="1" s="1"/>
  <c r="DV44" i="1" s="1"/>
  <c r="AI112" i="26"/>
  <c r="DU100" i="1" s="1"/>
  <c r="DV100" i="1" s="1"/>
  <c r="AI108" i="26"/>
  <c r="DU14" i="1" s="1"/>
  <c r="DV14" i="1" s="1"/>
  <c r="AI104" i="26"/>
  <c r="DU115" i="1" s="1"/>
  <c r="DV115" i="1" s="1"/>
  <c r="AI100" i="26"/>
  <c r="AI96" i="26"/>
  <c r="DU135" i="1" s="1"/>
  <c r="DV135" i="1" s="1"/>
  <c r="AI92" i="26"/>
  <c r="DU131" i="1" s="1"/>
  <c r="DV131" i="1" s="1"/>
  <c r="AI88" i="26"/>
  <c r="DU126" i="1" s="1"/>
  <c r="DV126" i="1" s="1"/>
  <c r="AI84" i="26"/>
  <c r="DU122" i="1" s="1"/>
  <c r="DV122" i="1" s="1"/>
  <c r="AI80" i="26"/>
  <c r="DU110" i="1" s="1"/>
  <c r="DV110" i="1" s="1"/>
  <c r="AI76" i="26"/>
  <c r="DU111" i="1" s="1"/>
  <c r="DV111" i="1" s="1"/>
  <c r="AI72" i="26"/>
  <c r="DU141" i="1" s="1"/>
  <c r="DV141" i="1" s="1"/>
  <c r="AI60" i="26"/>
  <c r="DU143" i="1" s="1"/>
  <c r="DV143" i="1" s="1"/>
  <c r="AI56" i="26"/>
  <c r="DU78" i="1" s="1"/>
  <c r="DV78" i="1" s="1"/>
  <c r="AI52" i="26"/>
  <c r="AI44" i="26"/>
  <c r="DU98" i="1" s="1"/>
  <c r="DV98" i="1" s="1"/>
  <c r="AI40" i="26"/>
  <c r="DU94" i="1" s="1"/>
  <c r="DV94" i="1" s="1"/>
  <c r="AI36" i="26"/>
  <c r="AI32" i="26"/>
  <c r="DU90" i="1" s="1"/>
  <c r="DV90" i="1" s="1"/>
  <c r="AI28" i="26"/>
  <c r="DU86" i="1" s="1"/>
  <c r="DV86" i="1" s="1"/>
  <c r="AI24" i="26"/>
  <c r="DU81" i="1" s="1"/>
  <c r="DV81" i="1" s="1"/>
  <c r="AI20" i="26"/>
  <c r="DU188" i="1" s="1"/>
  <c r="DV188" i="1" s="1"/>
  <c r="AI16" i="26"/>
  <c r="DU184" i="1" s="1"/>
  <c r="DV184" i="1" s="1"/>
  <c r="AI12" i="26"/>
  <c r="DU45" i="1" s="1"/>
  <c r="DV45" i="1" s="1"/>
  <c r="AI8" i="26"/>
  <c r="DU146" i="1" s="1"/>
  <c r="DV146" i="1" s="1"/>
  <c r="AI399" i="26"/>
  <c r="DU121" i="1" s="1"/>
  <c r="DV121" i="1" s="1"/>
  <c r="AI395" i="26"/>
  <c r="DU142" i="1" s="1"/>
  <c r="DV142" i="1" s="1"/>
  <c r="AI391" i="26"/>
  <c r="DU246" i="1" s="1"/>
  <c r="DV246" i="1" s="1"/>
  <c r="AI387" i="26"/>
  <c r="DU240" i="1" s="1"/>
  <c r="DV240" i="1" s="1"/>
  <c r="AI383" i="26"/>
  <c r="DU244" i="1" s="1"/>
  <c r="DV244" i="1" s="1"/>
  <c r="AI379" i="26"/>
  <c r="DU156" i="1" s="1"/>
  <c r="DV156" i="1" s="1"/>
  <c r="AI375" i="26"/>
  <c r="DU177" i="1" s="1"/>
  <c r="DV177" i="1" s="1"/>
  <c r="AI371" i="26"/>
  <c r="DU173" i="1" s="1"/>
  <c r="DV173" i="1" s="1"/>
  <c r="AI367" i="26"/>
  <c r="DU168" i="1" s="1"/>
  <c r="DV168" i="1" s="1"/>
  <c r="AI363" i="26"/>
  <c r="DU163" i="1" s="1"/>
  <c r="DV163" i="1" s="1"/>
  <c r="AI359" i="26"/>
  <c r="DU159" i="1" s="1"/>
  <c r="DV159" i="1" s="1"/>
  <c r="AI355" i="26"/>
  <c r="DU164" i="1" s="1"/>
  <c r="DV164" i="1" s="1"/>
  <c r="AI351" i="26"/>
  <c r="AI347" i="26"/>
  <c r="DU58" i="1" s="1"/>
  <c r="DV58" i="1" s="1"/>
  <c r="AI343" i="26"/>
  <c r="DU53" i="1" s="1"/>
  <c r="DV53" i="1" s="1"/>
  <c r="AI339" i="26"/>
  <c r="DU73" i="1" s="1"/>
  <c r="DV73" i="1" s="1"/>
  <c r="AI335" i="26"/>
  <c r="DU69" i="1" s="1"/>
  <c r="DV69" i="1" s="1"/>
  <c r="AI331" i="26"/>
  <c r="DU62" i="1" s="1"/>
  <c r="DV62" i="1" s="1"/>
  <c r="AI327" i="26"/>
  <c r="DU52" i="1" s="1"/>
  <c r="DV52" i="1" s="1"/>
  <c r="AI323" i="26"/>
  <c r="DU67" i="1" s="1"/>
  <c r="DV67" i="1" s="1"/>
  <c r="AI319" i="26"/>
  <c r="DU227" i="1" s="1"/>
  <c r="DV227" i="1" s="1"/>
  <c r="AI315" i="26"/>
  <c r="DU206" i="1" s="1"/>
  <c r="DV206" i="1" s="1"/>
  <c r="AI311" i="26"/>
  <c r="DU232" i="1" s="1"/>
  <c r="DV232" i="1" s="1"/>
  <c r="AI307" i="26"/>
  <c r="DU229" i="1" s="1"/>
  <c r="DV229" i="1" s="1"/>
  <c r="AI303" i="26"/>
  <c r="DU216" i="1" s="1"/>
  <c r="DV216" i="1" s="1"/>
  <c r="AI299" i="26"/>
  <c r="AI295" i="26"/>
  <c r="DU208" i="1" s="1"/>
  <c r="DV208" i="1" s="1"/>
  <c r="AI291" i="26"/>
  <c r="DU219" i="1" s="1"/>
  <c r="DV219" i="1" s="1"/>
  <c r="AI287" i="26"/>
  <c r="DU345" i="1" s="1"/>
  <c r="DV345" i="1" s="1"/>
  <c r="AI283" i="26"/>
  <c r="DU341" i="1" s="1"/>
  <c r="DV341" i="1" s="1"/>
  <c r="AI279" i="26"/>
  <c r="DU337" i="1" s="1"/>
  <c r="DV337" i="1" s="1"/>
  <c r="AI275" i="26"/>
  <c r="DU333" i="1" s="1"/>
  <c r="DV333" i="1" s="1"/>
  <c r="AI271" i="26"/>
  <c r="DU329" i="1" s="1"/>
  <c r="DV329" i="1" s="1"/>
  <c r="AI267" i="26"/>
  <c r="DU325" i="1" s="1"/>
  <c r="DV325" i="1" s="1"/>
  <c r="AI263" i="26"/>
  <c r="DU321" i="1" s="1"/>
  <c r="DV321" i="1" s="1"/>
  <c r="AI259" i="26"/>
  <c r="DU316" i="1" s="1"/>
  <c r="DV316" i="1" s="1"/>
  <c r="AI255" i="26"/>
  <c r="DU312" i="1" s="1"/>
  <c r="DV312" i="1" s="1"/>
  <c r="AI251" i="26"/>
  <c r="DU352" i="1" s="1"/>
  <c r="DV352" i="1" s="1"/>
  <c r="AI247" i="26"/>
  <c r="DU348" i="1" s="1"/>
  <c r="DV348" i="1" s="1"/>
  <c r="AI243" i="26"/>
  <c r="DU303" i="1" s="1"/>
  <c r="DV303" i="1" s="1"/>
  <c r="AI239" i="26"/>
  <c r="DU307" i="1" s="1"/>
  <c r="DV307" i="1" s="1"/>
  <c r="AI235" i="26"/>
  <c r="DU301" i="1" s="1"/>
  <c r="DV301" i="1" s="1"/>
  <c r="AI231" i="26"/>
  <c r="DU296" i="1" s="1"/>
  <c r="DV296" i="1" s="1"/>
  <c r="AI227" i="26"/>
  <c r="DU31" i="1" s="1"/>
  <c r="DV31" i="1" s="1"/>
  <c r="AI223" i="26"/>
  <c r="DU26" i="1" s="1"/>
  <c r="DV26" i="1" s="1"/>
  <c r="AI219" i="26"/>
  <c r="DU152" i="1" s="1"/>
  <c r="DV152" i="1" s="1"/>
  <c r="AI215" i="26"/>
  <c r="DU274" i="1" s="1"/>
  <c r="DV274" i="1" s="1"/>
  <c r="AI211" i="26"/>
  <c r="DU277" i="1" s="1"/>
  <c r="DV277" i="1" s="1"/>
  <c r="AI207" i="26"/>
  <c r="DU272" i="1" s="1"/>
  <c r="DV272" i="1" s="1"/>
  <c r="AI203" i="26"/>
  <c r="DU267" i="1" s="1"/>
  <c r="DV267" i="1" s="1"/>
  <c r="AI199" i="26"/>
  <c r="DU263" i="1" s="1"/>
  <c r="DV263" i="1" s="1"/>
  <c r="AI195" i="26"/>
  <c r="DU256" i="1" s="1"/>
  <c r="DV256" i="1" s="1"/>
  <c r="AI191" i="26"/>
  <c r="AI187" i="26"/>
  <c r="DU193" i="1" s="1"/>
  <c r="DV193" i="1" s="1"/>
  <c r="AI183" i="26"/>
  <c r="DU239" i="1" s="1"/>
  <c r="DV239" i="1" s="1"/>
  <c r="AI179" i="26"/>
  <c r="DU236" i="1" s="1"/>
  <c r="DV236" i="1" s="1"/>
  <c r="AI175" i="26"/>
  <c r="DU252" i="1" s="1"/>
  <c r="DV252" i="1" s="1"/>
  <c r="AI171" i="26"/>
  <c r="DU16" i="1" s="1"/>
  <c r="DV16" i="1" s="1"/>
  <c r="AI167" i="26"/>
  <c r="DU19" i="1" s="1"/>
  <c r="DV19" i="1" s="1"/>
  <c r="AI163" i="26"/>
  <c r="DU38" i="1" s="1"/>
  <c r="DV38" i="1" s="1"/>
  <c r="AI159" i="26"/>
  <c r="DU43" i="1" s="1"/>
  <c r="DV43" i="1" s="1"/>
  <c r="AI155" i="26"/>
  <c r="DU39" i="1" s="1"/>
  <c r="DV39" i="1" s="1"/>
  <c r="AI151" i="26"/>
  <c r="DU293" i="1" s="1"/>
  <c r="DV293" i="1" s="1"/>
  <c r="AI147" i="26"/>
  <c r="DU288" i="1" s="1"/>
  <c r="DV288" i="1" s="1"/>
  <c r="AI143" i="26"/>
  <c r="DU280" i="1" s="1"/>
  <c r="DV280" i="1" s="1"/>
  <c r="AI139" i="26"/>
  <c r="AI135" i="26"/>
  <c r="AI131" i="26"/>
  <c r="DU201" i="1" s="1"/>
  <c r="DV201" i="1" s="1"/>
  <c r="AI127" i="26"/>
  <c r="DU148" i="1" s="1"/>
  <c r="DV148" i="1" s="1"/>
  <c r="AI123" i="26"/>
  <c r="DU33" i="1" s="1"/>
  <c r="DV33" i="1" s="1"/>
  <c r="AI119" i="26"/>
  <c r="DU108" i="1" s="1"/>
  <c r="DV108" i="1" s="1"/>
  <c r="AI115" i="26"/>
  <c r="AI111" i="26"/>
  <c r="AI107" i="26"/>
  <c r="AI103" i="26"/>
  <c r="DU119" i="1" s="1"/>
  <c r="DV119" i="1" s="1"/>
  <c r="AI99" i="26"/>
  <c r="DU138" i="1" s="1"/>
  <c r="DV138" i="1" s="1"/>
  <c r="AI95" i="26"/>
  <c r="DU134" i="1" s="1"/>
  <c r="DV134" i="1" s="1"/>
  <c r="AI91" i="26"/>
  <c r="DU129" i="1" s="1"/>
  <c r="DV129" i="1" s="1"/>
  <c r="AI87" i="26"/>
  <c r="DU125" i="1" s="1"/>
  <c r="DV125" i="1" s="1"/>
  <c r="AI83" i="26"/>
  <c r="DU120" i="1" s="1"/>
  <c r="DV120" i="1" s="1"/>
  <c r="AI79" i="26"/>
  <c r="DU109" i="1" s="1"/>
  <c r="DV109" i="1" s="1"/>
  <c r="AI75" i="26"/>
  <c r="DU284" i="1" s="1"/>
  <c r="DV284" i="1" s="1"/>
  <c r="AI71" i="26"/>
  <c r="DU140" i="1" s="1"/>
  <c r="DV140" i="1" s="1"/>
  <c r="AI67" i="26"/>
  <c r="DU104" i="1" s="1"/>
  <c r="DV104" i="1" s="1"/>
  <c r="AI63" i="26"/>
  <c r="AI59" i="26"/>
  <c r="AI55" i="26"/>
  <c r="DU77" i="1" s="1"/>
  <c r="DV77" i="1" s="1"/>
  <c r="AI47" i="26"/>
  <c r="DU87" i="1" s="1"/>
  <c r="DV87" i="1" s="1"/>
  <c r="AI43" i="26"/>
  <c r="DU97" i="1" s="1"/>
  <c r="DV97" i="1" s="1"/>
  <c r="AI35" i="26"/>
  <c r="DU92" i="1" s="1"/>
  <c r="DV92" i="1" s="1"/>
  <c r="AI31" i="26"/>
  <c r="DU89" i="1" s="1"/>
  <c r="DV89" i="1" s="1"/>
  <c r="AI27" i="26"/>
  <c r="DU85" i="1" s="1"/>
  <c r="DV85" i="1" s="1"/>
  <c r="AI23" i="26"/>
  <c r="DU80" i="1" s="1"/>
  <c r="DV80" i="1" s="1"/>
  <c r="AI19" i="26"/>
  <c r="DU186" i="1" s="1"/>
  <c r="DV186" i="1" s="1"/>
  <c r="AI15" i="26"/>
  <c r="DU183" i="1" s="1"/>
  <c r="DV183" i="1" s="1"/>
  <c r="AI11" i="26"/>
  <c r="DU47" i="1" s="1"/>
  <c r="DV47" i="1" s="1"/>
  <c r="AI7" i="26"/>
  <c r="AI398" i="26"/>
  <c r="DU315" i="1" s="1"/>
  <c r="DV315" i="1" s="1"/>
  <c r="AI394" i="26"/>
  <c r="DU9" i="1" s="1"/>
  <c r="AI390" i="26"/>
  <c r="DU245" i="1" s="1"/>
  <c r="DV245" i="1" s="1"/>
  <c r="AI386" i="26"/>
  <c r="DU250" i="1" s="1"/>
  <c r="DV250" i="1" s="1"/>
  <c r="AI382" i="26"/>
  <c r="DU180" i="1" s="1"/>
  <c r="DV180" i="1" s="1"/>
  <c r="AI378" i="26"/>
  <c r="DU181" i="1" s="1"/>
  <c r="DV181" i="1" s="1"/>
  <c r="AI374" i="26"/>
  <c r="AI370" i="26"/>
  <c r="DU172" i="1" s="1"/>
  <c r="DV172" i="1" s="1"/>
  <c r="AI366" i="26"/>
  <c r="DU167" i="1" s="1"/>
  <c r="DV167" i="1" s="1"/>
  <c r="AI362" i="26"/>
  <c r="DU162" i="1" s="1"/>
  <c r="DV162" i="1" s="1"/>
  <c r="AI358" i="26"/>
  <c r="DU158" i="1" s="1"/>
  <c r="DV158" i="1" s="1"/>
  <c r="AI354" i="26"/>
  <c r="AI350" i="26"/>
  <c r="AI346" i="26"/>
  <c r="DU57" i="1" s="1"/>
  <c r="DV57" i="1" s="1"/>
  <c r="AI342" i="26"/>
  <c r="DU50" i="1" s="1"/>
  <c r="DV50" i="1" s="1"/>
  <c r="AI338" i="26"/>
  <c r="DU72" i="1" s="1"/>
  <c r="DV72" i="1" s="1"/>
  <c r="AI334" i="26"/>
  <c r="DU65" i="1" s="1"/>
  <c r="DV65" i="1" s="1"/>
  <c r="AI330" i="26"/>
  <c r="DU61" i="1" s="1"/>
  <c r="DV61" i="1" s="1"/>
  <c r="AI326" i="26"/>
  <c r="DU51" i="1" s="1"/>
  <c r="DV51" i="1" s="1"/>
  <c r="AI322" i="26"/>
  <c r="DU66" i="1" s="1"/>
  <c r="DV66" i="1" s="1"/>
  <c r="AI318" i="26"/>
  <c r="DU223" i="1" s="1"/>
  <c r="DV223" i="1" s="1"/>
  <c r="AI314" i="26"/>
  <c r="DU205" i="1" s="1"/>
  <c r="DV205" i="1" s="1"/>
  <c r="AI310" i="26"/>
  <c r="AI306" i="26"/>
  <c r="DU221" i="1" s="1"/>
  <c r="DV221" i="1" s="1"/>
  <c r="AI302" i="26"/>
  <c r="DU215" i="1" s="1"/>
  <c r="DV215" i="1" s="1"/>
  <c r="AI298" i="26"/>
  <c r="DU212" i="1" s="1"/>
  <c r="DV212" i="1" s="1"/>
  <c r="AI294" i="26"/>
  <c r="DU207" i="1" s="1"/>
  <c r="DV207" i="1" s="1"/>
  <c r="AI290" i="26"/>
  <c r="DU217" i="1" s="1"/>
  <c r="DV217" i="1" s="1"/>
  <c r="AI286" i="26"/>
  <c r="DU344" i="1" s="1"/>
  <c r="DV344" i="1" s="1"/>
  <c r="AI282" i="26"/>
  <c r="DU340" i="1" s="1"/>
  <c r="DV340" i="1" s="1"/>
  <c r="AI278" i="26"/>
  <c r="DU336" i="1" s="1"/>
  <c r="DV336" i="1" s="1"/>
  <c r="AI274" i="26"/>
  <c r="DU332" i="1" s="1"/>
  <c r="DV332" i="1" s="1"/>
  <c r="AI270" i="26"/>
  <c r="DU328" i="1" s="1"/>
  <c r="DV328" i="1" s="1"/>
  <c r="AI266" i="26"/>
  <c r="DU324" i="1" s="1"/>
  <c r="DV324" i="1" s="1"/>
  <c r="AI262" i="26"/>
  <c r="DU319" i="1" s="1"/>
  <c r="DV319" i="1" s="1"/>
  <c r="AI258" i="26"/>
  <c r="AI254" i="26"/>
  <c r="DU311" i="1" s="1"/>
  <c r="DV311" i="1" s="1"/>
  <c r="AI250" i="26"/>
  <c r="DU351" i="1" s="1"/>
  <c r="DV351" i="1" s="1"/>
  <c r="AI246" i="26"/>
  <c r="DU347" i="1" s="1"/>
  <c r="DV347" i="1" s="1"/>
  <c r="AI242" i="26"/>
  <c r="DU302" i="1" s="1"/>
  <c r="DV302" i="1" s="1"/>
  <c r="AI238" i="26"/>
  <c r="DU306" i="1" s="1"/>
  <c r="DV306" i="1" s="1"/>
  <c r="AI234" i="26"/>
  <c r="DU300" i="1" s="1"/>
  <c r="DV300" i="1" s="1"/>
  <c r="AI230" i="26"/>
  <c r="AI226" i="26"/>
  <c r="DU29" i="1" s="1"/>
  <c r="DV29" i="1" s="1"/>
  <c r="AI222" i="26"/>
  <c r="DU25" i="1" s="1"/>
  <c r="DV25" i="1" s="1"/>
  <c r="AI218" i="26"/>
  <c r="DU151" i="1" s="1"/>
  <c r="DV151" i="1" s="1"/>
  <c r="AI214" i="26"/>
  <c r="DU269" i="1" s="1"/>
  <c r="DV269" i="1" s="1"/>
  <c r="AI210" i="26"/>
  <c r="DU276" i="1" s="1"/>
  <c r="DV276" i="1" s="1"/>
  <c r="AI206" i="26"/>
  <c r="DU271" i="1" s="1"/>
  <c r="DV271" i="1" s="1"/>
  <c r="AI202" i="26"/>
  <c r="DU266" i="1" s="1"/>
  <c r="DV266" i="1" s="1"/>
  <c r="AI198" i="26"/>
  <c r="DU262" i="1" s="1"/>
  <c r="DV262" i="1" s="1"/>
  <c r="AI190" i="26"/>
  <c r="DU191" i="1" s="1"/>
  <c r="DV191" i="1" s="1"/>
  <c r="AI186" i="26"/>
  <c r="DU198" i="1" s="1"/>
  <c r="DV198" i="1" s="1"/>
  <c r="AI182" i="26"/>
  <c r="DU238" i="1" s="1"/>
  <c r="DV238" i="1" s="1"/>
  <c r="AI178" i="26"/>
  <c r="DU11" i="1" s="1"/>
  <c r="DV11" i="1" s="1"/>
  <c r="AI174" i="26"/>
  <c r="DU251" i="1" s="1"/>
  <c r="DV251" i="1" s="1"/>
  <c r="AI170" i="26"/>
  <c r="DU23" i="1" s="1"/>
  <c r="DV23" i="1" s="1"/>
  <c r="AI166" i="26"/>
  <c r="DU18" i="1" s="1"/>
  <c r="DV18" i="1" s="1"/>
  <c r="AI162" i="26"/>
  <c r="DU37" i="1" s="1"/>
  <c r="DV37" i="1" s="1"/>
  <c r="AI158" i="26"/>
  <c r="DU42" i="1" s="1"/>
  <c r="DV42" i="1" s="1"/>
  <c r="AI154" i="26"/>
  <c r="DU295" i="1" s="1"/>
  <c r="DV295" i="1" s="1"/>
  <c r="AI150" i="26"/>
  <c r="DU292" i="1" s="1"/>
  <c r="DV292" i="1" s="1"/>
  <c r="AI146" i="26"/>
  <c r="DU287" i="1" s="1"/>
  <c r="DV287" i="1" s="1"/>
  <c r="AI142" i="26"/>
  <c r="DU283" i="1" s="1"/>
  <c r="DV283" i="1" s="1"/>
  <c r="AI138" i="26"/>
  <c r="DU13" i="1" s="1"/>
  <c r="DV13" i="1" s="1"/>
  <c r="AI134" i="26"/>
  <c r="DU200" i="1" s="1"/>
  <c r="DV200" i="1" s="1"/>
  <c r="AI130" i="26"/>
  <c r="AI126" i="26"/>
  <c r="DU153" i="1" s="1"/>
  <c r="DV153" i="1" s="1"/>
  <c r="AI122" i="26"/>
  <c r="DU32" i="1" s="1"/>
  <c r="DV32" i="1" s="1"/>
  <c r="AI118" i="26"/>
  <c r="DU107" i="1" s="1"/>
  <c r="DV107" i="1" s="1"/>
  <c r="AI114" i="26"/>
  <c r="DU99" i="1" s="1"/>
  <c r="DV99" i="1" s="1"/>
  <c r="AI110" i="26"/>
  <c r="AI106" i="26"/>
  <c r="DU118" i="1" s="1"/>
  <c r="DV118" i="1" s="1"/>
  <c r="AI102" i="26"/>
  <c r="DU117" i="1" s="1"/>
  <c r="DV117" i="1" s="1"/>
  <c r="AI98" i="26"/>
  <c r="DU137" i="1" s="1"/>
  <c r="DV137" i="1" s="1"/>
  <c r="AI94" i="26"/>
  <c r="DU133" i="1" s="1"/>
  <c r="DV133" i="1" s="1"/>
  <c r="AI90" i="26"/>
  <c r="DU128" i="1" s="1"/>
  <c r="DV128" i="1" s="1"/>
  <c r="AI86" i="26"/>
  <c r="DU124" i="1" s="1"/>
  <c r="DV124" i="1" s="1"/>
  <c r="AI82" i="26"/>
  <c r="AI78" i="26"/>
  <c r="DU114" i="1" s="1"/>
  <c r="DV114" i="1" s="1"/>
  <c r="AI74" i="26"/>
  <c r="DU139" i="1" s="1"/>
  <c r="DV139" i="1" s="1"/>
  <c r="AI70" i="26"/>
  <c r="DU105" i="1" s="1"/>
  <c r="DV105" i="1" s="1"/>
  <c r="AI66" i="26"/>
  <c r="DU103" i="1" s="1"/>
  <c r="DV103" i="1" s="1"/>
  <c r="AI62" i="26"/>
  <c r="AI58" i="26"/>
  <c r="DU145" i="1" s="1"/>
  <c r="DV145" i="1" s="1"/>
  <c r="AI54" i="26"/>
  <c r="DU79" i="1" s="1"/>
  <c r="DV79" i="1" s="1"/>
  <c r="AI46" i="26"/>
  <c r="DU84" i="1" s="1"/>
  <c r="DV84" i="1" s="1"/>
  <c r="AI42" i="26"/>
  <c r="DU96" i="1" s="1"/>
  <c r="DV96" i="1" s="1"/>
  <c r="AI38" i="26"/>
  <c r="DU93" i="1" s="1"/>
  <c r="DV93" i="1" s="1"/>
  <c r="AI34" i="26"/>
  <c r="AI30" i="26"/>
  <c r="DU88" i="1" s="1"/>
  <c r="DV88" i="1" s="1"/>
  <c r="AI26" i="26"/>
  <c r="DU83" i="1" s="1"/>
  <c r="DV83" i="1" s="1"/>
  <c r="AI22" i="26"/>
  <c r="AI18" i="26"/>
  <c r="DU187" i="1" s="1"/>
  <c r="DV187" i="1" s="1"/>
  <c r="AI14" i="26"/>
  <c r="DU190" i="1" s="1"/>
  <c r="DV190" i="1" s="1"/>
  <c r="AI10" i="26"/>
  <c r="DU46" i="1" s="1"/>
  <c r="DV46" i="1" s="1"/>
  <c r="AI6" i="26"/>
  <c r="AH5" i="26"/>
  <c r="AH396" i="26"/>
  <c r="AH392" i="26"/>
  <c r="AH388" i="26"/>
  <c r="AH384" i="26"/>
  <c r="AH380" i="26"/>
  <c r="AH376" i="26"/>
  <c r="AH372" i="26"/>
  <c r="AH368" i="26"/>
  <c r="AH364" i="26"/>
  <c r="AH360" i="26"/>
  <c r="AH356" i="26"/>
  <c r="AH352" i="26"/>
  <c r="AH348" i="26"/>
  <c r="AH344" i="26"/>
  <c r="AH340" i="26"/>
  <c r="AH336" i="26"/>
  <c r="AH332" i="26"/>
  <c r="AH328" i="26"/>
  <c r="AH324" i="26"/>
  <c r="AH320" i="26"/>
  <c r="AH316" i="26"/>
  <c r="AH312" i="26"/>
  <c r="AH308" i="26"/>
  <c r="AH304" i="26"/>
  <c r="AH300" i="26"/>
  <c r="AH296" i="26"/>
  <c r="AH292" i="26"/>
  <c r="AH288" i="26"/>
  <c r="AH284" i="26"/>
  <c r="AH280" i="26"/>
  <c r="AH276" i="26"/>
  <c r="AH272" i="26"/>
  <c r="AH268" i="26"/>
  <c r="AH264" i="26"/>
  <c r="AH260" i="26"/>
  <c r="AH256" i="26"/>
  <c r="AH252" i="26"/>
  <c r="AH248" i="26"/>
  <c r="AH244" i="26"/>
  <c r="AH240" i="26"/>
  <c r="AH236" i="26"/>
  <c r="AH232" i="26"/>
  <c r="AH228" i="26"/>
  <c r="AH224" i="26"/>
  <c r="AH220" i="26"/>
  <c r="AH216" i="26"/>
  <c r="AH212" i="26"/>
  <c r="AH208" i="26"/>
  <c r="AH204" i="26"/>
  <c r="AH200" i="26"/>
  <c r="AH196" i="26"/>
  <c r="AH192" i="26"/>
  <c r="AH188" i="26"/>
  <c r="AH184" i="26"/>
  <c r="AH180" i="26"/>
  <c r="AH176" i="26"/>
  <c r="AH172" i="26"/>
  <c r="AH168" i="26"/>
  <c r="AH164" i="26"/>
  <c r="AH160" i="26"/>
  <c r="AH156" i="26"/>
  <c r="AH152" i="26"/>
  <c r="AH148" i="26"/>
  <c r="AH144" i="26"/>
  <c r="AH140" i="26"/>
  <c r="AH136" i="26"/>
  <c r="AH132" i="26"/>
  <c r="AH128" i="26"/>
  <c r="AH124" i="26"/>
  <c r="AH120" i="26"/>
  <c r="AH116" i="26"/>
  <c r="AH112" i="26"/>
  <c r="AH108" i="26"/>
  <c r="AH104" i="26"/>
  <c r="AH100" i="26"/>
  <c r="AH96" i="26"/>
  <c r="AH92" i="26"/>
  <c r="AH88" i="26"/>
  <c r="AH84" i="26"/>
  <c r="AH80" i="26"/>
  <c r="AH76" i="26"/>
  <c r="AH72" i="26"/>
  <c r="AH60" i="26"/>
  <c r="AH56" i="26"/>
  <c r="AH52" i="26"/>
  <c r="AH44" i="26"/>
  <c r="AH40" i="26"/>
  <c r="AH36" i="26"/>
  <c r="AH32" i="26"/>
  <c r="AH28" i="26"/>
  <c r="AH24" i="26"/>
  <c r="AH20" i="26"/>
  <c r="AH16" i="26"/>
  <c r="AH12" i="26"/>
  <c r="AH8" i="26"/>
  <c r="L164" i="30"/>
  <c r="AH399" i="26"/>
  <c r="AH395" i="26"/>
  <c r="AH391" i="26"/>
  <c r="AH387" i="26"/>
  <c r="AH383" i="26"/>
  <c r="AH379" i="26"/>
  <c r="AH375" i="26"/>
  <c r="AH371" i="26"/>
  <c r="AH367" i="26"/>
  <c r="AH363" i="26"/>
  <c r="AH359" i="26"/>
  <c r="AH355" i="26"/>
  <c r="AH351" i="26"/>
  <c r="AH398" i="26"/>
  <c r="AH394" i="26"/>
  <c r="AH390" i="26"/>
  <c r="AH386" i="26"/>
  <c r="AH382" i="26"/>
  <c r="AH378" i="26"/>
  <c r="AH374" i="26"/>
  <c r="AH370" i="26"/>
  <c r="AH366" i="26"/>
  <c r="AH362" i="26"/>
  <c r="AH358" i="26"/>
  <c r="AH354" i="26"/>
  <c r="AH350" i="26"/>
  <c r="AH346" i="26"/>
  <c r="AH342" i="26"/>
  <c r="AH338" i="26"/>
  <c r="AH334" i="26"/>
  <c r="AH330" i="26"/>
  <c r="AH326" i="26"/>
  <c r="AH322" i="26"/>
  <c r="AH318" i="26"/>
  <c r="AH314" i="26"/>
  <c r="AH310" i="26"/>
  <c r="AH306" i="26"/>
  <c r="AH302" i="26"/>
  <c r="AH298" i="26"/>
  <c r="AH294" i="26"/>
  <c r="AH290" i="26"/>
  <c r="AH286" i="26"/>
  <c r="AH282" i="26"/>
  <c r="AH278" i="26"/>
  <c r="AH274" i="26"/>
  <c r="AH270" i="26"/>
  <c r="AH266" i="26"/>
  <c r="AH262" i="26"/>
  <c r="AH258" i="26"/>
  <c r="AH254" i="26"/>
  <c r="AH250" i="26"/>
  <c r="AH246" i="26"/>
  <c r="AH242" i="26"/>
  <c r="AH238" i="26"/>
  <c r="AH234" i="26"/>
  <c r="AH230" i="26"/>
  <c r="AH226" i="26"/>
  <c r="AH222" i="26"/>
  <c r="AH218" i="26"/>
  <c r="AH397" i="26"/>
  <c r="AH393" i="26"/>
  <c r="AH389" i="26"/>
  <c r="AH385" i="26"/>
  <c r="AH381" i="26"/>
  <c r="AH377" i="26"/>
  <c r="AH373" i="26"/>
  <c r="AH369" i="26"/>
  <c r="AH365" i="26"/>
  <c r="AH361" i="26"/>
  <c r="AH357" i="26"/>
  <c r="AH353" i="26"/>
  <c r="AH349" i="26"/>
  <c r="AH347" i="26"/>
  <c r="AH343" i="26"/>
  <c r="AH339" i="26"/>
  <c r="AH335" i="26"/>
  <c r="AH331" i="26"/>
  <c r="AH327" i="26"/>
  <c r="AH323" i="26"/>
  <c r="AH319" i="26"/>
  <c r="AH315" i="26"/>
  <c r="AH311" i="26"/>
  <c r="AH307" i="26"/>
  <c r="AH303" i="26"/>
  <c r="AH299" i="26"/>
  <c r="AH295" i="26"/>
  <c r="AH291" i="26"/>
  <c r="AH287" i="26"/>
  <c r="AH283" i="26"/>
  <c r="AH279" i="26"/>
  <c r="AH275" i="26"/>
  <c r="AH271" i="26"/>
  <c r="AH267" i="26"/>
  <c r="AH263" i="26"/>
  <c r="AH259" i="26"/>
  <c r="AH255" i="26"/>
  <c r="AH251" i="26"/>
  <c r="AH247" i="26"/>
  <c r="AH243" i="26"/>
  <c r="AH239" i="26"/>
  <c r="AH235" i="26"/>
  <c r="AH231" i="26"/>
  <c r="AH227" i="26"/>
  <c r="AH223" i="26"/>
  <c r="AH219" i="26"/>
  <c r="AH215" i="26"/>
  <c r="AH211" i="26"/>
  <c r="AH207" i="26"/>
  <c r="AH203" i="26"/>
  <c r="AH199" i="26"/>
  <c r="AH195" i="26"/>
  <c r="AH191" i="26"/>
  <c r="AH187" i="26"/>
  <c r="AH183" i="26"/>
  <c r="AH179" i="26"/>
  <c r="AH175" i="26"/>
  <c r="AH171" i="26"/>
  <c r="AH167" i="26"/>
  <c r="AH163" i="26"/>
  <c r="AH159" i="26"/>
  <c r="AH155" i="26"/>
  <c r="AH151" i="26"/>
  <c r="AH147" i="26"/>
  <c r="AH143" i="26"/>
  <c r="AH139" i="26"/>
  <c r="AH135" i="26"/>
  <c r="AH131" i="26"/>
  <c r="AH127" i="26"/>
  <c r="AH123" i="26"/>
  <c r="AH119" i="26"/>
  <c r="AH115" i="26"/>
  <c r="AH111" i="26"/>
  <c r="AH107" i="26"/>
  <c r="AH103" i="26"/>
  <c r="AH99" i="26"/>
  <c r="AH95" i="26"/>
  <c r="AH91" i="26"/>
  <c r="AH87" i="26"/>
  <c r="AH83" i="26"/>
  <c r="AH79" i="26"/>
  <c r="AH75" i="26"/>
  <c r="AH71" i="26"/>
  <c r="AH67" i="26"/>
  <c r="AH63" i="26"/>
  <c r="AH59" i="26"/>
  <c r="AH55" i="26"/>
  <c r="AH47" i="26"/>
  <c r="AH43" i="26"/>
  <c r="AH35" i="26"/>
  <c r="AH31" i="26"/>
  <c r="AH27" i="26"/>
  <c r="AH23" i="26"/>
  <c r="AH19" i="26"/>
  <c r="AH15" i="26"/>
  <c r="AH11" i="26"/>
  <c r="AH7" i="26"/>
  <c r="AH214" i="26"/>
  <c r="AH210" i="26"/>
  <c r="AH206" i="26"/>
  <c r="AH202" i="26"/>
  <c r="AH198" i="26"/>
  <c r="AH190" i="26"/>
  <c r="AH186" i="26"/>
  <c r="AH182" i="26"/>
  <c r="AH178" i="26"/>
  <c r="AH174" i="26"/>
  <c r="AH170" i="26"/>
  <c r="AH166" i="26"/>
  <c r="AH162" i="26"/>
  <c r="AH158" i="26"/>
  <c r="AH154" i="26"/>
  <c r="AH150" i="26"/>
  <c r="AH146" i="26"/>
  <c r="AH142" i="26"/>
  <c r="AH138" i="26"/>
  <c r="AH134" i="26"/>
  <c r="AH130" i="26"/>
  <c r="AH126" i="26"/>
  <c r="AH122" i="26"/>
  <c r="AH118" i="26"/>
  <c r="AH114" i="26"/>
  <c r="AH110" i="26"/>
  <c r="AH106" i="26"/>
  <c r="AH102" i="26"/>
  <c r="AH98" i="26"/>
  <c r="AH94" i="26"/>
  <c r="AH90" i="26"/>
  <c r="AH86" i="26"/>
  <c r="AH82" i="26"/>
  <c r="AH78" i="26"/>
  <c r="AH74" i="26"/>
  <c r="AH70" i="26"/>
  <c r="AH66" i="26"/>
  <c r="AH62" i="26"/>
  <c r="AH58" i="26"/>
  <c r="AH54" i="26"/>
  <c r="AH46" i="26"/>
  <c r="AH42" i="26"/>
  <c r="AH38" i="26"/>
  <c r="AH34" i="26"/>
  <c r="AH30" i="26"/>
  <c r="AH26" i="26"/>
  <c r="AH22" i="26"/>
  <c r="AH18" i="26"/>
  <c r="AH14" i="26"/>
  <c r="AH10" i="26"/>
  <c r="AH6" i="26"/>
  <c r="AH345" i="26"/>
  <c r="AH341" i="26"/>
  <c r="AH337" i="26"/>
  <c r="AH333" i="26"/>
  <c r="AH329" i="26"/>
  <c r="AH325" i="26"/>
  <c r="AH321" i="26"/>
  <c r="AH317" i="26"/>
  <c r="AH313" i="26"/>
  <c r="AH309" i="26"/>
  <c r="AH305" i="26"/>
  <c r="AH301" i="26"/>
  <c r="AH297" i="26"/>
  <c r="AH293" i="26"/>
  <c r="AH289" i="26"/>
  <c r="AH285" i="26"/>
  <c r="AH281" i="26"/>
  <c r="AH277" i="26"/>
  <c r="AH273" i="26"/>
  <c r="AH269" i="26"/>
  <c r="AH265" i="26"/>
  <c r="AH261" i="26"/>
  <c r="AH257" i="26"/>
  <c r="AH253" i="26"/>
  <c r="AH249" i="26"/>
  <c r="AH245" i="26"/>
  <c r="AH241" i="26"/>
  <c r="AH237" i="26"/>
  <c r="AH233" i="26"/>
  <c r="AH229" i="26"/>
  <c r="AH225" i="26"/>
  <c r="AH221" i="26"/>
  <c r="AH217" i="26"/>
  <c r="AH213" i="26"/>
  <c r="AH209" i="26"/>
  <c r="AH205" i="26"/>
  <c r="AH201" i="26"/>
  <c r="AH197" i="26"/>
  <c r="AH193" i="26"/>
  <c r="AH189" i="26"/>
  <c r="AH185" i="26"/>
  <c r="AH181" i="26"/>
  <c r="AH177" i="26"/>
  <c r="AH173" i="26"/>
  <c r="AH169" i="26"/>
  <c r="AH165" i="26"/>
  <c r="AH161" i="26"/>
  <c r="AH157" i="26"/>
  <c r="AH153" i="26"/>
  <c r="AH149" i="26"/>
  <c r="AH145" i="26"/>
  <c r="AH141" i="26"/>
  <c r="AH137" i="26"/>
  <c r="AH133" i="26"/>
  <c r="AH129" i="26"/>
  <c r="AH125" i="26"/>
  <c r="AH121" i="26"/>
  <c r="AH117" i="26"/>
  <c r="AH113" i="26"/>
  <c r="AH109" i="26"/>
  <c r="AH105" i="26"/>
  <c r="AH101" i="26"/>
  <c r="AH97" i="26"/>
  <c r="AH93" i="26"/>
  <c r="AH89" i="26"/>
  <c r="AH85" i="26"/>
  <c r="AH81" i="26"/>
  <c r="AH77" i="26"/>
  <c r="AH73" i="26"/>
  <c r="AH69" i="26"/>
  <c r="AH61" i="26"/>
  <c r="AH57" i="26"/>
  <c r="AH53" i="26"/>
  <c r="AH45" i="26"/>
  <c r="AH41" i="26"/>
  <c r="AH33" i="26"/>
  <c r="AH29" i="26"/>
  <c r="AH25" i="26"/>
  <c r="AH21" i="26"/>
  <c r="AH17" i="26"/>
  <c r="AH13" i="26"/>
  <c r="AH9" i="26"/>
  <c r="AO400" i="26"/>
  <c r="AP5" i="26"/>
  <c r="M189" i="30"/>
  <c r="O189" i="30"/>
  <c r="P189" i="30" s="1"/>
  <c r="O121" i="30"/>
  <c r="P121" i="30" s="1"/>
  <c r="M121" i="30"/>
  <c r="M192" i="30"/>
  <c r="O192" i="30"/>
  <c r="P192" i="30" s="1"/>
  <c r="O191" i="30"/>
  <c r="P191" i="30" s="1"/>
  <c r="M191" i="30"/>
  <c r="L171" i="30"/>
  <c r="M159" i="30"/>
  <c r="AG194" i="26"/>
  <c r="AH194" i="26" s="1"/>
  <c r="E194" i="26"/>
  <c r="AI194" i="26" l="1"/>
  <c r="DU279" i="1" s="1"/>
  <c r="DV279" i="1" s="1"/>
  <c r="DV9" i="1"/>
  <c r="O171" i="30"/>
  <c r="P171" i="30" s="1"/>
  <c r="M171" i="30"/>
  <c r="M164" i="30"/>
  <c r="Z68" i="26"/>
  <c r="Z65" i="26"/>
  <c r="Z64" i="26"/>
  <c r="Z51" i="26"/>
  <c r="Z50" i="26"/>
  <c r="Z49" i="26"/>
  <c r="Z48" i="26"/>
  <c r="AI48" i="26" s="1"/>
  <c r="Z39" i="26"/>
  <c r="Z37" i="26"/>
  <c r="I3" i="24"/>
  <c r="D406" i="29"/>
  <c r="E406" i="29"/>
  <c r="F406" i="29"/>
  <c r="C10" i="29"/>
  <c r="D10" i="29"/>
  <c r="E10" i="29"/>
  <c r="F10" i="29"/>
  <c r="C11" i="29"/>
  <c r="D11" i="29"/>
  <c r="E11" i="29"/>
  <c r="F11" i="29"/>
  <c r="C12" i="29"/>
  <c r="D12" i="29"/>
  <c r="E12" i="29"/>
  <c r="F12" i="29"/>
  <c r="C13" i="29"/>
  <c r="D13" i="29"/>
  <c r="E13" i="29"/>
  <c r="F13" i="29"/>
  <c r="C14" i="29"/>
  <c r="D14" i="29"/>
  <c r="E14" i="29"/>
  <c r="F14" i="29"/>
  <c r="C15" i="29"/>
  <c r="D15" i="29"/>
  <c r="E15" i="29"/>
  <c r="F15" i="29"/>
  <c r="C16" i="29"/>
  <c r="D16" i="29"/>
  <c r="E16" i="29"/>
  <c r="F16" i="29"/>
  <c r="C17" i="29"/>
  <c r="D17" i="29"/>
  <c r="E17" i="29"/>
  <c r="F17" i="29"/>
  <c r="C18" i="29"/>
  <c r="D18" i="29"/>
  <c r="E18" i="29"/>
  <c r="F18" i="29"/>
  <c r="C19" i="29"/>
  <c r="D19" i="29"/>
  <c r="E19" i="29"/>
  <c r="F19" i="29"/>
  <c r="C20" i="29"/>
  <c r="D20" i="29"/>
  <c r="E20" i="29"/>
  <c r="F20" i="29"/>
  <c r="C21" i="29"/>
  <c r="D21" i="29"/>
  <c r="E21" i="29"/>
  <c r="F21" i="29"/>
  <c r="C22" i="29"/>
  <c r="D22" i="29"/>
  <c r="E22" i="29"/>
  <c r="F22" i="29"/>
  <c r="C23" i="29"/>
  <c r="D23" i="29"/>
  <c r="E23" i="29"/>
  <c r="F23" i="29"/>
  <c r="C24" i="29"/>
  <c r="D24" i="29"/>
  <c r="E24" i="29"/>
  <c r="F24" i="29"/>
  <c r="C25" i="29"/>
  <c r="D25" i="29"/>
  <c r="E25" i="29"/>
  <c r="F25" i="29"/>
  <c r="C26" i="29"/>
  <c r="D26" i="29"/>
  <c r="E26" i="29"/>
  <c r="F26" i="29"/>
  <c r="C27" i="29"/>
  <c r="D27" i="29"/>
  <c r="E27" i="29"/>
  <c r="F27" i="29"/>
  <c r="C28" i="29"/>
  <c r="D28" i="29"/>
  <c r="E28" i="29"/>
  <c r="F28" i="29"/>
  <c r="C29" i="29"/>
  <c r="D29" i="29"/>
  <c r="E29" i="29"/>
  <c r="F29" i="29"/>
  <c r="C30" i="29"/>
  <c r="D30" i="29"/>
  <c r="E30" i="29"/>
  <c r="F30" i="29"/>
  <c r="C31" i="29"/>
  <c r="D31" i="29"/>
  <c r="E31" i="29"/>
  <c r="F31" i="29"/>
  <c r="C32" i="29"/>
  <c r="D32" i="29"/>
  <c r="E32" i="29"/>
  <c r="F32" i="29"/>
  <c r="C33" i="29"/>
  <c r="D33" i="29"/>
  <c r="E33" i="29"/>
  <c r="F33" i="29"/>
  <c r="C34" i="29"/>
  <c r="D34" i="29"/>
  <c r="E34" i="29"/>
  <c r="F34" i="29"/>
  <c r="C35" i="29"/>
  <c r="D35" i="29"/>
  <c r="E35" i="29"/>
  <c r="F35" i="29"/>
  <c r="C36" i="29"/>
  <c r="D36" i="29"/>
  <c r="E36" i="29"/>
  <c r="F36" i="29"/>
  <c r="C37" i="29"/>
  <c r="D37" i="29"/>
  <c r="E37" i="29"/>
  <c r="F37" i="29"/>
  <c r="C38" i="29"/>
  <c r="D38" i="29"/>
  <c r="E38" i="29"/>
  <c r="F38" i="29"/>
  <c r="C39" i="29"/>
  <c r="D39" i="29"/>
  <c r="E39" i="29"/>
  <c r="F39" i="29"/>
  <c r="C40" i="29"/>
  <c r="D40" i="29"/>
  <c r="E40" i="29"/>
  <c r="F40" i="29"/>
  <c r="C41" i="29"/>
  <c r="D41" i="29"/>
  <c r="E41" i="29"/>
  <c r="F41" i="29"/>
  <c r="C42" i="29"/>
  <c r="D42" i="29"/>
  <c r="E42" i="29"/>
  <c r="F42" i="29"/>
  <c r="C43" i="29"/>
  <c r="D43" i="29"/>
  <c r="E43" i="29"/>
  <c r="F43" i="29"/>
  <c r="C44" i="29"/>
  <c r="D44" i="29"/>
  <c r="E44" i="29"/>
  <c r="F44" i="29"/>
  <c r="C45" i="29"/>
  <c r="D45" i="29"/>
  <c r="E45" i="29"/>
  <c r="F45" i="29"/>
  <c r="C46" i="29"/>
  <c r="D46" i="29"/>
  <c r="E46" i="29"/>
  <c r="F46" i="29"/>
  <c r="C47" i="29"/>
  <c r="D47" i="29"/>
  <c r="E47" i="29"/>
  <c r="F47" i="29"/>
  <c r="C48" i="29"/>
  <c r="D48" i="29"/>
  <c r="E48" i="29"/>
  <c r="F48" i="29"/>
  <c r="C49" i="29"/>
  <c r="D49" i="29"/>
  <c r="E49" i="29"/>
  <c r="F49" i="29"/>
  <c r="C50" i="29"/>
  <c r="D50" i="29"/>
  <c r="E50" i="29"/>
  <c r="F50" i="29"/>
  <c r="C51" i="29"/>
  <c r="D51" i="29"/>
  <c r="E51" i="29"/>
  <c r="F51" i="29"/>
  <c r="C52" i="29"/>
  <c r="D52" i="29"/>
  <c r="E52" i="29"/>
  <c r="F52" i="29"/>
  <c r="C53" i="29"/>
  <c r="D53" i="29"/>
  <c r="E53" i="29"/>
  <c r="F53" i="29"/>
  <c r="C54" i="29"/>
  <c r="D54" i="29"/>
  <c r="E54" i="29"/>
  <c r="F54" i="29"/>
  <c r="C55" i="29"/>
  <c r="D55" i="29"/>
  <c r="E55" i="29"/>
  <c r="F55" i="29"/>
  <c r="C56" i="29"/>
  <c r="D56" i="29"/>
  <c r="E56" i="29"/>
  <c r="F56" i="29"/>
  <c r="C57" i="29"/>
  <c r="D57" i="29"/>
  <c r="E57" i="29"/>
  <c r="F57" i="29"/>
  <c r="C58" i="29"/>
  <c r="D58" i="29"/>
  <c r="E58" i="29"/>
  <c r="F58" i="29"/>
  <c r="C59" i="29"/>
  <c r="D59" i="29"/>
  <c r="E59" i="29"/>
  <c r="F59" i="29"/>
  <c r="C60" i="29"/>
  <c r="D60" i="29"/>
  <c r="E60" i="29"/>
  <c r="F60" i="29"/>
  <c r="C61" i="29"/>
  <c r="D61" i="29"/>
  <c r="E61" i="29"/>
  <c r="F61" i="29"/>
  <c r="C62" i="29"/>
  <c r="D62" i="29"/>
  <c r="E62" i="29"/>
  <c r="F62" i="29"/>
  <c r="C63" i="29"/>
  <c r="D63" i="29"/>
  <c r="E63" i="29"/>
  <c r="F63" i="29"/>
  <c r="C64" i="29"/>
  <c r="D64" i="29"/>
  <c r="E64" i="29"/>
  <c r="F64" i="29"/>
  <c r="C65" i="29"/>
  <c r="D65" i="29"/>
  <c r="E65" i="29"/>
  <c r="F65" i="29"/>
  <c r="C66" i="29"/>
  <c r="D66" i="29"/>
  <c r="E66" i="29"/>
  <c r="F66" i="29"/>
  <c r="C67" i="29"/>
  <c r="D67" i="29"/>
  <c r="E67" i="29"/>
  <c r="F67" i="29"/>
  <c r="C68" i="29"/>
  <c r="D68" i="29"/>
  <c r="E68" i="29"/>
  <c r="F68" i="29"/>
  <c r="C69" i="29"/>
  <c r="D69" i="29"/>
  <c r="E69" i="29"/>
  <c r="F69" i="29"/>
  <c r="C70" i="29"/>
  <c r="D70" i="29"/>
  <c r="E70" i="29"/>
  <c r="F70" i="29"/>
  <c r="C71" i="29"/>
  <c r="D71" i="29"/>
  <c r="E71" i="29"/>
  <c r="F71" i="29"/>
  <c r="C72" i="29"/>
  <c r="D72" i="29"/>
  <c r="E72" i="29"/>
  <c r="F72" i="29"/>
  <c r="C73" i="29"/>
  <c r="D73" i="29"/>
  <c r="E73" i="29"/>
  <c r="F73" i="29"/>
  <c r="C74" i="29"/>
  <c r="D74" i="29"/>
  <c r="E74" i="29"/>
  <c r="F74" i="29"/>
  <c r="C75" i="29"/>
  <c r="D75" i="29"/>
  <c r="E75" i="29"/>
  <c r="F75" i="29"/>
  <c r="C76" i="29"/>
  <c r="D76" i="29"/>
  <c r="E76" i="29"/>
  <c r="F76" i="29"/>
  <c r="C77" i="29"/>
  <c r="D77" i="29"/>
  <c r="E77" i="29"/>
  <c r="F77" i="29"/>
  <c r="C78" i="29"/>
  <c r="D78" i="29"/>
  <c r="E78" i="29"/>
  <c r="F78" i="29"/>
  <c r="C79" i="29"/>
  <c r="D79" i="29"/>
  <c r="E79" i="29"/>
  <c r="F79" i="29"/>
  <c r="C80" i="29"/>
  <c r="D80" i="29"/>
  <c r="E80" i="29"/>
  <c r="F80" i="29"/>
  <c r="C81" i="29"/>
  <c r="D81" i="29"/>
  <c r="E81" i="29"/>
  <c r="F81" i="29"/>
  <c r="C82" i="29"/>
  <c r="D82" i="29"/>
  <c r="E82" i="29"/>
  <c r="F82" i="29"/>
  <c r="C83" i="29"/>
  <c r="D83" i="29"/>
  <c r="E83" i="29"/>
  <c r="F83" i="29"/>
  <c r="C84" i="29"/>
  <c r="D84" i="29"/>
  <c r="E84" i="29"/>
  <c r="F84" i="29"/>
  <c r="C85" i="29"/>
  <c r="D85" i="29"/>
  <c r="E85" i="29"/>
  <c r="F85" i="29"/>
  <c r="C86" i="29"/>
  <c r="D86" i="29"/>
  <c r="E86" i="29"/>
  <c r="F86" i="29"/>
  <c r="C87" i="29"/>
  <c r="D87" i="29"/>
  <c r="E87" i="29"/>
  <c r="F87" i="29"/>
  <c r="C88" i="29"/>
  <c r="D88" i="29"/>
  <c r="E88" i="29"/>
  <c r="F88" i="29"/>
  <c r="C89" i="29"/>
  <c r="D89" i="29"/>
  <c r="E89" i="29"/>
  <c r="F89" i="29"/>
  <c r="C90" i="29"/>
  <c r="D90" i="29"/>
  <c r="E90" i="29"/>
  <c r="F90" i="29"/>
  <c r="C91" i="29"/>
  <c r="D91" i="29"/>
  <c r="E91" i="29"/>
  <c r="F91" i="29"/>
  <c r="C92" i="29"/>
  <c r="D92" i="29"/>
  <c r="E92" i="29"/>
  <c r="F92" i="29"/>
  <c r="C93" i="29"/>
  <c r="D93" i="29"/>
  <c r="E93" i="29"/>
  <c r="F93" i="29"/>
  <c r="C94" i="29"/>
  <c r="D94" i="29"/>
  <c r="E94" i="29"/>
  <c r="F94" i="29"/>
  <c r="C95" i="29"/>
  <c r="D95" i="29"/>
  <c r="E95" i="29"/>
  <c r="F95" i="29"/>
  <c r="C96" i="29"/>
  <c r="D96" i="29"/>
  <c r="E96" i="29"/>
  <c r="F96" i="29"/>
  <c r="C97" i="29"/>
  <c r="D97" i="29"/>
  <c r="E97" i="29"/>
  <c r="F97" i="29"/>
  <c r="C98" i="29"/>
  <c r="D98" i="29"/>
  <c r="E98" i="29"/>
  <c r="F98" i="29"/>
  <c r="C99" i="29"/>
  <c r="D99" i="29"/>
  <c r="E99" i="29"/>
  <c r="F99" i="29"/>
  <c r="C100" i="29"/>
  <c r="D100" i="29"/>
  <c r="E100" i="29"/>
  <c r="F100" i="29"/>
  <c r="C101" i="29"/>
  <c r="D101" i="29"/>
  <c r="E101" i="29"/>
  <c r="F101" i="29"/>
  <c r="C102" i="29"/>
  <c r="D102" i="29"/>
  <c r="E102" i="29"/>
  <c r="F102" i="29"/>
  <c r="C103" i="29"/>
  <c r="D103" i="29"/>
  <c r="E103" i="29"/>
  <c r="F103" i="29"/>
  <c r="C104" i="29"/>
  <c r="D104" i="29"/>
  <c r="E104" i="29"/>
  <c r="F104" i="29"/>
  <c r="C105" i="29"/>
  <c r="D105" i="29"/>
  <c r="E105" i="29"/>
  <c r="F105" i="29"/>
  <c r="C106" i="29"/>
  <c r="D106" i="29"/>
  <c r="E106" i="29"/>
  <c r="F106" i="29"/>
  <c r="C107" i="29"/>
  <c r="D107" i="29"/>
  <c r="E107" i="29"/>
  <c r="F107" i="29"/>
  <c r="C108" i="29"/>
  <c r="D108" i="29"/>
  <c r="E108" i="29"/>
  <c r="F108" i="29"/>
  <c r="C109" i="29"/>
  <c r="D109" i="29"/>
  <c r="E109" i="29"/>
  <c r="F109" i="29"/>
  <c r="C110" i="29"/>
  <c r="D110" i="29"/>
  <c r="E110" i="29"/>
  <c r="F110" i="29"/>
  <c r="C111" i="29"/>
  <c r="D111" i="29"/>
  <c r="E111" i="29"/>
  <c r="F111" i="29"/>
  <c r="C112" i="29"/>
  <c r="D112" i="29"/>
  <c r="E112" i="29"/>
  <c r="F112" i="29"/>
  <c r="C113" i="29"/>
  <c r="D113" i="29"/>
  <c r="E113" i="29"/>
  <c r="F113" i="29"/>
  <c r="C114" i="29"/>
  <c r="D114" i="29"/>
  <c r="E114" i="29"/>
  <c r="F114" i="29"/>
  <c r="C115" i="29"/>
  <c r="D115" i="29"/>
  <c r="E115" i="29"/>
  <c r="F115" i="29"/>
  <c r="C116" i="29"/>
  <c r="D116" i="29"/>
  <c r="E116" i="29"/>
  <c r="F116" i="29"/>
  <c r="C117" i="29"/>
  <c r="D117" i="29"/>
  <c r="E117" i="29"/>
  <c r="F117" i="29"/>
  <c r="C118" i="29"/>
  <c r="D118" i="29"/>
  <c r="E118" i="29"/>
  <c r="F118" i="29"/>
  <c r="C119" i="29"/>
  <c r="D119" i="29"/>
  <c r="E119" i="29"/>
  <c r="F119" i="29"/>
  <c r="C120" i="29"/>
  <c r="D120" i="29"/>
  <c r="E120" i="29"/>
  <c r="F120" i="29"/>
  <c r="C121" i="29"/>
  <c r="D121" i="29"/>
  <c r="E121" i="29"/>
  <c r="F121" i="29"/>
  <c r="C122" i="29"/>
  <c r="D122" i="29"/>
  <c r="E122" i="29"/>
  <c r="F122" i="29"/>
  <c r="C123" i="29"/>
  <c r="D123" i="29"/>
  <c r="E123" i="29"/>
  <c r="F123" i="29"/>
  <c r="C124" i="29"/>
  <c r="D124" i="29"/>
  <c r="E124" i="29"/>
  <c r="F124" i="29"/>
  <c r="C125" i="29"/>
  <c r="D125" i="29"/>
  <c r="E125" i="29"/>
  <c r="F125" i="29"/>
  <c r="C126" i="29"/>
  <c r="D126" i="29"/>
  <c r="E126" i="29"/>
  <c r="F126" i="29"/>
  <c r="C127" i="29"/>
  <c r="D127" i="29"/>
  <c r="E127" i="29"/>
  <c r="F127" i="29"/>
  <c r="C128" i="29"/>
  <c r="D128" i="29"/>
  <c r="E128" i="29"/>
  <c r="F128" i="29"/>
  <c r="C129" i="29"/>
  <c r="D129" i="29"/>
  <c r="E129" i="29"/>
  <c r="F129" i="29"/>
  <c r="C130" i="29"/>
  <c r="D130" i="29"/>
  <c r="E130" i="29"/>
  <c r="F130" i="29"/>
  <c r="C131" i="29"/>
  <c r="D131" i="29"/>
  <c r="E131" i="29"/>
  <c r="F131" i="29"/>
  <c r="C132" i="29"/>
  <c r="D132" i="29"/>
  <c r="E132" i="29"/>
  <c r="F132" i="29"/>
  <c r="C133" i="29"/>
  <c r="D133" i="29"/>
  <c r="E133" i="29"/>
  <c r="F133" i="29"/>
  <c r="C134" i="29"/>
  <c r="D134" i="29"/>
  <c r="E134" i="29"/>
  <c r="F134" i="29"/>
  <c r="C135" i="29"/>
  <c r="D135" i="29"/>
  <c r="E135" i="29"/>
  <c r="F135" i="29"/>
  <c r="C136" i="29"/>
  <c r="D136" i="29"/>
  <c r="E136" i="29"/>
  <c r="F136" i="29"/>
  <c r="C137" i="29"/>
  <c r="D137" i="29"/>
  <c r="E137" i="29"/>
  <c r="F137" i="29"/>
  <c r="C138" i="29"/>
  <c r="D138" i="29"/>
  <c r="E138" i="29"/>
  <c r="F138" i="29"/>
  <c r="C139" i="29"/>
  <c r="D139" i="29"/>
  <c r="E139" i="29"/>
  <c r="F139" i="29"/>
  <c r="C140" i="29"/>
  <c r="D140" i="29"/>
  <c r="E140" i="29"/>
  <c r="F140" i="29"/>
  <c r="C141" i="29"/>
  <c r="D141" i="29"/>
  <c r="E141" i="29"/>
  <c r="F141" i="29"/>
  <c r="C142" i="29"/>
  <c r="D142" i="29"/>
  <c r="E142" i="29"/>
  <c r="F142" i="29"/>
  <c r="C143" i="29"/>
  <c r="D143" i="29"/>
  <c r="E143" i="29"/>
  <c r="F143" i="29"/>
  <c r="C144" i="29"/>
  <c r="D144" i="29"/>
  <c r="E144" i="29"/>
  <c r="F144" i="29"/>
  <c r="C145" i="29"/>
  <c r="D145" i="29"/>
  <c r="E145" i="29"/>
  <c r="F145" i="29"/>
  <c r="C146" i="29"/>
  <c r="D146" i="29"/>
  <c r="E146" i="29"/>
  <c r="F146" i="29"/>
  <c r="C147" i="29"/>
  <c r="D147" i="29"/>
  <c r="E147" i="29"/>
  <c r="F147" i="29"/>
  <c r="C148" i="29"/>
  <c r="D148" i="29"/>
  <c r="E148" i="29"/>
  <c r="F148" i="29"/>
  <c r="C149" i="29"/>
  <c r="D149" i="29"/>
  <c r="E149" i="29"/>
  <c r="F149" i="29"/>
  <c r="C150" i="29"/>
  <c r="D150" i="29"/>
  <c r="E150" i="29"/>
  <c r="F150" i="29"/>
  <c r="C151" i="29"/>
  <c r="D151" i="29"/>
  <c r="E151" i="29"/>
  <c r="F151" i="29"/>
  <c r="C152" i="29"/>
  <c r="D152" i="29"/>
  <c r="E152" i="29"/>
  <c r="F152" i="29"/>
  <c r="C153" i="29"/>
  <c r="D153" i="29"/>
  <c r="E153" i="29"/>
  <c r="F153" i="29"/>
  <c r="C154" i="29"/>
  <c r="D154" i="29"/>
  <c r="E154" i="29"/>
  <c r="F154" i="29"/>
  <c r="C155" i="29"/>
  <c r="D155" i="29"/>
  <c r="E155" i="29"/>
  <c r="F155" i="29"/>
  <c r="C156" i="29"/>
  <c r="D156" i="29"/>
  <c r="E156" i="29"/>
  <c r="F156" i="29"/>
  <c r="C157" i="29"/>
  <c r="D157" i="29"/>
  <c r="E157" i="29"/>
  <c r="F157" i="29"/>
  <c r="C158" i="29"/>
  <c r="D158" i="29"/>
  <c r="E158" i="29"/>
  <c r="F158" i="29"/>
  <c r="C159" i="29"/>
  <c r="D159" i="29"/>
  <c r="E159" i="29"/>
  <c r="F159" i="29"/>
  <c r="C160" i="29"/>
  <c r="D160" i="29"/>
  <c r="E160" i="29"/>
  <c r="F160" i="29"/>
  <c r="C161" i="29"/>
  <c r="D161" i="29"/>
  <c r="E161" i="29"/>
  <c r="F161" i="29"/>
  <c r="C162" i="29"/>
  <c r="D162" i="29"/>
  <c r="E162" i="29"/>
  <c r="F162" i="29"/>
  <c r="C163" i="29"/>
  <c r="D163" i="29"/>
  <c r="E163" i="29"/>
  <c r="F163" i="29"/>
  <c r="C164" i="29"/>
  <c r="D164" i="29"/>
  <c r="E164" i="29"/>
  <c r="F164" i="29"/>
  <c r="C165" i="29"/>
  <c r="D165" i="29"/>
  <c r="E165" i="29"/>
  <c r="F165" i="29"/>
  <c r="C166" i="29"/>
  <c r="D166" i="29"/>
  <c r="E166" i="29"/>
  <c r="F166" i="29"/>
  <c r="C167" i="29"/>
  <c r="D167" i="29"/>
  <c r="E167" i="29"/>
  <c r="F167" i="29"/>
  <c r="C168" i="29"/>
  <c r="D168" i="29"/>
  <c r="E168" i="29"/>
  <c r="F168" i="29"/>
  <c r="C169" i="29"/>
  <c r="D169" i="29"/>
  <c r="E169" i="29"/>
  <c r="F169" i="29"/>
  <c r="C170" i="29"/>
  <c r="D170" i="29"/>
  <c r="E170" i="29"/>
  <c r="F170" i="29"/>
  <c r="C171" i="29"/>
  <c r="D171" i="29"/>
  <c r="E171" i="29"/>
  <c r="F171" i="29"/>
  <c r="C172" i="29"/>
  <c r="D172" i="29"/>
  <c r="E172" i="29"/>
  <c r="F172" i="29"/>
  <c r="C173" i="29"/>
  <c r="D173" i="29"/>
  <c r="E173" i="29"/>
  <c r="F173" i="29"/>
  <c r="C174" i="29"/>
  <c r="D174" i="29"/>
  <c r="E174" i="29"/>
  <c r="F174" i="29"/>
  <c r="C175" i="29"/>
  <c r="D175" i="29"/>
  <c r="E175" i="29"/>
  <c r="F175" i="29"/>
  <c r="C176" i="29"/>
  <c r="D176" i="29"/>
  <c r="E176" i="29"/>
  <c r="F176" i="29"/>
  <c r="C177" i="29"/>
  <c r="D177" i="29"/>
  <c r="E177" i="29"/>
  <c r="F177" i="29"/>
  <c r="C178" i="29"/>
  <c r="D178" i="29"/>
  <c r="E178" i="29"/>
  <c r="F178" i="29"/>
  <c r="C179" i="29"/>
  <c r="D179" i="29"/>
  <c r="E179" i="29"/>
  <c r="F179" i="29"/>
  <c r="C180" i="29"/>
  <c r="D180" i="29"/>
  <c r="E180" i="29"/>
  <c r="F180" i="29"/>
  <c r="C181" i="29"/>
  <c r="D181" i="29"/>
  <c r="E181" i="29"/>
  <c r="F181" i="29"/>
  <c r="C182" i="29"/>
  <c r="D182" i="29"/>
  <c r="E182" i="29"/>
  <c r="F182" i="29"/>
  <c r="C183" i="29"/>
  <c r="D183" i="29"/>
  <c r="E183" i="29"/>
  <c r="F183" i="29"/>
  <c r="C184" i="29"/>
  <c r="D184" i="29"/>
  <c r="E184" i="29"/>
  <c r="F184" i="29"/>
  <c r="C185" i="29"/>
  <c r="D185" i="29"/>
  <c r="E185" i="29"/>
  <c r="F185" i="29"/>
  <c r="C186" i="29"/>
  <c r="D186" i="29"/>
  <c r="E186" i="29"/>
  <c r="F186" i="29"/>
  <c r="C187" i="29"/>
  <c r="D187" i="29"/>
  <c r="E187" i="29"/>
  <c r="F187" i="29"/>
  <c r="C188" i="29"/>
  <c r="D188" i="29"/>
  <c r="E188" i="29"/>
  <c r="F188" i="29"/>
  <c r="C189" i="29"/>
  <c r="D189" i="29"/>
  <c r="E189" i="29"/>
  <c r="F189" i="29"/>
  <c r="C190" i="29"/>
  <c r="D190" i="29"/>
  <c r="E190" i="29"/>
  <c r="F190" i="29"/>
  <c r="C191" i="29"/>
  <c r="D191" i="29"/>
  <c r="E191" i="29"/>
  <c r="F191" i="29"/>
  <c r="C192" i="29"/>
  <c r="D192" i="29"/>
  <c r="E192" i="29"/>
  <c r="F192" i="29"/>
  <c r="C193" i="29"/>
  <c r="D193" i="29"/>
  <c r="E193" i="29"/>
  <c r="F193" i="29"/>
  <c r="C194" i="29"/>
  <c r="D194" i="29"/>
  <c r="E194" i="29"/>
  <c r="F194" i="29"/>
  <c r="C195" i="29"/>
  <c r="D195" i="29"/>
  <c r="E195" i="29"/>
  <c r="F195" i="29"/>
  <c r="C196" i="29"/>
  <c r="D196" i="29"/>
  <c r="E196" i="29"/>
  <c r="F196" i="29"/>
  <c r="C197" i="29"/>
  <c r="D197" i="29"/>
  <c r="E197" i="29"/>
  <c r="F197" i="29"/>
  <c r="C198" i="29"/>
  <c r="D198" i="29"/>
  <c r="E198" i="29"/>
  <c r="F198" i="29"/>
  <c r="C199" i="29"/>
  <c r="D199" i="29"/>
  <c r="E199" i="29"/>
  <c r="F199" i="29"/>
  <c r="C200" i="29"/>
  <c r="D200" i="29"/>
  <c r="E200" i="29"/>
  <c r="F200" i="29"/>
  <c r="C201" i="29"/>
  <c r="D201" i="29"/>
  <c r="E201" i="29"/>
  <c r="F201" i="29"/>
  <c r="C202" i="29"/>
  <c r="D202" i="29"/>
  <c r="E202" i="29"/>
  <c r="F202" i="29"/>
  <c r="C203" i="29"/>
  <c r="D203" i="29"/>
  <c r="E203" i="29"/>
  <c r="F203" i="29"/>
  <c r="C204" i="29"/>
  <c r="D204" i="29"/>
  <c r="E204" i="29"/>
  <c r="F204" i="29"/>
  <c r="C205" i="29"/>
  <c r="D205" i="29"/>
  <c r="E205" i="29"/>
  <c r="F205" i="29"/>
  <c r="C206" i="29"/>
  <c r="D206" i="29"/>
  <c r="E206" i="29"/>
  <c r="F206" i="29"/>
  <c r="C207" i="29"/>
  <c r="D207" i="29"/>
  <c r="E207" i="29"/>
  <c r="F207" i="29"/>
  <c r="C208" i="29"/>
  <c r="D208" i="29"/>
  <c r="E208" i="29"/>
  <c r="F208" i="29"/>
  <c r="C209" i="29"/>
  <c r="D209" i="29"/>
  <c r="E209" i="29"/>
  <c r="F209" i="29"/>
  <c r="C210" i="29"/>
  <c r="D210" i="29"/>
  <c r="E210" i="29"/>
  <c r="F210" i="29"/>
  <c r="C211" i="29"/>
  <c r="D211" i="29"/>
  <c r="E211" i="29"/>
  <c r="F211" i="29"/>
  <c r="C212" i="29"/>
  <c r="D212" i="29"/>
  <c r="E212" i="29"/>
  <c r="F212" i="29"/>
  <c r="C213" i="29"/>
  <c r="D213" i="29"/>
  <c r="E213" i="29"/>
  <c r="F213" i="29"/>
  <c r="C214" i="29"/>
  <c r="D214" i="29"/>
  <c r="E214" i="29"/>
  <c r="F214" i="29"/>
  <c r="C215" i="29"/>
  <c r="D215" i="29"/>
  <c r="E215" i="29"/>
  <c r="F215" i="29"/>
  <c r="C216" i="29"/>
  <c r="D216" i="29"/>
  <c r="E216" i="29"/>
  <c r="F216" i="29"/>
  <c r="C217" i="29"/>
  <c r="D217" i="29"/>
  <c r="E217" i="29"/>
  <c r="F217" i="29"/>
  <c r="C218" i="29"/>
  <c r="D218" i="29"/>
  <c r="E218" i="29"/>
  <c r="F218" i="29"/>
  <c r="C219" i="29"/>
  <c r="D219" i="29"/>
  <c r="E219" i="29"/>
  <c r="F219" i="29"/>
  <c r="C220" i="29"/>
  <c r="D220" i="29"/>
  <c r="E220" i="29"/>
  <c r="F220" i="29"/>
  <c r="C221" i="29"/>
  <c r="D221" i="29"/>
  <c r="E221" i="29"/>
  <c r="F221" i="29"/>
  <c r="C222" i="29"/>
  <c r="D222" i="29"/>
  <c r="E222" i="29"/>
  <c r="F222" i="29"/>
  <c r="C223" i="29"/>
  <c r="D223" i="29"/>
  <c r="E223" i="29"/>
  <c r="F223" i="29"/>
  <c r="C224" i="29"/>
  <c r="D224" i="29"/>
  <c r="E224" i="29"/>
  <c r="F224" i="29"/>
  <c r="C225" i="29"/>
  <c r="D225" i="29"/>
  <c r="E225" i="29"/>
  <c r="F225" i="29"/>
  <c r="C226" i="29"/>
  <c r="D226" i="29"/>
  <c r="E226" i="29"/>
  <c r="F226" i="29"/>
  <c r="C227" i="29"/>
  <c r="D227" i="29"/>
  <c r="E227" i="29"/>
  <c r="F227" i="29"/>
  <c r="C228" i="29"/>
  <c r="D228" i="29"/>
  <c r="E228" i="29"/>
  <c r="F228" i="29"/>
  <c r="C229" i="29"/>
  <c r="D229" i="29"/>
  <c r="E229" i="29"/>
  <c r="F229" i="29"/>
  <c r="C230" i="29"/>
  <c r="D230" i="29"/>
  <c r="E230" i="29"/>
  <c r="F230" i="29"/>
  <c r="C231" i="29"/>
  <c r="D231" i="29"/>
  <c r="E231" i="29"/>
  <c r="F231" i="29"/>
  <c r="C232" i="29"/>
  <c r="D232" i="29"/>
  <c r="E232" i="29"/>
  <c r="F232" i="29"/>
  <c r="C233" i="29"/>
  <c r="D233" i="29"/>
  <c r="E233" i="29"/>
  <c r="F233" i="29"/>
  <c r="C234" i="29"/>
  <c r="D234" i="29"/>
  <c r="E234" i="29"/>
  <c r="F234" i="29"/>
  <c r="C235" i="29"/>
  <c r="D235" i="29"/>
  <c r="E235" i="29"/>
  <c r="F235" i="29"/>
  <c r="C236" i="29"/>
  <c r="D236" i="29"/>
  <c r="E236" i="29"/>
  <c r="F236" i="29"/>
  <c r="C237" i="29"/>
  <c r="D237" i="29"/>
  <c r="E237" i="29"/>
  <c r="F237" i="29"/>
  <c r="C238" i="29"/>
  <c r="D238" i="29"/>
  <c r="E238" i="29"/>
  <c r="F238" i="29"/>
  <c r="C239" i="29"/>
  <c r="D239" i="29"/>
  <c r="E239" i="29"/>
  <c r="F239" i="29"/>
  <c r="C240" i="29"/>
  <c r="D240" i="29"/>
  <c r="E240" i="29"/>
  <c r="F240" i="29"/>
  <c r="C241" i="29"/>
  <c r="D241" i="29"/>
  <c r="E241" i="29"/>
  <c r="F241" i="29"/>
  <c r="C242" i="29"/>
  <c r="D242" i="29"/>
  <c r="E242" i="29"/>
  <c r="F242" i="29"/>
  <c r="C243" i="29"/>
  <c r="D243" i="29"/>
  <c r="E243" i="29"/>
  <c r="F243" i="29"/>
  <c r="C244" i="29"/>
  <c r="D244" i="29"/>
  <c r="E244" i="29"/>
  <c r="F244" i="29"/>
  <c r="C245" i="29"/>
  <c r="D245" i="29"/>
  <c r="E245" i="29"/>
  <c r="F245" i="29"/>
  <c r="C246" i="29"/>
  <c r="D246" i="29"/>
  <c r="E246" i="29"/>
  <c r="F246" i="29"/>
  <c r="C247" i="29"/>
  <c r="D247" i="29"/>
  <c r="E247" i="29"/>
  <c r="F247" i="29"/>
  <c r="C248" i="29"/>
  <c r="D248" i="29"/>
  <c r="E248" i="29"/>
  <c r="F248" i="29"/>
  <c r="C249" i="29"/>
  <c r="D249" i="29"/>
  <c r="E249" i="29"/>
  <c r="F249" i="29"/>
  <c r="C250" i="29"/>
  <c r="D250" i="29"/>
  <c r="E250" i="29"/>
  <c r="F250" i="29"/>
  <c r="C251" i="29"/>
  <c r="D251" i="29"/>
  <c r="E251" i="29"/>
  <c r="F251" i="29"/>
  <c r="C252" i="29"/>
  <c r="D252" i="29"/>
  <c r="E252" i="29"/>
  <c r="F252" i="29"/>
  <c r="C253" i="29"/>
  <c r="D253" i="29"/>
  <c r="E253" i="29"/>
  <c r="F253" i="29"/>
  <c r="C254" i="29"/>
  <c r="D254" i="29"/>
  <c r="E254" i="29"/>
  <c r="F254" i="29"/>
  <c r="C255" i="29"/>
  <c r="D255" i="29"/>
  <c r="E255" i="29"/>
  <c r="F255" i="29"/>
  <c r="C256" i="29"/>
  <c r="D256" i="29"/>
  <c r="E256" i="29"/>
  <c r="F256" i="29"/>
  <c r="C257" i="29"/>
  <c r="D257" i="29"/>
  <c r="E257" i="29"/>
  <c r="F257" i="29"/>
  <c r="C258" i="29"/>
  <c r="D258" i="29"/>
  <c r="E258" i="29"/>
  <c r="F258" i="29"/>
  <c r="C259" i="29"/>
  <c r="D259" i="29"/>
  <c r="E259" i="29"/>
  <c r="F259" i="29"/>
  <c r="C260" i="29"/>
  <c r="D260" i="29"/>
  <c r="E260" i="29"/>
  <c r="F260" i="29"/>
  <c r="C261" i="29"/>
  <c r="D261" i="29"/>
  <c r="E261" i="29"/>
  <c r="F261" i="29"/>
  <c r="C262" i="29"/>
  <c r="D262" i="29"/>
  <c r="E262" i="29"/>
  <c r="F262" i="29"/>
  <c r="C263" i="29"/>
  <c r="D263" i="29"/>
  <c r="E263" i="29"/>
  <c r="F263" i="29"/>
  <c r="C264" i="29"/>
  <c r="D264" i="29"/>
  <c r="E264" i="29"/>
  <c r="F264" i="29"/>
  <c r="C265" i="29"/>
  <c r="D265" i="29"/>
  <c r="E265" i="29"/>
  <c r="F265" i="29"/>
  <c r="C266" i="29"/>
  <c r="D266" i="29"/>
  <c r="E266" i="29"/>
  <c r="F266" i="29"/>
  <c r="C267" i="29"/>
  <c r="D267" i="29"/>
  <c r="E267" i="29"/>
  <c r="F267" i="29"/>
  <c r="C268" i="29"/>
  <c r="D268" i="29"/>
  <c r="E268" i="29"/>
  <c r="F268" i="29"/>
  <c r="C269" i="29"/>
  <c r="D269" i="29"/>
  <c r="E269" i="29"/>
  <c r="F269" i="29"/>
  <c r="C270" i="29"/>
  <c r="D270" i="29"/>
  <c r="E270" i="29"/>
  <c r="F270" i="29"/>
  <c r="C271" i="29"/>
  <c r="D271" i="29"/>
  <c r="E271" i="29"/>
  <c r="F271" i="29"/>
  <c r="C272" i="29"/>
  <c r="D272" i="29"/>
  <c r="E272" i="29"/>
  <c r="F272" i="29"/>
  <c r="C273" i="29"/>
  <c r="D273" i="29"/>
  <c r="E273" i="29"/>
  <c r="F273" i="29"/>
  <c r="C274" i="29"/>
  <c r="D274" i="29"/>
  <c r="E274" i="29"/>
  <c r="F274" i="29"/>
  <c r="C275" i="29"/>
  <c r="D275" i="29"/>
  <c r="E275" i="29"/>
  <c r="F275" i="29"/>
  <c r="C276" i="29"/>
  <c r="D276" i="29"/>
  <c r="E276" i="29"/>
  <c r="F276" i="29"/>
  <c r="C277" i="29"/>
  <c r="D277" i="29"/>
  <c r="E277" i="29"/>
  <c r="F277" i="29"/>
  <c r="C278" i="29"/>
  <c r="D278" i="29"/>
  <c r="E278" i="29"/>
  <c r="F278" i="29"/>
  <c r="C279" i="29"/>
  <c r="D279" i="29"/>
  <c r="E279" i="29"/>
  <c r="F279" i="29"/>
  <c r="C280" i="29"/>
  <c r="D280" i="29"/>
  <c r="E280" i="29"/>
  <c r="F280" i="29"/>
  <c r="C281" i="29"/>
  <c r="D281" i="29"/>
  <c r="E281" i="29"/>
  <c r="F281" i="29"/>
  <c r="C282" i="29"/>
  <c r="D282" i="29"/>
  <c r="E282" i="29"/>
  <c r="F282" i="29"/>
  <c r="C283" i="29"/>
  <c r="D283" i="29"/>
  <c r="E283" i="29"/>
  <c r="F283" i="29"/>
  <c r="C284" i="29"/>
  <c r="D284" i="29"/>
  <c r="E284" i="29"/>
  <c r="F284" i="29"/>
  <c r="C285" i="29"/>
  <c r="D285" i="29"/>
  <c r="E285" i="29"/>
  <c r="F285" i="29"/>
  <c r="C286" i="29"/>
  <c r="D286" i="29"/>
  <c r="E286" i="29"/>
  <c r="F286" i="29"/>
  <c r="C287" i="29"/>
  <c r="D287" i="29"/>
  <c r="E287" i="29"/>
  <c r="F287" i="29"/>
  <c r="C288" i="29"/>
  <c r="D288" i="29"/>
  <c r="E288" i="29"/>
  <c r="F288" i="29"/>
  <c r="C289" i="29"/>
  <c r="D289" i="29"/>
  <c r="E289" i="29"/>
  <c r="F289" i="29"/>
  <c r="C290" i="29"/>
  <c r="D290" i="29"/>
  <c r="E290" i="29"/>
  <c r="F290" i="29"/>
  <c r="C291" i="29"/>
  <c r="D291" i="29"/>
  <c r="E291" i="29"/>
  <c r="F291" i="29"/>
  <c r="C292" i="29"/>
  <c r="D292" i="29"/>
  <c r="E292" i="29"/>
  <c r="F292" i="29"/>
  <c r="C293" i="29"/>
  <c r="D293" i="29"/>
  <c r="E293" i="29"/>
  <c r="F293" i="29"/>
  <c r="C294" i="29"/>
  <c r="D294" i="29"/>
  <c r="E294" i="29"/>
  <c r="F294" i="29"/>
  <c r="C295" i="29"/>
  <c r="D295" i="29"/>
  <c r="E295" i="29"/>
  <c r="F295" i="29"/>
  <c r="C296" i="29"/>
  <c r="D296" i="29"/>
  <c r="E296" i="29"/>
  <c r="F296" i="29"/>
  <c r="C297" i="29"/>
  <c r="D297" i="29"/>
  <c r="E297" i="29"/>
  <c r="F297" i="29"/>
  <c r="C298" i="29"/>
  <c r="D298" i="29"/>
  <c r="E298" i="29"/>
  <c r="F298" i="29"/>
  <c r="C299" i="29"/>
  <c r="D299" i="29"/>
  <c r="E299" i="29"/>
  <c r="F299" i="29"/>
  <c r="C300" i="29"/>
  <c r="D300" i="29"/>
  <c r="E300" i="29"/>
  <c r="F300" i="29"/>
  <c r="C301" i="29"/>
  <c r="D301" i="29"/>
  <c r="E301" i="29"/>
  <c r="F301" i="29"/>
  <c r="C302" i="29"/>
  <c r="D302" i="29"/>
  <c r="E302" i="29"/>
  <c r="F302" i="29"/>
  <c r="C303" i="29"/>
  <c r="D303" i="29"/>
  <c r="E303" i="29"/>
  <c r="F303" i="29"/>
  <c r="C304" i="29"/>
  <c r="D304" i="29"/>
  <c r="E304" i="29"/>
  <c r="F304" i="29"/>
  <c r="C305" i="29"/>
  <c r="D305" i="29"/>
  <c r="E305" i="29"/>
  <c r="F305" i="29"/>
  <c r="C306" i="29"/>
  <c r="D306" i="29"/>
  <c r="E306" i="29"/>
  <c r="F306" i="29"/>
  <c r="C307" i="29"/>
  <c r="D307" i="29"/>
  <c r="E307" i="29"/>
  <c r="F307" i="29"/>
  <c r="C308" i="29"/>
  <c r="D308" i="29"/>
  <c r="E308" i="29"/>
  <c r="F308" i="29"/>
  <c r="C309" i="29"/>
  <c r="D309" i="29"/>
  <c r="E309" i="29"/>
  <c r="F309" i="29"/>
  <c r="C310" i="29"/>
  <c r="D310" i="29"/>
  <c r="E310" i="29"/>
  <c r="F310" i="29"/>
  <c r="C311" i="29"/>
  <c r="D311" i="29"/>
  <c r="E311" i="29"/>
  <c r="F311" i="29"/>
  <c r="C312" i="29"/>
  <c r="D312" i="29"/>
  <c r="E312" i="29"/>
  <c r="F312" i="29"/>
  <c r="C313" i="29"/>
  <c r="D313" i="29"/>
  <c r="E313" i="29"/>
  <c r="F313" i="29"/>
  <c r="C314" i="29"/>
  <c r="D314" i="29"/>
  <c r="E314" i="29"/>
  <c r="F314" i="29"/>
  <c r="C315" i="29"/>
  <c r="D315" i="29"/>
  <c r="E315" i="29"/>
  <c r="F315" i="29"/>
  <c r="C316" i="29"/>
  <c r="D316" i="29"/>
  <c r="E316" i="29"/>
  <c r="F316" i="29"/>
  <c r="C317" i="29"/>
  <c r="D317" i="29"/>
  <c r="E317" i="29"/>
  <c r="F317" i="29"/>
  <c r="C318" i="29"/>
  <c r="D318" i="29"/>
  <c r="E318" i="29"/>
  <c r="F318" i="29"/>
  <c r="C319" i="29"/>
  <c r="D319" i="29"/>
  <c r="E319" i="29"/>
  <c r="F319" i="29"/>
  <c r="C320" i="29"/>
  <c r="D320" i="29"/>
  <c r="E320" i="29"/>
  <c r="F320" i="29"/>
  <c r="C321" i="29"/>
  <c r="D321" i="29"/>
  <c r="E321" i="29"/>
  <c r="F321" i="29"/>
  <c r="C322" i="29"/>
  <c r="D322" i="29"/>
  <c r="E322" i="29"/>
  <c r="F322" i="29"/>
  <c r="C323" i="29"/>
  <c r="D323" i="29"/>
  <c r="E323" i="29"/>
  <c r="F323" i="29"/>
  <c r="C324" i="29"/>
  <c r="D324" i="29"/>
  <c r="E324" i="29"/>
  <c r="F324" i="29"/>
  <c r="C325" i="29"/>
  <c r="D325" i="29"/>
  <c r="E325" i="29"/>
  <c r="F325" i="29"/>
  <c r="C326" i="29"/>
  <c r="D326" i="29"/>
  <c r="E326" i="29"/>
  <c r="F326" i="29"/>
  <c r="C327" i="29"/>
  <c r="D327" i="29"/>
  <c r="E327" i="29"/>
  <c r="F327" i="29"/>
  <c r="C328" i="29"/>
  <c r="D328" i="29"/>
  <c r="E328" i="29"/>
  <c r="F328" i="29"/>
  <c r="C329" i="29"/>
  <c r="D329" i="29"/>
  <c r="E329" i="29"/>
  <c r="F329" i="29"/>
  <c r="C330" i="29"/>
  <c r="D330" i="29"/>
  <c r="E330" i="29"/>
  <c r="F330" i="29"/>
  <c r="C331" i="29"/>
  <c r="D331" i="29"/>
  <c r="E331" i="29"/>
  <c r="F331" i="29"/>
  <c r="C332" i="29"/>
  <c r="D332" i="29"/>
  <c r="E332" i="29"/>
  <c r="F332" i="29"/>
  <c r="C333" i="29"/>
  <c r="D333" i="29"/>
  <c r="E333" i="29"/>
  <c r="F333" i="29"/>
  <c r="C334" i="29"/>
  <c r="D334" i="29"/>
  <c r="E334" i="29"/>
  <c r="F334" i="29"/>
  <c r="C335" i="29"/>
  <c r="D335" i="29"/>
  <c r="E335" i="29"/>
  <c r="F335" i="29"/>
  <c r="C336" i="29"/>
  <c r="D336" i="29"/>
  <c r="E336" i="29"/>
  <c r="F336" i="29"/>
  <c r="C337" i="29"/>
  <c r="D337" i="29"/>
  <c r="E337" i="29"/>
  <c r="F337" i="29"/>
  <c r="C338" i="29"/>
  <c r="D338" i="29"/>
  <c r="E338" i="29"/>
  <c r="F338" i="29"/>
  <c r="C339" i="29"/>
  <c r="D339" i="29"/>
  <c r="E339" i="29"/>
  <c r="F339" i="29"/>
  <c r="C340" i="29"/>
  <c r="D340" i="29"/>
  <c r="E340" i="29"/>
  <c r="F340" i="29"/>
  <c r="C341" i="29"/>
  <c r="D341" i="29"/>
  <c r="E341" i="29"/>
  <c r="F341" i="29"/>
  <c r="C342" i="29"/>
  <c r="D342" i="29"/>
  <c r="E342" i="29"/>
  <c r="F342" i="29"/>
  <c r="C343" i="29"/>
  <c r="D343" i="29"/>
  <c r="E343" i="29"/>
  <c r="F343" i="29"/>
  <c r="C344" i="29"/>
  <c r="D344" i="29"/>
  <c r="E344" i="29"/>
  <c r="F344" i="29"/>
  <c r="C345" i="29"/>
  <c r="D345" i="29"/>
  <c r="E345" i="29"/>
  <c r="F345" i="29"/>
  <c r="C346" i="29"/>
  <c r="D346" i="29"/>
  <c r="E346" i="29"/>
  <c r="F346" i="29"/>
  <c r="C347" i="29"/>
  <c r="D347" i="29"/>
  <c r="E347" i="29"/>
  <c r="F347" i="29"/>
  <c r="C348" i="29"/>
  <c r="D348" i="29"/>
  <c r="E348" i="29"/>
  <c r="F348" i="29"/>
  <c r="C349" i="29"/>
  <c r="D349" i="29"/>
  <c r="E349" i="29"/>
  <c r="F349" i="29"/>
  <c r="C350" i="29"/>
  <c r="D350" i="29"/>
  <c r="E350" i="29"/>
  <c r="F350" i="29"/>
  <c r="C351" i="29"/>
  <c r="D351" i="29"/>
  <c r="E351" i="29"/>
  <c r="F351" i="29"/>
  <c r="C352" i="29"/>
  <c r="D352" i="29"/>
  <c r="E352" i="29"/>
  <c r="F352" i="29"/>
  <c r="C353" i="29"/>
  <c r="D353" i="29"/>
  <c r="E353" i="29"/>
  <c r="F353" i="29"/>
  <c r="C354" i="29"/>
  <c r="D354" i="29"/>
  <c r="E354" i="29"/>
  <c r="F354" i="29"/>
  <c r="C355" i="29"/>
  <c r="D355" i="29"/>
  <c r="E355" i="29"/>
  <c r="F355" i="29"/>
  <c r="C356" i="29"/>
  <c r="D356" i="29"/>
  <c r="E356" i="29"/>
  <c r="F356" i="29"/>
  <c r="C357" i="29"/>
  <c r="D357" i="29"/>
  <c r="E357" i="29"/>
  <c r="F357" i="29"/>
  <c r="C358" i="29"/>
  <c r="D358" i="29"/>
  <c r="E358" i="29"/>
  <c r="F358" i="29"/>
  <c r="C359" i="29"/>
  <c r="D359" i="29"/>
  <c r="E359" i="29"/>
  <c r="F359" i="29"/>
  <c r="C360" i="29"/>
  <c r="D360" i="29"/>
  <c r="E360" i="29"/>
  <c r="F360" i="29"/>
  <c r="C361" i="29"/>
  <c r="D361" i="29"/>
  <c r="E361" i="29"/>
  <c r="F361" i="29"/>
  <c r="C362" i="29"/>
  <c r="D362" i="29"/>
  <c r="E362" i="29"/>
  <c r="F362" i="29"/>
  <c r="C363" i="29"/>
  <c r="D363" i="29"/>
  <c r="E363" i="29"/>
  <c r="F363" i="29"/>
  <c r="C364" i="29"/>
  <c r="D364" i="29"/>
  <c r="E364" i="29"/>
  <c r="F364" i="29"/>
  <c r="C365" i="29"/>
  <c r="D365" i="29"/>
  <c r="E365" i="29"/>
  <c r="F365" i="29"/>
  <c r="C366" i="29"/>
  <c r="D366" i="29"/>
  <c r="E366" i="29"/>
  <c r="F366" i="29"/>
  <c r="C367" i="29"/>
  <c r="D367" i="29"/>
  <c r="E367" i="29"/>
  <c r="F367" i="29"/>
  <c r="C368" i="29"/>
  <c r="D368" i="29"/>
  <c r="E368" i="29"/>
  <c r="F368" i="29"/>
  <c r="C369" i="29"/>
  <c r="D369" i="29"/>
  <c r="E369" i="29"/>
  <c r="F369" i="29"/>
  <c r="C370" i="29"/>
  <c r="D370" i="29"/>
  <c r="E370" i="29"/>
  <c r="F370" i="29"/>
  <c r="C371" i="29"/>
  <c r="D371" i="29"/>
  <c r="E371" i="29"/>
  <c r="F371" i="29"/>
  <c r="C372" i="29"/>
  <c r="D372" i="29"/>
  <c r="E372" i="29"/>
  <c r="F372" i="29"/>
  <c r="C373" i="29"/>
  <c r="D373" i="29"/>
  <c r="E373" i="29"/>
  <c r="F373" i="29"/>
  <c r="C374" i="29"/>
  <c r="D374" i="29"/>
  <c r="E374" i="29"/>
  <c r="F374" i="29"/>
  <c r="C375" i="29"/>
  <c r="D375" i="29"/>
  <c r="E375" i="29"/>
  <c r="F375" i="29"/>
  <c r="C376" i="29"/>
  <c r="D376" i="29"/>
  <c r="E376" i="29"/>
  <c r="F376" i="29"/>
  <c r="C377" i="29"/>
  <c r="D377" i="29"/>
  <c r="E377" i="29"/>
  <c r="F377" i="29"/>
  <c r="C378" i="29"/>
  <c r="D378" i="29"/>
  <c r="E378" i="29"/>
  <c r="F378" i="29"/>
  <c r="C379" i="29"/>
  <c r="D379" i="29"/>
  <c r="E379" i="29"/>
  <c r="F379" i="29"/>
  <c r="C380" i="29"/>
  <c r="D380" i="29"/>
  <c r="E380" i="29"/>
  <c r="F380" i="29"/>
  <c r="C381" i="29"/>
  <c r="D381" i="29"/>
  <c r="E381" i="29"/>
  <c r="F381" i="29"/>
  <c r="C382" i="29"/>
  <c r="D382" i="29"/>
  <c r="E382" i="29"/>
  <c r="F382" i="29"/>
  <c r="C383" i="29"/>
  <c r="D383" i="29"/>
  <c r="E383" i="29"/>
  <c r="F383" i="29"/>
  <c r="C384" i="29"/>
  <c r="D384" i="29"/>
  <c r="E384" i="29"/>
  <c r="F384" i="29"/>
  <c r="C385" i="29"/>
  <c r="D385" i="29"/>
  <c r="E385" i="29"/>
  <c r="F385" i="29"/>
  <c r="C386" i="29"/>
  <c r="D386" i="29"/>
  <c r="E386" i="29"/>
  <c r="F386" i="29"/>
  <c r="C387" i="29"/>
  <c r="D387" i="29"/>
  <c r="E387" i="29"/>
  <c r="F387" i="29"/>
  <c r="C388" i="29"/>
  <c r="D388" i="29"/>
  <c r="E388" i="29"/>
  <c r="F388" i="29"/>
  <c r="C389" i="29"/>
  <c r="D389" i="29"/>
  <c r="E389" i="29"/>
  <c r="F389" i="29"/>
  <c r="C390" i="29"/>
  <c r="D390" i="29"/>
  <c r="E390" i="29"/>
  <c r="F390" i="29"/>
  <c r="C391" i="29"/>
  <c r="D391" i="29"/>
  <c r="E391" i="29"/>
  <c r="F391" i="29"/>
  <c r="C392" i="29"/>
  <c r="D392" i="29"/>
  <c r="E392" i="29"/>
  <c r="F392" i="29"/>
  <c r="C393" i="29"/>
  <c r="D393" i="29"/>
  <c r="E393" i="29"/>
  <c r="F393" i="29"/>
  <c r="C394" i="29"/>
  <c r="D394" i="29"/>
  <c r="E394" i="29"/>
  <c r="F394" i="29"/>
  <c r="C395" i="29"/>
  <c r="D395" i="29"/>
  <c r="E395" i="29"/>
  <c r="F395" i="29"/>
  <c r="C396" i="29"/>
  <c r="D396" i="29"/>
  <c r="E396" i="29"/>
  <c r="F396" i="29"/>
  <c r="C397" i="29"/>
  <c r="D397" i="29"/>
  <c r="E397" i="29"/>
  <c r="F397" i="29"/>
  <c r="C398" i="29"/>
  <c r="D398" i="29"/>
  <c r="E398" i="29"/>
  <c r="F398" i="29"/>
  <c r="C399" i="29"/>
  <c r="D399" i="29"/>
  <c r="E399" i="29"/>
  <c r="F399" i="29"/>
  <c r="C400" i="29"/>
  <c r="D400" i="29"/>
  <c r="E400" i="29"/>
  <c r="F400" i="29"/>
  <c r="C401" i="29"/>
  <c r="D401" i="29"/>
  <c r="E401" i="29"/>
  <c r="F401" i="29"/>
  <c r="C402" i="29"/>
  <c r="D402" i="29"/>
  <c r="E402" i="29"/>
  <c r="F402" i="29"/>
  <c r="C403" i="29"/>
  <c r="D403" i="29"/>
  <c r="E403" i="29"/>
  <c r="F403" i="29"/>
  <c r="F9" i="29"/>
  <c r="E9" i="29"/>
  <c r="D9" i="29"/>
  <c r="C9" i="29"/>
  <c r="C406" i="29"/>
  <c r="DN165" i="1"/>
  <c r="DN32" i="1"/>
  <c r="F201" i="4"/>
  <c r="H201" i="4" s="1"/>
  <c r="F203" i="4"/>
  <c r="H203" i="4" s="1"/>
  <c r="F204" i="4"/>
  <c r="H204" i="4" s="1"/>
  <c r="F259" i="4"/>
  <c r="H259" i="4" s="1"/>
  <c r="F260" i="4"/>
  <c r="H260" i="4" s="1"/>
  <c r="B1" i="26"/>
  <c r="C1" i="26" s="1"/>
  <c r="D1" i="26" s="1"/>
  <c r="E1" i="26" s="1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G400" i="26"/>
  <c r="AF400" i="26"/>
  <c r="AE400" i="26"/>
  <c r="CI369" i="1" s="1"/>
  <c r="AD400" i="26"/>
  <c r="CF369" i="1" s="1"/>
  <c r="AC400" i="26"/>
  <c r="CC369" i="1" s="1"/>
  <c r="AB400" i="26"/>
  <c r="BZ369" i="1" s="1"/>
  <c r="AA400" i="26"/>
  <c r="BW369" i="1" s="1"/>
  <c r="Y400" i="26"/>
  <c r="BN369" i="1" s="1"/>
  <c r="X400" i="26"/>
  <c r="BK369" i="1" s="1"/>
  <c r="W400" i="26"/>
  <c r="BH369" i="1" s="1"/>
  <c r="V400" i="26"/>
  <c r="BE369" i="1" s="1"/>
  <c r="U400" i="26"/>
  <c r="BB369" i="1" s="1"/>
  <c r="T400" i="26"/>
  <c r="AY369" i="1" s="1"/>
  <c r="S400" i="26"/>
  <c r="AV369" i="1" s="1"/>
  <c r="Q400" i="26"/>
  <c r="AP369" i="1" s="1"/>
  <c r="P400" i="26"/>
  <c r="AM369" i="1" s="1"/>
  <c r="O400" i="26"/>
  <c r="AJ369" i="1" s="1"/>
  <c r="N400" i="26"/>
  <c r="AD369" i="1" s="1"/>
  <c r="M400" i="26"/>
  <c r="L400" i="26"/>
  <c r="X369" i="1" s="1"/>
  <c r="K400" i="26"/>
  <c r="U369" i="1" s="1"/>
  <c r="J400" i="26"/>
  <c r="R369" i="1" s="1"/>
  <c r="I400" i="26"/>
  <c r="O369" i="1" s="1"/>
  <c r="H400" i="26"/>
  <c r="G400" i="26"/>
  <c r="I369" i="1" s="1"/>
  <c r="F400" i="26"/>
  <c r="E400" i="26"/>
  <c r="D400" i="26"/>
  <c r="C400" i="26"/>
  <c r="S171" i="30"/>
  <c r="D5" i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BK5" i="1" s="1"/>
  <c r="BL5" i="1" s="1"/>
  <c r="BM5" i="1" s="1"/>
  <c r="BN5" i="1" s="1"/>
  <c r="BO5" i="1" s="1"/>
  <c r="BP5" i="1" s="1"/>
  <c r="BQ5" i="1" s="1"/>
  <c r="BR5" i="1" s="1"/>
  <c r="BS5" i="1" s="1"/>
  <c r="BT5" i="1" s="1"/>
  <c r="BU5" i="1" s="1"/>
  <c r="BV5" i="1" s="1"/>
  <c r="BW5" i="1" s="1"/>
  <c r="BX5" i="1" s="1"/>
  <c r="BY5" i="1" s="1"/>
  <c r="BZ5" i="1" s="1"/>
  <c r="CA5" i="1" s="1"/>
  <c r="CB5" i="1" s="1"/>
  <c r="CC5" i="1" s="1"/>
  <c r="CD5" i="1" s="1"/>
  <c r="CE5" i="1" s="1"/>
  <c r="CF5" i="1" s="1"/>
  <c r="CG5" i="1" s="1"/>
  <c r="CH5" i="1" s="1"/>
  <c r="CI5" i="1" s="1"/>
  <c r="CJ5" i="1" s="1"/>
  <c r="CK5" i="1" s="1"/>
  <c r="CL5" i="1" s="1"/>
  <c r="CM5" i="1" s="1"/>
  <c r="CN5" i="1" s="1"/>
  <c r="CO5" i="1" s="1"/>
  <c r="CP5" i="1" s="1"/>
  <c r="CQ5" i="1" s="1"/>
  <c r="CR5" i="1" s="1"/>
  <c r="CS5" i="1" s="1"/>
  <c r="CT5" i="1" s="1"/>
  <c r="CU5" i="1" s="1"/>
  <c r="CV5" i="1" s="1"/>
  <c r="CW5" i="1" s="1"/>
  <c r="CX5" i="1" s="1"/>
  <c r="CY5" i="1" s="1"/>
  <c r="CZ5" i="1" s="1"/>
  <c r="DA5" i="1" s="1"/>
  <c r="DB5" i="1" s="1"/>
  <c r="DC5" i="1" s="1"/>
  <c r="DD5" i="1" s="1"/>
  <c r="DE5" i="1" s="1"/>
  <c r="DF5" i="1" s="1"/>
  <c r="B407" i="21"/>
  <c r="F3" i="5"/>
  <c r="C3" i="13"/>
  <c r="E3" i="12"/>
  <c r="G3" i="1"/>
  <c r="E3" i="3"/>
  <c r="D5" i="3" s="1"/>
  <c r="V41" i="3"/>
  <c r="U22" i="3"/>
  <c r="U41" i="3" s="1"/>
  <c r="T41" i="3"/>
  <c r="R41" i="3"/>
  <c r="S22" i="3"/>
  <c r="S41" i="3" s="1"/>
  <c r="Q22" i="3"/>
  <c r="Q41" i="3" s="1"/>
  <c r="O40" i="3"/>
  <c r="O31" i="3"/>
  <c r="O21" i="3"/>
  <c r="L40" i="3"/>
  <c r="L31" i="3"/>
  <c r="L21" i="3"/>
  <c r="I40" i="3"/>
  <c r="I31" i="3"/>
  <c r="I21" i="3"/>
  <c r="D1" i="13"/>
  <c r="C11" i="13" s="1"/>
  <c r="D60" i="12" s="1"/>
  <c r="I7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7" i="5"/>
  <c r="J28" i="5"/>
  <c r="J29" i="5"/>
  <c r="J30" i="5"/>
  <c r="J31" i="5"/>
  <c r="J32" i="5"/>
  <c r="J34" i="5"/>
  <c r="H34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4" i="5"/>
  <c r="H13" i="5"/>
  <c r="H12" i="5"/>
  <c r="H11" i="5"/>
  <c r="H10" i="5"/>
  <c r="H9" i="5"/>
  <c r="H8" i="5"/>
  <c r="H7" i="5"/>
  <c r="E8" i="5"/>
  <c r="E9" i="5"/>
  <c r="E10" i="5"/>
  <c r="E11" i="5"/>
  <c r="E12" i="5"/>
  <c r="E13" i="5"/>
  <c r="E14" i="5"/>
  <c r="E16" i="5"/>
  <c r="E17" i="5"/>
  <c r="E18" i="5"/>
  <c r="E19" i="5"/>
  <c r="E20" i="5"/>
  <c r="E21" i="5"/>
  <c r="E22" i="5"/>
  <c r="E23" i="5"/>
  <c r="E24" i="5"/>
  <c r="E25" i="5"/>
  <c r="E27" i="5"/>
  <c r="E28" i="5"/>
  <c r="E29" i="5"/>
  <c r="E30" i="5"/>
  <c r="E31" i="5"/>
  <c r="E32" i="5"/>
  <c r="E34" i="5"/>
  <c r="E7" i="5"/>
  <c r="E26" i="5"/>
  <c r="D33" i="5"/>
  <c r="D35" i="5" s="1"/>
  <c r="E36" i="5" s="1"/>
  <c r="J26" i="5"/>
  <c r="I34" i="5"/>
  <c r="I8" i="5"/>
  <c r="I9" i="5"/>
  <c r="I10" i="5"/>
  <c r="I11" i="5"/>
  <c r="I12" i="5"/>
  <c r="I13" i="5"/>
  <c r="I14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E21" i="3"/>
  <c r="E31" i="3"/>
  <c r="E40" i="3"/>
  <c r="I15" i="5"/>
  <c r="L138" i="30" l="1"/>
  <c r="L88" i="30"/>
  <c r="CN120" i="1"/>
  <c r="CN128" i="1"/>
  <c r="H35" i="5"/>
  <c r="H36" i="5"/>
  <c r="F352" i="4"/>
  <c r="H352" i="4" s="1"/>
  <c r="F348" i="4"/>
  <c r="H348" i="4" s="1"/>
  <c r="F344" i="4"/>
  <c r="H344" i="4" s="1"/>
  <c r="F340" i="4"/>
  <c r="H340" i="4" s="1"/>
  <c r="F336" i="4"/>
  <c r="H336" i="4" s="1"/>
  <c r="F332" i="4"/>
  <c r="H332" i="4" s="1"/>
  <c r="F328" i="4"/>
  <c r="H328" i="4" s="1"/>
  <c r="F324" i="4"/>
  <c r="H324" i="4" s="1"/>
  <c r="F320" i="4"/>
  <c r="H320" i="4" s="1"/>
  <c r="F313" i="4"/>
  <c r="H313" i="4" s="1"/>
  <c r="F309" i="4"/>
  <c r="H309" i="4" s="1"/>
  <c r="F305" i="4"/>
  <c r="H305" i="4" s="1"/>
  <c r="F301" i="4"/>
  <c r="H301" i="4" s="1"/>
  <c r="F286" i="4"/>
  <c r="H286" i="4" s="1"/>
  <c r="F282" i="4"/>
  <c r="H282" i="4" s="1"/>
  <c r="F278" i="4"/>
  <c r="H278" i="4" s="1"/>
  <c r="F274" i="4"/>
  <c r="H274" i="4" s="1"/>
  <c r="F270" i="4"/>
  <c r="H270" i="4" s="1"/>
  <c r="F266" i="4"/>
  <c r="H266" i="4" s="1"/>
  <c r="F262" i="4"/>
  <c r="H262" i="4" s="1"/>
  <c r="F258" i="4"/>
  <c r="H258" i="4" s="1"/>
  <c r="F32" i="4"/>
  <c r="H32" i="4" s="1"/>
  <c r="F28" i="4"/>
  <c r="H28" i="4" s="1"/>
  <c r="F257" i="4"/>
  <c r="H257" i="4" s="1"/>
  <c r="F25" i="4"/>
  <c r="H25" i="4" s="1"/>
  <c r="F21" i="4"/>
  <c r="H21" i="4" s="1"/>
  <c r="F17" i="4"/>
  <c r="H17" i="4" s="1"/>
  <c r="F238" i="4"/>
  <c r="H238" i="4" s="1"/>
  <c r="F253" i="4"/>
  <c r="H253" i="4" s="1"/>
  <c r="F294" i="4"/>
  <c r="H294" i="4" s="1"/>
  <c r="F290" i="4"/>
  <c r="H290" i="4" s="1"/>
  <c r="F45" i="4"/>
  <c r="H45" i="4" s="1"/>
  <c r="F41" i="4"/>
  <c r="H41" i="4" s="1"/>
  <c r="F37" i="4"/>
  <c r="H37" i="4" s="1"/>
  <c r="F252" i="4"/>
  <c r="H252" i="4" s="1"/>
  <c r="F248" i="4"/>
  <c r="H248" i="4" s="1"/>
  <c r="F244" i="4"/>
  <c r="H244" i="4" s="1"/>
  <c r="F235" i="4"/>
  <c r="H235" i="4" s="1"/>
  <c r="F231" i="4"/>
  <c r="H231" i="4" s="1"/>
  <c r="F227" i="4"/>
  <c r="H227" i="4" s="1"/>
  <c r="F223" i="4"/>
  <c r="H223" i="4" s="1"/>
  <c r="F219" i="4"/>
  <c r="H219" i="4" s="1"/>
  <c r="F216" i="4"/>
  <c r="H216" i="4" s="1"/>
  <c r="F212" i="4"/>
  <c r="H212" i="4" s="1"/>
  <c r="F208" i="4"/>
  <c r="H208" i="4" s="1"/>
  <c r="F200" i="4"/>
  <c r="H200" i="4" s="1"/>
  <c r="F196" i="4"/>
  <c r="H196" i="4" s="1"/>
  <c r="F192" i="4"/>
  <c r="H192" i="4" s="1"/>
  <c r="F188" i="4"/>
  <c r="H188" i="4" s="1"/>
  <c r="F182" i="4"/>
  <c r="H182" i="4" s="1"/>
  <c r="F178" i="4"/>
  <c r="H178" i="4" s="1"/>
  <c r="F175" i="4"/>
  <c r="H175" i="4" s="1"/>
  <c r="F171" i="4"/>
  <c r="H171" i="4" s="1"/>
  <c r="F167" i="4"/>
  <c r="H167" i="4" s="1"/>
  <c r="F163" i="4"/>
  <c r="H163" i="4" s="1"/>
  <c r="F159" i="4"/>
  <c r="H159" i="4" s="1"/>
  <c r="F155" i="4"/>
  <c r="H155" i="4" s="1"/>
  <c r="F151" i="4"/>
  <c r="H151" i="4" s="1"/>
  <c r="F147" i="4"/>
  <c r="H147" i="4" s="1"/>
  <c r="F143" i="4"/>
  <c r="H143" i="4" s="1"/>
  <c r="F139" i="4"/>
  <c r="H139" i="4" s="1"/>
  <c r="F135" i="4"/>
  <c r="H135" i="4" s="1"/>
  <c r="F131" i="4"/>
  <c r="H131" i="4" s="1"/>
  <c r="F127" i="4"/>
  <c r="H127" i="4" s="1"/>
  <c r="F123" i="4"/>
  <c r="H123" i="4" s="1"/>
  <c r="F119" i="4"/>
  <c r="H119" i="4" s="1"/>
  <c r="F115" i="4"/>
  <c r="H115" i="4" s="1"/>
  <c r="F111" i="4"/>
  <c r="H111" i="4" s="1"/>
  <c r="F105" i="4"/>
  <c r="H105" i="4" s="1"/>
  <c r="F100" i="4"/>
  <c r="H100" i="4" s="1"/>
  <c r="F96" i="4"/>
  <c r="H96" i="4" s="1"/>
  <c r="F94" i="4"/>
  <c r="H94" i="4" s="1"/>
  <c r="F91" i="4"/>
  <c r="H91" i="4" s="1"/>
  <c r="F87" i="4"/>
  <c r="H87" i="4" s="1"/>
  <c r="F83" i="4"/>
  <c r="H83" i="4" s="1"/>
  <c r="F80" i="4"/>
  <c r="H80" i="4" s="1"/>
  <c r="F76" i="4"/>
  <c r="H76" i="4" s="1"/>
  <c r="F72" i="4"/>
  <c r="H72" i="4" s="1"/>
  <c r="F68" i="4"/>
  <c r="H68" i="4" s="1"/>
  <c r="F64" i="4"/>
  <c r="H64" i="4" s="1"/>
  <c r="F60" i="4"/>
  <c r="H60" i="4" s="1"/>
  <c r="F57" i="4"/>
  <c r="H57" i="4" s="1"/>
  <c r="F53" i="4"/>
  <c r="H53" i="4" s="1"/>
  <c r="F49" i="4"/>
  <c r="H49" i="4" s="1"/>
  <c r="F13" i="4"/>
  <c r="H13" i="4" s="1"/>
  <c r="F355" i="4"/>
  <c r="H355" i="4" s="1"/>
  <c r="F351" i="4"/>
  <c r="H351" i="4" s="1"/>
  <c r="F347" i="4"/>
  <c r="H347" i="4" s="1"/>
  <c r="F343" i="4"/>
  <c r="H343" i="4" s="1"/>
  <c r="F339" i="4"/>
  <c r="H339" i="4" s="1"/>
  <c r="F335" i="4"/>
  <c r="H335" i="4" s="1"/>
  <c r="F331" i="4"/>
  <c r="H331" i="4" s="1"/>
  <c r="F327" i="4"/>
  <c r="H327" i="4" s="1"/>
  <c r="F323" i="4"/>
  <c r="H323" i="4" s="1"/>
  <c r="F319" i="4"/>
  <c r="H319" i="4" s="1"/>
  <c r="F316" i="4"/>
  <c r="H316" i="4" s="1"/>
  <c r="F312" i="4"/>
  <c r="H312" i="4" s="1"/>
  <c r="F308" i="4"/>
  <c r="H308" i="4" s="1"/>
  <c r="F304" i="4"/>
  <c r="H304" i="4" s="1"/>
  <c r="F300" i="4"/>
  <c r="H300" i="4" s="1"/>
  <c r="F285" i="4"/>
  <c r="H285" i="4" s="1"/>
  <c r="F281" i="4"/>
  <c r="H281" i="4" s="1"/>
  <c r="F277" i="4"/>
  <c r="H277" i="4" s="1"/>
  <c r="F273" i="4"/>
  <c r="H273" i="4" s="1"/>
  <c r="F269" i="4"/>
  <c r="H269" i="4" s="1"/>
  <c r="F265" i="4"/>
  <c r="H265" i="4" s="1"/>
  <c r="F261" i="4"/>
  <c r="H261" i="4" s="1"/>
  <c r="F31" i="4"/>
  <c r="H31" i="4" s="1"/>
  <c r="F27" i="4"/>
  <c r="F24" i="4"/>
  <c r="H24" i="4" s="1"/>
  <c r="F20" i="4"/>
  <c r="H20" i="4" s="1"/>
  <c r="F241" i="4"/>
  <c r="H241" i="4" s="1"/>
  <c r="F237" i="4"/>
  <c r="H237" i="4" s="1"/>
  <c r="F297" i="4"/>
  <c r="H297" i="4" s="1"/>
  <c r="F293" i="4"/>
  <c r="H293" i="4" s="1"/>
  <c r="F289" i="4"/>
  <c r="H289" i="4" s="1"/>
  <c r="F44" i="4"/>
  <c r="H44" i="4" s="1"/>
  <c r="F40" i="4"/>
  <c r="H40" i="4" s="1"/>
  <c r="F36" i="4"/>
  <c r="H36" i="4" s="1"/>
  <c r="F251" i="4"/>
  <c r="H251" i="4" s="1"/>
  <c r="F247" i="4"/>
  <c r="H247" i="4" s="1"/>
  <c r="F243" i="4"/>
  <c r="H243" i="4" s="1"/>
  <c r="F234" i="4"/>
  <c r="H234" i="4" s="1"/>
  <c r="F230" i="4"/>
  <c r="H230" i="4" s="1"/>
  <c r="F226" i="4"/>
  <c r="H226" i="4" s="1"/>
  <c r="F222" i="4"/>
  <c r="H222" i="4" s="1"/>
  <c r="F218" i="4"/>
  <c r="H218" i="4" s="1"/>
  <c r="F211" i="4"/>
  <c r="H211" i="4" s="1"/>
  <c r="F207" i="4"/>
  <c r="H207" i="4" s="1"/>
  <c r="F199" i="4"/>
  <c r="H199" i="4" s="1"/>
  <c r="F195" i="4"/>
  <c r="H195" i="4" s="1"/>
  <c r="F191" i="4"/>
  <c r="H191" i="4" s="1"/>
  <c r="F187" i="4"/>
  <c r="H187" i="4" s="1"/>
  <c r="F181" i="4"/>
  <c r="H181" i="4" s="1"/>
  <c r="F174" i="4"/>
  <c r="H174" i="4" s="1"/>
  <c r="F170" i="4"/>
  <c r="H170" i="4" s="1"/>
  <c r="F166" i="4"/>
  <c r="H166" i="4" s="1"/>
  <c r="F162" i="4"/>
  <c r="H162" i="4" s="1"/>
  <c r="F158" i="4"/>
  <c r="H158" i="4" s="1"/>
  <c r="F150" i="4"/>
  <c r="H150" i="4" s="1"/>
  <c r="F16" i="4"/>
  <c r="H16" i="4" s="1"/>
  <c r="F142" i="4"/>
  <c r="H142" i="4" s="1"/>
  <c r="F138" i="4"/>
  <c r="H138" i="4" s="1"/>
  <c r="F134" i="4"/>
  <c r="H134" i="4" s="1"/>
  <c r="F130" i="4"/>
  <c r="H130" i="4" s="1"/>
  <c r="F126" i="4"/>
  <c r="H126" i="4" s="1"/>
  <c r="F122" i="4"/>
  <c r="H122" i="4" s="1"/>
  <c r="F118" i="4"/>
  <c r="H118" i="4" s="1"/>
  <c r="F114" i="4"/>
  <c r="H114" i="4" s="1"/>
  <c r="F107" i="4"/>
  <c r="H107" i="4" s="1"/>
  <c r="F103" i="4"/>
  <c r="H103" i="4" s="1"/>
  <c r="F99" i="4"/>
  <c r="H99" i="4" s="1"/>
  <c r="F90" i="4"/>
  <c r="H90" i="4" s="1"/>
  <c r="F86" i="4"/>
  <c r="H86" i="4" s="1"/>
  <c r="F82" i="4"/>
  <c r="H82" i="4" s="1"/>
  <c r="F79" i="4"/>
  <c r="H79" i="4" s="1"/>
  <c r="F75" i="4"/>
  <c r="H75" i="4" s="1"/>
  <c r="F71" i="4"/>
  <c r="H71" i="4" s="1"/>
  <c r="F67" i="4"/>
  <c r="H67" i="4" s="1"/>
  <c r="F63" i="4"/>
  <c r="H63" i="4" s="1"/>
  <c r="F59" i="4"/>
  <c r="H59" i="4" s="1"/>
  <c r="F56" i="4"/>
  <c r="H56" i="4" s="1"/>
  <c r="F52" i="4"/>
  <c r="H52" i="4" s="1"/>
  <c r="F48" i="4"/>
  <c r="H48" i="4" s="1"/>
  <c r="F354" i="4"/>
  <c r="H354" i="4" s="1"/>
  <c r="F350" i="4"/>
  <c r="H350" i="4" s="1"/>
  <c r="F346" i="4"/>
  <c r="H346" i="4" s="1"/>
  <c r="F342" i="4"/>
  <c r="H342" i="4" s="1"/>
  <c r="F338" i="4"/>
  <c r="H338" i="4" s="1"/>
  <c r="F334" i="4"/>
  <c r="H334" i="4" s="1"/>
  <c r="F330" i="4"/>
  <c r="H330" i="4" s="1"/>
  <c r="F326" i="4"/>
  <c r="H326" i="4" s="1"/>
  <c r="F322" i="4"/>
  <c r="H322" i="4" s="1"/>
  <c r="F318" i="4"/>
  <c r="H318" i="4" s="1"/>
  <c r="F315" i="4"/>
  <c r="H315" i="4" s="1"/>
  <c r="F311" i="4"/>
  <c r="H311" i="4" s="1"/>
  <c r="F307" i="4"/>
  <c r="H307" i="4" s="1"/>
  <c r="F303" i="4"/>
  <c r="H303" i="4" s="1"/>
  <c r="F299" i="4"/>
  <c r="H299" i="4" s="1"/>
  <c r="F284" i="4"/>
  <c r="H284" i="4" s="1"/>
  <c r="F280" i="4"/>
  <c r="H280" i="4" s="1"/>
  <c r="F276" i="4"/>
  <c r="H276" i="4" s="1"/>
  <c r="F272" i="4"/>
  <c r="H272" i="4" s="1"/>
  <c r="F268" i="4"/>
  <c r="H268" i="4" s="1"/>
  <c r="F264" i="4"/>
  <c r="H264" i="4" s="1"/>
  <c r="F33" i="4"/>
  <c r="H33" i="4" s="1"/>
  <c r="F30" i="4"/>
  <c r="H30" i="4" s="1"/>
  <c r="F154" i="4"/>
  <c r="H154" i="4" s="1"/>
  <c r="F256" i="4"/>
  <c r="H256" i="4" s="1"/>
  <c r="F23" i="4"/>
  <c r="H23" i="4" s="1"/>
  <c r="F19" i="4"/>
  <c r="H19" i="4" s="1"/>
  <c r="F240" i="4"/>
  <c r="H240" i="4" s="1"/>
  <c r="F255" i="4"/>
  <c r="H255" i="4" s="1"/>
  <c r="F296" i="4"/>
  <c r="H296" i="4" s="1"/>
  <c r="F292" i="4"/>
  <c r="H292" i="4" s="1"/>
  <c r="F288" i="4"/>
  <c r="H288" i="4" s="1"/>
  <c r="F43" i="4"/>
  <c r="H43" i="4" s="1"/>
  <c r="F39" i="4"/>
  <c r="H39" i="4" s="1"/>
  <c r="F35" i="4"/>
  <c r="H35" i="4" s="1"/>
  <c r="F250" i="4"/>
  <c r="H250" i="4" s="1"/>
  <c r="F246" i="4"/>
  <c r="H246" i="4" s="1"/>
  <c r="F242" i="4"/>
  <c r="H242" i="4" s="1"/>
  <c r="F233" i="4"/>
  <c r="H233" i="4" s="1"/>
  <c r="F229" i="4"/>
  <c r="H229" i="4" s="1"/>
  <c r="F225" i="4"/>
  <c r="H225" i="4" s="1"/>
  <c r="F221" i="4"/>
  <c r="H221" i="4" s="1"/>
  <c r="F217" i="4"/>
  <c r="H217" i="4" s="1"/>
  <c r="F214" i="4"/>
  <c r="H214" i="4" s="1"/>
  <c r="F210" i="4"/>
  <c r="H210" i="4" s="1"/>
  <c r="F206" i="4"/>
  <c r="H206" i="4" s="1"/>
  <c r="F202" i="4"/>
  <c r="H202" i="4" s="1"/>
  <c r="F198" i="4"/>
  <c r="H198" i="4" s="1"/>
  <c r="F194" i="4"/>
  <c r="H194" i="4" s="1"/>
  <c r="F190" i="4"/>
  <c r="H190" i="4" s="1"/>
  <c r="F186" i="4"/>
  <c r="H186" i="4" s="1"/>
  <c r="F184" i="4"/>
  <c r="H184" i="4" s="1"/>
  <c r="F180" i="4"/>
  <c r="H180" i="4" s="1"/>
  <c r="F177" i="4"/>
  <c r="H177" i="4" s="1"/>
  <c r="F173" i="4"/>
  <c r="H173" i="4" s="1"/>
  <c r="F169" i="4"/>
  <c r="H169" i="4" s="1"/>
  <c r="F165" i="4"/>
  <c r="H165" i="4" s="1"/>
  <c r="F161" i="4"/>
  <c r="H161" i="4" s="1"/>
  <c r="F157" i="4"/>
  <c r="H157" i="4" s="1"/>
  <c r="F46" i="4"/>
  <c r="H46" i="4" s="1"/>
  <c r="F149" i="4"/>
  <c r="H149" i="4" s="1"/>
  <c r="F146" i="4"/>
  <c r="H146" i="4" s="1"/>
  <c r="F141" i="4"/>
  <c r="H141" i="4" s="1"/>
  <c r="F137" i="4"/>
  <c r="H137" i="4" s="1"/>
  <c r="F133" i="4"/>
  <c r="H133" i="4" s="1"/>
  <c r="F129" i="4"/>
  <c r="H129" i="4" s="1"/>
  <c r="F125" i="4"/>
  <c r="H125" i="4" s="1"/>
  <c r="F121" i="4"/>
  <c r="H121" i="4" s="1"/>
  <c r="F117" i="4"/>
  <c r="H117" i="4" s="1"/>
  <c r="F113" i="4"/>
  <c r="H113" i="4" s="1"/>
  <c r="F102" i="4"/>
  <c r="H102" i="4" s="1"/>
  <c r="F98" i="4"/>
  <c r="H98" i="4" s="1"/>
  <c r="F95" i="4"/>
  <c r="H95" i="4" s="1"/>
  <c r="F93" i="4"/>
  <c r="H93" i="4" s="1"/>
  <c r="F89" i="4"/>
  <c r="H89" i="4" s="1"/>
  <c r="F85" i="4"/>
  <c r="H85" i="4" s="1"/>
  <c r="F78" i="4"/>
  <c r="H78" i="4" s="1"/>
  <c r="F74" i="4"/>
  <c r="H74" i="4" s="1"/>
  <c r="F70" i="4"/>
  <c r="H70" i="4" s="1"/>
  <c r="F66" i="4"/>
  <c r="H66" i="4" s="1"/>
  <c r="F62" i="4"/>
  <c r="H62" i="4" s="1"/>
  <c r="F58" i="4"/>
  <c r="H58" i="4" s="1"/>
  <c r="F51" i="4"/>
  <c r="H51" i="4" s="1"/>
  <c r="EA151" i="1"/>
  <c r="F353" i="4"/>
  <c r="H353" i="4" s="1"/>
  <c r="F349" i="4"/>
  <c r="H349" i="4" s="1"/>
  <c r="F345" i="4"/>
  <c r="H345" i="4" s="1"/>
  <c r="F341" i="4"/>
  <c r="H341" i="4" s="1"/>
  <c r="F337" i="4"/>
  <c r="H337" i="4" s="1"/>
  <c r="F333" i="4"/>
  <c r="H333" i="4" s="1"/>
  <c r="F329" i="4"/>
  <c r="H329" i="4" s="1"/>
  <c r="F325" i="4"/>
  <c r="H325" i="4" s="1"/>
  <c r="F321" i="4"/>
  <c r="H321" i="4" s="1"/>
  <c r="F317" i="4"/>
  <c r="H317" i="4" s="1"/>
  <c r="F314" i="4"/>
  <c r="H314" i="4" s="1"/>
  <c r="F310" i="4"/>
  <c r="H310" i="4" s="1"/>
  <c r="F306" i="4"/>
  <c r="H306" i="4" s="1"/>
  <c r="F302" i="4"/>
  <c r="H302" i="4" s="1"/>
  <c r="F298" i="4"/>
  <c r="H298" i="4" s="1"/>
  <c r="F283" i="4"/>
  <c r="H283" i="4" s="1"/>
  <c r="F279" i="4"/>
  <c r="H279" i="4" s="1"/>
  <c r="F275" i="4"/>
  <c r="H275" i="4" s="1"/>
  <c r="F271" i="4"/>
  <c r="H271" i="4" s="1"/>
  <c r="F267" i="4"/>
  <c r="H267" i="4" s="1"/>
  <c r="F263" i="4"/>
  <c r="H263" i="4" s="1"/>
  <c r="F29" i="4"/>
  <c r="H29" i="4" s="1"/>
  <c r="F153" i="4"/>
  <c r="H153" i="4" s="1"/>
  <c r="F26" i="4"/>
  <c r="H26" i="4" s="1"/>
  <c r="F22" i="4"/>
  <c r="H22" i="4" s="1"/>
  <c r="F18" i="4"/>
  <c r="H18" i="4" s="1"/>
  <c r="F239" i="4"/>
  <c r="H239" i="4" s="1"/>
  <c r="F254" i="4"/>
  <c r="H254" i="4" s="1"/>
  <c r="F295" i="4"/>
  <c r="H295" i="4" s="1"/>
  <c r="F291" i="4"/>
  <c r="H291" i="4" s="1"/>
  <c r="F287" i="4"/>
  <c r="H287" i="4" s="1"/>
  <c r="F42" i="4"/>
  <c r="H42" i="4" s="1"/>
  <c r="F38" i="4"/>
  <c r="H38" i="4" s="1"/>
  <c r="F34" i="4"/>
  <c r="H34" i="4" s="1"/>
  <c r="F249" i="4"/>
  <c r="H249" i="4" s="1"/>
  <c r="F245" i="4"/>
  <c r="H245" i="4" s="1"/>
  <c r="F236" i="4"/>
  <c r="H236" i="4" s="1"/>
  <c r="F232" i="4"/>
  <c r="H232" i="4" s="1"/>
  <c r="F228" i="4"/>
  <c r="H228" i="4" s="1"/>
  <c r="F224" i="4"/>
  <c r="H224" i="4" s="1"/>
  <c r="F220" i="4"/>
  <c r="H220" i="4" s="1"/>
  <c r="F213" i="4"/>
  <c r="H213" i="4" s="1"/>
  <c r="F209" i="4"/>
  <c r="H209" i="4" s="1"/>
  <c r="F205" i="4"/>
  <c r="H205" i="4" s="1"/>
  <c r="F197" i="4"/>
  <c r="H197" i="4" s="1"/>
  <c r="F193" i="4"/>
  <c r="H193" i="4" s="1"/>
  <c r="F189" i="4"/>
  <c r="H189" i="4" s="1"/>
  <c r="F185" i="4"/>
  <c r="H185" i="4" s="1"/>
  <c r="F183" i="4"/>
  <c r="H183" i="4" s="1"/>
  <c r="F179" i="4"/>
  <c r="H179" i="4" s="1"/>
  <c r="F176" i="4"/>
  <c r="H176" i="4" s="1"/>
  <c r="F172" i="4"/>
  <c r="H172" i="4" s="1"/>
  <c r="F168" i="4"/>
  <c r="H168" i="4" s="1"/>
  <c r="F164" i="4"/>
  <c r="H164" i="4" s="1"/>
  <c r="F160" i="4"/>
  <c r="H160" i="4" s="1"/>
  <c r="F156" i="4"/>
  <c r="H156" i="4" s="1"/>
  <c r="F152" i="4"/>
  <c r="H152" i="4" s="1"/>
  <c r="F148" i="4"/>
  <c r="H148" i="4" s="1"/>
  <c r="F145" i="4"/>
  <c r="H145" i="4" s="1"/>
  <c r="F144" i="4"/>
  <c r="H144" i="4" s="1"/>
  <c r="F140" i="4"/>
  <c r="H140" i="4" s="1"/>
  <c r="F136" i="4"/>
  <c r="H136" i="4" s="1"/>
  <c r="F132" i="4"/>
  <c r="H132" i="4" s="1"/>
  <c r="F128" i="4"/>
  <c r="H128" i="4" s="1"/>
  <c r="F124" i="4"/>
  <c r="H124" i="4" s="1"/>
  <c r="F120" i="4"/>
  <c r="H120" i="4" s="1"/>
  <c r="F116" i="4"/>
  <c r="H116" i="4" s="1"/>
  <c r="F112" i="4"/>
  <c r="H112" i="4" s="1"/>
  <c r="F106" i="4"/>
  <c r="H106" i="4" s="1"/>
  <c r="F101" i="4"/>
  <c r="H101" i="4" s="1"/>
  <c r="F97" i="4"/>
  <c r="H97" i="4" s="1"/>
  <c r="F92" i="4"/>
  <c r="H92" i="4" s="1"/>
  <c r="F88" i="4"/>
  <c r="H88" i="4" s="1"/>
  <c r="F84" i="4"/>
  <c r="H84" i="4" s="1"/>
  <c r="F81" i="4"/>
  <c r="H81" i="4" s="1"/>
  <c r="F77" i="4"/>
  <c r="H77" i="4" s="1"/>
  <c r="F73" i="4"/>
  <c r="H73" i="4" s="1"/>
  <c r="F69" i="4"/>
  <c r="H69" i="4" s="1"/>
  <c r="F65" i="4"/>
  <c r="H65" i="4" s="1"/>
  <c r="F61" i="4"/>
  <c r="H61" i="4" s="1"/>
  <c r="F54" i="4"/>
  <c r="H54" i="4" s="1"/>
  <c r="F50" i="4"/>
  <c r="H50" i="4" s="1"/>
  <c r="F104" i="4"/>
  <c r="H104" i="4" s="1"/>
  <c r="CN90" i="1"/>
  <c r="K26" i="5"/>
  <c r="K23" i="5"/>
  <c r="K14" i="5"/>
  <c r="Z400" i="26"/>
  <c r="BT369" i="1" s="1"/>
  <c r="K29" i="5"/>
  <c r="K25" i="5"/>
  <c r="C404" i="29"/>
  <c r="K24" i="5"/>
  <c r="K20" i="5"/>
  <c r="K16" i="5"/>
  <c r="K34" i="5"/>
  <c r="BL359" i="1"/>
  <c r="N29" i="3" s="1"/>
  <c r="K7" i="5"/>
  <c r="F404" i="29"/>
  <c r="AH39" i="26"/>
  <c r="AI39" i="26"/>
  <c r="AH51" i="26"/>
  <c r="AI51" i="26"/>
  <c r="AH64" i="26"/>
  <c r="AI64" i="26"/>
  <c r="DU102" i="1" s="1"/>
  <c r="DV102" i="1" s="1"/>
  <c r="K11" i="5"/>
  <c r="DG5" i="1"/>
  <c r="DH5" i="1" s="1"/>
  <c r="DI5" i="1" s="1"/>
  <c r="DJ5" i="1" s="1"/>
  <c r="DK5" i="1" s="1"/>
  <c r="DL5" i="1" s="1"/>
  <c r="DM5" i="1" s="1"/>
  <c r="DN5" i="1" s="1"/>
  <c r="DO5" i="1" s="1"/>
  <c r="DP5" i="1" s="1"/>
  <c r="DQ5" i="1" s="1"/>
  <c r="DR5" i="1" s="1"/>
  <c r="DS5" i="1" s="1"/>
  <c r="DT5" i="1" s="1"/>
  <c r="DU5" i="1" s="1"/>
  <c r="DV5" i="1" s="1"/>
  <c r="DW5" i="1" s="1"/>
  <c r="DX5" i="1" s="1"/>
  <c r="DY5" i="1" s="1"/>
  <c r="DZ5" i="1" s="1"/>
  <c r="AH49" i="26"/>
  <c r="AI49" i="26"/>
  <c r="AH65" i="26"/>
  <c r="AI65" i="26"/>
  <c r="AH37" i="26"/>
  <c r="AI37" i="26"/>
  <c r="AH50" i="26"/>
  <c r="AI50" i="26"/>
  <c r="AH68" i="26"/>
  <c r="AI68" i="26"/>
  <c r="AB359" i="1"/>
  <c r="N16" i="3" s="1"/>
  <c r="BZ359" i="1"/>
  <c r="CF359" i="1"/>
  <c r="R359" i="1"/>
  <c r="BO359" i="1"/>
  <c r="N30" i="3" s="1"/>
  <c r="AZ359" i="1"/>
  <c r="N25" i="3" s="1"/>
  <c r="BF358" i="1"/>
  <c r="BI359" i="1"/>
  <c r="N28" i="3" s="1"/>
  <c r="DD358" i="1"/>
  <c r="O359" i="1"/>
  <c r="M12" i="3" s="1"/>
  <c r="AJ359" i="1"/>
  <c r="CC359" i="1"/>
  <c r="H359" i="1"/>
  <c r="DD359" i="1"/>
  <c r="AA359" i="1"/>
  <c r="CN240" i="1"/>
  <c r="DD357" i="1"/>
  <c r="L359" i="1"/>
  <c r="X359" i="1"/>
  <c r="M15" i="3" s="1"/>
  <c r="AD359" i="1"/>
  <c r="M17" i="3" s="1"/>
  <c r="BT359" i="1"/>
  <c r="CL359" i="1"/>
  <c r="F359" i="1"/>
  <c r="CN215" i="1"/>
  <c r="U359" i="1"/>
  <c r="AP359" i="1"/>
  <c r="BB359" i="1"/>
  <c r="BN359" i="1"/>
  <c r="BT358" i="1"/>
  <c r="CI359" i="1"/>
  <c r="H358" i="1"/>
  <c r="AW359" i="1"/>
  <c r="N24" i="3" s="1"/>
  <c r="BC359" i="1"/>
  <c r="BL357" i="1"/>
  <c r="H29" i="3" s="1"/>
  <c r="S357" i="1"/>
  <c r="L358" i="1"/>
  <c r="U357" i="1"/>
  <c r="X358" i="1"/>
  <c r="AD358" i="1"/>
  <c r="AM359" i="1"/>
  <c r="AP357" i="1"/>
  <c r="F12" i="4"/>
  <c r="F362" i="4" s="1"/>
  <c r="AS358" i="1"/>
  <c r="AY359" i="1"/>
  <c r="BB357" i="1"/>
  <c r="BE358" i="1"/>
  <c r="BK359" i="1"/>
  <c r="BN357" i="1"/>
  <c r="BT357" i="1"/>
  <c r="BW357" i="1"/>
  <c r="G33" i="3" s="1"/>
  <c r="BZ358" i="1"/>
  <c r="CI357" i="1"/>
  <c r="CL358" i="1"/>
  <c r="F358" i="1"/>
  <c r="G359" i="1"/>
  <c r="AW358" i="1"/>
  <c r="AW357" i="1"/>
  <c r="H24" i="3" s="1"/>
  <c r="BC358" i="1"/>
  <c r="K26" i="3" s="1"/>
  <c r="BF359" i="1"/>
  <c r="N27" i="3" s="1"/>
  <c r="BL358" i="1"/>
  <c r="I359" i="1"/>
  <c r="M10" i="3" s="1"/>
  <c r="R357" i="1"/>
  <c r="U358" i="1"/>
  <c r="AM357" i="1"/>
  <c r="AP358" i="1"/>
  <c r="F47" i="4"/>
  <c r="AS357" i="1"/>
  <c r="AV359" i="1"/>
  <c r="AY357" i="1"/>
  <c r="BB358" i="1"/>
  <c r="BH359" i="1"/>
  <c r="BK357" i="1"/>
  <c r="BN358" i="1"/>
  <c r="BZ357" i="1"/>
  <c r="CF357" i="1"/>
  <c r="CI358" i="1"/>
  <c r="BO358" i="1"/>
  <c r="AB357" i="1"/>
  <c r="H16" i="3" s="1"/>
  <c r="S358" i="1"/>
  <c r="K13" i="3" s="1"/>
  <c r="I357" i="1"/>
  <c r="O357" i="1"/>
  <c r="R358" i="1"/>
  <c r="AJ357" i="1"/>
  <c r="AM358" i="1"/>
  <c r="F11" i="4"/>
  <c r="AS359" i="1"/>
  <c r="AV357" i="1"/>
  <c r="G24" i="3" s="1"/>
  <c r="AY358" i="1"/>
  <c r="BE359" i="1"/>
  <c r="BH357" i="1"/>
  <c r="BK358" i="1"/>
  <c r="CC357" i="1"/>
  <c r="CF358" i="1"/>
  <c r="AA357" i="1"/>
  <c r="G357" i="1"/>
  <c r="AZ358" i="1"/>
  <c r="AZ357" i="1"/>
  <c r="BI358" i="1"/>
  <c r="BI357" i="1"/>
  <c r="H28" i="3" s="1"/>
  <c r="P358" i="1"/>
  <c r="K12" i="3" s="1"/>
  <c r="I358" i="1"/>
  <c r="L357" i="1"/>
  <c r="O358" i="1"/>
  <c r="X357" i="1"/>
  <c r="G15" i="3" s="1"/>
  <c r="AD357" i="1"/>
  <c r="G17" i="3" s="1"/>
  <c r="AJ358" i="1"/>
  <c r="AV358" i="1"/>
  <c r="BE357" i="1"/>
  <c r="BH358" i="1"/>
  <c r="BW359" i="1"/>
  <c r="M33" i="3" s="1"/>
  <c r="BW358" i="1"/>
  <c r="CC358" i="1"/>
  <c r="CL357" i="1"/>
  <c r="AA358" i="1"/>
  <c r="F357" i="1"/>
  <c r="G358" i="1"/>
  <c r="H357" i="1"/>
  <c r="CN68" i="1"/>
  <c r="CN76" i="1"/>
  <c r="CN83" i="1"/>
  <c r="CN233" i="1"/>
  <c r="CN242" i="1"/>
  <c r="CN113" i="1"/>
  <c r="CN106" i="1"/>
  <c r="CN211" i="1"/>
  <c r="CN218" i="1"/>
  <c r="CN222" i="1"/>
  <c r="CN226" i="1"/>
  <c r="CN277" i="1"/>
  <c r="BP242" i="1"/>
  <c r="BP225" i="1"/>
  <c r="CN230" i="1"/>
  <c r="CN130" i="1"/>
  <c r="CN150" i="1"/>
  <c r="CN14" i="1"/>
  <c r="CN190" i="1"/>
  <c r="CN220" i="1"/>
  <c r="CN224" i="1"/>
  <c r="CN291" i="1"/>
  <c r="CN235" i="1"/>
  <c r="CN311" i="1"/>
  <c r="CN334" i="1"/>
  <c r="CN342" i="1"/>
  <c r="CO30" i="1"/>
  <c r="CN56" i="1"/>
  <c r="CO286" i="1"/>
  <c r="CO168" i="1"/>
  <c r="BP294" i="1"/>
  <c r="BP238" i="1"/>
  <c r="BP306" i="1"/>
  <c r="BP290" i="1"/>
  <c r="BG46" i="1"/>
  <c r="BQ74" i="1"/>
  <c r="CO312" i="1"/>
  <c r="CO296" i="1"/>
  <c r="CO236" i="1"/>
  <c r="CO138" i="1"/>
  <c r="CO59" i="1"/>
  <c r="CO314" i="1"/>
  <c r="CO306" i="1"/>
  <c r="CO283" i="1"/>
  <c r="CO15" i="1"/>
  <c r="CO37" i="1"/>
  <c r="CO246" i="1"/>
  <c r="CO200" i="1"/>
  <c r="CO76" i="1"/>
  <c r="CO45" i="1"/>
  <c r="BP276" i="1"/>
  <c r="CN66" i="1"/>
  <c r="CN101" i="1"/>
  <c r="CN195" i="1"/>
  <c r="CN36" i="1"/>
  <c r="CN43" i="1"/>
  <c r="CN292" i="1"/>
  <c r="CN21" i="1"/>
  <c r="CN254" i="1"/>
  <c r="CN31" i="1"/>
  <c r="CN266" i="1"/>
  <c r="CN300" i="1"/>
  <c r="CN327" i="1"/>
  <c r="BP248" i="1"/>
  <c r="BP228" i="1"/>
  <c r="BP195" i="1"/>
  <c r="BG329" i="1"/>
  <c r="CO290" i="1"/>
  <c r="CO250" i="1"/>
  <c r="CO218" i="1"/>
  <c r="CO203" i="1"/>
  <c r="CO99" i="1"/>
  <c r="CO64" i="1"/>
  <c r="CO343" i="1"/>
  <c r="CO323" i="1"/>
  <c r="CO270" i="1"/>
  <c r="CO220" i="1"/>
  <c r="CO187" i="1"/>
  <c r="CO183" i="1"/>
  <c r="CO158" i="1"/>
  <c r="CO147" i="1"/>
  <c r="BP327" i="1"/>
  <c r="BP43" i="1"/>
  <c r="CN207" i="1"/>
  <c r="CO130" i="1"/>
  <c r="CO112" i="1"/>
  <c r="CO88" i="1"/>
  <c r="CO74" i="1"/>
  <c r="BP283" i="1"/>
  <c r="BP226" i="1"/>
  <c r="CN54" i="1"/>
  <c r="CN57" i="1"/>
  <c r="CN85" i="1"/>
  <c r="CN108" i="1"/>
  <c r="BP264" i="1"/>
  <c r="BP337" i="1"/>
  <c r="AU323" i="1"/>
  <c r="AU308" i="1"/>
  <c r="K32" i="5"/>
  <c r="K28" i="5"/>
  <c r="J15" i="5"/>
  <c r="J33" i="5" s="1"/>
  <c r="J35" i="5" s="1"/>
  <c r="J47" i="5" s="1"/>
  <c r="H15" i="5"/>
  <c r="H33" i="5"/>
  <c r="K10" i="5"/>
  <c r="E404" i="29"/>
  <c r="K18" i="5"/>
  <c r="BQ203" i="1"/>
  <c r="BQ183" i="1"/>
  <c r="CO34" i="1"/>
  <c r="CO230" i="1"/>
  <c r="CO149" i="1"/>
  <c r="CO145" i="1"/>
  <c r="CO339" i="1"/>
  <c r="CO266" i="1"/>
  <c r="CO262" i="1"/>
  <c r="CO126" i="1"/>
  <c r="CO118" i="1"/>
  <c r="CO108" i="1"/>
  <c r="CO66" i="1"/>
  <c r="D404" i="29"/>
  <c r="BP15" i="1"/>
  <c r="BP19" i="1"/>
  <c r="BP341" i="1"/>
  <c r="BP233" i="1"/>
  <c r="BP26" i="1"/>
  <c r="BP256" i="1"/>
  <c r="BP211" i="1"/>
  <c r="BA244" i="1"/>
  <c r="BP317" i="1"/>
  <c r="BP23" i="1"/>
  <c r="BP325" i="1"/>
  <c r="BP260" i="1"/>
  <c r="BP302" i="1"/>
  <c r="BP321" i="1"/>
  <c r="BP298" i="1"/>
  <c r="BP222" i="1"/>
  <c r="BP156" i="1"/>
  <c r="AU116" i="1"/>
  <c r="BQ266" i="1"/>
  <c r="DY266" i="1" s="1"/>
  <c r="BQ112" i="1"/>
  <c r="DY112" i="1" s="1"/>
  <c r="CO347" i="1"/>
  <c r="CO335" i="1"/>
  <c r="CO331" i="1"/>
  <c r="CO319" i="1"/>
  <c r="CO300" i="1"/>
  <c r="CO274" i="1"/>
  <c r="CO258" i="1"/>
  <c r="CO152" i="1"/>
  <c r="CO33" i="1"/>
  <c r="CO248" i="1"/>
  <c r="CO240" i="1"/>
  <c r="CO228" i="1"/>
  <c r="CO224" i="1"/>
  <c r="CO205" i="1"/>
  <c r="CO195" i="1"/>
  <c r="CO181" i="1"/>
  <c r="CO162" i="1"/>
  <c r="CO140" i="1"/>
  <c r="CO134" i="1"/>
  <c r="CO122" i="1"/>
  <c r="CO97" i="1"/>
  <c r="CO70" i="1"/>
  <c r="CO57" i="1"/>
  <c r="CO54" i="1"/>
  <c r="CO51" i="1"/>
  <c r="CO353" i="1"/>
  <c r="CO349" i="1"/>
  <c r="CO325" i="1"/>
  <c r="CO302" i="1"/>
  <c r="CO256" i="1"/>
  <c r="CO255" i="1"/>
  <c r="CO19" i="1"/>
  <c r="CO294" i="1"/>
  <c r="CO41" i="1"/>
  <c r="CO207" i="1"/>
  <c r="CO179" i="1"/>
  <c r="CO172" i="1"/>
  <c r="CO164" i="1"/>
  <c r="CO106" i="1"/>
  <c r="CO87" i="1"/>
  <c r="CO83" i="1"/>
  <c r="BP160" i="1"/>
  <c r="BP253" i="1"/>
  <c r="BP345" i="1"/>
  <c r="BP268" i="1"/>
  <c r="BP329" i="1"/>
  <c r="BP230" i="1"/>
  <c r="BP255" i="1"/>
  <c r="BP30" i="1"/>
  <c r="BP218" i="1"/>
  <c r="BP203" i="1"/>
  <c r="BP10" i="1"/>
  <c r="BP164" i="1"/>
  <c r="BP45" i="1"/>
  <c r="CN140" i="1"/>
  <c r="CN134" i="1"/>
  <c r="CN147" i="1"/>
  <c r="K30" i="5"/>
  <c r="K17" i="5"/>
  <c r="K19" i="5"/>
  <c r="K22" i="5"/>
  <c r="K13" i="5"/>
  <c r="BQ126" i="1"/>
  <c r="BQ118" i="1"/>
  <c r="BQ283" i="1"/>
  <c r="BQ218" i="1"/>
  <c r="BP351" i="1"/>
  <c r="BQ339" i="1"/>
  <c r="DY339" i="1" s="1"/>
  <c r="BQ66" i="1"/>
  <c r="AU195" i="1"/>
  <c r="BQ314" i="1"/>
  <c r="DY314" i="1" s="1"/>
  <c r="BQ250" i="1"/>
  <c r="BP343" i="1"/>
  <c r="BQ306" i="1"/>
  <c r="H326" i="24" s="1"/>
  <c r="BQ37" i="1"/>
  <c r="DY37" i="1" s="1"/>
  <c r="BQ59" i="1"/>
  <c r="DY59" i="1" s="1"/>
  <c r="BQ262" i="1"/>
  <c r="BQ108" i="1"/>
  <c r="DY108" i="1" s="1"/>
  <c r="BQ286" i="1"/>
  <c r="BQ149" i="1"/>
  <c r="DY149" i="1" s="1"/>
  <c r="BP331" i="1"/>
  <c r="BP312" i="1"/>
  <c r="BP308" i="1"/>
  <c r="BP347" i="1"/>
  <c r="BQ34" i="1"/>
  <c r="BQ145" i="1"/>
  <c r="DY145" i="1" s="1"/>
  <c r="BQ230" i="1"/>
  <c r="DY230" i="1" s="1"/>
  <c r="AX195" i="1"/>
  <c r="AX177" i="1"/>
  <c r="AX170" i="1"/>
  <c r="AX158" i="1"/>
  <c r="AX154" i="1"/>
  <c r="AX126" i="1"/>
  <c r="BG145" i="1"/>
  <c r="BG110" i="1"/>
  <c r="BM15" i="1"/>
  <c r="BP304" i="1"/>
  <c r="BP296" i="1"/>
  <c r="BP278" i="1"/>
  <c r="BP270" i="1"/>
  <c r="BP262" i="1"/>
  <c r="BP31" i="1"/>
  <c r="BP152" i="1"/>
  <c r="BP21" i="1"/>
  <c r="BP292" i="1"/>
  <c r="BP39" i="1"/>
  <c r="BP244" i="1"/>
  <c r="BP224" i="1"/>
  <c r="BP209" i="1"/>
  <c r="BP202" i="1"/>
  <c r="BP191" i="1"/>
  <c r="BP187" i="1"/>
  <c r="BP183" i="1"/>
  <c r="BP181" i="1"/>
  <c r="BP177" i="1"/>
  <c r="CN132" i="1"/>
  <c r="CN145" i="1"/>
  <c r="CN172" i="1"/>
  <c r="CN179" i="1"/>
  <c r="CN200" i="1"/>
  <c r="BP335" i="1"/>
  <c r="BP319" i="1"/>
  <c r="BP315" i="1"/>
  <c r="BP323" i="1"/>
  <c r="BP236" i="1"/>
  <c r="BP36" i="1"/>
  <c r="BP240" i="1"/>
  <c r="BP220" i="1"/>
  <c r="BP174" i="1"/>
  <c r="BP170" i="1"/>
  <c r="BP166" i="1"/>
  <c r="BP162" i="1"/>
  <c r="BP88" i="1"/>
  <c r="BP85" i="1"/>
  <c r="BP81" i="1"/>
  <c r="BP78" i="1"/>
  <c r="BP74" i="1"/>
  <c r="BP70" i="1"/>
  <c r="BP66" i="1"/>
  <c r="BP62" i="1"/>
  <c r="BP59" i="1"/>
  <c r="BP57" i="1"/>
  <c r="BP54" i="1"/>
  <c r="BP51" i="1"/>
  <c r="BP47" i="1"/>
  <c r="BP12" i="1"/>
  <c r="CN142" i="1"/>
  <c r="CN136" i="1"/>
  <c r="CN149" i="1"/>
  <c r="CN156" i="1"/>
  <c r="CN160" i="1"/>
  <c r="CN168" i="1"/>
  <c r="CN197" i="1"/>
  <c r="CN203" i="1"/>
  <c r="CN49" i="1"/>
  <c r="CN246" i="1"/>
  <c r="CN250" i="1"/>
  <c r="CN34" i="1"/>
  <c r="CN37" i="1"/>
  <c r="CN41" i="1"/>
  <c r="CN286" i="1"/>
  <c r="CN290" i="1"/>
  <c r="CN294" i="1"/>
  <c r="CN253" i="1"/>
  <c r="CN238" i="1"/>
  <c r="CN19" i="1"/>
  <c r="CN23" i="1"/>
  <c r="CN255" i="1"/>
  <c r="CN26" i="1"/>
  <c r="CN30" i="1"/>
  <c r="CN256" i="1"/>
  <c r="CN260" i="1"/>
  <c r="CN264" i="1"/>
  <c r="CN268" i="1"/>
  <c r="CN272" i="1"/>
  <c r="CN276" i="1"/>
  <c r="CN283" i="1"/>
  <c r="CN302" i="1"/>
  <c r="CN310" i="1"/>
  <c r="CN314" i="1"/>
  <c r="CN317" i="1"/>
  <c r="CN321" i="1"/>
  <c r="CN329" i="1"/>
  <c r="CN333" i="1"/>
  <c r="CN337" i="1"/>
  <c r="CN341" i="1"/>
  <c r="CN345" i="1"/>
  <c r="CN353" i="1"/>
  <c r="BP300" i="1"/>
  <c r="BP281" i="1"/>
  <c r="BP274" i="1"/>
  <c r="BP266" i="1"/>
  <c r="BP258" i="1"/>
  <c r="BP28" i="1"/>
  <c r="BP254" i="1"/>
  <c r="BP17" i="1"/>
  <c r="BP251" i="1"/>
  <c r="BP288" i="1"/>
  <c r="BP33" i="1"/>
  <c r="BP216" i="1"/>
  <c r="BP205" i="1"/>
  <c r="BP158" i="1"/>
  <c r="BP154" i="1"/>
  <c r="BP150" i="1"/>
  <c r="BP147" i="1"/>
  <c r="BP144" i="1"/>
  <c r="BP14" i="1"/>
  <c r="BP140" i="1"/>
  <c r="BP138" i="1"/>
  <c r="BP134" i="1"/>
  <c r="BP130" i="1"/>
  <c r="BP126" i="1"/>
  <c r="BP122" i="1"/>
  <c r="BP118" i="1"/>
  <c r="BP112" i="1"/>
  <c r="BP108" i="1"/>
  <c r="BP101" i="1"/>
  <c r="BP97" i="1"/>
  <c r="CN64" i="1"/>
  <c r="CN72" i="1"/>
  <c r="CN87" i="1"/>
  <c r="CN99" i="1"/>
  <c r="CN110" i="1"/>
  <c r="CN116" i="1"/>
  <c r="CN189" i="1"/>
  <c r="CN193" i="1"/>
  <c r="AU331" i="1"/>
  <c r="E33" i="5"/>
  <c r="E15" i="5"/>
  <c r="K8" i="5"/>
  <c r="AH48" i="26"/>
  <c r="AH400" i="26" s="1"/>
  <c r="AI400" i="26" s="1"/>
  <c r="AI403" i="26" s="1"/>
  <c r="E35" i="5"/>
  <c r="AL43" i="1"/>
  <c r="AL306" i="1"/>
  <c r="AL283" i="1"/>
  <c r="AL240" i="1"/>
  <c r="AL23" i="1"/>
  <c r="AL149" i="1"/>
  <c r="AL76" i="1"/>
  <c r="AL49" i="1"/>
  <c r="AU315" i="1"/>
  <c r="AU45" i="1"/>
  <c r="AX253" i="1"/>
  <c r="AX131" i="1"/>
  <c r="BA152" i="1"/>
  <c r="BD238" i="1"/>
  <c r="BD45" i="1"/>
  <c r="BG17" i="1"/>
  <c r="BJ256" i="1"/>
  <c r="BJ23" i="1"/>
  <c r="BJ253" i="1"/>
  <c r="BJ290" i="1"/>
  <c r="BJ246" i="1"/>
  <c r="BJ233" i="1"/>
  <c r="BJ218" i="1"/>
  <c r="BM197" i="1"/>
  <c r="BG207" i="1"/>
  <c r="CK81" i="1"/>
  <c r="CK88" i="1"/>
  <c r="AO85" i="1"/>
  <c r="AO122" i="1"/>
  <c r="CK112" i="1"/>
  <c r="CK126" i="1"/>
  <c r="CK136" i="1"/>
  <c r="CK145" i="1"/>
  <c r="CK187" i="1"/>
  <c r="CK246" i="1"/>
  <c r="CK290" i="1"/>
  <c r="CK253" i="1"/>
  <c r="CK268" i="1"/>
  <c r="CK302" i="1"/>
  <c r="CK352" i="1"/>
  <c r="CK353" i="1"/>
  <c r="AC325" i="1"/>
  <c r="AC310" i="1"/>
  <c r="AU288" i="1"/>
  <c r="AU108" i="1"/>
  <c r="AU76" i="1"/>
  <c r="AU72" i="1"/>
  <c r="AU68" i="1"/>
  <c r="AU53" i="1"/>
  <c r="AU87" i="1"/>
  <c r="AU100" i="1"/>
  <c r="AU351" i="1"/>
  <c r="AU319" i="1"/>
  <c r="AU304" i="1"/>
  <c r="AL17" i="1"/>
  <c r="AL179" i="1"/>
  <c r="AL299" i="1"/>
  <c r="AL255" i="1"/>
  <c r="AL291" i="1"/>
  <c r="AL230" i="1"/>
  <c r="AL260" i="1"/>
  <c r="AL265" i="1"/>
  <c r="AL302" i="1"/>
  <c r="AL256" i="1"/>
  <c r="AL268" i="1"/>
  <c r="AL298" i="1"/>
  <c r="AL219" i="1"/>
  <c r="AL262" i="1"/>
  <c r="AL269" i="1"/>
  <c r="BD72" i="1"/>
  <c r="AU353" i="1"/>
  <c r="AX162" i="1"/>
  <c r="AX138" i="1"/>
  <c r="AX112" i="1"/>
  <c r="AX101" i="1"/>
  <c r="AX97" i="1"/>
  <c r="BA10" i="1"/>
  <c r="BA197" i="1"/>
  <c r="BA185" i="1"/>
  <c r="BA172" i="1"/>
  <c r="BA136" i="1"/>
  <c r="BA106" i="1"/>
  <c r="BD191" i="1"/>
  <c r="BD154" i="1"/>
  <c r="BD147" i="1"/>
  <c r="BD126" i="1"/>
  <c r="BD108" i="1"/>
  <c r="BD97" i="1"/>
  <c r="BG10" i="1"/>
  <c r="BG164" i="1"/>
  <c r="BG99" i="1"/>
  <c r="BJ118" i="1"/>
  <c r="BM10" i="1"/>
  <c r="BM349" i="1"/>
  <c r="BM345" i="1"/>
  <c r="BM314" i="1"/>
  <c r="BM298" i="1"/>
  <c r="BM26" i="1"/>
  <c r="BM294" i="1"/>
  <c r="BM233" i="1"/>
  <c r="BM226" i="1"/>
  <c r="BM353" i="1"/>
  <c r="CK207" i="1"/>
  <c r="CK110" i="1"/>
  <c r="CK140" i="1"/>
  <c r="CK44" i="1"/>
  <c r="CK181" i="1"/>
  <c r="CK202" i="1"/>
  <c r="CK199" i="1"/>
  <c r="CK233" i="1"/>
  <c r="AO43" i="1"/>
  <c r="CK267" i="1"/>
  <c r="AO278" i="1"/>
  <c r="AO339" i="1"/>
  <c r="CH353" i="1"/>
  <c r="AC288" i="1"/>
  <c r="AC168" i="1"/>
  <c r="AC132" i="1"/>
  <c r="AC116" i="1"/>
  <c r="Q77" i="1"/>
  <c r="AU144" i="1"/>
  <c r="EC333" i="1"/>
  <c r="EC260" i="1"/>
  <c r="EC250" i="1"/>
  <c r="EC185" i="1"/>
  <c r="EC132" i="1"/>
  <c r="EC62" i="1"/>
  <c r="BQ238" i="1"/>
  <c r="BQ156" i="1"/>
  <c r="DY156" i="1" s="1"/>
  <c r="AL41" i="1"/>
  <c r="AL290" i="1"/>
  <c r="AL272" i="1"/>
  <c r="AL244" i="1"/>
  <c r="AU122" i="1"/>
  <c r="AU134" i="1"/>
  <c r="AU126" i="1"/>
  <c r="AX339" i="1"/>
  <c r="AX335" i="1"/>
  <c r="AX327" i="1"/>
  <c r="AX319" i="1"/>
  <c r="AX315" i="1"/>
  <c r="AX308" i="1"/>
  <c r="AX304" i="1"/>
  <c r="AX274" i="1"/>
  <c r="AX152" i="1"/>
  <c r="AX254" i="1"/>
  <c r="AX288" i="1"/>
  <c r="AX43" i="1"/>
  <c r="AX36" i="1"/>
  <c r="AX248" i="1"/>
  <c r="AX228" i="1"/>
  <c r="AX220" i="1"/>
  <c r="AX81" i="1"/>
  <c r="AX78" i="1"/>
  <c r="AX70" i="1"/>
  <c r="AX66" i="1"/>
  <c r="BA341" i="1"/>
  <c r="BA321" i="1"/>
  <c r="BA314" i="1"/>
  <c r="BA298" i="1"/>
  <c r="BA260" i="1"/>
  <c r="BA19" i="1"/>
  <c r="BA253" i="1"/>
  <c r="BA290" i="1"/>
  <c r="BA41" i="1"/>
  <c r="BA37" i="1"/>
  <c r="BA211" i="1"/>
  <c r="BA83" i="1"/>
  <c r="BA76" i="1"/>
  <c r="BA68" i="1"/>
  <c r="BA53" i="1"/>
  <c r="BD335" i="1"/>
  <c r="BD331" i="1"/>
  <c r="BD278" i="1"/>
  <c r="BD28" i="1"/>
  <c r="BD292" i="1"/>
  <c r="BD240" i="1"/>
  <c r="BD224" i="1"/>
  <c r="BD209" i="1"/>
  <c r="BD66" i="1"/>
  <c r="BD62" i="1"/>
  <c r="BD59" i="1"/>
  <c r="BG349" i="1"/>
  <c r="BG310" i="1"/>
  <c r="BG268" i="1"/>
  <c r="BG19" i="1"/>
  <c r="BG294" i="1"/>
  <c r="BJ351" i="1"/>
  <c r="BJ315" i="1"/>
  <c r="BJ254" i="1"/>
  <c r="BJ236" i="1"/>
  <c r="BJ248" i="1"/>
  <c r="BJ57" i="1"/>
  <c r="BJ51" i="1"/>
  <c r="BJ12" i="1"/>
  <c r="BM183" i="1"/>
  <c r="BM122" i="1"/>
  <c r="CK57" i="1"/>
  <c r="CK78" i="1"/>
  <c r="AO59" i="1"/>
  <c r="CK97" i="1"/>
  <c r="AO112" i="1"/>
  <c r="CK122" i="1"/>
  <c r="CK132" i="1"/>
  <c r="CH145" i="1"/>
  <c r="CK149" i="1"/>
  <c r="CK200" i="1"/>
  <c r="CK51" i="1"/>
  <c r="AO209" i="1"/>
  <c r="CK214" i="1"/>
  <c r="AO220" i="1"/>
  <c r="CK225" i="1"/>
  <c r="AO240" i="1"/>
  <c r="CH250" i="1"/>
  <c r="CK33" i="1"/>
  <c r="CH37" i="1"/>
  <c r="CK288" i="1"/>
  <c r="CH294" i="1"/>
  <c r="CK251" i="1"/>
  <c r="CK17" i="1"/>
  <c r="CH19" i="1"/>
  <c r="CK152" i="1"/>
  <c r="CK28" i="1"/>
  <c r="CK258" i="1"/>
  <c r="CK262" i="1"/>
  <c r="CK270" i="1"/>
  <c r="CH272" i="1"/>
  <c r="CK278" i="1"/>
  <c r="CK281" i="1"/>
  <c r="CH302" i="1"/>
  <c r="CK304" i="1"/>
  <c r="CK308" i="1"/>
  <c r="CH310" i="1"/>
  <c r="CH317" i="1"/>
  <c r="CK319" i="1"/>
  <c r="CH325" i="1"/>
  <c r="CK339" i="1"/>
  <c r="AL353" i="1"/>
  <c r="AC211" i="1"/>
  <c r="AC90" i="1"/>
  <c r="AC76" i="1"/>
  <c r="AC68" i="1"/>
  <c r="AC49" i="1"/>
  <c r="AU251" i="1"/>
  <c r="AU290" i="1"/>
  <c r="AU325" i="1"/>
  <c r="AU96" i="1"/>
  <c r="AU14" i="1"/>
  <c r="AU327" i="1"/>
  <c r="EC352" i="1"/>
  <c r="EC348" i="1"/>
  <c r="EC344" i="1"/>
  <c r="EC340" i="1"/>
  <c r="EC336" i="1"/>
  <c r="EC332" i="1"/>
  <c r="EC328" i="1"/>
  <c r="EC324" i="1"/>
  <c r="EC320" i="1"/>
  <c r="EC316" i="1"/>
  <c r="EC313" i="1"/>
  <c r="EC309" i="1"/>
  <c r="EC305" i="1"/>
  <c r="EC301" i="1"/>
  <c r="EC297" i="1"/>
  <c r="EC282" i="1"/>
  <c r="EC279" i="1"/>
  <c r="EC275" i="1"/>
  <c r="EC271" i="1"/>
  <c r="EC267" i="1"/>
  <c r="EC263" i="1"/>
  <c r="EC259" i="1"/>
  <c r="EC29" i="1"/>
  <c r="EC25" i="1"/>
  <c r="EC22" i="1"/>
  <c r="EC18" i="1"/>
  <c r="EC237" i="1"/>
  <c r="EC252" i="1"/>
  <c r="EC293" i="1"/>
  <c r="EC289" i="1"/>
  <c r="EC285" i="1"/>
  <c r="EC40" i="1"/>
  <c r="EC249" i="1"/>
  <c r="EC245" i="1"/>
  <c r="EC241" i="1"/>
  <c r="EC232" i="1"/>
  <c r="EC229" i="1"/>
  <c r="EC225" i="1"/>
  <c r="EC221" i="1"/>
  <c r="EC217" i="1"/>
  <c r="EC214" i="1"/>
  <c r="EC210" i="1"/>
  <c r="EC206" i="1"/>
  <c r="EC199" i="1"/>
  <c r="EC196" i="1"/>
  <c r="EC192" i="1"/>
  <c r="EC188" i="1"/>
  <c r="EC184" i="1"/>
  <c r="EC178" i="1"/>
  <c r="EC175" i="1"/>
  <c r="EC171" i="1"/>
  <c r="EC167" i="1"/>
  <c r="EC163" i="1"/>
  <c r="EC159" i="1"/>
  <c r="EC155" i="1"/>
  <c r="EC44" i="1"/>
  <c r="EC148" i="1"/>
  <c r="EC141" i="1"/>
  <c r="EC135" i="1"/>
  <c r="EC131" i="1"/>
  <c r="EC127" i="1"/>
  <c r="EC123" i="1"/>
  <c r="EC119" i="1"/>
  <c r="EC115" i="1"/>
  <c r="EC109" i="1"/>
  <c r="EC105" i="1"/>
  <c r="EC103" i="1"/>
  <c r="EC101" i="1"/>
  <c r="EC97" i="1"/>
  <c r="EC91" i="1"/>
  <c r="EC84" i="1"/>
  <c r="EC80" i="1"/>
  <c r="EC77" i="1"/>
  <c r="EC73" i="1"/>
  <c r="EC69" i="1"/>
  <c r="EC65" i="1"/>
  <c r="EC61" i="1"/>
  <c r="EC58" i="1"/>
  <c r="EC56" i="1"/>
  <c r="EC50" i="1"/>
  <c r="EC46" i="1"/>
  <c r="EC11" i="1"/>
  <c r="AL15" i="1"/>
  <c r="AL312" i="1"/>
  <c r="AL273" i="1"/>
  <c r="AL27" i="1"/>
  <c r="AL246" i="1"/>
  <c r="AL296" i="1"/>
  <c r="AL295" i="1"/>
  <c r="AL321" i="1"/>
  <c r="AL264" i="1"/>
  <c r="AL278" i="1"/>
  <c r="AL250" i="1"/>
  <c r="AL341" i="1"/>
  <c r="AL19" i="1"/>
  <c r="AU260" i="1"/>
  <c r="AL308" i="1"/>
  <c r="AL317" i="1"/>
  <c r="AL26" i="1"/>
  <c r="AL37" i="1"/>
  <c r="AL294" i="1"/>
  <c r="AL345" i="1"/>
  <c r="AL30" i="1"/>
  <c r="AL242" i="1"/>
  <c r="AL211" i="1"/>
  <c r="AL322" i="1"/>
  <c r="AL254" i="1"/>
  <c r="AL276" i="1"/>
  <c r="AL337" i="1"/>
  <c r="AL145" i="1"/>
  <c r="AL284" i="1"/>
  <c r="AL207" i="1"/>
  <c r="AU10" i="1"/>
  <c r="AX10" i="1"/>
  <c r="AX203" i="1"/>
  <c r="AX172" i="1"/>
  <c r="AX124" i="1"/>
  <c r="BR46" i="1"/>
  <c r="DZ46" i="1" s="1"/>
  <c r="BA144" i="1"/>
  <c r="BD189" i="1"/>
  <c r="BD95" i="1"/>
  <c r="BM57" i="1"/>
  <c r="CH12" i="1"/>
  <c r="CK106" i="1"/>
  <c r="CK120" i="1"/>
  <c r="CK128" i="1"/>
  <c r="CK138" i="1"/>
  <c r="CK155" i="1"/>
  <c r="CK154" i="1"/>
  <c r="CK164" i="1"/>
  <c r="CK183" i="1"/>
  <c r="CK205" i="1"/>
  <c r="CK209" i="1"/>
  <c r="CH211" i="1"/>
  <c r="CK216" i="1"/>
  <c r="CK220" i="1"/>
  <c r="CK240" i="1"/>
  <c r="AC298" i="1"/>
  <c r="AC256" i="1"/>
  <c r="AU254" i="1"/>
  <c r="AU244" i="1"/>
  <c r="AU181" i="1"/>
  <c r="EC351" i="1"/>
  <c r="EC347" i="1"/>
  <c r="EC343" i="1"/>
  <c r="EC339" i="1"/>
  <c r="EC335" i="1"/>
  <c r="EC331" i="1"/>
  <c r="EC327" i="1"/>
  <c r="EC323" i="1"/>
  <c r="EC319" i="1"/>
  <c r="EC315" i="1"/>
  <c r="EC312" i="1"/>
  <c r="EC308" i="1"/>
  <c r="EC304" i="1"/>
  <c r="EC300" i="1"/>
  <c r="EC296" i="1"/>
  <c r="EC281" i="1"/>
  <c r="EC278" i="1"/>
  <c r="EC274" i="1"/>
  <c r="EC270" i="1"/>
  <c r="EC266" i="1"/>
  <c r="EC262" i="1"/>
  <c r="EC258" i="1"/>
  <c r="EC31" i="1"/>
  <c r="EC28" i="1"/>
  <c r="EC152" i="1"/>
  <c r="EC254" i="1"/>
  <c r="EC21" i="1"/>
  <c r="EC17" i="1"/>
  <c r="EC236" i="1"/>
  <c r="EC251" i="1"/>
  <c r="EC292" i="1"/>
  <c r="EC288" i="1"/>
  <c r="EC43" i="1"/>
  <c r="EC39" i="1"/>
  <c r="EC36" i="1"/>
  <c r="EC33" i="1"/>
  <c r="EC248" i="1"/>
  <c r="EC244" i="1"/>
  <c r="EC240" i="1"/>
  <c r="EC228" i="1"/>
  <c r="EC224" i="1"/>
  <c r="EC220" i="1"/>
  <c r="EC216" i="1"/>
  <c r="EC209" i="1"/>
  <c r="EC205" i="1"/>
  <c r="EC202" i="1"/>
  <c r="EC195" i="1"/>
  <c r="EC191" i="1"/>
  <c r="EC187" i="1"/>
  <c r="EC183" i="1"/>
  <c r="EC181" i="1"/>
  <c r="EC177" i="1"/>
  <c r="EC174" i="1"/>
  <c r="EC170" i="1"/>
  <c r="EC166" i="1"/>
  <c r="EC162" i="1"/>
  <c r="EC158" i="1"/>
  <c r="EC154" i="1"/>
  <c r="EC150" i="1"/>
  <c r="EC147" i="1"/>
  <c r="EC144" i="1"/>
  <c r="EC14" i="1"/>
  <c r="EC140" i="1"/>
  <c r="EC138" i="1"/>
  <c r="EC134" i="1"/>
  <c r="EC130" i="1"/>
  <c r="EC126" i="1"/>
  <c r="EC122" i="1"/>
  <c r="EC118" i="1"/>
  <c r="EC112" i="1"/>
  <c r="EC108" i="1"/>
  <c r="EC100" i="1"/>
  <c r="EC96" i="1"/>
  <c r="EC90" i="1"/>
  <c r="EC87" i="1"/>
  <c r="EC83" i="1"/>
  <c r="EC76" i="1"/>
  <c r="EC72" i="1"/>
  <c r="EC68" i="1"/>
  <c r="EC64" i="1"/>
  <c r="EC53" i="1"/>
  <c r="EC49" i="1"/>
  <c r="EC45" i="1"/>
  <c r="EC10" i="1"/>
  <c r="AC12" i="1"/>
  <c r="K21" i="5"/>
  <c r="K12" i="5"/>
  <c r="BR272" i="1"/>
  <c r="BR264" i="1"/>
  <c r="BR328" i="1"/>
  <c r="I349" i="24" s="1"/>
  <c r="BR29" i="1"/>
  <c r="DZ29" i="1" s="1"/>
  <c r="BR325" i="1"/>
  <c r="DZ325" i="1" s="1"/>
  <c r="BR347" i="1"/>
  <c r="I368" i="24" s="1"/>
  <c r="BR277" i="1"/>
  <c r="BR239" i="1"/>
  <c r="DZ239" i="1" s="1"/>
  <c r="BR287" i="1"/>
  <c r="DZ287" i="1" s="1"/>
  <c r="BR208" i="1"/>
  <c r="I166" i="24"/>
  <c r="BR179" i="1"/>
  <c r="DZ179" i="1" s="1"/>
  <c r="BR164" i="1"/>
  <c r="BR156" i="1"/>
  <c r="I134" i="24"/>
  <c r="BR145" i="1"/>
  <c r="DZ145" i="1" s="1"/>
  <c r="I123" i="24"/>
  <c r="BR142" i="1"/>
  <c r="BR128" i="1"/>
  <c r="BR124" i="1"/>
  <c r="BR110" i="1"/>
  <c r="DZ110" i="1" s="1"/>
  <c r="BR95" i="1"/>
  <c r="BR80" i="1"/>
  <c r="BR275" i="1"/>
  <c r="BR203" i="1"/>
  <c r="BR20" i="1"/>
  <c r="DZ20" i="1" s="1"/>
  <c r="BR282" i="1"/>
  <c r="BR195" i="1"/>
  <c r="BR166" i="1"/>
  <c r="BR118" i="1"/>
  <c r="BR321" i="1"/>
  <c r="I342" i="24" s="1"/>
  <c r="BR303" i="1"/>
  <c r="DZ303" i="1" s="1"/>
  <c r="BR40" i="1"/>
  <c r="DZ40" i="1" s="1"/>
  <c r="BR308" i="1"/>
  <c r="DZ308" i="1" s="1"/>
  <c r="BR224" i="1"/>
  <c r="BR96" i="1"/>
  <c r="BR66" i="1"/>
  <c r="BR318" i="1"/>
  <c r="I339" i="24" s="1"/>
  <c r="I335" i="24"/>
  <c r="BR13" i="1"/>
  <c r="I12" i="24" s="1"/>
  <c r="BR211" i="1"/>
  <c r="BR245" i="1"/>
  <c r="DZ245" i="1" s="1"/>
  <c r="BR229" i="1"/>
  <c r="DZ229" i="1" s="1"/>
  <c r="BR205" i="1"/>
  <c r="BR191" i="1"/>
  <c r="BR187" i="1"/>
  <c r="BR183" i="1"/>
  <c r="DZ183" i="1" s="1"/>
  <c r="BR181" i="1"/>
  <c r="DZ181" i="1" s="1"/>
  <c r="BR170" i="1"/>
  <c r="DZ170" i="1" s="1"/>
  <c r="BR162" i="1"/>
  <c r="DZ162" i="1" s="1"/>
  <c r="BR158" i="1"/>
  <c r="BR154" i="1"/>
  <c r="BR147" i="1"/>
  <c r="DZ147" i="1" s="1"/>
  <c r="BR144" i="1"/>
  <c r="DZ144" i="1" s="1"/>
  <c r="BR138" i="1"/>
  <c r="DZ138" i="1" s="1"/>
  <c r="BR112" i="1"/>
  <c r="DZ112" i="1" s="1"/>
  <c r="BR189" i="1"/>
  <c r="BR11" i="1"/>
  <c r="I10" i="24" s="1"/>
  <c r="BR225" i="1"/>
  <c r="DZ225" i="1" s="1"/>
  <c r="BR217" i="1"/>
  <c r="DZ217" i="1" s="1"/>
  <c r="BR14" i="1"/>
  <c r="BR307" i="1"/>
  <c r="I327" i="24" s="1"/>
  <c r="BR337" i="1"/>
  <c r="DZ337" i="1" s="1"/>
  <c r="BR30" i="1"/>
  <c r="DZ30" i="1" s="1"/>
  <c r="BR233" i="1"/>
  <c r="DZ233" i="1" s="1"/>
  <c r="BR226" i="1"/>
  <c r="DZ226" i="1" s="1"/>
  <c r="BR206" i="1"/>
  <c r="DZ206" i="1" s="1"/>
  <c r="BR192" i="1"/>
  <c r="DZ192" i="1" s="1"/>
  <c r="BR188" i="1"/>
  <c r="BR182" i="1"/>
  <c r="DZ182" i="1" s="1"/>
  <c r="BR178" i="1"/>
  <c r="BR175" i="1"/>
  <c r="BR171" i="1"/>
  <c r="BR167" i="1"/>
  <c r="BR163" i="1"/>
  <c r="BR159" i="1"/>
  <c r="BR155" i="1"/>
  <c r="DZ155" i="1" s="1"/>
  <c r="BR44" i="1"/>
  <c r="DZ44" i="1" s="1"/>
  <c r="BR141" i="1"/>
  <c r="DZ141" i="1" s="1"/>
  <c r="BR123" i="1"/>
  <c r="DZ123" i="1" s="1"/>
  <c r="BR119" i="1"/>
  <c r="BR115" i="1"/>
  <c r="BR109" i="1"/>
  <c r="BR105" i="1"/>
  <c r="DZ105" i="1" s="1"/>
  <c r="BR98" i="1"/>
  <c r="DZ98" i="1" s="1"/>
  <c r="BR90" i="1"/>
  <c r="DZ90" i="1" s="1"/>
  <c r="BR87" i="1"/>
  <c r="DZ87" i="1" s="1"/>
  <c r="BR83" i="1"/>
  <c r="DZ83" i="1" s="1"/>
  <c r="BR72" i="1"/>
  <c r="BR68" i="1"/>
  <c r="DZ68" i="1" s="1"/>
  <c r="BR64" i="1"/>
  <c r="BR49" i="1"/>
  <c r="DZ49" i="1" s="1"/>
  <c r="BR45" i="1"/>
  <c r="BR9" i="1"/>
  <c r="BR301" i="1"/>
  <c r="DZ301" i="1" s="1"/>
  <c r="BR279" i="1"/>
  <c r="DZ279" i="1" s="1"/>
  <c r="BR271" i="1"/>
  <c r="BR267" i="1"/>
  <c r="DZ267" i="1" s="1"/>
  <c r="BR259" i="1"/>
  <c r="BR22" i="1"/>
  <c r="BR252" i="1"/>
  <c r="BR293" i="1"/>
  <c r="DZ293" i="1" s="1"/>
  <c r="BR296" i="1"/>
  <c r="I316" i="24" s="1"/>
  <c r="BR152" i="1"/>
  <c r="BR43" i="1"/>
  <c r="BR33" i="1"/>
  <c r="BR201" i="1"/>
  <c r="DZ201" i="1" s="1"/>
  <c r="BR100" i="1"/>
  <c r="BP200" i="1"/>
  <c r="BR200" i="1"/>
  <c r="BR209" i="1"/>
  <c r="BR198" i="1"/>
  <c r="DZ198" i="1" s="1"/>
  <c r="BR190" i="1"/>
  <c r="BR70" i="1"/>
  <c r="DZ70" i="1" s="1"/>
  <c r="BA113" i="1"/>
  <c r="BR113" i="1"/>
  <c r="DZ113" i="1" s="1"/>
  <c r="BG134" i="1"/>
  <c r="BR134" i="1"/>
  <c r="BR326" i="1"/>
  <c r="I347" i="24" s="1"/>
  <c r="BP207" i="1"/>
  <c r="BR207" i="1"/>
  <c r="BR312" i="1"/>
  <c r="DZ312" i="1" s="1"/>
  <c r="BJ220" i="1"/>
  <c r="BR220" i="1"/>
  <c r="BR300" i="1"/>
  <c r="I320" i="24" s="1"/>
  <c r="BR28" i="1"/>
  <c r="DZ28" i="1" s="1"/>
  <c r="BR254" i="1"/>
  <c r="DZ254" i="1" s="1"/>
  <c r="BR288" i="1"/>
  <c r="BR39" i="1"/>
  <c r="DZ39" i="1" s="1"/>
  <c r="BR248" i="1"/>
  <c r="DZ248" i="1" s="1"/>
  <c r="BR240" i="1"/>
  <c r="BR204" i="1"/>
  <c r="BR256" i="1"/>
  <c r="BR26" i="1"/>
  <c r="DZ26" i="1" s="1"/>
  <c r="BR222" i="1"/>
  <c r="DZ222" i="1" s="1"/>
  <c r="BR218" i="1"/>
  <c r="BR343" i="1"/>
  <c r="BR216" i="1"/>
  <c r="BR62" i="1"/>
  <c r="DZ62" i="1" s="1"/>
  <c r="BR59" i="1"/>
  <c r="AX59" i="1"/>
  <c r="BR12" i="1"/>
  <c r="DZ12" i="1" s="1"/>
  <c r="BR174" i="1"/>
  <c r="DZ174" i="1" s="1"/>
  <c r="BR263" i="1"/>
  <c r="BR249" i="1"/>
  <c r="DZ249" i="1" s="1"/>
  <c r="BR295" i="1"/>
  <c r="DZ295" i="1" s="1"/>
  <c r="BR291" i="1"/>
  <c r="BR185" i="1"/>
  <c r="DZ185" i="1" s="1"/>
  <c r="BR136" i="1"/>
  <c r="BR132" i="1"/>
  <c r="DZ132" i="1" s="1"/>
  <c r="BR84" i="1"/>
  <c r="BR58" i="1"/>
  <c r="DZ58" i="1" s="1"/>
  <c r="BR56" i="1"/>
  <c r="BR302" i="1"/>
  <c r="DZ302" i="1" s="1"/>
  <c r="BR283" i="1"/>
  <c r="DZ283" i="1" s="1"/>
  <c r="BR32" i="1"/>
  <c r="DZ32" i="1" s="1"/>
  <c r="BR247" i="1"/>
  <c r="DZ247" i="1" s="1"/>
  <c r="BR243" i="1"/>
  <c r="DZ243" i="1" s="1"/>
  <c r="BR231" i="1"/>
  <c r="DZ231" i="1" s="1"/>
  <c r="BR212" i="1"/>
  <c r="DZ212" i="1" s="1"/>
  <c r="BR194" i="1"/>
  <c r="BR186" i="1"/>
  <c r="DZ186" i="1" s="1"/>
  <c r="BR176" i="1"/>
  <c r="DZ176" i="1" s="1"/>
  <c r="BR173" i="1"/>
  <c r="DZ173" i="1" s="1"/>
  <c r="BR169" i="1"/>
  <c r="DZ169" i="1" s="1"/>
  <c r="BR165" i="1"/>
  <c r="DZ165" i="1" s="1"/>
  <c r="BR161" i="1"/>
  <c r="DZ161" i="1" s="1"/>
  <c r="BR157" i="1"/>
  <c r="BR153" i="1"/>
  <c r="BR146" i="1"/>
  <c r="DZ146" i="1" s="1"/>
  <c r="I121" i="24"/>
  <c r="BR139" i="1"/>
  <c r="DZ139" i="1" s="1"/>
  <c r="BR137" i="1"/>
  <c r="DZ137" i="1" s="1"/>
  <c r="BR133" i="1"/>
  <c r="DZ133" i="1" s="1"/>
  <c r="BR129" i="1"/>
  <c r="BR121" i="1"/>
  <c r="DZ121" i="1" s="1"/>
  <c r="BR117" i="1"/>
  <c r="DZ117" i="1" s="1"/>
  <c r="BR114" i="1"/>
  <c r="DZ114" i="1" s="1"/>
  <c r="BR104" i="1"/>
  <c r="BR97" i="1"/>
  <c r="DZ97" i="1" s="1"/>
  <c r="BR82" i="1"/>
  <c r="BR75" i="1"/>
  <c r="BR71" i="1"/>
  <c r="BR63" i="1"/>
  <c r="I34" i="24" s="1"/>
  <c r="BR99" i="1"/>
  <c r="BR313" i="1"/>
  <c r="I333" i="24" s="1"/>
  <c r="BR305" i="1"/>
  <c r="BR52" i="1"/>
  <c r="CP68" i="1"/>
  <c r="CP55" i="1"/>
  <c r="CP79" i="1"/>
  <c r="CP89" i="1"/>
  <c r="CP236" i="1"/>
  <c r="CP21" i="1"/>
  <c r="CP266" i="1"/>
  <c r="CP275" i="1"/>
  <c r="CP257" i="1"/>
  <c r="CP35" i="1"/>
  <c r="CP25" i="1"/>
  <c r="CP38" i="1"/>
  <c r="CP287" i="1"/>
  <c r="CP73" i="1"/>
  <c r="CP30" i="1"/>
  <c r="CP340" i="1"/>
  <c r="CP196" i="1"/>
  <c r="CP197" i="1"/>
  <c r="CP326" i="1"/>
  <c r="CP328" i="1"/>
  <c r="CP284" i="1"/>
  <c r="CP126" i="1"/>
  <c r="CP144" i="1"/>
  <c r="CP279" i="1"/>
  <c r="CP19" i="1"/>
  <c r="CP151" i="1"/>
  <c r="CP280" i="1"/>
  <c r="CP297" i="1"/>
  <c r="CP301" i="1"/>
  <c r="CP307" i="1"/>
  <c r="CP322" i="1"/>
  <c r="CP227" i="1"/>
  <c r="CP303" i="1"/>
  <c r="CP316" i="1"/>
  <c r="CP165" i="1"/>
  <c r="CP339" i="1"/>
  <c r="CP138" i="1"/>
  <c r="CP171" i="1"/>
  <c r="CP217" i="1"/>
  <c r="CP295" i="1"/>
  <c r="CP262" i="1"/>
  <c r="CP348" i="1"/>
  <c r="CP352" i="1"/>
  <c r="CP109" i="1"/>
  <c r="CP273" i="1"/>
  <c r="CP107" i="1"/>
  <c r="CP26" i="1"/>
  <c r="CP29" i="1"/>
  <c r="CP265" i="1"/>
  <c r="CP341" i="1"/>
  <c r="CP345" i="1"/>
  <c r="CP212" i="1"/>
  <c r="CP248" i="1"/>
  <c r="CP15" i="1"/>
  <c r="CP16" i="1"/>
  <c r="CP22" i="1"/>
  <c r="CP27" i="1"/>
  <c r="CP28" i="1"/>
  <c r="CP267" i="1"/>
  <c r="CP271" i="1"/>
  <c r="CP282" i="1"/>
  <c r="CP283" i="1"/>
  <c r="CP56" i="1"/>
  <c r="CP208" i="1"/>
  <c r="CP209" i="1"/>
  <c r="CP221" i="1"/>
  <c r="CP18" i="1"/>
  <c r="CP255" i="1"/>
  <c r="CP256" i="1"/>
  <c r="CP269" i="1"/>
  <c r="CP334" i="1"/>
  <c r="CP344" i="1"/>
  <c r="CP235" i="1"/>
  <c r="CP147" i="1"/>
  <c r="CP249" i="1"/>
  <c r="CP17" i="1"/>
  <c r="CP40" i="1"/>
  <c r="CP285" i="1"/>
  <c r="CP293" i="1"/>
  <c r="CP309" i="1"/>
  <c r="CP320" i="1"/>
  <c r="CP331" i="1"/>
  <c r="CP332" i="1"/>
  <c r="CP94" i="1"/>
  <c r="CP105" i="1"/>
  <c r="CP146" i="1"/>
  <c r="CP216" i="1"/>
  <c r="CP308" i="1"/>
  <c r="CP315" i="1"/>
  <c r="CP319" i="1"/>
  <c r="CP330" i="1"/>
  <c r="CP335" i="1"/>
  <c r="CP336" i="1"/>
  <c r="CP46" i="1"/>
  <c r="CP112" i="1"/>
  <c r="CP337" i="1"/>
  <c r="CN15" i="1"/>
  <c r="CP59" i="1"/>
  <c r="CP172" i="1"/>
  <c r="CP188" i="1"/>
  <c r="CP203" i="1"/>
  <c r="CN331" i="1"/>
  <c r="CP238" i="1"/>
  <c r="CP131" i="1"/>
  <c r="CP305" i="1"/>
  <c r="CP317" i="1"/>
  <c r="CP321" i="1"/>
  <c r="CP327" i="1"/>
  <c r="CP350" i="1"/>
  <c r="CP152" i="1"/>
  <c r="CK232" i="1"/>
  <c r="CP232" i="1"/>
  <c r="CP304" i="1"/>
  <c r="CP306" i="1"/>
  <c r="CP23" i="1"/>
  <c r="CK131" i="1"/>
  <c r="CP342" i="1"/>
  <c r="CP286" i="1"/>
  <c r="CP270" i="1"/>
  <c r="CP190" i="1"/>
  <c r="CP191" i="1"/>
  <c r="CP54" i="1"/>
  <c r="CP37" i="1"/>
  <c r="CK142" i="1"/>
  <c r="CP142" i="1"/>
  <c r="CP218" i="1"/>
  <c r="CP247" i="1"/>
  <c r="CP233" i="1"/>
  <c r="CN306" i="1"/>
  <c r="CP346" i="1"/>
  <c r="CP12" i="1"/>
  <c r="CP64" i="1"/>
  <c r="CP81" i="1"/>
  <c r="CP119" i="1"/>
  <c r="CP139" i="1"/>
  <c r="CP164" i="1"/>
  <c r="CP174" i="1"/>
  <c r="CP183" i="1"/>
  <c r="CP351" i="1"/>
  <c r="CP62" i="1"/>
  <c r="CP111" i="1"/>
  <c r="CP133" i="1"/>
  <c r="CP13" i="1"/>
  <c r="CP24" i="1"/>
  <c r="CP296" i="1"/>
  <c r="CP313" i="1"/>
  <c r="CP323" i="1"/>
  <c r="CP343" i="1"/>
  <c r="CP140" i="1"/>
  <c r="CP353" i="1"/>
  <c r="CP69" i="1"/>
  <c r="CP77" i="1"/>
  <c r="CP207" i="1"/>
  <c r="CP155" i="1"/>
  <c r="CP200" i="1"/>
  <c r="CP302" i="1"/>
  <c r="CP65" i="1"/>
  <c r="CP246" i="1"/>
  <c r="CP310" i="1"/>
  <c r="CP76" i="1"/>
  <c r="CP229" i="1"/>
  <c r="CP234" i="1"/>
  <c r="CP242" i="1"/>
  <c r="CP32" i="1"/>
  <c r="CP20" i="1"/>
  <c r="CP254" i="1"/>
  <c r="CP258" i="1"/>
  <c r="CP259" i="1"/>
  <c r="CP184" i="1"/>
  <c r="CP99" i="1"/>
  <c r="CP115" i="1"/>
  <c r="CP125" i="1"/>
  <c r="CP129" i="1"/>
  <c r="CP157" i="1"/>
  <c r="CP199" i="1"/>
  <c r="CP288" i="1"/>
  <c r="CP289" i="1"/>
  <c r="CP324" i="1"/>
  <c r="CP278" i="1"/>
  <c r="CN228" i="1"/>
  <c r="CP228" i="1"/>
  <c r="CP274" i="1"/>
  <c r="CN274" i="1"/>
  <c r="CN298" i="1"/>
  <c r="CP298" i="1"/>
  <c r="CN325" i="1"/>
  <c r="CP325" i="1"/>
  <c r="CN349" i="1"/>
  <c r="CP349" i="1"/>
  <c r="CN185" i="1"/>
  <c r="CP185" i="1"/>
  <c r="CP318" i="1"/>
  <c r="CN318" i="1"/>
  <c r="CP116" i="1"/>
  <c r="CP347" i="1"/>
  <c r="CP294" i="1"/>
  <c r="CP72" i="1"/>
  <c r="CP113" i="1"/>
  <c r="CP158" i="1"/>
  <c r="CP166" i="1"/>
  <c r="CP206" i="1"/>
  <c r="CP244" i="1"/>
  <c r="CP329" i="1"/>
  <c r="CP168" i="1"/>
  <c r="CP291" i="1"/>
  <c r="CP148" i="1"/>
  <c r="CP44" i="1"/>
  <c r="CP153" i="1"/>
  <c r="CP156" i="1"/>
  <c r="CP211" i="1"/>
  <c r="CP230" i="1"/>
  <c r="CP42" i="1"/>
  <c r="CP31" i="1"/>
  <c r="CP260" i="1"/>
  <c r="CP333" i="1"/>
  <c r="CP268" i="1"/>
  <c r="CP57" i="1"/>
  <c r="CP66" i="1"/>
  <c r="CP178" i="1"/>
  <c r="CP198" i="1"/>
  <c r="CP223" i="1"/>
  <c r="CP224" i="1"/>
  <c r="CP225" i="1"/>
  <c r="CP226" i="1"/>
  <c r="CP33" i="1"/>
  <c r="CP36" i="1"/>
  <c r="CP39" i="1"/>
  <c r="CP41" i="1"/>
  <c r="CP292" i="1"/>
  <c r="CP252" i="1"/>
  <c r="CP239" i="1"/>
  <c r="CP276" i="1"/>
  <c r="CP277" i="1"/>
  <c r="CP299" i="1"/>
  <c r="CP300" i="1"/>
  <c r="CP311" i="1"/>
  <c r="CP338" i="1"/>
  <c r="CK210" i="1"/>
  <c r="CP210" i="1"/>
  <c r="CP314" i="1"/>
  <c r="CK314" i="1"/>
  <c r="CP98" i="1"/>
  <c r="CK98" i="1"/>
  <c r="CK130" i="1"/>
  <c r="CP130" i="1"/>
  <c r="CP108" i="1"/>
  <c r="CK108" i="1"/>
  <c r="CP179" i="1"/>
  <c r="CK179" i="1"/>
  <c r="CP312" i="1"/>
  <c r="CK312" i="1"/>
  <c r="CP118" i="1"/>
  <c r="CK118" i="1"/>
  <c r="CK250" i="1"/>
  <c r="CP250" i="1"/>
  <c r="CK272" i="1"/>
  <c r="CP272" i="1"/>
  <c r="CP281" i="1"/>
  <c r="CP290" i="1"/>
  <c r="CP202" i="1"/>
  <c r="CP186" i="1"/>
  <c r="CP11" i="1"/>
  <c r="BP333" i="1"/>
  <c r="BR333" i="1"/>
  <c r="I354" i="24" s="1"/>
  <c r="BR276" i="1"/>
  <c r="BR346" i="1"/>
  <c r="I367" i="24" s="1"/>
  <c r="BR322" i="1"/>
  <c r="DZ322" i="1" s="1"/>
  <c r="K31" i="5"/>
  <c r="K27" i="5"/>
  <c r="BR268" i="1"/>
  <c r="DZ268" i="1" s="1"/>
  <c r="BR260" i="1"/>
  <c r="DZ260" i="1" s="1"/>
  <c r="BR255" i="1"/>
  <c r="BR23" i="1"/>
  <c r="BR19" i="1"/>
  <c r="DZ19" i="1" s="1"/>
  <c r="BR294" i="1"/>
  <c r="DZ294" i="1" s="1"/>
  <c r="AX294" i="1"/>
  <c r="BR286" i="1"/>
  <c r="DZ286" i="1" s="1"/>
  <c r="BR230" i="1"/>
  <c r="DZ230" i="1" s="1"/>
  <c r="AX127" i="1"/>
  <c r="BR127" i="1"/>
  <c r="DZ127" i="1" s="1"/>
  <c r="BR351" i="1"/>
  <c r="DZ351" i="1" s="1"/>
  <c r="BP197" i="1"/>
  <c r="BR197" i="1"/>
  <c r="DZ197" i="1" s="1"/>
  <c r="I33" i="5"/>
  <c r="I35" i="5" s="1"/>
  <c r="BR10" i="1"/>
  <c r="K9" i="5"/>
  <c r="BR227" i="1"/>
  <c r="BR223" i="1"/>
  <c r="BR219" i="1"/>
  <c r="BR273" i="1"/>
  <c r="DZ273" i="1" s="1"/>
  <c r="BR269" i="1"/>
  <c r="BR265" i="1"/>
  <c r="BR261" i="1"/>
  <c r="BR151" i="1"/>
  <c r="BR38" i="1"/>
  <c r="BM97" i="1"/>
  <c r="I286" i="24"/>
  <c r="BR60" i="1"/>
  <c r="DZ60" i="1" s="1"/>
  <c r="BR342" i="1"/>
  <c r="DZ342" i="1" s="1"/>
  <c r="BR284" i="1"/>
  <c r="BR280" i="1"/>
  <c r="BR57" i="1"/>
  <c r="BR51" i="1"/>
  <c r="BR345" i="1"/>
  <c r="DZ345" i="1" s="1"/>
  <c r="BR352" i="1"/>
  <c r="I373" i="24" s="1"/>
  <c r="BR348" i="1"/>
  <c r="I369" i="24" s="1"/>
  <c r="BR336" i="1"/>
  <c r="DZ336" i="1" s="1"/>
  <c r="BR332" i="1"/>
  <c r="I353" i="24" s="1"/>
  <c r="BR324" i="1"/>
  <c r="I345" i="24" s="1"/>
  <c r="BR320" i="1"/>
  <c r="DZ320" i="1" s="1"/>
  <c r="BR316" i="1"/>
  <c r="I337" i="24" s="1"/>
  <c r="BR309" i="1"/>
  <c r="DZ309" i="1" s="1"/>
  <c r="I23" i="24"/>
  <c r="CP101" i="1"/>
  <c r="CP93" i="1"/>
  <c r="Q10" i="1"/>
  <c r="T187" i="1"/>
  <c r="AL348" i="1"/>
  <c r="AL340" i="1"/>
  <c r="AL309" i="1"/>
  <c r="AL305" i="1"/>
  <c r="AL282" i="1"/>
  <c r="AL275" i="1"/>
  <c r="AL22" i="1"/>
  <c r="AL252" i="1"/>
  <c r="AL289" i="1"/>
  <c r="AL40" i="1"/>
  <c r="AL245" i="1"/>
  <c r="AL232" i="1"/>
  <c r="AL229" i="1"/>
  <c r="AL225" i="1"/>
  <c r="AL217" i="1"/>
  <c r="AO234" i="1"/>
  <c r="AU311" i="1"/>
  <c r="AU111" i="1"/>
  <c r="AU67" i="1"/>
  <c r="AX11" i="1"/>
  <c r="BA309" i="1"/>
  <c r="BA192" i="1"/>
  <c r="BA92" i="1"/>
  <c r="BA63" i="1"/>
  <c r="BA52" i="1"/>
  <c r="CK330" i="1"/>
  <c r="CK322" i="1"/>
  <c r="CK299" i="1"/>
  <c r="CK284" i="1"/>
  <c r="CK280" i="1"/>
  <c r="CK261" i="1"/>
  <c r="CK257" i="1"/>
  <c r="CK16" i="1"/>
  <c r="CK247" i="1"/>
  <c r="CK198" i="1"/>
  <c r="CK186" i="1"/>
  <c r="CK169" i="1"/>
  <c r="CK133" i="1"/>
  <c r="CK129" i="1"/>
  <c r="CK121" i="1"/>
  <c r="CK117" i="1"/>
  <c r="CK107" i="1"/>
  <c r="CK46" i="1"/>
  <c r="CN344" i="1"/>
  <c r="CN324" i="1"/>
  <c r="CN316" i="1"/>
  <c r="CN313" i="1"/>
  <c r="CN279" i="1"/>
  <c r="CN259" i="1"/>
  <c r="CN29" i="1"/>
  <c r="CN25" i="1"/>
  <c r="CN18" i="1"/>
  <c r="CN285" i="1"/>
  <c r="CN40" i="1"/>
  <c r="CN249" i="1"/>
  <c r="CN229" i="1"/>
  <c r="CN217" i="1"/>
  <c r="CN175" i="1"/>
  <c r="CN115" i="1"/>
  <c r="CN79" i="1"/>
  <c r="CN60" i="1"/>
  <c r="CN13" i="1"/>
  <c r="CP74" i="1"/>
  <c r="CP88" i="1"/>
  <c r="CP173" i="1"/>
  <c r="CP175" i="1"/>
  <c r="CP170" i="1"/>
  <c r="CP177" i="1"/>
  <c r="CP193" i="1"/>
  <c r="CP261" i="1"/>
  <c r="CP264" i="1"/>
  <c r="T9" i="1"/>
  <c r="BA300" i="1"/>
  <c r="BA274" i="1"/>
  <c r="BD246" i="1"/>
  <c r="BD64" i="1"/>
  <c r="BD10" i="1"/>
  <c r="BG85" i="1"/>
  <c r="BG47" i="1"/>
  <c r="BJ203" i="1"/>
  <c r="BJ189" i="1"/>
  <c r="BM51" i="1"/>
  <c r="BP41" i="1"/>
  <c r="BP168" i="1"/>
  <c r="BP145" i="1"/>
  <c r="BP136" i="1"/>
  <c r="BP128" i="1"/>
  <c r="BP72" i="1"/>
  <c r="BP68" i="1"/>
  <c r="BR88" i="1"/>
  <c r="DZ88" i="1" s="1"/>
  <c r="BR85" i="1"/>
  <c r="BR81" i="1"/>
  <c r="DZ81" i="1" s="1"/>
  <c r="BR78" i="1"/>
  <c r="BR74" i="1"/>
  <c r="BR232" i="1"/>
  <c r="BR221" i="1"/>
  <c r="BR53" i="1"/>
  <c r="DZ53" i="1" s="1"/>
  <c r="BR15" i="1"/>
  <c r="BR253" i="1"/>
  <c r="BR290" i="1"/>
  <c r="BR34" i="1"/>
  <c r="CP85" i="1"/>
  <c r="CP104" i="1"/>
  <c r="CP100" i="1"/>
  <c r="CP114" i="1"/>
  <c r="CP251" i="1"/>
  <c r="BA269" i="1"/>
  <c r="BR335" i="1"/>
  <c r="DZ335" i="1" s="1"/>
  <c r="BR319" i="1"/>
  <c r="BR289" i="1"/>
  <c r="DZ289" i="1" s="1"/>
  <c r="BR278" i="1"/>
  <c r="BR270" i="1"/>
  <c r="BR262" i="1"/>
  <c r="DZ262" i="1" s="1"/>
  <c r="BR131" i="1"/>
  <c r="CP52" i="1"/>
  <c r="CP117" i="1"/>
  <c r="CP169" i="1"/>
  <c r="CP181" i="1"/>
  <c r="CP243" i="1"/>
  <c r="CP34" i="1"/>
  <c r="CO345" i="1"/>
  <c r="CO341" i="1"/>
  <c r="CO337" i="1"/>
  <c r="CO333" i="1"/>
  <c r="CO329" i="1"/>
  <c r="CO321" i="1"/>
  <c r="CO317" i="1"/>
  <c r="CO298" i="1"/>
  <c r="CO276" i="1"/>
  <c r="CO272" i="1"/>
  <c r="CO268" i="1"/>
  <c r="CO264" i="1"/>
  <c r="CO260" i="1"/>
  <c r="CO26" i="1"/>
  <c r="CO23" i="1"/>
  <c r="CO238" i="1"/>
  <c r="CO253" i="1"/>
  <c r="CO242" i="1"/>
  <c r="CO233" i="1"/>
  <c r="CO226" i="1"/>
  <c r="CO222" i="1"/>
  <c r="CO197" i="1"/>
  <c r="CO193" i="1"/>
  <c r="CO189" i="1"/>
  <c r="CO185" i="1"/>
  <c r="CO160" i="1"/>
  <c r="CO156" i="1"/>
  <c r="CO142" i="1"/>
  <c r="CO136" i="1"/>
  <c r="CO132" i="1"/>
  <c r="CO128" i="1"/>
  <c r="CO124" i="1"/>
  <c r="CO120" i="1"/>
  <c r="CO116" i="1"/>
  <c r="CO113" i="1"/>
  <c r="CO110" i="1"/>
  <c r="CO95" i="1"/>
  <c r="CO90" i="1"/>
  <c r="CO72" i="1"/>
  <c r="CO68" i="1"/>
  <c r="CO53" i="1"/>
  <c r="CO49" i="1"/>
  <c r="CO10" i="1"/>
  <c r="D9" i="13"/>
  <c r="E58" i="12" s="1"/>
  <c r="F58" i="12" s="1"/>
  <c r="D8" i="13"/>
  <c r="E57" i="12" s="1"/>
  <c r="F57" i="12" s="1"/>
  <c r="E334" i="4"/>
  <c r="E277" i="4"/>
  <c r="E261" i="4"/>
  <c r="E231" i="4"/>
  <c r="CE11" i="1"/>
  <c r="BP322" i="1"/>
  <c r="BP346" i="1"/>
  <c r="BP284" i="1"/>
  <c r="AX65" i="1"/>
  <c r="BP342" i="1"/>
  <c r="CE338" i="1"/>
  <c r="BA267" i="1"/>
  <c r="BA171" i="1"/>
  <c r="BD96" i="1"/>
  <c r="BM89" i="1"/>
  <c r="AX280" i="1"/>
  <c r="AX287" i="1"/>
  <c r="AX311" i="1"/>
  <c r="DD354" i="1"/>
  <c r="AX133" i="1"/>
  <c r="AL271" i="1"/>
  <c r="AL18" i="1"/>
  <c r="AL29" i="1"/>
  <c r="AL259" i="1"/>
  <c r="AL267" i="1"/>
  <c r="BG184" i="1"/>
  <c r="BG163" i="1"/>
  <c r="BG155" i="1"/>
  <c r="AO58" i="1"/>
  <c r="CN67" i="1"/>
  <c r="CN82" i="1"/>
  <c r="CN89" i="1"/>
  <c r="CK77" i="1"/>
  <c r="CH82" i="1"/>
  <c r="CH93" i="1"/>
  <c r="CN94" i="1"/>
  <c r="CN123" i="1"/>
  <c r="CN135" i="1"/>
  <c r="CN155" i="1"/>
  <c r="CN159" i="1"/>
  <c r="AO169" i="1"/>
  <c r="AO176" i="1"/>
  <c r="CH182" i="1"/>
  <c r="CN188" i="1"/>
  <c r="CN184" i="1"/>
  <c r="CN192" i="1"/>
  <c r="CN196" i="1"/>
  <c r="CN55" i="1"/>
  <c r="CN52" i="1"/>
  <c r="CK50" i="1"/>
  <c r="CH210" i="1"/>
  <c r="CN210" i="1"/>
  <c r="CN214" i="1"/>
  <c r="Q295" i="1"/>
  <c r="BQ351" i="1"/>
  <c r="DY351" i="1" s="1"/>
  <c r="BQ347" i="1"/>
  <c r="BQ343" i="1"/>
  <c r="H364" i="24" s="1"/>
  <c r="BQ335" i="1"/>
  <c r="H356" i="24" s="1"/>
  <c r="BQ331" i="1"/>
  <c r="H352" i="24" s="1"/>
  <c r="BQ327" i="1"/>
  <c r="BQ323" i="1"/>
  <c r="DY323" i="1" s="1"/>
  <c r="BQ319" i="1"/>
  <c r="H340" i="24" s="1"/>
  <c r="BQ315" i="1"/>
  <c r="DY315" i="1" s="1"/>
  <c r="BQ312" i="1"/>
  <c r="H332" i="24" s="1"/>
  <c r="BQ308" i="1"/>
  <c r="DY308" i="1" s="1"/>
  <c r="BQ304" i="1"/>
  <c r="H324" i="24" s="1"/>
  <c r="BQ296" i="1"/>
  <c r="H316" i="24" s="1"/>
  <c r="BQ281" i="1"/>
  <c r="BQ278" i="1"/>
  <c r="DY278" i="1" s="1"/>
  <c r="BQ270" i="1"/>
  <c r="DY270" i="1" s="1"/>
  <c r="BQ258" i="1"/>
  <c r="DY258" i="1" s="1"/>
  <c r="BQ31" i="1"/>
  <c r="BQ28" i="1"/>
  <c r="DY28" i="1" s="1"/>
  <c r="BQ152" i="1"/>
  <c r="BQ254" i="1"/>
  <c r="DY254" i="1" s="1"/>
  <c r="BQ21" i="1"/>
  <c r="BQ17" i="1"/>
  <c r="DY17" i="1" s="1"/>
  <c r="BQ236" i="1"/>
  <c r="DY236" i="1" s="1"/>
  <c r="BQ47" i="1"/>
  <c r="BP261" i="1"/>
  <c r="BD125" i="1"/>
  <c r="EC9" i="1"/>
  <c r="EC350" i="1"/>
  <c r="EC346" i="1"/>
  <c r="EC342" i="1"/>
  <c r="AU342" i="1"/>
  <c r="EC338" i="1"/>
  <c r="EC334" i="1"/>
  <c r="EC330" i="1"/>
  <c r="EC326" i="1"/>
  <c r="EC322" i="1"/>
  <c r="EC318" i="1"/>
  <c r="AU318" i="1"/>
  <c r="EC311" i="1"/>
  <c r="EC307" i="1"/>
  <c r="EC303" i="1"/>
  <c r="EC299" i="1"/>
  <c r="EC284" i="1"/>
  <c r="EC280" i="1"/>
  <c r="EC277" i="1"/>
  <c r="EC273" i="1"/>
  <c r="EC269" i="1"/>
  <c r="EC265" i="1"/>
  <c r="EC261" i="1"/>
  <c r="EC257" i="1"/>
  <c r="EC27" i="1"/>
  <c r="AU27" i="1"/>
  <c r="EC151" i="1"/>
  <c r="EC24" i="1"/>
  <c r="EC20" i="1"/>
  <c r="EC16" i="1"/>
  <c r="EC239" i="1"/>
  <c r="EC235" i="1"/>
  <c r="EC295" i="1"/>
  <c r="EC291" i="1"/>
  <c r="EC287" i="1"/>
  <c r="EC42" i="1"/>
  <c r="AU42" i="1"/>
  <c r="EC38" i="1"/>
  <c r="EC35" i="1"/>
  <c r="EC32" i="1"/>
  <c r="EC247" i="1"/>
  <c r="EC243" i="1"/>
  <c r="EC234" i="1"/>
  <c r="EC231" i="1"/>
  <c r="AU231" i="1"/>
  <c r="EC227" i="1"/>
  <c r="EC223" i="1"/>
  <c r="EC219" i="1"/>
  <c r="EC215" i="1"/>
  <c r="EC212" i="1"/>
  <c r="EC208" i="1"/>
  <c r="AU208" i="1"/>
  <c r="EC204" i="1"/>
  <c r="EC201" i="1"/>
  <c r="EC198" i="1"/>
  <c r="EC194" i="1"/>
  <c r="EC190" i="1"/>
  <c r="EC186" i="1"/>
  <c r="AU186" i="1"/>
  <c r="EC180" i="1"/>
  <c r="EC176" i="1"/>
  <c r="EC173" i="1"/>
  <c r="EC169" i="1"/>
  <c r="EC165" i="1"/>
  <c r="AU165" i="1"/>
  <c r="EC161" i="1"/>
  <c r="EC157" i="1"/>
  <c r="EC153" i="1"/>
  <c r="EC146" i="1"/>
  <c r="EC143" i="1"/>
  <c r="EC139" i="1"/>
  <c r="EC137" i="1"/>
  <c r="EC133" i="1"/>
  <c r="EC129" i="1"/>
  <c r="EC125" i="1"/>
  <c r="EC121" i="1"/>
  <c r="EC117" i="1"/>
  <c r="AU117" i="1"/>
  <c r="EC114" i="1"/>
  <c r="EC111" i="1"/>
  <c r="EC107" i="1"/>
  <c r="EC104" i="1"/>
  <c r="EC99" i="1"/>
  <c r="AU99" i="1"/>
  <c r="EC95" i="1"/>
  <c r="EC93" i="1"/>
  <c r="AU93" i="1"/>
  <c r="EC92" i="1"/>
  <c r="EC89" i="1"/>
  <c r="AU89" i="1"/>
  <c r="EC86" i="1"/>
  <c r="EC82" i="1"/>
  <c r="AU82" i="1"/>
  <c r="EC79" i="1"/>
  <c r="EC75" i="1"/>
  <c r="EC71" i="1"/>
  <c r="EC67" i="1"/>
  <c r="EC63" i="1"/>
  <c r="EC60" i="1"/>
  <c r="EC55" i="1"/>
  <c r="EC52" i="1"/>
  <c r="EC48" i="1"/>
  <c r="EC13" i="1"/>
  <c r="AX350" i="1"/>
  <c r="AX326" i="1"/>
  <c r="AX273" i="1"/>
  <c r="AX35" i="1"/>
  <c r="AX186" i="1"/>
  <c r="AX180" i="1"/>
  <c r="AX173" i="1"/>
  <c r="AX165" i="1"/>
  <c r="AX143" i="1"/>
  <c r="AX139" i="1"/>
  <c r="AX96" i="1"/>
  <c r="AX84" i="1"/>
  <c r="BA271" i="1"/>
  <c r="BA229" i="1"/>
  <c r="BA199" i="1"/>
  <c r="BA184" i="1"/>
  <c r="BA175" i="1"/>
  <c r="BA115" i="1"/>
  <c r="BD342" i="1"/>
  <c r="BD318" i="1"/>
  <c r="BD307" i="1"/>
  <c r="BD303" i="1"/>
  <c r="BD299" i="1"/>
  <c r="BD284" i="1"/>
  <c r="BD239" i="1"/>
  <c r="BD247" i="1"/>
  <c r="BD201" i="1"/>
  <c r="BD161" i="1"/>
  <c r="BD153" i="1"/>
  <c r="BD137" i="1"/>
  <c r="BD121" i="1"/>
  <c r="BD114" i="1"/>
  <c r="BG309" i="1"/>
  <c r="BG206" i="1"/>
  <c r="BG141" i="1"/>
  <c r="BG98" i="1"/>
  <c r="BG89" i="1"/>
  <c r="BG79" i="1"/>
  <c r="BG71" i="1"/>
  <c r="BJ9" i="1"/>
  <c r="BJ257" i="1"/>
  <c r="BJ198" i="1"/>
  <c r="BJ190" i="1"/>
  <c r="BJ153" i="1"/>
  <c r="BJ143" i="1"/>
  <c r="BJ117" i="1"/>
  <c r="BJ56" i="1"/>
  <c r="BJ46" i="1"/>
  <c r="BJ11" i="1"/>
  <c r="BM305" i="1"/>
  <c r="BM40" i="1"/>
  <c r="BM210" i="1"/>
  <c r="BM93" i="1"/>
  <c r="BM79" i="1"/>
  <c r="BM52" i="1"/>
  <c r="BP9" i="1"/>
  <c r="BP280" i="1"/>
  <c r="BP277" i="1"/>
  <c r="BP269" i="1"/>
  <c r="BP151" i="1"/>
  <c r="BP295" i="1"/>
  <c r="BP291" i="1"/>
  <c r="BP38" i="1"/>
  <c r="BP32" i="1"/>
  <c r="BP243" i="1"/>
  <c r="BP231" i="1"/>
  <c r="BP223" i="1"/>
  <c r="BP215" i="1"/>
  <c r="BP212" i="1"/>
  <c r="BP194" i="1"/>
  <c r="BP176" i="1"/>
  <c r="BP161" i="1"/>
  <c r="BP146" i="1"/>
  <c r="BP137" i="1"/>
  <c r="BP121" i="1"/>
  <c r="BP107" i="1"/>
  <c r="BP96" i="1"/>
  <c r="BP65" i="1"/>
  <c r="EC102" i="1"/>
  <c r="AL25" i="1"/>
  <c r="AL210" i="1"/>
  <c r="AU32" i="1"/>
  <c r="AU20" i="1"/>
  <c r="AL60" i="1"/>
  <c r="AL82" i="1"/>
  <c r="BD9" i="1"/>
  <c r="AX322" i="1"/>
  <c r="AU95" i="1"/>
  <c r="BA22" i="1"/>
  <c r="BA40" i="1"/>
  <c r="BP287" i="1"/>
  <c r="AU146" i="1"/>
  <c r="AU71" i="1"/>
  <c r="AU24" i="1"/>
  <c r="AU287" i="1"/>
  <c r="BA75" i="1"/>
  <c r="AX20" i="1"/>
  <c r="AX247" i="1"/>
  <c r="BA344" i="1"/>
  <c r="BD334" i="1"/>
  <c r="BD330" i="1"/>
  <c r="BD277" i="1"/>
  <c r="BP153" i="1"/>
  <c r="AL344" i="1"/>
  <c r="AL293" i="1"/>
  <c r="AL285" i="1"/>
  <c r="AL263" i="1"/>
  <c r="AL214" i="1"/>
  <c r="AL297" i="1"/>
  <c r="AL301" i="1"/>
  <c r="CE46" i="1"/>
  <c r="AU235" i="1"/>
  <c r="BP303" i="1"/>
  <c r="BP299" i="1"/>
  <c r="BP273" i="1"/>
  <c r="BG229" i="1"/>
  <c r="BG115" i="1"/>
  <c r="BG94" i="1"/>
  <c r="BP239" i="1"/>
  <c r="BP247" i="1"/>
  <c r="BP204" i="1"/>
  <c r="BP198" i="1"/>
  <c r="BP190" i="1"/>
  <c r="BP186" i="1"/>
  <c r="BP143" i="1"/>
  <c r="BP129" i="1"/>
  <c r="BP125" i="1"/>
  <c r="BP100" i="1"/>
  <c r="BP58" i="1"/>
  <c r="BP56" i="1"/>
  <c r="CN252" i="1"/>
  <c r="CN275" i="1"/>
  <c r="AO277" i="1"/>
  <c r="CH279" i="1"/>
  <c r="CN320" i="1"/>
  <c r="CN328" i="1"/>
  <c r="CN352" i="1"/>
  <c r="AC297" i="1"/>
  <c r="AC271" i="1"/>
  <c r="AC89" i="1"/>
  <c r="AC82" i="1"/>
  <c r="AC60" i="1"/>
  <c r="AC48" i="1"/>
  <c r="AL48" i="1"/>
  <c r="BP307" i="1"/>
  <c r="BP265" i="1"/>
  <c r="BP20" i="1"/>
  <c r="BP311" i="1"/>
  <c r="BA324" i="1"/>
  <c r="BD190" i="1"/>
  <c r="BG60" i="1"/>
  <c r="BP35" i="1"/>
  <c r="CN105" i="1"/>
  <c r="CN127" i="1"/>
  <c r="CN163" i="1"/>
  <c r="CN178" i="1"/>
  <c r="CN206" i="1"/>
  <c r="CN225" i="1"/>
  <c r="AL336" i="1"/>
  <c r="AL249" i="1"/>
  <c r="AL241" i="1"/>
  <c r="AL279" i="1"/>
  <c r="AU16" i="1"/>
  <c r="BP318" i="1"/>
  <c r="BP326" i="1"/>
  <c r="BP27" i="1"/>
  <c r="BD234" i="1"/>
  <c r="BG348" i="1"/>
  <c r="BG267" i="1"/>
  <c r="BJ24" i="1"/>
  <c r="BJ16" i="1"/>
  <c r="BJ235" i="1"/>
  <c r="BJ291" i="1"/>
  <c r="BJ42" i="1"/>
  <c r="BJ247" i="1"/>
  <c r="BJ234" i="1"/>
  <c r="BJ227" i="1"/>
  <c r="BJ219" i="1"/>
  <c r="BP16" i="1"/>
  <c r="BP234" i="1"/>
  <c r="BP227" i="1"/>
  <c r="BP219" i="1"/>
  <c r="BP208" i="1"/>
  <c r="BP201" i="1"/>
  <c r="BP173" i="1"/>
  <c r="BP73" i="1"/>
  <c r="BP69" i="1"/>
  <c r="BP46" i="1"/>
  <c r="CK239" i="1"/>
  <c r="CN22" i="1"/>
  <c r="CK277" i="1"/>
  <c r="CK338" i="1"/>
  <c r="CN348" i="1"/>
  <c r="AC184" i="1"/>
  <c r="AC182" i="1"/>
  <c r="AC175" i="1"/>
  <c r="AC44" i="1"/>
  <c r="AC131" i="1"/>
  <c r="AC115" i="1"/>
  <c r="AC109" i="1"/>
  <c r="BJ299" i="1"/>
  <c r="BJ204" i="1"/>
  <c r="BJ133" i="1"/>
  <c r="BJ125" i="1"/>
  <c r="BJ114" i="1"/>
  <c r="BJ104" i="1"/>
  <c r="BJ100" i="1"/>
  <c r="BM271" i="1"/>
  <c r="BM252" i="1"/>
  <c r="BM245" i="1"/>
  <c r="BM192" i="1"/>
  <c r="BM171" i="1"/>
  <c r="BM115" i="1"/>
  <c r="BP235" i="1"/>
  <c r="BP180" i="1"/>
  <c r="BP133" i="1"/>
  <c r="BP104" i="1"/>
  <c r="BP84" i="1"/>
  <c r="BP80" i="1"/>
  <c r="BP77" i="1"/>
  <c r="BP50" i="1"/>
  <c r="AO11" i="1"/>
  <c r="CK234" i="1"/>
  <c r="AO247" i="1"/>
  <c r="AU121" i="1"/>
  <c r="BP330" i="1"/>
  <c r="BP24" i="1"/>
  <c r="BG18" i="1"/>
  <c r="BM313" i="1"/>
  <c r="BP169" i="1"/>
  <c r="BP165" i="1"/>
  <c r="BP157" i="1"/>
  <c r="BP139" i="1"/>
  <c r="BP117" i="1"/>
  <c r="BP114" i="1"/>
  <c r="BP111" i="1"/>
  <c r="BP61" i="1"/>
  <c r="BP11" i="1"/>
  <c r="AO42" i="1"/>
  <c r="CH13" i="1"/>
  <c r="AO56" i="1"/>
  <c r="CN63" i="1"/>
  <c r="CN71" i="1"/>
  <c r="CN93" i="1"/>
  <c r="CK73" i="1"/>
  <c r="CH109" i="1"/>
  <c r="CN98" i="1"/>
  <c r="CN102" i="1"/>
  <c r="CN119" i="1"/>
  <c r="AO143" i="1"/>
  <c r="CN167" i="1"/>
  <c r="CN171" i="1"/>
  <c r="CN199" i="1"/>
  <c r="AO201" i="1"/>
  <c r="CK208" i="1"/>
  <c r="CN221" i="1"/>
  <c r="CH232" i="1"/>
  <c r="CN232" i="1"/>
  <c r="CK42" i="1"/>
  <c r="CN289" i="1"/>
  <c r="CH293" i="1"/>
  <c r="CN293" i="1"/>
  <c r="AO239" i="1"/>
  <c r="CH29" i="1"/>
  <c r="CH259" i="1"/>
  <c r="CN267" i="1"/>
  <c r="CH271" i="1"/>
  <c r="CN271" i="1"/>
  <c r="CN332" i="1"/>
  <c r="CN340" i="1"/>
  <c r="AC324" i="1"/>
  <c r="AC316" i="1"/>
  <c r="AC309" i="1"/>
  <c r="Q53" i="1"/>
  <c r="CN86" i="1"/>
  <c r="CN92" i="1"/>
  <c r="CK91" i="1"/>
  <c r="CK96" i="1"/>
  <c r="CN109" i="1"/>
  <c r="CN131" i="1"/>
  <c r="CK146" i="1"/>
  <c r="CN148" i="1"/>
  <c r="CN44" i="1"/>
  <c r="CK204" i="1"/>
  <c r="AO208" i="1"/>
  <c r="CK219" i="1"/>
  <c r="CK231" i="1"/>
  <c r="CN241" i="1"/>
  <c r="CN245" i="1"/>
  <c r="CH25" i="1"/>
  <c r="CN263" i="1"/>
  <c r="CN282" i="1"/>
  <c r="CN297" i="1"/>
  <c r="CH301" i="1"/>
  <c r="CN301" i="1"/>
  <c r="CN305" i="1"/>
  <c r="CN309" i="1"/>
  <c r="CN336" i="1"/>
  <c r="AC93" i="1"/>
  <c r="CE73" i="1"/>
  <c r="T59" i="1"/>
  <c r="BP257" i="1"/>
  <c r="CO351" i="1"/>
  <c r="CO327" i="1"/>
  <c r="CO315" i="1"/>
  <c r="CO278" i="1"/>
  <c r="CO31" i="1"/>
  <c r="CO254" i="1"/>
  <c r="CO21" i="1"/>
  <c r="CO292" i="1"/>
  <c r="CO43" i="1"/>
  <c r="CO36" i="1"/>
  <c r="CO216" i="1"/>
  <c r="CO202" i="1"/>
  <c r="CO191" i="1"/>
  <c r="CO177" i="1"/>
  <c r="CO154" i="1"/>
  <c r="CO150" i="1"/>
  <c r="CO14" i="1"/>
  <c r="CO101" i="1"/>
  <c r="CE96" i="1"/>
  <c r="BP350" i="1"/>
  <c r="BP334" i="1"/>
  <c r="CO85" i="1"/>
  <c r="CO62" i="1"/>
  <c r="E345" i="4"/>
  <c r="E329" i="4"/>
  <c r="E314" i="4"/>
  <c r="E298" i="4"/>
  <c r="E280" i="4"/>
  <c r="E272" i="4"/>
  <c r="E33" i="4"/>
  <c r="E23" i="4"/>
  <c r="E19" i="4"/>
  <c r="E238" i="4"/>
  <c r="E35" i="4"/>
  <c r="E250" i="4"/>
  <c r="E189" i="4"/>
  <c r="E176" i="4"/>
  <c r="E142" i="4"/>
  <c r="E94" i="4"/>
  <c r="E81" i="4"/>
  <c r="E69" i="4"/>
  <c r="E65" i="4"/>
  <c r="CK70" i="1"/>
  <c r="CP70" i="1"/>
  <c r="CP58" i="1"/>
  <c r="CK58" i="1"/>
  <c r="CN141" i="1"/>
  <c r="CP141" i="1"/>
  <c r="CK143" i="1"/>
  <c r="CP143" i="1"/>
  <c r="CN75" i="1"/>
  <c r="CP75" i="1"/>
  <c r="CP82" i="1"/>
  <c r="CK176" i="1"/>
  <c r="CP176" i="1"/>
  <c r="CN182" i="1"/>
  <c r="CP182" i="1"/>
  <c r="CK61" i="1"/>
  <c r="CP61" i="1"/>
  <c r="CK80" i="1"/>
  <c r="CP80" i="1"/>
  <c r="CN95" i="1"/>
  <c r="CP95" i="1"/>
  <c r="CN103" i="1"/>
  <c r="CP103" i="1"/>
  <c r="CN124" i="1"/>
  <c r="CP124" i="1"/>
  <c r="CP240" i="1"/>
  <c r="CP241" i="1"/>
  <c r="CP231" i="1"/>
  <c r="CP96" i="1"/>
  <c r="CP253" i="1"/>
  <c r="CP136" i="1"/>
  <c r="CP222" i="1"/>
  <c r="CP110" i="1"/>
  <c r="CP127" i="1"/>
  <c r="CP122" i="1"/>
  <c r="CP163" i="1"/>
  <c r="CP92" i="1"/>
  <c r="CP220" i="1"/>
  <c r="CP219" i="1"/>
  <c r="CP263" i="1"/>
  <c r="CP204" i="1"/>
  <c r="CP149" i="1"/>
  <c r="CP214" i="1"/>
  <c r="CK53" i="1"/>
  <c r="CP87" i="1"/>
  <c r="CP120" i="1"/>
  <c r="CP132" i="1"/>
  <c r="CP135" i="1"/>
  <c r="CP159" i="1"/>
  <c r="CP194" i="1"/>
  <c r="CP102" i="1"/>
  <c r="CP205" i="1"/>
  <c r="CP50" i="1"/>
  <c r="CP121" i="1"/>
  <c r="CP145" i="1"/>
  <c r="CP154" i="1"/>
  <c r="CN164" i="1"/>
  <c r="CP167" i="1"/>
  <c r="CP187" i="1"/>
  <c r="CP123" i="1"/>
  <c r="CP128" i="1"/>
  <c r="CP160" i="1"/>
  <c r="CP180" i="1"/>
  <c r="CP192" i="1"/>
  <c r="CP215" i="1"/>
  <c r="CN53" i="1"/>
  <c r="CP53" i="1"/>
  <c r="CN48" i="1"/>
  <c r="CP48" i="1"/>
  <c r="CN51" i="1"/>
  <c r="CP51" i="1"/>
  <c r="CP47" i="1"/>
  <c r="CK47" i="1"/>
  <c r="CP60" i="1"/>
  <c r="CP67" i="1"/>
  <c r="CK84" i="1"/>
  <c r="CP84" i="1"/>
  <c r="CP91" i="1"/>
  <c r="CK134" i="1"/>
  <c r="CP134" i="1"/>
  <c r="CP195" i="1"/>
  <c r="CK43" i="1"/>
  <c r="CP43" i="1"/>
  <c r="CN237" i="1"/>
  <c r="CP237" i="1"/>
  <c r="CK12" i="1"/>
  <c r="CK90" i="1"/>
  <c r="CP90" i="1"/>
  <c r="CP63" i="1"/>
  <c r="CP86" i="1"/>
  <c r="CP106" i="1"/>
  <c r="CK201" i="1"/>
  <c r="CP201" i="1"/>
  <c r="CK49" i="1"/>
  <c r="CP49" i="1"/>
  <c r="CP71" i="1"/>
  <c r="CK137" i="1"/>
  <c r="CP137" i="1"/>
  <c r="CP14" i="1"/>
  <c r="CK161" i="1"/>
  <c r="CP161" i="1"/>
  <c r="CK83" i="1"/>
  <c r="CP83" i="1"/>
  <c r="CP150" i="1"/>
  <c r="CK150" i="1"/>
  <c r="CP162" i="1"/>
  <c r="CK162" i="1"/>
  <c r="CP189" i="1"/>
  <c r="CP97" i="1"/>
  <c r="CP78" i="1"/>
  <c r="AL347" i="1"/>
  <c r="AL343" i="1"/>
  <c r="AL339" i="1"/>
  <c r="AL335" i="1"/>
  <c r="AL319" i="1"/>
  <c r="AL304" i="1"/>
  <c r="AL300" i="1"/>
  <c r="AL281" i="1"/>
  <c r="AL274" i="1"/>
  <c r="AL270" i="1"/>
  <c r="AL266" i="1"/>
  <c r="AL31" i="1"/>
  <c r="AL21" i="1"/>
  <c r="AL251" i="1"/>
  <c r="AL288" i="1"/>
  <c r="AL39" i="1"/>
  <c r="AL36" i="1"/>
  <c r="AL33" i="1"/>
  <c r="AL248" i="1"/>
  <c r="AL209" i="1"/>
  <c r="AL14" i="1"/>
  <c r="AL47" i="1"/>
  <c r="AO353" i="1"/>
  <c r="AO325" i="1"/>
  <c r="AO310" i="1"/>
  <c r="AO302" i="1"/>
  <c r="AO19" i="1"/>
  <c r="AO294" i="1"/>
  <c r="AO37" i="1"/>
  <c r="AO250" i="1"/>
  <c r="AO211" i="1"/>
  <c r="AO83" i="1"/>
  <c r="AO53" i="1"/>
  <c r="AO49" i="1"/>
  <c r="AR62" i="1"/>
  <c r="CH339" i="1"/>
  <c r="CH43" i="1"/>
  <c r="CH240" i="1"/>
  <c r="CH220" i="1"/>
  <c r="CH209" i="1"/>
  <c r="CH144" i="1"/>
  <c r="CK325" i="1"/>
  <c r="CK19" i="1"/>
  <c r="CK294" i="1"/>
  <c r="CK37" i="1"/>
  <c r="CK168" i="1"/>
  <c r="CN347" i="1"/>
  <c r="CN343" i="1"/>
  <c r="CN339" i="1"/>
  <c r="CN335" i="1"/>
  <c r="CN323" i="1"/>
  <c r="CN319" i="1"/>
  <c r="CN312" i="1"/>
  <c r="CN296" i="1"/>
  <c r="CN270" i="1"/>
  <c r="CN262" i="1"/>
  <c r="CN236" i="1"/>
  <c r="CN33" i="1"/>
  <c r="CN248" i="1"/>
  <c r="CN187" i="1"/>
  <c r="CN183" i="1"/>
  <c r="CN181" i="1"/>
  <c r="CN162" i="1"/>
  <c r="CN158" i="1"/>
  <c r="CN138" i="1"/>
  <c r="CN126" i="1"/>
  <c r="CN122" i="1"/>
  <c r="CN112" i="1"/>
  <c r="CN88" i="1"/>
  <c r="CN74" i="1"/>
  <c r="CN70" i="1"/>
  <c r="CN59" i="1"/>
  <c r="CK275" i="1"/>
  <c r="CK192" i="1"/>
  <c r="CK184" i="1"/>
  <c r="CK171" i="1"/>
  <c r="CK123" i="1"/>
  <c r="CN269" i="1"/>
  <c r="CN20" i="1"/>
  <c r="CN295" i="1"/>
  <c r="CN212" i="1"/>
  <c r="CN208" i="1"/>
  <c r="D14" i="13"/>
  <c r="E63" i="12" s="1"/>
  <c r="F63" i="12" s="1"/>
  <c r="D11" i="13"/>
  <c r="E60" i="12" s="1"/>
  <c r="F60" i="12" s="1"/>
  <c r="D7" i="13"/>
  <c r="E56" i="12" s="1"/>
  <c r="F56" i="12" s="1"/>
  <c r="D15" i="13"/>
  <c r="E64" i="12" s="1"/>
  <c r="F64" i="12" s="1"/>
  <c r="C8" i="13"/>
  <c r="D57" i="12" s="1"/>
  <c r="C6" i="13"/>
  <c r="D55" i="12" s="1"/>
  <c r="D12" i="13"/>
  <c r="E61" i="12" s="1"/>
  <c r="F61" i="12" s="1"/>
  <c r="D10" i="13"/>
  <c r="E59" i="12" s="1"/>
  <c r="F59" i="12" s="1"/>
  <c r="D16" i="13"/>
  <c r="E65" i="12" s="1"/>
  <c r="F65" i="12" s="1"/>
  <c r="C7" i="13"/>
  <c r="D56" i="12" s="1"/>
  <c r="D6" i="13"/>
  <c r="E55" i="12" s="1"/>
  <c r="F55" i="12" s="1"/>
  <c r="D13" i="13"/>
  <c r="E62" i="12" s="1"/>
  <c r="F62" i="12" s="1"/>
  <c r="AC9" i="1"/>
  <c r="C12" i="30"/>
  <c r="C62" i="30"/>
  <c r="D62" i="30" s="1"/>
  <c r="C112" i="30"/>
  <c r="D112" i="30" s="1"/>
  <c r="Q282" i="1"/>
  <c r="Q249" i="1"/>
  <c r="Q52" i="1"/>
  <c r="AC339" i="1"/>
  <c r="AC323" i="1"/>
  <c r="AC308" i="1"/>
  <c r="AC296" i="1"/>
  <c r="AC278" i="1"/>
  <c r="AC31" i="1"/>
  <c r="AC152" i="1"/>
  <c r="AC244" i="1"/>
  <c r="AC181" i="1"/>
  <c r="AC150" i="1"/>
  <c r="AC130" i="1"/>
  <c r="AC88" i="1"/>
  <c r="AC47" i="1"/>
  <c r="EC353" i="1"/>
  <c r="EC349" i="1"/>
  <c r="EC345" i="1"/>
  <c r="EC341" i="1"/>
  <c r="EC337" i="1"/>
  <c r="EC329" i="1"/>
  <c r="EC325" i="1"/>
  <c r="EC321" i="1"/>
  <c r="EC317" i="1"/>
  <c r="EC314" i="1"/>
  <c r="EC310" i="1"/>
  <c r="EC306" i="1"/>
  <c r="EC302" i="1"/>
  <c r="EC298" i="1"/>
  <c r="EC283" i="1"/>
  <c r="EC276" i="1"/>
  <c r="EC272" i="1"/>
  <c r="EC268" i="1"/>
  <c r="EC264" i="1"/>
  <c r="EC256" i="1"/>
  <c r="EC30" i="1"/>
  <c r="EC26" i="1"/>
  <c r="EC255" i="1"/>
  <c r="EC23" i="1"/>
  <c r="EC19" i="1"/>
  <c r="EC15" i="1"/>
  <c r="EC238" i="1"/>
  <c r="EC253" i="1"/>
  <c r="EC294" i="1"/>
  <c r="EC290" i="1"/>
  <c r="EC286" i="1"/>
  <c r="EC41" i="1"/>
  <c r="EC37" i="1"/>
  <c r="EC34" i="1"/>
  <c r="EC246" i="1"/>
  <c r="EC242" i="1"/>
  <c r="EC233" i="1"/>
  <c r="EC230" i="1"/>
  <c r="EC226" i="1"/>
  <c r="EC222" i="1"/>
  <c r="EC218" i="1"/>
  <c r="EC211" i="1"/>
  <c r="EC207" i="1"/>
  <c r="EC203" i="1"/>
  <c r="EC200" i="1"/>
  <c r="EC197" i="1"/>
  <c r="EC193" i="1"/>
  <c r="EC189" i="1"/>
  <c r="EC179" i="1"/>
  <c r="EC172" i="1"/>
  <c r="EC168" i="1"/>
  <c r="EC164" i="1"/>
  <c r="EC160" i="1"/>
  <c r="EC156" i="1"/>
  <c r="EC149" i="1"/>
  <c r="AU149" i="1"/>
  <c r="EC145" i="1"/>
  <c r="EC142" i="1"/>
  <c r="EC136" i="1"/>
  <c r="EC128" i="1"/>
  <c r="EC124" i="1"/>
  <c r="EC120" i="1"/>
  <c r="EC116" i="1"/>
  <c r="EC113" i="1"/>
  <c r="EC110" i="1"/>
  <c r="EC106" i="1"/>
  <c r="EC98" i="1"/>
  <c r="EC94" i="1"/>
  <c r="EC88" i="1"/>
  <c r="EC85" i="1"/>
  <c r="EC81" i="1"/>
  <c r="EC78" i="1"/>
  <c r="EC74" i="1"/>
  <c r="EC70" i="1"/>
  <c r="EC66" i="1"/>
  <c r="EC59" i="1"/>
  <c r="EC57" i="1"/>
  <c r="EC54" i="1"/>
  <c r="EC51" i="1"/>
  <c r="EC47" i="1"/>
  <c r="EC12" i="1"/>
  <c r="BQ345" i="1"/>
  <c r="H366" i="24" s="1"/>
  <c r="BQ341" i="1"/>
  <c r="DY341" i="1" s="1"/>
  <c r="BQ337" i="1"/>
  <c r="H358" i="24" s="1"/>
  <c r="BQ333" i="1"/>
  <c r="DY333" i="1" s="1"/>
  <c r="BQ329" i="1"/>
  <c r="H350" i="24" s="1"/>
  <c r="BQ321" i="1"/>
  <c r="H342" i="24" s="1"/>
  <c r="BQ317" i="1"/>
  <c r="BQ310" i="1"/>
  <c r="DY310" i="1" s="1"/>
  <c r="BQ298" i="1"/>
  <c r="DY298" i="1" s="1"/>
  <c r="BQ276" i="1"/>
  <c r="BQ272" i="1"/>
  <c r="BQ268" i="1"/>
  <c r="BQ264" i="1"/>
  <c r="BQ260" i="1"/>
  <c r="BQ26" i="1"/>
  <c r="DY26" i="1" s="1"/>
  <c r="BQ23" i="1"/>
  <c r="DY23" i="1" s="1"/>
  <c r="BQ253" i="1"/>
  <c r="DY253" i="1" s="1"/>
  <c r="BQ242" i="1"/>
  <c r="BQ233" i="1"/>
  <c r="BQ226" i="1"/>
  <c r="DY226" i="1" s="1"/>
  <c r="BQ222" i="1"/>
  <c r="DY222" i="1" s="1"/>
  <c r="BQ211" i="1"/>
  <c r="BQ207" i="1"/>
  <c r="DY207" i="1" s="1"/>
  <c r="BQ197" i="1"/>
  <c r="BQ193" i="1"/>
  <c r="DY193" i="1" s="1"/>
  <c r="BQ189" i="1"/>
  <c r="BQ185" i="1"/>
  <c r="BQ160" i="1"/>
  <c r="BQ142" i="1"/>
  <c r="DY142" i="1" s="1"/>
  <c r="BQ136" i="1"/>
  <c r="BQ132" i="1"/>
  <c r="BQ128" i="1"/>
  <c r="DY128" i="1" s="1"/>
  <c r="BQ124" i="1"/>
  <c r="BQ120" i="1"/>
  <c r="DY120" i="1" s="1"/>
  <c r="BQ116" i="1"/>
  <c r="BQ113" i="1"/>
  <c r="BQ110" i="1"/>
  <c r="DY110" i="1" s="1"/>
  <c r="BQ95" i="1"/>
  <c r="BQ90" i="1"/>
  <c r="H51" i="24"/>
  <c r="BQ72" i="1"/>
  <c r="DY72" i="1" s="1"/>
  <c r="BQ68" i="1"/>
  <c r="H26" i="24"/>
  <c r="BQ53" i="1"/>
  <c r="BQ49" i="1"/>
  <c r="BQ10" i="1"/>
  <c r="BQ251" i="1"/>
  <c r="BQ292" i="1"/>
  <c r="BQ288" i="1"/>
  <c r="BQ43" i="1"/>
  <c r="BQ39" i="1"/>
  <c r="BQ36" i="1"/>
  <c r="BA36" i="1"/>
  <c r="BQ244" i="1"/>
  <c r="DY244" i="1" s="1"/>
  <c r="BQ216" i="1"/>
  <c r="DY216" i="1" s="1"/>
  <c r="BQ209" i="1"/>
  <c r="DY209" i="1" s="1"/>
  <c r="BQ202" i="1"/>
  <c r="BQ191" i="1"/>
  <c r="BQ177" i="1"/>
  <c r="DY177" i="1" s="1"/>
  <c r="BQ174" i="1"/>
  <c r="BQ170" i="1"/>
  <c r="BA170" i="1"/>
  <c r="BQ166" i="1"/>
  <c r="BQ154" i="1"/>
  <c r="BQ150" i="1"/>
  <c r="DY150" i="1" s="1"/>
  <c r="BQ144" i="1"/>
  <c r="BQ14" i="1"/>
  <c r="BQ101" i="1"/>
  <c r="H69" i="24"/>
  <c r="BQ85" i="1"/>
  <c r="DY85" i="1" s="1"/>
  <c r="BQ81" i="1"/>
  <c r="BQ78" i="1"/>
  <c r="DY78" i="1" s="1"/>
  <c r="BQ62" i="1"/>
  <c r="DY62" i="1" s="1"/>
  <c r="BA51" i="1"/>
  <c r="BQ12" i="1"/>
  <c r="BM130" i="1"/>
  <c r="BP106" i="1"/>
  <c r="CK310" i="1"/>
  <c r="CO310" i="1"/>
  <c r="CK211" i="1"/>
  <c r="CO211" i="1"/>
  <c r="CN308" i="1"/>
  <c r="CO308" i="1"/>
  <c r="CN304" i="1"/>
  <c r="CO304" i="1"/>
  <c r="CO281" i="1"/>
  <c r="CN281" i="1"/>
  <c r="CN28" i="1"/>
  <c r="CO28" i="1"/>
  <c r="CN17" i="1"/>
  <c r="CO17" i="1"/>
  <c r="CO251" i="1"/>
  <c r="CN251" i="1"/>
  <c r="CN288" i="1"/>
  <c r="CO288" i="1"/>
  <c r="CN39" i="1"/>
  <c r="CO39" i="1"/>
  <c r="CN244" i="1"/>
  <c r="CO244" i="1"/>
  <c r="CN209" i="1"/>
  <c r="CO209" i="1"/>
  <c r="CN174" i="1"/>
  <c r="CO174" i="1"/>
  <c r="CN170" i="1"/>
  <c r="CO170" i="1"/>
  <c r="CN166" i="1"/>
  <c r="CO166" i="1"/>
  <c r="CN144" i="1"/>
  <c r="CO144" i="1"/>
  <c r="CN81" i="1"/>
  <c r="CO81" i="1"/>
  <c r="CN78" i="1"/>
  <c r="CO78" i="1"/>
  <c r="CN47" i="1"/>
  <c r="CO47" i="1"/>
  <c r="CN12" i="1"/>
  <c r="CO12" i="1"/>
  <c r="AU302" i="1"/>
  <c r="AU142" i="1"/>
  <c r="AU200" i="1"/>
  <c r="AU329" i="1"/>
  <c r="AU19" i="1"/>
  <c r="AU222" i="1"/>
  <c r="AX207" i="1"/>
  <c r="AX87" i="1"/>
  <c r="AX256" i="1"/>
  <c r="BA281" i="1"/>
  <c r="AX90" i="1"/>
  <c r="AX222" i="1"/>
  <c r="AX218" i="1"/>
  <c r="BD34" i="1"/>
  <c r="AU185" i="1"/>
  <c r="BD30" i="1"/>
  <c r="BA33" i="1"/>
  <c r="BA312" i="1"/>
  <c r="AX314" i="1"/>
  <c r="BJ10" i="1"/>
  <c r="BQ349" i="1"/>
  <c r="H370" i="24" s="1"/>
  <c r="BQ228" i="1"/>
  <c r="BQ181" i="1"/>
  <c r="DY181" i="1" s="1"/>
  <c r="BQ106" i="1"/>
  <c r="DY106" i="1" s="1"/>
  <c r="BQ83" i="1"/>
  <c r="DY83" i="1" s="1"/>
  <c r="BQ302" i="1"/>
  <c r="H322" i="24" s="1"/>
  <c r="BQ255" i="1"/>
  <c r="DY255" i="1" s="1"/>
  <c r="BQ41" i="1"/>
  <c r="BQ134" i="1"/>
  <c r="BQ51" i="1"/>
  <c r="DY51" i="1" s="1"/>
  <c r="BQ256" i="1"/>
  <c r="H198" i="24"/>
  <c r="BQ300" i="1"/>
  <c r="DY300" i="1" s="1"/>
  <c r="BQ33" i="1"/>
  <c r="H233" i="24" s="1"/>
  <c r="BQ122" i="1"/>
  <c r="BQ195" i="1"/>
  <c r="BQ179" i="1"/>
  <c r="BQ57" i="1"/>
  <c r="DY57" i="1" s="1"/>
  <c r="BA17" i="1"/>
  <c r="BG191" i="1"/>
  <c r="BG162" i="1"/>
  <c r="BM312" i="1"/>
  <c r="BP37" i="1"/>
  <c r="BP95" i="1"/>
  <c r="BP90" i="1"/>
  <c r="BP87" i="1"/>
  <c r="AU341" i="1"/>
  <c r="AU276" i="1"/>
  <c r="AU264" i="1"/>
  <c r="AU253" i="1"/>
  <c r="AU349" i="1"/>
  <c r="AU51" i="1"/>
  <c r="BA296" i="1"/>
  <c r="AX149" i="1"/>
  <c r="AX333" i="1"/>
  <c r="AX156" i="1"/>
  <c r="AX226" i="1"/>
  <c r="BD255" i="1"/>
  <c r="BD26" i="1"/>
  <c r="AX211" i="1"/>
  <c r="BD290" i="1"/>
  <c r="BA195" i="1"/>
  <c r="BD136" i="1"/>
  <c r="BQ325" i="1"/>
  <c r="BQ224" i="1"/>
  <c r="DY224" i="1" s="1"/>
  <c r="BQ172" i="1"/>
  <c r="BQ70" i="1"/>
  <c r="DY70" i="1" s="1"/>
  <c r="BQ274" i="1"/>
  <c r="BQ294" i="1"/>
  <c r="BQ240" i="1"/>
  <c r="BQ97" i="1"/>
  <c r="BQ353" i="1"/>
  <c r="DY353" i="1" s="1"/>
  <c r="BQ19" i="1"/>
  <c r="BQ164" i="1"/>
  <c r="DY164" i="1" s="1"/>
  <c r="BQ248" i="1"/>
  <c r="BQ205" i="1"/>
  <c r="H82" i="24"/>
  <c r="BQ162" i="1"/>
  <c r="BQ140" i="1"/>
  <c r="BQ87" i="1"/>
  <c r="BQ54" i="1"/>
  <c r="BA343" i="1"/>
  <c r="BD333" i="1"/>
  <c r="BD306" i="1"/>
  <c r="BD276" i="1"/>
  <c r="BD87" i="1"/>
  <c r="BG347" i="1"/>
  <c r="BG327" i="1"/>
  <c r="BP286" i="1"/>
  <c r="BP132" i="1"/>
  <c r="BP53" i="1"/>
  <c r="BP49" i="1"/>
  <c r="AU179" i="1"/>
  <c r="AU317" i="1"/>
  <c r="AU286" i="1"/>
  <c r="AL51" i="1"/>
  <c r="AX321" i="1"/>
  <c r="AX49" i="1"/>
  <c r="AX197" i="1"/>
  <c r="AU98" i="1"/>
  <c r="AX325" i="1"/>
  <c r="BD164" i="1"/>
  <c r="AX113" i="1"/>
  <c r="AX286" i="1"/>
  <c r="AX76" i="1"/>
  <c r="AX99" i="1"/>
  <c r="BD116" i="1"/>
  <c r="AX250" i="1"/>
  <c r="AU238" i="1"/>
  <c r="AX238" i="1"/>
  <c r="BA205" i="1"/>
  <c r="AU132" i="1"/>
  <c r="AU128" i="1"/>
  <c r="BQ147" i="1"/>
  <c r="DY147" i="1" s="1"/>
  <c r="BQ220" i="1"/>
  <c r="BQ168" i="1"/>
  <c r="BQ45" i="1"/>
  <c r="BQ290" i="1"/>
  <c r="DY290" i="1" s="1"/>
  <c r="BQ200" i="1"/>
  <c r="BQ88" i="1"/>
  <c r="BQ15" i="1"/>
  <c r="BQ130" i="1"/>
  <c r="DY130" i="1" s="1"/>
  <c r="BQ30" i="1"/>
  <c r="BQ158" i="1"/>
  <c r="BQ64" i="1"/>
  <c r="DY64" i="1" s="1"/>
  <c r="BQ246" i="1"/>
  <c r="DY246" i="1" s="1"/>
  <c r="BQ187" i="1"/>
  <c r="DY187" i="1" s="1"/>
  <c r="BQ138" i="1"/>
  <c r="BQ99" i="1"/>
  <c r="BQ76" i="1"/>
  <c r="DY76" i="1" s="1"/>
  <c r="BA39" i="1"/>
  <c r="BA134" i="1"/>
  <c r="BA112" i="1"/>
  <c r="BJ68" i="1"/>
  <c r="BP172" i="1"/>
  <c r="BP124" i="1"/>
  <c r="AX268" i="1"/>
  <c r="AX260" i="1"/>
  <c r="AX68" i="1"/>
  <c r="BD233" i="1"/>
  <c r="BG248" i="1"/>
  <c r="BG240" i="1"/>
  <c r="BJ132" i="1"/>
  <c r="BJ106" i="1"/>
  <c r="BP34" i="1"/>
  <c r="BP250" i="1"/>
  <c r="BP246" i="1"/>
  <c r="BP189" i="1"/>
  <c r="BP185" i="1"/>
  <c r="BP120" i="1"/>
  <c r="BP116" i="1"/>
  <c r="BP113" i="1"/>
  <c r="BP110" i="1"/>
  <c r="BP83" i="1"/>
  <c r="BP76" i="1"/>
  <c r="BP64" i="1"/>
  <c r="AO90" i="1"/>
  <c r="BP99" i="1"/>
  <c r="AO72" i="1"/>
  <c r="AO87" i="1"/>
  <c r="CN97" i="1"/>
  <c r="CN351" i="1"/>
  <c r="BA331" i="1"/>
  <c r="BA323" i="1"/>
  <c r="BD124" i="1"/>
  <c r="BG308" i="1"/>
  <c r="BG266" i="1"/>
  <c r="BG144" i="1"/>
  <c r="BJ337" i="1"/>
  <c r="BJ197" i="1"/>
  <c r="BM327" i="1"/>
  <c r="BM251" i="1"/>
  <c r="BM202" i="1"/>
  <c r="BM181" i="1"/>
  <c r="BM154" i="1"/>
  <c r="BM147" i="1"/>
  <c r="BP179" i="1"/>
  <c r="BP142" i="1"/>
  <c r="CN62" i="1"/>
  <c r="CN177" i="1"/>
  <c r="CH59" i="1"/>
  <c r="CN154" i="1"/>
  <c r="CN205" i="1"/>
  <c r="AO272" i="1"/>
  <c r="CH278" i="1"/>
  <c r="CN118" i="1"/>
  <c r="AO145" i="1"/>
  <c r="CN191" i="1"/>
  <c r="CN152" i="1"/>
  <c r="CN278" i="1"/>
  <c r="CK317" i="1"/>
  <c r="CK185" i="1"/>
  <c r="CN202" i="1"/>
  <c r="CN216" i="1"/>
  <c r="CN258" i="1"/>
  <c r="CN315" i="1"/>
  <c r="AO317" i="1"/>
  <c r="DR354" i="1"/>
  <c r="AU164" i="1"/>
  <c r="EC182" i="1"/>
  <c r="AU182" i="1"/>
  <c r="DC354" i="1"/>
  <c r="AU218" i="1"/>
  <c r="BR47" i="1"/>
  <c r="AW354" i="1"/>
  <c r="D24" i="3" s="1"/>
  <c r="BA306" i="1"/>
  <c r="BR306" i="1"/>
  <c r="BA257" i="1"/>
  <c r="BR257" i="1"/>
  <c r="BA125" i="1"/>
  <c r="BR125" i="1"/>
  <c r="AZ354" i="1"/>
  <c r="D25" i="3" s="1"/>
  <c r="BD88" i="1"/>
  <c r="BR242" i="1"/>
  <c r="BI354" i="1"/>
  <c r="D28" i="3" s="1"/>
  <c r="BM21" i="1"/>
  <c r="BR21" i="1"/>
  <c r="BL354" i="1"/>
  <c r="D29" i="3" s="1"/>
  <c r="BP149" i="1"/>
  <c r="BR149" i="1"/>
  <c r="BP91" i="1"/>
  <c r="AU261" i="1"/>
  <c r="AU202" i="1"/>
  <c r="BP193" i="1"/>
  <c r="BR193" i="1"/>
  <c r="BP338" i="1"/>
  <c r="BR338" i="1"/>
  <c r="AU60" i="1"/>
  <c r="AU211" i="1"/>
  <c r="AX69" i="1"/>
  <c r="BR69" i="1"/>
  <c r="BP42" i="1"/>
  <c r="BR42" i="1"/>
  <c r="BR238" i="1"/>
  <c r="BR41" i="1"/>
  <c r="BR250" i="1"/>
  <c r="DZ250" i="1" s="1"/>
  <c r="BR246" i="1"/>
  <c r="AX9" i="1"/>
  <c r="BR331" i="1"/>
  <c r="BR323" i="1"/>
  <c r="BD202" i="1"/>
  <c r="BR202" i="1"/>
  <c r="DZ202" i="1" s="1"/>
  <c r="BR241" i="1"/>
  <c r="BR214" i="1"/>
  <c r="BR94" i="1"/>
  <c r="BR93" i="1"/>
  <c r="BR67" i="1"/>
  <c r="BR340" i="1"/>
  <c r="BR160" i="1"/>
  <c r="BR120" i="1"/>
  <c r="BR116" i="1"/>
  <c r="BR106" i="1"/>
  <c r="BR91" i="1"/>
  <c r="BR77" i="1"/>
  <c r="BR73" i="1"/>
  <c r="BR350" i="1"/>
  <c r="BR101" i="1"/>
  <c r="BR89" i="1"/>
  <c r="BR86" i="1"/>
  <c r="BR314" i="1"/>
  <c r="BR310" i="1"/>
  <c r="I330" i="24" s="1"/>
  <c r="BR199" i="1"/>
  <c r="BR65" i="1"/>
  <c r="BR50" i="1"/>
  <c r="DZ50" i="1" s="1"/>
  <c r="BR258" i="1"/>
  <c r="BR31" i="1"/>
  <c r="BR102" i="1"/>
  <c r="BR304" i="1"/>
  <c r="BR297" i="1"/>
  <c r="DZ297" i="1" s="1"/>
  <c r="BR107" i="1"/>
  <c r="AX16" i="1"/>
  <c r="BR16" i="1"/>
  <c r="BR168" i="1"/>
  <c r="AX168" i="1"/>
  <c r="BD329" i="1"/>
  <c r="BR329" i="1"/>
  <c r="BG103" i="1"/>
  <c r="BR103" i="1"/>
  <c r="BR341" i="1"/>
  <c r="BR315" i="1"/>
  <c r="BR140" i="1"/>
  <c r="BR130" i="1"/>
  <c r="BR126" i="1"/>
  <c r="BR92" i="1"/>
  <c r="BR61" i="1"/>
  <c r="BR317" i="1"/>
  <c r="BA135" i="1"/>
  <c r="BR135" i="1"/>
  <c r="AA369" i="1"/>
  <c r="Q61" i="1"/>
  <c r="CE41" i="1"/>
  <c r="CE264" i="1"/>
  <c r="CE268" i="1"/>
  <c r="CE314" i="1"/>
  <c r="AL122" i="1"/>
  <c r="AL95" i="1"/>
  <c r="AX61" i="1"/>
  <c r="BA276" i="1"/>
  <c r="BA252" i="1"/>
  <c r="BA209" i="1"/>
  <c r="BA155" i="1"/>
  <c r="BD345" i="1"/>
  <c r="BD261" i="1"/>
  <c r="BD37" i="1"/>
  <c r="BD169" i="1"/>
  <c r="BD74" i="1"/>
  <c r="BD70" i="1"/>
  <c r="BD54" i="1"/>
  <c r="BG332" i="1"/>
  <c r="BG328" i="1"/>
  <c r="BG324" i="1"/>
  <c r="BG281" i="1"/>
  <c r="BG135" i="1"/>
  <c r="BG131" i="1"/>
  <c r="BG123" i="1"/>
  <c r="BG67" i="1"/>
  <c r="BJ314" i="1"/>
  <c r="BJ274" i="1"/>
  <c r="BJ26" i="1"/>
  <c r="BJ177" i="1"/>
  <c r="BJ154" i="1"/>
  <c r="BJ83" i="1"/>
  <c r="BM329" i="1"/>
  <c r="BM296" i="1"/>
  <c r="BM256" i="1"/>
  <c r="BM285" i="1"/>
  <c r="BM224" i="1"/>
  <c r="AO50" i="1"/>
  <c r="CK66" i="1"/>
  <c r="AO91" i="1"/>
  <c r="AO104" i="1"/>
  <c r="CH110" i="1"/>
  <c r="CH115" i="1"/>
  <c r="CH113" i="1"/>
  <c r="CH120" i="1"/>
  <c r="CH128" i="1"/>
  <c r="AO14" i="1"/>
  <c r="AO134" i="1"/>
  <c r="CK157" i="1"/>
  <c r="AO168" i="1"/>
  <c r="AO189" i="1"/>
  <c r="CK227" i="1"/>
  <c r="AO233" i="1"/>
  <c r="CH33" i="1"/>
  <c r="AO38" i="1"/>
  <c r="CK39" i="1"/>
  <c r="CH40" i="1"/>
  <c r="CK287" i="1"/>
  <c r="CK20" i="1"/>
  <c r="CH31" i="1"/>
  <c r="AO264" i="1"/>
  <c r="AO273" i="1"/>
  <c r="CK274" i="1"/>
  <c r="AO296" i="1"/>
  <c r="AO298" i="1"/>
  <c r="AC333" i="1"/>
  <c r="AC23" i="1"/>
  <c r="AC253" i="1"/>
  <c r="AX302" i="1"/>
  <c r="AX262" i="1"/>
  <c r="AX19" i="1"/>
  <c r="AX107" i="1"/>
  <c r="BA301" i="1"/>
  <c r="BA236" i="1"/>
  <c r="BA251" i="1"/>
  <c r="BA246" i="1"/>
  <c r="BA230" i="1"/>
  <c r="BA218" i="1"/>
  <c r="BA154" i="1"/>
  <c r="BA95" i="1"/>
  <c r="BA62" i="1"/>
  <c r="BD317" i="1"/>
  <c r="BD260" i="1"/>
  <c r="BD216" i="1"/>
  <c r="BD168" i="1"/>
  <c r="BD73" i="1"/>
  <c r="BD69" i="1"/>
  <c r="BD65" i="1"/>
  <c r="BG331" i="1"/>
  <c r="BG323" i="1"/>
  <c r="BG30" i="1"/>
  <c r="BG178" i="1"/>
  <c r="BG148" i="1"/>
  <c r="BG130" i="1"/>
  <c r="BG87" i="1"/>
  <c r="BG52" i="1"/>
  <c r="BJ273" i="1"/>
  <c r="BJ265" i="1"/>
  <c r="BJ35" i="1"/>
  <c r="BJ176" i="1"/>
  <c r="BJ169" i="1"/>
  <c r="BJ161" i="1"/>
  <c r="BM344" i="1"/>
  <c r="BM336" i="1"/>
  <c r="BM321" i="1"/>
  <c r="BM263" i="1"/>
  <c r="BM19" i="1"/>
  <c r="BM292" i="1"/>
  <c r="BM39" i="1"/>
  <c r="BM184" i="1"/>
  <c r="BM132" i="1"/>
  <c r="BM109" i="1"/>
  <c r="BM99" i="1"/>
  <c r="BM64" i="1"/>
  <c r="CK62" i="1"/>
  <c r="CK74" i="1"/>
  <c r="CH67" i="1"/>
  <c r="CH136" i="1"/>
  <c r="CH118" i="1"/>
  <c r="CH126" i="1"/>
  <c r="AO138" i="1"/>
  <c r="AO156" i="1"/>
  <c r="CH160" i="1"/>
  <c r="AO170" i="1"/>
  <c r="AO195" i="1"/>
  <c r="AO190" i="1"/>
  <c r="AO227" i="1"/>
  <c r="CK228" i="1"/>
  <c r="CH233" i="1"/>
  <c r="CK32" i="1"/>
  <c r="AO39" i="1"/>
  <c r="AO287" i="1"/>
  <c r="AO20" i="1"/>
  <c r="CK21" i="1"/>
  <c r="CH264" i="1"/>
  <c r="AO274" i="1"/>
  <c r="CH296" i="1"/>
  <c r="CH298" i="1"/>
  <c r="AC41" i="1"/>
  <c r="AC246" i="1"/>
  <c r="AC193" i="1"/>
  <c r="AL154" i="1"/>
  <c r="AL160" i="1"/>
  <c r="AL164" i="1"/>
  <c r="AL189" i="1"/>
  <c r="AU161" i="1"/>
  <c r="AU136" i="1"/>
  <c r="AX345" i="1"/>
  <c r="AX164" i="1"/>
  <c r="AX161" i="1"/>
  <c r="BA333" i="1"/>
  <c r="BA29" i="1"/>
  <c r="BA288" i="1"/>
  <c r="BA241" i="1"/>
  <c r="BA225" i="1"/>
  <c r="BA217" i="1"/>
  <c r="BA120" i="1"/>
  <c r="BA94" i="1"/>
  <c r="BD347" i="1"/>
  <c r="BD298" i="1"/>
  <c r="BD39" i="1"/>
  <c r="BD215" i="1"/>
  <c r="BD212" i="1"/>
  <c r="BD208" i="1"/>
  <c r="BD140" i="1"/>
  <c r="BD68" i="1"/>
  <c r="BD53" i="1"/>
  <c r="BG283" i="1"/>
  <c r="BG29" i="1"/>
  <c r="BG236" i="1"/>
  <c r="BG285" i="1"/>
  <c r="BG221" i="1"/>
  <c r="BG193" i="1"/>
  <c r="BG170" i="1"/>
  <c r="BG12" i="1"/>
  <c r="BJ330" i="1"/>
  <c r="BJ272" i="1"/>
  <c r="BJ34" i="1"/>
  <c r="BJ168" i="1"/>
  <c r="BJ140" i="1"/>
  <c r="BJ70" i="1"/>
  <c r="BM347" i="1"/>
  <c r="BM343" i="1"/>
  <c r="BM31" i="1"/>
  <c r="BM22" i="1"/>
  <c r="BM18" i="1"/>
  <c r="BM203" i="1"/>
  <c r="BM156" i="1"/>
  <c r="BM124" i="1"/>
  <c r="BM82" i="1"/>
  <c r="BM71" i="1"/>
  <c r="BM63" i="1"/>
  <c r="BA207" i="1"/>
  <c r="CH48" i="1"/>
  <c r="CK87" i="1"/>
  <c r="AO76" i="1"/>
  <c r="AO106" i="1"/>
  <c r="CH135" i="1"/>
  <c r="CH116" i="1"/>
  <c r="CH124" i="1"/>
  <c r="CH159" i="1"/>
  <c r="CH196" i="1"/>
  <c r="AO228" i="1"/>
  <c r="AO32" i="1"/>
  <c r="CH39" i="1"/>
  <c r="AO288" i="1"/>
  <c r="AO21" i="1"/>
  <c r="CK31" i="1"/>
  <c r="CH274" i="1"/>
  <c r="CH309" i="1"/>
  <c r="AC21" i="1"/>
  <c r="AC251" i="1"/>
  <c r="AL74" i="1"/>
  <c r="AL81" i="1"/>
  <c r="AL88" i="1"/>
  <c r="AL112" i="1"/>
  <c r="AX347" i="1"/>
  <c r="AX234" i="1"/>
  <c r="AX190" i="1"/>
  <c r="AX137" i="1"/>
  <c r="AX12" i="1"/>
  <c r="BA339" i="1"/>
  <c r="BA319" i="1"/>
  <c r="BA270" i="1"/>
  <c r="BA216" i="1"/>
  <c r="BA156" i="1"/>
  <c r="BD346" i="1"/>
  <c r="BD262" i="1"/>
  <c r="BD38" i="1"/>
  <c r="BD211" i="1"/>
  <c r="BD170" i="1"/>
  <c r="BD139" i="1"/>
  <c r="BD113" i="1"/>
  <c r="BG333" i="1"/>
  <c r="BG325" i="1"/>
  <c r="BG282" i="1"/>
  <c r="BG28" i="1"/>
  <c r="BG292" i="1"/>
  <c r="BG242" i="1"/>
  <c r="BG132" i="1"/>
  <c r="BJ349" i="1"/>
  <c r="BJ321" i="1"/>
  <c r="BJ307" i="1"/>
  <c r="BJ211" i="1"/>
  <c r="BJ84" i="1"/>
  <c r="BJ77" i="1"/>
  <c r="BJ62" i="1"/>
  <c r="BM152" i="1"/>
  <c r="BM17" i="1"/>
  <c r="BM217" i="1"/>
  <c r="BM163" i="1"/>
  <c r="BM149" i="1"/>
  <c r="BM78" i="1"/>
  <c r="BM62" i="1"/>
  <c r="BM207" i="1"/>
  <c r="AO57" i="1"/>
  <c r="CH103" i="1"/>
  <c r="AO107" i="1"/>
  <c r="CK114" i="1"/>
  <c r="CH134" i="1"/>
  <c r="CH122" i="1"/>
  <c r="CK14" i="1"/>
  <c r="AO158" i="1"/>
  <c r="AO203" i="1"/>
  <c r="CH228" i="1"/>
  <c r="AO33" i="1"/>
  <c r="CK38" i="1"/>
  <c r="CH288" i="1"/>
  <c r="CH21" i="1"/>
  <c r="AO31" i="1"/>
  <c r="AO261" i="1"/>
  <c r="CH263" i="1"/>
  <c r="CK264" i="1"/>
  <c r="CK273" i="1"/>
  <c r="CK296" i="1"/>
  <c r="CH297" i="1"/>
  <c r="CK298" i="1"/>
  <c r="AC302" i="1"/>
  <c r="AC39" i="1"/>
  <c r="AC225" i="1"/>
  <c r="AC191" i="1"/>
  <c r="CE65" i="1"/>
  <c r="BP339" i="1"/>
  <c r="CH319" i="1"/>
  <c r="AO319" i="1"/>
  <c r="AO326" i="1"/>
  <c r="CK326" i="1"/>
  <c r="CH327" i="1"/>
  <c r="AO327" i="1"/>
  <c r="CK327" i="1"/>
  <c r="CH331" i="1"/>
  <c r="AO331" i="1"/>
  <c r="CK331" i="1"/>
  <c r="AC348" i="1"/>
  <c r="AC341" i="1"/>
  <c r="AC26" i="1"/>
  <c r="AC22" i="1"/>
  <c r="AC252" i="1"/>
  <c r="AC40" i="1"/>
  <c r="AC226" i="1"/>
  <c r="AC224" i="1"/>
  <c r="AC217" i="1"/>
  <c r="AC203" i="1"/>
  <c r="AC202" i="1"/>
  <c r="AC192" i="1"/>
  <c r="AC166" i="1"/>
  <c r="AC122" i="1"/>
  <c r="AC74" i="1"/>
  <c r="E11" i="4"/>
  <c r="E172" i="4"/>
  <c r="E156" i="4"/>
  <c r="E140" i="4"/>
  <c r="E124" i="4"/>
  <c r="E91" i="4"/>
  <c r="E77" i="4"/>
  <c r="E50" i="4"/>
  <c r="Q317" i="1"/>
  <c r="T209" i="1"/>
  <c r="AG9" i="1"/>
  <c r="T109" i="1"/>
  <c r="T167" i="1"/>
  <c r="T275" i="1"/>
  <c r="Q41" i="1"/>
  <c r="T281" i="1"/>
  <c r="Q30" i="1"/>
  <c r="T17" i="1"/>
  <c r="AL197" i="1"/>
  <c r="AL130" i="1"/>
  <c r="AL103" i="1"/>
  <c r="AL83" i="1"/>
  <c r="AL68" i="1"/>
  <c r="AL89" i="1"/>
  <c r="AL75" i="1"/>
  <c r="AL185" i="1"/>
  <c r="AL193" i="1"/>
  <c r="AL200" i="1"/>
  <c r="AL59" i="1"/>
  <c r="AL66" i="1"/>
  <c r="AU143" i="1"/>
  <c r="AU85" i="1"/>
  <c r="AX351" i="1"/>
  <c r="AX323" i="1"/>
  <c r="AX312" i="1"/>
  <c r="AX296" i="1"/>
  <c r="AX283" i="1"/>
  <c r="AX28" i="1"/>
  <c r="AX26" i="1"/>
  <c r="AX151" i="1"/>
  <c r="AX23" i="1"/>
  <c r="AX246" i="1"/>
  <c r="AX204" i="1"/>
  <c r="AX202" i="1"/>
  <c r="AX200" i="1"/>
  <c r="AX185" i="1"/>
  <c r="AX14" i="1"/>
  <c r="AX142" i="1"/>
  <c r="AX129" i="1"/>
  <c r="AX121" i="1"/>
  <c r="AX83" i="1"/>
  <c r="AX80" i="1"/>
  <c r="AX73" i="1"/>
  <c r="AX51" i="1"/>
  <c r="AX46" i="1"/>
  <c r="BA348" i="1"/>
  <c r="BA345" i="1"/>
  <c r="BA340" i="1"/>
  <c r="BA325" i="1"/>
  <c r="BA320" i="1"/>
  <c r="BA30" i="1"/>
  <c r="BA28" i="1"/>
  <c r="BA238" i="1"/>
  <c r="BA183" i="1"/>
  <c r="BA178" i="1"/>
  <c r="BA163" i="1"/>
  <c r="BA14" i="1"/>
  <c r="BA85" i="1"/>
  <c r="BA81" i="1"/>
  <c r="BA71" i="1"/>
  <c r="BA67" i="1"/>
  <c r="BA13" i="1"/>
  <c r="BD341" i="1"/>
  <c r="BD322" i="1"/>
  <c r="BD312" i="1"/>
  <c r="BD283" i="1"/>
  <c r="BD31" i="1"/>
  <c r="BD21" i="1"/>
  <c r="BD295" i="1"/>
  <c r="BD291" i="1"/>
  <c r="BD287" i="1"/>
  <c r="BD200" i="1"/>
  <c r="BG317" i="1"/>
  <c r="AL286" i="1"/>
  <c r="AL162" i="1"/>
  <c r="AL150" i="1"/>
  <c r="AL140" i="1"/>
  <c r="AL144" i="1"/>
  <c r="AL135" i="1"/>
  <c r="AL124" i="1"/>
  <c r="AL97" i="1"/>
  <c r="AL110" i="1"/>
  <c r="AL54" i="1"/>
  <c r="AL63" i="1"/>
  <c r="AL79" i="1"/>
  <c r="AL86" i="1"/>
  <c r="AL92" i="1"/>
  <c r="AL64" i="1"/>
  <c r="AL87" i="1"/>
  <c r="AL102" i="1"/>
  <c r="AL105" i="1"/>
  <c r="AL148" i="1"/>
  <c r="AL142" i="1"/>
  <c r="AL141" i="1"/>
  <c r="AL159" i="1"/>
  <c r="AL163" i="1"/>
  <c r="AL167" i="1"/>
  <c r="AL155" i="1"/>
  <c r="AL184" i="1"/>
  <c r="AL183" i="1"/>
  <c r="AL192" i="1"/>
  <c r="AL187" i="1"/>
  <c r="AL195" i="1"/>
  <c r="AL206" i="1"/>
  <c r="AL131" i="1"/>
  <c r="AL134" i="1"/>
  <c r="AU125" i="1"/>
  <c r="AU49" i="1"/>
  <c r="BA162" i="1"/>
  <c r="BA128" i="1"/>
  <c r="BA70" i="1"/>
  <c r="BA66" i="1"/>
  <c r="BA12" i="1"/>
  <c r="BD321" i="1"/>
  <c r="BD311" i="1"/>
  <c r="BD270" i="1"/>
  <c r="BD20" i="1"/>
  <c r="BD294" i="1"/>
  <c r="BD286" i="1"/>
  <c r="BD228" i="1"/>
  <c r="BD183" i="1"/>
  <c r="BD81" i="1"/>
  <c r="CE211" i="1"/>
  <c r="CE218" i="1"/>
  <c r="CE233" i="1"/>
  <c r="AL57" i="1"/>
  <c r="AL52" i="1"/>
  <c r="AL205" i="1"/>
  <c r="AL191" i="1"/>
  <c r="AL188" i="1"/>
  <c r="AL182" i="1"/>
  <c r="AU201" i="1"/>
  <c r="AU219" i="1"/>
  <c r="AU242" i="1"/>
  <c r="AX318" i="1"/>
  <c r="AX284" i="1"/>
  <c r="AX272" i="1"/>
  <c r="AX27" i="1"/>
  <c r="AX255" i="1"/>
  <c r="AX24" i="1"/>
  <c r="AX15" i="1"/>
  <c r="AX34" i="1"/>
  <c r="AX205" i="1"/>
  <c r="AX201" i="1"/>
  <c r="AX179" i="1"/>
  <c r="AX176" i="1"/>
  <c r="AX130" i="1"/>
  <c r="AX128" i="1"/>
  <c r="AX125" i="1"/>
  <c r="AX122" i="1"/>
  <c r="AX120" i="1"/>
  <c r="AX100" i="1"/>
  <c r="AX91" i="1"/>
  <c r="AX77" i="1"/>
  <c r="AX74" i="1"/>
  <c r="AX72" i="1"/>
  <c r="AX50" i="1"/>
  <c r="AX47" i="1"/>
  <c r="AX45" i="1"/>
  <c r="BA349" i="1"/>
  <c r="BA256" i="1"/>
  <c r="BA237" i="1"/>
  <c r="BA177" i="1"/>
  <c r="BA145" i="1"/>
  <c r="BA127" i="1"/>
  <c r="BA116" i="1"/>
  <c r="BA102" i="1"/>
  <c r="BA87" i="1"/>
  <c r="BA57" i="1"/>
  <c r="BD310" i="1"/>
  <c r="BD269" i="1"/>
  <c r="BD19" i="1"/>
  <c r="BD248" i="1"/>
  <c r="BD227" i="1"/>
  <c r="BD223" i="1"/>
  <c r="BD180" i="1"/>
  <c r="BG340" i="1"/>
  <c r="AU268" i="1"/>
  <c r="AU299" i="1"/>
  <c r="AU172" i="1"/>
  <c r="AU158" i="1"/>
  <c r="AX346" i="1"/>
  <c r="AX303" i="1"/>
  <c r="AX261" i="1"/>
  <c r="AX42" i="1"/>
  <c r="AX39" i="1"/>
  <c r="AX240" i="1"/>
  <c r="AX233" i="1"/>
  <c r="AX219" i="1"/>
  <c r="AX191" i="1"/>
  <c r="AX189" i="1"/>
  <c r="AX160" i="1"/>
  <c r="AX157" i="1"/>
  <c r="AX144" i="1"/>
  <c r="AX136" i="1"/>
  <c r="AX114" i="1"/>
  <c r="AX108" i="1"/>
  <c r="AX106" i="1"/>
  <c r="AX62" i="1"/>
  <c r="AX58" i="1"/>
  <c r="AX57" i="1"/>
  <c r="BA332" i="1"/>
  <c r="BA313" i="1"/>
  <c r="BA310" i="1"/>
  <c r="BA308" i="1"/>
  <c r="BA305" i="1"/>
  <c r="BA302" i="1"/>
  <c r="BA275" i="1"/>
  <c r="BA266" i="1"/>
  <c r="BA23" i="1"/>
  <c r="BA21" i="1"/>
  <c r="BA18" i="1"/>
  <c r="BA289" i="1"/>
  <c r="BA245" i="1"/>
  <c r="BA242" i="1"/>
  <c r="BA240" i="1"/>
  <c r="BA226" i="1"/>
  <c r="BA224" i="1"/>
  <c r="BA210" i="1"/>
  <c r="BA200" i="1"/>
  <c r="BA196" i="1"/>
  <c r="BA193" i="1"/>
  <c r="BA191" i="1"/>
  <c r="BA179" i="1"/>
  <c r="BA164" i="1"/>
  <c r="BA126" i="1"/>
  <c r="BA101" i="1"/>
  <c r="BA86" i="1"/>
  <c r="BA82" i="1"/>
  <c r="BA72" i="1"/>
  <c r="BA45" i="1"/>
  <c r="BD323" i="1"/>
  <c r="BD302" i="1"/>
  <c r="BD268" i="1"/>
  <c r="BD251" i="1"/>
  <c r="BD288" i="1"/>
  <c r="BD226" i="1"/>
  <c r="BD198" i="1"/>
  <c r="BD144" i="1"/>
  <c r="BD133" i="1"/>
  <c r="BD104" i="1"/>
  <c r="BD46" i="1"/>
  <c r="BG293" i="1"/>
  <c r="BG37" i="1"/>
  <c r="BG36" i="1"/>
  <c r="BG241" i="1"/>
  <c r="BG222" i="1"/>
  <c r="BG220" i="1"/>
  <c r="BG205" i="1"/>
  <c r="BG192" i="1"/>
  <c r="BG179" i="1"/>
  <c r="BG177" i="1"/>
  <c r="BG149" i="1"/>
  <c r="BG147" i="1"/>
  <c r="BG136" i="1"/>
  <c r="BG116" i="1"/>
  <c r="BG86" i="1"/>
  <c r="BG72" i="1"/>
  <c r="BG59" i="1"/>
  <c r="BG53" i="1"/>
  <c r="BG51" i="1"/>
  <c r="BJ350" i="1"/>
  <c r="BJ331" i="1"/>
  <c r="BJ329" i="1"/>
  <c r="BJ300" i="1"/>
  <c r="BJ298" i="1"/>
  <c r="BJ258" i="1"/>
  <c r="BJ191" i="1"/>
  <c r="BJ162" i="1"/>
  <c r="BJ160" i="1"/>
  <c r="BJ150" i="1"/>
  <c r="BJ149" i="1"/>
  <c r="BJ139" i="1"/>
  <c r="BJ126" i="1"/>
  <c r="BJ124" i="1"/>
  <c r="BJ113" i="1"/>
  <c r="BJ101" i="1"/>
  <c r="BJ99" i="1"/>
  <c r="BJ91" i="1"/>
  <c r="BJ85" i="1"/>
  <c r="BJ47" i="1"/>
  <c r="BM320" i="1"/>
  <c r="BM264" i="1"/>
  <c r="BM286" i="1"/>
  <c r="BG315" i="1"/>
  <c r="BG301" i="1"/>
  <c r="BG276" i="1"/>
  <c r="BG274" i="1"/>
  <c r="BG259" i="1"/>
  <c r="BG255" i="1"/>
  <c r="BG254" i="1"/>
  <c r="BG237" i="1"/>
  <c r="BG286" i="1"/>
  <c r="BG43" i="1"/>
  <c r="BG249" i="1"/>
  <c r="BG230" i="1"/>
  <c r="BG228" i="1"/>
  <c r="BG214" i="1"/>
  <c r="BG199" i="1"/>
  <c r="BG185" i="1"/>
  <c r="BG183" i="1"/>
  <c r="BG171" i="1"/>
  <c r="BG156" i="1"/>
  <c r="BG154" i="1"/>
  <c r="BG142" i="1"/>
  <c r="BG140" i="1"/>
  <c r="BG124" i="1"/>
  <c r="BG122" i="1"/>
  <c r="BG105" i="1"/>
  <c r="BG95" i="1"/>
  <c r="BG90" i="1"/>
  <c r="BG78" i="1"/>
  <c r="BG68" i="1"/>
  <c r="BG66" i="1"/>
  <c r="BG57" i="1"/>
  <c r="BG13" i="1"/>
  <c r="BJ343" i="1"/>
  <c r="BJ341" i="1"/>
  <c r="BJ322" i="1"/>
  <c r="BJ308" i="1"/>
  <c r="BJ306" i="1"/>
  <c r="BJ280" i="1"/>
  <c r="BJ266" i="1"/>
  <c r="BJ264" i="1"/>
  <c r="BJ27" i="1"/>
  <c r="BJ17" i="1"/>
  <c r="BJ15" i="1"/>
  <c r="BJ36" i="1"/>
  <c r="BJ170" i="1"/>
  <c r="BJ134" i="1"/>
  <c r="BJ107" i="1"/>
  <c r="BJ90" i="1"/>
  <c r="BJ61" i="1"/>
  <c r="BM335" i="1"/>
  <c r="BM328" i="1"/>
  <c r="BM319" i="1"/>
  <c r="BM279" i="1"/>
  <c r="BM272" i="1"/>
  <c r="BM270" i="1"/>
  <c r="BM253" i="1"/>
  <c r="BJ43" i="1"/>
  <c r="BJ41" i="1"/>
  <c r="BJ228" i="1"/>
  <c r="BJ226" i="1"/>
  <c r="BJ212" i="1"/>
  <c r="BJ205" i="1"/>
  <c r="BJ76" i="1"/>
  <c r="BJ69" i="1"/>
  <c r="BM337" i="1"/>
  <c r="BM304" i="1"/>
  <c r="BM297" i="1"/>
  <c r="BM278" i="1"/>
  <c r="BM25" i="1"/>
  <c r="BM23" i="1"/>
  <c r="BD222" i="1"/>
  <c r="BD197" i="1"/>
  <c r="BD181" i="1"/>
  <c r="BD179" i="1"/>
  <c r="BD160" i="1"/>
  <c r="BD143" i="1"/>
  <c r="BD134" i="1"/>
  <c r="BD132" i="1"/>
  <c r="BD120" i="1"/>
  <c r="BD80" i="1"/>
  <c r="BD58" i="1"/>
  <c r="BD47" i="1"/>
  <c r="BG341" i="1"/>
  <c r="BG339" i="1"/>
  <c r="BG316" i="1"/>
  <c r="BG302" i="1"/>
  <c r="BG300" i="1"/>
  <c r="BG275" i="1"/>
  <c r="BG260" i="1"/>
  <c r="BG258" i="1"/>
  <c r="BG238" i="1"/>
  <c r="BG250" i="1"/>
  <c r="BG200" i="1"/>
  <c r="BG172" i="1"/>
  <c r="BG106" i="1"/>
  <c r="BJ342" i="1"/>
  <c r="BJ323" i="1"/>
  <c r="BJ281" i="1"/>
  <c r="BJ28" i="1"/>
  <c r="BJ292" i="1"/>
  <c r="BJ240" i="1"/>
  <c r="BJ183" i="1"/>
  <c r="BJ144" i="1"/>
  <c r="BJ108" i="1"/>
  <c r="BJ78" i="1"/>
  <c r="BJ45" i="1"/>
  <c r="BM348" i="1"/>
  <c r="BM306" i="1"/>
  <c r="BM262" i="1"/>
  <c r="BM43" i="1"/>
  <c r="BM293" i="1"/>
  <c r="BM246" i="1"/>
  <c r="BM244" i="1"/>
  <c r="BM225" i="1"/>
  <c r="BM211" i="1"/>
  <c r="BM209" i="1"/>
  <c r="BM185" i="1"/>
  <c r="BM182" i="1"/>
  <c r="BM164" i="1"/>
  <c r="BM162" i="1"/>
  <c r="BM148" i="1"/>
  <c r="BM138" i="1"/>
  <c r="BM123" i="1"/>
  <c r="BM110" i="1"/>
  <c r="BM108" i="1"/>
  <c r="BM98" i="1"/>
  <c r="BM83" i="1"/>
  <c r="BM81" i="1"/>
  <c r="BM72" i="1"/>
  <c r="BM70" i="1"/>
  <c r="BM45" i="1"/>
  <c r="CH55" i="1"/>
  <c r="AR67" i="1"/>
  <c r="AR205" i="1"/>
  <c r="CK68" i="1"/>
  <c r="AO69" i="1"/>
  <c r="AO84" i="1"/>
  <c r="AO62" i="1"/>
  <c r="CH75" i="1"/>
  <c r="AO97" i="1"/>
  <c r="CH98" i="1"/>
  <c r="CK99" i="1"/>
  <c r="AO100" i="1"/>
  <c r="AO118" i="1"/>
  <c r="AO128" i="1"/>
  <c r="CH123" i="1"/>
  <c r="CK116" i="1"/>
  <c r="AO117" i="1"/>
  <c r="AO121" i="1"/>
  <c r="CK139" i="1"/>
  <c r="AO140" i="1"/>
  <c r="AO130" i="1"/>
  <c r="CH166" i="1"/>
  <c r="CH167" i="1"/>
  <c r="CH44" i="1"/>
  <c r="AO146" i="1"/>
  <c r="CK156" i="1"/>
  <c r="AO157" i="1"/>
  <c r="AO160" i="1"/>
  <c r="CH175" i="1"/>
  <c r="CK172" i="1"/>
  <c r="AO173" i="1"/>
  <c r="CH188" i="1"/>
  <c r="AO200" i="1"/>
  <c r="AO12" i="1"/>
  <c r="CH214" i="1"/>
  <c r="CH225" i="1"/>
  <c r="CH226" i="1"/>
  <c r="AO226" i="1"/>
  <c r="CK226" i="1"/>
  <c r="CH246" i="1"/>
  <c r="AO246" i="1"/>
  <c r="AO35" i="1"/>
  <c r="CK35" i="1"/>
  <c r="CH36" i="1"/>
  <c r="AO36" i="1"/>
  <c r="CK36" i="1"/>
  <c r="AO295" i="1"/>
  <c r="CK295" i="1"/>
  <c r="CH251" i="1"/>
  <c r="AO251" i="1"/>
  <c r="CH17" i="1"/>
  <c r="AO17" i="1"/>
  <c r="CH255" i="1"/>
  <c r="AO255" i="1"/>
  <c r="CK255" i="1"/>
  <c r="AO257" i="1"/>
  <c r="CH282" i="1"/>
  <c r="CH283" i="1"/>
  <c r="AO283" i="1"/>
  <c r="CK283" i="1"/>
  <c r="AO299" i="1"/>
  <c r="AO303" i="1"/>
  <c r="CK303" i="1"/>
  <c r="CH304" i="1"/>
  <c r="AO304" i="1"/>
  <c r="CH340" i="1"/>
  <c r="CH341" i="1"/>
  <c r="AO341" i="1"/>
  <c r="CK341" i="1"/>
  <c r="AC347" i="1"/>
  <c r="AC340" i="1"/>
  <c r="AC331" i="1"/>
  <c r="AC279" i="1"/>
  <c r="AC272" i="1"/>
  <c r="AC270" i="1"/>
  <c r="AC263" i="1"/>
  <c r="AC15" i="1"/>
  <c r="AC290" i="1"/>
  <c r="AC33" i="1"/>
  <c r="AC245" i="1"/>
  <c r="AC214" i="1"/>
  <c r="AC174" i="1"/>
  <c r="AC167" i="1"/>
  <c r="AC158" i="1"/>
  <c r="AC124" i="1"/>
  <c r="AC108" i="1"/>
  <c r="AC103" i="1"/>
  <c r="AC97" i="1"/>
  <c r="AC67" i="1"/>
  <c r="AC59" i="1"/>
  <c r="AC55" i="1"/>
  <c r="BM34" i="1"/>
  <c r="BM33" i="1"/>
  <c r="BM232" i="1"/>
  <c r="BM218" i="1"/>
  <c r="BM216" i="1"/>
  <c r="BM193" i="1"/>
  <c r="BM191" i="1"/>
  <c r="BM172" i="1"/>
  <c r="BM170" i="1"/>
  <c r="BM155" i="1"/>
  <c r="BM14" i="1"/>
  <c r="BM131" i="1"/>
  <c r="BM116" i="1"/>
  <c r="BM103" i="1"/>
  <c r="BM90" i="1"/>
  <c r="BM88" i="1"/>
  <c r="BM53" i="1"/>
  <c r="BD207" i="1"/>
  <c r="BJ207" i="1"/>
  <c r="AO322" i="1"/>
  <c r="CK345" i="1"/>
  <c r="AC349" i="1"/>
  <c r="AC315" i="1"/>
  <c r="AC25" i="1"/>
  <c r="AC34" i="1"/>
  <c r="AC233" i="1"/>
  <c r="AC216" i="1"/>
  <c r="AC210" i="1"/>
  <c r="AC160" i="1"/>
  <c r="AC144" i="1"/>
  <c r="AC14" i="1"/>
  <c r="AC110" i="1"/>
  <c r="AC99" i="1"/>
  <c r="AC81" i="1"/>
  <c r="AC75" i="1"/>
  <c r="AC66" i="1"/>
  <c r="AC13" i="1"/>
  <c r="CE306" i="1"/>
  <c r="CH81" i="1"/>
  <c r="CH83" i="1"/>
  <c r="CH85" i="1"/>
  <c r="CH87" i="1"/>
  <c r="CH88" i="1"/>
  <c r="CH90" i="1"/>
  <c r="CK56" i="1"/>
  <c r="CH60" i="1"/>
  <c r="CH89" i="1"/>
  <c r="AO95" i="1"/>
  <c r="AO110" i="1"/>
  <c r="CK111" i="1"/>
  <c r="AO162" i="1"/>
  <c r="CK160" i="1"/>
  <c r="AO161" i="1"/>
  <c r="AO165" i="1"/>
  <c r="AO193" i="1"/>
  <c r="CK194" i="1"/>
  <c r="CK193" i="1"/>
  <c r="AO194" i="1"/>
  <c r="AO212" i="1"/>
  <c r="CK212" i="1"/>
  <c r="CH217" i="1"/>
  <c r="AO223" i="1"/>
  <c r="CK223" i="1"/>
  <c r="CH224" i="1"/>
  <c r="AO224" i="1"/>
  <c r="CK224" i="1"/>
  <c r="AO265" i="1"/>
  <c r="CK265" i="1"/>
  <c r="CH266" i="1"/>
  <c r="AO266" i="1"/>
  <c r="CK266" i="1"/>
  <c r="AO280" i="1"/>
  <c r="AO318" i="1"/>
  <c r="CK318" i="1"/>
  <c r="AO345" i="1"/>
  <c r="T57" i="1"/>
  <c r="AC317" i="1"/>
  <c r="AC262" i="1"/>
  <c r="AC289" i="1"/>
  <c r="AC218" i="1"/>
  <c r="AC185" i="1"/>
  <c r="AC145" i="1"/>
  <c r="AC123" i="1"/>
  <c r="AC83" i="1"/>
  <c r="AC54" i="1"/>
  <c r="CH313" i="1"/>
  <c r="CH345" i="1"/>
  <c r="CK346" i="1"/>
  <c r="AC332" i="1"/>
  <c r="AC264" i="1"/>
  <c r="AC232" i="1"/>
  <c r="AC209" i="1"/>
  <c r="AC159" i="1"/>
  <c r="AC138" i="1"/>
  <c r="AC98" i="1"/>
  <c r="CE303" i="1"/>
  <c r="CE176" i="1"/>
  <c r="CE169" i="1"/>
  <c r="CE161" i="1"/>
  <c r="CE153" i="1"/>
  <c r="CE146" i="1"/>
  <c r="CE137" i="1"/>
  <c r="CE107" i="1"/>
  <c r="CE85" i="1"/>
  <c r="CE78" i="1"/>
  <c r="Q326" i="1"/>
  <c r="Q290" i="1"/>
  <c r="AU233" i="1"/>
  <c r="AU90" i="1"/>
  <c r="CE121" i="1"/>
  <c r="CE58" i="1"/>
  <c r="CE49" i="1"/>
  <c r="AU55" i="1"/>
  <c r="AU94" i="1"/>
  <c r="CE68" i="1"/>
  <c r="CE83" i="1"/>
  <c r="CE53" i="1"/>
  <c r="CE64" i="1"/>
  <c r="CE50" i="1"/>
  <c r="CE76" i="1"/>
  <c r="CE90" i="1"/>
  <c r="CE138" i="1"/>
  <c r="CE140" i="1"/>
  <c r="CE14" i="1"/>
  <c r="CE144" i="1"/>
  <c r="CE147" i="1"/>
  <c r="CE150" i="1"/>
  <c r="CE154" i="1"/>
  <c r="CE158" i="1"/>
  <c r="CE162" i="1"/>
  <c r="CE166" i="1"/>
  <c r="CE170" i="1"/>
  <c r="CE174" i="1"/>
  <c r="CE177" i="1"/>
  <c r="CE181" i="1"/>
  <c r="CE183" i="1"/>
  <c r="CE187" i="1"/>
  <c r="CE191" i="1"/>
  <c r="CE195" i="1"/>
  <c r="CE202" i="1"/>
  <c r="CE205" i="1"/>
  <c r="CE209" i="1"/>
  <c r="CE216" i="1"/>
  <c r="CE220" i="1"/>
  <c r="CE224" i="1"/>
  <c r="CE228" i="1"/>
  <c r="CE240" i="1"/>
  <c r="CE244" i="1"/>
  <c r="CE248" i="1"/>
  <c r="CE33" i="1"/>
  <c r="CE36" i="1"/>
  <c r="CE39" i="1"/>
  <c r="CE43" i="1"/>
  <c r="CE288" i="1"/>
  <c r="CE292" i="1"/>
  <c r="CE251" i="1"/>
  <c r="CE236" i="1"/>
  <c r="CE17" i="1"/>
  <c r="CE21" i="1"/>
  <c r="CE254" i="1"/>
  <c r="CE152" i="1"/>
  <c r="CE28" i="1"/>
  <c r="CE31" i="1"/>
  <c r="CE258" i="1"/>
  <c r="CE262" i="1"/>
  <c r="CE266" i="1"/>
  <c r="CE270" i="1"/>
  <c r="CE274" i="1"/>
  <c r="CE278" i="1"/>
  <c r="CE281" i="1"/>
  <c r="CE296" i="1"/>
  <c r="CE300" i="1"/>
  <c r="CE304" i="1"/>
  <c r="CE308" i="1"/>
  <c r="CE312" i="1"/>
  <c r="CE315" i="1"/>
  <c r="CE319" i="1"/>
  <c r="CE323" i="1"/>
  <c r="CE327" i="1"/>
  <c r="CE335" i="1"/>
  <c r="CE339" i="1"/>
  <c r="CE343" i="1"/>
  <c r="CE347" i="1"/>
  <c r="CE351" i="1"/>
  <c r="CE72" i="1"/>
  <c r="CE87" i="1"/>
  <c r="CE349" i="1"/>
  <c r="CE42" i="1"/>
  <c r="CE261" i="1"/>
  <c r="AL78" i="1"/>
  <c r="AL62" i="1"/>
  <c r="AL101" i="1"/>
  <c r="AL113" i="1"/>
  <c r="AL120" i="1"/>
  <c r="AL128" i="1"/>
  <c r="AL158" i="1"/>
  <c r="AL138" i="1"/>
  <c r="AL292" i="1"/>
  <c r="AL67" i="1"/>
  <c r="AL55" i="1"/>
  <c r="AL196" i="1"/>
  <c r="AL127" i="1"/>
  <c r="AL85" i="1"/>
  <c r="BR334" i="1"/>
  <c r="BR36" i="1"/>
  <c r="BR281" i="1"/>
  <c r="BR54" i="1"/>
  <c r="AX216" i="1"/>
  <c r="BR285" i="1"/>
  <c r="BR274" i="1"/>
  <c r="BR237" i="1"/>
  <c r="BR37" i="1"/>
  <c r="BR236" i="1"/>
  <c r="BR311" i="1"/>
  <c r="BR344" i="1"/>
  <c r="AU104" i="1"/>
  <c r="BR251" i="1"/>
  <c r="AX132" i="1"/>
  <c r="BR184" i="1"/>
  <c r="BR76" i="1"/>
  <c r="BR299" i="1"/>
  <c r="BR298" i="1"/>
  <c r="AX95" i="1"/>
  <c r="BR148" i="1"/>
  <c r="BR339" i="1"/>
  <c r="BR292" i="1"/>
  <c r="BR244" i="1"/>
  <c r="BR27" i="1"/>
  <c r="BA304" i="1"/>
  <c r="AX56" i="1"/>
  <c r="BR35" i="1"/>
  <c r="DZ35" i="1" s="1"/>
  <c r="BR228" i="1"/>
  <c r="AU37" i="1"/>
  <c r="AU30" i="1"/>
  <c r="AX88" i="1"/>
  <c r="AX194" i="1"/>
  <c r="BR349" i="1"/>
  <c r="AU250" i="1"/>
  <c r="AU173" i="1"/>
  <c r="AU294" i="1"/>
  <c r="AU256" i="1"/>
  <c r="BR210" i="1"/>
  <c r="BR79" i="1"/>
  <c r="BA31" i="1"/>
  <c r="BR55" i="1"/>
  <c r="BR143" i="1"/>
  <c r="BR17" i="1"/>
  <c r="BR327" i="1"/>
  <c r="BR353" i="1"/>
  <c r="AU234" i="1"/>
  <c r="BR196" i="1"/>
  <c r="BR235" i="1"/>
  <c r="BR234" i="1"/>
  <c r="AU15" i="1"/>
  <c r="AX317" i="1"/>
  <c r="AU204" i="1"/>
  <c r="BA347" i="1"/>
  <c r="BR18" i="1"/>
  <c r="AX41" i="1"/>
  <c r="AX38" i="1"/>
  <c r="BR215" i="1"/>
  <c r="BR111" i="1"/>
  <c r="BR172" i="1"/>
  <c r="BR330" i="1"/>
  <c r="DZ330" i="1" s="1"/>
  <c r="BR266" i="1"/>
  <c r="BA119" i="1"/>
  <c r="BR25" i="1"/>
  <c r="BD351" i="1"/>
  <c r="BR177" i="1"/>
  <c r="BR108" i="1"/>
  <c r="BR24" i="1"/>
  <c r="BR122" i="1"/>
  <c r="BR180" i="1"/>
  <c r="BR150" i="1"/>
  <c r="BA150" i="1"/>
  <c r="AU314" i="1"/>
  <c r="AU193" i="1"/>
  <c r="AU274" i="1"/>
  <c r="AU113" i="1"/>
  <c r="AU169" i="1"/>
  <c r="AU216" i="1"/>
  <c r="AU38" i="1"/>
  <c r="AU330" i="1"/>
  <c r="AU283" i="1"/>
  <c r="AU39" i="1"/>
  <c r="AU223" i="1"/>
  <c r="AU47" i="1"/>
  <c r="AX349" i="1"/>
  <c r="AX342" i="1"/>
  <c r="AX337" i="1"/>
  <c r="AX334" i="1"/>
  <c r="AX331" i="1"/>
  <c r="AX329" i="1"/>
  <c r="AX306" i="1"/>
  <c r="AX299" i="1"/>
  <c r="AX281" i="1"/>
  <c r="AX277" i="1"/>
  <c r="AX269" i="1"/>
  <c r="AX266" i="1"/>
  <c r="AX264" i="1"/>
  <c r="AX257" i="1"/>
  <c r="AX31" i="1"/>
  <c r="AX30" i="1"/>
  <c r="AX17" i="1"/>
  <c r="AX239" i="1"/>
  <c r="AX236" i="1"/>
  <c r="AX295" i="1"/>
  <c r="AX292" i="1"/>
  <c r="AX290" i="1"/>
  <c r="AX37" i="1"/>
  <c r="AX33" i="1"/>
  <c r="AX244" i="1"/>
  <c r="AX242" i="1"/>
  <c r="AX231" i="1"/>
  <c r="AX223" i="1"/>
  <c r="AX212" i="1"/>
  <c r="AX209" i="1"/>
  <c r="AX198" i="1"/>
  <c r="AX187" i="1"/>
  <c r="AX181" i="1"/>
  <c r="AX174" i="1"/>
  <c r="AX153" i="1"/>
  <c r="AX150" i="1"/>
  <c r="AX146" i="1"/>
  <c r="AX117" i="1"/>
  <c r="AX111" i="1"/>
  <c r="BA352" i="1"/>
  <c r="BA337" i="1"/>
  <c r="BA335" i="1"/>
  <c r="BA328" i="1"/>
  <c r="BA316" i="1"/>
  <c r="BA282" i="1"/>
  <c r="BA278" i="1"/>
  <c r="BA268" i="1"/>
  <c r="BA263" i="1"/>
  <c r="BA258" i="1"/>
  <c r="BA26" i="1"/>
  <c r="BA293" i="1"/>
  <c r="BA286" i="1"/>
  <c r="BA43" i="1"/>
  <c r="BA34" i="1"/>
  <c r="BA249" i="1"/>
  <c r="BA232" i="1"/>
  <c r="BA228" i="1"/>
  <c r="BA221" i="1"/>
  <c r="BA189" i="1"/>
  <c r="BA187" i="1"/>
  <c r="BA181" i="1"/>
  <c r="BA174" i="1"/>
  <c r="BA167" i="1"/>
  <c r="BA160" i="1"/>
  <c r="BA158" i="1"/>
  <c r="BA44" i="1"/>
  <c r="BA149" i="1"/>
  <c r="BA147" i="1"/>
  <c r="BA142" i="1"/>
  <c r="BA140" i="1"/>
  <c r="BA132" i="1"/>
  <c r="BA130" i="1"/>
  <c r="BA123" i="1"/>
  <c r="BA118" i="1"/>
  <c r="BA110" i="1"/>
  <c r="BA108" i="1"/>
  <c r="BA105" i="1"/>
  <c r="BA98" i="1"/>
  <c r="BA89" i="1"/>
  <c r="BA79" i="1"/>
  <c r="BA74" i="1"/>
  <c r="BA64" i="1"/>
  <c r="BA60" i="1"/>
  <c r="BA54" i="1"/>
  <c r="BA48" i="1"/>
  <c r="BD353" i="1"/>
  <c r="BD350" i="1"/>
  <c r="BD343" i="1"/>
  <c r="BD338" i="1"/>
  <c r="BD326" i="1"/>
  <c r="BD319" i="1"/>
  <c r="BD308" i="1"/>
  <c r="BD300" i="1"/>
  <c r="BD281" i="1"/>
  <c r="BD273" i="1"/>
  <c r="BD266" i="1"/>
  <c r="BD264" i="1"/>
  <c r="BD257" i="1"/>
  <c r="BD27" i="1"/>
  <c r="BD152" i="1"/>
  <c r="BD24" i="1"/>
  <c r="BD17" i="1"/>
  <c r="BD15" i="1"/>
  <c r="BD235" i="1"/>
  <c r="BD43" i="1"/>
  <c r="BD41" i="1"/>
  <c r="BD35" i="1"/>
  <c r="BD33" i="1"/>
  <c r="BD250" i="1"/>
  <c r="BD244" i="1"/>
  <c r="BD242" i="1"/>
  <c r="BD231" i="1"/>
  <c r="BD219" i="1"/>
  <c r="BD204" i="1"/>
  <c r="BD195" i="1"/>
  <c r="BD193" i="1"/>
  <c r="BD186" i="1"/>
  <c r="BD176" i="1"/>
  <c r="BD174" i="1"/>
  <c r="BD172" i="1"/>
  <c r="BD165" i="1"/>
  <c r="BD162" i="1"/>
  <c r="BD157" i="1"/>
  <c r="BD150" i="1"/>
  <c r="BD149" i="1"/>
  <c r="BD146" i="1"/>
  <c r="BD14" i="1"/>
  <c r="BD142" i="1"/>
  <c r="BD129" i="1"/>
  <c r="BD122" i="1"/>
  <c r="BD117" i="1"/>
  <c r="BD111" i="1"/>
  <c r="BD106" i="1"/>
  <c r="BD101" i="1"/>
  <c r="BD99" i="1"/>
  <c r="BD91" i="1"/>
  <c r="BD85" i="1"/>
  <c r="BD83" i="1"/>
  <c r="BD77" i="1"/>
  <c r="BD61" i="1"/>
  <c r="BD56" i="1"/>
  <c r="BD51" i="1"/>
  <c r="BD49" i="1"/>
  <c r="BD12" i="1"/>
  <c r="BG352" i="1"/>
  <c r="BG345" i="1"/>
  <c r="BG343" i="1"/>
  <c r="BG336" i="1"/>
  <c r="BG321" i="1"/>
  <c r="BG319" i="1"/>
  <c r="BG313" i="1"/>
  <c r="BG306" i="1"/>
  <c r="BG304" i="1"/>
  <c r="BG297" i="1"/>
  <c r="BG278" i="1"/>
  <c r="BG271" i="1"/>
  <c r="BG264" i="1"/>
  <c r="BG262" i="1"/>
  <c r="BG26" i="1"/>
  <c r="BG152" i="1"/>
  <c r="BG22" i="1"/>
  <c r="BG15" i="1"/>
  <c r="BG252" i="1"/>
  <c r="BG290" i="1"/>
  <c r="BG288" i="1"/>
  <c r="BG40" i="1"/>
  <c r="BG34" i="1"/>
  <c r="BG33" i="1"/>
  <c r="BG245" i="1"/>
  <c r="BG233" i="1"/>
  <c r="BG225" i="1"/>
  <c r="BG218" i="1"/>
  <c r="BG216" i="1"/>
  <c r="BG210" i="1"/>
  <c r="BG197" i="1"/>
  <c r="BG195" i="1"/>
  <c r="BG188" i="1"/>
  <c r="BG181" i="1"/>
  <c r="BG175" i="1"/>
  <c r="BG168" i="1"/>
  <c r="BG166" i="1"/>
  <c r="BG159" i="1"/>
  <c r="BG150" i="1"/>
  <c r="BG14" i="1"/>
  <c r="BG127" i="1"/>
  <c r="BG120" i="1"/>
  <c r="BG118" i="1"/>
  <c r="BG108" i="1"/>
  <c r="BG101" i="1"/>
  <c r="BG83" i="1"/>
  <c r="BG81" i="1"/>
  <c r="BG75" i="1"/>
  <c r="BG70" i="1"/>
  <c r="BG63" i="1"/>
  <c r="BG55" i="1"/>
  <c r="BG49" i="1"/>
  <c r="BJ347" i="1"/>
  <c r="BJ345" i="1"/>
  <c r="BJ338" i="1"/>
  <c r="BJ335" i="1"/>
  <c r="BJ333" i="1"/>
  <c r="BJ326" i="1"/>
  <c r="BJ319" i="1"/>
  <c r="BJ317" i="1"/>
  <c r="BJ311" i="1"/>
  <c r="BJ304" i="1"/>
  <c r="BJ302" i="1"/>
  <c r="BJ284" i="1"/>
  <c r="BJ278" i="1"/>
  <c r="BJ276" i="1"/>
  <c r="BJ269" i="1"/>
  <c r="BJ262" i="1"/>
  <c r="BJ260" i="1"/>
  <c r="BJ152" i="1"/>
  <c r="BJ255" i="1"/>
  <c r="BJ20" i="1"/>
  <c r="BJ238" i="1"/>
  <c r="BJ295" i="1"/>
  <c r="BJ288" i="1"/>
  <c r="BJ286" i="1"/>
  <c r="BJ38" i="1"/>
  <c r="BJ33" i="1"/>
  <c r="BJ250" i="1"/>
  <c r="BJ243" i="1"/>
  <c r="BJ230" i="1"/>
  <c r="BJ223" i="1"/>
  <c r="BJ216" i="1"/>
  <c r="BJ208" i="1"/>
  <c r="BJ201" i="1"/>
  <c r="BJ195" i="1"/>
  <c r="BJ193" i="1"/>
  <c r="BJ186" i="1"/>
  <c r="BJ181" i="1"/>
  <c r="BJ179" i="1"/>
  <c r="BJ173" i="1"/>
  <c r="BJ166" i="1"/>
  <c r="BJ164" i="1"/>
  <c r="BJ157" i="1"/>
  <c r="BJ146" i="1"/>
  <c r="BJ14" i="1"/>
  <c r="BJ142" i="1"/>
  <c r="BJ137" i="1"/>
  <c r="BJ130" i="1"/>
  <c r="BJ128" i="1"/>
  <c r="BJ121" i="1"/>
  <c r="BJ116" i="1"/>
  <c r="BJ111" i="1"/>
  <c r="BJ97" i="1"/>
  <c r="BJ95" i="1"/>
  <c r="BJ81" i="1"/>
  <c r="BJ73" i="1"/>
  <c r="BJ66" i="1"/>
  <c r="BJ64" i="1"/>
  <c r="BJ58" i="1"/>
  <c r="BJ54" i="1"/>
  <c r="BJ53" i="1"/>
  <c r="BJ50" i="1"/>
  <c r="BM352" i="1"/>
  <c r="BM340" i="1"/>
  <c r="BM333" i="1"/>
  <c r="BM331" i="1"/>
  <c r="BM324" i="1"/>
  <c r="BM317" i="1"/>
  <c r="BM315" i="1"/>
  <c r="BM309" i="1"/>
  <c r="BM302" i="1"/>
  <c r="BM300" i="1"/>
  <c r="BM282" i="1"/>
  <c r="BM276" i="1"/>
  <c r="BM274" i="1"/>
  <c r="BM267" i="1"/>
  <c r="BM260" i="1"/>
  <c r="BM258" i="1"/>
  <c r="BM29" i="1"/>
  <c r="BM255" i="1"/>
  <c r="BM254" i="1"/>
  <c r="BM237" i="1"/>
  <c r="BM289" i="1"/>
  <c r="BM41" i="1"/>
  <c r="BM250" i="1"/>
  <c r="BM248" i="1"/>
  <c r="BM241" i="1"/>
  <c r="BM230" i="1"/>
  <c r="BM228" i="1"/>
  <c r="BM221" i="1"/>
  <c r="BM205" i="1"/>
  <c r="BM199" i="1"/>
  <c r="BM195" i="1"/>
  <c r="BM188" i="1"/>
  <c r="BM178" i="1"/>
  <c r="BM174" i="1"/>
  <c r="BM167" i="1"/>
  <c r="BM160" i="1"/>
  <c r="BM158" i="1"/>
  <c r="BM44" i="1"/>
  <c r="BM145" i="1"/>
  <c r="BM144" i="1"/>
  <c r="BM141" i="1"/>
  <c r="BM136" i="1"/>
  <c r="BM134" i="1"/>
  <c r="BM127" i="1"/>
  <c r="BM120" i="1"/>
  <c r="BM118" i="1"/>
  <c r="BM106" i="1"/>
  <c r="BM102" i="1"/>
  <c r="BM95" i="1"/>
  <c r="BM86" i="1"/>
  <c r="BM75" i="1"/>
  <c r="BM68" i="1"/>
  <c r="BM66" i="1"/>
  <c r="BM60" i="1"/>
  <c r="BM54" i="1"/>
  <c r="BM48" i="1"/>
  <c r="BM12" i="1"/>
  <c r="AU190" i="1"/>
  <c r="CH52" i="1"/>
  <c r="CH49" i="1"/>
  <c r="CH47" i="1"/>
  <c r="AO54" i="1"/>
  <c r="AO46" i="1"/>
  <c r="AR115" i="1"/>
  <c r="AR14" i="1"/>
  <c r="CK59" i="1"/>
  <c r="CK64" i="1"/>
  <c r="AO65" i="1"/>
  <c r="CK76" i="1"/>
  <c r="AO77" i="1"/>
  <c r="AO80" i="1"/>
  <c r="AO64" i="1"/>
  <c r="CK65" i="1"/>
  <c r="AO66" i="1"/>
  <c r="AO74" i="1"/>
  <c r="AO81" i="1"/>
  <c r="AO88" i="1"/>
  <c r="CH71" i="1"/>
  <c r="CH86" i="1"/>
  <c r="CK104" i="1"/>
  <c r="CH94" i="1"/>
  <c r="CH105" i="1"/>
  <c r="AO113" i="1"/>
  <c r="AO120" i="1"/>
  <c r="CH130" i="1"/>
  <c r="CH131" i="1"/>
  <c r="CH132" i="1"/>
  <c r="CH119" i="1"/>
  <c r="CK124" i="1"/>
  <c r="AO125" i="1"/>
  <c r="AO129" i="1"/>
  <c r="AO133" i="1"/>
  <c r="AO137" i="1"/>
  <c r="AO142" i="1"/>
  <c r="CH141" i="1"/>
  <c r="AO136" i="1"/>
  <c r="CH140" i="1"/>
  <c r="CH142" i="1"/>
  <c r="CH14" i="1"/>
  <c r="AO144" i="1"/>
  <c r="AO149" i="1"/>
  <c r="AO150" i="1"/>
  <c r="CH162" i="1"/>
  <c r="CH163" i="1"/>
  <c r="CH164" i="1"/>
  <c r="CK144" i="1"/>
  <c r="CK147" i="1"/>
  <c r="AO153" i="1"/>
  <c r="CK158" i="1"/>
  <c r="CH150" i="1"/>
  <c r="CH154" i="1"/>
  <c r="CH156" i="1"/>
  <c r="CH158" i="1"/>
  <c r="AO164" i="1"/>
  <c r="CK165" i="1"/>
  <c r="AO166" i="1"/>
  <c r="AO172" i="1"/>
  <c r="CK173" i="1"/>
  <c r="AO174" i="1"/>
  <c r="CH171" i="1"/>
  <c r="CK166" i="1"/>
  <c r="CK174" i="1"/>
  <c r="CK177" i="1"/>
  <c r="CH168" i="1"/>
  <c r="CH170" i="1"/>
  <c r="CH172" i="1"/>
  <c r="CH174" i="1"/>
  <c r="CH177" i="1"/>
  <c r="CH179" i="1"/>
  <c r="CH181" i="1"/>
  <c r="CH183" i="1"/>
  <c r="CH185" i="1"/>
  <c r="AO185" i="1"/>
  <c r="AO186" i="1"/>
  <c r="AO187" i="1"/>
  <c r="AO183" i="1"/>
  <c r="CK189" i="1"/>
  <c r="CH178" i="1"/>
  <c r="CK191" i="1"/>
  <c r="CH199" i="1"/>
  <c r="CK203" i="1"/>
  <c r="AO204" i="1"/>
  <c r="AO205" i="1"/>
  <c r="CK54" i="1"/>
  <c r="AO47" i="1"/>
  <c r="CK11" i="1"/>
  <c r="AO215" i="1"/>
  <c r="CK215" i="1"/>
  <c r="CH216" i="1"/>
  <c r="AO216" i="1"/>
  <c r="CH218" i="1"/>
  <c r="AO218" i="1"/>
  <c r="CK218" i="1"/>
  <c r="AO219" i="1"/>
  <c r="CH221" i="1"/>
  <c r="CH222" i="1"/>
  <c r="AO222" i="1"/>
  <c r="CK222" i="1"/>
  <c r="CH229" i="1"/>
  <c r="CH230" i="1"/>
  <c r="AO230" i="1"/>
  <c r="CK230" i="1"/>
  <c r="AO231" i="1"/>
  <c r="CH245" i="1"/>
  <c r="CH248" i="1"/>
  <c r="AO248" i="1"/>
  <c r="CK248" i="1"/>
  <c r="CH41" i="1"/>
  <c r="AO41" i="1"/>
  <c r="CK41" i="1"/>
  <c r="CH289" i="1"/>
  <c r="CH290" i="1"/>
  <c r="AO290" i="1"/>
  <c r="AO291" i="1"/>
  <c r="CK291" i="1"/>
  <c r="CH292" i="1"/>
  <c r="AO292" i="1"/>
  <c r="CK292" i="1"/>
  <c r="CH237" i="1"/>
  <c r="CH238" i="1"/>
  <c r="AO238" i="1"/>
  <c r="CK238" i="1"/>
  <c r="AO151" i="1"/>
  <c r="CK151" i="1"/>
  <c r="CH152" i="1"/>
  <c r="CH26" i="1"/>
  <c r="AO26" i="1"/>
  <c r="CK26" i="1"/>
  <c r="AO27" i="1"/>
  <c r="CK27" i="1"/>
  <c r="CH28" i="1"/>
  <c r="AO28" i="1"/>
  <c r="CH30" i="1"/>
  <c r="AO30" i="1"/>
  <c r="CK30" i="1"/>
  <c r="CH267" i="1"/>
  <c r="CH268" i="1"/>
  <c r="AO268" i="1"/>
  <c r="AO269" i="1"/>
  <c r="CK269" i="1"/>
  <c r="CH270" i="1"/>
  <c r="AO270" i="1"/>
  <c r="CH281" i="1"/>
  <c r="AO281" i="1"/>
  <c r="CH305" i="1"/>
  <c r="CH306" i="1"/>
  <c r="AO306" i="1"/>
  <c r="CK306" i="1"/>
  <c r="AO307" i="1"/>
  <c r="CK307" i="1"/>
  <c r="CH308" i="1"/>
  <c r="AO308" i="1"/>
  <c r="AR313" i="1"/>
  <c r="CH316" i="1"/>
  <c r="CH320" i="1"/>
  <c r="CH321" i="1"/>
  <c r="AO321" i="1"/>
  <c r="CK321" i="1"/>
  <c r="CH323" i="1"/>
  <c r="AO323" i="1"/>
  <c r="CK323" i="1"/>
  <c r="CK334" i="1"/>
  <c r="CH335" i="1"/>
  <c r="AO335" i="1"/>
  <c r="CK335" i="1"/>
  <c r="AO342" i="1"/>
  <c r="CK342" i="1"/>
  <c r="CH343" i="1"/>
  <c r="AO343" i="1"/>
  <c r="CK343" i="1"/>
  <c r="CH348" i="1"/>
  <c r="CH349" i="1"/>
  <c r="AO349" i="1"/>
  <c r="CK349" i="1"/>
  <c r="AO350" i="1"/>
  <c r="CK350" i="1"/>
  <c r="CH351" i="1"/>
  <c r="AL351" i="1"/>
  <c r="AO351" i="1"/>
  <c r="CK351" i="1"/>
  <c r="AR353" i="1"/>
  <c r="AC353" i="1"/>
  <c r="AC351" i="1"/>
  <c r="AC344" i="1"/>
  <c r="AC337" i="1"/>
  <c r="AC335" i="1"/>
  <c r="AC328" i="1"/>
  <c r="AC321" i="1"/>
  <c r="AC319" i="1"/>
  <c r="AC313" i="1"/>
  <c r="AC306" i="1"/>
  <c r="AC304" i="1"/>
  <c r="AC283" i="1"/>
  <c r="AC281" i="1"/>
  <c r="AC275" i="1"/>
  <c r="AC268" i="1"/>
  <c r="AC266" i="1"/>
  <c r="AC259" i="1"/>
  <c r="AC30" i="1"/>
  <c r="AC28" i="1"/>
  <c r="AC19" i="1"/>
  <c r="AC17" i="1"/>
  <c r="AC237" i="1"/>
  <c r="AC294" i="1"/>
  <c r="AC292" i="1"/>
  <c r="AC285" i="1"/>
  <c r="AC37" i="1"/>
  <c r="AC36" i="1"/>
  <c r="AC249" i="1"/>
  <c r="AC242" i="1"/>
  <c r="AC240" i="1"/>
  <c r="AC229" i="1"/>
  <c r="AC222" i="1"/>
  <c r="AC220" i="1"/>
  <c r="AC206" i="1"/>
  <c r="AC200" i="1"/>
  <c r="AC196" i="1"/>
  <c r="AC189" i="1"/>
  <c r="AC187" i="1"/>
  <c r="AC179" i="1"/>
  <c r="AC177" i="1"/>
  <c r="AC171" i="1"/>
  <c r="AC164" i="1"/>
  <c r="AC162" i="1"/>
  <c r="AC155" i="1"/>
  <c r="AC149" i="1"/>
  <c r="AC147" i="1"/>
  <c r="AC142" i="1"/>
  <c r="AC140" i="1"/>
  <c r="AC135" i="1"/>
  <c r="AC128" i="1"/>
  <c r="AC126" i="1"/>
  <c r="AC119" i="1"/>
  <c r="AC113" i="1"/>
  <c r="AC112" i="1"/>
  <c r="AC105" i="1"/>
  <c r="AC101" i="1"/>
  <c r="AC94" i="1"/>
  <c r="AC92" i="1"/>
  <c r="AC87" i="1"/>
  <c r="AC85" i="1"/>
  <c r="AC79" i="1"/>
  <c r="AC72" i="1"/>
  <c r="AC70" i="1"/>
  <c r="AC63" i="1"/>
  <c r="AC57" i="1"/>
  <c r="AC52" i="1"/>
  <c r="AC45" i="1"/>
  <c r="CE317" i="1"/>
  <c r="CE302" i="1"/>
  <c r="CE27" i="1"/>
  <c r="CE291" i="1"/>
  <c r="CE129" i="1"/>
  <c r="CE122" i="1"/>
  <c r="CE97" i="1"/>
  <c r="CE84" i="1"/>
  <c r="CE59" i="1"/>
  <c r="CE47" i="1"/>
  <c r="Q280" i="1"/>
  <c r="Q37" i="1"/>
  <c r="AU86" i="1"/>
  <c r="AU52" i="1"/>
  <c r="AU63" i="1"/>
  <c r="AU83" i="1"/>
  <c r="AG350" i="1"/>
  <c r="AG346" i="1"/>
  <c r="AG342" i="1"/>
  <c r="AG338" i="1"/>
  <c r="AG334" i="1"/>
  <c r="AG330" i="1"/>
  <c r="AG326" i="1"/>
  <c r="AG322" i="1"/>
  <c r="AG318" i="1"/>
  <c r="AG311" i="1"/>
  <c r="AG307" i="1"/>
  <c r="AG303" i="1"/>
  <c r="AG299" i="1"/>
  <c r="AG284" i="1"/>
  <c r="AG280" i="1"/>
  <c r="AG277" i="1"/>
  <c r="AG273" i="1"/>
  <c r="AG269" i="1"/>
  <c r="AG265" i="1"/>
  <c r="AG261" i="1"/>
  <c r="AG257" i="1"/>
  <c r="AG27" i="1"/>
  <c r="AG151" i="1"/>
  <c r="AG24" i="1"/>
  <c r="AG20" i="1"/>
  <c r="AG16" i="1"/>
  <c r="AG239" i="1"/>
  <c r="AG235" i="1"/>
  <c r="AG295" i="1"/>
  <c r="AG291" i="1"/>
  <c r="AG287" i="1"/>
  <c r="AG42" i="1"/>
  <c r="AG38" i="1"/>
  <c r="AG35" i="1"/>
  <c r="AG32" i="1"/>
  <c r="AG247" i="1"/>
  <c r="AG243" i="1"/>
  <c r="AG234" i="1"/>
  <c r="AG231" i="1"/>
  <c r="AG227" i="1"/>
  <c r="AG223" i="1"/>
  <c r="AG219" i="1"/>
  <c r="AG215" i="1"/>
  <c r="AG212" i="1"/>
  <c r="AG208" i="1"/>
  <c r="AG204" i="1"/>
  <c r="AG201" i="1"/>
  <c r="AG198" i="1"/>
  <c r="AG194" i="1"/>
  <c r="AG190" i="1"/>
  <c r="AG186" i="1"/>
  <c r="AG180" i="1"/>
  <c r="AG176" i="1"/>
  <c r="AG173" i="1"/>
  <c r="AG169" i="1"/>
  <c r="AG165" i="1"/>
  <c r="AG161" i="1"/>
  <c r="AG157" i="1"/>
  <c r="AG153" i="1"/>
  <c r="AG146" i="1"/>
  <c r="AG143" i="1"/>
  <c r="AG139" i="1"/>
  <c r="AG137" i="1"/>
  <c r="AG133" i="1"/>
  <c r="AG129" i="1"/>
  <c r="AG125" i="1"/>
  <c r="AG121" i="1"/>
  <c r="AG117" i="1"/>
  <c r="AG114" i="1"/>
  <c r="AG111" i="1"/>
  <c r="AG107" i="1"/>
  <c r="AG104" i="1"/>
  <c r="AG100" i="1"/>
  <c r="AG96" i="1"/>
  <c r="AG91" i="1"/>
  <c r="AG84" i="1"/>
  <c r="AG80" i="1"/>
  <c r="AG77" i="1"/>
  <c r="AG73" i="1"/>
  <c r="AG69" i="1"/>
  <c r="AG65" i="1"/>
  <c r="AG61" i="1"/>
  <c r="AG58" i="1"/>
  <c r="AG56" i="1"/>
  <c r="AG50" i="1"/>
  <c r="AG46" i="1"/>
  <c r="AG11" i="1"/>
  <c r="AG329" i="1"/>
  <c r="AG321" i="1"/>
  <c r="AG283" i="1"/>
  <c r="AG256" i="1"/>
  <c r="AG238" i="1"/>
  <c r="AG253" i="1"/>
  <c r="AG246" i="1"/>
  <c r="AG226" i="1"/>
  <c r="AG222" i="1"/>
  <c r="AG218" i="1"/>
  <c r="AG203" i="1"/>
  <c r="AG168" i="1"/>
  <c r="AG164" i="1"/>
  <c r="AG160" i="1"/>
  <c r="AG156" i="1"/>
  <c r="AG145" i="1"/>
  <c r="AG142" i="1"/>
  <c r="AG128" i="1"/>
  <c r="AG120" i="1"/>
  <c r="AG116" i="1"/>
  <c r="AG113" i="1"/>
  <c r="AG110" i="1"/>
  <c r="AG106" i="1"/>
  <c r="AG95" i="1"/>
  <c r="AG90" i="1"/>
  <c r="AG83" i="1"/>
  <c r="AG76" i="1"/>
  <c r="AG68" i="1"/>
  <c r="AG64" i="1"/>
  <c r="AG53" i="1"/>
  <c r="AG49" i="1"/>
  <c r="AG45" i="1"/>
  <c r="AG10" i="1"/>
  <c r="Q351" i="1"/>
  <c r="AG347" i="1"/>
  <c r="Q343" i="1"/>
  <c r="AG335" i="1"/>
  <c r="Q331" i="1"/>
  <c r="AG327" i="1"/>
  <c r="Q323" i="1"/>
  <c r="AG319" i="1"/>
  <c r="Q315" i="1"/>
  <c r="Q312" i="1"/>
  <c r="Q308" i="1"/>
  <c r="Q304" i="1"/>
  <c r="Q300" i="1"/>
  <c r="AU226" i="1"/>
  <c r="AU321" i="1"/>
  <c r="AU35" i="1"/>
  <c r="AL99" i="1"/>
  <c r="AL126" i="1"/>
  <c r="AL132" i="1"/>
  <c r="AL123" i="1"/>
  <c r="AU151" i="1"/>
  <c r="AU239" i="1"/>
  <c r="AU215" i="1"/>
  <c r="AU255" i="1"/>
  <c r="AU75" i="1"/>
  <c r="AU157" i="1"/>
  <c r="AU306" i="1"/>
  <c r="AU34" i="1"/>
  <c r="AU345" i="1"/>
  <c r="AU81" i="1"/>
  <c r="AU272" i="1"/>
  <c r="AU291" i="1"/>
  <c r="AU246" i="1"/>
  <c r="AU33" i="1"/>
  <c r="AU59" i="1"/>
  <c r="AU209" i="1"/>
  <c r="AU133" i="1"/>
  <c r="AU278" i="1"/>
  <c r="AU41" i="1"/>
  <c r="AU243" i="1"/>
  <c r="AU212" i="1"/>
  <c r="AU194" i="1"/>
  <c r="AX353" i="1"/>
  <c r="AX343" i="1"/>
  <c r="AX341" i="1"/>
  <c r="AX338" i="1"/>
  <c r="AX330" i="1"/>
  <c r="AX310" i="1"/>
  <c r="AX307" i="1"/>
  <c r="AX300" i="1"/>
  <c r="AX298" i="1"/>
  <c r="AX278" i="1"/>
  <c r="AX276" i="1"/>
  <c r="AX270" i="1"/>
  <c r="AX265" i="1"/>
  <c r="AX258" i="1"/>
  <c r="AX21" i="1"/>
  <c r="AX235" i="1"/>
  <c r="AX251" i="1"/>
  <c r="AX291" i="1"/>
  <c r="AX32" i="1"/>
  <c r="AX243" i="1"/>
  <c r="AX230" i="1"/>
  <c r="AX227" i="1"/>
  <c r="AX224" i="1"/>
  <c r="AX215" i="1"/>
  <c r="AX208" i="1"/>
  <c r="AX193" i="1"/>
  <c r="AX183" i="1"/>
  <c r="AX169" i="1"/>
  <c r="AX166" i="1"/>
  <c r="AX147" i="1"/>
  <c r="AX145" i="1"/>
  <c r="AX140" i="1"/>
  <c r="AX134" i="1"/>
  <c r="AX118" i="1"/>
  <c r="AX116" i="1"/>
  <c r="AX110" i="1"/>
  <c r="AX104" i="1"/>
  <c r="AX85" i="1"/>
  <c r="AX64" i="1"/>
  <c r="AX54" i="1"/>
  <c r="AX53" i="1"/>
  <c r="BA353" i="1"/>
  <c r="BA351" i="1"/>
  <c r="BA336" i="1"/>
  <c r="BA329" i="1"/>
  <c r="BA327" i="1"/>
  <c r="BA317" i="1"/>
  <c r="BA315" i="1"/>
  <c r="BA297" i="1"/>
  <c r="BA283" i="1"/>
  <c r="BA279" i="1"/>
  <c r="BA272" i="1"/>
  <c r="BA264" i="1"/>
  <c r="BA262" i="1"/>
  <c r="BA259" i="1"/>
  <c r="BA25" i="1"/>
  <c r="BA255" i="1"/>
  <c r="BA254" i="1"/>
  <c r="BA15" i="1"/>
  <c r="BA294" i="1"/>
  <c r="BA292" i="1"/>
  <c r="BA285" i="1"/>
  <c r="BA250" i="1"/>
  <c r="BA248" i="1"/>
  <c r="BA233" i="1"/>
  <c r="BA222" i="1"/>
  <c r="BA220" i="1"/>
  <c r="BA214" i="1"/>
  <c r="BA206" i="1"/>
  <c r="BA203" i="1"/>
  <c r="BA202" i="1"/>
  <c r="BA188" i="1"/>
  <c r="BA182" i="1"/>
  <c r="BA168" i="1"/>
  <c r="BA166" i="1"/>
  <c r="BA159" i="1"/>
  <c r="BA148" i="1"/>
  <c r="BA141" i="1"/>
  <c r="BA138" i="1"/>
  <c r="BA131" i="1"/>
  <c r="BA124" i="1"/>
  <c r="BA122" i="1"/>
  <c r="BA109" i="1"/>
  <c r="BA103" i="1"/>
  <c r="BA99" i="1"/>
  <c r="BA97" i="1"/>
  <c r="BA93" i="1"/>
  <c r="BA90" i="1"/>
  <c r="BA88" i="1"/>
  <c r="BA78" i="1"/>
  <c r="BA59" i="1"/>
  <c r="BA55" i="1"/>
  <c r="BA49" i="1"/>
  <c r="BA47" i="1"/>
  <c r="BD349" i="1"/>
  <c r="BD339" i="1"/>
  <c r="BD337" i="1"/>
  <c r="BD327" i="1"/>
  <c r="BD325" i="1"/>
  <c r="BD315" i="1"/>
  <c r="BD314" i="1"/>
  <c r="BD304" i="1"/>
  <c r="BD296" i="1"/>
  <c r="BD280" i="1"/>
  <c r="BD274" i="1"/>
  <c r="BD272" i="1"/>
  <c r="BD265" i="1"/>
  <c r="BD258" i="1"/>
  <c r="BD256" i="1"/>
  <c r="BD151" i="1"/>
  <c r="BD254" i="1"/>
  <c r="BD23" i="1"/>
  <c r="BD16" i="1"/>
  <c r="BD236" i="1"/>
  <c r="BD253" i="1"/>
  <c r="BD42" i="1"/>
  <c r="BD36" i="1"/>
  <c r="BD32" i="1"/>
  <c r="BD243" i="1"/>
  <c r="BD230" i="1"/>
  <c r="BD220" i="1"/>
  <c r="BD218" i="1"/>
  <c r="BD205" i="1"/>
  <c r="BD203" i="1"/>
  <c r="BD194" i="1"/>
  <c r="BD187" i="1"/>
  <c r="BD185" i="1"/>
  <c r="BD177" i="1"/>
  <c r="BD173" i="1"/>
  <c r="BD166" i="1"/>
  <c r="BD158" i="1"/>
  <c r="BD156" i="1"/>
  <c r="BD145" i="1"/>
  <c r="BD138" i="1"/>
  <c r="BD130" i="1"/>
  <c r="BD128" i="1"/>
  <c r="BD118" i="1"/>
  <c r="BD112" i="1"/>
  <c r="BD110" i="1"/>
  <c r="BD107" i="1"/>
  <c r="BD100" i="1"/>
  <c r="BD90" i="1"/>
  <c r="BD84" i="1"/>
  <c r="BD78" i="1"/>
  <c r="BD76" i="1"/>
  <c r="BD57" i="1"/>
  <c r="BD50" i="1"/>
  <c r="BD11" i="1"/>
  <c r="BG353" i="1"/>
  <c r="BG351" i="1"/>
  <c r="BG344" i="1"/>
  <c r="BG337" i="1"/>
  <c r="BG335" i="1"/>
  <c r="BG320" i="1"/>
  <c r="BG314" i="1"/>
  <c r="BG312" i="1"/>
  <c r="BG305" i="1"/>
  <c r="BG298" i="1"/>
  <c r="BG296" i="1"/>
  <c r="BG279" i="1"/>
  <c r="BG272" i="1"/>
  <c r="BG270" i="1"/>
  <c r="BG263" i="1"/>
  <c r="BG256" i="1"/>
  <c r="BG31" i="1"/>
  <c r="BG25" i="1"/>
  <c r="BG23" i="1"/>
  <c r="BG21" i="1"/>
  <c r="BG253" i="1"/>
  <c r="BG251" i="1"/>
  <c r="BG289" i="1"/>
  <c r="BG41" i="1"/>
  <c r="BG39" i="1"/>
  <c r="BG246" i="1"/>
  <c r="BG244" i="1"/>
  <c r="BG232" i="1"/>
  <c r="BG226" i="1"/>
  <c r="BG224" i="1"/>
  <c r="BG217" i="1"/>
  <c r="BG211" i="1"/>
  <c r="BG209" i="1"/>
  <c r="BG203" i="1"/>
  <c r="BG202" i="1"/>
  <c r="BG196" i="1"/>
  <c r="BG189" i="1"/>
  <c r="BG187" i="1"/>
  <c r="BG182" i="1"/>
  <c r="BG174" i="1"/>
  <c r="BG167" i="1"/>
  <c r="BG160" i="1"/>
  <c r="BG158" i="1"/>
  <c r="BG44" i="1"/>
  <c r="BG138" i="1"/>
  <c r="BG128" i="1"/>
  <c r="BG126" i="1"/>
  <c r="BG119" i="1"/>
  <c r="BG113" i="1"/>
  <c r="BG112" i="1"/>
  <c r="BG109" i="1"/>
  <c r="BG102" i="1"/>
  <c r="BG97" i="1"/>
  <c r="BG93" i="1"/>
  <c r="BG92" i="1"/>
  <c r="BG88" i="1"/>
  <c r="BG82" i="1"/>
  <c r="BG76" i="1"/>
  <c r="BG74" i="1"/>
  <c r="BG64" i="1"/>
  <c r="BG62" i="1"/>
  <c r="BG54" i="1"/>
  <c r="BG45" i="1"/>
  <c r="BJ353" i="1"/>
  <c r="BJ346" i="1"/>
  <c r="BJ339" i="1"/>
  <c r="BJ334" i="1"/>
  <c r="BJ327" i="1"/>
  <c r="BJ325" i="1"/>
  <c r="BJ318" i="1"/>
  <c r="BJ312" i="1"/>
  <c r="BJ310" i="1"/>
  <c r="BJ303" i="1"/>
  <c r="BJ296" i="1"/>
  <c r="BJ283" i="1"/>
  <c r="BJ277" i="1"/>
  <c r="BJ270" i="1"/>
  <c r="BJ268" i="1"/>
  <c r="BJ261" i="1"/>
  <c r="BJ31" i="1"/>
  <c r="BJ30" i="1"/>
  <c r="BJ151" i="1"/>
  <c r="BJ21" i="1"/>
  <c r="BJ19" i="1"/>
  <c r="BJ239" i="1"/>
  <c r="BJ251" i="1"/>
  <c r="BJ294" i="1"/>
  <c r="BJ287" i="1"/>
  <c r="BJ39" i="1"/>
  <c r="BJ37" i="1"/>
  <c r="BJ32" i="1"/>
  <c r="BJ244" i="1"/>
  <c r="BJ242" i="1"/>
  <c r="BJ231" i="1"/>
  <c r="BJ224" i="1"/>
  <c r="BJ222" i="1"/>
  <c r="BJ215" i="1"/>
  <c r="BJ209" i="1"/>
  <c r="BJ202" i="1"/>
  <c r="BJ200" i="1"/>
  <c r="BJ194" i="1"/>
  <c r="BJ187" i="1"/>
  <c r="BJ185" i="1"/>
  <c r="BJ180" i="1"/>
  <c r="BJ174" i="1"/>
  <c r="BJ172" i="1"/>
  <c r="BJ165" i="1"/>
  <c r="BJ158" i="1"/>
  <c r="BJ156" i="1"/>
  <c r="BJ147" i="1"/>
  <c r="BJ145" i="1"/>
  <c r="BJ138" i="1"/>
  <c r="BJ136" i="1"/>
  <c r="BJ129" i="1"/>
  <c r="BJ122" i="1"/>
  <c r="BJ120" i="1"/>
  <c r="BJ112" i="1"/>
  <c r="BJ110" i="1"/>
  <c r="BJ96" i="1"/>
  <c r="BJ88" i="1"/>
  <c r="BJ87" i="1"/>
  <c r="BJ80" i="1"/>
  <c r="BJ74" i="1"/>
  <c r="BJ72" i="1"/>
  <c r="BJ65" i="1"/>
  <c r="BJ59" i="1"/>
  <c r="BJ49" i="1"/>
  <c r="BM351" i="1"/>
  <c r="BM341" i="1"/>
  <c r="BM339" i="1"/>
  <c r="BM332" i="1"/>
  <c r="BM325" i="1"/>
  <c r="BM323" i="1"/>
  <c r="BM316" i="1"/>
  <c r="BM310" i="1"/>
  <c r="BM308" i="1"/>
  <c r="BM301" i="1"/>
  <c r="BM283" i="1"/>
  <c r="BM281" i="1"/>
  <c r="BM275" i="1"/>
  <c r="BM268" i="1"/>
  <c r="BM266" i="1"/>
  <c r="BM259" i="1"/>
  <c r="BM30" i="1"/>
  <c r="BM28" i="1"/>
  <c r="BM238" i="1"/>
  <c r="BM236" i="1"/>
  <c r="BM290" i="1"/>
  <c r="BM288" i="1"/>
  <c r="BM37" i="1"/>
  <c r="BM36" i="1"/>
  <c r="BM249" i="1"/>
  <c r="BM242" i="1"/>
  <c r="BM240" i="1"/>
  <c r="BM229" i="1"/>
  <c r="BM222" i="1"/>
  <c r="BM220" i="1"/>
  <c r="BM214" i="1"/>
  <c r="BM206" i="1"/>
  <c r="BM200" i="1"/>
  <c r="BM196" i="1"/>
  <c r="BM189" i="1"/>
  <c r="BM187" i="1"/>
  <c r="BM179" i="1"/>
  <c r="BM177" i="1"/>
  <c r="BM175" i="1"/>
  <c r="BM168" i="1"/>
  <c r="BM166" i="1"/>
  <c r="BM159" i="1"/>
  <c r="BM150" i="1"/>
  <c r="BM142" i="1"/>
  <c r="BM140" i="1"/>
  <c r="BM135" i="1"/>
  <c r="BM128" i="1"/>
  <c r="BM126" i="1"/>
  <c r="BM119" i="1"/>
  <c r="BM113" i="1"/>
  <c r="BM112" i="1"/>
  <c r="BM105" i="1"/>
  <c r="BM101" i="1"/>
  <c r="BM94" i="1"/>
  <c r="BM92" i="1"/>
  <c r="BM87" i="1"/>
  <c r="BM85" i="1"/>
  <c r="BM76" i="1"/>
  <c r="BM74" i="1"/>
  <c r="BM67" i="1"/>
  <c r="BM59" i="1"/>
  <c r="BM55" i="1"/>
  <c r="BM49" i="1"/>
  <c r="BM47" i="1"/>
  <c r="BM13" i="1"/>
  <c r="AU21" i="1"/>
  <c r="CH207" i="1"/>
  <c r="AO207" i="1"/>
  <c r="CE190" i="1"/>
  <c r="AO51" i="1"/>
  <c r="AR166" i="1"/>
  <c r="CH54" i="1"/>
  <c r="CH53" i="1"/>
  <c r="CH51" i="1"/>
  <c r="AO61" i="1"/>
  <c r="CK72" i="1"/>
  <c r="AO73" i="1"/>
  <c r="CK85" i="1"/>
  <c r="CH62" i="1"/>
  <c r="CH64" i="1"/>
  <c r="CH66" i="1"/>
  <c r="CH68" i="1"/>
  <c r="CH70" i="1"/>
  <c r="CH72" i="1"/>
  <c r="CH74" i="1"/>
  <c r="CH76" i="1"/>
  <c r="CH78" i="1"/>
  <c r="AO68" i="1"/>
  <c r="CK69" i="1"/>
  <c r="AO70" i="1"/>
  <c r="AO78" i="1"/>
  <c r="CH63" i="1"/>
  <c r="CH79" i="1"/>
  <c r="CH92" i="1"/>
  <c r="CH95" i="1"/>
  <c r="CH97" i="1"/>
  <c r="CH99" i="1"/>
  <c r="CH101" i="1"/>
  <c r="CH106" i="1"/>
  <c r="CH108" i="1"/>
  <c r="AO99" i="1"/>
  <c r="CK100" i="1"/>
  <c r="AO101" i="1"/>
  <c r="AO108" i="1"/>
  <c r="CH102" i="1"/>
  <c r="CK95" i="1"/>
  <c r="AO96" i="1"/>
  <c r="CK101" i="1"/>
  <c r="CH112" i="1"/>
  <c r="AO116" i="1"/>
  <c r="AO124" i="1"/>
  <c r="CK125" i="1"/>
  <c r="AO126" i="1"/>
  <c r="CH138" i="1"/>
  <c r="CH127" i="1"/>
  <c r="AO111" i="1"/>
  <c r="CK113" i="1"/>
  <c r="AO114" i="1"/>
  <c r="AO132" i="1"/>
  <c r="AO139" i="1"/>
  <c r="CH147" i="1"/>
  <c r="CH148" i="1"/>
  <c r="CH149" i="1"/>
  <c r="AO147" i="1"/>
  <c r="CK153" i="1"/>
  <c r="AO154" i="1"/>
  <c r="CH155" i="1"/>
  <c r="AO177" i="1"/>
  <c r="CK170" i="1"/>
  <c r="AO179" i="1"/>
  <c r="CK180" i="1"/>
  <c r="AO181" i="1"/>
  <c r="CH184" i="1"/>
  <c r="AO180" i="1"/>
  <c r="CH187" i="1"/>
  <c r="CH189" i="1"/>
  <c r="CH191" i="1"/>
  <c r="CH193" i="1"/>
  <c r="CH195" i="1"/>
  <c r="CK190" i="1"/>
  <c r="AO191" i="1"/>
  <c r="CH192" i="1"/>
  <c r="CK195" i="1"/>
  <c r="CH206" i="1"/>
  <c r="CK197" i="1"/>
  <c r="AO198" i="1"/>
  <c r="CH197" i="1"/>
  <c r="CH200" i="1"/>
  <c r="CH202" i="1"/>
  <c r="CH203" i="1"/>
  <c r="CH205" i="1"/>
  <c r="AO197" i="1"/>
  <c r="AO202" i="1"/>
  <c r="CH57" i="1"/>
  <c r="CH241" i="1"/>
  <c r="CH242" i="1"/>
  <c r="AO242" i="1"/>
  <c r="CK242" i="1"/>
  <c r="AO243" i="1"/>
  <c r="CK243" i="1"/>
  <c r="CH244" i="1"/>
  <c r="AO244" i="1"/>
  <c r="CK244" i="1"/>
  <c r="CH249" i="1"/>
  <c r="CH34" i="1"/>
  <c r="AO34" i="1"/>
  <c r="CK34" i="1"/>
  <c r="CH285" i="1"/>
  <c r="CH286" i="1"/>
  <c r="AO286" i="1"/>
  <c r="CK286" i="1"/>
  <c r="CH252" i="1"/>
  <c r="CH253" i="1"/>
  <c r="AO253" i="1"/>
  <c r="AO235" i="1"/>
  <c r="CK235" i="1"/>
  <c r="CH236" i="1"/>
  <c r="AO236" i="1"/>
  <c r="CK236" i="1"/>
  <c r="CH15" i="1"/>
  <c r="AO15" i="1"/>
  <c r="CK15" i="1"/>
  <c r="AO16" i="1"/>
  <c r="CH18" i="1"/>
  <c r="CH22" i="1"/>
  <c r="CH23" i="1"/>
  <c r="AO23" i="1"/>
  <c r="CK23" i="1"/>
  <c r="AO24" i="1"/>
  <c r="CK24" i="1"/>
  <c r="CH254" i="1"/>
  <c r="AO254" i="1"/>
  <c r="CK254" i="1"/>
  <c r="CH256" i="1"/>
  <c r="AO256" i="1"/>
  <c r="CK256" i="1"/>
  <c r="CH258" i="1"/>
  <c r="AO258" i="1"/>
  <c r="CH260" i="1"/>
  <c r="AO260" i="1"/>
  <c r="CK260" i="1"/>
  <c r="CH262" i="1"/>
  <c r="AO262" i="1"/>
  <c r="CH275" i="1"/>
  <c r="CH276" i="1"/>
  <c r="AO276" i="1"/>
  <c r="CK276" i="1"/>
  <c r="AO284" i="1"/>
  <c r="CH300" i="1"/>
  <c r="AO300" i="1"/>
  <c r="CK300" i="1"/>
  <c r="AO311" i="1"/>
  <c r="CK311" i="1"/>
  <c r="CH312" i="1"/>
  <c r="AO312" i="1"/>
  <c r="CH314" i="1"/>
  <c r="AO314" i="1"/>
  <c r="CH315" i="1"/>
  <c r="CK315" i="1"/>
  <c r="CH324" i="1"/>
  <c r="CH328" i="1"/>
  <c r="CH329" i="1"/>
  <c r="AO329" i="1"/>
  <c r="CK329" i="1"/>
  <c r="AO330" i="1"/>
  <c r="CH332" i="1"/>
  <c r="CH333" i="1"/>
  <c r="AO333" i="1"/>
  <c r="CK333" i="1"/>
  <c r="CH336" i="1"/>
  <c r="CH337" i="1"/>
  <c r="AO337" i="1"/>
  <c r="CK337" i="1"/>
  <c r="CH344" i="1"/>
  <c r="CH347" i="1"/>
  <c r="AO347" i="1"/>
  <c r="CK347" i="1"/>
  <c r="CH352" i="1"/>
  <c r="AL352" i="1"/>
  <c r="T62" i="1"/>
  <c r="T225" i="1"/>
  <c r="T245" i="1"/>
  <c r="AC352" i="1"/>
  <c r="AC345" i="1"/>
  <c r="AC343" i="1"/>
  <c r="AC336" i="1"/>
  <c r="AC329" i="1"/>
  <c r="AC327" i="1"/>
  <c r="AC320" i="1"/>
  <c r="AC314" i="1"/>
  <c r="AC312" i="1"/>
  <c r="AC305" i="1"/>
  <c r="AC300" i="1"/>
  <c r="AC282" i="1"/>
  <c r="AC276" i="1"/>
  <c r="AC274" i="1"/>
  <c r="AC267" i="1"/>
  <c r="AC260" i="1"/>
  <c r="AC258" i="1"/>
  <c r="AC29" i="1"/>
  <c r="AC255" i="1"/>
  <c r="AC254" i="1"/>
  <c r="AC18" i="1"/>
  <c r="AC238" i="1"/>
  <c r="AC236" i="1"/>
  <c r="AC293" i="1"/>
  <c r="AC286" i="1"/>
  <c r="AC43" i="1"/>
  <c r="AC250" i="1"/>
  <c r="AC248" i="1"/>
  <c r="AC241" i="1"/>
  <c r="AC230" i="1"/>
  <c r="AC228" i="1"/>
  <c r="AC221" i="1"/>
  <c r="AC207" i="1"/>
  <c r="AC205" i="1"/>
  <c r="AC199" i="1"/>
  <c r="AC197" i="1"/>
  <c r="AC195" i="1"/>
  <c r="AC188" i="1"/>
  <c r="AC183" i="1"/>
  <c r="AC178" i="1"/>
  <c r="AC172" i="1"/>
  <c r="AC170" i="1"/>
  <c r="AC163" i="1"/>
  <c r="AC156" i="1"/>
  <c r="AC154" i="1"/>
  <c r="AC148" i="1"/>
  <c r="AC141" i="1"/>
  <c r="AC136" i="1"/>
  <c r="AC134" i="1"/>
  <c r="AC127" i="1"/>
  <c r="AC120" i="1"/>
  <c r="AC118" i="1"/>
  <c r="AC106" i="1"/>
  <c r="AC102" i="1"/>
  <c r="AC95" i="1"/>
  <c r="AC86" i="1"/>
  <c r="AC78" i="1"/>
  <c r="AC71" i="1"/>
  <c r="AC64" i="1"/>
  <c r="AC62" i="1"/>
  <c r="AC53" i="1"/>
  <c r="AC51" i="1"/>
  <c r="AC10" i="1"/>
  <c r="CE114" i="1"/>
  <c r="CE108" i="1"/>
  <c r="CE91" i="1"/>
  <c r="CE77" i="1"/>
  <c r="CE66" i="1"/>
  <c r="CE54" i="1"/>
  <c r="Q286" i="1"/>
  <c r="Q142" i="1"/>
  <c r="AU79" i="1"/>
  <c r="AU110" i="1"/>
  <c r="Q19" i="1"/>
  <c r="Q15" i="1"/>
  <c r="T28" i="1"/>
  <c r="T292" i="1"/>
  <c r="T288" i="1"/>
  <c r="T43" i="1"/>
  <c r="T39" i="1"/>
  <c r="T51" i="1"/>
  <c r="Q352" i="1"/>
  <c r="Q332" i="1"/>
  <c r="Q324" i="1"/>
  <c r="Q309" i="1"/>
  <c r="Q305" i="1"/>
  <c r="Q301" i="1"/>
  <c r="Q279" i="1"/>
  <c r="Q267" i="1"/>
  <c r="Q263" i="1"/>
  <c r="Q259" i="1"/>
  <c r="Q22" i="1"/>
  <c r="Q196" i="1"/>
  <c r="Q175" i="1"/>
  <c r="Q141" i="1"/>
  <c r="Q109" i="1"/>
  <c r="Q103" i="1"/>
  <c r="Q102" i="1"/>
  <c r="Q89" i="1"/>
  <c r="Q71" i="1"/>
  <c r="Q67" i="1"/>
  <c r="Q63" i="1"/>
  <c r="Q60" i="1"/>
  <c r="Q55" i="1"/>
  <c r="Q48" i="1"/>
  <c r="T346" i="1"/>
  <c r="T338" i="1"/>
  <c r="T330" i="1"/>
  <c r="T322" i="1"/>
  <c r="T311" i="1"/>
  <c r="T307" i="1"/>
  <c r="T303" i="1"/>
  <c r="T299" i="1"/>
  <c r="T277" i="1"/>
  <c r="T269" i="1"/>
  <c r="T265" i="1"/>
  <c r="T261" i="1"/>
  <c r="T257" i="1"/>
  <c r="T35" i="1"/>
  <c r="T194" i="1"/>
  <c r="T173" i="1"/>
  <c r="T133" i="1"/>
  <c r="T111" i="1"/>
  <c r="T91" i="1"/>
  <c r="T84" i="1"/>
  <c r="T65" i="1"/>
  <c r="T61" i="1"/>
  <c r="T50" i="1"/>
  <c r="AG296" i="1"/>
  <c r="AG281" i="1"/>
  <c r="Q278" i="1"/>
  <c r="AG274" i="1"/>
  <c r="Q270" i="1"/>
  <c r="Q262" i="1"/>
  <c r="Q258" i="1"/>
  <c r="Q31" i="1"/>
  <c r="AG28" i="1"/>
  <c r="Q152" i="1"/>
  <c r="Q254" i="1"/>
  <c r="AG21" i="1"/>
  <c r="AG17" i="1"/>
  <c r="AG236" i="1"/>
  <c r="AG251" i="1"/>
  <c r="AG292" i="1"/>
  <c r="AG288" i="1"/>
  <c r="AG43" i="1"/>
  <c r="AG39" i="1"/>
  <c r="AG36" i="1"/>
  <c r="AG33" i="1"/>
  <c r="AG248" i="1"/>
  <c r="AG244" i="1"/>
  <c r="AG240" i="1"/>
  <c r="AG228" i="1"/>
  <c r="AG224" i="1"/>
  <c r="Q220" i="1"/>
  <c r="AG216" i="1"/>
  <c r="AG209" i="1"/>
  <c r="Q205" i="1"/>
  <c r="AG202" i="1"/>
  <c r="AG195" i="1"/>
  <c r="AG191" i="1"/>
  <c r="AG187" i="1"/>
  <c r="AG183" i="1"/>
  <c r="AG177" i="1"/>
  <c r="Q174" i="1"/>
  <c r="AG170" i="1"/>
  <c r="Q166" i="1"/>
  <c r="AG162" i="1"/>
  <c r="AG154" i="1"/>
  <c r="AG150" i="1"/>
  <c r="AG14" i="1"/>
  <c r="Q140" i="1"/>
  <c r="AG138" i="1"/>
  <c r="AG134" i="1"/>
  <c r="AG130" i="1"/>
  <c r="Q126" i="1"/>
  <c r="AG122" i="1"/>
  <c r="Q118" i="1"/>
  <c r="AG112" i="1"/>
  <c r="AG108" i="1"/>
  <c r="AG101" i="1"/>
  <c r="Q97" i="1"/>
  <c r="Q88" i="1"/>
  <c r="AG85" i="1"/>
  <c r="Q81" i="1"/>
  <c r="Q78" i="1"/>
  <c r="AG74" i="1"/>
  <c r="AG70" i="1"/>
  <c r="AG66" i="1"/>
  <c r="AG62" i="1"/>
  <c r="AG57" i="1"/>
  <c r="AG54" i="1"/>
  <c r="AG51" i="1"/>
  <c r="AG47" i="1"/>
  <c r="AG12" i="1"/>
  <c r="T353" i="1"/>
  <c r="T349" i="1"/>
  <c r="T341" i="1"/>
  <c r="T333" i="1"/>
  <c r="T325" i="1"/>
  <c r="T317" i="1"/>
  <c r="T310" i="1"/>
  <c r="T306" i="1"/>
  <c r="T302" i="1"/>
  <c r="T298" i="1"/>
  <c r="T276" i="1"/>
  <c r="T268" i="1"/>
  <c r="T264" i="1"/>
  <c r="T260" i="1"/>
  <c r="T256" i="1"/>
  <c r="T26" i="1"/>
  <c r="T255" i="1"/>
  <c r="T23" i="1"/>
  <c r="T253" i="1"/>
  <c r="T294" i="1"/>
  <c r="T211" i="1"/>
  <c r="T207" i="1"/>
  <c r="T200" i="1"/>
  <c r="T197" i="1"/>
  <c r="T189" i="1"/>
  <c r="T168" i="1"/>
  <c r="T164" i="1"/>
  <c r="T156" i="1"/>
  <c r="T128" i="1"/>
  <c r="T124" i="1"/>
  <c r="T116" i="1"/>
  <c r="T95" i="1"/>
  <c r="T87" i="1"/>
  <c r="T76" i="1"/>
  <c r="T72" i="1"/>
  <c r="T64" i="1"/>
  <c r="T53" i="1"/>
  <c r="T10" i="1"/>
  <c r="AG352" i="1"/>
  <c r="AG348" i="1"/>
  <c r="AG344" i="1"/>
  <c r="AG340" i="1"/>
  <c r="AG336" i="1"/>
  <c r="AG332" i="1"/>
  <c r="AG328" i="1"/>
  <c r="AG324" i="1"/>
  <c r="AG320" i="1"/>
  <c r="AG316" i="1"/>
  <c r="AG313" i="1"/>
  <c r="AG309" i="1"/>
  <c r="AG305" i="1"/>
  <c r="AG301" i="1"/>
  <c r="AG297" i="1"/>
  <c r="AG282" i="1"/>
  <c r="AG279" i="1"/>
  <c r="AG275" i="1"/>
  <c r="AG271" i="1"/>
  <c r="AG267" i="1"/>
  <c r="AG263" i="1"/>
  <c r="AG259" i="1"/>
  <c r="AG29" i="1"/>
  <c r="AG25" i="1"/>
  <c r="AG22" i="1"/>
  <c r="AG18" i="1"/>
  <c r="AG237" i="1"/>
  <c r="AG252" i="1"/>
  <c r="AG293" i="1"/>
  <c r="AG289" i="1"/>
  <c r="AG285" i="1"/>
  <c r="AG40" i="1"/>
  <c r="AG249" i="1"/>
  <c r="AG245" i="1"/>
  <c r="AG241" i="1"/>
  <c r="AG232" i="1"/>
  <c r="AG229" i="1"/>
  <c r="AG225" i="1"/>
  <c r="AG221" i="1"/>
  <c r="AG217" i="1"/>
  <c r="AG214" i="1"/>
  <c r="AG210" i="1"/>
  <c r="AG206" i="1"/>
  <c r="AG199" i="1"/>
  <c r="AG196" i="1"/>
  <c r="AG192" i="1"/>
  <c r="AG188" i="1"/>
  <c r="AG184" i="1"/>
  <c r="AG178" i="1"/>
  <c r="AG175" i="1"/>
  <c r="AG171" i="1"/>
  <c r="AG167" i="1"/>
  <c r="AG163" i="1"/>
  <c r="AG159" i="1"/>
  <c r="AG155" i="1"/>
  <c r="AG44" i="1"/>
  <c r="AG148" i="1"/>
  <c r="AG141" i="1"/>
  <c r="AG135" i="1"/>
  <c r="AG131" i="1"/>
  <c r="AG127" i="1"/>
  <c r="AG123" i="1"/>
  <c r="AG119" i="1"/>
  <c r="AG115" i="1"/>
  <c r="AG109" i="1"/>
  <c r="AG105" i="1"/>
  <c r="AG103" i="1"/>
  <c r="AG102" i="1"/>
  <c r="AG98" i="1"/>
  <c r="AG94" i="1"/>
  <c r="AG93" i="1"/>
  <c r="AG92" i="1"/>
  <c r="AG89" i="1"/>
  <c r="AG86" i="1"/>
  <c r="AG82" i="1"/>
  <c r="AG79" i="1"/>
  <c r="AG71" i="1"/>
  <c r="AG67" i="1"/>
  <c r="AG63" i="1"/>
  <c r="AG60" i="1"/>
  <c r="AG55" i="1"/>
  <c r="AG52" i="1"/>
  <c r="AG48" i="1"/>
  <c r="AG13" i="1"/>
  <c r="AL350" i="1"/>
  <c r="AL346" i="1"/>
  <c r="AL342" i="1"/>
  <c r="AL338" i="1"/>
  <c r="AL318" i="1"/>
  <c r="AL307" i="1"/>
  <c r="AL303" i="1"/>
  <c r="AL280" i="1"/>
  <c r="AL277" i="1"/>
  <c r="AL261" i="1"/>
  <c r="AL24" i="1"/>
  <c r="AL20" i="1"/>
  <c r="AL16" i="1"/>
  <c r="AL287" i="1"/>
  <c r="AL42" i="1"/>
  <c r="AL38" i="1"/>
  <c r="AL35" i="1"/>
  <c r="AL32" i="1"/>
  <c r="AL247" i="1"/>
  <c r="AL243" i="1"/>
  <c r="AL212" i="1"/>
  <c r="AL208" i="1"/>
  <c r="AL204" i="1"/>
  <c r="AL198" i="1"/>
  <c r="AL194" i="1"/>
  <c r="AL190" i="1"/>
  <c r="AL186" i="1"/>
  <c r="AL180" i="1"/>
  <c r="AL176" i="1"/>
  <c r="AL169" i="1"/>
  <c r="AL165" i="1"/>
  <c r="AL161" i="1"/>
  <c r="AL157" i="1"/>
  <c r="AL153" i="1"/>
  <c r="AL143" i="1"/>
  <c r="AL139" i="1"/>
  <c r="AL133" i="1"/>
  <c r="AL129" i="1"/>
  <c r="AL125" i="1"/>
  <c r="AL121" i="1"/>
  <c r="AL104" i="1"/>
  <c r="AL100" i="1"/>
  <c r="AL91" i="1"/>
  <c r="AL84" i="1"/>
  <c r="AL80" i="1"/>
  <c r="AL77" i="1"/>
  <c r="AL65" i="1"/>
  <c r="AL61" i="1"/>
  <c r="AL58" i="1"/>
  <c r="AL56" i="1"/>
  <c r="AL50" i="1"/>
  <c r="AL46" i="1"/>
  <c r="AL11" i="1"/>
  <c r="AO352" i="1"/>
  <c r="AO348" i="1"/>
  <c r="AO344" i="1"/>
  <c r="AO340" i="1"/>
  <c r="AO336" i="1"/>
  <c r="AO332" i="1"/>
  <c r="AO328" i="1"/>
  <c r="AO324" i="1"/>
  <c r="AO320" i="1"/>
  <c r="AO316" i="1"/>
  <c r="AO313" i="1"/>
  <c r="AO309" i="1"/>
  <c r="AO305" i="1"/>
  <c r="AO301" i="1"/>
  <c r="AO297" i="1"/>
  <c r="AO282" i="1"/>
  <c r="AO279" i="1"/>
  <c r="AO275" i="1"/>
  <c r="AO271" i="1"/>
  <c r="AO267" i="1"/>
  <c r="AO263" i="1"/>
  <c r="AO259" i="1"/>
  <c r="AO29" i="1"/>
  <c r="AO25" i="1"/>
  <c r="AO22" i="1"/>
  <c r="AO18" i="1"/>
  <c r="AO237" i="1"/>
  <c r="AO252" i="1"/>
  <c r="AO293" i="1"/>
  <c r="AO289" i="1"/>
  <c r="AO285" i="1"/>
  <c r="AO40" i="1"/>
  <c r="AO249" i="1"/>
  <c r="AO245" i="1"/>
  <c r="AO241" i="1"/>
  <c r="AO232" i="1"/>
  <c r="AO229" i="1"/>
  <c r="AO225" i="1"/>
  <c r="AO221" i="1"/>
  <c r="AO217" i="1"/>
  <c r="AO214" i="1"/>
  <c r="AO210" i="1"/>
  <c r="AO206" i="1"/>
  <c r="AO199" i="1"/>
  <c r="AO196" i="1"/>
  <c r="AO192" i="1"/>
  <c r="AO188" i="1"/>
  <c r="AO184" i="1"/>
  <c r="AO182" i="1"/>
  <c r="AO178" i="1"/>
  <c r="AO175" i="1"/>
  <c r="AO171" i="1"/>
  <c r="AO167" i="1"/>
  <c r="AO163" i="1"/>
  <c r="AO159" i="1"/>
  <c r="AO155" i="1"/>
  <c r="AO44" i="1"/>
  <c r="AO148" i="1"/>
  <c r="AO141" i="1"/>
  <c r="AO135" i="1"/>
  <c r="AO131" i="1"/>
  <c r="AO127" i="1"/>
  <c r="AO123" i="1"/>
  <c r="AO119" i="1"/>
  <c r="AO115" i="1"/>
  <c r="AO109" i="1"/>
  <c r="AO105" i="1"/>
  <c r="AO103" i="1"/>
  <c r="AO102" i="1"/>
  <c r="AO98" i="1"/>
  <c r="AO94" i="1"/>
  <c r="AO93" i="1"/>
  <c r="AO92" i="1"/>
  <c r="AO89" i="1"/>
  <c r="AO86" i="1"/>
  <c r="AO82" i="1"/>
  <c r="AO79" i="1"/>
  <c r="AO75" i="1"/>
  <c r="AO71" i="1"/>
  <c r="AO67" i="1"/>
  <c r="AO63" i="1"/>
  <c r="AO60" i="1"/>
  <c r="AO55" i="1"/>
  <c r="AO52" i="1"/>
  <c r="AO48" i="1"/>
  <c r="AR350" i="1"/>
  <c r="AR299" i="1"/>
  <c r="AR151" i="1"/>
  <c r="AR42" i="1"/>
  <c r="AU84" i="1"/>
  <c r="AU73" i="1"/>
  <c r="AU65" i="1"/>
  <c r="AU61" i="1"/>
  <c r="AU56" i="1"/>
  <c r="AU50" i="1"/>
  <c r="AU46" i="1"/>
  <c r="BQ348" i="1"/>
  <c r="AX344" i="1"/>
  <c r="AX340" i="1"/>
  <c r="BQ332" i="1"/>
  <c r="BQ324" i="1"/>
  <c r="H345" i="24" s="1"/>
  <c r="BQ301" i="1"/>
  <c r="AX297" i="1"/>
  <c r="AX282" i="1"/>
  <c r="AX275" i="1"/>
  <c r="AX263" i="1"/>
  <c r="AX18" i="1"/>
  <c r="BQ237" i="1"/>
  <c r="DY237" i="1" s="1"/>
  <c r="BQ252" i="1"/>
  <c r="AX293" i="1"/>
  <c r="AX285" i="1"/>
  <c r="BQ40" i="1"/>
  <c r="DY40" i="1" s="1"/>
  <c r="AX245" i="1"/>
  <c r="AX241" i="1"/>
  <c r="BQ229" i="1"/>
  <c r="BQ225" i="1"/>
  <c r="BQ221" i="1"/>
  <c r="DY221" i="1" s="1"/>
  <c r="AX217" i="1"/>
  <c r="AX210" i="1"/>
  <c r="AX196" i="1"/>
  <c r="AX188" i="1"/>
  <c r="AX175" i="1"/>
  <c r="BQ171" i="1"/>
  <c r="AX167" i="1"/>
  <c r="AX163" i="1"/>
  <c r="AX159" i="1"/>
  <c r="BQ44" i="1"/>
  <c r="DY44" i="1" s="1"/>
  <c r="AX148" i="1"/>
  <c r="AX141" i="1"/>
  <c r="AX123" i="1"/>
  <c r="BQ109" i="1"/>
  <c r="DY109" i="1" s="1"/>
  <c r="AX105" i="1"/>
  <c r="AX103" i="1"/>
  <c r="BQ94" i="1"/>
  <c r="AX93" i="1"/>
  <c r="AX55" i="1"/>
  <c r="AX13" i="1"/>
  <c r="BQ350" i="1"/>
  <c r="H371" i="24" s="1"/>
  <c r="BQ342" i="1"/>
  <c r="DY342" i="1" s="1"/>
  <c r="BQ338" i="1"/>
  <c r="DY338" i="1" s="1"/>
  <c r="BQ330" i="1"/>
  <c r="H351" i="24" s="1"/>
  <c r="BA326" i="1"/>
  <c r="BQ322" i="1"/>
  <c r="H343" i="24" s="1"/>
  <c r="BQ311" i="1"/>
  <c r="H331" i="24" s="1"/>
  <c r="BA284" i="1"/>
  <c r="BQ280" i="1"/>
  <c r="BA277" i="1"/>
  <c r="BQ261" i="1"/>
  <c r="BA27" i="1"/>
  <c r="BQ24" i="1"/>
  <c r="DY24" i="1" s="1"/>
  <c r="BQ20" i="1"/>
  <c r="DY20" i="1" s="1"/>
  <c r="BA235" i="1"/>
  <c r="BA38" i="1"/>
  <c r="BA35" i="1"/>
  <c r="BQ32" i="1"/>
  <c r="DY32" i="1" s="1"/>
  <c r="BA243" i="1"/>
  <c r="BA234" i="1"/>
  <c r="BA231" i="1"/>
  <c r="BQ227" i="1"/>
  <c r="BQ223" i="1"/>
  <c r="BQ219" i="1"/>
  <c r="BQ215" i="1"/>
  <c r="BA212" i="1"/>
  <c r="BA208" i="1"/>
  <c r="BQ204" i="1"/>
  <c r="BA198" i="1"/>
  <c r="BA194" i="1"/>
  <c r="BA190" i="1"/>
  <c r="BA186" i="1"/>
  <c r="BQ176" i="1"/>
  <c r="H159" i="24" s="1"/>
  <c r="BA157" i="1"/>
  <c r="BQ146" i="1"/>
  <c r="BQ143" i="1"/>
  <c r="H121" i="24"/>
  <c r="BQ133" i="1"/>
  <c r="BA121" i="1"/>
  <c r="BQ111" i="1"/>
  <c r="BQ107" i="1"/>
  <c r="BQ104" i="1"/>
  <c r="BA100" i="1"/>
  <c r="BQ96" i="1"/>
  <c r="BA80" i="1"/>
  <c r="BQ77" i="1"/>
  <c r="DY77" i="1" s="1"/>
  <c r="BA73" i="1"/>
  <c r="BA65" i="1"/>
  <c r="BA61" i="1"/>
  <c r="BQ46" i="1"/>
  <c r="DY46" i="1" s="1"/>
  <c r="BD352" i="1"/>
  <c r="BD348" i="1"/>
  <c r="BD344" i="1"/>
  <c r="BD340" i="1"/>
  <c r="BD336" i="1"/>
  <c r="BD332" i="1"/>
  <c r="BD328" i="1"/>
  <c r="BD324" i="1"/>
  <c r="BD320" i="1"/>
  <c r="BD316" i="1"/>
  <c r="BD313" i="1"/>
  <c r="BD309" i="1"/>
  <c r="BD305" i="1"/>
  <c r="BD301" i="1"/>
  <c r="BD297" i="1"/>
  <c r="BD282" i="1"/>
  <c r="BD279" i="1"/>
  <c r="BD13" i="1"/>
  <c r="BG9" i="1"/>
  <c r="BJ93" i="1"/>
  <c r="BJ48" i="1"/>
  <c r="BM46" i="1"/>
  <c r="CE340" i="1"/>
  <c r="CE301" i="1"/>
  <c r="CE259" i="1"/>
  <c r="CE25" i="1"/>
  <c r="CE293" i="1"/>
  <c r="CE289" i="1"/>
  <c r="CE249" i="1"/>
  <c r="CE232" i="1"/>
  <c r="CE206" i="1"/>
  <c r="CE188" i="1"/>
  <c r="CE182" i="1"/>
  <c r="CE167" i="1"/>
  <c r="CE159" i="1"/>
  <c r="CE44" i="1"/>
  <c r="CE141" i="1"/>
  <c r="CE135" i="1"/>
  <c r="CE131" i="1"/>
  <c r="CE127" i="1"/>
  <c r="CE123" i="1"/>
  <c r="CE119" i="1"/>
  <c r="CE115" i="1"/>
  <c r="CE109" i="1"/>
  <c r="CE105" i="1"/>
  <c r="CE103" i="1"/>
  <c r="CE102" i="1"/>
  <c r="CE98" i="1"/>
  <c r="CE94" i="1"/>
  <c r="CE93" i="1"/>
  <c r="CE92" i="1"/>
  <c r="CE86" i="1"/>
  <c r="CE79" i="1"/>
  <c r="CE67" i="1"/>
  <c r="CE60" i="1"/>
  <c r="CE55" i="1"/>
  <c r="CH350" i="1"/>
  <c r="CH346" i="1"/>
  <c r="CH342" i="1"/>
  <c r="CH338" i="1"/>
  <c r="CH334" i="1"/>
  <c r="CH330" i="1"/>
  <c r="CH326" i="1"/>
  <c r="CH322" i="1"/>
  <c r="CH318" i="1"/>
  <c r="CH311" i="1"/>
  <c r="CH307" i="1"/>
  <c r="CH303" i="1"/>
  <c r="CH299" i="1"/>
  <c r="CH284" i="1"/>
  <c r="CH280" i="1"/>
  <c r="CH277" i="1"/>
  <c r="CH273" i="1"/>
  <c r="CH269" i="1"/>
  <c r="CH265" i="1"/>
  <c r="CH261" i="1"/>
  <c r="CH257" i="1"/>
  <c r="CH27" i="1"/>
  <c r="CH151" i="1"/>
  <c r="CH24" i="1"/>
  <c r="CH20" i="1"/>
  <c r="CH16" i="1"/>
  <c r="CH239" i="1"/>
  <c r="CH235" i="1"/>
  <c r="CH295" i="1"/>
  <c r="CH291" i="1"/>
  <c r="CH287" i="1"/>
  <c r="CH42" i="1"/>
  <c r="CH38" i="1"/>
  <c r="CH35" i="1"/>
  <c r="CH32" i="1"/>
  <c r="CH247" i="1"/>
  <c r="CH243" i="1"/>
  <c r="CH234" i="1"/>
  <c r="CH231" i="1"/>
  <c r="CH227" i="1"/>
  <c r="CH223" i="1"/>
  <c r="CH219" i="1"/>
  <c r="CH215" i="1"/>
  <c r="CH212" i="1"/>
  <c r="CH208" i="1"/>
  <c r="CH204" i="1"/>
  <c r="CH201" i="1"/>
  <c r="CH198" i="1"/>
  <c r="CH194" i="1"/>
  <c r="CH190" i="1"/>
  <c r="CH186" i="1"/>
  <c r="CH180" i="1"/>
  <c r="CH176" i="1"/>
  <c r="CH173" i="1"/>
  <c r="CH169" i="1"/>
  <c r="CH165" i="1"/>
  <c r="CH161" i="1"/>
  <c r="CH157" i="1"/>
  <c r="CH153" i="1"/>
  <c r="CH146" i="1"/>
  <c r="CH143" i="1"/>
  <c r="CH139" i="1"/>
  <c r="CH137" i="1"/>
  <c r="CH133" i="1"/>
  <c r="CH129" i="1"/>
  <c r="CH125" i="1"/>
  <c r="CH121" i="1"/>
  <c r="CH117" i="1"/>
  <c r="CH114" i="1"/>
  <c r="CH111" i="1"/>
  <c r="CH107" i="1"/>
  <c r="CH104" i="1"/>
  <c r="CH100" i="1"/>
  <c r="CH96" i="1"/>
  <c r="CH91" i="1"/>
  <c r="CH84" i="1"/>
  <c r="CH80" i="1"/>
  <c r="CH77" i="1"/>
  <c r="CH73" i="1"/>
  <c r="CH69" i="1"/>
  <c r="CH65" i="1"/>
  <c r="CH61" i="1"/>
  <c r="CH58" i="1"/>
  <c r="CH56" i="1"/>
  <c r="CH50" i="1"/>
  <c r="CH46" i="1"/>
  <c r="CH11" i="1"/>
  <c r="CO352" i="1"/>
  <c r="CO275" i="1"/>
  <c r="CO267" i="1"/>
  <c r="CO245" i="1"/>
  <c r="CO232" i="1"/>
  <c r="CO225" i="1"/>
  <c r="CO214" i="1"/>
  <c r="CO210" i="1"/>
  <c r="CO199" i="1"/>
  <c r="CO192" i="1"/>
  <c r="CO184" i="1"/>
  <c r="CO171" i="1"/>
  <c r="CO155" i="1"/>
  <c r="CO44" i="1"/>
  <c r="CO131" i="1"/>
  <c r="CO123" i="1"/>
  <c r="CO98" i="1"/>
  <c r="CO48" i="1"/>
  <c r="CO342" i="1"/>
  <c r="CO334" i="1"/>
  <c r="CO318" i="1"/>
  <c r="CO311" i="1"/>
  <c r="CO277" i="1"/>
  <c r="CO269" i="1"/>
  <c r="CO20" i="1"/>
  <c r="CO235" i="1"/>
  <c r="CO295" i="1"/>
  <c r="CO291" i="1"/>
  <c r="CO215" i="1"/>
  <c r="CO212" i="1"/>
  <c r="CO208" i="1"/>
  <c r="CO190" i="1"/>
  <c r="CO56" i="1"/>
  <c r="CO46" i="1"/>
  <c r="AC350" i="1"/>
  <c r="AC346" i="1"/>
  <c r="AC342" i="1"/>
  <c r="AC338" i="1"/>
  <c r="AC334" i="1"/>
  <c r="AC330" i="1"/>
  <c r="AC326" i="1"/>
  <c r="AC322" i="1"/>
  <c r="AC318" i="1"/>
  <c r="AC311" i="1"/>
  <c r="AC307" i="1"/>
  <c r="AC303" i="1"/>
  <c r="AC299" i="1"/>
  <c r="AC284" i="1"/>
  <c r="AC280" i="1"/>
  <c r="AC277" i="1"/>
  <c r="AC273" i="1"/>
  <c r="AC269" i="1"/>
  <c r="AC265" i="1"/>
  <c r="AC261" i="1"/>
  <c r="AC257" i="1"/>
  <c r="AC27" i="1"/>
  <c r="AC151" i="1"/>
  <c r="AC24" i="1"/>
  <c r="AC20" i="1"/>
  <c r="AC16" i="1"/>
  <c r="AC239" i="1"/>
  <c r="AC235" i="1"/>
  <c r="AC295" i="1"/>
  <c r="AC291" i="1"/>
  <c r="AC287" i="1"/>
  <c r="AC42" i="1"/>
  <c r="AC38" i="1"/>
  <c r="AC35" i="1"/>
  <c r="AC32" i="1"/>
  <c r="AC247" i="1"/>
  <c r="AC243" i="1"/>
  <c r="AC234" i="1"/>
  <c r="AC231" i="1"/>
  <c r="AC227" i="1"/>
  <c r="AC223" i="1"/>
  <c r="AC219" i="1"/>
  <c r="AC215" i="1"/>
  <c r="AC212" i="1"/>
  <c r="AC208" i="1"/>
  <c r="AC204" i="1"/>
  <c r="AC201" i="1"/>
  <c r="AC198" i="1"/>
  <c r="AC194" i="1"/>
  <c r="AC190" i="1"/>
  <c r="AC186" i="1"/>
  <c r="AC180" i="1"/>
  <c r="AC176" i="1"/>
  <c r="AC173" i="1"/>
  <c r="AC169" i="1"/>
  <c r="AC165" i="1"/>
  <c r="AC161" i="1"/>
  <c r="AC157" i="1"/>
  <c r="AC153" i="1"/>
  <c r="AC146" i="1"/>
  <c r="AC143" i="1"/>
  <c r="AC139" i="1"/>
  <c r="AC137" i="1"/>
  <c r="AC133" i="1"/>
  <c r="AC129" i="1"/>
  <c r="AC125" i="1"/>
  <c r="AC121" i="1"/>
  <c r="AC117" i="1"/>
  <c r="AC114" i="1"/>
  <c r="AC111" i="1"/>
  <c r="AC107" i="1"/>
  <c r="AC104" i="1"/>
  <c r="AC100" i="1"/>
  <c r="AC96" i="1"/>
  <c r="AC91" i="1"/>
  <c r="AC84" i="1"/>
  <c r="AC80" i="1"/>
  <c r="AC77" i="1"/>
  <c r="AC73" i="1"/>
  <c r="AC69" i="1"/>
  <c r="AC65" i="1"/>
  <c r="AC61" i="1"/>
  <c r="AC58" i="1"/>
  <c r="AC56" i="1"/>
  <c r="AC50" i="1"/>
  <c r="E316" i="4"/>
  <c r="E278" i="4"/>
  <c r="E270" i="4"/>
  <c r="E266" i="4"/>
  <c r="E262" i="4"/>
  <c r="E258" i="4"/>
  <c r="E39" i="4"/>
  <c r="E344" i="4"/>
  <c r="E336" i="4"/>
  <c r="E320" i="4"/>
  <c r="E305" i="4"/>
  <c r="E279" i="4"/>
  <c r="E263" i="4"/>
  <c r="E259" i="4"/>
  <c r="E29" i="4"/>
  <c r="E37" i="4"/>
  <c r="E233" i="4"/>
  <c r="E229" i="4"/>
  <c r="E192" i="4"/>
  <c r="E155" i="4"/>
  <c r="E148" i="4"/>
  <c r="E141" i="4"/>
  <c r="E127" i="4"/>
  <c r="E116" i="4"/>
  <c r="E102" i="4"/>
  <c r="E83" i="4"/>
  <c r="E14" i="4"/>
  <c r="AU64" i="1"/>
  <c r="CE130" i="1"/>
  <c r="E354" i="4"/>
  <c r="E342" i="4"/>
  <c r="E338" i="4"/>
  <c r="E24" i="4"/>
  <c r="E20" i="4"/>
  <c r="E243" i="4"/>
  <c r="E216" i="4"/>
  <c r="E186" i="4"/>
  <c r="E177" i="4"/>
  <c r="E161" i="4"/>
  <c r="E46" i="4"/>
  <c r="E137" i="4"/>
  <c r="E129" i="4"/>
  <c r="E107" i="4"/>
  <c r="E104" i="4"/>
  <c r="E74" i="4"/>
  <c r="AU102" i="1"/>
  <c r="AO338" i="1"/>
  <c r="AO334" i="1"/>
  <c r="AU92" i="1"/>
  <c r="AU13" i="1"/>
  <c r="AU337" i="1"/>
  <c r="AU203" i="1"/>
  <c r="AU197" i="1"/>
  <c r="AU189" i="1"/>
  <c r="AU160" i="1"/>
  <c r="AU145" i="1"/>
  <c r="AU120" i="1"/>
  <c r="AG200" i="1"/>
  <c r="AG172" i="1"/>
  <c r="AG132" i="1"/>
  <c r="AU352" i="1"/>
  <c r="AU348" i="1"/>
  <c r="AU301" i="1"/>
  <c r="AU282" i="1"/>
  <c r="AU25" i="1"/>
  <c r="AU237" i="1"/>
  <c r="AU232" i="1"/>
  <c r="AU221" i="1"/>
  <c r="AU44" i="1"/>
  <c r="AU97" i="1"/>
  <c r="BQ320" i="1"/>
  <c r="AX320" i="1"/>
  <c r="AX289" i="1"/>
  <c r="BQ249" i="1"/>
  <c r="H230" i="24" s="1"/>
  <c r="AX199" i="1"/>
  <c r="AX182" i="1"/>
  <c r="BQ92" i="1"/>
  <c r="DY92" i="1" s="1"/>
  <c r="AX92" i="1"/>
  <c r="BQ86" i="1"/>
  <c r="AX86" i="1"/>
  <c r="BQ79" i="1"/>
  <c r="AX79" i="1"/>
  <c r="BD192" i="1"/>
  <c r="BD171" i="1"/>
  <c r="BD119" i="1"/>
  <c r="BD94" i="1"/>
  <c r="BD60" i="1"/>
  <c r="BD52" i="1"/>
  <c r="BG153" i="1"/>
  <c r="BG129" i="1"/>
  <c r="BG91" i="1"/>
  <c r="BG61" i="1"/>
  <c r="BG50" i="1"/>
  <c r="BJ98" i="1"/>
  <c r="BK354" i="1"/>
  <c r="BM9" i="1"/>
  <c r="BM239" i="1"/>
  <c r="BM291" i="1"/>
  <c r="BM234" i="1"/>
  <c r="BM139" i="1"/>
  <c r="BM77" i="1"/>
  <c r="BP293" i="1"/>
  <c r="BP285" i="1"/>
  <c r="BP40" i="1"/>
  <c r="BP249" i="1"/>
  <c r="BP245" i="1"/>
  <c r="BP206" i="1"/>
  <c r="BZ354" i="1"/>
  <c r="C34" i="3" s="1"/>
  <c r="CO336" i="1"/>
  <c r="CK336" i="1"/>
  <c r="CO332" i="1"/>
  <c r="CK332" i="1"/>
  <c r="CO282" i="1"/>
  <c r="CK282" i="1"/>
  <c r="CO271" i="1"/>
  <c r="CK271" i="1"/>
  <c r="CO263" i="1"/>
  <c r="CK263" i="1"/>
  <c r="CO22" i="1"/>
  <c r="CK22" i="1"/>
  <c r="CK237" i="1"/>
  <c r="CO237" i="1"/>
  <c r="CO289" i="1"/>
  <c r="CK289" i="1"/>
  <c r="CO241" i="1"/>
  <c r="CK241" i="1"/>
  <c r="CO206" i="1"/>
  <c r="CK206" i="1"/>
  <c r="CO196" i="1"/>
  <c r="CK196" i="1"/>
  <c r="CO163" i="1"/>
  <c r="CK163" i="1"/>
  <c r="CO159" i="1"/>
  <c r="CK159" i="1"/>
  <c r="CO135" i="1"/>
  <c r="CK135" i="1"/>
  <c r="CO105" i="1"/>
  <c r="CK105" i="1"/>
  <c r="CO71" i="1"/>
  <c r="CK71" i="1"/>
  <c r="CN265" i="1"/>
  <c r="CO265" i="1"/>
  <c r="CO27" i="1"/>
  <c r="CN27" i="1"/>
  <c r="CO24" i="1"/>
  <c r="CN24" i="1"/>
  <c r="CO239" i="1"/>
  <c r="CN239" i="1"/>
  <c r="CO287" i="1"/>
  <c r="CN287" i="1"/>
  <c r="CO42" i="1"/>
  <c r="CN42" i="1"/>
  <c r="CO35" i="1"/>
  <c r="CN35" i="1"/>
  <c r="CO243" i="1"/>
  <c r="CN243" i="1"/>
  <c r="CN223" i="1"/>
  <c r="CO223" i="1"/>
  <c r="CO165" i="1"/>
  <c r="CN165" i="1"/>
  <c r="CN139" i="1"/>
  <c r="CO139" i="1"/>
  <c r="CO125" i="1"/>
  <c r="CN125" i="1"/>
  <c r="CO100" i="1"/>
  <c r="CN100" i="1"/>
  <c r="CO11" i="1"/>
  <c r="CN11" i="1"/>
  <c r="AU40" i="1"/>
  <c r="AU101" i="1"/>
  <c r="BD22" i="1"/>
  <c r="BD155" i="1"/>
  <c r="BD252" i="1"/>
  <c r="AX328" i="1"/>
  <c r="BD206" i="1"/>
  <c r="AX249" i="1"/>
  <c r="AG272" i="1"/>
  <c r="AG268" i="1"/>
  <c r="AG260" i="1"/>
  <c r="AG250" i="1"/>
  <c r="AG233" i="1"/>
  <c r="AG149" i="1"/>
  <c r="AG136" i="1"/>
  <c r="AG124" i="1"/>
  <c r="AG99" i="1"/>
  <c r="AG87" i="1"/>
  <c r="AG72" i="1"/>
  <c r="AG75" i="1"/>
  <c r="AP354" i="1"/>
  <c r="AU328" i="1"/>
  <c r="BQ297" i="1"/>
  <c r="DY297" i="1" s="1"/>
  <c r="BQ25" i="1"/>
  <c r="DY25" i="1" s="1"/>
  <c r="BQ18" i="1"/>
  <c r="BQ293" i="1"/>
  <c r="BQ285" i="1"/>
  <c r="DY285" i="1" s="1"/>
  <c r="BQ241" i="1"/>
  <c r="BQ210" i="1"/>
  <c r="BQ188" i="1"/>
  <c r="AX184" i="1"/>
  <c r="BQ184" i="1"/>
  <c r="BQ163" i="1"/>
  <c r="BQ159" i="1"/>
  <c r="DY159" i="1" s="1"/>
  <c r="BQ135" i="1"/>
  <c r="DY135" i="1" s="1"/>
  <c r="AX135" i="1"/>
  <c r="AX89" i="1"/>
  <c r="BQ89" i="1"/>
  <c r="DY89" i="1" s="1"/>
  <c r="AX82" i="1"/>
  <c r="BQ82" i="1"/>
  <c r="AX71" i="1"/>
  <c r="BQ71" i="1"/>
  <c r="AX67" i="1"/>
  <c r="BQ67" i="1"/>
  <c r="AX63" i="1"/>
  <c r="BQ63" i="1"/>
  <c r="AX60" i="1"/>
  <c r="BQ60" i="1"/>
  <c r="AX52" i="1"/>
  <c r="BQ52" i="1"/>
  <c r="AX48" i="1"/>
  <c r="BQ48" i="1"/>
  <c r="AY354" i="1"/>
  <c r="C25" i="12" s="1"/>
  <c r="BQ9" i="1"/>
  <c r="BQ277" i="1"/>
  <c r="BA273" i="1"/>
  <c r="BQ273" i="1"/>
  <c r="BQ269" i="1"/>
  <c r="BQ38" i="1"/>
  <c r="BQ231" i="1"/>
  <c r="BQ194" i="1"/>
  <c r="BQ173" i="1"/>
  <c r="BA173" i="1"/>
  <c r="BA169" i="1"/>
  <c r="BQ169" i="1"/>
  <c r="DY169" i="1" s="1"/>
  <c r="BQ165" i="1"/>
  <c r="BA165" i="1"/>
  <c r="BA161" i="1"/>
  <c r="BQ161" i="1"/>
  <c r="BQ153" i="1"/>
  <c r="BA153" i="1"/>
  <c r="BQ125" i="1"/>
  <c r="BQ100" i="1"/>
  <c r="BQ61" i="1"/>
  <c r="BD289" i="1"/>
  <c r="BD285" i="1"/>
  <c r="BD40" i="1"/>
  <c r="BD93" i="1"/>
  <c r="BJ92" i="1"/>
  <c r="BJ89" i="1"/>
  <c r="BJ86" i="1"/>
  <c r="BJ82" i="1"/>
  <c r="BJ79" i="1"/>
  <c r="BJ75" i="1"/>
  <c r="BJ71" i="1"/>
  <c r="BJ67" i="1"/>
  <c r="BJ63" i="1"/>
  <c r="BJ60" i="1"/>
  <c r="BJ55" i="1"/>
  <c r="BJ52" i="1"/>
  <c r="BM287" i="1"/>
  <c r="BM42" i="1"/>
  <c r="BM194" i="1"/>
  <c r="BM190" i="1"/>
  <c r="BM186" i="1"/>
  <c r="BM137" i="1"/>
  <c r="BM133" i="1"/>
  <c r="BM129" i="1"/>
  <c r="BM125" i="1"/>
  <c r="BM121" i="1"/>
  <c r="BM117" i="1"/>
  <c r="BM114" i="1"/>
  <c r="BM111" i="1"/>
  <c r="BM107" i="1"/>
  <c r="BM104" i="1"/>
  <c r="BM100" i="1"/>
  <c r="BM96" i="1"/>
  <c r="BM73" i="1"/>
  <c r="BM69" i="1"/>
  <c r="BM65" i="1"/>
  <c r="BM61" i="1"/>
  <c r="BM58" i="1"/>
  <c r="BM56" i="1"/>
  <c r="BM50" i="1"/>
  <c r="BM11" i="1"/>
  <c r="BP305" i="1"/>
  <c r="BP301" i="1"/>
  <c r="BP297" i="1"/>
  <c r="BP282" i="1"/>
  <c r="BP279" i="1"/>
  <c r="BP275" i="1"/>
  <c r="BP271" i="1"/>
  <c r="BP267" i="1"/>
  <c r="BP263" i="1"/>
  <c r="CK313" i="1"/>
  <c r="CO313" i="1"/>
  <c r="CK305" i="1"/>
  <c r="CO305" i="1"/>
  <c r="CK301" i="1"/>
  <c r="CO301" i="1"/>
  <c r="CO297" i="1"/>
  <c r="CK297" i="1"/>
  <c r="CK279" i="1"/>
  <c r="CO279" i="1"/>
  <c r="CK259" i="1"/>
  <c r="CO259" i="1"/>
  <c r="CK18" i="1"/>
  <c r="CO18" i="1"/>
  <c r="CK249" i="1"/>
  <c r="CO249" i="1"/>
  <c r="CK221" i="1"/>
  <c r="CO221" i="1"/>
  <c r="CK127" i="1"/>
  <c r="CO127" i="1"/>
  <c r="CK109" i="1"/>
  <c r="CO109" i="1"/>
  <c r="CK94" i="1"/>
  <c r="CO94" i="1"/>
  <c r="CK67" i="1"/>
  <c r="CO67" i="1"/>
  <c r="CK60" i="1"/>
  <c r="CO60" i="1"/>
  <c r="CN338" i="1"/>
  <c r="CO338" i="1"/>
  <c r="CN330" i="1"/>
  <c r="CO330" i="1"/>
  <c r="CN326" i="1"/>
  <c r="CO326" i="1"/>
  <c r="CN299" i="1"/>
  <c r="CO299" i="1"/>
  <c r="CN284" i="1"/>
  <c r="CO284" i="1"/>
  <c r="CN257" i="1"/>
  <c r="CO257" i="1"/>
  <c r="CN151" i="1"/>
  <c r="CO151" i="1"/>
  <c r="CN38" i="1"/>
  <c r="CO38" i="1"/>
  <c r="CN227" i="1"/>
  <c r="CO227" i="1"/>
  <c r="CN204" i="1"/>
  <c r="CO204" i="1"/>
  <c r="CN198" i="1"/>
  <c r="CO198" i="1"/>
  <c r="CN186" i="1"/>
  <c r="CO186" i="1"/>
  <c r="CN143" i="1"/>
  <c r="CO143" i="1"/>
  <c r="CN129" i="1"/>
  <c r="CO129" i="1"/>
  <c r="CN117" i="1"/>
  <c r="CO117" i="1"/>
  <c r="CN111" i="1"/>
  <c r="CO111" i="1"/>
  <c r="CN96" i="1"/>
  <c r="CO96" i="1"/>
  <c r="CN91" i="1"/>
  <c r="CO91" i="1"/>
  <c r="CN80" i="1"/>
  <c r="CO80" i="1"/>
  <c r="AU305" i="1"/>
  <c r="AX305" i="1"/>
  <c r="AU344" i="1"/>
  <c r="AU285" i="1"/>
  <c r="BA46" i="1"/>
  <c r="BQ328" i="1"/>
  <c r="DY328" i="1" s="1"/>
  <c r="BQ199" i="1"/>
  <c r="BQ131" i="1"/>
  <c r="BQ182" i="1"/>
  <c r="AU252" i="1"/>
  <c r="AU313" i="1"/>
  <c r="AU141" i="1"/>
  <c r="AU184" i="1"/>
  <c r="AX25" i="1"/>
  <c r="AU332" i="1"/>
  <c r="AU135" i="1"/>
  <c r="AU279" i="1"/>
  <c r="BQ289" i="1"/>
  <c r="H248" i="24" s="1"/>
  <c r="AU229" i="1"/>
  <c r="AU178" i="1"/>
  <c r="AU340" i="1"/>
  <c r="AU159" i="1"/>
  <c r="AU336" i="1"/>
  <c r="AU324" i="1"/>
  <c r="AU259" i="1"/>
  <c r="AU289" i="1"/>
  <c r="BA9" i="1"/>
  <c r="BQ305" i="1"/>
  <c r="BQ55" i="1"/>
  <c r="AG181" i="1"/>
  <c r="Q339" i="1"/>
  <c r="AG339" i="1"/>
  <c r="Q266" i="1"/>
  <c r="AG266" i="1"/>
  <c r="Q158" i="1"/>
  <c r="AG158" i="1"/>
  <c r="Q147" i="1"/>
  <c r="AG147" i="1"/>
  <c r="AG144" i="1"/>
  <c r="Q144" i="1"/>
  <c r="Q59" i="1"/>
  <c r="AG59" i="1"/>
  <c r="U354" i="1"/>
  <c r="X354" i="1"/>
  <c r="C15" i="3" s="1"/>
  <c r="AJ354" i="1"/>
  <c r="AO13" i="1"/>
  <c r="AM354" i="1"/>
  <c r="C19" i="12" s="1"/>
  <c r="AU320" i="1"/>
  <c r="AU316" i="1"/>
  <c r="AU309" i="1"/>
  <c r="AU297" i="1"/>
  <c r="AU275" i="1"/>
  <c r="AU271" i="1"/>
  <c r="AU267" i="1"/>
  <c r="AU263" i="1"/>
  <c r="AU29" i="1"/>
  <c r="AU22" i="1"/>
  <c r="AU18" i="1"/>
  <c r="AU293" i="1"/>
  <c r="AU249" i="1"/>
  <c r="AU245" i="1"/>
  <c r="AU241" i="1"/>
  <c r="AU225" i="1"/>
  <c r="AU217" i="1"/>
  <c r="AU214" i="1"/>
  <c r="AU210" i="1"/>
  <c r="AU206" i="1"/>
  <c r="AU199" i="1"/>
  <c r="AU196" i="1"/>
  <c r="AU192" i="1"/>
  <c r="AU188" i="1"/>
  <c r="AU171" i="1"/>
  <c r="AU167" i="1"/>
  <c r="AU163" i="1"/>
  <c r="AU155" i="1"/>
  <c r="AU148" i="1"/>
  <c r="AU131" i="1"/>
  <c r="AU127" i="1"/>
  <c r="AU123" i="1"/>
  <c r="AU119" i="1"/>
  <c r="AU115" i="1"/>
  <c r="AU109" i="1"/>
  <c r="AU105" i="1"/>
  <c r="AU103" i="1"/>
  <c r="AX352" i="1"/>
  <c r="BQ352" i="1"/>
  <c r="AX348" i="1"/>
  <c r="BQ344" i="1"/>
  <c r="BQ340" i="1"/>
  <c r="AX336" i="1"/>
  <c r="BQ336" i="1"/>
  <c r="AX332" i="1"/>
  <c r="AX324" i="1"/>
  <c r="AX316" i="1"/>
  <c r="BQ316" i="1"/>
  <c r="AX313" i="1"/>
  <c r="BQ313" i="1"/>
  <c r="AX309" i="1"/>
  <c r="BQ309" i="1"/>
  <c r="AX301" i="1"/>
  <c r="BQ282" i="1"/>
  <c r="AX279" i="1"/>
  <c r="BQ279" i="1"/>
  <c r="DY279" i="1" s="1"/>
  <c r="BQ275" i="1"/>
  <c r="AX271" i="1"/>
  <c r="BQ271" i="1"/>
  <c r="AX267" i="1"/>
  <c r="BQ267" i="1"/>
  <c r="BQ263" i="1"/>
  <c r="AX259" i="1"/>
  <c r="BQ259" i="1"/>
  <c r="AX29" i="1"/>
  <c r="BQ29" i="1"/>
  <c r="AX22" i="1"/>
  <c r="BQ22" i="1"/>
  <c r="AX237" i="1"/>
  <c r="AX252" i="1"/>
  <c r="AX40" i="1"/>
  <c r="BQ245" i="1"/>
  <c r="AX232" i="1"/>
  <c r="BQ232" i="1"/>
  <c r="AX229" i="1"/>
  <c r="AX225" i="1"/>
  <c r="AX221" i="1"/>
  <c r="BQ217" i="1"/>
  <c r="BQ214" i="1"/>
  <c r="AX214" i="1"/>
  <c r="AX206" i="1"/>
  <c r="BQ206" i="1"/>
  <c r="BQ196" i="1"/>
  <c r="DY196" i="1" s="1"/>
  <c r="AX192" i="1"/>
  <c r="BQ192" i="1"/>
  <c r="AX178" i="1"/>
  <c r="BQ178" i="1"/>
  <c r="BQ175" i="1"/>
  <c r="AX171" i="1"/>
  <c r="BQ167" i="1"/>
  <c r="AX155" i="1"/>
  <c r="BQ155" i="1"/>
  <c r="AX44" i="1"/>
  <c r="BQ148" i="1"/>
  <c r="BQ141" i="1"/>
  <c r="BQ127" i="1"/>
  <c r="BQ123" i="1"/>
  <c r="DY123" i="1" s="1"/>
  <c r="AX119" i="1"/>
  <c r="BQ119" i="1"/>
  <c r="AX115" i="1"/>
  <c r="BQ115" i="1"/>
  <c r="AX109" i="1"/>
  <c r="BQ105" i="1"/>
  <c r="BQ103" i="1"/>
  <c r="AX102" i="1"/>
  <c r="BQ102" i="1"/>
  <c r="AX98" i="1"/>
  <c r="BQ98" i="1"/>
  <c r="AX94" i="1"/>
  <c r="BQ93" i="1"/>
  <c r="AX75" i="1"/>
  <c r="BQ75" i="1"/>
  <c r="DY75" i="1" s="1"/>
  <c r="AV354" i="1"/>
  <c r="BQ13" i="1"/>
  <c r="BA350" i="1"/>
  <c r="BA346" i="1"/>
  <c r="BQ346" i="1"/>
  <c r="H367" i="24" s="1"/>
  <c r="BA342" i="1"/>
  <c r="BA338" i="1"/>
  <c r="BA334" i="1"/>
  <c r="BQ334" i="1"/>
  <c r="BA330" i="1"/>
  <c r="BQ326" i="1"/>
  <c r="BA322" i="1"/>
  <c r="BA318" i="1"/>
  <c r="BQ318" i="1"/>
  <c r="DY318" i="1" s="1"/>
  <c r="BA311" i="1"/>
  <c r="BA307" i="1"/>
  <c r="BQ307" i="1"/>
  <c r="BA303" i="1"/>
  <c r="BQ303" i="1"/>
  <c r="BQ299" i="1"/>
  <c r="BA299" i="1"/>
  <c r="BQ284" i="1"/>
  <c r="BA280" i="1"/>
  <c r="BA265" i="1"/>
  <c r="BQ265" i="1"/>
  <c r="BA261" i="1"/>
  <c r="BQ257" i="1"/>
  <c r="BQ27" i="1"/>
  <c r="BA151" i="1"/>
  <c r="BQ151" i="1"/>
  <c r="BA24" i="1"/>
  <c r="BA20" i="1"/>
  <c r="BA16" i="1"/>
  <c r="BQ16" i="1"/>
  <c r="BA239" i="1"/>
  <c r="BQ239" i="1"/>
  <c r="BQ235" i="1"/>
  <c r="BA295" i="1"/>
  <c r="BQ295" i="1"/>
  <c r="DY295" i="1" s="1"/>
  <c r="BA291" i="1"/>
  <c r="BQ291" i="1"/>
  <c r="BA287" i="1"/>
  <c r="BQ287" i="1"/>
  <c r="BA42" i="1"/>
  <c r="BQ42" i="1"/>
  <c r="BQ35" i="1"/>
  <c r="DY35" i="1" s="1"/>
  <c r="BA32" i="1"/>
  <c r="BA247" i="1"/>
  <c r="BQ247" i="1"/>
  <c r="BQ243" i="1"/>
  <c r="BQ234" i="1"/>
  <c r="BA227" i="1"/>
  <c r="BA223" i="1"/>
  <c r="BA219" i="1"/>
  <c r="BA215" i="1"/>
  <c r="BQ212" i="1"/>
  <c r="BQ208" i="1"/>
  <c r="BA204" i="1"/>
  <c r="BA201" i="1"/>
  <c r="BQ201" i="1"/>
  <c r="BQ198" i="1"/>
  <c r="BQ190" i="1"/>
  <c r="BQ186" i="1"/>
  <c r="BA180" i="1"/>
  <c r="BQ180" i="1"/>
  <c r="BA176" i="1"/>
  <c r="BQ157" i="1"/>
  <c r="BA146" i="1"/>
  <c r="BA143" i="1"/>
  <c r="BA139" i="1"/>
  <c r="BQ139" i="1"/>
  <c r="BA137" i="1"/>
  <c r="BQ137" i="1"/>
  <c r="BA133" i="1"/>
  <c r="BA129" i="1"/>
  <c r="BQ129" i="1"/>
  <c r="BQ121" i="1"/>
  <c r="BA117" i="1"/>
  <c r="BQ117" i="1"/>
  <c r="BA114" i="1"/>
  <c r="BQ114" i="1"/>
  <c r="BA111" i="1"/>
  <c r="BA107" i="1"/>
  <c r="BA104" i="1"/>
  <c r="BA96" i="1"/>
  <c r="BA91" i="1"/>
  <c r="BQ91" i="1"/>
  <c r="DY91" i="1" s="1"/>
  <c r="BA84" i="1"/>
  <c r="BQ84" i="1"/>
  <c r="BQ80" i="1"/>
  <c r="BA77" i="1"/>
  <c r="BQ73" i="1"/>
  <c r="BA69" i="1"/>
  <c r="BQ69" i="1"/>
  <c r="DY69" i="1" s="1"/>
  <c r="BQ65" i="1"/>
  <c r="BA58" i="1"/>
  <c r="BQ58" i="1"/>
  <c r="BA56" i="1"/>
  <c r="BQ56" i="1"/>
  <c r="BA50" i="1"/>
  <c r="BQ50" i="1"/>
  <c r="DY50" i="1" s="1"/>
  <c r="BA11" i="1"/>
  <c r="BQ11" i="1"/>
  <c r="BD275" i="1"/>
  <c r="BD271" i="1"/>
  <c r="BD267" i="1"/>
  <c r="BD263" i="1"/>
  <c r="BD259" i="1"/>
  <c r="BD29" i="1"/>
  <c r="BD25" i="1"/>
  <c r="BD18" i="1"/>
  <c r="BD237" i="1"/>
  <c r="BD293" i="1"/>
  <c r="BD249" i="1"/>
  <c r="BD245" i="1"/>
  <c r="BD241" i="1"/>
  <c r="BD232" i="1"/>
  <c r="BD229" i="1"/>
  <c r="BD225" i="1"/>
  <c r="BD221" i="1"/>
  <c r="BD217" i="1"/>
  <c r="BD214" i="1"/>
  <c r="BD210" i="1"/>
  <c r="BD199" i="1"/>
  <c r="BD196" i="1"/>
  <c r="BD188" i="1"/>
  <c r="BD184" i="1"/>
  <c r="BD182" i="1"/>
  <c r="BD178" i="1"/>
  <c r="BD175" i="1"/>
  <c r="BD167" i="1"/>
  <c r="BD163" i="1"/>
  <c r="BD159" i="1"/>
  <c r="BD44" i="1"/>
  <c r="BD148" i="1"/>
  <c r="BD141" i="1"/>
  <c r="BD135" i="1"/>
  <c r="BD131" i="1"/>
  <c r="BD127" i="1"/>
  <c r="BD123" i="1"/>
  <c r="BD115" i="1"/>
  <c r="BD109" i="1"/>
  <c r="BD105" i="1"/>
  <c r="BD103" i="1"/>
  <c r="BD102" i="1"/>
  <c r="BD98" i="1"/>
  <c r="BD92" i="1"/>
  <c r="BD89" i="1"/>
  <c r="BD86" i="1"/>
  <c r="BD82" i="1"/>
  <c r="BD79" i="1"/>
  <c r="BD75" i="1"/>
  <c r="BD71" i="1"/>
  <c r="BD67" i="1"/>
  <c r="BD63" i="1"/>
  <c r="BD55" i="1"/>
  <c r="BB354" i="1"/>
  <c r="C26" i="3" s="1"/>
  <c r="BE354" i="1"/>
  <c r="BG350" i="1"/>
  <c r="BG346" i="1"/>
  <c r="BG342" i="1"/>
  <c r="BG338" i="1"/>
  <c r="BG334" i="1"/>
  <c r="BG330" i="1"/>
  <c r="BG326" i="1"/>
  <c r="BG322" i="1"/>
  <c r="BG318" i="1"/>
  <c r="BG311" i="1"/>
  <c r="BG307" i="1"/>
  <c r="BG303" i="1"/>
  <c r="BG299" i="1"/>
  <c r="BG284" i="1"/>
  <c r="BG280" i="1"/>
  <c r="BG277" i="1"/>
  <c r="BG273" i="1"/>
  <c r="BG269" i="1"/>
  <c r="BG265" i="1"/>
  <c r="BG261" i="1"/>
  <c r="BG257" i="1"/>
  <c r="BG27" i="1"/>
  <c r="BG151" i="1"/>
  <c r="BG24" i="1"/>
  <c r="BG20" i="1"/>
  <c r="BG16" i="1"/>
  <c r="BG239" i="1"/>
  <c r="BG235" i="1"/>
  <c r="BG295" i="1"/>
  <c r="BG291" i="1"/>
  <c r="BG287" i="1"/>
  <c r="BG42" i="1"/>
  <c r="BG38" i="1"/>
  <c r="BG35" i="1"/>
  <c r="BG32" i="1"/>
  <c r="BG247" i="1"/>
  <c r="BG243" i="1"/>
  <c r="BG234" i="1"/>
  <c r="BG231" i="1"/>
  <c r="BG227" i="1"/>
  <c r="BG223" i="1"/>
  <c r="BG219" i="1"/>
  <c r="BG215" i="1"/>
  <c r="BG212" i="1"/>
  <c r="BG208" i="1"/>
  <c r="BG204" i="1"/>
  <c r="BG201" i="1"/>
  <c r="BG198" i="1"/>
  <c r="BG194" i="1"/>
  <c r="BG190" i="1"/>
  <c r="BG186" i="1"/>
  <c r="BG180" i="1"/>
  <c r="BG176" i="1"/>
  <c r="BG173" i="1"/>
  <c r="BG169" i="1"/>
  <c r="BG165" i="1"/>
  <c r="BG161" i="1"/>
  <c r="BG157" i="1"/>
  <c r="BG146" i="1"/>
  <c r="BG143" i="1"/>
  <c r="BG139" i="1"/>
  <c r="BG137" i="1"/>
  <c r="BG133" i="1"/>
  <c r="BG125" i="1"/>
  <c r="BG121" i="1"/>
  <c r="BG117" i="1"/>
  <c r="BG114" i="1"/>
  <c r="AG258" i="1"/>
  <c r="AG308" i="1"/>
  <c r="AG97" i="1"/>
  <c r="AG182" i="1"/>
  <c r="BG111" i="1"/>
  <c r="BG107" i="1"/>
  <c r="BG104" i="1"/>
  <c r="BG100" i="1"/>
  <c r="BG96" i="1"/>
  <c r="BG84" i="1"/>
  <c r="BG80" i="1"/>
  <c r="BG77" i="1"/>
  <c r="BG73" i="1"/>
  <c r="BG69" i="1"/>
  <c r="BG65" i="1"/>
  <c r="BG58" i="1"/>
  <c r="BG56" i="1"/>
  <c r="BG11" i="1"/>
  <c r="BJ352" i="1"/>
  <c r="BJ348" i="1"/>
  <c r="BJ344" i="1"/>
  <c r="BJ340" i="1"/>
  <c r="BJ336" i="1"/>
  <c r="BJ332" i="1"/>
  <c r="BJ328" i="1"/>
  <c r="BJ324" i="1"/>
  <c r="BJ320" i="1"/>
  <c r="BJ316" i="1"/>
  <c r="BJ313" i="1"/>
  <c r="BJ309" i="1"/>
  <c r="BJ305" i="1"/>
  <c r="BJ301" i="1"/>
  <c r="BJ297" i="1"/>
  <c r="BJ282" i="1"/>
  <c r="BJ279" i="1"/>
  <c r="BJ275" i="1"/>
  <c r="BJ271" i="1"/>
  <c r="BJ267" i="1"/>
  <c r="BJ263" i="1"/>
  <c r="BJ259" i="1"/>
  <c r="BJ29" i="1"/>
  <c r="BJ25" i="1"/>
  <c r="BJ22" i="1"/>
  <c r="BJ18" i="1"/>
  <c r="BJ237" i="1"/>
  <c r="BJ252" i="1"/>
  <c r="BJ293" i="1"/>
  <c r="BJ289" i="1"/>
  <c r="BJ285" i="1"/>
  <c r="BJ40" i="1"/>
  <c r="BJ249" i="1"/>
  <c r="BJ245" i="1"/>
  <c r="BJ241" i="1"/>
  <c r="BJ232" i="1"/>
  <c r="BJ229" i="1"/>
  <c r="BJ225" i="1"/>
  <c r="BJ221" i="1"/>
  <c r="BJ217" i="1"/>
  <c r="BJ214" i="1"/>
  <c r="BJ210" i="1"/>
  <c r="BJ206" i="1"/>
  <c r="BJ199" i="1"/>
  <c r="BJ196" i="1"/>
  <c r="BJ192" i="1"/>
  <c r="BJ188" i="1"/>
  <c r="BJ184" i="1"/>
  <c r="BJ182" i="1"/>
  <c r="BJ178" i="1"/>
  <c r="BJ175" i="1"/>
  <c r="BJ171" i="1"/>
  <c r="BJ167" i="1"/>
  <c r="BJ163" i="1"/>
  <c r="BJ159" i="1"/>
  <c r="BJ155" i="1"/>
  <c r="BJ44" i="1"/>
  <c r="BJ148" i="1"/>
  <c r="BJ141" i="1"/>
  <c r="BJ135" i="1"/>
  <c r="BJ115" i="1"/>
  <c r="BJ109" i="1"/>
  <c r="BJ105" i="1"/>
  <c r="BJ103" i="1"/>
  <c r="BJ102" i="1"/>
  <c r="BJ13" i="1"/>
  <c r="BH354" i="1"/>
  <c r="BM20" i="1"/>
  <c r="BM16" i="1"/>
  <c r="BM38" i="1"/>
  <c r="BM35" i="1"/>
  <c r="BM32" i="1"/>
  <c r="BM247" i="1"/>
  <c r="BM243" i="1"/>
  <c r="BM204" i="1"/>
  <c r="BM201" i="1"/>
  <c r="BM198" i="1"/>
  <c r="BP348" i="1"/>
  <c r="BP340" i="1"/>
  <c r="BP332" i="1"/>
  <c r="BP320" i="1"/>
  <c r="BP313" i="1"/>
  <c r="BP237" i="1"/>
  <c r="BP221" i="1"/>
  <c r="BP214" i="1"/>
  <c r="BP184" i="1"/>
  <c r="BP182" i="1"/>
  <c r="BP178" i="1"/>
  <c r="BP159" i="1"/>
  <c r="BP155" i="1"/>
  <c r="BP44" i="1"/>
  <c r="BP148" i="1"/>
  <c r="BP141" i="1"/>
  <c r="BP135" i="1"/>
  <c r="BP131" i="1"/>
  <c r="BP127" i="1"/>
  <c r="BP123" i="1"/>
  <c r="BP119" i="1"/>
  <c r="BP115" i="1"/>
  <c r="BP109" i="1"/>
  <c r="BP105" i="1"/>
  <c r="BP103" i="1"/>
  <c r="BP102" i="1"/>
  <c r="BP98" i="1"/>
  <c r="BP94" i="1"/>
  <c r="BP93" i="1"/>
  <c r="BN354" i="1"/>
  <c r="BW354" i="1"/>
  <c r="C33" i="3" s="1"/>
  <c r="CE48" i="1"/>
  <c r="CC354" i="1"/>
  <c r="CF354" i="1"/>
  <c r="C36" i="12" s="1"/>
  <c r="CK348" i="1"/>
  <c r="CO348" i="1"/>
  <c r="CK344" i="1"/>
  <c r="CO344" i="1"/>
  <c r="CK340" i="1"/>
  <c r="CO340" i="1"/>
  <c r="CK328" i="1"/>
  <c r="CO328" i="1"/>
  <c r="CK324" i="1"/>
  <c r="CO324" i="1"/>
  <c r="CK320" i="1"/>
  <c r="CO320" i="1"/>
  <c r="CK316" i="1"/>
  <c r="CO316" i="1"/>
  <c r="CK309" i="1"/>
  <c r="CO309" i="1"/>
  <c r="CK29" i="1"/>
  <c r="CO29" i="1"/>
  <c r="CK25" i="1"/>
  <c r="CO25" i="1"/>
  <c r="CK252" i="1"/>
  <c r="CO252" i="1"/>
  <c r="CK293" i="1"/>
  <c r="CO293" i="1"/>
  <c r="CK285" i="1"/>
  <c r="CO285" i="1"/>
  <c r="CK40" i="1"/>
  <c r="CO40" i="1"/>
  <c r="CK229" i="1"/>
  <c r="CO229" i="1"/>
  <c r="CK217" i="1"/>
  <c r="CO217" i="1"/>
  <c r="CK188" i="1"/>
  <c r="CO188" i="1"/>
  <c r="CK182" i="1"/>
  <c r="CO182" i="1"/>
  <c r="CK178" i="1"/>
  <c r="CO178" i="1"/>
  <c r="CK175" i="1"/>
  <c r="CO175" i="1"/>
  <c r="CK167" i="1"/>
  <c r="CO167" i="1"/>
  <c r="CK148" i="1"/>
  <c r="CO148" i="1"/>
  <c r="CK141" i="1"/>
  <c r="CO141" i="1"/>
  <c r="CK119" i="1"/>
  <c r="CO119" i="1"/>
  <c r="CK115" i="1"/>
  <c r="CO115" i="1"/>
  <c r="CK103" i="1"/>
  <c r="CO103" i="1"/>
  <c r="CK102" i="1"/>
  <c r="CO102" i="1"/>
  <c r="CK93" i="1"/>
  <c r="CO93" i="1"/>
  <c r="CK92" i="1"/>
  <c r="CO92" i="1"/>
  <c r="CK89" i="1"/>
  <c r="CO89" i="1"/>
  <c r="CK86" i="1"/>
  <c r="CO86" i="1"/>
  <c r="CK82" i="1"/>
  <c r="CO82" i="1"/>
  <c r="CK79" i="1"/>
  <c r="CO79" i="1"/>
  <c r="CK75" i="1"/>
  <c r="CO75" i="1"/>
  <c r="CK63" i="1"/>
  <c r="CO63" i="1"/>
  <c r="CK55" i="1"/>
  <c r="CO55" i="1"/>
  <c r="CK52" i="1"/>
  <c r="CO52" i="1"/>
  <c r="CK13" i="1"/>
  <c r="CI354" i="1"/>
  <c r="CO13" i="1"/>
  <c r="CO9" i="1"/>
  <c r="CL354" i="1"/>
  <c r="C39" i="12" s="1"/>
  <c r="CN350" i="1"/>
  <c r="CO350" i="1"/>
  <c r="CN346" i="1"/>
  <c r="CO346" i="1"/>
  <c r="CN322" i="1"/>
  <c r="CO322" i="1"/>
  <c r="CN307" i="1"/>
  <c r="CO307" i="1"/>
  <c r="CN303" i="1"/>
  <c r="CO303" i="1"/>
  <c r="CN280" i="1"/>
  <c r="CO280" i="1"/>
  <c r="CN273" i="1"/>
  <c r="CO273" i="1"/>
  <c r="CN261" i="1"/>
  <c r="CO261" i="1"/>
  <c r="CN16" i="1"/>
  <c r="CO16" i="1"/>
  <c r="CN32" i="1"/>
  <c r="CO32" i="1"/>
  <c r="CN247" i="1"/>
  <c r="CO247" i="1"/>
  <c r="CN234" i="1"/>
  <c r="CO234" i="1"/>
  <c r="CN231" i="1"/>
  <c r="CO231" i="1"/>
  <c r="CN219" i="1"/>
  <c r="CO219" i="1"/>
  <c r="CN201" i="1"/>
  <c r="CO201" i="1"/>
  <c r="CN194" i="1"/>
  <c r="CO194" i="1"/>
  <c r="CN180" i="1"/>
  <c r="CO180" i="1"/>
  <c r="CN176" i="1"/>
  <c r="CO176" i="1"/>
  <c r="CN173" i="1"/>
  <c r="CO173" i="1"/>
  <c r="CN169" i="1"/>
  <c r="CO169" i="1"/>
  <c r="CN161" i="1"/>
  <c r="CO161" i="1"/>
  <c r="CN157" i="1"/>
  <c r="CO157" i="1"/>
  <c r="CN153" i="1"/>
  <c r="CO153" i="1"/>
  <c r="CN146" i="1"/>
  <c r="CO146" i="1"/>
  <c r="CN137" i="1"/>
  <c r="CO137" i="1"/>
  <c r="CN133" i="1"/>
  <c r="CO133" i="1"/>
  <c r="CN121" i="1"/>
  <c r="CO121" i="1"/>
  <c r="CN114" i="1"/>
  <c r="CO114" i="1"/>
  <c r="CN107" i="1"/>
  <c r="CO107" i="1"/>
  <c r="CN104" i="1"/>
  <c r="CO104" i="1"/>
  <c r="CN84" i="1"/>
  <c r="CO84" i="1"/>
  <c r="CN77" i="1"/>
  <c r="CO77" i="1"/>
  <c r="CN73" i="1"/>
  <c r="CO73" i="1"/>
  <c r="CN69" i="1"/>
  <c r="CO69" i="1"/>
  <c r="CN65" i="1"/>
  <c r="CO65" i="1"/>
  <c r="CN61" i="1"/>
  <c r="CO61" i="1"/>
  <c r="CN58" i="1"/>
  <c r="CO58" i="1"/>
  <c r="CN50" i="1"/>
  <c r="CO50" i="1"/>
  <c r="AC11" i="1"/>
  <c r="AA354" i="1"/>
  <c r="DI356" i="1"/>
  <c r="BJ131" i="1"/>
  <c r="BJ127" i="1"/>
  <c r="BJ123" i="1"/>
  <c r="BJ119" i="1"/>
  <c r="BJ94" i="1"/>
  <c r="BM350" i="1"/>
  <c r="BM346" i="1"/>
  <c r="BM342" i="1"/>
  <c r="BM338" i="1"/>
  <c r="BM334" i="1"/>
  <c r="BM330" i="1"/>
  <c r="BM326" i="1"/>
  <c r="BM322" i="1"/>
  <c r="BM318" i="1"/>
  <c r="BM311" i="1"/>
  <c r="BM307" i="1"/>
  <c r="BM303" i="1"/>
  <c r="BM299" i="1"/>
  <c r="BM284" i="1"/>
  <c r="BM280" i="1"/>
  <c r="BM277" i="1"/>
  <c r="BM273" i="1"/>
  <c r="BM269" i="1"/>
  <c r="BM265" i="1"/>
  <c r="BM261" i="1"/>
  <c r="BM257" i="1"/>
  <c r="BM27" i="1"/>
  <c r="BM151" i="1"/>
  <c r="BM24" i="1"/>
  <c r="BM235" i="1"/>
  <c r="BM295" i="1"/>
  <c r="BM231" i="1"/>
  <c r="BM227" i="1"/>
  <c r="BM223" i="1"/>
  <c r="BM219" i="1"/>
  <c r="BM215" i="1"/>
  <c r="BM212" i="1"/>
  <c r="BM208" i="1"/>
  <c r="BM180" i="1"/>
  <c r="BM176" i="1"/>
  <c r="BM173" i="1"/>
  <c r="BM169" i="1"/>
  <c r="BM165" i="1"/>
  <c r="BM161" i="1"/>
  <c r="BM157" i="1"/>
  <c r="BM153" i="1"/>
  <c r="BM146" i="1"/>
  <c r="BM143" i="1"/>
  <c r="BM91" i="1"/>
  <c r="BM84" i="1"/>
  <c r="BM80" i="1"/>
  <c r="BP352" i="1"/>
  <c r="BP344" i="1"/>
  <c r="BP336" i="1"/>
  <c r="BP328" i="1"/>
  <c r="BP324" i="1"/>
  <c r="BP316" i="1"/>
  <c r="BP309" i="1"/>
  <c r="BP259" i="1"/>
  <c r="BP29" i="1"/>
  <c r="BP25" i="1"/>
  <c r="BP22" i="1"/>
  <c r="BP18" i="1"/>
  <c r="BP252" i="1"/>
  <c r="BP241" i="1"/>
  <c r="BP232" i="1"/>
  <c r="BP229" i="1"/>
  <c r="BP217" i="1"/>
  <c r="BP210" i="1"/>
  <c r="BP196" i="1"/>
  <c r="BP192" i="1"/>
  <c r="BP188" i="1"/>
  <c r="BP175" i="1"/>
  <c r="BP171" i="1"/>
  <c r="BP167" i="1"/>
  <c r="BP163" i="1"/>
  <c r="BP92" i="1"/>
  <c r="BP89" i="1"/>
  <c r="BP86" i="1"/>
  <c r="BP82" i="1"/>
  <c r="BP79" i="1"/>
  <c r="BP75" i="1"/>
  <c r="BP71" i="1"/>
  <c r="BP67" i="1"/>
  <c r="BP63" i="1"/>
  <c r="BP60" i="1"/>
  <c r="BP55" i="1"/>
  <c r="BP52" i="1"/>
  <c r="BP13" i="1"/>
  <c r="CK48" i="1"/>
  <c r="CN46" i="1"/>
  <c r="AC46" i="1"/>
  <c r="E34" i="4"/>
  <c r="DO32" i="1"/>
  <c r="DP32" i="1" s="1"/>
  <c r="DO165" i="1"/>
  <c r="DP165" i="1" s="1"/>
  <c r="E167" i="4"/>
  <c r="E49" i="4"/>
  <c r="AG331" i="1"/>
  <c r="AG220" i="1"/>
  <c r="AG351" i="1"/>
  <c r="AG343" i="1"/>
  <c r="AG81" i="1"/>
  <c r="AG300" i="1"/>
  <c r="O354" i="1"/>
  <c r="Q122" i="1"/>
  <c r="AG315" i="1"/>
  <c r="AG152" i="1"/>
  <c r="AG174" i="1"/>
  <c r="AG270" i="1"/>
  <c r="AG278" i="1"/>
  <c r="AG254" i="1"/>
  <c r="AG126" i="1"/>
  <c r="AG31" i="1"/>
  <c r="AG140" i="1"/>
  <c r="AG166" i="1"/>
  <c r="AG323" i="1"/>
  <c r="AG118" i="1"/>
  <c r="AG312" i="1"/>
  <c r="AG304" i="1"/>
  <c r="AG262" i="1"/>
  <c r="AG88" i="1"/>
  <c r="AG78" i="1"/>
  <c r="AG205" i="1"/>
  <c r="E12" i="4"/>
  <c r="E199" i="4"/>
  <c r="E174" i="4"/>
  <c r="E166" i="4"/>
  <c r="AS354" i="1"/>
  <c r="F358" i="4" s="1"/>
  <c r="AD354" i="1"/>
  <c r="C17" i="3" s="1"/>
  <c r="R354" i="1"/>
  <c r="C13" i="3" s="1"/>
  <c r="R400" i="26"/>
  <c r="AS369" i="1" s="1"/>
  <c r="Q338" i="1"/>
  <c r="Q330" i="1"/>
  <c r="Q322" i="1"/>
  <c r="Q27" i="1"/>
  <c r="Q208" i="1"/>
  <c r="Q201" i="1"/>
  <c r="Q190" i="1"/>
  <c r="Q169" i="1"/>
  <c r="Q137" i="1"/>
  <c r="Q129" i="1"/>
  <c r="Q125" i="1"/>
  <c r="Q104" i="1"/>
  <c r="Q100" i="1"/>
  <c r="T348" i="1"/>
  <c r="T344" i="1"/>
  <c r="T340" i="1"/>
  <c r="T313" i="1"/>
  <c r="T271" i="1"/>
  <c r="T293" i="1"/>
  <c r="T155" i="1"/>
  <c r="T141" i="1"/>
  <c r="T135" i="1"/>
  <c r="T127" i="1"/>
  <c r="T103" i="1"/>
  <c r="T98" i="1"/>
  <c r="T13" i="1"/>
  <c r="AU335" i="1"/>
  <c r="AU312" i="1"/>
  <c r="AU270" i="1"/>
  <c r="AU152" i="1"/>
  <c r="AU17" i="1"/>
  <c r="AU240" i="1"/>
  <c r="AU228" i="1"/>
  <c r="AU205" i="1"/>
  <c r="AU183" i="1"/>
  <c r="AU166" i="1"/>
  <c r="AU150" i="1"/>
  <c r="AU112" i="1"/>
  <c r="AU74" i="1"/>
  <c r="AG333" i="1"/>
  <c r="AG314" i="1"/>
  <c r="AG34" i="1"/>
  <c r="AG345" i="1"/>
  <c r="AG341" i="1"/>
  <c r="AG337" i="1"/>
  <c r="AG276" i="1"/>
  <c r="AG37" i="1"/>
  <c r="AG197" i="1"/>
  <c r="AG193" i="1"/>
  <c r="L354" i="1"/>
  <c r="C11" i="3" s="1"/>
  <c r="T29" i="1"/>
  <c r="Q58" i="1"/>
  <c r="Q318" i="1"/>
  <c r="T316" i="1"/>
  <c r="AG325" i="1"/>
  <c r="AG255" i="1"/>
  <c r="AG294" i="1"/>
  <c r="AG290" i="1"/>
  <c r="AG286" i="1"/>
  <c r="AG41" i="1"/>
  <c r="AG242" i="1"/>
  <c r="AG264" i="1"/>
  <c r="AG15" i="1"/>
  <c r="AG26" i="1"/>
  <c r="AG230" i="1"/>
  <c r="AG179" i="1"/>
  <c r="I354" i="1"/>
  <c r="C10" i="3" s="1"/>
  <c r="Q80" i="1"/>
  <c r="T94" i="1"/>
  <c r="T178" i="1"/>
  <c r="T182" i="1"/>
  <c r="T22" i="1"/>
  <c r="T297" i="1"/>
  <c r="T229" i="1"/>
  <c r="AG349" i="1"/>
  <c r="AG310" i="1"/>
  <c r="AG317" i="1"/>
  <c r="AG306" i="1"/>
  <c r="AG302" i="1"/>
  <c r="AG23" i="1"/>
  <c r="AG353" i="1"/>
  <c r="AG298" i="1"/>
  <c r="AG19" i="1"/>
  <c r="AG30" i="1"/>
  <c r="AG211" i="1"/>
  <c r="AG189" i="1"/>
  <c r="AG185" i="1"/>
  <c r="Q235" i="1"/>
  <c r="T123" i="1"/>
  <c r="T148" i="1"/>
  <c r="T196" i="1"/>
  <c r="Q334" i="1"/>
  <c r="Q215" i="1"/>
  <c r="BP353" i="1"/>
  <c r="BP349" i="1"/>
  <c r="BP314" i="1"/>
  <c r="BP272" i="1"/>
  <c r="CE30" i="1"/>
  <c r="CE26" i="1"/>
  <c r="CE290" i="1"/>
  <c r="CE207" i="1"/>
  <c r="CE189" i="1"/>
  <c r="CE168" i="1"/>
  <c r="CE160" i="1"/>
  <c r="CE145" i="1"/>
  <c r="CE142" i="1"/>
  <c r="CE136" i="1"/>
  <c r="CE128" i="1"/>
  <c r="CE120" i="1"/>
  <c r="CE113" i="1"/>
  <c r="CE106" i="1"/>
  <c r="CE95" i="1"/>
  <c r="T350" i="1"/>
  <c r="Q328" i="1"/>
  <c r="Q237" i="1"/>
  <c r="T32" i="1"/>
  <c r="T247" i="1"/>
  <c r="T219" i="1"/>
  <c r="Q184" i="1"/>
  <c r="T146" i="1"/>
  <c r="T125" i="1"/>
  <c r="T80" i="1"/>
  <c r="Q75" i="1"/>
  <c r="Q348" i="1"/>
  <c r="Q340" i="1"/>
  <c r="Q316" i="1"/>
  <c r="Q313" i="1"/>
  <c r="Q297" i="1"/>
  <c r="Q275" i="1"/>
  <c r="Q271" i="1"/>
  <c r="Q29" i="1"/>
  <c r="Q25" i="1"/>
  <c r="Q18" i="1"/>
  <c r="Q252" i="1"/>
  <c r="Q293" i="1"/>
  <c r="Q289" i="1"/>
  <c r="Q285" i="1"/>
  <c r="Q40" i="1"/>
  <c r="Q241" i="1"/>
  <c r="Q229" i="1"/>
  <c r="Q225" i="1"/>
  <c r="Q221" i="1"/>
  <c r="Q217" i="1"/>
  <c r="Q214" i="1"/>
  <c r="Q210" i="1"/>
  <c r="Q206" i="1"/>
  <c r="Q199" i="1"/>
  <c r="Q192" i="1"/>
  <c r="Q188" i="1"/>
  <c r="Q182" i="1"/>
  <c r="Q178" i="1"/>
  <c r="Q167" i="1"/>
  <c r="Q163" i="1"/>
  <c r="Q159" i="1"/>
  <c r="Q155" i="1"/>
  <c r="Q44" i="1"/>
  <c r="Q148" i="1"/>
  <c r="Q135" i="1"/>
  <c r="Q131" i="1"/>
  <c r="Q123" i="1"/>
  <c r="Q105" i="1"/>
  <c r="Q98" i="1"/>
  <c r="Q94" i="1"/>
  <c r="Q93" i="1"/>
  <c r="Q92" i="1"/>
  <c r="Q86" i="1"/>
  <c r="Q82" i="1"/>
  <c r="Q13" i="1"/>
  <c r="T334" i="1"/>
  <c r="T326" i="1"/>
  <c r="T318" i="1"/>
  <c r="T280" i="1"/>
  <c r="T27" i="1"/>
  <c r="T151" i="1"/>
  <c r="T24" i="1"/>
  <c r="T20" i="1"/>
  <c r="T16" i="1"/>
  <c r="T239" i="1"/>
  <c r="T235" i="1"/>
  <c r="T295" i="1"/>
  <c r="T291" i="1"/>
  <c r="T287" i="1"/>
  <c r="T42" i="1"/>
  <c r="T38" i="1"/>
  <c r="T243" i="1"/>
  <c r="T234" i="1"/>
  <c r="T231" i="1"/>
  <c r="T227" i="1"/>
  <c r="T223" i="1"/>
  <c r="T215" i="1"/>
  <c r="T212" i="1"/>
  <c r="T208" i="1"/>
  <c r="T204" i="1"/>
  <c r="T201" i="1"/>
  <c r="T198" i="1"/>
  <c r="T190" i="1"/>
  <c r="T186" i="1"/>
  <c r="T180" i="1"/>
  <c r="T176" i="1"/>
  <c r="T169" i="1"/>
  <c r="T165" i="1"/>
  <c r="T161" i="1"/>
  <c r="T157" i="1"/>
  <c r="T153" i="1"/>
  <c r="T143" i="1"/>
  <c r="T139" i="1"/>
  <c r="T137" i="1"/>
  <c r="T121" i="1"/>
  <c r="T114" i="1"/>
  <c r="T107" i="1"/>
  <c r="T100" i="1"/>
  <c r="T96" i="1"/>
  <c r="T69" i="1"/>
  <c r="T58" i="1"/>
  <c r="T56" i="1"/>
  <c r="T46" i="1"/>
  <c r="T11" i="1"/>
  <c r="Q344" i="1"/>
  <c r="T342" i="1"/>
  <c r="Q336" i="1"/>
  <c r="Q320" i="1"/>
  <c r="T284" i="1"/>
  <c r="T273" i="1"/>
  <c r="Q245" i="1"/>
  <c r="Q232" i="1"/>
  <c r="T129" i="1"/>
  <c r="Q127" i="1"/>
  <c r="Q119" i="1"/>
  <c r="T117" i="1"/>
  <c r="Q115" i="1"/>
  <c r="T104" i="1"/>
  <c r="Q79" i="1"/>
  <c r="T77" i="1"/>
  <c r="T73" i="1"/>
  <c r="BP310" i="1"/>
  <c r="E295" i="4"/>
  <c r="E42" i="4"/>
  <c r="E251" i="4"/>
  <c r="E234" i="4"/>
  <c r="E227" i="4"/>
  <c r="E198" i="4"/>
  <c r="E190" i="4"/>
  <c r="E184" i="4"/>
  <c r="E165" i="4"/>
  <c r="E157" i="4"/>
  <c r="E150" i="4"/>
  <c r="E133" i="4"/>
  <c r="E125" i="4"/>
  <c r="E117" i="4"/>
  <c r="E111" i="4"/>
  <c r="E105" i="4"/>
  <c r="E100" i="4"/>
  <c r="E95" i="4"/>
  <c r="E92" i="4"/>
  <c r="E70" i="4"/>
  <c r="E51" i="4"/>
  <c r="E355" i="4"/>
  <c r="E351" i="4"/>
  <c r="E347" i="4"/>
  <c r="E343" i="4"/>
  <c r="E339" i="4"/>
  <c r="E335" i="4"/>
  <c r="E331" i="4"/>
  <c r="E257" i="4"/>
  <c r="E25" i="4"/>
  <c r="E21" i="4"/>
  <c r="E17" i="4"/>
  <c r="E240" i="4"/>
  <c r="E255" i="4"/>
  <c r="E288" i="4"/>
  <c r="E244" i="4"/>
  <c r="E213" i="4"/>
  <c r="E209" i="4"/>
  <c r="E195" i="4"/>
  <c r="E181" i="4"/>
  <c r="E170" i="4"/>
  <c r="E79" i="4"/>
  <c r="E67" i="4"/>
  <c r="AU333" i="1"/>
  <c r="AU310" i="1"/>
  <c r="AU298" i="1"/>
  <c r="AU26" i="1"/>
  <c r="AU230" i="1"/>
  <c r="AU124" i="1"/>
  <c r="AU106" i="1"/>
  <c r="Q168" i="1"/>
  <c r="T191" i="1"/>
  <c r="T270" i="1"/>
  <c r="T315" i="1"/>
  <c r="T347" i="1"/>
  <c r="Q345" i="1"/>
  <c r="Q337" i="1"/>
  <c r="T335" i="1"/>
  <c r="Q321" i="1"/>
  <c r="T319" i="1"/>
  <c r="Q314" i="1"/>
  <c r="Q238" i="1"/>
  <c r="Q160" i="1"/>
  <c r="Q353" i="1"/>
  <c r="Q349" i="1"/>
  <c r="Q341" i="1"/>
  <c r="Q333" i="1"/>
  <c r="Q325" i="1"/>
  <c r="Q310" i="1"/>
  <c r="Q306" i="1"/>
  <c r="Q302" i="1"/>
  <c r="Q298" i="1"/>
  <c r="Q276" i="1"/>
  <c r="Q268" i="1"/>
  <c r="Q264" i="1"/>
  <c r="Q260" i="1"/>
  <c r="Q256" i="1"/>
  <c r="Q26" i="1"/>
  <c r="Q255" i="1"/>
  <c r="Q23" i="1"/>
  <c r="Q253" i="1"/>
  <c r="Q294" i="1"/>
  <c r="Q34" i="1"/>
  <c r="Q250" i="1"/>
  <c r="Q246" i="1"/>
  <c r="Q242" i="1"/>
  <c r="Q233" i="1"/>
  <c r="Q230" i="1"/>
  <c r="Q226" i="1"/>
  <c r="Q222" i="1"/>
  <c r="Q218" i="1"/>
  <c r="Q211" i="1"/>
  <c r="Q207" i="1"/>
  <c r="Q203" i="1"/>
  <c r="Q200" i="1"/>
  <c r="Q197" i="1"/>
  <c r="Q193" i="1"/>
  <c r="Q189" i="1"/>
  <c r="Q185" i="1"/>
  <c r="Q156" i="1"/>
  <c r="Q149" i="1"/>
  <c r="Q76" i="1"/>
  <c r="Q72" i="1"/>
  <c r="Q68" i="1"/>
  <c r="Q49" i="1"/>
  <c r="Q45" i="1"/>
  <c r="T351" i="1"/>
  <c r="T343" i="1"/>
  <c r="T339" i="1"/>
  <c r="T331" i="1"/>
  <c r="T323" i="1"/>
  <c r="T308" i="1"/>
  <c r="T304" i="1"/>
  <c r="T300" i="1"/>
  <c r="T278" i="1"/>
  <c r="T266" i="1"/>
  <c r="T262" i="1"/>
  <c r="T258" i="1"/>
  <c r="T152" i="1"/>
  <c r="T254" i="1"/>
  <c r="T251" i="1"/>
  <c r="T36" i="1"/>
  <c r="T33" i="1"/>
  <c r="T248" i="1"/>
  <c r="T244" i="1"/>
  <c r="T240" i="1"/>
  <c r="T228" i="1"/>
  <c r="T224" i="1"/>
  <c r="T220" i="1"/>
  <c r="T216" i="1"/>
  <c r="T205" i="1"/>
  <c r="T202" i="1"/>
  <c r="T183" i="1"/>
  <c r="T181" i="1"/>
  <c r="T162" i="1"/>
  <c r="T138" i="1"/>
  <c r="T118" i="1"/>
  <c r="T112" i="1"/>
  <c r="T97" i="1"/>
  <c r="T88" i="1"/>
  <c r="T85" i="1"/>
  <c r="T81" i="1"/>
  <c r="T78" i="1"/>
  <c r="AO346" i="1"/>
  <c r="AU350" i="1"/>
  <c r="AU346" i="1"/>
  <c r="AU338" i="1"/>
  <c r="AU334" i="1"/>
  <c r="AU326" i="1"/>
  <c r="AU322" i="1"/>
  <c r="AU307" i="1"/>
  <c r="AU303" i="1"/>
  <c r="AU284" i="1"/>
  <c r="AU280" i="1"/>
  <c r="AU277" i="1"/>
  <c r="AU273" i="1"/>
  <c r="AU269" i="1"/>
  <c r="AU265" i="1"/>
  <c r="AU257" i="1"/>
  <c r="AU295" i="1"/>
  <c r="AU247" i="1"/>
  <c r="AU227" i="1"/>
  <c r="AU198" i="1"/>
  <c r="AU180" i="1"/>
  <c r="AU176" i="1"/>
  <c r="AU153" i="1"/>
  <c r="T195" i="1"/>
  <c r="T236" i="1"/>
  <c r="T21" i="1"/>
  <c r="T312" i="1"/>
  <c r="Q329" i="1"/>
  <c r="T327" i="1"/>
  <c r="T31" i="1"/>
  <c r="T74" i="1"/>
  <c r="T154" i="1"/>
  <c r="T296" i="1"/>
  <c r="Q283" i="1"/>
  <c r="T274" i="1"/>
  <c r="Q272" i="1"/>
  <c r="T101" i="1"/>
  <c r="Q347" i="1"/>
  <c r="T345" i="1"/>
  <c r="T337" i="1"/>
  <c r="Q327" i="1"/>
  <c r="T321" i="1"/>
  <c r="Q274" i="1"/>
  <c r="T272" i="1"/>
  <c r="Q28" i="1"/>
  <c r="Q17" i="1"/>
  <c r="T15" i="1"/>
  <c r="Q251" i="1"/>
  <c r="Q36" i="1"/>
  <c r="T34" i="1"/>
  <c r="Q33" i="1"/>
  <c r="T250" i="1"/>
  <c r="Q240" i="1"/>
  <c r="T233" i="1"/>
  <c r="T230" i="1"/>
  <c r="Q150" i="1"/>
  <c r="T149" i="1"/>
  <c r="Q112" i="1"/>
  <c r="T110" i="1"/>
  <c r="T99" i="1"/>
  <c r="T68" i="1"/>
  <c r="Q62" i="1"/>
  <c r="AU139" i="1"/>
  <c r="AU137" i="1"/>
  <c r="AU129" i="1"/>
  <c r="AU114" i="1"/>
  <c r="AU107" i="1"/>
  <c r="AU91" i="1"/>
  <c r="AU77" i="1"/>
  <c r="AU69" i="1"/>
  <c r="AU58" i="1"/>
  <c r="AU11" i="1"/>
  <c r="BP289" i="1"/>
  <c r="BP199" i="1"/>
  <c r="Q335" i="1"/>
  <c r="T329" i="1"/>
  <c r="Q319" i="1"/>
  <c r="T314" i="1"/>
  <c r="Q296" i="1"/>
  <c r="T283" i="1"/>
  <c r="Q281" i="1"/>
  <c r="T30" i="1"/>
  <c r="Q21" i="1"/>
  <c r="T19" i="1"/>
  <c r="T238" i="1"/>
  <c r="Q236" i="1"/>
  <c r="Q248" i="1"/>
  <c r="T246" i="1"/>
  <c r="T218" i="1"/>
  <c r="Q216" i="1"/>
  <c r="Q177" i="1"/>
  <c r="T136" i="1"/>
  <c r="Q74" i="1"/>
  <c r="Q54" i="1"/>
  <c r="Q47" i="1"/>
  <c r="T45" i="1"/>
  <c r="Q292" i="1"/>
  <c r="Q288" i="1"/>
  <c r="Q43" i="1"/>
  <c r="Q39" i="1"/>
  <c r="Q244" i="1"/>
  <c r="Q228" i="1"/>
  <c r="Q224" i="1"/>
  <c r="Q209" i="1"/>
  <c r="Q202" i="1"/>
  <c r="Q195" i="1"/>
  <c r="Q191" i="1"/>
  <c r="Q187" i="1"/>
  <c r="Q183" i="1"/>
  <c r="Q181" i="1"/>
  <c r="Q170" i="1"/>
  <c r="Q162" i="1"/>
  <c r="Q154" i="1"/>
  <c r="Q14" i="1"/>
  <c r="Q138" i="1"/>
  <c r="Q134" i="1"/>
  <c r="Q130" i="1"/>
  <c r="Q108" i="1"/>
  <c r="Q101" i="1"/>
  <c r="Q85" i="1"/>
  <c r="Q70" i="1"/>
  <c r="Q66" i="1"/>
  <c r="Q57" i="1"/>
  <c r="Q51" i="1"/>
  <c r="Q12" i="1"/>
  <c r="T290" i="1"/>
  <c r="T286" i="1"/>
  <c r="T41" i="1"/>
  <c r="T37" i="1"/>
  <c r="T242" i="1"/>
  <c r="T226" i="1"/>
  <c r="T222" i="1"/>
  <c r="T203" i="1"/>
  <c r="T193" i="1"/>
  <c r="T185" i="1"/>
  <c r="T179" i="1"/>
  <c r="T172" i="1"/>
  <c r="T160" i="1"/>
  <c r="T145" i="1"/>
  <c r="T142" i="1"/>
  <c r="T132" i="1"/>
  <c r="T120" i="1"/>
  <c r="T113" i="1"/>
  <c r="T90" i="1"/>
  <c r="T83" i="1"/>
  <c r="T49" i="1"/>
  <c r="E254" i="4"/>
  <c r="E291" i="4"/>
  <c r="E287" i="4"/>
  <c r="E219" i="4"/>
  <c r="E201" i="4"/>
  <c r="E194" i="4"/>
  <c r="E180" i="4"/>
  <c r="E173" i="4"/>
  <c r="E169" i="4"/>
  <c r="E89" i="4"/>
  <c r="E85" i="4"/>
  <c r="E78" i="4"/>
  <c r="E66" i="4"/>
  <c r="E55" i="4"/>
  <c r="E296" i="4"/>
  <c r="E43" i="4"/>
  <c r="E36" i="4"/>
  <c r="E252" i="4"/>
  <c r="E248" i="4"/>
  <c r="E235" i="4"/>
  <c r="E232" i="4"/>
  <c r="E228" i="4"/>
  <c r="E224" i="4"/>
  <c r="E220" i="4"/>
  <c r="E205" i="4"/>
  <c r="E202" i="4"/>
  <c r="E187" i="4"/>
  <c r="E162" i="4"/>
  <c r="E158" i="4"/>
  <c r="E151" i="4"/>
  <c r="E147" i="4"/>
  <c r="E144" i="4"/>
  <c r="E138" i="4"/>
  <c r="E134" i="4"/>
  <c r="E130" i="4"/>
  <c r="E126" i="4"/>
  <c r="E122" i="4"/>
  <c r="E118" i="4"/>
  <c r="E115" i="4"/>
  <c r="E112" i="4"/>
  <c r="E108" i="4"/>
  <c r="E101" i="4"/>
  <c r="E97" i="4"/>
  <c r="E93" i="4"/>
  <c r="E82" i="4"/>
  <c r="E75" i="4"/>
  <c r="E71" i="4"/>
  <c r="E63" i="4"/>
  <c r="E60" i="4"/>
  <c r="E58" i="4"/>
  <c r="E52" i="4"/>
  <c r="E48" i="4"/>
  <c r="T336" i="1"/>
  <c r="T332" i="1"/>
  <c r="T328" i="1"/>
  <c r="T324" i="1"/>
  <c r="T320" i="1"/>
  <c r="Q311" i="1"/>
  <c r="Q307" i="1"/>
  <c r="Q303" i="1"/>
  <c r="Q299" i="1"/>
  <c r="T279" i="1"/>
  <c r="Q269" i="1"/>
  <c r="Q265" i="1"/>
  <c r="Q261" i="1"/>
  <c r="Q257" i="1"/>
  <c r="T25" i="1"/>
  <c r="T40" i="1"/>
  <c r="T232" i="1"/>
  <c r="Q223" i="1"/>
  <c r="Q219" i="1"/>
  <c r="T93" i="1"/>
  <c r="T86" i="1"/>
  <c r="T79" i="1"/>
  <c r="Q65" i="1"/>
  <c r="T55" i="1"/>
  <c r="T52" i="1"/>
  <c r="AU292" i="1"/>
  <c r="AU57" i="1"/>
  <c r="AU54" i="1"/>
  <c r="AU140" i="1"/>
  <c r="AG207" i="1"/>
  <c r="Q69" i="1"/>
  <c r="Q107" i="1"/>
  <c r="T44" i="1"/>
  <c r="Q176" i="1"/>
  <c r="T221" i="1"/>
  <c r="T282" i="1"/>
  <c r="T352" i="1"/>
  <c r="T309" i="1"/>
  <c r="T305" i="1"/>
  <c r="T301" i="1"/>
  <c r="T267" i="1"/>
  <c r="T263" i="1"/>
  <c r="T259" i="1"/>
  <c r="Q151" i="1"/>
  <c r="Q24" i="1"/>
  <c r="Q20" i="1"/>
  <c r="Q16" i="1"/>
  <c r="Q239" i="1"/>
  <c r="T285" i="1"/>
  <c r="T249" i="1"/>
  <c r="T210" i="1"/>
  <c r="T184" i="1"/>
  <c r="T171" i="1"/>
  <c r="Q161" i="1"/>
  <c r="Q143" i="1"/>
  <c r="Q133" i="1"/>
  <c r="T131" i="1"/>
  <c r="Q121" i="1"/>
  <c r="T119" i="1"/>
  <c r="Q114" i="1"/>
  <c r="Q73" i="1"/>
  <c r="Q11" i="1"/>
  <c r="T175" i="1"/>
  <c r="Q204" i="1"/>
  <c r="T241" i="1"/>
  <c r="Q277" i="1"/>
  <c r="Q350" i="1"/>
  <c r="Q346" i="1"/>
  <c r="Q342" i="1"/>
  <c r="Q284" i="1"/>
  <c r="Q273" i="1"/>
  <c r="T18" i="1"/>
  <c r="T289" i="1"/>
  <c r="Q198" i="1"/>
  <c r="Q194" i="1"/>
  <c r="T67" i="1"/>
  <c r="T63" i="1"/>
  <c r="Q50" i="1"/>
  <c r="AU66" i="1"/>
  <c r="AU62" i="1"/>
  <c r="AU174" i="1"/>
  <c r="AU191" i="1"/>
  <c r="AU296" i="1"/>
  <c r="AU262" i="1"/>
  <c r="Q291" i="1"/>
  <c r="Q287" i="1"/>
  <c r="Q42" i="1"/>
  <c r="Q38" i="1"/>
  <c r="Q35" i="1"/>
  <c r="Q32" i="1"/>
  <c r="Q247" i="1"/>
  <c r="Q243" i="1"/>
  <c r="Q234" i="1"/>
  <c r="Q231" i="1"/>
  <c r="Q227" i="1"/>
  <c r="Q212" i="1"/>
  <c r="Q186" i="1"/>
  <c r="Q180" i="1"/>
  <c r="Q173" i="1"/>
  <c r="Q165" i="1"/>
  <c r="Q157" i="1"/>
  <c r="Q153" i="1"/>
  <c r="Q146" i="1"/>
  <c r="Q139" i="1"/>
  <c r="Q117" i="1"/>
  <c r="Q111" i="1"/>
  <c r="Q96" i="1"/>
  <c r="Q91" i="1"/>
  <c r="Q84" i="1"/>
  <c r="Q56" i="1"/>
  <c r="Q46" i="1"/>
  <c r="T237" i="1"/>
  <c r="T252" i="1"/>
  <c r="T217" i="1"/>
  <c r="T214" i="1"/>
  <c r="T206" i="1"/>
  <c r="T199" i="1"/>
  <c r="T192" i="1"/>
  <c r="T188" i="1"/>
  <c r="T163" i="1"/>
  <c r="T159" i="1"/>
  <c r="T115" i="1"/>
  <c r="T105" i="1"/>
  <c r="T102" i="1"/>
  <c r="T92" i="1"/>
  <c r="T89" i="1"/>
  <c r="T82" i="1"/>
  <c r="T75" i="1"/>
  <c r="T71" i="1"/>
  <c r="T60" i="1"/>
  <c r="T48" i="1"/>
  <c r="AU347" i="1"/>
  <c r="AU339" i="1"/>
  <c r="AU300" i="1"/>
  <c r="AU281" i="1"/>
  <c r="AU266" i="1"/>
  <c r="AU258" i="1"/>
  <c r="AU31" i="1"/>
  <c r="AU28" i="1"/>
  <c r="AU236" i="1"/>
  <c r="AU43" i="1"/>
  <c r="AU36" i="1"/>
  <c r="AU248" i="1"/>
  <c r="AU224" i="1"/>
  <c r="AU187" i="1"/>
  <c r="AU177" i="1"/>
  <c r="AU170" i="1"/>
  <c r="AU162" i="1"/>
  <c r="AU154" i="1"/>
  <c r="AU147" i="1"/>
  <c r="AU138" i="1"/>
  <c r="AU130" i="1"/>
  <c r="AU88" i="1"/>
  <c r="AU78" i="1"/>
  <c r="AU70" i="1"/>
  <c r="AU12" i="1"/>
  <c r="L369" i="1"/>
  <c r="CL369" i="1"/>
  <c r="CO369" i="1"/>
  <c r="Q179" i="1"/>
  <c r="Q172" i="1"/>
  <c r="Q164" i="1"/>
  <c r="Q145" i="1"/>
  <c r="Q136" i="1"/>
  <c r="Q132" i="1"/>
  <c r="Q128" i="1"/>
  <c r="Q124" i="1"/>
  <c r="Q120" i="1"/>
  <c r="Q116" i="1"/>
  <c r="Q113" i="1"/>
  <c r="Q110" i="1"/>
  <c r="Q106" i="1"/>
  <c r="Q99" i="1"/>
  <c r="Q95" i="1"/>
  <c r="Q90" i="1"/>
  <c r="Q87" i="1"/>
  <c r="Q83" i="1"/>
  <c r="Q64" i="1"/>
  <c r="T177" i="1"/>
  <c r="T174" i="1"/>
  <c r="T170" i="1"/>
  <c r="T166" i="1"/>
  <c r="T158" i="1"/>
  <c r="T150" i="1"/>
  <c r="T147" i="1"/>
  <c r="T144" i="1"/>
  <c r="T14" i="1"/>
  <c r="T140" i="1"/>
  <c r="T134" i="1"/>
  <c r="T130" i="1"/>
  <c r="T126" i="1"/>
  <c r="T122" i="1"/>
  <c r="T108" i="1"/>
  <c r="T70" i="1"/>
  <c r="T66" i="1"/>
  <c r="T54" i="1"/>
  <c r="T47" i="1"/>
  <c r="T12" i="1"/>
  <c r="AG369" i="1"/>
  <c r="BQ369" i="1"/>
  <c r="I296" i="24" l="1"/>
  <c r="H280" i="24"/>
  <c r="I315" i="24"/>
  <c r="I311" i="24"/>
  <c r="I287" i="24"/>
  <c r="I180" i="24"/>
  <c r="C38" i="12"/>
  <c r="F363" i="4"/>
  <c r="H27" i="4"/>
  <c r="F361" i="4"/>
  <c r="I292" i="24"/>
  <c r="F66" i="12"/>
  <c r="I277" i="24"/>
  <c r="H105" i="24"/>
  <c r="H214" i="24"/>
  <c r="I295" i="24"/>
  <c r="H24" i="24"/>
  <c r="H176" i="24"/>
  <c r="D28" i="12"/>
  <c r="I86" i="24"/>
  <c r="I201" i="24"/>
  <c r="I179" i="24"/>
  <c r="C16" i="12"/>
  <c r="C18" i="12"/>
  <c r="C13" i="12"/>
  <c r="C27" i="12"/>
  <c r="C15" i="12"/>
  <c r="C11" i="12"/>
  <c r="D24" i="12"/>
  <c r="C28" i="12"/>
  <c r="C30" i="12"/>
  <c r="C20" i="12"/>
  <c r="C35" i="12"/>
  <c r="D25" i="12"/>
  <c r="E25" i="12" s="1"/>
  <c r="D29" i="12"/>
  <c r="C33" i="12"/>
  <c r="C24" i="12"/>
  <c r="F24" i="12" s="1"/>
  <c r="C12" i="12"/>
  <c r="C29" i="12"/>
  <c r="C14" i="12"/>
  <c r="C34" i="12"/>
  <c r="C22" i="12"/>
  <c r="H292" i="24"/>
  <c r="K292" i="24" s="1"/>
  <c r="I28" i="24"/>
  <c r="I204" i="24"/>
  <c r="I302" i="24"/>
  <c r="I174" i="24"/>
  <c r="H246" i="24"/>
  <c r="H276" i="24"/>
  <c r="H67" i="24"/>
  <c r="H122" i="24"/>
  <c r="H155" i="24"/>
  <c r="H170" i="24"/>
  <c r="H180" i="24"/>
  <c r="J180" i="24" s="1"/>
  <c r="I205" i="24"/>
  <c r="I42" i="24"/>
  <c r="I250" i="24"/>
  <c r="I270" i="24"/>
  <c r="H70" i="24"/>
  <c r="H59" i="24"/>
  <c r="H152" i="24"/>
  <c r="H300" i="24"/>
  <c r="H72" i="24"/>
  <c r="H89" i="24"/>
  <c r="H144" i="24"/>
  <c r="H302" i="24"/>
  <c r="H162" i="24"/>
  <c r="I153" i="24"/>
  <c r="H311" i="24"/>
  <c r="H305" i="24"/>
  <c r="H187" i="24"/>
  <c r="H295" i="24"/>
  <c r="I56" i="24"/>
  <c r="I72" i="24"/>
  <c r="H261" i="24"/>
  <c r="H245" i="24"/>
  <c r="H104" i="24"/>
  <c r="H45" i="24"/>
  <c r="H287" i="24"/>
  <c r="H299" i="24"/>
  <c r="I301" i="24"/>
  <c r="I290" i="24"/>
  <c r="I303" i="24"/>
  <c r="I309" i="24"/>
  <c r="I20" i="24"/>
  <c r="I300" i="24"/>
  <c r="J300" i="24" s="1"/>
  <c r="I313" i="24"/>
  <c r="I306" i="24"/>
  <c r="H314" i="24"/>
  <c r="H291" i="24"/>
  <c r="H307" i="24"/>
  <c r="H312" i="24"/>
  <c r="I276" i="24"/>
  <c r="K276" i="24" s="1"/>
  <c r="I294" i="24"/>
  <c r="I308" i="24"/>
  <c r="H102" i="24"/>
  <c r="I263" i="24"/>
  <c r="I81" i="24"/>
  <c r="I141" i="24"/>
  <c r="I190" i="24"/>
  <c r="I71" i="24"/>
  <c r="I193" i="24"/>
  <c r="H124" i="24"/>
  <c r="H205" i="24"/>
  <c r="I103" i="24"/>
  <c r="H283" i="24"/>
  <c r="H185" i="24"/>
  <c r="H118" i="24"/>
  <c r="H229" i="24"/>
  <c r="H73" i="24"/>
  <c r="H100" i="24"/>
  <c r="H77" i="24"/>
  <c r="H236" i="24"/>
  <c r="H251" i="24"/>
  <c r="H22" i="24"/>
  <c r="H91" i="24"/>
  <c r="H182" i="24"/>
  <c r="H277" i="24"/>
  <c r="I234" i="24"/>
  <c r="I209" i="24"/>
  <c r="I46" i="24"/>
  <c r="I202" i="24"/>
  <c r="I185" i="24"/>
  <c r="K185" i="24" s="1"/>
  <c r="I35" i="24"/>
  <c r="I87" i="24"/>
  <c r="I161" i="24"/>
  <c r="I210" i="24"/>
  <c r="I146" i="24"/>
  <c r="H188" i="24"/>
  <c r="H16" i="24"/>
  <c r="H184" i="24"/>
  <c r="H34" i="24"/>
  <c r="J34" i="24" s="1"/>
  <c r="H209" i="24"/>
  <c r="H211" i="24"/>
  <c r="I63" i="24"/>
  <c r="H221" i="24"/>
  <c r="H154" i="24"/>
  <c r="H53" i="24"/>
  <c r="H148" i="24"/>
  <c r="H239" i="24"/>
  <c r="H255" i="24"/>
  <c r="H94" i="24"/>
  <c r="I249" i="24"/>
  <c r="I238" i="24"/>
  <c r="I213" i="24"/>
  <c r="I275" i="24"/>
  <c r="I75" i="24"/>
  <c r="I54" i="24"/>
  <c r="I135" i="24"/>
  <c r="I114" i="24"/>
  <c r="I175" i="24"/>
  <c r="I149" i="24"/>
  <c r="I172" i="24"/>
  <c r="I102" i="24"/>
  <c r="H37" i="24"/>
  <c r="H201" i="24"/>
  <c r="I120" i="24"/>
  <c r="H95" i="24"/>
  <c r="H266" i="24"/>
  <c r="H81" i="24"/>
  <c r="H111" i="24"/>
  <c r="H75" i="24"/>
  <c r="H263" i="24"/>
  <c r="H267" i="24"/>
  <c r="H253" i="24"/>
  <c r="H112" i="24"/>
  <c r="H125" i="24"/>
  <c r="H71" i="24"/>
  <c r="H114" i="24"/>
  <c r="H174" i="24"/>
  <c r="H223" i="24"/>
  <c r="H269" i="24"/>
  <c r="I109" i="24"/>
  <c r="I57" i="24"/>
  <c r="I139" i="24"/>
  <c r="I189" i="24"/>
  <c r="I247" i="24"/>
  <c r="I97" i="24"/>
  <c r="I173" i="24"/>
  <c r="I122" i="24"/>
  <c r="I176" i="24"/>
  <c r="I196" i="24"/>
  <c r="I37" i="24"/>
  <c r="J37" i="24" s="1"/>
  <c r="I106" i="24"/>
  <c r="H231" i="24"/>
  <c r="H96" i="24"/>
  <c r="C10" i="12"/>
  <c r="C26" i="12"/>
  <c r="CE156" i="1"/>
  <c r="CE29" i="1"/>
  <c r="CE12" i="1"/>
  <c r="CE219" i="1"/>
  <c r="AR99" i="1"/>
  <c r="AR31" i="1"/>
  <c r="AR339" i="1"/>
  <c r="AR104" i="1"/>
  <c r="AR156" i="1"/>
  <c r="AR198" i="1"/>
  <c r="AR41" i="1"/>
  <c r="AR279" i="1"/>
  <c r="AR352" i="1"/>
  <c r="AR119" i="1"/>
  <c r="AR187" i="1"/>
  <c r="AR232" i="1"/>
  <c r="AR235" i="1"/>
  <c r="AR282" i="1"/>
  <c r="AR348" i="1"/>
  <c r="AR179" i="1"/>
  <c r="AR96" i="1"/>
  <c r="AR55" i="1"/>
  <c r="AR297" i="1"/>
  <c r="AR307" i="1"/>
  <c r="AR29" i="1"/>
  <c r="AR98" i="1"/>
  <c r="AR196" i="1"/>
  <c r="AR256" i="1"/>
  <c r="AR332" i="1"/>
  <c r="AR139" i="1"/>
  <c r="AR230" i="1"/>
  <c r="AR269" i="1"/>
  <c r="AR38" i="1"/>
  <c r="AR346" i="1"/>
  <c r="CE344" i="1"/>
  <c r="CE15" i="1"/>
  <c r="CE294" i="1"/>
  <c r="AR276" i="1"/>
  <c r="AR220" i="1"/>
  <c r="AR117" i="1"/>
  <c r="AR168" i="1"/>
  <c r="AR51" i="1"/>
  <c r="AR295" i="1"/>
  <c r="AR300" i="1"/>
  <c r="AR71" i="1"/>
  <c r="AR127" i="1"/>
  <c r="AR153" i="1"/>
  <c r="AR199" i="1"/>
  <c r="AR243" i="1"/>
  <c r="AR18" i="1"/>
  <c r="AR318" i="1"/>
  <c r="AR323" i="1"/>
  <c r="AR147" i="1"/>
  <c r="AR75" i="1"/>
  <c r="AR175" i="1"/>
  <c r="AR342" i="1"/>
  <c r="CE276" i="1"/>
  <c r="AR183" i="1"/>
  <c r="AR324" i="1"/>
  <c r="AR143" i="1"/>
  <c r="AR245" i="1"/>
  <c r="AR105" i="1"/>
  <c r="AR170" i="1"/>
  <c r="AR288" i="1"/>
  <c r="AR333" i="1"/>
  <c r="AR118" i="1"/>
  <c r="AR12" i="1"/>
  <c r="CE215" i="1"/>
  <c r="AR229" i="1"/>
  <c r="AR17" i="1"/>
  <c r="AR320" i="1"/>
  <c r="AR69" i="1"/>
  <c r="AR128" i="1"/>
  <c r="AR186" i="1"/>
  <c r="AR208" i="1"/>
  <c r="AR254" i="1"/>
  <c r="AR308" i="1"/>
  <c r="AR79" i="1"/>
  <c r="AR130" i="1"/>
  <c r="AR158" i="1"/>
  <c r="AR221" i="1"/>
  <c r="AR34" i="1"/>
  <c r="AR25" i="1"/>
  <c r="AR322" i="1"/>
  <c r="AR303" i="1"/>
  <c r="AR148" i="1"/>
  <c r="AR78" i="1"/>
  <c r="AR106" i="1"/>
  <c r="AR126" i="1"/>
  <c r="P359" i="1"/>
  <c r="P365" i="1" s="1"/>
  <c r="P357" i="1"/>
  <c r="H12" i="3" s="1"/>
  <c r="S359" i="1"/>
  <c r="S365" i="1" s="1"/>
  <c r="BO354" i="1"/>
  <c r="D30" i="3" s="1"/>
  <c r="E53" i="4"/>
  <c r="E64" i="4"/>
  <c r="E80" i="4"/>
  <c r="E109" i="4"/>
  <c r="E123" i="4"/>
  <c r="E139" i="4"/>
  <c r="E171" i="4"/>
  <c r="E200" i="4"/>
  <c r="E214" i="4"/>
  <c r="E249" i="4"/>
  <c r="E289" i="4"/>
  <c r="E241" i="4"/>
  <c r="E153" i="4"/>
  <c r="E267" i="4"/>
  <c r="E282" i="4"/>
  <c r="E309" i="4"/>
  <c r="E324" i="4"/>
  <c r="E340" i="4"/>
  <c r="E292" i="4"/>
  <c r="E308" i="4"/>
  <c r="E323" i="4"/>
  <c r="E185" i="4"/>
  <c r="E253" i="4"/>
  <c r="E54" i="4"/>
  <c r="E73" i="4"/>
  <c r="E110" i="4"/>
  <c r="E132" i="4"/>
  <c r="E149" i="4"/>
  <c r="E168" i="4"/>
  <c r="E207" i="4"/>
  <c r="E230" i="4"/>
  <c r="E294" i="4"/>
  <c r="E256" i="4"/>
  <c r="E260" i="4"/>
  <c r="E276" i="4"/>
  <c r="E302" i="4"/>
  <c r="E317" i="4"/>
  <c r="E333" i="4"/>
  <c r="E349" i="4"/>
  <c r="E47" i="4"/>
  <c r="E31" i="4"/>
  <c r="E273" i="4"/>
  <c r="E299" i="4"/>
  <c r="E315" i="4"/>
  <c r="E330" i="4"/>
  <c r="E56" i="4"/>
  <c r="E68" i="4"/>
  <c r="E98" i="4"/>
  <c r="E113" i="4"/>
  <c r="E175" i="4"/>
  <c r="E188" i="4"/>
  <c r="E203" i="4"/>
  <c r="E217" i="4"/>
  <c r="E293" i="4"/>
  <c r="E18" i="4"/>
  <c r="E271" i="4"/>
  <c r="E286" i="4"/>
  <c r="E313" i="4"/>
  <c r="E328" i="4"/>
  <c r="E86" i="4"/>
  <c r="E28" i="4"/>
  <c r="E285" i="4"/>
  <c r="E312" i="4"/>
  <c r="E327" i="4"/>
  <c r="E146" i="4"/>
  <c r="E211" i="4"/>
  <c r="E57" i="4"/>
  <c r="E99" i="4"/>
  <c r="E114" i="4"/>
  <c r="E136" i="4"/>
  <c r="E152" i="4"/>
  <c r="E193" i="4"/>
  <c r="E242" i="4"/>
  <c r="E38" i="4"/>
  <c r="E154" i="4"/>
  <c r="E264" i="4"/>
  <c r="E306" i="4"/>
  <c r="E321" i="4"/>
  <c r="E337" i="4"/>
  <c r="E353" i="4"/>
  <c r="E96" i="4"/>
  <c r="E208" i="4"/>
  <c r="E247" i="4"/>
  <c r="E303" i="4"/>
  <c r="E318" i="4"/>
  <c r="E13" i="4"/>
  <c r="E59" i="4"/>
  <c r="E72" i="4"/>
  <c r="E87" i="4"/>
  <c r="E131" i="4"/>
  <c r="E159" i="4"/>
  <c r="E178" i="4"/>
  <c r="E206" i="4"/>
  <c r="E221" i="4"/>
  <c r="E236" i="4"/>
  <c r="E40" i="4"/>
  <c r="E297" i="4"/>
  <c r="E22" i="4"/>
  <c r="E275" i="4"/>
  <c r="E301" i="4"/>
  <c r="E332" i="4"/>
  <c r="E348" i="4"/>
  <c r="E191" i="4"/>
  <c r="E32" i="4"/>
  <c r="E300" i="4"/>
  <c r="E222" i="4"/>
  <c r="E84" i="4"/>
  <c r="E103" i="4"/>
  <c r="E120" i="4"/>
  <c r="E160" i="4"/>
  <c r="E179" i="4"/>
  <c r="E197" i="4"/>
  <c r="E218" i="4"/>
  <c r="E246" i="4"/>
  <c r="E45" i="4"/>
  <c r="E30" i="4"/>
  <c r="E268" i="4"/>
  <c r="E283" i="4"/>
  <c r="E310" i="4"/>
  <c r="E325" i="4"/>
  <c r="E341" i="4"/>
  <c r="E121" i="4"/>
  <c r="E212" i="4"/>
  <c r="E239" i="4"/>
  <c r="E265" i="4"/>
  <c r="E281" i="4"/>
  <c r="E307" i="4"/>
  <c r="E322" i="4"/>
  <c r="E346" i="4"/>
  <c r="E61" i="4"/>
  <c r="E76" i="4"/>
  <c r="E90" i="4"/>
  <c r="E106" i="4"/>
  <c r="E119" i="4"/>
  <c r="E135" i="4"/>
  <c r="E145" i="4"/>
  <c r="E163" i="4"/>
  <c r="E182" i="4"/>
  <c r="E196" i="4"/>
  <c r="E210" i="4"/>
  <c r="E225" i="4"/>
  <c r="E245" i="4"/>
  <c r="E44" i="4"/>
  <c r="E237" i="4"/>
  <c r="E26" i="4"/>
  <c r="E352" i="4"/>
  <c r="E274" i="4"/>
  <c r="E304" i="4"/>
  <c r="E319" i="4"/>
  <c r="E62" i="4"/>
  <c r="E41" i="4"/>
  <c r="E15" i="4"/>
  <c r="E88" i="4"/>
  <c r="E128" i="4"/>
  <c r="E16" i="4"/>
  <c r="E164" i="4"/>
  <c r="E183" i="4"/>
  <c r="E204" i="4"/>
  <c r="E226" i="4"/>
  <c r="E290" i="4"/>
  <c r="E143" i="4"/>
  <c r="E223" i="4"/>
  <c r="E27" i="4"/>
  <c r="E269" i="4"/>
  <c r="E284" i="4"/>
  <c r="E311" i="4"/>
  <c r="E326" i="4"/>
  <c r="E350" i="4"/>
  <c r="C17" i="12"/>
  <c r="DY296" i="1"/>
  <c r="K15" i="5"/>
  <c r="EA245" i="1"/>
  <c r="H336" i="24"/>
  <c r="EA349" i="1"/>
  <c r="EA329" i="1"/>
  <c r="EA307" i="1"/>
  <c r="EA299" i="1"/>
  <c r="EA272" i="1"/>
  <c r="EA264" i="1"/>
  <c r="EA238" i="1"/>
  <c r="EA286" i="1"/>
  <c r="EA240" i="1"/>
  <c r="EA209" i="1"/>
  <c r="EA172" i="1"/>
  <c r="EA157" i="1"/>
  <c r="EA127" i="1"/>
  <c r="EA116" i="1"/>
  <c r="EA89" i="1"/>
  <c r="EA66" i="1"/>
  <c r="EA51" i="1"/>
  <c r="EA318" i="1"/>
  <c r="EA273" i="1"/>
  <c r="EA243" i="1"/>
  <c r="EA117" i="1"/>
  <c r="EA353" i="1"/>
  <c r="EA340" i="1"/>
  <c r="EA314" i="1"/>
  <c r="EA302" i="1"/>
  <c r="EA277" i="1"/>
  <c r="EA267" i="1"/>
  <c r="EA257" i="1"/>
  <c r="EA17" i="1"/>
  <c r="EA292" i="1"/>
  <c r="EA216" i="1"/>
  <c r="EA188" i="1"/>
  <c r="EA162" i="1"/>
  <c r="EA132" i="1"/>
  <c r="EA122" i="1"/>
  <c r="EA98" i="1"/>
  <c r="EA74" i="1"/>
  <c r="EA61" i="1"/>
  <c r="EA312" i="1"/>
  <c r="EA20" i="1"/>
  <c r="EA211" i="1"/>
  <c r="EA90" i="1"/>
  <c r="EA352" i="1"/>
  <c r="EA334" i="1"/>
  <c r="EA313" i="1"/>
  <c r="EA301" i="1"/>
  <c r="EA276" i="1"/>
  <c r="EA266" i="1"/>
  <c r="EA256" i="1"/>
  <c r="EA16" i="1"/>
  <c r="EA291" i="1"/>
  <c r="EA244" i="1"/>
  <c r="EA212" i="1"/>
  <c r="EA175" i="1"/>
  <c r="EA160" i="1"/>
  <c r="EA130" i="1"/>
  <c r="EA120" i="1"/>
  <c r="EA91" i="1"/>
  <c r="EA68" i="1"/>
  <c r="EA60" i="1"/>
  <c r="EA350" i="1"/>
  <c r="EA269" i="1"/>
  <c r="EA37" i="1"/>
  <c r="EA135" i="1"/>
  <c r="EA113" i="1"/>
  <c r="EA304" i="1"/>
  <c r="EA295" i="1"/>
  <c r="EA173" i="1"/>
  <c r="EA82" i="1"/>
  <c r="EA345" i="1"/>
  <c r="EA303" i="1"/>
  <c r="EA279" i="1"/>
  <c r="EA268" i="1"/>
  <c r="EA258" i="1"/>
  <c r="EA19" i="1"/>
  <c r="EA293" i="1"/>
  <c r="EA32" i="1"/>
  <c r="EA217" i="1"/>
  <c r="EA190" i="1"/>
  <c r="EA163" i="1"/>
  <c r="EA134" i="1"/>
  <c r="EA123" i="1"/>
  <c r="EA111" i="1"/>
  <c r="EA80" i="1"/>
  <c r="EA62" i="1"/>
  <c r="EA296" i="1"/>
  <c r="EA26" i="1"/>
  <c r="EA164" i="1"/>
  <c r="EA63" i="1"/>
  <c r="EA348" i="1"/>
  <c r="EA325" i="1"/>
  <c r="EA306" i="1"/>
  <c r="EA298" i="1"/>
  <c r="EA271" i="1"/>
  <c r="EA262" i="1"/>
  <c r="EA23" i="1"/>
  <c r="EA236" i="1"/>
  <c r="EA285" i="1"/>
  <c r="EA231" i="1"/>
  <c r="EA208" i="1"/>
  <c r="EA169" i="1"/>
  <c r="EA155" i="1"/>
  <c r="EA126" i="1"/>
  <c r="EA115" i="1"/>
  <c r="EA88" i="1"/>
  <c r="EA65" i="1"/>
  <c r="EA50" i="1"/>
  <c r="EA346" i="1"/>
  <c r="EA265" i="1"/>
  <c r="EA288" i="1"/>
  <c r="EA158" i="1"/>
  <c r="EA52" i="1"/>
  <c r="EA347" i="1"/>
  <c r="EA324" i="1"/>
  <c r="EA305" i="1"/>
  <c r="EA297" i="1"/>
  <c r="EA270" i="1"/>
  <c r="EA260" i="1"/>
  <c r="EA22" i="1"/>
  <c r="EA253" i="1"/>
  <c r="EA39" i="1"/>
  <c r="EA225" i="1"/>
  <c r="EA207" i="1"/>
  <c r="EA165" i="1"/>
  <c r="EA145" i="1"/>
  <c r="EA125" i="1"/>
  <c r="EA114" i="1"/>
  <c r="EA83" i="1"/>
  <c r="EA64" i="1"/>
  <c r="EA49" i="1"/>
  <c r="EA300" i="1"/>
  <c r="EA15" i="1"/>
  <c r="EA204" i="1"/>
  <c r="EA129" i="1"/>
  <c r="EA67" i="1"/>
  <c r="EA332" i="1"/>
  <c r="EA259" i="1"/>
  <c r="EA219" i="1"/>
  <c r="EA124" i="1"/>
  <c r="EA48" i="1"/>
  <c r="DY306" i="1"/>
  <c r="CR126" i="1"/>
  <c r="CU126" i="1" s="1"/>
  <c r="AT359" i="1"/>
  <c r="N22" i="3" s="1"/>
  <c r="H86" i="24"/>
  <c r="H47" i="4"/>
  <c r="DY321" i="1"/>
  <c r="EA5" i="1"/>
  <c r="EB5" i="1" s="1"/>
  <c r="EC5" i="1" s="1"/>
  <c r="ED5" i="1" s="1"/>
  <c r="EE5" i="1" s="1"/>
  <c r="EF5" i="1" s="1"/>
  <c r="EG5" i="1" s="1"/>
  <c r="EH5" i="1" s="1"/>
  <c r="H166" i="24"/>
  <c r="J166" i="24" s="1"/>
  <c r="DU354" i="1"/>
  <c r="H138" i="24"/>
  <c r="CQ130" i="1"/>
  <c r="CQ200" i="1"/>
  <c r="CQ343" i="1"/>
  <c r="H43" i="24"/>
  <c r="H289" i="24"/>
  <c r="DY74" i="1"/>
  <c r="CQ283" i="1"/>
  <c r="H132" i="24"/>
  <c r="H88" i="24"/>
  <c r="CQ187" i="1"/>
  <c r="BS74" i="1"/>
  <c r="CQ218" i="1"/>
  <c r="CQ138" i="1"/>
  <c r="BS258" i="1"/>
  <c r="CQ41" i="1"/>
  <c r="CQ228" i="1"/>
  <c r="E66" i="12"/>
  <c r="CQ168" i="1"/>
  <c r="H98" i="24"/>
  <c r="CR258" i="1"/>
  <c r="CU258" i="1" s="1"/>
  <c r="H20" i="24"/>
  <c r="CR242" i="1"/>
  <c r="CU242" i="1" s="1"/>
  <c r="H194" i="24"/>
  <c r="DY191" i="1"/>
  <c r="H273" i="24"/>
  <c r="H123" i="24"/>
  <c r="K123" i="24" s="1"/>
  <c r="H249" i="24"/>
  <c r="H372" i="24"/>
  <c r="BS315" i="1"/>
  <c r="BS331" i="1"/>
  <c r="CQ108" i="1"/>
  <c r="CQ224" i="1"/>
  <c r="CQ347" i="1"/>
  <c r="CQ64" i="1"/>
  <c r="CQ147" i="1"/>
  <c r="CQ126" i="1"/>
  <c r="CQ266" i="1"/>
  <c r="CR266" i="1"/>
  <c r="CU266" i="1" s="1"/>
  <c r="DY331" i="1"/>
  <c r="H297" i="24"/>
  <c r="H30" i="24"/>
  <c r="DY240" i="1"/>
  <c r="DY124" i="1"/>
  <c r="H12" i="4"/>
  <c r="H362" i="4" s="1"/>
  <c r="DY36" i="1"/>
  <c r="DY302" i="1"/>
  <c r="DY33" i="1"/>
  <c r="DY292" i="1"/>
  <c r="DY268" i="1"/>
  <c r="H146" i="24"/>
  <c r="H271" i="24"/>
  <c r="CR310" i="1"/>
  <c r="CU310" i="1" s="1"/>
  <c r="H57" i="24"/>
  <c r="DY53" i="1"/>
  <c r="DY228" i="1"/>
  <c r="H210" i="24"/>
  <c r="BS228" i="1"/>
  <c r="F356" i="4"/>
  <c r="CR164" i="1"/>
  <c r="CU164" i="1" s="1"/>
  <c r="CR185" i="1"/>
  <c r="CU185" i="1" s="1"/>
  <c r="CR302" i="1"/>
  <c r="CU302" i="1" s="1"/>
  <c r="DY349" i="1"/>
  <c r="H237" i="24"/>
  <c r="H127" i="24"/>
  <c r="AT358" i="1"/>
  <c r="K22" i="3" s="1"/>
  <c r="DY39" i="1"/>
  <c r="CR308" i="1"/>
  <c r="CU308" i="1" s="1"/>
  <c r="CR339" i="1"/>
  <c r="CU339" i="1" s="1"/>
  <c r="DY144" i="1"/>
  <c r="CR57" i="1"/>
  <c r="CU57" i="1" s="1"/>
  <c r="I159" i="24"/>
  <c r="J159" i="24" s="1"/>
  <c r="CQ106" i="1"/>
  <c r="CQ122" i="1"/>
  <c r="CQ179" i="1"/>
  <c r="CQ314" i="1"/>
  <c r="CQ57" i="1"/>
  <c r="CQ349" i="1"/>
  <c r="CQ54" i="1"/>
  <c r="CQ30" i="1"/>
  <c r="H216" i="24"/>
  <c r="CR270" i="1"/>
  <c r="CU270" i="1" s="1"/>
  <c r="CR296" i="1"/>
  <c r="CU296" i="1" s="1"/>
  <c r="H301" i="24"/>
  <c r="CR341" i="1"/>
  <c r="CU341" i="1" s="1"/>
  <c r="CR333" i="1"/>
  <c r="CU333" i="1" s="1"/>
  <c r="H309" i="24"/>
  <c r="H360" i="24"/>
  <c r="CR118" i="1"/>
  <c r="CU118" i="1" s="1"/>
  <c r="CR300" i="1"/>
  <c r="CU300" i="1" s="1"/>
  <c r="H200" i="24"/>
  <c r="DY99" i="1"/>
  <c r="DY14" i="1"/>
  <c r="CR30" i="1"/>
  <c r="CU30" i="1" s="1"/>
  <c r="DY179" i="1"/>
  <c r="CR331" i="1"/>
  <c r="CU331" i="1" s="1"/>
  <c r="CR14" i="1"/>
  <c r="CU14" i="1" s="1"/>
  <c r="CR216" i="1"/>
  <c r="CU216" i="1" s="1"/>
  <c r="CR240" i="1"/>
  <c r="CU240" i="1" s="1"/>
  <c r="CR292" i="1"/>
  <c r="CU292" i="1" s="1"/>
  <c r="CR76" i="1"/>
  <c r="CU76" i="1" s="1"/>
  <c r="DY126" i="1"/>
  <c r="CQ15" i="1"/>
  <c r="H11" i="4"/>
  <c r="H363" i="4" s="1"/>
  <c r="CR19" i="1"/>
  <c r="CU19" i="1" s="1"/>
  <c r="CR166" i="1"/>
  <c r="CU166" i="1" s="1"/>
  <c r="CR187" i="1"/>
  <c r="CU187" i="1" s="1"/>
  <c r="DY203" i="1"/>
  <c r="CR349" i="1"/>
  <c r="CU349" i="1" s="1"/>
  <c r="H320" i="24"/>
  <c r="J320" i="24" s="1"/>
  <c r="CR298" i="1"/>
  <c r="CU298" i="1" s="1"/>
  <c r="CR306" i="1"/>
  <c r="CU306" i="1" s="1"/>
  <c r="H318" i="24"/>
  <c r="DY330" i="1"/>
  <c r="DY66" i="1"/>
  <c r="CR72" i="1"/>
  <c r="CU72" i="1" s="1"/>
  <c r="CR124" i="1"/>
  <c r="CU124" i="1" s="1"/>
  <c r="BS126" i="1"/>
  <c r="CQ300" i="1"/>
  <c r="T357" i="1"/>
  <c r="BA359" i="1"/>
  <c r="BQ359" i="1"/>
  <c r="AG357" i="1"/>
  <c r="AC357" i="1"/>
  <c r="AG359" i="1"/>
  <c r="BJ359" i="1"/>
  <c r="E357" i="1"/>
  <c r="DZ45" i="1"/>
  <c r="AX358" i="1"/>
  <c r="BP358" i="1"/>
  <c r="E358" i="1"/>
  <c r="J7" i="3" s="1"/>
  <c r="AX357" i="1"/>
  <c r="BD358" i="1"/>
  <c r="Q358" i="1"/>
  <c r="DZ10" i="1"/>
  <c r="BR358" i="1"/>
  <c r="BM358" i="1"/>
  <c r="BF357" i="1"/>
  <c r="BC357" i="1"/>
  <c r="BM359" i="1"/>
  <c r="BG359" i="1"/>
  <c r="T358" i="1"/>
  <c r="AG358" i="1"/>
  <c r="BM357" i="1"/>
  <c r="E359" i="1"/>
  <c r="M7" i="3" s="1"/>
  <c r="H9" i="24"/>
  <c r="BQ358" i="1"/>
  <c r="AC359" i="1"/>
  <c r="BD359" i="1"/>
  <c r="CO358" i="1"/>
  <c r="BG358" i="1"/>
  <c r="BA358" i="1"/>
  <c r="CO357" i="1"/>
  <c r="CO359" i="1"/>
  <c r="BJ357" i="1"/>
  <c r="BA357" i="1"/>
  <c r="AX359" i="1"/>
  <c r="DY45" i="1"/>
  <c r="BQ357" i="1"/>
  <c r="BJ358" i="1"/>
  <c r="N13" i="3"/>
  <c r="BP359" i="1"/>
  <c r="BR359" i="1"/>
  <c r="BO357" i="1"/>
  <c r="DY97" i="1"/>
  <c r="H257" i="24"/>
  <c r="DY329" i="1"/>
  <c r="DY95" i="1"/>
  <c r="CR74" i="1"/>
  <c r="CU74" i="1" s="1"/>
  <c r="H328" i="24"/>
  <c r="BS323" i="1"/>
  <c r="CQ302" i="1"/>
  <c r="CQ140" i="1"/>
  <c r="CR264" i="1"/>
  <c r="CU264" i="1" s="1"/>
  <c r="H35" i="24"/>
  <c r="DY343" i="1"/>
  <c r="CR343" i="1"/>
  <c r="CU343" i="1" s="1"/>
  <c r="H208" i="24"/>
  <c r="DY197" i="1"/>
  <c r="H265" i="24"/>
  <c r="H281" i="24"/>
  <c r="H14" i="24"/>
  <c r="CQ246" i="1"/>
  <c r="CQ286" i="1"/>
  <c r="CQ236" i="1"/>
  <c r="DY122" i="1"/>
  <c r="H164" i="24"/>
  <c r="CR108" i="1"/>
  <c r="CU108" i="1" s="1"/>
  <c r="CQ205" i="1"/>
  <c r="CQ149" i="1"/>
  <c r="CQ220" i="1"/>
  <c r="CQ74" i="1"/>
  <c r="CQ250" i="1"/>
  <c r="CQ306" i="1"/>
  <c r="DY87" i="1"/>
  <c r="H362" i="24"/>
  <c r="DY10" i="1"/>
  <c r="CR45" i="1"/>
  <c r="H55" i="24"/>
  <c r="CR253" i="1"/>
  <c r="CU253" i="1" s="1"/>
  <c r="CQ90" i="1"/>
  <c r="CR193" i="1"/>
  <c r="CU193" i="1" s="1"/>
  <c r="CR254" i="1"/>
  <c r="CU254" i="1" s="1"/>
  <c r="H129" i="24"/>
  <c r="CR36" i="1"/>
  <c r="CU36" i="1" s="1"/>
  <c r="CR329" i="1"/>
  <c r="CU329" i="1" s="1"/>
  <c r="BS150" i="1"/>
  <c r="CQ132" i="1"/>
  <c r="CR179" i="1"/>
  <c r="CU179" i="1" s="1"/>
  <c r="CR290" i="1"/>
  <c r="CU290" i="1" s="1"/>
  <c r="CR147" i="1"/>
  <c r="CU147" i="1" s="1"/>
  <c r="CR321" i="1"/>
  <c r="CU321" i="1" s="1"/>
  <c r="H108" i="24"/>
  <c r="CR130" i="1"/>
  <c r="CU130" i="1" s="1"/>
  <c r="CR202" i="1"/>
  <c r="CU202" i="1" s="1"/>
  <c r="CQ335" i="1"/>
  <c r="CQ19" i="1"/>
  <c r="AU156" i="1"/>
  <c r="AU175" i="1"/>
  <c r="I88" i="24"/>
  <c r="H278" i="24"/>
  <c r="H113" i="24"/>
  <c r="DY350" i="1"/>
  <c r="H48" i="24"/>
  <c r="DY111" i="1"/>
  <c r="DY162" i="1"/>
  <c r="DY304" i="1"/>
  <c r="DY283" i="1"/>
  <c r="CQ290" i="1"/>
  <c r="CQ37" i="1"/>
  <c r="BS59" i="1"/>
  <c r="DY195" i="1"/>
  <c r="DY170" i="1"/>
  <c r="H64" i="24"/>
  <c r="H79" i="24"/>
  <c r="DY19" i="1"/>
  <c r="DY335" i="1"/>
  <c r="DY172" i="1"/>
  <c r="CR152" i="1"/>
  <c r="CU152" i="1" s="1"/>
  <c r="DY54" i="1"/>
  <c r="H259" i="24"/>
  <c r="DY202" i="1"/>
  <c r="CR87" i="1"/>
  <c r="CU87" i="1" s="1"/>
  <c r="CR250" i="1"/>
  <c r="CU250" i="1" s="1"/>
  <c r="DY15" i="1"/>
  <c r="CR191" i="1"/>
  <c r="CU191" i="1" s="1"/>
  <c r="CR224" i="1"/>
  <c r="CU224" i="1" s="1"/>
  <c r="CR43" i="1"/>
  <c r="CU43" i="1" s="1"/>
  <c r="CR236" i="1"/>
  <c r="CU236" i="1" s="1"/>
  <c r="CR10" i="1"/>
  <c r="CR64" i="1"/>
  <c r="CU64" i="1" s="1"/>
  <c r="CR156" i="1"/>
  <c r="CU156" i="1" s="1"/>
  <c r="H106" i="24"/>
  <c r="H131" i="24"/>
  <c r="H344" i="24"/>
  <c r="BS149" i="1"/>
  <c r="CQ87" i="1"/>
  <c r="CQ88" i="1"/>
  <c r="CQ312" i="1"/>
  <c r="CQ158" i="1"/>
  <c r="CQ296" i="1"/>
  <c r="CQ183" i="1"/>
  <c r="CR351" i="1"/>
  <c r="CU351" i="1" s="1"/>
  <c r="CR150" i="1"/>
  <c r="CU150" i="1" s="1"/>
  <c r="H279" i="24"/>
  <c r="CR15" i="1"/>
  <c r="CU15" i="1" s="1"/>
  <c r="CR286" i="1"/>
  <c r="CU286" i="1" s="1"/>
  <c r="CR276" i="1"/>
  <c r="CU276" i="1" s="1"/>
  <c r="CR278" i="1"/>
  <c r="CU278" i="1" s="1"/>
  <c r="CR99" i="1"/>
  <c r="CU99" i="1" s="1"/>
  <c r="CR149" i="1"/>
  <c r="CU149" i="1" s="1"/>
  <c r="CR260" i="1"/>
  <c r="CU260" i="1" s="1"/>
  <c r="CQ225" i="1"/>
  <c r="CR51" i="1"/>
  <c r="CU51" i="1" s="1"/>
  <c r="CR195" i="1"/>
  <c r="CU195" i="1" s="1"/>
  <c r="CR228" i="1"/>
  <c r="CU228" i="1" s="1"/>
  <c r="CR110" i="1"/>
  <c r="CU110" i="1" s="1"/>
  <c r="CR246" i="1"/>
  <c r="CU246" i="1" s="1"/>
  <c r="CR283" i="1"/>
  <c r="CU283" i="1" s="1"/>
  <c r="BS172" i="1"/>
  <c r="DY152" i="1"/>
  <c r="DY250" i="1"/>
  <c r="CQ97" i="1"/>
  <c r="CQ51" i="1"/>
  <c r="CQ99" i="1"/>
  <c r="CQ76" i="1"/>
  <c r="CQ270" i="1"/>
  <c r="CQ152" i="1"/>
  <c r="CQ59" i="1"/>
  <c r="CQ319" i="1"/>
  <c r="CQ124" i="1"/>
  <c r="DZ175" i="1"/>
  <c r="DZ151" i="1"/>
  <c r="DZ343" i="1"/>
  <c r="DZ164" i="1"/>
  <c r="CR251" i="1"/>
  <c r="CU251" i="1" s="1"/>
  <c r="H28" i="24"/>
  <c r="DY264" i="1"/>
  <c r="H227" i="24"/>
  <c r="BS304" i="1"/>
  <c r="BS246" i="1"/>
  <c r="CQ120" i="1"/>
  <c r="BS203" i="1"/>
  <c r="DY93" i="1"/>
  <c r="CR335" i="1"/>
  <c r="CU335" i="1" s="1"/>
  <c r="CR226" i="1"/>
  <c r="CU226" i="1" s="1"/>
  <c r="DY166" i="1"/>
  <c r="BS298" i="1"/>
  <c r="BS164" i="1"/>
  <c r="DY319" i="1"/>
  <c r="CQ181" i="1"/>
  <c r="CQ34" i="1"/>
  <c r="CQ331" i="1"/>
  <c r="CQ256" i="1"/>
  <c r="CQ248" i="1"/>
  <c r="DY104" i="1"/>
  <c r="CQ258" i="1"/>
  <c r="CQ164" i="1"/>
  <c r="CQ49" i="1"/>
  <c r="CR120" i="1"/>
  <c r="CU120" i="1" s="1"/>
  <c r="CR138" i="1"/>
  <c r="CU138" i="1" s="1"/>
  <c r="DY185" i="1"/>
  <c r="DY113" i="1"/>
  <c r="DZ264" i="1"/>
  <c r="CR314" i="1"/>
  <c r="CU314" i="1" s="1"/>
  <c r="H49" i="24"/>
  <c r="H334" i="24"/>
  <c r="DY140" i="1"/>
  <c r="DY118" i="1"/>
  <c r="CR323" i="1"/>
  <c r="CU323" i="1" s="1"/>
  <c r="CR31" i="1"/>
  <c r="CU31" i="1" s="1"/>
  <c r="H84" i="24"/>
  <c r="CR158" i="1"/>
  <c r="CU158" i="1" s="1"/>
  <c r="CR136" i="1"/>
  <c r="CU136" i="1" s="1"/>
  <c r="CR12" i="1"/>
  <c r="CU12" i="1" s="1"/>
  <c r="CR154" i="1"/>
  <c r="CU154" i="1" s="1"/>
  <c r="CR39" i="1"/>
  <c r="CU39" i="1" s="1"/>
  <c r="CR95" i="1"/>
  <c r="CU95" i="1" s="1"/>
  <c r="CR222" i="1"/>
  <c r="CU222" i="1" s="1"/>
  <c r="DY21" i="1"/>
  <c r="DY47" i="1"/>
  <c r="DY286" i="1"/>
  <c r="CQ207" i="1"/>
  <c r="CQ203" i="1"/>
  <c r="DY269" i="1"/>
  <c r="CR230" i="1"/>
  <c r="CU230" i="1" s="1"/>
  <c r="H374" i="24"/>
  <c r="CR144" i="1"/>
  <c r="CU144" i="1" s="1"/>
  <c r="CR111" i="1"/>
  <c r="CU111" i="1" s="1"/>
  <c r="CR112" i="1"/>
  <c r="CU112" i="1" s="1"/>
  <c r="CR177" i="1"/>
  <c r="CU177" i="1" s="1"/>
  <c r="CR209" i="1"/>
  <c r="CU209" i="1" s="1"/>
  <c r="CR319" i="1"/>
  <c r="CU319" i="1" s="1"/>
  <c r="CR53" i="1"/>
  <c r="CU53" i="1" s="1"/>
  <c r="CR90" i="1"/>
  <c r="CU90" i="1" s="1"/>
  <c r="CR106" i="1"/>
  <c r="CU106" i="1" s="1"/>
  <c r="CQ118" i="1"/>
  <c r="CQ325" i="1"/>
  <c r="CQ323" i="1"/>
  <c r="CQ112" i="1"/>
  <c r="CQ255" i="1"/>
  <c r="CR189" i="1"/>
  <c r="CU189" i="1" s="1"/>
  <c r="CR26" i="1"/>
  <c r="CU26" i="1" s="1"/>
  <c r="CR41" i="1"/>
  <c r="CU41" i="1" s="1"/>
  <c r="CR37" i="1"/>
  <c r="CU37" i="1" s="1"/>
  <c r="CR345" i="1"/>
  <c r="CU345" i="1" s="1"/>
  <c r="DY189" i="1"/>
  <c r="DY281" i="1"/>
  <c r="CR78" i="1"/>
  <c r="CU78" i="1" s="1"/>
  <c r="CR312" i="1"/>
  <c r="CU312" i="1" s="1"/>
  <c r="CR59" i="1"/>
  <c r="CU59" i="1" s="1"/>
  <c r="DY312" i="1"/>
  <c r="CR68" i="1"/>
  <c r="CU68" i="1" s="1"/>
  <c r="CR203" i="1"/>
  <c r="CU203" i="1" s="1"/>
  <c r="H90" i="24"/>
  <c r="BS314" i="1"/>
  <c r="CQ162" i="1"/>
  <c r="CQ240" i="1"/>
  <c r="CQ230" i="1"/>
  <c r="CQ339" i="1"/>
  <c r="CR225" i="1"/>
  <c r="CU225" i="1" s="1"/>
  <c r="H15" i="24"/>
  <c r="BS118" i="1"/>
  <c r="DY280" i="1"/>
  <c r="DY322" i="1"/>
  <c r="DY215" i="1"/>
  <c r="CQ222" i="1"/>
  <c r="CQ136" i="1"/>
  <c r="H310" i="24"/>
  <c r="CQ189" i="1"/>
  <c r="CQ53" i="1"/>
  <c r="CQ253" i="1"/>
  <c r="DS357" i="1"/>
  <c r="DT354" i="1"/>
  <c r="CR244" i="1"/>
  <c r="CU244" i="1" s="1"/>
  <c r="CR85" i="1"/>
  <c r="CU85" i="1" s="1"/>
  <c r="BS130" i="1"/>
  <c r="CR280" i="1"/>
  <c r="CU280" i="1" s="1"/>
  <c r="H240" i="24"/>
  <c r="H101" i="24"/>
  <c r="H260" i="24"/>
  <c r="CR171" i="1"/>
  <c r="CU171" i="1" s="1"/>
  <c r="H40" i="24"/>
  <c r="CR46" i="1"/>
  <c r="CU46" i="1" s="1"/>
  <c r="CR232" i="1"/>
  <c r="CU232" i="1" s="1"/>
  <c r="CR215" i="1"/>
  <c r="CU215" i="1" s="1"/>
  <c r="CR83" i="1"/>
  <c r="CU83" i="1" s="1"/>
  <c r="CR172" i="1"/>
  <c r="CU172" i="1" s="1"/>
  <c r="CR134" i="1"/>
  <c r="CU134" i="1" s="1"/>
  <c r="CR33" i="1"/>
  <c r="CU33" i="1" s="1"/>
  <c r="CR145" i="1"/>
  <c r="CU145" i="1" s="1"/>
  <c r="CR101" i="1"/>
  <c r="CU101" i="1" s="1"/>
  <c r="H339" i="24"/>
  <c r="K339" i="24" s="1"/>
  <c r="DY133" i="1"/>
  <c r="DY225" i="1"/>
  <c r="DY261" i="1"/>
  <c r="DY289" i="1"/>
  <c r="CR196" i="1"/>
  <c r="CU196" i="1" s="1"/>
  <c r="DY30" i="1"/>
  <c r="DY223" i="1"/>
  <c r="CR220" i="1"/>
  <c r="CU220" i="1" s="1"/>
  <c r="CR146" i="1"/>
  <c r="CU146" i="1" s="1"/>
  <c r="CR350" i="1"/>
  <c r="CU350" i="1" s="1"/>
  <c r="CR208" i="1"/>
  <c r="CU208" i="1" s="1"/>
  <c r="CR181" i="1"/>
  <c r="CU181" i="1" s="1"/>
  <c r="CR200" i="1"/>
  <c r="CU200" i="1" s="1"/>
  <c r="CR17" i="1"/>
  <c r="CU17" i="1" s="1"/>
  <c r="DY242" i="1"/>
  <c r="BS329" i="1"/>
  <c r="DY101" i="1"/>
  <c r="CR255" i="1"/>
  <c r="CU255" i="1" s="1"/>
  <c r="H181" i="24"/>
  <c r="CR223" i="1"/>
  <c r="CU223" i="1" s="1"/>
  <c r="CR81" i="1"/>
  <c r="CU81" i="1" s="1"/>
  <c r="H63" i="24"/>
  <c r="DY200" i="1"/>
  <c r="H41" i="24"/>
  <c r="CR54" i="1"/>
  <c r="CU54" i="1" s="1"/>
  <c r="CR122" i="1"/>
  <c r="CU122" i="1" s="1"/>
  <c r="DY81" i="1"/>
  <c r="DY345" i="1"/>
  <c r="BS101" i="1"/>
  <c r="CR28" i="1"/>
  <c r="CU28" i="1" s="1"/>
  <c r="CQ110" i="1"/>
  <c r="CR188" i="1"/>
  <c r="CU188" i="1" s="1"/>
  <c r="CR97" i="1"/>
  <c r="CU97" i="1" s="1"/>
  <c r="CR199" i="1"/>
  <c r="CU199" i="1" s="1"/>
  <c r="CR237" i="1"/>
  <c r="CU237" i="1" s="1"/>
  <c r="CR162" i="1"/>
  <c r="CU162" i="1" s="1"/>
  <c r="CR248" i="1"/>
  <c r="CU248" i="1" s="1"/>
  <c r="CR256" i="1"/>
  <c r="CU256" i="1" s="1"/>
  <c r="CR330" i="1"/>
  <c r="CU330" i="1" s="1"/>
  <c r="DY256" i="1"/>
  <c r="H286" i="24"/>
  <c r="J286" i="24" s="1"/>
  <c r="DY262" i="1"/>
  <c r="H293" i="24"/>
  <c r="DY183" i="1"/>
  <c r="H168" i="24"/>
  <c r="BS275" i="1"/>
  <c r="H306" i="24"/>
  <c r="H128" i="24"/>
  <c r="DY146" i="1"/>
  <c r="DZ252" i="1"/>
  <c r="I256" i="24"/>
  <c r="I145" i="24"/>
  <c r="DZ163" i="1"/>
  <c r="BS166" i="1"/>
  <c r="DZ166" i="1"/>
  <c r="BT354" i="1"/>
  <c r="G32" i="3"/>
  <c r="H234" i="24"/>
  <c r="DY34" i="1"/>
  <c r="H68" i="24"/>
  <c r="CR34" i="1"/>
  <c r="CU34" i="1" s="1"/>
  <c r="H11" i="24"/>
  <c r="DY12" i="1"/>
  <c r="H136" i="24"/>
  <c r="DY154" i="1"/>
  <c r="H156" i="24"/>
  <c r="DY174" i="1"/>
  <c r="H247" i="24"/>
  <c r="DY288" i="1"/>
  <c r="DY49" i="1"/>
  <c r="H18" i="24"/>
  <c r="H62" i="24"/>
  <c r="DY90" i="1"/>
  <c r="DY116" i="1"/>
  <c r="CR116" i="1"/>
  <c r="CU116" i="1" s="1"/>
  <c r="H110" i="24"/>
  <c r="DY132" i="1"/>
  <c r="CR132" i="1"/>
  <c r="CU132" i="1" s="1"/>
  <c r="H142" i="24"/>
  <c r="CR160" i="1"/>
  <c r="CU160" i="1" s="1"/>
  <c r="DY160" i="1"/>
  <c r="H196" i="24"/>
  <c r="DY211" i="1"/>
  <c r="DY233" i="1"/>
  <c r="H219" i="24"/>
  <c r="H303" i="24"/>
  <c r="DY272" i="1"/>
  <c r="H338" i="24"/>
  <c r="DY317" i="1"/>
  <c r="CQ83" i="1"/>
  <c r="CQ70" i="1"/>
  <c r="H285" i="24"/>
  <c r="DY31" i="1"/>
  <c r="DY327" i="1"/>
  <c r="H348" i="24"/>
  <c r="CR327" i="1"/>
  <c r="CU327" i="1" s="1"/>
  <c r="H368" i="24"/>
  <c r="J368" i="24" s="1"/>
  <c r="DY347" i="1"/>
  <c r="DZ152" i="1"/>
  <c r="BS152" i="1"/>
  <c r="I51" i="24"/>
  <c r="K51" i="24" s="1"/>
  <c r="DZ115" i="1"/>
  <c r="I93" i="24"/>
  <c r="H204" i="24"/>
  <c r="CR218" i="1"/>
  <c r="CU218" i="1" s="1"/>
  <c r="DY218" i="1"/>
  <c r="CR23" i="1"/>
  <c r="CU23" i="1" s="1"/>
  <c r="CR337" i="1"/>
  <c r="CU337" i="1" s="1"/>
  <c r="DY337" i="1"/>
  <c r="DY238" i="1"/>
  <c r="H134" i="24"/>
  <c r="J134" i="24" s="1"/>
  <c r="DY158" i="1"/>
  <c r="H140" i="24"/>
  <c r="DY88" i="1"/>
  <c r="H60" i="24"/>
  <c r="DY168" i="1"/>
  <c r="H150" i="24"/>
  <c r="DY205" i="1"/>
  <c r="H190" i="24"/>
  <c r="BS325" i="1"/>
  <c r="H346" i="24"/>
  <c r="DY325" i="1"/>
  <c r="H241" i="24"/>
  <c r="DY41" i="1"/>
  <c r="H13" i="24"/>
  <c r="CR294" i="1"/>
  <c r="CU294" i="1" s="1"/>
  <c r="CR197" i="1"/>
  <c r="CU197" i="1" s="1"/>
  <c r="CR88" i="1"/>
  <c r="CU88" i="1" s="1"/>
  <c r="CR315" i="1"/>
  <c r="CU315" i="1" s="1"/>
  <c r="BS115" i="1"/>
  <c r="CR214" i="1"/>
  <c r="CU214" i="1" s="1"/>
  <c r="CR221" i="1"/>
  <c r="CU221" i="1" s="1"/>
  <c r="BS252" i="1"/>
  <c r="CR47" i="1"/>
  <c r="CU47" i="1" s="1"/>
  <c r="CR62" i="1"/>
  <c r="CU62" i="1" s="1"/>
  <c r="CR183" i="1"/>
  <c r="CU183" i="1" s="1"/>
  <c r="CR288" i="1"/>
  <c r="CU288" i="1" s="1"/>
  <c r="CR281" i="1"/>
  <c r="CU281" i="1" s="1"/>
  <c r="CR128" i="1"/>
  <c r="CU128" i="1" s="1"/>
  <c r="BS31" i="1"/>
  <c r="BS160" i="1"/>
  <c r="CQ145" i="1"/>
  <c r="CQ33" i="1"/>
  <c r="CQ66" i="1"/>
  <c r="CQ294" i="1"/>
  <c r="CQ274" i="1"/>
  <c r="CQ321" i="1"/>
  <c r="CQ238" i="1"/>
  <c r="CQ172" i="1"/>
  <c r="CR262" i="1"/>
  <c r="CU262" i="1" s="1"/>
  <c r="CR219" i="1"/>
  <c r="CU219" i="1" s="1"/>
  <c r="CR155" i="1"/>
  <c r="CU155" i="1" s="1"/>
  <c r="CR268" i="1"/>
  <c r="CU268" i="1" s="1"/>
  <c r="CR66" i="1"/>
  <c r="CU66" i="1" s="1"/>
  <c r="CR170" i="1"/>
  <c r="CU170" i="1" s="1"/>
  <c r="CR347" i="1"/>
  <c r="CU347" i="1" s="1"/>
  <c r="CR113" i="1"/>
  <c r="CU113" i="1" s="1"/>
  <c r="CR142" i="1"/>
  <c r="CU142" i="1" s="1"/>
  <c r="BS327" i="1"/>
  <c r="BS41" i="1"/>
  <c r="BS39" i="1"/>
  <c r="CQ134" i="1"/>
  <c r="CQ85" i="1"/>
  <c r="CQ298" i="1"/>
  <c r="CR211" i="1"/>
  <c r="CU211" i="1" s="1"/>
  <c r="CR353" i="1"/>
  <c r="CU353" i="1" s="1"/>
  <c r="CR317" i="1"/>
  <c r="CU317" i="1" s="1"/>
  <c r="CR325" i="1"/>
  <c r="CU325" i="1" s="1"/>
  <c r="CR205" i="1"/>
  <c r="CU205" i="1" s="1"/>
  <c r="CR304" i="1"/>
  <c r="CU304" i="1" s="1"/>
  <c r="CR140" i="1"/>
  <c r="CU140" i="1" s="1"/>
  <c r="CR174" i="1"/>
  <c r="CU174" i="1" s="1"/>
  <c r="BS163" i="1"/>
  <c r="CR233" i="1"/>
  <c r="CU233" i="1" s="1"/>
  <c r="CR272" i="1"/>
  <c r="CU272" i="1" s="1"/>
  <c r="CR70" i="1"/>
  <c r="CU70" i="1" s="1"/>
  <c r="CR21" i="1"/>
  <c r="CU21" i="1" s="1"/>
  <c r="CR274" i="1"/>
  <c r="CU274" i="1" s="1"/>
  <c r="CR49" i="1"/>
  <c r="CU49" i="1" s="1"/>
  <c r="CR168" i="1"/>
  <c r="CU168" i="1" s="1"/>
  <c r="CR238" i="1"/>
  <c r="CU238" i="1" s="1"/>
  <c r="BS238" i="1"/>
  <c r="BS21" i="1"/>
  <c r="CQ195" i="1"/>
  <c r="CQ128" i="1"/>
  <c r="CQ353" i="1"/>
  <c r="CQ142" i="1"/>
  <c r="CQ262" i="1"/>
  <c r="BS286" i="1"/>
  <c r="BS174" i="1"/>
  <c r="BS62" i="1"/>
  <c r="BS139" i="1"/>
  <c r="I228" i="24"/>
  <c r="BS83" i="1"/>
  <c r="DZ167" i="1"/>
  <c r="DZ195" i="1"/>
  <c r="DZ200" i="1"/>
  <c r="DZ326" i="1"/>
  <c r="I246" i="24"/>
  <c r="DZ99" i="1"/>
  <c r="I165" i="24"/>
  <c r="I53" i="24"/>
  <c r="BG48" i="1"/>
  <c r="BG357" i="1" s="1"/>
  <c r="BF354" i="1"/>
  <c r="D27" i="3" s="1"/>
  <c r="I329" i="24"/>
  <c r="BS340" i="1"/>
  <c r="BS173" i="1"/>
  <c r="BS302" i="1"/>
  <c r="BS110" i="1"/>
  <c r="I148" i="24"/>
  <c r="DZ275" i="1"/>
  <c r="DZ71" i="1"/>
  <c r="I268" i="24"/>
  <c r="I346" i="24"/>
  <c r="I74" i="24"/>
  <c r="BS290" i="1"/>
  <c r="BD48" i="1"/>
  <c r="BD357" i="1" s="1"/>
  <c r="BS81" i="1"/>
  <c r="BS121" i="1"/>
  <c r="BS157" i="1"/>
  <c r="BS247" i="1"/>
  <c r="BS291" i="1"/>
  <c r="BS221" i="1"/>
  <c r="DZ194" i="1"/>
  <c r="BC354" i="1"/>
  <c r="D26" i="3" s="1"/>
  <c r="DZ178" i="1"/>
  <c r="I99" i="24"/>
  <c r="CQ46" i="1"/>
  <c r="AU343" i="1"/>
  <c r="AU207" i="1"/>
  <c r="AU80" i="1"/>
  <c r="AU220" i="1"/>
  <c r="AU168" i="1"/>
  <c r="DZ290" i="1"/>
  <c r="I240" i="24"/>
  <c r="BS322" i="1"/>
  <c r="BS348" i="1"/>
  <c r="I83" i="24"/>
  <c r="DZ104" i="1"/>
  <c r="I162" i="24"/>
  <c r="K162" i="24" s="1"/>
  <c r="I203" i="24"/>
  <c r="BS320" i="1"/>
  <c r="BS223" i="1"/>
  <c r="DZ265" i="1"/>
  <c r="BR48" i="1"/>
  <c r="BS48" i="1" s="1"/>
  <c r="BS204" i="1"/>
  <c r="DZ288" i="1"/>
  <c r="DZ204" i="1"/>
  <c r="I11" i="24"/>
  <c r="I197" i="24"/>
  <c r="DZ271" i="1"/>
  <c r="BS64" i="1"/>
  <c r="BS191" i="1"/>
  <c r="DZ191" i="1"/>
  <c r="I200" i="24"/>
  <c r="J200" i="24" s="1"/>
  <c r="BS239" i="1"/>
  <c r="BS75" i="1"/>
  <c r="BS288" i="1"/>
  <c r="DZ211" i="1"/>
  <c r="I358" i="24"/>
  <c r="J358" i="24" s="1"/>
  <c r="DZ34" i="1"/>
  <c r="I143" i="24"/>
  <c r="BS170" i="1"/>
  <c r="BS99" i="1"/>
  <c r="BS147" i="1"/>
  <c r="BS220" i="1"/>
  <c r="I284" i="24"/>
  <c r="BS132" i="1"/>
  <c r="BS209" i="1"/>
  <c r="BS211" i="1"/>
  <c r="I133" i="24"/>
  <c r="DZ64" i="1"/>
  <c r="I110" i="24"/>
  <c r="I232" i="24"/>
  <c r="BS179" i="1"/>
  <c r="BP48" i="1"/>
  <c r="BP357" i="1" s="1"/>
  <c r="BS145" i="1"/>
  <c r="BS112" i="1"/>
  <c r="BS347" i="1"/>
  <c r="I156" i="24"/>
  <c r="DZ13" i="1"/>
  <c r="DZ269" i="1"/>
  <c r="BS240" i="1"/>
  <c r="I191" i="24"/>
  <c r="I211" i="24"/>
  <c r="I164" i="24"/>
  <c r="BS13" i="1"/>
  <c r="BS26" i="1"/>
  <c r="BS254" i="1"/>
  <c r="BS308" i="1"/>
  <c r="I262" i="24"/>
  <c r="DZ124" i="1"/>
  <c r="BS154" i="1"/>
  <c r="I328" i="24"/>
  <c r="DZ156" i="1"/>
  <c r="BS225" i="1"/>
  <c r="BS42" i="1"/>
  <c r="BS70" i="1"/>
  <c r="I33" i="24"/>
  <c r="BS181" i="1"/>
  <c r="BS124" i="1"/>
  <c r="DZ227" i="1"/>
  <c r="I90" i="24"/>
  <c r="I283" i="24"/>
  <c r="BS30" i="1"/>
  <c r="BS200" i="1"/>
  <c r="I127" i="24"/>
  <c r="I41" i="24"/>
  <c r="I282" i="24"/>
  <c r="DZ157" i="1"/>
  <c r="I298" i="24"/>
  <c r="CQ40" i="1"/>
  <c r="CQ56" i="1"/>
  <c r="CQ330" i="1"/>
  <c r="CQ217" i="1"/>
  <c r="CQ257" i="1"/>
  <c r="BS337" i="1"/>
  <c r="BS12" i="1"/>
  <c r="I129" i="24"/>
  <c r="I188" i="24"/>
  <c r="DZ203" i="1"/>
  <c r="DZ216" i="1"/>
  <c r="I152" i="24"/>
  <c r="DZ119" i="1"/>
  <c r="I14" i="24"/>
  <c r="BS243" i="1"/>
  <c r="BS40" i="1"/>
  <c r="I151" i="24"/>
  <c r="DZ59" i="1"/>
  <c r="DZ51" i="1"/>
  <c r="DZ84" i="1"/>
  <c r="I95" i="24"/>
  <c r="I171" i="24"/>
  <c r="BS117" i="1"/>
  <c r="I364" i="24"/>
  <c r="J364" i="24" s="1"/>
  <c r="DZ85" i="1"/>
  <c r="I224" i="24"/>
  <c r="I332" i="24"/>
  <c r="K332" i="24" s="1"/>
  <c r="BS283" i="1"/>
  <c r="BS66" i="1"/>
  <c r="BS137" i="1"/>
  <c r="BS346" i="1"/>
  <c r="BS169" i="1"/>
  <c r="BS51" i="1"/>
  <c r="BS97" i="1"/>
  <c r="DZ11" i="1"/>
  <c r="DZ66" i="1"/>
  <c r="I30" i="24"/>
  <c r="BS134" i="1"/>
  <c r="BS268" i="1"/>
  <c r="BS85" i="1"/>
  <c r="BS256" i="1"/>
  <c r="BS192" i="1"/>
  <c r="BS305" i="1"/>
  <c r="BS63" i="1"/>
  <c r="BS343" i="1"/>
  <c r="I229" i="24"/>
  <c r="DZ316" i="1"/>
  <c r="I115" i="24"/>
  <c r="I116" i="24"/>
  <c r="I357" i="24"/>
  <c r="I186" i="24"/>
  <c r="BS84" i="1"/>
  <c r="BS232" i="1"/>
  <c r="BS289" i="1"/>
  <c r="I299" i="24"/>
  <c r="DZ284" i="1"/>
  <c r="DZ263" i="1"/>
  <c r="DZ256" i="1"/>
  <c r="DZ128" i="1"/>
  <c r="DZ153" i="1"/>
  <c r="DZ328" i="1"/>
  <c r="I170" i="24"/>
  <c r="CQ23" i="1"/>
  <c r="CQ315" i="1"/>
  <c r="CQ17" i="1"/>
  <c r="BS196" i="1"/>
  <c r="BS14" i="1"/>
  <c r="BS230" i="1"/>
  <c r="DZ74" i="1"/>
  <c r="BS27" i="1"/>
  <c r="BS125" i="1"/>
  <c r="BS156" i="1"/>
  <c r="DZ219" i="1"/>
  <c r="BS34" i="1"/>
  <c r="DZ224" i="1"/>
  <c r="I147" i="24"/>
  <c r="DZ95" i="1"/>
  <c r="DZ318" i="1"/>
  <c r="DZ208" i="1"/>
  <c r="DZ300" i="1"/>
  <c r="BS261" i="1"/>
  <c r="BS272" i="1"/>
  <c r="I254" i="24"/>
  <c r="BS345" i="1"/>
  <c r="DZ187" i="1"/>
  <c r="I177" i="24"/>
  <c r="BS144" i="1"/>
  <c r="BS43" i="1"/>
  <c r="BS95" i="1"/>
  <c r="I252" i="24"/>
  <c r="I138" i="24"/>
  <c r="BS335" i="1"/>
  <c r="BS233" i="1"/>
  <c r="BS46" i="1"/>
  <c r="BS301" i="1"/>
  <c r="I239" i="24"/>
  <c r="I45" i="24"/>
  <c r="I60" i="24"/>
  <c r="DZ14" i="1"/>
  <c r="DZ259" i="1"/>
  <c r="BS88" i="1"/>
  <c r="BS224" i="1"/>
  <c r="I157" i="24"/>
  <c r="I226" i="24"/>
  <c r="BS127" i="1"/>
  <c r="I52" i="24"/>
  <c r="BS318" i="1"/>
  <c r="BS293" i="1"/>
  <c r="BS15" i="1"/>
  <c r="BS162" i="1"/>
  <c r="DZ15" i="1"/>
  <c r="BS90" i="1"/>
  <c r="I321" i="24"/>
  <c r="BS300" i="1"/>
  <c r="BS72" i="1"/>
  <c r="BS189" i="1"/>
  <c r="I15" i="24"/>
  <c r="DZ159" i="1"/>
  <c r="DZ282" i="1"/>
  <c r="BS151" i="1"/>
  <c r="BS175" i="1"/>
  <c r="BS273" i="1"/>
  <c r="BS270" i="1"/>
  <c r="BS133" i="1"/>
  <c r="BS324" i="1"/>
  <c r="BS255" i="1"/>
  <c r="I62" i="24"/>
  <c r="I356" i="24"/>
  <c r="J356" i="24" s="1"/>
  <c r="DZ189" i="1"/>
  <c r="DZ272" i="1"/>
  <c r="I119" i="24"/>
  <c r="DS355" i="1"/>
  <c r="CQ273" i="1"/>
  <c r="CQ293" i="1"/>
  <c r="CQ169" i="1"/>
  <c r="BS58" i="1"/>
  <c r="BS135" i="1"/>
  <c r="BS107" i="1"/>
  <c r="BS248" i="1"/>
  <c r="BS136" i="1"/>
  <c r="I366" i="24"/>
  <c r="DZ188" i="1"/>
  <c r="DZ278" i="1"/>
  <c r="DZ96" i="1"/>
  <c r="I281" i="24"/>
  <c r="I215" i="24"/>
  <c r="DZ190" i="1"/>
  <c r="DZ223" i="1"/>
  <c r="BS87" i="1"/>
  <c r="I137" i="24"/>
  <c r="BS78" i="1"/>
  <c r="BS68" i="1"/>
  <c r="I230" i="24"/>
  <c r="J230" i="24" s="1"/>
  <c r="BS123" i="1"/>
  <c r="K316" i="24"/>
  <c r="BS277" i="1"/>
  <c r="BS188" i="1"/>
  <c r="BS77" i="1"/>
  <c r="BS280" i="1"/>
  <c r="BS229" i="1"/>
  <c r="BS332" i="1"/>
  <c r="BS264" i="1"/>
  <c r="BS278" i="1"/>
  <c r="DZ332" i="1"/>
  <c r="I92" i="24"/>
  <c r="BS197" i="1"/>
  <c r="DZ277" i="1"/>
  <c r="I111" i="24"/>
  <c r="DZ307" i="1"/>
  <c r="DZ63" i="1"/>
  <c r="BS53" i="1"/>
  <c r="BS265" i="1"/>
  <c r="BS22" i="1"/>
  <c r="BS82" i="1"/>
  <c r="BS312" i="1"/>
  <c r="BS28" i="1"/>
  <c r="BS138" i="1"/>
  <c r="BS33" i="1"/>
  <c r="DZ136" i="1"/>
  <c r="CQ304" i="1"/>
  <c r="CQ305" i="1"/>
  <c r="CQ105" i="1"/>
  <c r="CQ336" i="1"/>
  <c r="DY107" i="1"/>
  <c r="DY252" i="1"/>
  <c r="H363" i="24"/>
  <c r="H93" i="24"/>
  <c r="CR285" i="1"/>
  <c r="CU285" i="1" s="1"/>
  <c r="CR25" i="1"/>
  <c r="CU25" i="1" s="1"/>
  <c r="CR334" i="1"/>
  <c r="CU334" i="1" s="1"/>
  <c r="CR96" i="1"/>
  <c r="CU96" i="1" s="1"/>
  <c r="CR227" i="1"/>
  <c r="CU227" i="1" s="1"/>
  <c r="CR338" i="1"/>
  <c r="CU338" i="1" s="1"/>
  <c r="BS111" i="1"/>
  <c r="CQ174" i="1"/>
  <c r="CQ81" i="1"/>
  <c r="CQ191" i="1"/>
  <c r="CQ292" i="1"/>
  <c r="CQ288" i="1"/>
  <c r="BS253" i="1"/>
  <c r="CQ193" i="1"/>
  <c r="CQ345" i="1"/>
  <c r="CQ26" i="1"/>
  <c r="CQ113" i="1"/>
  <c r="CQ242" i="1"/>
  <c r="CQ21" i="1"/>
  <c r="I219" i="24"/>
  <c r="BS241" i="1"/>
  <c r="I341" i="24"/>
  <c r="I267" i="24"/>
  <c r="I304" i="24"/>
  <c r="BS296" i="1"/>
  <c r="I29" i="24"/>
  <c r="I91" i="24"/>
  <c r="DZ82" i="1"/>
  <c r="DZ220" i="1"/>
  <c r="DZ205" i="1"/>
  <c r="DZ38" i="1"/>
  <c r="I248" i="24"/>
  <c r="K248" i="24" s="1"/>
  <c r="BS19" i="1"/>
  <c r="BS10" i="1"/>
  <c r="I55" i="24"/>
  <c r="I73" i="24"/>
  <c r="I279" i="24"/>
  <c r="I167" i="24"/>
  <c r="I39" i="24"/>
  <c r="DZ296" i="1"/>
  <c r="I217" i="24"/>
  <c r="DZ270" i="1"/>
  <c r="DZ352" i="1"/>
  <c r="DZ313" i="1"/>
  <c r="I314" i="24"/>
  <c r="I245" i="24"/>
  <c r="I322" i="24"/>
  <c r="J322" i="24" s="1"/>
  <c r="BS25" i="1"/>
  <c r="CQ303" i="1"/>
  <c r="CQ151" i="1"/>
  <c r="CQ196" i="1"/>
  <c r="CQ307" i="1"/>
  <c r="CQ144" i="1"/>
  <c r="CQ148" i="1"/>
  <c r="CQ175" i="1"/>
  <c r="CQ117" i="1"/>
  <c r="CQ186" i="1"/>
  <c r="CQ55" i="1"/>
  <c r="CQ229" i="1"/>
  <c r="CQ340" i="1"/>
  <c r="CQ208" i="1"/>
  <c r="CQ295" i="1"/>
  <c r="CQ237" i="1"/>
  <c r="CQ61" i="1"/>
  <c r="CQ69" i="1"/>
  <c r="CQ133" i="1"/>
  <c r="CQ176" i="1"/>
  <c r="CQ75" i="1"/>
  <c r="CQ91" i="1"/>
  <c r="CQ129" i="1"/>
  <c r="CQ60" i="1"/>
  <c r="CQ301" i="1"/>
  <c r="CQ313" i="1"/>
  <c r="CQ35" i="1"/>
  <c r="CQ22" i="1"/>
  <c r="CQ271" i="1"/>
  <c r="CQ48" i="1"/>
  <c r="CQ71" i="1"/>
  <c r="CQ332" i="1"/>
  <c r="CQ214" i="1"/>
  <c r="CQ267" i="1"/>
  <c r="CQ173" i="1"/>
  <c r="CQ180" i="1"/>
  <c r="CQ16" i="1"/>
  <c r="CQ119" i="1"/>
  <c r="CQ141" i="1"/>
  <c r="CQ18" i="1"/>
  <c r="CQ334" i="1"/>
  <c r="CQ123" i="1"/>
  <c r="CQ352" i="1"/>
  <c r="CK245" i="1"/>
  <c r="CP245" i="1"/>
  <c r="CQ245" i="1" s="1"/>
  <c r="CR109" i="1"/>
  <c r="CU109" i="1" s="1"/>
  <c r="DY138" i="1"/>
  <c r="CQ160" i="1"/>
  <c r="CQ95" i="1"/>
  <c r="CQ150" i="1"/>
  <c r="CQ43" i="1"/>
  <c r="I343" i="24"/>
  <c r="J343" i="24" s="1"/>
  <c r="DZ347" i="1"/>
  <c r="DY248" i="1"/>
  <c r="H275" i="24"/>
  <c r="I192" i="24"/>
  <c r="CE193" i="1"/>
  <c r="CE71" i="1"/>
  <c r="CE186" i="1"/>
  <c r="CE241" i="1"/>
  <c r="CE238" i="1"/>
  <c r="CE272" i="1"/>
  <c r="CE320" i="1"/>
  <c r="CE125" i="1"/>
  <c r="CE242" i="1"/>
  <c r="CE263" i="1"/>
  <c r="CE75" i="1"/>
  <c r="CE243" i="1"/>
  <c r="CE22" i="1"/>
  <c r="CE284" i="1"/>
  <c r="CE336" i="1"/>
  <c r="CE37" i="1"/>
  <c r="CE271" i="1"/>
  <c r="CE57" i="1"/>
  <c r="CE149" i="1"/>
  <c r="CE62" i="1"/>
  <c r="CE126" i="1"/>
  <c r="CE51" i="1"/>
  <c r="CE163" i="1"/>
  <c r="CE345" i="1"/>
  <c r="CE194" i="1"/>
  <c r="CE139" i="1"/>
  <c r="CE201" i="1"/>
  <c r="CE89" i="1"/>
  <c r="CE307" i="1"/>
  <c r="CE229" i="1"/>
  <c r="CE260" i="1"/>
  <c r="CE246" i="1"/>
  <c r="CE19" i="1"/>
  <c r="CE341" i="1"/>
  <c r="CE116" i="1"/>
  <c r="CE173" i="1"/>
  <c r="BS319" i="1"/>
  <c r="CE20" i="1"/>
  <c r="CE334" i="1"/>
  <c r="CE124" i="1"/>
  <c r="CE331" i="1"/>
  <c r="CE112" i="1"/>
  <c r="CE38" i="1"/>
  <c r="CE23" i="1"/>
  <c r="CE283" i="1"/>
  <c r="CE322" i="1"/>
  <c r="CE184" i="1"/>
  <c r="CE285" i="1"/>
  <c r="CE273" i="1"/>
  <c r="CE24" i="1"/>
  <c r="CE298" i="1"/>
  <c r="CE348" i="1"/>
  <c r="CE287" i="1"/>
  <c r="CE299" i="1"/>
  <c r="CE88" i="1"/>
  <c r="CE70" i="1"/>
  <c r="CE132" i="1"/>
  <c r="CE63" i="1"/>
  <c r="CE199" i="1"/>
  <c r="CE164" i="1"/>
  <c r="CE200" i="1"/>
  <c r="CE61" i="1"/>
  <c r="CE165" i="1"/>
  <c r="CE214" i="1"/>
  <c r="CE35" i="1"/>
  <c r="CE212" i="1"/>
  <c r="CE318" i="1"/>
  <c r="CE245" i="1"/>
  <c r="CE267" i="1"/>
  <c r="CE329" i="1"/>
  <c r="CE250" i="1"/>
  <c r="CE257" i="1"/>
  <c r="CE231" i="1"/>
  <c r="CE350" i="1"/>
  <c r="CE118" i="1"/>
  <c r="CE197" i="1"/>
  <c r="CE328" i="1"/>
  <c r="CE342" i="1"/>
  <c r="CE32" i="1"/>
  <c r="CE80" i="1"/>
  <c r="CE198" i="1"/>
  <c r="CE316" i="1"/>
  <c r="CE280" i="1"/>
  <c r="CE81" i="1"/>
  <c r="AU118" i="1"/>
  <c r="S354" i="1"/>
  <c r="D13" i="3" s="1"/>
  <c r="F13" i="3" s="1"/>
  <c r="CE175" i="1"/>
  <c r="CE155" i="1"/>
  <c r="CE217" i="1"/>
  <c r="CE252" i="1"/>
  <c r="CE309" i="1"/>
  <c r="CE325" i="1"/>
  <c r="CE69" i="1"/>
  <c r="CE203" i="1"/>
  <c r="CE239" i="1"/>
  <c r="CE297" i="1"/>
  <c r="CE204" i="1"/>
  <c r="CE286" i="1"/>
  <c r="CE255" i="1"/>
  <c r="CE310" i="1"/>
  <c r="CE237" i="1"/>
  <c r="CE313" i="1"/>
  <c r="CE100" i="1"/>
  <c r="CQ14" i="1"/>
  <c r="CE104" i="1"/>
  <c r="CE134" i="1"/>
  <c r="CE234" i="1"/>
  <c r="CE178" i="1"/>
  <c r="CE74" i="1"/>
  <c r="CE171" i="1"/>
  <c r="CE353" i="1"/>
  <c r="CE18" i="1"/>
  <c r="CE275" i="1"/>
  <c r="CE222" i="1"/>
  <c r="CE265" i="1"/>
  <c r="CE247" i="1"/>
  <c r="DZ280" i="1"/>
  <c r="I182" i="24"/>
  <c r="CE143" i="1"/>
  <c r="CE40" i="1"/>
  <c r="CE330" i="1"/>
  <c r="CE352" i="1"/>
  <c r="CE82" i="1"/>
  <c r="CE305" i="1"/>
  <c r="CE56" i="1"/>
  <c r="CE256" i="1"/>
  <c r="CE196" i="1"/>
  <c r="CE192" i="1"/>
  <c r="CE172" i="1"/>
  <c r="CE225" i="1"/>
  <c r="CE235" i="1"/>
  <c r="CE269" i="1"/>
  <c r="CE311" i="1"/>
  <c r="CE337" i="1"/>
  <c r="CE226" i="1"/>
  <c r="CE326" i="1"/>
  <c r="CE227" i="1"/>
  <c r="CE253" i="1"/>
  <c r="CE282" i="1"/>
  <c r="CE321" i="1"/>
  <c r="CE210" i="1"/>
  <c r="CE151" i="1"/>
  <c r="CE324" i="1"/>
  <c r="CE157" i="1"/>
  <c r="CE52" i="1"/>
  <c r="CE111" i="1"/>
  <c r="CE133" i="1"/>
  <c r="CE185" i="1"/>
  <c r="CE223" i="1"/>
  <c r="CE101" i="1"/>
  <c r="CE179" i="1"/>
  <c r="CE221" i="1"/>
  <c r="CE346" i="1"/>
  <c r="CE279" i="1"/>
  <c r="CE180" i="1"/>
  <c r="CE277" i="1"/>
  <c r="CE230" i="1"/>
  <c r="CE16" i="1"/>
  <c r="CE332" i="1"/>
  <c r="CE295" i="1"/>
  <c r="CE99" i="1"/>
  <c r="CE148" i="1"/>
  <c r="CE333" i="1"/>
  <c r="CE117" i="1"/>
  <c r="CE208" i="1"/>
  <c r="DZ80" i="1"/>
  <c r="I8" i="24"/>
  <c r="BS269" i="1"/>
  <c r="BS321" i="1"/>
  <c r="DZ218" i="1"/>
  <c r="BS218" i="1"/>
  <c r="BS171" i="1"/>
  <c r="I128" i="24"/>
  <c r="BS146" i="1"/>
  <c r="BS351" i="1"/>
  <c r="I372" i="24"/>
  <c r="I363" i="24"/>
  <c r="DZ321" i="1"/>
  <c r="I24" i="3"/>
  <c r="I212" i="24"/>
  <c r="I9" i="24"/>
  <c r="DZ57" i="1"/>
  <c r="I155" i="24"/>
  <c r="I168" i="24"/>
  <c r="I68" i="24"/>
  <c r="DZ171" i="1"/>
  <c r="I208" i="24"/>
  <c r="BS16" i="1"/>
  <c r="BS61" i="1"/>
  <c r="BS184" i="1"/>
  <c r="DZ261" i="1"/>
  <c r="I310" i="24"/>
  <c r="BS49" i="1"/>
  <c r="I183" i="24"/>
  <c r="BS262" i="1"/>
  <c r="BS195" i="1"/>
  <c r="BS183" i="1"/>
  <c r="I291" i="24"/>
  <c r="I59" i="24"/>
  <c r="I125" i="24"/>
  <c r="DZ142" i="1"/>
  <c r="I96" i="24"/>
  <c r="I144" i="24"/>
  <c r="I158" i="24"/>
  <c r="I323" i="24"/>
  <c r="DZ75" i="1"/>
  <c r="DZ109" i="1"/>
  <c r="DZ22" i="1"/>
  <c r="DZ118" i="1"/>
  <c r="BS103" i="1"/>
  <c r="BS285" i="1"/>
  <c r="BS108" i="1"/>
  <c r="BS222" i="1"/>
  <c r="I101" i="24"/>
  <c r="DZ291" i="1"/>
  <c r="I18" i="24"/>
  <c r="I117" i="24"/>
  <c r="I273" i="24"/>
  <c r="DZ9" i="1"/>
  <c r="I206" i="24"/>
  <c r="CQ272" i="1"/>
  <c r="CQ268" i="1"/>
  <c r="CQ156" i="1"/>
  <c r="CQ244" i="1"/>
  <c r="CQ116" i="1"/>
  <c r="CQ351" i="1"/>
  <c r="CQ308" i="1"/>
  <c r="CQ341" i="1"/>
  <c r="CQ197" i="1"/>
  <c r="CQ47" i="1"/>
  <c r="CQ264" i="1"/>
  <c r="CQ177" i="1"/>
  <c r="CQ101" i="1"/>
  <c r="CQ202" i="1"/>
  <c r="CQ299" i="1"/>
  <c r="CQ36" i="1"/>
  <c r="CQ333" i="1"/>
  <c r="CQ72" i="1"/>
  <c r="CQ185" i="1"/>
  <c r="CQ310" i="1"/>
  <c r="CQ62" i="1"/>
  <c r="CQ337" i="1"/>
  <c r="CQ216" i="1"/>
  <c r="CQ251" i="1"/>
  <c r="CQ170" i="1"/>
  <c r="CQ260" i="1"/>
  <c r="CQ278" i="1"/>
  <c r="CQ317" i="1"/>
  <c r="CQ276" i="1"/>
  <c r="CQ226" i="1"/>
  <c r="CQ31" i="1"/>
  <c r="CQ329" i="1"/>
  <c r="CQ233" i="1"/>
  <c r="CQ68" i="1"/>
  <c r="BS86" i="1"/>
  <c r="DZ346" i="1"/>
  <c r="BS35" i="1"/>
  <c r="BS202" i="1"/>
  <c r="BS350" i="1"/>
  <c r="I22" i="24"/>
  <c r="DZ324" i="1"/>
  <c r="DZ333" i="1"/>
  <c r="I216" i="24"/>
  <c r="DZ255" i="1"/>
  <c r="AU9" i="1"/>
  <c r="CQ153" i="1"/>
  <c r="CQ204" i="1"/>
  <c r="CQ135" i="1"/>
  <c r="CQ121" i="1"/>
  <c r="CQ92" i="1"/>
  <c r="CQ182" i="1"/>
  <c r="CQ28" i="1"/>
  <c r="CQ67" i="1"/>
  <c r="CQ98" i="1"/>
  <c r="CQ32" i="1"/>
  <c r="CQ125" i="1"/>
  <c r="CQ318" i="1"/>
  <c r="CQ44" i="1"/>
  <c r="CQ192" i="1"/>
  <c r="CQ275" i="1"/>
  <c r="CQ38" i="1"/>
  <c r="CQ139" i="1"/>
  <c r="CQ223" i="1"/>
  <c r="CQ166" i="1"/>
  <c r="CQ327" i="1"/>
  <c r="CQ73" i="1"/>
  <c r="CQ316" i="1"/>
  <c r="CQ277" i="1"/>
  <c r="DZ348" i="1"/>
  <c r="I293" i="24"/>
  <c r="DZ207" i="1"/>
  <c r="DZ131" i="1"/>
  <c r="I253" i="24"/>
  <c r="DZ158" i="1"/>
  <c r="I140" i="24"/>
  <c r="DZ125" i="1"/>
  <c r="I43" i="24"/>
  <c r="DZ72" i="1"/>
  <c r="I136" i="24"/>
  <c r="DZ154" i="1"/>
  <c r="DZ52" i="1"/>
  <c r="I21" i="24"/>
  <c r="DZ33" i="1"/>
  <c r="I233" i="24"/>
  <c r="J233" i="24" s="1"/>
  <c r="I325" i="24"/>
  <c r="DZ305" i="1"/>
  <c r="I112" i="24"/>
  <c r="DZ134" i="1"/>
  <c r="DZ100" i="1"/>
  <c r="I76" i="24"/>
  <c r="DZ43" i="1"/>
  <c r="I243" i="24"/>
  <c r="BS89" i="1"/>
  <c r="DZ209" i="1"/>
  <c r="I194" i="24"/>
  <c r="BS215" i="1"/>
  <c r="I105" i="24"/>
  <c r="I107" i="24"/>
  <c r="DZ129" i="1"/>
  <c r="I27" i="24"/>
  <c r="DZ56" i="1"/>
  <c r="I221" i="24"/>
  <c r="DZ240" i="1"/>
  <c r="T106" i="1"/>
  <c r="T359" i="1" s="1"/>
  <c r="Q171" i="1"/>
  <c r="Q357" i="1" s="1"/>
  <c r="C59" i="30"/>
  <c r="C64" i="30" s="1"/>
  <c r="D64" i="30" s="1"/>
  <c r="CQ65" i="1"/>
  <c r="CQ84" i="1"/>
  <c r="CQ107" i="1"/>
  <c r="CQ247" i="1"/>
  <c r="CQ86" i="1"/>
  <c r="CQ348" i="1"/>
  <c r="CQ284" i="1"/>
  <c r="CQ326" i="1"/>
  <c r="CQ287" i="1"/>
  <c r="CQ24" i="1"/>
  <c r="CQ163" i="1"/>
  <c r="CQ269" i="1"/>
  <c r="CQ232" i="1"/>
  <c r="CE34" i="1"/>
  <c r="CQ297" i="1"/>
  <c r="CQ235" i="1"/>
  <c r="CQ342" i="1"/>
  <c r="CQ131" i="1"/>
  <c r="CQ171" i="1"/>
  <c r="CQ114" i="1"/>
  <c r="CQ346" i="1"/>
  <c r="CQ279" i="1"/>
  <c r="CQ165" i="1"/>
  <c r="CQ159" i="1"/>
  <c r="CQ281" i="1"/>
  <c r="CQ13" i="1"/>
  <c r="CQ77" i="1"/>
  <c r="CQ157" i="1"/>
  <c r="CQ234" i="1"/>
  <c r="CQ82" i="1"/>
  <c r="CQ167" i="1"/>
  <c r="CQ178" i="1"/>
  <c r="CQ309" i="1"/>
  <c r="CQ80" i="1"/>
  <c r="CQ42" i="1"/>
  <c r="CQ239" i="1"/>
  <c r="CQ27" i="1"/>
  <c r="CQ241" i="1"/>
  <c r="CQ289" i="1"/>
  <c r="CQ282" i="1"/>
  <c r="CQ215" i="1"/>
  <c r="CQ20" i="1"/>
  <c r="CQ210" i="1"/>
  <c r="CQ12" i="1"/>
  <c r="CQ209" i="1"/>
  <c r="CQ39" i="1"/>
  <c r="CQ265" i="1"/>
  <c r="CQ212" i="1"/>
  <c r="CQ155" i="1"/>
  <c r="CQ199" i="1"/>
  <c r="CQ211" i="1"/>
  <c r="CQ58" i="1"/>
  <c r="CQ198" i="1"/>
  <c r="CQ259" i="1"/>
  <c r="CQ11" i="1"/>
  <c r="CQ311" i="1"/>
  <c r="CQ254" i="1"/>
  <c r="CQ29" i="1"/>
  <c r="CQ104" i="1"/>
  <c r="CQ261" i="1"/>
  <c r="CQ93" i="1"/>
  <c r="CQ115" i="1"/>
  <c r="CQ344" i="1"/>
  <c r="CQ111" i="1"/>
  <c r="CQ190" i="1"/>
  <c r="CQ184" i="1"/>
  <c r="CQ243" i="1"/>
  <c r="CQ263" i="1"/>
  <c r="CQ127" i="1"/>
  <c r="CQ50" i="1"/>
  <c r="CQ137" i="1"/>
  <c r="CQ201" i="1"/>
  <c r="CQ100" i="1"/>
  <c r="CQ206" i="1"/>
  <c r="CQ78" i="1"/>
  <c r="D17" i="13"/>
  <c r="CR194" i="1"/>
  <c r="CU194" i="1" s="1"/>
  <c r="DY204" i="1"/>
  <c r="BS185" i="1"/>
  <c r="DY68" i="1"/>
  <c r="BS260" i="1"/>
  <c r="H330" i="24"/>
  <c r="K330" i="24" s="1"/>
  <c r="BS333" i="1"/>
  <c r="BS341" i="1"/>
  <c r="I126" i="24"/>
  <c r="DZ253" i="1"/>
  <c r="I257" i="24"/>
  <c r="I218" i="24"/>
  <c r="DZ232" i="1"/>
  <c r="H158" i="24"/>
  <c r="H178" i="24"/>
  <c r="DY136" i="1"/>
  <c r="BS276" i="1"/>
  <c r="H39" i="24"/>
  <c r="DY260" i="1"/>
  <c r="H354" i="24"/>
  <c r="J354" i="24" s="1"/>
  <c r="C109" i="30"/>
  <c r="K33" i="5"/>
  <c r="DZ276" i="1"/>
  <c r="I307" i="24"/>
  <c r="DY276" i="1"/>
  <c r="H120" i="24"/>
  <c r="BS193" i="1"/>
  <c r="BS128" i="1"/>
  <c r="BS113" i="1"/>
  <c r="DY134" i="1"/>
  <c r="BS23" i="1"/>
  <c r="DZ319" i="1"/>
  <c r="I340" i="24"/>
  <c r="DZ78" i="1"/>
  <c r="I49" i="24"/>
  <c r="I31" i="24"/>
  <c r="I207" i="24"/>
  <c r="DZ221" i="1"/>
  <c r="I47" i="5"/>
  <c r="K47" i="5" s="1"/>
  <c r="K35" i="5"/>
  <c r="J36" i="5"/>
  <c r="CR92" i="1"/>
  <c r="CU92" i="1" s="1"/>
  <c r="CR94" i="1"/>
  <c r="CU94" i="1" s="1"/>
  <c r="BS311" i="1"/>
  <c r="DY94" i="1"/>
  <c r="DY324" i="1"/>
  <c r="H207" i="24"/>
  <c r="H61" i="24"/>
  <c r="CR269" i="1"/>
  <c r="CU269" i="1" s="1"/>
  <c r="H133" i="24"/>
  <c r="DY176" i="1"/>
  <c r="H116" i="24"/>
  <c r="BS45" i="1"/>
  <c r="DZ91" i="1"/>
  <c r="DD360" i="1"/>
  <c r="DD371" i="1" s="1"/>
  <c r="CR40" i="1"/>
  <c r="CU40" i="1" s="1"/>
  <c r="DY63" i="1"/>
  <c r="DY311" i="1"/>
  <c r="BS94" i="1"/>
  <c r="BS140" i="1"/>
  <c r="H46" i="24"/>
  <c r="H235" i="24"/>
  <c r="CR89" i="1"/>
  <c r="CU89" i="1" s="1"/>
  <c r="CR103" i="1"/>
  <c r="CU103" i="1" s="1"/>
  <c r="CR252" i="1"/>
  <c r="CU252" i="1" s="1"/>
  <c r="H256" i="24"/>
  <c r="CR165" i="1"/>
  <c r="CU165" i="1" s="1"/>
  <c r="BS96" i="1"/>
  <c r="H85" i="24"/>
  <c r="BS24" i="1"/>
  <c r="CR239" i="1"/>
  <c r="CU239" i="1" s="1"/>
  <c r="CR127" i="1"/>
  <c r="CU127" i="1" s="1"/>
  <c r="H222" i="24"/>
  <c r="CR289" i="1"/>
  <c r="CU289" i="1" s="1"/>
  <c r="CR131" i="1"/>
  <c r="CU131" i="1" s="1"/>
  <c r="DY348" i="1"/>
  <c r="BS32" i="1"/>
  <c r="BS20" i="1"/>
  <c r="DY96" i="1"/>
  <c r="H268" i="24"/>
  <c r="DY171" i="1"/>
  <c r="BS50" i="1"/>
  <c r="DY127" i="1"/>
  <c r="CR324" i="1"/>
  <c r="CU324" i="1" s="1"/>
  <c r="CR11" i="1"/>
  <c r="CU11" i="1" s="1"/>
  <c r="H369" i="24"/>
  <c r="K369" i="24" s="1"/>
  <c r="H232" i="24"/>
  <c r="H160" i="24"/>
  <c r="H202" i="24"/>
  <c r="BS168" i="1"/>
  <c r="CQ154" i="1"/>
  <c r="BS109" i="1"/>
  <c r="H189" i="24"/>
  <c r="BS104" i="1"/>
  <c r="BS242" i="1"/>
  <c r="DY294" i="1"/>
  <c r="BS294" i="1"/>
  <c r="BS158" i="1"/>
  <c r="BS142" i="1"/>
  <c r="CR44" i="1"/>
  <c r="CU44" i="1" s="1"/>
  <c r="CR139" i="1"/>
  <c r="CU139" i="1" s="1"/>
  <c r="DY332" i="1"/>
  <c r="CR301" i="1"/>
  <c r="CU301" i="1" s="1"/>
  <c r="BS342" i="1"/>
  <c r="H153" i="24"/>
  <c r="BS205" i="1"/>
  <c r="BS250" i="1"/>
  <c r="H172" i="24"/>
  <c r="H225" i="24"/>
  <c r="DY293" i="1"/>
  <c r="CR161" i="1"/>
  <c r="CU161" i="1" s="1"/>
  <c r="CR322" i="1"/>
  <c r="CU322" i="1" s="1"/>
  <c r="CR79" i="1"/>
  <c r="CU79" i="1" s="1"/>
  <c r="CR287" i="1"/>
  <c r="CU287" i="1" s="1"/>
  <c r="H321" i="24"/>
  <c r="BS44" i="1"/>
  <c r="CR342" i="1"/>
  <c r="CU342" i="1" s="1"/>
  <c r="BS176" i="1"/>
  <c r="BS330" i="1"/>
  <c r="BS310" i="1"/>
  <c r="H47" i="24"/>
  <c r="BS187" i="1"/>
  <c r="DY220" i="1"/>
  <c r="DY251" i="1"/>
  <c r="H33" i="24"/>
  <c r="DY241" i="1"/>
  <c r="H252" i="24"/>
  <c r="CR332" i="1"/>
  <c r="CU332" i="1" s="1"/>
  <c r="H272" i="24"/>
  <c r="H335" i="24"/>
  <c r="J335" i="24" s="1"/>
  <c r="DY229" i="1"/>
  <c r="DY301" i="1"/>
  <c r="CR143" i="1"/>
  <c r="CU143" i="1" s="1"/>
  <c r="H215" i="24"/>
  <c r="H353" i="24"/>
  <c r="K353" i="24" s="1"/>
  <c r="BS79" i="1"/>
  <c r="I231" i="24"/>
  <c r="DY274" i="1"/>
  <c r="H206" i="24"/>
  <c r="DZ310" i="1"/>
  <c r="EC354" i="1"/>
  <c r="DC360" i="1"/>
  <c r="H192" i="24"/>
  <c r="H87" i="24"/>
  <c r="DZ108" i="1"/>
  <c r="DY143" i="1"/>
  <c r="CR24" i="1"/>
  <c r="CU24" i="1" s="1"/>
  <c r="BS120" i="1"/>
  <c r="BS57" i="1"/>
  <c r="BS207" i="1"/>
  <c r="O88" i="30"/>
  <c r="P88" i="30" s="1"/>
  <c r="M88" i="30"/>
  <c r="L38" i="30"/>
  <c r="L84" i="30"/>
  <c r="M138" i="30"/>
  <c r="O138" i="30"/>
  <c r="P138" i="30" s="1"/>
  <c r="D12" i="30"/>
  <c r="C162" i="30"/>
  <c r="D162" i="30" s="1"/>
  <c r="H13" i="3"/>
  <c r="Q9" i="1"/>
  <c r="Q359" i="1" s="1"/>
  <c r="P354" i="1"/>
  <c r="D12" i="3" s="1"/>
  <c r="C9" i="30"/>
  <c r="H243" i="24"/>
  <c r="DY43" i="1"/>
  <c r="H212" i="24"/>
  <c r="BS226" i="1"/>
  <c r="BS216" i="1"/>
  <c r="I19" i="24"/>
  <c r="I289" i="24"/>
  <c r="DZ258" i="1"/>
  <c r="I64" i="24"/>
  <c r="DZ101" i="1"/>
  <c r="I77" i="24"/>
  <c r="DZ73" i="1"/>
  <c r="I44" i="24"/>
  <c r="I84" i="24"/>
  <c r="DZ106" i="1"/>
  <c r="BS106" i="1"/>
  <c r="I67" i="24"/>
  <c r="DZ93" i="1"/>
  <c r="DZ241" i="1"/>
  <c r="I222" i="24"/>
  <c r="DZ323" i="1"/>
  <c r="I344" i="24"/>
  <c r="I242" i="24"/>
  <c r="DZ42" i="1"/>
  <c r="I40" i="24"/>
  <c r="DZ69" i="1"/>
  <c r="I274" i="24"/>
  <c r="I187" i="24"/>
  <c r="AU23" i="1"/>
  <c r="DZ23" i="1"/>
  <c r="I271" i="24"/>
  <c r="I317" i="24"/>
  <c r="DZ107" i="1"/>
  <c r="I85" i="24"/>
  <c r="DZ304" i="1"/>
  <c r="I324" i="24"/>
  <c r="J324" i="24" s="1"/>
  <c r="I66" i="24"/>
  <c r="DZ314" i="1"/>
  <c r="I334" i="24"/>
  <c r="I79" i="24"/>
  <c r="I48" i="24"/>
  <c r="DZ77" i="1"/>
  <c r="I94" i="24"/>
  <c r="BS116" i="1"/>
  <c r="DZ116" i="1"/>
  <c r="I361" i="24"/>
  <c r="DZ340" i="1"/>
  <c r="DZ94" i="1"/>
  <c r="I70" i="24"/>
  <c r="I352" i="24"/>
  <c r="K352" i="24" s="1"/>
  <c r="DZ331" i="1"/>
  <c r="DZ41" i="1"/>
  <c r="I241" i="24"/>
  <c r="I178" i="24"/>
  <c r="DZ193" i="1"/>
  <c r="I288" i="24"/>
  <c r="DZ257" i="1"/>
  <c r="I16" i="24"/>
  <c r="DZ47" i="1"/>
  <c r="BS47" i="1"/>
  <c r="I78" i="24"/>
  <c r="DZ102" i="1"/>
  <c r="I58" i="24"/>
  <c r="DZ86" i="1"/>
  <c r="I82" i="24"/>
  <c r="DZ120" i="1"/>
  <c r="I98" i="24"/>
  <c r="I198" i="24"/>
  <c r="J198" i="24" s="1"/>
  <c r="DZ238" i="1"/>
  <c r="I261" i="24"/>
  <c r="I131" i="24"/>
  <c r="DZ149" i="1"/>
  <c r="I269" i="24"/>
  <c r="DZ21" i="1"/>
  <c r="I223" i="24"/>
  <c r="DZ242" i="1"/>
  <c r="I285" i="24"/>
  <c r="DZ31" i="1"/>
  <c r="I36" i="24"/>
  <c r="DZ65" i="1"/>
  <c r="I184" i="24"/>
  <c r="DZ199" i="1"/>
  <c r="I61" i="24"/>
  <c r="DZ89" i="1"/>
  <c r="I371" i="24"/>
  <c r="K371" i="24" s="1"/>
  <c r="DZ350" i="1"/>
  <c r="I142" i="24"/>
  <c r="DZ160" i="1"/>
  <c r="I38" i="24"/>
  <c r="DZ67" i="1"/>
  <c r="DZ214" i="1"/>
  <c r="I199" i="24"/>
  <c r="I227" i="24"/>
  <c r="DZ246" i="1"/>
  <c r="DZ338" i="1"/>
  <c r="I359" i="24"/>
  <c r="K30" i="3"/>
  <c r="BS306" i="1"/>
  <c r="I326" i="24"/>
  <c r="K326" i="24" s="1"/>
  <c r="DZ306" i="1"/>
  <c r="BI360" i="1"/>
  <c r="K28" i="3"/>
  <c r="I350" i="24"/>
  <c r="K350" i="24" s="1"/>
  <c r="DZ329" i="1"/>
  <c r="I113" i="24"/>
  <c r="DZ135" i="1"/>
  <c r="DZ126" i="1"/>
  <c r="I104" i="24"/>
  <c r="AW360" i="1"/>
  <c r="K24" i="3"/>
  <c r="BL360" i="1"/>
  <c r="K29" i="3"/>
  <c r="I362" i="24"/>
  <c r="DZ341" i="1"/>
  <c r="I150" i="24"/>
  <c r="DZ168" i="1"/>
  <c r="DZ61" i="1"/>
  <c r="I32" i="24"/>
  <c r="DZ130" i="1"/>
  <c r="I108" i="24"/>
  <c r="I80" i="24"/>
  <c r="DZ103" i="1"/>
  <c r="H25" i="3"/>
  <c r="I264" i="24"/>
  <c r="DZ16" i="1"/>
  <c r="BS317" i="1"/>
  <c r="I338" i="24"/>
  <c r="DZ317" i="1"/>
  <c r="DZ92" i="1"/>
  <c r="I65" i="24"/>
  <c r="I118" i="24"/>
  <c r="DZ140" i="1"/>
  <c r="DZ315" i="1"/>
  <c r="I336" i="24"/>
  <c r="AG402" i="26"/>
  <c r="H254" i="24"/>
  <c r="C7" i="12"/>
  <c r="DY184" i="1"/>
  <c r="H32" i="24"/>
  <c r="C22" i="3"/>
  <c r="H177" i="24"/>
  <c r="DY247" i="1"/>
  <c r="DY22" i="1"/>
  <c r="CR271" i="1"/>
  <c r="CU271" i="1" s="1"/>
  <c r="H141" i="24"/>
  <c r="CR265" i="1"/>
  <c r="CU265" i="1" s="1"/>
  <c r="CR52" i="1"/>
  <c r="CU52" i="1" s="1"/>
  <c r="CR320" i="1"/>
  <c r="CU320" i="1" s="1"/>
  <c r="CR328" i="1"/>
  <c r="CU328" i="1" s="1"/>
  <c r="CQ227" i="1"/>
  <c r="CR186" i="1"/>
  <c r="CU186" i="1" s="1"/>
  <c r="CR210" i="1"/>
  <c r="CU210" i="1" s="1"/>
  <c r="H65" i="24"/>
  <c r="CR369" i="1"/>
  <c r="CU369" i="1" s="1"/>
  <c r="DY115" i="1"/>
  <c r="CR291" i="1"/>
  <c r="CU291" i="1" s="1"/>
  <c r="CR157" i="1"/>
  <c r="CU157" i="1" s="1"/>
  <c r="H19" i="24"/>
  <c r="H250" i="24"/>
  <c r="CR117" i="1"/>
  <c r="CU117" i="1" s="1"/>
  <c r="DY192" i="1"/>
  <c r="H117" i="24"/>
  <c r="CR86" i="1"/>
  <c r="CU86" i="1" s="1"/>
  <c r="H228" i="24"/>
  <c r="H139" i="24"/>
  <c r="BS295" i="1"/>
  <c r="DY271" i="1"/>
  <c r="DY117" i="1"/>
  <c r="CQ221" i="1"/>
  <c r="CR198" i="1"/>
  <c r="CU198" i="1" s="1"/>
  <c r="CR135" i="1"/>
  <c r="CU135" i="1" s="1"/>
  <c r="DY320" i="1"/>
  <c r="CQ291" i="1"/>
  <c r="J316" i="24"/>
  <c r="DY82" i="1"/>
  <c r="DY139" i="1"/>
  <c r="DY273" i="1"/>
  <c r="BS271" i="1"/>
  <c r="CR235" i="1"/>
  <c r="CU235" i="1" s="1"/>
  <c r="CR192" i="1"/>
  <c r="CU192" i="1" s="1"/>
  <c r="CR167" i="1"/>
  <c r="CU167" i="1" s="1"/>
  <c r="CR22" i="1"/>
  <c r="CU22" i="1" s="1"/>
  <c r="DY265" i="1"/>
  <c r="H169" i="24"/>
  <c r="CR80" i="1"/>
  <c r="CU80" i="1" s="1"/>
  <c r="CR316" i="1"/>
  <c r="CU316" i="1" s="1"/>
  <c r="DY61" i="1"/>
  <c r="H54" i="24"/>
  <c r="H304" i="24"/>
  <c r="H270" i="24"/>
  <c r="H296" i="24"/>
  <c r="K296" i="24" s="1"/>
  <c r="CR184" i="1"/>
  <c r="CU184" i="1" s="1"/>
  <c r="CR159" i="1"/>
  <c r="CU159" i="1" s="1"/>
  <c r="CR295" i="1"/>
  <c r="CU295" i="1" s="1"/>
  <c r="CR123" i="1"/>
  <c r="CU123" i="1" s="1"/>
  <c r="CR9" i="1"/>
  <c r="H341" i="24"/>
  <c r="CR32" i="1"/>
  <c r="CU32" i="1" s="1"/>
  <c r="DY27" i="1"/>
  <c r="DY173" i="1"/>
  <c r="CR82" i="1"/>
  <c r="CU82" i="1" s="1"/>
  <c r="BS91" i="1"/>
  <c r="DY346" i="1"/>
  <c r="BS287" i="1"/>
  <c r="DY137" i="1"/>
  <c r="H262" i="24"/>
  <c r="CR231" i="1"/>
  <c r="CU231" i="1" s="1"/>
  <c r="CR63" i="1"/>
  <c r="CU63" i="1" s="1"/>
  <c r="CR129" i="1"/>
  <c r="CU129" i="1" s="1"/>
  <c r="CR169" i="1"/>
  <c r="CU169" i="1" s="1"/>
  <c r="CR104" i="1"/>
  <c r="CU104" i="1" s="1"/>
  <c r="CR176" i="1"/>
  <c r="CU176" i="1" s="1"/>
  <c r="CR61" i="1"/>
  <c r="CU61" i="1" s="1"/>
  <c r="CR217" i="1"/>
  <c r="CU217" i="1" s="1"/>
  <c r="CR91" i="1"/>
  <c r="CU91" i="1" s="1"/>
  <c r="CR249" i="1"/>
  <c r="CU249" i="1" s="1"/>
  <c r="CR71" i="1"/>
  <c r="CU71" i="1" s="1"/>
  <c r="H167" i="24"/>
  <c r="CR77" i="1"/>
  <c r="CU77" i="1" s="1"/>
  <c r="H151" i="24"/>
  <c r="H244" i="24"/>
  <c r="CR261" i="1"/>
  <c r="CU261" i="1" s="1"/>
  <c r="DY121" i="1"/>
  <c r="DY243" i="1"/>
  <c r="DY291" i="1"/>
  <c r="H115" i="24"/>
  <c r="DY239" i="1"/>
  <c r="DY48" i="1"/>
  <c r="BS92" i="1"/>
  <c r="CR273" i="1"/>
  <c r="CU273" i="1" s="1"/>
  <c r="H17" i="24"/>
  <c r="CQ94" i="1"/>
  <c r="H284" i="24"/>
  <c r="H308" i="24"/>
  <c r="BS18" i="1"/>
  <c r="CQ249" i="1"/>
  <c r="CR153" i="1"/>
  <c r="CU153" i="1" s="1"/>
  <c r="BS80" i="1"/>
  <c r="DY277" i="1"/>
  <c r="CR293" i="1"/>
  <c r="CU293" i="1" s="1"/>
  <c r="CR55" i="1"/>
  <c r="CU55" i="1" s="1"/>
  <c r="CR182" i="1"/>
  <c r="CU182" i="1" s="1"/>
  <c r="H99" i="24"/>
  <c r="DY80" i="1"/>
  <c r="H224" i="24"/>
  <c r="CR121" i="1"/>
  <c r="CU121" i="1" s="1"/>
  <c r="CR16" i="1"/>
  <c r="CU16" i="1" s="1"/>
  <c r="CR346" i="1"/>
  <c r="CU346" i="1" s="1"/>
  <c r="DY151" i="1"/>
  <c r="BS69" i="1"/>
  <c r="CQ338" i="1"/>
  <c r="BS334" i="1"/>
  <c r="CR282" i="1"/>
  <c r="CU282" i="1" s="1"/>
  <c r="CR175" i="1"/>
  <c r="CU175" i="1" s="1"/>
  <c r="CR229" i="1"/>
  <c r="CU229" i="1" s="1"/>
  <c r="CR27" i="1"/>
  <c r="CU27" i="1" s="1"/>
  <c r="DY275" i="1"/>
  <c r="DY157" i="1"/>
  <c r="H52" i="24"/>
  <c r="DY287" i="1"/>
  <c r="CR151" i="1"/>
  <c r="CU151" i="1" s="1"/>
  <c r="CR125" i="1"/>
  <c r="CU125" i="1" s="1"/>
  <c r="CR284" i="1"/>
  <c r="CU284" i="1" s="1"/>
  <c r="CR336" i="1"/>
  <c r="CU336" i="1" s="1"/>
  <c r="BS297" i="1"/>
  <c r="BS159" i="1"/>
  <c r="N26" i="3"/>
  <c r="N23" i="3" s="1"/>
  <c r="I132" i="24"/>
  <c r="DZ150" i="1"/>
  <c r="I89" i="24"/>
  <c r="DZ111" i="1"/>
  <c r="DZ327" i="1"/>
  <c r="I348" i="24"/>
  <c r="I351" i="24"/>
  <c r="K351" i="24" s="1"/>
  <c r="I214" i="24"/>
  <c r="DZ228" i="1"/>
  <c r="DZ148" i="1"/>
  <c r="I130" i="24"/>
  <c r="I319" i="24"/>
  <c r="DZ299" i="1"/>
  <c r="I69" i="24"/>
  <c r="J69" i="24" s="1"/>
  <c r="I365" i="24"/>
  <c r="DZ344" i="1"/>
  <c r="DZ237" i="1"/>
  <c r="BS237" i="1"/>
  <c r="I260" i="24"/>
  <c r="I24" i="24"/>
  <c r="DZ54" i="1"/>
  <c r="BS54" i="1"/>
  <c r="DZ215" i="1"/>
  <c r="I235" i="24"/>
  <c r="DY219" i="1"/>
  <c r="BS219" i="1"/>
  <c r="DY227" i="1"/>
  <c r="H213" i="24"/>
  <c r="BS227" i="1"/>
  <c r="CR20" i="1"/>
  <c r="CU20" i="1" s="1"/>
  <c r="CR311" i="1"/>
  <c r="CU311" i="1" s="1"/>
  <c r="DZ180" i="1"/>
  <c r="I163" i="24"/>
  <c r="BS177" i="1"/>
  <c r="I160" i="24"/>
  <c r="DZ177" i="1"/>
  <c r="BS266" i="1"/>
  <c r="I297" i="24"/>
  <c r="DZ266" i="1"/>
  <c r="I26" i="24"/>
  <c r="DZ18" i="1"/>
  <c r="I266" i="24"/>
  <c r="DZ234" i="1"/>
  <c r="I220" i="24"/>
  <c r="BS17" i="1"/>
  <c r="DZ17" i="1"/>
  <c r="I265" i="24"/>
  <c r="DZ79" i="1"/>
  <c r="I50" i="24"/>
  <c r="DZ27" i="1"/>
  <c r="I280" i="24"/>
  <c r="K280" i="24" s="1"/>
  <c r="DZ76" i="1"/>
  <c r="I47" i="24"/>
  <c r="BS76" i="1"/>
  <c r="DZ251" i="1"/>
  <c r="I255" i="24"/>
  <c r="BS251" i="1"/>
  <c r="DZ311" i="1"/>
  <c r="I331" i="24"/>
  <c r="J331" i="24" s="1"/>
  <c r="I305" i="24"/>
  <c r="DZ274" i="1"/>
  <c r="BS274" i="1"/>
  <c r="BS281" i="1"/>
  <c r="DZ281" i="1"/>
  <c r="I312" i="24"/>
  <c r="CR60" i="1"/>
  <c r="CU60" i="1" s="1"/>
  <c r="AZ360" i="1"/>
  <c r="K25" i="3"/>
  <c r="BS122" i="1"/>
  <c r="I100" i="24"/>
  <c r="DZ122" i="1"/>
  <c r="DZ235" i="1"/>
  <c r="I258" i="24"/>
  <c r="BS143" i="1"/>
  <c r="DZ143" i="1"/>
  <c r="I124" i="24"/>
  <c r="DZ210" i="1"/>
  <c r="I195" i="24"/>
  <c r="DZ244" i="1"/>
  <c r="BS244" i="1"/>
  <c r="I225" i="24"/>
  <c r="DZ298" i="1"/>
  <c r="I318" i="24"/>
  <c r="I169" i="24"/>
  <c r="DZ184" i="1"/>
  <c r="I259" i="24"/>
  <c r="DZ236" i="1"/>
  <c r="BS236" i="1"/>
  <c r="I244" i="24"/>
  <c r="DZ285" i="1"/>
  <c r="DZ36" i="1"/>
  <c r="I236" i="24"/>
  <c r="BS36" i="1"/>
  <c r="H359" i="24"/>
  <c r="BS338" i="1"/>
  <c r="K27" i="3"/>
  <c r="I272" i="24"/>
  <c r="DZ24" i="1"/>
  <c r="DZ25" i="1"/>
  <c r="I278" i="24"/>
  <c r="DZ172" i="1"/>
  <c r="I154" i="24"/>
  <c r="DZ196" i="1"/>
  <c r="I181" i="24"/>
  <c r="DZ353" i="1"/>
  <c r="I374" i="24"/>
  <c r="BS353" i="1"/>
  <c r="I25" i="24"/>
  <c r="DZ55" i="1"/>
  <c r="BS349" i="1"/>
  <c r="I370" i="24"/>
  <c r="K370" i="24" s="1"/>
  <c r="DZ349" i="1"/>
  <c r="I251" i="24"/>
  <c r="BS292" i="1"/>
  <c r="DZ292" i="1"/>
  <c r="I360" i="24"/>
  <c r="DZ339" i="1"/>
  <c r="BS339" i="1"/>
  <c r="I13" i="24"/>
  <c r="DZ37" i="1"/>
  <c r="I237" i="24"/>
  <c r="BS37" i="1"/>
  <c r="DZ334" i="1"/>
  <c r="I355" i="24"/>
  <c r="CQ96" i="1"/>
  <c r="CR38" i="1"/>
  <c r="CU38" i="1" s="1"/>
  <c r="CR297" i="1"/>
  <c r="CU297" i="1" s="1"/>
  <c r="DY86" i="1"/>
  <c r="H58" i="24"/>
  <c r="K121" i="24"/>
  <c r="J121" i="24"/>
  <c r="H50" i="24"/>
  <c r="DY79" i="1"/>
  <c r="CR67" i="1"/>
  <c r="CU67" i="1" s="1"/>
  <c r="C29" i="3"/>
  <c r="BM354" i="1"/>
  <c r="DY249" i="1"/>
  <c r="BS249" i="1"/>
  <c r="CR69" i="1"/>
  <c r="CU69" i="1" s="1"/>
  <c r="CR180" i="1"/>
  <c r="CU180" i="1" s="1"/>
  <c r="DY199" i="1"/>
  <c r="BS199" i="1"/>
  <c r="H76" i="24"/>
  <c r="BS100" i="1"/>
  <c r="DY100" i="1"/>
  <c r="DY71" i="1"/>
  <c r="H42" i="24"/>
  <c r="BS71" i="1"/>
  <c r="H145" i="24"/>
  <c r="CR163" i="1"/>
  <c r="CU163" i="1" s="1"/>
  <c r="H317" i="24"/>
  <c r="CR241" i="1"/>
  <c r="CU241" i="1" s="1"/>
  <c r="CR305" i="1"/>
  <c r="CU305" i="1" s="1"/>
  <c r="CR204" i="1"/>
  <c r="CU204" i="1" s="1"/>
  <c r="CQ320" i="1"/>
  <c r="CR114" i="1"/>
  <c r="CU114" i="1" s="1"/>
  <c r="CR119" i="1"/>
  <c r="CU119" i="1" s="1"/>
  <c r="H25" i="24"/>
  <c r="BS55" i="1"/>
  <c r="DY55" i="1"/>
  <c r="CQ143" i="1"/>
  <c r="BS328" i="1"/>
  <c r="H349" i="24"/>
  <c r="BS153" i="1"/>
  <c r="H135" i="24"/>
  <c r="DY153" i="1"/>
  <c r="H217" i="24"/>
  <c r="DY231" i="1"/>
  <c r="BS231" i="1"/>
  <c r="BS9" i="1"/>
  <c r="H8" i="24"/>
  <c r="DY9" i="1"/>
  <c r="H173" i="24"/>
  <c r="DY188" i="1"/>
  <c r="DY163" i="1"/>
  <c r="CR58" i="1"/>
  <c r="CU58" i="1" s="1"/>
  <c r="CQ25" i="1"/>
  <c r="CQ280" i="1"/>
  <c r="CR65" i="1"/>
  <c r="CU65" i="1" s="1"/>
  <c r="CR307" i="1"/>
  <c r="CU307" i="1" s="1"/>
  <c r="H325" i="24"/>
  <c r="DY305" i="1"/>
  <c r="H165" i="24"/>
  <c r="DY182" i="1"/>
  <c r="BS182" i="1"/>
  <c r="DY125" i="1"/>
  <c r="H103" i="24"/>
  <c r="C25" i="3"/>
  <c r="BA354" i="1"/>
  <c r="BS52" i="1"/>
  <c r="H21" i="24"/>
  <c r="DY52" i="1"/>
  <c r="DY60" i="1"/>
  <c r="BS60" i="1"/>
  <c r="H31" i="24"/>
  <c r="DY67" i="1"/>
  <c r="H38" i="24"/>
  <c r="C20" i="3"/>
  <c r="CR48" i="1"/>
  <c r="CU48" i="1" s="1"/>
  <c r="CR100" i="1"/>
  <c r="CU100" i="1" s="1"/>
  <c r="CR277" i="1"/>
  <c r="CU277" i="1" s="1"/>
  <c r="CQ89" i="1"/>
  <c r="CQ79" i="1"/>
  <c r="CR344" i="1"/>
  <c r="CU344" i="1" s="1"/>
  <c r="K345" i="24"/>
  <c r="J345" i="24"/>
  <c r="CQ109" i="1"/>
  <c r="BS131" i="1"/>
  <c r="H109" i="24"/>
  <c r="DY131" i="1"/>
  <c r="H143" i="24"/>
  <c r="DY161" i="1"/>
  <c r="BS161" i="1"/>
  <c r="DY165" i="1"/>
  <c r="H147" i="24"/>
  <c r="BS165" i="1"/>
  <c r="DY194" i="1"/>
  <c r="H179" i="24"/>
  <c r="BS194" i="1"/>
  <c r="H238" i="24"/>
  <c r="DY38" i="1"/>
  <c r="BS38" i="1"/>
  <c r="DY210" i="1"/>
  <c r="BS210" i="1"/>
  <c r="H195" i="24"/>
  <c r="H274" i="24"/>
  <c r="CR18" i="1"/>
  <c r="CU18" i="1" s="1"/>
  <c r="DY18" i="1"/>
  <c r="BS67" i="1"/>
  <c r="H29" i="24"/>
  <c r="DY58" i="1"/>
  <c r="DY73" i="1"/>
  <c r="H44" i="24"/>
  <c r="BS73" i="1"/>
  <c r="DY212" i="1"/>
  <c r="H197" i="24"/>
  <c r="H323" i="24"/>
  <c r="DY303" i="1"/>
  <c r="BS303" i="1"/>
  <c r="DY102" i="1"/>
  <c r="BS102" i="1"/>
  <c r="H78" i="24"/>
  <c r="H119" i="24"/>
  <c r="CR141" i="1"/>
  <c r="CU141" i="1" s="1"/>
  <c r="DY141" i="1"/>
  <c r="BS141" i="1"/>
  <c r="H126" i="24"/>
  <c r="H203" i="24"/>
  <c r="DY217" i="1"/>
  <c r="BS217" i="1"/>
  <c r="H218" i="24"/>
  <c r="DY232" i="1"/>
  <c r="H282" i="24"/>
  <c r="DY29" i="1"/>
  <c r="BS29" i="1"/>
  <c r="H294" i="24"/>
  <c r="DY263" i="1"/>
  <c r="BS263" i="1"/>
  <c r="DY313" i="1"/>
  <c r="H333" i="24"/>
  <c r="BS313" i="1"/>
  <c r="C19" i="3"/>
  <c r="C18" i="3"/>
  <c r="CR29" i="1"/>
  <c r="CU29" i="1" s="1"/>
  <c r="BS212" i="1"/>
  <c r="CR107" i="1"/>
  <c r="CU107" i="1" s="1"/>
  <c r="CR50" i="1"/>
  <c r="CU50" i="1" s="1"/>
  <c r="CR73" i="1"/>
  <c r="CU73" i="1" s="1"/>
  <c r="CR212" i="1"/>
  <c r="CU212" i="1" s="1"/>
  <c r="CR35" i="1"/>
  <c r="CU35" i="1" s="1"/>
  <c r="CR75" i="1"/>
  <c r="CU75" i="1" s="1"/>
  <c r="C39" i="3"/>
  <c r="C38" i="3"/>
  <c r="C36" i="3"/>
  <c r="G35" i="3"/>
  <c r="CQ161" i="1"/>
  <c r="CQ285" i="1"/>
  <c r="CQ324" i="1"/>
  <c r="CQ219" i="1"/>
  <c r="C27" i="3"/>
  <c r="H27" i="24"/>
  <c r="DY56" i="1"/>
  <c r="BS56" i="1"/>
  <c r="DY180" i="1"/>
  <c r="H163" i="24"/>
  <c r="BS180" i="1"/>
  <c r="H175" i="24"/>
  <c r="DY190" i="1"/>
  <c r="BS190" i="1"/>
  <c r="H186" i="24"/>
  <c r="DY201" i="1"/>
  <c r="BS201" i="1"/>
  <c r="H242" i="24"/>
  <c r="DY42" i="1"/>
  <c r="DY235" i="1"/>
  <c r="H258" i="24"/>
  <c r="BS235" i="1"/>
  <c r="DY326" i="1"/>
  <c r="BS326" i="1"/>
  <c r="H347" i="24"/>
  <c r="DY334" i="1"/>
  <c r="H355" i="24"/>
  <c r="H12" i="24"/>
  <c r="DY13" i="1"/>
  <c r="CR13" i="1"/>
  <c r="CU13" i="1" s="1"/>
  <c r="CR93" i="1"/>
  <c r="CU93" i="1" s="1"/>
  <c r="BS93" i="1"/>
  <c r="DY98" i="1"/>
  <c r="H74" i="24"/>
  <c r="BS98" i="1"/>
  <c r="DY105" i="1"/>
  <c r="H83" i="24"/>
  <c r="CR105" i="1"/>
  <c r="CU105" i="1" s="1"/>
  <c r="BS105" i="1"/>
  <c r="DY178" i="1"/>
  <c r="CR178" i="1"/>
  <c r="CU178" i="1" s="1"/>
  <c r="H161" i="24"/>
  <c r="BS178" i="1"/>
  <c r="H290" i="24"/>
  <c r="CR259" i="1"/>
  <c r="CU259" i="1" s="1"/>
  <c r="DY259" i="1"/>
  <c r="BS259" i="1"/>
  <c r="DY282" i="1"/>
  <c r="H313" i="24"/>
  <c r="BS282" i="1"/>
  <c r="DY309" i="1"/>
  <c r="H329" i="24"/>
  <c r="BS309" i="1"/>
  <c r="H361" i="24"/>
  <c r="CR340" i="1"/>
  <c r="CU340" i="1" s="1"/>
  <c r="DY340" i="1"/>
  <c r="C14" i="3"/>
  <c r="CQ350" i="1"/>
  <c r="CQ52" i="1"/>
  <c r="CQ146" i="1"/>
  <c r="CR313" i="1"/>
  <c r="CU313" i="1" s="1"/>
  <c r="CR56" i="1"/>
  <c r="CU56" i="1" s="1"/>
  <c r="CR42" i="1"/>
  <c r="CU42" i="1" s="1"/>
  <c r="CR318" i="1"/>
  <c r="CU318" i="1" s="1"/>
  <c r="AG354" i="1"/>
  <c r="G360" i="1"/>
  <c r="CR247" i="1"/>
  <c r="CU247" i="1" s="1"/>
  <c r="C30" i="3"/>
  <c r="CQ322" i="1"/>
  <c r="CQ231" i="1"/>
  <c r="CQ328" i="1"/>
  <c r="CQ194" i="1"/>
  <c r="CQ63" i="1"/>
  <c r="CQ252" i="1"/>
  <c r="BS11" i="1"/>
  <c r="DY11" i="1"/>
  <c r="H10" i="24"/>
  <c r="H23" i="24"/>
  <c r="H56" i="24"/>
  <c r="DY84" i="1"/>
  <c r="DY114" i="1"/>
  <c r="BS114" i="1"/>
  <c r="H92" i="24"/>
  <c r="H107" i="24"/>
  <c r="DY129" i="1"/>
  <c r="BS129" i="1"/>
  <c r="DY208" i="1"/>
  <c r="H193" i="24"/>
  <c r="BS208" i="1"/>
  <c r="H220" i="24"/>
  <c r="DY234" i="1"/>
  <c r="BS234" i="1"/>
  <c r="H264" i="24"/>
  <c r="DY16" i="1"/>
  <c r="H288" i="24"/>
  <c r="DY257" i="1"/>
  <c r="BS257" i="1"/>
  <c r="DY299" i="1"/>
  <c r="H319" i="24"/>
  <c r="BS299" i="1"/>
  <c r="C24" i="3"/>
  <c r="AX354" i="1"/>
  <c r="DY119" i="1"/>
  <c r="H97" i="24"/>
  <c r="BS119" i="1"/>
  <c r="H191" i="24"/>
  <c r="DY206" i="1"/>
  <c r="BS206" i="1"/>
  <c r="CR206" i="1"/>
  <c r="CU206" i="1" s="1"/>
  <c r="H199" i="24"/>
  <c r="DY214" i="1"/>
  <c r="BS214" i="1"/>
  <c r="CR267" i="1"/>
  <c r="CU267" i="1" s="1"/>
  <c r="H298" i="24"/>
  <c r="BS267" i="1"/>
  <c r="DY267" i="1"/>
  <c r="CR279" i="1"/>
  <c r="CU279" i="1" s="1"/>
  <c r="BS279" i="1"/>
  <c r="H357" i="24"/>
  <c r="DY336" i="1"/>
  <c r="BS336" i="1"/>
  <c r="G20" i="3"/>
  <c r="G19" i="3"/>
  <c r="CR348" i="1"/>
  <c r="CU348" i="1" s="1"/>
  <c r="G14" i="3"/>
  <c r="CR115" i="1"/>
  <c r="CU115" i="1" s="1"/>
  <c r="K342" i="24"/>
  <c r="J342" i="24"/>
  <c r="CR263" i="1"/>
  <c r="CU263" i="1" s="1"/>
  <c r="CR84" i="1"/>
  <c r="CU84" i="1" s="1"/>
  <c r="CR133" i="1"/>
  <c r="CU133" i="1" s="1"/>
  <c r="CR190" i="1"/>
  <c r="CU190" i="1" s="1"/>
  <c r="CR299" i="1"/>
  <c r="CU299" i="1" s="1"/>
  <c r="H360" i="1"/>
  <c r="C16" i="3"/>
  <c r="C37" i="12"/>
  <c r="CR102" i="1"/>
  <c r="CU102" i="1" s="1"/>
  <c r="CQ102" i="1"/>
  <c r="C35" i="3"/>
  <c r="G30" i="3"/>
  <c r="C28" i="3"/>
  <c r="BJ354" i="1"/>
  <c r="CQ103" i="1"/>
  <c r="H36" i="24"/>
  <c r="DY65" i="1"/>
  <c r="BS65" i="1"/>
  <c r="H66" i="24"/>
  <c r="H171" i="24"/>
  <c r="DY186" i="1"/>
  <c r="BS186" i="1"/>
  <c r="DY198" i="1"/>
  <c r="H183" i="24"/>
  <c r="BS198" i="1"/>
  <c r="H315" i="24"/>
  <c r="DY284" i="1"/>
  <c r="BS284" i="1"/>
  <c r="H327" i="24"/>
  <c r="BS307" i="1"/>
  <c r="DY307" i="1"/>
  <c r="H80" i="24"/>
  <c r="DY103" i="1"/>
  <c r="DY148" i="1"/>
  <c r="BS148" i="1"/>
  <c r="H130" i="24"/>
  <c r="H137" i="24"/>
  <c r="BS155" i="1"/>
  <c r="DY155" i="1"/>
  <c r="H149" i="24"/>
  <c r="DY167" i="1"/>
  <c r="BS167" i="1"/>
  <c r="DY175" i="1"/>
  <c r="H157" i="24"/>
  <c r="DY245" i="1"/>
  <c r="H226" i="24"/>
  <c r="BS245" i="1"/>
  <c r="DY316" i="1"/>
  <c r="H337" i="24"/>
  <c r="BS316" i="1"/>
  <c r="H365" i="24"/>
  <c r="DY344" i="1"/>
  <c r="BS344" i="1"/>
  <c r="DY352" i="1"/>
  <c r="H373" i="24"/>
  <c r="BS352" i="1"/>
  <c r="G18" i="3"/>
  <c r="CR352" i="1"/>
  <c r="CU352" i="1" s="1"/>
  <c r="CR309" i="1"/>
  <c r="CU309" i="1" s="1"/>
  <c r="CQ188" i="1"/>
  <c r="CR98" i="1"/>
  <c r="CU98" i="1" s="1"/>
  <c r="CR148" i="1"/>
  <c r="CU148" i="1" s="1"/>
  <c r="CR245" i="1"/>
  <c r="CU245" i="1" s="1"/>
  <c r="CR275" i="1"/>
  <c r="CU275" i="1" s="1"/>
  <c r="CR137" i="1"/>
  <c r="CU137" i="1" s="1"/>
  <c r="CR173" i="1"/>
  <c r="CU173" i="1" s="1"/>
  <c r="CR201" i="1"/>
  <c r="CU201" i="1" s="1"/>
  <c r="CR243" i="1"/>
  <c r="CU243" i="1" s="1"/>
  <c r="CR257" i="1"/>
  <c r="CU257" i="1" s="1"/>
  <c r="CR303" i="1"/>
  <c r="CU303" i="1" s="1"/>
  <c r="CR326" i="1"/>
  <c r="CU326" i="1" s="1"/>
  <c r="CR234" i="1"/>
  <c r="CU234" i="1" s="1"/>
  <c r="G26" i="3"/>
  <c r="C12" i="3"/>
  <c r="G38" i="3"/>
  <c r="G36" i="3"/>
  <c r="G39" i="3"/>
  <c r="G34" i="3"/>
  <c r="G25" i="3"/>
  <c r="AZ363" i="1"/>
  <c r="G16" i="3"/>
  <c r="I16" i="3" s="1"/>
  <c r="AB363" i="1"/>
  <c r="G29" i="3"/>
  <c r="I29" i="3" s="1"/>
  <c r="BL363" i="1"/>
  <c r="G28" i="3"/>
  <c r="I28" i="3" s="1"/>
  <c r="BI363" i="1"/>
  <c r="G27" i="3"/>
  <c r="AW363" i="1"/>
  <c r="J367" i="24"/>
  <c r="K367" i="24"/>
  <c r="G22" i="3"/>
  <c r="G12" i="3"/>
  <c r="G13" i="3"/>
  <c r="S363" i="1"/>
  <c r="J36" i="3"/>
  <c r="M32" i="3"/>
  <c r="J16" i="3"/>
  <c r="J39" i="3"/>
  <c r="CL360" i="1"/>
  <c r="F360" i="1"/>
  <c r="M38" i="3"/>
  <c r="G11" i="3"/>
  <c r="G10" i="3"/>
  <c r="M39" i="3"/>
  <c r="BW360" i="1"/>
  <c r="J33" i="3"/>
  <c r="J38" i="3"/>
  <c r="CI360" i="1"/>
  <c r="M35" i="3"/>
  <c r="C7" i="3"/>
  <c r="M22" i="3"/>
  <c r="M34" i="3"/>
  <c r="J30" i="3"/>
  <c r="BO364" i="1"/>
  <c r="M28" i="3"/>
  <c r="O28" i="3" s="1"/>
  <c r="BI365" i="1"/>
  <c r="J24" i="3"/>
  <c r="AW364" i="1"/>
  <c r="BI364" i="1"/>
  <c r="BH360" i="1"/>
  <c r="J28" i="3"/>
  <c r="J18" i="3"/>
  <c r="M36" i="3"/>
  <c r="CF360" i="1"/>
  <c r="J35" i="3"/>
  <c r="CC360" i="1"/>
  <c r="J34" i="3"/>
  <c r="BZ360" i="1"/>
  <c r="J32" i="3"/>
  <c r="J29" i="3"/>
  <c r="BL364" i="1"/>
  <c r="J26" i="3"/>
  <c r="L26" i="3" s="1"/>
  <c r="BC364" i="1"/>
  <c r="M27" i="3"/>
  <c r="O27" i="3" s="1"/>
  <c r="BF365" i="1"/>
  <c r="M26" i="3"/>
  <c r="BB360" i="1"/>
  <c r="BC365" i="1"/>
  <c r="J25" i="3"/>
  <c r="AY360" i="1"/>
  <c r="AZ364" i="1"/>
  <c r="J19" i="3"/>
  <c r="AM360" i="1"/>
  <c r="J17" i="3"/>
  <c r="AD360" i="1"/>
  <c r="M20" i="3"/>
  <c r="M11" i="3"/>
  <c r="CR207" i="1"/>
  <c r="M30" i="3"/>
  <c r="O30" i="3" s="1"/>
  <c r="BO365" i="1"/>
  <c r="BN360" i="1"/>
  <c r="M29" i="3"/>
  <c r="O29" i="3" s="1"/>
  <c r="BL365" i="1"/>
  <c r="BK360" i="1"/>
  <c r="M25" i="3"/>
  <c r="O25" i="3" s="1"/>
  <c r="AZ365" i="1"/>
  <c r="M24" i="3"/>
  <c r="AV360" i="1"/>
  <c r="AW365" i="1"/>
  <c r="J22" i="3"/>
  <c r="AS360" i="1"/>
  <c r="J15" i="3"/>
  <c r="X360" i="1"/>
  <c r="M19" i="3"/>
  <c r="J27" i="3"/>
  <c r="BF364" i="1"/>
  <c r="BE360" i="1"/>
  <c r="J20" i="3"/>
  <c r="AP360" i="1"/>
  <c r="AJ360" i="1"/>
  <c r="M18" i="3"/>
  <c r="J14" i="3"/>
  <c r="U360" i="1"/>
  <c r="BQ354" i="1"/>
  <c r="J11" i="3"/>
  <c r="L360" i="1"/>
  <c r="M14" i="3"/>
  <c r="J13" i="3"/>
  <c r="L13" i="3" s="1"/>
  <c r="S364" i="1"/>
  <c r="AA360" i="1"/>
  <c r="AB365" i="1"/>
  <c r="M16" i="3"/>
  <c r="O16" i="3" s="1"/>
  <c r="I360" i="1"/>
  <c r="J10" i="3"/>
  <c r="CO354" i="1"/>
  <c r="M13" i="3"/>
  <c r="R360" i="1"/>
  <c r="O360" i="1"/>
  <c r="P364" i="1"/>
  <c r="J12" i="3"/>
  <c r="L12" i="3" s="1"/>
  <c r="J295" i="24" l="1"/>
  <c r="J303" i="24"/>
  <c r="K234" i="24"/>
  <c r="K63" i="24"/>
  <c r="J311" i="24"/>
  <c r="K24" i="24"/>
  <c r="J144" i="24"/>
  <c r="K204" i="24"/>
  <c r="J247" i="24"/>
  <c r="K111" i="24"/>
  <c r="H361" i="4"/>
  <c r="J287" i="24"/>
  <c r="J277" i="24"/>
  <c r="K37" i="24"/>
  <c r="J214" i="24"/>
  <c r="J72" i="24"/>
  <c r="J292" i="24"/>
  <c r="J205" i="24"/>
  <c r="J105" i="24"/>
  <c r="K176" i="24"/>
  <c r="K34" i="24"/>
  <c r="K89" i="24"/>
  <c r="K59" i="24"/>
  <c r="K239" i="24"/>
  <c r="J263" i="24"/>
  <c r="K250" i="24"/>
  <c r="K231" i="24"/>
  <c r="J276" i="24"/>
  <c r="J174" i="24"/>
  <c r="K71" i="24"/>
  <c r="K205" i="24"/>
  <c r="E24" i="12"/>
  <c r="J87" i="24"/>
  <c r="J46" i="24"/>
  <c r="K120" i="24"/>
  <c r="K20" i="24"/>
  <c r="J201" i="24"/>
  <c r="K311" i="24"/>
  <c r="J154" i="24"/>
  <c r="K182" i="24"/>
  <c r="K170" i="24"/>
  <c r="J229" i="24"/>
  <c r="J188" i="24"/>
  <c r="J301" i="24"/>
  <c r="K253" i="24"/>
  <c r="K152" i="24"/>
  <c r="J176" i="24"/>
  <c r="F29" i="12"/>
  <c r="E29" i="12"/>
  <c r="F28" i="12"/>
  <c r="J71" i="24"/>
  <c r="K263" i="24"/>
  <c r="K174" i="24"/>
  <c r="E28" i="12"/>
  <c r="K57" i="24"/>
  <c r="J209" i="24"/>
  <c r="F25" i="12"/>
  <c r="K295" i="24"/>
  <c r="J118" i="24"/>
  <c r="K77" i="24"/>
  <c r="S360" i="1"/>
  <c r="T360" i="1" s="1"/>
  <c r="K153" i="24"/>
  <c r="J189" i="24"/>
  <c r="K221" i="24"/>
  <c r="K155" i="24"/>
  <c r="J91" i="24"/>
  <c r="K267" i="24"/>
  <c r="K209" i="24"/>
  <c r="K201" i="24"/>
  <c r="J312" i="24"/>
  <c r="J299" i="24"/>
  <c r="K28" i="24"/>
  <c r="K106" i="24"/>
  <c r="J35" i="24"/>
  <c r="K309" i="24"/>
  <c r="J102" i="24"/>
  <c r="K72" i="24"/>
  <c r="J269" i="24"/>
  <c r="D12" i="12"/>
  <c r="F12" i="12" s="1"/>
  <c r="J246" i="24"/>
  <c r="K190" i="24"/>
  <c r="J306" i="24"/>
  <c r="J146" i="24"/>
  <c r="J86" i="24"/>
  <c r="K81" i="24"/>
  <c r="K95" i="24"/>
  <c r="C23" i="12"/>
  <c r="K180" i="24"/>
  <c r="K277" i="24"/>
  <c r="K94" i="24"/>
  <c r="C32" i="3"/>
  <c r="C32" i="12"/>
  <c r="D13" i="12"/>
  <c r="F13" i="12" s="1"/>
  <c r="J114" i="24"/>
  <c r="J81" i="24"/>
  <c r="J302" i="24"/>
  <c r="J275" i="24"/>
  <c r="K114" i="24"/>
  <c r="K45" i="24"/>
  <c r="K302" i="24"/>
  <c r="J251" i="24"/>
  <c r="J16" i="24"/>
  <c r="K300" i="24"/>
  <c r="K102" i="24"/>
  <c r="K67" i="24"/>
  <c r="J202" i="24"/>
  <c r="K112" i="24"/>
  <c r="K211" i="24"/>
  <c r="J270" i="24"/>
  <c r="J96" i="24"/>
  <c r="K291" i="24"/>
  <c r="K73" i="24"/>
  <c r="J283" i="24"/>
  <c r="K53" i="24"/>
  <c r="J196" i="24"/>
  <c r="J122" i="24"/>
  <c r="J307" i="24"/>
  <c r="K22" i="24"/>
  <c r="K122" i="24"/>
  <c r="J185" i="24"/>
  <c r="K287" i="24"/>
  <c r="J184" i="24"/>
  <c r="J70" i="24"/>
  <c r="J308" i="24"/>
  <c r="K187" i="24"/>
  <c r="J75" i="24"/>
  <c r="J100" i="24"/>
  <c r="J266" i="24"/>
  <c r="J139" i="24"/>
  <c r="K141" i="24"/>
  <c r="K223" i="24"/>
  <c r="K210" i="24"/>
  <c r="K75" i="24"/>
  <c r="J125" i="24"/>
  <c r="J148" i="24"/>
  <c r="K249" i="24"/>
  <c r="J336" i="24"/>
  <c r="BP354" i="1"/>
  <c r="C9" i="12"/>
  <c r="CM357" i="1"/>
  <c r="CM363" i="1" s="1"/>
  <c r="AR110" i="1"/>
  <c r="AR271" i="1"/>
  <c r="AR177" i="1"/>
  <c r="AR259" i="1"/>
  <c r="AR44" i="1"/>
  <c r="AR244" i="1"/>
  <c r="AR102" i="1"/>
  <c r="AR89" i="1"/>
  <c r="AR263" i="1"/>
  <c r="AR185" i="1"/>
  <c r="AR329" i="1"/>
  <c r="AR241" i="1"/>
  <c r="AR122" i="1"/>
  <c r="AR277" i="1"/>
  <c r="AR149" i="1"/>
  <c r="AR331" i="1"/>
  <c r="AR290" i="1"/>
  <c r="AR46" i="1"/>
  <c r="AR257" i="1"/>
  <c r="AR194" i="1"/>
  <c r="AR60" i="1"/>
  <c r="AR326" i="1"/>
  <c r="AR340" i="1"/>
  <c r="AR212" i="1"/>
  <c r="AR95" i="1"/>
  <c r="AR268" i="1"/>
  <c r="AR224" i="1"/>
  <c r="AR129" i="1"/>
  <c r="CG357" i="1"/>
  <c r="AR101" i="1"/>
  <c r="AR94" i="1"/>
  <c r="AR68" i="1"/>
  <c r="AR351" i="1"/>
  <c r="AR30" i="1"/>
  <c r="AR223" i="1"/>
  <c r="AR165" i="1"/>
  <c r="AR315" i="1"/>
  <c r="AR43" i="1"/>
  <c r="AR206" i="1"/>
  <c r="AR136" i="1"/>
  <c r="AR265" i="1"/>
  <c r="AR231" i="1"/>
  <c r="AR50" i="1"/>
  <c r="AR124" i="1"/>
  <c r="AR180" i="1"/>
  <c r="AR335" i="1"/>
  <c r="AR23" i="1"/>
  <c r="AR242" i="1"/>
  <c r="AR172" i="1"/>
  <c r="AR141" i="1"/>
  <c r="AR301" i="1"/>
  <c r="AR49" i="1"/>
  <c r="AR76" i="1"/>
  <c r="AR278" i="1"/>
  <c r="AR314" i="1"/>
  <c r="AR16" i="1"/>
  <c r="AR227" i="1"/>
  <c r="AR162" i="1"/>
  <c r="AR111" i="1"/>
  <c r="AR325" i="1"/>
  <c r="AR291" i="1"/>
  <c r="AR200" i="1"/>
  <c r="AR138" i="1"/>
  <c r="AR317" i="1"/>
  <c r="AR26" i="1"/>
  <c r="AR248" i="1"/>
  <c r="AR88" i="1"/>
  <c r="AR59" i="1"/>
  <c r="AR164" i="1"/>
  <c r="AR316" i="1"/>
  <c r="AR47" i="1"/>
  <c r="AR27" i="1"/>
  <c r="AR201" i="1"/>
  <c r="AR108" i="1"/>
  <c r="AR284" i="1"/>
  <c r="AR312" i="1"/>
  <c r="AR239" i="1"/>
  <c r="AR225" i="1"/>
  <c r="AR173" i="1"/>
  <c r="AR321" i="1"/>
  <c r="AR28" i="1"/>
  <c r="AR11" i="1"/>
  <c r="AR171" i="1"/>
  <c r="AR77" i="1"/>
  <c r="AR328" i="1"/>
  <c r="AR258" i="1"/>
  <c r="AR286" i="1"/>
  <c r="AR216" i="1"/>
  <c r="AR40" i="1"/>
  <c r="AR155" i="1"/>
  <c r="AR267" i="1"/>
  <c r="AR330" i="1"/>
  <c r="AR204" i="1"/>
  <c r="AR247" i="1"/>
  <c r="AR336" i="1"/>
  <c r="AR13" i="1"/>
  <c r="AR274" i="1"/>
  <c r="AR159" i="1"/>
  <c r="AR338" i="1"/>
  <c r="AR349" i="1"/>
  <c r="AR250" i="1"/>
  <c r="AR121" i="1"/>
  <c r="AR24" i="1"/>
  <c r="AR305" i="1"/>
  <c r="AR189" i="1"/>
  <c r="AR255" i="1"/>
  <c r="AR344" i="1"/>
  <c r="AR53" i="1"/>
  <c r="AR91" i="1"/>
  <c r="AR261" i="1"/>
  <c r="AR218" i="1"/>
  <c r="AR142" i="1"/>
  <c r="AR281" i="1"/>
  <c r="AR135" i="1"/>
  <c r="AR197" i="1"/>
  <c r="AR22" i="1"/>
  <c r="AR234" i="1"/>
  <c r="AR113" i="1"/>
  <c r="AR266" i="1"/>
  <c r="AR182" i="1"/>
  <c r="AR343" i="1"/>
  <c r="AR236" i="1"/>
  <c r="AR195" i="1"/>
  <c r="AR285" i="1"/>
  <c r="CK10" i="1"/>
  <c r="CK358" i="1" s="1"/>
  <c r="CH9" i="1"/>
  <c r="CH359" i="1" s="1"/>
  <c r="AR289" i="1"/>
  <c r="AR145" i="1"/>
  <c r="AR123" i="1"/>
  <c r="AR337" i="1"/>
  <c r="AR20" i="1"/>
  <c r="AR215" i="1"/>
  <c r="AR97" i="1"/>
  <c r="AR302" i="1"/>
  <c r="AR35" i="1"/>
  <c r="AR125" i="1"/>
  <c r="AR253" i="1"/>
  <c r="AR222" i="1"/>
  <c r="AR293" i="1"/>
  <c r="AR154" i="1"/>
  <c r="AR61" i="1"/>
  <c r="AR311" i="1"/>
  <c r="AR15" i="1"/>
  <c r="AR228" i="1"/>
  <c r="AR48" i="1"/>
  <c r="AR167" i="1"/>
  <c r="AR86" i="1"/>
  <c r="AR157" i="1"/>
  <c r="AR116" i="1"/>
  <c r="AR134" i="1"/>
  <c r="AR334" i="1"/>
  <c r="AR275" i="1"/>
  <c r="AR252" i="1"/>
  <c r="AR219" i="1"/>
  <c r="AR150" i="1"/>
  <c r="AR100" i="1"/>
  <c r="AR306" i="1"/>
  <c r="AR39" i="1"/>
  <c r="AR181" i="1"/>
  <c r="AR120" i="1"/>
  <c r="AR64" i="1"/>
  <c r="AR309" i="1"/>
  <c r="AR21" i="1"/>
  <c r="AR240" i="1"/>
  <c r="AR132" i="1"/>
  <c r="AR65" i="1"/>
  <c r="AR203" i="1"/>
  <c r="AR74" i="1"/>
  <c r="AR211" i="1"/>
  <c r="AR319" i="1"/>
  <c r="AR52" i="1"/>
  <c r="AR137" i="1"/>
  <c r="AR83" i="1"/>
  <c r="AR273" i="1"/>
  <c r="AR292" i="1"/>
  <c r="AR217" i="1"/>
  <c r="AR144" i="1"/>
  <c r="AR92" i="1"/>
  <c r="AR304" i="1"/>
  <c r="AR287" i="1"/>
  <c r="AR54" i="1"/>
  <c r="AR131" i="1"/>
  <c r="AR90" i="1"/>
  <c r="AR152" i="1"/>
  <c r="AR246" i="1"/>
  <c r="AR73" i="1"/>
  <c r="AR70" i="1"/>
  <c r="AR178" i="1"/>
  <c r="AR327" i="1"/>
  <c r="CG358" i="1"/>
  <c r="CM358" i="1"/>
  <c r="K39" i="3" s="1"/>
  <c r="L39" i="3" s="1"/>
  <c r="CK45" i="1"/>
  <c r="CK357" i="1" s="1"/>
  <c r="AR260" i="1"/>
  <c r="AR209" i="1"/>
  <c r="AR174" i="1"/>
  <c r="AR310" i="1"/>
  <c r="AR237" i="1"/>
  <c r="AR190" i="1"/>
  <c r="AR84" i="1"/>
  <c r="AR283" i="1"/>
  <c r="AR210" i="1"/>
  <c r="AR163" i="1"/>
  <c r="AR33" i="1"/>
  <c r="AR107" i="1"/>
  <c r="AR81" i="1"/>
  <c r="AR251" i="1"/>
  <c r="AR82" i="1"/>
  <c r="AR72" i="1"/>
  <c r="AR272" i="1"/>
  <c r="AR294" i="1"/>
  <c r="AR66" i="1"/>
  <c r="AR207" i="1"/>
  <c r="AR192" i="1"/>
  <c r="AR87" i="1"/>
  <c r="AR169" i="1"/>
  <c r="AR188" i="1"/>
  <c r="AR161" i="1"/>
  <c r="AR345" i="1"/>
  <c r="AR264" i="1"/>
  <c r="AR32" i="1"/>
  <c r="AR202" i="1"/>
  <c r="AR140" i="1"/>
  <c r="AR63" i="1"/>
  <c r="AR298" i="1"/>
  <c r="AR214" i="1"/>
  <c r="AR160" i="1"/>
  <c r="AR109" i="1"/>
  <c r="AR347" i="1"/>
  <c r="AR270" i="1"/>
  <c r="AR238" i="1"/>
  <c r="AR226" i="1"/>
  <c r="AR184" i="1"/>
  <c r="AR114" i="1"/>
  <c r="AR36" i="1"/>
  <c r="AR103" i="1"/>
  <c r="AR93" i="1"/>
  <c r="AR58" i="1"/>
  <c r="AR57" i="1"/>
  <c r="AR176" i="1"/>
  <c r="AR341" i="1"/>
  <c r="AR262" i="1"/>
  <c r="AR249" i="1"/>
  <c r="AR193" i="1"/>
  <c r="AR133" i="1"/>
  <c r="AR56" i="1"/>
  <c r="AR296" i="1"/>
  <c r="AR37" i="1"/>
  <c r="AR191" i="1"/>
  <c r="AR112" i="1"/>
  <c r="AR85" i="1"/>
  <c r="AR280" i="1"/>
  <c r="AR19" i="1"/>
  <c r="AR233" i="1"/>
  <c r="AR146" i="1"/>
  <c r="AR80" i="1"/>
  <c r="CK9" i="1"/>
  <c r="CK359" i="1" s="1"/>
  <c r="N142" i="1"/>
  <c r="W187" i="1"/>
  <c r="N194" i="1"/>
  <c r="N50" i="1"/>
  <c r="W138" i="1"/>
  <c r="N179" i="1"/>
  <c r="W104" i="1"/>
  <c r="W309" i="1"/>
  <c r="N280" i="1"/>
  <c r="W189" i="1"/>
  <c r="N55" i="1"/>
  <c r="W103" i="1"/>
  <c r="N148" i="1"/>
  <c r="W153" i="1"/>
  <c r="N196" i="1"/>
  <c r="W183" i="1"/>
  <c r="W29" i="1"/>
  <c r="W282" i="1"/>
  <c r="W99" i="1"/>
  <c r="N193" i="1"/>
  <c r="N140" i="1"/>
  <c r="W87" i="1"/>
  <c r="N246" i="1"/>
  <c r="N110" i="1"/>
  <c r="W188" i="1"/>
  <c r="N149" i="1"/>
  <c r="W182" i="1"/>
  <c r="N100" i="1"/>
  <c r="W194" i="1"/>
  <c r="N105" i="1"/>
  <c r="W112" i="1"/>
  <c r="W148" i="1"/>
  <c r="N195" i="1"/>
  <c r="W184" i="1"/>
  <c r="N186" i="1"/>
  <c r="N252" i="1"/>
  <c r="AB358" i="1"/>
  <c r="W24" i="1"/>
  <c r="W92" i="1"/>
  <c r="N188" i="1"/>
  <c r="W167" i="1"/>
  <c r="W101" i="1"/>
  <c r="N141" i="1"/>
  <c r="N112" i="1"/>
  <c r="N57" i="1"/>
  <c r="W27" i="1"/>
  <c r="N31" i="1"/>
  <c r="N281" i="1"/>
  <c r="W143" i="1"/>
  <c r="N184" i="1"/>
  <c r="N138" i="1"/>
  <c r="W176" i="1"/>
  <c r="N154" i="1"/>
  <c r="W54" i="1"/>
  <c r="W281" i="1"/>
  <c r="N251" i="1"/>
  <c r="W186" i="1"/>
  <c r="W154" i="1"/>
  <c r="W50" i="1"/>
  <c r="N144" i="1"/>
  <c r="N283" i="1"/>
  <c r="W229" i="1"/>
  <c r="N24" i="1"/>
  <c r="N92" i="1"/>
  <c r="W251" i="1"/>
  <c r="W180" i="1"/>
  <c r="W179" i="1"/>
  <c r="N182" i="1"/>
  <c r="W141" i="1"/>
  <c r="W142" i="1"/>
  <c r="N150" i="1"/>
  <c r="N282" i="1"/>
  <c r="W283" i="1"/>
  <c r="W57" i="1"/>
  <c r="N56" i="1"/>
  <c r="N167" i="1"/>
  <c r="W144" i="1"/>
  <c r="W246" i="1"/>
  <c r="W59" i="1"/>
  <c r="N143" i="1"/>
  <c r="W35" i="1"/>
  <c r="N54" i="1"/>
  <c r="W22" i="3"/>
  <c r="N54" i="3"/>
  <c r="D148" i="24"/>
  <c r="E356" i="4"/>
  <c r="CJ359" i="1"/>
  <c r="D322" i="24"/>
  <c r="D360" i="24"/>
  <c r="J249" i="24"/>
  <c r="J360" i="24"/>
  <c r="H26" i="3"/>
  <c r="I26" i="3" s="1"/>
  <c r="D26" i="12"/>
  <c r="H27" i="3"/>
  <c r="I27" i="3" s="1"/>
  <c r="D27" i="12"/>
  <c r="H30" i="3"/>
  <c r="I30" i="3" s="1"/>
  <c r="D30" i="12"/>
  <c r="F364" i="4"/>
  <c r="J138" i="24"/>
  <c r="D104" i="24"/>
  <c r="J132" i="24"/>
  <c r="D251" i="24"/>
  <c r="D320" i="24"/>
  <c r="D216" i="24"/>
  <c r="J63" i="24"/>
  <c r="J49" i="24"/>
  <c r="EA354" i="1"/>
  <c r="DH326" i="1"/>
  <c r="DH309" i="1"/>
  <c r="DH102" i="1"/>
  <c r="DH263" i="1"/>
  <c r="DH206" i="1"/>
  <c r="DH318" i="1"/>
  <c r="DH29" i="1"/>
  <c r="DH311" i="1"/>
  <c r="DH27" i="1"/>
  <c r="DH303" i="1"/>
  <c r="DH173" i="1"/>
  <c r="DH148" i="1"/>
  <c r="DH352" i="1"/>
  <c r="DH190" i="1"/>
  <c r="DH348" i="1"/>
  <c r="DH42" i="1"/>
  <c r="DH105" i="1"/>
  <c r="DH13" i="1"/>
  <c r="DH212" i="1"/>
  <c r="DH18" i="1"/>
  <c r="DH277" i="1"/>
  <c r="DH119" i="1"/>
  <c r="DH204" i="1"/>
  <c r="DH163" i="1"/>
  <c r="DH20" i="1"/>
  <c r="DH121" i="1"/>
  <c r="DH249" i="1"/>
  <c r="DH176" i="1"/>
  <c r="DH63" i="1"/>
  <c r="DH159" i="1"/>
  <c r="DH291" i="1"/>
  <c r="DH186" i="1"/>
  <c r="DH24" i="1"/>
  <c r="DH332" i="1"/>
  <c r="DH287" i="1"/>
  <c r="DH324" i="1"/>
  <c r="DH252" i="1"/>
  <c r="DH94" i="1"/>
  <c r="DH338" i="1"/>
  <c r="J14" i="24"/>
  <c r="DH238" i="1"/>
  <c r="DH288" i="1"/>
  <c r="DH214" i="1"/>
  <c r="DH197" i="1"/>
  <c r="DH116" i="1"/>
  <c r="DH248" i="1"/>
  <c r="DH97" i="1"/>
  <c r="DH181" i="1"/>
  <c r="DH220" i="1"/>
  <c r="DH280" i="1"/>
  <c r="DH225" i="1"/>
  <c r="DH41" i="1"/>
  <c r="DH319" i="1"/>
  <c r="DH222" i="1"/>
  <c r="DH236" i="1"/>
  <c r="DH254" i="1"/>
  <c r="DH187" i="1"/>
  <c r="DH118" i="1"/>
  <c r="DH341" i="1"/>
  <c r="DH126" i="1"/>
  <c r="DH257" i="1"/>
  <c r="DH340" i="1"/>
  <c r="DH259" i="1"/>
  <c r="DH344" i="1"/>
  <c r="DH307" i="1"/>
  <c r="DH114" i="1"/>
  <c r="DH151" i="1"/>
  <c r="DH91" i="1"/>
  <c r="DH231" i="1"/>
  <c r="DH143" i="1"/>
  <c r="DH44" i="1"/>
  <c r="DH269" i="1"/>
  <c r="DH334" i="1"/>
  <c r="DH205" i="1"/>
  <c r="DH142" i="1"/>
  <c r="DH219" i="1"/>
  <c r="DH294" i="1"/>
  <c r="DH218" i="1"/>
  <c r="DH132" i="1"/>
  <c r="DH17" i="1"/>
  <c r="DH33" i="1"/>
  <c r="DH215" i="1"/>
  <c r="DH59" i="1"/>
  <c r="DH26" i="1"/>
  <c r="DH228" i="1"/>
  <c r="DH278" i="1"/>
  <c r="DH156" i="1"/>
  <c r="DH250" i="1"/>
  <c r="DH36" i="1"/>
  <c r="DH166" i="1"/>
  <c r="DH339" i="1"/>
  <c r="DH302" i="1"/>
  <c r="DH242" i="1"/>
  <c r="DH258" i="1"/>
  <c r="DH137" i="1"/>
  <c r="DH98" i="1"/>
  <c r="DH133" i="1"/>
  <c r="DH247" i="1"/>
  <c r="DH56" i="1"/>
  <c r="DH178" i="1"/>
  <c r="DH73" i="1"/>
  <c r="DH100" i="1"/>
  <c r="DH58" i="1"/>
  <c r="DH305" i="1"/>
  <c r="DH297" i="1"/>
  <c r="DH229" i="1"/>
  <c r="DH282" i="1"/>
  <c r="DH55" i="1"/>
  <c r="DH153" i="1"/>
  <c r="DH273" i="1"/>
  <c r="DH77" i="1"/>
  <c r="DH104" i="1"/>
  <c r="DH184" i="1"/>
  <c r="DH167" i="1"/>
  <c r="DH234" i="1"/>
  <c r="DH243" i="1"/>
  <c r="DH275" i="1"/>
  <c r="DH84" i="1"/>
  <c r="DH115" i="1"/>
  <c r="DH313" i="1"/>
  <c r="DH75" i="1"/>
  <c r="DH50" i="1"/>
  <c r="DH141" i="1"/>
  <c r="DH48" i="1"/>
  <c r="DH65" i="1"/>
  <c r="DH241" i="1"/>
  <c r="DH180" i="1"/>
  <c r="DH38" i="1"/>
  <c r="DH346" i="1"/>
  <c r="DH261" i="1"/>
  <c r="DH217" i="1"/>
  <c r="DH169" i="1"/>
  <c r="DH32" i="1"/>
  <c r="DH123" i="1"/>
  <c r="DH192" i="1"/>
  <c r="DH322" i="1"/>
  <c r="DH301" i="1"/>
  <c r="DH131" i="1"/>
  <c r="DH89" i="1"/>
  <c r="K208" i="24"/>
  <c r="DH272" i="1"/>
  <c r="DH325" i="1"/>
  <c r="DH113" i="1"/>
  <c r="DH268" i="1"/>
  <c r="DH128" i="1"/>
  <c r="DH315" i="1"/>
  <c r="DH23" i="1"/>
  <c r="DH237" i="1"/>
  <c r="DH200" i="1"/>
  <c r="DH350" i="1"/>
  <c r="DH134" i="1"/>
  <c r="DH312" i="1"/>
  <c r="DH345" i="1"/>
  <c r="DH246" i="1"/>
  <c r="DH87" i="1"/>
  <c r="DH202" i="1"/>
  <c r="DH147" i="1"/>
  <c r="DH124" i="1"/>
  <c r="DH306" i="1"/>
  <c r="DH349" i="1"/>
  <c r="DH19" i="1"/>
  <c r="DH185" i="1"/>
  <c r="DH201" i="1"/>
  <c r="DH299" i="1"/>
  <c r="DH279" i="1"/>
  <c r="DH267" i="1"/>
  <c r="DH93" i="1"/>
  <c r="DH35" i="1"/>
  <c r="DH107" i="1"/>
  <c r="DH60" i="1"/>
  <c r="DH284" i="1"/>
  <c r="DH16" i="1"/>
  <c r="DH61" i="1"/>
  <c r="DH129" i="1"/>
  <c r="DH82" i="1"/>
  <c r="DH235" i="1"/>
  <c r="DH135" i="1"/>
  <c r="DH86" i="1"/>
  <c r="DH157" i="1"/>
  <c r="DH320" i="1"/>
  <c r="DH271" i="1"/>
  <c r="DH109" i="1"/>
  <c r="DH285" i="1"/>
  <c r="DH274" i="1"/>
  <c r="DH160" i="1"/>
  <c r="DH199" i="1"/>
  <c r="DH146" i="1"/>
  <c r="DH172" i="1"/>
  <c r="DH46" i="1"/>
  <c r="DH85" i="1"/>
  <c r="DH78" i="1"/>
  <c r="DH37" i="1"/>
  <c r="DH53" i="1"/>
  <c r="DH111" i="1"/>
  <c r="DH230" i="1"/>
  <c r="DH154" i="1"/>
  <c r="DH158" i="1"/>
  <c r="DH226" i="1"/>
  <c r="DH149" i="1"/>
  <c r="DH130" i="1"/>
  <c r="DH290" i="1"/>
  <c r="DH343" i="1"/>
  <c r="DH74" i="1"/>
  <c r="DH72" i="1"/>
  <c r="DH298" i="1"/>
  <c r="DH292" i="1"/>
  <c r="DH300" i="1"/>
  <c r="DH333" i="1"/>
  <c r="DH164" i="1"/>
  <c r="J257" i="24"/>
  <c r="J20" i="24"/>
  <c r="K86" i="24"/>
  <c r="J123" i="24"/>
  <c r="J127" i="24"/>
  <c r="J88" i="24"/>
  <c r="D102" i="24"/>
  <c r="K271" i="24"/>
  <c r="K216" i="24"/>
  <c r="J9" i="24"/>
  <c r="K289" i="24"/>
  <c r="K301" i="24"/>
  <c r="K166" i="24"/>
  <c r="K318" i="24"/>
  <c r="D289" i="24"/>
  <c r="D223" i="24"/>
  <c r="BC363" i="1"/>
  <c r="D45" i="24"/>
  <c r="K362" i="24"/>
  <c r="J113" i="24"/>
  <c r="J241" i="24"/>
  <c r="BF363" i="1"/>
  <c r="K159" i="24"/>
  <c r="K354" i="24"/>
  <c r="AT357" i="1"/>
  <c r="K368" i="24"/>
  <c r="J297" i="24"/>
  <c r="J57" i="24"/>
  <c r="J194" i="24"/>
  <c r="J120" i="24"/>
  <c r="D64" i="24"/>
  <c r="J164" i="24"/>
  <c r="D49" i="24"/>
  <c r="D362" i="24"/>
  <c r="J15" i="24"/>
  <c r="K35" i="24"/>
  <c r="K320" i="24"/>
  <c r="D15" i="24"/>
  <c r="K259" i="24"/>
  <c r="D22" i="24"/>
  <c r="D96" i="24"/>
  <c r="D140" i="24"/>
  <c r="K43" i="24"/>
  <c r="DV354" i="1"/>
  <c r="D227" i="24"/>
  <c r="D184" i="24"/>
  <c r="D59" i="24"/>
  <c r="J227" i="24"/>
  <c r="J98" i="24"/>
  <c r="D200" i="24"/>
  <c r="D128" i="24"/>
  <c r="D190" i="24"/>
  <c r="D237" i="24"/>
  <c r="D172" i="24"/>
  <c r="D89" i="24"/>
  <c r="K131" i="24"/>
  <c r="K64" i="24"/>
  <c r="D57" i="24"/>
  <c r="K273" i="24"/>
  <c r="J168" i="24"/>
  <c r="D253" i="24"/>
  <c r="D212" i="24"/>
  <c r="J84" i="24"/>
  <c r="K286" i="24"/>
  <c r="D311" i="24"/>
  <c r="BC360" i="1"/>
  <c r="BD360" i="1" s="1"/>
  <c r="D73" i="24"/>
  <c r="D241" i="24"/>
  <c r="D205" i="24"/>
  <c r="D82" i="24"/>
  <c r="D208" i="24"/>
  <c r="K101" i="24"/>
  <c r="H364" i="4"/>
  <c r="D371" i="24"/>
  <c r="D267" i="24"/>
  <c r="D370" i="24"/>
  <c r="J339" i="24"/>
  <c r="D249" i="24"/>
  <c r="K46" i="24"/>
  <c r="D30" i="24"/>
  <c r="J150" i="24"/>
  <c r="J40" i="24"/>
  <c r="D259" i="24"/>
  <c r="K140" i="24"/>
  <c r="J309" i="24"/>
  <c r="K129" i="24"/>
  <c r="BF360" i="1"/>
  <c r="BG360" i="1" s="1"/>
  <c r="D364" i="24"/>
  <c r="D170" i="24"/>
  <c r="D326" i="24"/>
  <c r="D233" i="24"/>
  <c r="D108" i="24"/>
  <c r="J328" i="24"/>
  <c r="D129" i="24"/>
  <c r="CM359" i="1"/>
  <c r="N39" i="3" s="1"/>
  <c r="O39" i="3" s="1"/>
  <c r="CG359" i="1"/>
  <c r="N36" i="3" s="1"/>
  <c r="O36" i="3" s="1"/>
  <c r="AQ359" i="1"/>
  <c r="AN359" i="1"/>
  <c r="N19" i="3" s="1"/>
  <c r="O19" i="3" s="1"/>
  <c r="D346" i="24"/>
  <c r="D354" i="24"/>
  <c r="D43" i="24"/>
  <c r="J108" i="24"/>
  <c r="K344" i="24"/>
  <c r="D309" i="24"/>
  <c r="J55" i="24"/>
  <c r="D146" i="24"/>
  <c r="H356" i="4"/>
  <c r="J210" i="24"/>
  <c r="K146" i="24"/>
  <c r="J79" i="24"/>
  <c r="O13" i="3"/>
  <c r="D273" i="24"/>
  <c r="D318" i="24"/>
  <c r="D231" i="24"/>
  <c r="K372" i="24"/>
  <c r="K279" i="24"/>
  <c r="J281" i="24"/>
  <c r="K30" i="24"/>
  <c r="D187" i="24"/>
  <c r="AL10" i="1"/>
  <c r="CJ357" i="1"/>
  <c r="CP9" i="1"/>
  <c r="CQ9" i="1" s="1"/>
  <c r="CN10" i="1"/>
  <c r="CN358" i="1" s="1"/>
  <c r="CN9" i="1"/>
  <c r="CN359" i="1" s="1"/>
  <c r="CP45" i="1"/>
  <c r="CP357" i="1" s="1"/>
  <c r="CP363" i="1" s="1"/>
  <c r="CN45" i="1"/>
  <c r="CN357" i="1" s="1"/>
  <c r="CM354" i="1"/>
  <c r="D39" i="3" s="1"/>
  <c r="F39" i="3" s="1"/>
  <c r="CP10" i="1"/>
  <c r="CP358" i="1" s="1"/>
  <c r="CP364" i="1" s="1"/>
  <c r="AO9" i="1"/>
  <c r="AO359" i="1" s="1"/>
  <c r="AL9" i="1"/>
  <c r="CJ358" i="1"/>
  <c r="CJ364" i="1" s="1"/>
  <c r="D52" i="24"/>
  <c r="D95" i="24"/>
  <c r="D296" i="24"/>
  <c r="D50" i="24"/>
  <c r="D117" i="24"/>
  <c r="D10" i="24"/>
  <c r="D248" i="24"/>
  <c r="D213" i="24"/>
  <c r="D219" i="24"/>
  <c r="D118" i="24"/>
  <c r="D338" i="24"/>
  <c r="D60" i="24"/>
  <c r="D287" i="24"/>
  <c r="D24" i="24"/>
  <c r="D123" i="24"/>
  <c r="D181" i="24"/>
  <c r="D218" i="24"/>
  <c r="D225" i="24"/>
  <c r="D84" i="24"/>
  <c r="D194" i="24"/>
  <c r="D125" i="24"/>
  <c r="D71" i="24"/>
  <c r="D114" i="24"/>
  <c r="D285" i="24"/>
  <c r="D116" i="24"/>
  <c r="D356" i="24"/>
  <c r="D88" i="24"/>
  <c r="D245" i="24"/>
  <c r="D176" i="24"/>
  <c r="D297" i="24"/>
  <c r="D38" i="24"/>
  <c r="D357" i="24"/>
  <c r="D252" i="24"/>
  <c r="D42" i="24"/>
  <c r="D349" i="24"/>
  <c r="D240" i="24"/>
  <c r="D72" i="24"/>
  <c r="D278" i="24"/>
  <c r="D150" i="24"/>
  <c r="D269" i="24"/>
  <c r="D324" i="24"/>
  <c r="D374" i="24"/>
  <c r="D368" i="24"/>
  <c r="D51" i="24"/>
  <c r="D293" i="24"/>
  <c r="D312" i="24"/>
  <c r="D33" i="24"/>
  <c r="D207" i="24"/>
  <c r="D166" i="24"/>
  <c r="D234" i="24"/>
  <c r="D281" i="24"/>
  <c r="D53" i="24"/>
  <c r="D275" i="24"/>
  <c r="D77" i="24"/>
  <c r="D153" i="24"/>
  <c r="D188" i="24"/>
  <c r="D174" i="24"/>
  <c r="D62" i="24"/>
  <c r="D160" i="24"/>
  <c r="D239" i="24"/>
  <c r="D344" i="24"/>
  <c r="D98" i="24"/>
  <c r="D255" i="24"/>
  <c r="D20" i="24"/>
  <c r="D75" i="24"/>
  <c r="D263" i="24"/>
  <c r="D158" i="24"/>
  <c r="D277" i="24"/>
  <c r="D162" i="24"/>
  <c r="D350" i="24"/>
  <c r="D257" i="24"/>
  <c r="D86" i="24"/>
  <c r="D221" i="24"/>
  <c r="D283" i="24"/>
  <c r="D40" i="24"/>
  <c r="D157" i="24"/>
  <c r="D183" i="24"/>
  <c r="D195" i="24"/>
  <c r="D143" i="24"/>
  <c r="D105" i="24"/>
  <c r="D147" i="24"/>
  <c r="D65" i="24"/>
  <c r="D41" i="24"/>
  <c r="D156" i="24"/>
  <c r="D196" i="24"/>
  <c r="D152" i="24"/>
  <c r="D137" i="24"/>
  <c r="D16" i="24"/>
  <c r="D348" i="24"/>
  <c r="D144" i="24"/>
  <c r="D173" i="24"/>
  <c r="D209" i="24"/>
  <c r="D193" i="24"/>
  <c r="D127" i="24"/>
  <c r="D55" i="24"/>
  <c r="D90" i="24"/>
  <c r="D314" i="24"/>
  <c r="D372" i="24"/>
  <c r="D243" i="24"/>
  <c r="D342" i="24"/>
  <c r="D178" i="24"/>
  <c r="D202" i="24"/>
  <c r="D352" i="24"/>
  <c r="D301" i="24"/>
  <c r="D28" i="24"/>
  <c r="D330" i="24"/>
  <c r="D103" i="24"/>
  <c r="D165" i="24"/>
  <c r="D254" i="24"/>
  <c r="D337" i="24"/>
  <c r="D270" i="24"/>
  <c r="D21" i="24"/>
  <c r="D363" i="24"/>
  <c r="D262" i="24"/>
  <c r="D80" i="24"/>
  <c r="D179" i="24"/>
  <c r="D18" i="24"/>
  <c r="D198" i="24"/>
  <c r="D37" i="24"/>
  <c r="D168" i="24"/>
  <c r="D358" i="24"/>
  <c r="D68" i="24"/>
  <c r="D351" i="24"/>
  <c r="D100" i="24"/>
  <c r="D13" i="24"/>
  <c r="D39" i="24"/>
  <c r="D334" i="24"/>
  <c r="D180" i="24"/>
  <c r="D291" i="24"/>
  <c r="D307" i="24"/>
  <c r="D132" i="24"/>
  <c r="D35" i="24"/>
  <c r="D210" i="24"/>
  <c r="D295" i="24"/>
  <c r="D122" i="24"/>
  <c r="D316" i="24"/>
  <c r="D328" i="24"/>
  <c r="D236" i="24"/>
  <c r="AU359" i="1"/>
  <c r="AU358" i="1"/>
  <c r="BS357" i="1"/>
  <c r="BS359" i="1"/>
  <c r="CU9" i="1"/>
  <c r="CR359" i="1"/>
  <c r="BS358" i="1"/>
  <c r="CU45" i="1"/>
  <c r="D47" i="24" s="1"/>
  <c r="CR357" i="1"/>
  <c r="BR357" i="1"/>
  <c r="D214" i="24"/>
  <c r="CU10" i="1"/>
  <c r="CR358" i="1"/>
  <c r="K88" i="24"/>
  <c r="K41" i="24"/>
  <c r="K335" i="24"/>
  <c r="J208" i="24"/>
  <c r="D136" i="24"/>
  <c r="D61" i="24"/>
  <c r="D244" i="24"/>
  <c r="K48" i="24"/>
  <c r="D246" i="24"/>
  <c r="D110" i="24"/>
  <c r="D299" i="24"/>
  <c r="K196" i="24"/>
  <c r="J153" i="24"/>
  <c r="D79" i="24"/>
  <c r="D300" i="24"/>
  <c r="D70" i="24"/>
  <c r="J330" i="24"/>
  <c r="J272" i="24"/>
  <c r="K260" i="24"/>
  <c r="D359" i="24"/>
  <c r="J374" i="24"/>
  <c r="J28" i="24"/>
  <c r="D332" i="24"/>
  <c r="D69" i="24"/>
  <c r="J61" i="24"/>
  <c r="J234" i="24"/>
  <c r="D211" i="24"/>
  <c r="D271" i="24"/>
  <c r="D366" i="24"/>
  <c r="D182" i="24"/>
  <c r="J93" i="24"/>
  <c r="BG354" i="1"/>
  <c r="J221" i="24"/>
  <c r="BO360" i="1"/>
  <c r="BO366" i="1" s="1"/>
  <c r="BO363" i="1"/>
  <c r="BD354" i="1"/>
  <c r="K228" i="24"/>
  <c r="K105" i="24"/>
  <c r="E13" i="3"/>
  <c r="T354" i="1"/>
  <c r="K256" i="24"/>
  <c r="K93" i="24"/>
  <c r="J51" i="24"/>
  <c r="K99" i="24"/>
  <c r="D131" i="24"/>
  <c r="D26" i="24"/>
  <c r="K136" i="24"/>
  <c r="D199" i="24"/>
  <c r="D345" i="24"/>
  <c r="J204" i="24"/>
  <c r="K247" i="24"/>
  <c r="K303" i="24"/>
  <c r="J106" i="24"/>
  <c r="K178" i="24"/>
  <c r="J334" i="24"/>
  <c r="J128" i="24"/>
  <c r="K219" i="24"/>
  <c r="J90" i="24"/>
  <c r="D138" i="24"/>
  <c r="D23" i="3"/>
  <c r="D279" i="24"/>
  <c r="D340" i="24"/>
  <c r="K181" i="24"/>
  <c r="D154" i="24"/>
  <c r="K177" i="24"/>
  <c r="K240" i="24"/>
  <c r="J256" i="24"/>
  <c r="K90" i="24"/>
  <c r="K33" i="24"/>
  <c r="K39" i="24"/>
  <c r="J346" i="24"/>
  <c r="K110" i="24"/>
  <c r="K207" i="24"/>
  <c r="K60" i="24"/>
  <c r="J141" i="24"/>
  <c r="K310" i="24"/>
  <c r="D151" i="24"/>
  <c r="J353" i="24"/>
  <c r="K15" i="24"/>
  <c r="AG360" i="1"/>
  <c r="D87" i="24"/>
  <c r="D112" i="24"/>
  <c r="K306" i="24"/>
  <c r="D121" i="24"/>
  <c r="D272" i="24"/>
  <c r="D336" i="24"/>
  <c r="BT360" i="1"/>
  <c r="D343" i="24"/>
  <c r="K9" i="24"/>
  <c r="D142" i="24"/>
  <c r="K275" i="24"/>
  <c r="J85" i="24"/>
  <c r="K132" i="24"/>
  <c r="P363" i="1"/>
  <c r="J190" i="24"/>
  <c r="F26" i="3"/>
  <c r="K134" i="24"/>
  <c r="J262" i="24"/>
  <c r="K241" i="24"/>
  <c r="J22" i="24"/>
  <c r="I12" i="3"/>
  <c r="K189" i="24"/>
  <c r="D201" i="24"/>
  <c r="E26" i="3"/>
  <c r="D341" i="24"/>
  <c r="D260" i="24"/>
  <c r="J177" i="24"/>
  <c r="K139" i="24"/>
  <c r="J129" i="24"/>
  <c r="K299" i="24"/>
  <c r="D206" i="24"/>
  <c r="K268" i="24"/>
  <c r="D217" i="24"/>
  <c r="D164" i="24"/>
  <c r="D204" i="24"/>
  <c r="D265" i="24"/>
  <c r="K308" i="24"/>
  <c r="D124" i="24"/>
  <c r="K87" i="24"/>
  <c r="D229" i="24"/>
  <c r="D185" i="24"/>
  <c r="J369" i="24"/>
  <c r="J142" i="24"/>
  <c r="J222" i="24"/>
  <c r="K363" i="24"/>
  <c r="J39" i="24"/>
  <c r="J52" i="24"/>
  <c r="J115" i="24"/>
  <c r="D261" i="24"/>
  <c r="D120" i="24"/>
  <c r="D256" i="24"/>
  <c r="J19" i="24"/>
  <c r="K293" i="24"/>
  <c r="J167" i="24"/>
  <c r="J341" i="24"/>
  <c r="J252" i="24"/>
  <c r="K262" i="24"/>
  <c r="J156" i="24"/>
  <c r="D91" i="24"/>
  <c r="D247" i="24"/>
  <c r="D94" i="24"/>
  <c r="D305" i="24"/>
  <c r="D355" i="24"/>
  <c r="D58" i="24"/>
  <c r="J158" i="24"/>
  <c r="K62" i="24"/>
  <c r="K284" i="24"/>
  <c r="J228" i="24"/>
  <c r="J267" i="24"/>
  <c r="K202" i="24"/>
  <c r="J68" i="24"/>
  <c r="K304" i="24"/>
  <c r="K321" i="24"/>
  <c r="J116" i="24"/>
  <c r="J232" i="24"/>
  <c r="K11" i="24"/>
  <c r="D303" i="24"/>
  <c r="D106" i="24"/>
  <c r="J332" i="24"/>
  <c r="J211" i="24"/>
  <c r="K364" i="24"/>
  <c r="J11" i="24"/>
  <c r="BR354" i="1"/>
  <c r="K283" i="24"/>
  <c r="K246" i="24"/>
  <c r="K164" i="24"/>
  <c r="K358" i="24"/>
  <c r="J284" i="24"/>
  <c r="K328" i="24"/>
  <c r="J133" i="24"/>
  <c r="J152" i="24"/>
  <c r="K148" i="24"/>
  <c r="J95" i="24"/>
  <c r="K55" i="24"/>
  <c r="K52" i="24"/>
  <c r="K116" i="24"/>
  <c r="K118" i="24"/>
  <c r="K232" i="24"/>
  <c r="K346" i="24"/>
  <c r="J279" i="24"/>
  <c r="K200" i="24"/>
  <c r="J53" i="24"/>
  <c r="K230" i="24"/>
  <c r="J110" i="24"/>
  <c r="J240" i="24"/>
  <c r="J162" i="24"/>
  <c r="L30" i="3"/>
  <c r="K144" i="24"/>
  <c r="J293" i="24"/>
  <c r="J371" i="24"/>
  <c r="J136" i="24"/>
  <c r="AU48" i="1"/>
  <c r="AU357" i="1" s="1"/>
  <c r="O26" i="3"/>
  <c r="J41" i="24"/>
  <c r="K188" i="24"/>
  <c r="K334" i="24"/>
  <c r="J45" i="24"/>
  <c r="K142" i="24"/>
  <c r="K127" i="24"/>
  <c r="J273" i="24"/>
  <c r="J310" i="24"/>
  <c r="J73" i="24"/>
  <c r="K343" i="24"/>
  <c r="J216" i="24"/>
  <c r="K125" i="24"/>
  <c r="K156" i="24"/>
  <c r="J372" i="24"/>
  <c r="K138" i="24"/>
  <c r="L27" i="3"/>
  <c r="J304" i="24"/>
  <c r="K229" i="24"/>
  <c r="K14" i="24"/>
  <c r="J219" i="24"/>
  <c r="J111" i="24"/>
  <c r="K167" i="24"/>
  <c r="J60" i="24"/>
  <c r="J62" i="24"/>
  <c r="J254" i="24"/>
  <c r="J350" i="24"/>
  <c r="J170" i="24"/>
  <c r="J182" i="24"/>
  <c r="K117" i="24"/>
  <c r="K96" i="24"/>
  <c r="K68" i="24"/>
  <c r="J248" i="24"/>
  <c r="L29" i="3"/>
  <c r="K84" i="24"/>
  <c r="J117" i="24"/>
  <c r="J64" i="24"/>
  <c r="K270" i="24"/>
  <c r="K252" i="24"/>
  <c r="K115" i="24"/>
  <c r="J207" i="24"/>
  <c r="J250" i="24"/>
  <c r="D315" i="24"/>
  <c r="J244" i="24"/>
  <c r="J321" i="24"/>
  <c r="J271" i="24"/>
  <c r="K49" i="24"/>
  <c r="J239" i="24"/>
  <c r="J101" i="24"/>
  <c r="K224" i="24"/>
  <c r="J280" i="24"/>
  <c r="K257" i="24"/>
  <c r="J59" i="24"/>
  <c r="J30" i="24"/>
  <c r="J253" i="24"/>
  <c r="K356" i="24"/>
  <c r="AT365" i="1"/>
  <c r="O22" i="3"/>
  <c r="K281" i="24"/>
  <c r="K128" i="24"/>
  <c r="K91" i="24"/>
  <c r="AT354" i="1"/>
  <c r="J363" i="24"/>
  <c r="K158" i="24"/>
  <c r="K184" i="24"/>
  <c r="K98" i="24"/>
  <c r="K341" i="24"/>
  <c r="K322" i="24"/>
  <c r="J289" i="24"/>
  <c r="K198" i="24"/>
  <c r="K215" i="24"/>
  <c r="DZ48" i="1"/>
  <c r="DZ354" i="1" s="1"/>
  <c r="I17" i="24"/>
  <c r="I375" i="24" s="1"/>
  <c r="K169" i="24"/>
  <c r="K366" i="24"/>
  <c r="J366" i="24"/>
  <c r="K266" i="24"/>
  <c r="J344" i="24"/>
  <c r="K192" i="24"/>
  <c r="D321" i="24"/>
  <c r="J268" i="24"/>
  <c r="B220" i="30"/>
  <c r="B221" i="30"/>
  <c r="K254" i="24"/>
  <c r="D353" i="24"/>
  <c r="D109" i="24"/>
  <c r="J65" i="24"/>
  <c r="J99" i="24"/>
  <c r="D133" i="24"/>
  <c r="J215" i="24"/>
  <c r="K214" i="24"/>
  <c r="K336" i="24"/>
  <c r="K374" i="24"/>
  <c r="J24" i="24"/>
  <c r="K360" i="24"/>
  <c r="J181" i="24"/>
  <c r="K222" i="24"/>
  <c r="K85" i="24"/>
  <c r="J314" i="24"/>
  <c r="K314" i="24"/>
  <c r="J231" i="24"/>
  <c r="K244" i="24"/>
  <c r="J245" i="24"/>
  <c r="K245" i="24"/>
  <c r="K168" i="24"/>
  <c r="K154" i="24"/>
  <c r="J362" i="24"/>
  <c r="J77" i="24"/>
  <c r="W56" i="1"/>
  <c r="N176" i="1"/>
  <c r="N230" i="1"/>
  <c r="W76" i="1"/>
  <c r="N29" i="1"/>
  <c r="N102" i="1"/>
  <c r="N153" i="1"/>
  <c r="N76" i="1"/>
  <c r="N187" i="1"/>
  <c r="W195" i="1"/>
  <c r="W31" i="1"/>
  <c r="N86" i="1"/>
  <c r="W105" i="1"/>
  <c r="W185" i="1"/>
  <c r="W193" i="1"/>
  <c r="W58" i="1"/>
  <c r="W110" i="1"/>
  <c r="N103" i="1"/>
  <c r="W230" i="1"/>
  <c r="N162" i="1"/>
  <c r="N87" i="1"/>
  <c r="W149" i="1"/>
  <c r="N229" i="1"/>
  <c r="W196" i="1"/>
  <c r="W252" i="1"/>
  <c r="W140" i="1"/>
  <c r="W86" i="1"/>
  <c r="N27" i="1"/>
  <c r="N183" i="1"/>
  <c r="N35" i="1"/>
  <c r="N189" i="1"/>
  <c r="N104" i="1"/>
  <c r="W100" i="1"/>
  <c r="N101" i="1"/>
  <c r="N59" i="1"/>
  <c r="N180" i="1"/>
  <c r="CJ354" i="1"/>
  <c r="D38" i="3" s="1"/>
  <c r="W75" i="1"/>
  <c r="W150" i="1"/>
  <c r="N99" i="1"/>
  <c r="W162" i="1"/>
  <c r="N309" i="1"/>
  <c r="W102" i="1"/>
  <c r="N75" i="1"/>
  <c r="N185" i="1"/>
  <c r="N58" i="1"/>
  <c r="W280" i="1"/>
  <c r="J291" i="24"/>
  <c r="J155" i="24"/>
  <c r="J326" i="24"/>
  <c r="K251" i="24"/>
  <c r="L22" i="3"/>
  <c r="K18" i="24"/>
  <c r="J18" i="24"/>
  <c r="K194" i="24"/>
  <c r="AT364" i="1"/>
  <c r="J43" i="24"/>
  <c r="K150" i="24"/>
  <c r="K32" i="24"/>
  <c r="K233" i="24"/>
  <c r="K65" i="24"/>
  <c r="K272" i="24"/>
  <c r="K297" i="24"/>
  <c r="K19" i="24"/>
  <c r="J370" i="24"/>
  <c r="J318" i="24"/>
  <c r="J260" i="24"/>
  <c r="K312" i="24"/>
  <c r="K100" i="24"/>
  <c r="I13" i="3"/>
  <c r="D59" i="30"/>
  <c r="C159" i="30"/>
  <c r="D159" i="30" s="1"/>
  <c r="D31" i="24"/>
  <c r="K113" i="24"/>
  <c r="K331" i="24"/>
  <c r="J187" i="24"/>
  <c r="J140" i="24"/>
  <c r="K307" i="24"/>
  <c r="K269" i="24"/>
  <c r="J352" i="24"/>
  <c r="J112" i="24"/>
  <c r="J32" i="24"/>
  <c r="J48" i="24"/>
  <c r="J169" i="24"/>
  <c r="Q354" i="1"/>
  <c r="D107" i="24"/>
  <c r="BR365" i="1"/>
  <c r="K133" i="24"/>
  <c r="C114" i="30"/>
  <c r="D114" i="30" s="1"/>
  <c r="D109" i="30"/>
  <c r="D313" i="24"/>
  <c r="D92" i="24"/>
  <c r="K69" i="24"/>
  <c r="J340" i="24"/>
  <c r="K340" i="24"/>
  <c r="F59" i="30"/>
  <c r="K61" i="24"/>
  <c r="K40" i="24"/>
  <c r="L28" i="3"/>
  <c r="L24" i="3"/>
  <c r="J224" i="24"/>
  <c r="J296" i="24"/>
  <c r="BQ360" i="1"/>
  <c r="D54" i="24"/>
  <c r="J94" i="24"/>
  <c r="J67" i="24"/>
  <c r="J178" i="24"/>
  <c r="F109" i="30"/>
  <c r="J259" i="24"/>
  <c r="K79" i="24"/>
  <c r="J33" i="24"/>
  <c r="K206" i="24"/>
  <c r="J206" i="24"/>
  <c r="K172" i="24"/>
  <c r="J172" i="24"/>
  <c r="D304" i="24"/>
  <c r="J192" i="24"/>
  <c r="CO360" i="1"/>
  <c r="D163" i="24"/>
  <c r="J351" i="24"/>
  <c r="J223" i="24"/>
  <c r="K108" i="24"/>
  <c r="K324" i="24"/>
  <c r="AO10" i="1"/>
  <c r="CE110" i="1"/>
  <c r="AR9" i="1"/>
  <c r="CH45" i="1"/>
  <c r="CH357" i="1" s="1"/>
  <c r="AO45" i="1"/>
  <c r="O38" i="30"/>
  <c r="P38" i="30" s="1"/>
  <c r="L188" i="30"/>
  <c r="M38" i="30"/>
  <c r="CH10" i="1"/>
  <c r="CH358" i="1" s="1"/>
  <c r="M84" i="30"/>
  <c r="CG354" i="1"/>
  <c r="D36" i="12" s="1"/>
  <c r="F112" i="30"/>
  <c r="G112" i="30" s="1"/>
  <c r="F62" i="30"/>
  <c r="G62" i="30" s="1"/>
  <c r="F12" i="30"/>
  <c r="D9" i="30"/>
  <c r="C14" i="30"/>
  <c r="N12" i="3"/>
  <c r="O12" i="3" s="1"/>
  <c r="P360" i="1"/>
  <c r="Q360" i="1" s="1"/>
  <c r="F9" i="30"/>
  <c r="K212" i="24"/>
  <c r="J212" i="24"/>
  <c r="J243" i="24"/>
  <c r="K243" i="24"/>
  <c r="D230" i="24"/>
  <c r="D171" i="24"/>
  <c r="AC301" i="1"/>
  <c r="AC358" i="1" s="1"/>
  <c r="AB354" i="1"/>
  <c r="J285" i="24"/>
  <c r="K285" i="24"/>
  <c r="K261" i="24"/>
  <c r="J261" i="24"/>
  <c r="J82" i="24"/>
  <c r="K82" i="24"/>
  <c r="J131" i="24"/>
  <c r="K227" i="24"/>
  <c r="K16" i="24"/>
  <c r="K70" i="24"/>
  <c r="J104" i="24"/>
  <c r="K104" i="24"/>
  <c r="J338" i="24"/>
  <c r="K338" i="24"/>
  <c r="G9" i="3"/>
  <c r="D36" i="24"/>
  <c r="D258" i="24"/>
  <c r="D97" i="24"/>
  <c r="D302" i="24"/>
  <c r="D139" i="24"/>
  <c r="D250" i="24"/>
  <c r="D141" i="24"/>
  <c r="D149" i="24"/>
  <c r="D113" i="24"/>
  <c r="D101" i="24"/>
  <c r="D169" i="24"/>
  <c r="J54" i="24"/>
  <c r="K54" i="24"/>
  <c r="D177" i="24"/>
  <c r="D284" i="24"/>
  <c r="K151" i="24"/>
  <c r="J151" i="24"/>
  <c r="D203" i="24"/>
  <c r="D232" i="24"/>
  <c r="D48" i="24"/>
  <c r="D32" i="24"/>
  <c r="D34" i="24"/>
  <c r="D292" i="24"/>
  <c r="D159" i="24"/>
  <c r="D63" i="24"/>
  <c r="D81" i="24"/>
  <c r="D135" i="24"/>
  <c r="D276" i="24"/>
  <c r="D167" i="24"/>
  <c r="D367" i="24"/>
  <c r="D25" i="24"/>
  <c r="D317" i="24"/>
  <c r="D215" i="24"/>
  <c r="D264" i="24"/>
  <c r="D327" i="24"/>
  <c r="D286" i="24"/>
  <c r="D99" i="24"/>
  <c r="D280" i="24"/>
  <c r="DY354" i="1"/>
  <c r="J265" i="24"/>
  <c r="K265" i="24"/>
  <c r="BR364" i="1"/>
  <c r="J235" i="24"/>
  <c r="K235" i="24"/>
  <c r="J89" i="24"/>
  <c r="L147" i="24"/>
  <c r="D228" i="24"/>
  <c r="D365" i="24"/>
  <c r="D238" i="24"/>
  <c r="J237" i="24"/>
  <c r="K237" i="24"/>
  <c r="K23" i="3"/>
  <c r="D331" i="24"/>
  <c r="D66" i="24"/>
  <c r="D29" i="24"/>
  <c r="J359" i="24"/>
  <c r="K359" i="24"/>
  <c r="K236" i="24"/>
  <c r="J236" i="24"/>
  <c r="J225" i="24"/>
  <c r="K225" i="24"/>
  <c r="J124" i="24"/>
  <c r="K124" i="24"/>
  <c r="K47" i="24"/>
  <c r="J47" i="24"/>
  <c r="J26" i="24"/>
  <c r="K26" i="24"/>
  <c r="D268" i="24"/>
  <c r="J348" i="24"/>
  <c r="K348" i="24"/>
  <c r="J13" i="24"/>
  <c r="K13" i="24"/>
  <c r="K278" i="24"/>
  <c r="J278" i="24"/>
  <c r="K305" i="24"/>
  <c r="J305" i="24"/>
  <c r="K255" i="24"/>
  <c r="J255" i="24"/>
  <c r="K160" i="24"/>
  <c r="J160" i="24"/>
  <c r="J213" i="24"/>
  <c r="K213" i="24"/>
  <c r="K58" i="24"/>
  <c r="J58" i="24"/>
  <c r="J50" i="24"/>
  <c r="K50" i="24"/>
  <c r="E29" i="3"/>
  <c r="F29" i="3"/>
  <c r="D335" i="24"/>
  <c r="J238" i="24"/>
  <c r="K238" i="24"/>
  <c r="K109" i="24"/>
  <c r="J109" i="24"/>
  <c r="J31" i="24"/>
  <c r="K31" i="24"/>
  <c r="J21" i="24"/>
  <c r="K21" i="24"/>
  <c r="K103" i="24"/>
  <c r="J103" i="24"/>
  <c r="J165" i="24"/>
  <c r="K165" i="24"/>
  <c r="D325" i="24"/>
  <c r="J42" i="24"/>
  <c r="K42" i="24"/>
  <c r="K76" i="24"/>
  <c r="J76" i="24"/>
  <c r="J147" i="24"/>
  <c r="K147" i="24"/>
  <c r="K143" i="24"/>
  <c r="J143" i="24"/>
  <c r="W20" i="3"/>
  <c r="J173" i="24"/>
  <c r="K173" i="24"/>
  <c r="K135" i="24"/>
  <c r="J135" i="24"/>
  <c r="D222" i="24"/>
  <c r="D145" i="24"/>
  <c r="J274" i="24"/>
  <c r="K274" i="24"/>
  <c r="J179" i="24"/>
  <c r="K179" i="24"/>
  <c r="D308" i="24"/>
  <c r="D17" i="24"/>
  <c r="J38" i="24"/>
  <c r="K38" i="24"/>
  <c r="J325" i="24"/>
  <c r="K325" i="24"/>
  <c r="J25" i="24"/>
  <c r="K25" i="24"/>
  <c r="K317" i="24"/>
  <c r="J317" i="24"/>
  <c r="K145" i="24"/>
  <c r="J145" i="24"/>
  <c r="D266" i="24"/>
  <c r="K195" i="24"/>
  <c r="J195" i="24"/>
  <c r="D76" i="24"/>
  <c r="E25" i="3"/>
  <c r="F25" i="3"/>
  <c r="K8" i="24"/>
  <c r="J8" i="24"/>
  <c r="K217" i="24"/>
  <c r="J217" i="24"/>
  <c r="K349" i="24"/>
  <c r="J349" i="24"/>
  <c r="D189" i="24"/>
  <c r="D323" i="24"/>
  <c r="D155" i="24"/>
  <c r="D306" i="24"/>
  <c r="D373" i="24"/>
  <c r="J315" i="24"/>
  <c r="K315" i="24"/>
  <c r="K66" i="24"/>
  <c r="J66" i="24"/>
  <c r="J36" i="24"/>
  <c r="K36" i="24"/>
  <c r="F28" i="3"/>
  <c r="E28" i="3"/>
  <c r="D111" i="24"/>
  <c r="D294" i="24"/>
  <c r="D369" i="24"/>
  <c r="D298" i="24"/>
  <c r="D191" i="24"/>
  <c r="K92" i="24"/>
  <c r="J92" i="24"/>
  <c r="K56" i="24"/>
  <c r="J56" i="24"/>
  <c r="K23" i="24"/>
  <c r="J23" i="24"/>
  <c r="D27" i="24"/>
  <c r="D274" i="24"/>
  <c r="D361" i="24"/>
  <c r="D83" i="24"/>
  <c r="K74" i="24"/>
  <c r="J74" i="24"/>
  <c r="D12" i="24"/>
  <c r="K163" i="24"/>
  <c r="J163" i="24"/>
  <c r="F27" i="3"/>
  <c r="E27" i="3"/>
  <c r="D235" i="24"/>
  <c r="D85" i="24"/>
  <c r="J282" i="24"/>
  <c r="K282" i="24"/>
  <c r="K218" i="24"/>
  <c r="J218" i="24"/>
  <c r="K119" i="24"/>
  <c r="J119" i="24"/>
  <c r="K323" i="24"/>
  <c r="J323" i="24"/>
  <c r="K197" i="24"/>
  <c r="J197" i="24"/>
  <c r="D288" i="24"/>
  <c r="D115" i="24"/>
  <c r="D226" i="24"/>
  <c r="D329" i="24"/>
  <c r="J373" i="24"/>
  <c r="K373" i="24"/>
  <c r="K365" i="24"/>
  <c r="J365" i="24"/>
  <c r="K80" i="24"/>
  <c r="J80" i="24"/>
  <c r="J327" i="24"/>
  <c r="K327" i="24"/>
  <c r="J183" i="24"/>
  <c r="K183" i="24"/>
  <c r="J171" i="24"/>
  <c r="K171" i="24"/>
  <c r="D56" i="24"/>
  <c r="K357" i="24"/>
  <c r="J357" i="24"/>
  <c r="F24" i="3"/>
  <c r="E24" i="3"/>
  <c r="C23" i="3"/>
  <c r="K193" i="24"/>
  <c r="J193" i="24"/>
  <c r="K361" i="24"/>
  <c r="J361" i="24"/>
  <c r="J161" i="24"/>
  <c r="K161" i="24"/>
  <c r="J83" i="24"/>
  <c r="K83" i="24"/>
  <c r="K347" i="24"/>
  <c r="J347" i="24"/>
  <c r="D197" i="24"/>
  <c r="W18" i="3"/>
  <c r="J333" i="24"/>
  <c r="K333" i="24"/>
  <c r="K294" i="24"/>
  <c r="J294" i="24"/>
  <c r="D220" i="24"/>
  <c r="D130" i="24"/>
  <c r="J137" i="24"/>
  <c r="K137" i="24"/>
  <c r="D319" i="24"/>
  <c r="D93" i="24"/>
  <c r="J264" i="24"/>
  <c r="K264" i="24"/>
  <c r="D23" i="24"/>
  <c r="D339" i="24"/>
  <c r="J313" i="24"/>
  <c r="K313" i="24"/>
  <c r="D290" i="24"/>
  <c r="D161" i="24"/>
  <c r="K12" i="24"/>
  <c r="J12" i="24"/>
  <c r="K258" i="24"/>
  <c r="J258" i="24"/>
  <c r="K242" i="24"/>
  <c r="J242" i="24"/>
  <c r="K175" i="24"/>
  <c r="J175" i="24"/>
  <c r="D44" i="24"/>
  <c r="D282" i="24"/>
  <c r="D347" i="24"/>
  <c r="D186" i="24"/>
  <c r="D74" i="24"/>
  <c r="J337" i="24"/>
  <c r="K337" i="24"/>
  <c r="J226" i="24"/>
  <c r="K226" i="24"/>
  <c r="K157" i="24"/>
  <c r="J157" i="24"/>
  <c r="J149" i="24"/>
  <c r="K149" i="24"/>
  <c r="J130" i="24"/>
  <c r="K130" i="24"/>
  <c r="D78" i="24"/>
  <c r="D175" i="24"/>
  <c r="D310" i="24"/>
  <c r="J298" i="24"/>
  <c r="K298" i="24"/>
  <c r="K199" i="24"/>
  <c r="J199" i="24"/>
  <c r="J191" i="24"/>
  <c r="K191" i="24"/>
  <c r="K97" i="24"/>
  <c r="J97" i="24"/>
  <c r="K319" i="24"/>
  <c r="J319" i="24"/>
  <c r="K288" i="24"/>
  <c r="J288" i="24"/>
  <c r="J220" i="24"/>
  <c r="K220" i="24"/>
  <c r="J107" i="24"/>
  <c r="K107" i="24"/>
  <c r="J10" i="24"/>
  <c r="K10" i="24"/>
  <c r="F30" i="3"/>
  <c r="E30" i="3"/>
  <c r="D242" i="24"/>
  <c r="D333" i="24"/>
  <c r="K329" i="24"/>
  <c r="J329" i="24"/>
  <c r="K290" i="24"/>
  <c r="J290" i="24"/>
  <c r="D67" i="24"/>
  <c r="K355" i="24"/>
  <c r="J355" i="24"/>
  <c r="J186" i="24"/>
  <c r="K186" i="24"/>
  <c r="J27" i="24"/>
  <c r="K27" i="24"/>
  <c r="C37" i="3"/>
  <c r="D46" i="24"/>
  <c r="D19" i="24"/>
  <c r="D126" i="24"/>
  <c r="W19" i="3"/>
  <c r="K203" i="24"/>
  <c r="J203" i="24"/>
  <c r="K126" i="24"/>
  <c r="J126" i="24"/>
  <c r="D119" i="24"/>
  <c r="J78" i="24"/>
  <c r="K78" i="24"/>
  <c r="J44" i="24"/>
  <c r="K44" i="24"/>
  <c r="K29" i="24"/>
  <c r="J29" i="24"/>
  <c r="G23" i="3"/>
  <c r="G54" i="3" s="1"/>
  <c r="I25" i="3"/>
  <c r="G37" i="3"/>
  <c r="E12" i="3"/>
  <c r="C9" i="3"/>
  <c r="F12" i="3"/>
  <c r="D134" i="24"/>
  <c r="M37" i="3"/>
  <c r="D11" i="24"/>
  <c r="BJ360" i="1"/>
  <c r="BI366" i="1"/>
  <c r="G7" i="3"/>
  <c r="E360" i="1"/>
  <c r="J37" i="3"/>
  <c r="L232" i="24"/>
  <c r="CU207" i="1"/>
  <c r="D224" i="24" s="1"/>
  <c r="BA360" i="1"/>
  <c r="AZ366" i="1"/>
  <c r="AX360" i="1"/>
  <c r="AW366" i="1"/>
  <c r="BM360" i="1"/>
  <c r="BL366" i="1"/>
  <c r="J23" i="3"/>
  <c r="J54" i="3" s="1"/>
  <c r="L25" i="3"/>
  <c r="M23" i="3"/>
  <c r="O23" i="3" s="1"/>
  <c r="O24" i="3"/>
  <c r="H375" i="24"/>
  <c r="M9" i="3"/>
  <c r="CR354" i="1"/>
  <c r="J9" i="3"/>
  <c r="C41" i="12" l="1"/>
  <c r="C42" i="12" s="1"/>
  <c r="K54" i="3"/>
  <c r="BA358" i="4"/>
  <c r="E12" i="12"/>
  <c r="S366" i="1"/>
  <c r="E13" i="12"/>
  <c r="D16" i="12"/>
  <c r="E16" i="12" s="1"/>
  <c r="CM364" i="1"/>
  <c r="D39" i="12"/>
  <c r="E39" i="12" s="1"/>
  <c r="H39" i="3"/>
  <c r="I39" i="3" s="1"/>
  <c r="C54" i="3"/>
  <c r="AZ358" i="4"/>
  <c r="C41" i="3"/>
  <c r="AR10" i="1"/>
  <c r="AR358" i="1" s="1"/>
  <c r="CD358" i="1"/>
  <c r="K35" i="3" s="1"/>
  <c r="L35" i="3" s="1"/>
  <c r="AQ357" i="1"/>
  <c r="H20" i="3" s="1"/>
  <c r="I20" i="3" s="1"/>
  <c r="AR359" i="1"/>
  <c r="CE45" i="1"/>
  <c r="CE357" i="1" s="1"/>
  <c r="L54" i="3"/>
  <c r="M54" i="3"/>
  <c r="O54" i="3" s="1"/>
  <c r="CE10" i="1"/>
  <c r="CE358" i="1" s="1"/>
  <c r="AQ358" i="1"/>
  <c r="AQ354" i="1"/>
  <c r="AR354" i="1" s="1"/>
  <c r="AR45" i="1"/>
  <c r="AR357" i="1" s="1"/>
  <c r="H23" i="3"/>
  <c r="AT363" i="1"/>
  <c r="D22" i="12"/>
  <c r="F72" i="12" s="1"/>
  <c r="F27" i="12"/>
  <c r="E27" i="12"/>
  <c r="CJ363" i="1"/>
  <c r="D38" i="12"/>
  <c r="E30" i="12"/>
  <c r="D23" i="12"/>
  <c r="E67" i="12" s="1"/>
  <c r="E26" i="12"/>
  <c r="F26" i="12"/>
  <c r="DH57" i="1"/>
  <c r="DH331" i="1"/>
  <c r="DH193" i="1"/>
  <c r="DH43" i="1"/>
  <c r="DH283" i="1"/>
  <c r="DH83" i="1"/>
  <c r="DH208" i="1"/>
  <c r="DH188" i="1"/>
  <c r="DH327" i="1"/>
  <c r="DH155" i="1"/>
  <c r="DH211" i="1"/>
  <c r="DH70" i="1"/>
  <c r="DH165" i="1"/>
  <c r="DH161" i="1"/>
  <c r="DH198" i="1"/>
  <c r="DH69" i="1"/>
  <c r="DH240" i="1"/>
  <c r="DH253" i="1"/>
  <c r="DH179" i="1"/>
  <c r="DH99" i="1"/>
  <c r="DH251" i="1"/>
  <c r="DH323" i="1"/>
  <c r="DH177" i="1"/>
  <c r="DH189" i="1"/>
  <c r="DH171" i="1"/>
  <c r="DH255" i="1"/>
  <c r="DH28" i="1"/>
  <c r="DH62" i="1"/>
  <c r="DH262" i="1"/>
  <c r="DH347" i="1"/>
  <c r="DH304" i="1"/>
  <c r="DH168" i="1"/>
  <c r="DH96" i="1"/>
  <c r="DH328" i="1"/>
  <c r="DH293" i="1"/>
  <c r="DH67" i="1"/>
  <c r="DH191" i="1"/>
  <c r="DH110" i="1"/>
  <c r="DH138" i="1"/>
  <c r="DH136" i="1"/>
  <c r="DH144" i="1"/>
  <c r="DH106" i="1"/>
  <c r="DH232" i="1"/>
  <c r="DH256" i="1"/>
  <c r="DH317" i="1"/>
  <c r="DH233" i="1"/>
  <c r="DH289" i="1"/>
  <c r="DH139" i="1"/>
  <c r="DH265" i="1"/>
  <c r="DH80" i="1"/>
  <c r="DH207" i="1"/>
  <c r="DH308" i="1"/>
  <c r="DH14" i="1"/>
  <c r="DH264" i="1"/>
  <c r="DH64" i="1"/>
  <c r="DH276" i="1"/>
  <c r="DH195" i="1"/>
  <c r="DH68" i="1"/>
  <c r="DH122" i="1"/>
  <c r="DH183" i="1"/>
  <c r="DH194" i="1"/>
  <c r="DH239" i="1"/>
  <c r="DH52" i="1"/>
  <c r="DH316" i="1"/>
  <c r="DH182" i="1"/>
  <c r="DH12" i="1"/>
  <c r="DH310" i="1"/>
  <c r="DH270" i="1"/>
  <c r="DH216" i="1"/>
  <c r="DH321" i="1"/>
  <c r="DH351" i="1"/>
  <c r="DH112" i="1"/>
  <c r="DH145" i="1"/>
  <c r="DH223" i="1"/>
  <c r="DH162" i="1"/>
  <c r="DH47" i="1"/>
  <c r="DH170" i="1"/>
  <c r="DH174" i="1"/>
  <c r="DH92" i="1"/>
  <c r="DH127" i="1"/>
  <c r="DH210" i="1"/>
  <c r="DH175" i="1"/>
  <c r="DH30" i="1"/>
  <c r="DH108" i="1"/>
  <c r="DH329" i="1"/>
  <c r="DH152" i="1"/>
  <c r="DH15" i="1"/>
  <c r="DH51" i="1"/>
  <c r="DH120" i="1"/>
  <c r="DH39" i="1"/>
  <c r="DH90" i="1"/>
  <c r="DH203" i="1"/>
  <c r="DH101" i="1"/>
  <c r="DH81" i="1"/>
  <c r="DH34" i="1"/>
  <c r="DH221" i="1"/>
  <c r="DH281" i="1"/>
  <c r="DH353" i="1"/>
  <c r="DH21" i="1"/>
  <c r="DH25" i="1"/>
  <c r="DH40" i="1"/>
  <c r="DH71" i="1"/>
  <c r="DH336" i="1"/>
  <c r="DH266" i="1"/>
  <c r="DH286" i="1"/>
  <c r="DH335" i="1"/>
  <c r="DH31" i="1"/>
  <c r="DH95" i="1"/>
  <c r="DH209" i="1"/>
  <c r="DH244" i="1"/>
  <c r="DH196" i="1"/>
  <c r="DH54" i="1"/>
  <c r="DH88" i="1"/>
  <c r="DH140" i="1"/>
  <c r="DH227" i="1"/>
  <c r="DH11" i="1"/>
  <c r="DH79" i="1"/>
  <c r="DH117" i="1"/>
  <c r="DH245" i="1"/>
  <c r="DH296" i="1"/>
  <c r="DH76" i="1"/>
  <c r="DH224" i="1"/>
  <c r="DH150" i="1"/>
  <c r="DH260" i="1"/>
  <c r="DH314" i="1"/>
  <c r="DH330" i="1"/>
  <c r="DH337" i="1"/>
  <c r="DH66" i="1"/>
  <c r="DH49" i="1"/>
  <c r="DH103" i="1"/>
  <c r="DH342" i="1"/>
  <c r="DH22" i="1"/>
  <c r="DH295" i="1"/>
  <c r="DH125" i="1"/>
  <c r="BF366" i="1"/>
  <c r="AN365" i="1"/>
  <c r="BP360" i="1"/>
  <c r="BC366" i="1"/>
  <c r="C164" i="30"/>
  <c r="D164" i="30" s="1"/>
  <c r="CM360" i="1"/>
  <c r="CM366" i="1" s="1"/>
  <c r="CM365" i="1"/>
  <c r="CG365" i="1"/>
  <c r="F36" i="12"/>
  <c r="E36" i="12"/>
  <c r="H38" i="3"/>
  <c r="I38" i="3" s="1"/>
  <c r="CQ10" i="1"/>
  <c r="CQ358" i="1" s="1"/>
  <c r="CQ45" i="1"/>
  <c r="CQ357" i="1" s="1"/>
  <c r="CN354" i="1"/>
  <c r="E39" i="3"/>
  <c r="K38" i="3"/>
  <c r="K37" i="3" s="1"/>
  <c r="L37" i="3" s="1"/>
  <c r="CD357" i="1"/>
  <c r="H35" i="3" s="1"/>
  <c r="I35" i="3" s="1"/>
  <c r="DH9" i="1"/>
  <c r="CX354" i="1"/>
  <c r="CX359" i="1"/>
  <c r="DH10" i="1"/>
  <c r="CX358" i="1"/>
  <c r="DH45" i="1"/>
  <c r="CX357" i="1"/>
  <c r="D9" i="24"/>
  <c r="CU358" i="1"/>
  <c r="CU359" i="1"/>
  <c r="D8" i="24"/>
  <c r="CQ359" i="1"/>
  <c r="CU357" i="1"/>
  <c r="D14" i="24"/>
  <c r="CP359" i="1"/>
  <c r="CP365" i="1" s="1"/>
  <c r="BS354" i="1"/>
  <c r="D22" i="3"/>
  <c r="G358" i="4"/>
  <c r="BR360" i="1"/>
  <c r="BR366" i="1" s="1"/>
  <c r="BR363" i="1"/>
  <c r="CR360" i="1"/>
  <c r="AU354" i="1"/>
  <c r="AT360" i="1"/>
  <c r="AT366" i="1" s="1"/>
  <c r="H22" i="3"/>
  <c r="J17" i="24"/>
  <c r="K17" i="24"/>
  <c r="B219" i="30"/>
  <c r="B222" i="30" s="1"/>
  <c r="D37" i="3"/>
  <c r="E37" i="3" s="1"/>
  <c r="E38" i="3"/>
  <c r="CK354" i="1"/>
  <c r="F38" i="3"/>
  <c r="F159" i="30"/>
  <c r="G159" i="30" s="1"/>
  <c r="N38" i="3"/>
  <c r="CJ365" i="1"/>
  <c r="CJ360" i="1"/>
  <c r="G59" i="30"/>
  <c r="F64" i="30"/>
  <c r="G64" i="30" s="1"/>
  <c r="G109" i="30"/>
  <c r="F114" i="30"/>
  <c r="G114" i="30" s="1"/>
  <c r="P366" i="1"/>
  <c r="L23" i="3"/>
  <c r="CP354" i="1"/>
  <c r="CQ354" i="1" s="1"/>
  <c r="D36" i="3"/>
  <c r="CH354" i="1"/>
  <c r="H36" i="3"/>
  <c r="I36" i="3" s="1"/>
  <c r="CG360" i="1"/>
  <c r="CG363" i="1"/>
  <c r="AQ365" i="1"/>
  <c r="N20" i="3"/>
  <c r="O20" i="3" s="1"/>
  <c r="CE13" i="1"/>
  <c r="M188" i="30"/>
  <c r="O188" i="30"/>
  <c r="P188" i="30" s="1"/>
  <c r="K36" i="3"/>
  <c r="L36" i="3" s="1"/>
  <c r="CG364" i="1"/>
  <c r="G12" i="30"/>
  <c r="F162" i="30"/>
  <c r="D14" i="30"/>
  <c r="G9" i="30"/>
  <c r="F14" i="30"/>
  <c r="K16" i="3"/>
  <c r="L16" i="3" s="1"/>
  <c r="AB360" i="1"/>
  <c r="AB364" i="1"/>
  <c r="D16" i="3"/>
  <c r="E16" i="3" s="1"/>
  <c r="AC354" i="1"/>
  <c r="E23" i="3"/>
  <c r="F23" i="3"/>
  <c r="M41" i="3"/>
  <c r="M42" i="3" s="1"/>
  <c r="W9" i="3"/>
  <c r="W41" i="3" s="1"/>
  <c r="G41" i="3"/>
  <c r="G42" i="3" s="1"/>
  <c r="J41" i="3"/>
  <c r="J42" i="3" s="1"/>
  <c r="D192" i="24"/>
  <c r="K375" i="24"/>
  <c r="J375" i="24"/>
  <c r="CU354" i="1"/>
  <c r="I23" i="3" l="1"/>
  <c r="G45" i="3"/>
  <c r="G47" i="3"/>
  <c r="H68" i="12"/>
  <c r="E68" i="12"/>
  <c r="G67" i="12"/>
  <c r="G68" i="12" s="1"/>
  <c r="D37" i="12"/>
  <c r="F37" i="12" s="1"/>
  <c r="F16" i="12"/>
  <c r="CD364" i="1"/>
  <c r="F39" i="12"/>
  <c r="AQ363" i="1"/>
  <c r="K20" i="3"/>
  <c r="L20" i="3" s="1"/>
  <c r="D20" i="12"/>
  <c r="D20" i="3"/>
  <c r="F20" i="3" s="1"/>
  <c r="X22" i="3"/>
  <c r="D54" i="3"/>
  <c r="I22" i="3"/>
  <c r="H54" i="3"/>
  <c r="I54" i="3" s="1"/>
  <c r="AQ360" i="1"/>
  <c r="AR360" i="1" s="1"/>
  <c r="AQ364" i="1"/>
  <c r="H42" i="12"/>
  <c r="H44" i="12"/>
  <c r="E38" i="12"/>
  <c r="F38" i="12"/>
  <c r="E22" i="12"/>
  <c r="F22" i="12"/>
  <c r="E23" i="12"/>
  <c r="F23" i="12"/>
  <c r="DH359" i="1"/>
  <c r="DH358" i="1"/>
  <c r="DH357" i="1"/>
  <c r="CN360" i="1"/>
  <c r="C51" i="3"/>
  <c r="CX356" i="1"/>
  <c r="M47" i="3"/>
  <c r="M48" i="3" s="1"/>
  <c r="M49" i="3" s="1"/>
  <c r="M45" i="3"/>
  <c r="J47" i="3"/>
  <c r="J48" i="3" s="1"/>
  <c r="J49" i="3" s="1"/>
  <c r="J45" i="3"/>
  <c r="CX360" i="1"/>
  <c r="H37" i="3"/>
  <c r="I37" i="3" s="1"/>
  <c r="L38" i="3"/>
  <c r="CD363" i="1"/>
  <c r="BS360" i="1"/>
  <c r="E22" i="3"/>
  <c r="F22" i="3"/>
  <c r="M46" i="3"/>
  <c r="AU360" i="1"/>
  <c r="D211" i="30"/>
  <c r="O97" i="30" s="1"/>
  <c r="P97" i="30" s="1"/>
  <c r="E211" i="30"/>
  <c r="O147" i="30" s="1"/>
  <c r="P147" i="30" s="1"/>
  <c r="E212" i="30"/>
  <c r="O148" i="30" s="1"/>
  <c r="P148" i="30" s="1"/>
  <c r="C211" i="30"/>
  <c r="C212" i="30"/>
  <c r="D212" i="30"/>
  <c r="O98" i="30" s="1"/>
  <c r="P98" i="30" s="1"/>
  <c r="F37" i="3"/>
  <c r="F164" i="30"/>
  <c r="G164" i="30" s="1"/>
  <c r="CP360" i="1"/>
  <c r="CQ360" i="1" s="1"/>
  <c r="CK360" i="1"/>
  <c r="CJ366" i="1"/>
  <c r="N37" i="3"/>
  <c r="O37" i="3" s="1"/>
  <c r="O38" i="3"/>
  <c r="D375" i="24"/>
  <c r="CH360" i="1"/>
  <c r="CG366" i="1"/>
  <c r="F36" i="3"/>
  <c r="E36" i="3"/>
  <c r="G162" i="30"/>
  <c r="W55" i="1"/>
  <c r="G14" i="30"/>
  <c r="AB366" i="1"/>
  <c r="AC360" i="1"/>
  <c r="I53" i="5"/>
  <c r="C42" i="3"/>
  <c r="I46" i="5"/>
  <c r="I48" i="5" s="1"/>
  <c r="I51" i="5" s="1"/>
  <c r="G46" i="3"/>
  <c r="G48" i="3"/>
  <c r="G49" i="3" s="1"/>
  <c r="CU360" i="1"/>
  <c r="J46" i="3"/>
  <c r="CX3" i="1"/>
  <c r="CX355" i="1"/>
  <c r="C45" i="3" l="1"/>
  <c r="C47" i="3"/>
  <c r="E37" i="12"/>
  <c r="E54" i="3"/>
  <c r="F54" i="3"/>
  <c r="F20" i="12"/>
  <c r="E20" i="12"/>
  <c r="E20" i="3"/>
  <c r="X20" i="3"/>
  <c r="AQ366" i="1"/>
  <c r="DH360" i="1"/>
  <c r="CX361" i="1"/>
  <c r="O47" i="30"/>
  <c r="F211" i="30"/>
  <c r="F212" i="30"/>
  <c r="O48" i="30"/>
  <c r="CP366" i="1"/>
  <c r="L16" i="30"/>
  <c r="L116" i="30"/>
  <c r="L66" i="30"/>
  <c r="I50" i="5"/>
  <c r="C46" i="3"/>
  <c r="S166" i="30"/>
  <c r="DH354" i="1"/>
  <c r="C52" i="3"/>
  <c r="DP355" i="1"/>
  <c r="CU355" i="1"/>
  <c r="C49" i="3" l="1"/>
  <c r="C48" i="3" s="1"/>
  <c r="CX2" i="1"/>
  <c r="O198" i="30"/>
  <c r="P198" i="30" s="1"/>
  <c r="P48" i="30"/>
  <c r="O197" i="30"/>
  <c r="P197" i="30" s="1"/>
  <c r="P47" i="30"/>
  <c r="M116" i="30"/>
  <c r="O116" i="30"/>
  <c r="P116" i="30" s="1"/>
  <c r="O66" i="30"/>
  <c r="P66" i="30" s="1"/>
  <c r="M66" i="30"/>
  <c r="L166" i="30"/>
  <c r="O166" i="30" s="1"/>
  <c r="P166" i="30" s="1"/>
  <c r="O16" i="30"/>
  <c r="P16" i="30" s="1"/>
  <c r="M16" i="30"/>
  <c r="DP357" i="1" l="1"/>
  <c r="CY3" i="1"/>
  <c r="CX4" i="1"/>
  <c r="M166" i="30"/>
  <c r="DM337" i="1" l="1"/>
  <c r="DM272" i="1"/>
  <c r="DM123" i="1"/>
  <c r="DM253" i="1"/>
  <c r="DO272" i="1" l="1"/>
  <c r="DO253" i="1"/>
  <c r="DO123" i="1"/>
  <c r="DO337" i="1"/>
  <c r="DM217" i="1"/>
  <c r="DM299" i="1"/>
  <c r="DM202" i="1"/>
  <c r="DM189" i="1"/>
  <c r="DM179" i="1"/>
  <c r="DM243" i="1"/>
  <c r="DM37" i="1"/>
  <c r="DM327" i="1"/>
  <c r="DM99" i="1"/>
  <c r="DM338" i="1"/>
  <c r="DM167" i="1"/>
  <c r="DM152" i="1"/>
  <c r="DM45" i="1"/>
  <c r="DM334" i="1"/>
  <c r="DM233" i="1"/>
  <c r="DM50" i="1"/>
  <c r="DM137" i="1"/>
  <c r="DM130" i="1"/>
  <c r="DM219" i="1"/>
  <c r="DM36" i="1"/>
  <c r="DM342" i="1"/>
  <c r="DM248" i="1"/>
  <c r="DM249" i="1"/>
  <c r="DM175" i="1"/>
  <c r="DM86" i="1"/>
  <c r="DM309" i="1"/>
  <c r="DM180" i="1"/>
  <c r="DM321" i="1"/>
  <c r="DM345" i="1"/>
  <c r="DM192" i="1"/>
  <c r="DM61" i="1"/>
  <c r="DM270" i="1"/>
  <c r="DM210" i="1"/>
  <c r="DM228" i="1"/>
  <c r="DM23" i="1"/>
  <c r="DM154" i="1"/>
  <c r="DM347" i="1"/>
  <c r="DM17" i="1"/>
  <c r="DM205" i="1"/>
  <c r="DM273" i="1"/>
  <c r="DM122" i="1"/>
  <c r="DM118" i="1"/>
  <c r="DM316" i="1"/>
  <c r="DM41" i="1"/>
  <c r="DM281" i="1"/>
  <c r="DM204" i="1"/>
  <c r="DM153" i="1"/>
  <c r="DM235" i="1"/>
  <c r="DM258" i="1"/>
  <c r="DM275" i="1"/>
  <c r="DM63" i="1"/>
  <c r="DM147" i="1"/>
  <c r="DM214" i="1"/>
  <c r="DM120" i="1"/>
  <c r="DM157" i="1"/>
  <c r="DK253" i="1"/>
  <c r="DM81" i="1"/>
  <c r="DM88" i="1"/>
  <c r="DM128" i="1"/>
  <c r="DM116" i="1"/>
  <c r="DM325" i="1"/>
  <c r="DM183" i="1"/>
  <c r="DM276" i="1"/>
  <c r="DM104" i="1"/>
  <c r="DM145" i="1"/>
  <c r="DM280" i="1"/>
  <c r="DM310" i="1"/>
  <c r="DM250" i="1"/>
  <c r="DM190" i="1"/>
  <c r="DM156" i="1"/>
  <c r="DM216" i="1"/>
  <c r="DM59" i="1"/>
  <c r="DM35" i="1"/>
  <c r="DM239" i="1"/>
  <c r="DM48" i="1"/>
  <c r="DM16" i="1"/>
  <c r="DM274" i="1"/>
  <c r="DM196" i="1"/>
  <c r="DM72" i="1"/>
  <c r="DM97" i="1"/>
  <c r="DM198" i="1"/>
  <c r="DM140" i="1"/>
  <c r="DM320" i="1"/>
  <c r="DM265" i="1"/>
  <c r="DM232" i="1"/>
  <c r="DM68" i="1"/>
  <c r="DM339" i="1"/>
  <c r="DM319" i="1"/>
  <c r="DM353" i="1"/>
  <c r="DM34" i="1"/>
  <c r="DM151" i="1"/>
  <c r="DM186" i="1"/>
  <c r="DM335" i="1"/>
  <c r="DM13" i="1"/>
  <c r="DM352" i="1"/>
  <c r="DM169" i="1"/>
  <c r="DM296" i="1"/>
  <c r="DM307" i="1"/>
  <c r="DM58" i="1"/>
  <c r="DM131" i="1"/>
  <c r="DM139" i="1"/>
  <c r="DM113" i="1"/>
  <c r="DM112" i="1"/>
  <c r="DM215" i="1"/>
  <c r="DM129" i="1"/>
  <c r="DM218" i="1"/>
  <c r="DM148" i="1"/>
  <c r="DM101" i="1"/>
  <c r="DM240" i="1"/>
  <c r="DM146" i="1"/>
  <c r="DM268" i="1"/>
  <c r="DM295" i="1"/>
  <c r="DM287" i="1"/>
  <c r="DM257" i="1"/>
  <c r="DM149" i="1"/>
  <c r="DM266" i="1"/>
  <c r="DM24" i="1"/>
  <c r="DM106" i="1"/>
  <c r="DM100" i="1"/>
  <c r="DM125" i="1"/>
  <c r="DM107" i="1"/>
  <c r="DM234" i="1"/>
  <c r="DM124" i="1"/>
  <c r="DM22" i="1"/>
  <c r="DM105" i="1"/>
  <c r="DM98" i="1"/>
  <c r="DO106" i="1" l="1"/>
  <c r="DO257" i="1"/>
  <c r="DO268" i="1"/>
  <c r="DO101" i="1"/>
  <c r="DO215" i="1"/>
  <c r="DO131" i="1"/>
  <c r="DO296" i="1"/>
  <c r="DO335" i="1"/>
  <c r="DO353" i="1"/>
  <c r="DO232" i="1"/>
  <c r="DO140" i="1"/>
  <c r="DO48" i="1"/>
  <c r="DO35" i="1"/>
  <c r="DO190" i="1"/>
  <c r="DO145" i="1"/>
  <c r="DO128" i="1"/>
  <c r="DO147" i="1"/>
  <c r="DO153" i="1"/>
  <c r="DO316" i="1"/>
  <c r="DO273" i="1"/>
  <c r="DO228" i="1"/>
  <c r="DO180" i="1"/>
  <c r="DO249" i="1"/>
  <c r="DO36" i="1"/>
  <c r="DO50" i="1"/>
  <c r="DO45" i="1"/>
  <c r="DO99" i="1"/>
  <c r="DO234" i="1"/>
  <c r="DO287" i="1"/>
  <c r="DO112" i="1"/>
  <c r="DO58" i="1"/>
  <c r="DO186" i="1"/>
  <c r="DO319" i="1"/>
  <c r="DO198" i="1"/>
  <c r="DO196" i="1"/>
  <c r="DO59" i="1"/>
  <c r="DO250" i="1"/>
  <c r="DO104" i="1"/>
  <c r="DO325" i="1"/>
  <c r="DO88" i="1"/>
  <c r="DO157" i="1"/>
  <c r="DO275" i="1"/>
  <c r="DO204" i="1"/>
  <c r="DO205" i="1"/>
  <c r="DO154" i="1"/>
  <c r="DO210" i="1"/>
  <c r="DO192" i="1"/>
  <c r="DO309" i="1"/>
  <c r="DO219" i="1"/>
  <c r="DO233" i="1"/>
  <c r="DO152" i="1"/>
  <c r="DO327" i="1"/>
  <c r="DO179" i="1"/>
  <c r="DO299" i="1"/>
  <c r="DO105" i="1"/>
  <c r="DO24" i="1"/>
  <c r="DO148" i="1"/>
  <c r="DO169" i="1"/>
  <c r="DO22" i="1"/>
  <c r="DO125" i="1"/>
  <c r="DO266" i="1"/>
  <c r="DO295" i="1"/>
  <c r="DO146" i="1"/>
  <c r="DO218" i="1"/>
  <c r="DO113" i="1"/>
  <c r="DO352" i="1"/>
  <c r="DO151" i="1"/>
  <c r="DO339" i="1"/>
  <c r="DO265" i="1"/>
  <c r="DO97" i="1"/>
  <c r="DO274" i="1"/>
  <c r="DO239" i="1"/>
  <c r="DO216" i="1"/>
  <c r="DO310" i="1"/>
  <c r="DO276" i="1"/>
  <c r="DO116" i="1"/>
  <c r="DO120" i="1"/>
  <c r="DO63" i="1"/>
  <c r="DO258" i="1"/>
  <c r="DO281" i="1"/>
  <c r="DO118" i="1"/>
  <c r="DO17" i="1"/>
  <c r="DO270" i="1"/>
  <c r="DO345" i="1"/>
  <c r="DO86" i="1"/>
  <c r="DO248" i="1"/>
  <c r="DO130" i="1"/>
  <c r="DO167" i="1"/>
  <c r="DO37" i="1"/>
  <c r="DO189" i="1"/>
  <c r="DO217" i="1"/>
  <c r="DO107" i="1"/>
  <c r="DO98" i="1"/>
  <c r="DO124" i="1"/>
  <c r="DO100" i="1"/>
  <c r="DO149" i="1"/>
  <c r="DO240" i="1"/>
  <c r="DO139" i="1"/>
  <c r="DO307" i="1"/>
  <c r="DO13" i="1"/>
  <c r="DO34" i="1"/>
  <c r="DO68" i="1"/>
  <c r="DO320" i="1"/>
  <c r="DO72" i="1"/>
  <c r="DO16" i="1"/>
  <c r="DO156" i="1"/>
  <c r="DO280" i="1"/>
  <c r="DO183" i="1"/>
  <c r="DO81" i="1"/>
  <c r="DO214" i="1"/>
  <c r="DO235" i="1"/>
  <c r="DO41" i="1"/>
  <c r="DO122" i="1"/>
  <c r="DO347" i="1"/>
  <c r="DO23" i="1"/>
  <c r="DO61" i="1"/>
  <c r="DO321" i="1"/>
  <c r="DO175" i="1"/>
  <c r="DO342" i="1"/>
  <c r="DO137" i="1"/>
  <c r="DO334" i="1"/>
  <c r="DO338" i="1"/>
  <c r="DO243" i="1"/>
  <c r="DO202" i="1"/>
  <c r="DM78" i="1"/>
  <c r="DK107" i="1"/>
  <c r="DK98" i="1"/>
  <c r="DK100" i="1"/>
  <c r="DK106" i="1"/>
  <c r="DK24" i="1"/>
  <c r="DK149" i="1"/>
  <c r="DK257" i="1"/>
  <c r="DK146" i="1"/>
  <c r="DK101" i="1"/>
  <c r="DM222" i="1"/>
  <c r="DM293" i="1"/>
  <c r="DM191" i="1"/>
  <c r="DM91" i="1"/>
  <c r="DM127" i="1"/>
  <c r="DM172" i="1"/>
  <c r="DM164" i="1"/>
  <c r="DM262" i="1"/>
  <c r="DK13" i="1"/>
  <c r="DM346" i="1"/>
  <c r="DM200" i="1"/>
  <c r="DK320" i="1"/>
  <c r="DK196" i="1"/>
  <c r="DM31" i="1"/>
  <c r="DM260" i="1"/>
  <c r="DM203" i="1"/>
  <c r="DM278" i="1"/>
  <c r="DM279" i="1"/>
  <c r="DM121" i="1"/>
  <c r="DM227" i="1"/>
  <c r="DM102" i="1"/>
  <c r="DK156" i="1"/>
  <c r="DM303" i="1"/>
  <c r="DM271" i="1"/>
  <c r="DK280" i="1"/>
  <c r="DM28" i="1"/>
  <c r="DM56" i="1"/>
  <c r="DM132" i="1"/>
  <c r="DM143" i="1"/>
  <c r="DM73" i="1"/>
  <c r="DM65" i="1"/>
  <c r="DM187" i="1"/>
  <c r="DM238" i="1"/>
  <c r="DM52" i="1"/>
  <c r="DM185" i="1"/>
  <c r="DM344" i="1"/>
  <c r="DM304" i="1"/>
  <c r="DM25" i="1"/>
  <c r="DM117" i="1"/>
  <c r="DM331" i="1"/>
  <c r="DM336" i="1"/>
  <c r="DM288" i="1"/>
  <c r="DM231" i="1"/>
  <c r="DM312" i="1"/>
  <c r="DM341" i="1"/>
  <c r="DM343" i="1"/>
  <c r="DM323" i="1"/>
  <c r="DM119" i="1"/>
  <c r="DM95" i="1"/>
  <c r="DM136" i="1"/>
  <c r="DM38" i="1"/>
  <c r="DK309" i="1"/>
  <c r="DK175" i="1"/>
  <c r="DM29" i="1"/>
  <c r="DM126" i="1"/>
  <c r="DK152" i="1"/>
  <c r="DM348" i="1"/>
  <c r="DM315" i="1"/>
  <c r="DM330" i="1"/>
  <c r="DK218" i="1"/>
  <c r="DK151" i="1"/>
  <c r="DM110" i="1"/>
  <c r="DM211" i="1"/>
  <c r="DM18" i="1"/>
  <c r="DM194" i="1"/>
  <c r="DM261" i="1"/>
  <c r="DM135" i="1"/>
  <c r="DM244" i="1"/>
  <c r="DM74" i="1"/>
  <c r="DM158" i="1"/>
  <c r="DM40" i="1"/>
  <c r="DK310" i="1"/>
  <c r="DK116" i="1"/>
  <c r="DM322" i="1"/>
  <c r="DM166" i="1"/>
  <c r="DM47" i="1"/>
  <c r="DM255" i="1"/>
  <c r="DM176" i="1"/>
  <c r="DM259" i="1"/>
  <c r="DM161" i="1"/>
  <c r="DM26" i="1"/>
  <c r="DM150" i="1"/>
  <c r="DM300" i="1"/>
  <c r="DK258" i="1"/>
  <c r="DK235" i="1"/>
  <c r="DK281" i="1"/>
  <c r="DK118" i="1"/>
  <c r="DM277" i="1"/>
  <c r="DM21" i="1"/>
  <c r="DM109" i="1"/>
  <c r="DM209" i="1"/>
  <c r="DM19" i="1"/>
  <c r="DM301" i="1"/>
  <c r="DM64" i="1"/>
  <c r="DM30" i="1"/>
  <c r="DM251" i="1"/>
  <c r="DM134" i="1"/>
  <c r="DM93" i="1"/>
  <c r="DM289" i="1"/>
  <c r="DM20" i="1"/>
  <c r="DM254" i="1"/>
  <c r="DK180" i="1"/>
  <c r="DK86" i="1"/>
  <c r="DM208" i="1"/>
  <c r="DM114" i="1"/>
  <c r="DM195" i="1"/>
  <c r="DM44" i="1"/>
  <c r="DK50" i="1"/>
  <c r="DK233" i="1"/>
  <c r="DM193" i="1"/>
  <c r="DM333" i="1"/>
  <c r="DM43" i="1"/>
  <c r="DM46" i="1"/>
  <c r="DM162" i="1"/>
  <c r="DM252" i="1"/>
  <c r="DM84" i="1"/>
  <c r="DK234" i="1"/>
  <c r="DK215" i="1"/>
  <c r="DK112" i="1"/>
  <c r="DM33" i="1"/>
  <c r="DM206" i="1"/>
  <c r="DM223" i="1"/>
  <c r="DM27" i="1"/>
  <c r="DM76" i="1"/>
  <c r="DM144" i="1"/>
  <c r="DK105" i="1"/>
  <c r="DM92" i="1"/>
  <c r="DM82" i="1"/>
  <c r="DM305" i="1"/>
  <c r="DM294" i="1"/>
  <c r="DM133" i="1"/>
  <c r="DM62" i="1"/>
  <c r="DM188" i="1"/>
  <c r="DM184" i="1"/>
  <c r="DM311" i="1"/>
  <c r="DM237" i="1"/>
  <c r="DM54" i="1"/>
  <c r="DM230" i="1"/>
  <c r="DM159" i="1"/>
  <c r="DM177" i="1"/>
  <c r="DM94" i="1"/>
  <c r="DM15" i="1"/>
  <c r="DM317" i="1"/>
  <c r="DM263" i="1"/>
  <c r="DM66" i="1"/>
  <c r="DM53" i="1"/>
  <c r="DM108" i="1"/>
  <c r="DK239" i="1"/>
  <c r="DM328" i="1"/>
  <c r="DK35" i="1"/>
  <c r="DK216" i="1"/>
  <c r="DM138" i="1"/>
  <c r="DM155" i="1"/>
  <c r="DM256" i="1"/>
  <c r="DM55" i="1"/>
  <c r="DM57" i="1"/>
  <c r="DM349" i="1"/>
  <c r="DM329" i="1"/>
  <c r="DM80" i="1"/>
  <c r="DM297" i="1"/>
  <c r="DM314" i="1"/>
  <c r="DM173" i="1"/>
  <c r="DK153" i="1"/>
  <c r="DM96" i="1"/>
  <c r="DM182" i="1"/>
  <c r="DM264" i="1"/>
  <c r="DM236" i="1"/>
  <c r="DM171" i="1"/>
  <c r="DM224" i="1"/>
  <c r="DM225" i="1"/>
  <c r="DM340" i="1"/>
  <c r="DM282" i="1"/>
  <c r="DM332" i="1"/>
  <c r="DK337" i="1"/>
  <c r="DM163" i="1"/>
  <c r="DM269" i="1"/>
  <c r="DK137" i="1"/>
  <c r="DM308" i="1"/>
  <c r="DK179" i="1"/>
  <c r="DM160" i="1"/>
  <c r="DM14" i="1"/>
  <c r="DM178" i="1"/>
  <c r="DM69" i="1"/>
  <c r="DM229" i="1"/>
  <c r="DK123" i="1"/>
  <c r="DK148" i="1"/>
  <c r="DK58" i="1"/>
  <c r="DM318" i="1"/>
  <c r="DM291" i="1"/>
  <c r="DK186" i="1"/>
  <c r="DK34" i="1"/>
  <c r="DM77" i="1"/>
  <c r="DM285" i="1"/>
  <c r="DM168" i="1"/>
  <c r="DM89" i="1"/>
  <c r="DM350" i="1"/>
  <c r="DM201" i="1"/>
  <c r="DK140" i="1"/>
  <c r="DK72" i="1"/>
  <c r="DM197" i="1"/>
  <c r="DM42" i="1"/>
  <c r="DK59" i="1"/>
  <c r="DM302" i="1"/>
  <c r="DM242" i="1"/>
  <c r="DM221" i="1"/>
  <c r="DM245" i="1"/>
  <c r="DK104" i="1"/>
  <c r="DK183" i="1"/>
  <c r="DK325" i="1"/>
  <c r="DM115" i="1"/>
  <c r="DM292" i="1"/>
  <c r="DM246" i="1"/>
  <c r="DM220" i="1"/>
  <c r="DM351" i="1"/>
  <c r="DM71" i="1"/>
  <c r="DM85" i="1"/>
  <c r="DM247" i="1"/>
  <c r="DM283" i="1"/>
  <c r="DM141" i="1"/>
  <c r="DM181" i="1"/>
  <c r="DM284" i="1"/>
  <c r="DM75" i="1"/>
  <c r="DL253" i="1"/>
  <c r="DM103" i="1"/>
  <c r="DK147" i="1"/>
  <c r="DK316" i="1"/>
  <c r="DM67" i="1"/>
  <c r="DM87" i="1"/>
  <c r="DM226" i="1"/>
  <c r="DM70" i="1"/>
  <c r="DM326" i="1"/>
  <c r="DM298" i="1"/>
  <c r="DM241" i="1"/>
  <c r="DK154" i="1"/>
  <c r="DM51" i="1"/>
  <c r="DM286" i="1"/>
  <c r="DM267" i="1"/>
  <c r="DM207" i="1"/>
  <c r="DK272" i="1"/>
  <c r="DK228" i="1"/>
  <c r="DM142" i="1"/>
  <c r="DM39" i="1"/>
  <c r="DM170" i="1"/>
  <c r="DM111" i="1"/>
  <c r="DM79" i="1"/>
  <c r="DM212" i="1"/>
  <c r="DK334" i="1"/>
  <c r="DK45" i="1"/>
  <c r="DK167" i="1"/>
  <c r="DM306" i="1"/>
  <c r="DM199" i="1"/>
  <c r="DK99" i="1"/>
  <c r="DK327" i="1"/>
  <c r="DM11" i="1"/>
  <c r="DK189" i="1"/>
  <c r="DK202" i="1"/>
  <c r="DM290" i="1"/>
  <c r="DO199" i="1" l="1"/>
  <c r="DO11" i="1"/>
  <c r="DO111" i="1"/>
  <c r="DO207" i="1"/>
  <c r="DN154" i="1"/>
  <c r="DO326" i="1"/>
  <c r="DO87" i="1"/>
  <c r="DN253" i="1"/>
  <c r="DO141" i="1"/>
  <c r="DO71" i="1"/>
  <c r="DO302" i="1"/>
  <c r="DO201" i="1"/>
  <c r="DO285" i="1"/>
  <c r="DN186" i="1"/>
  <c r="DO69" i="1"/>
  <c r="DN179" i="1"/>
  <c r="DN337" i="1"/>
  <c r="DO340" i="1"/>
  <c r="DO96" i="1"/>
  <c r="DO173" i="1"/>
  <c r="DO80" i="1"/>
  <c r="DO57" i="1"/>
  <c r="DO108" i="1"/>
  <c r="DO263" i="1"/>
  <c r="DO177" i="1"/>
  <c r="DO159" i="1"/>
  <c r="DO188" i="1"/>
  <c r="DO305" i="1"/>
  <c r="DO223" i="1"/>
  <c r="DN112" i="1"/>
  <c r="DO84" i="1"/>
  <c r="DO162" i="1"/>
  <c r="DO44" i="1"/>
  <c r="DO208" i="1"/>
  <c r="DO254" i="1"/>
  <c r="DO93" i="1"/>
  <c r="DO30" i="1"/>
  <c r="DO209" i="1"/>
  <c r="DO277" i="1"/>
  <c r="DN281" i="1"/>
  <c r="DO161" i="1"/>
  <c r="DO47" i="1"/>
  <c r="DO244" i="1"/>
  <c r="DO18" i="1"/>
  <c r="DO315" i="1"/>
  <c r="DO29" i="1"/>
  <c r="DN309" i="1"/>
  <c r="DO119" i="1"/>
  <c r="DO341" i="1"/>
  <c r="DO288" i="1"/>
  <c r="DO117" i="1"/>
  <c r="DO344" i="1"/>
  <c r="DO143" i="1"/>
  <c r="DO278" i="1"/>
  <c r="DO203" i="1"/>
  <c r="DN196" i="1"/>
  <c r="DO346" i="1"/>
  <c r="DO172" i="1"/>
  <c r="DO293" i="1"/>
  <c r="DN101" i="1"/>
  <c r="DN24" i="1"/>
  <c r="DO78" i="1"/>
  <c r="DO290" i="1"/>
  <c r="DO170" i="1"/>
  <c r="DO241" i="1"/>
  <c r="DO70" i="1"/>
  <c r="DO67" i="1"/>
  <c r="DO75" i="1"/>
  <c r="DO283" i="1"/>
  <c r="DO351" i="1"/>
  <c r="DO245" i="1"/>
  <c r="DN59" i="1"/>
  <c r="DO350" i="1"/>
  <c r="DO77" i="1"/>
  <c r="DO291" i="1"/>
  <c r="DN123" i="1"/>
  <c r="DO178" i="1"/>
  <c r="DO269" i="1"/>
  <c r="DO225" i="1"/>
  <c r="DO264" i="1"/>
  <c r="DO55" i="1"/>
  <c r="DO155" i="1"/>
  <c r="DN35" i="1"/>
  <c r="DO317" i="1"/>
  <c r="DO230" i="1"/>
  <c r="DO237" i="1"/>
  <c r="DO62" i="1"/>
  <c r="DO82" i="1"/>
  <c r="DN105" i="1"/>
  <c r="DO206" i="1"/>
  <c r="DO46" i="1"/>
  <c r="DO193" i="1"/>
  <c r="DO195" i="1"/>
  <c r="DO20" i="1"/>
  <c r="DO134" i="1"/>
  <c r="DO64" i="1"/>
  <c r="DO109" i="1"/>
  <c r="DO300" i="1"/>
  <c r="DO259" i="1"/>
  <c r="DO40" i="1"/>
  <c r="DO135" i="1"/>
  <c r="DO211" i="1"/>
  <c r="DO348" i="1"/>
  <c r="DO38" i="1"/>
  <c r="DO312" i="1"/>
  <c r="DO336" i="1"/>
  <c r="DO25" i="1"/>
  <c r="DO187" i="1"/>
  <c r="DO132" i="1"/>
  <c r="DN280" i="1"/>
  <c r="DO127" i="1"/>
  <c r="DO222" i="1"/>
  <c r="DO306" i="1"/>
  <c r="DO39" i="1"/>
  <c r="DN272" i="1"/>
  <c r="DO286" i="1"/>
  <c r="DO298" i="1"/>
  <c r="DO226" i="1"/>
  <c r="DO284" i="1"/>
  <c r="DO247" i="1"/>
  <c r="DO220" i="1"/>
  <c r="DO292" i="1"/>
  <c r="DN183" i="1"/>
  <c r="DO221" i="1"/>
  <c r="DO42" i="1"/>
  <c r="DN140" i="1"/>
  <c r="DO89" i="1"/>
  <c r="DO318" i="1"/>
  <c r="DN58" i="1"/>
  <c r="DO14" i="1"/>
  <c r="DO308" i="1"/>
  <c r="DO163" i="1"/>
  <c r="DO332" i="1"/>
  <c r="DO224" i="1"/>
  <c r="DO182" i="1"/>
  <c r="DN153" i="1"/>
  <c r="DO329" i="1"/>
  <c r="DO256" i="1"/>
  <c r="DO138" i="1"/>
  <c r="DO328" i="1"/>
  <c r="DO53" i="1"/>
  <c r="DO15" i="1"/>
  <c r="DO311" i="1"/>
  <c r="DO133" i="1"/>
  <c r="DO92" i="1"/>
  <c r="DO144" i="1"/>
  <c r="DO27" i="1"/>
  <c r="DO33" i="1"/>
  <c r="DO43" i="1"/>
  <c r="DO114" i="1"/>
  <c r="DN86" i="1"/>
  <c r="DO289" i="1"/>
  <c r="DO251" i="1"/>
  <c r="DO301" i="1"/>
  <c r="DO21" i="1"/>
  <c r="DO150" i="1"/>
  <c r="DO176" i="1"/>
  <c r="DO166" i="1"/>
  <c r="DO158" i="1"/>
  <c r="DO261" i="1"/>
  <c r="DO110" i="1"/>
  <c r="DO330" i="1"/>
  <c r="DO136" i="1"/>
  <c r="DO323" i="1"/>
  <c r="DO231" i="1"/>
  <c r="DO331" i="1"/>
  <c r="DO304" i="1"/>
  <c r="DO185" i="1"/>
  <c r="DO65" i="1"/>
  <c r="DO56" i="1"/>
  <c r="DO271" i="1"/>
  <c r="DO102" i="1"/>
  <c r="DO121" i="1"/>
  <c r="DO260" i="1"/>
  <c r="DO262" i="1"/>
  <c r="DO91" i="1"/>
  <c r="DN100" i="1"/>
  <c r="DO212" i="1"/>
  <c r="DN189" i="1"/>
  <c r="DN99" i="1"/>
  <c r="DN167" i="1"/>
  <c r="DO79" i="1"/>
  <c r="DO142" i="1"/>
  <c r="DO51" i="1"/>
  <c r="DO103" i="1"/>
  <c r="DO181" i="1"/>
  <c r="DO85" i="1"/>
  <c r="DO246" i="1"/>
  <c r="DO115" i="1"/>
  <c r="DN104" i="1"/>
  <c r="DO242" i="1"/>
  <c r="DO197" i="1"/>
  <c r="DO168" i="1"/>
  <c r="DN148" i="1"/>
  <c r="DO229" i="1"/>
  <c r="DO160" i="1"/>
  <c r="DO282" i="1"/>
  <c r="DO171" i="1"/>
  <c r="DO297" i="1"/>
  <c r="DO349" i="1"/>
  <c r="DO66" i="1"/>
  <c r="DO94" i="1"/>
  <c r="DO54" i="1"/>
  <c r="DO184" i="1"/>
  <c r="DO294" i="1"/>
  <c r="DO76" i="1"/>
  <c r="DO252" i="1"/>
  <c r="DO333" i="1"/>
  <c r="DN50" i="1"/>
  <c r="DN180" i="1"/>
  <c r="DO19" i="1"/>
  <c r="DO26" i="1"/>
  <c r="DO255" i="1"/>
  <c r="DO322" i="1"/>
  <c r="DO74" i="1"/>
  <c r="DO194" i="1"/>
  <c r="DO126" i="1"/>
  <c r="DO95" i="1"/>
  <c r="DO343" i="1"/>
  <c r="DO52" i="1"/>
  <c r="DO73" i="1"/>
  <c r="DO28" i="1"/>
  <c r="DO303" i="1"/>
  <c r="DO227" i="1"/>
  <c r="DO279" i="1"/>
  <c r="DO31" i="1"/>
  <c r="DO200" i="1"/>
  <c r="DO164" i="1"/>
  <c r="DO191" i="1"/>
  <c r="DN149" i="1"/>
  <c r="DL327" i="1"/>
  <c r="DN327" i="1" s="1"/>
  <c r="DK199" i="1"/>
  <c r="DL334" i="1"/>
  <c r="DN334" i="1" s="1"/>
  <c r="DK111" i="1"/>
  <c r="DK87" i="1"/>
  <c r="DK75" i="1"/>
  <c r="DK246" i="1"/>
  <c r="DL72" i="1"/>
  <c r="DL34" i="1"/>
  <c r="DK249" i="1"/>
  <c r="DK321" i="1"/>
  <c r="DK282" i="1"/>
  <c r="DK224" i="1"/>
  <c r="DK81" i="1"/>
  <c r="DK349" i="1"/>
  <c r="DK57" i="1"/>
  <c r="DK55" i="1"/>
  <c r="DK128" i="1"/>
  <c r="DK108" i="1"/>
  <c r="DK274" i="1"/>
  <c r="DK237" i="1"/>
  <c r="DK311" i="1"/>
  <c r="DK223" i="1"/>
  <c r="DL215" i="1"/>
  <c r="DK193" i="1"/>
  <c r="DK36" i="1"/>
  <c r="DK251" i="1"/>
  <c r="DL118" i="1"/>
  <c r="DN118" i="1" s="1"/>
  <c r="DL258" i="1"/>
  <c r="DK150" i="1"/>
  <c r="DK176" i="1"/>
  <c r="DK353" i="1"/>
  <c r="DK342" i="1"/>
  <c r="DK119" i="1"/>
  <c r="DK120" i="1"/>
  <c r="DK157" i="1"/>
  <c r="DK238" i="1"/>
  <c r="DK88" i="1"/>
  <c r="DK203" i="1"/>
  <c r="DL320" i="1"/>
  <c r="DL13" i="1"/>
  <c r="DN13" i="1" s="1"/>
  <c r="DK172" i="1"/>
  <c r="DK222" i="1"/>
  <c r="DL146" i="1"/>
  <c r="DN146" i="1" s="1"/>
  <c r="DK266" i="1"/>
  <c r="DK192" i="1"/>
  <c r="DK142" i="1"/>
  <c r="DK210" i="1"/>
  <c r="DK63" i="1"/>
  <c r="DK71" i="1"/>
  <c r="DK221" i="1"/>
  <c r="DK168" i="1"/>
  <c r="DK319" i="1"/>
  <c r="DK335" i="1"/>
  <c r="DK229" i="1"/>
  <c r="DL137" i="1"/>
  <c r="DK17" i="1"/>
  <c r="DK314" i="1"/>
  <c r="DL216" i="1"/>
  <c r="DK94" i="1"/>
  <c r="DK177" i="1"/>
  <c r="DK265" i="1"/>
  <c r="DK232" i="1"/>
  <c r="DK230" i="1"/>
  <c r="DK352" i="1"/>
  <c r="DK188" i="1"/>
  <c r="DK92" i="1"/>
  <c r="DK129" i="1"/>
  <c r="DK268" i="1"/>
  <c r="DK338" i="1"/>
  <c r="DK41" i="1"/>
  <c r="DK204" i="1"/>
  <c r="DL310" i="1"/>
  <c r="DK110" i="1"/>
  <c r="DL218" i="1"/>
  <c r="DL152" i="1"/>
  <c r="DK248" i="1"/>
  <c r="DL175" i="1"/>
  <c r="DN175" i="1" s="1"/>
  <c r="DK231" i="1"/>
  <c r="DK185" i="1"/>
  <c r="DK143" i="1"/>
  <c r="DK227" i="1"/>
  <c r="DK295" i="1"/>
  <c r="DK287" i="1"/>
  <c r="DL98" i="1"/>
  <c r="DL107" i="1"/>
  <c r="DK243" i="1"/>
  <c r="DL202" i="1"/>
  <c r="DL45" i="1"/>
  <c r="DL228" i="1"/>
  <c r="DK347" i="1"/>
  <c r="DK326" i="1"/>
  <c r="DK70" i="1"/>
  <c r="DK226" i="1"/>
  <c r="DK275" i="1"/>
  <c r="DK103" i="1"/>
  <c r="DK181" i="1"/>
  <c r="DK283" i="1"/>
  <c r="DK201" i="1"/>
  <c r="DK169" i="1"/>
  <c r="DK296" i="1"/>
  <c r="DK69" i="1"/>
  <c r="DK178" i="1"/>
  <c r="DK345" i="1"/>
  <c r="DK61" i="1"/>
  <c r="DK332" i="1"/>
  <c r="DK171" i="1"/>
  <c r="DK236" i="1"/>
  <c r="DK173" i="1"/>
  <c r="DK329" i="1"/>
  <c r="DK250" i="1"/>
  <c r="DK138" i="1"/>
  <c r="DK190" i="1"/>
  <c r="DL239" i="1"/>
  <c r="DN239" i="1" s="1"/>
  <c r="DK16" i="1"/>
  <c r="DK97" i="1"/>
  <c r="DK68" i="1"/>
  <c r="DK144" i="1"/>
  <c r="DK76" i="1"/>
  <c r="DK252" i="1"/>
  <c r="DK162" i="1"/>
  <c r="DK333" i="1"/>
  <c r="DL233" i="1"/>
  <c r="DK195" i="1"/>
  <c r="DK114" i="1"/>
  <c r="DK23" i="1"/>
  <c r="DK93" i="1"/>
  <c r="DK109" i="1"/>
  <c r="DL116" i="1"/>
  <c r="DL151" i="1"/>
  <c r="DK240" i="1"/>
  <c r="DK217" i="1"/>
  <c r="DK315" i="1"/>
  <c r="DK270" i="1"/>
  <c r="DK331" i="1"/>
  <c r="DL156" i="1"/>
  <c r="DK102" i="1"/>
  <c r="DK31" i="1"/>
  <c r="DN320" i="1"/>
  <c r="DK131" i="1"/>
  <c r="DK113" i="1"/>
  <c r="DL257" i="1"/>
  <c r="DK124" i="1"/>
  <c r="DK130" i="1"/>
  <c r="DK219" i="1"/>
  <c r="DK170" i="1"/>
  <c r="DK205" i="1"/>
  <c r="DK273" i="1"/>
  <c r="DK122" i="1"/>
  <c r="DL316" i="1"/>
  <c r="DL147" i="1"/>
  <c r="DK214" i="1"/>
  <c r="DK141" i="1"/>
  <c r="DK220" i="1"/>
  <c r="DK115" i="1"/>
  <c r="DL325" i="1"/>
  <c r="DK145" i="1"/>
  <c r="DK307" i="1"/>
  <c r="DK182" i="1"/>
  <c r="DK96" i="1"/>
  <c r="DK328" i="1"/>
  <c r="DK53" i="1"/>
  <c r="DK48" i="1"/>
  <c r="DK339" i="1"/>
  <c r="DK54" i="1"/>
  <c r="DK184" i="1"/>
  <c r="DK27" i="1"/>
  <c r="DK139" i="1"/>
  <c r="DL234" i="1"/>
  <c r="DK22" i="1"/>
  <c r="DK44" i="1"/>
  <c r="DL235" i="1"/>
  <c r="DK166" i="1"/>
  <c r="DK276" i="1"/>
  <c r="DK194" i="1"/>
  <c r="DK330" i="1"/>
  <c r="DK299" i="1"/>
  <c r="DK37" i="1"/>
  <c r="DK29" i="1"/>
  <c r="DK136" i="1"/>
  <c r="DK323" i="1"/>
  <c r="DK117" i="1"/>
  <c r="DK78" i="1"/>
  <c r="DK187" i="1"/>
  <c r="DK73" i="1"/>
  <c r="DK56" i="1"/>
  <c r="DK28" i="1"/>
  <c r="DK198" i="1"/>
  <c r="DL106" i="1"/>
  <c r="DK125" i="1"/>
  <c r="DP175" i="1" l="1"/>
  <c r="DP327" i="1"/>
  <c r="DP50" i="1"/>
  <c r="DP104" i="1"/>
  <c r="DP99" i="1"/>
  <c r="DP58" i="1"/>
  <c r="DP24" i="1"/>
  <c r="DP337" i="1"/>
  <c r="DP154" i="1"/>
  <c r="DP13" i="1"/>
  <c r="DP189" i="1"/>
  <c r="DP86" i="1"/>
  <c r="DP153" i="1"/>
  <c r="DP35" i="1"/>
  <c r="DP101" i="1"/>
  <c r="DP196" i="1"/>
  <c r="DP112" i="1"/>
  <c r="DP179" i="1"/>
  <c r="DP186" i="1"/>
  <c r="DP253" i="1"/>
  <c r="DP118" i="1"/>
  <c r="DP320" i="1"/>
  <c r="DP239" i="1"/>
  <c r="DP334" i="1"/>
  <c r="DP180" i="1"/>
  <c r="DP148" i="1"/>
  <c r="DP183" i="1"/>
  <c r="DP272" i="1"/>
  <c r="DP105" i="1"/>
  <c r="DP123" i="1"/>
  <c r="DP59" i="1"/>
  <c r="DP146" i="1"/>
  <c r="DP149" i="1"/>
  <c r="DP167" i="1"/>
  <c r="DP100" i="1"/>
  <c r="DP140" i="1"/>
  <c r="DP280" i="1"/>
  <c r="DP309" i="1"/>
  <c r="DP281" i="1"/>
  <c r="DN187" i="1"/>
  <c r="DN29" i="1"/>
  <c r="DN299" i="1"/>
  <c r="DN184" i="1"/>
  <c r="DN145" i="1"/>
  <c r="DN325" i="1"/>
  <c r="DN141" i="1"/>
  <c r="DN316" i="1"/>
  <c r="DN273" i="1"/>
  <c r="DN130" i="1"/>
  <c r="DN124" i="1"/>
  <c r="DN102" i="1"/>
  <c r="DN270" i="1"/>
  <c r="DN217" i="1"/>
  <c r="DN151" i="1"/>
  <c r="DN116" i="1"/>
  <c r="DN23" i="1"/>
  <c r="DN233" i="1"/>
  <c r="DN76" i="1"/>
  <c r="DN169" i="1"/>
  <c r="DN45" i="1"/>
  <c r="DN110" i="1"/>
  <c r="DN338" i="1"/>
  <c r="DN188" i="1"/>
  <c r="DN232" i="1"/>
  <c r="DN319" i="1"/>
  <c r="DN142" i="1"/>
  <c r="DN88" i="1"/>
  <c r="DN120" i="1"/>
  <c r="DN193" i="1"/>
  <c r="DN57" i="1"/>
  <c r="DN249" i="1"/>
  <c r="DN78" i="1"/>
  <c r="DN276" i="1"/>
  <c r="DN235" i="1"/>
  <c r="DN22" i="1"/>
  <c r="DN139" i="1"/>
  <c r="DN54" i="1"/>
  <c r="DN48" i="1"/>
  <c r="DN214" i="1"/>
  <c r="DN205" i="1"/>
  <c r="DN113" i="1"/>
  <c r="DN31" i="1"/>
  <c r="DN156" i="1"/>
  <c r="DN195" i="1"/>
  <c r="DN144" i="1"/>
  <c r="DN97" i="1"/>
  <c r="DN138" i="1"/>
  <c r="DN283" i="1"/>
  <c r="DN107" i="1"/>
  <c r="DN295" i="1"/>
  <c r="DN185" i="1"/>
  <c r="DN248" i="1"/>
  <c r="DN204" i="1"/>
  <c r="DN41" i="1"/>
  <c r="DN352" i="1"/>
  <c r="DN137" i="1"/>
  <c r="DN229" i="1"/>
  <c r="DN63" i="1"/>
  <c r="DN192" i="1"/>
  <c r="DN342" i="1"/>
  <c r="DN150" i="1"/>
  <c r="DN258" i="1"/>
  <c r="DN251" i="1"/>
  <c r="DN36" i="1"/>
  <c r="DN274" i="1"/>
  <c r="DN282" i="1"/>
  <c r="DN72" i="1"/>
  <c r="DN246" i="1"/>
  <c r="DN87" i="1"/>
  <c r="DN198" i="1"/>
  <c r="DN125" i="1"/>
  <c r="DN56" i="1"/>
  <c r="DN234" i="1"/>
  <c r="DN339" i="1"/>
  <c r="DN122" i="1"/>
  <c r="DN219" i="1"/>
  <c r="DN257" i="1"/>
  <c r="DN240" i="1"/>
  <c r="DN162" i="1"/>
  <c r="DN68" i="1"/>
  <c r="DN250" i="1"/>
  <c r="DN296" i="1"/>
  <c r="DN275" i="1"/>
  <c r="DN228" i="1"/>
  <c r="DN202" i="1"/>
  <c r="DN98" i="1"/>
  <c r="DN143" i="1"/>
  <c r="DN218" i="1"/>
  <c r="DN310" i="1"/>
  <c r="DN129" i="1"/>
  <c r="DN216" i="1"/>
  <c r="DN335" i="1"/>
  <c r="DN210" i="1"/>
  <c r="DN266" i="1"/>
  <c r="DN157" i="1"/>
  <c r="DN176" i="1"/>
  <c r="DN215" i="1"/>
  <c r="DN128" i="1"/>
  <c r="DN81" i="1"/>
  <c r="DN321" i="1"/>
  <c r="DN34" i="1"/>
  <c r="DN106" i="1"/>
  <c r="DN37" i="1"/>
  <c r="DN194" i="1"/>
  <c r="DN27" i="1"/>
  <c r="DN182" i="1"/>
  <c r="DN307" i="1"/>
  <c r="DN147" i="1"/>
  <c r="DN131" i="1"/>
  <c r="DN252" i="1"/>
  <c r="DN16" i="1"/>
  <c r="DN190" i="1"/>
  <c r="DN61" i="1"/>
  <c r="DN345" i="1"/>
  <c r="DN103" i="1"/>
  <c r="DN347" i="1"/>
  <c r="DN243" i="1"/>
  <c r="DN287" i="1"/>
  <c r="DN152" i="1"/>
  <c r="DN268" i="1"/>
  <c r="DN92" i="1"/>
  <c r="DN230" i="1"/>
  <c r="DN265" i="1"/>
  <c r="DN17" i="1"/>
  <c r="DN353" i="1"/>
  <c r="DN55" i="1"/>
  <c r="DN75" i="1"/>
  <c r="DL117" i="1"/>
  <c r="DN117" i="1" s="1"/>
  <c r="DL136" i="1"/>
  <c r="DL330" i="1"/>
  <c r="DN330" i="1" s="1"/>
  <c r="DM60" i="1"/>
  <c r="DK350" i="1"/>
  <c r="DL115" i="1"/>
  <c r="DN115" i="1" s="1"/>
  <c r="DL28" i="1"/>
  <c r="DN28" i="1" s="1"/>
  <c r="DK343" i="1"/>
  <c r="DK322" i="1"/>
  <c r="DL53" i="1"/>
  <c r="DL170" i="1"/>
  <c r="DM324" i="1"/>
  <c r="DK260" i="1"/>
  <c r="DL315" i="1"/>
  <c r="DK18" i="1"/>
  <c r="DK74" i="1"/>
  <c r="DL109" i="1"/>
  <c r="DN109" i="1" s="1"/>
  <c r="DK206" i="1"/>
  <c r="DL173" i="1"/>
  <c r="DL236" i="1"/>
  <c r="DN236" i="1" s="1"/>
  <c r="DK291" i="1"/>
  <c r="DK267" i="1"/>
  <c r="DK207" i="1"/>
  <c r="DM174" i="1"/>
  <c r="DK91" i="1"/>
  <c r="DL227" i="1"/>
  <c r="DN227" i="1" s="1"/>
  <c r="DK132" i="1"/>
  <c r="DK65" i="1"/>
  <c r="DK52" i="1"/>
  <c r="DK336" i="1"/>
  <c r="DK21" i="1"/>
  <c r="DK209" i="1"/>
  <c r="DK19" i="1"/>
  <c r="DK247" i="1"/>
  <c r="DL222" i="1"/>
  <c r="DN222" i="1" s="1"/>
  <c r="DK271" i="1"/>
  <c r="DK40" i="1"/>
  <c r="DL237" i="1"/>
  <c r="DL224" i="1"/>
  <c r="DN224" i="1" s="1"/>
  <c r="DK225" i="1"/>
  <c r="DK340" i="1"/>
  <c r="DL323" i="1"/>
  <c r="DK126" i="1"/>
  <c r="DK298" i="1"/>
  <c r="DK290" i="1"/>
  <c r="DL331" i="1"/>
  <c r="DK254" i="1"/>
  <c r="DL171" i="1"/>
  <c r="DL332" i="1"/>
  <c r="DN332" i="1" s="1"/>
  <c r="DL178" i="1"/>
  <c r="DK241" i="1"/>
  <c r="DK11" i="1"/>
  <c r="DL231" i="1"/>
  <c r="DN231" i="1" s="1"/>
  <c r="DK211" i="1"/>
  <c r="DK255" i="1"/>
  <c r="DK155" i="1"/>
  <c r="DL221" i="1"/>
  <c r="DL203" i="1"/>
  <c r="DK158" i="1"/>
  <c r="DK301" i="1"/>
  <c r="DK64" i="1"/>
  <c r="DK30" i="1"/>
  <c r="DK15" i="1"/>
  <c r="DK160" i="1"/>
  <c r="DK14" i="1"/>
  <c r="DK318" i="1"/>
  <c r="DL111" i="1"/>
  <c r="DK127" i="1"/>
  <c r="DK262" i="1"/>
  <c r="DK346" i="1"/>
  <c r="DK200" i="1"/>
  <c r="DK303" i="1"/>
  <c r="DK244" i="1"/>
  <c r="DL166" i="1"/>
  <c r="DK159" i="1"/>
  <c r="DK85" i="1"/>
  <c r="DK278" i="1"/>
  <c r="DK312" i="1"/>
  <c r="DK95" i="1"/>
  <c r="DL44" i="1"/>
  <c r="DK43" i="1"/>
  <c r="DK46" i="1"/>
  <c r="DL328" i="1"/>
  <c r="DL96" i="1"/>
  <c r="DK197" i="1"/>
  <c r="DK288" i="1"/>
  <c r="DL93" i="1"/>
  <c r="DK20" i="1"/>
  <c r="DL114" i="1"/>
  <c r="DL333" i="1"/>
  <c r="DK269" i="1"/>
  <c r="DL69" i="1"/>
  <c r="DK292" i="1"/>
  <c r="DK351" i="1"/>
  <c r="DL181" i="1"/>
  <c r="DL70" i="1"/>
  <c r="DL326" i="1"/>
  <c r="DK259" i="1"/>
  <c r="DL177" i="1"/>
  <c r="DK80" i="1"/>
  <c r="DK297" i="1"/>
  <c r="DL314" i="1"/>
  <c r="DK308" i="1"/>
  <c r="DL168" i="1"/>
  <c r="DK89" i="1"/>
  <c r="DK242" i="1"/>
  <c r="DL172" i="1"/>
  <c r="DK164" i="1"/>
  <c r="DK279" i="1"/>
  <c r="DK121" i="1"/>
  <c r="DK135" i="1"/>
  <c r="DK47" i="1"/>
  <c r="DK208" i="1"/>
  <c r="DM83" i="1"/>
  <c r="DL223" i="1"/>
  <c r="DN223" i="1" s="1"/>
  <c r="DK82" i="1"/>
  <c r="DK305" i="1"/>
  <c r="DK294" i="1"/>
  <c r="DK133" i="1"/>
  <c r="DK62" i="1"/>
  <c r="DL311" i="1"/>
  <c r="DK317" i="1"/>
  <c r="DL349" i="1"/>
  <c r="DK77" i="1"/>
  <c r="DK42" i="1"/>
  <c r="DK284" i="1"/>
  <c r="DK67" i="1"/>
  <c r="DK212" i="1"/>
  <c r="DL199" i="1"/>
  <c r="DM90" i="1"/>
  <c r="DL73" i="1"/>
  <c r="DK38" i="1"/>
  <c r="DK84" i="1"/>
  <c r="DK263" i="1"/>
  <c r="DK66" i="1"/>
  <c r="DK302" i="1"/>
  <c r="DL220" i="1"/>
  <c r="DK293" i="1"/>
  <c r="DK191" i="1"/>
  <c r="DK348" i="1"/>
  <c r="DK261" i="1"/>
  <c r="DK134" i="1"/>
  <c r="DK256" i="1"/>
  <c r="DL329" i="1"/>
  <c r="DK264" i="1"/>
  <c r="DL201" i="1"/>
  <c r="DM49" i="1"/>
  <c r="DL226" i="1"/>
  <c r="DK51" i="1"/>
  <c r="DK286" i="1"/>
  <c r="DK39" i="1"/>
  <c r="DK306" i="1"/>
  <c r="DK304" i="1"/>
  <c r="DK341" i="1"/>
  <c r="DK277" i="1"/>
  <c r="DK289" i="1"/>
  <c r="DL94" i="1"/>
  <c r="DK163" i="1"/>
  <c r="DK245" i="1"/>
  <c r="DL71" i="1"/>
  <c r="DK79" i="1"/>
  <c r="DL238" i="1"/>
  <c r="DK344" i="1"/>
  <c r="DK25" i="1"/>
  <c r="DL119" i="1"/>
  <c r="DK161" i="1"/>
  <c r="DK26" i="1"/>
  <c r="DK300" i="1"/>
  <c r="DK33" i="1"/>
  <c r="DL108" i="1"/>
  <c r="DK285" i="1"/>
  <c r="DM12" i="1"/>
  <c r="L312" i="24" l="1"/>
  <c r="L311" i="24"/>
  <c r="L149" i="24"/>
  <c r="L128" i="24"/>
  <c r="L30" i="24"/>
  <c r="L83" i="24"/>
  <c r="L168" i="24"/>
  <c r="L130" i="24"/>
  <c r="L355" i="24"/>
  <c r="L341" i="24"/>
  <c r="L257" i="24"/>
  <c r="L162" i="24"/>
  <c r="L181" i="24"/>
  <c r="L121" i="24"/>
  <c r="L135" i="24"/>
  <c r="L174" i="24"/>
  <c r="L12" i="24"/>
  <c r="L166" i="24"/>
  <c r="L68" i="24"/>
  <c r="L75" i="24"/>
  <c r="L200" i="24"/>
  <c r="L348" i="24"/>
  <c r="L123" i="24"/>
  <c r="L329" i="24"/>
  <c r="L118" i="24"/>
  <c r="L76" i="24"/>
  <c r="L131" i="24"/>
  <c r="L101" i="24"/>
  <c r="L303" i="24"/>
  <c r="L51" i="24"/>
  <c r="L163" i="24"/>
  <c r="L262" i="24"/>
  <c r="L96" i="24"/>
  <c r="L171" i="24"/>
  <c r="L90" i="24"/>
  <c r="L77" i="24"/>
  <c r="L235" i="24"/>
  <c r="L58" i="24"/>
  <c r="L136" i="24"/>
  <c r="L358" i="24"/>
  <c r="L272" i="24"/>
  <c r="L29" i="24"/>
  <c r="L81" i="24"/>
  <c r="L19" i="24"/>
  <c r="L157" i="24"/>
  <c r="DP224" i="1"/>
  <c r="DP109" i="1"/>
  <c r="DP353" i="1"/>
  <c r="DP17" i="1"/>
  <c r="DP103" i="1"/>
  <c r="DP131" i="1"/>
  <c r="DP210" i="1"/>
  <c r="DP202" i="1"/>
  <c r="DP122" i="1"/>
  <c r="DP125" i="1"/>
  <c r="DP36" i="1"/>
  <c r="DP352" i="1"/>
  <c r="DP138" i="1"/>
  <c r="DP113" i="1"/>
  <c r="DP276" i="1"/>
  <c r="DP232" i="1"/>
  <c r="DP169" i="1"/>
  <c r="DP270" i="1"/>
  <c r="DP130" i="1"/>
  <c r="DP330" i="1"/>
  <c r="DP55" i="1"/>
  <c r="DP265" i="1"/>
  <c r="DP243" i="1"/>
  <c r="DP61" i="1"/>
  <c r="DP252" i="1"/>
  <c r="DP147" i="1"/>
  <c r="DP194" i="1"/>
  <c r="DP106" i="1"/>
  <c r="DP81" i="1"/>
  <c r="DP157" i="1"/>
  <c r="DP216" i="1"/>
  <c r="DP143" i="1"/>
  <c r="DP275" i="1"/>
  <c r="DP68" i="1"/>
  <c r="DP257" i="1"/>
  <c r="DP87" i="1"/>
  <c r="DP274" i="1"/>
  <c r="DP342" i="1"/>
  <c r="DP229" i="1"/>
  <c r="DP204" i="1"/>
  <c r="DP107" i="1"/>
  <c r="DP144" i="1"/>
  <c r="DP156" i="1"/>
  <c r="DP214" i="1"/>
  <c r="DP22" i="1"/>
  <c r="DP142" i="1"/>
  <c r="DP338" i="1"/>
  <c r="DP76" i="1"/>
  <c r="DP151" i="1"/>
  <c r="DP102" i="1"/>
  <c r="DP316" i="1"/>
  <c r="DP184" i="1"/>
  <c r="DP117" i="1"/>
  <c r="DP222" i="1"/>
  <c r="DP230" i="1"/>
  <c r="DP347" i="1"/>
  <c r="DP190" i="1"/>
  <c r="DP307" i="1"/>
  <c r="DP34" i="1"/>
  <c r="DP128" i="1"/>
  <c r="DP266" i="1"/>
  <c r="DP129" i="1"/>
  <c r="DP98" i="1"/>
  <c r="DP296" i="1"/>
  <c r="DP219" i="1"/>
  <c r="DP56" i="1"/>
  <c r="DP246" i="1"/>
  <c r="DP258" i="1"/>
  <c r="DP192" i="1"/>
  <c r="DP137" i="1"/>
  <c r="DP248" i="1"/>
  <c r="DP283" i="1"/>
  <c r="DP31" i="1"/>
  <c r="DP48" i="1"/>
  <c r="DP235" i="1"/>
  <c r="DP249" i="1"/>
  <c r="DP319" i="1"/>
  <c r="DP110" i="1"/>
  <c r="DP45" i="1"/>
  <c r="DP233" i="1"/>
  <c r="DP217" i="1"/>
  <c r="DP124" i="1"/>
  <c r="DP141" i="1"/>
  <c r="DP299" i="1"/>
  <c r="DP28" i="1"/>
  <c r="DP92" i="1"/>
  <c r="DP63" i="1"/>
  <c r="DP120" i="1"/>
  <c r="DP29" i="1"/>
  <c r="DP332" i="1"/>
  <c r="DP227" i="1"/>
  <c r="DP236" i="1"/>
  <c r="DP152" i="1"/>
  <c r="DP16" i="1"/>
  <c r="DP182" i="1"/>
  <c r="DP215" i="1"/>
  <c r="DP310" i="1"/>
  <c r="DP162" i="1"/>
  <c r="DP339" i="1"/>
  <c r="DP72" i="1"/>
  <c r="DP150" i="1"/>
  <c r="DP185" i="1"/>
  <c r="DP195" i="1"/>
  <c r="DP54" i="1"/>
  <c r="DP57" i="1"/>
  <c r="DP23" i="1"/>
  <c r="DP325" i="1"/>
  <c r="DP223" i="1"/>
  <c r="DP231" i="1"/>
  <c r="DP115" i="1"/>
  <c r="DP75" i="1"/>
  <c r="DP268" i="1"/>
  <c r="DP287" i="1"/>
  <c r="DP345" i="1"/>
  <c r="DP27" i="1"/>
  <c r="DP37" i="1"/>
  <c r="DP321" i="1"/>
  <c r="DP176" i="1"/>
  <c r="DP335" i="1"/>
  <c r="DP218" i="1"/>
  <c r="DP228" i="1"/>
  <c r="DP250" i="1"/>
  <c r="DP240" i="1"/>
  <c r="DP234" i="1"/>
  <c r="DP198" i="1"/>
  <c r="DP282" i="1"/>
  <c r="DP251" i="1"/>
  <c r="DP41" i="1"/>
  <c r="DP295" i="1"/>
  <c r="DP97" i="1"/>
  <c r="DP205" i="1"/>
  <c r="DP139" i="1"/>
  <c r="DP78" i="1"/>
  <c r="DP193" i="1"/>
  <c r="DP88" i="1"/>
  <c r="DP188" i="1"/>
  <c r="DP116" i="1"/>
  <c r="DP273" i="1"/>
  <c r="DP145" i="1"/>
  <c r="DP187" i="1"/>
  <c r="DO12" i="1"/>
  <c r="DN119" i="1"/>
  <c r="DN285" i="1"/>
  <c r="DN108" i="1"/>
  <c r="DN33" i="1"/>
  <c r="DN304" i="1"/>
  <c r="DO49" i="1"/>
  <c r="DN264" i="1"/>
  <c r="DN261" i="1"/>
  <c r="DN66" i="1"/>
  <c r="DN84" i="1"/>
  <c r="DN73" i="1"/>
  <c r="DN42" i="1"/>
  <c r="DN317" i="1"/>
  <c r="DN164" i="1"/>
  <c r="DN242" i="1"/>
  <c r="DN168" i="1"/>
  <c r="DN70" i="1"/>
  <c r="DN328" i="1"/>
  <c r="DN312" i="1"/>
  <c r="DN159" i="1"/>
  <c r="DN166" i="1"/>
  <c r="DN303" i="1"/>
  <c r="DN346" i="1"/>
  <c r="DN15" i="1"/>
  <c r="DN158" i="1"/>
  <c r="DN221" i="1"/>
  <c r="DN11" i="1"/>
  <c r="DN178" i="1"/>
  <c r="DN126" i="1"/>
  <c r="DN225" i="1"/>
  <c r="DN209" i="1"/>
  <c r="DN65" i="1"/>
  <c r="DN132" i="1"/>
  <c r="DN267" i="1"/>
  <c r="DN291" i="1"/>
  <c r="DN18" i="1"/>
  <c r="DN260" i="1"/>
  <c r="DO324" i="1"/>
  <c r="DN53" i="1"/>
  <c r="DN161" i="1"/>
  <c r="DN71" i="1"/>
  <c r="DN341" i="1"/>
  <c r="DN306" i="1"/>
  <c r="DN286" i="1"/>
  <c r="DN134" i="1"/>
  <c r="DN293" i="1"/>
  <c r="DN220" i="1"/>
  <c r="DO90" i="1"/>
  <c r="DN67" i="1"/>
  <c r="DN77" i="1"/>
  <c r="DN349" i="1"/>
  <c r="DN133" i="1"/>
  <c r="DN47" i="1"/>
  <c r="DN135" i="1"/>
  <c r="DN172" i="1"/>
  <c r="DN308" i="1"/>
  <c r="DN314" i="1"/>
  <c r="DN80" i="1"/>
  <c r="DN259" i="1"/>
  <c r="DN351" i="1"/>
  <c r="DN288" i="1"/>
  <c r="DN197" i="1"/>
  <c r="DN43" i="1"/>
  <c r="DN244" i="1"/>
  <c r="DN127" i="1"/>
  <c r="DN318" i="1"/>
  <c r="DN30" i="1"/>
  <c r="DN301" i="1"/>
  <c r="DN203" i="1"/>
  <c r="DN155" i="1"/>
  <c r="DN255" i="1"/>
  <c r="DN254" i="1"/>
  <c r="DN331" i="1"/>
  <c r="DN237" i="1"/>
  <c r="DN271" i="1"/>
  <c r="DN74" i="1"/>
  <c r="DN350" i="1"/>
  <c r="DN26" i="1"/>
  <c r="DN245" i="1"/>
  <c r="DN163" i="1"/>
  <c r="DN94" i="1"/>
  <c r="DN289" i="1"/>
  <c r="DN329" i="1"/>
  <c r="DN348" i="1"/>
  <c r="DN263" i="1"/>
  <c r="DN38" i="1"/>
  <c r="DN199" i="1"/>
  <c r="DN284" i="1"/>
  <c r="DN311" i="1"/>
  <c r="DN305" i="1"/>
  <c r="DO83" i="1"/>
  <c r="DN208" i="1"/>
  <c r="DN279" i="1"/>
  <c r="DN89" i="1"/>
  <c r="DN297" i="1"/>
  <c r="DN177" i="1"/>
  <c r="DN69" i="1"/>
  <c r="DN114" i="1"/>
  <c r="DN95" i="1"/>
  <c r="DN85" i="1"/>
  <c r="DN200" i="1"/>
  <c r="DN111" i="1"/>
  <c r="DN14" i="1"/>
  <c r="DN241" i="1"/>
  <c r="DN171" i="1"/>
  <c r="DN290" i="1"/>
  <c r="DN298" i="1"/>
  <c r="DN323" i="1"/>
  <c r="DN340" i="1"/>
  <c r="DN40" i="1"/>
  <c r="DN247" i="1"/>
  <c r="DN19" i="1"/>
  <c r="DN336" i="1"/>
  <c r="DN52" i="1"/>
  <c r="DN91" i="1"/>
  <c r="DN207" i="1"/>
  <c r="DN206" i="1"/>
  <c r="DN25" i="1"/>
  <c r="DN300" i="1"/>
  <c r="DN344" i="1"/>
  <c r="DN238" i="1"/>
  <c r="DN79" i="1"/>
  <c r="DN277" i="1"/>
  <c r="DN39" i="1"/>
  <c r="DN51" i="1"/>
  <c r="DN226" i="1"/>
  <c r="DN201" i="1"/>
  <c r="DN256" i="1"/>
  <c r="DN191" i="1"/>
  <c r="DN302" i="1"/>
  <c r="DN212" i="1"/>
  <c r="DN62" i="1"/>
  <c r="DN294" i="1"/>
  <c r="DN82" i="1"/>
  <c r="DN121" i="1"/>
  <c r="DN326" i="1"/>
  <c r="DN181" i="1"/>
  <c r="DN292" i="1"/>
  <c r="DN269" i="1"/>
  <c r="DN333" i="1"/>
  <c r="DN20" i="1"/>
  <c r="DN93" i="1"/>
  <c r="DN96" i="1"/>
  <c r="DN46" i="1"/>
  <c r="DN44" i="1"/>
  <c r="DN278" i="1"/>
  <c r="DN262" i="1"/>
  <c r="DN160" i="1"/>
  <c r="DN64" i="1"/>
  <c r="DN211" i="1"/>
  <c r="DN21" i="1"/>
  <c r="DO174" i="1"/>
  <c r="DF357" i="1" s="1"/>
  <c r="DN173" i="1"/>
  <c r="DN315" i="1"/>
  <c r="DN170" i="1"/>
  <c r="DN322" i="1"/>
  <c r="DN343" i="1"/>
  <c r="DO60" i="1"/>
  <c r="DN136" i="1"/>
  <c r="DK12" i="1"/>
  <c r="DK90" i="1"/>
  <c r="DM313" i="1"/>
  <c r="DM9" i="1"/>
  <c r="DK324" i="1"/>
  <c r="DK174" i="1"/>
  <c r="L127" i="24" l="1"/>
  <c r="L126" i="24"/>
  <c r="L173" i="24"/>
  <c r="L178" i="24"/>
  <c r="L117" i="24"/>
  <c r="L66" i="24"/>
  <c r="L254" i="24"/>
  <c r="L255" i="24"/>
  <c r="L183" i="24"/>
  <c r="L231" i="24"/>
  <c r="L204" i="24"/>
  <c r="L159" i="24"/>
  <c r="L237" i="24"/>
  <c r="L366" i="24"/>
  <c r="L299" i="24"/>
  <c r="L82" i="24"/>
  <c r="L93" i="24"/>
  <c r="L209" i="24"/>
  <c r="L271" i="24"/>
  <c r="L28" i="24"/>
  <c r="L180" i="24"/>
  <c r="L132" i="24"/>
  <c r="L360" i="24"/>
  <c r="L330" i="24"/>
  <c r="L165" i="24"/>
  <c r="L277" i="24"/>
  <c r="L213" i="24"/>
  <c r="L108" i="24"/>
  <c r="L151" i="24"/>
  <c r="L307" i="24"/>
  <c r="L116" i="24"/>
  <c r="L236" i="24"/>
  <c r="L100" i="24"/>
  <c r="L195" i="24"/>
  <c r="L109" i="24"/>
  <c r="L265" i="24"/>
  <c r="L87" i="24"/>
  <c r="L282" i="24"/>
  <c r="L34" i="24"/>
  <c r="L281" i="24"/>
  <c r="L119" i="24"/>
  <c r="L203" i="24"/>
  <c r="L340" i="24"/>
  <c r="L230" i="24"/>
  <c r="L17" i="24"/>
  <c r="L26" i="24"/>
  <c r="L229" i="24"/>
  <c r="L177" i="24"/>
  <c r="L27" i="24"/>
  <c r="L205" i="24"/>
  <c r="L316" i="24"/>
  <c r="L107" i="24"/>
  <c r="L106" i="24"/>
  <c r="L23" i="24"/>
  <c r="L368" i="24"/>
  <c r="L216" i="24"/>
  <c r="L95" i="24"/>
  <c r="L337" i="24"/>
  <c r="L276" i="24"/>
  <c r="L120" i="24"/>
  <c r="L199" i="24"/>
  <c r="L125" i="24"/>
  <c r="L189" i="24"/>
  <c r="L363" i="24"/>
  <c r="L305" i="24"/>
  <c r="L286" i="24"/>
  <c r="L288" i="24"/>
  <c r="L306" i="24"/>
  <c r="L202" i="24"/>
  <c r="L53" i="24"/>
  <c r="L179" i="24"/>
  <c r="L256" i="24"/>
  <c r="L224" i="24"/>
  <c r="L296" i="24"/>
  <c r="L25" i="24"/>
  <c r="L172" i="24"/>
  <c r="L304" i="24"/>
  <c r="L94" i="24"/>
  <c r="L60" i="24"/>
  <c r="L49" i="24"/>
  <c r="L190" i="24"/>
  <c r="L73" i="24"/>
  <c r="L241" i="24"/>
  <c r="L79" i="24"/>
  <c r="L313" i="24"/>
  <c r="L220" i="24"/>
  <c r="L221" i="24"/>
  <c r="L214" i="24"/>
  <c r="L356" i="24"/>
  <c r="L342" i="24"/>
  <c r="L280" i="24"/>
  <c r="L246" i="24"/>
  <c r="L46" i="24"/>
  <c r="L217" i="24"/>
  <c r="L346" i="24"/>
  <c r="L134" i="24"/>
  <c r="L24" i="24"/>
  <c r="L170" i="24"/>
  <c r="L43" i="24"/>
  <c r="L144" i="24"/>
  <c r="L201" i="24"/>
  <c r="L264" i="24"/>
  <c r="L259" i="24"/>
  <c r="L353" i="24"/>
  <c r="L301" i="24"/>
  <c r="L218" i="24"/>
  <c r="L91" i="24"/>
  <c r="L373" i="24"/>
  <c r="L103" i="24"/>
  <c r="L187" i="24"/>
  <c r="L198" i="24"/>
  <c r="L374" i="24"/>
  <c r="L210" i="24"/>
  <c r="L98" i="24"/>
  <c r="L335" i="24"/>
  <c r="L65" i="24"/>
  <c r="L319" i="24"/>
  <c r="L102" i="24"/>
  <c r="L219" i="24"/>
  <c r="L88" i="24"/>
  <c r="L69" i="24"/>
  <c r="L258" i="24"/>
  <c r="L285" i="24"/>
  <c r="L314" i="24"/>
  <c r="L115" i="24"/>
  <c r="L289" i="24"/>
  <c r="L227" i="24"/>
  <c r="L74" i="24"/>
  <c r="L297" i="24"/>
  <c r="L234" i="24"/>
  <c r="L327" i="24"/>
  <c r="L175" i="24"/>
  <c r="L64" i="24"/>
  <c r="L284" i="24"/>
  <c r="L208" i="24"/>
  <c r="L169" i="24"/>
  <c r="L78" i="24"/>
  <c r="L47" i="24"/>
  <c r="L359" i="24"/>
  <c r="L270" i="24"/>
  <c r="L138" i="24"/>
  <c r="L85" i="24"/>
  <c r="L215" i="24"/>
  <c r="L274" i="24"/>
  <c r="L59" i="24"/>
  <c r="L39" i="24"/>
  <c r="L124" i="24"/>
  <c r="L139" i="24"/>
  <c r="L84" i="24"/>
  <c r="L129" i="24"/>
  <c r="L32" i="24"/>
  <c r="L167" i="24"/>
  <c r="L158" i="24"/>
  <c r="L351" i="24"/>
  <c r="DP343" i="1"/>
  <c r="DP173" i="1"/>
  <c r="DP64" i="1"/>
  <c r="DP44" i="1"/>
  <c r="DP20" i="1"/>
  <c r="DP181" i="1"/>
  <c r="DP294" i="1"/>
  <c r="DP191" i="1"/>
  <c r="DP51" i="1"/>
  <c r="DP238" i="1"/>
  <c r="DP206" i="1"/>
  <c r="DP336" i="1"/>
  <c r="DP290" i="1"/>
  <c r="DP111" i="1"/>
  <c r="DP114" i="1"/>
  <c r="DP89" i="1"/>
  <c r="DP305" i="1"/>
  <c r="DP38" i="1"/>
  <c r="DP289" i="1"/>
  <c r="DP26" i="1"/>
  <c r="DP237" i="1"/>
  <c r="DP155" i="1"/>
  <c r="DP318" i="1"/>
  <c r="DP197" i="1"/>
  <c r="DP80" i="1"/>
  <c r="DP135" i="1"/>
  <c r="DP77" i="1"/>
  <c r="DP293" i="1"/>
  <c r="DP341" i="1"/>
  <c r="DP267" i="1"/>
  <c r="DP225" i="1"/>
  <c r="DP221" i="1"/>
  <c r="DP303" i="1"/>
  <c r="DP328" i="1"/>
  <c r="DP164" i="1"/>
  <c r="DP84" i="1"/>
  <c r="DP285" i="1"/>
  <c r="DP322" i="1"/>
  <c r="DP160" i="1"/>
  <c r="DP46" i="1"/>
  <c r="DP333" i="1"/>
  <c r="DP326" i="1"/>
  <c r="DP62" i="1"/>
  <c r="DP256" i="1"/>
  <c r="DP39" i="1"/>
  <c r="DP344" i="1"/>
  <c r="DP207" i="1"/>
  <c r="DP19" i="1"/>
  <c r="DP340" i="1"/>
  <c r="DP171" i="1"/>
  <c r="DP200" i="1"/>
  <c r="DP69" i="1"/>
  <c r="DP279" i="1"/>
  <c r="DP311" i="1"/>
  <c r="DP263" i="1"/>
  <c r="DP94" i="1"/>
  <c r="DP350" i="1"/>
  <c r="DP331" i="1"/>
  <c r="DP203" i="1"/>
  <c r="DP127" i="1"/>
  <c r="DP288" i="1"/>
  <c r="DP314" i="1"/>
  <c r="DP47" i="1"/>
  <c r="DP67" i="1"/>
  <c r="DP134" i="1"/>
  <c r="DP71" i="1"/>
  <c r="DP260" i="1"/>
  <c r="DP132" i="1"/>
  <c r="DP126" i="1"/>
  <c r="DP158" i="1"/>
  <c r="DP166" i="1"/>
  <c r="DP70" i="1"/>
  <c r="DP317" i="1"/>
  <c r="DP66" i="1"/>
  <c r="DP304" i="1"/>
  <c r="DP119" i="1"/>
  <c r="L14" i="24"/>
  <c r="DP136" i="1"/>
  <c r="DP170" i="1"/>
  <c r="DP21" i="1"/>
  <c r="DP262" i="1"/>
  <c r="DP96" i="1"/>
  <c r="DP269" i="1"/>
  <c r="DP121" i="1"/>
  <c r="DP212" i="1"/>
  <c r="DP201" i="1"/>
  <c r="DP277" i="1"/>
  <c r="DP300" i="1"/>
  <c r="DP91" i="1"/>
  <c r="DP247" i="1"/>
  <c r="DP323" i="1"/>
  <c r="DP241" i="1"/>
  <c r="DP85" i="1"/>
  <c r="DP177" i="1"/>
  <c r="DP208" i="1"/>
  <c r="DP284" i="1"/>
  <c r="DP348" i="1"/>
  <c r="DP163" i="1"/>
  <c r="DP74" i="1"/>
  <c r="DP254" i="1"/>
  <c r="DP301" i="1"/>
  <c r="DP244" i="1"/>
  <c r="DP351" i="1"/>
  <c r="DP308" i="1"/>
  <c r="DP133" i="1"/>
  <c r="DP286" i="1"/>
  <c r="DP161" i="1"/>
  <c r="DP18" i="1"/>
  <c r="DP65" i="1"/>
  <c r="DP178" i="1"/>
  <c r="DP15" i="1"/>
  <c r="DP159" i="1"/>
  <c r="DP168" i="1"/>
  <c r="DP42" i="1"/>
  <c r="DP261" i="1"/>
  <c r="DP33" i="1"/>
  <c r="L80" i="24"/>
  <c r="DP315" i="1"/>
  <c r="DP211" i="1"/>
  <c r="DP278" i="1"/>
  <c r="DP93" i="1"/>
  <c r="DP292" i="1"/>
  <c r="DP82" i="1"/>
  <c r="DP302" i="1"/>
  <c r="DP226" i="1"/>
  <c r="DP79" i="1"/>
  <c r="DP25" i="1"/>
  <c r="DP52" i="1"/>
  <c r="DP40" i="1"/>
  <c r="DP298" i="1"/>
  <c r="DP14" i="1"/>
  <c r="DP95" i="1"/>
  <c r="DP297" i="1"/>
  <c r="DP199" i="1"/>
  <c r="DP329" i="1"/>
  <c r="DP245" i="1"/>
  <c r="DP271" i="1"/>
  <c r="DP255" i="1"/>
  <c r="DP30" i="1"/>
  <c r="DP43" i="1"/>
  <c r="DP259" i="1"/>
  <c r="DP172" i="1"/>
  <c r="DP349" i="1"/>
  <c r="DP220" i="1"/>
  <c r="DP306" i="1"/>
  <c r="DP53" i="1"/>
  <c r="DP291" i="1"/>
  <c r="DP209" i="1"/>
  <c r="DP11" i="1"/>
  <c r="DP346" i="1"/>
  <c r="DP312" i="1"/>
  <c r="DP242" i="1"/>
  <c r="DP73" i="1"/>
  <c r="DP264" i="1"/>
  <c r="DP108" i="1"/>
  <c r="DO9" i="1"/>
  <c r="DF359" i="1" s="1"/>
  <c r="DO313" i="1"/>
  <c r="DL174" i="1"/>
  <c r="DK49" i="1"/>
  <c r="DK60" i="1"/>
  <c r="DK83" i="1"/>
  <c r="DL90" i="1"/>
  <c r="DL12" i="1"/>
  <c r="DL324" i="1"/>
  <c r="DK313" i="1"/>
  <c r="L292" i="24" l="1"/>
  <c r="L150" i="24"/>
  <c r="L263" i="24"/>
  <c r="L36" i="24"/>
  <c r="L143" i="24"/>
  <c r="L111" i="24"/>
  <c r="L372" i="24"/>
  <c r="L321" i="24"/>
  <c r="L45" i="24"/>
  <c r="L369" i="24"/>
  <c r="L193" i="24"/>
  <c r="L57" i="24"/>
  <c r="L344" i="24"/>
  <c r="L63" i="24"/>
  <c r="L308" i="24"/>
  <c r="L197" i="24"/>
  <c r="L300" i="24"/>
  <c r="L293" i="24"/>
  <c r="L152" i="24"/>
  <c r="L97" i="24"/>
  <c r="L37" i="24"/>
  <c r="L41" i="24"/>
  <c r="L140" i="24"/>
  <c r="L110" i="24"/>
  <c r="L42" i="24"/>
  <c r="L38" i="24"/>
  <c r="L334" i="24"/>
  <c r="L105" i="24"/>
  <c r="L352" i="24"/>
  <c r="L70" i="24"/>
  <c r="L331" i="24"/>
  <c r="L40" i="24"/>
  <c r="L153" i="24"/>
  <c r="L267" i="24"/>
  <c r="L365" i="24"/>
  <c r="L287" i="24"/>
  <c r="L347" i="24"/>
  <c r="L15" i="24"/>
  <c r="L343" i="24"/>
  <c r="L244" i="24"/>
  <c r="L146" i="24"/>
  <c r="L323" i="24"/>
  <c r="L211" i="24"/>
  <c r="L362" i="24"/>
  <c r="L48" i="24"/>
  <c r="L52" i="24"/>
  <c r="L339" i="24"/>
  <c r="L260" i="24"/>
  <c r="L248" i="24"/>
  <c r="L325" i="24"/>
  <c r="L92" i="24"/>
  <c r="L249" i="24"/>
  <c r="L191" i="24"/>
  <c r="L20" i="24"/>
  <c r="L253" i="24"/>
  <c r="L268" i="24"/>
  <c r="L35" i="24"/>
  <c r="L364" i="24"/>
  <c r="L86" i="24"/>
  <c r="L44" i="24"/>
  <c r="L332" i="24"/>
  <c r="L10" i="24"/>
  <c r="L250" i="24"/>
  <c r="L326" i="24"/>
  <c r="L370" i="24"/>
  <c r="L290" i="24"/>
  <c r="L283" i="24"/>
  <c r="L302" i="24"/>
  <c r="L350" i="24"/>
  <c r="L317" i="24"/>
  <c r="L122" i="24"/>
  <c r="L240" i="24"/>
  <c r="L278" i="24"/>
  <c r="L212" i="24"/>
  <c r="L54" i="24"/>
  <c r="L67" i="24"/>
  <c r="L196" i="24"/>
  <c r="L242" i="24"/>
  <c r="L161" i="24"/>
  <c r="L245" i="24"/>
  <c r="L273" i="24"/>
  <c r="L160" i="24"/>
  <c r="L320" i="24"/>
  <c r="L72" i="24"/>
  <c r="L114" i="24"/>
  <c r="L324" i="24"/>
  <c r="L148" i="24"/>
  <c r="L291" i="24"/>
  <c r="L16" i="24"/>
  <c r="L188" i="24"/>
  <c r="L294" i="24"/>
  <c r="L185" i="24"/>
  <c r="L361" i="24"/>
  <c r="L192" i="24"/>
  <c r="L239" i="24"/>
  <c r="L33" i="24"/>
  <c r="L354" i="24"/>
  <c r="L56" i="24"/>
  <c r="L349" i="24"/>
  <c r="L207" i="24"/>
  <c r="L298" i="24"/>
  <c r="L252" i="24"/>
  <c r="L113" i="24"/>
  <c r="L182" i="24"/>
  <c r="L137" i="24"/>
  <c r="L279" i="24"/>
  <c r="L238" i="24"/>
  <c r="L61" i="24"/>
  <c r="L89" i="24"/>
  <c r="L357" i="24"/>
  <c r="L261" i="24"/>
  <c r="L176" i="24"/>
  <c r="L164" i="24"/>
  <c r="L133" i="24"/>
  <c r="L155" i="24"/>
  <c r="L233" i="24"/>
  <c r="L141" i="24"/>
  <c r="L266" i="24"/>
  <c r="L328" i="24"/>
  <c r="L225" i="24"/>
  <c r="L145" i="24"/>
  <c r="L315" i="24"/>
  <c r="L222" i="24"/>
  <c r="L228" i="24"/>
  <c r="L186" i="24"/>
  <c r="L99" i="24"/>
  <c r="L269" i="24"/>
  <c r="L338" i="24"/>
  <c r="L104" i="24"/>
  <c r="L112" i="24"/>
  <c r="L247" i="24"/>
  <c r="L371" i="24"/>
  <c r="L310" i="24"/>
  <c r="L142" i="24"/>
  <c r="L295" i="24"/>
  <c r="L223" i="24"/>
  <c r="L367" i="24"/>
  <c r="L194" i="24"/>
  <c r="L22" i="24"/>
  <c r="L206" i="24"/>
  <c r="L154" i="24"/>
  <c r="L243" i="24"/>
  <c r="L275" i="24"/>
  <c r="L226" i="24"/>
  <c r="L184" i="24"/>
  <c r="L71" i="24"/>
  <c r="L318" i="24"/>
  <c r="L21" i="24"/>
  <c r="L50" i="24"/>
  <c r="L322" i="24"/>
  <c r="L251" i="24"/>
  <c r="L309" i="24"/>
  <c r="L336" i="24"/>
  <c r="DN324" i="1"/>
  <c r="DN60" i="1"/>
  <c r="DN83" i="1"/>
  <c r="DN49" i="1"/>
  <c r="DN90" i="1"/>
  <c r="DN174" i="1"/>
  <c r="DN12" i="1"/>
  <c r="DM10" i="1"/>
  <c r="DK9" i="1"/>
  <c r="DL313" i="1"/>
  <c r="L13" i="24" l="1"/>
  <c r="DP83" i="1"/>
  <c r="DP49" i="1"/>
  <c r="DP174" i="1"/>
  <c r="DE357" i="1"/>
  <c r="DP60" i="1"/>
  <c r="DP12" i="1"/>
  <c r="DP90" i="1"/>
  <c r="DP324" i="1"/>
  <c r="DN9" i="1"/>
  <c r="DO10" i="1"/>
  <c r="DN313" i="1"/>
  <c r="L62" i="24" l="1"/>
  <c r="L18" i="24"/>
  <c r="L345" i="24"/>
  <c r="L55" i="24"/>
  <c r="L11" i="24"/>
  <c r="L31" i="24"/>
  <c r="DP313" i="1"/>
  <c r="L156" i="24"/>
  <c r="DO354" i="1"/>
  <c r="DF358" i="1"/>
  <c r="DP9" i="1"/>
  <c r="DE359" i="1"/>
  <c r="DK10" i="1"/>
  <c r="L333" i="24" l="1"/>
  <c r="DF360" i="1"/>
  <c r="DF354" i="1"/>
  <c r="D45" i="12" s="1"/>
  <c r="L8" i="24"/>
  <c r="DN10" i="1"/>
  <c r="DP10" i="1" l="1"/>
  <c r="DE358" i="1"/>
  <c r="DN354" i="1"/>
  <c r="DP354" i="1" s="1"/>
  <c r="DE360" i="1" l="1"/>
  <c r="L9" i="24"/>
  <c r="L375" i="24" s="1"/>
  <c r="DE354" i="1"/>
  <c r="D44" i="12" s="1"/>
  <c r="E44" i="12" s="1"/>
  <c r="DP358" i="1"/>
  <c r="M317" i="24" l="1"/>
  <c r="M258" i="24" l="1"/>
  <c r="M149" i="24"/>
  <c r="M247" i="24"/>
  <c r="M100" i="24"/>
  <c r="M49" i="24"/>
  <c r="M155" i="24"/>
  <c r="M260" i="24"/>
  <c r="M308" i="24"/>
  <c r="M191" i="24"/>
  <c r="M54" i="24"/>
  <c r="M138" i="24"/>
  <c r="M27" i="24"/>
  <c r="M116" i="24"/>
  <c r="M279" i="24"/>
  <c r="M29" i="24"/>
  <c r="M270" i="24"/>
  <c r="M15" i="24"/>
  <c r="M359" i="24"/>
  <c r="M301" i="24"/>
  <c r="M45" i="24"/>
  <c r="M345" i="24"/>
  <c r="M296" i="24"/>
  <c r="M267" i="24"/>
  <c r="M188" i="24"/>
  <c r="M176" i="24"/>
  <c r="M291" i="24"/>
  <c r="M210" i="24"/>
  <c r="M204" i="24"/>
  <c r="M212" i="24"/>
  <c r="M274" i="24"/>
  <c r="M91" i="24"/>
  <c r="M287" i="24"/>
  <c r="M227" i="24"/>
  <c r="M347" i="24"/>
  <c r="M253" i="24"/>
  <c r="M196" i="24"/>
  <c r="M295" i="24"/>
  <c r="M180" i="24"/>
  <c r="M269" i="24"/>
  <c r="M264" i="24"/>
  <c r="M42" i="24"/>
  <c r="M225" i="24"/>
  <c r="M259" i="24"/>
  <c r="M366" i="24"/>
  <c r="M79" i="24"/>
  <c r="M222" i="24"/>
  <c r="M257" i="24"/>
  <c r="M337" i="24"/>
  <c r="M103" i="24"/>
  <c r="M51" i="24"/>
  <c r="M19" i="24"/>
  <c r="M141" i="24"/>
  <c r="M127" i="24"/>
  <c r="M169" i="24"/>
  <c r="M142" i="24"/>
  <c r="M255" i="24"/>
  <c r="M342" i="24"/>
  <c r="M164" i="24"/>
  <c r="M18" i="24"/>
  <c r="M327" i="24"/>
  <c r="M316" i="24"/>
  <c r="M115" i="24"/>
  <c r="M34" i="24"/>
  <c r="M229" i="24"/>
  <c r="M319" i="24"/>
  <c r="M223" i="24"/>
  <c r="M117" i="24"/>
  <c r="M239" i="24"/>
  <c r="M168" i="24"/>
  <c r="M254" i="24"/>
  <c r="M10" i="24"/>
  <c r="M134" i="24"/>
  <c r="M87" i="24"/>
  <c r="M121" i="24"/>
  <c r="M16" i="24"/>
  <c r="M73" i="24"/>
  <c r="M284" i="24"/>
  <c r="M179" i="24"/>
  <c r="M159" i="24"/>
  <c r="M90" i="24"/>
  <c r="M110" i="24"/>
  <c r="M177" i="24"/>
  <c r="M40" i="24"/>
  <c r="M352" i="24"/>
  <c r="M217" i="24"/>
  <c r="M208" i="24"/>
  <c r="M99" i="24"/>
  <c r="M302" i="24"/>
  <c r="M114" i="24"/>
  <c r="M358" i="24"/>
  <c r="M231" i="24"/>
  <c r="M361" i="24"/>
  <c r="M153" i="24"/>
  <c r="M215" i="24"/>
  <c r="M202" i="24"/>
  <c r="M351" i="24"/>
  <c r="M96" i="24"/>
  <c r="M175" i="24"/>
  <c r="M194" i="24"/>
  <c r="M26" i="24"/>
  <c r="M71" i="24"/>
  <c r="M199" i="24"/>
  <c r="M218" i="24"/>
  <c r="M276" i="24"/>
  <c r="M261" i="24"/>
  <c r="M56" i="24"/>
  <c r="M325" i="24"/>
  <c r="M160" i="24"/>
  <c r="M250" i="24"/>
  <c r="M67" i="24"/>
  <c r="M237" i="24"/>
  <c r="M173" i="24"/>
  <c r="M230" i="24"/>
  <c r="M241" i="24"/>
  <c r="M184" i="24"/>
  <c r="M147" i="24"/>
  <c r="M298" i="24"/>
  <c r="M198" i="24"/>
  <c r="M133" i="24"/>
  <c r="M294" i="24"/>
  <c r="M271" i="24"/>
  <c r="M364" i="24"/>
  <c r="M220" i="24"/>
  <c r="M190" i="24"/>
  <c r="M207" i="24"/>
  <c r="M324" i="24"/>
  <c r="M236" i="24"/>
  <c r="M197" i="24"/>
  <c r="M332" i="24"/>
  <c r="M72" i="24"/>
  <c r="M167" i="24"/>
  <c r="M75" i="24"/>
  <c r="M233" i="24"/>
  <c r="M278" i="24"/>
  <c r="M84" i="24"/>
  <c r="M232" i="24"/>
  <c r="M83" i="24"/>
  <c r="M132" i="24"/>
  <c r="M22" i="24"/>
  <c r="M182" i="24"/>
  <c r="M219" i="24"/>
  <c r="M265" i="24"/>
  <c r="M336" i="24"/>
  <c r="M154" i="24"/>
  <c r="M286" i="24"/>
  <c r="M119" i="24"/>
  <c r="M172" i="24"/>
  <c r="M272" i="24"/>
  <c r="M44" i="24"/>
  <c r="M334" i="24"/>
  <c r="M94" i="24"/>
  <c r="M300" i="24"/>
  <c r="M82" i="24"/>
  <c r="M195" i="24"/>
  <c r="M186" i="24"/>
  <c r="M112" i="24"/>
  <c r="M280" i="24"/>
  <c r="M273" i="24"/>
  <c r="M144" i="24"/>
  <c r="M292" i="24"/>
  <c r="M80" i="24" l="1"/>
  <c r="M193" i="24"/>
  <c r="M126" i="24"/>
  <c r="M145" i="24"/>
  <c r="M85" i="24"/>
  <c r="M355" i="24"/>
  <c r="M128" i="24"/>
  <c r="M209" i="24"/>
  <c r="M131" i="24"/>
  <c r="M216" i="24"/>
  <c r="M205" i="24"/>
  <c r="M290" i="24"/>
  <c r="M289" i="24"/>
  <c r="M346" i="24"/>
  <c r="M61" i="24"/>
  <c r="M102" i="24"/>
  <c r="M360" i="24"/>
  <c r="M108" i="24"/>
  <c r="M25" i="24"/>
  <c r="M140" i="24"/>
  <c r="M31" i="24"/>
  <c r="M65" i="24"/>
  <c r="M23" i="24"/>
  <c r="M156" i="24"/>
  <c r="M200" i="24"/>
  <c r="M165" i="24"/>
  <c r="M213" i="24"/>
  <c r="M64" i="24"/>
  <c r="M70" i="24"/>
  <c r="M32" i="24"/>
  <c r="M238" i="24"/>
  <c r="M329" i="24"/>
  <c r="M125" i="24"/>
  <c r="M129" i="24"/>
  <c r="M118" i="24"/>
  <c r="M53" i="24"/>
  <c r="M248" i="24"/>
  <c r="M92" i="24"/>
  <c r="M187" i="24"/>
  <c r="M139" i="24"/>
  <c r="M374" i="24"/>
  <c r="M314" i="24"/>
  <c r="M89" i="24"/>
  <c r="M174" i="24"/>
  <c r="M326" i="24"/>
  <c r="M331" i="24"/>
  <c r="M143" i="24"/>
  <c r="M113" i="24"/>
  <c r="M328" i="24"/>
  <c r="M330" i="24"/>
  <c r="M343" i="24"/>
  <c r="M249" i="24"/>
  <c r="M226" i="24"/>
  <c r="M242" i="24"/>
  <c r="M235" i="24"/>
  <c r="M224" i="24"/>
  <c r="M321" i="24"/>
  <c r="M163" i="24"/>
  <c r="M98" i="24"/>
  <c r="M189" i="24"/>
  <c r="M368" i="24"/>
  <c r="M68" i="24"/>
  <c r="M20" i="24"/>
  <c r="M105" i="24"/>
  <c r="M46" i="24"/>
  <c r="M17" i="24"/>
  <c r="M243" i="24"/>
  <c r="M148" i="24"/>
  <c r="M120" i="24"/>
  <c r="M315" i="24"/>
  <c r="M309" i="24"/>
  <c r="M158" i="24"/>
  <c r="M50" i="24"/>
  <c r="M170" i="24"/>
  <c r="M365" i="24"/>
  <c r="M21" i="24"/>
  <c r="M240" i="24"/>
  <c r="M104" i="24"/>
  <c r="M262" i="24"/>
  <c r="M39" i="24"/>
  <c r="M33" i="24"/>
  <c r="M312" i="24"/>
  <c r="M81" i="24"/>
  <c r="M78" i="24"/>
  <c r="M277" i="24"/>
  <c r="M122" i="24"/>
  <c r="M137" i="24"/>
  <c r="M228" i="24"/>
  <c r="M313" i="24"/>
  <c r="M101" i="24"/>
  <c r="M37" i="24"/>
  <c r="M304" i="24"/>
  <c r="M252" i="24"/>
  <c r="M97" i="24"/>
  <c r="M52" i="24"/>
  <c r="M363" i="24"/>
  <c r="M245" i="24"/>
  <c r="M58" i="24"/>
  <c r="M206" i="24"/>
  <c r="M12" i="24"/>
  <c r="M305" i="24"/>
  <c r="M178" i="24"/>
  <c r="M109" i="24"/>
  <c r="M111" i="24"/>
  <c r="M275" i="24"/>
  <c r="M263" i="24"/>
  <c r="M339" i="24"/>
  <c r="M136" i="24"/>
  <c r="M55" i="24"/>
  <c r="M47" i="24"/>
  <c r="M171" i="24"/>
  <c r="M63" i="24"/>
  <c r="M371" i="24"/>
  <c r="M95" i="24"/>
  <c r="M283" i="24"/>
  <c r="M59" i="24"/>
  <c r="M161" i="24"/>
  <c r="M362" i="24"/>
  <c r="M310" i="24"/>
  <c r="M311" i="24"/>
  <c r="M166" i="24"/>
  <c r="M369" i="24"/>
  <c r="M130" i="24"/>
  <c r="M370" i="24"/>
  <c r="M268" i="24"/>
  <c r="M297" i="24"/>
  <c r="M353" i="24"/>
  <c r="M38" i="24"/>
  <c r="M221" i="24"/>
  <c r="M299" i="24"/>
  <c r="M185" i="24"/>
  <c r="M93" i="24"/>
  <c r="M373" i="24"/>
  <c r="M333" i="24"/>
  <c r="M303" i="24"/>
  <c r="M246" i="24"/>
  <c r="M282" i="24"/>
  <c r="M372" i="24"/>
  <c r="M323" i="24"/>
  <c r="M77" i="24"/>
  <c r="M251" i="24"/>
  <c r="M181" i="24"/>
  <c r="M266" i="24"/>
  <c r="M124" i="24"/>
  <c r="M183" i="24"/>
  <c r="M60" i="24"/>
  <c r="M256" i="24"/>
  <c r="M66" i="24"/>
  <c r="M285" i="24"/>
  <c r="M214" i="24"/>
  <c r="M13" i="24"/>
  <c r="M357" i="24"/>
  <c r="M234" i="24"/>
  <c r="M106" i="24"/>
  <c r="M146" i="24"/>
  <c r="M24" i="24"/>
  <c r="M320" i="24"/>
  <c r="M340" i="24"/>
  <c r="M76" i="24"/>
  <c r="M69" i="24"/>
  <c r="M41" i="24"/>
  <c r="M335" i="24"/>
  <c r="M57" i="24"/>
  <c r="M367" i="24"/>
  <c r="M43" i="24"/>
  <c r="M244" i="24"/>
  <c r="M107" i="24"/>
  <c r="M341" i="24"/>
  <c r="M338" i="24"/>
  <c r="M11" i="24"/>
  <c r="M344" i="24"/>
  <c r="M162" i="24"/>
  <c r="M322" i="24"/>
  <c r="M74" i="24"/>
  <c r="M281" i="24"/>
  <c r="M203" i="24"/>
  <c r="M307" i="24"/>
  <c r="M348" i="24"/>
  <c r="M356" i="24"/>
  <c r="M150" i="24"/>
  <c r="M28" i="24"/>
  <c r="M135" i="24"/>
  <c r="M318" i="24"/>
  <c r="M354" i="24"/>
  <c r="M48" i="24"/>
  <c r="M306" i="24"/>
  <c r="M349" i="24"/>
  <c r="M288" i="24"/>
  <c r="M151" i="24"/>
  <c r="M36" i="24"/>
  <c r="M86" i="24"/>
  <c r="M123" i="24"/>
  <c r="M88" i="24"/>
  <c r="M293" i="24"/>
  <c r="M211" i="24"/>
  <c r="M157" i="24"/>
  <c r="M30" i="24"/>
  <c r="M201" i="24"/>
  <c r="M350" i="24"/>
  <c r="M35" i="24"/>
  <c r="M62" i="24"/>
  <c r="M152" i="24"/>
  <c r="M192" i="24"/>
  <c r="M14" i="24" l="1"/>
  <c r="M9" i="24" l="1"/>
  <c r="DA354" i="1" l="1"/>
  <c r="DA360" i="1"/>
  <c r="M8" i="24"/>
  <c r="M375" i="24" s="1"/>
  <c r="N46" i="3" l="1"/>
  <c r="H46" i="3" l="1"/>
  <c r="K46" i="3"/>
  <c r="D46" i="3"/>
  <c r="F46" i="3" s="1"/>
  <c r="I136" i="30" l="1"/>
  <c r="L34" i="30"/>
  <c r="M34" i="30" l="1"/>
  <c r="I34" i="30"/>
  <c r="J136" i="30"/>
  <c r="I134" i="30"/>
  <c r="I36" i="30" l="1"/>
  <c r="J36" i="30" s="1"/>
  <c r="J34" i="30"/>
  <c r="L134" i="30"/>
  <c r="J134" i="30"/>
  <c r="I86" i="30"/>
  <c r="M134" i="30" l="1"/>
  <c r="L184" i="30"/>
  <c r="I84" i="30"/>
  <c r="J86" i="30"/>
  <c r="I186" i="30"/>
  <c r="M184" i="30" l="1"/>
  <c r="J186" i="30"/>
  <c r="J84" i="30"/>
  <c r="I184" i="30"/>
  <c r="J184" i="30" l="1"/>
  <c r="E79" i="24" l="1"/>
  <c r="G79" i="24" l="1"/>
  <c r="F79" i="24"/>
  <c r="L69" i="30" l="1"/>
  <c r="S169" i="30"/>
  <c r="M69" i="30" l="1"/>
  <c r="O69" i="30"/>
  <c r="L19" i="30"/>
  <c r="P69" i="30" l="1"/>
  <c r="M19" i="30"/>
  <c r="L169" i="30"/>
  <c r="O19" i="30"/>
  <c r="AO315" i="1" l="1"/>
  <c r="AO358" i="1" s="1"/>
  <c r="AN358" i="1"/>
  <c r="O169" i="30"/>
  <c r="M169" i="30"/>
  <c r="P19" i="30"/>
  <c r="AO152" i="1"/>
  <c r="AO357" i="1" s="1"/>
  <c r="AN357" i="1"/>
  <c r="AN354" i="1"/>
  <c r="D19" i="12" l="1"/>
  <c r="E19" i="12" s="1"/>
  <c r="K19" i="3"/>
  <c r="AN364" i="1"/>
  <c r="P169" i="30"/>
  <c r="D19" i="3"/>
  <c r="AO354" i="1"/>
  <c r="AN360" i="1"/>
  <c r="H19" i="3"/>
  <c r="AN363" i="1"/>
  <c r="F19" i="12" l="1"/>
  <c r="L19" i="3"/>
  <c r="E19" i="3"/>
  <c r="X19" i="3"/>
  <c r="F19" i="3"/>
  <c r="I19" i="3"/>
  <c r="AO360" i="1"/>
  <c r="AN366" i="1"/>
  <c r="E284" i="24" l="1"/>
  <c r="E123" i="24"/>
  <c r="E134" i="24"/>
  <c r="E200" i="24"/>
  <c r="E286" i="24"/>
  <c r="E274" i="24" l="1"/>
  <c r="F274" i="24" s="1"/>
  <c r="F286" i="24"/>
  <c r="G286" i="24"/>
  <c r="E64" i="24"/>
  <c r="G123" i="24"/>
  <c r="F123" i="24"/>
  <c r="G200" i="24"/>
  <c r="F200" i="24"/>
  <c r="G284" i="24"/>
  <c r="F284" i="24"/>
  <c r="F134" i="24"/>
  <c r="G134" i="24"/>
  <c r="G274" i="24" l="1"/>
  <c r="F64" i="24"/>
  <c r="G64" i="24"/>
  <c r="CD354" i="1" l="1"/>
  <c r="CD359" i="1"/>
  <c r="CD365" i="1" s="1"/>
  <c r="CE9" i="1"/>
  <c r="CE359" i="1" s="1"/>
  <c r="D35" i="3" l="1"/>
  <c r="F35" i="3" s="1"/>
  <c r="D35" i="12"/>
  <c r="CE354" i="1"/>
  <c r="N35" i="3"/>
  <c r="O35" i="3" s="1"/>
  <c r="CD360" i="1"/>
  <c r="CE360" i="1" s="1"/>
  <c r="E35" i="3" l="1"/>
  <c r="F35" i="12"/>
  <c r="E35" i="12"/>
  <c r="CD366" i="1"/>
  <c r="CB312" i="1" l="1"/>
  <c r="CB319" i="1"/>
  <c r="BV130" i="1"/>
  <c r="CB328" i="1"/>
  <c r="BV234" i="1"/>
  <c r="BV267" i="1"/>
  <c r="CB216" i="1"/>
  <c r="BV123" i="1"/>
  <c r="BV73" i="1"/>
  <c r="CB233" i="1"/>
  <c r="BV132" i="1"/>
  <c r="BV35" i="1"/>
  <c r="BV264" i="1"/>
  <c r="BV327" i="1"/>
  <c r="CB185" i="1"/>
  <c r="CB283" i="1"/>
  <c r="BV76" i="1"/>
  <c r="CB314" i="1"/>
  <c r="CB280" i="1"/>
  <c r="CB201" i="1"/>
  <c r="CB245" i="1"/>
  <c r="CB231" i="1"/>
  <c r="BV251" i="1"/>
  <c r="CB194" i="1"/>
  <c r="CB145" i="1"/>
  <c r="BV19" i="1"/>
  <c r="CB325" i="1"/>
  <c r="CB342" i="1"/>
  <c r="CB109" i="1"/>
  <c r="BV11" i="1"/>
  <c r="CB248" i="1"/>
  <c r="BV115" i="1"/>
  <c r="CB236" i="1"/>
  <c r="CB232" i="1"/>
  <c r="CB167" i="1"/>
  <c r="BV255" i="1"/>
  <c r="BV120" i="1"/>
  <c r="BV346" i="1"/>
  <c r="BV339" i="1"/>
  <c r="BV279" i="1"/>
  <c r="CB332" i="1"/>
  <c r="BV343" i="1"/>
  <c r="CB98" i="1"/>
  <c r="BV285" i="1"/>
  <c r="CB285" i="1"/>
  <c r="F134" i="30"/>
  <c r="G134" i="30" s="1"/>
  <c r="CB46" i="1"/>
  <c r="BV46" i="1"/>
  <c r="CB230" i="1"/>
  <c r="BV230" i="1"/>
  <c r="BV200" i="1" l="1"/>
  <c r="BV61" i="1"/>
  <c r="CB195" i="1"/>
  <c r="BV223" i="1"/>
  <c r="CB241" i="1"/>
  <c r="BV241" i="1"/>
  <c r="BV75" i="1"/>
  <c r="CB242" i="1"/>
  <c r="BV64" i="1"/>
  <c r="BV306" i="1"/>
  <c r="CB309" i="1"/>
  <c r="CB130" i="1"/>
  <c r="BV161" i="1"/>
  <c r="BV59" i="1"/>
  <c r="BV262" i="1"/>
  <c r="BV136" i="1"/>
  <c r="BV84" i="1"/>
  <c r="BV268" i="1"/>
  <c r="BV42" i="1"/>
  <c r="BV21" i="1"/>
  <c r="CB288" i="1"/>
  <c r="CB240" i="1"/>
  <c r="CB162" i="1"/>
  <c r="BV110" i="1"/>
  <c r="CB341" i="1"/>
  <c r="BV183" i="1"/>
  <c r="BV204" i="1"/>
  <c r="CB33" i="1"/>
  <c r="BV33" i="1"/>
  <c r="CB159" i="1"/>
  <c r="CB85" i="1"/>
  <c r="BV311" i="1"/>
  <c r="C34" i="30"/>
  <c r="F84" i="30"/>
  <c r="G84" i="30" s="1"/>
  <c r="CB196" i="1"/>
  <c r="C134" i="30"/>
  <c r="D134" i="30" s="1"/>
  <c r="BV96" i="1"/>
  <c r="BV55" i="1"/>
  <c r="BV333" i="1"/>
  <c r="BV186" i="1"/>
  <c r="C84" i="30"/>
  <c r="D84" i="30" s="1"/>
  <c r="CB100" i="1"/>
  <c r="BV289" i="1"/>
  <c r="BV70" i="1"/>
  <c r="CB125" i="1"/>
  <c r="CB352" i="1"/>
  <c r="BV282" i="1"/>
  <c r="BV13" i="1"/>
  <c r="BV227" i="1"/>
  <c r="BV179" i="1"/>
  <c r="CB111" i="1"/>
  <c r="BV211" i="1"/>
  <c r="BV32" i="1"/>
  <c r="BV321" i="1"/>
  <c r="CB188" i="1"/>
  <c r="CB150" i="1"/>
  <c r="BV101" i="1"/>
  <c r="CB128" i="1"/>
  <c r="CB148" i="1"/>
  <c r="BV105" i="1"/>
  <c r="CB105" i="1"/>
  <c r="BV350" i="1"/>
  <c r="CB350" i="1"/>
  <c r="BV190" i="1"/>
  <c r="CB190" i="1"/>
  <c r="BV48" i="1"/>
  <c r="CB48" i="1"/>
  <c r="BV336" i="1"/>
  <c r="CB336" i="1"/>
  <c r="CB163" i="1"/>
  <c r="BV163" i="1"/>
  <c r="CB50" i="1"/>
  <c r="BV50" i="1"/>
  <c r="CB108" i="1"/>
  <c r="BV108" i="1"/>
  <c r="CB58" i="1"/>
  <c r="BV58" i="1"/>
  <c r="BV116" i="1"/>
  <c r="CB116" i="1"/>
  <c r="CB75" i="1"/>
  <c r="BV328" i="1"/>
  <c r="BV314" i="1"/>
  <c r="CB264" i="1"/>
  <c r="CB35" i="1"/>
  <c r="BV185" i="1"/>
  <c r="CB267" i="1"/>
  <c r="BV233" i="1"/>
  <c r="CB73" i="1"/>
  <c r="CB234" i="1"/>
  <c r="BV216" i="1"/>
  <c r="CB123" i="1"/>
  <c r="CB132" i="1"/>
  <c r="CB11" i="1"/>
  <c r="BV332" i="1"/>
  <c r="CB120" i="1"/>
  <c r="CB327" i="1"/>
  <c r="CB19" i="1"/>
  <c r="BV145" i="1"/>
  <c r="BV201" i="1"/>
  <c r="BV283" i="1"/>
  <c r="CB339" i="1"/>
  <c r="BV167" i="1"/>
  <c r="CB279" i="1"/>
  <c r="CB255" i="1"/>
  <c r="BV236" i="1"/>
  <c r="BV109" i="1"/>
  <c r="BV319" i="1"/>
  <c r="BV312" i="1"/>
  <c r="BV98" i="1"/>
  <c r="BV194" i="1"/>
  <c r="BV248" i="1"/>
  <c r="BV231" i="1"/>
  <c r="BV232" i="1"/>
  <c r="CB346" i="1"/>
  <c r="CB76" i="1"/>
  <c r="BV325" i="1"/>
  <c r="CB343" i="1"/>
  <c r="CB251" i="1"/>
  <c r="BV245" i="1"/>
  <c r="BV342" i="1"/>
  <c r="CB115" i="1"/>
  <c r="BV280" i="1"/>
  <c r="CB206" i="1"/>
  <c r="BV218" i="1"/>
  <c r="BV308" i="1"/>
  <c r="CB308" i="1"/>
  <c r="CB28" i="1"/>
  <c r="BV28" i="1"/>
  <c r="BV247" i="1"/>
  <c r="CB247" i="1"/>
  <c r="CB347" i="1"/>
  <c r="BV347" i="1"/>
  <c r="BV38" i="1"/>
  <c r="CB38" i="1"/>
  <c r="BV41" i="1"/>
  <c r="CB41" i="1"/>
  <c r="BV237" i="1"/>
  <c r="CB237" i="1"/>
  <c r="BV184" i="1"/>
  <c r="CB184" i="1"/>
  <c r="BV269" i="1"/>
  <c r="CB269" i="1"/>
  <c r="BV78" i="1"/>
  <c r="CB78" i="1"/>
  <c r="BV151" i="1"/>
  <c r="CB151" i="1"/>
  <c r="BV169" i="1"/>
  <c r="CB169" i="1"/>
  <c r="BV250" i="1"/>
  <c r="CB250" i="1"/>
  <c r="CB310" i="1"/>
  <c r="BV310" i="1"/>
  <c r="CB294" i="1"/>
  <c r="BV294" i="1"/>
  <c r="BV119" i="1"/>
  <c r="CB119" i="1"/>
  <c r="BV348" i="1"/>
  <c r="CB348" i="1"/>
  <c r="CB187" i="1"/>
  <c r="BV187" i="1"/>
  <c r="CB16" i="1"/>
  <c r="BV16" i="1"/>
  <c r="CB29" i="1"/>
  <c r="BV29" i="1"/>
  <c r="CB112" i="1"/>
  <c r="BV112" i="1"/>
  <c r="BV113" i="1"/>
  <c r="CB113" i="1"/>
  <c r="CB329" i="1"/>
  <c r="BV329" i="1"/>
  <c r="BV158" i="1"/>
  <c r="CB158" i="1"/>
  <c r="BV155" i="1"/>
  <c r="CB155" i="1"/>
  <c r="CB214" i="1"/>
  <c r="BV214" i="1"/>
  <c r="BV290" i="1"/>
  <c r="CB290" i="1"/>
  <c r="BV20" i="1"/>
  <c r="CB20" i="1"/>
  <c r="CB244" i="1"/>
  <c r="BV244" i="1"/>
  <c r="BV49" i="1"/>
  <c r="CB49" i="1"/>
  <c r="CB68" i="1"/>
  <c r="BV68" i="1"/>
  <c r="BV94" i="1"/>
  <c r="CB94" i="1"/>
  <c r="BV129" i="1"/>
  <c r="CB129" i="1"/>
  <c r="BV257" i="1"/>
  <c r="CB257" i="1"/>
  <c r="CB138" i="1"/>
  <c r="BV138" i="1"/>
  <c r="BV298" i="1"/>
  <c r="CB298" i="1"/>
  <c r="BV271" i="1"/>
  <c r="CB271" i="1"/>
  <c r="BV133" i="1"/>
  <c r="CB133" i="1"/>
  <c r="CB225" i="1"/>
  <c r="BV225" i="1"/>
  <c r="BV192" i="1"/>
  <c r="CB192" i="1"/>
  <c r="BV260" i="1"/>
  <c r="CB260" i="1"/>
  <c r="CB54" i="1"/>
  <c r="BV54" i="1"/>
  <c r="CB252" i="1"/>
  <c r="BV252" i="1"/>
  <c r="BV273" i="1"/>
  <c r="CB273" i="1"/>
  <c r="CB224" i="1"/>
  <c r="BV224" i="1"/>
  <c r="BV297" i="1"/>
  <c r="CB297" i="1"/>
  <c r="BV152" i="1"/>
  <c r="CB152" i="1"/>
  <c r="BV57" i="1"/>
  <c r="CB57" i="1"/>
  <c r="CB104" i="1"/>
  <c r="BV104" i="1"/>
  <c r="CB263" i="1"/>
  <c r="BV263" i="1"/>
  <c r="BV300" i="1"/>
  <c r="CB300" i="1"/>
  <c r="BV326" i="1"/>
  <c r="CB326" i="1"/>
  <c r="BV66" i="1"/>
  <c r="CB66" i="1"/>
  <c r="BV166" i="1"/>
  <c r="CB166" i="1"/>
  <c r="CB146" i="1"/>
  <c r="BV146" i="1"/>
  <c r="BV330" i="1"/>
  <c r="CB330" i="1"/>
  <c r="CB53" i="1"/>
  <c r="BV53" i="1"/>
  <c r="CB44" i="1"/>
  <c r="BV44" i="1"/>
  <c r="CB261" i="1"/>
  <c r="BV261" i="1"/>
  <c r="CB39" i="1"/>
  <c r="BV39" i="1"/>
  <c r="BV274" i="1"/>
  <c r="CB274" i="1"/>
  <c r="CB353" i="1"/>
  <c r="BV353" i="1"/>
  <c r="BV135" i="1"/>
  <c r="CB135" i="1"/>
  <c r="CB126" i="1"/>
  <c r="BV126" i="1"/>
  <c r="BV253" i="1"/>
  <c r="CB253" i="1"/>
  <c r="BV278" i="1"/>
  <c r="CB278" i="1"/>
  <c r="BV272" i="1"/>
  <c r="CB272" i="1"/>
  <c r="BV323" i="1"/>
  <c r="CB323" i="1"/>
  <c r="CB258" i="1"/>
  <c r="BV258" i="1"/>
  <c r="BV275" i="1"/>
  <c r="CB275" i="1"/>
  <c r="CB74" i="1"/>
  <c r="BV74" i="1"/>
  <c r="BV281" i="1"/>
  <c r="CB281" i="1"/>
  <c r="CB317" i="1"/>
  <c r="BV317" i="1"/>
  <c r="CB60" i="1"/>
  <c r="BV60" i="1"/>
  <c r="BV256" i="1"/>
  <c r="CB256" i="1"/>
  <c r="CB121" i="1"/>
  <c r="BV121" i="1"/>
  <c r="BV156" i="1"/>
  <c r="CB156" i="1"/>
  <c r="CB52" i="1"/>
  <c r="BV52" i="1"/>
  <c r="CB313" i="1"/>
  <c r="BV313" i="1"/>
  <c r="CB345" i="1"/>
  <c r="BV345" i="1"/>
  <c r="CB220" i="1"/>
  <c r="BV220" i="1"/>
  <c r="BV69" i="1"/>
  <c r="CB69" i="1"/>
  <c r="BV301" i="1"/>
  <c r="CB301" i="1"/>
  <c r="BV114" i="1"/>
  <c r="CB114" i="1"/>
  <c r="CB307" i="1"/>
  <c r="BV307" i="1"/>
  <c r="CB37" i="1"/>
  <c r="BV37" i="1"/>
  <c r="BV189" i="1"/>
  <c r="CB189" i="1"/>
  <c r="CB25" i="1"/>
  <c r="BV25" i="1"/>
  <c r="BV335" i="1"/>
  <c r="CB335" i="1"/>
  <c r="CB137" i="1"/>
  <c r="BV137" i="1"/>
  <c r="CB14" i="1"/>
  <c r="BV14" i="1"/>
  <c r="BV304" i="1"/>
  <c r="CB304" i="1"/>
  <c r="CB228" i="1"/>
  <c r="BV228" i="1"/>
  <c r="BV65" i="1"/>
  <c r="CB65" i="1"/>
  <c r="BV176" i="1"/>
  <c r="CB176" i="1"/>
  <c r="BV202" i="1"/>
  <c r="CB202" i="1"/>
  <c r="CB181" i="1"/>
  <c r="BV181" i="1"/>
  <c r="BV315" i="1"/>
  <c r="CB315" i="1"/>
  <c r="BV208" i="1"/>
  <c r="CB208" i="1"/>
  <c r="CB93" i="1"/>
  <c r="BV93" i="1"/>
  <c r="CB99" i="1"/>
  <c r="BV99" i="1"/>
  <c r="CB193" i="1"/>
  <c r="BV193" i="1"/>
  <c r="CB164" i="1"/>
  <c r="BV164" i="1"/>
  <c r="CB168" i="1"/>
  <c r="BV168" i="1"/>
  <c r="BV215" i="1"/>
  <c r="CB215" i="1"/>
  <c r="BV117" i="1"/>
  <c r="CB117" i="1"/>
  <c r="BV299" i="1"/>
  <c r="CB299" i="1"/>
  <c r="BV286" i="1"/>
  <c r="CB286" i="1"/>
  <c r="CB351" i="1"/>
  <c r="BV351" i="1"/>
  <c r="BV144" i="1"/>
  <c r="CB144" i="1"/>
  <c r="BV254" i="1"/>
  <c r="CB254" i="1"/>
  <c r="CB180" i="1"/>
  <c r="BV180" i="1"/>
  <c r="CB64" i="1"/>
  <c r="CB56" i="1"/>
  <c r="BV56" i="1"/>
  <c r="CB122" i="1"/>
  <c r="BV122" i="1"/>
  <c r="BV63" i="1"/>
  <c r="CB63" i="1"/>
  <c r="BV88" i="1"/>
  <c r="CB88" i="1"/>
  <c r="BV149" i="1"/>
  <c r="CB149" i="1"/>
  <c r="CB86" i="1"/>
  <c r="BV86" i="1"/>
  <c r="BV173" i="1"/>
  <c r="CB173" i="1"/>
  <c r="BV318" i="1"/>
  <c r="CB318" i="1"/>
  <c r="CB118" i="1"/>
  <c r="BV118" i="1"/>
  <c r="CB316" i="1"/>
  <c r="BV316" i="1"/>
  <c r="CB92" i="1"/>
  <c r="BV92" i="1"/>
  <c r="CB143" i="1"/>
  <c r="BV143" i="1"/>
  <c r="CB84" i="1"/>
  <c r="CB305" i="1"/>
  <c r="BV305" i="1"/>
  <c r="BV270" i="1"/>
  <c r="CB270" i="1"/>
  <c r="CB140" i="1"/>
  <c r="BV140" i="1"/>
  <c r="BV106" i="1"/>
  <c r="CB106" i="1"/>
  <c r="CB147" i="1"/>
  <c r="BV147" i="1"/>
  <c r="CB43" i="1"/>
  <c r="BV43" i="1"/>
  <c r="CB292" i="1"/>
  <c r="BV292" i="1"/>
  <c r="CB295" i="1"/>
  <c r="BV295" i="1"/>
  <c r="CB320" i="1"/>
  <c r="BV320" i="1"/>
  <c r="CB107" i="1"/>
  <c r="BV107" i="1"/>
  <c r="CB222" i="1"/>
  <c r="BV222" i="1"/>
  <c r="BV221" i="1"/>
  <c r="CB221" i="1"/>
  <c r="CB344" i="1"/>
  <c r="BV344" i="1"/>
  <c r="BV80" i="1"/>
  <c r="CB80" i="1"/>
  <c r="BV72" i="1"/>
  <c r="CB72" i="1"/>
  <c r="BV229" i="1"/>
  <c r="CB229" i="1"/>
  <c r="BV97" i="1"/>
  <c r="CB97" i="1"/>
  <c r="BV27" i="1"/>
  <c r="CB27" i="1"/>
  <c r="CB165" i="1"/>
  <c r="BV165" i="1"/>
  <c r="BV23" i="1"/>
  <c r="CB23" i="1"/>
  <c r="BV153" i="1"/>
  <c r="CB153" i="1"/>
  <c r="CB91" i="1"/>
  <c r="BV91" i="1"/>
  <c r="BV79" i="1"/>
  <c r="CB79" i="1"/>
  <c r="CB36" i="1"/>
  <c r="BV36" i="1"/>
  <c r="CB334" i="1"/>
  <c r="BV334" i="1"/>
  <c r="BV82" i="1"/>
  <c r="CB82" i="1"/>
  <c r="BV349" i="1"/>
  <c r="CB349" i="1"/>
  <c r="CB239" i="1"/>
  <c r="BV239" i="1"/>
  <c r="BV191" i="1"/>
  <c r="CB191" i="1"/>
  <c r="BV217" i="1"/>
  <c r="CB217" i="1"/>
  <c r="CB142" i="1"/>
  <c r="BV142" i="1"/>
  <c r="BV34" i="1"/>
  <c r="CB34" i="1"/>
  <c r="BV226" i="1"/>
  <c r="CB226" i="1"/>
  <c r="CB157" i="1"/>
  <c r="BV157" i="1"/>
  <c r="CB219" i="1"/>
  <c r="BV219" i="1"/>
  <c r="BV210" i="1"/>
  <c r="CB210" i="1"/>
  <c r="BV139" i="1"/>
  <c r="CB139" i="1"/>
  <c r="BV18" i="1"/>
  <c r="CB18" i="1"/>
  <c r="CB209" i="1"/>
  <c r="BV209" i="1"/>
  <c r="BV337" i="1"/>
  <c r="CB337" i="1"/>
  <c r="BV89" i="1"/>
  <c r="CB89" i="1"/>
  <c r="BV102" i="1"/>
  <c r="CB102" i="1"/>
  <c r="BV87" i="1"/>
  <c r="CB87" i="1"/>
  <c r="CB124" i="1"/>
  <c r="BV124" i="1"/>
  <c r="BV131" i="1"/>
  <c r="CB131" i="1"/>
  <c r="CB235" i="1"/>
  <c r="BV235" i="1"/>
  <c r="BV243" i="1"/>
  <c r="CB243" i="1"/>
  <c r="CB171" i="1"/>
  <c r="BV171" i="1"/>
  <c r="CB160" i="1"/>
  <c r="BV160" i="1"/>
  <c r="BV296" i="1"/>
  <c r="CB296" i="1"/>
  <c r="BV266" i="1"/>
  <c r="CB266" i="1"/>
  <c r="CB15" i="1"/>
  <c r="BV15" i="1"/>
  <c r="BV177" i="1"/>
  <c r="CB177" i="1"/>
  <c r="CB95" i="1"/>
  <c r="BV95" i="1"/>
  <c r="CB284" i="1"/>
  <c r="BV284" i="1"/>
  <c r="CB51" i="1"/>
  <c r="BV51" i="1"/>
  <c r="CB324" i="1"/>
  <c r="BV324" i="1"/>
  <c r="BV197" i="1"/>
  <c r="CB197" i="1"/>
  <c r="F34" i="30"/>
  <c r="CB141" i="1"/>
  <c r="BV141" i="1"/>
  <c r="CB259" i="1"/>
  <c r="BV259" i="1"/>
  <c r="CB172" i="1"/>
  <c r="BV172" i="1"/>
  <c r="CB178" i="1"/>
  <c r="BV178" i="1"/>
  <c r="CB90" i="1"/>
  <c r="BV90" i="1"/>
  <c r="BV291" i="1"/>
  <c r="CB291" i="1"/>
  <c r="CB246" i="1"/>
  <c r="BV246" i="1"/>
  <c r="CB22" i="1"/>
  <c r="BV22" i="1"/>
  <c r="BV174" i="1"/>
  <c r="CB174" i="1"/>
  <c r="CB212" i="1"/>
  <c r="BV212" i="1"/>
  <c r="CB338" i="1"/>
  <c r="BV338" i="1"/>
  <c r="CB127" i="1"/>
  <c r="BV127" i="1"/>
  <c r="CB62" i="1"/>
  <c r="BV62" i="1"/>
  <c r="BV103" i="1"/>
  <c r="CB103" i="1"/>
  <c r="BV71" i="1"/>
  <c r="CB71" i="1"/>
  <c r="CB24" i="1"/>
  <c r="BV24" i="1"/>
  <c r="CB47" i="1"/>
  <c r="BV47" i="1"/>
  <c r="BV26" i="1"/>
  <c r="CB26" i="1"/>
  <c r="CB203" i="1"/>
  <c r="BV203" i="1"/>
  <c r="BV302" i="1"/>
  <c r="CB302" i="1"/>
  <c r="CB322" i="1"/>
  <c r="BV322" i="1"/>
  <c r="CB293" i="1"/>
  <c r="BV293" i="1"/>
  <c r="CB198" i="1"/>
  <c r="BV198" i="1"/>
  <c r="CB238" i="1"/>
  <c r="BV238" i="1"/>
  <c r="CB31" i="1"/>
  <c r="BV31" i="1"/>
  <c r="BV30" i="1"/>
  <c r="CB30" i="1"/>
  <c r="BV287" i="1"/>
  <c r="CB287" i="1"/>
  <c r="BV182" i="1"/>
  <c r="CB182" i="1"/>
  <c r="CB265" i="1"/>
  <c r="BV265" i="1"/>
  <c r="CB175" i="1"/>
  <c r="BV175" i="1"/>
  <c r="BV340" i="1"/>
  <c r="CB340" i="1"/>
  <c r="CB276" i="1"/>
  <c r="BV276" i="1"/>
  <c r="CB134" i="1"/>
  <c r="BV134" i="1"/>
  <c r="CB40" i="1"/>
  <c r="BV40" i="1"/>
  <c r="CB205" i="1"/>
  <c r="BV205" i="1"/>
  <c r="BV170" i="1"/>
  <c r="CB170" i="1"/>
  <c r="BV207" i="1"/>
  <c r="CB207" i="1"/>
  <c r="BV83" i="1"/>
  <c r="CB83" i="1"/>
  <c r="CB331" i="1"/>
  <c r="BV331" i="1"/>
  <c r="CB17" i="1"/>
  <c r="BV17" i="1"/>
  <c r="CB199" i="1"/>
  <c r="BV199" i="1"/>
  <c r="BV67" i="1"/>
  <c r="CB67" i="1"/>
  <c r="CB277" i="1"/>
  <c r="BV277" i="1"/>
  <c r="BV249" i="1"/>
  <c r="CB249" i="1"/>
  <c r="CB262" i="1"/>
  <c r="BV352" i="1"/>
  <c r="BV303" i="1"/>
  <c r="CB303" i="1"/>
  <c r="CB81" i="1"/>
  <c r="BV81" i="1"/>
  <c r="BV77" i="1"/>
  <c r="CB77" i="1"/>
  <c r="O134" i="30" l="1"/>
  <c r="P134" i="30" s="1"/>
  <c r="CB200" i="1"/>
  <c r="CB306" i="1"/>
  <c r="BV288" i="1"/>
  <c r="CB61" i="1"/>
  <c r="CB268" i="1"/>
  <c r="BV242" i="1"/>
  <c r="BV195" i="1"/>
  <c r="CB59" i="1"/>
  <c r="CB136" i="1"/>
  <c r="CB223" i="1"/>
  <c r="CB161" i="1"/>
  <c r="CB42" i="1"/>
  <c r="CB21" i="1"/>
  <c r="BV100" i="1"/>
  <c r="BV162" i="1"/>
  <c r="BV309" i="1"/>
  <c r="BV159" i="1"/>
  <c r="CB96" i="1"/>
  <c r="BV111" i="1"/>
  <c r="O84" i="30"/>
  <c r="P84" i="30" s="1"/>
  <c r="BV341" i="1"/>
  <c r="CB55" i="1"/>
  <c r="CB211" i="1"/>
  <c r="BV188" i="1"/>
  <c r="BV196" i="1"/>
  <c r="CB101" i="1"/>
  <c r="CB32" i="1"/>
  <c r="BV150" i="1"/>
  <c r="CB204" i="1"/>
  <c r="CB70" i="1"/>
  <c r="CB110" i="1"/>
  <c r="CB321" i="1"/>
  <c r="CB179" i="1"/>
  <c r="CB289" i="1"/>
  <c r="CB13" i="1"/>
  <c r="BV240" i="1"/>
  <c r="CB183" i="1"/>
  <c r="BV128" i="1"/>
  <c r="CB282" i="1"/>
  <c r="CB186" i="1"/>
  <c r="CB311" i="1"/>
  <c r="BV148" i="1"/>
  <c r="CB333" i="1"/>
  <c r="CB227" i="1"/>
  <c r="BV85" i="1"/>
  <c r="BV125" i="1"/>
  <c r="BV206" i="1"/>
  <c r="CB218" i="1"/>
  <c r="BV154" i="1"/>
  <c r="G34" i="30"/>
  <c r="F184" i="30"/>
  <c r="G184" i="30" s="1"/>
  <c r="CB12" i="1"/>
  <c r="BV12" i="1"/>
  <c r="CB154" i="1"/>
  <c r="C184" i="30"/>
  <c r="D34" i="30"/>
  <c r="O34" i="30"/>
  <c r="P34" i="30" s="1"/>
  <c r="CA357" i="1" l="1"/>
  <c r="CB45" i="1"/>
  <c r="CB357" i="1" s="1"/>
  <c r="O184" i="30"/>
  <c r="P184" i="30" s="1"/>
  <c r="D184" i="30"/>
  <c r="BU357" i="1"/>
  <c r="BV45" i="1"/>
  <c r="BV357" i="1" s="1"/>
  <c r="BU358" i="1" l="1"/>
  <c r="BV10" i="1"/>
  <c r="BV358" i="1" s="1"/>
  <c r="BU354" i="1"/>
  <c r="CA359" i="1"/>
  <c r="CB9" i="1"/>
  <c r="CB359" i="1" s="1"/>
  <c r="H34" i="3"/>
  <c r="I34" i="3" s="1"/>
  <c r="CA363" i="1"/>
  <c r="BV9" i="1"/>
  <c r="BV359" i="1" s="1"/>
  <c r="BU359" i="1"/>
  <c r="CB10" i="1"/>
  <c r="CB358" i="1" s="1"/>
  <c r="CA358" i="1"/>
  <c r="CA354" i="1"/>
  <c r="H32" i="3"/>
  <c r="I32" i="3" s="1"/>
  <c r="BU363" i="1"/>
  <c r="D32" i="12" l="1"/>
  <c r="F32" i="12" s="1"/>
  <c r="D34" i="12"/>
  <c r="E34" i="12" s="1"/>
  <c r="BU360" i="1"/>
  <c r="BV360" i="1" s="1"/>
  <c r="CB354" i="1"/>
  <c r="D34" i="3"/>
  <c r="K34" i="3"/>
  <c r="L34" i="3" s="1"/>
  <c r="CA364" i="1"/>
  <c r="CA365" i="1"/>
  <c r="N34" i="3"/>
  <c r="O34" i="3" s="1"/>
  <c r="D32" i="3"/>
  <c r="BV354" i="1"/>
  <c r="CA360" i="1"/>
  <c r="BU365" i="1"/>
  <c r="N32" i="3"/>
  <c r="O32" i="3" s="1"/>
  <c r="BU364" i="1"/>
  <c r="K32" i="3"/>
  <c r="L32" i="3" s="1"/>
  <c r="E32" i="12" l="1"/>
  <c r="F34" i="12"/>
  <c r="BU366" i="1"/>
  <c r="CB360" i="1"/>
  <c r="CA366" i="1"/>
  <c r="E32" i="3"/>
  <c r="F32" i="3"/>
  <c r="E34" i="3"/>
  <c r="F34" i="3"/>
  <c r="C86" i="30" l="1"/>
  <c r="C94" i="30" s="1"/>
  <c r="C136" i="30"/>
  <c r="C144" i="30" s="1"/>
  <c r="C36" i="30"/>
  <c r="F136" i="30" l="1"/>
  <c r="G136" i="30" s="1"/>
  <c r="D86" i="30"/>
  <c r="F86" i="30"/>
  <c r="F94" i="30" s="1"/>
  <c r="D136" i="30"/>
  <c r="C151" i="30"/>
  <c r="D151" i="30" s="1"/>
  <c r="D144" i="30"/>
  <c r="C44" i="30"/>
  <c r="D36" i="30"/>
  <c r="C186" i="30"/>
  <c r="D94" i="30"/>
  <c r="C101" i="30"/>
  <c r="D101" i="30" s="1"/>
  <c r="O136" i="30" l="1"/>
  <c r="P136" i="30" s="1"/>
  <c r="F144" i="30"/>
  <c r="F151" i="30" s="1"/>
  <c r="G151" i="30" s="1"/>
  <c r="O86" i="30"/>
  <c r="P86" i="30" s="1"/>
  <c r="G86" i="30"/>
  <c r="E69" i="24"/>
  <c r="E166" i="24"/>
  <c r="F36" i="30"/>
  <c r="O36" i="30" s="1"/>
  <c r="P36" i="30" s="1"/>
  <c r="E23" i="24"/>
  <c r="G144" i="30"/>
  <c r="E126" i="24"/>
  <c r="F101" i="30"/>
  <c r="G101" i="30" s="1"/>
  <c r="G94" i="30"/>
  <c r="C51" i="30"/>
  <c r="D51" i="30" s="1"/>
  <c r="D44" i="30"/>
  <c r="E158" i="24"/>
  <c r="F186" i="30"/>
  <c r="O186" i="30" s="1"/>
  <c r="C194" i="30"/>
  <c r="D186" i="30"/>
  <c r="G36" i="30" l="1"/>
  <c r="F44" i="30"/>
  <c r="F51" i="30" s="1"/>
  <c r="G51" i="30" s="1"/>
  <c r="E26" i="24"/>
  <c r="G26" i="24" s="1"/>
  <c r="E13" i="24"/>
  <c r="F13" i="24" s="1"/>
  <c r="E51" i="24"/>
  <c r="F51" i="24" s="1"/>
  <c r="E121" i="24"/>
  <c r="F121" i="24" s="1"/>
  <c r="E167" i="24"/>
  <c r="E66" i="24"/>
  <c r="G23" i="24"/>
  <c r="F23" i="24"/>
  <c r="P186" i="30"/>
  <c r="F194" i="30"/>
  <c r="G186" i="30"/>
  <c r="F158" i="24"/>
  <c r="G158" i="24"/>
  <c r="G166" i="24"/>
  <c r="F166" i="24"/>
  <c r="E68" i="24"/>
  <c r="C201" i="30"/>
  <c r="D201" i="30" s="1"/>
  <c r="D194" i="30"/>
  <c r="G69" i="24"/>
  <c r="F69" i="24"/>
  <c r="F126" i="24"/>
  <c r="G126" i="24"/>
  <c r="G44" i="30" l="1"/>
  <c r="G13" i="24"/>
  <c r="F26" i="24"/>
  <c r="G51" i="24"/>
  <c r="G121" i="24"/>
  <c r="F68" i="24"/>
  <c r="G68" i="24"/>
  <c r="G194" i="30"/>
  <c r="F201" i="30"/>
  <c r="G201" i="30" s="1"/>
  <c r="G66" i="24"/>
  <c r="F66" i="24"/>
  <c r="F167" i="24"/>
  <c r="G167" i="24"/>
  <c r="N205" i="1" l="1"/>
  <c r="W292" i="1"/>
  <c r="N207" i="1"/>
  <c r="W205" i="1"/>
  <c r="N254" i="1"/>
  <c r="W254" i="1"/>
  <c r="W322" i="1" l="1"/>
  <c r="W340" i="1"/>
  <c r="W341" i="1"/>
  <c r="W335" i="1"/>
  <c r="W343" i="1"/>
  <c r="W69" i="1"/>
  <c r="W44" i="1"/>
  <c r="W286" i="1"/>
  <c r="W106" i="1"/>
  <c r="N292" i="1"/>
  <c r="W73" i="1"/>
  <c r="N69" i="1"/>
  <c r="N44" i="1"/>
  <c r="W287" i="1"/>
  <c r="N191" i="1"/>
  <c r="W295" i="1"/>
  <c r="N285" i="1"/>
  <c r="W327" i="1"/>
  <c r="N287" i="1"/>
  <c r="W317" i="1"/>
  <c r="W260" i="1"/>
  <c r="N336" i="1"/>
  <c r="W324" i="1"/>
  <c r="W320" i="1"/>
  <c r="W342" i="1"/>
  <c r="W333" i="1"/>
  <c r="W338" i="1"/>
  <c r="W336" i="1"/>
  <c r="W345" i="1"/>
  <c r="W53" i="1"/>
  <c r="W139" i="1"/>
  <c r="W199" i="1"/>
  <c r="N316" i="1"/>
  <c r="N334" i="1"/>
  <c r="N70" i="1"/>
  <c r="W200" i="1"/>
  <c r="N192" i="1"/>
  <c r="W285" i="1"/>
  <c r="W319" i="1"/>
  <c r="N73" i="1"/>
  <c r="N53" i="1"/>
  <c r="W255" i="1"/>
  <c r="W107" i="1"/>
  <c r="W192" i="1"/>
  <c r="W288" i="1"/>
  <c r="W323" i="1"/>
  <c r="W275" i="1"/>
  <c r="W337" i="1"/>
  <c r="N343" i="1"/>
  <c r="W145" i="1"/>
  <c r="W72" i="1"/>
  <c r="W290" i="1"/>
  <c r="N275" i="1"/>
  <c r="N317" i="1"/>
  <c r="N200" i="1"/>
  <c r="N14" i="1"/>
  <c r="N145" i="1"/>
  <c r="W202" i="1"/>
  <c r="W291" i="1"/>
  <c r="W257" i="1"/>
  <c r="W334" i="1"/>
  <c r="W330" i="1"/>
  <c r="N339" i="1"/>
  <c r="N322" i="1"/>
  <c r="N319" i="1"/>
  <c r="N107" i="1"/>
  <c r="N72" i="1"/>
  <c r="W191" i="1"/>
  <c r="N291" i="1"/>
  <c r="W267" i="1"/>
  <c r="W201" i="1"/>
  <c r="W289" i="1"/>
  <c r="W318" i="1"/>
  <c r="W329" i="1"/>
  <c r="W321" i="1"/>
  <c r="W284" i="1"/>
  <c r="W331" i="1"/>
  <c r="W13" i="1"/>
  <c r="N337" i="1"/>
  <c r="N328" i="1"/>
  <c r="N71" i="1"/>
  <c r="N294" i="1"/>
  <c r="N293" i="1"/>
  <c r="W71" i="1"/>
  <c r="N139" i="1"/>
  <c r="N197" i="1"/>
  <c r="W293" i="1"/>
  <c r="W197" i="1"/>
  <c r="N284" i="1"/>
  <c r="N289" i="1"/>
  <c r="W203" i="1"/>
  <c r="W294" i="1"/>
  <c r="W325" i="1"/>
  <c r="W328" i="1"/>
  <c r="W265" i="1"/>
  <c r="W316" i="1"/>
  <c r="N324" i="1"/>
  <c r="W326" i="1"/>
  <c r="W339" i="1"/>
  <c r="W332" i="1"/>
  <c r="W344" i="1"/>
  <c r="W14" i="1"/>
  <c r="W12" i="1"/>
  <c r="W70" i="1"/>
  <c r="W108" i="1"/>
  <c r="W258" i="1"/>
  <c r="N11" i="1" l="1"/>
  <c r="N64" i="1"/>
  <c r="W81" i="1"/>
  <c r="W90" i="1"/>
  <c r="N130" i="1"/>
  <c r="N83" i="1"/>
  <c r="W126" i="1"/>
  <c r="W204" i="1"/>
  <c r="N137" i="1"/>
  <c r="W155" i="1"/>
  <c r="N219" i="1"/>
  <c r="N43" i="1"/>
  <c r="N245" i="1"/>
  <c r="N241" i="1"/>
  <c r="W239" i="1"/>
  <c r="N237" i="1"/>
  <c r="W22" i="1"/>
  <c r="W277" i="1"/>
  <c r="N274" i="1"/>
  <c r="N273" i="1"/>
  <c r="W276" i="1"/>
  <c r="W300" i="1"/>
  <c r="W310" i="1"/>
  <c r="W346" i="1"/>
  <c r="W347" i="1"/>
  <c r="W350" i="1"/>
  <c r="W47" i="1"/>
  <c r="N77" i="1"/>
  <c r="W115" i="1"/>
  <c r="N95" i="1"/>
  <c r="N114" i="1"/>
  <c r="N115" i="1"/>
  <c r="N172" i="1"/>
  <c r="W215" i="1"/>
  <c r="N170" i="1"/>
  <c r="N178" i="1"/>
  <c r="N171" i="1"/>
  <c r="N222" i="1"/>
  <c r="N231" i="1"/>
  <c r="N223" i="1"/>
  <c r="N253" i="1"/>
  <c r="N26" i="1"/>
  <c r="N306" i="1"/>
  <c r="N333" i="1"/>
  <c r="N338" i="1"/>
  <c r="N295" i="1"/>
  <c r="N12" i="1"/>
  <c r="N290" i="1"/>
  <c r="N326" i="1"/>
  <c r="N267" i="1"/>
  <c r="N318" i="1"/>
  <c r="N345" i="1"/>
  <c r="N286" i="1"/>
  <c r="W61" i="1"/>
  <c r="W60" i="1"/>
  <c r="N133" i="1"/>
  <c r="N122" i="1"/>
  <c r="W133" i="1"/>
  <c r="W122" i="1"/>
  <c r="N158" i="1"/>
  <c r="W165" i="1"/>
  <c r="N210" i="1"/>
  <c r="N208" i="1"/>
  <c r="N34" i="1"/>
  <c r="W41" i="1"/>
  <c r="W34" i="1"/>
  <c r="W33" i="1"/>
  <c r="N23" i="1"/>
  <c r="W15" i="1"/>
  <c r="N266" i="1"/>
  <c r="N315" i="1"/>
  <c r="W49" i="1"/>
  <c r="W11" i="1"/>
  <c r="W67" i="1"/>
  <c r="W135" i="1"/>
  <c r="N91" i="1"/>
  <c r="W127" i="1"/>
  <c r="N135" i="1"/>
  <c r="W91" i="1"/>
  <c r="N131" i="1"/>
  <c r="W210" i="1"/>
  <c r="W158" i="1"/>
  <c r="W157" i="1"/>
  <c r="N212" i="1"/>
  <c r="N248" i="1"/>
  <c r="N33" i="1"/>
  <c r="W241" i="1"/>
  <c r="N37" i="1"/>
  <c r="N36" i="1"/>
  <c r="W16" i="1"/>
  <c r="N238" i="1"/>
  <c r="W17" i="1"/>
  <c r="N261" i="1"/>
  <c r="N269" i="1"/>
  <c r="W261" i="1"/>
  <c r="W268" i="1"/>
  <c r="N277" i="1"/>
  <c r="W270" i="1"/>
  <c r="W302" i="1"/>
  <c r="W303" i="1"/>
  <c r="W301" i="1"/>
  <c r="N301" i="1"/>
  <c r="W314" i="1"/>
  <c r="N313" i="1"/>
  <c r="W311" i="1"/>
  <c r="N351" i="1"/>
  <c r="W348" i="1"/>
  <c r="W352" i="1"/>
  <c r="N352" i="1"/>
  <c r="N48" i="1"/>
  <c r="N93" i="1"/>
  <c r="N118" i="1"/>
  <c r="N97" i="1"/>
  <c r="N117" i="1"/>
  <c r="N146" i="1"/>
  <c r="N113" i="1"/>
  <c r="N175" i="1"/>
  <c r="N156" i="1"/>
  <c r="W172" i="1"/>
  <c r="W206" i="1"/>
  <c r="N174" i="1"/>
  <c r="N216" i="1"/>
  <c r="N234" i="1"/>
  <c r="N228" i="1"/>
  <c r="N224" i="1"/>
  <c r="N152" i="1"/>
  <c r="N307" i="1"/>
  <c r="N257" i="1"/>
  <c r="N335" i="1"/>
  <c r="N201" i="1"/>
  <c r="N13" i="1"/>
  <c r="N344" i="1"/>
  <c r="N260" i="1"/>
  <c r="N330" i="1"/>
  <c r="N320" i="1"/>
  <c r="N108" i="1"/>
  <c r="N255" i="1"/>
  <c r="N67" i="1"/>
  <c r="N66" i="1"/>
  <c r="W83" i="1"/>
  <c r="N126" i="1"/>
  <c r="N136" i="1"/>
  <c r="N90" i="1"/>
  <c r="W130" i="1"/>
  <c r="N157" i="1"/>
  <c r="W190" i="1"/>
  <c r="N164" i="1"/>
  <c r="W245" i="1"/>
  <c r="W249" i="1"/>
  <c r="W240" i="1"/>
  <c r="W42" i="1"/>
  <c r="N42" i="1"/>
  <c r="N16" i="1"/>
  <c r="W19" i="1"/>
  <c r="N263" i="1"/>
  <c r="W259" i="1"/>
  <c r="W266" i="1"/>
  <c r="W298" i="1"/>
  <c r="N298" i="1"/>
  <c r="N300" i="1"/>
  <c r="N312" i="1"/>
  <c r="N347" i="1"/>
  <c r="N350" i="1"/>
  <c r="N98" i="1"/>
  <c r="W51" i="1"/>
  <c r="N62" i="1"/>
  <c r="W68" i="1"/>
  <c r="N61" i="1"/>
  <c r="N82" i="1"/>
  <c r="N84" i="1"/>
  <c r="W123" i="1"/>
  <c r="W131" i="1"/>
  <c r="W74" i="1"/>
  <c r="W84" i="1"/>
  <c r="N123" i="1"/>
  <c r="N127" i="1"/>
  <c r="W160" i="1"/>
  <c r="W159" i="1"/>
  <c r="W208" i="1"/>
  <c r="N198" i="1"/>
  <c r="W211" i="1"/>
  <c r="N165" i="1"/>
  <c r="N240" i="1"/>
  <c r="W37" i="1"/>
  <c r="W225" i="1"/>
  <c r="W248" i="1"/>
  <c r="W43" i="1"/>
  <c r="N243" i="1"/>
  <c r="W235" i="1"/>
  <c r="N236" i="1"/>
  <c r="N17" i="1"/>
  <c r="N21" i="1"/>
  <c r="W256" i="1"/>
  <c r="N268" i="1"/>
  <c r="W263" i="1"/>
  <c r="W349" i="1"/>
  <c r="N63" i="1"/>
  <c r="N52" i="1"/>
  <c r="N65" i="1"/>
  <c r="N51" i="1"/>
  <c r="N49" i="1"/>
  <c r="W62" i="1"/>
  <c r="N68" i="1"/>
  <c r="W85" i="1"/>
  <c r="W80" i="1"/>
  <c r="W88" i="1"/>
  <c r="N120" i="1"/>
  <c r="N124" i="1"/>
  <c r="N128" i="1"/>
  <c r="N132" i="1"/>
  <c r="W82" i="1"/>
  <c r="W136" i="1"/>
  <c r="N88" i="1"/>
  <c r="W120" i="1"/>
  <c r="W124" i="1"/>
  <c r="W128" i="1"/>
  <c r="N134" i="1"/>
  <c r="N163" i="1"/>
  <c r="N211" i="1"/>
  <c r="N161" i="1"/>
  <c r="W209" i="1"/>
  <c r="N160" i="1"/>
  <c r="N204" i="1"/>
  <c r="W212" i="1"/>
  <c r="N159" i="1"/>
  <c r="N190" i="1"/>
  <c r="N242" i="1"/>
  <c r="W250" i="1"/>
  <c r="W38" i="1"/>
  <c r="W243" i="1"/>
  <c r="W36" i="1"/>
  <c r="W217" i="1"/>
  <c r="W242" i="1"/>
  <c r="N250" i="1"/>
  <c r="N38" i="1"/>
  <c r="N235" i="1"/>
  <c r="W247" i="1"/>
  <c r="W39" i="1"/>
  <c r="W236" i="1"/>
  <c r="N18" i="1"/>
  <c r="W237" i="1"/>
  <c r="W20" i="1"/>
  <c r="N239" i="1"/>
  <c r="W23" i="1"/>
  <c r="N19" i="1"/>
  <c r="N30" i="1"/>
  <c r="W269" i="1"/>
  <c r="N262" i="1"/>
  <c r="N276" i="1"/>
  <c r="N270" i="1"/>
  <c r="W262" i="1"/>
  <c r="W273" i="1"/>
  <c r="W296" i="1"/>
  <c r="N272" i="1"/>
  <c r="N296" i="1"/>
  <c r="N278" i="1"/>
  <c r="N303" i="1"/>
  <c r="N302" i="1"/>
  <c r="W278" i="1"/>
  <c r="W315" i="1"/>
  <c r="N314" i="1"/>
  <c r="W312" i="1"/>
  <c r="N346" i="1"/>
  <c r="N349" i="1"/>
  <c r="N353" i="1"/>
  <c r="N79" i="1"/>
  <c r="W79" i="1"/>
  <c r="N147" i="1"/>
  <c r="W98" i="1"/>
  <c r="N119" i="1"/>
  <c r="N94" i="1"/>
  <c r="N116" i="1"/>
  <c r="W177" i="1"/>
  <c r="N169" i="1"/>
  <c r="N173" i="1"/>
  <c r="N220" i="1"/>
  <c r="N181" i="1"/>
  <c r="N218" i="1"/>
  <c r="N227" i="1"/>
  <c r="N233" i="1"/>
  <c r="N226" i="1"/>
  <c r="N25" i="1"/>
  <c r="N304" i="1"/>
  <c r="N342" i="1"/>
  <c r="N265" i="1"/>
  <c r="N199" i="1"/>
  <c r="N288" i="1"/>
  <c r="N325" i="1"/>
  <c r="N203" i="1"/>
  <c r="N329" i="1"/>
  <c r="N321" i="1"/>
  <c r="N332" i="1"/>
  <c r="W64" i="1"/>
  <c r="N60" i="1"/>
  <c r="W66" i="1"/>
  <c r="W63" i="1"/>
  <c r="W52" i="1"/>
  <c r="W65" i="1"/>
  <c r="N74" i="1"/>
  <c r="W132" i="1"/>
  <c r="N81" i="1"/>
  <c r="N89" i="1"/>
  <c r="W121" i="1"/>
  <c r="W125" i="1"/>
  <c r="W129" i="1"/>
  <c r="W134" i="1"/>
  <c r="N85" i="1"/>
  <c r="N80" i="1"/>
  <c r="W89" i="1"/>
  <c r="N121" i="1"/>
  <c r="N125" i="1"/>
  <c r="N129" i="1"/>
  <c r="W137" i="1"/>
  <c r="W198" i="1"/>
  <c r="N155" i="1"/>
  <c r="W164" i="1"/>
  <c r="N214" i="1"/>
  <c r="W163" i="1"/>
  <c r="N209" i="1"/>
  <c r="W214" i="1"/>
  <c r="W161" i="1"/>
  <c r="W207" i="1"/>
  <c r="N217" i="1"/>
  <c r="W244" i="1"/>
  <c r="W32" i="1"/>
  <c r="N40" i="1"/>
  <c r="N247" i="1"/>
  <c r="N39" i="1"/>
  <c r="W219" i="1"/>
  <c r="N244" i="1"/>
  <c r="N32" i="1"/>
  <c r="W40" i="1"/>
  <c r="N225" i="1"/>
  <c r="N249" i="1"/>
  <c r="N41" i="1"/>
  <c r="W238" i="1"/>
  <c r="W21" i="1"/>
  <c r="N15" i="1"/>
  <c r="N22" i="1"/>
  <c r="W18" i="1"/>
  <c r="N256" i="1"/>
  <c r="N20" i="1"/>
  <c r="N259" i="1"/>
  <c r="N271" i="1"/>
  <c r="W264" i="1"/>
  <c r="W30" i="1"/>
  <c r="W272" i="1"/>
  <c r="N264" i="1"/>
  <c r="W271" i="1"/>
  <c r="W297" i="1"/>
  <c r="W274" i="1"/>
  <c r="N297" i="1"/>
  <c r="N299" i="1"/>
  <c r="W313" i="1"/>
  <c r="N310" i="1"/>
  <c r="W299" i="1"/>
  <c r="N311" i="1"/>
  <c r="W351" i="1"/>
  <c r="W353" i="1"/>
  <c r="N348" i="1"/>
  <c r="N46" i="1"/>
  <c r="N47" i="1"/>
  <c r="N109" i="1"/>
  <c r="W94" i="1"/>
  <c r="N111" i="1"/>
  <c r="N78" i="1"/>
  <c r="N96" i="1"/>
  <c r="N168" i="1"/>
  <c r="N206" i="1"/>
  <c r="W168" i="1"/>
  <c r="N177" i="1"/>
  <c r="N166" i="1"/>
  <c r="N215" i="1"/>
  <c r="N221" i="1"/>
  <c r="N232" i="1"/>
  <c r="W234" i="1"/>
  <c r="N151" i="1"/>
  <c r="N305" i="1"/>
  <c r="N308" i="1"/>
  <c r="N341" i="1"/>
  <c r="N331" i="1"/>
  <c r="N106" i="1"/>
  <c r="N202" i="1"/>
  <c r="N323" i="1"/>
  <c r="N327" i="1"/>
  <c r="N258" i="1"/>
  <c r="N340" i="1"/>
  <c r="W151" i="1" l="1"/>
  <c r="W218" i="1"/>
  <c r="W48" i="1"/>
  <c r="W156" i="1"/>
  <c r="W306" i="1"/>
  <c r="W221" i="1"/>
  <c r="W93" i="1"/>
  <c r="W224" i="1"/>
  <c r="W166" i="1"/>
  <c r="W170" i="1"/>
  <c r="W77" i="1"/>
  <c r="W220" i="1"/>
  <c r="W223" i="1"/>
  <c r="W119" i="1"/>
  <c r="W26" i="1"/>
  <c r="W117" i="1"/>
  <c r="W116" i="1"/>
  <c r="W231" i="1"/>
  <c r="W216" i="1"/>
  <c r="W46" i="1"/>
  <c r="W28" i="1"/>
  <c r="W169" i="1"/>
  <c r="W227" i="1"/>
  <c r="W114" i="1"/>
  <c r="W175" i="1"/>
  <c r="W222" i="1"/>
  <c r="W97" i="1"/>
  <c r="W113" i="1"/>
  <c r="W226" i="1"/>
  <c r="W147" i="1"/>
  <c r="W152" i="1"/>
  <c r="W305" i="1"/>
  <c r="W228" i="1"/>
  <c r="W308" i="1"/>
  <c r="W181" i="1"/>
  <c r="W178" i="1"/>
  <c r="W95" i="1"/>
  <c r="W304" i="1"/>
  <c r="W233" i="1"/>
  <c r="W96" i="1"/>
  <c r="W111" i="1"/>
  <c r="W253" i="1"/>
  <c r="W118" i="1"/>
  <c r="W25" i="1"/>
  <c r="W146" i="1"/>
  <c r="W307" i="1"/>
  <c r="W174" i="1"/>
  <c r="W173" i="1"/>
  <c r="W109" i="1"/>
  <c r="W232" i="1"/>
  <c r="W171" i="1"/>
  <c r="W78" i="1"/>
  <c r="I12" i="30"/>
  <c r="I109" i="30"/>
  <c r="W279" i="1" l="1"/>
  <c r="O12" i="30"/>
  <c r="P12" i="30" s="1"/>
  <c r="J12" i="30"/>
  <c r="I9" i="30"/>
  <c r="N45" i="1"/>
  <c r="I62" i="30"/>
  <c r="N9" i="1"/>
  <c r="N359" i="1" s="1"/>
  <c r="M359" i="1"/>
  <c r="K349" i="1"/>
  <c r="W9" i="1"/>
  <c r="W359" i="1" s="1"/>
  <c r="V359" i="1"/>
  <c r="S164" i="30"/>
  <c r="I112" i="30"/>
  <c r="I114" i="30" s="1"/>
  <c r="J109" i="30"/>
  <c r="O109" i="30"/>
  <c r="N279" i="1" l="1"/>
  <c r="I59" i="30"/>
  <c r="O59" i="30" s="1"/>
  <c r="J9" i="30"/>
  <c r="O9" i="30"/>
  <c r="I14" i="30"/>
  <c r="I144" i="30"/>
  <c r="J114" i="30"/>
  <c r="P109" i="30"/>
  <c r="J112" i="30"/>
  <c r="O112" i="30"/>
  <c r="P112" i="30" s="1"/>
  <c r="V365" i="1"/>
  <c r="N14" i="3"/>
  <c r="O14" i="3" s="1"/>
  <c r="J62" i="30"/>
  <c r="O62" i="30"/>
  <c r="P62" i="30" s="1"/>
  <c r="I162" i="30"/>
  <c r="N10" i="1"/>
  <c r="N358" i="1" s="1"/>
  <c r="M358" i="1"/>
  <c r="N11" i="3"/>
  <c r="O11" i="3" s="1"/>
  <c r="M365" i="1"/>
  <c r="I159" i="30" l="1"/>
  <c r="J159" i="30" s="1"/>
  <c r="I64" i="30"/>
  <c r="J64" i="30" s="1"/>
  <c r="J59" i="30"/>
  <c r="O114" i="30"/>
  <c r="P114" i="30" s="1"/>
  <c r="W45" i="1"/>
  <c r="W357" i="1" s="1"/>
  <c r="V357" i="1"/>
  <c r="P9" i="30"/>
  <c r="O14" i="30"/>
  <c r="I44" i="30"/>
  <c r="J14" i="30"/>
  <c r="M364" i="1"/>
  <c r="K11" i="3"/>
  <c r="L11" i="3" s="1"/>
  <c r="P59" i="30"/>
  <c r="O64" i="30"/>
  <c r="V358" i="1"/>
  <c r="D14" i="12" s="1"/>
  <c r="W10" i="1"/>
  <c r="W358" i="1" s="1"/>
  <c r="V354" i="1"/>
  <c r="O162" i="30"/>
  <c r="P162" i="30" s="1"/>
  <c r="J162" i="30"/>
  <c r="I164" i="30"/>
  <c r="J144" i="30"/>
  <c r="I151" i="30"/>
  <c r="J151" i="30" s="1"/>
  <c r="O159" i="30" l="1"/>
  <c r="E14" i="12"/>
  <c r="F14" i="12"/>
  <c r="I94" i="30"/>
  <c r="I101" i="30" s="1"/>
  <c r="J101" i="30" s="1"/>
  <c r="P14" i="30"/>
  <c r="V363" i="1"/>
  <c r="H14" i="3"/>
  <c r="I14" i="3" s="1"/>
  <c r="J44" i="30"/>
  <c r="I51" i="30"/>
  <c r="J51" i="30" s="1"/>
  <c r="E82" i="24"/>
  <c r="N28" i="1"/>
  <c r="N357" i="1" s="1"/>
  <c r="M357" i="1"/>
  <c r="M354" i="1"/>
  <c r="J164" i="30"/>
  <c r="I194" i="30"/>
  <c r="P159" i="30"/>
  <c r="O164" i="30"/>
  <c r="D14" i="3"/>
  <c r="W354" i="1"/>
  <c r="V360" i="1"/>
  <c r="V364" i="1"/>
  <c r="K14" i="3"/>
  <c r="L14" i="3" s="1"/>
  <c r="E198" i="24"/>
  <c r="E335" i="24"/>
  <c r="P64" i="30"/>
  <c r="J94" i="30" l="1"/>
  <c r="D11" i="12"/>
  <c r="H11" i="3"/>
  <c r="M363" i="1"/>
  <c r="M360" i="1"/>
  <c r="D11" i="3"/>
  <c r="N354" i="1"/>
  <c r="G82" i="24"/>
  <c r="F82" i="24"/>
  <c r="P164" i="30"/>
  <c r="R164" i="30"/>
  <c r="T164" i="30" s="1"/>
  <c r="G335" i="24"/>
  <c r="F335" i="24"/>
  <c r="F198" i="24"/>
  <c r="G198" i="24"/>
  <c r="V366" i="1"/>
  <c r="W360" i="1"/>
  <c r="F14" i="3"/>
  <c r="E14" i="3"/>
  <c r="J194" i="30"/>
  <c r="I201" i="30"/>
  <c r="J201" i="30" s="1"/>
  <c r="F11" i="12" l="1"/>
  <c r="E11" i="12"/>
  <c r="F11" i="3"/>
  <c r="E11" i="3"/>
  <c r="M366" i="1"/>
  <c r="N360" i="1"/>
  <c r="I11" i="3"/>
  <c r="AA345" i="6" l="1"/>
  <c r="AB345" i="6" s="1"/>
  <c r="AA341" i="6"/>
  <c r="AB341" i="6" s="1"/>
  <c r="AA337" i="6"/>
  <c r="AB337" i="6" s="1"/>
  <c r="AA326" i="6"/>
  <c r="AB326" i="6" s="1"/>
  <c r="AA215" i="6"/>
  <c r="AB215" i="6" s="1"/>
  <c r="AA203" i="6"/>
  <c r="AB203" i="6" s="1"/>
  <c r="AA198" i="6"/>
  <c r="AB198" i="6" s="1"/>
  <c r="AA197" i="6"/>
  <c r="AB197" i="6" s="1"/>
  <c r="AA183" i="6"/>
  <c r="AB183" i="6" s="1"/>
  <c r="AA181" i="6"/>
  <c r="AB181" i="6" s="1"/>
  <c r="AA157" i="6"/>
  <c r="AB157" i="6" s="1"/>
  <c r="AA154" i="6"/>
  <c r="AB154" i="6" s="1"/>
  <c r="AA151" i="6"/>
  <c r="AB151" i="6" s="1"/>
  <c r="AA150" i="6"/>
  <c r="AB150" i="6" s="1"/>
  <c r="AA145" i="6"/>
  <c r="AB145" i="6" s="1"/>
  <c r="AA135" i="6"/>
  <c r="AB135" i="6" s="1"/>
  <c r="AA114" i="6"/>
  <c r="AB114" i="6" s="1"/>
  <c r="AA72" i="6"/>
  <c r="AB72" i="6" s="1"/>
  <c r="AA70" i="6"/>
  <c r="AB70" i="6" s="1"/>
  <c r="AA44" i="6"/>
  <c r="AB44" i="6" s="1"/>
  <c r="AA43" i="6"/>
  <c r="AB43" i="6" s="1"/>
  <c r="AA13" i="6"/>
  <c r="AB13" i="6" s="1"/>
  <c r="AA41" i="6"/>
  <c r="AB41" i="6" s="1"/>
  <c r="AA42" i="6"/>
  <c r="AB42" i="6" s="1"/>
  <c r="AA45" i="6"/>
  <c r="AB45" i="6" s="1"/>
  <c r="AA67" i="6"/>
  <c r="AB67" i="6" s="1"/>
  <c r="AA74" i="6"/>
  <c r="AB74" i="6" s="1"/>
  <c r="AA83" i="6"/>
  <c r="AB83" i="6" s="1"/>
  <c r="AA84" i="6"/>
  <c r="AB84" i="6" s="1"/>
  <c r="AA85" i="6"/>
  <c r="AB85" i="6" s="1"/>
  <c r="AA86" i="6"/>
  <c r="AB86" i="6" s="1"/>
  <c r="AA88" i="6"/>
  <c r="AB88" i="6" s="1"/>
  <c r="AA91" i="6"/>
  <c r="AB91" i="6" s="1"/>
  <c r="AA92" i="6"/>
  <c r="AB92" i="6" s="1"/>
  <c r="AA93" i="6"/>
  <c r="AB93" i="6" s="1"/>
  <c r="AA94" i="6"/>
  <c r="AB94" i="6" s="1"/>
  <c r="AA95" i="6"/>
  <c r="AB95" i="6" s="1"/>
  <c r="AA96" i="6"/>
  <c r="AB96" i="6" s="1"/>
  <c r="AA113" i="6"/>
  <c r="AB113" i="6" s="1"/>
  <c r="AA126" i="6"/>
  <c r="AB126" i="6" s="1"/>
  <c r="AA127" i="6"/>
  <c r="AB127" i="6" s="1"/>
  <c r="AA131" i="6"/>
  <c r="AB131" i="6" s="1"/>
  <c r="AA147" i="6"/>
  <c r="AB147" i="6" s="1"/>
  <c r="AA149" i="6"/>
  <c r="AB149" i="6" s="1"/>
  <c r="AA152" i="6"/>
  <c r="AB152" i="6" s="1"/>
  <c r="AA153" i="6"/>
  <c r="AB153" i="6" s="1"/>
  <c r="AA158" i="6"/>
  <c r="AB158" i="6" s="1"/>
  <c r="AA161" i="6"/>
  <c r="AB161" i="6" s="1"/>
  <c r="AA184" i="6"/>
  <c r="AB184" i="6" s="1"/>
  <c r="AA185" i="6"/>
  <c r="AB185" i="6" s="1"/>
  <c r="AA200" i="6"/>
  <c r="AB200" i="6" s="1"/>
  <c r="AA202" i="6"/>
  <c r="AB202" i="6" s="1"/>
  <c r="AA204" i="6"/>
  <c r="AB204" i="6" s="1"/>
  <c r="AA205" i="6"/>
  <c r="AB205" i="6" s="1"/>
  <c r="AA206" i="6"/>
  <c r="AB206" i="6" s="1"/>
  <c r="AA208" i="6"/>
  <c r="AB208" i="6" s="1"/>
  <c r="AA209" i="6"/>
  <c r="AB209" i="6" s="1"/>
  <c r="AA210" i="6"/>
  <c r="AB210" i="6" s="1"/>
  <c r="AA213" i="6"/>
  <c r="AB213" i="6" s="1"/>
  <c r="AA216" i="6"/>
  <c r="AB216" i="6" s="1"/>
  <c r="AA323" i="6"/>
  <c r="AB323" i="6" s="1"/>
  <c r="AA324" i="6"/>
  <c r="AB324" i="6" s="1"/>
  <c r="AA327" i="6"/>
  <c r="AB327" i="6" s="1"/>
  <c r="AA329" i="6"/>
  <c r="AB329" i="6" s="1"/>
  <c r="AA330" i="6"/>
  <c r="AB330" i="6" s="1"/>
  <c r="AA334" i="6"/>
  <c r="AB334" i="6" s="1"/>
  <c r="AA338" i="6"/>
  <c r="AB338" i="6" s="1"/>
  <c r="AA339" i="6"/>
  <c r="AB339" i="6" s="1"/>
  <c r="AA340" i="6"/>
  <c r="AB340" i="6" s="1"/>
  <c r="AA342" i="6"/>
  <c r="AB342" i="6" s="1"/>
  <c r="AA343" i="6"/>
  <c r="AB343" i="6" s="1"/>
  <c r="AA344" i="6"/>
  <c r="AB344" i="6" s="1"/>
  <c r="AA346" i="6"/>
  <c r="AB346" i="6" s="1"/>
  <c r="AA347" i="6"/>
  <c r="AB347" i="6" s="1"/>
  <c r="AA348" i="6"/>
  <c r="AB348" i="6" s="1"/>
  <c r="AA363" i="6"/>
  <c r="AB363" i="6" s="1"/>
  <c r="AA230" i="6"/>
  <c r="AB230" i="6" s="1"/>
  <c r="AA253" i="6"/>
  <c r="AB253" i="6" s="1"/>
  <c r="AA254" i="6"/>
  <c r="AB254" i="6" s="1"/>
  <c r="AA255" i="6"/>
  <c r="AB255" i="6" s="1"/>
  <c r="AA256" i="6"/>
  <c r="AB256" i="6" s="1"/>
  <c r="AA257" i="6"/>
  <c r="AB257" i="6" s="1"/>
  <c r="AA258" i="6"/>
  <c r="AB258" i="6" s="1"/>
  <c r="AA271" i="6"/>
  <c r="AB271" i="6" s="1"/>
  <c r="AA272" i="6"/>
  <c r="AB272" i="6" s="1"/>
  <c r="AA276" i="6"/>
  <c r="AB276" i="6" s="1"/>
  <c r="AA281" i="6"/>
  <c r="AB281" i="6" s="1"/>
  <c r="AA282" i="6"/>
  <c r="AB282" i="6" s="1"/>
  <c r="AA23" i="6" l="1"/>
  <c r="AB23" i="6" s="1"/>
  <c r="AL328" i="1"/>
  <c r="AL234" i="1"/>
  <c r="AL220" i="1"/>
  <c r="AL146" i="1"/>
  <c r="AL108" i="1"/>
  <c r="AL166" i="1"/>
  <c r="AL326" i="1"/>
  <c r="AL314" i="1"/>
  <c r="AL310" i="1"/>
  <c r="AL231" i="1"/>
  <c r="AL224" i="1"/>
  <c r="AL202" i="1"/>
  <c r="AL173" i="1"/>
  <c r="AL147" i="1"/>
  <c r="AL136" i="1"/>
  <c r="AL116" i="1"/>
  <c r="AL109" i="1"/>
  <c r="Y371" i="6"/>
  <c r="L68" i="30" s="1"/>
  <c r="AA63" i="6"/>
  <c r="AL70" i="1"/>
  <c r="Y370" i="6"/>
  <c r="AA15" i="6"/>
  <c r="AA370" i="6" s="1"/>
  <c r="AL72" i="1"/>
  <c r="AL96" i="1"/>
  <c r="AL236" i="1"/>
  <c r="AL325" i="1"/>
  <c r="AL228" i="1"/>
  <c r="AL181" i="1"/>
  <c r="AL119" i="1"/>
  <c r="AL98" i="1"/>
  <c r="AL13" i="1"/>
  <c r="AL94" i="1"/>
  <c r="AL172" i="1"/>
  <c r="AL152" i="1"/>
  <c r="AL332" i="1"/>
  <c r="AL28" i="1"/>
  <c r="AL238" i="1"/>
  <c r="AL330" i="1"/>
  <c r="AL315" i="1"/>
  <c r="AL311" i="1"/>
  <c r="AL226" i="1"/>
  <c r="AL203" i="1"/>
  <c r="AL174" i="1"/>
  <c r="AL44" i="1"/>
  <c r="AL117" i="1"/>
  <c r="AL111" i="1"/>
  <c r="AL106" i="1"/>
  <c r="AL73" i="1"/>
  <c r="AL215" i="1"/>
  <c r="AL221" i="1"/>
  <c r="AL233" i="1"/>
  <c r="AL313" i="1"/>
  <c r="AL323" i="1"/>
  <c r="AL327" i="1"/>
  <c r="AL331" i="1"/>
  <c r="AL258" i="1"/>
  <c r="AL349" i="1"/>
  <c r="AL320" i="1"/>
  <c r="AL223" i="1"/>
  <c r="AL170" i="1"/>
  <c r="AL115" i="1"/>
  <c r="AL69" i="1"/>
  <c r="AL71" i="1"/>
  <c r="AL137" i="1"/>
  <c r="AL177" i="1"/>
  <c r="AL237" i="1"/>
  <c r="AL34" i="1"/>
  <c r="AL329" i="1"/>
  <c r="AL253" i="1"/>
  <c r="AL333" i="1"/>
  <c r="AL257" i="1"/>
  <c r="AL239" i="1"/>
  <c r="AL235" i="1"/>
  <c r="AL334" i="1"/>
  <c r="AL324" i="1"/>
  <c r="AL316" i="1"/>
  <c r="AL227" i="1"/>
  <c r="AL222" i="1"/>
  <c r="AL218" i="1"/>
  <c r="AL178" i="1"/>
  <c r="AL168" i="1"/>
  <c r="AL118" i="1"/>
  <c r="AL114" i="1"/>
  <c r="AL107" i="1"/>
  <c r="AL93" i="1"/>
  <c r="Y368" i="6"/>
  <c r="S168" i="30" s="1"/>
  <c r="Y372" i="6"/>
  <c r="L118" i="30" s="1"/>
  <c r="AA12" i="6"/>
  <c r="AL156" i="1"/>
  <c r="AL171" i="1"/>
  <c r="AL175" i="1"/>
  <c r="AL199" i="1"/>
  <c r="AL216" i="1"/>
  <c r="AL151" i="1"/>
  <c r="AL201" i="1"/>
  <c r="AL53" i="1" l="1"/>
  <c r="Y373" i="6"/>
  <c r="L18" i="30"/>
  <c r="O68" i="30"/>
  <c r="M68" i="30"/>
  <c r="L94" i="30"/>
  <c r="AB63" i="6"/>
  <c r="AA371" i="6"/>
  <c r="O118" i="30"/>
  <c r="M118" i="30"/>
  <c r="L144" i="30"/>
  <c r="AB12" i="6"/>
  <c r="AA372" i="6"/>
  <c r="AA368" i="6"/>
  <c r="AB15" i="6"/>
  <c r="AA373" i="6" l="1"/>
  <c r="L44" i="30"/>
  <c r="M18" i="30"/>
  <c r="O18" i="30"/>
  <c r="L168" i="30"/>
  <c r="L101" i="30"/>
  <c r="M101" i="30" s="1"/>
  <c r="M94" i="30"/>
  <c r="AB370" i="6"/>
  <c r="AB372" i="6"/>
  <c r="AB368" i="6"/>
  <c r="P68" i="30"/>
  <c r="O94" i="30"/>
  <c r="M144" i="30"/>
  <c r="L151" i="30"/>
  <c r="M151" i="30" s="1"/>
  <c r="AB371" i="6"/>
  <c r="P118" i="30"/>
  <c r="O144" i="30"/>
  <c r="O151" i="30" l="1"/>
  <c r="P144" i="30"/>
  <c r="O101" i="30"/>
  <c r="P94" i="30"/>
  <c r="L51" i="30"/>
  <c r="M51" i="30" s="1"/>
  <c r="M44" i="30"/>
  <c r="AL90" i="1"/>
  <c r="AL358" i="1" s="1"/>
  <c r="AK358" i="1"/>
  <c r="AL12" i="1"/>
  <c r="AL359" i="1" s="1"/>
  <c r="AK359" i="1"/>
  <c r="AK354" i="1"/>
  <c r="AL45" i="1"/>
  <c r="AL357" i="1" s="1"/>
  <c r="AK357" i="1"/>
  <c r="M168" i="30"/>
  <c r="O168" i="30"/>
  <c r="L194" i="30"/>
  <c r="AB373" i="6"/>
  <c r="P18" i="30"/>
  <c r="O44" i="30"/>
  <c r="D18" i="12" l="1"/>
  <c r="E18" i="12" s="1"/>
  <c r="O51" i="30"/>
  <c r="P44" i="30"/>
  <c r="AK365" i="1"/>
  <c r="N18" i="3"/>
  <c r="P168" i="30"/>
  <c r="O194" i="30"/>
  <c r="AK364" i="1"/>
  <c r="K18" i="3"/>
  <c r="P101" i="30"/>
  <c r="P102" i="30"/>
  <c r="P151" i="30"/>
  <c r="P152" i="30"/>
  <c r="M194" i="30"/>
  <c r="L201" i="30"/>
  <c r="M201" i="30" s="1"/>
  <c r="H18" i="3"/>
  <c r="AK363" i="1"/>
  <c r="AK360" i="1"/>
  <c r="D18" i="3"/>
  <c r="AL354" i="1"/>
  <c r="F18" i="12" l="1"/>
  <c r="X18" i="3"/>
  <c r="F18" i="3"/>
  <c r="E18" i="3"/>
  <c r="L18" i="3"/>
  <c r="O18" i="3"/>
  <c r="I18" i="3"/>
  <c r="P194" i="30"/>
  <c r="O201" i="30"/>
  <c r="AL360" i="1"/>
  <c r="AK366" i="1"/>
  <c r="P51" i="30"/>
  <c r="P52" i="30"/>
  <c r="P202" i="30" l="1"/>
  <c r="P201" i="30"/>
  <c r="O206" i="30"/>
  <c r="AF182" i="1" l="1"/>
  <c r="AF75" i="1"/>
  <c r="Z27" i="1" l="1"/>
  <c r="Z104" i="1"/>
  <c r="Z280" i="1"/>
  <c r="Z142" i="1"/>
  <c r="Z153" i="1"/>
  <c r="Z86" i="1"/>
  <c r="Z176" i="1"/>
  <c r="Z31" i="1"/>
  <c r="Z57" i="1"/>
  <c r="Z35" i="1"/>
  <c r="Z230" i="1"/>
  <c r="Z143" i="1"/>
  <c r="Z195" i="1"/>
  <c r="Z138" i="1"/>
  <c r="Z187" i="1"/>
  <c r="Z183" i="1"/>
  <c r="Z76" i="1"/>
  <c r="Z194" i="1"/>
  <c r="Z184" i="1"/>
  <c r="Z150" i="1"/>
  <c r="Z251" i="1"/>
  <c r="Z179" i="1"/>
  <c r="Z162" i="1"/>
  <c r="Z100" i="1"/>
  <c r="Z246" i="1"/>
  <c r="Z252" i="1"/>
  <c r="Z141" i="1"/>
  <c r="Z58" i="1"/>
  <c r="Z103" i="1"/>
  <c r="Z50" i="1"/>
  <c r="Z229" i="1"/>
  <c r="Z105" i="1"/>
  <c r="Z189" i="1"/>
  <c r="Z193" i="1"/>
  <c r="Z167" i="1"/>
  <c r="Z140" i="1"/>
  <c r="Z92" i="1"/>
  <c r="Z56" i="1"/>
  <c r="Z87" i="1"/>
  <c r="Z182" i="1"/>
  <c r="Z110" i="1"/>
  <c r="Z112" i="1"/>
  <c r="Z99" i="1"/>
  <c r="Z309" i="1"/>
  <c r="Z283" i="1"/>
  <c r="Z24" i="1"/>
  <c r="Z180" i="1"/>
  <c r="Z59" i="1"/>
  <c r="Z102" i="1"/>
  <c r="Z282" i="1"/>
  <c r="Z188" i="1"/>
  <c r="Z186" i="1"/>
  <c r="Z148" i="1"/>
  <c r="Z185" i="1"/>
  <c r="Z55" i="1"/>
  <c r="Z281" i="1"/>
  <c r="Z54" i="1"/>
  <c r="Z75" i="1"/>
  <c r="Z29" i="1"/>
  <c r="Z154" i="1"/>
  <c r="Z144" i="1"/>
  <c r="Z196" i="1"/>
  <c r="AF312" i="1" l="1"/>
  <c r="AF161" i="1"/>
  <c r="AF103" i="1"/>
  <c r="AF162" i="1"/>
  <c r="AF101" i="1"/>
  <c r="AF19" i="1"/>
  <c r="AF139" i="1"/>
  <c r="AF262" i="1"/>
  <c r="AF97" i="1"/>
  <c r="AF303" i="1"/>
  <c r="K153" i="1"/>
  <c r="K29" i="1"/>
  <c r="K149" i="1"/>
  <c r="K194" i="1"/>
  <c r="K87" i="1"/>
  <c r="K196" i="1"/>
  <c r="K141" i="1"/>
  <c r="K185" i="1"/>
  <c r="K230" i="1"/>
  <c r="K24" i="1"/>
  <c r="AH75" i="1"/>
  <c r="K75" i="1"/>
  <c r="K27" i="1"/>
  <c r="K102" i="1"/>
  <c r="K309" i="1"/>
  <c r="K142" i="1"/>
  <c r="K143" i="1"/>
  <c r="K55" i="1"/>
  <c r="K54" i="1"/>
  <c r="K280" i="1"/>
  <c r="K104" i="1"/>
  <c r="K188" i="1"/>
  <c r="K110" i="1"/>
  <c r="K99" i="1"/>
  <c r="K148" i="1"/>
  <c r="K35" i="1"/>
  <c r="K281" i="1"/>
  <c r="K184" i="1"/>
  <c r="K189" i="1"/>
  <c r="K195" i="1"/>
  <c r="K282" i="1"/>
  <c r="AF183" i="1"/>
  <c r="AF150" i="1"/>
  <c r="AF72" i="1"/>
  <c r="AF149" i="1"/>
  <c r="AF105" i="1"/>
  <c r="AF222" i="1"/>
  <c r="AF18" i="1"/>
  <c r="AF338" i="1"/>
  <c r="AF273" i="1"/>
  <c r="AF135" i="1"/>
  <c r="AF292" i="1"/>
  <c r="AF119" i="1"/>
  <c r="AF244" i="1"/>
  <c r="AF284" i="1"/>
  <c r="AF146" i="1"/>
  <c r="AF124" i="1"/>
  <c r="K251" i="1"/>
  <c r="AH182" i="1"/>
  <c r="K182" i="1"/>
  <c r="K186" i="1"/>
  <c r="K86" i="1"/>
  <c r="K59" i="1"/>
  <c r="K246" i="1"/>
  <c r="K101" i="1"/>
  <c r="K179" i="1"/>
  <c r="K176" i="1"/>
  <c r="K252" i="1"/>
  <c r="K112" i="1"/>
  <c r="K167" i="1"/>
  <c r="K58" i="1"/>
  <c r="K229" i="1"/>
  <c r="K138" i="1"/>
  <c r="K50" i="1"/>
  <c r="K57" i="1"/>
  <c r="K76" i="1"/>
  <c r="K283" i="1"/>
  <c r="K154" i="1"/>
  <c r="K193" i="1"/>
  <c r="K140" i="1"/>
  <c r="K100" i="1"/>
  <c r="K187" i="1"/>
  <c r="K92" i="1"/>
  <c r="K180" i="1"/>
  <c r="K144" i="1"/>
  <c r="K31" i="1"/>
  <c r="K56" i="1"/>
  <c r="AF233" i="1"/>
  <c r="AF247" i="1"/>
  <c r="AF41" i="1"/>
  <c r="AF168" i="1"/>
  <c r="AF127" i="1"/>
  <c r="AF332" i="1"/>
  <c r="AF13" i="1" l="1"/>
  <c r="AF113" i="1"/>
  <c r="AF269" i="1"/>
  <c r="AF330" i="1"/>
  <c r="AF304" i="1"/>
  <c r="AF295" i="1"/>
  <c r="AF323" i="1"/>
  <c r="AF126" i="1"/>
  <c r="AF234" i="1"/>
  <c r="AF254" i="1"/>
  <c r="AF44" i="1"/>
  <c r="AF211" i="1"/>
  <c r="AF215" i="1"/>
  <c r="AF11" i="1"/>
  <c r="AF325" i="1"/>
  <c r="AF218" i="1"/>
  <c r="AF250" i="1"/>
  <c r="AF30" i="1"/>
  <c r="AF264" i="1"/>
  <c r="AF235" i="1"/>
  <c r="AF344" i="1"/>
  <c r="AF300" i="1"/>
  <c r="AF260" i="1"/>
  <c r="AF242" i="1"/>
  <c r="AF36" i="1"/>
  <c r="AF43" i="1"/>
  <c r="AF190" i="1"/>
  <c r="AF202" i="1"/>
  <c r="AF109" i="1"/>
  <c r="AF223" i="1"/>
  <c r="AF205" i="1"/>
  <c r="AF328" i="1"/>
  <c r="AF320" i="1"/>
  <c r="AF313" i="1"/>
  <c r="AF117" i="1"/>
  <c r="AF279" i="1"/>
  <c r="AF337" i="1"/>
  <c r="AF61" i="1"/>
  <c r="AF111" i="1"/>
  <c r="AF116" i="1"/>
  <c r="AF107" i="1"/>
  <c r="AF69" i="1"/>
  <c r="AF33" i="1"/>
  <c r="AF286" i="1"/>
  <c r="AF121" i="1"/>
  <c r="AF151" i="1"/>
  <c r="AF137" i="1"/>
  <c r="AF131" i="1"/>
  <c r="AF23" i="1"/>
  <c r="AF77" i="1"/>
  <c r="AF79" i="1"/>
  <c r="AF164" i="1"/>
  <c r="AF206" i="1"/>
  <c r="AF98" i="1"/>
  <c r="AF203" i="1"/>
  <c r="AF159" i="1"/>
  <c r="AF259" i="1"/>
  <c r="AF21" i="1"/>
  <c r="AF268" i="1"/>
  <c r="AF71" i="1"/>
  <c r="AF89" i="1"/>
  <c r="AF65" i="1"/>
  <c r="AF310" i="1"/>
  <c r="AF317" i="1"/>
  <c r="AF66" i="1"/>
  <c r="AF198" i="1"/>
  <c r="AF204" i="1"/>
  <c r="AF272" i="1"/>
  <c r="AF73" i="1"/>
  <c r="AF172" i="1"/>
  <c r="AF293" i="1"/>
  <c r="AF214" i="1"/>
  <c r="AF315" i="1"/>
  <c r="AF308" i="1"/>
  <c r="AF302" i="1"/>
  <c r="AF16" i="1"/>
  <c r="AF342" i="1"/>
  <c r="AF125" i="1"/>
  <c r="AF93" i="1"/>
  <c r="AF170" i="1"/>
  <c r="AF67" i="1"/>
  <c r="AF64" i="1"/>
  <c r="AF227" i="1"/>
  <c r="AF128" i="1"/>
  <c r="AF106" i="1"/>
  <c r="AF209" i="1"/>
  <c r="AF291" i="1"/>
  <c r="AF134" i="1"/>
  <c r="AF224" i="1"/>
  <c r="AF253" i="1"/>
  <c r="AF277" i="1"/>
  <c r="AF297" i="1"/>
  <c r="AF321" i="1"/>
  <c r="AF51" i="1"/>
  <c r="AF258" i="1"/>
  <c r="AF339" i="1"/>
  <c r="AF201" i="1"/>
  <c r="AF329" i="1"/>
  <c r="AF241" i="1"/>
  <c r="AF237" i="1"/>
  <c r="AF353" i="1"/>
  <c r="AF34" i="1"/>
  <c r="AF311" i="1"/>
  <c r="AF298" i="1"/>
  <c r="AF197" i="1"/>
  <c r="AF95" i="1"/>
  <c r="AF226" i="1"/>
  <c r="AF47" i="1"/>
  <c r="AF158" i="1"/>
  <c r="AF275" i="1"/>
  <c r="AF81" i="1"/>
  <c r="AF46" i="1"/>
  <c r="AF80" i="1"/>
  <c r="AF118" i="1"/>
  <c r="AF192" i="1"/>
  <c r="AF276" i="1"/>
  <c r="AF32" i="1"/>
  <c r="AF156" i="1"/>
  <c r="AF136" i="1"/>
  <c r="AF340" i="1"/>
  <c r="AF52" i="1"/>
  <c r="AF157" i="1"/>
  <c r="AF239" i="1"/>
  <c r="AF108" i="1"/>
  <c r="AF178" i="1"/>
  <c r="AF82" i="1"/>
  <c r="AF96" i="1"/>
  <c r="AF145" i="1"/>
  <c r="AF45" i="1"/>
  <c r="AI182" i="1"/>
  <c r="AF334" i="1"/>
  <c r="AF249" i="1"/>
  <c r="AF335" i="1"/>
  <c r="AF349" i="1"/>
  <c r="AF299" i="1"/>
  <c r="AF294" i="1"/>
  <c r="AF120" i="1"/>
  <c r="AF322" i="1"/>
  <c r="AF289" i="1"/>
  <c r="AF261" i="1"/>
  <c r="AF238" i="1"/>
  <c r="AF200" i="1"/>
  <c r="AF17" i="1"/>
  <c r="AF26" i="1"/>
  <c r="AF40" i="1"/>
  <c r="AF115" i="1"/>
  <c r="AF231" i="1"/>
  <c r="AF274" i="1"/>
  <c r="AF240" i="1"/>
  <c r="AF348" i="1"/>
  <c r="AF296" i="1"/>
  <c r="AF83" i="1"/>
  <c r="AF42" i="1"/>
  <c r="AF265" i="1"/>
  <c r="AF12" i="1"/>
  <c r="AF314" i="1"/>
  <c r="AF207" i="1"/>
  <c r="AF84" i="1"/>
  <c r="AF257" i="1"/>
  <c r="AF324" i="1"/>
  <c r="AF316" i="1"/>
  <c r="AF123" i="1"/>
  <c r="AF152" i="1"/>
  <c r="AF155" i="1"/>
  <c r="AF181" i="1"/>
  <c r="AF220" i="1"/>
  <c r="AF228" i="1"/>
  <c r="AF263" i="1"/>
  <c r="AF70" i="1"/>
  <c r="AF78" i="1"/>
  <c r="AF14" i="1"/>
  <c r="AF267" i="1"/>
  <c r="AF22" i="1"/>
  <c r="AF173" i="1"/>
  <c r="AF169" i="1"/>
  <c r="AF114" i="1"/>
  <c r="AF336" i="1"/>
  <c r="AF350" i="1"/>
  <c r="AF28" i="1"/>
  <c r="AF266" i="1"/>
  <c r="AF352" i="1"/>
  <c r="AF285" i="1"/>
  <c r="AF331" i="1"/>
  <c r="AF133" i="1"/>
  <c r="AF346" i="1"/>
  <c r="AF351" i="1"/>
  <c r="AF347" i="1"/>
  <c r="AF68" i="1"/>
  <c r="AF53" i="1"/>
  <c r="AF306" i="1"/>
  <c r="AF160" i="1"/>
  <c r="AF191" i="1"/>
  <c r="AF62" i="1"/>
  <c r="AF37" i="1"/>
  <c r="AF318" i="1"/>
  <c r="AF288" i="1"/>
  <c r="AF270" i="1"/>
  <c r="AF88" i="1"/>
  <c r="AF174" i="1"/>
  <c r="AF333" i="1"/>
  <c r="AF166" i="1"/>
  <c r="AF343" i="1"/>
  <c r="AF20" i="1"/>
  <c r="AF221" i="1"/>
  <c r="AF213" i="1"/>
  <c r="AF177" i="1"/>
  <c r="AF15" i="1"/>
  <c r="AF290" i="1"/>
  <c r="AF132" i="1"/>
  <c r="AF287" i="1"/>
  <c r="AF256" i="1"/>
  <c r="AF74" i="1"/>
  <c r="AF232" i="1"/>
  <c r="AF255" i="1"/>
  <c r="AF301" i="1"/>
  <c r="AF345" i="1"/>
  <c r="AF49" i="1"/>
  <c r="AF122" i="1"/>
  <c r="AF147" i="1"/>
  <c r="AF130" i="1"/>
  <c r="AF341" i="1"/>
  <c r="AF245" i="1"/>
  <c r="AF210" i="1"/>
  <c r="AF63" i="1"/>
  <c r="AF175" i="1"/>
  <c r="AF163" i="1"/>
  <c r="AF171" i="1"/>
  <c r="AF165" i="1"/>
  <c r="AF91" i="1"/>
  <c r="AF319" i="1"/>
  <c r="AF208" i="1"/>
  <c r="AF236" i="1"/>
  <c r="AF90" i="1"/>
  <c r="AF216" i="1"/>
  <c r="AF278" i="1"/>
  <c r="AF248" i="1"/>
  <c r="AF94" i="1"/>
  <c r="AF243" i="1"/>
  <c r="AF326" i="1"/>
  <c r="AF85" i="1"/>
  <c r="AF327" i="1"/>
  <c r="AF39" i="1"/>
  <c r="AF48" i="1"/>
  <c r="AF199" i="1"/>
  <c r="AF212" i="1"/>
  <c r="AF225" i="1"/>
  <c r="AF271" i="1"/>
  <c r="AF217" i="1"/>
  <c r="AF219" i="1"/>
  <c r="AF60" i="1"/>
  <c r="AF129" i="1"/>
  <c r="AF305" i="1"/>
  <c r="AF38" i="1"/>
  <c r="AF307" i="1"/>
  <c r="AI75" i="1"/>
  <c r="AF141" i="1" l="1"/>
  <c r="AH141" i="1"/>
  <c r="AF282" i="1"/>
  <c r="AH282" i="1"/>
  <c r="AF56" i="1"/>
  <c r="AH56" i="1"/>
  <c r="AF100" i="1"/>
  <c r="AH100" i="1"/>
  <c r="AF195" i="1"/>
  <c r="AH195" i="1"/>
  <c r="AF110" i="1"/>
  <c r="AH110" i="1"/>
  <c r="AF187" i="1"/>
  <c r="AH187" i="1"/>
  <c r="AF99" i="1"/>
  <c r="AH99" i="1"/>
  <c r="AH105" i="1"/>
  <c r="K105" i="1"/>
  <c r="AF280" i="1"/>
  <c r="AH280" i="1"/>
  <c r="AF184" i="1"/>
  <c r="AH184" i="1"/>
  <c r="AE359" i="1"/>
  <c r="AE354" i="1"/>
  <c r="AF9" i="1"/>
  <c r="AF55" i="1"/>
  <c r="AH55" i="1"/>
  <c r="AF153" i="1"/>
  <c r="AH153" i="1"/>
  <c r="AF142" i="1"/>
  <c r="AH142" i="1"/>
  <c r="AF194" i="1"/>
  <c r="AH194" i="1"/>
  <c r="AF140" i="1"/>
  <c r="AH140" i="1"/>
  <c r="AF176" i="1"/>
  <c r="AH176" i="1"/>
  <c r="AF112" i="1"/>
  <c r="AH112" i="1"/>
  <c r="Z101" i="1"/>
  <c r="AH101" i="1"/>
  <c r="AF185" i="1"/>
  <c r="AH185" i="1"/>
  <c r="AF180" i="1"/>
  <c r="AH180" i="1"/>
  <c r="AF189" i="1"/>
  <c r="AH189" i="1"/>
  <c r="AF144" i="1"/>
  <c r="AH144" i="1"/>
  <c r="AF179" i="1"/>
  <c r="AH179" i="1"/>
  <c r="AF188" i="1"/>
  <c r="AH188" i="1"/>
  <c r="AF58" i="1"/>
  <c r="AH58" i="1"/>
  <c r="AF283" i="1"/>
  <c r="AH283" i="1"/>
  <c r="K150" i="1"/>
  <c r="AH150" i="1"/>
  <c r="AF25" i="1"/>
  <c r="AE357" i="1"/>
  <c r="AF76" i="1"/>
  <c r="AH76" i="1"/>
  <c r="AF35" i="1"/>
  <c r="AH35" i="1"/>
  <c r="AF281" i="1"/>
  <c r="AH281" i="1"/>
  <c r="AH183" i="1"/>
  <c r="K183" i="1"/>
  <c r="AF229" i="1"/>
  <c r="AH229" i="1"/>
  <c r="AF24" i="1"/>
  <c r="AH24" i="1"/>
  <c r="AE358" i="1"/>
  <c r="AF10" i="1"/>
  <c r="AF59" i="1"/>
  <c r="AH59" i="1"/>
  <c r="AF252" i="1"/>
  <c r="AH252" i="1"/>
  <c r="AF143" i="1"/>
  <c r="AH143" i="1"/>
  <c r="AH103" i="1"/>
  <c r="K103" i="1"/>
  <c r="AF102" i="1"/>
  <c r="AH102" i="1"/>
  <c r="AF309" i="1"/>
  <c r="AH309" i="1"/>
  <c r="AF29" i="1"/>
  <c r="AH29" i="1"/>
  <c r="AF230" i="1"/>
  <c r="AH230" i="1"/>
  <c r="Z149" i="1"/>
  <c r="AH149" i="1"/>
  <c r="AF104" i="1"/>
  <c r="AH104" i="1"/>
  <c r="AF186" i="1"/>
  <c r="AH186" i="1"/>
  <c r="AF148" i="1"/>
  <c r="AH148" i="1"/>
  <c r="AF138" i="1"/>
  <c r="AH138" i="1"/>
  <c r="AF86" i="1"/>
  <c r="AH86" i="1"/>
  <c r="K162" i="1"/>
  <c r="AH162" i="1"/>
  <c r="AF50" i="1"/>
  <c r="AH50" i="1"/>
  <c r="AF87" i="1"/>
  <c r="AH87" i="1"/>
  <c r="AF27" i="1"/>
  <c r="AH27" i="1"/>
  <c r="AF251" i="1"/>
  <c r="AH251" i="1"/>
  <c r="AF154" i="1"/>
  <c r="AH154" i="1"/>
  <c r="AF54" i="1"/>
  <c r="AH54" i="1"/>
  <c r="AF196" i="1"/>
  <c r="AH196" i="1"/>
  <c r="AF167" i="1"/>
  <c r="AH167" i="1"/>
  <c r="AF31" i="1"/>
  <c r="AH31" i="1"/>
  <c r="AF57" i="1"/>
  <c r="AH57" i="1"/>
  <c r="AF246" i="1"/>
  <c r="AH246" i="1"/>
  <c r="AF193" i="1"/>
  <c r="AH193" i="1"/>
  <c r="AF92" i="1"/>
  <c r="AH92" i="1"/>
  <c r="AI92" i="1" l="1"/>
  <c r="AI246" i="1"/>
  <c r="AI31" i="1"/>
  <c r="AI196" i="1"/>
  <c r="AI154" i="1"/>
  <c r="AI27" i="1"/>
  <c r="AI50" i="1"/>
  <c r="AI86" i="1"/>
  <c r="AI148" i="1"/>
  <c r="AI104" i="1"/>
  <c r="AI230" i="1"/>
  <c r="AI309" i="1"/>
  <c r="AI252" i="1"/>
  <c r="AF358" i="1"/>
  <c r="AI229" i="1"/>
  <c r="AI281" i="1"/>
  <c r="AI76" i="1"/>
  <c r="AI150" i="1"/>
  <c r="D17" i="3"/>
  <c r="AF354" i="1"/>
  <c r="AI280" i="1"/>
  <c r="AI99" i="1"/>
  <c r="AI110" i="1"/>
  <c r="AI100" i="1"/>
  <c r="AI282" i="1"/>
  <c r="AI103" i="1"/>
  <c r="K17" i="3"/>
  <c r="L17" i="3" s="1"/>
  <c r="D17" i="12"/>
  <c r="AE364" i="1"/>
  <c r="AI58" i="1"/>
  <c r="AI179" i="1"/>
  <c r="AI189" i="1"/>
  <c r="AI185" i="1"/>
  <c r="AI112" i="1"/>
  <c r="AI140" i="1"/>
  <c r="AI142" i="1"/>
  <c r="AI55" i="1"/>
  <c r="N17" i="3"/>
  <c r="O17" i="3" s="1"/>
  <c r="AE365" i="1"/>
  <c r="AI193" i="1"/>
  <c r="AI57" i="1"/>
  <c r="AI167" i="1"/>
  <c r="AI54" i="1"/>
  <c r="AI251" i="1"/>
  <c r="AI87" i="1"/>
  <c r="AI162" i="1"/>
  <c r="AI138" i="1"/>
  <c r="AI186" i="1"/>
  <c r="AI149" i="1"/>
  <c r="AI29" i="1"/>
  <c r="AI102" i="1"/>
  <c r="AI143" i="1"/>
  <c r="AI59" i="1"/>
  <c r="AI24" i="1"/>
  <c r="AI35" i="1"/>
  <c r="AE363" i="1"/>
  <c r="H17" i="3"/>
  <c r="I17" i="3" s="1"/>
  <c r="AE360" i="1"/>
  <c r="AI184" i="1"/>
  <c r="AI187" i="1"/>
  <c r="AI195" i="1"/>
  <c r="AI56" i="1"/>
  <c r="AI141" i="1"/>
  <c r="AI183" i="1"/>
  <c r="AF357" i="1"/>
  <c r="AI283" i="1"/>
  <c r="AI188" i="1"/>
  <c r="AI144" i="1"/>
  <c r="AI180" i="1"/>
  <c r="AI101" i="1"/>
  <c r="AI176" i="1"/>
  <c r="AI194" i="1"/>
  <c r="AI153" i="1"/>
  <c r="AF359" i="1"/>
  <c r="AI105" i="1"/>
  <c r="F17" i="12" l="1"/>
  <c r="E17" i="12"/>
  <c r="AF360" i="1"/>
  <c r="AE366" i="1"/>
  <c r="F17" i="3"/>
  <c r="E17" i="3"/>
  <c r="BY37" i="1" l="1"/>
  <c r="BY289" i="1"/>
  <c r="BY248" i="1"/>
  <c r="BY83" i="1"/>
  <c r="BY70" i="1"/>
  <c r="BY346" i="1"/>
  <c r="BY224" i="1"/>
  <c r="BY30" i="1"/>
  <c r="BY265" i="1"/>
  <c r="BY96" i="1"/>
  <c r="BY241" i="1"/>
  <c r="BY64" i="1"/>
  <c r="BY268" i="1"/>
  <c r="BY89" i="1"/>
  <c r="BY98" i="1"/>
  <c r="BY300" i="1"/>
  <c r="BY111" i="1"/>
  <c r="BY342" i="1"/>
  <c r="BY288" i="1"/>
  <c r="BY345" i="1"/>
  <c r="BY234" i="1"/>
  <c r="BY247" i="1"/>
  <c r="BY52" i="1"/>
  <c r="BY45" i="1"/>
  <c r="BY347" i="1"/>
  <c r="BY306" i="1"/>
  <c r="BY146" i="1"/>
  <c r="BY63" i="1"/>
  <c r="BY204" i="1"/>
  <c r="BY245" i="1"/>
  <c r="BY334" i="1"/>
  <c r="BY78" i="1"/>
  <c r="BY20" i="1"/>
  <c r="BY135" i="1"/>
  <c r="BY39" i="1"/>
  <c r="BY118" i="1"/>
  <c r="BY19" i="1"/>
  <c r="BY172" i="1"/>
  <c r="BY115" i="1"/>
  <c r="BY44" i="1"/>
  <c r="BY329" i="1"/>
  <c r="BY16" i="1"/>
  <c r="BY338" i="1"/>
  <c r="BY351" i="1"/>
  <c r="BY67" i="1"/>
  <c r="BY123" i="1"/>
  <c r="BY122" i="1"/>
  <c r="BY69" i="1"/>
  <c r="BY91" i="1"/>
  <c r="BY331" i="1"/>
  <c r="BY81" i="1"/>
  <c r="BY134" i="1"/>
  <c r="BY221" i="1"/>
  <c r="BY53" i="1"/>
  <c r="BY23" i="1"/>
  <c r="BY304" i="1"/>
  <c r="BY66" i="1"/>
  <c r="BY218" i="1"/>
  <c r="BY79" i="1"/>
  <c r="BY139" i="1"/>
  <c r="BY276" i="1"/>
  <c r="BY315" i="1"/>
  <c r="BY21" i="1"/>
  <c r="BY287" i="1"/>
  <c r="BY192" i="1"/>
  <c r="BY95" i="1"/>
  <c r="BY223" i="1"/>
  <c r="BY328" i="1"/>
  <c r="BY225" i="1"/>
  <c r="BY171" i="1"/>
  <c r="BY286" i="1"/>
  <c r="BY137" i="1"/>
  <c r="BY332" i="1"/>
  <c r="BY327" i="1"/>
  <c r="BY296" i="1"/>
  <c r="BY253" i="1"/>
  <c r="BY28" i="1"/>
  <c r="BY348" i="1"/>
  <c r="BY197" i="1"/>
  <c r="BY129" i="1"/>
  <c r="BY350" i="1"/>
  <c r="BY133" i="1"/>
  <c r="BY291" i="1"/>
  <c r="BY285" i="1"/>
  <c r="BY93" i="1"/>
  <c r="BY272" i="1"/>
  <c r="BY271" i="1"/>
  <c r="BY278" i="1"/>
  <c r="BY307" i="1"/>
  <c r="BY256" i="1"/>
  <c r="BY337" i="1"/>
  <c r="BY266" i="1"/>
  <c r="BY107" i="1"/>
  <c r="BY164" i="1"/>
  <c r="BY284" i="1"/>
  <c r="BY210" i="1"/>
  <c r="BY14" i="1"/>
  <c r="BY257" i="1"/>
  <c r="BY316" i="1"/>
  <c r="BY228" i="1"/>
  <c r="BY243" i="1"/>
  <c r="BY157" i="1"/>
  <c r="BY258" i="1"/>
  <c r="BY317" i="1"/>
  <c r="BY255" i="1"/>
  <c r="BY275" i="1"/>
  <c r="BY273" i="1"/>
  <c r="BY161" i="1"/>
  <c r="BY114" i="1"/>
  <c r="BY173" i="1"/>
  <c r="BY170" i="1"/>
  <c r="BY36" i="1"/>
  <c r="BY344" i="1"/>
  <c r="BY222" i="1"/>
  <c r="BY319" i="1"/>
  <c r="BY311" i="1"/>
  <c r="BY177" i="1"/>
  <c r="BY232" i="1"/>
  <c r="BY82" i="1"/>
  <c r="BY155" i="1"/>
  <c r="BY299" i="1"/>
  <c r="BY240" i="1"/>
  <c r="BY209" i="1"/>
  <c r="BY320" i="1"/>
  <c r="BY51" i="1"/>
  <c r="BY295" i="1"/>
  <c r="BY94" i="1"/>
  <c r="BY119" i="1"/>
  <c r="BY128" i="1"/>
  <c r="BY73" i="1"/>
  <c r="BY68" i="1"/>
  <c r="BY42" i="1"/>
  <c r="BY264" i="1"/>
  <c r="BY215" i="1"/>
  <c r="BY198" i="1"/>
  <c r="BY227" i="1"/>
  <c r="BY108" i="1"/>
  <c r="BY343" i="1"/>
  <c r="BY26" i="1"/>
  <c r="BY33" i="1"/>
  <c r="BY330" i="1"/>
  <c r="BY353" i="1"/>
  <c r="BY293" i="1"/>
  <c r="BY217" i="1"/>
  <c r="BY297" i="1"/>
  <c r="BY312" i="1"/>
  <c r="BY326" i="1"/>
  <c r="BY77" i="1"/>
  <c r="BY233" i="1"/>
  <c r="BY206" i="1"/>
  <c r="BY270" i="1"/>
  <c r="BY43" i="1"/>
  <c r="BY205" i="1"/>
  <c r="BY321" i="1"/>
  <c r="BY166" i="1"/>
  <c r="BY61" i="1"/>
  <c r="BY214" i="1"/>
  <c r="BY308" i="1"/>
  <c r="BY235" i="1"/>
  <c r="BY41" i="1"/>
  <c r="BY261" i="1"/>
  <c r="BY292" i="1"/>
  <c r="BY38" i="1"/>
  <c r="BY310" i="1"/>
  <c r="BY294" i="1"/>
  <c r="BY298" i="1"/>
  <c r="BY48" i="1"/>
  <c r="BY156" i="1"/>
  <c r="BY325" i="1"/>
  <c r="BY323" i="1"/>
  <c r="BY130" i="1"/>
  <c r="BY269" i="1"/>
  <c r="BY201" i="1"/>
  <c r="BY349" i="1"/>
  <c r="BY34" i="1"/>
  <c r="BY32" i="1"/>
  <c r="BY190" i="1"/>
  <c r="BY207" i="1"/>
  <c r="BY126" i="1"/>
  <c r="BY121" i="1"/>
  <c r="BY152" i="1"/>
  <c r="BY60" i="1"/>
  <c r="BY145" i="1"/>
  <c r="BY165" i="1"/>
  <c r="BY303" i="1"/>
  <c r="BY17" i="1"/>
  <c r="BY117" i="1"/>
  <c r="BY237" i="1"/>
  <c r="BY244" i="1"/>
  <c r="BY174" i="1"/>
  <c r="BY313" i="1"/>
  <c r="BY15" i="1"/>
  <c r="BY324" i="1"/>
  <c r="BY226" i="1"/>
  <c r="BY40" i="1"/>
  <c r="BY290" i="1"/>
  <c r="BY125" i="1"/>
  <c r="BY318" i="1"/>
  <c r="BY168" i="1"/>
  <c r="BY49" i="1"/>
  <c r="BY262" i="1"/>
  <c r="BY199" i="1"/>
  <c r="BY238" i="1"/>
  <c r="BY191" i="1"/>
  <c r="BY109" i="1"/>
  <c r="BY132" i="1"/>
  <c r="BY85" i="1"/>
  <c r="BY220" i="1"/>
  <c r="BY333" i="1"/>
  <c r="BY147" i="1"/>
  <c r="BY97" i="1"/>
  <c r="BY249" i="1"/>
  <c r="BY212" i="1"/>
  <c r="BY71" i="1"/>
  <c r="BY208" i="1"/>
  <c r="BY200" i="1"/>
  <c r="BY211" i="1"/>
  <c r="BY181" i="1"/>
  <c r="BY158" i="1"/>
  <c r="BY335" i="1"/>
  <c r="BY160" i="1"/>
  <c r="BY202" i="1"/>
  <c r="BY106" i="1"/>
  <c r="BY163" i="1"/>
  <c r="BY322" i="1"/>
  <c r="BY12" i="1"/>
  <c r="BY151" i="1"/>
  <c r="BY90" i="1"/>
  <c r="BY339" i="1"/>
  <c r="BY336" i="1"/>
  <c r="BY178" i="1"/>
  <c r="BY169" i="1"/>
  <c r="BY301" i="1"/>
  <c r="BY120" i="1"/>
  <c r="BY242" i="1"/>
  <c r="BY116" i="1"/>
  <c r="BY136" i="1"/>
  <c r="BY113" i="1"/>
  <c r="BY239" i="1"/>
  <c r="BY314" i="1"/>
  <c r="BY159" i="1"/>
  <c r="BY127" i="1"/>
  <c r="BY72" i="1"/>
  <c r="BY352" i="1"/>
  <c r="BY259" i="1"/>
  <c r="BY250" i="1"/>
  <c r="BY302" i="1"/>
  <c r="BY131" i="1"/>
  <c r="BY267" i="1"/>
  <c r="BY203" i="1"/>
  <c r="BY305" i="1"/>
  <c r="BY254" i="1"/>
  <c r="BY216" i="1"/>
  <c r="BY231" i="1"/>
  <c r="BY18" i="1"/>
  <c r="BY11" i="1"/>
  <c r="BY80" i="1"/>
  <c r="BY279" i="1"/>
  <c r="BY341" i="1"/>
  <c r="BY74" i="1"/>
  <c r="BY260" i="1"/>
  <c r="BY124" i="1"/>
  <c r="BY175" i="1"/>
  <c r="BY88" i="1"/>
  <c r="BY274" i="1"/>
  <c r="BY84" i="1"/>
  <c r="BY219" i="1"/>
  <c r="BY65" i="1"/>
  <c r="BY22" i="1"/>
  <c r="BY340" i="1"/>
  <c r="BY46" i="1"/>
  <c r="BY189" i="1" l="1"/>
  <c r="CS189" i="1"/>
  <c r="BY55" i="1"/>
  <c r="CS55" i="1"/>
  <c r="BY195" i="1"/>
  <c r="CS195" i="1"/>
  <c r="BY143" i="1"/>
  <c r="CS143" i="1"/>
  <c r="BY102" i="1"/>
  <c r="CS102" i="1"/>
  <c r="BY105" i="1"/>
  <c r="CS105" i="1"/>
  <c r="BY29" i="1"/>
  <c r="CS29" i="1"/>
  <c r="BY150" i="1"/>
  <c r="CS150" i="1"/>
  <c r="BY230" i="1"/>
  <c r="CS230" i="1"/>
  <c r="BY56" i="1"/>
  <c r="CS56" i="1"/>
  <c r="BY57" i="1"/>
  <c r="CS57" i="1"/>
  <c r="BY167" i="1"/>
  <c r="CS167" i="1"/>
  <c r="BY100" i="1"/>
  <c r="CS100" i="1"/>
  <c r="BY281" i="1"/>
  <c r="CS281" i="1"/>
  <c r="BY75" i="1"/>
  <c r="CS75" i="1"/>
  <c r="BY182" i="1"/>
  <c r="CS182" i="1"/>
  <c r="BY27" i="1"/>
  <c r="CS27" i="1"/>
  <c r="BY176" i="1"/>
  <c r="CS176" i="1"/>
  <c r="BY179" i="1"/>
  <c r="CS179" i="1"/>
  <c r="BY180" i="1"/>
  <c r="CS180" i="1"/>
  <c r="BY104" i="1"/>
  <c r="CS104" i="1"/>
  <c r="BY194" i="1"/>
  <c r="CS194" i="1"/>
  <c r="BY149" i="1"/>
  <c r="CS149" i="1"/>
  <c r="BY99" i="1"/>
  <c r="CS99" i="1"/>
  <c r="BY24" i="1"/>
  <c r="CS24" i="1"/>
  <c r="BY309" i="1"/>
  <c r="CS309" i="1"/>
  <c r="BY54" i="1"/>
  <c r="CS54" i="1"/>
  <c r="BY282" i="1"/>
  <c r="CS282" i="1"/>
  <c r="BY142" i="1"/>
  <c r="CS142" i="1"/>
  <c r="BY251" i="1"/>
  <c r="CS251" i="1"/>
  <c r="BY144" i="1"/>
  <c r="CS144" i="1"/>
  <c r="BY58" i="1"/>
  <c r="CS58" i="1"/>
  <c r="BY154" i="1"/>
  <c r="CS154" i="1"/>
  <c r="BY193" i="1"/>
  <c r="CS193" i="1"/>
  <c r="BY62" i="1"/>
  <c r="BY213" i="1"/>
  <c r="BY13" i="1"/>
  <c r="BY47" i="1"/>
  <c r="BY277" i="1"/>
  <c r="BY236" i="1"/>
  <c r="BY101" i="1"/>
  <c r="CS101" i="1"/>
  <c r="BY50" i="1"/>
  <c r="CS50" i="1"/>
  <c r="BY31" i="1"/>
  <c r="CS31" i="1"/>
  <c r="BY86" i="1"/>
  <c r="CS86" i="1"/>
  <c r="BY141" i="1"/>
  <c r="CS141" i="1"/>
  <c r="BY183" i="1"/>
  <c r="CS183" i="1"/>
  <c r="BY25" i="1"/>
  <c r="BX357" i="1"/>
  <c r="BY246" i="1"/>
  <c r="CS246" i="1"/>
  <c r="BY283" i="1"/>
  <c r="CS283" i="1"/>
  <c r="BY153" i="1"/>
  <c r="CS153" i="1"/>
  <c r="BY110" i="1"/>
  <c r="CS110" i="1"/>
  <c r="BY188" i="1"/>
  <c r="CS188" i="1"/>
  <c r="BY162" i="1"/>
  <c r="CS162" i="1"/>
  <c r="BY112" i="1"/>
  <c r="CS112" i="1"/>
  <c r="BY76" i="1"/>
  <c r="CS76" i="1"/>
  <c r="BY187" i="1"/>
  <c r="CS187" i="1"/>
  <c r="BY35" i="1"/>
  <c r="CS35" i="1"/>
  <c r="BY87" i="1"/>
  <c r="CS87" i="1"/>
  <c r="BY229" i="1"/>
  <c r="CS229" i="1"/>
  <c r="BY148" i="1"/>
  <c r="CS148" i="1"/>
  <c r="BY184" i="1"/>
  <c r="CS184" i="1"/>
  <c r="BY280" i="1"/>
  <c r="CS280" i="1"/>
  <c r="BY140" i="1"/>
  <c r="CS140" i="1"/>
  <c r="BY103" i="1"/>
  <c r="CS103" i="1"/>
  <c r="BY92" i="1"/>
  <c r="CS92" i="1"/>
  <c r="BY252" i="1"/>
  <c r="CS252" i="1"/>
  <c r="BY138" i="1"/>
  <c r="CS138" i="1"/>
  <c r="BY186" i="1"/>
  <c r="CS186" i="1"/>
  <c r="BY196" i="1"/>
  <c r="CS196" i="1"/>
  <c r="BY263" i="1"/>
  <c r="BY357" i="1" l="1"/>
  <c r="CT196" i="1"/>
  <c r="CV196" i="1"/>
  <c r="CT92" i="1"/>
  <c r="CV92" i="1"/>
  <c r="CW92" i="1" s="1"/>
  <c r="CV184" i="1"/>
  <c r="CT184" i="1"/>
  <c r="CV35" i="1"/>
  <c r="CT35" i="1"/>
  <c r="CV162" i="1"/>
  <c r="CT162" i="1"/>
  <c r="CT110" i="1"/>
  <c r="CV110" i="1"/>
  <c r="CZ105" i="1"/>
  <c r="CZ55" i="1"/>
  <c r="CZ188" i="1"/>
  <c r="CZ150" i="1"/>
  <c r="CZ35" i="1"/>
  <c r="CZ103" i="1"/>
  <c r="CT252" i="1"/>
  <c r="CV252" i="1"/>
  <c r="CT103" i="1"/>
  <c r="CV103" i="1"/>
  <c r="CV280" i="1"/>
  <c r="CT280" i="1"/>
  <c r="CV148" i="1"/>
  <c r="CT148" i="1"/>
  <c r="CT87" i="1"/>
  <c r="CV87" i="1"/>
  <c r="CT187" i="1"/>
  <c r="CV187" i="1"/>
  <c r="CT112" i="1"/>
  <c r="CV112" i="1"/>
  <c r="CV188" i="1"/>
  <c r="CT188" i="1"/>
  <c r="CT153" i="1"/>
  <c r="CV153" i="1"/>
  <c r="CT246" i="1"/>
  <c r="CV246" i="1"/>
  <c r="CT183" i="1"/>
  <c r="CV183" i="1"/>
  <c r="CV86" i="1"/>
  <c r="CT86" i="1"/>
  <c r="CT50" i="1"/>
  <c r="CV50" i="1"/>
  <c r="BY59" i="1"/>
  <c r="CS59" i="1"/>
  <c r="BY10" i="1"/>
  <c r="BY358" i="1" s="1"/>
  <c r="BX358" i="1"/>
  <c r="CT193" i="1"/>
  <c r="CV193" i="1"/>
  <c r="CT58" i="1"/>
  <c r="CV58" i="1"/>
  <c r="CV251" i="1"/>
  <c r="CT251" i="1"/>
  <c r="CT282" i="1"/>
  <c r="CV282" i="1"/>
  <c r="CT309" i="1"/>
  <c r="CV309" i="1"/>
  <c r="CV99" i="1"/>
  <c r="CT99" i="1"/>
  <c r="CT194" i="1"/>
  <c r="CV194" i="1"/>
  <c r="CT180" i="1"/>
  <c r="CV180" i="1"/>
  <c r="CT176" i="1"/>
  <c r="CV176" i="1"/>
  <c r="CV182" i="1"/>
  <c r="CW182" i="1" s="1"/>
  <c r="CT182" i="1"/>
  <c r="CV281" i="1"/>
  <c r="CT281" i="1"/>
  <c r="CT167" i="1"/>
  <c r="CV167" i="1"/>
  <c r="CV56" i="1"/>
  <c r="CT56" i="1"/>
  <c r="CV150" i="1"/>
  <c r="CT150" i="1"/>
  <c r="CV105" i="1"/>
  <c r="CT105" i="1"/>
  <c r="CV143" i="1"/>
  <c r="CT143" i="1"/>
  <c r="CV55" i="1"/>
  <c r="CT55" i="1"/>
  <c r="CT138" i="1"/>
  <c r="CV138" i="1"/>
  <c r="CW138" i="1" s="1"/>
  <c r="CT140" i="1"/>
  <c r="CV140" i="1"/>
  <c r="CV229" i="1"/>
  <c r="CT229" i="1"/>
  <c r="CT76" i="1"/>
  <c r="CV76" i="1"/>
  <c r="CV283" i="1"/>
  <c r="CT283" i="1"/>
  <c r="CZ149" i="1"/>
  <c r="CZ182" i="1"/>
  <c r="CZ251" i="1"/>
  <c r="CZ281" i="1"/>
  <c r="CZ58" i="1"/>
  <c r="CV186" i="1"/>
  <c r="CT186" i="1"/>
  <c r="CZ86" i="1"/>
  <c r="CZ148" i="1"/>
  <c r="CZ186" i="1"/>
  <c r="CZ280" i="1"/>
  <c r="CZ283" i="1"/>
  <c r="CZ184" i="1"/>
  <c r="CZ56" i="1"/>
  <c r="CZ144" i="1"/>
  <c r="CZ24" i="1"/>
  <c r="H33" i="3"/>
  <c r="I33" i="3" s="1"/>
  <c r="BX363" i="1"/>
  <c r="CT141" i="1"/>
  <c r="CV141" i="1"/>
  <c r="CT31" i="1"/>
  <c r="CV31" i="1"/>
  <c r="CT101" i="1"/>
  <c r="CV101" i="1"/>
  <c r="BY185" i="1"/>
  <c r="CS185" i="1"/>
  <c r="BY9" i="1"/>
  <c r="BY359" i="1" s="1"/>
  <c r="BX354" i="1"/>
  <c r="BX359" i="1"/>
  <c r="CT154" i="1"/>
  <c r="CV154" i="1"/>
  <c r="CT144" i="1"/>
  <c r="CV144" i="1"/>
  <c r="CV142" i="1"/>
  <c r="CT142" i="1"/>
  <c r="CT54" i="1"/>
  <c r="CV54" i="1"/>
  <c r="CT24" i="1"/>
  <c r="CV24" i="1"/>
  <c r="CV149" i="1"/>
  <c r="CT149" i="1"/>
  <c r="CT104" i="1"/>
  <c r="CV104" i="1"/>
  <c r="CT179" i="1"/>
  <c r="CV179" i="1"/>
  <c r="CT27" i="1"/>
  <c r="CV27" i="1"/>
  <c r="CT75" i="1"/>
  <c r="CV75" i="1"/>
  <c r="CT100" i="1"/>
  <c r="CV100" i="1"/>
  <c r="CT57" i="1"/>
  <c r="CV57" i="1"/>
  <c r="CV230" i="1"/>
  <c r="CT230" i="1"/>
  <c r="CT29" i="1"/>
  <c r="CV29" i="1"/>
  <c r="CT102" i="1"/>
  <c r="CV102" i="1"/>
  <c r="CV195" i="1"/>
  <c r="CT195" i="1"/>
  <c r="CT189" i="1"/>
  <c r="CV189" i="1"/>
  <c r="CZ230" i="1"/>
  <c r="CZ162" i="1"/>
  <c r="CZ99" i="1"/>
  <c r="CZ143" i="1"/>
  <c r="CZ142" i="1"/>
  <c r="CZ27" i="1"/>
  <c r="CZ309" i="1"/>
  <c r="BX360" i="1" l="1"/>
  <c r="BY360" i="1" s="1"/>
  <c r="CZ196" i="1"/>
  <c r="CZ59" i="1"/>
  <c r="CZ185" i="1"/>
  <c r="CZ31" i="1"/>
  <c r="CZ153" i="1"/>
  <c r="CW195" i="1"/>
  <c r="E212" i="24"/>
  <c r="CW149" i="1"/>
  <c r="E163" i="24"/>
  <c r="BY354" i="1"/>
  <c r="D33" i="3"/>
  <c r="CV185" i="1"/>
  <c r="CT185" i="1"/>
  <c r="CW31" i="1"/>
  <c r="E33" i="24"/>
  <c r="CW186" i="1"/>
  <c r="E203" i="24"/>
  <c r="CW283" i="1"/>
  <c r="E303" i="24"/>
  <c r="CW229" i="1"/>
  <c r="E246" i="24"/>
  <c r="CW143" i="1"/>
  <c r="E156" i="24"/>
  <c r="CW150" i="1"/>
  <c r="E164" i="24"/>
  <c r="CW99" i="1"/>
  <c r="E108" i="24"/>
  <c r="CW86" i="1"/>
  <c r="E95" i="24"/>
  <c r="CW188" i="1"/>
  <c r="E205" i="24"/>
  <c r="CW148" i="1"/>
  <c r="E162" i="24"/>
  <c r="CW35" i="1"/>
  <c r="E37" i="24"/>
  <c r="CZ140" i="1"/>
  <c r="CZ112" i="1"/>
  <c r="CZ167" i="1"/>
  <c r="CZ102" i="1"/>
  <c r="CZ92" i="1"/>
  <c r="CZ176" i="1"/>
  <c r="CZ100" i="1"/>
  <c r="CZ104" i="1"/>
  <c r="CZ282" i="1"/>
  <c r="CZ29" i="1"/>
  <c r="CZ183" i="1"/>
  <c r="CZ101" i="1"/>
  <c r="CZ252" i="1"/>
  <c r="CZ180" i="1"/>
  <c r="CZ194" i="1"/>
  <c r="CW189" i="1"/>
  <c r="E206" i="24"/>
  <c r="CW102" i="1"/>
  <c r="E111" i="24"/>
  <c r="CW100" i="1"/>
  <c r="E109" i="24"/>
  <c r="E29" i="24"/>
  <c r="CW27" i="1"/>
  <c r="CW104" i="1"/>
  <c r="E113" i="24"/>
  <c r="E25" i="24"/>
  <c r="CW24" i="1"/>
  <c r="CW154" i="1"/>
  <c r="E170" i="24"/>
  <c r="CW76" i="1"/>
  <c r="E85" i="24"/>
  <c r="CW140" i="1"/>
  <c r="E153" i="24"/>
  <c r="CW176" i="1"/>
  <c r="E192" i="24"/>
  <c r="CW194" i="1"/>
  <c r="E211" i="24"/>
  <c r="CW309" i="1"/>
  <c r="E329" i="24"/>
  <c r="CW193" i="1"/>
  <c r="E210" i="24"/>
  <c r="CV59" i="1"/>
  <c r="CT59" i="1"/>
  <c r="CW50" i="1"/>
  <c r="E53" i="24"/>
  <c r="CW183" i="1"/>
  <c r="E199" i="24"/>
  <c r="CW153" i="1"/>
  <c r="E169" i="24"/>
  <c r="CW112" i="1"/>
  <c r="E122" i="24"/>
  <c r="CW87" i="1"/>
  <c r="E96" i="24"/>
  <c r="CW252" i="1"/>
  <c r="E269" i="24"/>
  <c r="CW196" i="1"/>
  <c r="E213" i="24"/>
  <c r="CZ229" i="1"/>
  <c r="CZ179" i="1"/>
  <c r="CZ141" i="1"/>
  <c r="CZ189" i="1"/>
  <c r="CZ110" i="1"/>
  <c r="CZ187" i="1"/>
  <c r="CZ195" i="1"/>
  <c r="CZ50" i="1"/>
  <c r="CZ76" i="1"/>
  <c r="CZ57" i="1"/>
  <c r="CZ75" i="1"/>
  <c r="CZ193" i="1"/>
  <c r="CZ246" i="1"/>
  <c r="CZ138" i="1"/>
  <c r="CZ54" i="1"/>
  <c r="CZ87" i="1"/>
  <c r="CZ154" i="1"/>
  <c r="CW230" i="1"/>
  <c r="E247" i="24"/>
  <c r="CW142" i="1"/>
  <c r="E155" i="24"/>
  <c r="CW101" i="1"/>
  <c r="E110" i="24"/>
  <c r="CW141" i="1"/>
  <c r="E154" i="24"/>
  <c r="E58" i="24"/>
  <c r="CW55" i="1"/>
  <c r="CW105" i="1"/>
  <c r="E114" i="24"/>
  <c r="CW56" i="1"/>
  <c r="E59" i="24"/>
  <c r="CW281" i="1"/>
  <c r="E301" i="24"/>
  <c r="CW251" i="1"/>
  <c r="E268" i="24"/>
  <c r="CW280" i="1"/>
  <c r="E300" i="24"/>
  <c r="CW162" i="1"/>
  <c r="E178" i="24"/>
  <c r="CW184" i="1"/>
  <c r="E201" i="24"/>
  <c r="CW29" i="1"/>
  <c r="E31" i="24"/>
  <c r="CW57" i="1"/>
  <c r="E60" i="24"/>
  <c r="CW75" i="1"/>
  <c r="E84" i="24"/>
  <c r="CW179" i="1"/>
  <c r="E195" i="24"/>
  <c r="CW54" i="1"/>
  <c r="E57" i="24"/>
  <c r="CW144" i="1"/>
  <c r="E157" i="24"/>
  <c r="BX365" i="1"/>
  <c r="N33" i="3"/>
  <c r="O33" i="3" s="1"/>
  <c r="CW167" i="1"/>
  <c r="E183" i="24"/>
  <c r="CW180" i="1"/>
  <c r="E196" i="24"/>
  <c r="CW282" i="1"/>
  <c r="E302" i="24"/>
  <c r="CW58" i="1"/>
  <c r="E61" i="24"/>
  <c r="D33" i="12"/>
  <c r="BX364" i="1"/>
  <c r="K33" i="3"/>
  <c r="L33" i="3" s="1"/>
  <c r="CW246" i="1"/>
  <c r="E263" i="24"/>
  <c r="CW187" i="1"/>
  <c r="E204" i="24"/>
  <c r="CW103" i="1"/>
  <c r="E112" i="24"/>
  <c r="CW110" i="1"/>
  <c r="E119" i="24"/>
  <c r="BX366" i="1" l="1"/>
  <c r="G119" i="24"/>
  <c r="F119" i="24"/>
  <c r="G204" i="24"/>
  <c r="F204" i="24"/>
  <c r="G61" i="24"/>
  <c r="F61" i="24"/>
  <c r="F196" i="24"/>
  <c r="G196" i="24"/>
  <c r="F302" i="24"/>
  <c r="G302" i="24"/>
  <c r="F183" i="24"/>
  <c r="G183" i="24"/>
  <c r="G58" i="24"/>
  <c r="F58" i="24"/>
  <c r="F25" i="24"/>
  <c r="G25" i="24"/>
  <c r="G29" i="24"/>
  <c r="F29" i="24"/>
  <c r="G162" i="24"/>
  <c r="F162" i="24"/>
  <c r="F95" i="24"/>
  <c r="G95" i="24"/>
  <c r="F164" i="24"/>
  <c r="G164" i="24"/>
  <c r="F303" i="24"/>
  <c r="G303" i="24"/>
  <c r="F33" i="3"/>
  <c r="E33" i="3"/>
  <c r="G212" i="24"/>
  <c r="F212" i="24"/>
  <c r="E33" i="12"/>
  <c r="F33" i="12"/>
  <c r="F57" i="24"/>
  <c r="G57" i="24"/>
  <c r="F84" i="24"/>
  <c r="G84" i="24"/>
  <c r="F31" i="24"/>
  <c r="G31" i="24"/>
  <c r="F178" i="24"/>
  <c r="G178" i="24"/>
  <c r="G301" i="24"/>
  <c r="F301" i="24"/>
  <c r="F114" i="24"/>
  <c r="G114" i="24"/>
  <c r="F154" i="24"/>
  <c r="G154" i="24"/>
  <c r="F155" i="24"/>
  <c r="G155" i="24"/>
  <c r="F213" i="24"/>
  <c r="G213" i="24"/>
  <c r="G96" i="24"/>
  <c r="F96" i="24"/>
  <c r="G169" i="24"/>
  <c r="F169" i="24"/>
  <c r="G53" i="24"/>
  <c r="F53" i="24"/>
  <c r="F329" i="24"/>
  <c r="G329" i="24"/>
  <c r="G192" i="24"/>
  <c r="F192" i="24"/>
  <c r="F153" i="24"/>
  <c r="G153" i="24"/>
  <c r="G170" i="24"/>
  <c r="F170" i="24"/>
  <c r="F113" i="24"/>
  <c r="G113" i="24"/>
  <c r="F109" i="24"/>
  <c r="G109" i="24"/>
  <c r="G206" i="24"/>
  <c r="F206" i="24"/>
  <c r="CW185" i="1"/>
  <c r="E202" i="24"/>
  <c r="CW59" i="1"/>
  <c r="E62" i="24"/>
  <c r="F37" i="24"/>
  <c r="G37" i="24"/>
  <c r="G205" i="24"/>
  <c r="F205" i="24"/>
  <c r="F108" i="24"/>
  <c r="G108" i="24"/>
  <c r="G156" i="24"/>
  <c r="F156" i="24"/>
  <c r="G246" i="24"/>
  <c r="F246" i="24"/>
  <c r="G203" i="24"/>
  <c r="F203" i="24"/>
  <c r="F33" i="24"/>
  <c r="G33" i="24"/>
  <c r="F163" i="24"/>
  <c r="G163" i="24"/>
  <c r="F112" i="24"/>
  <c r="G112" i="24"/>
  <c r="F263" i="24"/>
  <c r="G263" i="24"/>
  <c r="G157" i="24"/>
  <c r="F157" i="24"/>
  <c r="F195" i="24"/>
  <c r="G195" i="24"/>
  <c r="G60" i="24"/>
  <c r="F60" i="24"/>
  <c r="G201" i="24"/>
  <c r="F201" i="24"/>
  <c r="G300" i="24"/>
  <c r="F300" i="24"/>
  <c r="F268" i="24"/>
  <c r="G268" i="24"/>
  <c r="F59" i="24"/>
  <c r="G59" i="24"/>
  <c r="G110" i="24"/>
  <c r="F110" i="24"/>
  <c r="G247" i="24"/>
  <c r="F247" i="24"/>
  <c r="G269" i="24"/>
  <c r="F269" i="24"/>
  <c r="G122" i="24"/>
  <c r="F122" i="24"/>
  <c r="G199" i="24"/>
  <c r="F199" i="24"/>
  <c r="F210" i="24"/>
  <c r="G210" i="24"/>
  <c r="G211" i="24"/>
  <c r="F211" i="24"/>
  <c r="F85" i="24"/>
  <c r="G85" i="24"/>
  <c r="F111" i="24"/>
  <c r="G111" i="24"/>
  <c r="Z210" i="1" l="1"/>
  <c r="G62" i="24"/>
  <c r="F62" i="24"/>
  <c r="F202" i="24"/>
  <c r="G202" i="24"/>
  <c r="Z108" i="1" l="1"/>
  <c r="Z318" i="1"/>
  <c r="Z197" i="1"/>
  <c r="Z334" i="1"/>
  <c r="Z291" i="1"/>
  <c r="K254" i="1"/>
  <c r="Z284" i="1"/>
  <c r="Z319" i="1"/>
  <c r="Z222" i="1" l="1"/>
  <c r="Z299" i="1"/>
  <c r="Z28" i="1"/>
  <c r="Z256" i="1"/>
  <c r="Z65" i="1"/>
  <c r="Z98" i="1"/>
  <c r="Z238" i="1"/>
  <c r="Z89" i="1"/>
  <c r="Z113" i="1"/>
  <c r="Z225" i="1"/>
  <c r="Z121" i="1"/>
  <c r="Z350" i="1"/>
  <c r="Z209" i="1"/>
  <c r="Z331" i="1"/>
  <c r="Z80" i="1"/>
  <c r="Z72" i="1"/>
  <c r="Z69" i="1"/>
  <c r="Z327" i="1"/>
  <c r="Z233" i="1"/>
  <c r="Z168" i="1"/>
  <c r="Z79" i="1"/>
  <c r="Z312" i="1"/>
  <c r="Z272" i="1"/>
  <c r="Z40" i="1"/>
  <c r="Z198" i="1"/>
  <c r="Z123" i="1"/>
  <c r="Z26" i="1"/>
  <c r="Z215" i="1"/>
  <c r="Z109" i="1"/>
  <c r="Z313" i="1"/>
  <c r="Z268" i="1"/>
  <c r="Z237" i="1"/>
  <c r="Z207" i="1"/>
  <c r="Z82" i="1"/>
  <c r="Z52" i="1"/>
  <c r="Z224" i="1"/>
  <c r="Z94" i="1"/>
  <c r="Z351" i="1"/>
  <c r="Z273" i="1"/>
  <c r="Z16" i="1"/>
  <c r="Z236" i="1"/>
  <c r="Z42" i="1"/>
  <c r="Z243" i="1"/>
  <c r="Z136" i="1"/>
  <c r="Z122" i="1"/>
  <c r="Z88" i="1"/>
  <c r="Z307" i="1"/>
  <c r="Z216" i="1"/>
  <c r="Z117" i="1"/>
  <c r="Z77" i="1"/>
  <c r="Z310" i="1"/>
  <c r="Z264" i="1"/>
  <c r="Z33" i="1"/>
  <c r="Z157" i="1"/>
  <c r="Z137" i="1"/>
  <c r="Z129" i="1"/>
  <c r="Z60" i="1"/>
  <c r="Z306" i="1"/>
  <c r="Z232" i="1"/>
  <c r="Z46" i="1"/>
  <c r="Z223" i="1"/>
  <c r="Z289" i="1"/>
  <c r="Z269" i="1"/>
  <c r="Z211" i="1"/>
  <c r="Z133" i="1"/>
  <c r="Z49" i="1"/>
  <c r="Z341" i="1"/>
  <c r="Z116" i="1"/>
  <c r="Z235" i="1"/>
  <c r="Z158" i="1"/>
  <c r="Z199" i="1"/>
  <c r="Z70" i="1"/>
  <c r="Z287" i="1"/>
  <c r="Z320" i="1"/>
  <c r="Z342" i="1"/>
  <c r="Z202" i="1"/>
  <c r="Z267" i="1"/>
  <c r="Z338" i="1"/>
  <c r="Z340" i="1"/>
  <c r="Z203" i="1"/>
  <c r="Z322" i="1"/>
  <c r="Z339" i="1"/>
  <c r="Z227" i="1"/>
  <c r="K205" i="1"/>
  <c r="K323" i="1"/>
  <c r="Z115" i="1"/>
  <c r="Z241" i="1"/>
  <c r="Z175" i="1"/>
  <c r="Z34" i="1"/>
  <c r="Z220" i="1"/>
  <c r="Z248" i="1"/>
  <c r="Z67" i="1"/>
  <c r="Z301" i="1"/>
  <c r="Z147" i="1"/>
  <c r="Z271" i="1"/>
  <c r="Z119" i="1"/>
  <c r="Z71" i="1"/>
  <c r="Z293" i="1"/>
  <c r="Z275" i="1"/>
  <c r="Z328" i="1"/>
  <c r="Z343" i="1"/>
  <c r="Z171" i="1"/>
  <c r="Z250" i="1"/>
  <c r="Z62" i="1"/>
  <c r="Z279" i="1"/>
  <c r="Z74" i="1"/>
  <c r="Z303" i="1"/>
  <c r="Z37" i="1"/>
  <c r="Z135" i="1"/>
  <c r="Z206" i="1"/>
  <c r="Z18" i="1"/>
  <c r="Z81" i="1"/>
  <c r="Z218" i="1"/>
  <c r="Z201" i="1"/>
  <c r="Z169" i="1"/>
  <c r="Z41" i="1"/>
  <c r="Z337" i="1"/>
  <c r="Z325" i="1"/>
  <c r="Z255" i="1"/>
  <c r="Z177" i="1"/>
  <c r="Z166" i="1"/>
  <c r="Z95" i="1"/>
  <c r="Z298" i="1"/>
  <c r="Z311" i="1"/>
  <c r="Z245" i="1"/>
  <c r="Z244" i="1"/>
  <c r="Z85" i="1"/>
  <c r="Z253" i="1"/>
  <c r="Z181" i="1"/>
  <c r="Z352" i="1"/>
  <c r="Z274" i="1"/>
  <c r="Z23" i="1"/>
  <c r="Z219" i="1"/>
  <c r="Z128" i="1"/>
  <c r="Z83" i="1"/>
  <c r="Z170" i="1"/>
  <c r="Z93" i="1"/>
  <c r="Z297" i="1"/>
  <c r="Z263" i="1"/>
  <c r="Z22" i="1"/>
  <c r="Z32" i="1"/>
  <c r="Z242" i="1"/>
  <c r="Z160" i="1"/>
  <c r="Z132" i="1"/>
  <c r="Z84" i="1"/>
  <c r="Z68" i="1"/>
  <c r="Z151" i="1"/>
  <c r="Z178" i="1"/>
  <c r="Z146" i="1"/>
  <c r="Z346" i="1"/>
  <c r="Z276" i="1"/>
  <c r="Z30" i="1"/>
  <c r="Z214" i="1"/>
  <c r="Z208" i="1"/>
  <c r="Z124" i="1"/>
  <c r="Z90" i="1"/>
  <c r="Z156" i="1"/>
  <c r="Z302" i="1"/>
  <c r="Z11" i="1"/>
  <c r="Z335" i="1"/>
  <c r="Z315" i="1"/>
  <c r="Z21" i="1"/>
  <c r="Z164" i="1"/>
  <c r="Z125" i="1"/>
  <c r="Z97" i="1"/>
  <c r="Z305" i="1"/>
  <c r="Z38" i="1"/>
  <c r="Z36" i="1"/>
  <c r="Z345" i="1"/>
  <c r="Z332" i="1"/>
  <c r="Z73" i="1"/>
  <c r="Z257" i="1"/>
  <c r="Z324" i="1"/>
  <c r="Z44" i="1"/>
  <c r="Z290" i="1"/>
  <c r="Z330" i="1"/>
  <c r="Z336" i="1"/>
  <c r="Z53" i="1"/>
  <c r="Z288" i="1"/>
  <c r="Z326" i="1"/>
  <c r="Z13" i="1"/>
  <c r="K330" i="1"/>
  <c r="AH330" i="1"/>
  <c r="K316" i="1"/>
  <c r="K331" i="1"/>
  <c r="AH331" i="1"/>
  <c r="K258" i="1"/>
  <c r="Z348" i="1"/>
  <c r="Z163" i="1"/>
  <c r="Z47" i="1"/>
  <c r="Z155" i="1"/>
  <c r="Z262" i="1"/>
  <c r="Z204" i="1"/>
  <c r="Z152" i="1"/>
  <c r="Z48" i="1"/>
  <c r="Z212" i="1"/>
  <c r="Z63" i="1"/>
  <c r="Z131" i="1"/>
  <c r="Z134" i="1"/>
  <c r="Z239" i="1"/>
  <c r="Z107" i="1"/>
  <c r="Z285" i="1"/>
  <c r="Z286" i="1"/>
  <c r="Z172" i="1"/>
  <c r="Z96" i="1"/>
  <c r="Z353" i="1"/>
  <c r="Z296" i="1"/>
  <c r="Z261" i="1"/>
  <c r="Z43" i="1"/>
  <c r="Z213" i="1"/>
  <c r="Z126" i="1"/>
  <c r="Z308" i="1"/>
  <c r="Z226" i="1"/>
  <c r="Z174" i="1"/>
  <c r="Z347" i="1"/>
  <c r="Z270" i="1"/>
  <c r="Z19" i="1"/>
  <c r="Z217" i="1"/>
  <c r="Z120" i="1"/>
  <c r="Z64" i="1"/>
  <c r="Z234" i="1"/>
  <c r="Z118" i="1"/>
  <c r="Z78" i="1"/>
  <c r="Z278" i="1"/>
  <c r="Z259" i="1"/>
  <c r="Z17" i="1"/>
  <c r="Z39" i="1"/>
  <c r="Z240" i="1"/>
  <c r="Z190" i="1"/>
  <c r="Z130" i="1"/>
  <c r="Z127" i="1"/>
  <c r="Z61" i="1"/>
  <c r="Z228" i="1"/>
  <c r="Z173" i="1"/>
  <c r="Z111" i="1"/>
  <c r="Z314" i="1"/>
  <c r="Z266" i="1"/>
  <c r="Z20" i="1"/>
  <c r="Z161" i="1"/>
  <c r="Z165" i="1"/>
  <c r="Z91" i="1"/>
  <c r="Z51" i="1"/>
  <c r="Z304" i="1"/>
  <c r="Z231" i="1"/>
  <c r="Z114" i="1"/>
  <c r="Z300" i="1"/>
  <c r="Z277" i="1"/>
  <c r="Z329" i="1"/>
  <c r="Z15" i="1"/>
  <c r="Z159" i="1"/>
  <c r="Z66" i="1"/>
  <c r="Z317" i="1"/>
  <c r="Z221" i="1"/>
  <c r="Z14" i="1"/>
  <c r="Z247" i="1"/>
  <c r="Z249" i="1"/>
  <c r="Z260" i="1"/>
  <c r="Z191" i="1"/>
  <c r="Z200" i="1"/>
  <c r="Z265" i="1"/>
  <c r="Z333" i="1"/>
  <c r="Z145" i="1"/>
  <c r="Z294" i="1"/>
  <c r="Z321" i="1"/>
  <c r="Z344" i="1"/>
  <c r="Z106" i="1"/>
  <c r="Z295" i="1"/>
  <c r="Z323" i="1"/>
  <c r="Z292" i="1"/>
  <c r="K322" i="1" l="1"/>
  <c r="AH322" i="1"/>
  <c r="K324" i="1"/>
  <c r="AH324" i="1"/>
  <c r="K71" i="1"/>
  <c r="AH71" i="1"/>
  <c r="K340" i="1"/>
  <c r="AH340" i="1"/>
  <c r="K192" i="1"/>
  <c r="K257" i="1"/>
  <c r="AH257" i="1"/>
  <c r="K108" i="1"/>
  <c r="AH108" i="1"/>
  <c r="K342" i="1"/>
  <c r="AH342" i="1"/>
  <c r="K12" i="1"/>
  <c r="AH338" i="1"/>
  <c r="K338" i="1"/>
  <c r="AI331" i="1"/>
  <c r="CS331" i="1"/>
  <c r="AI330" i="1"/>
  <c r="CS330" i="1"/>
  <c r="K139" i="1"/>
  <c r="K344" i="1"/>
  <c r="AH344" i="1"/>
  <c r="K290" i="1"/>
  <c r="AH290" i="1"/>
  <c r="K317" i="1"/>
  <c r="AH317" i="1"/>
  <c r="K275" i="1"/>
  <c r="AH275" i="1"/>
  <c r="K335" i="1"/>
  <c r="AH335" i="1"/>
  <c r="K199" i="1"/>
  <c r="AH199" i="1"/>
  <c r="K293" i="1"/>
  <c r="AH293" i="1"/>
  <c r="K53" i="1"/>
  <c r="AH53" i="1"/>
  <c r="K320" i="1"/>
  <c r="AH320" i="1"/>
  <c r="K145" i="1"/>
  <c r="AH145" i="1"/>
  <c r="K321" i="1"/>
  <c r="AH321" i="1"/>
  <c r="AH318" i="1"/>
  <c r="K318" i="1"/>
  <c r="AH323" i="1"/>
  <c r="AH307" i="1"/>
  <c r="K307" i="1"/>
  <c r="K295" i="1"/>
  <c r="AH295" i="1"/>
  <c r="K287" i="1"/>
  <c r="AH287" i="1"/>
  <c r="K203" i="1"/>
  <c r="AH203" i="1"/>
  <c r="K267" i="1"/>
  <c r="AH267" i="1"/>
  <c r="Z9" i="1"/>
  <c r="K345" i="1"/>
  <c r="AH345" i="1"/>
  <c r="K255" i="1"/>
  <c r="AH255" i="1"/>
  <c r="AH191" i="1"/>
  <c r="K191" i="1"/>
  <c r="AH326" i="1"/>
  <c r="K326" i="1"/>
  <c r="AH288" i="1"/>
  <c r="K288" i="1"/>
  <c r="K44" i="1"/>
  <c r="AH44" i="1"/>
  <c r="K336" i="1"/>
  <c r="AH336" i="1"/>
  <c r="K337" i="1"/>
  <c r="AH337" i="1"/>
  <c r="K200" i="1"/>
  <c r="AH200" i="1"/>
  <c r="K260" i="1"/>
  <c r="AH260" i="1"/>
  <c r="K201" i="1"/>
  <c r="AH201" i="1"/>
  <c r="K334" i="1"/>
  <c r="AH334" i="1"/>
  <c r="K292" i="1"/>
  <c r="AH292" i="1"/>
  <c r="AH319" i="1"/>
  <c r="K319" i="1"/>
  <c r="AH332" i="1"/>
  <c r="K332" i="1"/>
  <c r="K69" i="1"/>
  <c r="AH69" i="1"/>
  <c r="K333" i="1"/>
  <c r="AH333" i="1"/>
  <c r="K284" i="1"/>
  <c r="AH284" i="1"/>
  <c r="K73" i="1"/>
  <c r="AH73" i="1"/>
  <c r="K202" i="1"/>
  <c r="AH202" i="1"/>
  <c r="K339" i="1"/>
  <c r="AH339" i="1"/>
  <c r="K197" i="1"/>
  <c r="AH197" i="1"/>
  <c r="K14" i="1"/>
  <c r="AH14" i="1"/>
  <c r="Z25" i="1"/>
  <c r="K327" i="1"/>
  <c r="AH327" i="1"/>
  <c r="AH341" i="1"/>
  <c r="K341" i="1"/>
  <c r="AH291" i="1"/>
  <c r="K291" i="1"/>
  <c r="K329" i="1"/>
  <c r="AH329" i="1"/>
  <c r="K13" i="1"/>
  <c r="AH13" i="1"/>
  <c r="AH70" i="1"/>
  <c r="K70" i="1"/>
  <c r="K72" i="1"/>
  <c r="AH72" i="1"/>
  <c r="K106" i="1"/>
  <c r="AH106" i="1"/>
  <c r="K107" i="1"/>
  <c r="AH107" i="1"/>
  <c r="K286" i="1"/>
  <c r="AH286" i="1"/>
  <c r="K265" i="1"/>
  <c r="AH265" i="1"/>
  <c r="K294" i="1"/>
  <c r="AH294" i="1"/>
  <c r="K328" i="1"/>
  <c r="AH328" i="1"/>
  <c r="AH285" i="1"/>
  <c r="K285" i="1"/>
  <c r="AH343" i="1"/>
  <c r="K343" i="1"/>
  <c r="Z349" i="1"/>
  <c r="AH349" i="1"/>
  <c r="K289" i="1"/>
  <c r="AH289" i="1"/>
  <c r="AH325" i="1"/>
  <c r="K325" i="1"/>
  <c r="K178" i="1" l="1"/>
  <c r="AH178" i="1"/>
  <c r="K166" i="1"/>
  <c r="AH166" i="1"/>
  <c r="K231" i="1"/>
  <c r="AH231" i="1"/>
  <c r="AH95" i="1"/>
  <c r="K95" i="1"/>
  <c r="AH227" i="1"/>
  <c r="K227" i="1"/>
  <c r="K175" i="1"/>
  <c r="AH175" i="1"/>
  <c r="K232" i="1"/>
  <c r="AH232" i="1"/>
  <c r="AH353" i="1"/>
  <c r="K353" i="1"/>
  <c r="K66" i="1"/>
  <c r="AH66" i="1"/>
  <c r="K127" i="1"/>
  <c r="AH127" i="1"/>
  <c r="K351" i="1"/>
  <c r="AH351" i="1"/>
  <c r="AH137" i="1"/>
  <c r="K137" i="1"/>
  <c r="AH80" i="1"/>
  <c r="K80" i="1"/>
  <c r="K159" i="1"/>
  <c r="AH159" i="1"/>
  <c r="AH11" i="1"/>
  <c r="K11" i="1"/>
  <c r="K22" i="1"/>
  <c r="AH22" i="1"/>
  <c r="AH239" i="1"/>
  <c r="K239" i="1"/>
  <c r="AH250" i="1"/>
  <c r="K250" i="1"/>
  <c r="K126" i="1"/>
  <c r="AH126" i="1"/>
  <c r="K273" i="1"/>
  <c r="AH273" i="1"/>
  <c r="K302" i="1"/>
  <c r="AH302" i="1"/>
  <c r="AH161" i="1"/>
  <c r="K161" i="1"/>
  <c r="AH269" i="1"/>
  <c r="K269" i="1"/>
  <c r="AH262" i="1"/>
  <c r="K262" i="1"/>
  <c r="AI349" i="1"/>
  <c r="CS349" i="1"/>
  <c r="AI294" i="1"/>
  <c r="CS294" i="1"/>
  <c r="AI286" i="1"/>
  <c r="CS286" i="1"/>
  <c r="AI106" i="1"/>
  <c r="CS106" i="1"/>
  <c r="AI329" i="1"/>
  <c r="CS329" i="1"/>
  <c r="AI197" i="1"/>
  <c r="CS197" i="1"/>
  <c r="AI202" i="1"/>
  <c r="CS202" i="1"/>
  <c r="CS284" i="1"/>
  <c r="AI284" i="1"/>
  <c r="AI69" i="1"/>
  <c r="CS69" i="1"/>
  <c r="AI334" i="1"/>
  <c r="CS334" i="1"/>
  <c r="AI260" i="1"/>
  <c r="CS260" i="1"/>
  <c r="AI337" i="1"/>
  <c r="CS337" i="1"/>
  <c r="AI44" i="1"/>
  <c r="CS44" i="1"/>
  <c r="AH94" i="1"/>
  <c r="K94" i="1"/>
  <c r="K78" i="1"/>
  <c r="AH78" i="1"/>
  <c r="K146" i="1"/>
  <c r="AH146" i="1"/>
  <c r="K224" i="1"/>
  <c r="AH224" i="1"/>
  <c r="AH116" i="1"/>
  <c r="K116" i="1"/>
  <c r="K77" i="1"/>
  <c r="AH77" i="1"/>
  <c r="K97" i="1"/>
  <c r="AH97" i="1"/>
  <c r="K163" i="1"/>
  <c r="AH163" i="1"/>
  <c r="AH272" i="1"/>
  <c r="K272" i="1"/>
  <c r="K60" i="1"/>
  <c r="AH60" i="1"/>
  <c r="K243" i="1"/>
  <c r="AH243" i="1"/>
  <c r="K242" i="1"/>
  <c r="AH242" i="1"/>
  <c r="AH190" i="1"/>
  <c r="K190" i="1"/>
  <c r="AH20" i="1"/>
  <c r="K20" i="1"/>
  <c r="K214" i="1"/>
  <c r="AH214" i="1"/>
  <c r="AH91" i="1"/>
  <c r="K91" i="1"/>
  <c r="AH21" i="1"/>
  <c r="K21" i="1"/>
  <c r="K19" i="1"/>
  <c r="AH19" i="1"/>
  <c r="AH49" i="1"/>
  <c r="K49" i="1"/>
  <c r="K157" i="1"/>
  <c r="AH157" i="1"/>
  <c r="K213" i="1"/>
  <c r="AH213" i="1"/>
  <c r="K158" i="1"/>
  <c r="AH158" i="1"/>
  <c r="K212" i="1"/>
  <c r="AH212" i="1"/>
  <c r="AH122" i="1"/>
  <c r="K122" i="1"/>
  <c r="K211" i="1"/>
  <c r="AH211" i="1"/>
  <c r="CS288" i="1"/>
  <c r="AI288" i="1"/>
  <c r="AI191" i="1"/>
  <c r="CS191" i="1"/>
  <c r="AI267" i="1"/>
  <c r="CS267" i="1"/>
  <c r="AI287" i="1"/>
  <c r="CS287" i="1"/>
  <c r="AI318" i="1"/>
  <c r="CS318" i="1"/>
  <c r="AI53" i="1"/>
  <c r="CS53" i="1"/>
  <c r="AI199" i="1"/>
  <c r="CS199" i="1"/>
  <c r="AI275" i="1"/>
  <c r="CS275" i="1"/>
  <c r="AI290" i="1"/>
  <c r="CS290" i="1"/>
  <c r="CV331" i="1"/>
  <c r="CT331" i="1"/>
  <c r="AI108" i="1"/>
  <c r="CS108" i="1"/>
  <c r="AI71" i="1"/>
  <c r="CS71" i="1"/>
  <c r="CS322" i="1"/>
  <c r="AI322" i="1"/>
  <c r="K304" i="1"/>
  <c r="AH304" i="1"/>
  <c r="AH115" i="1"/>
  <c r="K115" i="1"/>
  <c r="AH174" i="1"/>
  <c r="K174" i="1"/>
  <c r="AH79" i="1"/>
  <c r="K79" i="1"/>
  <c r="K253" i="1"/>
  <c r="AH253" i="1"/>
  <c r="K169" i="1"/>
  <c r="AH169" i="1"/>
  <c r="AH170" i="1"/>
  <c r="K170" i="1"/>
  <c r="AH25" i="1"/>
  <c r="K25" i="1"/>
  <c r="AH249" i="1"/>
  <c r="K249" i="1"/>
  <c r="AH30" i="1"/>
  <c r="K30" i="1"/>
  <c r="AH51" i="1"/>
  <c r="K51" i="1"/>
  <c r="AH36" i="1"/>
  <c r="K36" i="1"/>
  <c r="AH130" i="1"/>
  <c r="K130" i="1"/>
  <c r="K89" i="1"/>
  <c r="AH89" i="1"/>
  <c r="K165" i="1"/>
  <c r="AH165" i="1"/>
  <c r="K225" i="1"/>
  <c r="AH225" i="1"/>
  <c r="K63" i="1"/>
  <c r="AH63" i="1"/>
  <c r="K43" i="1"/>
  <c r="AH43" i="1"/>
  <c r="K210" i="1"/>
  <c r="AH210" i="1"/>
  <c r="K313" i="1"/>
  <c r="AH313" i="1"/>
  <c r="K74" i="1"/>
  <c r="AH74" i="1"/>
  <c r="K81" i="1"/>
  <c r="AH81" i="1"/>
  <c r="K123" i="1"/>
  <c r="AH123" i="1"/>
  <c r="K82" i="1"/>
  <c r="AH82" i="1"/>
  <c r="AH219" i="1"/>
  <c r="K219" i="1"/>
  <c r="K61" i="1"/>
  <c r="AH61" i="1"/>
  <c r="AI325" i="1"/>
  <c r="CS325" i="1"/>
  <c r="CS285" i="1"/>
  <c r="AI285" i="1"/>
  <c r="AI70" i="1"/>
  <c r="CS70" i="1"/>
  <c r="AI341" i="1"/>
  <c r="CS341" i="1"/>
  <c r="AI319" i="1"/>
  <c r="CS319" i="1"/>
  <c r="AH96" i="1"/>
  <c r="K96" i="1"/>
  <c r="K111" i="1"/>
  <c r="AH111" i="1"/>
  <c r="AH156" i="1"/>
  <c r="K156" i="1"/>
  <c r="AH177" i="1"/>
  <c r="K177" i="1"/>
  <c r="K220" i="1"/>
  <c r="AH220" i="1"/>
  <c r="AH118" i="1"/>
  <c r="K118" i="1"/>
  <c r="K206" i="1"/>
  <c r="AH206" i="1"/>
  <c r="AH114" i="1"/>
  <c r="K114" i="1"/>
  <c r="K33" i="1"/>
  <c r="AH33" i="1"/>
  <c r="AH134" i="1"/>
  <c r="K134" i="1"/>
  <c r="K244" i="1"/>
  <c r="AH244" i="1"/>
  <c r="K347" i="1"/>
  <c r="AH347" i="1"/>
  <c r="K32" i="1"/>
  <c r="AH32" i="1"/>
  <c r="AH198" i="1"/>
  <c r="K198" i="1"/>
  <c r="K131" i="1"/>
  <c r="AH131" i="1"/>
  <c r="AH23" i="1"/>
  <c r="K23" i="1"/>
  <c r="AH37" i="1"/>
  <c r="K37" i="1"/>
  <c r="K65" i="1"/>
  <c r="AH65" i="1"/>
  <c r="K263" i="1"/>
  <c r="AH263" i="1"/>
  <c r="AH39" i="1"/>
  <c r="K39" i="1"/>
  <c r="K204" i="1"/>
  <c r="AH204" i="1"/>
  <c r="Z258" i="1"/>
  <c r="AH258" i="1"/>
  <c r="K124" i="1"/>
  <c r="AH124" i="1"/>
  <c r="K136" i="1"/>
  <c r="AH136" i="1"/>
  <c r="K83" i="1"/>
  <c r="AH83" i="1"/>
  <c r="K266" i="1"/>
  <c r="AH266" i="1"/>
  <c r="CS255" i="1"/>
  <c r="AI255" i="1"/>
  <c r="AI307" i="1"/>
  <c r="CS307" i="1"/>
  <c r="CS321" i="1"/>
  <c r="AI321" i="1"/>
  <c r="AI320" i="1"/>
  <c r="CS320" i="1"/>
  <c r="Z205" i="1"/>
  <c r="AH205" i="1"/>
  <c r="K308" i="1"/>
  <c r="AH308" i="1"/>
  <c r="K109" i="1"/>
  <c r="AH109" i="1"/>
  <c r="K93" i="1"/>
  <c r="AH93" i="1"/>
  <c r="AH117" i="1"/>
  <c r="K117" i="1"/>
  <c r="AH98" i="1"/>
  <c r="K98" i="1"/>
  <c r="K47" i="1"/>
  <c r="AH47" i="1"/>
  <c r="K160" i="1"/>
  <c r="AH160" i="1"/>
  <c r="K209" i="1"/>
  <c r="AH209" i="1"/>
  <c r="K303" i="1"/>
  <c r="AH303" i="1"/>
  <c r="K135" i="1"/>
  <c r="AH135" i="1"/>
  <c r="K42" i="1"/>
  <c r="AH42" i="1"/>
  <c r="K259" i="1"/>
  <c r="AH259" i="1"/>
  <c r="AH240" i="1"/>
  <c r="K240" i="1"/>
  <c r="AH90" i="1"/>
  <c r="K90" i="1"/>
  <c r="K248" i="1"/>
  <c r="AH248" i="1"/>
  <c r="AH84" i="1"/>
  <c r="K84" i="1"/>
  <c r="K121" i="1"/>
  <c r="AH121" i="1"/>
  <c r="K15" i="1"/>
  <c r="AH15" i="1"/>
  <c r="AH297" i="1"/>
  <c r="K297" i="1"/>
  <c r="K64" i="1"/>
  <c r="AH64" i="1"/>
  <c r="K261" i="1"/>
  <c r="AH261" i="1"/>
  <c r="K310" i="1"/>
  <c r="AH310" i="1"/>
  <c r="AH120" i="1"/>
  <c r="K120" i="1"/>
  <c r="K348" i="1"/>
  <c r="AH348" i="1"/>
  <c r="CS289" i="1"/>
  <c r="AI289" i="1"/>
  <c r="AI328" i="1"/>
  <c r="CS328" i="1"/>
  <c r="AI265" i="1"/>
  <c r="CS265" i="1"/>
  <c r="AI107" i="1"/>
  <c r="CS107" i="1"/>
  <c r="AI72" i="1"/>
  <c r="CS72" i="1"/>
  <c r="AI13" i="1"/>
  <c r="CS13" i="1"/>
  <c r="AI327" i="1"/>
  <c r="CS327" i="1"/>
  <c r="AI14" i="1"/>
  <c r="CS14" i="1"/>
  <c r="AI339" i="1"/>
  <c r="CS339" i="1"/>
  <c r="AI73" i="1"/>
  <c r="CS73" i="1"/>
  <c r="AI333" i="1"/>
  <c r="CS333" i="1"/>
  <c r="AI292" i="1"/>
  <c r="CS292" i="1"/>
  <c r="AI201" i="1"/>
  <c r="CS201" i="1"/>
  <c r="AI200" i="1"/>
  <c r="CS200" i="1"/>
  <c r="CS336" i="1"/>
  <c r="AI336" i="1"/>
  <c r="K226" i="1"/>
  <c r="AH226" i="1"/>
  <c r="AH234" i="1"/>
  <c r="K234" i="1"/>
  <c r="K221" i="1"/>
  <c r="AH221" i="1"/>
  <c r="K228" i="1"/>
  <c r="AH228" i="1"/>
  <c r="AH168" i="1"/>
  <c r="K168" i="1"/>
  <c r="AH173" i="1"/>
  <c r="K173" i="1"/>
  <c r="K172" i="1"/>
  <c r="AH172" i="1"/>
  <c r="K306" i="1"/>
  <c r="AH306" i="1"/>
  <c r="AH88" i="1"/>
  <c r="K88" i="1"/>
  <c r="K315" i="1"/>
  <c r="AH315" i="1"/>
  <c r="K133" i="1"/>
  <c r="AH133" i="1"/>
  <c r="K128" i="1"/>
  <c r="AH128" i="1"/>
  <c r="K276" i="1"/>
  <c r="AH276" i="1"/>
  <c r="AH237" i="1"/>
  <c r="K237" i="1"/>
  <c r="K279" i="1"/>
  <c r="AH279" i="1"/>
  <c r="K85" i="1"/>
  <c r="AH85" i="1"/>
  <c r="K238" i="1"/>
  <c r="AH238" i="1"/>
  <c r="AH38" i="1"/>
  <c r="K38" i="1"/>
  <c r="AH164" i="1"/>
  <c r="K164" i="1"/>
  <c r="K16" i="1"/>
  <c r="AH16" i="1"/>
  <c r="K235" i="1"/>
  <c r="AH235" i="1"/>
  <c r="AH236" i="1"/>
  <c r="K236" i="1"/>
  <c r="K18" i="1"/>
  <c r="AH18" i="1"/>
  <c r="AH68" i="1"/>
  <c r="K68" i="1"/>
  <c r="K67" i="1"/>
  <c r="AH67" i="1"/>
  <c r="AI326" i="1"/>
  <c r="CS326" i="1"/>
  <c r="AI203" i="1"/>
  <c r="CS203" i="1"/>
  <c r="AI295" i="1"/>
  <c r="CS295" i="1"/>
  <c r="AI323" i="1"/>
  <c r="CS323" i="1"/>
  <c r="AI293" i="1"/>
  <c r="CS293" i="1"/>
  <c r="CS335" i="1"/>
  <c r="AI335" i="1"/>
  <c r="AI317" i="1"/>
  <c r="CS317" i="1"/>
  <c r="AI344" i="1"/>
  <c r="CS344" i="1"/>
  <c r="CT330" i="1"/>
  <c r="CV330" i="1"/>
  <c r="CS342" i="1"/>
  <c r="AI342" i="1"/>
  <c r="AI257" i="1"/>
  <c r="CS257" i="1"/>
  <c r="AI340" i="1"/>
  <c r="CS340" i="1"/>
  <c r="AI324" i="1"/>
  <c r="CS324" i="1"/>
  <c r="AH233" i="1"/>
  <c r="K233" i="1"/>
  <c r="K181" i="1"/>
  <c r="AH181" i="1"/>
  <c r="AH147" i="1"/>
  <c r="K147" i="1"/>
  <c r="Z254" i="1"/>
  <c r="AH254" i="1"/>
  <c r="K216" i="1"/>
  <c r="AH216" i="1"/>
  <c r="K218" i="1"/>
  <c r="AH218" i="1"/>
  <c r="AH223" i="1"/>
  <c r="K223" i="1"/>
  <c r="AH215" i="1"/>
  <c r="K215" i="1"/>
  <c r="K305" i="1"/>
  <c r="AH305" i="1"/>
  <c r="K314" i="1"/>
  <c r="AH314" i="1"/>
  <c r="K208" i="1"/>
  <c r="AH208" i="1"/>
  <c r="AH62" i="1"/>
  <c r="K62" i="1"/>
  <c r="K52" i="1"/>
  <c r="AH52" i="1"/>
  <c r="AH346" i="1"/>
  <c r="K346" i="1"/>
  <c r="K311" i="1"/>
  <c r="AH311" i="1"/>
  <c r="AH352" i="1"/>
  <c r="K352" i="1"/>
  <c r="K256" i="1"/>
  <c r="AH256" i="1"/>
  <c r="K245" i="1"/>
  <c r="AH245" i="1"/>
  <c r="K264" i="1"/>
  <c r="AH264" i="1"/>
  <c r="K132" i="1"/>
  <c r="AH132" i="1"/>
  <c r="AH241" i="1"/>
  <c r="K241" i="1"/>
  <c r="K312" i="1"/>
  <c r="AH312" i="1"/>
  <c r="Z316" i="1"/>
  <c r="AH316" i="1"/>
  <c r="AH40" i="1"/>
  <c r="K40" i="1"/>
  <c r="AH296" i="1"/>
  <c r="K296" i="1"/>
  <c r="K301" i="1"/>
  <c r="AH301" i="1"/>
  <c r="K271" i="1"/>
  <c r="AH271" i="1"/>
  <c r="CS343" i="1"/>
  <c r="AI343" i="1"/>
  <c r="CS291" i="1"/>
  <c r="AI291" i="1"/>
  <c r="AI332" i="1"/>
  <c r="CS332" i="1"/>
  <c r="K222" i="1"/>
  <c r="AH222" i="1"/>
  <c r="AH26" i="1"/>
  <c r="K26" i="1"/>
  <c r="AH171" i="1"/>
  <c r="K171" i="1"/>
  <c r="AH46" i="1"/>
  <c r="K46" i="1"/>
  <c r="K48" i="1"/>
  <c r="AH48" i="1"/>
  <c r="K119" i="1"/>
  <c r="AH119" i="1"/>
  <c r="K28" i="1"/>
  <c r="AH28" i="1"/>
  <c r="K113" i="1"/>
  <c r="AH113" i="1"/>
  <c r="K207" i="1"/>
  <c r="AH207" i="1"/>
  <c r="K129" i="1"/>
  <c r="AH129" i="1"/>
  <c r="K270" i="1"/>
  <c r="AH270" i="1"/>
  <c r="AH34" i="1"/>
  <c r="K34" i="1"/>
  <c r="AH41" i="1"/>
  <c r="K41" i="1"/>
  <c r="K300" i="1"/>
  <c r="AH300" i="1"/>
  <c r="K125" i="1"/>
  <c r="AH125" i="1"/>
  <c r="K350" i="1"/>
  <c r="AH350" i="1"/>
  <c r="K155" i="1"/>
  <c r="AH155" i="1"/>
  <c r="K217" i="1"/>
  <c r="AH217" i="1"/>
  <c r="AH277" i="1"/>
  <c r="K277" i="1"/>
  <c r="AH274" i="1"/>
  <c r="K274" i="1"/>
  <c r="AH298" i="1"/>
  <c r="K298" i="1"/>
  <c r="K278" i="1"/>
  <c r="AH278" i="1"/>
  <c r="K268" i="1"/>
  <c r="AH268" i="1"/>
  <c r="AH299" i="1"/>
  <c r="K299" i="1"/>
  <c r="AH17" i="1"/>
  <c r="K17" i="1"/>
  <c r="K247" i="1"/>
  <c r="AH247" i="1"/>
  <c r="AI345" i="1"/>
  <c r="CS345" i="1"/>
  <c r="AI145" i="1"/>
  <c r="CS145" i="1"/>
  <c r="CS338" i="1"/>
  <c r="AI338" i="1"/>
  <c r="CV145" i="1" l="1"/>
  <c r="CW145" i="1" s="1"/>
  <c r="CT145" i="1"/>
  <c r="CS17" i="1"/>
  <c r="AI17" i="1"/>
  <c r="AI298" i="1"/>
  <c r="CS298" i="1"/>
  <c r="AI277" i="1"/>
  <c r="CS277" i="1"/>
  <c r="AI41" i="1"/>
  <c r="CS41" i="1"/>
  <c r="AI171" i="1"/>
  <c r="CS171" i="1"/>
  <c r="CT291" i="1"/>
  <c r="CV291" i="1"/>
  <c r="CS40" i="1"/>
  <c r="AI40" i="1"/>
  <c r="AI352" i="1"/>
  <c r="CS352" i="1"/>
  <c r="AI346" i="1"/>
  <c r="CS346" i="1"/>
  <c r="AI62" i="1"/>
  <c r="CS62" i="1"/>
  <c r="AI215" i="1"/>
  <c r="CS215" i="1"/>
  <c r="AI67" i="1"/>
  <c r="CS67" i="1"/>
  <c r="AI18" i="1"/>
  <c r="CS18" i="1"/>
  <c r="AI235" i="1"/>
  <c r="CS235" i="1"/>
  <c r="AI238" i="1"/>
  <c r="CS238" i="1"/>
  <c r="AI279" i="1"/>
  <c r="CS279" i="1"/>
  <c r="AI276" i="1"/>
  <c r="CS276" i="1"/>
  <c r="AI133" i="1"/>
  <c r="CS133" i="1"/>
  <c r="AI172" i="1"/>
  <c r="CS172" i="1"/>
  <c r="AI221" i="1"/>
  <c r="CS221" i="1"/>
  <c r="AI226" i="1"/>
  <c r="CS226" i="1"/>
  <c r="CV201" i="1"/>
  <c r="CT201" i="1"/>
  <c r="CT333" i="1"/>
  <c r="CV333" i="1"/>
  <c r="CT339" i="1"/>
  <c r="CV339" i="1"/>
  <c r="CV327" i="1"/>
  <c r="CT327" i="1"/>
  <c r="CT72" i="1"/>
  <c r="CV72" i="1"/>
  <c r="CT265" i="1"/>
  <c r="CV265" i="1"/>
  <c r="AI261" i="1"/>
  <c r="CS261" i="1"/>
  <c r="AI121" i="1"/>
  <c r="CS121" i="1"/>
  <c r="CS248" i="1"/>
  <c r="AI248" i="1"/>
  <c r="AI42" i="1"/>
  <c r="CS42" i="1"/>
  <c r="AI303" i="1"/>
  <c r="CS303" i="1"/>
  <c r="AI160" i="1"/>
  <c r="CS160" i="1"/>
  <c r="AI93" i="1"/>
  <c r="CS93" i="1"/>
  <c r="AI308" i="1"/>
  <c r="CS308" i="1"/>
  <c r="CT321" i="1"/>
  <c r="CV321" i="1"/>
  <c r="CV255" i="1"/>
  <c r="CT255" i="1"/>
  <c r="AI37" i="1"/>
  <c r="CS37" i="1"/>
  <c r="AI156" i="1"/>
  <c r="CS156" i="1"/>
  <c r="AI96" i="1"/>
  <c r="CS96" i="1"/>
  <c r="CT285" i="1"/>
  <c r="CV285" i="1"/>
  <c r="AI36" i="1"/>
  <c r="CS36" i="1"/>
  <c r="AI30" i="1"/>
  <c r="CS30" i="1"/>
  <c r="AI169" i="1"/>
  <c r="CS169" i="1"/>
  <c r="CT108" i="1"/>
  <c r="CV108" i="1"/>
  <c r="CT290" i="1"/>
  <c r="CV290" i="1"/>
  <c r="CT199" i="1"/>
  <c r="CV199" i="1"/>
  <c r="CV318" i="1"/>
  <c r="CT318" i="1"/>
  <c r="CT267" i="1"/>
  <c r="CV267" i="1"/>
  <c r="CS211" i="1"/>
  <c r="AI211" i="1"/>
  <c r="AI212" i="1"/>
  <c r="CS212" i="1"/>
  <c r="CS213" i="1"/>
  <c r="AI213" i="1"/>
  <c r="AI214" i="1"/>
  <c r="CS214" i="1"/>
  <c r="CS243" i="1"/>
  <c r="AI243" i="1"/>
  <c r="AI97" i="1"/>
  <c r="CS97" i="1"/>
  <c r="AI146" i="1"/>
  <c r="CS146" i="1"/>
  <c r="CT44" i="1"/>
  <c r="CV44" i="1"/>
  <c r="CT260" i="1"/>
  <c r="CV260" i="1"/>
  <c r="CV69" i="1"/>
  <c r="CT69" i="1"/>
  <c r="CV202" i="1"/>
  <c r="CT202" i="1"/>
  <c r="CT329" i="1"/>
  <c r="CV329" i="1"/>
  <c r="CT286" i="1"/>
  <c r="CV286" i="1"/>
  <c r="CT349" i="1"/>
  <c r="CV349" i="1"/>
  <c r="AI302" i="1"/>
  <c r="CS302" i="1"/>
  <c r="AI126" i="1"/>
  <c r="CS126" i="1"/>
  <c r="AI351" i="1"/>
  <c r="CS351" i="1"/>
  <c r="AI66" i="1"/>
  <c r="CS66" i="1"/>
  <c r="AI232" i="1"/>
  <c r="CS232" i="1"/>
  <c r="AI231" i="1"/>
  <c r="CS231" i="1"/>
  <c r="AI178" i="1"/>
  <c r="CS178" i="1"/>
  <c r="K152" i="1"/>
  <c r="AH152" i="1"/>
  <c r="CT338" i="1"/>
  <c r="CV338" i="1"/>
  <c r="AI247" i="1"/>
  <c r="CS247" i="1"/>
  <c r="AI278" i="1"/>
  <c r="CS278" i="1"/>
  <c r="AI217" i="1"/>
  <c r="CS217" i="1"/>
  <c r="AI350" i="1"/>
  <c r="CS350" i="1"/>
  <c r="AI300" i="1"/>
  <c r="CS300" i="1"/>
  <c r="CS129" i="1"/>
  <c r="AI129" i="1"/>
  <c r="AI113" i="1"/>
  <c r="CS113" i="1"/>
  <c r="AI119" i="1"/>
  <c r="CS119" i="1"/>
  <c r="CT332" i="1"/>
  <c r="CV332" i="1"/>
  <c r="CS271" i="1"/>
  <c r="AI271" i="1"/>
  <c r="AI316" i="1"/>
  <c r="CS316" i="1"/>
  <c r="CS264" i="1"/>
  <c r="AI264" i="1"/>
  <c r="CS256" i="1"/>
  <c r="AI256" i="1"/>
  <c r="AI311" i="1"/>
  <c r="CS311" i="1"/>
  <c r="AI52" i="1"/>
  <c r="CS52" i="1"/>
  <c r="AI208" i="1"/>
  <c r="CS208" i="1"/>
  <c r="CS305" i="1"/>
  <c r="AI305" i="1"/>
  <c r="AI216" i="1"/>
  <c r="CS216" i="1"/>
  <c r="CT340" i="1"/>
  <c r="CV340" i="1"/>
  <c r="CT344" i="1"/>
  <c r="CV344" i="1"/>
  <c r="CT323" i="1"/>
  <c r="CV323" i="1"/>
  <c r="CT203" i="1"/>
  <c r="CV203" i="1"/>
  <c r="AI164" i="1"/>
  <c r="CS164" i="1"/>
  <c r="CS88" i="1"/>
  <c r="AI88" i="1"/>
  <c r="AI168" i="1"/>
  <c r="CS168" i="1"/>
  <c r="CV336" i="1"/>
  <c r="CT336" i="1"/>
  <c r="CT289" i="1"/>
  <c r="CV289" i="1"/>
  <c r="AI120" i="1"/>
  <c r="CS120" i="1"/>
  <c r="AI297" i="1"/>
  <c r="CS297" i="1"/>
  <c r="AI240" i="1"/>
  <c r="CS240" i="1"/>
  <c r="AI98" i="1"/>
  <c r="CS98" i="1"/>
  <c r="CT320" i="1"/>
  <c r="CV320" i="1"/>
  <c r="CV307" i="1"/>
  <c r="CT307" i="1"/>
  <c r="CS266" i="1"/>
  <c r="AI266" i="1"/>
  <c r="AI136" i="1"/>
  <c r="CS136" i="1"/>
  <c r="AI258" i="1"/>
  <c r="CS258" i="1"/>
  <c r="AI65" i="1"/>
  <c r="CS65" i="1"/>
  <c r="AI347" i="1"/>
  <c r="CS347" i="1"/>
  <c r="AI111" i="1"/>
  <c r="CS111" i="1"/>
  <c r="CT319" i="1"/>
  <c r="CV319" i="1"/>
  <c r="CV70" i="1"/>
  <c r="CT70" i="1"/>
  <c r="CT325" i="1"/>
  <c r="CV325" i="1"/>
  <c r="AH151" i="1"/>
  <c r="K151" i="1"/>
  <c r="Z12" i="1"/>
  <c r="Y359" i="1"/>
  <c r="AH12" i="1"/>
  <c r="AI123" i="1"/>
  <c r="CS123" i="1"/>
  <c r="CS74" i="1"/>
  <c r="AI74" i="1"/>
  <c r="AI210" i="1"/>
  <c r="CS210" i="1"/>
  <c r="AI63" i="1"/>
  <c r="CS63" i="1"/>
  <c r="AI165" i="1"/>
  <c r="CS165" i="1"/>
  <c r="AI25" i="1"/>
  <c r="CS25" i="1"/>
  <c r="AI79" i="1"/>
  <c r="CS79" i="1"/>
  <c r="AI115" i="1"/>
  <c r="CS115" i="1"/>
  <c r="CT322" i="1"/>
  <c r="CV322" i="1"/>
  <c r="CV288" i="1"/>
  <c r="CT288" i="1"/>
  <c r="AI49" i="1"/>
  <c r="CS49" i="1"/>
  <c r="AI21" i="1"/>
  <c r="CS21" i="1"/>
  <c r="AI190" i="1"/>
  <c r="CS190" i="1"/>
  <c r="CS272" i="1"/>
  <c r="AI272" i="1"/>
  <c r="AI116" i="1"/>
  <c r="CS116" i="1"/>
  <c r="AI94" i="1"/>
  <c r="CS94" i="1"/>
  <c r="AI269" i="1"/>
  <c r="CS269" i="1"/>
  <c r="AI239" i="1"/>
  <c r="CS239" i="1"/>
  <c r="CS11" i="1"/>
  <c r="AI11" i="1"/>
  <c r="AI80" i="1"/>
  <c r="CS80" i="1"/>
  <c r="AI227" i="1"/>
  <c r="CS227" i="1"/>
  <c r="AI299" i="1"/>
  <c r="CS299" i="1"/>
  <c r="AI274" i="1"/>
  <c r="CS274" i="1"/>
  <c r="AI34" i="1"/>
  <c r="CS34" i="1"/>
  <c r="AI46" i="1"/>
  <c r="CS46" i="1"/>
  <c r="CS26" i="1"/>
  <c r="AI26" i="1"/>
  <c r="CV343" i="1"/>
  <c r="CT343" i="1"/>
  <c r="AI296" i="1"/>
  <c r="CS296" i="1"/>
  <c r="CS241" i="1"/>
  <c r="AI241" i="1"/>
  <c r="AI223" i="1"/>
  <c r="CS223" i="1"/>
  <c r="AI147" i="1"/>
  <c r="CS147" i="1"/>
  <c r="AI233" i="1"/>
  <c r="CS233" i="1"/>
  <c r="CT342" i="1"/>
  <c r="CV342" i="1"/>
  <c r="CT335" i="1"/>
  <c r="CV335" i="1"/>
  <c r="CS16" i="1"/>
  <c r="AI16" i="1"/>
  <c r="AI85" i="1"/>
  <c r="CS85" i="1"/>
  <c r="AI128" i="1"/>
  <c r="CS128" i="1"/>
  <c r="AI315" i="1"/>
  <c r="CS315" i="1"/>
  <c r="AI306" i="1"/>
  <c r="CS306" i="1"/>
  <c r="AI228" i="1"/>
  <c r="CS228" i="1"/>
  <c r="CT200" i="1"/>
  <c r="CV200" i="1"/>
  <c r="CT292" i="1"/>
  <c r="CV292" i="1"/>
  <c r="CT73" i="1"/>
  <c r="CV73" i="1"/>
  <c r="CV14" i="1"/>
  <c r="CT14" i="1"/>
  <c r="CT13" i="1"/>
  <c r="CV13" i="1"/>
  <c r="CV107" i="1"/>
  <c r="CW107" i="1" s="1"/>
  <c r="CT107" i="1"/>
  <c r="CT328" i="1"/>
  <c r="CV328" i="1"/>
  <c r="AI348" i="1"/>
  <c r="CS348" i="1"/>
  <c r="AI310" i="1"/>
  <c r="CS310" i="1"/>
  <c r="AI64" i="1"/>
  <c r="CS64" i="1"/>
  <c r="AI15" i="1"/>
  <c r="CS15" i="1"/>
  <c r="CS259" i="1"/>
  <c r="AI259" i="1"/>
  <c r="AI135" i="1"/>
  <c r="CS135" i="1"/>
  <c r="AI209" i="1"/>
  <c r="CS209" i="1"/>
  <c r="CS47" i="1"/>
  <c r="AI47" i="1"/>
  <c r="AI109" i="1"/>
  <c r="CS109" i="1"/>
  <c r="AI205" i="1"/>
  <c r="CS205" i="1"/>
  <c r="Z192" i="1"/>
  <c r="AH192" i="1"/>
  <c r="AI39" i="1"/>
  <c r="CS39" i="1"/>
  <c r="AI23" i="1"/>
  <c r="CS23" i="1"/>
  <c r="CS198" i="1"/>
  <c r="AI198" i="1"/>
  <c r="CS134" i="1"/>
  <c r="AI134" i="1"/>
  <c r="AI114" i="1"/>
  <c r="CS114" i="1"/>
  <c r="AI118" i="1"/>
  <c r="CS118" i="1"/>
  <c r="AI177" i="1"/>
  <c r="CS177" i="1"/>
  <c r="AI219" i="1"/>
  <c r="CS219" i="1"/>
  <c r="CS130" i="1"/>
  <c r="AI130" i="1"/>
  <c r="CS51" i="1"/>
  <c r="AI51" i="1"/>
  <c r="AI249" i="1"/>
  <c r="CS249" i="1"/>
  <c r="AI253" i="1"/>
  <c r="CS253" i="1"/>
  <c r="CS304" i="1"/>
  <c r="AI304" i="1"/>
  <c r="CV71" i="1"/>
  <c r="CT71" i="1"/>
  <c r="CT275" i="1"/>
  <c r="CV275" i="1"/>
  <c r="CT53" i="1"/>
  <c r="CV53" i="1"/>
  <c r="CT287" i="1"/>
  <c r="CV287" i="1"/>
  <c r="CT191" i="1"/>
  <c r="CV191" i="1"/>
  <c r="AI158" i="1"/>
  <c r="CS158" i="1"/>
  <c r="AI157" i="1"/>
  <c r="CS157" i="1"/>
  <c r="AI19" i="1"/>
  <c r="CS19" i="1"/>
  <c r="CS242" i="1"/>
  <c r="AI242" i="1"/>
  <c r="AI60" i="1"/>
  <c r="CS60" i="1"/>
  <c r="AI163" i="1"/>
  <c r="CS163" i="1"/>
  <c r="CS77" i="1"/>
  <c r="AI77" i="1"/>
  <c r="AI224" i="1"/>
  <c r="CS224" i="1"/>
  <c r="CS78" i="1"/>
  <c r="AI78" i="1"/>
  <c r="CV337" i="1"/>
  <c r="CT337" i="1"/>
  <c r="CV334" i="1"/>
  <c r="CT334" i="1"/>
  <c r="CV197" i="1"/>
  <c r="CT197" i="1"/>
  <c r="CT106" i="1"/>
  <c r="CV106" i="1"/>
  <c r="CT294" i="1"/>
  <c r="CV294" i="1"/>
  <c r="AI273" i="1"/>
  <c r="CS273" i="1"/>
  <c r="AI22" i="1"/>
  <c r="CS22" i="1"/>
  <c r="AI159" i="1"/>
  <c r="CS159" i="1"/>
  <c r="AI127" i="1"/>
  <c r="CS127" i="1"/>
  <c r="AI175" i="1"/>
  <c r="CS175" i="1"/>
  <c r="AI166" i="1"/>
  <c r="CS166" i="1"/>
  <c r="J359" i="1"/>
  <c r="AH9" i="1"/>
  <c r="K9" i="1"/>
  <c r="K359" i="1" s="1"/>
  <c r="J354" i="1"/>
  <c r="CT345" i="1"/>
  <c r="CV345" i="1"/>
  <c r="CS268" i="1"/>
  <c r="AI268" i="1"/>
  <c r="AI155" i="1"/>
  <c r="CS155" i="1"/>
  <c r="AI125" i="1"/>
  <c r="CS125" i="1"/>
  <c r="AI270" i="1"/>
  <c r="CS270" i="1"/>
  <c r="AI207" i="1"/>
  <c r="CS207" i="1"/>
  <c r="AI28" i="1"/>
  <c r="CS28" i="1"/>
  <c r="CS48" i="1"/>
  <c r="AI48" i="1"/>
  <c r="AI222" i="1"/>
  <c r="CS222" i="1"/>
  <c r="K45" i="1"/>
  <c r="AH45" i="1"/>
  <c r="AI301" i="1"/>
  <c r="CS301" i="1"/>
  <c r="AI312" i="1"/>
  <c r="CS312" i="1"/>
  <c r="AI132" i="1"/>
  <c r="CS132" i="1"/>
  <c r="CS245" i="1"/>
  <c r="AI245" i="1"/>
  <c r="AI314" i="1"/>
  <c r="CS314" i="1"/>
  <c r="AI218" i="1"/>
  <c r="CS218" i="1"/>
  <c r="AI254" i="1"/>
  <c r="CS254" i="1"/>
  <c r="AI181" i="1"/>
  <c r="CS181" i="1"/>
  <c r="CV324" i="1"/>
  <c r="CT324" i="1"/>
  <c r="CT257" i="1"/>
  <c r="CV257" i="1"/>
  <c r="CW330" i="1"/>
  <c r="E351" i="24"/>
  <c r="CV317" i="1"/>
  <c r="CT317" i="1"/>
  <c r="CT293" i="1"/>
  <c r="CV293" i="1"/>
  <c r="CT295" i="1"/>
  <c r="CV295" i="1"/>
  <c r="CT326" i="1"/>
  <c r="CV326" i="1"/>
  <c r="AI68" i="1"/>
  <c r="CS68" i="1"/>
  <c r="AI236" i="1"/>
  <c r="CS236" i="1"/>
  <c r="AI38" i="1"/>
  <c r="CS38" i="1"/>
  <c r="AI237" i="1"/>
  <c r="CS237" i="1"/>
  <c r="AI173" i="1"/>
  <c r="CS173" i="1"/>
  <c r="AI234" i="1"/>
  <c r="CS234" i="1"/>
  <c r="CS84" i="1"/>
  <c r="AI84" i="1"/>
  <c r="AI90" i="1"/>
  <c r="CS90" i="1"/>
  <c r="AI117" i="1"/>
  <c r="CS117" i="1"/>
  <c r="CS83" i="1"/>
  <c r="AI83" i="1"/>
  <c r="AI124" i="1"/>
  <c r="CS124" i="1"/>
  <c r="CS204" i="1"/>
  <c r="AI204" i="1"/>
  <c r="AI263" i="1"/>
  <c r="CS263" i="1"/>
  <c r="AI131" i="1"/>
  <c r="CS131" i="1"/>
  <c r="AI32" i="1"/>
  <c r="CS32" i="1"/>
  <c r="AI244" i="1"/>
  <c r="CS244" i="1"/>
  <c r="AI33" i="1"/>
  <c r="CS33" i="1"/>
  <c r="CS206" i="1"/>
  <c r="AI206" i="1"/>
  <c r="AI220" i="1"/>
  <c r="CS220" i="1"/>
  <c r="CT341" i="1"/>
  <c r="CV341" i="1"/>
  <c r="Z139" i="1"/>
  <c r="AH139" i="1"/>
  <c r="AI61" i="1"/>
  <c r="CS61" i="1"/>
  <c r="CS82" i="1"/>
  <c r="AI82" i="1"/>
  <c r="CS81" i="1"/>
  <c r="AI81" i="1"/>
  <c r="AI313" i="1"/>
  <c r="CS313" i="1"/>
  <c r="AI43" i="1"/>
  <c r="CS43" i="1"/>
  <c r="AI225" i="1"/>
  <c r="CS225" i="1"/>
  <c r="AI89" i="1"/>
  <c r="CS89" i="1"/>
  <c r="J357" i="1"/>
  <c r="AI170" i="1"/>
  <c r="CS170" i="1"/>
  <c r="AI174" i="1"/>
  <c r="CS174" i="1"/>
  <c r="CW331" i="1"/>
  <c r="E352" i="24"/>
  <c r="AI122" i="1"/>
  <c r="CS122" i="1"/>
  <c r="CS91" i="1"/>
  <c r="AI91" i="1"/>
  <c r="AI20" i="1"/>
  <c r="CS20" i="1"/>
  <c r="CT284" i="1"/>
  <c r="CV284" i="1"/>
  <c r="AI262" i="1"/>
  <c r="CS262" i="1"/>
  <c r="CS161" i="1"/>
  <c r="AI161" i="1"/>
  <c r="AI250" i="1"/>
  <c r="CS250" i="1"/>
  <c r="AI137" i="1"/>
  <c r="CS137" i="1"/>
  <c r="AI353" i="1"/>
  <c r="CS353" i="1"/>
  <c r="AI95" i="1"/>
  <c r="CS95" i="1"/>
  <c r="AH357" i="1" l="1"/>
  <c r="K357" i="1"/>
  <c r="CZ318" i="1"/>
  <c r="CZ328" i="1"/>
  <c r="CZ343" i="1"/>
  <c r="CZ275" i="1"/>
  <c r="CZ342" i="1"/>
  <c r="CZ324" i="1"/>
  <c r="CZ331" i="1"/>
  <c r="CZ53" i="1"/>
  <c r="CZ294" i="1"/>
  <c r="CZ325" i="1"/>
  <c r="CZ337" i="1"/>
  <c r="CZ286" i="1"/>
  <c r="CZ265" i="1"/>
  <c r="CZ333" i="1"/>
  <c r="CT353" i="1"/>
  <c r="CV353" i="1"/>
  <c r="CV250" i="1"/>
  <c r="CT250" i="1"/>
  <c r="CV262" i="1"/>
  <c r="CT262" i="1"/>
  <c r="CT174" i="1"/>
  <c r="CV174" i="1"/>
  <c r="H10" i="3"/>
  <c r="J363" i="1"/>
  <c r="CT82" i="1"/>
  <c r="CV82" i="1"/>
  <c r="E345" i="24"/>
  <c r="CW324" i="1"/>
  <c r="CT48" i="1"/>
  <c r="CV48" i="1"/>
  <c r="CT207" i="1"/>
  <c r="CV207" i="1"/>
  <c r="CT125" i="1"/>
  <c r="CV125" i="1"/>
  <c r="AH359" i="1"/>
  <c r="AH365" i="1" s="1"/>
  <c r="CS9" i="1"/>
  <c r="AI9" i="1"/>
  <c r="CT166" i="1"/>
  <c r="CV166" i="1"/>
  <c r="CT127" i="1"/>
  <c r="CV127" i="1"/>
  <c r="CV22" i="1"/>
  <c r="CT22" i="1"/>
  <c r="E314" i="24"/>
  <c r="CW294" i="1"/>
  <c r="CV224" i="1"/>
  <c r="CT224" i="1"/>
  <c r="CV163" i="1"/>
  <c r="CT163" i="1"/>
  <c r="CT157" i="1"/>
  <c r="CV157" i="1"/>
  <c r="CW287" i="1"/>
  <c r="E307" i="24"/>
  <c r="CW275" i="1"/>
  <c r="E295" i="24"/>
  <c r="CT249" i="1"/>
  <c r="CV249" i="1"/>
  <c r="CV198" i="1"/>
  <c r="CT198" i="1"/>
  <c r="CT259" i="1"/>
  <c r="CV259" i="1"/>
  <c r="CW14" i="1"/>
  <c r="E14" i="24"/>
  <c r="CT16" i="1"/>
  <c r="CV16" i="1"/>
  <c r="CT241" i="1"/>
  <c r="CV241" i="1"/>
  <c r="CT272" i="1"/>
  <c r="CV272" i="1"/>
  <c r="CW288" i="1"/>
  <c r="E308" i="24"/>
  <c r="CV74" i="1"/>
  <c r="CT74" i="1"/>
  <c r="N15" i="3"/>
  <c r="O15" i="3" s="1"/>
  <c r="Y365" i="1"/>
  <c r="E346" i="24"/>
  <c r="CW325" i="1"/>
  <c r="CW319" i="1"/>
  <c r="E340" i="24"/>
  <c r="CT347" i="1"/>
  <c r="CV347" i="1"/>
  <c r="CT258" i="1"/>
  <c r="CV258" i="1"/>
  <c r="CW320" i="1"/>
  <c r="E341" i="24"/>
  <c r="CV264" i="1"/>
  <c r="CT264" i="1"/>
  <c r="CT271" i="1"/>
  <c r="CV271" i="1"/>
  <c r="E219" i="24"/>
  <c r="CW202" i="1"/>
  <c r="CT243" i="1"/>
  <c r="CV243" i="1"/>
  <c r="CT213" i="1"/>
  <c r="CV213" i="1"/>
  <c r="CT211" i="1"/>
  <c r="CV211" i="1"/>
  <c r="CW267" i="1"/>
  <c r="E287" i="24"/>
  <c r="E216" i="24"/>
  <c r="CW199" i="1"/>
  <c r="E116" i="24"/>
  <c r="E117" i="24"/>
  <c r="CW108" i="1"/>
  <c r="E272" i="24"/>
  <c r="CW255" i="1"/>
  <c r="CV308" i="1"/>
  <c r="CT308" i="1"/>
  <c r="CT160" i="1"/>
  <c r="CV160" i="1"/>
  <c r="CT42" i="1"/>
  <c r="CV42" i="1"/>
  <c r="CV121" i="1"/>
  <c r="CT121" i="1"/>
  <c r="CW265" i="1"/>
  <c r="E283" i="24"/>
  <c r="E354" i="24"/>
  <c r="CW333" i="1"/>
  <c r="CT226" i="1"/>
  <c r="CV226" i="1"/>
  <c r="CT172" i="1"/>
  <c r="CV172" i="1"/>
  <c r="CV276" i="1"/>
  <c r="CT276" i="1"/>
  <c r="CV238" i="1"/>
  <c r="CT238" i="1"/>
  <c r="CT18" i="1"/>
  <c r="CV18" i="1"/>
  <c r="CT215" i="1"/>
  <c r="CV215" i="1"/>
  <c r="CV346" i="1"/>
  <c r="CT346" i="1"/>
  <c r="CV41" i="1"/>
  <c r="CT41" i="1"/>
  <c r="CV298" i="1"/>
  <c r="CT298" i="1"/>
  <c r="CZ340" i="1"/>
  <c r="CZ319" i="1"/>
  <c r="CZ257" i="1"/>
  <c r="CZ338" i="1"/>
  <c r="CZ73" i="1"/>
  <c r="CZ72" i="1"/>
  <c r="CZ14" i="1"/>
  <c r="CZ335" i="1"/>
  <c r="CZ260" i="1"/>
  <c r="CZ317" i="1"/>
  <c r="CZ197" i="1"/>
  <c r="CZ344" i="1"/>
  <c r="CZ330" i="1"/>
  <c r="CZ267" i="1"/>
  <c r="CZ345" i="1"/>
  <c r="CZ200" i="1"/>
  <c r="CZ336" i="1"/>
  <c r="CZ202" i="1"/>
  <c r="CZ285" i="1"/>
  <c r="CZ288" i="1"/>
  <c r="CZ329" i="1"/>
  <c r="CZ108" i="1"/>
  <c r="CZ69" i="1"/>
  <c r="CZ323" i="1"/>
  <c r="CZ322" i="1"/>
  <c r="CZ326" i="1"/>
  <c r="CZ284" i="1"/>
  <c r="CZ320" i="1"/>
  <c r="CZ106" i="1"/>
  <c r="CZ339" i="1"/>
  <c r="CZ321" i="1"/>
  <c r="CZ307" i="1"/>
  <c r="CT91" i="1"/>
  <c r="CV91" i="1"/>
  <c r="CV89" i="1"/>
  <c r="CT89" i="1"/>
  <c r="CV43" i="1"/>
  <c r="CT43" i="1"/>
  <c r="CV61" i="1"/>
  <c r="CW61" i="1" s="1"/>
  <c r="CT61" i="1"/>
  <c r="CT244" i="1"/>
  <c r="CV244" i="1"/>
  <c r="CT131" i="1"/>
  <c r="CV131" i="1"/>
  <c r="CT117" i="1"/>
  <c r="CV117" i="1"/>
  <c r="CT173" i="1"/>
  <c r="CV173" i="1"/>
  <c r="CT38" i="1"/>
  <c r="CV38" i="1"/>
  <c r="CV68" i="1"/>
  <c r="CW68" i="1" s="1"/>
  <c r="CT68" i="1"/>
  <c r="E315" i="24"/>
  <c r="CW295" i="1"/>
  <c r="E275" i="24"/>
  <c r="CW257" i="1"/>
  <c r="CT181" i="1"/>
  <c r="CV181" i="1"/>
  <c r="CV218" i="1"/>
  <c r="CT218" i="1"/>
  <c r="CV312" i="1"/>
  <c r="CT312" i="1"/>
  <c r="AI45" i="1"/>
  <c r="CS45" i="1"/>
  <c r="CV222" i="1"/>
  <c r="CT222" i="1"/>
  <c r="CT28" i="1"/>
  <c r="CV28" i="1"/>
  <c r="CV268" i="1"/>
  <c r="CT268" i="1"/>
  <c r="N10" i="3"/>
  <c r="J365" i="1"/>
  <c r="CW197" i="1"/>
  <c r="E214" i="24"/>
  <c r="CW337" i="1"/>
  <c r="E358" i="24"/>
  <c r="CV242" i="1"/>
  <c r="CT242" i="1"/>
  <c r="CV304" i="1"/>
  <c r="CT304" i="1"/>
  <c r="CT130" i="1"/>
  <c r="CV130" i="1"/>
  <c r="CV118" i="1"/>
  <c r="CT118" i="1"/>
  <c r="CT23" i="1"/>
  <c r="CV23" i="1"/>
  <c r="CV205" i="1"/>
  <c r="CT205" i="1"/>
  <c r="CV135" i="1"/>
  <c r="CT135" i="1"/>
  <c r="CT15" i="1"/>
  <c r="CV15" i="1"/>
  <c r="CT310" i="1"/>
  <c r="CV310" i="1"/>
  <c r="CW328" i="1"/>
  <c r="E349" i="24"/>
  <c r="CW13" i="1"/>
  <c r="E12" i="24"/>
  <c r="E81" i="24"/>
  <c r="CW73" i="1"/>
  <c r="CW200" i="1"/>
  <c r="E217" i="24"/>
  <c r="CV228" i="1"/>
  <c r="CT228" i="1"/>
  <c r="CV315" i="1"/>
  <c r="CT315" i="1"/>
  <c r="CV85" i="1"/>
  <c r="CT85" i="1"/>
  <c r="E356" i="24"/>
  <c r="CW335" i="1"/>
  <c r="CT233" i="1"/>
  <c r="CV233" i="1"/>
  <c r="CV223" i="1"/>
  <c r="CT223" i="1"/>
  <c r="CT296" i="1"/>
  <c r="CV296" i="1"/>
  <c r="CT34" i="1"/>
  <c r="CV34" i="1"/>
  <c r="CT299" i="1"/>
  <c r="CV299" i="1"/>
  <c r="AH10" i="1"/>
  <c r="J358" i="1"/>
  <c r="K10" i="1"/>
  <c r="K358" i="1" s="1"/>
  <c r="CT227" i="1"/>
  <c r="CV227" i="1"/>
  <c r="CT269" i="1"/>
  <c r="CV269" i="1"/>
  <c r="CV116" i="1"/>
  <c r="CT116" i="1"/>
  <c r="CT190" i="1"/>
  <c r="CV190" i="1"/>
  <c r="CV49" i="1"/>
  <c r="CT49" i="1"/>
  <c r="CW322" i="1"/>
  <c r="E343" i="24"/>
  <c r="CT79" i="1"/>
  <c r="CV79" i="1"/>
  <c r="CW79" i="1" s="1"/>
  <c r="CV165" i="1"/>
  <c r="CT165" i="1"/>
  <c r="CV210" i="1"/>
  <c r="CT210" i="1"/>
  <c r="CV123" i="1"/>
  <c r="CT123" i="1"/>
  <c r="Z359" i="1"/>
  <c r="CT266" i="1"/>
  <c r="CV266" i="1"/>
  <c r="CT240" i="1"/>
  <c r="CV240" i="1"/>
  <c r="CT120" i="1"/>
  <c r="CV120" i="1"/>
  <c r="E344" i="24"/>
  <c r="CW323" i="1"/>
  <c r="E361" i="24"/>
  <c r="CW340" i="1"/>
  <c r="CT52" i="1"/>
  <c r="CV52" i="1"/>
  <c r="CT316" i="1"/>
  <c r="CV316" i="1"/>
  <c r="CV119" i="1"/>
  <c r="CT119" i="1"/>
  <c r="CV350" i="1"/>
  <c r="CT350" i="1"/>
  <c r="CT278" i="1"/>
  <c r="CV278" i="1"/>
  <c r="E359" i="24"/>
  <c r="CW338" i="1"/>
  <c r="AI152" i="1"/>
  <c r="CS152" i="1"/>
  <c r="CV231" i="1"/>
  <c r="CT231" i="1"/>
  <c r="CT66" i="1"/>
  <c r="CV66" i="1"/>
  <c r="CT126" i="1"/>
  <c r="CV126" i="1"/>
  <c r="E370" i="24"/>
  <c r="CW349" i="1"/>
  <c r="E350" i="24"/>
  <c r="CW329" i="1"/>
  <c r="CW44" i="1"/>
  <c r="E46" i="24"/>
  <c r="CV97" i="1"/>
  <c r="CT97" i="1"/>
  <c r="CV214" i="1"/>
  <c r="CT214" i="1"/>
  <c r="CT212" i="1"/>
  <c r="CV212" i="1"/>
  <c r="CT30" i="1"/>
  <c r="CV30" i="1"/>
  <c r="CT96" i="1"/>
  <c r="CV96" i="1"/>
  <c r="CT37" i="1"/>
  <c r="CV37" i="1"/>
  <c r="CW321" i="1"/>
  <c r="E342" i="24"/>
  <c r="CW327" i="1"/>
  <c r="E348" i="24"/>
  <c r="CT40" i="1"/>
  <c r="CV40" i="1"/>
  <c r="CZ293" i="1"/>
  <c r="CZ327" i="1"/>
  <c r="CZ287" i="1"/>
  <c r="CZ191" i="1"/>
  <c r="CZ70" i="1"/>
  <c r="CZ289" i="1"/>
  <c r="CZ107" i="1"/>
  <c r="CZ201" i="1"/>
  <c r="CZ292" i="1"/>
  <c r="CZ71" i="1"/>
  <c r="CZ332" i="1"/>
  <c r="CZ44" i="1"/>
  <c r="CZ334" i="1"/>
  <c r="CZ295" i="1"/>
  <c r="CZ203" i="1"/>
  <c r="CZ13" i="1"/>
  <c r="CZ199" i="1"/>
  <c r="CT95" i="1"/>
  <c r="CV95" i="1"/>
  <c r="CV137" i="1"/>
  <c r="CT137" i="1"/>
  <c r="CW284" i="1"/>
  <c r="E304" i="24"/>
  <c r="CT20" i="1"/>
  <c r="CV20" i="1"/>
  <c r="CT122" i="1"/>
  <c r="CV122" i="1"/>
  <c r="F352" i="24"/>
  <c r="G352" i="24"/>
  <c r="CV170" i="1"/>
  <c r="CT170" i="1"/>
  <c r="CV81" i="1"/>
  <c r="CT81" i="1"/>
  <c r="CV206" i="1"/>
  <c r="CT206" i="1"/>
  <c r="CT204" i="1"/>
  <c r="CV204" i="1"/>
  <c r="CV83" i="1"/>
  <c r="CT83" i="1"/>
  <c r="CV84" i="1"/>
  <c r="CT84" i="1"/>
  <c r="E338" i="24"/>
  <c r="CW317" i="1"/>
  <c r="CT245" i="1"/>
  <c r="CV245" i="1"/>
  <c r="CT270" i="1"/>
  <c r="CV270" i="1"/>
  <c r="CT155" i="1"/>
  <c r="CV155" i="1"/>
  <c r="CW345" i="1"/>
  <c r="E366" i="24"/>
  <c r="D10" i="3"/>
  <c r="K354" i="1"/>
  <c r="CV175" i="1"/>
  <c r="CT175" i="1"/>
  <c r="CV159" i="1"/>
  <c r="CT159" i="1"/>
  <c r="CV273" i="1"/>
  <c r="CT273" i="1"/>
  <c r="CW106" i="1"/>
  <c r="E115" i="24"/>
  <c r="CT60" i="1"/>
  <c r="CV60" i="1"/>
  <c r="CV19" i="1"/>
  <c r="CT19" i="1"/>
  <c r="CV158" i="1"/>
  <c r="CT158" i="1"/>
  <c r="CW191" i="1"/>
  <c r="E208" i="24"/>
  <c r="E56" i="24"/>
  <c r="CW53" i="1"/>
  <c r="CT253" i="1"/>
  <c r="CV253" i="1"/>
  <c r="CV219" i="1"/>
  <c r="CT219" i="1"/>
  <c r="CV134" i="1"/>
  <c r="CT134" i="1"/>
  <c r="CV47" i="1"/>
  <c r="CT47" i="1"/>
  <c r="CW343" i="1"/>
  <c r="E364" i="24"/>
  <c r="CT26" i="1"/>
  <c r="CV26" i="1"/>
  <c r="CT11" i="1"/>
  <c r="CV11" i="1"/>
  <c r="CV111" i="1"/>
  <c r="CT111" i="1"/>
  <c r="CT65" i="1"/>
  <c r="CV65" i="1"/>
  <c r="CT136" i="1"/>
  <c r="CV136" i="1"/>
  <c r="E357" i="24"/>
  <c r="CW336" i="1"/>
  <c r="CT88" i="1"/>
  <c r="CV88" i="1"/>
  <c r="CV305" i="1"/>
  <c r="CT305" i="1"/>
  <c r="CT256" i="1"/>
  <c r="CV256" i="1"/>
  <c r="CV129" i="1"/>
  <c r="CT129" i="1"/>
  <c r="CW69" i="1"/>
  <c r="CW290" i="1"/>
  <c r="E310" i="24"/>
  <c r="CT169" i="1"/>
  <c r="CV169" i="1"/>
  <c r="CT93" i="1"/>
  <c r="CV93" i="1"/>
  <c r="CV303" i="1"/>
  <c r="CT303" i="1"/>
  <c r="CT261" i="1"/>
  <c r="CV261" i="1"/>
  <c r="E80" i="24"/>
  <c r="CW72" i="1"/>
  <c r="CW339" i="1"/>
  <c r="E360" i="24"/>
  <c r="CV221" i="1"/>
  <c r="CT221" i="1"/>
  <c r="CT133" i="1"/>
  <c r="CV133" i="1"/>
  <c r="CT279" i="1"/>
  <c r="CV279" i="1"/>
  <c r="CT235" i="1"/>
  <c r="CV235" i="1"/>
  <c r="CT67" i="1"/>
  <c r="CV67" i="1"/>
  <c r="CT62" i="1"/>
  <c r="CV62" i="1"/>
  <c r="CV352" i="1"/>
  <c r="CT352" i="1"/>
  <c r="E311" i="24"/>
  <c r="CW291" i="1"/>
  <c r="CV171" i="1"/>
  <c r="CT171" i="1"/>
  <c r="CV277" i="1"/>
  <c r="CT277" i="1"/>
  <c r="Z10" i="1"/>
  <c r="Z358" i="1" s="1"/>
  <c r="Y358" i="1"/>
  <c r="Y354" i="1"/>
  <c r="CZ145" i="1"/>
  <c r="CZ341" i="1"/>
  <c r="CZ290" i="1"/>
  <c r="CZ291" i="1"/>
  <c r="CZ255" i="1"/>
  <c r="CT161" i="1"/>
  <c r="CV161" i="1"/>
  <c r="CV225" i="1"/>
  <c r="CT225" i="1"/>
  <c r="CT313" i="1"/>
  <c r="CV313" i="1"/>
  <c r="AI139" i="1"/>
  <c r="CS139" i="1"/>
  <c r="CW341" i="1"/>
  <c r="E362" i="24"/>
  <c r="CT220" i="1"/>
  <c r="CV220" i="1"/>
  <c r="CT33" i="1"/>
  <c r="CV33" i="1"/>
  <c r="CT32" i="1"/>
  <c r="CV32" i="1"/>
  <c r="CT263" i="1"/>
  <c r="CV263" i="1"/>
  <c r="CV124" i="1"/>
  <c r="CT124" i="1"/>
  <c r="CT90" i="1"/>
  <c r="CV90" i="1"/>
  <c r="CV234" i="1"/>
  <c r="CT234" i="1"/>
  <c r="CV237" i="1"/>
  <c r="CT237" i="1"/>
  <c r="CV236" i="1"/>
  <c r="CT236" i="1"/>
  <c r="CW326" i="1"/>
  <c r="E347" i="24"/>
  <c r="E313" i="24"/>
  <c r="CW293" i="1"/>
  <c r="G351" i="24"/>
  <c r="F351" i="24"/>
  <c r="CT254" i="1"/>
  <c r="CV254" i="1"/>
  <c r="CT314" i="1"/>
  <c r="CV314" i="1"/>
  <c r="CT132" i="1"/>
  <c r="CV132" i="1"/>
  <c r="CV301" i="1"/>
  <c r="CT301" i="1"/>
  <c r="AH363" i="1"/>
  <c r="CW334" i="1"/>
  <c r="E355" i="24"/>
  <c r="CT78" i="1"/>
  <c r="CV78" i="1"/>
  <c r="CT77" i="1"/>
  <c r="CV77" i="1"/>
  <c r="E77" i="24"/>
  <c r="E78" i="24"/>
  <c r="CW71" i="1"/>
  <c r="CT51" i="1"/>
  <c r="CV51" i="1"/>
  <c r="CT177" i="1"/>
  <c r="CV177" i="1"/>
  <c r="CV114" i="1"/>
  <c r="CT114" i="1"/>
  <c r="CT39" i="1"/>
  <c r="CV39" i="1"/>
  <c r="AI192" i="1"/>
  <c r="CS192" i="1"/>
  <c r="CT109" i="1"/>
  <c r="CV109" i="1"/>
  <c r="CT209" i="1"/>
  <c r="CV209" i="1"/>
  <c r="CV64" i="1"/>
  <c r="CT64" i="1"/>
  <c r="CV348" i="1"/>
  <c r="CT348" i="1"/>
  <c r="E312" i="24"/>
  <c r="CW292" i="1"/>
  <c r="CV306" i="1"/>
  <c r="CT306" i="1"/>
  <c r="CV128" i="1"/>
  <c r="CT128" i="1"/>
  <c r="CW342" i="1"/>
  <c r="E363" i="24"/>
  <c r="CV147" i="1"/>
  <c r="CT147" i="1"/>
  <c r="CT46" i="1"/>
  <c r="CV46" i="1"/>
  <c r="CT274" i="1"/>
  <c r="CV274" i="1"/>
  <c r="Z45" i="1"/>
  <c r="Z357" i="1" s="1"/>
  <c r="Y357" i="1"/>
  <c r="CT80" i="1"/>
  <c r="CV80" i="1"/>
  <c r="CT239" i="1"/>
  <c r="CV239" i="1"/>
  <c r="CT94" i="1"/>
  <c r="CV94" i="1"/>
  <c r="CT21" i="1"/>
  <c r="CV21" i="1"/>
  <c r="CT115" i="1"/>
  <c r="CV115" i="1"/>
  <c r="CT25" i="1"/>
  <c r="CV25" i="1"/>
  <c r="CT63" i="1"/>
  <c r="CV63" i="1"/>
  <c r="AI12" i="1"/>
  <c r="CS12" i="1"/>
  <c r="AI151" i="1"/>
  <c r="CS151" i="1"/>
  <c r="CS357" i="1" s="1"/>
  <c r="E76" i="24"/>
  <c r="CW70" i="1"/>
  <c r="E327" i="24"/>
  <c r="CW307" i="1"/>
  <c r="CV98" i="1"/>
  <c r="CT98" i="1"/>
  <c r="CT297" i="1"/>
  <c r="CV297" i="1"/>
  <c r="CW289" i="1"/>
  <c r="E309" i="24"/>
  <c r="CV168" i="1"/>
  <c r="CT168" i="1"/>
  <c r="CT164" i="1"/>
  <c r="CV164" i="1"/>
  <c r="CW203" i="1"/>
  <c r="E220" i="24"/>
  <c r="E365" i="24"/>
  <c r="CW344" i="1"/>
  <c r="CT216" i="1"/>
  <c r="CV216" i="1"/>
  <c r="CT208" i="1"/>
  <c r="CV208" i="1"/>
  <c r="CV311" i="1"/>
  <c r="CT311" i="1"/>
  <c r="E353" i="24"/>
  <c r="CW332" i="1"/>
  <c r="CT113" i="1"/>
  <c r="CV113" i="1"/>
  <c r="CW113" i="1" s="1"/>
  <c r="CV300" i="1"/>
  <c r="CT300" i="1"/>
  <c r="CV217" i="1"/>
  <c r="CT217" i="1"/>
  <c r="CT247" i="1"/>
  <c r="CV247" i="1"/>
  <c r="CT178" i="1"/>
  <c r="CV178" i="1"/>
  <c r="CV232" i="1"/>
  <c r="CT232" i="1"/>
  <c r="CV351" i="1"/>
  <c r="CT351" i="1"/>
  <c r="CV302" i="1"/>
  <c r="CT302" i="1"/>
  <c r="CW286" i="1"/>
  <c r="E306" i="24"/>
  <c r="CW260" i="1"/>
  <c r="E278" i="24"/>
  <c r="CV146" i="1"/>
  <c r="CT146" i="1"/>
  <c r="E339" i="24"/>
  <c r="CW318" i="1"/>
  <c r="CT36" i="1"/>
  <c r="CV36" i="1"/>
  <c r="CW285" i="1"/>
  <c r="E305" i="24"/>
  <c r="CV156" i="1"/>
  <c r="CT156" i="1"/>
  <c r="CT248" i="1"/>
  <c r="CV248" i="1"/>
  <c r="CW248" i="1" s="1"/>
  <c r="E218" i="24"/>
  <c r="CW201" i="1"/>
  <c r="CV17" i="1"/>
  <c r="CT17" i="1"/>
  <c r="E75" i="24" l="1"/>
  <c r="AI357" i="1"/>
  <c r="CZ264" i="1"/>
  <c r="CZ165" i="1"/>
  <c r="CZ241" i="1"/>
  <c r="CZ242" i="1"/>
  <c r="CZ311" i="1"/>
  <c r="CZ214" i="1"/>
  <c r="CZ158" i="1"/>
  <c r="CZ135" i="1"/>
  <c r="CZ49" i="1"/>
  <c r="CZ211" i="1"/>
  <c r="CZ271" i="1"/>
  <c r="CZ239" i="1"/>
  <c r="CZ85" i="1"/>
  <c r="CZ89" i="1"/>
  <c r="CZ67" i="1"/>
  <c r="CZ122" i="1"/>
  <c r="CZ266" i="1"/>
  <c r="CZ225" i="1"/>
  <c r="CZ66" i="1"/>
  <c r="CZ350" i="1"/>
  <c r="CZ19" i="1"/>
  <c r="CZ249" i="1"/>
  <c r="CZ163" i="1"/>
  <c r="CZ21" i="1"/>
  <c r="CZ83" i="1"/>
  <c r="CZ80" i="1"/>
  <c r="CZ279" i="1"/>
  <c r="CZ30" i="1"/>
  <c r="CZ159" i="1"/>
  <c r="CZ219" i="1"/>
  <c r="CZ213" i="1"/>
  <c r="CZ273" i="1"/>
  <c r="CZ16" i="1"/>
  <c r="CZ310" i="1"/>
  <c r="CZ347" i="1"/>
  <c r="CZ52" i="1"/>
  <c r="CZ240" i="1"/>
  <c r="CZ123" i="1"/>
  <c r="CZ126" i="1"/>
  <c r="CZ36" i="1"/>
  <c r="CZ248" i="1"/>
  <c r="CZ348" i="1"/>
  <c r="CZ65" i="1"/>
  <c r="CZ243" i="1"/>
  <c r="CZ160" i="1"/>
  <c r="CZ136" i="1"/>
  <c r="CZ346" i="1"/>
  <c r="CZ297" i="1"/>
  <c r="CZ90" i="1"/>
  <c r="CZ204" i="1"/>
  <c r="CZ60" i="1"/>
  <c r="CZ210" i="1"/>
  <c r="CZ133" i="1"/>
  <c r="CZ34" i="1"/>
  <c r="CZ263" i="1"/>
  <c r="CZ228" i="1"/>
  <c r="CZ232" i="1"/>
  <c r="CZ227" i="1"/>
  <c r="CZ306" i="1"/>
  <c r="CZ119" i="1"/>
  <c r="CZ94" i="1"/>
  <c r="CZ146" i="1"/>
  <c r="CZ117" i="1"/>
  <c r="CZ304" i="1"/>
  <c r="CZ218" i="1"/>
  <c r="CZ221" i="1"/>
  <c r="CZ118" i="1"/>
  <c r="CZ177" i="1"/>
  <c r="E322" i="24"/>
  <c r="CW302" i="1"/>
  <c r="E249" i="24"/>
  <c r="CW232" i="1"/>
  <c r="E320" i="24"/>
  <c r="CW300" i="1"/>
  <c r="E331" i="24"/>
  <c r="CW311" i="1"/>
  <c r="CW98" i="1"/>
  <c r="E107" i="24"/>
  <c r="E125" i="24"/>
  <c r="E127" i="24"/>
  <c r="CW115" i="1"/>
  <c r="CW94" i="1"/>
  <c r="E103" i="24"/>
  <c r="E88" i="24"/>
  <c r="CW80" i="1"/>
  <c r="E89" i="24"/>
  <c r="CW274" i="1"/>
  <c r="E294" i="24"/>
  <c r="G363" i="24"/>
  <c r="F363" i="24"/>
  <c r="CW109" i="1"/>
  <c r="E118" i="24"/>
  <c r="CT192" i="1"/>
  <c r="CV192" i="1"/>
  <c r="CW39" i="1"/>
  <c r="E41" i="24"/>
  <c r="E193" i="24"/>
  <c r="CW177" i="1"/>
  <c r="G313" i="24"/>
  <c r="F313" i="24"/>
  <c r="E253" i="24"/>
  <c r="CW236" i="1"/>
  <c r="E251" i="24"/>
  <c r="CW234" i="1"/>
  <c r="E137" i="24"/>
  <c r="CW124" i="1"/>
  <c r="D15" i="12"/>
  <c r="Y364" i="1"/>
  <c r="K15" i="3"/>
  <c r="L15" i="3" s="1"/>
  <c r="E238" i="24"/>
  <c r="CW221" i="1"/>
  <c r="F80" i="24"/>
  <c r="G80" i="24"/>
  <c r="CW303" i="1"/>
  <c r="E323" i="24"/>
  <c r="CW88" i="1"/>
  <c r="E97" i="24"/>
  <c r="E149" i="24"/>
  <c r="CW136" i="1"/>
  <c r="CW11" i="1"/>
  <c r="E10" i="24"/>
  <c r="E49" i="24"/>
  <c r="CW47" i="1"/>
  <c r="E147" i="24"/>
  <c r="CW134" i="1"/>
  <c r="E265" i="24"/>
  <c r="CW253" i="1"/>
  <c r="E270" i="24"/>
  <c r="F208" i="24"/>
  <c r="G208" i="24"/>
  <c r="F115" i="24"/>
  <c r="G115" i="24"/>
  <c r="F366" i="24"/>
  <c r="G366" i="24"/>
  <c r="CW270" i="1"/>
  <c r="E290" i="24"/>
  <c r="E90" i="24"/>
  <c r="CW81" i="1"/>
  <c r="E150" i="24"/>
  <c r="CW137" i="1"/>
  <c r="CW214" i="1"/>
  <c r="E231" i="24"/>
  <c r="G370" i="24"/>
  <c r="F370" i="24"/>
  <c r="CW119" i="1"/>
  <c r="E131" i="24"/>
  <c r="F344" i="24"/>
  <c r="G344" i="24"/>
  <c r="E244" i="24"/>
  <c r="CW227" i="1"/>
  <c r="CW85" i="1"/>
  <c r="E94" i="24"/>
  <c r="E245" i="24"/>
  <c r="CW228" i="1"/>
  <c r="F81" i="24"/>
  <c r="G81" i="24"/>
  <c r="E222" i="24"/>
  <c r="CW205" i="1"/>
  <c r="G358" i="24"/>
  <c r="F358" i="24"/>
  <c r="CV45" i="1"/>
  <c r="CT45" i="1"/>
  <c r="E189" i="24"/>
  <c r="CW173" i="1"/>
  <c r="CW244" i="1"/>
  <c r="E261" i="24"/>
  <c r="CW89" i="1"/>
  <c r="E98" i="24"/>
  <c r="CW298" i="1"/>
  <c r="E318" i="24"/>
  <c r="E367" i="24"/>
  <c r="CW346" i="1"/>
  <c r="E296" i="24"/>
  <c r="CW276" i="1"/>
  <c r="E328" i="24"/>
  <c r="CW308" i="1"/>
  <c r="G272" i="24"/>
  <c r="F272" i="24"/>
  <c r="G117" i="24"/>
  <c r="F117" i="24"/>
  <c r="F287" i="24"/>
  <c r="G287" i="24"/>
  <c r="CW211" i="1"/>
  <c r="E228" i="24"/>
  <c r="CW243" i="1"/>
  <c r="E260" i="24"/>
  <c r="E291" i="24"/>
  <c r="CW271" i="1"/>
  <c r="E215" i="24"/>
  <c r="CW198" i="1"/>
  <c r="E241" i="24"/>
  <c r="CW224" i="1"/>
  <c r="CW22" i="1"/>
  <c r="E22" i="24"/>
  <c r="AI359" i="1"/>
  <c r="G345" i="24"/>
  <c r="F345" i="24"/>
  <c r="E190" i="24"/>
  <c r="CW174" i="1"/>
  <c r="CZ128" i="1"/>
  <c r="CZ81" i="1"/>
  <c r="CZ62" i="1"/>
  <c r="CZ209" i="1"/>
  <c r="CZ256" i="1"/>
  <c r="CZ300" i="1"/>
  <c r="CZ84" i="1"/>
  <c r="CZ245" i="1"/>
  <c r="CZ316" i="1"/>
  <c r="CZ124" i="1"/>
  <c r="CZ134" i="1"/>
  <c r="CZ198" i="1"/>
  <c r="CZ130" i="1"/>
  <c r="CZ352" i="1"/>
  <c r="CZ298" i="1"/>
  <c r="CZ37" i="1"/>
  <c r="CZ315" i="1"/>
  <c r="CZ125" i="1"/>
  <c r="CZ157" i="1"/>
  <c r="CZ121" i="1"/>
  <c r="CZ88" i="1"/>
  <c r="CZ303" i="1"/>
  <c r="CZ137" i="1"/>
  <c r="CZ276" i="1"/>
  <c r="CZ247" i="1"/>
  <c r="CZ259" i="1"/>
  <c r="CZ15" i="1"/>
  <c r="CZ269" i="1"/>
  <c r="CZ11" i="1"/>
  <c r="CZ272" i="1"/>
  <c r="CZ164" i="1"/>
  <c r="CZ238" i="1"/>
  <c r="CZ277" i="1"/>
  <c r="CZ132" i="1"/>
  <c r="CZ51" i="1"/>
  <c r="CZ20" i="1"/>
  <c r="CZ236" i="1"/>
  <c r="CZ129" i="1"/>
  <c r="CZ312" i="1"/>
  <c r="CZ61" i="1"/>
  <c r="CZ68" i="1"/>
  <c r="CZ33" i="1"/>
  <c r="CZ17" i="1"/>
  <c r="CZ261" i="1"/>
  <c r="CZ206" i="1"/>
  <c r="CZ181" i="1"/>
  <c r="CZ254" i="1"/>
  <c r="CZ205" i="1"/>
  <c r="CZ96" i="1"/>
  <c r="CZ166" i="1"/>
  <c r="CZ224" i="1"/>
  <c r="CZ175" i="1"/>
  <c r="CZ116" i="1"/>
  <c r="CZ220" i="1"/>
  <c r="CZ109" i="1"/>
  <c r="F218" i="24"/>
  <c r="G218" i="24"/>
  <c r="F305" i="24"/>
  <c r="G305" i="24"/>
  <c r="G306" i="24"/>
  <c r="F306" i="24"/>
  <c r="E194" i="24"/>
  <c r="CW178" i="1"/>
  <c r="E225" i="24"/>
  <c r="CW208" i="1"/>
  <c r="E317" i="24"/>
  <c r="CW297" i="1"/>
  <c r="CT12" i="1"/>
  <c r="CV12" i="1"/>
  <c r="CS363" i="1"/>
  <c r="CW306" i="1"/>
  <c r="E326" i="24"/>
  <c r="G312" i="24"/>
  <c r="F312" i="24"/>
  <c r="CW64" i="1"/>
  <c r="E71" i="24"/>
  <c r="F78" i="24"/>
  <c r="G78" i="24"/>
  <c r="CW77" i="1"/>
  <c r="E86" i="24"/>
  <c r="F355" i="24"/>
  <c r="G355" i="24"/>
  <c r="E334" i="24"/>
  <c r="CW314" i="1"/>
  <c r="F347" i="24"/>
  <c r="G347" i="24"/>
  <c r="E99" i="24"/>
  <c r="CW90" i="1"/>
  <c r="CW263" i="1"/>
  <c r="E281" i="24"/>
  <c r="E35" i="24"/>
  <c r="CW33" i="1"/>
  <c r="CV139" i="1"/>
  <c r="CT139" i="1"/>
  <c r="E187" i="24"/>
  <c r="CW171" i="1"/>
  <c r="F311" i="24"/>
  <c r="G311" i="24"/>
  <c r="E252" i="24"/>
  <c r="CW235" i="1"/>
  <c r="E146" i="24"/>
  <c r="CW133" i="1"/>
  <c r="F360" i="24"/>
  <c r="G360" i="24"/>
  <c r="CW261" i="1"/>
  <c r="E279" i="24"/>
  <c r="E101" i="24"/>
  <c r="E102" i="24"/>
  <c r="CW93" i="1"/>
  <c r="G310" i="24"/>
  <c r="F310" i="24"/>
  <c r="F75" i="24"/>
  <c r="G75" i="24"/>
  <c r="E142" i="24"/>
  <c r="CW129" i="1"/>
  <c r="E325" i="24"/>
  <c r="CW305" i="1"/>
  <c r="CW111" i="1"/>
  <c r="E120" i="24"/>
  <c r="E28" i="24"/>
  <c r="CW26" i="1"/>
  <c r="E19" i="24"/>
  <c r="CW19" i="1"/>
  <c r="E175" i="24"/>
  <c r="CW159" i="1"/>
  <c r="F10" i="3"/>
  <c r="E10" i="3"/>
  <c r="CW122" i="1"/>
  <c r="E135" i="24"/>
  <c r="F304" i="24"/>
  <c r="G304" i="24"/>
  <c r="CW95" i="1"/>
  <c r="E104" i="24"/>
  <c r="F348" i="24"/>
  <c r="G348" i="24"/>
  <c r="G342" i="24"/>
  <c r="F342" i="24"/>
  <c r="CW96" i="1"/>
  <c r="E105" i="24"/>
  <c r="CW30" i="1"/>
  <c r="E32" i="24"/>
  <c r="E229" i="24"/>
  <c r="CW212" i="1"/>
  <c r="E139" i="24"/>
  <c r="CW126" i="1"/>
  <c r="CW316" i="1"/>
  <c r="E337" i="24"/>
  <c r="CW240" i="1"/>
  <c r="E257" i="24"/>
  <c r="E227" i="24"/>
  <c r="CW210" i="1"/>
  <c r="CW49" i="1"/>
  <c r="E52" i="24"/>
  <c r="E128" i="24"/>
  <c r="CW116" i="1"/>
  <c r="D10" i="12"/>
  <c r="J364" i="1"/>
  <c r="K10" i="3"/>
  <c r="E36" i="24"/>
  <c r="CW34" i="1"/>
  <c r="G217" i="24"/>
  <c r="F217" i="24"/>
  <c r="G12" i="24"/>
  <c r="F12" i="24"/>
  <c r="CW310" i="1"/>
  <c r="E330" i="24"/>
  <c r="E130" i="24"/>
  <c r="CW118" i="1"/>
  <c r="E324" i="24"/>
  <c r="CW304" i="1"/>
  <c r="CW268" i="1"/>
  <c r="E288" i="24"/>
  <c r="E239" i="24"/>
  <c r="CW222" i="1"/>
  <c r="E235" i="24"/>
  <c r="CW218" i="1"/>
  <c r="G275" i="24"/>
  <c r="F275" i="24"/>
  <c r="E232" i="24"/>
  <c r="CW215" i="1"/>
  <c r="CW172" i="1"/>
  <c r="E188" i="24"/>
  <c r="E176" i="24"/>
  <c r="CW160" i="1"/>
  <c r="F116" i="24"/>
  <c r="G116" i="24"/>
  <c r="G341" i="24"/>
  <c r="F341" i="24"/>
  <c r="E368" i="24"/>
  <c r="CW347" i="1"/>
  <c r="CW272" i="1"/>
  <c r="E292" i="24"/>
  <c r="CW241" i="1"/>
  <c r="E258" i="24"/>
  <c r="F14" i="24"/>
  <c r="G14" i="24"/>
  <c r="CW249" i="1"/>
  <c r="E266" i="24"/>
  <c r="F307" i="24"/>
  <c r="G307" i="24"/>
  <c r="CW127" i="1"/>
  <c r="E140" i="24"/>
  <c r="CT9" i="1"/>
  <c r="CV9" i="1"/>
  <c r="CS359" i="1"/>
  <c r="CS365" i="1" s="1"/>
  <c r="CW207" i="1"/>
  <c r="E224" i="24"/>
  <c r="J360" i="1"/>
  <c r="CW250" i="1"/>
  <c r="E267" i="24"/>
  <c r="CZ22" i="1"/>
  <c r="CZ42" i="1"/>
  <c r="CZ155" i="1"/>
  <c r="CZ351" i="1"/>
  <c r="CZ237" i="1"/>
  <c r="CZ208" i="1"/>
  <c r="CZ250" i="1"/>
  <c r="CZ353" i="1"/>
  <c r="CZ32" i="1"/>
  <c r="CZ18" i="1"/>
  <c r="CZ43" i="1"/>
  <c r="CZ217" i="1"/>
  <c r="CZ207" i="1"/>
  <c r="CZ39" i="1"/>
  <c r="CZ79" i="1"/>
  <c r="CZ231" i="1"/>
  <c r="CZ223" i="1"/>
  <c r="CZ93" i="1"/>
  <c r="CZ77" i="1"/>
  <c r="CZ46" i="1"/>
  <c r="CZ26" i="1"/>
  <c r="CZ226" i="1"/>
  <c r="CZ147" i="1"/>
  <c r="CZ305" i="1"/>
  <c r="CZ156" i="1"/>
  <c r="CZ97" i="1"/>
  <c r="CZ222" i="1"/>
  <c r="CZ253" i="1"/>
  <c r="CZ78" i="1"/>
  <c r="E172" i="24"/>
  <c r="CW156" i="1"/>
  <c r="F339" i="24"/>
  <c r="G339" i="24"/>
  <c r="E159" i="24"/>
  <c r="E160" i="24"/>
  <c r="CW146" i="1"/>
  <c r="CW351" i="1"/>
  <c r="E372" i="24"/>
  <c r="CW217" i="1"/>
  <c r="E234" i="24"/>
  <c r="G353" i="24"/>
  <c r="F353" i="24"/>
  <c r="F365" i="24"/>
  <c r="G365" i="24"/>
  <c r="CW168" i="1"/>
  <c r="E184" i="24"/>
  <c r="G327" i="24"/>
  <c r="F327" i="24"/>
  <c r="G76" i="24"/>
  <c r="F76" i="24"/>
  <c r="E27" i="24"/>
  <c r="CW25" i="1"/>
  <c r="CW21" i="1"/>
  <c r="E21" i="24"/>
  <c r="E256" i="24"/>
  <c r="CW239" i="1"/>
  <c r="H15" i="3"/>
  <c r="I15" i="3" s="1"/>
  <c r="Y360" i="1"/>
  <c r="Y363" i="1"/>
  <c r="E48" i="24"/>
  <c r="CW46" i="1"/>
  <c r="E226" i="24"/>
  <c r="CW209" i="1"/>
  <c r="CW51" i="1"/>
  <c r="E54" i="24"/>
  <c r="G77" i="24"/>
  <c r="F77" i="24"/>
  <c r="E321" i="24"/>
  <c r="CW301" i="1"/>
  <c r="E254" i="24"/>
  <c r="CW237" i="1"/>
  <c r="E242" i="24"/>
  <c r="CW225" i="1"/>
  <c r="E373" i="24"/>
  <c r="CW352" i="1"/>
  <c r="CW256" i="1"/>
  <c r="E273" i="24"/>
  <c r="CW65" i="1"/>
  <c r="E72" i="24"/>
  <c r="CW60" i="1"/>
  <c r="E63" i="24"/>
  <c r="E171" i="24"/>
  <c r="CW155" i="1"/>
  <c r="F338" i="24"/>
  <c r="G338" i="24"/>
  <c r="CW84" i="1"/>
  <c r="E93" i="24"/>
  <c r="CW83" i="1"/>
  <c r="E92" i="24"/>
  <c r="E223" i="24"/>
  <c r="CW206" i="1"/>
  <c r="E186" i="24"/>
  <c r="CW170" i="1"/>
  <c r="CW97" i="1"/>
  <c r="E106" i="24"/>
  <c r="F350" i="24"/>
  <c r="G350" i="24"/>
  <c r="E248" i="24"/>
  <c r="CW231" i="1"/>
  <c r="F359" i="24"/>
  <c r="G359" i="24"/>
  <c r="E371" i="24"/>
  <c r="CW350" i="1"/>
  <c r="F361" i="24"/>
  <c r="G361" i="24"/>
  <c r="G343" i="24"/>
  <c r="F343" i="24"/>
  <c r="CW190" i="1"/>
  <c r="E207" i="24"/>
  <c r="CW269" i="1"/>
  <c r="E289" i="24"/>
  <c r="CS10" i="1"/>
  <c r="CS354" i="1" s="1"/>
  <c r="AI10" i="1"/>
  <c r="AI358" i="1" s="1"/>
  <c r="AH358" i="1"/>
  <c r="E240" i="24"/>
  <c r="CW223" i="1"/>
  <c r="F356" i="24"/>
  <c r="G356" i="24"/>
  <c r="E336" i="24"/>
  <c r="CW315" i="1"/>
  <c r="CW135" i="1"/>
  <c r="E148" i="24"/>
  <c r="E24" i="24"/>
  <c r="CW23" i="1"/>
  <c r="E143" i="24"/>
  <c r="CW130" i="1"/>
  <c r="F214" i="24"/>
  <c r="G214" i="24"/>
  <c r="E30" i="24"/>
  <c r="CW28" i="1"/>
  <c r="E197" i="24"/>
  <c r="CW181" i="1"/>
  <c r="CW38" i="1"/>
  <c r="E40" i="24"/>
  <c r="E129" i="24"/>
  <c r="CW117" i="1"/>
  <c r="E144" i="24"/>
  <c r="CW131" i="1"/>
  <c r="CW43" i="1"/>
  <c r="E45" i="24"/>
  <c r="CW41" i="1"/>
  <c r="E43" i="24"/>
  <c r="E255" i="24"/>
  <c r="CW238" i="1"/>
  <c r="G354" i="24"/>
  <c r="F354" i="24"/>
  <c r="CW121" i="1"/>
  <c r="E133" i="24"/>
  <c r="CW213" i="1"/>
  <c r="E230" i="24"/>
  <c r="F346" i="24"/>
  <c r="G346" i="24"/>
  <c r="E83" i="24"/>
  <c r="CW74" i="1"/>
  <c r="E179" i="24"/>
  <c r="CW163" i="1"/>
  <c r="G314" i="24"/>
  <c r="F314" i="24"/>
  <c r="E374" i="24"/>
  <c r="CW353" i="1"/>
  <c r="CZ313" i="1"/>
  <c r="CZ274" i="1"/>
  <c r="CZ82" i="1"/>
  <c r="CZ38" i="1"/>
  <c r="CZ127" i="1"/>
  <c r="CZ301" i="1"/>
  <c r="CZ64" i="1"/>
  <c r="CZ262" i="1"/>
  <c r="CZ302" i="1"/>
  <c r="CZ299" i="1"/>
  <c r="CZ74" i="1"/>
  <c r="CZ41" i="1"/>
  <c r="CZ314" i="1"/>
  <c r="CZ268" i="1"/>
  <c r="CZ235" i="1"/>
  <c r="CZ63" i="1"/>
  <c r="CZ244" i="1"/>
  <c r="CZ23" i="1"/>
  <c r="CZ349" i="1"/>
  <c r="CZ212" i="1"/>
  <c r="CZ161" i="1"/>
  <c r="CZ278" i="1"/>
  <c r="CZ190" i="1"/>
  <c r="CZ91" i="1"/>
  <c r="CZ40" i="1"/>
  <c r="CZ120" i="1"/>
  <c r="CZ296" i="1"/>
  <c r="CZ131" i="1"/>
  <c r="CZ270" i="1"/>
  <c r="CZ258" i="1"/>
  <c r="CZ168" i="1"/>
  <c r="CZ308" i="1"/>
  <c r="CZ114" i="1"/>
  <c r="CZ111" i="1"/>
  <c r="CZ216" i="1"/>
  <c r="CZ169" i="1"/>
  <c r="CZ178" i="1"/>
  <c r="CZ173" i="1"/>
  <c r="CZ174" i="1"/>
  <c r="CZ47" i="1"/>
  <c r="CZ170" i="1"/>
  <c r="CZ115" i="1"/>
  <c r="CZ113" i="1"/>
  <c r="CZ48" i="1"/>
  <c r="CZ95" i="1"/>
  <c r="CZ171" i="1"/>
  <c r="CZ172" i="1"/>
  <c r="CZ215" i="1"/>
  <c r="CZ233" i="1"/>
  <c r="CZ98" i="1"/>
  <c r="CZ234" i="1"/>
  <c r="CW17" i="1"/>
  <c r="E17" i="24"/>
  <c r="CW36" i="1"/>
  <c r="E38" i="24"/>
  <c r="F278" i="24"/>
  <c r="G278" i="24"/>
  <c r="CW247" i="1"/>
  <c r="E264" i="24"/>
  <c r="E233" i="24"/>
  <c r="CW216" i="1"/>
  <c r="F220" i="24"/>
  <c r="G220" i="24"/>
  <c r="E180" i="24"/>
  <c r="CW164" i="1"/>
  <c r="G309" i="24"/>
  <c r="F309" i="24"/>
  <c r="CV151" i="1"/>
  <c r="CT151" i="1"/>
  <c r="CW63" i="1"/>
  <c r="E70" i="24"/>
  <c r="CW147" i="1"/>
  <c r="E161" i="24"/>
  <c r="E141" i="24"/>
  <c r="CW128" i="1"/>
  <c r="E369" i="24"/>
  <c r="CW348" i="1"/>
  <c r="E124" i="24"/>
  <c r="CW114" i="1"/>
  <c r="CW78" i="1"/>
  <c r="E87" i="24"/>
  <c r="CW132" i="1"/>
  <c r="E145" i="24"/>
  <c r="CW254" i="1"/>
  <c r="E271" i="24"/>
  <c r="E34" i="24"/>
  <c r="CW32" i="1"/>
  <c r="E237" i="24"/>
  <c r="CW220" i="1"/>
  <c r="G362" i="24"/>
  <c r="F362" i="24"/>
  <c r="CW313" i="1"/>
  <c r="E333" i="24"/>
  <c r="CW161" i="1"/>
  <c r="E177" i="24"/>
  <c r="Z354" i="1"/>
  <c r="D15" i="3"/>
  <c r="D9" i="3" s="1"/>
  <c r="E297" i="24"/>
  <c r="CW277" i="1"/>
  <c r="E65" i="24"/>
  <c r="CW62" i="1"/>
  <c r="E67" i="24"/>
  <c r="CW67" i="1"/>
  <c r="E74" i="24"/>
  <c r="E299" i="24"/>
  <c r="CW279" i="1"/>
  <c r="E185" i="24"/>
  <c r="CW169" i="1"/>
  <c r="F357" i="24"/>
  <c r="G357" i="24"/>
  <c r="F364" i="24"/>
  <c r="G364" i="24"/>
  <c r="CW219" i="1"/>
  <c r="E236" i="24"/>
  <c r="F56" i="24"/>
  <c r="G56" i="24"/>
  <c r="E174" i="24"/>
  <c r="CW158" i="1"/>
  <c r="E293" i="24"/>
  <c r="CW273" i="1"/>
  <c r="E191" i="24"/>
  <c r="CW175" i="1"/>
  <c r="CW245" i="1"/>
  <c r="E262" i="24"/>
  <c r="E221" i="24"/>
  <c r="CW204" i="1"/>
  <c r="CW20" i="1"/>
  <c r="E20" i="24"/>
  <c r="CW40" i="1"/>
  <c r="E42" i="24"/>
  <c r="E39" i="24"/>
  <c r="CW37" i="1"/>
  <c r="G46" i="24"/>
  <c r="F46" i="24"/>
  <c r="CW66" i="1"/>
  <c r="E73" i="24"/>
  <c r="CV152" i="1"/>
  <c r="CT152" i="1"/>
  <c r="E298" i="24"/>
  <c r="CW278" i="1"/>
  <c r="CW52" i="1"/>
  <c r="E55" i="24"/>
  <c r="E132" i="24"/>
  <c r="CW120" i="1"/>
  <c r="E285" i="24"/>
  <c r="CW266" i="1"/>
  <c r="E136" i="24"/>
  <c r="CW123" i="1"/>
  <c r="E181" i="24"/>
  <c r="CW165" i="1"/>
  <c r="CW299" i="1"/>
  <c r="E319" i="24"/>
  <c r="E316" i="24"/>
  <c r="CW296" i="1"/>
  <c r="E250" i="24"/>
  <c r="CW233" i="1"/>
  <c r="G349" i="24"/>
  <c r="F349" i="24"/>
  <c r="CW15" i="1"/>
  <c r="E15" i="24"/>
  <c r="CW242" i="1"/>
  <c r="E259" i="24"/>
  <c r="N9" i="3"/>
  <c r="O10" i="3"/>
  <c r="E332" i="24"/>
  <c r="CW312" i="1"/>
  <c r="G315" i="24"/>
  <c r="F315" i="24"/>
  <c r="E100" i="24"/>
  <c r="CW91" i="1"/>
  <c r="E18" i="24"/>
  <c r="CW18" i="1"/>
  <c r="E243" i="24"/>
  <c r="CW226" i="1"/>
  <c r="G283" i="24"/>
  <c r="F283" i="24"/>
  <c r="CW42" i="1"/>
  <c r="E44" i="24"/>
  <c r="F216" i="24"/>
  <c r="G216" i="24"/>
  <c r="G219" i="24"/>
  <c r="F219" i="24"/>
  <c r="CW264" i="1"/>
  <c r="E282" i="24"/>
  <c r="E276" i="24"/>
  <c r="CW258" i="1"/>
  <c r="G340" i="24"/>
  <c r="F340" i="24"/>
  <c r="G308" i="24"/>
  <c r="F308" i="24"/>
  <c r="E16" i="24"/>
  <c r="CW16" i="1"/>
  <c r="CW259" i="1"/>
  <c r="E277" i="24"/>
  <c r="G295" i="24"/>
  <c r="F295" i="24"/>
  <c r="E173" i="24"/>
  <c r="CW157" i="1"/>
  <c r="E182" i="24"/>
  <c r="CW166" i="1"/>
  <c r="AH354" i="1"/>
  <c r="AI354" i="1" s="1"/>
  <c r="CW125" i="1"/>
  <c r="E138" i="24"/>
  <c r="CW48" i="1"/>
  <c r="E50" i="24"/>
  <c r="CW82" i="1"/>
  <c r="E91" i="24"/>
  <c r="I10" i="3"/>
  <c r="H9" i="3"/>
  <c r="CW262" i="1"/>
  <c r="E280" i="24"/>
  <c r="CV357" i="1" l="1"/>
  <c r="O207" i="30"/>
  <c r="O208" i="30" s="1"/>
  <c r="CT354" i="1"/>
  <c r="F9" i="3"/>
  <c r="E9" i="3"/>
  <c r="X9" i="3"/>
  <c r="X41" i="3" s="1"/>
  <c r="D41" i="3"/>
  <c r="F277" i="24"/>
  <c r="G277" i="24"/>
  <c r="F276" i="24"/>
  <c r="G276" i="24"/>
  <c r="G18" i="24"/>
  <c r="F18" i="24"/>
  <c r="O9" i="3"/>
  <c r="N41" i="3"/>
  <c r="G250" i="24"/>
  <c r="F250" i="24"/>
  <c r="F136" i="24"/>
  <c r="G136" i="24"/>
  <c r="F285" i="24"/>
  <c r="G285" i="24"/>
  <c r="G298" i="24"/>
  <c r="F298" i="24"/>
  <c r="F42" i="24"/>
  <c r="G42" i="24"/>
  <c r="G20" i="24"/>
  <c r="F20" i="24"/>
  <c r="F299" i="24"/>
  <c r="G299" i="24"/>
  <c r="F177" i="24"/>
  <c r="G177" i="24"/>
  <c r="F333" i="24"/>
  <c r="G333" i="24"/>
  <c r="G271" i="24"/>
  <c r="F271" i="24"/>
  <c r="F87" i="24"/>
  <c r="G87" i="24"/>
  <c r="F161" i="24"/>
  <c r="G161" i="24"/>
  <c r="G70" i="24"/>
  <c r="F70" i="24"/>
  <c r="G374" i="24"/>
  <c r="F374" i="24"/>
  <c r="G179" i="24"/>
  <c r="F179" i="24"/>
  <c r="G129" i="24"/>
  <c r="F129" i="24"/>
  <c r="G30" i="24"/>
  <c r="F30" i="24"/>
  <c r="G143" i="24"/>
  <c r="F143" i="24"/>
  <c r="F24" i="24"/>
  <c r="G24" i="24"/>
  <c r="AH364" i="1"/>
  <c r="AH360" i="1"/>
  <c r="F248" i="24"/>
  <c r="G248" i="24"/>
  <c r="F171" i="24"/>
  <c r="G171" i="24"/>
  <c r="F373" i="24"/>
  <c r="G373" i="24"/>
  <c r="G242" i="24"/>
  <c r="F242" i="24"/>
  <c r="G54" i="24"/>
  <c r="F54" i="24"/>
  <c r="F226" i="24"/>
  <c r="G226" i="24"/>
  <c r="G48" i="24"/>
  <c r="F48" i="24"/>
  <c r="F21" i="24"/>
  <c r="G21" i="24"/>
  <c r="G27" i="24"/>
  <c r="F27" i="24"/>
  <c r="CZ25" i="1"/>
  <c r="G267" i="24"/>
  <c r="F267" i="24"/>
  <c r="F176" i="24"/>
  <c r="G176" i="24"/>
  <c r="G235" i="24"/>
  <c r="F235" i="24"/>
  <c r="G330" i="24"/>
  <c r="F330" i="24"/>
  <c r="E10" i="12"/>
  <c r="F10" i="12"/>
  <c r="D9" i="12"/>
  <c r="F227" i="24"/>
  <c r="G227" i="24"/>
  <c r="F229" i="24"/>
  <c r="G229" i="24"/>
  <c r="G101" i="24"/>
  <c r="F101" i="24"/>
  <c r="F252" i="24"/>
  <c r="G252" i="24"/>
  <c r="F281" i="24"/>
  <c r="G281" i="24"/>
  <c r="E11" i="24"/>
  <c r="CW12" i="1"/>
  <c r="F190" i="24"/>
  <c r="G190" i="24"/>
  <c r="G260" i="24"/>
  <c r="F260" i="24"/>
  <c r="CT357" i="1"/>
  <c r="F244" i="24"/>
  <c r="G244" i="24"/>
  <c r="F290" i="24"/>
  <c r="G290" i="24"/>
  <c r="G265" i="24"/>
  <c r="F265" i="24"/>
  <c r="F147" i="24"/>
  <c r="G147" i="24"/>
  <c r="G97" i="24"/>
  <c r="F97" i="24"/>
  <c r="G323" i="24"/>
  <c r="F323" i="24"/>
  <c r="G41" i="24"/>
  <c r="F41" i="24"/>
  <c r="F118" i="24"/>
  <c r="G118" i="24"/>
  <c r="F89" i="24"/>
  <c r="G89" i="24"/>
  <c r="G127" i="24"/>
  <c r="F127" i="24"/>
  <c r="CZ152" i="1"/>
  <c r="I9" i="3"/>
  <c r="H41" i="3"/>
  <c r="G138" i="24"/>
  <c r="F138" i="24"/>
  <c r="G173" i="24"/>
  <c r="F173" i="24"/>
  <c r="G282" i="24"/>
  <c r="F282" i="24"/>
  <c r="F44" i="24"/>
  <c r="G44" i="24"/>
  <c r="F259" i="24"/>
  <c r="G259" i="24"/>
  <c r="G15" i="24"/>
  <c r="F15" i="24"/>
  <c r="E168" i="24"/>
  <c r="CW152" i="1"/>
  <c r="G221" i="24"/>
  <c r="F221" i="24"/>
  <c r="F191" i="24"/>
  <c r="G191" i="24"/>
  <c r="F174" i="24"/>
  <c r="G174" i="24"/>
  <c r="G74" i="24"/>
  <c r="F74" i="24"/>
  <c r="F65" i="24"/>
  <c r="G65" i="24"/>
  <c r="F297" i="24"/>
  <c r="G297" i="24"/>
  <c r="G34" i="24"/>
  <c r="F34" i="24"/>
  <c r="G124" i="24"/>
  <c r="F124" i="24"/>
  <c r="G369" i="24"/>
  <c r="F369" i="24"/>
  <c r="F180" i="24"/>
  <c r="G180" i="24"/>
  <c r="G233" i="24"/>
  <c r="F233" i="24"/>
  <c r="G264" i="24"/>
  <c r="F264" i="24"/>
  <c r="F17" i="24"/>
  <c r="G17" i="24"/>
  <c r="G133" i="24"/>
  <c r="F133" i="24"/>
  <c r="F45" i="24"/>
  <c r="G45" i="24"/>
  <c r="G40" i="24"/>
  <c r="F40" i="24"/>
  <c r="G336" i="24"/>
  <c r="F336" i="24"/>
  <c r="G207" i="24"/>
  <c r="F207" i="24"/>
  <c r="F93" i="24"/>
  <c r="G93" i="24"/>
  <c r="G63" i="24"/>
  <c r="F63" i="24"/>
  <c r="F273" i="24"/>
  <c r="G273" i="24"/>
  <c r="F321" i="24"/>
  <c r="G321" i="24"/>
  <c r="G184" i="24"/>
  <c r="F184" i="24"/>
  <c r="F234" i="24"/>
  <c r="G234" i="24"/>
  <c r="G224" i="24"/>
  <c r="F224" i="24"/>
  <c r="F140" i="24"/>
  <c r="G140" i="24"/>
  <c r="F292" i="24"/>
  <c r="G292" i="24"/>
  <c r="F188" i="24"/>
  <c r="G188" i="24"/>
  <c r="G324" i="24"/>
  <c r="F324" i="24"/>
  <c r="G257" i="24"/>
  <c r="F257" i="24"/>
  <c r="F337" i="24"/>
  <c r="G337" i="24"/>
  <c r="F175" i="24"/>
  <c r="G175" i="24"/>
  <c r="F142" i="24"/>
  <c r="G142" i="24"/>
  <c r="F279" i="24"/>
  <c r="G279" i="24"/>
  <c r="G187" i="24"/>
  <c r="F187" i="24"/>
  <c r="E151" i="24"/>
  <c r="CW139" i="1"/>
  <c r="E152" i="24"/>
  <c r="G99" i="24"/>
  <c r="F99" i="24"/>
  <c r="F334" i="24"/>
  <c r="G334" i="24"/>
  <c r="CT359" i="1"/>
  <c r="G225" i="24"/>
  <c r="F225" i="24"/>
  <c r="G241" i="24"/>
  <c r="F241" i="24"/>
  <c r="G296" i="24"/>
  <c r="F296" i="24"/>
  <c r="CW45" i="1"/>
  <c r="E47" i="24"/>
  <c r="F90" i="24"/>
  <c r="G90" i="24"/>
  <c r="G238" i="24"/>
  <c r="F238" i="24"/>
  <c r="F137" i="24"/>
  <c r="G137" i="24"/>
  <c r="G251" i="24"/>
  <c r="F251" i="24"/>
  <c r="G125" i="24"/>
  <c r="F125" i="24"/>
  <c r="G331" i="24"/>
  <c r="F331" i="24"/>
  <c r="F320" i="24"/>
  <c r="G320" i="24"/>
  <c r="F322" i="24"/>
  <c r="G322" i="24"/>
  <c r="F243" i="24"/>
  <c r="G243" i="24"/>
  <c r="F100" i="24"/>
  <c r="G100" i="24"/>
  <c r="G332" i="24"/>
  <c r="F332" i="24"/>
  <c r="F316" i="24"/>
  <c r="G316" i="24"/>
  <c r="F181" i="24"/>
  <c r="G181" i="24"/>
  <c r="G132" i="24"/>
  <c r="F132" i="24"/>
  <c r="F73" i="24"/>
  <c r="G73" i="24"/>
  <c r="G262" i="24"/>
  <c r="F262" i="24"/>
  <c r="F236" i="24"/>
  <c r="G236" i="24"/>
  <c r="G185" i="24"/>
  <c r="F185" i="24"/>
  <c r="E15" i="3"/>
  <c r="F15" i="3"/>
  <c r="F145" i="24"/>
  <c r="G145" i="24"/>
  <c r="G83" i="24"/>
  <c r="F83" i="24"/>
  <c r="G255" i="24"/>
  <c r="F255" i="24"/>
  <c r="F144" i="24"/>
  <c r="G144" i="24"/>
  <c r="F197" i="24"/>
  <c r="G197" i="24"/>
  <c r="F148" i="24"/>
  <c r="G148" i="24"/>
  <c r="CT10" i="1"/>
  <c r="CT358" i="1" s="1"/>
  <c r="CV10" i="1"/>
  <c r="CV354" i="1" s="1"/>
  <c r="CS358" i="1"/>
  <c r="F371" i="24"/>
  <c r="G371" i="24"/>
  <c r="G186" i="24"/>
  <c r="F186" i="24"/>
  <c r="F223" i="24"/>
  <c r="G223" i="24"/>
  <c r="Z360" i="1"/>
  <c r="Y366" i="1"/>
  <c r="F160" i="24"/>
  <c r="G160" i="24"/>
  <c r="K360" i="1"/>
  <c r="J366" i="1"/>
  <c r="G368" i="24"/>
  <c r="F368" i="24"/>
  <c r="F232" i="24"/>
  <c r="G232" i="24"/>
  <c r="F239" i="24"/>
  <c r="G239" i="24"/>
  <c r="L10" i="3"/>
  <c r="K9" i="3"/>
  <c r="F128" i="24"/>
  <c r="G128" i="24"/>
  <c r="G139" i="24"/>
  <c r="F139" i="24"/>
  <c r="F120" i="24"/>
  <c r="G120" i="24"/>
  <c r="F146" i="24"/>
  <c r="G146" i="24"/>
  <c r="G86" i="24"/>
  <c r="F86" i="24"/>
  <c r="G71" i="24"/>
  <c r="F71" i="24"/>
  <c r="G326" i="24"/>
  <c r="F326" i="24"/>
  <c r="G22" i="24"/>
  <c r="F22" i="24"/>
  <c r="F228" i="24"/>
  <c r="G228" i="24"/>
  <c r="G318" i="24"/>
  <c r="F318" i="24"/>
  <c r="F98" i="24"/>
  <c r="G98" i="24"/>
  <c r="F222" i="24"/>
  <c r="G222" i="24"/>
  <c r="F245" i="24"/>
  <c r="G245" i="24"/>
  <c r="F270" i="24"/>
  <c r="G270" i="24"/>
  <c r="G49" i="24"/>
  <c r="F49" i="24"/>
  <c r="G10" i="24"/>
  <c r="F10" i="24"/>
  <c r="CW192" i="1"/>
  <c r="E209" i="24"/>
  <c r="G294" i="24"/>
  <c r="F294" i="24"/>
  <c r="G88" i="24"/>
  <c r="F88" i="24"/>
  <c r="G107" i="24"/>
  <c r="F107" i="24"/>
  <c r="CZ139" i="1"/>
  <c r="CZ151" i="1"/>
  <c r="CZ192" i="1"/>
  <c r="CZ12" i="1"/>
  <c r="F280" i="24"/>
  <c r="G280" i="24"/>
  <c r="F91" i="24"/>
  <c r="G91" i="24"/>
  <c r="G50" i="24"/>
  <c r="F50" i="24"/>
  <c r="F182" i="24"/>
  <c r="G182" i="24"/>
  <c r="G16" i="24"/>
  <c r="F16" i="24"/>
  <c r="F319" i="24"/>
  <c r="G319" i="24"/>
  <c r="F55" i="24"/>
  <c r="G55" i="24"/>
  <c r="F39" i="24"/>
  <c r="G39" i="24"/>
  <c r="G293" i="24"/>
  <c r="F293" i="24"/>
  <c r="F67" i="24"/>
  <c r="G67" i="24"/>
  <c r="F237" i="24"/>
  <c r="G237" i="24"/>
  <c r="G141" i="24"/>
  <c r="F141" i="24"/>
  <c r="E165" i="24"/>
  <c r="CW151" i="1"/>
  <c r="F38" i="24"/>
  <c r="G38" i="24"/>
  <c r="F230" i="24"/>
  <c r="G230" i="24"/>
  <c r="F43" i="24"/>
  <c r="G43" i="24"/>
  <c r="G240" i="24"/>
  <c r="F240" i="24"/>
  <c r="F289" i="24"/>
  <c r="G289" i="24"/>
  <c r="F106" i="24"/>
  <c r="G106" i="24"/>
  <c r="F92" i="24"/>
  <c r="G92" i="24"/>
  <c r="G72" i="24"/>
  <c r="F72" i="24"/>
  <c r="G254" i="24"/>
  <c r="F254" i="24"/>
  <c r="G256" i="24"/>
  <c r="F256" i="24"/>
  <c r="G372" i="24"/>
  <c r="F372" i="24"/>
  <c r="G159" i="24"/>
  <c r="F159" i="24"/>
  <c r="G172" i="24"/>
  <c r="F172" i="24"/>
  <c r="CW9" i="1"/>
  <c r="E8" i="24"/>
  <c r="CV359" i="1"/>
  <c r="F266" i="24"/>
  <c r="G266" i="24"/>
  <c r="G258" i="24"/>
  <c r="F258" i="24"/>
  <c r="F288" i="24"/>
  <c r="G288" i="24"/>
  <c r="F130" i="24"/>
  <c r="G130" i="24"/>
  <c r="F36" i="24"/>
  <c r="G36" i="24"/>
  <c r="G52" i="24"/>
  <c r="F52" i="24"/>
  <c r="F32" i="24"/>
  <c r="G32" i="24"/>
  <c r="G105" i="24"/>
  <c r="F105" i="24"/>
  <c r="F104" i="24"/>
  <c r="G104" i="24"/>
  <c r="F135" i="24"/>
  <c r="G135" i="24"/>
  <c r="F19" i="24"/>
  <c r="G19" i="24"/>
  <c r="G28" i="24"/>
  <c r="F28" i="24"/>
  <c r="F325" i="24"/>
  <c r="G325" i="24"/>
  <c r="F102" i="24"/>
  <c r="G102" i="24"/>
  <c r="F35" i="24"/>
  <c r="G35" i="24"/>
  <c r="F317" i="24"/>
  <c r="G317" i="24"/>
  <c r="F194" i="24"/>
  <c r="G194" i="24"/>
  <c r="F215" i="24"/>
  <c r="G215" i="24"/>
  <c r="F291" i="24"/>
  <c r="G291" i="24"/>
  <c r="G328" i="24"/>
  <c r="F328" i="24"/>
  <c r="G367" i="24"/>
  <c r="F367" i="24"/>
  <c r="G261" i="24"/>
  <c r="F261" i="24"/>
  <c r="G189" i="24"/>
  <c r="F189" i="24"/>
  <c r="G94" i="24"/>
  <c r="F94" i="24"/>
  <c r="G131" i="24"/>
  <c r="F131" i="24"/>
  <c r="F231" i="24"/>
  <c r="G231" i="24"/>
  <c r="G150" i="24"/>
  <c r="F150" i="24"/>
  <c r="F149" i="24"/>
  <c r="G149" i="24"/>
  <c r="F15" i="12"/>
  <c r="E15" i="12"/>
  <c r="G253" i="24"/>
  <c r="F253" i="24"/>
  <c r="G193" i="24"/>
  <c r="F193" i="24"/>
  <c r="G103" i="24"/>
  <c r="F103" i="24"/>
  <c r="G249" i="24"/>
  <c r="F249" i="24"/>
  <c r="CV363" i="1" l="1"/>
  <c r="F8" i="24"/>
  <c r="G8" i="24"/>
  <c r="G151" i="24"/>
  <c r="F151" i="24"/>
  <c r="F47" i="24"/>
  <c r="G47" i="24"/>
  <c r="E9" i="12"/>
  <c r="F9" i="12"/>
  <c r="D41" i="12"/>
  <c r="AH366" i="1"/>
  <c r="AI360" i="1"/>
  <c r="O41" i="3"/>
  <c r="N42" i="3"/>
  <c r="O50" i="3" s="1"/>
  <c r="CZ45" i="1"/>
  <c r="CW354" i="1"/>
  <c r="F209" i="24"/>
  <c r="G209" i="24"/>
  <c r="L9" i="3"/>
  <c r="K41" i="3"/>
  <c r="CS364" i="1"/>
  <c r="CS360" i="1"/>
  <c r="CW357" i="1"/>
  <c r="G152" i="24"/>
  <c r="F152" i="24"/>
  <c r="G168" i="24"/>
  <c r="F168" i="24"/>
  <c r="CW359" i="1"/>
  <c r="CV365" i="1"/>
  <c r="G165" i="24"/>
  <c r="F165" i="24"/>
  <c r="E9" i="24"/>
  <c r="E375" i="24" s="1"/>
  <c r="CW10" i="1"/>
  <c r="CW358" i="1" s="1"/>
  <c r="CV358" i="1"/>
  <c r="I41" i="3"/>
  <c r="H42" i="3"/>
  <c r="CZ9" i="1"/>
  <c r="CZ359" i="1" s="1"/>
  <c r="CY359" i="1"/>
  <c r="G11" i="24"/>
  <c r="F11" i="24"/>
  <c r="F41" i="3"/>
  <c r="D42" i="3"/>
  <c r="D47" i="3" s="1"/>
  <c r="E41" i="3"/>
  <c r="J53" i="5"/>
  <c r="J46" i="5"/>
  <c r="H47" i="3" l="1"/>
  <c r="I50" i="3"/>
  <c r="G375" i="24"/>
  <c r="F375" i="24"/>
  <c r="I42" i="12"/>
  <c r="I44" i="12"/>
  <c r="CV364" i="1"/>
  <c r="CV360" i="1"/>
  <c r="K42" i="3"/>
  <c r="L50" i="3" s="1"/>
  <c r="L41" i="3"/>
  <c r="F42" i="3"/>
  <c r="D49" i="3"/>
  <c r="E42" i="3"/>
  <c r="D45" i="3"/>
  <c r="O42" i="3"/>
  <c r="N45" i="3"/>
  <c r="O45" i="3" s="1"/>
  <c r="N47" i="3"/>
  <c r="N49" i="3" s="1"/>
  <c r="F41" i="12"/>
  <c r="D42" i="12"/>
  <c r="E41" i="12"/>
  <c r="CZ10" i="1"/>
  <c r="CZ358" i="1" s="1"/>
  <c r="CY358" i="1"/>
  <c r="K46" i="5"/>
  <c r="J48" i="5"/>
  <c r="H45" i="3"/>
  <c r="I45" i="3" s="1"/>
  <c r="I42" i="3"/>
  <c r="H49" i="3"/>
  <c r="F9" i="24"/>
  <c r="G9" i="24"/>
  <c r="CS366" i="1"/>
  <c r="CT360" i="1"/>
  <c r="J50" i="5" l="1"/>
  <c r="J51" i="5"/>
  <c r="K48" i="5"/>
  <c r="L42" i="3"/>
  <c r="K47" i="3"/>
  <c r="K49" i="3" s="1"/>
  <c r="K45" i="3"/>
  <c r="L45" i="3" s="1"/>
  <c r="CZ28" i="1"/>
  <c r="CZ357" i="1" s="1"/>
  <c r="CY357" i="1"/>
  <c r="CY360" i="1" s="1"/>
  <c r="CZ360" i="1" s="1"/>
  <c r="CY354" i="1"/>
  <c r="CZ354" i="1" s="1"/>
  <c r="E45" i="3"/>
  <c r="F45" i="3"/>
  <c r="E42" i="12"/>
  <c r="D48" i="12" s="1"/>
  <c r="F42" i="12"/>
  <c r="CW360" i="1"/>
  <c r="CV366" i="1"/>
  <c r="E48" i="12" l="1"/>
  <c r="D49" i="12"/>
  <c r="E49" i="12" l="1"/>
  <c r="F51" i="12"/>
  <c r="R233" i="4"/>
  <c r="R316" i="4"/>
  <c r="R120" i="4"/>
  <c r="R176" i="4"/>
  <c r="R237" i="4"/>
  <c r="R329" i="4"/>
  <c r="R100" i="4"/>
  <c r="R183" i="4"/>
  <c r="R240" i="4"/>
  <c r="R334" i="4"/>
  <c r="R108" i="4"/>
  <c r="R226" i="4"/>
  <c r="R259" i="4"/>
  <c r="R363" i="4" l="1"/>
  <c r="R361" i="4"/>
  <c r="R356" i="4"/>
  <c r="C9" i="13" s="1"/>
  <c r="D58" i="12" s="1"/>
  <c r="R362" i="4"/>
  <c r="R364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C40" authorId="0" shapeId="0" xr:uid="{422DB22C-BA93-46AB-98AF-418D8707CEA4}">
      <text>
        <r>
          <rPr>
            <b/>
            <sz val="9"/>
            <color indexed="81"/>
            <rFont val="Tahoma"/>
            <family val="2"/>
            <charset val="204"/>
          </rPr>
          <t xml:space="preserve">додаткові кошти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DX121" authorId="0" shapeId="0" xr:uid="{788F5702-AADA-4C2D-95F1-A25BC3BF045A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нестандартне підключення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C9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04"/>
          </rPr>
          <t>Двері.вікна,скління,утеплення підлоги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M9" authorId="0" shapeId="0" xr:uid="{A4CF1765-6E6B-4043-BF98-FEC6D251734B}">
      <text>
        <r>
          <rPr>
            <b/>
            <sz val="8"/>
            <color indexed="81"/>
            <rFont val="Tahoma"/>
            <family val="2"/>
            <charset val="204"/>
          </rPr>
          <t>Двері.вікна,скління,утеплення підлоги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J23" authorId="0" shapeId="0" xr:uid="{DF0A299B-DBD9-44C7-B1A7-B8565F701D8C}">
      <text>
        <r>
          <rPr>
            <b/>
            <sz val="9"/>
            <color indexed="81"/>
            <rFont val="Tahoma"/>
            <family val="2"/>
            <charset val="204"/>
          </rPr>
          <t>з 01.01.2021 додався 2-ий підїзд + 305м2</t>
        </r>
      </text>
    </comment>
    <comment ref="AQ185" authorId="0" shapeId="0" xr:uid="{91381D74-7B5F-447E-BC06-4CA28D707560}">
      <text>
        <r>
          <rPr>
            <sz val="9"/>
            <color indexed="81"/>
            <rFont val="Tahoma"/>
            <family val="2"/>
            <charset val="204"/>
          </rPr>
          <t xml:space="preserve">Підземні контейнери
</t>
        </r>
      </text>
    </comment>
    <comment ref="AQ250" authorId="0" shapeId="0" xr:uid="{43CC14F1-E87F-4E7F-A97C-6B751D7F0FF4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284" authorId="0" shapeId="0" xr:uid="{02C5C91C-4317-43BA-A68F-99332BEDB29F}">
      <text>
        <r>
          <rPr>
            <b/>
            <sz val="9"/>
            <color indexed="81"/>
            <rFont val="Tahoma"/>
            <family val="2"/>
            <charset val="204"/>
          </rPr>
          <t>з 01.03.2021, Шевченка, 110 - ОСББ, тому конт. Майд. На 112А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Y329" authorId="0" shapeId="0" xr:uid="{ADFD4F64-6CF0-48CC-A851-0B131988C555}">
      <text>
        <r>
          <rPr>
            <b/>
            <sz val="8"/>
            <color indexed="81"/>
            <rFont val="Tahoma"/>
            <family val="2"/>
            <charset val="204"/>
          </rPr>
          <t>Полісся</t>
        </r>
      </text>
    </comment>
    <comment ref="AC329" authorId="0" shapeId="0" xr:uid="{5F9EC9EB-29CA-43F8-9C4F-F524728D05F0}">
      <text>
        <r>
          <rPr>
            <b/>
            <sz val="8"/>
            <color indexed="81"/>
            <rFont val="Tahoma"/>
            <family val="2"/>
            <charset val="204"/>
          </rPr>
          <t>Полісся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Q330" authorId="0" shapeId="0" xr:uid="{09AAFD82-376E-45EF-96BC-985E8B5CFAD6}">
      <text>
        <r>
          <rPr>
            <b/>
            <sz val="9"/>
            <color indexed="81"/>
            <rFont val="Tahoma"/>
            <family val="2"/>
            <charset val="204"/>
          </rPr>
          <t>Підземні контейнери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345" authorId="0" shapeId="0" xr:uid="{C35BDB95-4F3D-4B4E-ACE5-8ED69C0B6586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</text>
    </comment>
    <comment ref="AQ346" authorId="0" shapeId="0" xr:uid="{54345E1E-0466-4E3B-8E28-48D9B4D3008F}">
      <text>
        <r>
          <rPr>
            <b/>
            <sz val="9"/>
            <color indexed="81"/>
            <rFont val="Tahoma"/>
            <family val="2"/>
            <charset val="204"/>
          </rPr>
          <t xml:space="preserve">Підземні контейнери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347" authorId="0" shapeId="0" xr:uid="{10D38A3E-31D8-453B-8C0A-44970DB776F5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</text>
    </comment>
    <comment ref="AQ348" authorId="0" shapeId="0" xr:uid="{B9DD0242-DEAE-487C-AE68-9EAA0100E97C}">
      <text>
        <r>
          <rPr>
            <b/>
            <sz val="9"/>
            <color indexed="81"/>
            <rFont val="Tahoma"/>
            <family val="2"/>
            <charset val="204"/>
          </rPr>
          <t>Підземні контейнери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L193" authorId="0" shapeId="0" xr:uid="{9B717209-74A1-4697-BB20-43B1D2D5E556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підключення, відключення електроустановок рахунок від 04.11.21</t>
        </r>
      </text>
    </comment>
    <comment ref="AQ349" authorId="0" shapeId="0" xr:uid="{2A26E481-9603-4746-A263-5A02E81B2CEB}">
      <text>
        <r>
          <rPr>
            <b/>
            <sz val="9"/>
            <color indexed="81"/>
            <rFont val="Tahoma"/>
            <family val="2"/>
            <charset val="204"/>
          </rPr>
          <t>423,4 грн матеріали Кречківський, 552,5 грн послуга "ЧернігівГАЗ"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K23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34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73" authorId="0" shapeId="0" xr:uid="{00000000-0006-0000-1200-000003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84" authorId="0" shapeId="0" xr:uid="{00000000-0006-0000-1200-000004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123" authorId="0" shapeId="0" xr:uid="{00000000-0006-0000-1200-000005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134" authorId="0" shapeId="0" xr:uid="{00000000-0006-0000-1200-000006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232" authorId="0" shapeId="0" xr:uid="{00000000-0006-0000-1200-000007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K247" authorId="0" shapeId="0" xr:uid="{00000000-0006-0000-1200-000008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K262" authorId="0" shapeId="0" xr:uid="{00000000-0006-0000-1200-000009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</commentList>
</comments>
</file>

<file path=xl/sharedStrings.xml><?xml version="1.0" encoding="utf-8"?>
<sst xmlns="http://schemas.openxmlformats.org/spreadsheetml/2006/main" count="9067" uniqueCount="1844">
  <si>
    <t>КП "Деснянське" ЧМР</t>
  </si>
  <si>
    <t>Адреса</t>
  </si>
  <si>
    <t>Поверх</t>
  </si>
  <si>
    <t>Загальна площа квартир</t>
  </si>
  <si>
    <t>в т.ч площа 1 поверху для будинків з ліфтами</t>
  </si>
  <si>
    <t>Площа нежитлових приміщень</t>
  </si>
  <si>
    <t>Технічне обслуговування внутрішньобудинкових систем</t>
  </si>
  <si>
    <t>Технічне обслуговування ліфтів</t>
  </si>
  <si>
    <t>Обслуговування систем диспетчеризації</t>
  </si>
  <si>
    <t>Обслуговування димових та вентиляційних каналів</t>
  </si>
  <si>
    <t>Технічне обслуговування систем протипожежної автоматики та димовидалення (у разі їх наявності)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</si>
  <si>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ББ</t>
  </si>
  <si>
    <t>Поточний ремонт внутрішньобудинкових систем</t>
  </si>
  <si>
    <t>Поточний ремонт систем протипожежної  автоматики та димовидалення (у разі їх наявності)</t>
  </si>
  <si>
    <t>Прибирання прибудинкової території</t>
  </si>
  <si>
    <t>Прибирання приміщень загального користування (у т.ч допоміжних)</t>
  </si>
  <si>
    <t>Прибирання та вивезення снігу, посипання частини прибудинкової території, призначеної для проходу та проїзду, протиожеледними сумішами</t>
  </si>
  <si>
    <t>12. Дератизація</t>
  </si>
  <si>
    <t>13. Дезінсекція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</si>
  <si>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будинку, в т.ч</t>
  </si>
  <si>
    <t>Інші роботи (послуги) понад обов'язковий перелік</t>
  </si>
  <si>
    <t>Загальна сума витрат (без урахування ПДВ)</t>
  </si>
  <si>
    <t>Загальна сума витрат (з урахуванням ПДВ)</t>
  </si>
  <si>
    <t xml:space="preserve">водопостачання </t>
  </si>
  <si>
    <t>водовідведення</t>
  </si>
  <si>
    <t>теплопостачання</t>
  </si>
  <si>
    <t>гарячого водопостачання</t>
  </si>
  <si>
    <t>зливової каналізації</t>
  </si>
  <si>
    <t>електропостачання</t>
  </si>
  <si>
    <t>газопостачання</t>
  </si>
  <si>
    <t>аварійне обслуговування</t>
  </si>
  <si>
    <t>для освітлення місць загального користування</t>
  </si>
  <si>
    <t>для живлення ліфтів</t>
  </si>
  <si>
    <t>вул.АНДРІЇВСЬКА,  17</t>
  </si>
  <si>
    <t>вул.ГАНЖІВСЬКА,  4</t>
  </si>
  <si>
    <t>вул.ГАНЖІВСЬКА,  6А</t>
  </si>
  <si>
    <t>вул.ГАНЖІВСЬКА,  7</t>
  </si>
  <si>
    <t>вул.ГЕТЬМАНА ПОЛУБОТКА,  101</t>
  </si>
  <si>
    <t>вул.ГЕТЬМАНА ПОЛУБОТКА,  103</t>
  </si>
  <si>
    <t>вул.ГЕТЬМАНА ПОЛУБОТКА,  124</t>
  </si>
  <si>
    <t>вул.ГЕТЬМАНА ПОЛУБОТКА,  124А</t>
  </si>
  <si>
    <t>вул.ГЕТЬМАНА ПОЛУБОТКА,  126</t>
  </si>
  <si>
    <t>вул.ГЕТЬМАНА ПОЛУБОТКА,  126А</t>
  </si>
  <si>
    <t>вул.ГЕТЬМАНА ПОЛУБОТКА,  126Б</t>
  </si>
  <si>
    <t>вул.ГЕТЬМАНА ПОЛУБОТКА,  128</t>
  </si>
  <si>
    <t>вул.ГЕТЬМАНА ПОЛУБОТКА,  128А</t>
  </si>
  <si>
    <t>вул.ГЕТЬМАНА ПОЛУБОТКА,  128Б</t>
  </si>
  <si>
    <t>вул.ГЕТЬМАНА ПОЛУБОТКА,  130</t>
  </si>
  <si>
    <t>вул.ГЕТЬМАНА ПОЛУБОТКА,  130А</t>
  </si>
  <si>
    <t>вул.ГЕТЬМАНА ПОЛУБОТКА,  19</t>
  </si>
  <si>
    <t>вул.ГЕТЬМАНА ПОЛУБОТКА,  97</t>
  </si>
  <si>
    <t>вул.ГЕТЬМАНА ПОЛУБОТКА,  99</t>
  </si>
  <si>
    <t>вул.ГОНЧА,  11</t>
  </si>
  <si>
    <t>вул.ГОНЧА,  22</t>
  </si>
  <si>
    <t>вул.ГОНЧА,  22А</t>
  </si>
  <si>
    <t>вул.ГОНЧА,  24</t>
  </si>
  <si>
    <t>вул.ГОНЧА,  42</t>
  </si>
  <si>
    <t>вул.ГОНЧА,  48</t>
  </si>
  <si>
    <t>вул.ГОНЧА,  50</t>
  </si>
  <si>
    <t>вул.ГОНЧА,  62А</t>
  </si>
  <si>
    <t>вул.ГОНЧА,  67</t>
  </si>
  <si>
    <t>вул.ГОНЧА,  69А</t>
  </si>
  <si>
    <t>вул.ГОНЧА,  77</t>
  </si>
  <si>
    <t>вул.ГОНЧА,  77А</t>
  </si>
  <si>
    <t>вул.ГОНЧА,  77Б</t>
  </si>
  <si>
    <t>вул.ДМИТРА ЛИЗОГУБА,  12</t>
  </si>
  <si>
    <t>вул.ДМИТРА ЛИЗОГУБА,  7</t>
  </si>
  <si>
    <t>вул.ДМИТРА ЛИЗОГУБА,  9</t>
  </si>
  <si>
    <t>вул.ЗЕЛЕНА,  17</t>
  </si>
  <si>
    <t>вул.ЗЕЛЕНА,  17А</t>
  </si>
  <si>
    <t>вул.ЗЕЛЕНА,  18</t>
  </si>
  <si>
    <t>вул.ЗЕЛЕНА,  3</t>
  </si>
  <si>
    <t>вул.ЗЕЛЕНА,  3А</t>
  </si>
  <si>
    <t>вул.ЗЕЛЕНА,  4</t>
  </si>
  <si>
    <t>вул.ЗЕЛЕНА,  4А</t>
  </si>
  <si>
    <t>вул.ЗЕЛЕНА,  5В</t>
  </si>
  <si>
    <t>вул.КИЇВСЬКА,  19</t>
  </si>
  <si>
    <t>вул.КИЇВСЬКА,  21</t>
  </si>
  <si>
    <t>вул.КИЇВСЬКА,  32</t>
  </si>
  <si>
    <t>вул.КОСТОМАРІВСЬКА,  3А</t>
  </si>
  <si>
    <t>вул.КОЦЮБИНСЬКОГО,  92</t>
  </si>
  <si>
    <t>вул.КОЦЮБИНСЬКОГО,  94</t>
  </si>
  <si>
    <t>вул.КОЧЕРГИ,  16</t>
  </si>
  <si>
    <t>вул.КОЧЕРГИ,  5</t>
  </si>
  <si>
    <t>вул.КОЧЕРГИ,  7</t>
  </si>
  <si>
    <t>вул.Кривулевська,  3А</t>
  </si>
  <si>
    <t>вул.ЛЕРМОНТОВА,  5</t>
  </si>
  <si>
    <t>вул.ЛОМОНОСОВА,  5</t>
  </si>
  <si>
    <t>вул.ЛЮБОМИРА БОДНАРУКА,  29</t>
  </si>
  <si>
    <t>вул.ЛЮБОМИРА БОДНАРУКА,  32</t>
  </si>
  <si>
    <t>вул.ЛЮБОМИРА БОДНАРУКА,  32А</t>
  </si>
  <si>
    <t>вул.ЛЮБОМИРА БОДНАРУКА,  7</t>
  </si>
  <si>
    <t>вул.МАЧЕРЕТІВСЬКА,  10</t>
  </si>
  <si>
    <t>вул.МАЧЕРЕТІВСЬКА,  12</t>
  </si>
  <si>
    <t>вул.МАЧЕРЕТІВСЬКА,  12А</t>
  </si>
  <si>
    <t>вул.МАЧЕРЕТІВСЬКА,  14</t>
  </si>
  <si>
    <t>вул.МЕНДЕЛЕЕВА,  3</t>
  </si>
  <si>
    <t>вул.МИЛОРАДОВИЧІВ,  44А</t>
  </si>
  <si>
    <t>вул.МИХАЙЛОФЕДОРІВСЬКА,  3</t>
  </si>
  <si>
    <t>вул.МСТИСЛАВСЬКА,  24</t>
  </si>
  <si>
    <t>вул.МСТИСЛАВСЬКА,  35</t>
  </si>
  <si>
    <t>вул.МСТИСЛАВСЬКА,  55</t>
  </si>
  <si>
    <t>вул.МСТИСЛАВСЬКА,  55А</t>
  </si>
  <si>
    <t>вул.МСТИСЛАВСЬКА,  59</t>
  </si>
  <si>
    <t>вул.МСТИСЛАВСЬКА,  59А</t>
  </si>
  <si>
    <t>вул.МУЗЕЙНА,  1А</t>
  </si>
  <si>
    <t>вул.МУЗЕЙНА,  1В</t>
  </si>
  <si>
    <t>вул.МУЗЕЙНА,  1Г</t>
  </si>
  <si>
    <t>вул.ОЛЕГА МІХНЮКА,  10</t>
  </si>
  <si>
    <t>вул.ОЛЕГА МІХНЮКА,  19</t>
  </si>
  <si>
    <t>вул.ОЛЕГА МІХНЮКА,  45</t>
  </si>
  <si>
    <t>вул.ОЛЕГА МІХНЮКА,  45А</t>
  </si>
  <si>
    <t>вул.ОЛЕГА МІХНЮКА,  47</t>
  </si>
  <si>
    <t>вул.ОЛЕГА МІХНЮКА,  47А</t>
  </si>
  <si>
    <t>вул.ОЛЕГА МІХНЮКА,  47Б</t>
  </si>
  <si>
    <t>вул.ОЛЕКСІЯ ФЛЬОРОВА,  32</t>
  </si>
  <si>
    <t>вул.ОЛЕКСАНДРА МОЛОДЧОГО,  38</t>
  </si>
  <si>
    <t>вул.ОЛЕКСАНДРА МОЛОДЧОГО,  5</t>
  </si>
  <si>
    <t>вул.ОЛЕКСАНДРА МОЛОДЧОГО,  7</t>
  </si>
  <si>
    <t>вул.ОЛЕКСАНДРА МОЛОДЧОГО,  74</t>
  </si>
  <si>
    <t>вул.ОСВIТИ,  83</t>
  </si>
  <si>
    <t>вул.П`ЯТНИЦЬКА,  40</t>
  </si>
  <si>
    <t>вул.П`ЯТНИЦЬКА,  75</t>
  </si>
  <si>
    <t>вул.П`ЯТНИЦЬКА,  77</t>
  </si>
  <si>
    <t>вул.П`ЯТНИЦЬКА,  82</t>
  </si>
  <si>
    <t>вул.ПРЕОБРАЖЕНСЬКА,  28</t>
  </si>
  <si>
    <t>вул.ПУШКIНА,  2</t>
  </si>
  <si>
    <t>вул.ПУШКIНА,  4</t>
  </si>
  <si>
    <t>вул.РОДИМЦЕВА,  13</t>
  </si>
  <si>
    <t>вул.С.РУСОВОЇ,  15</t>
  </si>
  <si>
    <t>вул.С.РУСОВОЇ,  23</t>
  </si>
  <si>
    <t>вул.СВЯТОМИКОЛАЇВСЬКА,  27</t>
  </si>
  <si>
    <t>вул.СВЯТОМИКОЛАЇВСЬКА,  28</t>
  </si>
  <si>
    <t>вул.СЕРЬОЖНIКОВА,  8А</t>
  </si>
  <si>
    <t>вул.ТЕРЕНТІЯ КОРЕНЯ,  12</t>
  </si>
  <si>
    <t>вул.ЧЕРНИШЕВСЬКОГО,  16</t>
  </si>
  <si>
    <t>вул.ЧЕРНИШЕВСЬКОГО,  24</t>
  </si>
  <si>
    <t>вул.ЧЕРНИШЕВСЬКОГО,  3</t>
  </si>
  <si>
    <t>вул.ЧЕРНИШЕВСЬКОГО,  30</t>
  </si>
  <si>
    <t>вул.ЧЕРНИШЕВСЬКОГО,  32</t>
  </si>
  <si>
    <t>пр-т МИРУ,  7А</t>
  </si>
  <si>
    <t>пров.АКАДЕМIКА ПАВЛОВА,  2</t>
  </si>
  <si>
    <t>пров.АКАДЕМIКА ПАВЛОВА,  2А</t>
  </si>
  <si>
    <t>пров.АКАДЕМIКА ПАВЛОВА,  4</t>
  </si>
  <si>
    <t>пров.АКАДЕМIКА ПАВЛОВА,  6</t>
  </si>
  <si>
    <t>пров.АКАДЕМIКА ПАВЛОВА,  8</t>
  </si>
  <si>
    <t>2-й провулок ТРАКТОРНИЙ,  7</t>
  </si>
  <si>
    <t>вул.ГЕРОЇВ ЧОРНОБИЛЯ,  2</t>
  </si>
  <si>
    <t>вул.ГЕРОЇВ ЧОРНОБИЛЯ,  4</t>
  </si>
  <si>
    <t>вул.ГЕТЬМАНА ПОЛУБОТКА,  26</t>
  </si>
  <si>
    <t>вул.ГЕТЬМАНА ПОЛУБОТКА,  28</t>
  </si>
  <si>
    <t>вул.ГОНЧА,  18</t>
  </si>
  <si>
    <t>вул.ЗЕЛЕНА,  5Б</t>
  </si>
  <si>
    <t>вул.КОЦЮБИНСЬКОГО,  58</t>
  </si>
  <si>
    <t>вул.КОЦЮБИНСЬКОГО,  60</t>
  </si>
  <si>
    <t>вул.КОЦЮБИНСЬКОГО,  62</t>
  </si>
  <si>
    <t>вул.КОЦЮБИНСЬКОГО,  63</t>
  </si>
  <si>
    <t>вул.КОЦЮБИНСЬКОГО,  64</t>
  </si>
  <si>
    <t>вул.КОЦЮБИНСЬКОГО,  66</t>
  </si>
  <si>
    <t>вул.КОЦЮБИНСЬКОГО,  67</t>
  </si>
  <si>
    <t>вул.КОЦЮБИНСЬКОГО,  68</t>
  </si>
  <si>
    <t>вул.КОЦЮБИНСЬКОГО,  72</t>
  </si>
  <si>
    <t>вул.КОЦЮБИНСЬКОГО,  75</t>
  </si>
  <si>
    <t>вул.КОЧЕРГИ,  4А</t>
  </si>
  <si>
    <t>вул.МСТИСЛАВСЬКА,  14</t>
  </si>
  <si>
    <t>вул.МСТИСЛАВСЬКА,  16</t>
  </si>
  <si>
    <t>вул.МСТИСЛАВСЬКА,  23</t>
  </si>
  <si>
    <t>вул.ОЛЕКСАНДРА МОЛОДЧОГО,  35а</t>
  </si>
  <si>
    <t>вул.ОЛЕКСАНДРА МОЛОДЧОГО,  7А</t>
  </si>
  <si>
    <t>вул.П`ЯТНИЦЬКА,  11</t>
  </si>
  <si>
    <t>вул.П`ЯТНИЦЬКА,  111</t>
  </si>
  <si>
    <t>вул.П`ЯТНИЦЬКА,  124</t>
  </si>
  <si>
    <t>вул.П`ЯТНИЦЬКА,  14</t>
  </si>
  <si>
    <t>вул.П`ЯТНИЦЬКА,  25</t>
  </si>
  <si>
    <t>вул.П`ЯТНИЦЬКА,  3</t>
  </si>
  <si>
    <t>вул.П`ЯТНИЦЬКА,  38</t>
  </si>
  <si>
    <t>вул.П`ЯТНИЦЬКА,  5</t>
  </si>
  <si>
    <t>вул.П`ЯТНИЦЬКА,  6</t>
  </si>
  <si>
    <t>вул.П`ЯТНИЦЬКА,  7</t>
  </si>
  <si>
    <t>вул.ПРЕОБРАЖЕНСЬКА,  22</t>
  </si>
  <si>
    <t>вул.ПРЕОБРАЖЕНСЬКА,  30</t>
  </si>
  <si>
    <t>вул.ПРЕОБРАЖЕНСЬКА,  5</t>
  </si>
  <si>
    <t>вул.ПУШКIНА,  14</t>
  </si>
  <si>
    <t>вул.РОДИМЦЕВА,  12</t>
  </si>
  <si>
    <t>вул.РОДИМЦЕВА,  14</t>
  </si>
  <si>
    <t xml:space="preserve">вул.СТАРОКАЗАРМЕНА ДIЛЬНИЦЯ,  2 А  </t>
  </si>
  <si>
    <t>вул.ЧЕРНИШЕВСЬКОГО,  25А</t>
  </si>
  <si>
    <t>вул.ШЕВЧЕНКА,  30</t>
  </si>
  <si>
    <t>вул.ШЕВЧЕНКА,  48</t>
  </si>
  <si>
    <t>пр-т ПЕРЕМОГИ,  108</t>
  </si>
  <si>
    <t>пр-т ПЕРЕМОГИ,  128</t>
  </si>
  <si>
    <t>пров.КВАРТАЛЬНИЙ,  7</t>
  </si>
  <si>
    <t>вул.ГЕТЬМАНА ПОЛУБОТКА,  10</t>
  </si>
  <si>
    <t>вул.ГЕТЬМАНА ПОЛУБОТКА,  12</t>
  </si>
  <si>
    <t>вул.ГОНЧА,  30</t>
  </si>
  <si>
    <t>вул.КОЦЮБИНСЬКОГО,  69</t>
  </si>
  <si>
    <t>вул.ПРЕОБРАЖЕНСЬКА,  4</t>
  </si>
  <si>
    <t>вул.СЕРЬОЖНIКОВА,  6</t>
  </si>
  <si>
    <t>вул.ЧЕРНИШЕВСЬКОГО,  12</t>
  </si>
  <si>
    <t>вул.ЧЕРНИШЕВСЬКОГО,  14</t>
  </si>
  <si>
    <t>пр-т МИРУ,  29</t>
  </si>
  <si>
    <t>вул.ГЕТЬМАНА ПОЛУБОТКА,  16</t>
  </si>
  <si>
    <t>вул.ГЕТЬМАНА ПОЛУБОТКА,  20</t>
  </si>
  <si>
    <t>вул.ГЕТЬМАНА ПОЛУБОТКА,  24</t>
  </si>
  <si>
    <t>вул.ГЕТЬМАНА ПОЛУБОТКА,  4</t>
  </si>
  <si>
    <t>вул.ГЕТЬМАНА ПОЛУБОТКА,  5</t>
  </si>
  <si>
    <t>вул.ГОГОЛЯ,  22</t>
  </si>
  <si>
    <t>вул.ГОНЧА,  17А</t>
  </si>
  <si>
    <t>вул.КОЦЮБИНСЬКОГО,  58A</t>
  </si>
  <si>
    <t>вул.КОЦЮБИНСЬКОГО,  69А</t>
  </si>
  <si>
    <t>вул.КОЦЮБИНСЬКОГО,  74</t>
  </si>
  <si>
    <t>вул.МСТИСЛАВСЬКА,  10</t>
  </si>
  <si>
    <t>вул.МСТИСЛАВСЬКА,  12</t>
  </si>
  <si>
    <t>вул.МСТИСЛАВСЬКА,  3</t>
  </si>
  <si>
    <t>вул.ОЛЕКСАНДРА МОЛОДЧОГО,  12А</t>
  </si>
  <si>
    <t>вул.П`ЯТНИЦЬКА,  36</t>
  </si>
  <si>
    <t>вул.ПРЕОБРАЖЕНСЬКА,  2</t>
  </si>
  <si>
    <t>вул.ПРЕОБРАЖЕНСЬКА,  6</t>
  </si>
  <si>
    <t>вул.РОДИМЦЕВА,  2</t>
  </si>
  <si>
    <t>вул.СЕРЬОЖНIКОВА,  1</t>
  </si>
  <si>
    <t>вул.СЕРЬОЖНIКОВА,  10</t>
  </si>
  <si>
    <t>вул.СЕРЬОЖНIКОВА,  2</t>
  </si>
  <si>
    <t>вул.СЕРЬОЖНIКОВА,  5</t>
  </si>
  <si>
    <t>вул.СЕРЬОЖНIКОВА,  6А</t>
  </si>
  <si>
    <t>вул.СЕРЬОЖНIКОВА,  7</t>
  </si>
  <si>
    <t>вул.ШЕВЧЕНКА,  10</t>
  </si>
  <si>
    <t>вул.ШЕВЧЕНКА,  14</t>
  </si>
  <si>
    <t>вул.ШЕВЧЕНКА,  19</t>
  </si>
  <si>
    <t>вул.ШЕВЧЕНКА,  27</t>
  </si>
  <si>
    <t>вул.ШЕВЧЕНКА,  53</t>
  </si>
  <si>
    <t>вул.ШЕВЧЕНКА,  53А</t>
  </si>
  <si>
    <t>вул.ШЕВЧЕНКА,  9</t>
  </si>
  <si>
    <t>пр-т МИРУ,  17</t>
  </si>
  <si>
    <t>пр-т МИРУ,  17А</t>
  </si>
  <si>
    <t>пр-т МИРУ,  21</t>
  </si>
  <si>
    <t>пр-т МИРУ,  27</t>
  </si>
  <si>
    <t>пр-т ПЕРЕМОГИ,  89</t>
  </si>
  <si>
    <t>пр-т ПЕРЕМОГИ,  91</t>
  </si>
  <si>
    <t>пр-т ПЕРЕМОГИ,  98</t>
  </si>
  <si>
    <t>вул.I. ШРАГА,  4</t>
  </si>
  <si>
    <t>вул.I. ШРАГА,  9</t>
  </si>
  <si>
    <t>вул.ГЕРОЇВ ЧОРНОБИЛЯ,  4А</t>
  </si>
  <si>
    <t>вул.ГЕТЬМАНА ПОЛУБОТКА,  11</t>
  </si>
  <si>
    <t>вул.ГЕТЬМАНА ПОЛУБОТКА,  30</t>
  </si>
  <si>
    <t>вул.ГЕТЬМАНА ПОЛУБОТКА,  7</t>
  </si>
  <si>
    <t>вул.ГЕТЬМАНА ПОЛУБОТКА,  8А</t>
  </si>
  <si>
    <t>вул.ГОГОЛЯ,  10</t>
  </si>
  <si>
    <t>вул.ГОГОЛЯ,  8</t>
  </si>
  <si>
    <t>вул.ГОНЧА,  12</t>
  </si>
  <si>
    <t>вул.ГОНЧА,  14</t>
  </si>
  <si>
    <t>вул.ГОНЧА,  16</t>
  </si>
  <si>
    <t>вул.ГОНЧА,  26</t>
  </si>
  <si>
    <t>вул.ГОНЧА,  41</t>
  </si>
  <si>
    <t>вул.ГОНЧА,  80</t>
  </si>
  <si>
    <t>вул.ГОНЧА,  88</t>
  </si>
  <si>
    <t>вул.КИЇВСЬКА,  5</t>
  </si>
  <si>
    <t>вул.КОЦЮБИНСЬКОГО,  76</t>
  </si>
  <si>
    <t>вул.КОЦЮБИНСЬКОГО,  78</t>
  </si>
  <si>
    <t>вул.ЛЕРМОНТОВА,  5А</t>
  </si>
  <si>
    <t>вул.ЛЮБОМИРА БОДНАРУКА,  8</t>
  </si>
  <si>
    <t>вул.МСТИСЛАВСЬКА,  20</t>
  </si>
  <si>
    <t>вул.МСТИСЛАВСЬКА,  25</t>
  </si>
  <si>
    <t>вул.МСТИСЛАВСЬКА,  38А</t>
  </si>
  <si>
    <t>вул.ОЛЕГА МІХНЮКА,  7</t>
  </si>
  <si>
    <t>вул.ОЛЕКСАНДРА МОЛОДЧОГО,  8</t>
  </si>
  <si>
    <t>вул.ОСВIТИ,  29</t>
  </si>
  <si>
    <t>вул.П`ЯТНИЦЬКА,  23</t>
  </si>
  <si>
    <t>вул.П`ЯТНИЦЬКА,  32</t>
  </si>
  <si>
    <t>вул.П`ЯТНИЦЬКА,  90</t>
  </si>
  <si>
    <t>вул.ПРЕОБРАЖЕНСЬКА,  14</t>
  </si>
  <si>
    <t>вул.ПРЕОБРАЖЕНСЬКА,  14А</t>
  </si>
  <si>
    <t>вул.ПРЕОБРАЖЕНСЬКА,  16</t>
  </si>
  <si>
    <t>вул.ПРЕОБРАЖЕНСЬКА,  18</t>
  </si>
  <si>
    <t>вул.РОДИМЦЕВА,  15</t>
  </si>
  <si>
    <t>вул.РОДИМЦЕВА,  3</t>
  </si>
  <si>
    <t>вул.РОДИМЦЕВА,  6</t>
  </si>
  <si>
    <t>вул.РОДИМЦЕВА,  7</t>
  </si>
  <si>
    <t>вул.РОДИМЦЕВА,  9</t>
  </si>
  <si>
    <t>вул.РОКОССОВСЬКОГО,  17</t>
  </si>
  <si>
    <t>вул.РОКОССОВСЬКОГО,  19</t>
  </si>
  <si>
    <t>вул.РОКОССОВСЬКОГО,  23</t>
  </si>
  <si>
    <t>вул.РОКОССОВСЬКОГО,  25</t>
  </si>
  <si>
    <t>вул.РОКОССОВСЬКОГО,  27</t>
  </si>
  <si>
    <t>вул.РОКОССОВСЬКОГО,  29</t>
  </si>
  <si>
    <t>вул.РОКОССОВСЬКОГО,  37А</t>
  </si>
  <si>
    <t>вул.РОКОССОВСЬКОГО,  39</t>
  </si>
  <si>
    <t>вул.РОКОССОВСЬКОГО,  41</t>
  </si>
  <si>
    <t>вул.РОКОССОВСЬКОГО,  45</t>
  </si>
  <si>
    <t>вул.РОКОССОВСЬКОГО,  49А</t>
  </si>
  <si>
    <t>вул.СЕРЬОЖНIКОВА,  3</t>
  </si>
  <si>
    <t>вул.СЕРЬОЖНIКОВА,  8</t>
  </si>
  <si>
    <t>вул.ФIКСЕЛЯ,  52</t>
  </si>
  <si>
    <t>вул.ШЕВЧЕНКА,  11</t>
  </si>
  <si>
    <t>вул.ШЕВЧЕНКА,  112А</t>
  </si>
  <si>
    <t>вул.ШЕВЧЕНКА,  16</t>
  </si>
  <si>
    <t>вул.ШЕВЧЕНКА,  18</t>
  </si>
  <si>
    <t>вул.ШЕВЧЕНКА,  22</t>
  </si>
  <si>
    <t>вул.ШЕВЧЕНКА,  31</t>
  </si>
  <si>
    <t>вул.ШЕВЧЕНКА,  33А</t>
  </si>
  <si>
    <t>вул.ШЕВЧЕНКА,  37</t>
  </si>
  <si>
    <t>вул.ШЕВЧЕНКА,  41</t>
  </si>
  <si>
    <t>вул.ШЕВЧЕНКА,  43</t>
  </si>
  <si>
    <t>вул.ШЕВЧЕНКА,  47</t>
  </si>
  <si>
    <t>вул.ШЕВЧЕНКА,  47А</t>
  </si>
  <si>
    <t>вул.ШЕВЧЕНКА,  51</t>
  </si>
  <si>
    <t>пр-т МИРУ,  35</t>
  </si>
  <si>
    <t>пр-т МИРУ,  35А</t>
  </si>
  <si>
    <t>пр-т МИРУ,  35Б</t>
  </si>
  <si>
    <t>пр-т МИРУ,  45</t>
  </si>
  <si>
    <t>пр-т МИРУ,  47</t>
  </si>
  <si>
    <t>пр-т МИРУ,  55</t>
  </si>
  <si>
    <t>пр-т МИРУ,  61</t>
  </si>
  <si>
    <t>пр-т МИРУ,  75Б</t>
  </si>
  <si>
    <t>пр-т ПЕРЕМОГИ,  103</t>
  </si>
  <si>
    <t>пр-т ПЕРЕМОГИ,  117</t>
  </si>
  <si>
    <t>пр-т ПЕРЕМОГИ,  119</t>
  </si>
  <si>
    <t>пр-т ПЕРЕМОГИ,  121</t>
  </si>
  <si>
    <t>пр-т ПЕРЕМОГИ,  125</t>
  </si>
  <si>
    <t>пр-т ПЕРЕМОГИ,  170</t>
  </si>
  <si>
    <t>пр-т ПЕРЕМОГИ,  174</t>
  </si>
  <si>
    <t>пр-т ПЕРЕМОГИ,  176</t>
  </si>
  <si>
    <t>пр-т ПЕРЕМОГИ,  178</t>
  </si>
  <si>
    <t>пр-т ПЕРЕМОГИ,  180</t>
  </si>
  <si>
    <t>пр-т ПЕРЕМОГИ,  182</t>
  </si>
  <si>
    <t>пр-т ПЕРЕМОГИ,  187</t>
  </si>
  <si>
    <t>пр-т ПЕРЕМОГИ,  189</t>
  </si>
  <si>
    <t>пр-т ПЕРЕМОГИ,  193</t>
  </si>
  <si>
    <t>пр-т ПЕРЕМОГИ,  195</t>
  </si>
  <si>
    <t>пр-т ПЕРЕМОГИ,  199</t>
  </si>
  <si>
    <t>пр-т ПЕРЕМОГИ,  90</t>
  </si>
  <si>
    <t>пр-т ПЕРЕМОГИ,  93</t>
  </si>
  <si>
    <t>пр-т ПЕРЕМОГИ,  94</t>
  </si>
  <si>
    <t>пр-т ПЕРЕМОГИ,  96</t>
  </si>
  <si>
    <t>вул.ГОНЧА,  17</t>
  </si>
  <si>
    <t>вул.МСТИСЛАВСЬКА,  50</t>
  </si>
  <si>
    <t>вул.МСТИСЛАВСЬКА,  58</t>
  </si>
  <si>
    <t>вул.П`ЯТНИЦЬКА,  53</t>
  </si>
  <si>
    <t>вул.П`ЯТНИЦЬКА,  63</t>
  </si>
  <si>
    <t>вул.Академiка ПАВЛОВА,  15</t>
  </si>
  <si>
    <t>вул.Академiка ПАВЛОВА,  17</t>
  </si>
  <si>
    <t>вул.ГЕРОЇВ ЧОРНОБИЛЯ,  10</t>
  </si>
  <si>
    <t>вул.ГЕТЬМАНА ПОЛУБОТКА,  120</t>
  </si>
  <si>
    <t>вул.ГЕТЬМАНА ПОЛУБОТКА,  74</t>
  </si>
  <si>
    <t>вул.ГЕТЬМАНА ПОЛУБОТКА,  76</t>
  </si>
  <si>
    <t>вул.ГЕТЬМАНА ПОЛУБОТКА,  78</t>
  </si>
  <si>
    <t>вул.ГЕТЬМАНА ПОЛУБОТКА,  80</t>
  </si>
  <si>
    <t>вул.ГЕТЬМАНА ПОЛУБОТКА,  84</t>
  </si>
  <si>
    <t>вул.ГОНЧА,  76</t>
  </si>
  <si>
    <t>вул.ГОНЧА,  78</t>
  </si>
  <si>
    <t>вул.ГОНЧА,  84</t>
  </si>
  <si>
    <t>вул.ГОНЧА,  90</t>
  </si>
  <si>
    <t>вул.ЗЕМСЬКА,  68</t>
  </si>
  <si>
    <t>вул.КИЇВСЬКА,  14</t>
  </si>
  <si>
    <t>вул.КИЇВСЬКА,  2</t>
  </si>
  <si>
    <t>вул.КИЇВСЬКА,  6</t>
  </si>
  <si>
    <t>вул.КОТЛЯРЕВСЬКОГО,  13</t>
  </si>
  <si>
    <t>вул.КОТЛЯРЕВСЬКОГО,  15</t>
  </si>
  <si>
    <t>вул.КОТЛЯРЕВСЬКОГО,  34</t>
  </si>
  <si>
    <t>вул.КОТЛЯРЕВСЬКОГО,  4</t>
  </si>
  <si>
    <t>вул.КОЦЮБИНСЬКОГО,  83</t>
  </si>
  <si>
    <t>вул.КОЦЮБИНСЬКОГО,  84</t>
  </si>
  <si>
    <t>вул.МЕНДЕЛЕЕВА,  1Б</t>
  </si>
  <si>
    <t>вул.МСТИСЛАВСЬКА,  109</t>
  </si>
  <si>
    <t>вул.МСТИСЛАВСЬКА,  38</t>
  </si>
  <si>
    <t>вул.МСТИСЛАВСЬКА,  40</t>
  </si>
  <si>
    <t>вул.МСТИСЛАВСЬКА,  42</t>
  </si>
  <si>
    <t>вул.МСТИСЛАВСЬКА,  45</t>
  </si>
  <si>
    <t>вул.МСТИСЛАВСЬКА,  52</t>
  </si>
  <si>
    <t>вул.МСТИСЛАВСЬКА,  56</t>
  </si>
  <si>
    <t>вул.МСТИСЛАВСЬКА,  79</t>
  </si>
  <si>
    <t>вул.ОСВIТИ,  10</t>
  </si>
  <si>
    <t>вул.ОСВIТИ,  6</t>
  </si>
  <si>
    <t>вул.ОСВIТИ,  8</t>
  </si>
  <si>
    <t>вул.ОСВIТИ,  86</t>
  </si>
  <si>
    <t>вул.П`ЯТНИЦЬКА,  47</t>
  </si>
  <si>
    <t>вул.П`ЯТНИЦЬКА,  49</t>
  </si>
  <si>
    <t>вул.П`ЯТНИЦЬКА,  61</t>
  </si>
  <si>
    <t>вул.П`ЯТНИЦЬКА,  68-1</t>
  </si>
  <si>
    <t>вул.П`ЯТНИЦЬКА,  68-2</t>
  </si>
  <si>
    <t>вул.П`ЯТНИЦЬКА,  68-3</t>
  </si>
  <si>
    <t>вул.П`ЯТНИЦЬКА,  70-1</t>
  </si>
  <si>
    <t>вул.П`ЯТНИЦЬКА,  70-2</t>
  </si>
  <si>
    <t>вул.П`ЯТНИЦЬКА,  70-3</t>
  </si>
  <si>
    <t>вул.П`ЯТНИЦЬКА,  92</t>
  </si>
  <si>
    <t>вул.П`ЯТНИЦЬКА,  94</t>
  </si>
  <si>
    <t>вул.ПУШКIНА,  30</t>
  </si>
  <si>
    <t>вул.С.РУСОВОЇ,  25</t>
  </si>
  <si>
    <t>вул.САВЧУКА,  11</t>
  </si>
  <si>
    <t>вул.САВЧУКА,  3</t>
  </si>
  <si>
    <t>вул.САВЧУКА,  5</t>
  </si>
  <si>
    <t>вул.САВЧУКА,  7А</t>
  </si>
  <si>
    <t>вул.САВЧУКА,  7Б</t>
  </si>
  <si>
    <t>вул.ЧАЙКОВСЬКОГО,  5</t>
  </si>
  <si>
    <t>вул.ЧЕРНИШЕВСЬКОГО,  20</t>
  </si>
  <si>
    <t>вул.ШЕВЧЕНКА,  108</t>
  </si>
  <si>
    <t>вул.ШЕВЧЕНКА,  110</t>
  </si>
  <si>
    <t>пр-т ПЕРЕМОГИ,  100</t>
  </si>
  <si>
    <t>пр-т ПЕРЕМОГИ,  102</t>
  </si>
  <si>
    <t>пр-т ПЕРЕМОГИ,  107</t>
  </si>
  <si>
    <t>пр-т ПЕРЕМОГИ,  108г</t>
  </si>
  <si>
    <t>пр-т ПЕРЕМОГИ,  115</t>
  </si>
  <si>
    <t>пр-т ПЕРЕМОГИ,  123А</t>
  </si>
  <si>
    <t>пр-т ПЕРЕМОГИ,  143</t>
  </si>
  <si>
    <t>пр-т ПЕРЕМОГИ,  149</t>
  </si>
  <si>
    <t>пр-т ПЕРЕМОГИ,  151</t>
  </si>
  <si>
    <t>пр-т ПЕРЕМОГИ,  153</t>
  </si>
  <si>
    <t>пр-т ПЕРЕМОГИ,  159</t>
  </si>
  <si>
    <t>пр-т ПЕРЕМОГИ,  162</t>
  </si>
  <si>
    <t>пр-т ПЕРЕМОГИ,  164</t>
  </si>
  <si>
    <t>пр-т ПЕРЕМОГИ,  166</t>
  </si>
  <si>
    <t>пр-т ПЕРЕМОГИ,  168</t>
  </si>
  <si>
    <t>пр-т ПЕРЕМОГИ,  92</t>
  </si>
  <si>
    <t>вул.ГОНЧА,  31</t>
  </si>
  <si>
    <t>вул.ЗЕМСЬКА,  70</t>
  </si>
  <si>
    <t>вул.ЗЕМСЬКА,  72</t>
  </si>
  <si>
    <t>вул.КОТЛЯРЕВСЬКОГО,  3</t>
  </si>
  <si>
    <t>вул.КОЦЮБИНСЬКОГО,  81</t>
  </si>
  <si>
    <t>вул.МАРТИНА НЕБАБИ,  100</t>
  </si>
  <si>
    <t>вул.МАРТИНА НЕБАБИ,  102</t>
  </si>
  <si>
    <t>вул.МСТИСЛАВСЬКА,  34</t>
  </si>
  <si>
    <t>вул.МСТИСЛАВСЬКА,  47</t>
  </si>
  <si>
    <t>вул.П`ЯТНИЦЬКА,  80</t>
  </si>
  <si>
    <t>вул.ЧАЙКОВСЬКОГО,  3</t>
  </si>
  <si>
    <t>вул.ШЕВЧЕНКА,  106</t>
  </si>
  <si>
    <t>пр-т ПЕРЕМОГИ,  147</t>
  </si>
  <si>
    <t>пр-т ПЕРЕМОГИ,  145</t>
  </si>
  <si>
    <t>пр-т ПЕРЕМОГИ,  155</t>
  </si>
  <si>
    <t>пр-т ПЕРЕМОГИ,  104</t>
  </si>
  <si>
    <t>вул.ПУШКIНА,  12</t>
  </si>
  <si>
    <t>вул.МСТИСЛАВСЬКА,  33</t>
  </si>
  <si>
    <t>Загальна площа квартир + нежитлові приміщення</t>
  </si>
  <si>
    <t xml:space="preserve">ТО систем водопостачання </t>
  </si>
  <si>
    <t>ТО систем водовідведення</t>
  </si>
  <si>
    <t>ТО систем теплопостачання</t>
  </si>
  <si>
    <t>ТО систем гарячого водопостачання</t>
  </si>
  <si>
    <t>ТО систем зливової каналізації</t>
  </si>
  <si>
    <t>ТО систем електропостачання</t>
  </si>
  <si>
    <t>ТО систем газопостачання</t>
  </si>
  <si>
    <t>Аварійне обслуговування</t>
  </si>
  <si>
    <t>кошторис</t>
  </si>
  <si>
    <t>факт</t>
  </si>
  <si>
    <t>відхилення</t>
  </si>
  <si>
    <t>РАЗОМ ТЕХНІЧНЕ ОБСЛУГОВУВАННЯ</t>
  </si>
  <si>
    <t xml:space="preserve">ТЕХНІЧНЕ ОБСЛУГОВУВАННЯ СИСТЕМ </t>
  </si>
  <si>
    <t xml:space="preserve">Поточний ремонт систем водопостачання </t>
  </si>
  <si>
    <t>Поточний ремонт систем водовідведення</t>
  </si>
  <si>
    <t>Поточний ремонт систем теплопостачання</t>
  </si>
  <si>
    <t>Поточний ремонт систем гарячого водопостачання</t>
  </si>
  <si>
    <t>Поточний ремонт систем зливової каналізації</t>
  </si>
  <si>
    <t>Поточний ремонт систем електропостачання</t>
  </si>
  <si>
    <t>Поточний ремонт систем газопостачання</t>
  </si>
  <si>
    <t>ПОТОЧНИЙ РЕМОНТ СИСТЕМ</t>
  </si>
  <si>
    <t>РАЗОМ ПОТОЧНИЙ РЕМОНТ СИСТЕМ</t>
  </si>
  <si>
    <t>Разом витрати електроенергії</t>
  </si>
  <si>
    <t>конкурс</t>
  </si>
  <si>
    <t>Примітка</t>
  </si>
  <si>
    <t>№ з/п</t>
  </si>
  <si>
    <t>№2/1</t>
  </si>
  <si>
    <t>№2/2</t>
  </si>
  <si>
    <t>№2/3</t>
  </si>
  <si>
    <t>№2/4</t>
  </si>
  <si>
    <t>№2/5</t>
  </si>
  <si>
    <t>№2/7</t>
  </si>
  <si>
    <t>№2/14</t>
  </si>
  <si>
    <t>№2/15</t>
  </si>
  <si>
    <t>№2/16</t>
  </si>
  <si>
    <t>№2/17</t>
  </si>
  <si>
    <t>№2/18</t>
  </si>
  <si>
    <t>№2/19</t>
  </si>
  <si>
    <t>№2/21</t>
  </si>
  <si>
    <t>№2/22</t>
  </si>
  <si>
    <t>№2/23</t>
  </si>
  <si>
    <t>№2/24</t>
  </si>
  <si>
    <t>№2/25</t>
  </si>
  <si>
    <t>№2/26</t>
  </si>
  <si>
    <t>№2/27</t>
  </si>
  <si>
    <t>№2/28</t>
  </si>
  <si>
    <t>№2/29</t>
  </si>
  <si>
    <t>№2/32</t>
  </si>
  <si>
    <t>№2/33</t>
  </si>
  <si>
    <t>№2/34</t>
  </si>
  <si>
    <t>№2/36</t>
  </si>
  <si>
    <t>№2/37</t>
  </si>
  <si>
    <t>№2/38</t>
  </si>
  <si>
    <t>№2/39</t>
  </si>
  <si>
    <t>№2/40</t>
  </si>
  <si>
    <t>№2/41</t>
  </si>
  <si>
    <t>№2/42</t>
  </si>
  <si>
    <t>№2/43</t>
  </si>
  <si>
    <t>№2/44</t>
  </si>
  <si>
    <t>№2/45</t>
  </si>
  <si>
    <t>№2/46</t>
  </si>
  <si>
    <t>№2/47</t>
  </si>
  <si>
    <t>№2/48</t>
  </si>
  <si>
    <t>№2/49</t>
  </si>
  <si>
    <t>№2/50</t>
  </si>
  <si>
    <t>№2/51</t>
  </si>
  <si>
    <t>№2/52</t>
  </si>
  <si>
    <t>№2/53</t>
  </si>
  <si>
    <t>№2/54</t>
  </si>
  <si>
    <t>№2/55</t>
  </si>
  <si>
    <t>№2/56</t>
  </si>
  <si>
    <t>№2/57</t>
  </si>
  <si>
    <t>№2/58</t>
  </si>
  <si>
    <t>№2/59</t>
  </si>
  <si>
    <t>№2/60</t>
  </si>
  <si>
    <t>№2/61</t>
  </si>
  <si>
    <t>№2/62</t>
  </si>
  <si>
    <t>№2/63</t>
  </si>
  <si>
    <t>№2/65</t>
  </si>
  <si>
    <t>№2/66</t>
  </si>
  <si>
    <t>№2/67</t>
  </si>
  <si>
    <t>№2/68</t>
  </si>
  <si>
    <t>№2/69</t>
  </si>
  <si>
    <t>№2/70</t>
  </si>
  <si>
    <t>№2/75</t>
  </si>
  <si>
    <t>№2/78</t>
  </si>
  <si>
    <t>№2/79</t>
  </si>
  <si>
    <t>№2/81</t>
  </si>
  <si>
    <t>№2/82</t>
  </si>
  <si>
    <t>№2/83</t>
  </si>
  <si>
    <t>№2/84</t>
  </si>
  <si>
    <t>№2/85</t>
  </si>
  <si>
    <t>№2/86</t>
  </si>
  <si>
    <t>№2/87</t>
  </si>
  <si>
    <t>№2/88</t>
  </si>
  <si>
    <t>№2/89</t>
  </si>
  <si>
    <t>№2/91</t>
  </si>
  <si>
    <t>№2/94</t>
  </si>
  <si>
    <t>№2/95</t>
  </si>
  <si>
    <t>№2/97</t>
  </si>
  <si>
    <t>№2/98</t>
  </si>
  <si>
    <t>№2/99</t>
  </si>
  <si>
    <t>№2/100</t>
  </si>
  <si>
    <t>№2/101</t>
  </si>
  <si>
    <t>№2/102</t>
  </si>
  <si>
    <t>№2/104</t>
  </si>
  <si>
    <t>№2/105</t>
  </si>
  <si>
    <t>№2/106</t>
  </si>
  <si>
    <t>№2/107</t>
  </si>
  <si>
    <t>№2/110</t>
  </si>
  <si>
    <t>№2/111</t>
  </si>
  <si>
    <t>№2/113</t>
  </si>
  <si>
    <t>№2/114</t>
  </si>
  <si>
    <t>№2/115</t>
  </si>
  <si>
    <t>№2/116</t>
  </si>
  <si>
    <t>№2/117</t>
  </si>
  <si>
    <t>№2/118</t>
  </si>
  <si>
    <t>№2/119</t>
  </si>
  <si>
    <t>№2/120</t>
  </si>
  <si>
    <t>№2/121</t>
  </si>
  <si>
    <t>№2/122</t>
  </si>
  <si>
    <t>№2/123</t>
  </si>
  <si>
    <t>№2/124</t>
  </si>
  <si>
    <t>№2/125</t>
  </si>
  <si>
    <t>№2/126</t>
  </si>
  <si>
    <t>№2/127</t>
  </si>
  <si>
    <t>№2/128</t>
  </si>
  <si>
    <t>№2/129</t>
  </si>
  <si>
    <t>№2/130</t>
  </si>
  <si>
    <t>№2/131</t>
  </si>
  <si>
    <t>№2/132</t>
  </si>
  <si>
    <t>№2/133</t>
  </si>
  <si>
    <t>№2/135</t>
  </si>
  <si>
    <t>№2/136</t>
  </si>
  <si>
    <t>№2/138</t>
  </si>
  <si>
    <t>№2/142</t>
  </si>
  <si>
    <t>№2/143</t>
  </si>
  <si>
    <t>№2/144</t>
  </si>
  <si>
    <t>№2/145</t>
  </si>
  <si>
    <t>№2/146</t>
  </si>
  <si>
    <t>№2/147</t>
  </si>
  <si>
    <t>№2/149</t>
  </si>
  <si>
    <t>№2/150</t>
  </si>
  <si>
    <t>№2/151</t>
  </si>
  <si>
    <t>№2/153</t>
  </si>
  <si>
    <t>№2/154</t>
  </si>
  <si>
    <t>№2/155</t>
  </si>
  <si>
    <t>№2/156</t>
  </si>
  <si>
    <t>№2/157</t>
  </si>
  <si>
    <t>№2/158</t>
  </si>
  <si>
    <t>№2/160</t>
  </si>
  <si>
    <t>№2/161</t>
  </si>
  <si>
    <t>№2/162</t>
  </si>
  <si>
    <t>№2/163</t>
  </si>
  <si>
    <t>№2/164</t>
  </si>
  <si>
    <t>№2/165</t>
  </si>
  <si>
    <t>№2/166</t>
  </si>
  <si>
    <t>№2/167</t>
  </si>
  <si>
    <t>№2/168</t>
  </si>
  <si>
    <t>№2/169</t>
  </si>
  <si>
    <t>№2/170</t>
  </si>
  <si>
    <t>№2/171</t>
  </si>
  <si>
    <t>№2/172</t>
  </si>
  <si>
    <t>№2/173</t>
  </si>
  <si>
    <t>№2/174</t>
  </si>
  <si>
    <t>№2/177</t>
  </si>
  <si>
    <t>№2/178</t>
  </si>
  <si>
    <t>№2/179</t>
  </si>
  <si>
    <t>№2/180</t>
  </si>
  <si>
    <t>№2/181</t>
  </si>
  <si>
    <t>№2/182</t>
  </si>
  <si>
    <t>№2/183</t>
  </si>
  <si>
    <t>№2/184</t>
  </si>
  <si>
    <t>№2/185</t>
  </si>
  <si>
    <t>№2/186</t>
  </si>
  <si>
    <t>№2/187</t>
  </si>
  <si>
    <t>№2/188</t>
  </si>
  <si>
    <t>№2/190</t>
  </si>
  <si>
    <t>№2/191</t>
  </si>
  <si>
    <t>№2/192</t>
  </si>
  <si>
    <t>№2/193</t>
  </si>
  <si>
    <t>№2/195</t>
  </si>
  <si>
    <t>№2/11</t>
  </si>
  <si>
    <t>№2/12</t>
  </si>
  <si>
    <t>№2/13</t>
  </si>
  <si>
    <t>№2/196</t>
  </si>
  <si>
    <t>№2/197</t>
  </si>
  <si>
    <t>№2/198</t>
  </si>
  <si>
    <t>№2/199</t>
  </si>
  <si>
    <t>№2/200</t>
  </si>
  <si>
    <t>№2/201</t>
  </si>
  <si>
    <t>№2/202</t>
  </si>
  <si>
    <t>№2/203</t>
  </si>
  <si>
    <t>№2/204</t>
  </si>
  <si>
    <t>№2/206</t>
  </si>
  <si>
    <t>№2/207</t>
  </si>
  <si>
    <t>№2/208</t>
  </si>
  <si>
    <t>№2/209</t>
  </si>
  <si>
    <t>№2/210</t>
  </si>
  <si>
    <t>№2/211</t>
  </si>
  <si>
    <t>№2/212</t>
  </si>
  <si>
    <t>№2/214</t>
  </si>
  <si>
    <t>№2/215</t>
  </si>
  <si>
    <t>№2/216</t>
  </si>
  <si>
    <t>№2/217</t>
  </si>
  <si>
    <t>№2/219</t>
  </si>
  <si>
    <t>№2/220</t>
  </si>
  <si>
    <t>№2/221</t>
  </si>
  <si>
    <t>№2/222</t>
  </si>
  <si>
    <t>№2/224</t>
  </si>
  <si>
    <t>№2/225</t>
  </si>
  <si>
    <t>№2/226</t>
  </si>
  <si>
    <t>№2/227</t>
  </si>
  <si>
    <t>№2/228</t>
  </si>
  <si>
    <t>№2/229</t>
  </si>
  <si>
    <t>№2/230</t>
  </si>
  <si>
    <t>№2/231</t>
  </si>
  <si>
    <t>№2/232</t>
  </si>
  <si>
    <t>№2/233</t>
  </si>
  <si>
    <t>№2/234</t>
  </si>
  <si>
    <t>№2/235</t>
  </si>
  <si>
    <t>№2/236</t>
  </si>
  <si>
    <t>№2/237</t>
  </si>
  <si>
    <t>№2/238</t>
  </si>
  <si>
    <t>№2/239</t>
  </si>
  <si>
    <t>№2/240</t>
  </si>
  <si>
    <t>№2/241</t>
  </si>
  <si>
    <t>№2/242</t>
  </si>
  <si>
    <t>№2/243</t>
  </si>
  <si>
    <t>№2/244</t>
  </si>
  <si>
    <t>№2/245</t>
  </si>
  <si>
    <t>№2/250</t>
  </si>
  <si>
    <t>№2/251</t>
  </si>
  <si>
    <t>№2/252</t>
  </si>
  <si>
    <t>№2/254</t>
  </si>
  <si>
    <t>№2/255</t>
  </si>
  <si>
    <t>№2/256</t>
  </si>
  <si>
    <t>№2/257</t>
  </si>
  <si>
    <t>№2/258</t>
  </si>
  <si>
    <t>№2/259</t>
  </si>
  <si>
    <t>№2/260</t>
  </si>
  <si>
    <t>№2/261</t>
  </si>
  <si>
    <t>№2/262</t>
  </si>
  <si>
    <t>№2/263</t>
  </si>
  <si>
    <t>№2/264</t>
  </si>
  <si>
    <t>№2/265</t>
  </si>
  <si>
    <t>№2/266</t>
  </si>
  <si>
    <t>№2/267</t>
  </si>
  <si>
    <t>№2/268</t>
  </si>
  <si>
    <t>№2/271</t>
  </si>
  <si>
    <t>№2/272</t>
  </si>
  <si>
    <t>№2/273</t>
  </si>
  <si>
    <t>№2/275</t>
  </si>
  <si>
    <t>№2/276</t>
  </si>
  <si>
    <t>№2/277</t>
  </si>
  <si>
    <t>№2/278</t>
  </si>
  <si>
    <t>№2/279</t>
  </si>
  <si>
    <t>№2/280</t>
  </si>
  <si>
    <t>№2/281</t>
  </si>
  <si>
    <t>№2/282</t>
  </si>
  <si>
    <t>№2/283</t>
  </si>
  <si>
    <t>№2/284</t>
  </si>
  <si>
    <t>№2/285</t>
  </si>
  <si>
    <t>№2/286</t>
  </si>
  <si>
    <t>№2/287</t>
  </si>
  <si>
    <t>№2/288</t>
  </si>
  <si>
    <t>№2/289</t>
  </si>
  <si>
    <t>№2/290</t>
  </si>
  <si>
    <t>№2/291</t>
  </si>
  <si>
    <t>№2/292</t>
  </si>
  <si>
    <t>№2/294</t>
  </si>
  <si>
    <t>№2/295</t>
  </si>
  <si>
    <t>№2/296</t>
  </si>
  <si>
    <t>№2/299</t>
  </si>
  <si>
    <t>№2/300</t>
  </si>
  <si>
    <t>№2/301</t>
  </si>
  <si>
    <t>№2/302</t>
  </si>
  <si>
    <t>№2/303</t>
  </si>
  <si>
    <t>№2/307</t>
  </si>
  <si>
    <t>№2/308</t>
  </si>
  <si>
    <t>№2/309</t>
  </si>
  <si>
    <t>№2/310</t>
  </si>
  <si>
    <t>№2/311</t>
  </si>
  <si>
    <t>№2/312</t>
  </si>
  <si>
    <t>№2/313</t>
  </si>
  <si>
    <t>№2/314</t>
  </si>
  <si>
    <t>№2/315</t>
  </si>
  <si>
    <t>№2/316</t>
  </si>
  <si>
    <t>№2/317</t>
  </si>
  <si>
    <t>№2/318</t>
  </si>
  <si>
    <t>№2/319</t>
  </si>
  <si>
    <t>№2/320</t>
  </si>
  <si>
    <t>№2/321</t>
  </si>
  <si>
    <t>№2/322</t>
  </si>
  <si>
    <t>№2/323</t>
  </si>
  <si>
    <t>№2/324</t>
  </si>
  <si>
    <t>№2/325</t>
  </si>
  <si>
    <t>№2/326</t>
  </si>
  <si>
    <t>№2/328</t>
  </si>
  <si>
    <t>№2/330</t>
  </si>
  <si>
    <t>№2/331</t>
  </si>
  <si>
    <t>№2/332</t>
  </si>
  <si>
    <t>№2/333</t>
  </si>
  <si>
    <t>№2/334</t>
  </si>
  <si>
    <t>№2/335</t>
  </si>
  <si>
    <t>№2/336</t>
  </si>
  <si>
    <t>№2/338</t>
  </si>
  <si>
    <t>№2/339</t>
  </si>
  <si>
    <t>№2/340</t>
  </si>
  <si>
    <t>№2/341</t>
  </si>
  <si>
    <t>№2/342</t>
  </si>
  <si>
    <t>№2/343</t>
  </si>
  <si>
    <t>№2/344</t>
  </si>
  <si>
    <t>№2/345</t>
  </si>
  <si>
    <t>№2/346</t>
  </si>
  <si>
    <t>№2/347</t>
  </si>
  <si>
    <t>№2/348</t>
  </si>
  <si>
    <t>№2/349</t>
  </si>
  <si>
    <t>№2/350</t>
  </si>
  <si>
    <t>№2/351</t>
  </si>
  <si>
    <t>№2/352</t>
  </si>
  <si>
    <t>№2/353</t>
  </si>
  <si>
    <t>№2/354</t>
  </si>
  <si>
    <t>№2/356</t>
  </si>
  <si>
    <t>№2/357</t>
  </si>
  <si>
    <t>№2/358</t>
  </si>
  <si>
    <t>№2/360</t>
  </si>
  <si>
    <t>№2/361</t>
  </si>
  <si>
    <t>№2/362</t>
  </si>
  <si>
    <t>№2/363</t>
  </si>
  <si>
    <t>№2/364</t>
  </si>
  <si>
    <t>№2/366</t>
  </si>
  <si>
    <t>№2/367</t>
  </si>
  <si>
    <t>№2/368</t>
  </si>
  <si>
    <t>№2/369</t>
  </si>
  <si>
    <t>№2/370</t>
  </si>
  <si>
    <t>№2/371</t>
  </si>
  <si>
    <t>№2/372</t>
  </si>
  <si>
    <t>№2/373</t>
  </si>
  <si>
    <t>№2/374</t>
  </si>
  <si>
    <t>№2/375</t>
  </si>
  <si>
    <t>№2/376</t>
  </si>
  <si>
    <t>№2/377</t>
  </si>
  <si>
    <t>№2/378</t>
  </si>
  <si>
    <t>№2/379</t>
  </si>
  <si>
    <t>№2/380</t>
  </si>
  <si>
    <t>№2/381</t>
  </si>
  <si>
    <t>№2/382</t>
  </si>
  <si>
    <t>№2/383</t>
  </si>
  <si>
    <t>№2/384</t>
  </si>
  <si>
    <t>№2/385</t>
  </si>
  <si>
    <t>№2/388</t>
  </si>
  <si>
    <t>№2/389</t>
  </si>
  <si>
    <t>№2/390</t>
  </si>
  <si>
    <t>№2/391</t>
  </si>
  <si>
    <t>№2/392</t>
  </si>
  <si>
    <t>№2/393</t>
  </si>
  <si>
    <t>№2/394</t>
  </si>
  <si>
    <t>№2/395</t>
  </si>
  <si>
    <t>№2/396</t>
  </si>
  <si>
    <t>№2/397</t>
  </si>
  <si>
    <t>№2/398</t>
  </si>
  <si>
    <t>№2/399</t>
  </si>
  <si>
    <t>№2/400</t>
  </si>
  <si>
    <t>№2/401</t>
  </si>
  <si>
    <t>№2/402</t>
  </si>
  <si>
    <t>№2/403</t>
  </si>
  <si>
    <t>№2/404</t>
  </si>
  <si>
    <t>№2/405</t>
  </si>
  <si>
    <t>№2/406</t>
  </si>
  <si>
    <t>№2/407</t>
  </si>
  <si>
    <t>№2/408</t>
  </si>
  <si>
    <t>№2/409</t>
  </si>
  <si>
    <t>№2/410</t>
  </si>
  <si>
    <t>№2/411</t>
  </si>
  <si>
    <t>№2/412</t>
  </si>
  <si>
    <t>№2/413</t>
  </si>
  <si>
    <t>№2/414</t>
  </si>
  <si>
    <t>№2/415</t>
  </si>
  <si>
    <t>№2/416</t>
  </si>
  <si>
    <t>№2/417</t>
  </si>
  <si>
    <t>№2/418</t>
  </si>
  <si>
    <t>№2/420</t>
  </si>
  <si>
    <t>№2/421</t>
  </si>
  <si>
    <t>№2/422</t>
  </si>
  <si>
    <t>№2/423</t>
  </si>
  <si>
    <t>№2/424</t>
  </si>
  <si>
    <t>№2/425</t>
  </si>
  <si>
    <t>№2/426</t>
  </si>
  <si>
    <t>№2/427</t>
  </si>
  <si>
    <t>№ договору</t>
  </si>
  <si>
    <t>протокол зборів</t>
  </si>
  <si>
    <t>№77</t>
  </si>
  <si>
    <t>Разом за договорами управління</t>
  </si>
  <si>
    <t>В.В.Пригара</t>
  </si>
  <si>
    <t>М.В.Гречко</t>
  </si>
  <si>
    <t>пн</t>
  </si>
  <si>
    <t>Складова витрат на утримання будинку та прибудинкової території та поточний ремонт спільного майна будинку (далі-витрати)</t>
  </si>
  <si>
    <t>Загальна площа, м2</t>
  </si>
  <si>
    <t>1.</t>
  </si>
  <si>
    <t>Обов'язковий перелік робіт (послуг)</t>
  </si>
  <si>
    <t>1.1.</t>
  </si>
  <si>
    <t>1.1.1.</t>
  </si>
  <si>
    <t>1.1.2.</t>
  </si>
  <si>
    <t>1.1.3.</t>
  </si>
  <si>
    <t>1.1.4.</t>
  </si>
  <si>
    <t>1.1.5.</t>
  </si>
  <si>
    <t>1.1.6.</t>
  </si>
  <si>
    <t>1.1.7.</t>
  </si>
  <si>
    <t>1.1.8.</t>
  </si>
  <si>
    <t>1.2.</t>
  </si>
  <si>
    <t>1.3.</t>
  </si>
  <si>
    <t>1.4.</t>
  </si>
  <si>
    <t>1.5.</t>
  </si>
  <si>
    <t>1.6.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</si>
  <si>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багатоквартирного будинку</t>
  </si>
  <si>
    <t>1.7.</t>
  </si>
  <si>
    <t>1.7.1.</t>
  </si>
  <si>
    <t>1.7.2.</t>
  </si>
  <si>
    <t>1.7.3.</t>
  </si>
  <si>
    <t>1.7.4.</t>
  </si>
  <si>
    <t>1.7.5.</t>
  </si>
  <si>
    <t>1.7.6.</t>
  </si>
  <si>
    <t>1.7.7.</t>
  </si>
  <si>
    <t>1.8.</t>
  </si>
  <si>
    <t>1.9.</t>
  </si>
  <si>
    <t>1.10.</t>
  </si>
  <si>
    <t>1.11.</t>
  </si>
  <si>
    <t>1.12.</t>
  </si>
  <si>
    <t>1.13.</t>
  </si>
  <si>
    <t>1.14.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</si>
  <si>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</t>
  </si>
  <si>
    <t>1.14.1.</t>
  </si>
  <si>
    <t>1.14.2.</t>
  </si>
  <si>
    <t>2.</t>
  </si>
  <si>
    <t>3.</t>
  </si>
  <si>
    <t>4.</t>
  </si>
  <si>
    <t>5.</t>
  </si>
  <si>
    <t>6.</t>
  </si>
  <si>
    <t>плановий кошторис</t>
  </si>
  <si>
    <t>% виконання кошторису</t>
  </si>
  <si>
    <t>Середня ціна, грн/м2</t>
  </si>
  <si>
    <t>Начальник підприємства</t>
  </si>
  <si>
    <t>Головний економіст</t>
  </si>
  <si>
    <t>Статті витрат</t>
  </si>
  <si>
    <t>Загальновиробничі витрати</t>
  </si>
  <si>
    <t>Адміністративні витрати</t>
  </si>
  <si>
    <t>Разом накладні витрати</t>
  </si>
  <si>
    <t xml:space="preserve">Зарплата </t>
  </si>
  <si>
    <t>Нарахування на з/т (22%)</t>
  </si>
  <si>
    <t xml:space="preserve">Матеріали </t>
  </si>
  <si>
    <t>ПММ (транспорт)</t>
  </si>
  <si>
    <t>Запасні частини (транспорт)</t>
  </si>
  <si>
    <t>Амортизація</t>
  </si>
  <si>
    <t>7.</t>
  </si>
  <si>
    <t>Навчання</t>
  </si>
  <si>
    <t>8.</t>
  </si>
  <si>
    <t>Податок на землю</t>
  </si>
  <si>
    <t>9.</t>
  </si>
  <si>
    <t>Утримання приміщень, в т.ч</t>
  </si>
  <si>
    <t>9.1</t>
  </si>
  <si>
    <t>освітлення</t>
  </si>
  <si>
    <t>9.2</t>
  </si>
  <si>
    <t>опалення</t>
  </si>
  <si>
    <t>9.3</t>
  </si>
  <si>
    <t>водопостачання</t>
  </si>
  <si>
    <t>10.</t>
  </si>
  <si>
    <t>Послуги зв'язку</t>
  </si>
  <si>
    <t>11.</t>
  </si>
  <si>
    <t>Аудит</t>
  </si>
  <si>
    <t>12.</t>
  </si>
  <si>
    <t>РКО</t>
  </si>
  <si>
    <t>13.</t>
  </si>
  <si>
    <t>Платежі банкам</t>
  </si>
  <si>
    <t>Підписка</t>
  </si>
  <si>
    <t>14.</t>
  </si>
  <si>
    <t>Службові відрядження</t>
  </si>
  <si>
    <t>15.</t>
  </si>
  <si>
    <t>Ремонт комп.техніки, обслуговування ПК</t>
  </si>
  <si>
    <t>16.</t>
  </si>
  <si>
    <t>17.</t>
  </si>
  <si>
    <t>Call-центр</t>
  </si>
  <si>
    <t>19.</t>
  </si>
  <si>
    <t>Прибирання адмін.будівлі</t>
  </si>
  <si>
    <t>20.</t>
  </si>
  <si>
    <t>Утримання легкового транспорту</t>
  </si>
  <si>
    <t>22.</t>
  </si>
  <si>
    <t>23.</t>
  </si>
  <si>
    <t>Інші послуги (ТО, страховка транс.засобів)</t>
  </si>
  <si>
    <t>24.</t>
  </si>
  <si>
    <t>Інші витрати</t>
  </si>
  <si>
    <t>Разом витрати</t>
  </si>
  <si>
    <t>Відношення частини накладних витрат на сторонні послуги</t>
  </si>
  <si>
    <t>Разом накладні витрати для тарифу, в т.ч</t>
  </si>
  <si>
    <t>зі зняттям</t>
  </si>
  <si>
    <t>ТО ліфтів</t>
  </si>
  <si>
    <t>ОДС</t>
  </si>
  <si>
    <t>ДВК</t>
  </si>
  <si>
    <t>ПЗ (програма Софтпроект, 1с, АСТ, інші)</t>
  </si>
  <si>
    <t>Поточний ремонт конструктивних елементів</t>
  </si>
  <si>
    <t>обсяг, м2</t>
  </si>
  <si>
    <t>сума, грн</t>
  </si>
  <si>
    <t>ремонт покрівлі</t>
  </si>
  <si>
    <t>ремонт під'їздів</t>
  </si>
  <si>
    <t>од.</t>
  </si>
  <si>
    <t>ремонт стиків</t>
  </si>
  <si>
    <t>п.м</t>
  </si>
  <si>
    <t>декоративні огорожі</t>
  </si>
  <si>
    <t>м2</t>
  </si>
  <si>
    <t>підготовка до зими</t>
  </si>
  <si>
    <t>виконавець</t>
  </si>
  <si>
    <t>ремонт ліфтів</t>
  </si>
  <si>
    <t>ремонт машинних приміщень ліфтів</t>
  </si>
  <si>
    <t>інші види робіт</t>
  </si>
  <si>
    <t>КОШТОРИС</t>
  </si>
  <si>
    <t>ФАКТ</t>
  </si>
  <si>
    <t>Поточний ремонт внутрішньобудинкових систем, грн</t>
  </si>
  <si>
    <t>РАЗОМ</t>
  </si>
  <si>
    <t>Відхилення</t>
  </si>
  <si>
    <t>в тому числі факт за видами робіт</t>
  </si>
  <si>
    <t>зарплата</t>
  </si>
  <si>
    <t>ЄСВ</t>
  </si>
  <si>
    <t>матеріали</t>
  </si>
  <si>
    <t>послуги</t>
  </si>
  <si>
    <t>загальнов.</t>
  </si>
  <si>
    <t>адмін.</t>
  </si>
  <si>
    <t>Разом</t>
  </si>
  <si>
    <t>вода</t>
  </si>
  <si>
    <t>Дератизація</t>
  </si>
  <si>
    <t>послуга</t>
  </si>
  <si>
    <t>адмін</t>
  </si>
  <si>
    <t>Дезінсекція</t>
  </si>
  <si>
    <t>зняття</t>
  </si>
  <si>
    <t>Електроенергія МЗК</t>
  </si>
  <si>
    <t>Електроенергія ліфти</t>
  </si>
  <si>
    <t>коеф.загальновироб.витрат до ФОПу</t>
  </si>
  <si>
    <t>коеф.адмін.витрат до прямих+загальн.</t>
  </si>
  <si>
    <t>інші</t>
  </si>
  <si>
    <t>ТО теплопостачання</t>
  </si>
  <si>
    <t>Площа, м2</t>
  </si>
  <si>
    <t>ТО гарячого водопостачання</t>
  </si>
  <si>
    <t>грн/м2</t>
  </si>
  <si>
    <t>Разом ТО</t>
  </si>
  <si>
    <t>Прибирання приміщень загального користування (з прибиранням підвалів, покрівлі)</t>
  </si>
  <si>
    <t>дворове/спортивне обладнання</t>
  </si>
  <si>
    <t>ОТКЕ</t>
  </si>
  <si>
    <t>Технова</t>
  </si>
  <si>
    <t>Зарплата в тарифі</t>
  </si>
  <si>
    <t>ХВП</t>
  </si>
  <si>
    <t>ВВ</t>
  </si>
  <si>
    <t>ЗК</t>
  </si>
  <si>
    <t>ЕН</t>
  </si>
  <si>
    <t>ж.5</t>
  </si>
  <si>
    <t>єсв</t>
  </si>
  <si>
    <t>журнал 5</t>
  </si>
  <si>
    <t>інструмент</t>
  </si>
  <si>
    <t>Фактична зарплата</t>
  </si>
  <si>
    <t>Матеріали</t>
  </si>
  <si>
    <t>Вода</t>
  </si>
  <si>
    <t>Матеріали стаття 01</t>
  </si>
  <si>
    <t>площа підвалів для дератизації</t>
  </si>
  <si>
    <t>конт.майд.</t>
  </si>
  <si>
    <t>приб.приб.території (без.конт.майд.)</t>
  </si>
  <si>
    <t>приб.сходових кліток</t>
  </si>
  <si>
    <t>приб.підвалів і покрівлі</t>
  </si>
  <si>
    <t>01 стаття</t>
  </si>
  <si>
    <t>02 стаття</t>
  </si>
  <si>
    <t>16 стаття</t>
  </si>
  <si>
    <t>рах. 201</t>
  </si>
  <si>
    <t>рах. 22/1, 22/2</t>
  </si>
  <si>
    <t>рах. 203</t>
  </si>
  <si>
    <t>рах. 132</t>
  </si>
  <si>
    <t>двірники</t>
  </si>
  <si>
    <t>покрівельники</t>
  </si>
  <si>
    <t>дільниця 1</t>
  </si>
  <si>
    <t>дільниця 2</t>
  </si>
  <si>
    <t>дільниця 3</t>
  </si>
  <si>
    <t>аморт.</t>
  </si>
  <si>
    <t>(для ДВК)</t>
  </si>
  <si>
    <t>Загальна кошторисна вартість з ПДВ</t>
  </si>
  <si>
    <t>Планова винагорода управителю, грн з ПДВ</t>
  </si>
  <si>
    <t>кошторис витрат</t>
  </si>
  <si>
    <t>план</t>
  </si>
  <si>
    <t>дільниця №1</t>
  </si>
  <si>
    <t>дільниця №2</t>
  </si>
  <si>
    <t>дільниця №3</t>
  </si>
  <si>
    <t>ТО водопостачання 06/1</t>
  </si>
  <si>
    <t>ТО водовідведення 06/2</t>
  </si>
  <si>
    <t>ТО зливової каналізації 06/3</t>
  </si>
  <si>
    <t>ТО електропостачання 05/1</t>
  </si>
  <si>
    <t>ТО газопостачання 06/4</t>
  </si>
  <si>
    <t>водопостачання 04/1</t>
  </si>
  <si>
    <t>водовідведення 04/2</t>
  </si>
  <si>
    <t>теплопостачання 07/4</t>
  </si>
  <si>
    <t>гарячого водопостачання 07/3</t>
  </si>
  <si>
    <t>зливової каналізації 04/3</t>
  </si>
  <si>
    <t>електропостачання 05/2</t>
  </si>
  <si>
    <t>площа для аварійки</t>
  </si>
  <si>
    <t>обсяг прямих витрат</t>
  </si>
  <si>
    <t>обсяг накладних витрат</t>
  </si>
  <si>
    <t>прямі</t>
  </si>
  <si>
    <t>накладні</t>
  </si>
  <si>
    <t>% виконання</t>
  </si>
  <si>
    <t>Покрівля</t>
  </si>
  <si>
    <t>власні</t>
  </si>
  <si>
    <t>підрядні</t>
  </si>
  <si>
    <t>Під'їзди</t>
  </si>
  <si>
    <t>Прибудинкове обладнання</t>
  </si>
  <si>
    <t xml:space="preserve">Стикі </t>
  </si>
  <si>
    <t>Підготовка до зими</t>
  </si>
  <si>
    <t>Цоколь, ганки, вимощення</t>
  </si>
  <si>
    <t>Конструктивні елементи</t>
  </si>
  <si>
    <t>Мережі</t>
  </si>
  <si>
    <t>гаряче водопостачання</t>
  </si>
  <si>
    <t>зливова каналізація</t>
  </si>
  <si>
    <t>разом</t>
  </si>
  <si>
    <t>З/п косарів</t>
  </si>
  <si>
    <t>Д1</t>
  </si>
  <si>
    <t>Д2</t>
  </si>
  <si>
    <t>Д3</t>
  </si>
  <si>
    <t>Витрати, грн</t>
  </si>
  <si>
    <t>Технічне обслуговування систем ППА та димовидалення (у разі їх наявності)</t>
  </si>
  <si>
    <t>* Поточний ремонт конструктивних елементів по видах робіт:</t>
  </si>
  <si>
    <t>Обсяг робіт</t>
  </si>
  <si>
    <t>Сума, грн</t>
  </si>
  <si>
    <t>покрівля</t>
  </si>
  <si>
    <t>під'їзди</t>
  </si>
  <si>
    <t>стикі</t>
  </si>
  <si>
    <t>ліфти</t>
  </si>
  <si>
    <t>маш.приміщення ліфтів</t>
  </si>
  <si>
    <t>ганки, фасад, цоколь, вимощення</t>
  </si>
  <si>
    <t>дворове/дитяче обладнання</t>
  </si>
  <si>
    <t>Разом по будинку</t>
  </si>
  <si>
    <t>Інші види робіт</t>
  </si>
  <si>
    <t>Питомі витрати, грн/м2</t>
  </si>
  <si>
    <t>% винагороди</t>
  </si>
  <si>
    <t>Середня ціна на управління, грн/м2 (квартири+нежитлові)</t>
  </si>
  <si>
    <t xml:space="preserve">№ </t>
  </si>
  <si>
    <t>дільниці</t>
  </si>
  <si>
    <t>1 дільниця</t>
  </si>
  <si>
    <t>2 дільниця</t>
  </si>
  <si>
    <t>3 дільниця</t>
  </si>
  <si>
    <t>Січень</t>
  </si>
  <si>
    <t>нарах</t>
  </si>
  <si>
    <t>виконано</t>
  </si>
  <si>
    <t>Лютий</t>
  </si>
  <si>
    <t>Січень-серпень</t>
  </si>
  <si>
    <t>Яйця,мило,перчатки,уайт-спирт,обрізки,пензлі, рах. 132/2</t>
  </si>
  <si>
    <t>9 місяців 2019</t>
  </si>
  <si>
    <t>коеф.!!!</t>
  </si>
  <si>
    <t xml:space="preserve">Звіт про виконання кошторисів на утримання будинків та прибудинкової території за </t>
  </si>
  <si>
    <t xml:space="preserve">Звіт про виконання кошторисів на утримання будинку та прибудинкової території за </t>
  </si>
  <si>
    <t>Звіт про виконання поточного ремонту конструктивних елементів і внутрішньобудинкових систем за</t>
  </si>
  <si>
    <t>Звіт про виконання поточного ремонту за</t>
  </si>
  <si>
    <t xml:space="preserve">Звіт про виконання планового кошторису накладних витрат за </t>
  </si>
  <si>
    <t>Фактичні витрати - прибирання, дератизація, дезінсекція, ТО ліфтів і ОДС, ДВК, електроенергія</t>
  </si>
  <si>
    <t>Фактичні витрати  - технічне обслуговування внутрішньобудинкових систем</t>
  </si>
  <si>
    <t>для квартир, що не користуються ліфтами</t>
  </si>
  <si>
    <t>для квартир, що користуються ліфтами</t>
  </si>
  <si>
    <t>для нежитлових приміщень</t>
  </si>
  <si>
    <t>квартири</t>
  </si>
  <si>
    <t>нежитлові</t>
  </si>
  <si>
    <t>вул.КИЇВСЬКА,  13</t>
  </si>
  <si>
    <t>вул.П`ЯТНИЦЬКА,  13</t>
  </si>
  <si>
    <t>з врахуванням 2016-2017-2018-2019 рр</t>
  </si>
  <si>
    <t>Результат виконання тарифу станом на 01.03.2020 року ("-" - борг підприємства; "+" - борг населення)</t>
  </si>
  <si>
    <t>Залишок коштів станом на 01.03.2020 року</t>
  </si>
  <si>
    <t>ДЗ</t>
  </si>
  <si>
    <t>населення</t>
  </si>
  <si>
    <t>нежитлові приміщення</t>
  </si>
  <si>
    <t>Код</t>
  </si>
  <si>
    <t>ID софтпроект</t>
  </si>
  <si>
    <t>вул.ПУШКIНА, 12</t>
  </si>
  <si>
    <t>винагорода</t>
  </si>
  <si>
    <t>кошторис+винагорода</t>
  </si>
  <si>
    <t>№2/223</t>
  </si>
  <si>
    <t>Вибір адреси</t>
  </si>
  <si>
    <t>Загальне виконання, грн з ПДВ</t>
  </si>
  <si>
    <t>відх</t>
  </si>
  <si>
    <t>% вик.</t>
  </si>
  <si>
    <t>в тому числі виконання ПР</t>
  </si>
  <si>
    <t>Прострочена ДЗ (населення+нежитлові)</t>
  </si>
  <si>
    <t>Наявність коштів по будинку</t>
  </si>
  <si>
    <t>ПЕВ</t>
  </si>
  <si>
    <t>сально на кінець                - борг підприємства</t>
  </si>
  <si>
    <t>Для звіту ВТВ</t>
  </si>
  <si>
    <t>Поточний ремонт, грн з ПДВ</t>
  </si>
  <si>
    <t>Код об'єкта</t>
  </si>
  <si>
    <t>ремонт цоколю, вимощення, ганків, стін, фасаду, пандус, асфальт</t>
  </si>
  <si>
    <t>зимове прибирання</t>
  </si>
  <si>
    <t>всі прямі витрати з прибирання</t>
  </si>
  <si>
    <t>послуги розвезення та навантаження піску</t>
  </si>
  <si>
    <t>рах. 207</t>
  </si>
  <si>
    <t>дивитися % зимового прибирання</t>
  </si>
  <si>
    <t>код</t>
  </si>
  <si>
    <t>планові нарахування</t>
  </si>
  <si>
    <t>КП "Десняняське"</t>
  </si>
  <si>
    <t>Зведена відомість вартості кошторисної послуг з управління багатоквартирним будинком з 01.06.2021 року</t>
  </si>
  <si>
    <t>Загальна S житл.прим.</t>
  </si>
  <si>
    <t>Площа першого поверху у будинках з ліфтами</t>
  </si>
  <si>
    <t>Нежитлових приміщень S з окр.входом</t>
  </si>
  <si>
    <t>Загальна площа квартир і нежитлових приміщень</t>
  </si>
  <si>
    <t>ТО хвп</t>
  </si>
  <si>
    <t>ТО вв</t>
  </si>
  <si>
    <t>ТО тп</t>
  </si>
  <si>
    <t>ТО гвп</t>
  </si>
  <si>
    <t>ТО злив</t>
  </si>
  <si>
    <t>ТО електр</t>
  </si>
  <si>
    <t>ТО газ</t>
  </si>
  <si>
    <t>аварійне обсл.</t>
  </si>
  <si>
    <t>ТО ліфт</t>
  </si>
  <si>
    <t>ТО одс</t>
  </si>
  <si>
    <t>ТО ДВК</t>
  </si>
  <si>
    <t>ПР конструктивних елементів</t>
  </si>
  <si>
    <t>ПР хвп</t>
  </si>
  <si>
    <t>ПР вв</t>
  </si>
  <si>
    <t>ПР тп</t>
  </si>
  <si>
    <t>ПР гвп</t>
  </si>
  <si>
    <t>ПР злив</t>
  </si>
  <si>
    <t>ПР елект</t>
  </si>
  <si>
    <t>ПР газ</t>
  </si>
  <si>
    <t>Прибирання МЗК</t>
  </si>
  <si>
    <t>Прибирання прибуд.тер.взимку</t>
  </si>
  <si>
    <t>Енергопостачання ліфтів</t>
  </si>
  <si>
    <t>Винагорода</t>
  </si>
  <si>
    <t>Додаток</t>
  </si>
  <si>
    <t>Перелік багатоквартирних будинків, управителем яких призначено комунальне підприємство "Деснянське" Чернігівської міської ради відповідно до рішення виконавчого комітету Чернігівської міської ради 15 лютого 2019 року №58</t>
  </si>
  <si>
    <t>КОД БУДИНКУ</t>
  </si>
  <si>
    <t>Номер та дата договору</t>
  </si>
  <si>
    <t>Адреса житлового будинку</t>
  </si>
  <si>
    <t>Поверховість будинку</t>
  </si>
  <si>
    <t>Ціна послуги з управління багатоквартирним будинком з 01.06.2021 року, грн/м2</t>
  </si>
  <si>
    <t xml:space="preserve">для квартир першого поверху </t>
  </si>
  <si>
    <t>для квартир другого і вище поверхів</t>
  </si>
  <si>
    <t>з 01.06.2021</t>
  </si>
  <si>
    <t>№2/1 від 20.02.2019</t>
  </si>
  <si>
    <t>№2/2 від 20.02.2019</t>
  </si>
  <si>
    <t>№2/3 від 20.02.2019</t>
  </si>
  <si>
    <t>№2/4 від 20.02.2019</t>
  </si>
  <si>
    <t>№2/5 від 20.02.2019</t>
  </si>
  <si>
    <t>№2/7 від 20.02.2019</t>
  </si>
  <si>
    <t>№2/8 від 20.02.2019</t>
  </si>
  <si>
    <t>№2/9 від 20.02.2019</t>
  </si>
  <si>
    <t>№2/10 від 20.02.2019</t>
  </si>
  <si>
    <t>№2/14 від 20.02.2019</t>
  </si>
  <si>
    <t>№2/15 від 20.02.2019</t>
  </si>
  <si>
    <t>№2/16 від 20.02.2019</t>
  </si>
  <si>
    <t>№2/17 від 20.02.2019</t>
  </si>
  <si>
    <t>№2/18 від 20.02.2019</t>
  </si>
  <si>
    <t>№2/19 від 20.02.2019</t>
  </si>
  <si>
    <t>№2/21 від 20.02.2019</t>
  </si>
  <si>
    <t>№2/22 від 20.02.2019</t>
  </si>
  <si>
    <t>№2/23 від 20.02.2019</t>
  </si>
  <si>
    <t>№2/24 від 20.02.2019</t>
  </si>
  <si>
    <t>№2/25 від 20.02.2019</t>
  </si>
  <si>
    <t>№2/26 від 20.02.2019</t>
  </si>
  <si>
    <t>№2/27 від 20.02.2019</t>
  </si>
  <si>
    <t>№2/28 від 20.02.2019</t>
  </si>
  <si>
    <t>№2/29 від 20.02.2019</t>
  </si>
  <si>
    <t>№2/30 від 20.02.2019</t>
  </si>
  <si>
    <t>№2/31 від 20.02.2019</t>
  </si>
  <si>
    <t>№2/32 від 20.02.2019</t>
  </si>
  <si>
    <t>№2/33 від 20.02.2019</t>
  </si>
  <si>
    <t>№2/34 від 20.02.2019</t>
  </si>
  <si>
    <t>№2/35 від 20.02.2019</t>
  </si>
  <si>
    <t>№2/36 від 20.02.2019</t>
  </si>
  <si>
    <t>№2/37 від 20.02.2019</t>
  </si>
  <si>
    <t>№2/38 від 20.02.2019</t>
  </si>
  <si>
    <t>№2/39 від 20.02.2019</t>
  </si>
  <si>
    <t>№2/40 від 20.02.2019</t>
  </si>
  <si>
    <t>№2/41 від 20.02.2019</t>
  </si>
  <si>
    <t>№2/42 від 20.02.2019</t>
  </si>
  <si>
    <t>№2/43 від 20.02.2019</t>
  </si>
  <si>
    <t>№2/44 від 20.02.2019</t>
  </si>
  <si>
    <t>№2/45 від 20.02.2019</t>
  </si>
  <si>
    <t>№2/46 від 20.02.2019</t>
  </si>
  <si>
    <t>№2/47 від 20.02.2019</t>
  </si>
  <si>
    <t>№2/48 від 20.02.2019</t>
  </si>
  <si>
    <t>№2/49 від 20.02.2019</t>
  </si>
  <si>
    <t>№2/50 від 20.02.2019</t>
  </si>
  <si>
    <t>№2/51 від 20.02.2019</t>
  </si>
  <si>
    <t>№2/52 від 20.02.2019</t>
  </si>
  <si>
    <t>№2/53 від 20.02.2019</t>
  </si>
  <si>
    <t>№2/54 від 20.02.2019</t>
  </si>
  <si>
    <t>№2/55 від 20.02.2019</t>
  </si>
  <si>
    <t>№2/56 від 20.02.2019</t>
  </si>
  <si>
    <t>№2/57 від 20.02.2019</t>
  </si>
  <si>
    <t>№2/58 від 20.02.2019</t>
  </si>
  <si>
    <t>№2/59 від 20.02.2019</t>
  </si>
  <si>
    <t>№2/60 від 20.02.2019</t>
  </si>
  <si>
    <t>№2/61 від 20.02.2019</t>
  </si>
  <si>
    <t>№2/62 від 20.02.2019</t>
  </si>
  <si>
    <t>№2/63 від 20.02.2019</t>
  </si>
  <si>
    <t>№2/64 від 20.02.2019</t>
  </si>
  <si>
    <t>№2/65 від 20.02.2019</t>
  </si>
  <si>
    <t>№2/66 від 20.02.2019</t>
  </si>
  <si>
    <t>№2/67 від 20.02.2019</t>
  </si>
  <si>
    <t>№2/68 від 20.02.2019</t>
  </si>
  <si>
    <t>№2/69 від 20.02.2019</t>
  </si>
  <si>
    <t>№2/70 від 20.02.2019</t>
  </si>
  <si>
    <t>№2/71 від 20.02.2019</t>
  </si>
  <si>
    <t>№2/73 від 20.02.2019</t>
  </si>
  <si>
    <t>№2/75 від 20.02.2019</t>
  </si>
  <si>
    <t>№2/77 від 20.02.2019</t>
  </si>
  <si>
    <t>№2/78 від 20.02.2019</t>
  </si>
  <si>
    <t>№2/79 від 20.02.2019</t>
  </si>
  <si>
    <t>№2/80 від 20.02.2019</t>
  </si>
  <si>
    <t>№2/81 від 20.02.2019</t>
  </si>
  <si>
    <t>№2/82 від 20.02.2019</t>
  </si>
  <si>
    <t>№2/83 від 20.02.2019</t>
  </si>
  <si>
    <t>№2/84 від 20.02.2019</t>
  </si>
  <si>
    <t>№2/85 від 20.02.2019</t>
  </si>
  <si>
    <t>№2/86 від 20.02.2019</t>
  </si>
  <si>
    <t>№2/87 від 20.02.2019</t>
  </si>
  <si>
    <t>№2/88 від 20.02.2019</t>
  </si>
  <si>
    <t>№2/89 від 20.02.2019</t>
  </si>
  <si>
    <t>№2/91 від 20.02.2019</t>
  </si>
  <si>
    <t>№2/92 від 20.02.2019</t>
  </si>
  <si>
    <t>№2/93 від 20.02.2019</t>
  </si>
  <si>
    <t>№2/94 від 20.02.2019</t>
  </si>
  <si>
    <t>№2/95 від 20.02.2019</t>
  </si>
  <si>
    <t>№2/96 від 20.02.2019</t>
  </si>
  <si>
    <t>№2/97 від 20.02.2019</t>
  </si>
  <si>
    <t>№2/98 від 20.02.2019</t>
  </si>
  <si>
    <t>№2/99 від 20.02.2019</t>
  </si>
  <si>
    <t>№2/100 від 20.02.2019</t>
  </si>
  <si>
    <t>№2/101 від 20.02.2019</t>
  </si>
  <si>
    <t>№2/102 від 20.02.2019</t>
  </si>
  <si>
    <t>№2/104 від 20.02.2019</t>
  </si>
  <si>
    <t>№2/105 від 20.02.2019</t>
  </si>
  <si>
    <t>№2/106 від 20.02.2019</t>
  </si>
  <si>
    <t>№2/107 від 20.02.2019</t>
  </si>
  <si>
    <t>№2/109 від 20.02.2019</t>
  </si>
  <si>
    <t>№2/110 від 20.02.2019</t>
  </si>
  <si>
    <t>№2/111 від 20.02.2019</t>
  </si>
  <si>
    <t>№2/112 від 20.02.2019</t>
  </si>
  <si>
    <t>№2/113 від 20.02.2019</t>
  </si>
  <si>
    <t>№2/114 від 20.02.2019</t>
  </si>
  <si>
    <t>№2/115 від 20.02.2019</t>
  </si>
  <si>
    <t>№2/116 від 20.02.2019</t>
  </si>
  <si>
    <t>№2/117 від 20.02.2019</t>
  </si>
  <si>
    <t>№2/118 від 20.02.2019</t>
  </si>
  <si>
    <t>№2/119 від 20.02.2019</t>
  </si>
  <si>
    <t>№2/120 від 20.02.2019</t>
  </si>
  <si>
    <t>№2/121 від 20.02.2019</t>
  </si>
  <si>
    <t>№2/122 від 20.02.2019</t>
  </si>
  <si>
    <t>№2/123 від 20.02.2019</t>
  </si>
  <si>
    <t>№2/124 від 20.02.2019</t>
  </si>
  <si>
    <t>№2/125 від 20.02.2019</t>
  </si>
  <si>
    <t>№2/126 від 20.02.2019</t>
  </si>
  <si>
    <t>№2/127 від 20.02.2019</t>
  </si>
  <si>
    <t>№2/128 від 20.02.2019</t>
  </si>
  <si>
    <t>№2/129 від 20.02.2019</t>
  </si>
  <si>
    <t>№2/130 від 20.02.2019</t>
  </si>
  <si>
    <t>№2/131 від 20.02.2019</t>
  </si>
  <si>
    <t>№2/132 від 20.02.2019</t>
  </si>
  <si>
    <t>№2/133 від 20.02.2019</t>
  </si>
  <si>
    <t>№2/135 від 20.02.2019</t>
  </si>
  <si>
    <t>№2/136 від 20.02.2019</t>
  </si>
  <si>
    <t>№2/138 від 20.02.2019</t>
  </si>
  <si>
    <t>№2/139 від 20.02.2019</t>
  </si>
  <si>
    <t>№2/141 від 20.02.2019</t>
  </si>
  <si>
    <t>№2/142 від 20.02.2019</t>
  </si>
  <si>
    <t>№2/143 від 20.02.2019</t>
  </si>
  <si>
    <t>№2/144 від 20.02.2019</t>
  </si>
  <si>
    <t>№2/145 від 20.02.2019</t>
  </si>
  <si>
    <t>№2/146 від 20.02.2019</t>
  </si>
  <si>
    <t>№2/147 від 20.02.2019</t>
  </si>
  <si>
    <t>№2/148 від 20.02.2019</t>
  </si>
  <si>
    <t>№2/149 від 20.02.2019</t>
  </si>
  <si>
    <t>№2/150 від 20.02.2019</t>
  </si>
  <si>
    <t>№2/151 від 20.02.2019</t>
  </si>
  <si>
    <t>№2/153 від 20.02.2019</t>
  </si>
  <si>
    <t>№2/154 від 20.02.2019</t>
  </si>
  <si>
    <t>№2/155 від 20.02.2019</t>
  </si>
  <si>
    <t>№2/156 від 20.02.2019</t>
  </si>
  <si>
    <t>№2/157 від 20.02.2019</t>
  </si>
  <si>
    <t>№2/158 від 20.02.2019</t>
  </si>
  <si>
    <t>№2/159 від 20.02.2019</t>
  </si>
  <si>
    <t>№2/160 від 20.02.2019</t>
  </si>
  <si>
    <t>№2/161 від 20.02.2019</t>
  </si>
  <si>
    <t>№2/162 від 20.02.2019</t>
  </si>
  <si>
    <t>№2/163 від 20.02.2019</t>
  </si>
  <si>
    <t>№2/164 від 20.02.2019</t>
  </si>
  <si>
    <t>№2/165 від 20.02.2019</t>
  </si>
  <si>
    <t>№2/166 від 20.02.2019</t>
  </si>
  <si>
    <t>№2/167 від 20.02.2019</t>
  </si>
  <si>
    <t>№2/168 від 20.02.2019</t>
  </si>
  <si>
    <t>№2/169 від 20.02.2019</t>
  </si>
  <si>
    <t>№2/170 від 20.02.2019</t>
  </si>
  <si>
    <t>№2/171 від 20.02.2019</t>
  </si>
  <si>
    <t>№2/172 від 20.02.2019</t>
  </si>
  <si>
    <t>№2/173 від 20.02.2019</t>
  </si>
  <si>
    <t>№2/174 від 20.02.2019</t>
  </si>
  <si>
    <t>№77 від 01.04.2019</t>
  </si>
  <si>
    <t>№2/177 від 20.02.2019</t>
  </si>
  <si>
    <t>№2/178 від 20.02.2019</t>
  </si>
  <si>
    <t>№2/179 від 20.02.2019</t>
  </si>
  <si>
    <t>№2/180 від 20.02.2019</t>
  </si>
  <si>
    <t>№2/181 від 20.02.2019</t>
  </si>
  <si>
    <t>№2/182 від 20.02.2019</t>
  </si>
  <si>
    <t>№2/183 від 20.02.2019</t>
  </si>
  <si>
    <t>№2/184 від 20.02.2019</t>
  </si>
  <si>
    <t>№2/185 від 20.02.2019</t>
  </si>
  <si>
    <t>№2/186 від 20.02.2019</t>
  </si>
  <si>
    <t>№2/187 від 20.02.2019</t>
  </si>
  <si>
    <t>№2/188 від 20.02.2019</t>
  </si>
  <si>
    <t>№2/190 від 20.02.2019</t>
  </si>
  <si>
    <t>№2/191 від 20.02.2019</t>
  </si>
  <si>
    <t>№2/192 від 20.02.2019</t>
  </si>
  <si>
    <t>№2/193 від 20.02.2019</t>
  </si>
  <si>
    <t>№2/195 від 20.02.2019</t>
  </si>
  <si>
    <t>№2/11 від 20.02.2019</t>
  </si>
  <si>
    <t>№2/12 від 20.02.2019</t>
  </si>
  <si>
    <t>№2/13 від 20.02.2019</t>
  </si>
  <si>
    <t>№2/196 від 20.02.2019</t>
  </si>
  <si>
    <t>№2/197 від 20.02.2019</t>
  </si>
  <si>
    <t>№2/198 від 20.02.2019</t>
  </si>
  <si>
    <t>№2/199 від 20.02.2019</t>
  </si>
  <si>
    <t>№2/200 від 20.02.2019</t>
  </si>
  <si>
    <t>№2/201 від 20.02.2019</t>
  </si>
  <si>
    <t>№2/202 від 20.02.2019</t>
  </si>
  <si>
    <t>№2/203 від 20.02.2019</t>
  </si>
  <si>
    <t>№2/204 від 20.02.2019</t>
  </si>
  <si>
    <t>№2/206 від 20.02.2019</t>
  </si>
  <si>
    <t>№2/207 від 20.02.2019</t>
  </si>
  <si>
    <t>№2/208 від 20.02.2019</t>
  </si>
  <si>
    <t>№2/209 від 20.02.2019</t>
  </si>
  <si>
    <t>№2/210 від 20.02.2019</t>
  </si>
  <si>
    <t>№2/211 від 20.02.2019</t>
  </si>
  <si>
    <t>№2/212 від 20.02.2019</t>
  </si>
  <si>
    <t>№2/213 від 20.02.2019</t>
  </si>
  <si>
    <t>№2/214 від 20.02.2019</t>
  </si>
  <si>
    <t>№2/215 від 20.02.2019</t>
  </si>
  <si>
    <t>№2/216 від 20.02.2019</t>
  </si>
  <si>
    <t>№2/217 від 20.02.2019</t>
  </si>
  <si>
    <t>№2/218 від 20.02.2019</t>
  </si>
  <si>
    <t>№2/219 від 20.02.2019</t>
  </si>
  <si>
    <t>№2/220 від 20.02.2019</t>
  </si>
  <si>
    <t>№2/221 від 20.02.2019</t>
  </si>
  <si>
    <t>№2/222 від 20.02.2019</t>
  </si>
  <si>
    <t>№2/223 від 20.02.2019</t>
  </si>
  <si>
    <t>№2/224 від 20.02.2019</t>
  </si>
  <si>
    <t>№2/225 від 20.02.2019</t>
  </si>
  <si>
    <t>№2/226 від 20.02.2019</t>
  </si>
  <si>
    <t>№2/227 від 20.02.2019</t>
  </si>
  <si>
    <t>№2/228 від 20.02.2019</t>
  </si>
  <si>
    <t>№2/229 від 20.02.2019</t>
  </si>
  <si>
    <t>№2/230 від 20.02.2019</t>
  </si>
  <si>
    <t>№2/231 від 20.02.2019</t>
  </si>
  <si>
    <t>№2/232 від 20.02.2019</t>
  </si>
  <si>
    <t>№2/233 від 20.02.2019</t>
  </si>
  <si>
    <t>№2/234 від 20.02.2019</t>
  </si>
  <si>
    <t>№2/235 від 20.02.2019</t>
  </si>
  <si>
    <t>№2/236 від 20.02.2019</t>
  </si>
  <si>
    <t>№2/237 від 20.02.2019</t>
  </si>
  <si>
    <t>№2/238 від 20.02.2019</t>
  </si>
  <si>
    <t>№2/239 від 20.02.2019</t>
  </si>
  <si>
    <t>№2/240 від 20.02.2019</t>
  </si>
  <si>
    <t>№2/241 від 20.02.2019</t>
  </si>
  <si>
    <t>№2/242 від 20.02.2019</t>
  </si>
  <si>
    <t>№2/243 від 20.02.2019</t>
  </si>
  <si>
    <t>№2/244 від 20.02.2019</t>
  </si>
  <si>
    <t>№2/245 від 20.02.2019</t>
  </si>
  <si>
    <t>№2/250 від 20.02.2019</t>
  </si>
  <si>
    <t>№2/251 від 20.02.2019</t>
  </si>
  <si>
    <t>№2/252 від 20.02.2019</t>
  </si>
  <si>
    <t>№2/253 від 20.02.2019</t>
  </si>
  <si>
    <t>№2/254 від 20.02.2019</t>
  </si>
  <si>
    <t>№2/255 від 20.02.2019</t>
  </si>
  <si>
    <t>№2/256 від 20.02.2019</t>
  </si>
  <si>
    <t>№2/257 від 20.02.2019</t>
  </si>
  <si>
    <t>№2/258 від 20.02.2019</t>
  </si>
  <si>
    <t>№2/259 від 20.02.2019</t>
  </si>
  <si>
    <t>№2/260 від 20.02.2019</t>
  </si>
  <si>
    <t>№2/261 від 20.02.2019</t>
  </si>
  <si>
    <t>№2/262 від 20.02.2019</t>
  </si>
  <si>
    <t>№2/263 від 20.02.2019</t>
  </si>
  <si>
    <t>№2/264 від 20.02.2019</t>
  </si>
  <si>
    <t>№2/265 від 20.02.2019</t>
  </si>
  <si>
    <t>№2/266 від 20.02.2019</t>
  </si>
  <si>
    <t>№2/267 від 20.02.2019</t>
  </si>
  <si>
    <t>№2/359 від 20.02.2019</t>
  </si>
  <si>
    <t>№2/360 від 20.02.2019</t>
  </si>
  <si>
    <t>№2/361 від 20.02.2019</t>
  </si>
  <si>
    <t>№2/362 від 20.02.2019</t>
  </si>
  <si>
    <t>№2/363 від 20.02.2019</t>
  </si>
  <si>
    <t>№2/364 від 20.02.2019</t>
  </si>
  <si>
    <t>№2/366 від 20.02.2019</t>
  </si>
  <si>
    <t>№2/367 від 20.02.2019</t>
  </si>
  <si>
    <t>№2/368 від 20.02.2019</t>
  </si>
  <si>
    <t>№2/369 від 20.02.2019</t>
  </si>
  <si>
    <t>№2/370 від 20.02.2019</t>
  </si>
  <si>
    <t>№2/371 від 20.02.2019</t>
  </si>
  <si>
    <t>№2/372 від 20.02.2019</t>
  </si>
  <si>
    <t>№2/373 від 20.02.2019</t>
  </si>
  <si>
    <t>№2/374 від 20.02.2019</t>
  </si>
  <si>
    <t>№2/375 від 20.02.2019</t>
  </si>
  <si>
    <t>№2/376 від 20.02.2019</t>
  </si>
  <si>
    <t>№2/377 від 20.02.2019</t>
  </si>
  <si>
    <t>№2/378 від 20.02.2019</t>
  </si>
  <si>
    <t>№2/379 від 20.02.2019</t>
  </si>
  <si>
    <t>№2/380 від 20.02.2019</t>
  </si>
  <si>
    <t>№2/381 від 20.02.2019</t>
  </si>
  <si>
    <t>№2/382 від 20.02.2019</t>
  </si>
  <si>
    <t>№2/383 від 20.02.2019</t>
  </si>
  <si>
    <t>№2/384 від 20.02.2019</t>
  </si>
  <si>
    <t>№2/385 від 20.02.2019</t>
  </si>
  <si>
    <t>№2/388 від 20.02.2019</t>
  </si>
  <si>
    <t>№2/389 від 20.02.2019</t>
  </si>
  <si>
    <t>№2/390 від 20.02.2019</t>
  </si>
  <si>
    <t>№2/391 від 20.02.2019</t>
  </si>
  <si>
    <t>№2/392 від 20.02.2019</t>
  </si>
  <si>
    <t>№2/393 від 20.02.2019</t>
  </si>
  <si>
    <t>№2/394 від 20.02.2019</t>
  </si>
  <si>
    <t>№2/395 від 20.02.2019</t>
  </si>
  <si>
    <t>№2/396 від 20.02.2019</t>
  </si>
  <si>
    <t>№2/397 від 20.02.2019</t>
  </si>
  <si>
    <t>№2/398 від 20.02.2019</t>
  </si>
  <si>
    <t>№2/399 від 20.02.2019</t>
  </si>
  <si>
    <t>№2/400 від 20.02.2019</t>
  </si>
  <si>
    <t>№2/401 від 20.02.2019</t>
  </si>
  <si>
    <t>№2/402 від 20.02.2019</t>
  </si>
  <si>
    <t>№2/403 від 20.02.2019</t>
  </si>
  <si>
    <t>№2/404 від 20.02.2019</t>
  </si>
  <si>
    <t>№2/405 від 20.02.2019</t>
  </si>
  <si>
    <t>№2/406 від 20.02.2019</t>
  </si>
  <si>
    <t>№2/407 від 20.02.2019</t>
  </si>
  <si>
    <t>№2/408 від 20.02.2019</t>
  </si>
  <si>
    <t>№2/409 від 20.02.2019</t>
  </si>
  <si>
    <t>№2/410 від 20.02.2019</t>
  </si>
  <si>
    <t>№2/411 від 20.02.2019</t>
  </si>
  <si>
    <t>№2/412 від 20.02.2019</t>
  </si>
  <si>
    <t>№2/413 від 20.02.2019</t>
  </si>
  <si>
    <t>№2/414 від 20.02.2019</t>
  </si>
  <si>
    <t>№2/415 від 20.02.2019</t>
  </si>
  <si>
    <t>№2/416 від 20.02.2019</t>
  </si>
  <si>
    <t>№2/417 від 20.02.2019</t>
  </si>
  <si>
    <t>№2/418 від 20.02.2019</t>
  </si>
  <si>
    <t>№2/420 від 20.02.2019</t>
  </si>
  <si>
    <t>№2/421 від 20.02.2019</t>
  </si>
  <si>
    <t>№2/422 від 20.02.2019</t>
  </si>
  <si>
    <t>№2/423 від 20.02.2019</t>
  </si>
  <si>
    <t>№2/424 від 20.02.2019</t>
  </si>
  <si>
    <t>№2/425 від 20.02.2019</t>
  </si>
  <si>
    <t>№2/426 від 20.02.2019</t>
  </si>
  <si>
    <t>№2/427 від 20.02.2019</t>
  </si>
  <si>
    <t>№78 від 20.02.2020</t>
  </si>
  <si>
    <t>№2/268 від 20.02.2019</t>
  </si>
  <si>
    <t>№2/269 від 20.02.2019</t>
  </si>
  <si>
    <t>№2/271 від 20.02.2019</t>
  </si>
  <si>
    <t>№2/272 від 20.02.2019</t>
  </si>
  <si>
    <t>№2/273 від 20.02.2019</t>
  </si>
  <si>
    <t>№2/274 від 20.02.2019</t>
  </si>
  <si>
    <t>№2/275 від 20.02.2019</t>
  </si>
  <si>
    <t>№2/276 від 20.02.2019</t>
  </si>
  <si>
    <t>№2/277 від 20.02.2019</t>
  </si>
  <si>
    <t>№2/278 від 20.02.2019</t>
  </si>
  <si>
    <t>№2/279 від 20.02.2019</t>
  </si>
  <si>
    <t>№2/280 від 20.02.2019</t>
  </si>
  <si>
    <t>№2/281 від 20.02.2019</t>
  </si>
  <si>
    <t>№2/282 від 20.02.2019</t>
  </si>
  <si>
    <t>№2/283 від 20.02.2019</t>
  </si>
  <si>
    <t>№2/284 від 20.02.2019</t>
  </si>
  <si>
    <t>№2/285 від 20.02.2019</t>
  </si>
  <si>
    <t>№2/286 від 20.02.2019</t>
  </si>
  <si>
    <t>№2/287 від 20.02.2019</t>
  </si>
  <si>
    <t>№2/288 від 20.02.2019</t>
  </si>
  <si>
    <t>№2/289 від 20.02.2019</t>
  </si>
  <si>
    <t>№2/290 від 20.02.2019</t>
  </si>
  <si>
    <t>№2/291 від 20.02.2019</t>
  </si>
  <si>
    <t>№2/292 від 20.02.2019</t>
  </si>
  <si>
    <t>№2/294 від 20.02.2019</t>
  </si>
  <si>
    <t>№2/295 від 20.02.2019</t>
  </si>
  <si>
    <t>№2/296 від 20.02.2019</t>
  </si>
  <si>
    <t>№2/299 від 20.02.2019</t>
  </si>
  <si>
    <t>№2/300 від 20.02.2019</t>
  </si>
  <si>
    <t>№2/301 від 20.02.2019</t>
  </si>
  <si>
    <t>№2/302 від 20.02.2019</t>
  </si>
  <si>
    <t>№2/303 від 20.02.2019</t>
  </si>
  <si>
    <t>№2/304 від 20.02.2019</t>
  </si>
  <si>
    <t>№2/305 від 20.02.2019</t>
  </si>
  <si>
    <t>№2/307 від 20.02.2019</t>
  </si>
  <si>
    <t>№2/308 від 20.02.2019</t>
  </si>
  <si>
    <t>№2/309 від 20.02.2019</t>
  </si>
  <si>
    <t>№2/310 від 20.02.2019</t>
  </si>
  <si>
    <t>№2/311 від 20.02.2019</t>
  </si>
  <si>
    <t>№2/312 від 20.02.2019</t>
  </si>
  <si>
    <t>№2/313 від 20.02.2019</t>
  </si>
  <si>
    <t>№2/314 від 20.02.2019</t>
  </si>
  <si>
    <t>№2/315 від 20.02.2019</t>
  </si>
  <si>
    <t>№2/316 від 20.02.2019</t>
  </si>
  <si>
    <t>№2/317 від 20.02.2019</t>
  </si>
  <si>
    <t>№2/318 від 20.02.2019</t>
  </si>
  <si>
    <t>№2/319 від 20.02.2019</t>
  </si>
  <si>
    <t>№2/320 від 20.02.2019</t>
  </si>
  <si>
    <t>№2/321 від 20.02.2019</t>
  </si>
  <si>
    <t>№2/322 від 20.02.2019</t>
  </si>
  <si>
    <t>№2/323 від 20.02.2019</t>
  </si>
  <si>
    <t>№2/324 від 20.02.2019</t>
  </si>
  <si>
    <t>№2/325 від 20.02.2019</t>
  </si>
  <si>
    <t>№2/326 від 20.02.2019</t>
  </si>
  <si>
    <t>№2/328 від 20.02.2019</t>
  </si>
  <si>
    <t>№2/330 від 20.02.2019</t>
  </si>
  <si>
    <t>№2/331 від 20.02.2019</t>
  </si>
  <si>
    <t>№2/332 від 20.02.2019</t>
  </si>
  <si>
    <t>№2/333 від 20.02.2019</t>
  </si>
  <si>
    <t>№2/334 від 20.02.2019</t>
  </si>
  <si>
    <t>№2/335 від 20.02.2019</t>
  </si>
  <si>
    <t>№2/336 від 20.02.2019</t>
  </si>
  <si>
    <t>№2/338 від 20.02.2019</t>
  </si>
  <si>
    <t>№2/339 від 20.02.2019</t>
  </si>
  <si>
    <t>№2/340 від 20.02.2019</t>
  </si>
  <si>
    <t>№2/341 від 20.02.2019</t>
  </si>
  <si>
    <t>№2/342 від 20.02.2019</t>
  </si>
  <si>
    <t>№2/343 від 20.02.2019</t>
  </si>
  <si>
    <t>№2/344 від 20.02.2019</t>
  </si>
  <si>
    <t>№2/345 від 20.02.2019</t>
  </si>
  <si>
    <t>№2/346 від 20.02.2019</t>
  </si>
  <si>
    <t>№2/347 від 20.02.2019</t>
  </si>
  <si>
    <t>№2/348 від 20.02.2019</t>
  </si>
  <si>
    <t>№2/349 від 20.02.2019</t>
  </si>
  <si>
    <t>№2/350 від 20.02.2019</t>
  </si>
  <si>
    <t>№2/351 від 20.02.2019</t>
  </si>
  <si>
    <t>№2/352 від 20.02.2019</t>
  </si>
  <si>
    <t>№2/353 від 20.02.2019</t>
  </si>
  <si>
    <t>№2/354 від 20.02.2019</t>
  </si>
  <si>
    <t>№2/356 від 20.02.2019</t>
  </si>
  <si>
    <t>№2/357 від 20.02.2019</t>
  </si>
  <si>
    <t>№2/358 від 20.02.2019</t>
  </si>
  <si>
    <t>Середня ціна на послугу по управителю</t>
  </si>
  <si>
    <t>Сальдокон</t>
  </si>
  <si>
    <t>Нарахування квартири ОІВ</t>
  </si>
  <si>
    <t>Нарахування нежитл. ОІВ</t>
  </si>
  <si>
    <t>РІК</t>
  </si>
  <si>
    <t>РОЗРАХУНОК</t>
  </si>
  <si>
    <t>ТО мереж ХВП</t>
  </si>
  <si>
    <t>ТО мереж ВВ</t>
  </si>
  <si>
    <t>ТО мереж зливової каналізації</t>
  </si>
  <si>
    <t>ТО електричних мереж</t>
  </si>
  <si>
    <t>ТО мереж ЦО</t>
  </si>
  <si>
    <t>ТО мереж ГВП</t>
  </si>
  <si>
    <t xml:space="preserve">ТО газових мереж </t>
  </si>
  <si>
    <t>Вартість аварійного обслуговування</t>
  </si>
  <si>
    <t>Разом ТО мереж</t>
  </si>
  <si>
    <t>у тому числі</t>
  </si>
  <si>
    <t>ТО МЕРЕЖ</t>
  </si>
  <si>
    <t>Адмінстративні витрати</t>
  </si>
  <si>
    <t>Повна собівартість послуги</t>
  </si>
  <si>
    <t>вартість послуги</t>
  </si>
  <si>
    <t>послуги підрядників</t>
  </si>
  <si>
    <t>№ дільниці</t>
  </si>
  <si>
    <t>кількість робітників</t>
  </si>
  <si>
    <t>ДОЖФ №1</t>
  </si>
  <si>
    <t>ДОЖФ №2</t>
  </si>
  <si>
    <t>ДОЖФ №3</t>
  </si>
  <si>
    <t>В.о начальника підприємства</t>
  </si>
  <si>
    <t xml:space="preserve"> </t>
  </si>
  <si>
    <t xml:space="preserve">прибирання конт.майд. Перенесено на ПР </t>
  </si>
  <si>
    <t>ТО газ (помилково) перенесено на ПР</t>
  </si>
  <si>
    <r>
      <t xml:space="preserve">Фактична заробітна плата тимчасово переведених працівників на посаду робітника з благоустрою </t>
    </r>
    <r>
      <rPr>
        <b/>
        <u/>
        <sz val="11"/>
        <color theme="1"/>
        <rFont val="Times New Roman"/>
        <family val="1"/>
        <charset val="204"/>
      </rPr>
      <t>(покос трави)</t>
    </r>
  </si>
  <si>
    <t>ЗАТВЕРДЖЕНИЙ КОШТОРИС</t>
  </si>
  <si>
    <t>КОРИГУВАННЯ КОШТОРИСУ</t>
  </si>
  <si>
    <t xml:space="preserve">Технічне обслуговування </t>
  </si>
  <si>
    <t>ХВП, ВВ, ЗК</t>
  </si>
  <si>
    <t>ГВП</t>
  </si>
  <si>
    <t>ЦО</t>
  </si>
  <si>
    <t>електромережі</t>
  </si>
  <si>
    <t>підрядні організації</t>
  </si>
  <si>
    <t>Поточний ремонт конструктивів</t>
  </si>
  <si>
    <t>Поточний ремонт мереж</t>
  </si>
  <si>
    <t>газові мережі</t>
  </si>
  <si>
    <t>Прибирання місць загального користування</t>
  </si>
  <si>
    <t>Електроенергія ліфт</t>
  </si>
  <si>
    <t>Разом прямі витрати</t>
  </si>
  <si>
    <t xml:space="preserve">Загальновиробничі витрати </t>
  </si>
  <si>
    <t>Розподілена сума витрат на аварійне обслуговування</t>
  </si>
  <si>
    <t>факт 1</t>
  </si>
  <si>
    <t>факт 2</t>
  </si>
  <si>
    <t>факт 3</t>
  </si>
  <si>
    <t>кошторис 1</t>
  </si>
  <si>
    <t>кошторис 2</t>
  </si>
  <si>
    <t>кошторис 3</t>
  </si>
  <si>
    <t>основна</t>
  </si>
  <si>
    <t>резерв</t>
  </si>
  <si>
    <t>вся</t>
  </si>
  <si>
    <t>коеф.1</t>
  </si>
  <si>
    <t>коеф.2</t>
  </si>
  <si>
    <t>коеф.3</t>
  </si>
  <si>
    <t>Коефіцієнт розподілу фактичної зарплати</t>
  </si>
  <si>
    <t>Розподіл транспортних витрат</t>
  </si>
  <si>
    <t>Розподіл витрат обліково-інформаційного відділу</t>
  </si>
  <si>
    <t>Виробнича собівартість</t>
  </si>
  <si>
    <t xml:space="preserve">Розподіл інших загальновиробничих витрат </t>
  </si>
  <si>
    <t>Розподіл накладних витрат на інші послуги</t>
  </si>
  <si>
    <t>Загальновиробничі витрати дільниці</t>
  </si>
  <si>
    <t>Послуги</t>
  </si>
  <si>
    <t>Фактичні витрати з утримання будинків і прибудинкової території</t>
  </si>
  <si>
    <t>Технічне обслуговування внутрішньобудинкових мереж</t>
  </si>
  <si>
    <t>Поточний ремонт внутрішньобудинкових мереж</t>
  </si>
  <si>
    <t>Прибирання прибудинкової території, місць загального користування</t>
  </si>
  <si>
    <t>ПММ</t>
  </si>
  <si>
    <t>Транспорт</t>
  </si>
  <si>
    <t>АУП</t>
  </si>
  <si>
    <t>на час покосу ПММ</t>
  </si>
  <si>
    <t>грн без ПДВ/місяць</t>
  </si>
  <si>
    <t>Планова сума матеріальних витрат у складі Кошторисів на утримання будинків і прибудинкових територій з 01.06.2021 року</t>
  </si>
  <si>
    <t>без ПММ на час покосу</t>
  </si>
  <si>
    <t>Марина ГРЕЧКО</t>
  </si>
  <si>
    <t xml:space="preserve">Разом витрати на матеріали </t>
  </si>
  <si>
    <t>Загальновиробничі витрати дільниць</t>
  </si>
  <si>
    <t>Зняття по Преобр,22 ?</t>
  </si>
  <si>
    <t>вул.ГОНЧА,  62</t>
  </si>
  <si>
    <t>вул.ГОНЧА,  63</t>
  </si>
  <si>
    <t>вул.ГОНЧА,  69</t>
  </si>
  <si>
    <t>вул.ЗЕЛЕНА,  15</t>
  </si>
  <si>
    <t>вул.КИЇВСЬКА,  25</t>
  </si>
  <si>
    <t>вул.МСТИСЛАВСЬКА,  32</t>
  </si>
  <si>
    <t>вул.МСТИСЛАВСЬКА,  32А</t>
  </si>
  <si>
    <t>вул.МСТИСЛАВСЬКА,  55Б</t>
  </si>
  <si>
    <t>вул.МСТИСЛАВСЬКА,  59Б</t>
  </si>
  <si>
    <t>вул.С.РУСОВОЇ,  8</t>
  </si>
  <si>
    <t>вул.С.РУСОВОЇ,  9</t>
  </si>
  <si>
    <t>вул.С.РУСОВОЇ,  13</t>
  </si>
  <si>
    <t>пров.СТРИЖЕНСЬКИЙ,  1А</t>
  </si>
  <si>
    <t>вул.СВЯТОМИКОЛАЇВСЬКА,  29</t>
  </si>
  <si>
    <t>вул.ЧЕРНИШЕВСЬКОГО,  25</t>
  </si>
  <si>
    <t>вул.ЛЮБОМИРА БОДНАРУКА,  5</t>
  </si>
  <si>
    <t>вул.КОЧЕРГИ,  14</t>
  </si>
  <si>
    <t>вул.ОЛЕКСАНДРА МОЛОДЧОГО,  34</t>
  </si>
  <si>
    <t>вул.Академiка ПАВЛОВА,  9</t>
  </si>
  <si>
    <t>через амортиз.</t>
  </si>
  <si>
    <t>адмін.витрати</t>
  </si>
  <si>
    <t>на витрати</t>
  </si>
  <si>
    <t>БЛАНК</t>
  </si>
  <si>
    <t>інші загальновиробничі витрати</t>
  </si>
  <si>
    <t>витрати ОІВ</t>
  </si>
  <si>
    <t>транспортні витрати</t>
  </si>
  <si>
    <t>інші послуги</t>
  </si>
  <si>
    <t>ДОЖФ 1</t>
  </si>
  <si>
    <t>ДОЖФ 2</t>
  </si>
  <si>
    <t>ДОЖФ 3</t>
  </si>
  <si>
    <t>податок на землю</t>
  </si>
  <si>
    <t>адмін.витрати (без розподілу на авар.обл)</t>
  </si>
  <si>
    <t>відношення накладних витрат на 23/6, 23/7</t>
  </si>
  <si>
    <t>всього витрати, без ПДВ</t>
  </si>
  <si>
    <t>побудинковий звіт</t>
  </si>
  <si>
    <t>Прострочена заборгованість населення</t>
  </si>
  <si>
    <t>Прострочена заборгованість нежитлові приміщення</t>
  </si>
  <si>
    <t>Прострочена заборгованість нежитлові приміщення станом на</t>
  </si>
  <si>
    <t>ремонт паркана</t>
  </si>
  <si>
    <t>грн</t>
  </si>
  <si>
    <t>(загальний 27 без податку на землю)</t>
  </si>
  <si>
    <t>зняття Преображенська, 22</t>
  </si>
  <si>
    <t>ПАРКАН амортизація</t>
  </si>
  <si>
    <t>новий паркан</t>
  </si>
  <si>
    <t>із звіту з нарастаючим!!!</t>
  </si>
  <si>
    <t>спеціальна вставка</t>
  </si>
  <si>
    <t>рах.2</t>
  </si>
  <si>
    <t>рах.1</t>
  </si>
  <si>
    <t>формула</t>
  </si>
  <si>
    <t>01.03.2022-28.02.2023</t>
  </si>
  <si>
    <t>Разом планові нарахування - формула!</t>
  </si>
  <si>
    <t>ОІВ</t>
  </si>
  <si>
    <t>Річний кошторис, грн з ПДВ (01.03.2022-28.02.2023 рр)</t>
  </si>
  <si>
    <t>Нараховано</t>
  </si>
  <si>
    <t>Площа c 1C</t>
  </si>
  <si>
    <t>Сальдо на початок                 - борг підприємства</t>
  </si>
  <si>
    <t>Оплата</t>
  </si>
  <si>
    <t>на 01.06.2022 року</t>
  </si>
  <si>
    <t>КОМПЕНСАЦІЯ</t>
  </si>
  <si>
    <t>ЖКГ</t>
  </si>
  <si>
    <t>Провайдери</t>
  </si>
  <si>
    <t>Компенсація з бюджету міста (управління ЖКГ)</t>
  </si>
  <si>
    <t>Наявність коштів по будинку (за період надання послуги з управління) на</t>
  </si>
  <si>
    <t>Додаткові кошти від надання права доступу до елементів інфраструктури будинку, грн з ПДВ</t>
  </si>
  <si>
    <t>Результат виконання послуги з управління станом на 01.03.2022 року ("-" - борг підприємства; "+" - борг населення)</t>
  </si>
  <si>
    <t>Дохід від провайдерів</t>
  </si>
  <si>
    <t>прострочена ДЗ</t>
  </si>
  <si>
    <t>Довідково:</t>
  </si>
  <si>
    <t>наявність коштів станом на 01.03.2019 *</t>
  </si>
  <si>
    <t>*результат виконання тарифу з утримання будинків</t>
  </si>
  <si>
    <t>Результат виконання послуги з управління станом на 01.03.2019 року ("-" - борг підприємства; "+" - борг населення)</t>
  </si>
  <si>
    <t>ПММ і талони на вивезення листя з прибудинкових територій</t>
  </si>
  <si>
    <t xml:space="preserve">зарплата </t>
  </si>
  <si>
    <t>м-ли</t>
  </si>
  <si>
    <t>Прострочена заборгованість населення станом на</t>
  </si>
  <si>
    <t>6/1.</t>
  </si>
  <si>
    <t>6/2.</t>
  </si>
  <si>
    <t>6/3.</t>
  </si>
  <si>
    <t>05/1.</t>
  </si>
  <si>
    <t>Результат виконання послуги з управління станом на 01.03.2023 року ("-" - борг підприємства; "+" - борг населення)</t>
  </si>
  <si>
    <t>Виконання по будинку станом на 01.03.2023 року (за період надання послуги з управління) "-" - борг підприємства; "+" - борг населення</t>
  </si>
  <si>
    <t>Кількість будинків</t>
  </si>
  <si>
    <t>1 поверхові</t>
  </si>
  <si>
    <t>2 поверхові</t>
  </si>
  <si>
    <t>3 поверхові</t>
  </si>
  <si>
    <t>4 поверхові</t>
  </si>
  <si>
    <t>5 поверхові</t>
  </si>
  <si>
    <t>6 поверхові</t>
  </si>
  <si>
    <t>8 поверхові</t>
  </si>
  <si>
    <t>9 поверхові</t>
  </si>
  <si>
    <t>10 поверхові</t>
  </si>
  <si>
    <t>14 поверхові</t>
  </si>
  <si>
    <t>16 поверхові</t>
  </si>
  <si>
    <t>Нова адреса</t>
  </si>
  <si>
    <t>Стара адреса</t>
  </si>
  <si>
    <t>вул.БАТУРИНСЬКА,  5А</t>
  </si>
  <si>
    <t>вул.ВАСИЛЯ ТАРНОВСЬКОГО,  12</t>
  </si>
  <si>
    <t>вул.ПУШКІНА,  12</t>
  </si>
  <si>
    <t>вул.ВАСИЛЯ ТАРНОВСЬКОГО,  14</t>
  </si>
  <si>
    <t>вул.ПУШКІНА,  14</t>
  </si>
  <si>
    <t>вул.ВАСИЛЯ ТАРНОВСЬКОГО,  30</t>
  </si>
  <si>
    <t>вул.ПУШКІНА,  30</t>
  </si>
  <si>
    <t>вул.ВАСИЛЯ ТАРНОВСЬКОГО,  4</t>
  </si>
  <si>
    <t>вул.ПУШКІНА,  4</t>
  </si>
  <si>
    <t>вул.ВОЗДВИЖЕНСЬКА,  12</t>
  </si>
  <si>
    <t>вул.ВОЗДВИЖЕНСЬКА,  14</t>
  </si>
  <si>
    <t>вул.ВОЗДВИЖЕНСЬКА,  15</t>
  </si>
  <si>
    <t>вул.ВОЗДВИЖЕНСЬКА,  2</t>
  </si>
  <si>
    <t>вул.ВОЗДВИЖЕНСЬКА,  3</t>
  </si>
  <si>
    <t>вул.ВОЗДВИЖЕНСЬКА,  6</t>
  </si>
  <si>
    <t>вул.ВОЗДВИЖЕНСЬКА,  7</t>
  </si>
  <si>
    <t>вул.ВОЗДВИЖЕНСЬКА,  9</t>
  </si>
  <si>
    <t>вул.БОРИСОГЛІБСЬКА,  1</t>
  </si>
  <si>
    <t>вул.БОРИСОГЛІБСЬКА,  10</t>
  </si>
  <si>
    <t>вул.БОРИСОГЛІБСЬКА,  2</t>
  </si>
  <si>
    <t>вул.БОРИСОГЛІБСЬКА,  3</t>
  </si>
  <si>
    <t>вул.БОРИСОГЛІБСЬКА,  5</t>
  </si>
  <si>
    <t>вул.БОРИСОГЛІБСЬКА,  6</t>
  </si>
  <si>
    <t>вул.БОРИСОГЛІБСЬКА,  6А</t>
  </si>
  <si>
    <t>вул.БОРИСОГЛІБСЬКА,  7</t>
  </si>
  <si>
    <t>вул.БОРИСОГЛІБСЬКА,  8</t>
  </si>
  <si>
    <t>вул.БОРИСОГЛІБСЬКА,  8А</t>
  </si>
  <si>
    <t>вул.МИКОЛИ ЛЕОНТОВИЧА,  3</t>
  </si>
  <si>
    <t>вул.МИКОЛИ ЛЕОНТОВИЧА,  5</t>
  </si>
  <si>
    <t>вул.ВАСИЛЯ СТУСА,  12</t>
  </si>
  <si>
    <t>вул.ВАСИЛЯ СТУСА,  14</t>
  </si>
  <si>
    <t>вул.ВАСИЛЯ СТУСА,  16</t>
  </si>
  <si>
    <t>вул.ВАСИЛЯ СТУСА,  20</t>
  </si>
  <si>
    <t>вул.ВАСИЛЯ СТУСА,  24</t>
  </si>
  <si>
    <t>вул.ВАСИЛЯ СТУСА,  25А</t>
  </si>
  <si>
    <t>вул.ВАСИЛЯ СТУСА,  30</t>
  </si>
  <si>
    <t>1поверх</t>
  </si>
  <si>
    <t>без 1 п</t>
  </si>
  <si>
    <t>без одноповерхових</t>
  </si>
  <si>
    <t>за особливо важливе завдання 19.08.2023</t>
  </si>
  <si>
    <t>поточний ремонт, грн з ПДВ</t>
  </si>
  <si>
    <t>заварені сміттєпроводи</t>
  </si>
  <si>
    <t>,</t>
  </si>
  <si>
    <t xml:space="preserve">єсв </t>
  </si>
  <si>
    <t>Ремонт ліфтів, машинних приміщень</t>
  </si>
  <si>
    <t>в т.ч. за інтенсивність праці по прибирання снігу порівельниками</t>
  </si>
  <si>
    <t xml:space="preserve">Розвезення та навантаження ПСС </t>
  </si>
  <si>
    <t>АТП-2528</t>
  </si>
  <si>
    <t>в т.ч. матеріали д/прибирання, посипання снігу</t>
  </si>
  <si>
    <t>Коплате</t>
  </si>
  <si>
    <t>Ремонт приміщення, техніки</t>
  </si>
  <si>
    <t>2024 РОКУ</t>
  </si>
  <si>
    <t>Формула  СУММЕСЛИ('[ПР січень 2024.xlsx]мережі сорт'!$A$5:$D$30;A11;'[ПР січень 2024.xlsx]мережі сорт'!$D$5:$D$30)</t>
  </si>
  <si>
    <t>+3697,5 талони.</t>
  </si>
  <si>
    <t>8559,59парканчик</t>
  </si>
  <si>
    <t>+4201,48 АТС за інтенсивність праці по прибиранню снігу</t>
  </si>
  <si>
    <t>в т.ч. з\п за Федай Ю.А.(суспільно-корисні роботи) ДВС</t>
  </si>
  <si>
    <t>вул.Борисоглібська, буд.6а</t>
  </si>
  <si>
    <t>ПРОСПЕКТ ЛЕВКА ЛУК'ЯНЕНКА,  17</t>
  </si>
  <si>
    <t>ПРОСПЕКТ ЛЕВКА ЛУК'ЯНЕНКА,  19</t>
  </si>
  <si>
    <t>ПРОСПЕКТ ЛЕВКА ЛУК'ЯНЕНКА,  23</t>
  </si>
  <si>
    <t>ПРОСПЕКТ ЛЕВКА ЛУК'ЯНЕНКА,  25</t>
  </si>
  <si>
    <t>ПРОСПЕКТ ЛЕВКА ЛУК'ЯНЕНКА,  27</t>
  </si>
  <si>
    <t>ПРОСПЕКТ ЛЕВКА ЛУК'ЯНЕНКА,  29</t>
  </si>
  <si>
    <t>ПРОСПЕКТ ЛЕВКА ЛУК'ЯНЕНКА,  37А</t>
  </si>
  <si>
    <t>ПРОСПЕКТ ЛЕВКА ЛУК'ЯНЕНКА,  39</t>
  </si>
  <si>
    <t>ПРОСПЕКТ ЛЕВКА ЛУК'ЯНЕНКА,  41</t>
  </si>
  <si>
    <t>ПРОСПЕКТ ЛЕВКА ЛУК'ЯНЕНКА,  45</t>
  </si>
  <si>
    <t>ПРОСПЕКТ ЛЕВКА ЛУК'ЯНЕНКА,  49А</t>
  </si>
  <si>
    <t>вул.ВОЛОДИМИРА ІВАСЮКА,  1Б</t>
  </si>
  <si>
    <t>вул.ПАРКОВА,  11</t>
  </si>
  <si>
    <t>вул.ПАРКОВА,  3</t>
  </si>
  <si>
    <t>вул.ПАРКОВА,  5</t>
  </si>
  <si>
    <t>вул.ПАРКОВА,  7А</t>
  </si>
  <si>
    <t>вул.ПАРКОВА,  7Б</t>
  </si>
  <si>
    <t>Залишок коштів по будинку станом на 01.01.2024 року (за період надання послуги з управління) "-" - борг підприємства; "+" - борг населення</t>
  </si>
  <si>
    <t>Результат виконання послуги з управління станом на 01.01.2024 року ("-" - борг підприємства; "+" - борг населення)</t>
  </si>
  <si>
    <t>Сума, грн без ПДВ</t>
  </si>
  <si>
    <t>Сума, грн з ПДВ</t>
  </si>
  <si>
    <t>Ремонт мереж</t>
  </si>
  <si>
    <t>РАЗОМ ПОТОЧНИЙ РЕМОНТ</t>
  </si>
  <si>
    <t>Технічне обслуговування систем ППА та димовидалення</t>
  </si>
  <si>
    <t>Разом ремонт конструктивних елементів</t>
  </si>
  <si>
    <r>
      <t xml:space="preserve">Звіт про виконання кошторису на </t>
    </r>
    <r>
      <rPr>
        <b/>
        <sz val="11"/>
        <color theme="1"/>
        <rFont val="Times New Roman"/>
        <family val="1"/>
        <charset val="204"/>
      </rPr>
      <t xml:space="preserve">утримання будинків та прибудинкової території за </t>
    </r>
  </si>
  <si>
    <t>Віктор ПРИГАРА</t>
  </si>
  <si>
    <t>2024 рік</t>
  </si>
  <si>
    <t>вул.ТРОЛЕЙБУСНА,  15</t>
  </si>
  <si>
    <t>вул.ТРОЛЕЙБУСНА,  17</t>
  </si>
  <si>
    <t>вул.ОБОРОНЦІВ ЧЕРНІГОВА,  12А</t>
  </si>
  <si>
    <t>вул.ОБОРОНЦІВ ЧЕРНІГОВА,  35а</t>
  </si>
  <si>
    <t>вул.ОБОРОНЦІВ ЧЕРНІГОВА,  38</t>
  </si>
  <si>
    <t>вул.ОБОРОНЦІВ ЧЕРНІГОВА,  5</t>
  </si>
  <si>
    <t>вул.ОБОРОНЦІВ ЧЕРНІГОВА,  7</t>
  </si>
  <si>
    <t>вул.ОБОРОНЦІВ ЧЕРНІГОВА,  74</t>
  </si>
  <si>
    <t>вул.ОБОРОНЦІВ ЧЕРНІГОВА,  7А</t>
  </si>
  <si>
    <t>вул.ОБОРОНЦІВ ЧЕРНІГОВА,  8</t>
  </si>
  <si>
    <t>вул.КУРЕНІВКА,  52</t>
  </si>
  <si>
    <t>пров.ТРОЛЕЙБУСНИЙ,  2А</t>
  </si>
  <si>
    <t>пров.ТРОЛЕЙБУСНИЙ,  4</t>
  </si>
  <si>
    <t>пров.ТРОЛЕЙБУСНИЙ,  6</t>
  </si>
  <si>
    <t>пров.ТРОЛЕЙБУСНИЙ,  8</t>
  </si>
  <si>
    <t>Залишок коштів по будинку станом на 01.01.2024 року</t>
  </si>
  <si>
    <t>Залишок коштів по будинку за підсумками 2024 року</t>
  </si>
  <si>
    <t xml:space="preserve">Залишок коштів по будинку станом на </t>
  </si>
  <si>
    <t>Управитель: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</si>
  <si>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 - ЗА НАЯВНОСТІ), та іншого спільного майна багатоквартирного будинку*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</si>
</sst>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\ _₽_-;\-* #,##0.00\ _₽_-;_-* &quot;-&quot;??\ _₽_-;_-@_-"/>
    <numFmt numFmtId="165" formatCode="_-* #,##0.00\ _₴_-;\-* #,##0.00\ _₴_-;_-* &quot;-&quot;??\ _₴_-;_-@_-"/>
    <numFmt numFmtId="166" formatCode="0.0%"/>
    <numFmt numFmtId="167" formatCode="#,##0.0000"/>
    <numFmt numFmtId="168" formatCode="0.0000"/>
    <numFmt numFmtId="169" formatCode="#,##0.000"/>
    <numFmt numFmtId="170" formatCode="#,##0.0"/>
    <numFmt numFmtId="171" formatCode="_-* #,##0\ _₴_-;\-* #,##0\ _₴_-;_-* &quot;-&quot;??\ _₴_-;_-@_-"/>
    <numFmt numFmtId="172" formatCode="0.00000"/>
    <numFmt numFmtId="173" formatCode="0.0"/>
    <numFmt numFmtId="174" formatCode="#,##0.000000000"/>
    <numFmt numFmtId="175" formatCode="#,##0.000000000000"/>
    <numFmt numFmtId="176" formatCode="#,##0.00000000"/>
  </numFmts>
  <fonts count="15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1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Calibri"/>
      <family val="2"/>
      <charset val="1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1"/>
      <scheme val="minor"/>
    </font>
    <font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Calibri"/>
      <family val="2"/>
      <charset val="1"/>
      <scheme val="minor"/>
    </font>
    <font>
      <b/>
      <sz val="7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color theme="1"/>
      <name val="Calibri"/>
      <family val="2"/>
      <charset val="1"/>
      <scheme val="minor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color theme="1"/>
      <name val="Calibri"/>
      <family val="2"/>
      <charset val="1"/>
      <scheme val="minor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Calibri"/>
      <family val="2"/>
      <charset val="1"/>
      <scheme val="minor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7"/>
      <color theme="1"/>
      <name val="Times New Roman"/>
      <family val="1"/>
      <charset val="204"/>
    </font>
    <font>
      <sz val="7"/>
      <color theme="1"/>
      <name val="Calibri"/>
      <family val="2"/>
      <charset val="1"/>
      <scheme val="minor"/>
    </font>
    <font>
      <b/>
      <sz val="7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i/>
      <sz val="11"/>
      <color rgb="FF7030A0"/>
      <name val="Times New Roman"/>
      <family val="1"/>
      <charset val="204"/>
    </font>
    <font>
      <b/>
      <i/>
      <sz val="9"/>
      <color rgb="FF7030A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9"/>
      <color rgb="FF00B05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i/>
      <sz val="8"/>
      <color theme="1"/>
      <name val="Times New Roman"/>
      <family val="1"/>
      <charset val="204"/>
    </font>
    <font>
      <b/>
      <sz val="11"/>
      <color rgb="FFFFFF00"/>
      <name val="Times New Roman"/>
      <family val="1"/>
      <charset val="204"/>
    </font>
    <font>
      <sz val="11"/>
      <color rgb="FFFF0066"/>
      <name val="Times New Roman"/>
      <family val="1"/>
      <charset val="204"/>
    </font>
    <font>
      <b/>
      <i/>
      <sz val="20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i/>
      <sz val="11"/>
      <color rgb="FF9900FF"/>
      <name val="Times New Roman"/>
      <family val="1"/>
      <charset val="204"/>
    </font>
    <font>
      <b/>
      <sz val="9"/>
      <color rgb="FFFF0066"/>
      <name val="Times New Roman"/>
      <family val="1"/>
      <charset val="204"/>
    </font>
    <font>
      <b/>
      <sz val="11"/>
      <color rgb="FFFF0066"/>
      <name val="Times New Roman"/>
      <family val="1"/>
      <charset val="204"/>
    </font>
    <font>
      <b/>
      <sz val="9"/>
      <color rgb="FFFF0066"/>
      <name val="Arial"/>
      <family val="2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b/>
      <i/>
      <sz val="11"/>
      <color rgb="FFFF0000"/>
      <name val="Calibri"/>
      <family val="2"/>
      <charset val="1"/>
      <scheme val="minor"/>
    </font>
    <font>
      <b/>
      <i/>
      <sz val="16"/>
      <color rgb="FF9900FF"/>
      <name val="Times New Roman"/>
      <family val="1"/>
      <charset val="204"/>
    </font>
    <font>
      <b/>
      <i/>
      <sz val="9"/>
      <color theme="1"/>
      <name val="Calibri"/>
      <family val="2"/>
      <charset val="1"/>
      <scheme val="minor"/>
    </font>
    <font>
      <i/>
      <sz val="9"/>
      <color theme="1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i/>
      <sz val="9"/>
      <color rgb="FFFF0000"/>
      <name val="Calibri"/>
      <family val="2"/>
      <charset val="1"/>
      <scheme val="minor"/>
    </font>
    <font>
      <i/>
      <sz val="9"/>
      <color rgb="FF7030A0"/>
      <name val="Times New Roman"/>
      <family val="1"/>
      <charset val="204"/>
    </font>
    <font>
      <b/>
      <i/>
      <sz val="9"/>
      <color rgb="FF7030A0"/>
      <name val="Calibri"/>
      <family val="2"/>
      <charset val="1"/>
      <scheme val="minor"/>
    </font>
    <font>
      <b/>
      <sz val="7"/>
      <color rgb="FF00B0F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color theme="9" tint="-0.249977111117893"/>
      <name val="Times New Roman"/>
      <family val="1"/>
      <charset val="204"/>
    </font>
    <font>
      <sz val="11"/>
      <color theme="9" tint="-0.249977111117893"/>
      <name val="Times New Roman"/>
      <family val="1"/>
      <charset val="204"/>
    </font>
    <font>
      <b/>
      <sz val="11"/>
      <color theme="8" tint="-0.249977111117893"/>
      <name val="Times New Roman"/>
      <family val="1"/>
      <charset val="204"/>
    </font>
    <font>
      <sz val="11"/>
      <color theme="8" tint="-0.249977111117893"/>
      <name val="Times New Roman"/>
      <family val="1"/>
      <charset val="204"/>
    </font>
    <font>
      <b/>
      <sz val="11"/>
      <color theme="6" tint="0.3999755851924192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Calibri"/>
      <family val="2"/>
      <charset val="1"/>
      <scheme val="minor"/>
    </font>
    <font>
      <sz val="18"/>
      <color rgb="FFFF0000"/>
      <name val="Times New Roman"/>
      <family val="1"/>
      <charset val="204"/>
    </font>
    <font>
      <b/>
      <sz val="8"/>
      <color indexed="63"/>
      <name val="Times New Roman"/>
      <family val="1"/>
      <charset val="204"/>
    </font>
    <font>
      <sz val="10"/>
      <color indexed="59"/>
      <name val="Times New Roman"/>
      <family val="1"/>
      <charset val="204"/>
    </font>
    <font>
      <b/>
      <sz val="10"/>
      <color indexed="63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indexed="58"/>
      <name val="Times New Roman"/>
      <family val="1"/>
      <charset val="204"/>
    </font>
    <font>
      <b/>
      <sz val="10"/>
      <color indexed="58"/>
      <name val="Times New Roman"/>
      <family val="1"/>
      <charset val="204"/>
    </font>
    <font>
      <sz val="9"/>
      <color theme="1"/>
      <name val="Times New Roman"/>
      <family val="2"/>
      <charset val="204"/>
    </font>
    <font>
      <b/>
      <sz val="9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1"/>
      <scheme val="minor"/>
    </font>
    <font>
      <sz val="10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1"/>
      <color rgb="FFFF0000"/>
      <name val="Calibri"/>
      <family val="2"/>
      <charset val="1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1"/>
      <scheme val="minor"/>
    </font>
    <font>
      <b/>
      <sz val="16"/>
      <color theme="1"/>
      <name val="Calibri"/>
      <family val="2"/>
      <charset val="1"/>
      <scheme val="minor"/>
    </font>
    <font>
      <sz val="16"/>
      <color theme="1"/>
      <name val="Calibri"/>
      <family val="2"/>
      <charset val="1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0070C0"/>
      <name val="Times New Roman"/>
      <family val="1"/>
      <charset val="204"/>
    </font>
    <font>
      <b/>
      <sz val="9"/>
      <color rgb="FF9900FF"/>
      <name val="Times New Roman"/>
      <family val="1"/>
      <charset val="204"/>
    </font>
    <font>
      <sz val="11"/>
      <color rgb="FFFF0066"/>
      <name val="Calibri"/>
      <family val="2"/>
      <charset val="1"/>
      <scheme val="minor"/>
    </font>
    <font>
      <sz val="14"/>
      <color rgb="FFFF0000"/>
      <name val="Times New Roman"/>
      <family val="1"/>
      <charset val="204"/>
    </font>
    <font>
      <b/>
      <i/>
      <sz val="14"/>
      <color rgb="FF7030A0"/>
      <name val="Times New Roman"/>
      <family val="1"/>
      <charset val="204"/>
    </font>
    <font>
      <b/>
      <sz val="12"/>
      <color rgb="FF00B050"/>
      <name val="Times New Roman"/>
      <family val="1"/>
      <charset val="204"/>
    </font>
    <font>
      <sz val="11"/>
      <color rgb="FF0000FF"/>
      <name val="Calibri"/>
      <family val="2"/>
      <charset val="1"/>
      <scheme val="minor"/>
    </font>
    <font>
      <i/>
      <sz val="11"/>
      <color rgb="FF7030A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00B050"/>
      <name val="Times New Roman"/>
      <family val="1"/>
      <charset val="204"/>
    </font>
    <font>
      <b/>
      <sz val="14"/>
      <color rgb="FF00B050"/>
      <name val="Times New Roman"/>
      <family val="1"/>
      <charset val="204"/>
    </font>
    <font>
      <sz val="11"/>
      <color rgb="FF00B050"/>
      <name val="Calibri"/>
      <family val="2"/>
      <charset val="1"/>
      <scheme val="minor"/>
    </font>
    <font>
      <b/>
      <i/>
      <sz val="12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i/>
      <sz val="14"/>
      <color rgb="FF7030A0"/>
      <name val="Times New Roman"/>
      <family val="1"/>
      <charset val="204"/>
    </font>
    <font>
      <i/>
      <sz val="14"/>
      <color rgb="FF7030A0"/>
      <name val="Calibri"/>
      <family val="2"/>
      <charset val="204"/>
      <scheme val="minor"/>
    </font>
    <font>
      <sz val="9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sz val="12"/>
      <color rgb="FF9900FF"/>
      <name val="Times New Roman"/>
      <family val="1"/>
      <charset val="204"/>
    </font>
    <font>
      <sz val="11"/>
      <color rgb="FF7030A0"/>
      <name val="Calibri"/>
      <family val="2"/>
      <charset val="1"/>
      <scheme val="minor"/>
    </font>
    <font>
      <b/>
      <sz val="11"/>
      <color rgb="FF9900FF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12"/>
      <color rgb="FF7030A0"/>
      <name val="Times New Roman"/>
      <family val="1"/>
      <charset val="204"/>
    </font>
    <font>
      <b/>
      <u/>
      <sz val="14"/>
      <color rgb="FFFF0000"/>
      <name val="Times New Roman"/>
      <family val="1"/>
      <charset val="204"/>
    </font>
    <font>
      <b/>
      <i/>
      <sz val="11"/>
      <name val="Calibri"/>
      <family val="2"/>
      <charset val="204"/>
      <scheme val="minor"/>
    </font>
    <font>
      <b/>
      <sz val="14"/>
      <color rgb="FFFF0066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26" fillId="0" borderId="0"/>
    <xf numFmtId="0" fontId="11" fillId="0" borderId="0"/>
    <xf numFmtId="165" fontId="45" fillId="0" borderId="0" applyFont="0" applyFill="0" applyBorder="0" applyAlignment="0" applyProtection="0"/>
  </cellStyleXfs>
  <cellXfs count="1458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3" fontId="5" fillId="0" borderId="10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8" fillId="0" borderId="10" xfId="0" applyFont="1" applyBorder="1" applyAlignment="1">
      <alignment vertical="center"/>
    </xf>
    <xf numFmtId="3" fontId="5" fillId="0" borderId="0" xfId="0" applyNumberFormat="1" applyFont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7" fillId="0" borderId="10" xfId="0" applyFont="1" applyBorder="1" applyAlignment="1">
      <alignment vertical="center"/>
    </xf>
    <xf numFmtId="4" fontId="27" fillId="0" borderId="0" xfId="0" applyNumberFormat="1" applyFont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3" fontId="27" fillId="0" borderId="10" xfId="0" applyNumberFormat="1" applyFont="1" applyBorder="1" applyAlignment="1">
      <alignment horizontal="center" vertical="center"/>
    </xf>
    <xf numFmtId="3" fontId="35" fillId="0" borderId="10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5" fillId="0" borderId="10" xfId="0" applyFont="1" applyBorder="1" applyAlignment="1">
      <alignment horizontal="center" vertical="center"/>
    </xf>
    <xf numFmtId="4" fontId="5" fillId="0" borderId="10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40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3" fontId="5" fillId="0" borderId="13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4" fontId="7" fillId="0" borderId="19" xfId="1" applyNumberFormat="1" applyFont="1" applyBorder="1" applyAlignment="1">
      <alignment horizontal="center" vertical="center" wrapText="1"/>
    </xf>
    <xf numFmtId="4" fontId="40" fillId="0" borderId="52" xfId="0" applyNumberFormat="1" applyFont="1" applyBorder="1" applyAlignment="1">
      <alignment horizontal="center" vertical="center"/>
    </xf>
    <xf numFmtId="3" fontId="5" fillId="0" borderId="28" xfId="0" applyNumberFormat="1" applyFont="1" applyBorder="1" applyAlignment="1">
      <alignment horizontal="center" vertical="center"/>
    </xf>
    <xf numFmtId="3" fontId="5" fillId="0" borderId="16" xfId="0" applyNumberFormat="1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2" fontId="9" fillId="0" borderId="9" xfId="1" applyNumberFormat="1" applyFont="1" applyBorder="1" applyAlignment="1">
      <alignment horizontal="left" vertical="center" wrapText="1"/>
    </xf>
    <xf numFmtId="4" fontId="5" fillId="0" borderId="8" xfId="0" applyNumberFormat="1" applyFont="1" applyBorder="1" applyAlignment="1">
      <alignment horizontal="center" vertical="center"/>
    </xf>
    <xf numFmtId="2" fontId="13" fillId="0" borderId="9" xfId="1" applyNumberFormat="1" applyFont="1" applyBorder="1" applyAlignment="1">
      <alignment horizontal="left" vertical="center" wrapText="1"/>
    </xf>
    <xf numFmtId="0" fontId="21" fillId="0" borderId="51" xfId="0" applyFont="1" applyBorder="1" applyAlignment="1">
      <alignment horizontal="center" vertical="center"/>
    </xf>
    <xf numFmtId="2" fontId="9" fillId="0" borderId="25" xfId="1" applyNumberFormat="1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/>
    </xf>
    <xf numFmtId="0" fontId="7" fillId="0" borderId="50" xfId="0" applyFont="1" applyBorder="1" applyAlignment="1">
      <alignment vertical="center"/>
    </xf>
    <xf numFmtId="0" fontId="7" fillId="0" borderId="43" xfId="0" applyFont="1" applyBorder="1" applyAlignment="1">
      <alignment vertical="center"/>
    </xf>
    <xf numFmtId="3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6" fillId="0" borderId="10" xfId="0" applyNumberFormat="1" applyFont="1" applyBorder="1" applyAlignment="1">
      <alignment horizontal="center" vertical="center"/>
    </xf>
    <xf numFmtId="3" fontId="5" fillId="0" borderId="20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3" fontId="5" fillId="0" borderId="58" xfId="0" applyNumberFormat="1" applyFont="1" applyBorder="1" applyAlignment="1">
      <alignment horizontal="center" vertical="center"/>
    </xf>
    <xf numFmtId="3" fontId="5" fillId="0" borderId="48" xfId="0" applyNumberFormat="1" applyFont="1" applyBorder="1" applyAlignment="1">
      <alignment horizontal="center" vertical="center"/>
    </xf>
    <xf numFmtId="3" fontId="7" fillId="0" borderId="37" xfId="0" applyNumberFormat="1" applyFont="1" applyBorder="1" applyAlignment="1">
      <alignment horizontal="center" vertical="center"/>
    </xf>
    <xf numFmtId="3" fontId="7" fillId="0" borderId="21" xfId="0" applyNumberFormat="1" applyFont="1" applyBorder="1" applyAlignment="1">
      <alignment horizontal="center" vertical="center"/>
    </xf>
    <xf numFmtId="3" fontId="7" fillId="0" borderId="48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/>
    </xf>
    <xf numFmtId="3" fontId="7" fillId="0" borderId="50" xfId="0" applyNumberFormat="1" applyFont="1" applyBorder="1" applyAlignment="1">
      <alignment horizontal="center" vertical="center"/>
    </xf>
    <xf numFmtId="3" fontId="7" fillId="0" borderId="43" xfId="0" applyNumberFormat="1" applyFont="1" applyBorder="1" applyAlignment="1">
      <alignment horizontal="center" vertical="center"/>
    </xf>
    <xf numFmtId="3" fontId="7" fillId="0" borderId="52" xfId="0" applyNumberFormat="1" applyFont="1" applyBorder="1" applyAlignment="1">
      <alignment horizontal="center" vertical="center"/>
    </xf>
    <xf numFmtId="3" fontId="7" fillId="0" borderId="53" xfId="0" applyNumberFormat="1" applyFont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5" fillId="0" borderId="50" xfId="0" applyNumberFormat="1" applyFont="1" applyBorder="1" applyAlignment="1">
      <alignment horizontal="center" vertical="center"/>
    </xf>
    <xf numFmtId="3" fontId="5" fillId="0" borderId="40" xfId="0" applyNumberFormat="1" applyFont="1" applyBorder="1" applyAlignment="1">
      <alignment horizontal="center" vertical="center"/>
    </xf>
    <xf numFmtId="3" fontId="5" fillId="0" borderId="42" xfId="0" applyNumberFormat="1" applyFont="1" applyBorder="1" applyAlignment="1">
      <alignment horizontal="center" vertical="center"/>
    </xf>
    <xf numFmtId="3" fontId="5" fillId="0" borderId="39" xfId="0" applyNumberFormat="1" applyFont="1" applyBorder="1" applyAlignment="1">
      <alignment horizontal="center" vertical="center"/>
    </xf>
    <xf numFmtId="3" fontId="5" fillId="0" borderId="49" xfId="0" applyNumberFormat="1" applyFont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 vertical="center"/>
    </xf>
    <xf numFmtId="3" fontId="5" fillId="0" borderId="37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3" fontId="5" fillId="0" borderId="32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0" fontId="42" fillId="0" borderId="10" xfId="0" applyFont="1" applyBorder="1" applyAlignment="1">
      <alignment horizontal="left" vertical="center"/>
    </xf>
    <xf numFmtId="2" fontId="42" fillId="0" borderId="0" xfId="0" applyNumberFormat="1" applyFont="1" applyAlignment="1">
      <alignment horizontal="center" vertical="center"/>
    </xf>
    <xf numFmtId="3" fontId="10" fillId="0" borderId="43" xfId="0" applyNumberFormat="1" applyFont="1" applyBorder="1" applyAlignment="1">
      <alignment horizontal="center" vertical="center" wrapText="1"/>
    </xf>
    <xf numFmtId="3" fontId="10" fillId="0" borderId="40" xfId="0" applyNumberFormat="1" applyFont="1" applyBorder="1" applyAlignment="1">
      <alignment horizontal="center" vertical="center" wrapText="1"/>
    </xf>
    <xf numFmtId="2" fontId="9" fillId="0" borderId="28" xfId="1" applyNumberFormat="1" applyFont="1" applyBorder="1" applyAlignment="1">
      <alignment horizontal="left" vertical="center" wrapText="1"/>
    </xf>
    <xf numFmtId="3" fontId="7" fillId="0" borderId="15" xfId="0" applyNumberFormat="1" applyFont="1" applyBorder="1" applyAlignment="1">
      <alignment horizontal="center" vertical="center"/>
    </xf>
    <xf numFmtId="3" fontId="7" fillId="0" borderId="54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vertical="center" wrapText="1"/>
    </xf>
    <xf numFmtId="3" fontId="7" fillId="0" borderId="49" xfId="0" applyNumberFormat="1" applyFont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 vertical="center" wrapText="1"/>
    </xf>
    <xf numFmtId="3" fontId="10" fillId="0" borderId="17" xfId="0" applyNumberFormat="1" applyFont="1" applyBorder="1" applyAlignment="1">
      <alignment horizontal="center" vertical="center" wrapText="1"/>
    </xf>
    <xf numFmtId="3" fontId="10" fillId="0" borderId="22" xfId="0" applyNumberFormat="1" applyFont="1" applyBorder="1" applyAlignment="1">
      <alignment horizontal="center" vertical="center" wrapText="1"/>
    </xf>
    <xf numFmtId="3" fontId="5" fillId="0" borderId="63" xfId="0" applyNumberFormat="1" applyFont="1" applyBorder="1" applyAlignment="1">
      <alignment horizontal="center" vertical="center" wrapText="1"/>
    </xf>
    <xf numFmtId="3" fontId="10" fillId="0" borderId="64" xfId="0" applyNumberFormat="1" applyFont="1" applyBorder="1" applyAlignment="1">
      <alignment horizontal="center" vertical="center" wrapText="1"/>
    </xf>
    <xf numFmtId="3" fontId="10" fillId="0" borderId="65" xfId="0" applyNumberFormat="1" applyFont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center" vertical="center" wrapText="1"/>
    </xf>
    <xf numFmtId="3" fontId="10" fillId="0" borderId="62" xfId="0" applyNumberFormat="1" applyFont="1" applyBorder="1" applyAlignment="1">
      <alignment horizontal="center" vertical="center" wrapText="1"/>
    </xf>
    <xf numFmtId="3" fontId="7" fillId="0" borderId="63" xfId="0" applyNumberFormat="1" applyFont="1" applyBorder="1" applyAlignment="1">
      <alignment horizontal="center" vertical="center" wrapText="1"/>
    </xf>
    <xf numFmtId="3" fontId="10" fillId="0" borderId="18" xfId="0" applyNumberFormat="1" applyFont="1" applyBorder="1" applyAlignment="1">
      <alignment horizontal="center" vertical="center" wrapText="1"/>
    </xf>
    <xf numFmtId="3" fontId="5" fillId="0" borderId="55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vertical="center"/>
    </xf>
    <xf numFmtId="4" fontId="43" fillId="0" borderId="0" xfId="0" applyNumberFormat="1" applyFont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4" fontId="5" fillId="4" borderId="0" xfId="0" applyNumberFormat="1" applyFont="1" applyFill="1" applyAlignment="1">
      <alignment horizontal="center" vertical="center"/>
    </xf>
    <xf numFmtId="4" fontId="5" fillId="5" borderId="0" xfId="0" applyNumberFormat="1" applyFont="1" applyFill="1" applyAlignment="1">
      <alignment horizontal="center" vertical="center"/>
    </xf>
    <xf numFmtId="167" fontId="5" fillId="0" borderId="10" xfId="0" applyNumberFormat="1" applyFont="1" applyBorder="1" applyAlignment="1">
      <alignment horizontal="center" vertical="center"/>
    </xf>
    <xf numFmtId="167" fontId="43" fillId="0" borderId="0" xfId="0" applyNumberFormat="1" applyFont="1" applyAlignment="1">
      <alignment horizontal="center" vertical="center"/>
    </xf>
    <xf numFmtId="4" fontId="7" fillId="0" borderId="40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4" fontId="7" fillId="0" borderId="43" xfId="0" applyNumberFormat="1" applyFont="1" applyBorder="1" applyAlignment="1">
      <alignment horizontal="center" vertical="center"/>
    </xf>
    <xf numFmtId="0" fontId="43" fillId="0" borderId="16" xfId="0" applyFont="1" applyBorder="1" applyAlignment="1">
      <alignment vertical="center"/>
    </xf>
    <xf numFmtId="4" fontId="43" fillId="0" borderId="19" xfId="0" applyNumberFormat="1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4" fontId="43" fillId="0" borderId="10" xfId="0" applyNumberFormat="1" applyFont="1" applyBorder="1" applyAlignment="1">
      <alignment horizontal="center" vertical="center"/>
    </xf>
    <xf numFmtId="168" fontId="42" fillId="0" borderId="10" xfId="0" applyNumberFormat="1" applyFont="1" applyBorder="1" applyAlignment="1">
      <alignment horizontal="center" vertical="center"/>
    </xf>
    <xf numFmtId="2" fontId="19" fillId="0" borderId="1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44" xfId="0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4" fontId="40" fillId="0" borderId="5" xfId="0" applyNumberFormat="1" applyFont="1" applyBorder="1" applyAlignment="1">
      <alignment horizontal="center" vertical="center"/>
    </xf>
    <xf numFmtId="4" fontId="40" fillId="0" borderId="40" xfId="0" applyNumberFormat="1" applyFont="1" applyBorder="1" applyAlignment="1">
      <alignment horizontal="center" vertical="center"/>
    </xf>
    <xf numFmtId="4" fontId="40" fillId="0" borderId="6" xfId="0" applyNumberFormat="1" applyFont="1" applyBorder="1" applyAlignment="1">
      <alignment horizontal="center" vertical="center"/>
    </xf>
    <xf numFmtId="4" fontId="40" fillId="0" borderId="24" xfId="0" applyNumberFormat="1" applyFont="1" applyBorder="1" applyAlignment="1">
      <alignment horizontal="center" vertical="center"/>
    </xf>
    <xf numFmtId="0" fontId="5" fillId="0" borderId="58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4" fontId="40" fillId="0" borderId="0" xfId="7" applyNumberFormat="1" applyFont="1" applyAlignment="1">
      <alignment horizontal="center" vertical="center"/>
    </xf>
    <xf numFmtId="0" fontId="42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5" fillId="0" borderId="9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4" fontId="5" fillId="0" borderId="9" xfId="7" applyNumberFormat="1" applyFont="1" applyFill="1" applyBorder="1" applyAlignment="1">
      <alignment horizontal="center" vertical="center"/>
    </xf>
    <xf numFmtId="4" fontId="43" fillId="0" borderId="11" xfId="0" applyNumberFormat="1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/>
    </xf>
    <xf numFmtId="4" fontId="7" fillId="0" borderId="50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165" fontId="5" fillId="0" borderId="0" xfId="7" applyFont="1" applyFill="1" applyAlignment="1">
      <alignment vertical="center"/>
    </xf>
    <xf numFmtId="4" fontId="5" fillId="0" borderId="20" xfId="0" applyNumberFormat="1" applyFont="1" applyBorder="1" applyAlignment="1">
      <alignment horizontal="center" vertical="center"/>
    </xf>
    <xf numFmtId="168" fontId="42" fillId="6" borderId="10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5" fillId="0" borderId="0" xfId="0" applyFont="1"/>
    <xf numFmtId="0" fontId="7" fillId="0" borderId="0" xfId="0" applyFont="1"/>
    <xf numFmtId="3" fontId="9" fillId="0" borderId="64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3" fontId="7" fillId="0" borderId="58" xfId="0" applyNumberFormat="1" applyFont="1" applyBorder="1" applyAlignment="1">
      <alignment horizontal="center" vertical="center"/>
    </xf>
    <xf numFmtId="3" fontId="5" fillId="0" borderId="43" xfId="0" applyNumberFormat="1" applyFont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center" vertical="center" wrapText="1"/>
    </xf>
    <xf numFmtId="0" fontId="27" fillId="0" borderId="8" xfId="0" applyFont="1" applyBorder="1" applyAlignment="1">
      <alignment vertical="center"/>
    </xf>
    <xf numFmtId="0" fontId="23" fillId="0" borderId="8" xfId="0" applyFont="1" applyBorder="1" applyAlignment="1">
      <alignment horizontal="right" vertical="center"/>
    </xf>
    <xf numFmtId="0" fontId="35" fillId="0" borderId="8" xfId="0" applyFont="1" applyBorder="1" applyAlignment="1">
      <alignment vertical="center"/>
    </xf>
    <xf numFmtId="3" fontId="27" fillId="0" borderId="9" xfId="0" applyNumberFormat="1" applyFont="1" applyBorder="1" applyAlignment="1">
      <alignment horizontal="center" vertical="center"/>
    </xf>
    <xf numFmtId="3" fontId="35" fillId="0" borderId="9" xfId="0" applyNumberFormat="1" applyFont="1" applyBorder="1" applyAlignment="1">
      <alignment horizontal="center" vertical="center"/>
    </xf>
    <xf numFmtId="3" fontId="27" fillId="0" borderId="20" xfId="0" applyNumberFormat="1" applyFont="1" applyBorder="1" applyAlignment="1">
      <alignment horizontal="center" vertical="center"/>
    </xf>
    <xf numFmtId="3" fontId="23" fillId="0" borderId="20" xfId="0" applyNumberFormat="1" applyFont="1" applyBorder="1" applyAlignment="1">
      <alignment horizontal="right" vertical="center"/>
    </xf>
    <xf numFmtId="3" fontId="35" fillId="0" borderId="20" xfId="0" applyNumberFormat="1" applyFont="1" applyBorder="1" applyAlignment="1">
      <alignment horizontal="center" vertical="center"/>
    </xf>
    <xf numFmtId="3" fontId="27" fillId="0" borderId="9" xfId="0" applyNumberFormat="1" applyFont="1" applyBorder="1" applyAlignment="1">
      <alignment horizontal="right" vertical="center"/>
    </xf>
    <xf numFmtId="49" fontId="27" fillId="0" borderId="11" xfId="0" applyNumberFormat="1" applyFont="1" applyBorder="1" applyAlignment="1">
      <alignment vertical="center"/>
    </xf>
    <xf numFmtId="49" fontId="23" fillId="0" borderId="11" xfId="0" applyNumberFormat="1" applyFont="1" applyBorder="1" applyAlignment="1">
      <alignment horizontal="right" vertical="center"/>
    </xf>
    <xf numFmtId="49" fontId="35" fillId="0" borderId="11" xfId="0" applyNumberFormat="1" applyFont="1" applyBorder="1" applyAlignment="1">
      <alignment vertical="center"/>
    </xf>
    <xf numFmtId="49" fontId="27" fillId="0" borderId="15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3" fontId="27" fillId="0" borderId="16" xfId="0" applyNumberFormat="1" applyFont="1" applyBorder="1" applyAlignment="1">
      <alignment horizontal="center" vertical="center"/>
    </xf>
    <xf numFmtId="3" fontId="27" fillId="0" borderId="58" xfId="0" applyNumberFormat="1" applyFont="1" applyBorder="1" applyAlignment="1">
      <alignment horizontal="center" vertical="center"/>
    </xf>
    <xf numFmtId="3" fontId="27" fillId="0" borderId="28" xfId="0" applyNumberFormat="1" applyFont="1" applyBorder="1" applyAlignment="1">
      <alignment horizontal="center" vertical="center"/>
    </xf>
    <xf numFmtId="0" fontId="35" fillId="11" borderId="55" xfId="0" applyFont="1" applyFill="1" applyBorder="1" applyAlignment="1">
      <alignment horizontal="center" vertical="center" wrapText="1"/>
    </xf>
    <xf numFmtId="0" fontId="35" fillId="11" borderId="17" xfId="0" applyFont="1" applyFill="1" applyBorder="1" applyAlignment="1">
      <alignment horizontal="center" vertical="center" wrapText="1"/>
    </xf>
    <xf numFmtId="0" fontId="35" fillId="11" borderId="22" xfId="0" applyFont="1" applyFill="1" applyBorder="1" applyAlignment="1">
      <alignment horizontal="center" vertical="center" wrapText="1"/>
    </xf>
    <xf numFmtId="0" fontId="35" fillId="11" borderId="29" xfId="0" applyFont="1" applyFill="1" applyBorder="1" applyAlignment="1">
      <alignment horizontal="center" vertical="center" wrapText="1"/>
    </xf>
    <xf numFmtId="49" fontId="36" fillId="0" borderId="21" xfId="0" applyNumberFormat="1" applyFont="1" applyBorder="1" applyAlignment="1">
      <alignment vertical="center"/>
    </xf>
    <xf numFmtId="0" fontId="36" fillId="0" borderId="12" xfId="0" applyFont="1" applyBorder="1" applyAlignment="1">
      <alignment vertical="center" wrapText="1"/>
    </xf>
    <xf numFmtId="3" fontId="27" fillId="0" borderId="48" xfId="0" applyNumberFormat="1" applyFont="1" applyBorder="1" applyAlignment="1">
      <alignment horizontal="center" vertical="center"/>
    </xf>
    <xf numFmtId="3" fontId="36" fillId="0" borderId="25" xfId="0" applyNumberFormat="1" applyFont="1" applyBorder="1" applyAlignment="1">
      <alignment horizontal="center" vertical="center"/>
    </xf>
    <xf numFmtId="0" fontId="35" fillId="11" borderId="50" xfId="0" applyFont="1" applyFill="1" applyBorder="1" applyAlignment="1">
      <alignment vertical="center"/>
    </xf>
    <xf numFmtId="0" fontId="35" fillId="11" borderId="52" xfId="0" applyFont="1" applyFill="1" applyBorder="1" applyAlignment="1">
      <alignment vertical="center"/>
    </xf>
    <xf numFmtId="3" fontId="35" fillId="11" borderId="43" xfId="0" applyNumberFormat="1" applyFont="1" applyFill="1" applyBorder="1" applyAlignment="1">
      <alignment horizontal="center" vertical="center"/>
    </xf>
    <xf numFmtId="3" fontId="35" fillId="11" borderId="40" xfId="0" applyNumberFormat="1" applyFont="1" applyFill="1" applyBorder="1" applyAlignment="1">
      <alignment horizontal="center" vertical="center"/>
    </xf>
    <xf numFmtId="3" fontId="35" fillId="11" borderId="53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4" fontId="5" fillId="0" borderId="48" xfId="0" applyNumberFormat="1" applyFont="1" applyBorder="1" applyAlignment="1">
      <alignment horizontal="center" vertical="center"/>
    </xf>
    <xf numFmtId="0" fontId="43" fillId="0" borderId="58" xfId="0" applyFont="1" applyBorder="1" applyAlignment="1">
      <alignment vertical="center"/>
    </xf>
    <xf numFmtId="4" fontId="7" fillId="0" borderId="52" xfId="0" applyNumberFormat="1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4" fontId="7" fillId="0" borderId="53" xfId="0" applyNumberFormat="1" applyFont="1" applyBorder="1" applyAlignment="1">
      <alignment horizontal="center" vertical="center"/>
    </xf>
    <xf numFmtId="4" fontId="43" fillId="0" borderId="28" xfId="0" applyNumberFormat="1" applyFont="1" applyBorder="1" applyAlignment="1">
      <alignment vertical="center"/>
    </xf>
    <xf numFmtId="0" fontId="43" fillId="0" borderId="15" xfId="0" applyFont="1" applyBorder="1" applyAlignment="1">
      <alignment horizontal="center" vertical="center"/>
    </xf>
    <xf numFmtId="0" fontId="43" fillId="0" borderId="58" xfId="0" applyFont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/>
    </xf>
    <xf numFmtId="2" fontId="5" fillId="0" borderId="48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4" fontId="7" fillId="7" borderId="52" xfId="0" applyNumberFormat="1" applyFont="1" applyFill="1" applyBorder="1" applyAlignment="1">
      <alignment horizontal="center" vertical="center"/>
    </xf>
    <xf numFmtId="4" fontId="5" fillId="0" borderId="11" xfId="0" applyNumberFormat="1" applyFont="1" applyBorder="1" applyAlignment="1">
      <alignment horizontal="center" vertical="center"/>
    </xf>
    <xf numFmtId="4" fontId="7" fillId="7" borderId="40" xfId="0" applyNumberFormat="1" applyFont="1" applyFill="1" applyBorder="1" applyAlignment="1">
      <alignment horizontal="center" vertical="center"/>
    </xf>
    <xf numFmtId="4" fontId="7" fillId="0" borderId="0" xfId="7" applyNumberFormat="1" applyFont="1" applyAlignment="1">
      <alignment horizontal="center" vertical="center"/>
    </xf>
    <xf numFmtId="0" fontId="49" fillId="0" borderId="10" xfId="0" applyFont="1" applyBorder="1" applyAlignment="1">
      <alignment horizontal="left" vertical="center"/>
    </xf>
    <xf numFmtId="2" fontId="40" fillId="2" borderId="11" xfId="1" applyNumberFormat="1" applyFont="1" applyFill="1" applyBorder="1" applyAlignment="1">
      <alignment horizontal="left" vertical="center" wrapText="1"/>
    </xf>
    <xf numFmtId="2" fontId="40" fillId="8" borderId="11" xfId="1" applyNumberFormat="1" applyFont="1" applyFill="1" applyBorder="1" applyAlignment="1">
      <alignment horizontal="left" vertical="center" wrapText="1"/>
    </xf>
    <xf numFmtId="2" fontId="47" fillId="2" borderId="11" xfId="1" applyNumberFormat="1" applyFont="1" applyFill="1" applyBorder="1" applyAlignment="1">
      <alignment horizontal="left" vertical="center" wrapText="1"/>
    </xf>
    <xf numFmtId="2" fontId="40" fillId="2" borderId="21" xfId="1" applyNumberFormat="1" applyFont="1" applyFill="1" applyBorder="1" applyAlignment="1">
      <alignment horizontal="left" vertical="center" wrapText="1"/>
    </xf>
    <xf numFmtId="0" fontId="40" fillId="0" borderId="50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55" fillId="0" borderId="30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5" fillId="0" borderId="26" xfId="0" applyFont="1" applyBorder="1" applyAlignment="1">
      <alignment horizontal="center" vertical="center"/>
    </xf>
    <xf numFmtId="4" fontId="5" fillId="0" borderId="26" xfId="0" applyNumberFormat="1" applyFont="1" applyBorder="1" applyAlignment="1">
      <alignment horizontal="center" vertical="center"/>
    </xf>
    <xf numFmtId="4" fontId="5" fillId="0" borderId="26" xfId="0" applyNumberFormat="1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5" fillId="0" borderId="36" xfId="0" applyFont="1" applyBorder="1" applyAlignment="1">
      <alignment vertical="center"/>
    </xf>
    <xf numFmtId="0" fontId="55" fillId="0" borderId="68" xfId="0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5" fillId="0" borderId="71" xfId="0" applyFont="1" applyBorder="1" applyAlignment="1">
      <alignment horizontal="center" vertical="center"/>
    </xf>
    <xf numFmtId="4" fontId="5" fillId="0" borderId="71" xfId="0" applyNumberFormat="1" applyFont="1" applyBorder="1" applyAlignment="1">
      <alignment vertical="center"/>
    </xf>
    <xf numFmtId="4" fontId="7" fillId="0" borderId="27" xfId="1" applyNumberFormat="1" applyFont="1" applyBorder="1" applyAlignment="1">
      <alignment horizontal="center" vertical="center" wrapText="1"/>
    </xf>
    <xf numFmtId="1" fontId="7" fillId="2" borderId="20" xfId="1" applyNumberFormat="1" applyFont="1" applyFill="1" applyBorder="1" applyAlignment="1">
      <alignment horizontal="left" vertical="center" wrapText="1"/>
    </xf>
    <xf numFmtId="1" fontId="7" fillId="8" borderId="20" xfId="1" applyNumberFormat="1" applyFont="1" applyFill="1" applyBorder="1" applyAlignment="1">
      <alignment horizontal="left" vertical="center" wrapText="1"/>
    </xf>
    <xf numFmtId="1" fontId="43" fillId="2" borderId="20" xfId="1" applyNumberFormat="1" applyFont="1" applyFill="1" applyBorder="1" applyAlignment="1">
      <alignment horizontal="left" vertical="center" wrapText="1"/>
    </xf>
    <xf numFmtId="1" fontId="7" fillId="2" borderId="48" xfId="1" applyNumberFormat="1" applyFont="1" applyFill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4" fontId="42" fillId="7" borderId="38" xfId="0" applyNumberFormat="1" applyFont="1" applyFill="1" applyBorder="1" applyAlignment="1">
      <alignment vertical="center"/>
    </xf>
    <xf numFmtId="0" fontId="5" fillId="0" borderId="10" xfId="0" applyFont="1" applyBorder="1" applyAlignment="1">
      <alignment horizontal="center"/>
    </xf>
    <xf numFmtId="4" fontId="5" fillId="4" borderId="11" xfId="0" applyNumberFormat="1" applyFont="1" applyFill="1" applyBorder="1" applyAlignment="1">
      <alignment horizontal="center"/>
    </xf>
    <xf numFmtId="4" fontId="5" fillId="0" borderId="11" xfId="0" applyNumberFormat="1" applyFont="1" applyBorder="1" applyAlignment="1">
      <alignment horizontal="center"/>
    </xf>
    <xf numFmtId="0" fontId="5" fillId="0" borderId="10" xfId="0" applyFont="1" applyBorder="1"/>
    <xf numFmtId="9" fontId="27" fillId="0" borderId="0" xfId="0" applyNumberFormat="1" applyFont="1" applyAlignment="1">
      <alignment vertical="center"/>
    </xf>
    <xf numFmtId="9" fontId="5" fillId="0" borderId="10" xfId="0" applyNumberFormat="1" applyFont="1" applyBorder="1" applyAlignment="1">
      <alignment horizontal="center" vertical="center"/>
    </xf>
    <xf numFmtId="9" fontId="7" fillId="0" borderId="10" xfId="0" applyNumberFormat="1" applyFont="1" applyBorder="1" applyAlignment="1">
      <alignment horizontal="center" vertical="center"/>
    </xf>
    <xf numFmtId="9" fontId="35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4" fontId="43" fillId="0" borderId="0" xfId="0" applyNumberFormat="1" applyFont="1" applyAlignment="1">
      <alignment vertical="center"/>
    </xf>
    <xf numFmtId="2" fontId="60" fillId="0" borderId="33" xfId="0" applyNumberFormat="1" applyFont="1" applyBorder="1" applyAlignment="1">
      <alignment vertical="center"/>
    </xf>
    <xf numFmtId="4" fontId="60" fillId="0" borderId="10" xfId="0" applyNumberFormat="1" applyFont="1" applyBorder="1" applyAlignment="1">
      <alignment horizontal="center" vertical="center"/>
    </xf>
    <xf numFmtId="4" fontId="62" fillId="0" borderId="0" xfId="0" applyNumberFormat="1" applyFont="1" applyAlignment="1">
      <alignment horizontal="right" vertical="center"/>
    </xf>
    <xf numFmtId="4" fontId="7" fillId="0" borderId="7" xfId="0" applyNumberFormat="1" applyFont="1" applyBorder="1" applyAlignment="1">
      <alignment horizontal="center" vertical="center"/>
    </xf>
    <xf numFmtId="2" fontId="40" fillId="2" borderId="11" xfId="1" applyNumberFormat="1" applyFont="1" applyFill="1" applyBorder="1" applyAlignment="1">
      <alignment horizontal="left" vertical="center"/>
    </xf>
    <xf numFmtId="0" fontId="64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" fontId="42" fillId="0" borderId="0" xfId="0" applyNumberFormat="1" applyFont="1" applyAlignment="1">
      <alignment horizontal="center" vertical="center"/>
    </xf>
    <xf numFmtId="3" fontId="5" fillId="0" borderId="45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30" fillId="0" borderId="15" xfId="0" applyFont="1" applyBorder="1" applyAlignment="1">
      <alignment vertical="center" wrapText="1"/>
    </xf>
    <xf numFmtId="0" fontId="25" fillId="0" borderId="11" xfId="0" applyFont="1" applyBorder="1" applyAlignment="1">
      <alignment vertical="center"/>
    </xf>
    <xf numFmtId="16" fontId="25" fillId="0" borderId="11" xfId="0" applyNumberFormat="1" applyFont="1" applyBorder="1" applyAlignment="1">
      <alignment vertical="center"/>
    </xf>
    <xf numFmtId="166" fontId="7" fillId="0" borderId="20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3" fontId="19" fillId="0" borderId="10" xfId="0" applyNumberFormat="1" applyFont="1" applyBorder="1" applyAlignment="1">
      <alignment horizontal="center" vertical="center"/>
    </xf>
    <xf numFmtId="166" fontId="5" fillId="0" borderId="20" xfId="0" applyNumberFormat="1" applyFont="1" applyBorder="1" applyAlignment="1">
      <alignment horizontal="center" vertical="center"/>
    </xf>
    <xf numFmtId="0" fontId="32" fillId="0" borderId="11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3" fontId="40" fillId="0" borderId="10" xfId="0" applyNumberFormat="1" applyFont="1" applyBorder="1" applyAlignment="1">
      <alignment horizontal="center" vertical="center"/>
    </xf>
    <xf numFmtId="3" fontId="8" fillId="0" borderId="0" xfId="0" applyNumberFormat="1" applyFont="1"/>
    <xf numFmtId="0" fontId="8" fillId="0" borderId="0" xfId="0" applyFont="1"/>
    <xf numFmtId="0" fontId="7" fillId="0" borderId="10" xfId="0" applyFont="1" applyBorder="1"/>
    <xf numFmtId="3" fontId="7" fillId="0" borderId="10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center" vertical="center" wrapText="1"/>
    </xf>
    <xf numFmtId="165" fontId="5" fillId="0" borderId="0" xfId="0" applyNumberFormat="1" applyFont="1" applyAlignment="1">
      <alignment vertical="center"/>
    </xf>
    <xf numFmtId="0" fontId="6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4" fontId="49" fillId="0" borderId="0" xfId="0" applyNumberFormat="1" applyFont="1" applyAlignment="1">
      <alignment vertical="center"/>
    </xf>
    <xf numFmtId="165" fontId="7" fillId="0" borderId="0" xfId="7" applyFont="1" applyFill="1" applyAlignment="1">
      <alignment vertical="center"/>
    </xf>
    <xf numFmtId="0" fontId="42" fillId="0" borderId="0" xfId="0" applyFont="1" applyAlignment="1">
      <alignment horizontal="center" vertical="center"/>
    </xf>
    <xf numFmtId="4" fontId="47" fillId="0" borderId="0" xfId="7" applyNumberFormat="1" applyFont="1" applyAlignment="1">
      <alignment horizontal="center" vertical="center"/>
    </xf>
    <xf numFmtId="0" fontId="73" fillId="0" borderId="10" xfId="0" applyFont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4" fontId="5" fillId="4" borderId="0" xfId="0" applyNumberFormat="1" applyFont="1" applyFill="1" applyAlignment="1">
      <alignment vertical="center"/>
    </xf>
    <xf numFmtId="165" fontId="42" fillId="0" borderId="0" xfId="0" applyNumberFormat="1" applyFont="1" applyAlignment="1">
      <alignment vertical="center"/>
    </xf>
    <xf numFmtId="165" fontId="72" fillId="0" borderId="0" xfId="0" applyNumberFormat="1" applyFont="1" applyAlignment="1">
      <alignment vertical="center"/>
    </xf>
    <xf numFmtId="165" fontId="43" fillId="0" borderId="0" xfId="0" applyNumberFormat="1" applyFont="1" applyAlignment="1">
      <alignment vertical="center"/>
    </xf>
    <xf numFmtId="4" fontId="71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4" fontId="7" fillId="0" borderId="5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3" fontId="5" fillId="0" borderId="29" xfId="0" applyNumberFormat="1" applyFont="1" applyBorder="1" applyAlignment="1">
      <alignment horizontal="center" vertical="center" wrapText="1"/>
    </xf>
    <xf numFmtId="4" fontId="42" fillId="0" borderId="52" xfId="0" applyNumberFormat="1" applyFont="1" applyBorder="1" applyAlignment="1">
      <alignment horizontal="center" vertical="center"/>
    </xf>
    <xf numFmtId="4" fontId="42" fillId="0" borderId="53" xfId="0" applyNumberFormat="1" applyFont="1" applyBorder="1" applyAlignment="1">
      <alignment horizontal="center" vertical="center"/>
    </xf>
    <xf numFmtId="4" fontId="43" fillId="0" borderId="50" xfId="0" applyNumberFormat="1" applyFont="1" applyBorder="1" applyAlignment="1">
      <alignment horizontal="center" vertical="center"/>
    </xf>
    <xf numFmtId="2" fontId="9" fillId="0" borderId="10" xfId="1" applyNumberFormat="1" applyFont="1" applyBorder="1" applyAlignment="1">
      <alignment horizontal="left" vertical="center" wrapText="1"/>
    </xf>
    <xf numFmtId="2" fontId="13" fillId="0" borderId="10" xfId="1" applyNumberFormat="1" applyFont="1" applyBorder="1" applyAlignment="1">
      <alignment horizontal="left" vertical="center" wrapText="1"/>
    </xf>
    <xf numFmtId="0" fontId="7" fillId="0" borderId="10" xfId="0" applyFont="1" applyBorder="1" applyAlignment="1">
      <alignment horizontal="center" vertical="center" wrapText="1"/>
    </xf>
    <xf numFmtId="167" fontId="5" fillId="0" borderId="0" xfId="0" applyNumberFormat="1" applyFont="1" applyAlignment="1">
      <alignment vertical="center"/>
    </xf>
    <xf numFmtId="167" fontId="7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7" fillId="0" borderId="10" xfId="0" applyNumberFormat="1" applyFont="1" applyBorder="1" applyAlignment="1">
      <alignment vertical="center"/>
    </xf>
    <xf numFmtId="3" fontId="57" fillId="0" borderId="10" xfId="0" applyNumberFormat="1" applyFont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70" fontId="7" fillId="0" borderId="40" xfId="0" applyNumberFormat="1" applyFont="1" applyBorder="1" applyAlignment="1">
      <alignment vertical="center"/>
    </xf>
    <xf numFmtId="170" fontId="5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3" fontId="13" fillId="0" borderId="0" xfId="0" applyNumberFormat="1" applyFont="1" applyAlignment="1">
      <alignment horizontal="right" vertical="center"/>
    </xf>
    <xf numFmtId="3" fontId="5" fillId="0" borderId="33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1" fontId="9" fillId="0" borderId="16" xfId="1" applyNumberFormat="1" applyFont="1" applyBorder="1" applyAlignment="1">
      <alignment horizontal="center" vertical="center" wrapText="1"/>
    </xf>
    <xf numFmtId="1" fontId="9" fillId="4" borderId="16" xfId="1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1" fontId="78" fillId="0" borderId="16" xfId="1" applyNumberFormat="1" applyFont="1" applyBorder="1" applyAlignment="1">
      <alignment horizontal="center" vertical="center" wrapText="1"/>
    </xf>
    <xf numFmtId="0" fontId="79" fillId="0" borderId="43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4" fontId="82" fillId="0" borderId="0" xfId="0" applyNumberFormat="1" applyFont="1" applyAlignment="1">
      <alignment horizontal="center" vertical="center"/>
    </xf>
    <xf numFmtId="2" fontId="5" fillId="16" borderId="10" xfId="0" applyNumberFormat="1" applyFont="1" applyFill="1" applyBorder="1" applyAlignment="1">
      <alignment horizontal="center" vertical="center"/>
    </xf>
    <xf numFmtId="2" fontId="5" fillId="16" borderId="13" xfId="0" applyNumberFormat="1" applyFont="1" applyFill="1" applyBorder="1" applyAlignment="1">
      <alignment horizontal="center" vertical="center"/>
    </xf>
    <xf numFmtId="4" fontId="7" fillId="16" borderId="43" xfId="0" applyNumberFormat="1" applyFont="1" applyFill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4" fontId="43" fillId="0" borderId="71" xfId="0" applyNumberFormat="1" applyFont="1" applyBorder="1" applyAlignment="1">
      <alignment horizontal="center" vertical="center"/>
    </xf>
    <xf numFmtId="4" fontId="5" fillId="0" borderId="70" xfId="0" applyNumberFormat="1" applyFont="1" applyBorder="1" applyAlignment="1">
      <alignment vertical="center"/>
    </xf>
    <xf numFmtId="166" fontId="5" fillId="0" borderId="10" xfId="0" applyNumberFormat="1" applyFont="1" applyBorder="1" applyAlignment="1">
      <alignment horizontal="center" vertical="center"/>
    </xf>
    <xf numFmtId="166" fontId="7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vertical="center"/>
    </xf>
    <xf numFmtId="3" fontId="10" fillId="17" borderId="10" xfId="0" applyNumberFormat="1" applyFont="1" applyFill="1" applyBorder="1" applyAlignment="1">
      <alignment horizontal="center" vertical="center"/>
    </xf>
    <xf numFmtId="3" fontId="10" fillId="3" borderId="10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vertical="center"/>
    </xf>
    <xf numFmtId="14" fontId="5" fillId="0" borderId="0" xfId="0" applyNumberFormat="1" applyFont="1" applyAlignment="1">
      <alignment horizontal="left" vertical="center"/>
    </xf>
    <xf numFmtId="0" fontId="92" fillId="0" borderId="0" xfId="0" applyFont="1" applyAlignment="1">
      <alignment horizontal="center" vertical="center"/>
    </xf>
    <xf numFmtId="2" fontId="9" fillId="0" borderId="16" xfId="1" applyNumberFormat="1" applyFont="1" applyBorder="1" applyAlignment="1">
      <alignment horizontal="left" vertical="center" wrapText="1"/>
    </xf>
    <xf numFmtId="3" fontId="10" fillId="3" borderId="16" xfId="0" applyNumberFormat="1" applyFont="1" applyFill="1" applyBorder="1" applyAlignment="1">
      <alignment horizontal="center" vertical="center"/>
    </xf>
    <xf numFmtId="3" fontId="10" fillId="17" borderId="16" xfId="0" applyNumberFormat="1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3" fontId="10" fillId="17" borderId="17" xfId="0" applyNumberFormat="1" applyFont="1" applyFill="1" applyBorder="1" applyAlignment="1">
      <alignment horizontal="center" vertical="center"/>
    </xf>
    <xf numFmtId="3" fontId="10" fillId="17" borderId="29" xfId="0" applyNumberFormat="1" applyFont="1" applyFill="1" applyBorder="1" applyAlignment="1">
      <alignment horizontal="center" vertical="center"/>
    </xf>
    <xf numFmtId="3" fontId="10" fillId="17" borderId="28" xfId="0" applyNumberFormat="1" applyFont="1" applyFill="1" applyBorder="1" applyAlignment="1">
      <alignment horizontal="center" vertical="center"/>
    </xf>
    <xf numFmtId="3" fontId="10" fillId="17" borderId="9" xfId="0" applyNumberFormat="1" applyFont="1" applyFill="1" applyBorder="1" applyAlignment="1">
      <alignment horizontal="center" vertical="center"/>
    </xf>
    <xf numFmtId="0" fontId="10" fillId="3" borderId="55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3" fontId="10" fillId="3" borderId="15" xfId="0" applyNumberFormat="1" applyFont="1" applyFill="1" applyBorder="1" applyAlignment="1">
      <alignment horizontal="center" vertical="center"/>
    </xf>
    <xf numFmtId="9" fontId="10" fillId="3" borderId="58" xfId="0" applyNumberFormat="1" applyFont="1" applyFill="1" applyBorder="1" applyAlignment="1">
      <alignment horizontal="center" vertical="center"/>
    </xf>
    <xf numFmtId="3" fontId="10" fillId="3" borderId="11" xfId="0" applyNumberFormat="1" applyFont="1" applyFill="1" applyBorder="1" applyAlignment="1">
      <alignment horizontal="center" vertical="center"/>
    </xf>
    <xf numFmtId="9" fontId="10" fillId="3" borderId="20" xfId="0" applyNumberFormat="1" applyFont="1" applyFill="1" applyBorder="1" applyAlignment="1">
      <alignment horizontal="center" vertical="center"/>
    </xf>
    <xf numFmtId="0" fontId="10" fillId="17" borderId="18" xfId="0" applyFont="1" applyFill="1" applyBorder="1" applyAlignment="1">
      <alignment horizontal="center" vertical="center"/>
    </xf>
    <xf numFmtId="9" fontId="10" fillId="17" borderId="19" xfId="0" applyNumberFormat="1" applyFont="1" applyFill="1" applyBorder="1" applyAlignment="1">
      <alignment horizontal="center" vertical="center"/>
    </xf>
    <xf numFmtId="9" fontId="10" fillId="17" borderId="8" xfId="0" applyNumberFormat="1" applyFont="1" applyFill="1" applyBorder="1" applyAlignment="1">
      <alignment horizontal="center" vertical="center"/>
    </xf>
    <xf numFmtId="3" fontId="88" fillId="6" borderId="46" xfId="0" applyNumberFormat="1" applyFont="1" applyFill="1" applyBorder="1" applyAlignment="1">
      <alignment horizontal="center" vertical="center"/>
    </xf>
    <xf numFmtId="3" fontId="88" fillId="6" borderId="45" xfId="0" applyNumberFormat="1" applyFont="1" applyFill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1" fontId="21" fillId="0" borderId="58" xfId="1" applyNumberFormat="1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1" fontId="21" fillId="0" borderId="20" xfId="1" applyNumberFormat="1" applyFont="1" applyBorder="1" applyAlignment="1">
      <alignment horizontal="left" vertical="center" wrapText="1"/>
    </xf>
    <xf numFmtId="1" fontId="54" fillId="0" borderId="20" xfId="1" applyNumberFormat="1" applyFont="1" applyBorder="1" applyAlignment="1">
      <alignment horizontal="left" vertical="center" wrapText="1"/>
    </xf>
    <xf numFmtId="3" fontId="90" fillId="16" borderId="33" xfId="0" applyNumberFormat="1" applyFont="1" applyFill="1" applyBorder="1" applyAlignment="1">
      <alignment horizontal="center" vertical="center"/>
    </xf>
    <xf numFmtId="3" fontId="90" fillId="16" borderId="41" xfId="0" applyNumberFormat="1" applyFont="1" applyFill="1" applyBorder="1" applyAlignment="1">
      <alignment horizontal="center" vertical="center"/>
    </xf>
    <xf numFmtId="3" fontId="61" fillId="16" borderId="41" xfId="0" applyNumberFormat="1" applyFont="1" applyFill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2" fontId="9" fillId="0" borderId="13" xfId="1" applyNumberFormat="1" applyFont="1" applyBorder="1" applyAlignment="1">
      <alignment horizontal="left" vertical="center" wrapText="1"/>
    </xf>
    <xf numFmtId="1" fontId="21" fillId="0" borderId="48" xfId="1" applyNumberFormat="1" applyFont="1" applyBorder="1" applyAlignment="1">
      <alignment horizontal="left" vertical="center" wrapText="1"/>
    </xf>
    <xf numFmtId="3" fontId="10" fillId="3" borderId="21" xfId="0" applyNumberFormat="1" applyFont="1" applyFill="1" applyBorder="1" applyAlignment="1">
      <alignment horizontal="center" vertical="center"/>
    </xf>
    <xf numFmtId="3" fontId="10" fillId="3" borderId="13" xfId="0" applyNumberFormat="1" applyFont="1" applyFill="1" applyBorder="1" applyAlignment="1">
      <alignment horizontal="center" vertical="center"/>
    </xf>
    <xf numFmtId="9" fontId="10" fillId="3" borderId="48" xfId="0" applyNumberFormat="1" applyFont="1" applyFill="1" applyBorder="1" applyAlignment="1">
      <alignment horizontal="center" vertical="center"/>
    </xf>
    <xf numFmtId="3" fontId="10" fillId="17" borderId="25" xfId="0" applyNumberFormat="1" applyFont="1" applyFill="1" applyBorder="1" applyAlignment="1">
      <alignment horizontal="center" vertical="center"/>
    </xf>
    <xf numFmtId="3" fontId="10" fillId="17" borderId="13" xfId="0" applyNumberFormat="1" applyFont="1" applyFill="1" applyBorder="1" applyAlignment="1">
      <alignment horizontal="center" vertical="center"/>
    </xf>
    <xf numFmtId="9" fontId="10" fillId="17" borderId="12" xfId="0" applyNumberFormat="1" applyFont="1" applyFill="1" applyBorder="1" applyAlignment="1">
      <alignment horizontal="center" vertical="center"/>
    </xf>
    <xf numFmtId="3" fontId="88" fillId="6" borderId="57" xfId="0" applyNumberFormat="1" applyFont="1" applyFill="1" applyBorder="1" applyAlignment="1">
      <alignment horizontal="center" vertical="center"/>
    </xf>
    <xf numFmtId="3" fontId="90" fillId="16" borderId="77" xfId="0" applyNumberFormat="1" applyFont="1" applyFill="1" applyBorder="1" applyAlignment="1">
      <alignment horizontal="center" vertical="center"/>
    </xf>
    <xf numFmtId="0" fontId="21" fillId="0" borderId="40" xfId="0" applyFont="1" applyBorder="1" applyAlignment="1">
      <alignment vertical="center"/>
    </xf>
    <xf numFmtId="3" fontId="9" fillId="3" borderId="50" xfId="0" applyNumberFormat="1" applyFont="1" applyFill="1" applyBorder="1" applyAlignment="1">
      <alignment horizontal="center" vertical="center"/>
    </xf>
    <xf numFmtId="3" fontId="9" fillId="3" borderId="43" xfId="0" applyNumberFormat="1" applyFont="1" applyFill="1" applyBorder="1" applyAlignment="1">
      <alignment horizontal="center" vertical="center"/>
    </xf>
    <xf numFmtId="9" fontId="9" fillId="3" borderId="40" xfId="0" applyNumberFormat="1" applyFont="1" applyFill="1" applyBorder="1" applyAlignment="1">
      <alignment horizontal="center" vertical="center"/>
    </xf>
    <xf numFmtId="3" fontId="9" fillId="17" borderId="53" xfId="0" applyNumberFormat="1" applyFont="1" applyFill="1" applyBorder="1" applyAlignment="1">
      <alignment horizontal="center" vertical="center"/>
    </xf>
    <xf numFmtId="3" fontId="9" fillId="17" borderId="43" xfId="0" applyNumberFormat="1" applyFont="1" applyFill="1" applyBorder="1" applyAlignment="1">
      <alignment horizontal="center" vertical="center"/>
    </xf>
    <xf numFmtId="9" fontId="9" fillId="17" borderId="52" xfId="0" applyNumberFormat="1" applyFont="1" applyFill="1" applyBorder="1" applyAlignment="1">
      <alignment horizontal="center" vertical="center"/>
    </xf>
    <xf numFmtId="3" fontId="83" fillId="6" borderId="24" xfId="0" applyNumberFormat="1" applyFont="1" applyFill="1" applyBorder="1" applyAlignment="1">
      <alignment horizontal="center" vertical="center"/>
    </xf>
    <xf numFmtId="3" fontId="61" fillId="16" borderId="7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79" fillId="0" borderId="0" xfId="0" applyFont="1" applyAlignment="1">
      <alignment horizontal="left" vertical="center"/>
    </xf>
    <xf numFmtId="4" fontId="43" fillId="0" borderId="0" xfId="7" applyNumberFormat="1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5" fillId="0" borderId="0" xfId="0" applyFont="1" applyAlignment="1">
      <alignment vertical="center"/>
    </xf>
    <xf numFmtId="4" fontId="96" fillId="0" borderId="11" xfId="0" applyNumberFormat="1" applyFont="1" applyBorder="1" applyAlignment="1">
      <alignment horizontal="center" vertical="center"/>
    </xf>
    <xf numFmtId="4" fontId="97" fillId="0" borderId="11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49" fontId="74" fillId="0" borderId="0" xfId="0" applyNumberFormat="1" applyFont="1" applyAlignment="1">
      <alignment vertical="center" wrapText="1"/>
    </xf>
    <xf numFmtId="2" fontId="57" fillId="0" borderId="0" xfId="0" applyNumberFormat="1" applyFont="1" applyAlignment="1">
      <alignment horizontal="center" vertical="center"/>
    </xf>
    <xf numFmtId="4" fontId="40" fillId="10" borderId="0" xfId="7" applyNumberFormat="1" applyFont="1" applyFill="1" applyAlignment="1">
      <alignment horizontal="center" vertical="center"/>
    </xf>
    <xf numFmtId="4" fontId="40" fillId="9" borderId="0" xfId="7" applyNumberFormat="1" applyFont="1" applyFill="1" applyAlignment="1">
      <alignment horizontal="center" vertical="center"/>
    </xf>
    <xf numFmtId="166" fontId="27" fillId="0" borderId="0" xfId="0" applyNumberFormat="1" applyFont="1" applyAlignment="1">
      <alignment vertical="center"/>
    </xf>
    <xf numFmtId="2" fontId="5" fillId="9" borderId="1" xfId="0" applyNumberFormat="1" applyFont="1" applyFill="1" applyBorder="1" applyAlignment="1">
      <alignment vertical="center"/>
    </xf>
    <xf numFmtId="0" fontId="46" fillId="0" borderId="0" xfId="0" applyFont="1" applyAlignment="1">
      <alignment horizontal="center" vertical="center"/>
    </xf>
    <xf numFmtId="165" fontId="43" fillId="0" borderId="0" xfId="7" applyFont="1" applyAlignment="1">
      <alignment horizontal="center" vertical="center"/>
    </xf>
    <xf numFmtId="165" fontId="74" fillId="0" borderId="0" xfId="7" applyFont="1" applyFill="1" applyBorder="1" applyAlignment="1">
      <alignment vertical="center" wrapText="1"/>
    </xf>
    <xf numFmtId="165" fontId="43" fillId="0" borderId="0" xfId="7" applyFont="1" applyFill="1" applyAlignment="1">
      <alignment horizontal="center" vertical="center"/>
    </xf>
    <xf numFmtId="165" fontId="42" fillId="0" borderId="0" xfId="7" applyFont="1" applyAlignment="1">
      <alignment vertical="center"/>
    </xf>
    <xf numFmtId="171" fontId="94" fillId="0" borderId="0" xfId="7" applyNumberFormat="1" applyFont="1" applyFill="1" applyAlignment="1">
      <alignment horizontal="center" vertical="center"/>
    </xf>
    <xf numFmtId="2" fontId="7" fillId="0" borderId="10" xfId="0" applyNumberFormat="1" applyFont="1" applyBorder="1" applyAlignment="1">
      <alignment horizontal="center" vertical="center"/>
    </xf>
    <xf numFmtId="14" fontId="57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2" fontId="58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10" fontId="58" fillId="0" borderId="0" xfId="0" applyNumberFormat="1" applyFont="1" applyAlignment="1">
      <alignment vertical="center"/>
    </xf>
    <xf numFmtId="3" fontId="5" fillId="4" borderId="0" xfId="0" applyNumberFormat="1" applyFont="1" applyFill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7" fillId="0" borderId="0" xfId="0" applyNumberFormat="1" applyFont="1" applyAlignment="1">
      <alignment horizontal="left" vertical="center"/>
    </xf>
    <xf numFmtId="0" fontId="80" fillId="0" borderId="76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58" fillId="0" borderId="0" xfId="0" applyFont="1" applyAlignment="1">
      <alignment horizontal="center" vertical="center"/>
    </xf>
    <xf numFmtId="2" fontId="7" fillId="0" borderId="0" xfId="7" applyNumberFormat="1" applyFont="1" applyFill="1" applyAlignment="1">
      <alignment vertical="center"/>
    </xf>
    <xf numFmtId="4" fontId="43" fillId="0" borderId="53" xfId="7" applyNumberFormat="1" applyFont="1" applyFill="1" applyBorder="1" applyAlignment="1">
      <alignment horizontal="center" vertical="center"/>
    </xf>
    <xf numFmtId="2" fontId="40" fillId="8" borderId="11" xfId="1" applyNumberFormat="1" applyFont="1" applyFill="1" applyBorder="1" applyAlignment="1">
      <alignment horizontal="left" vertical="center"/>
    </xf>
    <xf numFmtId="2" fontId="47" fillId="2" borderId="11" xfId="1" applyNumberFormat="1" applyFont="1" applyFill="1" applyBorder="1" applyAlignment="1">
      <alignment horizontal="left" vertical="center"/>
    </xf>
    <xf numFmtId="2" fontId="40" fillId="2" borderId="21" xfId="1" applyNumberFormat="1" applyFont="1" applyFill="1" applyBorder="1" applyAlignment="1">
      <alignment horizontal="left" vertical="center"/>
    </xf>
    <xf numFmtId="0" fontId="48" fillId="0" borderId="45" xfId="0" applyFont="1" applyBorder="1" applyAlignment="1">
      <alignment vertical="center"/>
    </xf>
    <xf numFmtId="2" fontId="43" fillId="0" borderId="0" xfId="0" applyNumberFormat="1" applyFont="1" applyAlignment="1">
      <alignment horizontal="center" vertical="center"/>
    </xf>
    <xf numFmtId="10" fontId="57" fillId="4" borderId="0" xfId="0" applyNumberFormat="1" applyFont="1" applyFill="1" applyAlignment="1">
      <alignment vertical="center"/>
    </xf>
    <xf numFmtId="3" fontId="101" fillId="0" borderId="0" xfId="0" applyNumberFormat="1" applyFont="1" applyAlignment="1">
      <alignment horizontal="center" vertical="center"/>
    </xf>
    <xf numFmtId="1" fontId="78" fillId="0" borderId="10" xfId="1" applyNumberFormat="1" applyFont="1" applyBorder="1" applyAlignment="1">
      <alignment horizontal="center" vertical="center" wrapText="1"/>
    </xf>
    <xf numFmtId="0" fontId="80" fillId="0" borderId="10" xfId="0" applyFont="1" applyBorder="1" applyAlignment="1">
      <alignment horizontal="center" vertical="center" wrapText="1"/>
    </xf>
    <xf numFmtId="3" fontId="7" fillId="4" borderId="0" xfId="0" applyNumberFormat="1" applyFont="1" applyFill="1" applyAlignment="1">
      <alignment horizontal="center" vertical="center"/>
    </xf>
    <xf numFmtId="3" fontId="5" fillId="4" borderId="0" xfId="0" applyNumberFormat="1" applyFont="1" applyFill="1" applyAlignment="1">
      <alignment horizontal="right" vertical="center"/>
    </xf>
    <xf numFmtId="3" fontId="43" fillId="4" borderId="0" xfId="0" applyNumberFormat="1" applyFont="1" applyFill="1" applyAlignment="1">
      <alignment horizontal="left" vertical="center"/>
    </xf>
    <xf numFmtId="169" fontId="5" fillId="4" borderId="0" xfId="0" applyNumberFormat="1" applyFont="1" applyFill="1" applyAlignment="1">
      <alignment horizontal="center" vertical="center"/>
    </xf>
    <xf numFmtId="0" fontId="59" fillId="0" borderId="0" xfId="0" applyFont="1" applyAlignment="1">
      <alignment vertical="center" wrapText="1"/>
    </xf>
    <xf numFmtId="172" fontId="42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4" fontId="42" fillId="0" borderId="50" xfId="0" applyNumberFormat="1" applyFont="1" applyBorder="1" applyAlignment="1">
      <alignment vertical="center"/>
    </xf>
    <xf numFmtId="4" fontId="42" fillId="0" borderId="43" xfId="0" applyNumberFormat="1" applyFont="1" applyBorder="1" applyAlignment="1">
      <alignment vertical="center"/>
    </xf>
    <xf numFmtId="4" fontId="42" fillId="0" borderId="50" xfId="0" applyNumberFormat="1" applyFont="1" applyBorder="1" applyAlignment="1">
      <alignment horizontal="center" vertical="center"/>
    </xf>
    <xf numFmtId="4" fontId="42" fillId="0" borderId="43" xfId="0" applyNumberFormat="1" applyFont="1" applyBorder="1" applyAlignment="1">
      <alignment horizontal="center" vertical="center"/>
    </xf>
    <xf numFmtId="4" fontId="42" fillId="0" borderId="40" xfId="0" applyNumberFormat="1" applyFont="1" applyBorder="1" applyAlignment="1">
      <alignment horizontal="center" vertical="center"/>
    </xf>
    <xf numFmtId="4" fontId="42" fillId="0" borderId="40" xfId="0" applyNumberFormat="1" applyFont="1" applyBorder="1" applyAlignment="1">
      <alignment vertical="center"/>
    </xf>
    <xf numFmtId="4" fontId="42" fillId="0" borderId="52" xfId="0" applyNumberFormat="1" applyFont="1" applyBorder="1" applyAlignment="1">
      <alignment vertical="center"/>
    </xf>
    <xf numFmtId="4" fontId="42" fillId="0" borderId="0" xfId="0" applyNumberFormat="1" applyFont="1" applyAlignment="1">
      <alignment vertical="center"/>
    </xf>
    <xf numFmtId="4" fontId="43" fillId="0" borderId="5" xfId="7" applyNumberFormat="1" applyFont="1" applyBorder="1" applyAlignment="1">
      <alignment horizontal="center" vertical="center"/>
    </xf>
    <xf numFmtId="4" fontId="42" fillId="0" borderId="6" xfId="0" applyNumberFormat="1" applyFont="1" applyBorder="1" applyAlignment="1">
      <alignment vertical="center"/>
    </xf>
    <xf numFmtId="4" fontId="43" fillId="0" borderId="24" xfId="0" applyNumberFormat="1" applyFont="1" applyBorder="1" applyAlignment="1">
      <alignment vertical="center"/>
    </xf>
    <xf numFmtId="4" fontId="60" fillId="0" borderId="6" xfId="0" applyNumberFormat="1" applyFont="1" applyBorder="1" applyAlignment="1">
      <alignment vertical="center"/>
    </xf>
    <xf numFmtId="4" fontId="42" fillId="0" borderId="53" xfId="0" applyNumberFormat="1" applyFont="1" applyBorder="1" applyAlignment="1">
      <alignment vertical="center"/>
    </xf>
    <xf numFmtId="4" fontId="42" fillId="8" borderId="24" xfId="0" applyNumberFormat="1" applyFont="1" applyFill="1" applyBorder="1" applyAlignment="1">
      <alignment vertical="center"/>
    </xf>
    <xf numFmtId="4" fontId="42" fillId="0" borderId="7" xfId="0" applyNumberFormat="1" applyFont="1" applyBorder="1" applyAlignment="1">
      <alignment vertical="center"/>
    </xf>
    <xf numFmtId="4" fontId="42" fillId="0" borderId="24" xfId="0" applyNumberFormat="1" applyFont="1" applyBorder="1" applyAlignment="1">
      <alignment vertical="center"/>
    </xf>
    <xf numFmtId="4" fontId="58" fillId="0" borderId="40" xfId="0" applyNumberFormat="1" applyFont="1" applyBorder="1" applyAlignment="1">
      <alignment vertical="center"/>
    </xf>
    <xf numFmtId="3" fontId="0" fillId="0" borderId="10" xfId="0" applyNumberFormat="1" applyBorder="1" applyAlignment="1">
      <alignment horizontal="center" vertical="center" wrapText="1"/>
    </xf>
    <xf numFmtId="3" fontId="7" fillId="0" borderId="10" xfId="0" applyNumberFormat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6" fillId="0" borderId="0" xfId="0" applyFont="1" applyAlignment="1">
      <alignment horizontal="left" vertical="center"/>
    </xf>
    <xf numFmtId="0" fontId="102" fillId="0" borderId="10" xfId="1" applyFont="1" applyBorder="1" applyAlignment="1">
      <alignment horizontal="center" vertical="center" wrapText="1"/>
    </xf>
    <xf numFmtId="0" fontId="103" fillId="0" borderId="10" xfId="1" applyFont="1" applyBorder="1" applyAlignment="1">
      <alignment horizontal="left" vertical="center" wrapText="1"/>
    </xf>
    <xf numFmtId="4" fontId="104" fillId="0" borderId="10" xfId="1" applyNumberFormat="1" applyFont="1" applyBorder="1" applyAlignment="1">
      <alignment horizontal="center" vertical="center" wrapText="1"/>
    </xf>
    <xf numFmtId="0" fontId="105" fillId="0" borderId="10" xfId="1" applyFont="1" applyBorder="1" applyAlignment="1">
      <alignment horizontal="center" vertical="center" wrapText="1"/>
    </xf>
    <xf numFmtId="0" fontId="27" fillId="0" borderId="10" xfId="1" applyFont="1" applyBorder="1" applyAlignment="1">
      <alignment horizontal="left" vertical="center" wrapText="1"/>
    </xf>
    <xf numFmtId="4" fontId="27" fillId="0" borderId="79" xfId="1" applyNumberFormat="1" applyFont="1" applyBorder="1" applyAlignment="1">
      <alignment horizontal="center" vertical="center" wrapText="1"/>
    </xf>
    <xf numFmtId="0" fontId="27" fillId="0" borderId="79" xfId="1" applyFont="1" applyBorder="1" applyAlignment="1">
      <alignment horizontal="right" vertical="center" wrapText="1"/>
    </xf>
    <xf numFmtId="4" fontId="27" fillId="0" borderId="10" xfId="1" applyNumberFormat="1" applyFont="1" applyBorder="1" applyAlignment="1">
      <alignment horizontal="center" vertical="center" wrapText="1"/>
    </xf>
    <xf numFmtId="4" fontId="0" fillId="0" borderId="10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0" fontId="27" fillId="0" borderId="79" xfId="1" applyFont="1" applyBorder="1" applyAlignment="1">
      <alignment horizontal="center" vertical="center" wrapText="1"/>
    </xf>
    <xf numFmtId="0" fontId="106" fillId="0" borderId="10" xfId="1" applyFont="1" applyBorder="1" applyAlignment="1">
      <alignment horizontal="center" vertical="center" wrapText="1"/>
    </xf>
    <xf numFmtId="0" fontId="107" fillId="0" borderId="10" xfId="1" applyFont="1" applyBorder="1" applyAlignment="1">
      <alignment horizontal="center" vertical="center" wrapText="1"/>
    </xf>
    <xf numFmtId="4" fontId="107" fillId="0" borderId="10" xfId="1" applyNumberFormat="1" applyFont="1" applyBorder="1" applyAlignment="1">
      <alignment horizontal="center" vertical="center" wrapText="1"/>
    </xf>
    <xf numFmtId="4" fontId="7" fillId="0" borderId="10" xfId="0" applyNumberFormat="1" applyFont="1" applyBorder="1" applyAlignment="1">
      <alignment vertical="center"/>
    </xf>
    <xf numFmtId="4" fontId="55" fillId="0" borderId="0" xfId="0" applyNumberFormat="1" applyFont="1" applyAlignment="1">
      <alignment horizontal="center" vertical="center"/>
    </xf>
    <xf numFmtId="4" fontId="55" fillId="0" borderId="0" xfId="0" applyNumberFormat="1" applyFont="1" applyAlignment="1">
      <alignment vertical="center"/>
    </xf>
    <xf numFmtId="4" fontId="5" fillId="0" borderId="15" xfId="0" applyNumberFormat="1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40" fillId="0" borderId="1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/>
    </xf>
    <xf numFmtId="0" fontId="35" fillId="0" borderId="79" xfId="1" applyFont="1" applyBorder="1" applyAlignment="1">
      <alignment horizontal="center" vertical="center" wrapText="1"/>
    </xf>
    <xf numFmtId="0" fontId="108" fillId="0" borderId="10" xfId="0" applyFont="1" applyBorder="1" applyAlignment="1">
      <alignment vertical="center"/>
    </xf>
    <xf numFmtId="0" fontId="27" fillId="0" borderId="10" xfId="1" applyFont="1" applyBorder="1" applyAlignment="1">
      <alignment horizontal="center" vertical="center" wrapText="1"/>
    </xf>
    <xf numFmtId="168" fontId="0" fillId="0" borderId="10" xfId="0" applyNumberFormat="1" applyBorder="1" applyAlignment="1">
      <alignment horizontal="center" vertical="center"/>
    </xf>
    <xf numFmtId="0" fontId="35" fillId="0" borderId="10" xfId="1" applyFont="1" applyBorder="1" applyAlignment="1">
      <alignment horizontal="center" vertical="center" wrapText="1"/>
    </xf>
    <xf numFmtId="0" fontId="7" fillId="16" borderId="10" xfId="0" applyFont="1" applyFill="1" applyBorder="1" applyAlignment="1">
      <alignment horizontal="center" vertical="center"/>
    </xf>
    <xf numFmtId="0" fontId="109" fillId="16" borderId="10" xfId="0" applyFont="1" applyFill="1" applyBorder="1" applyAlignment="1">
      <alignment vertical="center"/>
    </xf>
    <xf numFmtId="0" fontId="0" fillId="16" borderId="10" xfId="0" applyFill="1" applyBorder="1" applyAlignment="1">
      <alignment vertical="center"/>
    </xf>
    <xf numFmtId="168" fontId="7" fillId="16" borderId="1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4" fontId="108" fillId="0" borderId="0" xfId="0" applyNumberFormat="1" applyFont="1" applyAlignment="1">
      <alignment horizontal="left" vertical="center"/>
    </xf>
    <xf numFmtId="0" fontId="110" fillId="0" borderId="0" xfId="0" applyFont="1" applyAlignment="1">
      <alignment vertical="center"/>
    </xf>
    <xf numFmtId="0" fontId="110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7" fillId="0" borderId="10" xfId="0" applyFont="1" applyBorder="1" applyAlignment="1">
      <alignment horizontal="center" vertical="center" wrapText="1"/>
    </xf>
    <xf numFmtId="4" fontId="111" fillId="0" borderId="0" xfId="0" applyNumberFormat="1" applyFont="1" applyAlignment="1">
      <alignment horizontal="center"/>
    </xf>
    <xf numFmtId="4" fontId="7" fillId="0" borderId="39" xfId="1" applyNumberFormat="1" applyFont="1" applyBorder="1" applyAlignment="1">
      <alignment horizontal="center" vertical="center" wrapText="1"/>
    </xf>
    <xf numFmtId="4" fontId="5" fillId="0" borderId="10" xfId="0" applyNumberFormat="1" applyFont="1" applyBorder="1" applyAlignment="1">
      <alignment vertical="center"/>
    </xf>
    <xf numFmtId="4" fontId="7" fillId="0" borderId="50" xfId="0" applyNumberFormat="1" applyFont="1" applyBorder="1" applyAlignment="1">
      <alignment vertical="center"/>
    </xf>
    <xf numFmtId="4" fontId="7" fillId="0" borderId="43" xfId="0" applyNumberFormat="1" applyFont="1" applyBorder="1" applyAlignment="1">
      <alignment vertical="center"/>
    </xf>
    <xf numFmtId="3" fontId="7" fillId="14" borderId="10" xfId="0" applyNumberFormat="1" applyFont="1" applyFill="1" applyBorder="1" applyAlignment="1">
      <alignment horizontal="center" vertical="center"/>
    </xf>
    <xf numFmtId="49" fontId="35" fillId="0" borderId="10" xfId="1" applyNumberFormat="1" applyFont="1" applyBorder="1" applyAlignment="1">
      <alignment horizontal="center" vertical="center" wrapText="1"/>
    </xf>
    <xf numFmtId="2" fontId="27" fillId="0" borderId="10" xfId="1" applyNumberFormat="1" applyFont="1" applyBorder="1" applyAlignment="1">
      <alignment horizontal="center" vertical="center"/>
    </xf>
    <xf numFmtId="170" fontId="35" fillId="0" borderId="10" xfId="1" applyNumberFormat="1" applyFont="1" applyBorder="1" applyAlignment="1">
      <alignment horizontal="center" vertical="center" wrapText="1"/>
    </xf>
    <xf numFmtId="173" fontId="35" fillId="0" borderId="10" xfId="0" applyNumberFormat="1" applyFont="1" applyBorder="1" applyAlignment="1">
      <alignment horizontal="center" vertical="center"/>
    </xf>
    <xf numFmtId="164" fontId="2" fillId="0" borderId="10" xfId="7" applyNumberFormat="1" applyFont="1" applyFill="1" applyBorder="1" applyAlignment="1">
      <alignment horizontal="center" vertical="center"/>
    </xf>
    <xf numFmtId="164" fontId="35" fillId="0" borderId="10" xfId="0" applyNumberFormat="1" applyFont="1" applyBorder="1" applyAlignment="1">
      <alignment horizontal="center" vertical="center"/>
    </xf>
    <xf numFmtId="2" fontId="113" fillId="0" borderId="10" xfId="1" applyNumberFormat="1" applyFont="1" applyBorder="1" applyAlignment="1">
      <alignment horizontal="center" vertical="center"/>
    </xf>
    <xf numFmtId="2" fontId="27" fillId="0" borderId="10" xfId="0" applyNumberFormat="1" applyFont="1" applyBorder="1" applyAlignment="1">
      <alignment horizontal="center" vertical="center"/>
    </xf>
    <xf numFmtId="0" fontId="114" fillId="0" borderId="10" xfId="1" applyFont="1" applyBorder="1" applyAlignment="1">
      <alignment horizontal="left" vertical="center" wrapText="1"/>
    </xf>
    <xf numFmtId="167" fontId="27" fillId="0" borderId="0" xfId="0" applyNumberFormat="1" applyFont="1" applyAlignment="1">
      <alignment vertical="center"/>
    </xf>
    <xf numFmtId="0" fontId="35" fillId="0" borderId="10" xfId="0" applyFont="1" applyBorder="1" applyAlignment="1">
      <alignment horizontal="center" vertical="center" wrapText="1"/>
    </xf>
    <xf numFmtId="4" fontId="35" fillId="0" borderId="13" xfId="1" applyNumberFormat="1" applyFont="1" applyBorder="1" applyAlignment="1">
      <alignment horizontal="center" vertical="center" wrapText="1"/>
    </xf>
    <xf numFmtId="4" fontId="35" fillId="0" borderId="13" xfId="0" applyNumberFormat="1" applyFont="1" applyBorder="1" applyAlignment="1">
      <alignment horizontal="center" vertical="center" wrapText="1"/>
    </xf>
    <xf numFmtId="4" fontId="115" fillId="0" borderId="13" xfId="0" applyNumberFormat="1" applyFont="1" applyBorder="1" applyAlignment="1">
      <alignment horizontal="center" vertical="center"/>
    </xf>
    <xf numFmtId="167" fontId="27" fillId="0" borderId="10" xfId="0" applyNumberFormat="1" applyFont="1" applyBorder="1" applyAlignment="1">
      <alignment horizontal="center" vertical="center"/>
    </xf>
    <xf numFmtId="2" fontId="35" fillId="0" borderId="10" xfId="0" applyNumberFormat="1" applyFont="1" applyBorder="1" applyAlignment="1">
      <alignment horizontal="center" vertical="center"/>
    </xf>
    <xf numFmtId="2" fontId="23" fillId="0" borderId="10" xfId="1" applyNumberFormat="1" applyFont="1" applyBorder="1" applyAlignment="1">
      <alignment horizontal="center" vertical="center"/>
    </xf>
    <xf numFmtId="4" fontId="35" fillId="0" borderId="10" xfId="0" applyNumberFormat="1" applyFont="1" applyBorder="1" applyAlignment="1">
      <alignment horizontal="center" vertical="center"/>
    </xf>
    <xf numFmtId="4" fontId="68" fillId="0" borderId="10" xfId="0" applyNumberFormat="1" applyFont="1" applyBorder="1" applyAlignment="1">
      <alignment horizontal="center" vertical="center"/>
    </xf>
    <xf numFmtId="4" fontId="27" fillId="0" borderId="10" xfId="0" applyNumberFormat="1" applyFont="1" applyBorder="1" applyAlignment="1">
      <alignment vertical="center"/>
    </xf>
    <xf numFmtId="4" fontId="115" fillId="0" borderId="10" xfId="0" applyNumberFormat="1" applyFont="1" applyBorder="1" applyAlignment="1">
      <alignment vertical="center"/>
    </xf>
    <xf numFmtId="2" fontId="27" fillId="0" borderId="0" xfId="0" applyNumberFormat="1" applyFont="1" applyAlignment="1">
      <alignment vertical="center"/>
    </xf>
    <xf numFmtId="4" fontId="35" fillId="0" borderId="10" xfId="1" applyNumberFormat="1" applyFont="1" applyBorder="1" applyAlignment="1">
      <alignment horizontal="center" vertical="center" wrapText="1"/>
    </xf>
    <xf numFmtId="0" fontId="47" fillId="0" borderId="10" xfId="1" applyFont="1" applyBorder="1" applyAlignment="1">
      <alignment horizontal="center" vertical="center" wrapText="1"/>
    </xf>
    <xf numFmtId="0" fontId="35" fillId="0" borderId="10" xfId="1" applyFont="1" applyBorder="1" applyAlignment="1">
      <alignment horizontal="left" vertical="center" wrapText="1"/>
    </xf>
    <xf numFmtId="4" fontId="35" fillId="0" borderId="0" xfId="0" applyNumberFormat="1" applyFont="1" applyAlignment="1">
      <alignment vertical="center"/>
    </xf>
    <xf numFmtId="4" fontId="28" fillId="0" borderId="0" xfId="0" applyNumberFormat="1" applyFont="1" applyAlignment="1">
      <alignment horizontal="center" vertical="center"/>
    </xf>
    <xf numFmtId="3" fontId="35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167" fontId="47" fillId="0" borderId="0" xfId="0" applyNumberFormat="1" applyFont="1" applyAlignment="1">
      <alignment vertical="center"/>
    </xf>
    <xf numFmtId="167" fontId="116" fillId="0" borderId="0" xfId="0" applyNumberFormat="1" applyFont="1" applyAlignment="1">
      <alignment horizontal="center" vertical="center"/>
    </xf>
    <xf numFmtId="4" fontId="27" fillId="0" borderId="0" xfId="0" applyNumberFormat="1" applyFont="1" applyAlignment="1">
      <alignment vertical="center"/>
    </xf>
    <xf numFmtId="4" fontId="115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174" fontId="35" fillId="0" borderId="0" xfId="0" applyNumberFormat="1" applyFont="1" applyAlignment="1">
      <alignment vertical="center"/>
    </xf>
    <xf numFmtId="4" fontId="47" fillId="0" borderId="0" xfId="0" applyNumberFormat="1" applyFont="1" applyAlignment="1">
      <alignment vertical="center"/>
    </xf>
    <xf numFmtId="167" fontId="117" fillId="0" borderId="0" xfId="0" applyNumberFormat="1" applyFont="1" applyAlignment="1">
      <alignment horizontal="center" vertical="center"/>
    </xf>
    <xf numFmtId="4" fontId="118" fillId="0" borderId="0" xfId="0" applyNumberFormat="1" applyFont="1" applyAlignment="1">
      <alignment vertical="center"/>
    </xf>
    <xf numFmtId="175" fontId="47" fillId="0" borderId="0" xfId="0" applyNumberFormat="1" applyFont="1" applyAlignment="1">
      <alignment vertical="center"/>
    </xf>
    <xf numFmtId="4" fontId="69" fillId="0" borderId="0" xfId="0" applyNumberFormat="1" applyFont="1" applyAlignment="1">
      <alignment horizontal="center" vertical="center"/>
    </xf>
    <xf numFmtId="0" fontId="27" fillId="0" borderId="0" xfId="1" applyFont="1" applyAlignment="1">
      <alignment horizontal="center" vertical="center" wrapText="1"/>
    </xf>
    <xf numFmtId="2" fontId="47" fillId="0" borderId="10" xfId="0" applyNumberFormat="1" applyFont="1" applyBorder="1" applyAlignment="1">
      <alignment horizontal="center" vertical="center"/>
    </xf>
    <xf numFmtId="2" fontId="119" fillId="0" borderId="10" xfId="1" applyNumberFormat="1" applyFont="1" applyBorder="1" applyAlignment="1">
      <alignment horizontal="center" vertical="center"/>
    </xf>
    <xf numFmtId="4" fontId="47" fillId="0" borderId="10" xfId="0" applyNumberFormat="1" applyFont="1" applyBorder="1" applyAlignment="1">
      <alignment horizontal="center" vertical="center"/>
    </xf>
    <xf numFmtId="4" fontId="69" fillId="0" borderId="10" xfId="0" applyNumberFormat="1" applyFont="1" applyBorder="1" applyAlignment="1">
      <alignment horizontal="center" vertical="center"/>
    </xf>
    <xf numFmtId="4" fontId="118" fillId="0" borderId="10" xfId="0" applyNumberFormat="1" applyFont="1" applyBorder="1" applyAlignment="1">
      <alignment vertical="center"/>
    </xf>
    <xf numFmtId="1" fontId="78" fillId="0" borderId="42" xfId="1" applyNumberFormat="1" applyFont="1" applyBorder="1" applyAlignment="1">
      <alignment horizontal="center" vertical="center" wrapText="1"/>
    </xf>
    <xf numFmtId="0" fontId="0" fillId="0" borderId="10" xfId="0" applyBorder="1"/>
    <xf numFmtId="4" fontId="0" fillId="0" borderId="10" xfId="0" applyNumberFormat="1" applyBorder="1"/>
    <xf numFmtId="3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horizontal="left" vertical="center"/>
    </xf>
    <xf numFmtId="2" fontId="69" fillId="0" borderId="0" xfId="0" applyNumberFormat="1" applyFont="1" applyAlignment="1">
      <alignment vertical="center"/>
    </xf>
    <xf numFmtId="0" fontId="59" fillId="0" borderId="0" xfId="0" applyFont="1" applyAlignment="1">
      <alignment vertical="center"/>
    </xf>
    <xf numFmtId="169" fontId="0" fillId="0" borderId="10" xfId="0" applyNumberFormat="1" applyBorder="1" applyAlignment="1">
      <alignment vertical="center"/>
    </xf>
    <xf numFmtId="2" fontId="5" fillId="0" borderId="45" xfId="0" applyNumberFormat="1" applyFont="1" applyBorder="1" applyAlignment="1">
      <alignment horizontal="center" vertical="center"/>
    </xf>
    <xf numFmtId="4" fontId="40" fillId="0" borderId="69" xfId="0" applyNumberFormat="1" applyFont="1" applyBorder="1" applyAlignment="1">
      <alignment horizontal="center" vertical="center"/>
    </xf>
    <xf numFmtId="4" fontId="27" fillId="4" borderId="10" xfId="1" applyNumberFormat="1" applyFont="1" applyFill="1" applyBorder="1" applyAlignment="1">
      <alignment horizontal="center" vertical="center" wrapText="1"/>
    </xf>
    <xf numFmtId="4" fontId="0" fillId="4" borderId="10" xfId="0" applyNumberFormat="1" applyFill="1" applyBorder="1" applyAlignment="1">
      <alignment vertical="center"/>
    </xf>
    <xf numFmtId="4" fontId="0" fillId="4" borderId="10" xfId="0" applyNumberFormat="1" applyFill="1" applyBorder="1" applyAlignment="1">
      <alignment horizontal="center" vertical="center"/>
    </xf>
    <xf numFmtId="4" fontId="7" fillId="4" borderId="10" xfId="0" applyNumberFormat="1" applyFont="1" applyFill="1" applyBorder="1" applyAlignment="1">
      <alignment horizontal="center" vertical="center"/>
    </xf>
    <xf numFmtId="4" fontId="104" fillId="4" borderId="10" xfId="1" applyNumberFormat="1" applyFont="1" applyFill="1" applyBorder="1" applyAlignment="1">
      <alignment horizontal="center" vertical="center" wrapText="1"/>
    </xf>
    <xf numFmtId="4" fontId="104" fillId="15" borderId="10" xfId="1" applyNumberFormat="1" applyFont="1" applyFill="1" applyBorder="1" applyAlignment="1">
      <alignment horizontal="center" vertical="center" wrapText="1"/>
    </xf>
    <xf numFmtId="4" fontId="0" fillId="15" borderId="10" xfId="0" applyNumberFormat="1" applyFill="1" applyBorder="1" applyAlignment="1">
      <alignment horizontal="center" vertical="center"/>
    </xf>
    <xf numFmtId="4" fontId="7" fillId="15" borderId="10" xfId="0" applyNumberFormat="1" applyFont="1" applyFill="1" applyBorder="1" applyAlignment="1">
      <alignment horizontal="center" vertical="center"/>
    </xf>
    <xf numFmtId="4" fontId="121" fillId="0" borderId="10" xfId="0" applyNumberFormat="1" applyFont="1" applyBorder="1" applyAlignment="1">
      <alignment vertical="center"/>
    </xf>
    <xf numFmtId="4" fontId="47" fillId="0" borderId="10" xfId="1" applyNumberFormat="1" applyFont="1" applyBorder="1" applyAlignment="1">
      <alignment horizontal="center" vertical="center" wrapText="1"/>
    </xf>
    <xf numFmtId="4" fontId="43" fillId="0" borderId="10" xfId="0" applyNumberFormat="1" applyFont="1" applyBorder="1" applyAlignment="1">
      <alignment vertical="center"/>
    </xf>
    <xf numFmtId="4" fontId="5" fillId="0" borderId="0" xfId="0" applyNumberFormat="1" applyFont="1" applyAlignment="1">
      <alignment vertical="center" wrapText="1"/>
    </xf>
    <xf numFmtId="4" fontId="5" fillId="0" borderId="27" xfId="0" applyNumberFormat="1" applyFont="1" applyBorder="1" applyAlignment="1">
      <alignment vertical="center" wrapText="1"/>
    </xf>
    <xf numFmtId="4" fontId="5" fillId="15" borderId="10" xfId="0" applyNumberFormat="1" applyFont="1" applyFill="1" applyBorder="1" applyAlignment="1">
      <alignment vertical="center"/>
    </xf>
    <xf numFmtId="4" fontId="7" fillId="15" borderId="10" xfId="0" applyNumberFormat="1" applyFont="1" applyFill="1" applyBorder="1" applyAlignment="1">
      <alignment vertical="center"/>
    </xf>
    <xf numFmtId="4" fontId="5" fillId="19" borderId="10" xfId="0" applyNumberFormat="1" applyFont="1" applyFill="1" applyBorder="1" applyAlignment="1">
      <alignment vertical="center"/>
    </xf>
    <xf numFmtId="3" fontId="111" fillId="0" borderId="10" xfId="0" applyNumberFormat="1" applyFont="1" applyBorder="1" applyAlignment="1">
      <alignment horizontal="center"/>
    </xf>
    <xf numFmtId="0" fontId="111" fillId="0" borderId="0" xfId="0" applyFont="1"/>
    <xf numFmtId="0" fontId="122" fillId="0" borderId="0" xfId="0" applyFont="1"/>
    <xf numFmtId="4" fontId="7" fillId="20" borderId="10" xfId="0" applyNumberFormat="1" applyFont="1" applyFill="1" applyBorder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7" fillId="0" borderId="0" xfId="7" applyNumberFormat="1" applyFont="1" applyFill="1" applyBorder="1" applyAlignment="1">
      <alignment horizontal="center" vertical="center"/>
    </xf>
    <xf numFmtId="1" fontId="123" fillId="0" borderId="0" xfId="0" applyNumberFormat="1" applyFont="1"/>
    <xf numFmtId="3" fontId="0" fillId="0" borderId="10" xfId="0" applyNumberForma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0" fillId="0" borderId="0" xfId="0" applyNumberFormat="1"/>
    <xf numFmtId="3" fontId="0" fillId="0" borderId="20" xfId="0" applyNumberFormat="1" applyBorder="1" applyAlignment="1">
      <alignment horizontal="center"/>
    </xf>
    <xf numFmtId="3" fontId="4" fillId="0" borderId="20" xfId="0" applyNumberFormat="1" applyFont="1" applyBorder="1" applyAlignment="1">
      <alignment horizontal="center"/>
    </xf>
    <xf numFmtId="0" fontId="0" fillId="0" borderId="20" xfId="0" applyBorder="1"/>
    <xf numFmtId="0" fontId="0" fillId="0" borderId="16" xfId="0" applyBorder="1" applyAlignment="1">
      <alignment horizontal="center"/>
    </xf>
    <xf numFmtId="0" fontId="0" fillId="0" borderId="58" xfId="0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11" fillId="0" borderId="32" xfId="0" applyFont="1" applyBorder="1"/>
    <xf numFmtId="0" fontId="0" fillId="0" borderId="47" xfId="0" applyBorder="1"/>
    <xf numFmtId="0" fontId="111" fillId="0" borderId="47" xfId="0" applyFont="1" applyBorder="1"/>
    <xf numFmtId="0" fontId="122" fillId="0" borderId="47" xfId="0" applyFont="1" applyBorder="1"/>
    <xf numFmtId="0" fontId="3" fillId="0" borderId="47" xfId="0" applyFont="1" applyBorder="1"/>
    <xf numFmtId="0" fontId="4" fillId="0" borderId="29" xfId="0" applyFont="1" applyBorder="1" applyAlignment="1">
      <alignment horizontal="center"/>
    </xf>
    <xf numFmtId="0" fontId="0" fillId="0" borderId="28" xfId="0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9" xfId="0" applyBorder="1"/>
    <xf numFmtId="0" fontId="4" fillId="0" borderId="5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0" fontId="4" fillId="0" borderId="38" xfId="0" applyFont="1" applyBorder="1"/>
    <xf numFmtId="0" fontId="0" fillId="0" borderId="11" xfId="0" applyBorder="1"/>
    <xf numFmtId="0" fontId="4" fillId="0" borderId="18" xfId="0" applyFont="1" applyBorder="1" applyAlignment="1">
      <alignment horizontal="center"/>
    </xf>
    <xf numFmtId="0" fontId="0" fillId="0" borderId="19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0" fontId="0" fillId="0" borderId="8" xfId="0" applyBorder="1"/>
    <xf numFmtId="3" fontId="124" fillId="0" borderId="9" xfId="0" applyNumberFormat="1" applyFont="1" applyBorder="1" applyAlignment="1">
      <alignment horizontal="center"/>
    </xf>
    <xf numFmtId="0" fontId="3" fillId="0" borderId="80" xfId="0" applyFont="1" applyBorder="1"/>
    <xf numFmtId="0" fontId="0" fillId="0" borderId="21" xfId="0" applyBorder="1"/>
    <xf numFmtId="0" fontId="0" fillId="0" borderId="13" xfId="0" applyBorder="1"/>
    <xf numFmtId="0" fontId="0" fillId="0" borderId="48" xfId="0" applyBorder="1"/>
    <xf numFmtId="3" fontId="0" fillId="0" borderId="21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48" xfId="0" applyNumberFormat="1" applyBorder="1" applyAlignment="1">
      <alignment horizontal="center"/>
    </xf>
    <xf numFmtId="0" fontId="111" fillId="0" borderId="0" xfId="0" applyFont="1" applyAlignment="1">
      <alignment horizontal="center"/>
    </xf>
    <xf numFmtId="9" fontId="111" fillId="0" borderId="24" xfId="0" applyNumberFormat="1" applyFont="1" applyBorder="1" applyAlignment="1">
      <alignment horizontal="center"/>
    </xf>
    <xf numFmtId="3" fontId="4" fillId="16" borderId="43" xfId="0" applyNumberFormat="1" applyFont="1" applyFill="1" applyBorder="1" applyAlignment="1">
      <alignment horizontal="center"/>
    </xf>
    <xf numFmtId="3" fontId="111" fillId="16" borderId="40" xfId="0" applyNumberFormat="1" applyFont="1" applyFill="1" applyBorder="1" applyAlignment="1">
      <alignment horizontal="center"/>
    </xf>
    <xf numFmtId="0" fontId="111" fillId="16" borderId="5" xfId="0" applyFont="1" applyFill="1" applyBorder="1"/>
    <xf numFmtId="3" fontId="0" fillId="0" borderId="25" xfId="0" applyNumberFormat="1" applyBorder="1" applyAlignment="1">
      <alignment horizontal="center"/>
    </xf>
    <xf numFmtId="3" fontId="4" fillId="16" borderId="53" xfId="0" applyNumberFormat="1" applyFont="1" applyFill="1" applyBorder="1" applyAlignment="1">
      <alignment horizontal="center"/>
    </xf>
    <xf numFmtId="3" fontId="4" fillId="16" borderId="50" xfId="0" applyNumberFormat="1" applyFont="1" applyFill="1" applyBorder="1" applyAlignment="1">
      <alignment horizontal="center"/>
    </xf>
    <xf numFmtId="0" fontId="127" fillId="0" borderId="0" xfId="0" applyFont="1"/>
    <xf numFmtId="3" fontId="0" fillId="0" borderId="47" xfId="0" applyNumberFormat="1" applyBorder="1" applyAlignment="1">
      <alignment horizontal="center"/>
    </xf>
    <xf numFmtId="3" fontId="4" fillId="0" borderId="47" xfId="0" applyNumberFormat="1" applyFont="1" applyBorder="1" applyAlignment="1">
      <alignment horizontal="center"/>
    </xf>
    <xf numFmtId="3" fontId="111" fillId="0" borderId="47" xfId="0" applyNumberFormat="1" applyFont="1" applyBorder="1" applyAlignment="1">
      <alignment horizontal="center"/>
    </xf>
    <xf numFmtId="3" fontId="111" fillId="0" borderId="20" xfId="0" applyNumberFormat="1" applyFont="1" applyBorder="1" applyAlignment="1">
      <alignment horizontal="center"/>
    </xf>
    <xf numFmtId="3" fontId="111" fillId="0" borderId="8" xfId="0" applyNumberFormat="1" applyFont="1" applyBorder="1" applyAlignment="1">
      <alignment horizontal="center"/>
    </xf>
    <xf numFmtId="3" fontId="123" fillId="0" borderId="0" xfId="0" applyNumberFormat="1" applyFont="1"/>
    <xf numFmtId="0" fontId="5" fillId="0" borderId="10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3" fontId="5" fillId="0" borderId="10" xfId="0" applyNumberFormat="1" applyFont="1" applyBorder="1" applyAlignment="1">
      <alignment vertical="center"/>
    </xf>
    <xf numFmtId="3" fontId="7" fillId="0" borderId="10" xfId="0" applyNumberFormat="1" applyFont="1" applyBorder="1" applyAlignment="1">
      <alignment vertical="center"/>
    </xf>
    <xf numFmtId="0" fontId="12" fillId="0" borderId="0" xfId="0" applyFont="1" applyAlignment="1">
      <alignment horizontal="right" vertical="center"/>
    </xf>
    <xf numFmtId="0" fontId="7" fillId="0" borderId="10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3" fontId="0" fillId="0" borderId="12" xfId="0" applyNumberFormat="1" applyBorder="1" applyAlignment="1">
      <alignment horizontal="center"/>
    </xf>
    <xf numFmtId="3" fontId="123" fillId="0" borderId="0" xfId="0" applyNumberFormat="1" applyFont="1" applyAlignment="1">
      <alignment horizontal="center"/>
    </xf>
    <xf numFmtId="3" fontId="111" fillId="0" borderId="11" xfId="0" applyNumberFormat="1" applyFont="1" applyBorder="1" applyAlignment="1">
      <alignment horizontal="center"/>
    </xf>
    <xf numFmtId="3" fontId="111" fillId="0" borderId="9" xfId="0" applyNumberFormat="1" applyFont="1" applyBorder="1" applyAlignment="1">
      <alignment horizontal="center"/>
    </xf>
    <xf numFmtId="3" fontId="128" fillId="0" borderId="10" xfId="0" applyNumberFormat="1" applyFont="1" applyBorder="1" applyAlignment="1">
      <alignment horizontal="center"/>
    </xf>
    <xf numFmtId="3" fontId="111" fillId="16" borderId="5" xfId="0" applyNumberFormat="1" applyFont="1" applyFill="1" applyBorder="1" applyAlignment="1">
      <alignment horizontal="center"/>
    </xf>
    <xf numFmtId="3" fontId="111" fillId="16" borderId="43" xfId="0" applyNumberFormat="1" applyFont="1" applyFill="1" applyBorder="1" applyAlignment="1">
      <alignment horizontal="center"/>
    </xf>
    <xf numFmtId="3" fontId="111" fillId="16" borderId="50" xfId="0" applyNumberFormat="1" applyFont="1" applyFill="1" applyBorder="1" applyAlignment="1">
      <alignment horizontal="center"/>
    </xf>
    <xf numFmtId="0" fontId="128" fillId="0" borderId="47" xfId="0" applyFont="1" applyBorder="1"/>
    <xf numFmtId="3" fontId="128" fillId="0" borderId="9" xfId="0" applyNumberFormat="1" applyFont="1" applyBorder="1" applyAlignment="1">
      <alignment horizontal="center"/>
    </xf>
    <xf numFmtId="3" fontId="128" fillId="0" borderId="20" xfId="0" applyNumberFormat="1" applyFont="1" applyBorder="1" applyAlignment="1">
      <alignment horizontal="center"/>
    </xf>
    <xf numFmtId="3" fontId="128" fillId="0" borderId="11" xfId="0" applyNumberFormat="1" applyFont="1" applyBorder="1" applyAlignment="1">
      <alignment horizontal="center"/>
    </xf>
    <xf numFmtId="3" fontId="5" fillId="0" borderId="11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0" fontId="72" fillId="18" borderId="0" xfId="0" applyFont="1" applyFill="1" applyAlignment="1">
      <alignment horizontal="left" vertical="center"/>
    </xf>
    <xf numFmtId="4" fontId="5" fillId="18" borderId="0" xfId="0" applyNumberFormat="1" applyFont="1" applyFill="1" applyAlignment="1">
      <alignment horizontal="left" vertical="center"/>
    </xf>
    <xf numFmtId="0" fontId="43" fillId="18" borderId="0" xfId="0" applyFont="1" applyFill="1" applyAlignment="1">
      <alignment horizontal="left" vertical="center"/>
    </xf>
    <xf numFmtId="2" fontId="72" fillId="18" borderId="20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vertical="center" wrapText="1"/>
    </xf>
    <xf numFmtId="4" fontId="43" fillId="20" borderId="0" xfId="7" applyNumberFormat="1" applyFont="1" applyFill="1" applyAlignment="1">
      <alignment horizontal="center" vertical="center"/>
    </xf>
    <xf numFmtId="167" fontId="43" fillId="0" borderId="0" xfId="7" applyNumberFormat="1" applyFont="1" applyFill="1" applyBorder="1" applyAlignment="1">
      <alignment horizontal="center" vertical="center"/>
    </xf>
    <xf numFmtId="165" fontId="129" fillId="0" borderId="47" xfId="7" applyFont="1" applyBorder="1" applyAlignment="1">
      <alignment horizontal="center" vertical="center"/>
    </xf>
    <xf numFmtId="4" fontId="57" fillId="0" borderId="0" xfId="7" applyNumberFormat="1" applyFon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4" fontId="42" fillId="0" borderId="10" xfId="0" applyNumberFormat="1" applyFont="1" applyBorder="1" applyAlignment="1">
      <alignment horizontal="center" vertical="center"/>
    </xf>
    <xf numFmtId="4" fontId="47" fillId="0" borderId="52" xfId="0" applyNumberFormat="1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4" borderId="56" xfId="0" applyFont="1" applyFill="1" applyBorder="1" applyAlignment="1">
      <alignment horizontal="center" vertical="center" wrapText="1"/>
    </xf>
    <xf numFmtId="2" fontId="9" fillId="4" borderId="25" xfId="1" applyNumberFormat="1" applyFont="1" applyFill="1" applyBorder="1" applyAlignment="1">
      <alignment horizontal="left" vertical="center" wrapText="1"/>
    </xf>
    <xf numFmtId="0" fontId="79" fillId="0" borderId="64" xfId="0" applyFont="1" applyBorder="1" applyAlignment="1">
      <alignment horizontal="center" vertical="center"/>
    </xf>
    <xf numFmtId="4" fontId="111" fillId="0" borderId="10" xfId="0" applyNumberFormat="1" applyFont="1" applyBorder="1" applyAlignment="1">
      <alignment horizontal="center"/>
    </xf>
    <xf numFmtId="4" fontId="111" fillId="0" borderId="16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111" fillId="0" borderId="10" xfId="0" applyFont="1" applyBorder="1" applyAlignment="1">
      <alignment horizontal="center"/>
    </xf>
    <xf numFmtId="3" fontId="81" fillId="0" borderId="0" xfId="0" applyNumberFormat="1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/>
    </xf>
    <xf numFmtId="165" fontId="72" fillId="0" borderId="0" xfId="7" applyFont="1" applyFill="1" applyBorder="1" applyAlignment="1">
      <alignment vertical="center"/>
    </xf>
    <xf numFmtId="4" fontId="48" fillId="0" borderId="0" xfId="7" applyNumberFormat="1" applyFont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8" borderId="10" xfId="0" applyNumberFormat="1" applyFill="1" applyBorder="1" applyAlignment="1">
      <alignment horizontal="center"/>
    </xf>
    <xf numFmtId="3" fontId="4" fillId="8" borderId="10" xfId="0" applyNumberFormat="1" applyFont="1" applyFill="1" applyBorder="1" applyAlignment="1">
      <alignment horizontal="center"/>
    </xf>
    <xf numFmtId="3" fontId="111" fillId="8" borderId="9" xfId="0" applyNumberFormat="1" applyFont="1" applyFill="1" applyBorder="1" applyAlignment="1">
      <alignment horizontal="center"/>
    </xf>
    <xf numFmtId="3" fontId="0" fillId="8" borderId="9" xfId="0" applyNumberFormat="1" applyFill="1" applyBorder="1" applyAlignment="1">
      <alignment horizontal="center"/>
    </xf>
    <xf numFmtId="9" fontId="111" fillId="0" borderId="0" xfId="0" applyNumberFormat="1" applyFont="1" applyAlignment="1">
      <alignment horizontal="center"/>
    </xf>
    <xf numFmtId="0" fontId="111" fillId="0" borderId="10" xfId="0" applyFont="1" applyBorder="1"/>
    <xf numFmtId="3" fontId="131" fillId="0" borderId="0" xfId="0" applyNumberFormat="1" applyFont="1"/>
    <xf numFmtId="3" fontId="131" fillId="0" borderId="11" xfId="0" applyNumberFormat="1" applyFont="1" applyBorder="1" applyAlignment="1">
      <alignment horizontal="center"/>
    </xf>
    <xf numFmtId="4" fontId="7" fillId="21" borderId="11" xfId="0" applyNumberFormat="1" applyFont="1" applyFill="1" applyBorder="1" applyAlignment="1">
      <alignment horizontal="center" vertical="center" wrapText="1"/>
    </xf>
    <xf numFmtId="4" fontId="7" fillId="21" borderId="10" xfId="0" applyNumberFormat="1" applyFont="1" applyFill="1" applyBorder="1" applyAlignment="1">
      <alignment horizontal="center" vertical="center" wrapText="1"/>
    </xf>
    <xf numFmtId="4" fontId="0" fillId="21" borderId="10" xfId="0" applyNumberFormat="1" applyFill="1" applyBorder="1" applyAlignment="1">
      <alignment horizontal="center"/>
    </xf>
    <xf numFmtId="4" fontId="7" fillId="21" borderId="50" xfId="0" applyNumberFormat="1" applyFont="1" applyFill="1" applyBorder="1" applyAlignment="1">
      <alignment horizontal="center" vertical="center"/>
    </xf>
    <xf numFmtId="4" fontId="7" fillId="21" borderId="43" xfId="0" applyNumberFormat="1" applyFont="1" applyFill="1" applyBorder="1" applyAlignment="1">
      <alignment horizontal="center" vertical="center"/>
    </xf>
    <xf numFmtId="4" fontId="7" fillId="21" borderId="4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0" fillId="0" borderId="42" xfId="0" applyBorder="1" applyAlignment="1">
      <alignment horizontal="left"/>
    </xf>
    <xf numFmtId="0" fontId="0" fillId="4" borderId="0" xfId="0" applyFill="1"/>
    <xf numFmtId="4" fontId="0" fillId="0" borderId="0" xfId="0" applyNumberFormat="1"/>
    <xf numFmtId="168" fontId="5" fillId="0" borderId="0" xfId="0" applyNumberFormat="1" applyFont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vertical="center"/>
    </xf>
    <xf numFmtId="2" fontId="5" fillId="0" borderId="28" xfId="0" applyNumberFormat="1" applyFont="1" applyBorder="1" applyAlignment="1">
      <alignment vertical="center"/>
    </xf>
    <xf numFmtId="2" fontId="5" fillId="0" borderId="19" xfId="0" applyNumberFormat="1" applyFont="1" applyBorder="1" applyAlignment="1">
      <alignment vertical="center"/>
    </xf>
    <xf numFmtId="2" fontId="5" fillId="8" borderId="46" xfId="0" applyNumberFormat="1" applyFont="1" applyFill="1" applyBorder="1" applyAlignment="1">
      <alignment vertical="center"/>
    </xf>
    <xf numFmtId="2" fontId="5" fillId="0" borderId="44" xfId="0" applyNumberFormat="1" applyFont="1" applyBorder="1" applyAlignment="1">
      <alignment vertical="center"/>
    </xf>
    <xf numFmtId="0" fontId="82" fillId="0" borderId="0" xfId="0" applyFont="1" applyAlignment="1">
      <alignment vertical="center"/>
    </xf>
    <xf numFmtId="9" fontId="5" fillId="0" borderId="0" xfId="0" applyNumberFormat="1" applyFont="1" applyAlignment="1">
      <alignment horizontal="center" vertical="center"/>
    </xf>
    <xf numFmtId="168" fontId="42" fillId="4" borderId="0" xfId="0" applyNumberFormat="1" applyFont="1" applyFill="1" applyAlignment="1">
      <alignment horizontal="center" vertical="center"/>
    </xf>
    <xf numFmtId="2" fontId="5" fillId="4" borderId="10" xfId="0" applyNumberFormat="1" applyFont="1" applyFill="1" applyBorder="1" applyAlignment="1">
      <alignment horizontal="center" vertical="center"/>
    </xf>
    <xf numFmtId="0" fontId="55" fillId="0" borderId="0" xfId="0" applyFont="1"/>
    <xf numFmtId="4" fontId="111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0" fillId="18" borderId="0" xfId="0" applyFill="1"/>
    <xf numFmtId="2" fontId="5" fillId="10" borderId="1" xfId="0" applyNumberFormat="1" applyFont="1" applyFill="1" applyBorder="1" applyAlignment="1">
      <alignment vertical="center"/>
    </xf>
    <xf numFmtId="2" fontId="5" fillId="4" borderId="1" xfId="0" applyNumberFormat="1" applyFont="1" applyFill="1" applyBorder="1" applyAlignment="1">
      <alignment vertical="center"/>
    </xf>
    <xf numFmtId="2" fontId="7" fillId="0" borderId="0" xfId="0" applyNumberFormat="1" applyFont="1" applyAlignment="1">
      <alignment vertical="center"/>
    </xf>
    <xf numFmtId="49" fontId="132" fillId="0" borderId="0" xfId="0" applyNumberFormat="1" applyFont="1" applyAlignment="1">
      <alignment vertical="center"/>
    </xf>
    <xf numFmtId="172" fontId="5" fillId="0" borderId="0" xfId="0" applyNumberFormat="1" applyFont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" fontId="33" fillId="0" borderId="0" xfId="0" applyNumberFormat="1" applyFont="1" applyAlignment="1">
      <alignment vertical="center"/>
    </xf>
    <xf numFmtId="0" fontId="43" fillId="0" borderId="10" xfId="0" applyFont="1" applyBorder="1" applyAlignment="1">
      <alignment horizontal="center" vertical="center" wrapText="1"/>
    </xf>
    <xf numFmtId="4" fontId="0" fillId="0" borderId="10" xfId="0" applyNumberFormat="1" applyBorder="1" applyAlignment="1">
      <alignment horizontal="center"/>
    </xf>
    <xf numFmtId="4" fontId="5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3" fontId="7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79" fillId="0" borderId="10" xfId="0" applyNumberFormat="1" applyFont="1" applyBorder="1" applyAlignment="1">
      <alignment horizontal="center" vertical="center"/>
    </xf>
    <xf numFmtId="3" fontId="136" fillId="0" borderId="0" xfId="0" applyNumberFormat="1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6" fillId="0" borderId="10" xfId="0" applyFont="1" applyBorder="1" applyAlignment="1">
      <alignment horizontal="center" vertical="center" wrapText="1"/>
    </xf>
    <xf numFmtId="3" fontId="60" fillId="0" borderId="10" xfId="0" applyNumberFormat="1" applyFont="1" applyBorder="1" applyAlignment="1">
      <alignment horizontal="center" vertical="center" wrapText="1"/>
    </xf>
    <xf numFmtId="3" fontId="136" fillId="0" borderId="10" xfId="0" applyNumberFormat="1" applyFont="1" applyBorder="1" applyAlignment="1">
      <alignment horizontal="center" vertical="center"/>
    </xf>
    <xf numFmtId="3" fontId="60" fillId="0" borderId="10" xfId="0" applyNumberFormat="1" applyFont="1" applyBorder="1" applyAlignment="1">
      <alignment horizontal="center" vertical="center"/>
    </xf>
    <xf numFmtId="3" fontId="136" fillId="0" borderId="16" xfId="0" applyNumberFormat="1" applyFont="1" applyBorder="1" applyAlignment="1">
      <alignment horizontal="center" vertical="center"/>
    </xf>
    <xf numFmtId="3" fontId="7" fillId="14" borderId="45" xfId="0" applyNumberFormat="1" applyFont="1" applyFill="1" applyBorder="1" applyAlignment="1">
      <alignment horizontal="center" vertical="center"/>
    </xf>
    <xf numFmtId="3" fontId="7" fillId="14" borderId="57" xfId="0" applyNumberFormat="1" applyFont="1" applyFill="1" applyBorder="1" applyAlignment="1">
      <alignment horizontal="center" vertical="center"/>
    </xf>
    <xf numFmtId="3" fontId="28" fillId="14" borderId="24" xfId="0" applyNumberFormat="1" applyFont="1" applyFill="1" applyBorder="1" applyAlignment="1">
      <alignment horizontal="center" vertical="center"/>
    </xf>
    <xf numFmtId="3" fontId="7" fillId="14" borderId="46" xfId="0" applyNumberFormat="1" applyFont="1" applyFill="1" applyBorder="1" applyAlignment="1">
      <alignment horizontal="center" vertical="center"/>
    </xf>
    <xf numFmtId="0" fontId="43" fillId="4" borderId="10" xfId="0" applyFont="1" applyFill="1" applyBorder="1" applyAlignment="1">
      <alignment horizontal="center" vertical="center" wrapText="1"/>
    </xf>
    <xf numFmtId="4" fontId="33" fillId="0" borderId="10" xfId="0" applyNumberFormat="1" applyFont="1" applyBorder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4" fontId="95" fillId="0" borderId="0" xfId="0" applyNumberFormat="1" applyFont="1" applyAlignment="1">
      <alignment vertical="center"/>
    </xf>
    <xf numFmtId="3" fontId="58" fillId="0" borderId="10" xfId="0" applyNumberFormat="1" applyFont="1" applyBorder="1" applyAlignment="1">
      <alignment horizontal="center" vertical="center"/>
    </xf>
    <xf numFmtId="165" fontId="42" fillId="0" borderId="0" xfId="7" applyFont="1" applyFill="1" applyAlignment="1">
      <alignment horizontal="center" vertical="center"/>
    </xf>
    <xf numFmtId="3" fontId="35" fillId="0" borderId="26" xfId="0" applyNumberFormat="1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117" fillId="0" borderId="30" xfId="0" applyFont="1" applyBorder="1" applyAlignment="1">
      <alignment vertical="center"/>
    </xf>
    <xf numFmtId="0" fontId="132" fillId="0" borderId="26" xfId="0" applyFont="1" applyBorder="1" applyAlignment="1">
      <alignment vertical="center"/>
    </xf>
    <xf numFmtId="0" fontId="132" fillId="0" borderId="31" xfId="0" applyFont="1" applyBorder="1" applyAlignment="1">
      <alignment vertical="center"/>
    </xf>
    <xf numFmtId="0" fontId="117" fillId="0" borderId="68" xfId="0" applyFont="1" applyBorder="1" applyAlignment="1">
      <alignment vertical="center"/>
    </xf>
    <xf numFmtId="0" fontId="132" fillId="0" borderId="71" xfId="0" applyFont="1" applyBorder="1" applyAlignment="1">
      <alignment vertical="center"/>
    </xf>
    <xf numFmtId="0" fontId="132" fillId="0" borderId="70" xfId="0" applyFont="1" applyBorder="1" applyAlignment="1">
      <alignment vertical="center"/>
    </xf>
    <xf numFmtId="0" fontId="42" fillId="0" borderId="10" xfId="0" applyFont="1" applyBorder="1" applyAlignment="1">
      <alignment horizontal="center" vertical="center"/>
    </xf>
    <xf numFmtId="4" fontId="5" fillId="6" borderId="0" xfId="0" applyNumberFormat="1" applyFont="1" applyFill="1" applyAlignment="1">
      <alignment vertical="center"/>
    </xf>
    <xf numFmtId="0" fontId="82" fillId="0" borderId="0" xfId="0" applyFont="1" applyAlignment="1">
      <alignment horizontal="center" vertical="center"/>
    </xf>
    <xf numFmtId="3" fontId="43" fillId="0" borderId="9" xfId="0" applyNumberFormat="1" applyFont="1" applyBorder="1" applyAlignment="1">
      <alignment horizontal="center" vertical="center" wrapText="1"/>
    </xf>
    <xf numFmtId="3" fontId="137" fillId="0" borderId="9" xfId="0" applyNumberFormat="1" applyFont="1" applyBorder="1" applyAlignment="1">
      <alignment horizontal="center" vertical="center" wrapText="1"/>
    </xf>
    <xf numFmtId="4" fontId="43" fillId="0" borderId="28" xfId="0" applyNumberFormat="1" applyFont="1" applyBorder="1" applyAlignment="1">
      <alignment horizontal="center" vertical="center"/>
    </xf>
    <xf numFmtId="4" fontId="43" fillId="0" borderId="6" xfId="0" applyNumberFormat="1" applyFont="1" applyBorder="1" applyAlignment="1">
      <alignment horizontal="center" vertical="center"/>
    </xf>
    <xf numFmtId="3" fontId="60" fillId="0" borderId="0" xfId="0" applyNumberFormat="1" applyFont="1" applyAlignment="1">
      <alignment horizontal="center" vertical="center"/>
    </xf>
    <xf numFmtId="3" fontId="136" fillId="22" borderId="33" xfId="0" applyNumberFormat="1" applyFont="1" applyFill="1" applyBorder="1" applyAlignment="1">
      <alignment horizontal="center" vertical="center"/>
    </xf>
    <xf numFmtId="3" fontId="60" fillId="22" borderId="6" xfId="0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vertical="center"/>
    </xf>
    <xf numFmtId="165" fontId="43" fillId="0" borderId="0" xfId="7" applyFont="1" applyFill="1" applyBorder="1" applyAlignment="1">
      <alignment vertical="center"/>
    </xf>
    <xf numFmtId="4" fontId="48" fillId="0" borderId="0" xfId="0" applyNumberFormat="1" applyFont="1" applyAlignment="1">
      <alignment vertical="center"/>
    </xf>
    <xf numFmtId="4" fontId="7" fillId="23" borderId="7" xfId="0" applyNumberFormat="1" applyFont="1" applyFill="1" applyBorder="1" applyAlignment="1">
      <alignment horizontal="center" vertical="center"/>
    </xf>
    <xf numFmtId="2" fontId="48" fillId="0" borderId="0" xfId="0" applyNumberFormat="1" applyFont="1" applyAlignment="1">
      <alignment vertical="center"/>
    </xf>
    <xf numFmtId="49" fontId="147" fillId="0" borderId="0" xfId="0" applyNumberFormat="1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27" xfId="0" applyFont="1" applyBorder="1" applyAlignment="1">
      <alignment vertical="center" wrapText="1"/>
    </xf>
    <xf numFmtId="3" fontId="43" fillId="0" borderId="0" xfId="0" applyNumberFormat="1" applyFont="1" applyAlignment="1">
      <alignment vertical="center"/>
    </xf>
    <xf numFmtId="3" fontId="58" fillId="0" borderId="0" xfId="0" applyNumberFormat="1" applyFont="1" applyAlignment="1">
      <alignment horizontal="center" vertical="center"/>
    </xf>
    <xf numFmtId="3" fontId="57" fillId="0" borderId="6" xfId="0" applyNumberFormat="1" applyFont="1" applyBorder="1" applyAlignment="1">
      <alignment horizontal="center" vertical="center"/>
    </xf>
    <xf numFmtId="4" fontId="5" fillId="0" borderId="16" xfId="0" applyNumberFormat="1" applyFont="1" applyBorder="1" applyAlignment="1">
      <alignment horizontal="center" vertical="center"/>
    </xf>
    <xf numFmtId="2" fontId="93" fillId="15" borderId="33" xfId="0" applyNumberFormat="1" applyFont="1" applyFill="1" applyBorder="1" applyAlignment="1">
      <alignment vertical="center"/>
    </xf>
    <xf numFmtId="0" fontId="135" fillId="24" borderId="0" xfId="0" applyFont="1" applyFill="1" applyAlignment="1">
      <alignment horizontal="center" vertical="center"/>
    </xf>
    <xf numFmtId="2" fontId="7" fillId="0" borderId="9" xfId="7" applyNumberFormat="1" applyFont="1" applyFill="1" applyBorder="1" applyAlignment="1">
      <alignment horizontal="center" vertical="center"/>
    </xf>
    <xf numFmtId="4" fontId="40" fillId="2" borderId="24" xfId="0" applyNumberFormat="1" applyFont="1" applyFill="1" applyBorder="1" applyAlignment="1">
      <alignment horizontal="center" vertical="center"/>
    </xf>
    <xf numFmtId="49" fontId="146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166" fontId="27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3" fontId="57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3" fontId="150" fillId="0" borderId="0" xfId="0" applyNumberFormat="1" applyFont="1" applyAlignment="1">
      <alignment horizontal="center" vertical="center"/>
    </xf>
    <xf numFmtId="3" fontId="136" fillId="0" borderId="45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4" fontId="33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0" fontId="33" fillId="0" borderId="10" xfId="0" applyFont="1" applyBorder="1" applyAlignment="1">
      <alignment horizontal="left" vertical="center"/>
    </xf>
    <xf numFmtId="4" fontId="24" fillId="0" borderId="10" xfId="0" applyNumberFormat="1" applyFont="1" applyBorder="1" applyAlignment="1">
      <alignment vertical="center"/>
    </xf>
    <xf numFmtId="3" fontId="5" fillId="0" borderId="34" xfId="0" applyNumberFormat="1" applyFont="1" applyBorder="1" applyAlignment="1">
      <alignment horizontal="center" vertical="center"/>
    </xf>
    <xf numFmtId="0" fontId="7" fillId="0" borderId="7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55" xfId="0" applyFont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31" fillId="0" borderId="19" xfId="0" applyFont="1" applyBorder="1" applyAlignment="1">
      <alignment horizontal="right" vertical="center" wrapText="1"/>
    </xf>
    <xf numFmtId="0" fontId="28" fillId="0" borderId="8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25" fillId="0" borderId="8" xfId="0" applyFont="1" applyBorder="1" applyAlignment="1">
      <alignment vertical="center" wrapText="1"/>
    </xf>
    <xf numFmtId="3" fontId="7" fillId="0" borderId="47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vertical="center"/>
    </xf>
    <xf numFmtId="3" fontId="5" fillId="0" borderId="47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3" fontId="42" fillId="0" borderId="47" xfId="0" applyNumberFormat="1" applyFont="1" applyBorder="1" applyAlignment="1">
      <alignment horizontal="center" vertical="center"/>
    </xf>
    <xf numFmtId="16" fontId="23" fillId="0" borderId="8" xfId="0" applyNumberFormat="1" applyFont="1" applyBorder="1" applyAlignment="1">
      <alignment vertical="center"/>
    </xf>
    <xf numFmtId="0" fontId="25" fillId="0" borderId="8" xfId="0" applyFont="1" applyBorder="1" applyAlignment="1">
      <alignment vertical="center"/>
    </xf>
    <xf numFmtId="0" fontId="32" fillId="0" borderId="8" xfId="0" applyFont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0" fontId="138" fillId="0" borderId="0" xfId="0" applyFont="1" applyAlignment="1">
      <alignment vertical="center"/>
    </xf>
    <xf numFmtId="3" fontId="138" fillId="0" borderId="10" xfId="0" applyNumberFormat="1" applyFont="1" applyBorder="1" applyAlignment="1">
      <alignment horizontal="center" vertical="center"/>
    </xf>
    <xf numFmtId="0" fontId="83" fillId="0" borderId="21" xfId="0" applyFont="1" applyBorder="1" applyAlignment="1">
      <alignment vertical="center"/>
    </xf>
    <xf numFmtId="0" fontId="141" fillId="0" borderId="12" xfId="0" applyFont="1" applyBorder="1" applyAlignment="1">
      <alignment vertical="center" wrapText="1"/>
    </xf>
    <xf numFmtId="3" fontId="69" fillId="0" borderId="21" xfId="0" applyNumberFormat="1" applyFont="1" applyBorder="1" applyAlignment="1">
      <alignment horizontal="center" vertical="center"/>
    </xf>
    <xf numFmtId="3" fontId="69" fillId="0" borderId="13" xfId="0" applyNumberFormat="1" applyFont="1" applyBorder="1" applyAlignment="1">
      <alignment horizontal="center" vertical="center"/>
    </xf>
    <xf numFmtId="166" fontId="69" fillId="0" borderId="48" xfId="0" applyNumberFormat="1" applyFont="1" applyBorder="1" applyAlignment="1">
      <alignment horizontal="center" vertical="center"/>
    </xf>
    <xf numFmtId="3" fontId="69" fillId="0" borderId="25" xfId="0" applyNumberFormat="1" applyFont="1" applyBorder="1" applyAlignment="1">
      <alignment horizontal="center" vertical="center"/>
    </xf>
    <xf numFmtId="3" fontId="69" fillId="0" borderId="12" xfId="0" applyNumberFormat="1" applyFont="1" applyBorder="1" applyAlignment="1">
      <alignment horizontal="center" vertical="center"/>
    </xf>
    <xf numFmtId="3" fontId="69" fillId="0" borderId="48" xfId="0" applyNumberFormat="1" applyFont="1" applyBorder="1" applyAlignment="1">
      <alignment horizontal="center" vertical="center"/>
    </xf>
    <xf numFmtId="0" fontId="142" fillId="0" borderId="0" xfId="0" applyFont="1" applyAlignment="1">
      <alignment vertical="center"/>
    </xf>
    <xf numFmtId="3" fontId="142" fillId="0" borderId="10" xfId="0" applyNumberFormat="1" applyFont="1" applyBorder="1" applyAlignment="1">
      <alignment horizontal="center" vertical="center"/>
    </xf>
    <xf numFmtId="0" fontId="146" fillId="0" borderId="50" xfId="0" applyFont="1" applyBorder="1" applyAlignment="1">
      <alignment vertical="center"/>
    </xf>
    <xf numFmtId="0" fontId="146" fillId="0" borderId="52" xfId="0" applyFont="1" applyBorder="1" applyAlignment="1">
      <alignment vertical="center"/>
    </xf>
    <xf numFmtId="3" fontId="146" fillId="0" borderId="5" xfId="0" applyNumberFormat="1" applyFont="1" applyBorder="1" applyAlignment="1">
      <alignment horizontal="center" vertical="center"/>
    </xf>
    <xf numFmtId="3" fontId="146" fillId="0" borderId="43" xfId="0" applyNumberFormat="1" applyFont="1" applyBorder="1" applyAlignment="1">
      <alignment horizontal="center" vertical="center"/>
    </xf>
    <xf numFmtId="166" fontId="146" fillId="0" borderId="40" xfId="0" applyNumberFormat="1" applyFont="1" applyBorder="1" applyAlignment="1">
      <alignment horizontal="center" vertical="center"/>
    </xf>
    <xf numFmtId="3" fontId="146" fillId="0" borderId="40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169" fontId="12" fillId="0" borderId="11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69" fontId="12" fillId="0" borderId="9" xfId="0" applyNumberFormat="1" applyFont="1" applyBorder="1" applyAlignment="1">
      <alignment horizontal="center" vertical="center"/>
    </xf>
    <xf numFmtId="169" fontId="12" fillId="0" borderId="8" xfId="0" applyNumberFormat="1" applyFont="1" applyBorder="1" applyAlignment="1">
      <alignment horizontal="center" vertical="center"/>
    </xf>
    <xf numFmtId="169" fontId="12" fillId="0" borderId="20" xfId="0" applyNumberFormat="1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169" fontId="69" fillId="0" borderId="11" xfId="0" applyNumberFormat="1" applyFont="1" applyBorder="1" applyAlignment="1">
      <alignment horizontal="center" vertical="center"/>
    </xf>
    <xf numFmtId="169" fontId="69" fillId="0" borderId="10" xfId="0" applyNumberFormat="1" applyFont="1" applyBorder="1" applyAlignment="1">
      <alignment horizontal="center" vertical="center"/>
    </xf>
    <xf numFmtId="0" fontId="69" fillId="0" borderId="10" xfId="0" applyFont="1" applyBorder="1" applyAlignment="1">
      <alignment vertical="center"/>
    </xf>
    <xf numFmtId="0" fontId="69" fillId="0" borderId="20" xfId="0" applyFont="1" applyBorder="1" applyAlignment="1">
      <alignment vertical="center"/>
    </xf>
    <xf numFmtId="4" fontId="69" fillId="0" borderId="9" xfId="0" applyNumberFormat="1" applyFont="1" applyBorder="1" applyAlignment="1">
      <alignment horizontal="center" vertical="center"/>
    </xf>
    <xf numFmtId="2" fontId="69" fillId="0" borderId="10" xfId="0" applyNumberFormat="1" applyFont="1" applyBorder="1" applyAlignment="1">
      <alignment horizontal="center" vertical="center"/>
    </xf>
    <xf numFmtId="4" fontId="69" fillId="0" borderId="11" xfId="0" applyNumberFormat="1" applyFont="1" applyBorder="1" applyAlignment="1">
      <alignment horizontal="center" vertical="center"/>
    </xf>
    <xf numFmtId="3" fontId="69" fillId="0" borderId="1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5" fillId="0" borderId="55" xfId="0" applyFont="1" applyBorder="1" applyAlignment="1">
      <alignment vertical="center"/>
    </xf>
    <xf numFmtId="166" fontId="7" fillId="0" borderId="55" xfId="0" applyNumberFormat="1" applyFont="1" applyBorder="1" applyAlignment="1">
      <alignment horizontal="center" vertical="center" wrapText="1"/>
    </xf>
    <xf numFmtId="166" fontId="7" fillId="0" borderId="17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/>
    </xf>
    <xf numFmtId="166" fontId="5" fillId="0" borderId="29" xfId="0" applyNumberFormat="1" applyFont="1" applyBorder="1" applyAlignment="1">
      <alignment horizontal="center" vertical="center" wrapText="1"/>
    </xf>
    <xf numFmtId="166" fontId="5" fillId="0" borderId="17" xfId="0" applyNumberFormat="1" applyFont="1" applyBorder="1" applyAlignment="1">
      <alignment horizontal="center" vertical="center" wrapText="1"/>
    </xf>
    <xf numFmtId="166" fontId="5" fillId="0" borderId="55" xfId="0" applyNumberFormat="1" applyFont="1" applyBorder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9" fontId="0" fillId="0" borderId="0" xfId="0" applyNumberFormat="1" applyAlignment="1">
      <alignment vertical="center" wrapText="1"/>
    </xf>
    <xf numFmtId="0" fontId="16" fillId="0" borderId="10" xfId="0" applyFont="1" applyBorder="1" applyAlignment="1">
      <alignment vertical="center"/>
    </xf>
    <xf numFmtId="3" fontId="16" fillId="0" borderId="1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4" fontId="7" fillId="5" borderId="11" xfId="0" applyNumberFormat="1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2" fontId="7" fillId="5" borderId="10" xfId="0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 wrapText="1"/>
    </xf>
    <xf numFmtId="4" fontId="7" fillId="17" borderId="43" xfId="0" applyNumberFormat="1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3" fontId="10" fillId="14" borderId="0" xfId="0" applyNumberFormat="1" applyFont="1" applyFill="1" applyAlignment="1">
      <alignment horizontal="center" vertical="center" wrapText="1"/>
    </xf>
    <xf numFmtId="49" fontId="43" fillId="0" borderId="0" xfId="7" applyNumberFormat="1" applyFont="1" applyFill="1" applyBorder="1" applyAlignment="1">
      <alignment vertical="center"/>
    </xf>
    <xf numFmtId="3" fontId="153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4" fontId="7" fillId="19" borderId="27" xfId="1" applyNumberFormat="1" applyFont="1" applyFill="1" applyBorder="1" applyAlignment="1">
      <alignment horizontal="center" vertical="center" wrapText="1"/>
    </xf>
    <xf numFmtId="1" fontId="7" fillId="19" borderId="20" xfId="1" applyNumberFormat="1" applyFont="1" applyFill="1" applyBorder="1" applyAlignment="1">
      <alignment horizontal="left" vertical="center" wrapText="1"/>
    </xf>
    <xf numFmtId="0" fontId="99" fillId="0" borderId="10" xfId="0" applyFont="1" applyBorder="1" applyAlignment="1">
      <alignment horizontal="center" vertical="center" wrapText="1"/>
    </xf>
    <xf numFmtId="2" fontId="99" fillId="0" borderId="10" xfId="0" applyNumberFormat="1" applyFont="1" applyBorder="1" applyAlignment="1">
      <alignment horizontal="center" vertical="center" wrapText="1"/>
    </xf>
    <xf numFmtId="2" fontId="55" fillId="0" borderId="0" xfId="0" applyNumberFormat="1" applyFont="1"/>
    <xf numFmtId="0" fontId="40" fillId="0" borderId="0" xfId="0" applyFont="1"/>
    <xf numFmtId="2" fontId="40" fillId="0" borderId="0" xfId="0" applyNumberFormat="1" applyFont="1"/>
    <xf numFmtId="4" fontId="135" fillId="24" borderId="0" xfId="0" applyNumberFormat="1" applyFont="1" applyFill="1" applyAlignment="1">
      <alignment horizontal="center" vertical="center"/>
    </xf>
    <xf numFmtId="0" fontId="138" fillId="17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center" vertical="center" wrapText="1"/>
    </xf>
    <xf numFmtId="0" fontId="138" fillId="17" borderId="27" xfId="0" applyFont="1" applyFill="1" applyBorder="1" applyAlignment="1">
      <alignment horizontal="center" vertical="center" wrapText="1"/>
    </xf>
    <xf numFmtId="4" fontId="48" fillId="17" borderId="1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55" fillId="0" borderId="10" xfId="0" applyFont="1" applyBorder="1" applyAlignment="1">
      <alignment vertical="center"/>
    </xf>
    <xf numFmtId="170" fontId="5" fillId="17" borderId="10" xfId="0" applyNumberFormat="1" applyFont="1" applyFill="1" applyBorder="1" applyAlignment="1">
      <alignment horizontal="center" vertical="center"/>
    </xf>
    <xf numFmtId="4" fontId="7" fillId="17" borderId="20" xfId="0" applyNumberFormat="1" applyFont="1" applyFill="1" applyBorder="1" applyAlignment="1">
      <alignment horizontal="center" vertical="center"/>
    </xf>
    <xf numFmtId="4" fontId="42" fillId="0" borderId="10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2" fontId="7" fillId="9" borderId="24" xfId="0" applyNumberFormat="1" applyFont="1" applyFill="1" applyBorder="1" applyAlignment="1">
      <alignment horizontal="right"/>
    </xf>
    <xf numFmtId="4" fontId="27" fillId="4" borderId="70" xfId="0" applyNumberFormat="1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/>
    </xf>
    <xf numFmtId="0" fontId="99" fillId="0" borderId="10" xfId="0" applyFont="1" applyBorder="1" applyAlignment="1">
      <alignment vertical="center" wrapText="1"/>
    </xf>
    <xf numFmtId="0" fontId="99" fillId="0" borderId="10" xfId="0" applyFont="1" applyBorder="1" applyAlignment="1">
      <alignment horizontal="right" vertical="center" wrapText="1"/>
    </xf>
    <xf numFmtId="4" fontId="33" fillId="0" borderId="10" xfId="0" applyNumberFormat="1" applyFont="1" applyBorder="1" applyAlignment="1">
      <alignment horizontal="center"/>
    </xf>
    <xf numFmtId="0" fontId="33" fillId="4" borderId="10" xfId="0" applyFont="1" applyFill="1" applyBorder="1" applyAlignment="1">
      <alignment horizontal="center" vertical="center"/>
    </xf>
    <xf numFmtId="0" fontId="33" fillId="4" borderId="10" xfId="0" applyFont="1" applyFill="1" applyBorder="1" applyAlignment="1">
      <alignment horizontal="left" vertical="center"/>
    </xf>
    <xf numFmtId="4" fontId="33" fillId="4" borderId="10" xfId="0" applyNumberFormat="1" applyFont="1" applyFill="1" applyBorder="1" applyAlignment="1">
      <alignment horizontal="center"/>
    </xf>
    <xf numFmtId="4" fontId="33" fillId="4" borderId="10" xfId="0" applyNumberFormat="1" applyFont="1" applyFill="1" applyBorder="1" applyAlignment="1">
      <alignment horizontal="center" vertical="center"/>
    </xf>
    <xf numFmtId="0" fontId="137" fillId="0" borderId="0" xfId="0" applyFont="1" applyAlignment="1">
      <alignment vertical="center"/>
    </xf>
    <xf numFmtId="3" fontId="43" fillId="0" borderId="11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3" fontId="39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5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justify" vertical="center"/>
    </xf>
    <xf numFmtId="0" fontId="1" fillId="0" borderId="0" xfId="0" applyFont="1" applyAlignment="1">
      <alignment vertical="center"/>
    </xf>
    <xf numFmtId="3" fontId="76" fillId="0" borderId="0" xfId="0" applyNumberFormat="1" applyFont="1" applyAlignment="1">
      <alignment horizontal="center" vertical="center"/>
    </xf>
    <xf numFmtId="0" fontId="10" fillId="0" borderId="10" xfId="0" applyFont="1" applyBorder="1" applyAlignment="1">
      <alignment vertical="center" wrapText="1"/>
    </xf>
    <xf numFmtId="3" fontId="41" fillId="0" borderId="73" xfId="0" applyNumberFormat="1" applyFont="1" applyBorder="1" applyAlignment="1">
      <alignment horizontal="center" vertical="center" wrapText="1"/>
    </xf>
    <xf numFmtId="3" fontId="44" fillId="0" borderId="44" xfId="0" applyNumberFormat="1" applyFont="1" applyBorder="1" applyAlignment="1">
      <alignment horizontal="center" vertical="center" wrapText="1"/>
    </xf>
    <xf numFmtId="3" fontId="9" fillId="0" borderId="73" xfId="0" applyNumberFormat="1" applyFont="1" applyBorder="1" applyAlignment="1">
      <alignment horizontal="center" vertical="center" wrapText="1"/>
    </xf>
    <xf numFmtId="3" fontId="9" fillId="0" borderId="44" xfId="0" applyNumberFormat="1" applyFont="1" applyBorder="1" applyAlignment="1">
      <alignment horizontal="center" vertical="center" wrapText="1"/>
    </xf>
    <xf numFmtId="3" fontId="10" fillId="0" borderId="55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3" fontId="39" fillId="0" borderId="22" xfId="0" applyNumberFormat="1" applyFont="1" applyBorder="1" applyAlignment="1">
      <alignment horizontal="center" vertical="center" wrapText="1"/>
    </xf>
    <xf numFmtId="3" fontId="10" fillId="0" borderId="29" xfId="0" applyNumberFormat="1" applyFont="1" applyBorder="1" applyAlignment="1">
      <alignment horizontal="center" vertical="center"/>
    </xf>
    <xf numFmtId="3" fontId="55" fillId="0" borderId="18" xfId="0" applyNumberFormat="1" applyFont="1" applyBorder="1" applyAlignment="1">
      <alignment horizontal="center" vertical="center" wrapText="1"/>
    </xf>
    <xf numFmtId="3" fontId="10" fillId="0" borderId="18" xfId="0" applyNumberFormat="1" applyFont="1" applyBorder="1" applyAlignment="1">
      <alignment horizontal="center" vertical="center"/>
    </xf>
    <xf numFmtId="3" fontId="10" fillId="0" borderId="74" xfId="0" applyNumberFormat="1" applyFont="1" applyBorder="1" applyAlignment="1">
      <alignment horizontal="center" vertical="center"/>
    </xf>
    <xf numFmtId="3" fontId="10" fillId="0" borderId="59" xfId="0" applyNumberFormat="1" applyFont="1" applyBorder="1" applyAlignment="1">
      <alignment horizontal="center" vertical="center"/>
    </xf>
    <xf numFmtId="3" fontId="10" fillId="0" borderId="22" xfId="0" applyNumberFormat="1" applyFont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176" fontId="151" fillId="0" borderId="10" xfId="0" applyNumberFormat="1" applyFont="1" applyBorder="1" applyAlignment="1">
      <alignment vertical="center"/>
    </xf>
    <xf numFmtId="1" fontId="9" fillId="0" borderId="16" xfId="1" applyNumberFormat="1" applyFont="1" applyBorder="1" applyAlignment="1">
      <alignment horizontal="left" vertical="center" wrapText="1"/>
    </xf>
    <xf numFmtId="1" fontId="21" fillId="0" borderId="16" xfId="1" applyNumberFormat="1" applyFont="1" applyBorder="1" applyAlignment="1">
      <alignment horizontal="left" vertical="center" wrapText="1"/>
    </xf>
    <xf numFmtId="4" fontId="7" fillId="0" borderId="58" xfId="1" applyNumberFormat="1" applyFont="1" applyBorder="1" applyAlignment="1">
      <alignment horizontal="center" vertical="center" wrapText="1"/>
    </xf>
    <xf numFmtId="3" fontId="5" fillId="0" borderId="46" xfId="0" applyNumberFormat="1" applyFont="1" applyBorder="1" applyAlignment="1">
      <alignment horizontal="center" vertical="center"/>
    </xf>
    <xf numFmtId="3" fontId="39" fillId="0" borderId="58" xfId="0" applyNumberFormat="1" applyFont="1" applyBorder="1" applyAlignment="1">
      <alignment horizontal="center" vertical="center"/>
    </xf>
    <xf numFmtId="3" fontId="10" fillId="0" borderId="58" xfId="0" applyNumberFormat="1" applyFont="1" applyBorder="1" applyAlignment="1">
      <alignment horizontal="center" vertical="center"/>
    </xf>
    <xf numFmtId="3" fontId="55" fillId="0" borderId="19" xfId="0" applyNumberFormat="1" applyFont="1" applyBorder="1" applyAlignment="1">
      <alignment horizontal="center" vertical="center"/>
    </xf>
    <xf numFmtId="3" fontId="3" fillId="0" borderId="16" xfId="0" applyNumberFormat="1" applyFont="1" applyBorder="1" applyAlignment="1">
      <alignment horizontal="center" vertical="center"/>
    </xf>
    <xf numFmtId="3" fontId="5" fillId="0" borderId="27" xfId="0" applyNumberFormat="1" applyFont="1" applyBorder="1" applyAlignment="1">
      <alignment horizontal="center" vertical="center"/>
    </xf>
    <xf numFmtId="1" fontId="9" fillId="0" borderId="10" xfId="1" applyNumberFormat="1" applyFont="1" applyBorder="1" applyAlignment="1">
      <alignment horizontal="left" vertical="center" wrapText="1"/>
    </xf>
    <xf numFmtId="1" fontId="21" fillId="0" borderId="10" xfId="1" applyNumberFormat="1" applyFont="1" applyBorder="1" applyAlignment="1">
      <alignment horizontal="left" vertical="center" wrapText="1"/>
    </xf>
    <xf numFmtId="3" fontId="39" fillId="0" borderId="20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3" fontId="55" fillId="0" borderId="8" xfId="0" applyNumberFormat="1" applyFont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3" fontId="44" fillId="0" borderId="20" xfId="0" applyNumberFormat="1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3" fontId="44" fillId="0" borderId="20" xfId="0" applyNumberFormat="1" applyFont="1" applyBorder="1" applyAlignment="1">
      <alignment horizontal="center" vertical="center" wrapText="1"/>
    </xf>
    <xf numFmtId="3" fontId="55" fillId="0" borderId="10" xfId="0" applyNumberFormat="1" applyFont="1" applyBorder="1" applyAlignment="1">
      <alignment horizontal="center" vertical="center" wrapText="1"/>
    </xf>
    <xf numFmtId="3" fontId="13" fillId="0" borderId="20" xfId="0" applyNumberFormat="1" applyFont="1" applyBorder="1" applyAlignment="1">
      <alignment horizontal="center" vertical="center"/>
    </xf>
    <xf numFmtId="3" fontId="40" fillId="0" borderId="8" xfId="0" applyNumberFormat="1" applyFont="1" applyBorder="1" applyAlignment="1">
      <alignment horizontal="center" vertical="center"/>
    </xf>
    <xf numFmtId="3" fontId="47" fillId="0" borderId="8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3" fontId="44" fillId="0" borderId="8" xfId="0" applyNumberFormat="1" applyFont="1" applyBorder="1" applyAlignment="1">
      <alignment horizontal="center" vertical="center" wrapText="1"/>
    </xf>
    <xf numFmtId="3" fontId="40" fillId="0" borderId="20" xfId="0" applyNumberFormat="1" applyFont="1" applyBorder="1" applyAlignment="1">
      <alignment horizontal="center" vertical="center"/>
    </xf>
    <xf numFmtId="3" fontId="9" fillId="0" borderId="20" xfId="0" applyNumberFormat="1" applyFont="1" applyBorder="1" applyAlignment="1">
      <alignment horizontal="center" vertical="center" wrapText="1"/>
    </xf>
    <xf numFmtId="3" fontId="43" fillId="0" borderId="10" xfId="0" applyNumberFormat="1" applyFont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 wrapText="1"/>
    </xf>
    <xf numFmtId="1" fontId="13" fillId="0" borderId="10" xfId="1" applyNumberFormat="1" applyFont="1" applyBorder="1" applyAlignment="1">
      <alignment horizontal="left" vertical="center" wrapText="1"/>
    </xf>
    <xf numFmtId="1" fontId="54" fillId="0" borderId="10" xfId="1" applyNumberFormat="1" applyFont="1" applyBorder="1" applyAlignment="1">
      <alignment horizontal="left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3" fontId="9" fillId="0" borderId="2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 wrapText="1"/>
    </xf>
    <xf numFmtId="1" fontId="9" fillId="0" borderId="13" xfId="1" applyNumberFormat="1" applyFont="1" applyBorder="1" applyAlignment="1">
      <alignment horizontal="left" vertical="center" wrapText="1"/>
    </xf>
    <xf numFmtId="1" fontId="21" fillId="0" borderId="13" xfId="1" applyNumberFormat="1" applyFont="1" applyBorder="1" applyAlignment="1">
      <alignment horizontal="left" vertical="center" wrapText="1"/>
    </xf>
    <xf numFmtId="3" fontId="5" fillId="0" borderId="51" xfId="0" applyNumberFormat="1" applyFont="1" applyBorder="1" applyAlignment="1">
      <alignment horizontal="center" vertical="center"/>
    </xf>
    <xf numFmtId="3" fontId="39" fillId="0" borderId="48" xfId="0" applyNumberFormat="1" applyFont="1" applyBorder="1" applyAlignment="1">
      <alignment horizontal="center" vertical="center"/>
    </xf>
    <xf numFmtId="3" fontId="10" fillId="0" borderId="48" xfId="0" applyNumberFormat="1" applyFont="1" applyBorder="1" applyAlignment="1">
      <alignment horizontal="center" vertical="center"/>
    </xf>
    <xf numFmtId="3" fontId="55" fillId="0" borderId="12" xfId="0" applyNumberFormat="1" applyFont="1" applyBorder="1" applyAlignment="1">
      <alignment horizontal="center" vertical="center"/>
    </xf>
    <xf numFmtId="0" fontId="40" fillId="0" borderId="50" xfId="0" applyFont="1" applyBorder="1" applyAlignment="1">
      <alignment horizontal="center" vertical="center"/>
    </xf>
    <xf numFmtId="0" fontId="40" fillId="0" borderId="43" xfId="0" applyFont="1" applyBorder="1" applyAlignment="1">
      <alignment vertical="center"/>
    </xf>
    <xf numFmtId="0" fontId="21" fillId="0" borderId="43" xfId="0" applyFont="1" applyBorder="1" applyAlignment="1">
      <alignment vertical="center"/>
    </xf>
    <xf numFmtId="3" fontId="40" fillId="0" borderId="24" xfId="0" applyNumberFormat="1" applyFont="1" applyBorder="1" applyAlignment="1">
      <alignment horizontal="center" vertical="center"/>
    </xf>
    <xf numFmtId="3" fontId="56" fillId="0" borderId="24" xfId="0" applyNumberFormat="1" applyFont="1" applyBorder="1" applyAlignment="1">
      <alignment horizontal="center" vertical="center"/>
    </xf>
    <xf numFmtId="3" fontId="40" fillId="0" borderId="5" xfId="0" applyNumberFormat="1" applyFont="1" applyBorder="1" applyAlignment="1">
      <alignment horizontal="center" vertical="center"/>
    </xf>
    <xf numFmtId="3" fontId="56" fillId="0" borderId="43" xfId="0" applyNumberFormat="1" applyFont="1" applyBorder="1" applyAlignment="1">
      <alignment horizontal="center" vertical="center"/>
    </xf>
    <xf numFmtId="3" fontId="40" fillId="0" borderId="43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40" fillId="0" borderId="10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vertical="center" wrapText="1"/>
    </xf>
    <xf numFmtId="0" fontId="21" fillId="0" borderId="10" xfId="0" applyFont="1" applyBorder="1" applyAlignment="1">
      <alignment vertical="center"/>
    </xf>
    <xf numFmtId="0" fontId="16" fillId="0" borderId="0" xfId="0" applyFont="1" applyAlignment="1">
      <alignment vertical="center" wrapText="1"/>
    </xf>
    <xf numFmtId="17" fontId="7" fillId="0" borderId="0" xfId="0" applyNumberFormat="1" applyFont="1" applyAlignment="1">
      <alignment horizontal="right" vertical="center"/>
    </xf>
    <xf numFmtId="3" fontId="5" fillId="0" borderId="0" xfId="0" applyNumberFormat="1" applyFont="1" applyAlignment="1">
      <alignment horizontal="left" vertical="center"/>
    </xf>
    <xf numFmtId="0" fontId="40" fillId="0" borderId="10" xfId="0" applyFont="1" applyBorder="1" applyAlignment="1">
      <alignment horizontal="left" vertical="center" wrapText="1"/>
    </xf>
    <xf numFmtId="0" fontId="55" fillId="0" borderId="10" xfId="0" applyFont="1" applyBorder="1" applyAlignment="1">
      <alignment horizontal="center" vertical="center"/>
    </xf>
    <xf numFmtId="3" fontId="55" fillId="0" borderId="10" xfId="0" applyNumberFormat="1" applyFont="1" applyBorder="1" applyAlignment="1">
      <alignment horizontal="center" vertical="center"/>
    </xf>
    <xf numFmtId="3" fontId="55" fillId="0" borderId="0" xfId="0" applyNumberFormat="1" applyFont="1" applyAlignment="1">
      <alignment horizontal="right" vertical="center"/>
    </xf>
    <xf numFmtId="3" fontId="55" fillId="0" borderId="0" xfId="0" applyNumberFormat="1" applyFont="1" applyAlignment="1">
      <alignment vertical="center"/>
    </xf>
    <xf numFmtId="0" fontId="9" fillId="0" borderId="10" xfId="0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/>
    </xf>
    <xf numFmtId="166" fontId="5" fillId="0" borderId="0" xfId="0" applyNumberFormat="1" applyFont="1" applyAlignment="1">
      <alignment vertical="center"/>
    </xf>
    <xf numFmtId="3" fontId="12" fillId="0" borderId="0" xfId="0" applyNumberFormat="1" applyFont="1" applyAlignment="1">
      <alignment horizontal="right" vertical="center"/>
    </xf>
    <xf numFmtId="3" fontId="40" fillId="0" borderId="40" xfId="0" applyNumberFormat="1" applyFont="1" applyBorder="1" applyAlignment="1">
      <alignment horizontal="center" vertical="center"/>
    </xf>
    <xf numFmtId="2" fontId="9" fillId="25" borderId="9" xfId="1" applyNumberFormat="1" applyFont="1" applyFill="1" applyBorder="1" applyAlignment="1">
      <alignment horizontal="left" vertical="center" wrapText="1"/>
    </xf>
    <xf numFmtId="0" fontId="80" fillId="0" borderId="16" xfId="0" applyFont="1" applyBorder="1" applyAlignment="1">
      <alignment horizontal="center" vertical="center" wrapText="1"/>
    </xf>
    <xf numFmtId="1" fontId="78" fillId="0" borderId="76" xfId="1" applyNumberFormat="1" applyFont="1" applyBorder="1" applyAlignment="1">
      <alignment horizontal="center" vertical="center" wrapText="1"/>
    </xf>
    <xf numFmtId="2" fontId="140" fillId="17" borderId="10" xfId="0" applyNumberFormat="1" applyFont="1" applyFill="1" applyBorder="1" applyAlignment="1">
      <alignment horizontal="center"/>
    </xf>
    <xf numFmtId="0" fontId="35" fillId="0" borderId="0" xfId="0" applyFont="1" applyAlignment="1">
      <alignment horizontal="right" vertical="center"/>
    </xf>
    <xf numFmtId="3" fontId="27" fillId="0" borderId="32" xfId="0" applyNumberFormat="1" applyFont="1" applyBorder="1" applyAlignment="1">
      <alignment horizontal="center" vertical="center"/>
    </xf>
    <xf numFmtId="3" fontId="35" fillId="0" borderId="47" xfId="0" applyNumberFormat="1" applyFont="1" applyBorder="1" applyAlignment="1">
      <alignment horizontal="center" vertical="center"/>
    </xf>
    <xf numFmtId="3" fontId="35" fillId="11" borderId="5" xfId="0" applyNumberFormat="1" applyFont="1" applyFill="1" applyBorder="1" applyAlignment="1">
      <alignment horizontal="center" vertical="center"/>
    </xf>
    <xf numFmtId="3" fontId="27" fillId="0" borderId="2" xfId="0" applyNumberFormat="1" applyFont="1" applyBorder="1" applyAlignment="1">
      <alignment horizontal="center" vertical="center"/>
    </xf>
    <xf numFmtId="1" fontId="78" fillId="12" borderId="16" xfId="1" applyNumberFormat="1" applyFont="1" applyFill="1" applyBorder="1" applyAlignment="1">
      <alignment horizontal="center" vertical="center" wrapText="1"/>
    </xf>
    <xf numFmtId="0" fontId="21" fillId="12" borderId="46" xfId="0" applyFont="1" applyFill="1" applyBorder="1" applyAlignment="1">
      <alignment horizontal="center" vertical="center"/>
    </xf>
    <xf numFmtId="2" fontId="9" fillId="12" borderId="9" xfId="1" applyNumberFormat="1" applyFont="1" applyFill="1" applyBorder="1" applyAlignment="1">
      <alignment horizontal="left" vertical="center" wrapText="1"/>
    </xf>
    <xf numFmtId="3" fontId="5" fillId="12" borderId="45" xfId="0" applyNumberFormat="1" applyFont="1" applyFill="1" applyBorder="1" applyAlignment="1">
      <alignment horizontal="center" vertical="center"/>
    </xf>
    <xf numFmtId="4" fontId="5" fillId="14" borderId="0" xfId="0" applyNumberFormat="1" applyFont="1" applyFill="1" applyAlignment="1">
      <alignment vertical="center"/>
    </xf>
    <xf numFmtId="0" fontId="7" fillId="0" borderId="73" xfId="0" applyFont="1" applyBorder="1" applyAlignment="1">
      <alignment horizontal="right" vertical="center"/>
    </xf>
    <xf numFmtId="0" fontId="5" fillId="0" borderId="22" xfId="0" applyFont="1" applyBorder="1" applyAlignment="1">
      <alignment horizontal="center" vertical="center" wrapText="1"/>
    </xf>
    <xf numFmtId="3" fontId="29" fillId="0" borderId="0" xfId="0" applyNumberFormat="1" applyFont="1" applyAlignment="1">
      <alignment horizontal="center" vertical="center"/>
    </xf>
    <xf numFmtId="0" fontId="85" fillId="0" borderId="0" xfId="0" applyFont="1" applyAlignment="1">
      <alignment vertical="center"/>
    </xf>
    <xf numFmtId="14" fontId="5" fillId="0" borderId="0" xfId="0" applyNumberFormat="1" applyFont="1" applyAlignment="1">
      <alignment vertical="center"/>
    </xf>
    <xf numFmtId="3" fontId="5" fillId="0" borderId="17" xfId="0" applyNumberFormat="1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right" vertical="center" wrapText="1"/>
    </xf>
    <xf numFmtId="4" fontId="19" fillId="0" borderId="16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vertical="center"/>
    </xf>
    <xf numFmtId="0" fontId="25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vertical="center"/>
    </xf>
    <xf numFmtId="16" fontId="23" fillId="0" borderId="10" xfId="0" applyNumberFormat="1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center" vertical="center"/>
    </xf>
    <xf numFmtId="0" fontId="67" fillId="0" borderId="11" xfId="0" applyFont="1" applyBorder="1" applyAlignment="1">
      <alignment vertical="center"/>
    </xf>
    <xf numFmtId="0" fontId="67" fillId="0" borderId="10" xfId="0" applyFont="1" applyBorder="1" applyAlignment="1">
      <alignment vertical="center" wrapText="1"/>
    </xf>
    <xf numFmtId="3" fontId="44" fillId="0" borderId="10" xfId="0" applyNumberFormat="1" applyFont="1" applyBorder="1" applyAlignment="1">
      <alignment horizontal="center" vertical="center"/>
    </xf>
    <xf numFmtId="166" fontId="39" fillId="0" borderId="20" xfId="0" applyNumberFormat="1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0" fontId="32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0" fontId="23" fillId="0" borderId="21" xfId="0" applyFont="1" applyBorder="1" applyAlignment="1">
      <alignment vertical="center"/>
    </xf>
    <xf numFmtId="0" fontId="33" fillId="0" borderId="13" xfId="0" applyFont="1" applyBorder="1" applyAlignment="1">
      <alignment vertical="center" wrapText="1"/>
    </xf>
    <xf numFmtId="3" fontId="7" fillId="0" borderId="13" xfId="0" applyNumberFormat="1" applyFont="1" applyBorder="1" applyAlignment="1">
      <alignment horizontal="center" vertical="center"/>
    </xf>
    <xf numFmtId="166" fontId="7" fillId="0" borderId="48" xfId="0" applyNumberFormat="1" applyFont="1" applyBorder="1" applyAlignment="1">
      <alignment horizontal="center" vertical="center"/>
    </xf>
    <xf numFmtId="0" fontId="25" fillId="0" borderId="50" xfId="0" applyFont="1" applyBorder="1" applyAlignment="1">
      <alignment vertical="center"/>
    </xf>
    <xf numFmtId="0" fontId="24" fillId="0" borderId="43" xfId="0" applyFont="1" applyBorder="1" applyAlignment="1">
      <alignment vertical="center" wrapText="1"/>
    </xf>
    <xf numFmtId="0" fontId="83" fillId="0" borderId="50" xfId="0" applyFont="1" applyBorder="1" applyAlignment="1">
      <alignment horizontal="right" vertical="center" wrapText="1"/>
    </xf>
    <xf numFmtId="0" fontId="84" fillId="0" borderId="43" xfId="0" applyFont="1" applyBorder="1" applyAlignment="1">
      <alignment vertical="center" wrapText="1"/>
    </xf>
    <xf numFmtId="0" fontId="83" fillId="0" borderId="0" xfId="0" applyFont="1" applyAlignment="1">
      <alignment horizontal="right" vertical="center" wrapText="1"/>
    </xf>
    <xf numFmtId="0" fontId="84" fillId="0" borderId="0" xfId="0" applyFont="1" applyAlignment="1">
      <alignment vertical="center" wrapText="1"/>
    </xf>
    <xf numFmtId="0" fontId="154" fillId="0" borderId="10" xfId="0" applyFont="1" applyBorder="1" applyAlignment="1">
      <alignment vertical="center" wrapText="1"/>
    </xf>
    <xf numFmtId="0" fontId="84" fillId="0" borderId="10" xfId="0" applyFont="1" applyBorder="1" applyAlignment="1">
      <alignment horizontal="right" vertical="center" wrapText="1"/>
    </xf>
    <xf numFmtId="0" fontId="148" fillId="0" borderId="16" xfId="0" applyFont="1" applyBorder="1" applyAlignment="1">
      <alignment vertical="center"/>
    </xf>
    <xf numFmtId="3" fontId="148" fillId="0" borderId="16" xfId="0" applyNumberFormat="1" applyFont="1" applyBorder="1" applyAlignment="1">
      <alignment horizontal="center" vertical="center"/>
    </xf>
    <xf numFmtId="0" fontId="148" fillId="0" borderId="10" xfId="0" applyFont="1" applyBorder="1" applyAlignment="1">
      <alignment vertical="center"/>
    </xf>
    <xf numFmtId="3" fontId="83" fillId="0" borderId="10" xfId="0" applyNumberFormat="1" applyFont="1" applyBorder="1" applyAlignment="1">
      <alignment horizontal="center" vertical="center"/>
    </xf>
    <xf numFmtId="0" fontId="148" fillId="0" borderId="0" xfId="0" applyFont="1" applyAlignment="1">
      <alignment vertical="center"/>
    </xf>
    <xf numFmtId="3" fontId="148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left" vertical="center"/>
    </xf>
    <xf numFmtId="0" fontId="33" fillId="0" borderId="12" xfId="0" applyFont="1" applyBorder="1" applyAlignment="1">
      <alignment vertical="center" wrapText="1"/>
    </xf>
    <xf numFmtId="3" fontId="7" fillId="0" borderId="25" xfId="0" applyNumberFormat="1" applyFont="1" applyBorder="1" applyAlignment="1">
      <alignment horizontal="center" vertical="center"/>
    </xf>
    <xf numFmtId="3" fontId="7" fillId="0" borderId="12" xfId="0" applyNumberFormat="1" applyFont="1" applyBorder="1" applyAlignment="1">
      <alignment horizontal="center" vertical="center"/>
    </xf>
    <xf numFmtId="0" fontId="145" fillId="0" borderId="15" xfId="0" applyFont="1" applyBorder="1" applyAlignment="1">
      <alignment vertical="center"/>
    </xf>
    <xf numFmtId="0" fontId="134" fillId="4" borderId="19" xfId="0" applyFont="1" applyFill="1" applyBorder="1" applyAlignment="1">
      <alignment vertical="center" wrapText="1"/>
    </xf>
    <xf numFmtId="3" fontId="48" fillId="0" borderId="15" xfId="0" applyNumberFormat="1" applyFont="1" applyBorder="1" applyAlignment="1">
      <alignment horizontal="center" vertical="center"/>
    </xf>
    <xf numFmtId="3" fontId="48" fillId="0" borderId="16" xfId="0" applyNumberFormat="1" applyFont="1" applyBorder="1" applyAlignment="1">
      <alignment horizontal="center" vertical="center"/>
    </xf>
    <xf numFmtId="166" fontId="48" fillId="0" borderId="58" xfId="0" applyNumberFormat="1" applyFont="1" applyBorder="1" applyAlignment="1">
      <alignment horizontal="center" vertical="center"/>
    </xf>
    <xf numFmtId="3" fontId="48" fillId="0" borderId="28" xfId="0" applyNumberFormat="1" applyFont="1" applyBorder="1" applyAlignment="1">
      <alignment horizontal="center" vertical="center"/>
    </xf>
    <xf numFmtId="3" fontId="48" fillId="0" borderId="19" xfId="0" applyNumberFormat="1" applyFont="1" applyBorder="1" applyAlignment="1">
      <alignment horizontal="center" vertical="center"/>
    </xf>
    <xf numFmtId="3" fontId="48" fillId="0" borderId="58" xfId="0" applyNumberFormat="1" applyFont="1" applyBorder="1" applyAlignment="1">
      <alignment horizontal="center" vertical="center"/>
    </xf>
    <xf numFmtId="0" fontId="25" fillId="26" borderId="50" xfId="0" applyFont="1" applyFill="1" applyBorder="1" applyAlignment="1">
      <alignment vertical="center"/>
    </xf>
    <xf numFmtId="0" fontId="24" fillId="26" borderId="52" xfId="0" applyFont="1" applyFill="1" applyBorder="1" applyAlignment="1">
      <alignment vertical="center" wrapText="1"/>
    </xf>
    <xf numFmtId="3" fontId="7" fillId="26" borderId="50" xfId="0" applyNumberFormat="1" applyFont="1" applyFill="1" applyBorder="1" applyAlignment="1">
      <alignment horizontal="center" vertical="center"/>
    </xf>
    <xf numFmtId="3" fontId="7" fillId="26" borderId="43" xfId="0" applyNumberFormat="1" applyFont="1" applyFill="1" applyBorder="1" applyAlignment="1">
      <alignment horizontal="center" vertical="center"/>
    </xf>
    <xf numFmtId="3" fontId="7" fillId="26" borderId="53" xfId="0" applyNumberFormat="1" applyFont="1" applyFill="1" applyBorder="1" applyAlignment="1">
      <alignment horizontal="center" vertical="center"/>
    </xf>
    <xf numFmtId="3" fontId="7" fillId="26" borderId="52" xfId="0" applyNumberFormat="1" applyFont="1" applyFill="1" applyBorder="1" applyAlignment="1">
      <alignment horizontal="center" vertical="center"/>
    </xf>
    <xf numFmtId="3" fontId="7" fillId="26" borderId="40" xfId="0" applyNumberFormat="1" applyFont="1" applyFill="1" applyBorder="1" applyAlignment="1">
      <alignment horizontal="center" vertical="center"/>
    </xf>
    <xf numFmtId="166" fontId="43" fillId="0" borderId="0" xfId="0" applyNumberFormat="1" applyFont="1" applyAlignment="1">
      <alignment vertical="center"/>
    </xf>
    <xf numFmtId="166" fontId="43" fillId="26" borderId="40" xfId="0" applyNumberFormat="1" applyFont="1" applyFill="1" applyBorder="1" applyAlignment="1">
      <alignment horizontal="center" vertical="center"/>
    </xf>
    <xf numFmtId="3" fontId="5" fillId="0" borderId="53" xfId="0" applyNumberFormat="1" applyFont="1" applyBorder="1" applyAlignment="1">
      <alignment horizontal="center" vertical="center" wrapText="1"/>
    </xf>
    <xf numFmtId="4" fontId="5" fillId="0" borderId="58" xfId="0" applyNumberFormat="1" applyFont="1" applyBorder="1" applyAlignment="1">
      <alignment horizontal="center" vertical="center"/>
    </xf>
    <xf numFmtId="3" fontId="40" fillId="0" borderId="9" xfId="0" applyNumberFormat="1" applyFont="1" applyBorder="1" applyAlignment="1">
      <alignment horizontal="center" vertical="center"/>
    </xf>
    <xf numFmtId="0" fontId="155" fillId="0" borderId="0" xfId="0" applyFont="1" applyAlignment="1">
      <alignment horizontal="right" vertical="center"/>
    </xf>
    <xf numFmtId="0" fontId="62" fillId="0" borderId="68" xfId="0" applyFont="1" applyBorder="1" applyAlignment="1">
      <alignment horizontal="right" vertical="center" wrapText="1"/>
    </xf>
    <xf numFmtId="0" fontId="62" fillId="0" borderId="66" xfId="0" applyFont="1" applyBorder="1" applyAlignment="1">
      <alignment horizontal="right" vertical="center" wrapText="1"/>
    </xf>
    <xf numFmtId="166" fontId="7" fillId="0" borderId="40" xfId="0" applyNumberFormat="1" applyFont="1" applyBorder="1" applyAlignment="1">
      <alignment horizontal="center" vertical="center"/>
    </xf>
    <xf numFmtId="14" fontId="12" fillId="0" borderId="4" xfId="0" applyNumberFormat="1" applyFont="1" applyBorder="1" applyAlignment="1">
      <alignment horizontal="center" vertical="center"/>
    </xf>
    <xf numFmtId="3" fontId="68" fillId="0" borderId="2" xfId="0" applyNumberFormat="1" applyFont="1" applyBorder="1" applyAlignment="1">
      <alignment horizontal="center" vertical="center"/>
    </xf>
    <xf numFmtId="14" fontId="12" fillId="0" borderId="71" xfId="0" applyNumberFormat="1" applyFont="1" applyBorder="1" applyAlignment="1">
      <alignment horizontal="center" vertical="center"/>
    </xf>
    <xf numFmtId="3" fontId="68" fillId="0" borderId="17" xfId="0" applyNumberFormat="1" applyFont="1" applyBorder="1" applyAlignment="1">
      <alignment horizontal="center" vertical="center"/>
    </xf>
    <xf numFmtId="3" fontId="12" fillId="0" borderId="65" xfId="0" applyNumberFormat="1" applyFont="1" applyBorder="1" applyAlignment="1">
      <alignment horizontal="center" vertical="center" wrapText="1"/>
    </xf>
    <xf numFmtId="14" fontId="68" fillId="0" borderId="10" xfId="0" applyNumberFormat="1" applyFont="1" applyBorder="1" applyAlignment="1">
      <alignment horizontal="center" vertical="center"/>
    </xf>
    <xf numFmtId="3" fontId="68" fillId="0" borderId="10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left" vertical="center"/>
    </xf>
    <xf numFmtId="0" fontId="68" fillId="0" borderId="10" xfId="0" applyFont="1" applyBorder="1" applyAlignment="1">
      <alignment vertical="center"/>
    </xf>
    <xf numFmtId="14" fontId="115" fillId="0" borderId="10" xfId="0" applyNumberFormat="1" applyFont="1" applyBorder="1" applyAlignment="1">
      <alignment horizontal="left" vertical="center"/>
    </xf>
    <xf numFmtId="14" fontId="69" fillId="0" borderId="10" xfId="0" applyNumberFormat="1" applyFont="1" applyBorder="1" applyAlignment="1">
      <alignment horizontal="center" vertical="center"/>
    </xf>
    <xf numFmtId="3" fontId="83" fillId="0" borderId="10" xfId="0" applyNumberFormat="1" applyFont="1" applyBorder="1" applyAlignment="1">
      <alignment horizontal="left" vertical="center"/>
    </xf>
    <xf numFmtId="3" fontId="68" fillId="0" borderId="64" xfId="0" applyNumberFormat="1" applyFont="1" applyBorder="1" applyAlignment="1">
      <alignment horizontal="center" vertical="center"/>
    </xf>
    <xf numFmtId="14" fontId="69" fillId="0" borderId="43" xfId="0" applyNumberFormat="1" applyFont="1" applyBorder="1" applyAlignment="1">
      <alignment horizontal="center" vertical="center"/>
    </xf>
    <xf numFmtId="3" fontId="69" fillId="0" borderId="43" xfId="0" applyNumberFormat="1" applyFont="1" applyBorder="1" applyAlignment="1">
      <alignment horizontal="center" vertical="center"/>
    </xf>
    <xf numFmtId="3" fontId="83" fillId="0" borderId="40" xfId="0" applyNumberFormat="1" applyFont="1" applyBorder="1" applyAlignment="1">
      <alignment horizontal="center" vertical="center"/>
    </xf>
    <xf numFmtId="3" fontId="69" fillId="0" borderId="17" xfId="0" applyNumberFormat="1" applyFont="1" applyBorder="1" applyAlignment="1">
      <alignment horizontal="center" vertical="center"/>
    </xf>
    <xf numFmtId="14" fontId="69" fillId="0" borderId="0" xfId="0" applyNumberFormat="1" applyFont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83" fillId="0" borderId="0" xfId="0" applyNumberFormat="1" applyFont="1" applyAlignment="1">
      <alignment horizontal="center" vertical="center"/>
    </xf>
    <xf numFmtId="0" fontId="62" fillId="0" borderId="0" xfId="0" applyFont="1" applyAlignment="1">
      <alignment horizontal="right" vertical="center" wrapText="1"/>
    </xf>
    <xf numFmtId="0" fontId="62" fillId="0" borderId="25" xfId="0" applyFont="1" applyBorder="1" applyAlignment="1">
      <alignment horizontal="right" vertical="center" wrapText="1"/>
    </xf>
    <xf numFmtId="14" fontId="12" fillId="0" borderId="0" xfId="0" applyNumberFormat="1" applyFont="1" applyAlignment="1">
      <alignment horizontal="center" vertical="center"/>
    </xf>
    <xf numFmtId="3" fontId="68" fillId="0" borderId="13" xfId="0" applyNumberFormat="1" applyFont="1" applyBorder="1" applyAlignment="1">
      <alignment horizontal="center" vertical="center"/>
    </xf>
    <xf numFmtId="3" fontId="12" fillId="0" borderId="39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0" fillId="0" borderId="55" xfId="0" applyBorder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55" fillId="0" borderId="8" xfId="0" applyFont="1" applyBorder="1" applyAlignment="1">
      <alignment vertical="center" wrapText="1"/>
    </xf>
    <xf numFmtId="0" fontId="55" fillId="0" borderId="9" xfId="0" applyFont="1" applyBorder="1" applyAlignment="1">
      <alignment vertical="center" wrapText="1"/>
    </xf>
    <xf numFmtId="0" fontId="62" fillId="0" borderId="34" xfId="0" applyFont="1" applyBorder="1" applyAlignment="1">
      <alignment horizontal="right" vertical="center" wrapText="1"/>
    </xf>
    <xf numFmtId="0" fontId="62" fillId="0" borderId="4" xfId="0" applyFont="1" applyBorder="1" applyAlignment="1">
      <alignment horizontal="right" vertical="center" wrapText="1"/>
    </xf>
    <xf numFmtId="0" fontId="83" fillId="0" borderId="5" xfId="0" applyFont="1" applyBorder="1" applyAlignment="1">
      <alignment horizontal="right" vertical="center" wrapText="1"/>
    </xf>
    <xf numFmtId="0" fontId="83" fillId="0" borderId="53" xfId="0" applyFont="1" applyBorder="1" applyAlignment="1">
      <alignment horizontal="right" vertical="center" wrapText="1"/>
    </xf>
    <xf numFmtId="0" fontId="62" fillId="0" borderId="81" xfId="0" applyFont="1" applyBorder="1" applyAlignment="1">
      <alignment horizontal="right" vertical="center" wrapText="1"/>
    </xf>
    <xf numFmtId="0" fontId="62" fillId="0" borderId="29" xfId="0" applyFont="1" applyBorder="1" applyAlignment="1">
      <alignment horizontal="right" vertical="center" wrapText="1"/>
    </xf>
    <xf numFmtId="3" fontId="12" fillId="0" borderId="61" xfId="0" applyNumberFormat="1" applyFont="1" applyBorder="1" applyAlignment="1">
      <alignment horizontal="center" vertical="center" wrapText="1"/>
    </xf>
    <xf numFmtId="3" fontId="12" fillId="0" borderId="65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0" fontId="34" fillId="0" borderId="27" xfId="0" applyFont="1" applyBorder="1" applyAlignment="1">
      <alignment vertical="center" wrapText="1"/>
    </xf>
    <xf numFmtId="0" fontId="34" fillId="0" borderId="28" xfId="0" applyFont="1" applyBorder="1" applyAlignment="1">
      <alignment vertical="center" wrapText="1"/>
    </xf>
    <xf numFmtId="4" fontId="7" fillId="0" borderId="47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vertical="center" wrapText="1"/>
    </xf>
    <xf numFmtId="0" fontId="7" fillId="0" borderId="73" xfId="0" applyFont="1" applyBorder="1" applyAlignment="1">
      <alignment horizontal="center" vertical="center" wrapText="1"/>
    </xf>
    <xf numFmtId="0" fontId="4" fillId="0" borderId="73" xfId="0" applyFont="1" applyBorder="1" applyAlignment="1">
      <alignment vertical="center" wrapText="1"/>
    </xf>
    <xf numFmtId="0" fontId="4" fillId="0" borderId="35" xfId="0" applyFont="1" applyBorder="1" applyAlignment="1">
      <alignment vertical="center" wrapText="1"/>
    </xf>
    <xf numFmtId="3" fontId="5" fillId="0" borderId="27" xfId="0" applyNumberFormat="1" applyFont="1" applyBorder="1" applyAlignment="1">
      <alignment horizontal="center" vertical="center" wrapText="1"/>
    </xf>
    <xf numFmtId="0" fontId="0" fillId="0" borderId="2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169" fontId="7" fillId="0" borderId="14" xfId="0" applyNumberFormat="1" applyFont="1" applyBorder="1" applyAlignment="1">
      <alignment horizontal="center" vertical="center" wrapText="1"/>
    </xf>
    <xf numFmtId="169" fontId="4" fillId="0" borderId="9" xfId="0" applyNumberFormat="1" applyFont="1" applyBorder="1" applyAlignment="1">
      <alignment vertical="center" wrapText="1"/>
    </xf>
    <xf numFmtId="0" fontId="7" fillId="0" borderId="34" xfId="0" applyFont="1" applyBorder="1" applyAlignment="1">
      <alignment horizontal="center" vertical="center" wrapText="1"/>
    </xf>
    <xf numFmtId="3" fontId="5" fillId="0" borderId="32" xfId="0" applyNumberFormat="1" applyFont="1" applyBorder="1" applyAlignment="1">
      <alignment horizontal="center" vertical="center" wrapText="1"/>
    </xf>
    <xf numFmtId="169" fontId="7" fillId="0" borderId="47" xfId="0" applyNumberFormat="1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19" fillId="0" borderId="3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4" fontId="8" fillId="0" borderId="30" xfId="0" applyNumberFormat="1" applyFont="1" applyBorder="1" applyAlignment="1">
      <alignment horizontal="center" vertical="center" wrapText="1"/>
    </xf>
    <xf numFmtId="3" fontId="18" fillId="0" borderId="26" xfId="0" applyNumberFormat="1" applyFont="1" applyBorder="1" applyAlignment="1">
      <alignment horizontal="center" vertical="center" wrapText="1"/>
    </xf>
    <xf numFmtId="3" fontId="18" fillId="0" borderId="31" xfId="0" applyNumberFormat="1" applyFont="1" applyBorder="1" applyAlignment="1">
      <alignment horizontal="center" vertical="center" wrapText="1"/>
    </xf>
    <xf numFmtId="4" fontId="18" fillId="0" borderId="27" xfId="0" applyNumberFormat="1" applyFont="1" applyBorder="1" applyAlignment="1">
      <alignment horizontal="center" vertical="center" wrapText="1"/>
    </xf>
    <xf numFmtId="3" fontId="18" fillId="0" borderId="27" xfId="0" applyNumberFormat="1" applyFont="1" applyBorder="1" applyAlignment="1">
      <alignment horizontal="center" vertical="center" wrapText="1"/>
    </xf>
    <xf numFmtId="3" fontId="18" fillId="0" borderId="33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3" fontId="9" fillId="0" borderId="36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8" fillId="0" borderId="30" xfId="0" applyNumberFormat="1" applyFont="1" applyBorder="1" applyAlignment="1">
      <alignment horizontal="center" vertical="center" wrapText="1"/>
    </xf>
    <xf numFmtId="3" fontId="15" fillId="0" borderId="26" xfId="0" applyNumberFormat="1" applyFont="1" applyBorder="1" applyAlignment="1">
      <alignment horizontal="center" vertical="center" wrapText="1"/>
    </xf>
    <xf numFmtId="3" fontId="15" fillId="0" borderId="31" xfId="0" applyNumberFormat="1" applyFont="1" applyBorder="1" applyAlignment="1">
      <alignment horizontal="center" vertical="center" wrapText="1"/>
    </xf>
    <xf numFmtId="3" fontId="15" fillId="0" borderId="36" xfId="0" applyNumberFormat="1" applyFont="1" applyBorder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 wrapText="1"/>
    </xf>
    <xf numFmtId="3" fontId="15" fillId="0" borderId="38" xfId="0" applyNumberFormat="1" applyFont="1" applyBorder="1" applyAlignment="1">
      <alignment horizontal="center" vertical="center" wrapText="1"/>
    </xf>
    <xf numFmtId="3" fontId="16" fillId="0" borderId="5" xfId="0" applyNumberFormat="1" applyFont="1" applyBorder="1" applyAlignment="1">
      <alignment horizontal="center" vertical="center" wrapText="1"/>
    </xf>
    <xf numFmtId="3" fontId="17" fillId="0" borderId="6" xfId="0" applyNumberFormat="1" applyFont="1" applyBorder="1" applyAlignment="1">
      <alignment horizontal="center" vertical="center" wrapText="1"/>
    </xf>
    <xf numFmtId="3" fontId="17" fillId="0" borderId="7" xfId="0" applyNumberFormat="1" applyFont="1" applyBorder="1" applyAlignment="1">
      <alignment horizontal="center" vertical="center" wrapText="1"/>
    </xf>
    <xf numFmtId="3" fontId="9" fillId="0" borderId="30" xfId="0" applyNumberFormat="1" applyFont="1" applyBorder="1" applyAlignment="1">
      <alignment horizontal="center" vertical="center" wrapText="1"/>
    </xf>
    <xf numFmtId="3" fontId="4" fillId="0" borderId="26" xfId="0" applyNumberFormat="1" applyFont="1" applyBorder="1" applyAlignment="1">
      <alignment horizontal="center" vertical="center" wrapText="1"/>
    </xf>
    <xf numFmtId="3" fontId="4" fillId="0" borderId="31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23" xfId="0" applyNumberFormat="1" applyFont="1" applyBorder="1" applyAlignment="1">
      <alignment horizontal="center" vertical="center" wrapText="1"/>
    </xf>
    <xf numFmtId="3" fontId="14" fillId="0" borderId="6" xfId="0" applyNumberFormat="1" applyFon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3" fontId="7" fillId="0" borderId="26" xfId="0" applyNumberFormat="1" applyFont="1" applyBorder="1" applyAlignment="1">
      <alignment horizontal="center" vertical="center" wrapText="1"/>
    </xf>
    <xf numFmtId="3" fontId="7" fillId="0" borderId="31" xfId="0" applyNumberFormat="1" applyFont="1" applyBorder="1" applyAlignment="1">
      <alignment horizontal="center" vertical="center" wrapText="1"/>
    </xf>
    <xf numFmtId="3" fontId="15" fillId="0" borderId="32" xfId="0" applyNumberFormat="1" applyFont="1" applyBorder="1" applyAlignment="1">
      <alignment horizontal="center" vertical="center" wrapText="1"/>
    </xf>
    <xf numFmtId="3" fontId="15" fillId="0" borderId="27" xfId="0" applyNumberFormat="1" applyFont="1" applyBorder="1" applyAlignment="1">
      <alignment horizontal="center" vertical="center" wrapText="1"/>
    </xf>
    <xf numFmtId="3" fontId="15" fillId="0" borderId="33" xfId="0" applyNumberFormat="1" applyFont="1" applyBorder="1" applyAlignment="1">
      <alignment horizontal="center" vertical="center" wrapText="1"/>
    </xf>
    <xf numFmtId="3" fontId="16" fillId="0" borderId="30" xfId="0" applyNumberFormat="1" applyFont="1" applyBorder="1" applyAlignment="1">
      <alignment horizontal="center" vertical="center" wrapText="1"/>
    </xf>
    <xf numFmtId="3" fontId="17" fillId="0" borderId="26" xfId="0" applyNumberFormat="1" applyFont="1" applyBorder="1" applyAlignment="1">
      <alignment horizontal="center" vertical="center" wrapText="1"/>
    </xf>
    <xf numFmtId="3" fontId="17" fillId="0" borderId="32" xfId="0" applyNumberFormat="1" applyFont="1" applyBorder="1" applyAlignment="1">
      <alignment horizontal="center" vertical="center" wrapText="1"/>
    </xf>
    <xf numFmtId="3" fontId="17" fillId="0" borderId="27" xfId="0" applyNumberFormat="1" applyFont="1" applyBorder="1" applyAlignment="1">
      <alignment horizontal="center" vertical="center" wrapText="1"/>
    </xf>
    <xf numFmtId="3" fontId="18" fillId="0" borderId="32" xfId="0" applyNumberFormat="1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4" fontId="5" fillId="0" borderId="8" xfId="0" applyNumberFormat="1" applyFont="1" applyBorder="1" applyAlignment="1">
      <alignment horizontal="center" vertical="center" wrapText="1"/>
    </xf>
    <xf numFmtId="4" fontId="5" fillId="0" borderId="18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3" fontId="7" fillId="0" borderId="7" xfId="0" applyNumberFormat="1" applyFont="1" applyBorder="1" applyAlignment="1">
      <alignment horizontal="center" vertical="center" wrapText="1"/>
    </xf>
    <xf numFmtId="3" fontId="14" fillId="0" borderId="26" xfId="0" applyNumberFormat="1" applyFont="1" applyBorder="1" applyAlignment="1">
      <alignment horizontal="center" vertical="center" wrapText="1"/>
    </xf>
    <xf numFmtId="3" fontId="14" fillId="0" borderId="31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20" fillId="0" borderId="26" xfId="0" applyNumberFormat="1" applyFont="1" applyBorder="1" applyAlignment="1">
      <alignment horizontal="center" vertical="center" wrapText="1"/>
    </xf>
    <xf numFmtId="3" fontId="20" fillId="0" borderId="31" xfId="0" applyNumberFormat="1" applyFont="1" applyBorder="1" applyAlignment="1">
      <alignment horizontal="center" vertical="center" wrapText="1"/>
    </xf>
    <xf numFmtId="3" fontId="20" fillId="0" borderId="32" xfId="0" applyNumberFormat="1" applyFont="1" applyBorder="1" applyAlignment="1">
      <alignment horizontal="center" vertical="center" wrapText="1"/>
    </xf>
    <xf numFmtId="3" fontId="20" fillId="0" borderId="27" xfId="0" applyNumberFormat="1" applyFont="1" applyBorder="1" applyAlignment="1">
      <alignment horizontal="center" vertical="center" wrapText="1"/>
    </xf>
    <xf numFmtId="3" fontId="20" fillId="0" borderId="33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55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 wrapText="1"/>
    </xf>
    <xf numFmtId="0" fontId="73" fillId="0" borderId="17" xfId="0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3" fontId="5" fillId="0" borderId="31" xfId="0" applyNumberFormat="1" applyFont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5" fillId="0" borderId="38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5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11" xfId="0" applyNumberFormat="1" applyFont="1" applyBorder="1" applyAlignment="1">
      <alignment horizontal="center" vertical="center" wrapText="1"/>
    </xf>
    <xf numFmtId="4" fontId="5" fillId="0" borderId="55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170" fontId="5" fillId="0" borderId="23" xfId="0" applyNumberFormat="1" applyFont="1" applyBorder="1" applyAlignment="1">
      <alignment horizontal="center" vertical="center" wrapText="1"/>
    </xf>
    <xf numFmtId="170" fontId="5" fillId="0" borderId="20" xfId="0" applyNumberFormat="1" applyFont="1" applyBorder="1" applyAlignment="1">
      <alignment horizontal="center" vertical="center" wrapText="1"/>
    </xf>
    <xf numFmtId="170" fontId="5" fillId="0" borderId="22" xfId="0" applyNumberFormat="1" applyFont="1" applyBorder="1" applyAlignment="1">
      <alignment horizontal="center" vertical="center" wrapText="1"/>
    </xf>
    <xf numFmtId="3" fontId="58" fillId="0" borderId="73" xfId="0" applyNumberFormat="1" applyFont="1" applyBorder="1" applyAlignment="1">
      <alignment horizontal="center" vertical="center" wrapText="1"/>
    </xf>
    <xf numFmtId="3" fontId="149" fillId="0" borderId="14" xfId="0" applyNumberFormat="1" applyFont="1" applyBorder="1" applyAlignment="1">
      <alignment horizontal="center" vertical="center" wrapText="1"/>
    </xf>
    <xf numFmtId="3" fontId="149" fillId="0" borderId="74" xfId="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143" fillId="22" borderId="73" xfId="0" applyNumberFormat="1" applyFont="1" applyFill="1" applyBorder="1" applyAlignment="1">
      <alignment horizontal="center" vertical="center" wrapText="1"/>
    </xf>
    <xf numFmtId="3" fontId="144" fillId="22" borderId="14" xfId="0" applyNumberFormat="1" applyFont="1" applyFill="1" applyBorder="1" applyAlignment="1">
      <alignment horizontal="center" vertical="center" wrapText="1"/>
    </xf>
    <xf numFmtId="3" fontId="144" fillId="22" borderId="74" xfId="0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3" fontId="5" fillId="0" borderId="35" xfId="0" applyNumberFormat="1" applyFont="1" applyBorder="1" applyAlignment="1">
      <alignment horizontal="center" vertical="center" wrapText="1"/>
    </xf>
    <xf numFmtId="3" fontId="0" fillId="0" borderId="41" xfId="0" applyNumberFormat="1" applyBorder="1" applyAlignment="1">
      <alignment horizontal="center" vertical="center" wrapText="1"/>
    </xf>
    <xf numFmtId="3" fontId="0" fillId="0" borderId="75" xfId="0" applyNumberFormat="1" applyBorder="1" applyAlignment="1">
      <alignment horizontal="center" vertical="center" wrapText="1"/>
    </xf>
    <xf numFmtId="0" fontId="7" fillId="21" borderId="11" xfId="0" applyFont="1" applyFill="1" applyBorder="1" applyAlignment="1">
      <alignment horizontal="center" vertical="center" wrapText="1"/>
    </xf>
    <xf numFmtId="0" fontId="0" fillId="21" borderId="10" xfId="0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0" fillId="21" borderId="2" xfId="0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center" vertical="center" wrapText="1"/>
    </xf>
    <xf numFmtId="3" fontId="28" fillId="14" borderId="44" xfId="0" applyNumberFormat="1" applyFont="1" applyFill="1" applyBorder="1" applyAlignment="1">
      <alignment horizontal="center" vertical="center" wrapText="1"/>
    </xf>
    <xf numFmtId="3" fontId="112" fillId="14" borderId="45" xfId="0" applyNumberFormat="1" applyFont="1" applyFill="1" applyBorder="1" applyAlignment="1">
      <alignment horizontal="center" vertical="center" wrapText="1"/>
    </xf>
    <xf numFmtId="3" fontId="112" fillId="14" borderId="59" xfId="0" applyNumberFormat="1" applyFont="1" applyFill="1" applyBorder="1" applyAlignment="1">
      <alignment horizontal="center" vertical="center" wrapText="1"/>
    </xf>
    <xf numFmtId="0" fontId="7" fillId="21" borderId="23" xfId="0" applyFont="1" applyFill="1" applyBorder="1" applyAlignment="1">
      <alignment horizontal="center" vertical="center" wrapText="1"/>
    </xf>
    <xf numFmtId="0" fontId="0" fillId="21" borderId="20" xfId="0" applyFill="1" applyBorder="1" applyAlignment="1">
      <alignment horizontal="center" vertical="center" wrapText="1"/>
    </xf>
    <xf numFmtId="3" fontId="5" fillId="0" borderId="10" xfId="0" applyNumberFormat="1" applyFon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4" fontId="7" fillId="0" borderId="10" xfId="0" applyNumberFormat="1" applyFont="1" applyBorder="1" applyAlignment="1">
      <alignment horizontal="center" vertical="center" wrapText="1"/>
    </xf>
    <xf numFmtId="0" fontId="111" fillId="0" borderId="10" xfId="0" applyFont="1" applyBorder="1" applyAlignment="1">
      <alignment vertical="center" wrapText="1"/>
    </xf>
    <xf numFmtId="0" fontId="52" fillId="0" borderId="2" xfId="0" applyFont="1" applyBorder="1" applyAlignment="1">
      <alignment vertical="center" wrapText="1"/>
    </xf>
    <xf numFmtId="0" fontId="52" fillId="0" borderId="10" xfId="0" applyFont="1" applyBorder="1" applyAlignment="1">
      <alignment vertical="center" wrapText="1"/>
    </xf>
    <xf numFmtId="0" fontId="53" fillId="0" borderId="17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38" fillId="0" borderId="17" xfId="0" applyFont="1" applyBorder="1" applyAlignment="1">
      <alignment vertical="center" wrapText="1"/>
    </xf>
    <xf numFmtId="3" fontId="41" fillId="0" borderId="23" xfId="0" applyNumberFormat="1" applyFont="1" applyBorder="1" applyAlignment="1">
      <alignment horizontal="center" vertical="center" wrapText="1"/>
    </xf>
    <xf numFmtId="3" fontId="7" fillId="0" borderId="44" xfId="0" applyNumberFormat="1" applyFont="1" applyBorder="1" applyAlignment="1">
      <alignment horizontal="center" vertical="center" wrapText="1"/>
    </xf>
    <xf numFmtId="3" fontId="4" fillId="0" borderId="45" xfId="0" applyNumberFormat="1" applyFont="1" applyBorder="1" applyAlignment="1">
      <alignment horizontal="center" vertical="center" wrapText="1"/>
    </xf>
    <xf numFmtId="3" fontId="4" fillId="0" borderId="59" xfId="0" applyNumberFormat="1" applyFont="1" applyBorder="1" applyAlignment="1">
      <alignment horizontal="center" vertical="center" wrapText="1"/>
    </xf>
    <xf numFmtId="4" fontId="5" fillId="0" borderId="23" xfId="0" applyNumberFormat="1" applyFont="1" applyBorder="1" applyAlignment="1">
      <alignment horizontal="center" vertical="center" wrapText="1"/>
    </xf>
    <xf numFmtId="4" fontId="5" fillId="0" borderId="20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7" fillId="0" borderId="46" xfId="0" applyNumberFormat="1" applyFont="1" applyBorder="1" applyAlignment="1">
      <alignment horizontal="center" vertical="center" wrapText="1"/>
    </xf>
    <xf numFmtId="3" fontId="8" fillId="0" borderId="50" xfId="0" applyNumberFormat="1" applyFont="1" applyBorder="1" applyAlignment="1">
      <alignment horizontal="center" vertical="center" wrapText="1"/>
    </xf>
    <xf numFmtId="3" fontId="20" fillId="0" borderId="43" xfId="0" applyNumberFormat="1" applyFont="1" applyBorder="1" applyAlignment="1">
      <alignment vertical="center" wrapText="1"/>
    </xf>
    <xf numFmtId="3" fontId="20" fillId="0" borderId="52" xfId="0" applyNumberFormat="1" applyFont="1" applyBorder="1" applyAlignment="1">
      <alignment vertical="center" wrapText="1"/>
    </xf>
    <xf numFmtId="3" fontId="7" fillId="0" borderId="37" xfId="0" applyNumberFormat="1" applyFont="1" applyBorder="1" applyAlignment="1">
      <alignment horizontal="center" vertical="center" wrapText="1"/>
    </xf>
    <xf numFmtId="3" fontId="4" fillId="0" borderId="42" xfId="0" applyNumberFormat="1" applyFont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center" vertical="center" wrapText="1"/>
    </xf>
    <xf numFmtId="3" fontId="41" fillId="0" borderId="2" xfId="0" applyNumberFormat="1" applyFont="1" applyBorder="1" applyAlignment="1">
      <alignment horizontal="center" vertical="center" wrapText="1"/>
    </xf>
    <xf numFmtId="3" fontId="9" fillId="0" borderId="4" xfId="0" applyNumberFormat="1" applyFont="1" applyBorder="1" applyAlignment="1">
      <alignment horizontal="center" vertical="center" wrapText="1"/>
    </xf>
    <xf numFmtId="3" fontId="41" fillId="0" borderId="3" xfId="0" applyNumberFormat="1" applyFont="1" applyBorder="1" applyAlignment="1">
      <alignment horizontal="center" vertical="center" wrapText="1"/>
    </xf>
    <xf numFmtId="3" fontId="8" fillId="0" borderId="60" xfId="0" applyNumberFormat="1" applyFont="1" applyBorder="1" applyAlignment="1">
      <alignment horizontal="center" vertical="center" wrapText="1"/>
    </xf>
    <xf numFmtId="3" fontId="20" fillId="0" borderId="56" xfId="0" applyNumberFormat="1" applyFont="1" applyBorder="1" applyAlignment="1">
      <alignment horizontal="center" vertical="center" wrapText="1"/>
    </xf>
    <xf numFmtId="3" fontId="20" fillId="0" borderId="61" xfId="0" applyNumberFormat="1" applyFont="1" applyBorder="1" applyAlignment="1">
      <alignment horizontal="center" vertical="center" wrapText="1"/>
    </xf>
    <xf numFmtId="3" fontId="7" fillId="0" borderId="30" xfId="0" applyNumberFormat="1" applyFont="1" applyBorder="1" applyAlignment="1">
      <alignment horizontal="center" vertical="center" wrapText="1"/>
    </xf>
    <xf numFmtId="3" fontId="7" fillId="0" borderId="78" xfId="0" applyNumberFormat="1" applyFont="1" applyBorder="1" applyAlignment="1">
      <alignment horizontal="center" vertical="center" wrapText="1"/>
    </xf>
    <xf numFmtId="3" fontId="7" fillId="0" borderId="32" xfId="0" applyNumberFormat="1" applyFont="1" applyBorder="1" applyAlignment="1">
      <alignment horizontal="center" vertical="center" wrapText="1"/>
    </xf>
    <xf numFmtId="3" fontId="7" fillId="0" borderId="27" xfId="0" applyNumberFormat="1" applyFont="1" applyBorder="1" applyAlignment="1">
      <alignment horizontal="center" vertical="center" wrapText="1"/>
    </xf>
    <xf numFmtId="3" fontId="7" fillId="0" borderId="28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wrapText="1"/>
    </xf>
    <xf numFmtId="0" fontId="35" fillId="11" borderId="1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 vertical="center" wrapText="1"/>
    </xf>
    <xf numFmtId="0" fontId="0" fillId="11" borderId="23" xfId="0" applyFill="1" applyBorder="1" applyAlignment="1">
      <alignment horizontal="center" vertical="center" wrapText="1"/>
    </xf>
    <xf numFmtId="0" fontId="35" fillId="11" borderId="4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vertical="center" wrapText="1"/>
    </xf>
    <xf numFmtId="0" fontId="0" fillId="11" borderId="23" xfId="0" applyFill="1" applyBorder="1" applyAlignment="1">
      <alignment vertical="center" wrapText="1"/>
    </xf>
    <xf numFmtId="0" fontId="35" fillId="11" borderId="72" xfId="0" applyFont="1" applyFill="1" applyBorder="1" applyAlignment="1">
      <alignment vertical="center" wrapText="1"/>
    </xf>
    <xf numFmtId="0" fontId="0" fillId="11" borderId="62" xfId="0" applyFill="1" applyBorder="1" applyAlignment="1">
      <alignment vertical="center" wrapText="1"/>
    </xf>
    <xf numFmtId="0" fontId="35" fillId="11" borderId="60" xfId="0" applyFont="1" applyFill="1" applyBorder="1" applyAlignment="1">
      <alignment vertical="center" wrapText="1"/>
    </xf>
    <xf numFmtId="0" fontId="0" fillId="11" borderId="63" xfId="0" applyFill="1" applyBorder="1" applyAlignment="1">
      <alignment vertical="center" wrapText="1"/>
    </xf>
    <xf numFmtId="0" fontId="16" fillId="0" borderId="44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76" fillId="13" borderId="0" xfId="0" applyFont="1" applyFill="1" applyAlignment="1">
      <alignment horizontal="center" vertical="center"/>
    </xf>
    <xf numFmtId="0" fontId="76" fillId="13" borderId="71" xfId="0" applyFont="1" applyFill="1" applyBorder="1" applyAlignment="1">
      <alignment horizontal="center" vertical="center"/>
    </xf>
    <xf numFmtId="3" fontId="27" fillId="4" borderId="51" xfId="0" applyNumberFormat="1" applyFont="1" applyFill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4" fontId="35" fillId="0" borderId="5" xfId="0" applyNumberFormat="1" applyFont="1" applyBorder="1" applyAlignment="1">
      <alignment horizontal="center" vertical="center" wrapText="1"/>
    </xf>
    <xf numFmtId="4" fontId="35" fillId="0" borderId="6" xfId="0" applyNumberFormat="1" applyFont="1" applyBorder="1" applyAlignment="1">
      <alignment horizontal="center" vertical="center" wrapText="1"/>
    </xf>
    <xf numFmtId="4" fontId="56" fillId="0" borderId="6" xfId="0" applyNumberFormat="1" applyFont="1" applyBorder="1" applyAlignment="1">
      <alignment horizontal="center" vertical="center" wrapText="1"/>
    </xf>
    <xf numFmtId="4" fontId="35" fillId="0" borderId="7" xfId="0" applyNumberFormat="1" applyFont="1" applyBorder="1" applyAlignment="1">
      <alignment horizontal="center" vertical="center" wrapText="1"/>
    </xf>
    <xf numFmtId="4" fontId="118" fillId="0" borderId="67" xfId="0" applyNumberFormat="1" applyFont="1" applyBorder="1" applyAlignment="1">
      <alignment horizontal="center" vertical="center" wrapText="1"/>
    </xf>
    <xf numFmtId="4" fontId="118" fillId="0" borderId="69" xfId="0" applyNumberFormat="1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3" fontId="35" fillId="0" borderId="5" xfId="0" applyNumberFormat="1" applyFont="1" applyBorder="1" applyAlignment="1">
      <alignment horizontal="center" vertical="center"/>
    </xf>
    <xf numFmtId="3" fontId="35" fillId="0" borderId="6" xfId="0" applyNumberFormat="1" applyFont="1" applyBorder="1" applyAlignment="1">
      <alignment horizontal="center" vertical="center"/>
    </xf>
    <xf numFmtId="3" fontId="35" fillId="0" borderId="7" xfId="0" applyNumberFormat="1" applyFont="1" applyBorder="1" applyAlignment="1">
      <alignment horizontal="center" vertical="center"/>
    </xf>
    <xf numFmtId="3" fontId="69" fillId="4" borderId="67" xfId="0" applyNumberFormat="1" applyFont="1" applyFill="1" applyBorder="1" applyAlignment="1">
      <alignment horizontal="center" vertical="center" wrapText="1"/>
    </xf>
    <xf numFmtId="3" fontId="69" fillId="4" borderId="69" xfId="0" applyNumberFormat="1" applyFont="1" applyFill="1" applyBorder="1" applyAlignment="1">
      <alignment horizontal="center" vertical="center" wrapText="1"/>
    </xf>
    <xf numFmtId="4" fontId="27" fillId="4" borderId="30" xfId="0" applyNumberFormat="1" applyFont="1" applyFill="1" applyBorder="1" applyAlignment="1">
      <alignment horizontal="center" vertical="center" wrapText="1"/>
    </xf>
    <xf numFmtId="4" fontId="27" fillId="4" borderId="68" xfId="0" applyNumberFormat="1" applyFont="1" applyFill="1" applyBorder="1" applyAlignment="1">
      <alignment horizontal="center" vertical="center" wrapText="1"/>
    </xf>
    <xf numFmtId="4" fontId="27" fillId="4" borderId="67" xfId="0" applyNumberFormat="1" applyFont="1" applyFill="1" applyBorder="1" applyAlignment="1">
      <alignment horizontal="center" vertical="center" wrapText="1"/>
    </xf>
    <xf numFmtId="4" fontId="27" fillId="4" borderId="69" xfId="0" applyNumberFormat="1" applyFont="1" applyFill="1" applyBorder="1" applyAlignment="1">
      <alignment horizontal="center" vertical="center" wrapText="1"/>
    </xf>
    <xf numFmtId="4" fontId="27" fillId="4" borderId="6" xfId="0" applyNumberFormat="1" applyFont="1" applyFill="1" applyBorder="1" applyAlignment="1">
      <alignment horizontal="center" vertical="center" wrapText="1"/>
    </xf>
    <xf numFmtId="4" fontId="27" fillId="4" borderId="7" xfId="0" applyNumberFormat="1" applyFont="1" applyFill="1" applyBorder="1" applyAlignment="1">
      <alignment horizontal="center" vertical="center" wrapText="1"/>
    </xf>
    <xf numFmtId="4" fontId="48" fillId="0" borderId="10" xfId="0" applyNumberFormat="1" applyFont="1" applyBorder="1" applyAlignment="1">
      <alignment horizontal="center" vertical="center"/>
    </xf>
    <xf numFmtId="4" fontId="47" fillId="0" borderId="67" xfId="0" applyNumberFormat="1" applyFont="1" applyBorder="1" applyAlignment="1">
      <alignment horizontal="center" vertical="center" wrapText="1"/>
    </xf>
    <xf numFmtId="4" fontId="47" fillId="0" borderId="69" xfId="0" applyNumberFormat="1" applyFont="1" applyBorder="1" applyAlignment="1">
      <alignment horizontal="center" vertical="center" wrapText="1"/>
    </xf>
    <xf numFmtId="3" fontId="27" fillId="4" borderId="51" xfId="0" applyNumberFormat="1" applyFont="1" applyFill="1" applyBorder="1" applyAlignment="1">
      <alignment horizontal="center" vertical="center"/>
    </xf>
    <xf numFmtId="3" fontId="27" fillId="4" borderId="31" xfId="0" applyNumberFormat="1" applyFont="1" applyFill="1" applyBorder="1" applyAlignment="1">
      <alignment horizontal="center" vertical="center" wrapText="1"/>
    </xf>
    <xf numFmtId="3" fontId="27" fillId="4" borderId="70" xfId="0" applyNumberFormat="1" applyFont="1" applyFill="1" applyBorder="1" applyAlignment="1">
      <alignment horizontal="center" vertical="center" wrapText="1"/>
    </xf>
    <xf numFmtId="3" fontId="27" fillId="4" borderId="26" xfId="0" applyNumberFormat="1" applyFont="1" applyFill="1" applyBorder="1" applyAlignment="1">
      <alignment horizontal="center" vertical="center" wrapText="1"/>
    </xf>
    <xf numFmtId="3" fontId="27" fillId="4" borderId="71" xfId="0" applyNumberFormat="1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0" xfId="0" applyFont="1" applyFill="1" applyBorder="1" applyAlignment="1">
      <alignment horizontal="center" vertical="center"/>
    </xf>
    <xf numFmtId="0" fontId="152" fillId="0" borderId="71" xfId="0" applyFont="1" applyBorder="1" applyAlignment="1">
      <alignment horizontal="center" vertical="center"/>
    </xf>
    <xf numFmtId="0" fontId="133" fillId="0" borderId="5" xfId="0" applyFont="1" applyBorder="1" applyAlignment="1">
      <alignment horizontal="center" vertical="center"/>
    </xf>
    <xf numFmtId="0" fontId="133" fillId="0" borderId="6" xfId="0" applyFont="1" applyBorder="1" applyAlignment="1">
      <alignment horizontal="center" vertical="center"/>
    </xf>
    <xf numFmtId="0" fontId="133" fillId="0" borderId="7" xfId="0" applyFont="1" applyBorder="1" applyAlignment="1">
      <alignment horizontal="center" vertical="center"/>
    </xf>
    <xf numFmtId="3" fontId="27" fillId="0" borderId="67" xfId="0" applyNumberFormat="1" applyFont="1" applyBorder="1" applyAlignment="1">
      <alignment horizontal="center" vertical="center" wrapText="1"/>
    </xf>
    <xf numFmtId="3" fontId="27" fillId="0" borderId="69" xfId="0" applyNumberFormat="1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vertical="center"/>
    </xf>
    <xf numFmtId="0" fontId="5" fillId="0" borderId="59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165" fontId="47" fillId="4" borderId="67" xfId="7" applyFont="1" applyFill="1" applyBorder="1" applyAlignment="1">
      <alignment horizontal="center" vertical="center"/>
    </xf>
    <xf numFmtId="165" fontId="47" fillId="4" borderId="46" xfId="7" applyFont="1" applyFill="1" applyBorder="1" applyAlignment="1">
      <alignment horizontal="center" vertical="center"/>
    </xf>
    <xf numFmtId="0" fontId="130" fillId="0" borderId="5" xfId="0" applyFont="1" applyBorder="1" applyAlignment="1">
      <alignment horizontal="center" vertical="center" wrapText="1"/>
    </xf>
    <xf numFmtId="0" fontId="130" fillId="0" borderId="6" xfId="0" applyFont="1" applyBorder="1" applyAlignment="1">
      <alignment horizontal="center" vertical="center" wrapText="1"/>
    </xf>
    <xf numFmtId="0" fontId="130" fillId="0" borderId="7" xfId="0" applyFont="1" applyBorder="1" applyAlignment="1">
      <alignment horizontal="center" vertical="center" wrapText="1"/>
    </xf>
    <xf numFmtId="167" fontId="7" fillId="0" borderId="8" xfId="0" applyNumberFormat="1" applyFont="1" applyBorder="1" applyAlignment="1">
      <alignment horizontal="center" vertical="center" wrapText="1"/>
    </xf>
    <xf numFmtId="167" fontId="7" fillId="0" borderId="14" xfId="0" applyNumberFormat="1" applyFont="1" applyBorder="1" applyAlignment="1">
      <alignment horizontal="center" vertical="center" wrapText="1"/>
    </xf>
    <xf numFmtId="167" fontId="7" fillId="0" borderId="9" xfId="0" applyNumberFormat="1" applyFont="1" applyBorder="1" applyAlignment="1">
      <alignment horizontal="center" vertical="center" wrapText="1"/>
    </xf>
    <xf numFmtId="4" fontId="7" fillId="0" borderId="8" xfId="0" applyNumberFormat="1" applyFont="1" applyBorder="1" applyAlignment="1">
      <alignment horizontal="center" vertical="center" wrapText="1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9" xfId="0" applyNumberFormat="1" applyFont="1" applyBorder="1" applyAlignment="1">
      <alignment horizontal="center" vertical="center" wrapText="1"/>
    </xf>
    <xf numFmtId="4" fontId="7" fillId="0" borderId="4" xfId="0" applyNumberFormat="1" applyFont="1" applyBorder="1" applyAlignment="1">
      <alignment horizontal="center" vertical="center" wrapText="1"/>
    </xf>
    <xf numFmtId="4" fontId="7" fillId="0" borderId="23" xfId="0" applyNumberFormat="1" applyFont="1" applyBorder="1" applyAlignment="1">
      <alignment horizontal="center" vertical="center" wrapText="1"/>
    </xf>
    <xf numFmtId="4" fontId="7" fillId="0" borderId="20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55" fillId="0" borderId="1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0" fontId="5" fillId="0" borderId="23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5" fillId="0" borderId="7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09" fillId="0" borderId="13" xfId="0" applyFont="1" applyBorder="1" applyAlignment="1">
      <alignment vertical="center" wrapText="1"/>
    </xf>
    <xf numFmtId="0" fontId="108" fillId="0" borderId="16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9" fillId="0" borderId="13" xfId="0" applyFont="1" applyBorder="1" applyAlignment="1">
      <alignment vertical="center" textRotation="90" wrapText="1"/>
    </xf>
    <xf numFmtId="0" fontId="10" fillId="0" borderId="16" xfId="0" applyFont="1" applyBorder="1" applyAlignment="1">
      <alignment vertical="center" textRotation="90" wrapText="1"/>
    </xf>
    <xf numFmtId="0" fontId="40" fillId="0" borderId="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61" fillId="16" borderId="35" xfId="0" applyFont="1" applyFill="1" applyBorder="1" applyAlignment="1">
      <alignment horizontal="center" vertical="center" wrapText="1"/>
    </xf>
    <xf numFmtId="0" fontId="91" fillId="16" borderId="75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2" fillId="0" borderId="23" xfId="0" applyFont="1" applyBorder="1" applyAlignment="1">
      <alignment vertical="center" wrapText="1"/>
    </xf>
    <xf numFmtId="0" fontId="52" fillId="0" borderId="22" xfId="0" applyFont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41" fillId="3" borderId="23" xfId="0" applyFont="1" applyFill="1" applyBorder="1" applyAlignment="1">
      <alignment horizontal="center" vertical="center" wrapText="1"/>
    </xf>
    <xf numFmtId="0" fontId="62" fillId="17" borderId="4" xfId="0" applyFont="1" applyFill="1" applyBorder="1" applyAlignment="1">
      <alignment horizontal="center" vertical="center" wrapText="1"/>
    </xf>
    <xf numFmtId="0" fontId="86" fillId="17" borderId="2" xfId="0" applyFont="1" applyFill="1" applyBorder="1" applyAlignment="1">
      <alignment horizontal="center" vertical="center" wrapText="1"/>
    </xf>
    <xf numFmtId="0" fontId="86" fillId="17" borderId="3" xfId="0" applyFont="1" applyFill="1" applyBorder="1" applyAlignment="1">
      <alignment horizontal="center" vertical="center" wrapText="1"/>
    </xf>
    <xf numFmtId="0" fontId="88" fillId="6" borderId="44" xfId="0" applyFont="1" applyFill="1" applyBorder="1" applyAlignment="1">
      <alignment horizontal="center" vertical="center" wrapText="1"/>
    </xf>
    <xf numFmtId="0" fontId="89" fillId="6" borderId="59" xfId="0" applyFont="1" applyFill="1" applyBorder="1" applyAlignment="1">
      <alignment horizontal="center" vertical="center" wrapText="1"/>
    </xf>
    <xf numFmtId="0" fontId="44" fillId="15" borderId="10" xfId="0" applyFont="1" applyFill="1" applyBorder="1" applyAlignment="1">
      <alignment horizontal="center" vertical="center" wrapText="1"/>
    </xf>
    <xf numFmtId="0" fontId="0" fillId="15" borderId="10" xfId="0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4" fontId="35" fillId="0" borderId="13" xfId="0" applyNumberFormat="1" applyFont="1" applyBorder="1" applyAlignment="1">
      <alignment horizontal="center" vertical="center" wrapText="1"/>
    </xf>
    <xf numFmtId="4" fontId="28" fillId="0" borderId="16" xfId="0" applyNumberFormat="1" applyFont="1" applyBorder="1" applyAlignment="1">
      <alignment horizontal="center" vertical="center" wrapText="1"/>
    </xf>
    <xf numFmtId="4" fontId="68" fillId="0" borderId="10" xfId="0" applyNumberFormat="1" applyFont="1" applyBorder="1" applyAlignment="1">
      <alignment horizontal="center" vertical="center" wrapText="1"/>
    </xf>
    <xf numFmtId="4" fontId="115" fillId="0" borderId="10" xfId="0" applyNumberFormat="1" applyFont="1" applyBorder="1" applyAlignment="1">
      <alignment horizontal="center" vertical="center" wrapText="1"/>
    </xf>
    <xf numFmtId="0" fontId="0" fillId="0" borderId="67" xfId="0" applyBorder="1" applyAlignment="1">
      <alignment vertical="center" wrapText="1" shrinkToFit="1"/>
    </xf>
    <xf numFmtId="0" fontId="0" fillId="0" borderId="36" xfId="0" applyBorder="1" applyAlignment="1">
      <alignment vertical="center" wrapText="1" shrinkToFit="1"/>
    </xf>
    <xf numFmtId="0" fontId="0" fillId="0" borderId="68" xfId="0" applyBorder="1" applyAlignment="1">
      <alignment vertical="center" wrapText="1" shrinkToFit="1"/>
    </xf>
    <xf numFmtId="0" fontId="125" fillId="0" borderId="6" xfId="0" applyFont="1" applyBorder="1" applyAlignment="1">
      <alignment horizontal="center" wrapText="1"/>
    </xf>
    <xf numFmtId="0" fontId="126" fillId="0" borderId="6" xfId="0" applyFont="1" applyBorder="1" applyAlignment="1">
      <alignment horizontal="center" wrapText="1"/>
    </xf>
    <xf numFmtId="0" fontId="126" fillId="0" borderId="7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0" fillId="0" borderId="51" xfId="0" applyBorder="1" applyAlignment="1">
      <alignment vertical="center" wrapText="1" shrinkToFit="1"/>
    </xf>
    <xf numFmtId="0" fontId="0" fillId="0" borderId="69" xfId="0" applyBorder="1" applyAlignment="1">
      <alignment vertical="center" wrapText="1" shrinkToFit="1"/>
    </xf>
    <xf numFmtId="0" fontId="125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</cellXfs>
  <cellStyles count="8">
    <cellStyle name="Обычный" xfId="0" builtinId="0"/>
    <cellStyle name="Обычный 10" xfId="5" xr:uid="{00000000-0005-0000-0000-000001000000}"/>
    <cellStyle name="Обычный 2" xfId="1" xr:uid="{00000000-0005-0000-0000-000002000000}"/>
    <cellStyle name="Обычный 2 8" xfId="6" xr:uid="{00000000-0005-0000-0000-000003000000}"/>
    <cellStyle name="Обычный 3" xfId="2" xr:uid="{00000000-0005-0000-0000-000004000000}"/>
    <cellStyle name="Обычный 3 6" xfId="3" xr:uid="{00000000-0005-0000-0000-000005000000}"/>
    <cellStyle name="Обычный 9" xfId="4" xr:uid="{00000000-0005-0000-0000-000006000000}"/>
    <cellStyle name="Финансовый" xfId="7" builtinId="3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00FF"/>
      <color rgb="FFFF0066"/>
      <color rgb="FF99FFCC"/>
      <color rgb="FF66FFFF"/>
      <color rgb="FFFFFF99"/>
      <color rgb="FFFFFF66"/>
      <color rgb="FFFFCC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</xdr:row>
          <xdr:rowOff>99060</xdr:rowOff>
        </xdr:from>
        <xdr:to>
          <xdr:col>12</xdr:col>
          <xdr:colOff>480060</xdr:colOff>
          <xdr:row>4</xdr:row>
          <xdr:rowOff>175260</xdr:rowOff>
        </xdr:to>
        <xdr:sp macro="" textlink="">
          <xdr:nvSpPr>
            <xdr:cNvPr id="9217" name="ComboBox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978958</xdr:colOff>
      <xdr:row>43</xdr:row>
      <xdr:rowOff>9525</xdr:rowOff>
    </xdr:from>
    <xdr:to>
      <xdr:col>4</xdr:col>
      <xdr:colOff>140758</xdr:colOff>
      <xdr:row>44</xdr:row>
      <xdr:rowOff>161925</xdr:rowOff>
    </xdr:to>
    <xdr:sp macro="" textlink="">
      <xdr:nvSpPr>
        <xdr:cNvPr id="2" name="Правая фигурная скобк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312958" y="9890125"/>
          <a:ext cx="152400" cy="338667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47;&#1074;&#1110;&#1090;%20&#1087;&#1088;&#1086;%20&#1074;&#1080;&#1082;&#1086;&#1085;&#1072;&#1085;&#1085;&#1103;%20&#1082;&#1086;&#1096;&#1090;&#1086;&#1088;&#1080;&#1089;&#1091;%2001.03.2024-01.03.2025.xlsx" TargetMode="External"/><Relationship Id="rId1" Type="http://schemas.openxmlformats.org/officeDocument/2006/relationships/externalLinkPath" Target="&#1047;&#1074;&#1110;&#1090;%20&#1087;&#1088;&#1086;%20&#1074;&#1080;&#1082;&#1086;&#1085;&#1072;&#1085;&#1085;&#1103;%20&#1082;&#1086;&#1096;&#1090;&#1086;&#1088;&#1080;&#1089;&#1091;%2001.03.2024-01.03.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7;&#1110;&#1095;&#1077;&#1085;&#1100;%202024%20-%20&#1051;&#1102;&#1090;&#1080;&#1081;%202024%20-%20&#1041;&#1059;&#1044;&#1048;&#1053;&#1050;&#1048;%20&#1057;&#1058;&#1040;&#1053;&#1054;&#1052;%20&#1053;&#1040;%2001.03.2024.xlsx" TargetMode="External"/><Relationship Id="rId1" Type="http://schemas.openxmlformats.org/officeDocument/2006/relationships/externalLinkPath" Target="&#1057;&#1110;&#1095;&#1077;&#1085;&#1100;%202024%20-%20&#1051;&#1102;&#1090;&#1080;&#1081;%202024%20-%20&#1041;&#1059;&#1044;&#1048;&#1053;&#1050;&#1048;%20&#1057;&#1058;&#1040;&#1053;&#1054;&#1052;%20&#1053;&#1040;%2001.03.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&#1055;&#1045;&#1042;\&#1043;&#1088;&#1077;&#1095;&#1082;&#1086;\&#1057;&#1110;&#1095;&#1077;&#1085;&#1100;%202024%20&#8212;%20&#1082;&#1086;&#1087;&#1080;&#1103;.xlsx" TargetMode="External"/><Relationship Id="rId1" Type="http://schemas.openxmlformats.org/officeDocument/2006/relationships/externalLinkPath" Target="file:///Y:\&#1055;&#1045;&#1042;\&#1043;&#1088;&#1077;&#1095;&#1082;&#1086;\&#1057;&#1110;&#1095;&#1077;&#1085;&#1100;%202024%20&#8212;%20&#1082;&#1086;&#1087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місяць"/>
      <sheetName val="зведена таблиця"/>
      <sheetName val="побудинковий звіт"/>
      <sheetName val="Лист2"/>
      <sheetName val="первичка 1"/>
      <sheetName val="первичка 2"/>
      <sheetName val="поточний ремонт"/>
      <sheetName val="ПР будинок"/>
      <sheetName val="ДЗ нас "/>
      <sheetName val="ДЗ нежит"/>
      <sheetName val="накладні витрати"/>
      <sheetName val="нач"/>
      <sheetName val="кошти 01.03.23"/>
      <sheetName val="кошти 01.03.24"/>
      <sheetName val="Лист4"/>
      <sheetName val="коди"/>
      <sheetName val="ціни"/>
      <sheetName val="кошти 01.03.20"/>
      <sheetName val="Лист3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</sheetNames>
    <sheetDataSet>
      <sheetData sheetId="0"/>
      <sheetData sheetId="1"/>
      <sheetData sheetId="2"/>
      <sheetData sheetId="3">
        <row r="6">
          <cell r="DA6" t="str">
            <v>Залишок коштів по будинку станом на 01.01.2025 року (за період надання послуги з управління) "-" - борг підприємства; "+" - борг населення</v>
          </cell>
          <cell r="DC6" t="str">
            <v>Станом на 01.01.2025</v>
          </cell>
          <cell r="DD6"/>
        </row>
        <row r="7">
          <cell r="DA7"/>
        </row>
        <row r="8">
          <cell r="DA8"/>
        </row>
        <row r="9">
          <cell r="F9">
            <v>372.8</v>
          </cell>
          <cell r="G9">
            <v>0</v>
          </cell>
          <cell r="H9">
            <v>0</v>
          </cell>
          <cell r="I9">
            <v>1781.0532159437812</v>
          </cell>
          <cell r="J9">
            <v>1762.8149734919516</v>
          </cell>
          <cell r="L9">
            <v>300.44066057293878</v>
          </cell>
          <cell r="M9">
            <v>314.16594320486854</v>
          </cell>
          <cell r="O9">
            <v>585.51890823063604</v>
          </cell>
          <cell r="P9">
            <v>587.18306129540633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406.80836222496669</v>
          </cell>
          <cell r="Y9">
            <v>334.41105597586625</v>
          </cell>
          <cell r="AA9">
            <v>0</v>
          </cell>
          <cell r="AB9">
            <v>0</v>
          </cell>
          <cell r="AD9">
            <v>1351.278308808922</v>
          </cell>
          <cell r="AE9">
            <v>1318.6972972469284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1255.0087664888001</v>
          </cell>
          <cell r="AQ9">
            <v>1005.7137036113381</v>
          </cell>
          <cell r="AS9">
            <v>5639.9870405431775</v>
          </cell>
          <cell r="AT9">
            <v>248.49274725836409</v>
          </cell>
          <cell r="AV9">
            <v>326.7373937858498</v>
          </cell>
          <cell r="AW9">
            <v>0</v>
          </cell>
          <cell r="AY9">
            <v>355.26641327506138</v>
          </cell>
          <cell r="AZ9">
            <v>0</v>
          </cell>
          <cell r="BB9">
            <v>232.99844584782588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150.42442725745678</v>
          </cell>
          <cell r="BL9">
            <v>0</v>
          </cell>
          <cell r="BN9">
            <v>15.685434319842152</v>
          </cell>
          <cell r="BO9">
            <v>0</v>
          </cell>
          <cell r="BT9">
            <v>3942.2355297110362</v>
          </cell>
          <cell r="BU9">
            <v>12058.919460608271</v>
          </cell>
          <cell r="BW9">
            <v>1997.0892153623649</v>
          </cell>
          <cell r="BX9">
            <v>1999.8859075122004</v>
          </cell>
          <cell r="BZ9">
            <v>591.1278037891243</v>
          </cell>
          <cell r="CA9">
            <v>135.26234717674302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137.78670670887931</v>
          </cell>
          <cell r="CY9">
            <v>-862.87717875530279</v>
          </cell>
          <cell r="DA9">
            <v>21000.690439034672</v>
          </cell>
          <cell r="DC9">
            <v>3831.08</v>
          </cell>
          <cell r="DD9">
            <v>0</v>
          </cell>
          <cell r="DE9">
            <v>861.79999999999973</v>
          </cell>
          <cell r="DF9">
            <v>0</v>
          </cell>
          <cell r="DW9">
            <v>0</v>
          </cell>
          <cell r="DX9">
            <v>0</v>
          </cell>
        </row>
        <row r="10">
          <cell r="F10">
            <v>1841.15</v>
          </cell>
          <cell r="G10">
            <v>0</v>
          </cell>
          <cell r="H10">
            <v>0</v>
          </cell>
          <cell r="I10">
            <v>6254.7783772405055</v>
          </cell>
          <cell r="J10">
            <v>6311.2873469644865</v>
          </cell>
          <cell r="L10">
            <v>1439.018843887874</v>
          </cell>
          <cell r="M10">
            <v>1493.679692734416</v>
          </cell>
          <cell r="O10">
            <v>2169.5553099763756</v>
          </cell>
          <cell r="P10">
            <v>2177.0097999751324</v>
          </cell>
          <cell r="R10">
            <v>0</v>
          </cell>
          <cell r="S10">
            <v>0</v>
          </cell>
          <cell r="U10">
            <v>187.10196558541708</v>
          </cell>
          <cell r="V10">
            <v>107.9445908639935</v>
          </cell>
          <cell r="X10">
            <v>4090.5421182089353</v>
          </cell>
          <cell r="Y10">
            <v>4059.0899142129638</v>
          </cell>
          <cell r="AA10">
            <v>0</v>
          </cell>
          <cell r="AB10">
            <v>0</v>
          </cell>
          <cell r="AD10">
            <v>6672.2689690246498</v>
          </cell>
          <cell r="AE10">
            <v>6511.460429093303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3747.4275109031805</v>
          </cell>
          <cell r="AQ10">
            <v>2139.8813702197331</v>
          </cell>
          <cell r="AS10">
            <v>24025.593599839831</v>
          </cell>
          <cell r="AT10">
            <v>7633.2364842439911</v>
          </cell>
          <cell r="AV10">
            <v>1136.8885987758758</v>
          </cell>
          <cell r="AW10">
            <v>0</v>
          </cell>
          <cell r="AY10">
            <v>1877.3380091824231</v>
          </cell>
          <cell r="AZ10">
            <v>0</v>
          </cell>
          <cell r="BB10">
            <v>1298.1388741819158</v>
          </cell>
          <cell r="BC10">
            <v>0</v>
          </cell>
          <cell r="BE10">
            <v>0</v>
          </cell>
          <cell r="BF10">
            <v>0</v>
          </cell>
          <cell r="BH10">
            <v>110.27308797143304</v>
          </cell>
          <cell r="BI10">
            <v>538.44584269462018</v>
          </cell>
          <cell r="BK10">
            <v>703.00807951609249</v>
          </cell>
          <cell r="BL10">
            <v>1210.7967459379233</v>
          </cell>
          <cell r="BN10">
            <v>370.17600719432181</v>
          </cell>
          <cell r="BO10">
            <v>5581.6815762670003</v>
          </cell>
          <cell r="BT10">
            <v>13577.011439873593</v>
          </cell>
          <cell r="BU10">
            <v>26931.665840188001</v>
          </cell>
          <cell r="BW10">
            <v>12635.336394097831</v>
          </cell>
          <cell r="BX10">
            <v>14148.517647730077</v>
          </cell>
          <cell r="BZ10">
            <v>8173.4400947340437</v>
          </cell>
          <cell r="CA10">
            <v>238.27521412208858</v>
          </cell>
          <cell r="CC10">
            <v>1003.8046811214344</v>
          </cell>
          <cell r="CD10">
            <v>1005.742321092906</v>
          </cell>
          <cell r="CF10">
            <v>124.51745716956488</v>
          </cell>
          <cell r="CG10">
            <v>0</v>
          </cell>
          <cell r="CI10">
            <v>1464.8450803320081</v>
          </cell>
          <cell r="CJ10">
            <v>839.19277803866942</v>
          </cell>
          <cell r="CL10">
            <v>0</v>
          </cell>
          <cell r="CM10">
            <v>0</v>
          </cell>
          <cell r="CX10">
            <v>2918.5715204975559</v>
          </cell>
          <cell r="CY10">
            <v>15078.359805823142</v>
          </cell>
          <cell r="DA10">
            <v>6140.8802858769195</v>
          </cell>
          <cell r="DC10">
            <v>28614.74</v>
          </cell>
          <cell r="DD10">
            <v>0</v>
          </cell>
          <cell r="DE10">
            <v>13963.250000000002</v>
          </cell>
          <cell r="DF10">
            <v>0</v>
          </cell>
          <cell r="DW10">
            <v>1062</v>
          </cell>
          <cell r="DX10">
            <v>0</v>
          </cell>
        </row>
        <row r="11">
          <cell r="F11">
            <v>2801.88</v>
          </cell>
          <cell r="G11">
            <v>0</v>
          </cell>
          <cell r="H11">
            <v>0</v>
          </cell>
          <cell r="I11">
            <v>8925.0340897144197</v>
          </cell>
          <cell r="J11">
            <v>9041.1741556164543</v>
          </cell>
          <cell r="L11">
            <v>1754.5124968825442</v>
          </cell>
          <cell r="M11">
            <v>1819.2838073645346</v>
          </cell>
          <cell r="O11">
            <v>3471.7570673967862</v>
          </cell>
          <cell r="P11">
            <v>3484.2179656808271</v>
          </cell>
          <cell r="R11">
            <v>0</v>
          </cell>
          <cell r="S11">
            <v>0</v>
          </cell>
          <cell r="U11">
            <v>603.54920644313063</v>
          </cell>
          <cell r="V11">
            <v>1262.7643977101668</v>
          </cell>
          <cell r="X11">
            <v>5682.1037405052784</v>
          </cell>
          <cell r="Y11">
            <v>5521.4655673039806</v>
          </cell>
          <cell r="AA11">
            <v>0</v>
          </cell>
          <cell r="AB11">
            <v>0</v>
          </cell>
          <cell r="AD11">
            <v>10166.867904571354</v>
          </cell>
          <cell r="AE11">
            <v>9921.155935344279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5193.6021495747918</v>
          </cell>
          <cell r="AQ11">
            <v>4393.6597964269886</v>
          </cell>
          <cell r="AS11">
            <v>43370.485450745859</v>
          </cell>
          <cell r="AT11">
            <v>4964.0278493722863</v>
          </cell>
          <cell r="AV11">
            <v>1516.3596207604137</v>
          </cell>
          <cell r="AW11">
            <v>0</v>
          </cell>
          <cell r="AY11">
            <v>2235.436782098122</v>
          </cell>
          <cell r="AZ11">
            <v>0</v>
          </cell>
          <cell r="BB11">
            <v>1847.8466835827173</v>
          </cell>
          <cell r="BC11">
            <v>0</v>
          </cell>
          <cell r="BE11">
            <v>0</v>
          </cell>
          <cell r="BF11">
            <v>0</v>
          </cell>
          <cell r="BH11">
            <v>559.30130994787476</v>
          </cell>
          <cell r="BI11">
            <v>0</v>
          </cell>
          <cell r="BK11">
            <v>1056.6469204769942</v>
          </cell>
          <cell r="BL11">
            <v>2105.355400192449</v>
          </cell>
          <cell r="BN11">
            <v>48.467992048312254</v>
          </cell>
          <cell r="BO11">
            <v>0</v>
          </cell>
          <cell r="BT11">
            <v>24952.526130262868</v>
          </cell>
          <cell r="BU11">
            <v>47508.608848946911</v>
          </cell>
          <cell r="BW11">
            <v>14349.629196584352</v>
          </cell>
          <cell r="BX11">
            <v>16187.950943172422</v>
          </cell>
          <cell r="BZ11">
            <v>11105.569080927489</v>
          </cell>
          <cell r="CA11">
            <v>315.91095284715487</v>
          </cell>
          <cell r="CC11">
            <v>1472.6399114000617</v>
          </cell>
          <cell r="CD11">
            <v>1475.482542052795</v>
          </cell>
          <cell r="CF11">
            <v>182.67435940734171</v>
          </cell>
          <cell r="CG11">
            <v>0</v>
          </cell>
          <cell r="CI11">
            <v>8440.5988730744448</v>
          </cell>
          <cell r="CJ11">
            <v>7039.2861472958048</v>
          </cell>
          <cell r="CL11">
            <v>0</v>
          </cell>
          <cell r="CM11">
            <v>0</v>
          </cell>
          <cell r="CX11">
            <v>8363.1841397301796</v>
          </cell>
          <cell r="CY11">
            <v>46637.501728223899</v>
          </cell>
          <cell r="DA11">
            <v>48694.698266782987</v>
          </cell>
          <cell r="DC11">
            <v>73466.23</v>
          </cell>
          <cell r="DD11">
            <v>0</v>
          </cell>
          <cell r="DE11">
            <v>49485.45</v>
          </cell>
          <cell r="DF11">
            <v>0</v>
          </cell>
          <cell r="DW11">
            <v>918</v>
          </cell>
          <cell r="DX11">
            <v>0</v>
          </cell>
        </row>
        <row r="12">
          <cell r="F12">
            <v>6095.61</v>
          </cell>
          <cell r="G12">
            <v>601.05999999999995</v>
          </cell>
          <cell r="H12">
            <v>0</v>
          </cell>
          <cell r="I12">
            <v>19568.690275298348</v>
          </cell>
          <cell r="J12">
            <v>19544.128536074611</v>
          </cell>
          <cell r="L12">
            <v>3664.9915957320059</v>
          </cell>
          <cell r="M12">
            <v>3846.8291182640851</v>
          </cell>
          <cell r="O12">
            <v>7024.7501955819198</v>
          </cell>
          <cell r="P12">
            <v>7048.6896795599159</v>
          </cell>
          <cell r="R12">
            <v>1690.7873457563221</v>
          </cell>
          <cell r="S12">
            <v>1695.6835218487602</v>
          </cell>
          <cell r="U12">
            <v>1000.3965733306683</v>
          </cell>
          <cell r="V12">
            <v>667.47167135600955</v>
          </cell>
          <cell r="X12">
            <v>9990.3763087815169</v>
          </cell>
          <cell r="Y12">
            <v>9589.7105575383539</v>
          </cell>
          <cell r="AA12">
            <v>0</v>
          </cell>
          <cell r="AB12">
            <v>0</v>
          </cell>
          <cell r="AD12">
            <v>22094.596491305663</v>
          </cell>
          <cell r="AE12">
            <v>21561.868111779371</v>
          </cell>
          <cell r="AJ12">
            <v>50716.973667254038</v>
          </cell>
          <cell r="AK12">
            <v>51725.452517102</v>
          </cell>
          <cell r="AM12">
            <v>908.80628444281319</v>
          </cell>
          <cell r="AN12">
            <v>0</v>
          </cell>
          <cell r="AP12">
            <v>4371.9987627203773</v>
          </cell>
          <cell r="AQ12">
            <v>4570.2613614201882</v>
          </cell>
          <cell r="AS12">
            <v>128616.00079529099</v>
          </cell>
          <cell r="AT12">
            <v>15071.714659380888</v>
          </cell>
          <cell r="AV12">
            <v>1504.2658066153774</v>
          </cell>
          <cell r="AW12">
            <v>0</v>
          </cell>
          <cell r="AY12">
            <v>1723.4604045502606</v>
          </cell>
          <cell r="AZ12">
            <v>2873.9239916609299</v>
          </cell>
          <cell r="BB12">
            <v>2176.2642422900753</v>
          </cell>
          <cell r="BC12">
            <v>982.43573288694427</v>
          </cell>
          <cell r="BE12">
            <v>545.01434787753931</v>
          </cell>
          <cell r="BF12">
            <v>0</v>
          </cell>
          <cell r="BH12">
            <v>364.4858274382928</v>
          </cell>
          <cell r="BI12">
            <v>0</v>
          </cell>
          <cell r="BK12">
            <v>1318.5966616444321</v>
          </cell>
          <cell r="BL12">
            <v>0</v>
          </cell>
          <cell r="BN12">
            <v>112.9351271028635</v>
          </cell>
          <cell r="BO12">
            <v>0</v>
          </cell>
          <cell r="BT12">
            <v>42241.042084383043</v>
          </cell>
          <cell r="BU12">
            <v>43813.665420856232</v>
          </cell>
          <cell r="BW12">
            <v>47507.723551885509</v>
          </cell>
          <cell r="BX12">
            <v>46445.053137509291</v>
          </cell>
          <cell r="BZ12">
            <v>7251.8348522041442</v>
          </cell>
          <cell r="CA12">
            <v>432.96491336639315</v>
          </cell>
          <cell r="CC12">
            <v>1896.1039903614023</v>
          </cell>
          <cell r="CD12">
            <v>1899.7640319520494</v>
          </cell>
          <cell r="CF12">
            <v>235.20317433178536</v>
          </cell>
          <cell r="CG12">
            <v>0</v>
          </cell>
          <cell r="CI12">
            <v>13107.28374729095</v>
          </cell>
          <cell r="CJ12">
            <v>16269.762453495259</v>
          </cell>
          <cell r="CL12">
            <v>19951.113012480069</v>
          </cell>
          <cell r="CM12">
            <v>24403.863494509762</v>
          </cell>
          <cell r="CX12">
            <v>10886.139335332326</v>
          </cell>
          <cell r="CY12">
            <v>151454.68199379969</v>
          </cell>
          <cell r="DA12">
            <v>8076.5401423990843</v>
          </cell>
          <cell r="DC12">
            <v>147669.88</v>
          </cell>
          <cell r="DD12">
            <v>0</v>
          </cell>
          <cell r="DE12">
            <v>86470.080000000002</v>
          </cell>
          <cell r="DF12">
            <v>0</v>
          </cell>
          <cell r="DW12">
            <v>1242</v>
          </cell>
          <cell r="DX12">
            <v>0</v>
          </cell>
        </row>
        <row r="13">
          <cell r="F13">
            <v>6323.6</v>
          </cell>
          <cell r="G13">
            <v>712.5</v>
          </cell>
          <cell r="H13">
            <v>0</v>
          </cell>
          <cell r="I13">
            <v>18600.436511876327</v>
          </cell>
          <cell r="J13">
            <v>18628.010418211434</v>
          </cell>
          <cell r="L13">
            <v>3588.2561640619556</v>
          </cell>
          <cell r="M13">
            <v>3752.5115624729087</v>
          </cell>
          <cell r="O13">
            <v>7379.803843455411</v>
          </cell>
          <cell r="P13">
            <v>7403.8598352162226</v>
          </cell>
          <cell r="R13">
            <v>1716.61888690248</v>
          </cell>
          <cell r="S13">
            <v>1722.4493546341891</v>
          </cell>
          <cell r="U13">
            <v>1000.3965733306683</v>
          </cell>
          <cell r="V13">
            <v>667.47167135600955</v>
          </cell>
          <cell r="X13">
            <v>11376.026120789464</v>
          </cell>
          <cell r="Y13">
            <v>11576.172812312569</v>
          </cell>
          <cell r="AA13">
            <v>0</v>
          </cell>
          <cell r="AB13">
            <v>0</v>
          </cell>
          <cell r="AD13">
            <v>22899.050803934497</v>
          </cell>
          <cell r="AE13">
            <v>22348.078138139565</v>
          </cell>
          <cell r="AJ13">
            <v>50716.973667254038</v>
          </cell>
          <cell r="AK13">
            <v>51725.452517102</v>
          </cell>
          <cell r="AM13">
            <v>908.80628444281319</v>
          </cell>
          <cell r="AN13">
            <v>0</v>
          </cell>
          <cell r="AP13">
            <v>4413.6368461748571</v>
          </cell>
          <cell r="AQ13">
            <v>4661.813119054862</v>
          </cell>
          <cell r="AS13">
            <v>131090.35033194686</v>
          </cell>
          <cell r="AT13">
            <v>29238.890708252238</v>
          </cell>
          <cell r="AV13">
            <v>1503.7626049239473</v>
          </cell>
          <cell r="AW13">
            <v>1316.0072934296429</v>
          </cell>
          <cell r="AY13">
            <v>1774.8440061008359</v>
          </cell>
          <cell r="AZ13">
            <v>5203.6621024858314</v>
          </cell>
          <cell r="BB13">
            <v>2162.071621110455</v>
          </cell>
          <cell r="BC13">
            <v>956.63872085874448</v>
          </cell>
          <cell r="BE13">
            <v>548.73077590504272</v>
          </cell>
          <cell r="BF13">
            <v>0</v>
          </cell>
          <cell r="BH13">
            <v>364.4858274382928</v>
          </cell>
          <cell r="BI13">
            <v>0</v>
          </cell>
          <cell r="BK13">
            <v>1229.2860153715897</v>
          </cell>
          <cell r="BL13">
            <v>3023.682940087363</v>
          </cell>
          <cell r="BN13">
            <v>97.249692783021345</v>
          </cell>
          <cell r="BO13">
            <v>0</v>
          </cell>
          <cell r="BT13">
            <v>44458.577297831536</v>
          </cell>
          <cell r="BU13">
            <v>59396.357048657592</v>
          </cell>
          <cell r="BW13">
            <v>48097.351907215096</v>
          </cell>
          <cell r="BX13">
            <v>51987.905984013429</v>
          </cell>
          <cell r="BZ13">
            <v>8016.918613261776</v>
          </cell>
          <cell r="CA13">
            <v>432.99863189249834</v>
          </cell>
          <cell r="CC13">
            <v>2334.9481206167384</v>
          </cell>
          <cell r="CD13">
            <v>2339.4552611938921</v>
          </cell>
          <cell r="CF13">
            <v>289.63981546413851</v>
          </cell>
          <cell r="CG13">
            <v>0</v>
          </cell>
          <cell r="CI13">
            <v>9669.5755983770832</v>
          </cell>
          <cell r="CJ13">
            <v>12985.466858735044</v>
          </cell>
          <cell r="CL13">
            <v>14726.572555271401</v>
          </cell>
          <cell r="CM13">
            <v>19474.189048483637</v>
          </cell>
          <cell r="CX13">
            <v>14973.306521592918</v>
          </cell>
          <cell r="CY13">
            <v>111121.26227269376</v>
          </cell>
          <cell r="DA13">
            <v>-65251.854440279916</v>
          </cell>
          <cell r="DC13">
            <v>140308.63</v>
          </cell>
          <cell r="DD13">
            <v>0</v>
          </cell>
          <cell r="DE13">
            <v>78089.420000000013</v>
          </cell>
          <cell r="DF13">
            <v>0</v>
          </cell>
          <cell r="DW13">
            <v>1242</v>
          </cell>
          <cell r="DX13">
            <v>0</v>
          </cell>
        </row>
        <row r="14">
          <cell r="F14">
            <v>3179.26</v>
          </cell>
          <cell r="G14">
            <v>0</v>
          </cell>
          <cell r="H14">
            <v>0</v>
          </cell>
          <cell r="I14">
            <v>9582.35986281839</v>
          </cell>
          <cell r="J14">
            <v>9670.4303859869469</v>
          </cell>
          <cell r="L14">
            <v>1928.0774763171446</v>
          </cell>
          <cell r="M14">
            <v>2015.0890080730696</v>
          </cell>
          <cell r="O14">
            <v>4173.3883147571923</v>
          </cell>
          <cell r="P14">
            <v>4187.91085763915</v>
          </cell>
          <cell r="R14">
            <v>0</v>
          </cell>
          <cell r="S14">
            <v>0</v>
          </cell>
          <cell r="U14">
            <v>478.81456271951919</v>
          </cell>
          <cell r="V14">
            <v>330.98825781303651</v>
          </cell>
          <cell r="X14">
            <v>6160.5287313234057</v>
          </cell>
          <cell r="Y14">
            <v>6004.0697280914101</v>
          </cell>
          <cell r="AA14">
            <v>0</v>
          </cell>
          <cell r="AB14">
            <v>0</v>
          </cell>
          <cell r="AD14">
            <v>11513.793505925911</v>
          </cell>
          <cell r="AE14">
            <v>11236.706046638552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8743.9975254407545</v>
          </cell>
          <cell r="AQ14">
            <v>9493.7982193090684</v>
          </cell>
          <cell r="AS14">
            <v>36974.834628029785</v>
          </cell>
          <cell r="AT14">
            <v>45731.057580753244</v>
          </cell>
          <cell r="AV14">
            <v>1558.6942854969291</v>
          </cell>
          <cell r="AW14">
            <v>2330.2834939688255</v>
          </cell>
          <cell r="AY14">
            <v>2459.1524406811418</v>
          </cell>
          <cell r="AZ14">
            <v>3765.6786680817454</v>
          </cell>
          <cell r="BB14">
            <v>1498.1096565995572</v>
          </cell>
          <cell r="BC14">
            <v>0</v>
          </cell>
          <cell r="BE14">
            <v>0</v>
          </cell>
          <cell r="BF14">
            <v>0</v>
          </cell>
          <cell r="BH14">
            <v>485.78591796691938</v>
          </cell>
          <cell r="BI14">
            <v>0</v>
          </cell>
          <cell r="BK14">
            <v>1396.2223494208606</v>
          </cell>
          <cell r="BL14">
            <v>0</v>
          </cell>
          <cell r="BN14">
            <v>100.38677964698979</v>
          </cell>
          <cell r="BO14">
            <v>3369.4998712157189</v>
          </cell>
          <cell r="BT14">
            <v>31616.132945825524</v>
          </cell>
          <cell r="BU14">
            <v>55073.031356061874</v>
          </cell>
          <cell r="BW14">
            <v>15736.571373639121</v>
          </cell>
          <cell r="BX14">
            <v>18743.726404192439</v>
          </cell>
          <cell r="BZ14">
            <v>7151.6676690649874</v>
          </cell>
          <cell r="CA14">
            <v>293.71989450148197</v>
          </cell>
          <cell r="CC14">
            <v>1616.4433909989184</v>
          </cell>
          <cell r="CD14">
            <v>1619.5636049059917</v>
          </cell>
          <cell r="CF14">
            <v>200.5125344512962</v>
          </cell>
          <cell r="CG14">
            <v>0</v>
          </cell>
          <cell r="CI14">
            <v>5605.8917755756156</v>
          </cell>
          <cell r="CJ14">
            <v>2616.2350817987713</v>
          </cell>
          <cell r="CL14">
            <v>0</v>
          </cell>
          <cell r="CM14">
            <v>0</v>
          </cell>
          <cell r="CX14">
            <v>5025.764455909175</v>
          </cell>
          <cell r="CY14">
            <v>-27974.742822888456</v>
          </cell>
          <cell r="DA14">
            <v>71499.313080982727</v>
          </cell>
          <cell r="DC14">
            <v>48004.73</v>
          </cell>
          <cell r="DD14">
            <v>0</v>
          </cell>
          <cell r="DE14">
            <v>24035.340000000004</v>
          </cell>
          <cell r="DF14">
            <v>0</v>
          </cell>
          <cell r="DW14">
            <v>918</v>
          </cell>
          <cell r="DX14">
            <v>0</v>
          </cell>
        </row>
        <row r="15">
          <cell r="F15">
            <v>2653.4</v>
          </cell>
          <cell r="G15">
            <v>0</v>
          </cell>
          <cell r="H15">
            <v>262.39999999999998</v>
          </cell>
          <cell r="I15">
            <v>7895.3497699049958</v>
          </cell>
          <cell r="J15">
            <v>8021.6956073928895</v>
          </cell>
          <cell r="L15">
            <v>1609.2242061524009</v>
          </cell>
          <cell r="M15">
            <v>1668.6814240795807</v>
          </cell>
          <cell r="O15">
            <v>3486.3878554564162</v>
          </cell>
          <cell r="P15">
            <v>3498.1110759190356</v>
          </cell>
          <cell r="R15">
            <v>0</v>
          </cell>
          <cell r="S15">
            <v>0</v>
          </cell>
          <cell r="U15">
            <v>187.10196558541708</v>
          </cell>
          <cell r="V15">
            <v>107.9445908639935</v>
          </cell>
          <cell r="X15">
            <v>5801.5983258540509</v>
          </cell>
          <cell r="Y15">
            <v>5733.9598330576209</v>
          </cell>
          <cell r="AA15">
            <v>0</v>
          </cell>
          <cell r="AB15">
            <v>0</v>
          </cell>
          <cell r="AD15">
            <v>10369.964975337145</v>
          </cell>
          <cell r="AE15">
            <v>10123.714456798214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7840.5690588762227</v>
          </cell>
          <cell r="AQ15">
            <v>4810.3611147136671</v>
          </cell>
          <cell r="AS15">
            <v>32011.477841015854</v>
          </cell>
          <cell r="AT15">
            <v>728.303177578141</v>
          </cell>
          <cell r="AV15">
            <v>1152.3129848330591</v>
          </cell>
          <cell r="AW15">
            <v>0</v>
          </cell>
          <cell r="AY15">
            <v>2100.6796333722805</v>
          </cell>
          <cell r="AZ15">
            <v>0</v>
          </cell>
          <cell r="BB15">
            <v>1764.1100106670592</v>
          </cell>
          <cell r="BC15">
            <v>1466.2085221648515</v>
          </cell>
          <cell r="BE15">
            <v>0</v>
          </cell>
          <cell r="BF15">
            <v>0</v>
          </cell>
          <cell r="BH15">
            <v>110.27308797143304</v>
          </cell>
          <cell r="BI15">
            <v>0</v>
          </cell>
          <cell r="BK15">
            <v>1133.1057968933508</v>
          </cell>
          <cell r="BL15">
            <v>0</v>
          </cell>
          <cell r="BN15">
            <v>20.108726798037644</v>
          </cell>
          <cell r="BO15">
            <v>1086.7894557032</v>
          </cell>
          <cell r="BT15">
            <v>14564.477981560813</v>
          </cell>
          <cell r="BU15">
            <v>34819.491575974687</v>
          </cell>
          <cell r="BW15">
            <v>16904.419958631326</v>
          </cell>
          <cell r="BX15">
            <v>20030.784980836106</v>
          </cell>
          <cell r="BZ15">
            <v>7939.468341816515</v>
          </cell>
          <cell r="CA15">
            <v>280.89445779030007</v>
          </cell>
          <cell r="CC15">
            <v>521.64007305467794</v>
          </cell>
          <cell r="CD15">
            <v>522.64699270277413</v>
          </cell>
          <cell r="CF15">
            <v>64.707105551599724</v>
          </cell>
          <cell r="CG15">
            <v>0</v>
          </cell>
          <cell r="CI15">
            <v>2740.1752182449463</v>
          </cell>
          <cell r="CJ15">
            <v>2143.1413210503879</v>
          </cell>
          <cell r="CL15">
            <v>0</v>
          </cell>
          <cell r="CM15">
            <v>0</v>
          </cell>
          <cell r="CX15">
            <v>5605.9919115677012</v>
          </cell>
          <cell r="CY15">
            <v>33415.301108710279</v>
          </cell>
          <cell r="DA15">
            <v>62762.51532301752</v>
          </cell>
          <cell r="DC15">
            <v>40731.64</v>
          </cell>
          <cell r="DD15">
            <v>3208.92</v>
          </cell>
          <cell r="DE15">
            <v>22942.7</v>
          </cell>
          <cell r="DF15">
            <v>1672.1000000000001</v>
          </cell>
          <cell r="DW15">
            <v>1062</v>
          </cell>
          <cell r="DX15">
            <v>0</v>
          </cell>
        </row>
        <row r="16">
          <cell r="F16">
            <v>1773.8</v>
          </cell>
          <cell r="G16">
            <v>0</v>
          </cell>
          <cell r="H16">
            <v>522.79999999999995</v>
          </cell>
          <cell r="I16">
            <v>6881.6842235469348</v>
          </cell>
          <cell r="J16">
            <v>6957.5154153765789</v>
          </cell>
          <cell r="L16">
            <v>1186.038008150575</v>
          </cell>
          <cell r="M16">
            <v>1232.5020261840432</v>
          </cell>
          <cell r="O16">
            <v>2533.5924628076759</v>
          </cell>
          <cell r="P16">
            <v>2542.1050485694832</v>
          </cell>
          <cell r="R16">
            <v>0</v>
          </cell>
          <cell r="S16">
            <v>0</v>
          </cell>
          <cell r="U16">
            <v>149.68157246833368</v>
          </cell>
          <cell r="V16">
            <v>86.355672691194812</v>
          </cell>
          <cell r="X16">
            <v>4034.7749777482068</v>
          </cell>
          <cell r="Y16">
            <v>3839.7093745845946</v>
          </cell>
          <cell r="AA16">
            <v>0</v>
          </cell>
          <cell r="AB16">
            <v>0</v>
          </cell>
          <cell r="AD16">
            <v>8324.7139512748672</v>
          </cell>
          <cell r="AE16">
            <v>8123.9795175953923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5342.2840516074348</v>
          </cell>
          <cell r="AQ16">
            <v>3208.3272491696466</v>
          </cell>
          <cell r="AS16">
            <v>22273.162563198806</v>
          </cell>
          <cell r="AT16">
            <v>1732.99211844307</v>
          </cell>
          <cell r="AV16">
            <v>1105.6458308758185</v>
          </cell>
          <cell r="AW16">
            <v>352.16494577075309</v>
          </cell>
          <cell r="AY16">
            <v>1460.0305691171523</v>
          </cell>
          <cell r="AZ16">
            <v>0</v>
          </cell>
          <cell r="BB16">
            <v>1075.0520102506127</v>
          </cell>
          <cell r="BC16">
            <v>1653.4525042026278</v>
          </cell>
          <cell r="BE16">
            <v>0</v>
          </cell>
          <cell r="BF16">
            <v>0</v>
          </cell>
          <cell r="BH16">
            <v>88.218470377146446</v>
          </cell>
          <cell r="BI16">
            <v>0</v>
          </cell>
          <cell r="BK16">
            <v>693.76605763336875</v>
          </cell>
          <cell r="BL16">
            <v>0</v>
          </cell>
          <cell r="BN16">
            <v>24.437906670314071</v>
          </cell>
          <cell r="BO16">
            <v>763.45755556819995</v>
          </cell>
          <cell r="BT16">
            <v>10484.080978450491</v>
          </cell>
          <cell r="BU16">
            <v>23661.635663549027</v>
          </cell>
          <cell r="BW16">
            <v>10310.56611973615</v>
          </cell>
          <cell r="BX16">
            <v>11492.584570592977</v>
          </cell>
          <cell r="BZ16">
            <v>7066.9225088504672</v>
          </cell>
          <cell r="CA16">
            <v>243.17721611901325</v>
          </cell>
          <cell r="CC16">
            <v>1437.0094592356388</v>
          </cell>
          <cell r="CD16">
            <v>1439.7833125757993</v>
          </cell>
          <cell r="CF16">
            <v>178.25456202568455</v>
          </cell>
          <cell r="CG16">
            <v>0</v>
          </cell>
          <cell r="CI16">
            <v>462.10686026483461</v>
          </cell>
          <cell r="CJ16">
            <v>590.0147198988434</v>
          </cell>
          <cell r="CL16">
            <v>0</v>
          </cell>
          <cell r="CM16">
            <v>0</v>
          </cell>
          <cell r="CX16">
            <v>3168.5245835877786</v>
          </cell>
          <cell r="CY16">
            <v>23799.244063666913</v>
          </cell>
          <cell r="DA16">
            <v>216081.15955765406</v>
          </cell>
          <cell r="DC16">
            <v>63602.58</v>
          </cell>
          <cell r="DD16">
            <v>960.43999999999994</v>
          </cell>
          <cell r="DE16">
            <v>52677.03</v>
          </cell>
          <cell r="DF16">
            <v>-1780.87</v>
          </cell>
          <cell r="DW16">
            <v>1062</v>
          </cell>
          <cell r="DX16">
            <v>0</v>
          </cell>
        </row>
        <row r="17">
          <cell r="F17">
            <v>2270.6</v>
          </cell>
          <cell r="G17">
            <v>0</v>
          </cell>
          <cell r="H17">
            <v>303.00000000000006</v>
          </cell>
          <cell r="I17">
            <v>8724.0368002254381</v>
          </cell>
          <cell r="J17">
            <v>8819.7222181815414</v>
          </cell>
          <cell r="L17">
            <v>1594.4953828933801</v>
          </cell>
          <cell r="M17">
            <v>1656.8721333675176</v>
          </cell>
          <cell r="O17">
            <v>3674.1559403122246</v>
          </cell>
          <cell r="P17">
            <v>3686.1641476970785</v>
          </cell>
          <cell r="R17">
            <v>0</v>
          </cell>
          <cell r="S17">
            <v>0</v>
          </cell>
          <cell r="U17">
            <v>187.10196558541708</v>
          </cell>
          <cell r="V17">
            <v>107.9445908639935</v>
          </cell>
          <cell r="X17">
            <v>5654.3767609925417</v>
          </cell>
          <cell r="Y17">
            <v>5601.1531595673559</v>
          </cell>
          <cell r="AA17">
            <v>0</v>
          </cell>
          <cell r="AB17">
            <v>0</v>
          </cell>
          <cell r="AD17">
            <v>9326.4260299830985</v>
          </cell>
          <cell r="AE17">
            <v>9210.1391767737678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7245.0265210794823</v>
          </cell>
          <cell r="AQ17">
            <v>8973.7397782424141</v>
          </cell>
          <cell r="AS17">
            <v>34997.612682168357</v>
          </cell>
          <cell r="AT17">
            <v>40207.881390883551</v>
          </cell>
          <cell r="AV17">
            <v>1363.6471527698673</v>
          </cell>
          <cell r="AW17">
            <v>0</v>
          </cell>
          <cell r="AY17">
            <v>1882.9727736913605</v>
          </cell>
          <cell r="AZ17">
            <v>0</v>
          </cell>
          <cell r="BB17">
            <v>1239.0689258278519</v>
          </cell>
          <cell r="BC17">
            <v>1923.2911962155592</v>
          </cell>
          <cell r="BE17">
            <v>0</v>
          </cell>
          <cell r="BF17">
            <v>0</v>
          </cell>
          <cell r="BH17">
            <v>110.27308797143304</v>
          </cell>
          <cell r="BI17">
            <v>0</v>
          </cell>
          <cell r="BK17">
            <v>1107.491200134662</v>
          </cell>
          <cell r="BL17">
            <v>176.70892977667361</v>
          </cell>
          <cell r="BN17">
            <v>24.437906670314071</v>
          </cell>
          <cell r="BO17">
            <v>4143.1669347787465</v>
          </cell>
          <cell r="BT17">
            <v>12112.605145569611</v>
          </cell>
          <cell r="BU17">
            <v>25760.406070102414</v>
          </cell>
          <cell r="BW17">
            <v>12978.611138218421</v>
          </cell>
          <cell r="BX17">
            <v>16174.503661880719</v>
          </cell>
          <cell r="BZ17">
            <v>6959.0703449174189</v>
          </cell>
          <cell r="CA17">
            <v>258.87072331793445</v>
          </cell>
          <cell r="CC17">
            <v>853.8491810049793</v>
          </cell>
          <cell r="CD17">
            <v>855.49736250267358</v>
          </cell>
          <cell r="CF17">
            <v>105.91615164244654</v>
          </cell>
          <cell r="CG17">
            <v>0</v>
          </cell>
          <cell r="CI17">
            <v>3465.4004740560981</v>
          </cell>
          <cell r="CJ17">
            <v>2560.0319533709771</v>
          </cell>
          <cell r="CL17">
            <v>0</v>
          </cell>
          <cell r="CM17">
            <v>0</v>
          </cell>
          <cell r="CX17">
            <v>2974.4158187510338</v>
          </cell>
          <cell r="CY17">
            <v>-16837.005615419184</v>
          </cell>
          <cell r="DA17">
            <v>45563.858006817543</v>
          </cell>
          <cell r="DC17">
            <v>67805.67</v>
          </cell>
          <cell r="DD17">
            <v>3554.09</v>
          </cell>
          <cell r="DE17">
            <v>51571.32</v>
          </cell>
          <cell r="DF17">
            <v>1662.8300000000004</v>
          </cell>
          <cell r="DW17">
            <v>918</v>
          </cell>
          <cell r="DX17">
            <v>0</v>
          </cell>
        </row>
        <row r="18">
          <cell r="F18">
            <v>3566.7</v>
          </cell>
          <cell r="G18">
            <v>0</v>
          </cell>
          <cell r="H18">
            <v>0</v>
          </cell>
          <cell r="I18">
            <v>10956.758235021118</v>
          </cell>
          <cell r="J18">
            <v>11075.386168556466</v>
          </cell>
          <cell r="L18">
            <v>1816.0278014411649</v>
          </cell>
          <cell r="M18">
            <v>1887.3981091501855</v>
          </cell>
          <cell r="O18">
            <v>4648.4324991612284</v>
          </cell>
          <cell r="P18">
            <v>4664.0714026258556</v>
          </cell>
          <cell r="R18">
            <v>0</v>
          </cell>
          <cell r="S18">
            <v>0</v>
          </cell>
          <cell r="U18">
            <v>187.10196558541708</v>
          </cell>
          <cell r="V18">
            <v>107.9445908639935</v>
          </cell>
          <cell r="X18">
            <v>6618.2001026051603</v>
          </cell>
          <cell r="Y18">
            <v>6499.43551390005</v>
          </cell>
          <cell r="AA18">
            <v>0</v>
          </cell>
          <cell r="AB18">
            <v>0</v>
          </cell>
          <cell r="AD18">
            <v>12931.586663962444</v>
          </cell>
          <cell r="AE18">
            <v>12619.608008899722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9993.1400290751499</v>
          </cell>
          <cell r="AQ18">
            <v>6348.2780715296849</v>
          </cell>
          <cell r="AS18">
            <v>51940.091436630682</v>
          </cell>
          <cell r="AT18">
            <v>8181.3155105927835</v>
          </cell>
          <cell r="AV18">
            <v>1752.3517109637498</v>
          </cell>
          <cell r="AW18">
            <v>1589.3576569193528</v>
          </cell>
          <cell r="AY18">
            <v>2146.452948619793</v>
          </cell>
          <cell r="AZ18">
            <v>5030.0201335806169</v>
          </cell>
          <cell r="BB18">
            <v>2308.4999943503826</v>
          </cell>
          <cell r="BC18">
            <v>0</v>
          </cell>
          <cell r="BE18">
            <v>0</v>
          </cell>
          <cell r="BF18">
            <v>0</v>
          </cell>
          <cell r="BH18">
            <v>110.27308797143304</v>
          </cell>
          <cell r="BI18">
            <v>1784.7303144474527</v>
          </cell>
          <cell r="BK18">
            <v>1220.2817351726035</v>
          </cell>
          <cell r="BL18">
            <v>993.06977248955263</v>
          </cell>
          <cell r="BN18">
            <v>19.293084213405848</v>
          </cell>
          <cell r="BO18">
            <v>7231.9178803111272</v>
          </cell>
          <cell r="BT18">
            <v>26243.268843551807</v>
          </cell>
          <cell r="BU18">
            <v>52081.497628122452</v>
          </cell>
          <cell r="BW18">
            <v>15762.756246026463</v>
          </cell>
          <cell r="BX18">
            <v>19144.106576348739</v>
          </cell>
          <cell r="BZ18">
            <v>8500.9963843033147</v>
          </cell>
          <cell r="CA18">
            <v>358.80295978508127</v>
          </cell>
          <cell r="CC18">
            <v>1810.7447056797273</v>
          </cell>
          <cell r="CD18">
            <v>1814.2399786006858</v>
          </cell>
          <cell r="CF18">
            <v>224.61473887788719</v>
          </cell>
          <cell r="CG18">
            <v>0</v>
          </cell>
          <cell r="CI18">
            <v>4660.5195873206449</v>
          </cell>
          <cell r="CJ18">
            <v>3296.6255079367097</v>
          </cell>
          <cell r="CL18">
            <v>0</v>
          </cell>
          <cell r="CM18">
            <v>0</v>
          </cell>
          <cell r="CX18">
            <v>6809.7879813115942</v>
          </cell>
          <cell r="CY18">
            <v>29782.091200359304</v>
          </cell>
          <cell r="DA18">
            <v>-14014.311186191713</v>
          </cell>
          <cell r="DC18">
            <v>53192.83</v>
          </cell>
          <cell r="DD18">
            <v>0</v>
          </cell>
          <cell r="DE18">
            <v>26620.910000000003</v>
          </cell>
          <cell r="DF18">
            <v>0</v>
          </cell>
          <cell r="DW18">
            <v>1062</v>
          </cell>
          <cell r="DX18">
            <v>0</v>
          </cell>
        </row>
        <row r="19">
          <cell r="F19">
            <v>3241.8</v>
          </cell>
          <cell r="G19">
            <v>0</v>
          </cell>
          <cell r="H19">
            <v>385.4</v>
          </cell>
          <cell r="I19">
            <v>11291.410145000544</v>
          </cell>
          <cell r="J19">
            <v>11415.717764927427</v>
          </cell>
          <cell r="L19">
            <v>2018.4817015597903</v>
          </cell>
          <cell r="M19">
            <v>2097.8719510028263</v>
          </cell>
          <cell r="O19">
            <v>4538.0636651280611</v>
          </cell>
          <cell r="P19">
            <v>4553.4835071523448</v>
          </cell>
          <cell r="R19">
            <v>0</v>
          </cell>
          <cell r="S19">
            <v>0</v>
          </cell>
          <cell r="U19">
            <v>112.26117935125026</v>
          </cell>
          <cell r="V19">
            <v>64.766754518396098</v>
          </cell>
          <cell r="X19">
            <v>8910.8159121852877</v>
          </cell>
          <cell r="Y19">
            <v>9662.9182856947391</v>
          </cell>
          <cell r="AA19">
            <v>0</v>
          </cell>
          <cell r="AB19">
            <v>0</v>
          </cell>
          <cell r="AD19">
            <v>13161.216166017337</v>
          </cell>
          <cell r="AE19">
            <v>12951.672958973382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9368.5687772579513</v>
          </cell>
          <cell r="AQ19">
            <v>6287.5922795480628</v>
          </cell>
          <cell r="AS19">
            <v>39725.383100178413</v>
          </cell>
          <cell r="AT19">
            <v>5411.4560821364203</v>
          </cell>
          <cell r="AV19">
            <v>1820.2329882060822</v>
          </cell>
          <cell r="AW19">
            <v>0</v>
          </cell>
          <cell r="AY19">
            <v>2386.2426644588591</v>
          </cell>
          <cell r="AZ19">
            <v>0</v>
          </cell>
          <cell r="BB19">
            <v>2093.2968332944511</v>
          </cell>
          <cell r="BC19">
            <v>0</v>
          </cell>
          <cell r="BE19">
            <v>0</v>
          </cell>
          <cell r="BF19">
            <v>0</v>
          </cell>
          <cell r="BH19">
            <v>66.163852782859806</v>
          </cell>
          <cell r="BI19">
            <v>0</v>
          </cell>
          <cell r="BK19">
            <v>1668.816940163593</v>
          </cell>
          <cell r="BL19">
            <v>2873.7829392513991</v>
          </cell>
          <cell r="BN19">
            <v>15.371725633445312</v>
          </cell>
          <cell r="BO19">
            <v>769.58382970000002</v>
          </cell>
          <cell r="BT19">
            <v>22379.024128118988</v>
          </cell>
          <cell r="BU19">
            <v>45206.097949843424</v>
          </cell>
          <cell r="BW19">
            <v>18727.370477487795</v>
          </cell>
          <cell r="BX19">
            <v>23036.262072251455</v>
          </cell>
          <cell r="BZ19">
            <v>10661.022318161207</v>
          </cell>
          <cell r="CA19">
            <v>341.13089334913781</v>
          </cell>
          <cell r="CC19">
            <v>2377.7559300516914</v>
          </cell>
          <cell r="CD19">
            <v>2382.3457023640949</v>
          </cell>
          <cell r="CF19">
            <v>294.94993174282024</v>
          </cell>
          <cell r="CG19">
            <v>0</v>
          </cell>
          <cell r="CI19">
            <v>4581.8387602886869</v>
          </cell>
          <cell r="CJ19">
            <v>6643.9112730836605</v>
          </cell>
          <cell r="CL19">
            <v>0</v>
          </cell>
          <cell r="CM19">
            <v>0</v>
          </cell>
          <cell r="CX19">
            <v>5169.649640836552</v>
          </cell>
          <cell r="CY19">
            <v>32169.281184763364</v>
          </cell>
          <cell r="DA19">
            <v>267651.02133929834</v>
          </cell>
          <cell r="DC19">
            <v>63344.800000000003</v>
          </cell>
          <cell r="DD19">
            <v>3646.11</v>
          </cell>
          <cell r="DE19">
            <v>40616.520000000004</v>
          </cell>
          <cell r="DF19">
            <v>1292.3899999999999</v>
          </cell>
          <cell r="DW19">
            <v>1062</v>
          </cell>
          <cell r="DX19">
            <v>0</v>
          </cell>
        </row>
        <row r="20">
          <cell r="F20">
            <v>1237</v>
          </cell>
          <cell r="G20">
            <v>0</v>
          </cell>
          <cell r="H20">
            <v>129.30000000000001</v>
          </cell>
          <cell r="I20">
            <v>4844.5200536157554</v>
          </cell>
          <cell r="J20">
            <v>4896.1218641316118</v>
          </cell>
          <cell r="L20">
            <v>1186.4059453053346</v>
          </cell>
          <cell r="M20">
            <v>1235.1951282531679</v>
          </cell>
          <cell r="O20">
            <v>1761.9526743815325</v>
          </cell>
          <cell r="P20">
            <v>1767.7659730331923</v>
          </cell>
          <cell r="R20">
            <v>0</v>
          </cell>
          <cell r="S20">
            <v>0</v>
          </cell>
          <cell r="U20">
            <v>74.840786234166842</v>
          </cell>
          <cell r="V20">
            <v>43.177836345597406</v>
          </cell>
          <cell r="X20">
            <v>3631.8979259839161</v>
          </cell>
          <cell r="Y20">
            <v>3351.1370589463536</v>
          </cell>
          <cell r="AA20">
            <v>0</v>
          </cell>
          <cell r="AB20">
            <v>0</v>
          </cell>
          <cell r="AD20">
            <v>4951.8142684448121</v>
          </cell>
          <cell r="AE20">
            <v>4832.4501465234589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2498.2850072687875</v>
          </cell>
          <cell r="AQ20">
            <v>3191.1862179249492</v>
          </cell>
          <cell r="AS20">
            <v>14849.298830416485</v>
          </cell>
          <cell r="AT20">
            <v>3121.1613430233801</v>
          </cell>
          <cell r="AV20">
            <v>865.2430353563509</v>
          </cell>
          <cell r="AW20">
            <v>0</v>
          </cell>
          <cell r="AY20">
            <v>1416.1620279401213</v>
          </cell>
          <cell r="AZ20">
            <v>0</v>
          </cell>
          <cell r="BB20">
            <v>772.48012638863361</v>
          </cell>
          <cell r="BC20">
            <v>0</v>
          </cell>
          <cell r="BE20">
            <v>0</v>
          </cell>
          <cell r="BF20">
            <v>0</v>
          </cell>
          <cell r="BH20">
            <v>44.109235188573223</v>
          </cell>
          <cell r="BI20">
            <v>2025.4790136307784</v>
          </cell>
          <cell r="BK20">
            <v>620.51570708001157</v>
          </cell>
          <cell r="BL20">
            <v>0</v>
          </cell>
          <cell r="BN20">
            <v>15.371725633445312</v>
          </cell>
          <cell r="BO20">
            <v>4163.972744114968</v>
          </cell>
          <cell r="BT20">
            <v>11913.441823731908</v>
          </cell>
          <cell r="BU20">
            <v>24252.578973937121</v>
          </cell>
          <cell r="BW20">
            <v>10892.693328392772</v>
          </cell>
          <cell r="BX20">
            <v>13317.933959908582</v>
          </cell>
          <cell r="BZ20">
            <v>5802.2851199152419</v>
          </cell>
          <cell r="CA20">
            <v>250.55858831894659</v>
          </cell>
          <cell r="CC20">
            <v>884.35294940473671</v>
          </cell>
          <cell r="CD20">
            <v>886.06001219880625</v>
          </cell>
          <cell r="CF20">
            <v>109.70000695480053</v>
          </cell>
          <cell r="CG20">
            <v>0</v>
          </cell>
          <cell r="CI20">
            <v>1065.8361534359838</v>
          </cell>
          <cell r="CJ20">
            <v>1072.041060348859</v>
          </cell>
          <cell r="CL20">
            <v>0</v>
          </cell>
          <cell r="CM20">
            <v>0</v>
          </cell>
          <cell r="CX20">
            <v>2553.7373626620683</v>
          </cell>
          <cell r="CY20">
            <v>2307.0015351823913</v>
          </cell>
          <cell r="DA20">
            <v>25279.757706347289</v>
          </cell>
          <cell r="DC20">
            <v>25179.85</v>
          </cell>
          <cell r="DD20">
            <v>3555.3</v>
          </cell>
          <cell r="DE20">
            <v>15053.13</v>
          </cell>
          <cell r="DF20">
            <v>2674.33</v>
          </cell>
          <cell r="DW20">
            <v>1062</v>
          </cell>
          <cell r="DX20">
            <v>0</v>
          </cell>
        </row>
        <row r="21">
          <cell r="F21">
            <v>1504.3</v>
          </cell>
          <cell r="G21">
            <v>0</v>
          </cell>
          <cell r="H21">
            <v>84.3</v>
          </cell>
          <cell r="I21">
            <v>4974.4920868309109</v>
          </cell>
          <cell r="J21">
            <v>5033.3340363808675</v>
          </cell>
          <cell r="L21">
            <v>920.48057438734577</v>
          </cell>
          <cell r="M21">
            <v>958.54914470774304</v>
          </cell>
          <cell r="O21">
            <v>1959.7526190795404</v>
          </cell>
          <cell r="P21">
            <v>1966.4083709609204</v>
          </cell>
          <cell r="R21">
            <v>0</v>
          </cell>
          <cell r="S21">
            <v>0</v>
          </cell>
          <cell r="U21">
            <v>74.840786234166842</v>
          </cell>
          <cell r="V21">
            <v>43.177836345597406</v>
          </cell>
          <cell r="X21">
            <v>2469.2060375370538</v>
          </cell>
          <cell r="Y21">
            <v>2249.0211479884638</v>
          </cell>
          <cell r="AA21">
            <v>0</v>
          </cell>
          <cell r="AB21">
            <v>0</v>
          </cell>
          <cell r="AD21">
            <v>5515.1395562638181</v>
          </cell>
          <cell r="AE21">
            <v>5394.9268505851687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3997.2560116300592</v>
          </cell>
          <cell r="AQ21">
            <v>5036.5145670804541</v>
          </cell>
          <cell r="AS21">
            <v>14276.245017757012</v>
          </cell>
          <cell r="AT21">
            <v>6243.7702739498818</v>
          </cell>
          <cell r="AV21">
            <v>824.66235444874042</v>
          </cell>
          <cell r="AW21">
            <v>0</v>
          </cell>
          <cell r="AY21">
            <v>1100.3445791647773</v>
          </cell>
          <cell r="AZ21">
            <v>0</v>
          </cell>
          <cell r="BB21">
            <v>845.85272605184696</v>
          </cell>
          <cell r="BC21">
            <v>0</v>
          </cell>
          <cell r="BE21">
            <v>0</v>
          </cell>
          <cell r="BF21">
            <v>0</v>
          </cell>
          <cell r="BH21">
            <v>44.109235188573223</v>
          </cell>
          <cell r="BI21">
            <v>0</v>
          </cell>
          <cell r="BK21">
            <v>393.60950254995805</v>
          </cell>
          <cell r="BL21">
            <v>0</v>
          </cell>
          <cell r="BN21">
            <v>11.042545761168878</v>
          </cell>
          <cell r="BO21">
            <v>1399.8707557903615</v>
          </cell>
          <cell r="BT21">
            <v>19640.97955442893</v>
          </cell>
          <cell r="BU21">
            <v>33192.138657199546</v>
          </cell>
          <cell r="BW21">
            <v>6820.5564186494612</v>
          </cell>
          <cell r="BX21">
            <v>9019.5437856900862</v>
          </cell>
          <cell r="BZ21">
            <v>6225.2514941692807</v>
          </cell>
          <cell r="CA21">
            <v>285.49778177869121</v>
          </cell>
          <cell r="CC21">
            <v>761.31253905277333</v>
          </cell>
          <cell r="CD21">
            <v>762.78209745810273</v>
          </cell>
          <cell r="CF21">
            <v>94.437397291523951</v>
          </cell>
          <cell r="CG21">
            <v>0</v>
          </cell>
          <cell r="CI21">
            <v>2927.266494510995</v>
          </cell>
          <cell r="CJ21">
            <v>3172.5530422286511</v>
          </cell>
          <cell r="CL21">
            <v>0</v>
          </cell>
          <cell r="CM21">
            <v>0</v>
          </cell>
          <cell r="CX21">
            <v>6186.6066793070013</v>
          </cell>
          <cell r="CY21">
            <v>5129.1056987190896</v>
          </cell>
          <cell r="DA21">
            <v>-43821.315495465889</v>
          </cell>
          <cell r="DC21">
            <v>37384.93</v>
          </cell>
          <cell r="DD21">
            <v>2301.83</v>
          </cell>
          <cell r="DE21">
            <v>25665.07</v>
          </cell>
          <cell r="DF21">
            <v>1709.1999999999998</v>
          </cell>
          <cell r="DW21">
            <v>918</v>
          </cell>
          <cell r="DX21">
            <v>0</v>
          </cell>
        </row>
        <row r="22">
          <cell r="F22">
            <v>2273.1999999999998</v>
          </cell>
          <cell r="G22">
            <v>0</v>
          </cell>
          <cell r="H22">
            <v>320.59999999999997</v>
          </cell>
          <cell r="I22">
            <v>8781.8013892692561</v>
          </cell>
          <cell r="J22">
            <v>8875.4605182108735</v>
          </cell>
          <cell r="L22">
            <v>1435.7070185289278</v>
          </cell>
          <cell r="M22">
            <v>1489.222381294474</v>
          </cell>
          <cell r="O22">
            <v>3237.4799992202961</v>
          </cell>
          <cell r="P22">
            <v>3248.2715781266279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5507.0702120170108</v>
          </cell>
          <cell r="Y22">
            <v>5376.9473647383438</v>
          </cell>
          <cell r="AA22">
            <v>0</v>
          </cell>
          <cell r="AB22">
            <v>0</v>
          </cell>
          <cell r="AD22">
            <v>9403.1214123178361</v>
          </cell>
          <cell r="AE22">
            <v>9176.3245872060488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6995.1980203526018</v>
          </cell>
          <cell r="AQ22">
            <v>8705.8509298037989</v>
          </cell>
          <cell r="AS22">
            <v>31003.157365888681</v>
          </cell>
          <cell r="AT22">
            <v>136010.47657475353</v>
          </cell>
          <cell r="AV22">
            <v>1392.7600493167768</v>
          </cell>
          <cell r="AW22">
            <v>0</v>
          </cell>
          <cell r="AY22">
            <v>1678.0575249970807</v>
          </cell>
          <cell r="AZ22">
            <v>0</v>
          </cell>
          <cell r="BB22">
            <v>1482.9057295056548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1072.934629331121</v>
          </cell>
          <cell r="BL22">
            <v>0</v>
          </cell>
          <cell r="BN22">
            <v>18.916633789729637</v>
          </cell>
          <cell r="BO22">
            <v>4101.5414916316531</v>
          </cell>
          <cell r="BT22">
            <v>24344.711751713905</v>
          </cell>
          <cell r="BU22">
            <v>39616.909327133049</v>
          </cell>
          <cell r="BW22">
            <v>15503.604143756178</v>
          </cell>
          <cell r="BX22">
            <v>18949.868528253475</v>
          </cell>
          <cell r="BZ22">
            <v>7594.5990315561594</v>
          </cell>
          <cell r="CA22">
            <v>340.02483076100168</v>
          </cell>
          <cell r="CC22">
            <v>0</v>
          </cell>
          <cell r="CD22">
            <v>0</v>
          </cell>
          <cell r="CF22">
            <v>0</v>
          </cell>
          <cell r="CG22">
            <v>0</v>
          </cell>
          <cell r="CI22">
            <v>1225.3088186640146</v>
          </cell>
          <cell r="CJ22">
            <v>456.61699783319136</v>
          </cell>
          <cell r="CL22">
            <v>0</v>
          </cell>
          <cell r="CM22">
            <v>0</v>
          </cell>
          <cell r="CX22">
            <v>4492.9093938534998</v>
          </cell>
          <cell r="CY22">
            <v>-134311.30826157151</v>
          </cell>
          <cell r="DA22">
            <v>100470.40910437447</v>
          </cell>
          <cell r="DC22">
            <v>29466.14</v>
          </cell>
          <cell r="DD22">
            <v>2149.77</v>
          </cell>
          <cell r="DE22">
            <v>12077.989999999998</v>
          </cell>
          <cell r="DF22">
            <v>34.480000000000018</v>
          </cell>
          <cell r="DW22">
            <v>1062</v>
          </cell>
          <cell r="DX22">
            <v>0</v>
          </cell>
        </row>
        <row r="23">
          <cell r="F23">
            <v>1700.8</v>
          </cell>
          <cell r="G23">
            <v>0</v>
          </cell>
          <cell r="H23">
            <v>169.1</v>
          </cell>
          <cell r="I23">
            <v>5463.0023893004118</v>
          </cell>
          <cell r="J23">
            <v>5525.8949728228627</v>
          </cell>
          <cell r="L23">
            <v>1034.960021809042</v>
          </cell>
          <cell r="M23">
            <v>1077.7907606677127</v>
          </cell>
          <cell r="O23">
            <v>2295.5878060408013</v>
          </cell>
          <cell r="P23">
            <v>2303.2657607447031</v>
          </cell>
          <cell r="R23">
            <v>0</v>
          </cell>
          <cell r="S23">
            <v>0</v>
          </cell>
          <cell r="U23">
            <v>74.840786234166842</v>
          </cell>
          <cell r="V23">
            <v>43.177836345597406</v>
          </cell>
          <cell r="X23">
            <v>2889.5091904748988</v>
          </cell>
          <cell r="Y23">
            <v>2674.6162740269156</v>
          </cell>
          <cell r="AA23">
            <v>0</v>
          </cell>
          <cell r="AB23">
            <v>0</v>
          </cell>
          <cell r="AD23">
            <v>6776.3340249954272</v>
          </cell>
          <cell r="AE23">
            <v>6613.2904262686852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4371.9987627203773</v>
          </cell>
          <cell r="AQ23">
            <v>3144.5887055379253</v>
          </cell>
          <cell r="AS23">
            <v>19454.766787321121</v>
          </cell>
          <cell r="AT23">
            <v>55027</v>
          </cell>
          <cell r="AV23">
            <v>860.93672070904336</v>
          </cell>
          <cell r="AW23">
            <v>0</v>
          </cell>
          <cell r="AY23">
            <v>1303.2394698122698</v>
          </cell>
          <cell r="AZ23">
            <v>0</v>
          </cell>
          <cell r="BB23">
            <v>1106.0910481854839</v>
          </cell>
          <cell r="BC23">
            <v>0</v>
          </cell>
          <cell r="BE23">
            <v>0</v>
          </cell>
          <cell r="BF23">
            <v>0</v>
          </cell>
          <cell r="BH23">
            <v>44.109235188573223</v>
          </cell>
          <cell r="BI23">
            <v>0</v>
          </cell>
          <cell r="BK23">
            <v>468.45100336398411</v>
          </cell>
          <cell r="BL23">
            <v>0</v>
          </cell>
          <cell r="BN23">
            <v>11.418996184845088</v>
          </cell>
          <cell r="BO23">
            <v>527.51809613428497</v>
          </cell>
          <cell r="BT23">
            <v>14146.770240262744</v>
          </cell>
          <cell r="BU23">
            <v>28996.648000625457</v>
          </cell>
          <cell r="BW23">
            <v>7995.698295635977</v>
          </cell>
          <cell r="BX23">
            <v>8839.7925181085157</v>
          </cell>
          <cell r="BZ23">
            <v>8414.4902513704892</v>
          </cell>
          <cell r="CA23">
            <v>269.95065751086946</v>
          </cell>
          <cell r="CC23">
            <v>1302.1776762249458</v>
          </cell>
          <cell r="CD23">
            <v>1304.691264339112</v>
          </cell>
          <cell r="CF23">
            <v>161.52928560301061</v>
          </cell>
          <cell r="CG23">
            <v>0</v>
          </cell>
          <cell r="CI23">
            <v>3336.4123706443888</v>
          </cell>
          <cell r="CJ23">
            <v>2642.8248458737612</v>
          </cell>
          <cell r="CL23">
            <v>0</v>
          </cell>
          <cell r="CM23">
            <v>0</v>
          </cell>
          <cell r="CX23">
            <v>2688.433857592378</v>
          </cell>
          <cell r="CY23">
            <v>-42286.037050716899</v>
          </cell>
          <cell r="DA23">
            <v>927.84948351771163</v>
          </cell>
          <cell r="DC23">
            <v>37677.32</v>
          </cell>
          <cell r="DD23">
            <v>-623.9799999999999</v>
          </cell>
          <cell r="DE23">
            <v>25672.21</v>
          </cell>
          <cell r="DF23">
            <v>-1692.4299999999998</v>
          </cell>
          <cell r="DW23">
            <v>1062</v>
          </cell>
          <cell r="DX23">
            <v>0</v>
          </cell>
        </row>
        <row r="24">
          <cell r="F24">
            <v>275.3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662.39936011926409</v>
          </cell>
          <cell r="AQ24">
            <v>421.42615269483372</v>
          </cell>
          <cell r="AS24">
            <v>2382.1799535283931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1522.9401368642104</v>
          </cell>
          <cell r="BT24">
            <v>578.88981929966917</v>
          </cell>
          <cell r="BU24">
            <v>2172.6908346934597</v>
          </cell>
          <cell r="BW24">
            <v>0</v>
          </cell>
          <cell r="BX24">
            <v>0</v>
          </cell>
          <cell r="BZ24">
            <v>85.943316729803428</v>
          </cell>
          <cell r="CA24">
            <v>3.6579207955419468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138.3323947973997</v>
          </cell>
          <cell r="CY24">
            <v>-355.23071964769912</v>
          </cell>
          <cell r="DA24">
            <v>-5188.2819136572243</v>
          </cell>
          <cell r="DC24">
            <v>3270.43</v>
          </cell>
          <cell r="DD24">
            <v>0</v>
          </cell>
          <cell r="DE24">
            <v>2674.1099999999997</v>
          </cell>
          <cell r="DF24">
            <v>0</v>
          </cell>
          <cell r="DW24">
            <v>0</v>
          </cell>
          <cell r="DX24">
            <v>0</v>
          </cell>
        </row>
        <row r="25">
          <cell r="F25">
            <v>1578.7</v>
          </cell>
          <cell r="G25">
            <v>0</v>
          </cell>
          <cell r="H25">
            <v>0</v>
          </cell>
          <cell r="I25">
            <v>5545.7209654308517</v>
          </cell>
          <cell r="J25">
            <v>4301.6090547670492</v>
          </cell>
          <cell r="L25">
            <v>1268.9934725885741</v>
          </cell>
          <cell r="M25">
            <v>1088.1039299741874</v>
          </cell>
          <cell r="O25">
            <v>1979.1378295029313</v>
          </cell>
          <cell r="P25">
            <v>1985.8896450908053</v>
          </cell>
          <cell r="R25">
            <v>481.13240032452336</v>
          </cell>
          <cell r="S25">
            <v>482.8530529731824</v>
          </cell>
          <cell r="U25">
            <v>180.98602663093607</v>
          </cell>
          <cell r="V25">
            <v>71.901856322051174</v>
          </cell>
          <cell r="X25">
            <v>2413.3876141323722</v>
          </cell>
          <cell r="Y25">
            <v>1344.2900969122525</v>
          </cell>
          <cell r="AA25">
            <v>0</v>
          </cell>
          <cell r="AB25">
            <v>0</v>
          </cell>
          <cell r="AD25">
            <v>5722.2721730596695</v>
          </cell>
          <cell r="AE25">
            <v>5584.3010277996946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499.6570014537574</v>
          </cell>
          <cell r="AQ25">
            <v>416.97745206508665</v>
          </cell>
          <cell r="AS25">
            <v>23590.998392396676</v>
          </cell>
          <cell r="AT25">
            <v>25162.30204386896</v>
          </cell>
          <cell r="AV25">
            <v>1053.6273536916024</v>
          </cell>
          <cell r="AW25">
            <v>0</v>
          </cell>
          <cell r="AY25">
            <v>1404.7222664771778</v>
          </cell>
          <cell r="AZ25">
            <v>0</v>
          </cell>
          <cell r="BB25">
            <v>859.44809697526398</v>
          </cell>
          <cell r="BC25">
            <v>0</v>
          </cell>
          <cell r="BE25">
            <v>470.81401718127751</v>
          </cell>
          <cell r="BF25">
            <v>0</v>
          </cell>
          <cell r="BH25">
            <v>167.7511411298571</v>
          </cell>
          <cell r="BI25">
            <v>1922.676424476216</v>
          </cell>
          <cell r="BK25">
            <v>694.82965714747729</v>
          </cell>
          <cell r="BL25">
            <v>5733.9351785458439</v>
          </cell>
          <cell r="BN25">
            <v>167.05909009718496</v>
          </cell>
          <cell r="BO25">
            <v>0</v>
          </cell>
          <cell r="BT25">
            <v>25996.96631190307</v>
          </cell>
          <cell r="BU25">
            <v>44697.961963677924</v>
          </cell>
          <cell r="BW25">
            <v>10653.541384976026</v>
          </cell>
          <cell r="BX25">
            <v>12354.541878092103</v>
          </cell>
          <cell r="BZ25">
            <v>11252.973669792909</v>
          </cell>
          <cell r="CA25">
            <v>212.43962457962931</v>
          </cell>
          <cell r="CC25">
            <v>820.26940234642234</v>
          </cell>
          <cell r="CD25">
            <v>821.85276493802326</v>
          </cell>
          <cell r="CF25">
            <v>101.75073108851062</v>
          </cell>
          <cell r="CG25">
            <v>0</v>
          </cell>
          <cell r="CI25">
            <v>2953.2722945423393</v>
          </cell>
          <cell r="CJ25">
            <v>1812.3493395411938</v>
          </cell>
          <cell r="CL25">
            <v>0</v>
          </cell>
          <cell r="CM25">
            <v>0</v>
          </cell>
          <cell r="CX25">
            <v>2309.8678569210956</v>
          </cell>
          <cell r="CY25">
            <v>-9347.7409919846559</v>
          </cell>
          <cell r="DA25">
            <v>-5071.9560352073713</v>
          </cell>
          <cell r="DC25">
            <v>37964.18</v>
          </cell>
          <cell r="DD25">
            <v>0</v>
          </cell>
          <cell r="DE25">
            <v>22338.21</v>
          </cell>
          <cell r="DF25">
            <v>0</v>
          </cell>
          <cell r="DW25">
            <v>918</v>
          </cell>
          <cell r="DX25">
            <v>0</v>
          </cell>
        </row>
        <row r="26">
          <cell r="F26">
            <v>525.20000000000005</v>
          </cell>
          <cell r="G26">
            <v>0</v>
          </cell>
          <cell r="H26">
            <v>105.9</v>
          </cell>
          <cell r="I26">
            <v>2463.6490353255522</v>
          </cell>
          <cell r="J26">
            <v>1947.6577689957792</v>
          </cell>
          <cell r="L26">
            <v>373.69789861060315</v>
          </cell>
          <cell r="M26">
            <v>347.20211238668378</v>
          </cell>
          <cell r="O26">
            <v>717.57659367382666</v>
          </cell>
          <cell r="P26">
            <v>720.02027404262446</v>
          </cell>
          <cell r="R26">
            <v>0</v>
          </cell>
          <cell r="S26">
            <v>0</v>
          </cell>
          <cell r="U26">
            <v>70.163237094531439</v>
          </cell>
          <cell r="V26">
            <v>40.479221573997577</v>
          </cell>
          <cell r="X26">
            <v>1309.26436706399</v>
          </cell>
          <cell r="Y26">
            <v>780.47518429448655</v>
          </cell>
          <cell r="AA26">
            <v>0</v>
          </cell>
          <cell r="AB26">
            <v>0</v>
          </cell>
          <cell r="AD26">
            <v>2287.5314932653182</v>
          </cell>
          <cell r="AE26">
            <v>2232.3762454198941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1374.0567539978329</v>
          </cell>
          <cell r="AQ26">
            <v>1366.9255387242342</v>
          </cell>
          <cell r="AS26">
            <v>4582.0663966356387</v>
          </cell>
          <cell r="AT26">
            <v>748.45877909033675</v>
          </cell>
          <cell r="AV26">
            <v>447.60864355459893</v>
          </cell>
          <cell r="AW26">
            <v>0</v>
          </cell>
          <cell r="AY26">
            <v>443.95837175409611</v>
          </cell>
          <cell r="AZ26">
            <v>0</v>
          </cell>
          <cell r="BB26">
            <v>325.21917855926233</v>
          </cell>
          <cell r="BC26">
            <v>0</v>
          </cell>
          <cell r="BE26">
            <v>0</v>
          </cell>
          <cell r="BF26">
            <v>0</v>
          </cell>
          <cell r="BH26">
            <v>41.352407989287386</v>
          </cell>
          <cell r="BI26">
            <v>0</v>
          </cell>
          <cell r="BK26">
            <v>291.44178343063402</v>
          </cell>
          <cell r="BL26">
            <v>0</v>
          </cell>
          <cell r="BN26">
            <v>78.664586792276822</v>
          </cell>
          <cell r="BO26">
            <v>0</v>
          </cell>
          <cell r="BT26">
            <v>8538.7129262298149</v>
          </cell>
          <cell r="BU26">
            <v>18790.048799898857</v>
          </cell>
          <cell r="BW26">
            <v>3698.3916130833613</v>
          </cell>
          <cell r="BX26">
            <v>4843.5408946687257</v>
          </cell>
          <cell r="BZ26">
            <v>3375.8921009378719</v>
          </cell>
          <cell r="CA26">
            <v>72.090978154913529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507.57570362456863</v>
          </cell>
          <cell r="CJ26">
            <v>710.67209657879016</v>
          </cell>
          <cell r="CL26">
            <v>0</v>
          </cell>
          <cell r="CM26">
            <v>0</v>
          </cell>
          <cell r="CX26">
            <v>442.38599746145178</v>
          </cell>
          <cell r="CY26">
            <v>-1565.3637651860581</v>
          </cell>
          <cell r="DA26">
            <v>20547.909589613948</v>
          </cell>
          <cell r="DC26">
            <v>4151.0200000000004</v>
          </cell>
          <cell r="DD26">
            <v>911.57</v>
          </cell>
          <cell r="DE26">
            <v>0</v>
          </cell>
          <cell r="DF26">
            <v>171.92000000000007</v>
          </cell>
          <cell r="DW26">
            <v>918</v>
          </cell>
          <cell r="DX26">
            <v>0</v>
          </cell>
        </row>
        <row r="27">
          <cell r="F27">
            <v>128.19999999999999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374.74275109031805</v>
          </cell>
          <cell r="AQ27">
            <v>422.82210167448136</v>
          </cell>
          <cell r="AS27">
            <v>2095.7404931508122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203.00831472946305</v>
          </cell>
          <cell r="BU27">
            <v>1203.540904831357</v>
          </cell>
          <cell r="BW27">
            <v>0</v>
          </cell>
          <cell r="BX27">
            <v>0</v>
          </cell>
          <cell r="BZ27">
            <v>47.746287072113034</v>
          </cell>
          <cell r="CA27">
            <v>2.0261091756512211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X27">
            <v>76.681446914981848</v>
          </cell>
          <cell r="CY27">
            <v>1388.0999233484422</v>
          </cell>
          <cell r="DA27">
            <v>-7721.5106202605257</v>
          </cell>
          <cell r="DC27">
            <v>-6848.14</v>
          </cell>
          <cell r="DD27">
            <v>0</v>
          </cell>
          <cell r="DE27">
            <v>-7285.9400000000005</v>
          </cell>
          <cell r="DF27">
            <v>0</v>
          </cell>
          <cell r="DW27">
            <v>918</v>
          </cell>
          <cell r="DX27">
            <v>0</v>
          </cell>
        </row>
        <row r="28">
          <cell r="F28">
            <v>4216.3</v>
          </cell>
          <cell r="G28">
            <v>460.11</v>
          </cell>
          <cell r="H28">
            <v>0</v>
          </cell>
          <cell r="I28">
            <v>13707.099013600908</v>
          </cell>
          <cell r="J28">
            <v>10629.827753447911</v>
          </cell>
          <cell r="L28">
            <v>2117.2232971463186</v>
          </cell>
          <cell r="M28">
            <v>1794.6007474677979</v>
          </cell>
          <cell r="O28">
            <v>5296.4238289693685</v>
          </cell>
          <cell r="P28">
            <v>5314.1643813712653</v>
          </cell>
          <cell r="R28">
            <v>1176.1895198927805</v>
          </cell>
          <cell r="S28">
            <v>1179.8310735713478</v>
          </cell>
          <cell r="U28">
            <v>634.12267486977794</v>
          </cell>
          <cell r="V28">
            <v>246.59556380740651</v>
          </cell>
          <cell r="X28">
            <v>5723.963898305663</v>
          </cell>
          <cell r="Y28">
            <v>3885.375323049785</v>
          </cell>
          <cell r="AA28">
            <v>0</v>
          </cell>
          <cell r="AB28">
            <v>0</v>
          </cell>
          <cell r="AD28">
            <v>15283.461603259875</v>
          </cell>
          <cell r="AE28">
            <v>14914.918797661261</v>
          </cell>
          <cell r="AJ28">
            <v>31352.780222228539</v>
          </cell>
          <cell r="AK28">
            <v>28671.216092285544</v>
          </cell>
          <cell r="AM28">
            <v>605.85684545284585</v>
          </cell>
          <cell r="AN28">
            <v>2624.8139872817342</v>
          </cell>
          <cell r="AP28">
            <v>2997.9420087225444</v>
          </cell>
          <cell r="AQ28">
            <v>4260</v>
          </cell>
          <cell r="AS28">
            <v>51926.248372116359</v>
          </cell>
          <cell r="AT28">
            <v>6175.4682328774416</v>
          </cell>
          <cell r="AV28">
            <v>1407.03199657505</v>
          </cell>
          <cell r="AW28">
            <v>699.58396102074971</v>
          </cell>
          <cell r="AY28">
            <v>1272.6760804131179</v>
          </cell>
          <cell r="AZ28">
            <v>0</v>
          </cell>
          <cell r="BB28">
            <v>1680.4224562217564</v>
          </cell>
          <cell r="BC28">
            <v>0</v>
          </cell>
          <cell r="BE28">
            <v>544.36256039676277</v>
          </cell>
          <cell r="BF28">
            <v>548.24795760195309</v>
          </cell>
          <cell r="BH28">
            <v>330.55002861087428</v>
          </cell>
          <cell r="BI28">
            <v>484.68361961872921</v>
          </cell>
          <cell r="BK28">
            <v>1132.3945619813705</v>
          </cell>
          <cell r="BL28">
            <v>4295.0069997016253</v>
          </cell>
          <cell r="BN28">
            <v>446.76295600115077</v>
          </cell>
          <cell r="BO28">
            <v>4105.0867629801878</v>
          </cell>
          <cell r="BT28">
            <v>58282.065548465966</v>
          </cell>
          <cell r="BU28">
            <v>93268.792189327971</v>
          </cell>
          <cell r="BW28">
            <v>32127.602198632609</v>
          </cell>
          <cell r="BX28">
            <v>38822.113864524181</v>
          </cell>
          <cell r="BZ28">
            <v>12075.700112621715</v>
          </cell>
          <cell r="CA28">
            <v>417.12822179468077</v>
          </cell>
          <cell r="CC28">
            <v>1712.3123773981567</v>
          </cell>
          <cell r="CD28">
            <v>1715.6176468081235</v>
          </cell>
          <cell r="CF28">
            <v>212.40465114726587</v>
          </cell>
          <cell r="CG28">
            <v>0</v>
          </cell>
          <cell r="CI28">
            <v>6664.0146459272528</v>
          </cell>
          <cell r="CJ28">
            <v>3452.5593677725078</v>
          </cell>
          <cell r="CL28">
            <v>6495.0699294846581</v>
          </cell>
          <cell r="CM28">
            <v>9164.1797797030249</v>
          </cell>
          <cell r="CX28">
            <v>9493.9903586405835</v>
          </cell>
          <cell r="CY28">
            <v>31735.833236361494</v>
          </cell>
          <cell r="DA28">
            <v>57475.462506802985</v>
          </cell>
          <cell r="DC28">
            <v>86815.14</v>
          </cell>
          <cell r="DD28">
            <v>0</v>
          </cell>
          <cell r="DE28">
            <v>45727.13</v>
          </cell>
          <cell r="DF28">
            <v>0</v>
          </cell>
          <cell r="DW28">
            <v>1062</v>
          </cell>
          <cell r="DX28">
            <v>0</v>
          </cell>
        </row>
        <row r="29">
          <cell r="F29">
            <v>172.4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249.8285007268787</v>
          </cell>
          <cell r="AQ29">
            <v>187.92093407754726</v>
          </cell>
          <cell r="AS29">
            <v>1664.6576388275894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616.42581342337769</v>
          </cell>
          <cell r="BU29">
            <v>2005.8299718445028</v>
          </cell>
          <cell r="BW29">
            <v>0</v>
          </cell>
          <cell r="BX29">
            <v>0</v>
          </cell>
          <cell r="BZ29">
            <v>114.59108897307127</v>
          </cell>
          <cell r="CA29">
            <v>3.3768486260853696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X29">
            <v>74.407437070644434</v>
          </cell>
          <cell r="CY29">
            <v>612.45778195398316</v>
          </cell>
          <cell r="DA29">
            <v>-5248.8694292489936</v>
          </cell>
          <cell r="DC29">
            <v>422.79</v>
          </cell>
          <cell r="DD29">
            <v>0</v>
          </cell>
          <cell r="DE29">
            <v>0</v>
          </cell>
          <cell r="DF29">
            <v>0</v>
          </cell>
          <cell r="DW29">
            <v>0</v>
          </cell>
          <cell r="DX29">
            <v>0</v>
          </cell>
        </row>
        <row r="30">
          <cell r="F30">
            <v>261.2</v>
          </cell>
          <cell r="G30">
            <v>0</v>
          </cell>
          <cell r="H30">
            <v>0</v>
          </cell>
          <cell r="I30">
            <v>423.88897332425944</v>
          </cell>
          <cell r="J30">
            <v>431.38363825724502</v>
          </cell>
          <cell r="L30">
            <v>201.54254287723921</v>
          </cell>
          <cell r="M30">
            <v>208.78188262001066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401.95463215135237</v>
          </cell>
          <cell r="Y30">
            <v>951.23420614181623</v>
          </cell>
          <cell r="AA30">
            <v>0</v>
          </cell>
          <cell r="AB30">
            <v>0</v>
          </cell>
          <cell r="AD30">
            <v>946.76473782427672</v>
          </cell>
          <cell r="AE30">
            <v>923.93705483073404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499.6570014537574</v>
          </cell>
          <cell r="AQ30">
            <v>563.76280223264177</v>
          </cell>
          <cell r="AS30">
            <v>3158.462690635889</v>
          </cell>
          <cell r="AT30">
            <v>0</v>
          </cell>
          <cell r="AV30">
            <v>166.08671722243741</v>
          </cell>
          <cell r="AW30">
            <v>0</v>
          </cell>
          <cell r="AY30">
            <v>241.15319609958175</v>
          </cell>
          <cell r="AZ30">
            <v>0</v>
          </cell>
          <cell r="BB30">
            <v>102.52268334339573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79.811924656113376</v>
          </cell>
          <cell r="BL30">
            <v>0</v>
          </cell>
          <cell r="BN30">
            <v>38.805764507289481</v>
          </cell>
          <cell r="BO30">
            <v>0</v>
          </cell>
          <cell r="BT30">
            <v>3482.6568776865161</v>
          </cell>
          <cell r="BU30">
            <v>6175.5100888423085</v>
          </cell>
          <cell r="BW30">
            <v>2103.5309972462469</v>
          </cell>
          <cell r="BX30">
            <v>2394.0169185252817</v>
          </cell>
          <cell r="BZ30">
            <v>1858.3965488916324</v>
          </cell>
          <cell r="CA30">
            <v>177.63199842951533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1025.1409282780796</v>
          </cell>
          <cell r="CJ30">
            <v>792.45920273836487</v>
          </cell>
          <cell r="CL30">
            <v>0</v>
          </cell>
          <cell r="CM30">
            <v>0</v>
          </cell>
          <cell r="CX30">
            <v>414.6686607984791</v>
          </cell>
          <cell r="CY30">
            <v>2948.6587690946581</v>
          </cell>
          <cell r="DA30">
            <v>-25130.516549775602</v>
          </cell>
          <cell r="DC30">
            <v>3506.32</v>
          </cell>
          <cell r="DD30">
            <v>0</v>
          </cell>
          <cell r="DE30">
            <v>1144.2600000000002</v>
          </cell>
          <cell r="DF30">
            <v>0</v>
          </cell>
          <cell r="DW30">
            <v>918</v>
          </cell>
          <cell r="DX30">
            <v>0</v>
          </cell>
        </row>
        <row r="31">
          <cell r="F31">
            <v>252.8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294.39971560856185</v>
          </cell>
          <cell r="AQ31">
            <v>93.650256154407487</v>
          </cell>
          <cell r="AS31">
            <v>3754.1841168534097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X31">
            <v>150.62914191811527</v>
          </cell>
          <cell r="CY31">
            <v>4896.5494334871919</v>
          </cell>
          <cell r="DA31">
            <v>-21088.211915481468</v>
          </cell>
          <cell r="DC31">
            <v>762.1</v>
          </cell>
          <cell r="DD31">
            <v>0</v>
          </cell>
          <cell r="DE31">
            <v>114.75</v>
          </cell>
          <cell r="DF31">
            <v>0</v>
          </cell>
          <cell r="DW31">
            <v>0</v>
          </cell>
          <cell r="DX31">
            <v>0</v>
          </cell>
        </row>
        <row r="32">
          <cell r="F32">
            <v>3108.9</v>
          </cell>
          <cell r="G32">
            <v>0</v>
          </cell>
          <cell r="H32">
            <v>67</v>
          </cell>
          <cell r="I32">
            <v>11502.515848778508</v>
          </cell>
          <cell r="J32">
            <v>11630.214545553288</v>
          </cell>
          <cell r="L32">
            <v>2263.6194175835108</v>
          </cell>
          <cell r="M32">
            <v>2350.4961084993283</v>
          </cell>
          <cell r="O32">
            <v>3938.0884523314899</v>
          </cell>
          <cell r="P32">
            <v>3951.2618796471829</v>
          </cell>
          <cell r="R32">
            <v>0</v>
          </cell>
          <cell r="S32">
            <v>0</v>
          </cell>
          <cell r="U32">
            <v>233.87745698177133</v>
          </cell>
          <cell r="V32">
            <v>134.93073857999187</v>
          </cell>
          <cell r="X32">
            <v>6510.776412621899</v>
          </cell>
          <cell r="Y32">
            <v>6369.2017494481079</v>
          </cell>
          <cell r="AA32">
            <v>0</v>
          </cell>
          <cell r="AB32">
            <v>0</v>
          </cell>
          <cell r="AD32">
            <v>11507.56014646039</v>
          </cell>
          <cell r="AE32">
            <v>11230.310697679157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8619.0832750773152</v>
          </cell>
          <cell r="AQ32">
            <v>10848.625706570572</v>
          </cell>
          <cell r="AS32">
            <v>40308.913126986045</v>
          </cell>
          <cell r="AT32">
            <v>33114.819921168208</v>
          </cell>
          <cell r="AV32">
            <v>1730.9671795039567</v>
          </cell>
          <cell r="AW32">
            <v>1378.7254319870619</v>
          </cell>
          <cell r="AY32">
            <v>2780.0031903803765</v>
          </cell>
          <cell r="AZ32">
            <v>0</v>
          </cell>
          <cell r="BB32">
            <v>1919.1854325922072</v>
          </cell>
          <cell r="BC32">
            <v>0</v>
          </cell>
          <cell r="BE32">
            <v>0</v>
          </cell>
          <cell r="BF32">
            <v>0</v>
          </cell>
          <cell r="BH32">
            <v>137.84135996429129</v>
          </cell>
          <cell r="BI32">
            <v>2126.4971065112836</v>
          </cell>
          <cell r="BK32">
            <v>1204.4261940555625</v>
          </cell>
          <cell r="BL32">
            <v>400.47451438863499</v>
          </cell>
          <cell r="BN32">
            <v>1032.8702354939596</v>
          </cell>
          <cell r="BO32">
            <v>3582.6837588106009</v>
          </cell>
          <cell r="BT32">
            <v>18580.095287064767</v>
          </cell>
          <cell r="BU32">
            <v>44182.518034350709</v>
          </cell>
          <cell r="BW32">
            <v>12111.43017851225</v>
          </cell>
          <cell r="BX32">
            <v>15118.068711832673</v>
          </cell>
          <cell r="BZ32">
            <v>8450.1710921778904</v>
          </cell>
          <cell r="CA32">
            <v>283.70422409544489</v>
          </cell>
          <cell r="CC32">
            <v>915.11305199272738</v>
          </cell>
          <cell r="CD32">
            <v>916.87949088398227</v>
          </cell>
          <cell r="CF32">
            <v>113.51565937061967</v>
          </cell>
          <cell r="CG32">
            <v>0</v>
          </cell>
          <cell r="CI32">
            <v>7898.354702265432</v>
          </cell>
          <cell r="CJ32">
            <v>6912.346584419789</v>
          </cell>
          <cell r="CL32">
            <v>0</v>
          </cell>
          <cell r="CM32">
            <v>0</v>
          </cell>
          <cell r="CX32">
            <v>8639.9628308659412</v>
          </cell>
          <cell r="CY32">
            <v>-6688.0589742113334</v>
          </cell>
          <cell r="DA32">
            <v>-44837.22539186701</v>
          </cell>
          <cell r="DC32">
            <v>46774.53</v>
          </cell>
          <cell r="DD32">
            <v>886.34</v>
          </cell>
          <cell r="DE32">
            <v>23935.03</v>
          </cell>
          <cell r="DF32">
            <v>436.69000000000005</v>
          </cell>
          <cell r="DW32">
            <v>918</v>
          </cell>
          <cell r="DX32">
            <v>0</v>
          </cell>
        </row>
        <row r="33">
          <cell r="F33">
            <v>602.5</v>
          </cell>
          <cell r="G33">
            <v>0</v>
          </cell>
          <cell r="H33">
            <v>0</v>
          </cell>
          <cell r="I33">
            <v>3169.7731726224447</v>
          </cell>
          <cell r="J33">
            <v>3171.6610340750231</v>
          </cell>
          <cell r="L33">
            <v>543.50111286204208</v>
          </cell>
          <cell r="M33">
            <v>563.21498996220316</v>
          </cell>
          <cell r="O33">
            <v>740.87034985980881</v>
          </cell>
          <cell r="P33">
            <v>743.63756125593898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>
            <v>1045.0709756395374</v>
          </cell>
          <cell r="Y33">
            <v>999.42979462190306</v>
          </cell>
          <cell r="AA33">
            <v>0</v>
          </cell>
          <cell r="AB33">
            <v>0</v>
          </cell>
          <cell r="AD33">
            <v>2186.1747780444948</v>
          </cell>
          <cell r="AE33">
            <v>2133.342092299908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1498.9710043612722</v>
          </cell>
          <cell r="AQ33">
            <v>1824.7117307549697</v>
          </cell>
          <cell r="AS33">
            <v>8093.8012881053146</v>
          </cell>
          <cell r="AT33">
            <v>7268</v>
          </cell>
          <cell r="AV33">
            <v>524.65064775115025</v>
          </cell>
          <cell r="AW33">
            <v>0</v>
          </cell>
          <cell r="AY33">
            <v>650.55297531114684</v>
          </cell>
          <cell r="AZ33">
            <v>0</v>
          </cell>
          <cell r="BB33">
            <v>354.21053596731934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206.35629193641316</v>
          </cell>
          <cell r="BL33">
            <v>0</v>
          </cell>
          <cell r="BN33">
            <v>31.214014296485885</v>
          </cell>
          <cell r="BO33">
            <v>0</v>
          </cell>
          <cell r="BT33">
            <v>8439.6630807797555</v>
          </cell>
          <cell r="BU33">
            <v>11079.916081288873</v>
          </cell>
          <cell r="BW33">
            <v>4369.2430628874281</v>
          </cell>
          <cell r="BX33">
            <v>4908.564245002015</v>
          </cell>
          <cell r="BZ33">
            <v>1537.2776050295361</v>
          </cell>
          <cell r="CA33">
            <v>204.69001699116941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550.76830903970824</v>
          </cell>
          <cell r="CJ33">
            <v>220.25612696065468</v>
          </cell>
          <cell r="CL33">
            <v>0</v>
          </cell>
          <cell r="CM33">
            <v>0</v>
          </cell>
          <cell r="CX33">
            <v>912.75006288844452</v>
          </cell>
          <cell r="CY33">
            <v>1902.3607004258852</v>
          </cell>
          <cell r="DA33">
            <v>-2795.5964387212207</v>
          </cell>
          <cell r="DC33">
            <v>28425.07</v>
          </cell>
          <cell r="DD33">
            <v>0</v>
          </cell>
          <cell r="DE33">
            <v>23002.03</v>
          </cell>
          <cell r="DF33">
            <v>0</v>
          </cell>
          <cell r="DW33">
            <v>918</v>
          </cell>
          <cell r="DX33">
            <v>0</v>
          </cell>
        </row>
        <row r="34">
          <cell r="F34">
            <v>4198.7</v>
          </cell>
          <cell r="G34">
            <v>460.2</v>
          </cell>
          <cell r="H34">
            <v>0</v>
          </cell>
          <cell r="I34">
            <v>13199.752136326901</v>
          </cell>
          <cell r="J34">
            <v>13403.601858324539</v>
          </cell>
          <cell r="L34">
            <v>2029.1149070166164</v>
          </cell>
          <cell r="M34">
            <v>2114.4718367948344</v>
          </cell>
          <cell r="O34">
            <v>5405.848684458083</v>
          </cell>
          <cell r="P34">
            <v>5424.1796678506153</v>
          </cell>
          <cell r="R34">
            <v>1340.9308524495423</v>
          </cell>
          <cell r="S34">
            <v>1345.2693183679394</v>
          </cell>
          <cell r="U34">
            <v>663.74715275413564</v>
          </cell>
          <cell r="V34">
            <v>1388.6435726481116</v>
          </cell>
          <cell r="X34">
            <v>5383.3725162752307</v>
          </cell>
          <cell r="Y34">
            <v>4942.9720578011811</v>
          </cell>
          <cell r="AA34">
            <v>0</v>
          </cell>
          <cell r="AB34">
            <v>0</v>
          </cell>
          <cell r="AD34">
            <v>15217.47384676103</v>
          </cell>
          <cell r="AE34">
            <v>14850.637299998247</v>
          </cell>
          <cell r="AJ34">
            <v>32940.012987593596</v>
          </cell>
          <cell r="AK34">
            <v>30626.093884588274</v>
          </cell>
          <cell r="AM34">
            <v>605.85684545284585</v>
          </cell>
          <cell r="AN34">
            <v>1708.1027599163185</v>
          </cell>
          <cell r="AP34">
            <v>2997.9420087225444</v>
          </cell>
          <cell r="AQ34">
            <v>3347.2463990929641</v>
          </cell>
          <cell r="AS34">
            <v>53996.906909299745</v>
          </cell>
          <cell r="AT34">
            <v>9177.8468265443134</v>
          </cell>
          <cell r="AV34">
            <v>1070.2708784118524</v>
          </cell>
          <cell r="AW34">
            <v>0</v>
          </cell>
          <cell r="AY34">
            <v>1308.4589375979128</v>
          </cell>
          <cell r="AZ34">
            <v>0</v>
          </cell>
          <cell r="BB34">
            <v>1380.0116601786826</v>
          </cell>
          <cell r="BC34">
            <v>0</v>
          </cell>
          <cell r="BE34">
            <v>685.13231785507674</v>
          </cell>
          <cell r="BF34">
            <v>0</v>
          </cell>
          <cell r="BH34">
            <v>348.0099342063512</v>
          </cell>
          <cell r="BI34">
            <v>0</v>
          </cell>
          <cell r="BK34">
            <v>860.05170286801933</v>
          </cell>
          <cell r="BL34">
            <v>0</v>
          </cell>
          <cell r="BN34">
            <v>53.487331030661736</v>
          </cell>
          <cell r="BO34">
            <v>5709.2126109029996</v>
          </cell>
          <cell r="BT34">
            <v>51066.557396314602</v>
          </cell>
          <cell r="BU34">
            <v>75818.310733696606</v>
          </cell>
          <cell r="BW34">
            <v>31567.053622654596</v>
          </cell>
          <cell r="BX34">
            <v>37369.620015816181</v>
          </cell>
          <cell r="BZ34">
            <v>10335.165159930551</v>
          </cell>
          <cell r="CA34">
            <v>542.21325623253711</v>
          </cell>
          <cell r="CC34">
            <v>461.40153881986259</v>
          </cell>
          <cell r="CD34">
            <v>462.29218027763807</v>
          </cell>
          <cell r="CF34">
            <v>57.234786237287231</v>
          </cell>
          <cell r="CG34">
            <v>0</v>
          </cell>
          <cell r="CI34">
            <v>10855.20339077013</v>
          </cell>
          <cell r="CJ34">
            <v>24457.181316435472</v>
          </cell>
          <cell r="CL34">
            <v>16661.097829951199</v>
          </cell>
          <cell r="CM34">
            <v>36685.755676701032</v>
          </cell>
          <cell r="CX34">
            <v>7453.899522671285</v>
          </cell>
          <cell r="CY34">
            <v>-3206.3676029920061</v>
          </cell>
          <cell r="DA34">
            <v>-51653.493572487685</v>
          </cell>
          <cell r="DC34">
            <v>159220.62</v>
          </cell>
          <cell r="DD34">
            <v>0</v>
          </cell>
          <cell r="DE34">
            <v>117433.13</v>
          </cell>
          <cell r="DF34">
            <v>0</v>
          </cell>
          <cell r="DW34">
            <v>1359</v>
          </cell>
          <cell r="DX34">
            <v>0</v>
          </cell>
        </row>
        <row r="35">
          <cell r="F35">
            <v>229.7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441.59957341284274</v>
          </cell>
          <cell r="AQ35">
            <v>280.95076846322246</v>
          </cell>
          <cell r="AS35">
            <v>2883.9640510158233</v>
          </cell>
          <cell r="AT35">
            <v>9554.8719355906323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T35">
            <v>446.61829240481882</v>
          </cell>
          <cell r="BU35">
            <v>1175.3456059061793</v>
          </cell>
          <cell r="BW35">
            <v>0</v>
          </cell>
          <cell r="BX35">
            <v>101.33508599766623</v>
          </cell>
          <cell r="BZ35">
            <v>105.04183155864868</v>
          </cell>
          <cell r="CA35">
            <v>1.9786964170012304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X35">
            <v>108.39050315938195</v>
          </cell>
          <cell r="CY35">
            <v>-8576.3195096196978</v>
          </cell>
          <cell r="DA35">
            <v>-3330.9119986384139</v>
          </cell>
          <cell r="DC35">
            <v>460.06</v>
          </cell>
          <cell r="DD35">
            <v>0</v>
          </cell>
          <cell r="DE35">
            <v>-150.74999999999994</v>
          </cell>
          <cell r="DF35">
            <v>0</v>
          </cell>
          <cell r="DW35">
            <v>0</v>
          </cell>
          <cell r="DX35">
            <v>0</v>
          </cell>
        </row>
        <row r="36">
          <cell r="F36">
            <v>409.7</v>
          </cell>
          <cell r="G36">
            <v>0</v>
          </cell>
          <cell r="H36">
            <v>0</v>
          </cell>
          <cell r="I36">
            <v>1711.7903492079199</v>
          </cell>
          <cell r="J36">
            <v>1719.5151514092324</v>
          </cell>
          <cell r="L36">
            <v>307.38880295923678</v>
          </cell>
          <cell r="M36">
            <v>318.73354506022315</v>
          </cell>
          <cell r="O36">
            <v>512.51472829144927</v>
          </cell>
          <cell r="P36">
            <v>514.35760872784135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794.58760067532694</v>
          </cell>
          <cell r="Y36">
            <v>738.40326140075956</v>
          </cell>
          <cell r="AA36">
            <v>0</v>
          </cell>
          <cell r="AB36">
            <v>0</v>
          </cell>
          <cell r="AD36">
            <v>1485.028763731264</v>
          </cell>
          <cell r="AE36">
            <v>1449.2228612716376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999.3140029075148</v>
          </cell>
          <cell r="AQ36">
            <v>566.44500463807742</v>
          </cell>
          <cell r="AS36">
            <v>4749.1714145721344</v>
          </cell>
          <cell r="AT36">
            <v>0</v>
          </cell>
          <cell r="AV36">
            <v>265.94173045029208</v>
          </cell>
          <cell r="AW36">
            <v>0</v>
          </cell>
          <cell r="AY36">
            <v>358.60997614558318</v>
          </cell>
          <cell r="AZ36">
            <v>0</v>
          </cell>
          <cell r="BB36">
            <v>244.62093005252035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98.11115581264491</v>
          </cell>
          <cell r="BL36">
            <v>0</v>
          </cell>
          <cell r="BN36">
            <v>38.805764507289481</v>
          </cell>
          <cell r="BO36">
            <v>0</v>
          </cell>
          <cell r="BT36">
            <v>5198.5176308938408</v>
          </cell>
          <cell r="BU36">
            <v>8367.4739114497715</v>
          </cell>
          <cell r="BW36">
            <v>3109.4838976758397</v>
          </cell>
          <cell r="BX36">
            <v>3810.8784694216688</v>
          </cell>
          <cell r="BZ36">
            <v>1133.073210481718</v>
          </cell>
          <cell r="CA36">
            <v>186.51934720446073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754.97267658533735</v>
          </cell>
          <cell r="CJ36">
            <v>612.19692542475786</v>
          </cell>
          <cell r="CL36">
            <v>0</v>
          </cell>
          <cell r="CM36">
            <v>0</v>
          </cell>
          <cell r="CX36">
            <v>310.21809837438457</v>
          </cell>
          <cell r="CY36">
            <v>4484.0419571041584</v>
          </cell>
          <cell r="DA36">
            <v>3965.4628863705784</v>
          </cell>
          <cell r="DC36">
            <v>13652.37</v>
          </cell>
          <cell r="DD36">
            <v>0</v>
          </cell>
          <cell r="DE36">
            <v>10252.11</v>
          </cell>
          <cell r="DF36">
            <v>0</v>
          </cell>
          <cell r="DW36">
            <v>0</v>
          </cell>
          <cell r="DX36">
            <v>0</v>
          </cell>
        </row>
        <row r="37">
          <cell r="F37">
            <v>386.5</v>
          </cell>
          <cell r="G37">
            <v>0</v>
          </cell>
          <cell r="H37">
            <v>64.099999999999994</v>
          </cell>
          <cell r="I37">
            <v>1765.5222582902895</v>
          </cell>
          <cell r="J37">
            <v>1772.7562757753594</v>
          </cell>
          <cell r="L37">
            <v>307.38880295923678</v>
          </cell>
          <cell r="M37">
            <v>318.73354506022315</v>
          </cell>
          <cell r="O37">
            <v>577.33917932727149</v>
          </cell>
          <cell r="P37">
            <v>579.41738174800503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785.06652823623676</v>
          </cell>
          <cell r="Y37">
            <v>728.9823281677601</v>
          </cell>
          <cell r="AA37">
            <v>0</v>
          </cell>
          <cell r="AB37">
            <v>0</v>
          </cell>
          <cell r="AD37">
            <v>1633.2779129541314</v>
          </cell>
          <cell r="AE37">
            <v>1593.897537927752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874.39975254407523</v>
          </cell>
          <cell r="AQ37">
            <v>499.56752976505345</v>
          </cell>
          <cell r="AS37">
            <v>3733.3506047796564</v>
          </cell>
          <cell r="AT37">
            <v>128.65513255941875</v>
          </cell>
          <cell r="AV37">
            <v>291.95430172403513</v>
          </cell>
          <cell r="AW37">
            <v>0</v>
          </cell>
          <cell r="AY37">
            <v>358.60997614558318</v>
          </cell>
          <cell r="AZ37">
            <v>0</v>
          </cell>
          <cell r="BB37">
            <v>262.01085772472703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97.410960000210821</v>
          </cell>
          <cell r="BL37">
            <v>0</v>
          </cell>
          <cell r="BN37">
            <v>38.805764507289481</v>
          </cell>
          <cell r="BO37">
            <v>0</v>
          </cell>
          <cell r="BT37">
            <v>5527.9976493067761</v>
          </cell>
          <cell r="BU37">
            <v>10493.952879345641</v>
          </cell>
          <cell r="BW37">
            <v>4265.9811917912584</v>
          </cell>
          <cell r="BX37">
            <v>4992.5688141522533</v>
          </cell>
          <cell r="BZ37">
            <v>976.69900724232889</v>
          </cell>
          <cell r="CA37">
            <v>183.51156210748789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689.74593348035989</v>
          </cell>
          <cell r="CJ37">
            <v>165.00831869573921</v>
          </cell>
          <cell r="CL37">
            <v>0</v>
          </cell>
          <cell r="CM37">
            <v>0</v>
          </cell>
          <cell r="CX37">
            <v>826.7715695255439</v>
          </cell>
          <cell r="CY37">
            <v>1700.9828203760712</v>
          </cell>
          <cell r="DA37">
            <v>21012.964415931619</v>
          </cell>
          <cell r="DC37">
            <v>6165.09</v>
          </cell>
          <cell r="DD37">
            <v>-692.6</v>
          </cell>
          <cell r="DE37">
            <v>3010.31</v>
          </cell>
          <cell r="DF37">
            <v>-1104.27</v>
          </cell>
          <cell r="DW37">
            <v>918</v>
          </cell>
          <cell r="DX37">
            <v>0</v>
          </cell>
        </row>
        <row r="38">
          <cell r="F38">
            <v>2099.6999999999998</v>
          </cell>
          <cell r="G38">
            <v>0</v>
          </cell>
          <cell r="H38">
            <v>0</v>
          </cell>
          <cell r="I38">
            <v>7410.3247976778584</v>
          </cell>
          <cell r="J38">
            <v>7475.3830659776004</v>
          </cell>
          <cell r="L38">
            <v>1641.2076390170296</v>
          </cell>
          <cell r="M38">
            <v>1711.9627638274665</v>
          </cell>
          <cell r="O38">
            <v>2799.1561224846532</v>
          </cell>
          <cell r="P38">
            <v>2808.6225850715646</v>
          </cell>
          <cell r="R38">
            <v>0</v>
          </cell>
          <cell r="S38">
            <v>0</v>
          </cell>
          <cell r="U38">
            <v>187.10196558541708</v>
          </cell>
          <cell r="V38">
            <v>107.9445908639935</v>
          </cell>
          <cell r="X38">
            <v>4851.2443690997934</v>
          </cell>
          <cell r="Y38">
            <v>4682.4384460508054</v>
          </cell>
          <cell r="AA38">
            <v>0</v>
          </cell>
          <cell r="AB38">
            <v>0</v>
          </cell>
          <cell r="AD38">
            <v>7619.0970459292867</v>
          </cell>
          <cell r="AE38">
            <v>7434.9514559954441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4996.5700145375749</v>
          </cell>
          <cell r="AQ38">
            <v>6380.9650014756426</v>
          </cell>
          <cell r="AS38">
            <v>25692.033147276932</v>
          </cell>
          <cell r="AT38">
            <v>12093.119782606744</v>
          </cell>
          <cell r="AV38">
            <v>1232.2730409743399</v>
          </cell>
          <cell r="AW38">
            <v>3047.6754916444115</v>
          </cell>
          <cell r="AY38">
            <v>2099.7712723555824</v>
          </cell>
          <cell r="AZ38">
            <v>0</v>
          </cell>
          <cell r="BB38">
            <v>1150.2542802504863</v>
          </cell>
          <cell r="BC38">
            <v>0</v>
          </cell>
          <cell r="BE38">
            <v>0</v>
          </cell>
          <cell r="BF38">
            <v>0</v>
          </cell>
          <cell r="BH38">
            <v>110.27308797143304</v>
          </cell>
          <cell r="BI38">
            <v>504.72798816099402</v>
          </cell>
          <cell r="BK38">
            <v>855.30689219896624</v>
          </cell>
          <cell r="BL38">
            <v>1314.7192261408081</v>
          </cell>
          <cell r="BN38">
            <v>52.797171920588674</v>
          </cell>
          <cell r="BO38">
            <v>0</v>
          </cell>
          <cell r="BT38">
            <v>11779.521372509154</v>
          </cell>
          <cell r="BU38">
            <v>25219.148894939655</v>
          </cell>
          <cell r="BW38">
            <v>10236.600435988308</v>
          </cell>
          <cell r="BX38">
            <v>12066.292860027497</v>
          </cell>
          <cell r="BZ38">
            <v>5074.4279619533763</v>
          </cell>
          <cell r="CA38">
            <v>244.18714996046836</v>
          </cell>
          <cell r="CC38">
            <v>968.94323152171125</v>
          </cell>
          <cell r="CD38">
            <v>970.81357858304</v>
          </cell>
          <cell r="CF38">
            <v>120.19305109830317</v>
          </cell>
          <cell r="CG38">
            <v>2137.9979182900279</v>
          </cell>
          <cell r="CI38">
            <v>2475.0754411708876</v>
          </cell>
          <cell r="CJ38">
            <v>1640.3411897416595</v>
          </cell>
          <cell r="CL38">
            <v>0</v>
          </cell>
          <cell r="CM38">
            <v>0</v>
          </cell>
          <cell r="CX38">
            <v>5361.779335415853</v>
          </cell>
          <cell r="CY38">
            <v>7174.8357580124939</v>
          </cell>
          <cell r="DA38">
            <v>2013.903976292655</v>
          </cell>
          <cell r="DC38">
            <v>31334.28</v>
          </cell>
          <cell r="DD38">
            <v>0</v>
          </cell>
          <cell r="DE38">
            <v>16261.15</v>
          </cell>
          <cell r="DF38">
            <v>0</v>
          </cell>
          <cell r="DW38">
            <v>1062</v>
          </cell>
          <cell r="DX38">
            <v>0</v>
          </cell>
        </row>
        <row r="39">
          <cell r="F39">
            <v>2720.4</v>
          </cell>
          <cell r="G39">
            <v>0</v>
          </cell>
          <cell r="H39">
            <v>66.7</v>
          </cell>
          <cell r="I39">
            <v>9411.8416414075527</v>
          </cell>
          <cell r="J39">
            <v>9508.8579832212781</v>
          </cell>
          <cell r="L39">
            <v>1289.4879320002979</v>
          </cell>
          <cell r="M39">
            <v>1340.8429992784675</v>
          </cell>
          <cell r="O39">
            <v>3342.6476522608004</v>
          </cell>
          <cell r="P39">
            <v>3354.071914660492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4075.7185891777226</v>
          </cell>
          <cell r="Y39">
            <v>3799.0070363585687</v>
          </cell>
          <cell r="AA39">
            <v>0</v>
          </cell>
          <cell r="AB39">
            <v>0</v>
          </cell>
          <cell r="AD39">
            <v>10116.181415415826</v>
          </cell>
          <cell r="AE39">
            <v>9866.4764617023611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8590.0545610568588</v>
          </cell>
          <cell r="AQ39">
            <v>10687.834890596849</v>
          </cell>
          <cell r="AS39">
            <v>28226.520042114676</v>
          </cell>
          <cell r="AT39">
            <v>1568.643408611309</v>
          </cell>
          <cell r="AV39">
            <v>1387.4125397074151</v>
          </cell>
          <cell r="AW39">
            <v>0</v>
          </cell>
          <cell r="AY39">
            <v>1528.5447601745113</v>
          </cell>
          <cell r="AZ39">
            <v>0</v>
          </cell>
          <cell r="BB39">
            <v>1678.6723443527335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751.04001261778444</v>
          </cell>
          <cell r="BL39">
            <v>606.64902946580617</v>
          </cell>
          <cell r="BN39">
            <v>26.790721818290397</v>
          </cell>
          <cell r="BO39">
            <v>0</v>
          </cell>
          <cell r="BT39">
            <v>32369.461265420963</v>
          </cell>
          <cell r="BU39">
            <v>49972.214107230662</v>
          </cell>
          <cell r="BW39">
            <v>15575.222647243396</v>
          </cell>
          <cell r="BX39">
            <v>16557.425673900372</v>
          </cell>
          <cell r="BZ39">
            <v>10443.874856740716</v>
          </cell>
          <cell r="CA39">
            <v>393.37949485616792</v>
          </cell>
          <cell r="CC39">
            <v>0</v>
          </cell>
          <cell r="CD39">
            <v>0</v>
          </cell>
          <cell r="CF39">
            <v>0</v>
          </cell>
          <cell r="CG39">
            <v>0</v>
          </cell>
          <cell r="CI39">
            <v>2012.6737244891992</v>
          </cell>
          <cell r="CJ39">
            <v>2394.1456900806288</v>
          </cell>
          <cell r="CL39">
            <v>0</v>
          </cell>
          <cell r="CM39">
            <v>0</v>
          </cell>
          <cell r="CX39">
            <v>4688.2085145086157</v>
          </cell>
          <cell r="CY39">
            <v>29620.123733751559</v>
          </cell>
          <cell r="DA39">
            <v>71790.468170020496</v>
          </cell>
          <cell r="DC39">
            <v>52053.34</v>
          </cell>
          <cell r="DD39">
            <v>194.06</v>
          </cell>
          <cell r="DE39">
            <v>31727.349999999995</v>
          </cell>
          <cell r="DF39">
            <v>-1365.75</v>
          </cell>
          <cell r="DW39">
            <v>1062</v>
          </cell>
          <cell r="DX39">
            <v>0</v>
          </cell>
        </row>
        <row r="40">
          <cell r="F40">
            <v>3560.8</v>
          </cell>
          <cell r="G40">
            <v>0</v>
          </cell>
          <cell r="H40">
            <v>0</v>
          </cell>
          <cell r="I40">
            <v>10767.317719177709</v>
          </cell>
          <cell r="J40">
            <v>10898.79308168581</v>
          </cell>
          <cell r="L40">
            <v>1817.1260178404345</v>
          </cell>
          <cell r="M40">
            <v>1886.9763487676123</v>
          </cell>
          <cell r="O40">
            <v>4335.0549160454384</v>
          </cell>
          <cell r="P40">
            <v>4349.2016660127429</v>
          </cell>
          <cell r="R40">
            <v>0</v>
          </cell>
          <cell r="S40">
            <v>0</v>
          </cell>
          <cell r="U40">
            <v>233.87745698177133</v>
          </cell>
          <cell r="V40">
            <v>134.93073857999187</v>
          </cell>
          <cell r="X40">
            <v>7393.3825021266239</v>
          </cell>
          <cell r="Y40">
            <v>7282.8545806915799</v>
          </cell>
          <cell r="AA40">
            <v>0</v>
          </cell>
          <cell r="AB40">
            <v>0</v>
          </cell>
          <cell r="AD40">
            <v>12902.985624156889</v>
          </cell>
          <cell r="AE40">
            <v>12592.075560910407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9993.1400290751499</v>
          </cell>
          <cell r="AQ40">
            <v>11110.788499816255</v>
          </cell>
          <cell r="AS40">
            <v>51507.075927697442</v>
          </cell>
          <cell r="AT40">
            <v>94059.6315128774</v>
          </cell>
          <cell r="AV40">
            <v>1656.8231423602892</v>
          </cell>
          <cell r="AW40">
            <v>1817.6889085106104</v>
          </cell>
          <cell r="AY40">
            <v>2231.829752376837</v>
          </cell>
          <cell r="AZ40">
            <v>4955.6566349614295</v>
          </cell>
          <cell r="BB40">
            <v>2407.6403283516265</v>
          </cell>
          <cell r="BC40">
            <v>0</v>
          </cell>
          <cell r="BE40">
            <v>0</v>
          </cell>
          <cell r="BF40">
            <v>0</v>
          </cell>
          <cell r="BH40">
            <v>137.84135996429129</v>
          </cell>
          <cell r="BI40">
            <v>0</v>
          </cell>
          <cell r="BK40">
            <v>1219.0224801602681</v>
          </cell>
          <cell r="BL40">
            <v>0</v>
          </cell>
          <cell r="BN40">
            <v>28.359265250274611</v>
          </cell>
          <cell r="BO40">
            <v>3881.1204258349726</v>
          </cell>
          <cell r="BT40">
            <v>22313.088297260882</v>
          </cell>
          <cell r="BU40">
            <v>37756.990025553358</v>
          </cell>
          <cell r="BW40">
            <v>15397.84203655286</v>
          </cell>
          <cell r="BX40">
            <v>16372.604189291058</v>
          </cell>
          <cell r="BZ40">
            <v>11232.948773865597</v>
          </cell>
          <cell r="CA40">
            <v>328.72714488212807</v>
          </cell>
          <cell r="CC40">
            <v>1599.0126661990569</v>
          </cell>
          <cell r="CD40">
            <v>1602.0992336510587</v>
          </cell>
          <cell r="CF40">
            <v>198.35033141566538</v>
          </cell>
          <cell r="CG40">
            <v>0</v>
          </cell>
          <cell r="CI40">
            <v>2072.9794211839194</v>
          </cell>
          <cell r="CJ40">
            <v>2646.7985911610253</v>
          </cell>
          <cell r="CL40">
            <v>0</v>
          </cell>
          <cell r="CM40">
            <v>0</v>
          </cell>
          <cell r="CX40">
            <v>6747.8288466083914</v>
          </cell>
          <cell r="CY40">
            <v>-55929.658067564873</v>
          </cell>
          <cell r="DA40">
            <v>54136.180325970716</v>
          </cell>
          <cell r="DC40">
            <v>77708.039999999994</v>
          </cell>
          <cell r="DD40">
            <v>0</v>
          </cell>
          <cell r="DE40">
            <v>51821.289999999994</v>
          </cell>
          <cell r="DF40">
            <v>0</v>
          </cell>
          <cell r="DW40">
            <v>1062</v>
          </cell>
          <cell r="DX40">
            <v>0</v>
          </cell>
        </row>
        <row r="41">
          <cell r="F41">
            <v>3573.3</v>
          </cell>
          <cell r="G41">
            <v>0</v>
          </cell>
          <cell r="H41">
            <v>0</v>
          </cell>
          <cell r="I41">
            <v>10737.153826273514</v>
          </cell>
          <cell r="J41">
            <v>10870.611116571075</v>
          </cell>
          <cell r="L41">
            <v>1815.6276734120736</v>
          </cell>
          <cell r="M41">
            <v>1886.9763487676123</v>
          </cell>
          <cell r="O41">
            <v>4381.8555349523531</v>
          </cell>
          <cell r="P41">
            <v>4396.6296859147587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6632.8429872530915</v>
          </cell>
          <cell r="Y41">
            <v>6515.4381357395914</v>
          </cell>
          <cell r="AA41">
            <v>0</v>
          </cell>
          <cell r="AB41">
            <v>0</v>
          </cell>
          <cell r="AD41">
            <v>12957.52983995775</v>
          </cell>
          <cell r="AE41">
            <v>12644.819546661778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9993.1400290751499</v>
          </cell>
          <cell r="AQ41">
            <v>15655.584110149968</v>
          </cell>
          <cell r="AS41">
            <v>51581.607684218732</v>
          </cell>
          <cell r="AT41">
            <v>6847.4840558510014</v>
          </cell>
          <cell r="AV41">
            <v>1658.5159190254819</v>
          </cell>
          <cell r="AW41">
            <v>3329.307448707822</v>
          </cell>
          <cell r="AY41">
            <v>2145.823746671058</v>
          </cell>
          <cell r="AZ41">
            <v>0</v>
          </cell>
          <cell r="BB41">
            <v>2228.2428121090234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1219.0497127258227</v>
          </cell>
          <cell r="BL41">
            <v>0</v>
          </cell>
          <cell r="BN41">
            <v>25.598628809982401</v>
          </cell>
          <cell r="BO41">
            <v>0</v>
          </cell>
          <cell r="BT41">
            <v>27369.07759017868</v>
          </cell>
          <cell r="BU41">
            <v>47674.972522217206</v>
          </cell>
          <cell r="BW41">
            <v>16600.765025910237</v>
          </cell>
          <cell r="BX41">
            <v>17581.946661301849</v>
          </cell>
          <cell r="BZ41">
            <v>11608.148552270004</v>
          </cell>
          <cell r="CA41">
            <v>370.13892305765279</v>
          </cell>
          <cell r="CC41">
            <v>2207.5500290648092</v>
          </cell>
          <cell r="CD41">
            <v>2211.8112536394547</v>
          </cell>
          <cell r="CF41">
            <v>273.8366550419542</v>
          </cell>
          <cell r="CG41">
            <v>0</v>
          </cell>
          <cell r="CI41">
            <v>4003.2395971843466</v>
          </cell>
          <cell r="CJ41">
            <v>3208.4139924949964</v>
          </cell>
          <cell r="CL41">
            <v>0</v>
          </cell>
          <cell r="CM41">
            <v>0</v>
          </cell>
          <cell r="CX41">
            <v>7686.8110914664449</v>
          </cell>
          <cell r="CY41">
            <v>48781.377543137613</v>
          </cell>
          <cell r="DA41">
            <v>7076.5487645191242</v>
          </cell>
          <cell r="DC41">
            <v>74305.13</v>
          </cell>
          <cell r="DD41">
            <v>0</v>
          </cell>
          <cell r="DE41">
            <v>47124.14</v>
          </cell>
          <cell r="DF41">
            <v>0</v>
          </cell>
          <cell r="DW41">
            <v>1062</v>
          </cell>
          <cell r="DX41">
            <v>0</v>
          </cell>
        </row>
        <row r="42">
          <cell r="F42">
            <v>3565.8</v>
          </cell>
          <cell r="G42">
            <v>0</v>
          </cell>
          <cell r="H42">
            <v>0</v>
          </cell>
          <cell r="I42">
            <v>10619.945833176927</v>
          </cell>
          <cell r="J42">
            <v>10758.187664358808</v>
          </cell>
          <cell r="L42">
            <v>1817.1260178404345</v>
          </cell>
          <cell r="M42">
            <v>1886.9763487676123</v>
          </cell>
          <cell r="O42">
            <v>4374.1904687435726</v>
          </cell>
          <cell r="P42">
            <v>4388.5611951686742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6651.9327599724274</v>
          </cell>
          <cell r="Y42">
            <v>6748.293882360641</v>
          </cell>
          <cell r="AA42">
            <v>0</v>
          </cell>
          <cell r="AB42">
            <v>0</v>
          </cell>
          <cell r="AD42">
            <v>12920.24313614707</v>
          </cell>
          <cell r="AE42">
            <v>12608.962450876705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9993.1400290751499</v>
          </cell>
          <cell r="AQ42">
            <v>6959.1211292738608</v>
          </cell>
          <cell r="AS42">
            <v>45456.353554333276</v>
          </cell>
          <cell r="AT42">
            <v>18463.577871877038</v>
          </cell>
          <cell r="AV42">
            <v>1715.4907422342217</v>
          </cell>
          <cell r="AW42">
            <v>0</v>
          </cell>
          <cell r="AY42">
            <v>2231.829752376837</v>
          </cell>
          <cell r="AZ42">
            <v>0</v>
          </cell>
          <cell r="BB42">
            <v>2228.2428121090234</v>
          </cell>
          <cell r="BC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K42">
            <v>1219.0497127258227</v>
          </cell>
          <cell r="BL42">
            <v>131.88487087213676</v>
          </cell>
          <cell r="BN42">
            <v>26.414271394614186</v>
          </cell>
          <cell r="BO42">
            <v>7293.4097856278477</v>
          </cell>
          <cell r="BT42">
            <v>26144.483187775477</v>
          </cell>
          <cell r="BU42">
            <v>49043.460223149814</v>
          </cell>
          <cell r="BW42">
            <v>16093.182799234115</v>
          </cell>
          <cell r="BX42">
            <v>19532.923042283899</v>
          </cell>
          <cell r="BZ42">
            <v>11641.238911533244</v>
          </cell>
          <cell r="CA42">
            <v>348.73599745167564</v>
          </cell>
          <cell r="CC42">
            <v>1834.3274509971873</v>
          </cell>
          <cell r="CD42">
            <v>1837.8682455926546</v>
          </cell>
          <cell r="CF42">
            <v>227.54007239668192</v>
          </cell>
          <cell r="CG42">
            <v>0</v>
          </cell>
          <cell r="CI42">
            <v>8471.2219638131646</v>
          </cell>
          <cell r="CJ42">
            <v>8880.3127143901675</v>
          </cell>
          <cell r="CL42">
            <v>0</v>
          </cell>
          <cell r="CM42">
            <v>0</v>
          </cell>
          <cell r="CX42">
            <v>9890.1696985842791</v>
          </cell>
          <cell r="CY42">
            <v>27630.583363177542</v>
          </cell>
          <cell r="DA42">
            <v>27598.151587875065</v>
          </cell>
          <cell r="DC42">
            <v>100657.8</v>
          </cell>
          <cell r="DD42">
            <v>0</v>
          </cell>
          <cell r="DE42">
            <v>73829.08</v>
          </cell>
          <cell r="DF42">
            <v>0</v>
          </cell>
          <cell r="DW42">
            <v>1062</v>
          </cell>
          <cell r="DX42">
            <v>0</v>
          </cell>
        </row>
        <row r="43">
          <cell r="F43">
            <v>3571.86</v>
          </cell>
          <cell r="G43">
            <v>0</v>
          </cell>
          <cell r="H43">
            <v>0</v>
          </cell>
          <cell r="I43">
            <v>10723.624258862928</v>
          </cell>
          <cell r="J43">
            <v>10854.316356307272</v>
          </cell>
          <cell r="L43">
            <v>1819.6232585543701</v>
          </cell>
          <cell r="M43">
            <v>1886.9763487676123</v>
          </cell>
          <cell r="O43">
            <v>4333.319891622803</v>
          </cell>
          <cell r="P43">
            <v>4347.8181315327756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>
            <v>6683.0483818688081</v>
          </cell>
          <cell r="Y43">
            <v>6706.3481489041451</v>
          </cell>
          <cell r="AA43">
            <v>0</v>
          </cell>
          <cell r="AB43">
            <v>0</v>
          </cell>
          <cell r="AD43">
            <v>12947.115174696719</v>
          </cell>
          <cell r="AE43">
            <v>12634.928861176717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9993.1400290751499</v>
          </cell>
          <cell r="AQ43">
            <v>12601.139186977562</v>
          </cell>
          <cell r="AS43">
            <v>52202.619004752101</v>
          </cell>
          <cell r="AT43">
            <v>44032.16412049342</v>
          </cell>
          <cell r="AV43">
            <v>1808.5201698304925</v>
          </cell>
          <cell r="AW43">
            <v>0</v>
          </cell>
          <cell r="AY43">
            <v>2375.1730952198018</v>
          </cell>
          <cell r="AZ43">
            <v>5966.4304807987955</v>
          </cell>
          <cell r="BB43">
            <v>2375.7608728895066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1219.0497127258227</v>
          </cell>
          <cell r="BL43">
            <v>0</v>
          </cell>
          <cell r="BN43">
            <v>26.414271394614186</v>
          </cell>
          <cell r="BO43">
            <v>0</v>
          </cell>
          <cell r="BT43">
            <v>33287.657319913909</v>
          </cell>
          <cell r="BU43">
            <v>59238.184982675026</v>
          </cell>
          <cell r="BW43">
            <v>16417.426279622712</v>
          </cell>
          <cell r="BX43">
            <v>19326.589159897805</v>
          </cell>
          <cell r="BZ43">
            <v>10218.494536528637</v>
          </cell>
          <cell r="CA43">
            <v>392.43127216196478</v>
          </cell>
          <cell r="CC43">
            <v>1828.6880988560556</v>
          </cell>
          <cell r="CD43">
            <v>1832.2180078337051</v>
          </cell>
          <cell r="CF43">
            <v>226.84053612044838</v>
          </cell>
          <cell r="CG43">
            <v>0</v>
          </cell>
          <cell r="CI43">
            <v>6307.0188987789488</v>
          </cell>
          <cell r="CJ43">
            <v>5197.6603427754098</v>
          </cell>
          <cell r="CL43">
            <v>0</v>
          </cell>
          <cell r="CM43">
            <v>0</v>
          </cell>
          <cell r="CX43">
            <v>7628.0439536705462</v>
          </cell>
          <cell r="CY43">
            <v>-4640.361977115499</v>
          </cell>
          <cell r="DA43">
            <v>3739.9205871587983</v>
          </cell>
          <cell r="DC43">
            <v>118832.43</v>
          </cell>
          <cell r="DD43">
            <v>0</v>
          </cell>
          <cell r="DE43">
            <v>90578.319999999992</v>
          </cell>
          <cell r="DF43">
            <v>0</v>
          </cell>
          <cell r="DW43">
            <v>1062</v>
          </cell>
          <cell r="DX43">
            <v>0</v>
          </cell>
        </row>
        <row r="44">
          <cell r="F44">
            <v>3820.4</v>
          </cell>
          <cell r="G44">
            <v>314.8</v>
          </cell>
          <cell r="H44">
            <v>0</v>
          </cell>
          <cell r="I44">
            <v>7536.0899934225417</v>
          </cell>
          <cell r="J44">
            <v>7720.8496923084913</v>
          </cell>
          <cell r="L44">
            <v>1241.0427259346282</v>
          </cell>
          <cell r="M44">
            <v>1301.8044783022328</v>
          </cell>
          <cell r="O44">
            <v>4378.806944536329</v>
          </cell>
          <cell r="P44">
            <v>4394.1052047750854</v>
          </cell>
          <cell r="R44">
            <v>1038.0756128020207</v>
          </cell>
          <cell r="S44">
            <v>1041.1701187389694</v>
          </cell>
          <cell r="U44">
            <v>339.76778666962286</v>
          </cell>
          <cell r="V44">
            <v>226.13471907960937</v>
          </cell>
          <cell r="X44">
            <v>3449.9150263809452</v>
          </cell>
          <cell r="Y44">
            <v>3132.5334230110134</v>
          </cell>
          <cell r="AA44">
            <v>0</v>
          </cell>
          <cell r="AB44">
            <v>0</v>
          </cell>
          <cell r="AD44">
            <v>13832.117520492815</v>
          </cell>
          <cell r="AE44">
            <v>13499.426459441465</v>
          </cell>
          <cell r="AJ44">
            <v>13196.322712624873</v>
          </cell>
          <cell r="AK44">
            <v>12329.820066885128</v>
          </cell>
          <cell r="AM44">
            <v>0</v>
          </cell>
          <cell r="AN44">
            <v>0</v>
          </cell>
          <cell r="AP44">
            <v>1873.7137554515903</v>
          </cell>
          <cell r="AQ44">
            <v>1979.1925623737002</v>
          </cell>
          <cell r="AS44">
            <v>52409.109833927643</v>
          </cell>
          <cell r="AT44">
            <v>61946.912743143344</v>
          </cell>
          <cell r="AV44">
            <v>778.23930954055572</v>
          </cell>
          <cell r="AW44">
            <v>0</v>
          </cell>
          <cell r="AY44">
            <v>868.6460512006114</v>
          </cell>
          <cell r="AZ44">
            <v>0</v>
          </cell>
          <cell r="BB44">
            <v>1712.5686494282172</v>
          </cell>
          <cell r="BC44">
            <v>639.51295309639056</v>
          </cell>
          <cell r="BE44">
            <v>584.30571009516495</v>
          </cell>
          <cell r="BF44">
            <v>0</v>
          </cell>
          <cell r="BH44">
            <v>178.59967910198529</v>
          </cell>
          <cell r="BI44">
            <v>0</v>
          </cell>
          <cell r="BK44">
            <v>492.9158629463081</v>
          </cell>
          <cell r="BL44">
            <v>0</v>
          </cell>
          <cell r="BN44">
            <v>62.741737279368607</v>
          </cell>
          <cell r="BO44">
            <v>4182.1384116839999</v>
          </cell>
          <cell r="BT44">
            <v>17842.046964179408</v>
          </cell>
          <cell r="BU44">
            <v>29543.660673742055</v>
          </cell>
          <cell r="BW44">
            <v>23689.04036000769</v>
          </cell>
          <cell r="BX44">
            <v>28287.115800388332</v>
          </cell>
          <cell r="BZ44">
            <v>4966.4242774286267</v>
          </cell>
          <cell r="CA44">
            <v>328.57007375658623</v>
          </cell>
          <cell r="CC44">
            <v>1175.2922530494832</v>
          </cell>
          <cell r="CD44">
            <v>1177.5609147627615</v>
          </cell>
          <cell r="CF44">
            <v>145.78971938775663</v>
          </cell>
          <cell r="CG44">
            <v>0</v>
          </cell>
          <cell r="CI44">
            <v>2942.6930606796896</v>
          </cell>
          <cell r="CJ44">
            <v>3102.1399681595972</v>
          </cell>
          <cell r="CL44">
            <v>3274.989295719191</v>
          </cell>
          <cell r="CM44">
            <v>6307.6070625080911</v>
          </cell>
          <cell r="CX44">
            <v>4512.2699731642724</v>
          </cell>
          <cell r="CY44">
            <v>-23244.930607479459</v>
          </cell>
          <cell r="DA44">
            <v>26303.566410180665</v>
          </cell>
          <cell r="DC44">
            <v>41187.440000000002</v>
          </cell>
          <cell r="DD44">
            <v>0</v>
          </cell>
          <cell r="DE44">
            <v>15952.570000000003</v>
          </cell>
          <cell r="DF44">
            <v>0</v>
          </cell>
          <cell r="DW44">
            <v>909</v>
          </cell>
          <cell r="DX44">
            <v>0</v>
          </cell>
        </row>
        <row r="45">
          <cell r="F45">
            <v>4099.1000000000004</v>
          </cell>
          <cell r="G45">
            <v>274</v>
          </cell>
          <cell r="H45">
            <v>71.5</v>
          </cell>
          <cell r="I45">
            <v>13341.506863163433</v>
          </cell>
          <cell r="J45">
            <v>10310.680460872665</v>
          </cell>
          <cell r="L45">
            <v>2006.7763145443173</v>
          </cell>
          <cell r="M45">
            <v>1703.2582227860421</v>
          </cell>
          <cell r="O45">
            <v>5902.3900323286098</v>
          </cell>
          <cell r="P45">
            <v>5922.2852971880102</v>
          </cell>
          <cell r="R45">
            <v>1172.6305270064497</v>
          </cell>
          <cell r="S45">
            <v>1176.6447652699469</v>
          </cell>
          <cell r="U45">
            <v>645.03695619559403</v>
          </cell>
          <cell r="V45">
            <v>319.84612480158756</v>
          </cell>
          <cell r="X45">
            <v>4793.4368961062801</v>
          </cell>
          <cell r="Y45">
            <v>4148.4972716201046</v>
          </cell>
          <cell r="AA45">
            <v>0</v>
          </cell>
          <cell r="AB45">
            <v>0</v>
          </cell>
          <cell r="AD45">
            <v>15096.283071190928</v>
          </cell>
          <cell r="AE45">
            <v>14733.384265383205</v>
          </cell>
          <cell r="AJ45">
            <v>50754.907531670506</v>
          </cell>
          <cell r="AK45">
            <v>47893.900096703182</v>
          </cell>
          <cell r="AM45">
            <v>0</v>
          </cell>
          <cell r="AN45">
            <v>0</v>
          </cell>
          <cell r="AP45">
            <v>2956.3039252680646</v>
          </cell>
          <cell r="AQ45">
            <v>2876.4657370081495</v>
          </cell>
          <cell r="AS45">
            <v>53708.604366854757</v>
          </cell>
          <cell r="AT45">
            <v>8878.4444135862213</v>
          </cell>
          <cell r="AV45">
            <v>1278.4965796844742</v>
          </cell>
          <cell r="AW45">
            <v>10985.280685587217</v>
          </cell>
          <cell r="AY45">
            <v>1186.6056336990616</v>
          </cell>
          <cell r="AZ45">
            <v>1542.89744798531</v>
          </cell>
          <cell r="BB45">
            <v>1181.5388069719424</v>
          </cell>
          <cell r="BC45">
            <v>1957.6765178958926</v>
          </cell>
          <cell r="BE45">
            <v>501.0647938756556</v>
          </cell>
          <cell r="BF45">
            <v>0</v>
          </cell>
          <cell r="BH45">
            <v>336.98262540920786</v>
          </cell>
          <cell r="BI45">
            <v>0</v>
          </cell>
          <cell r="BK45">
            <v>1035.3844645368572</v>
          </cell>
          <cell r="BL45">
            <v>5904.4234222670102</v>
          </cell>
          <cell r="BN45">
            <v>258.0461244149954</v>
          </cell>
          <cell r="BO45">
            <v>0</v>
          </cell>
          <cell r="BT45">
            <v>61673.286820060617</v>
          </cell>
          <cell r="BU45">
            <v>92154.21169946283</v>
          </cell>
          <cell r="BW45">
            <v>34191.227164672397</v>
          </cell>
          <cell r="BX45">
            <v>42248.40026535427</v>
          </cell>
          <cell r="BZ45">
            <v>12718.237788347218</v>
          </cell>
          <cell r="CA45">
            <v>431.90986452160632</v>
          </cell>
          <cell r="CC45">
            <v>1481.6116079882252</v>
          </cell>
          <cell r="CD45">
            <v>1484.4715566693044</v>
          </cell>
          <cell r="CF45">
            <v>183.78725802862229</v>
          </cell>
          <cell r="CG45">
            <v>0</v>
          </cell>
          <cell r="CI45">
            <v>11534.609031272534</v>
          </cell>
          <cell r="CJ45">
            <v>10925.549895716851</v>
          </cell>
          <cell r="CL45">
            <v>13616.860925036897</v>
          </cell>
          <cell r="CM45">
            <v>16380.786355032778</v>
          </cell>
          <cell r="CX45">
            <v>8508.4114940364943</v>
          </cell>
          <cell r="CY45">
            <v>20000.333585174983</v>
          </cell>
          <cell r="DA45">
            <v>28616.989886354713</v>
          </cell>
          <cell r="DC45">
            <v>104716.28</v>
          </cell>
          <cell r="DD45">
            <v>536.02</v>
          </cell>
          <cell r="DE45">
            <v>58569.38</v>
          </cell>
          <cell r="DF45">
            <v>0</v>
          </cell>
          <cell r="DW45">
            <v>909</v>
          </cell>
          <cell r="DX45">
            <v>0</v>
          </cell>
        </row>
        <row r="46">
          <cell r="F46">
            <v>409.93</v>
          </cell>
          <cell r="G46">
            <v>0</v>
          </cell>
          <cell r="H46">
            <v>0</v>
          </cell>
          <cell r="I46">
            <v>894.86092552579794</v>
          </cell>
          <cell r="J46">
            <v>762.78903442282945</v>
          </cell>
          <cell r="L46">
            <v>377.13702451051012</v>
          </cell>
          <cell r="M46">
            <v>311.13823746599076</v>
          </cell>
          <cell r="O46">
            <v>588.3528871368602</v>
          </cell>
          <cell r="P46">
            <v>590.45988119669505</v>
          </cell>
          <cell r="R46">
            <v>0</v>
          </cell>
          <cell r="S46">
            <v>0</v>
          </cell>
          <cell r="U46">
            <v>56.130589675625131</v>
          </cell>
          <cell r="V46">
            <v>32.383377259198049</v>
          </cell>
          <cell r="X46">
            <v>496.83522838980127</v>
          </cell>
          <cell r="Y46">
            <v>333.53636766866015</v>
          </cell>
          <cell r="AA46">
            <v>0</v>
          </cell>
          <cell r="AB46">
            <v>0</v>
          </cell>
          <cell r="AD46">
            <v>1485.8624386535441</v>
          </cell>
          <cell r="AE46">
            <v>1450.0364352479437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999.3140029075148</v>
          </cell>
          <cell r="AQ46">
            <v>555.96993608678224</v>
          </cell>
          <cell r="AS46">
            <v>4679.5103373917773</v>
          </cell>
          <cell r="AT46">
            <v>94.971232569078069</v>
          </cell>
          <cell r="AV46">
            <v>299.5395931099045</v>
          </cell>
          <cell r="AW46">
            <v>0</v>
          </cell>
          <cell r="AY46">
            <v>447.31486507099589</v>
          </cell>
          <cell r="AZ46">
            <v>0</v>
          </cell>
          <cell r="BB46">
            <v>145.05541054209425</v>
          </cell>
          <cell r="BC46">
            <v>0</v>
          </cell>
          <cell r="BE46">
            <v>0</v>
          </cell>
          <cell r="BF46">
            <v>0</v>
          </cell>
          <cell r="BH46">
            <v>33.081926391429903</v>
          </cell>
          <cell r="BI46">
            <v>0</v>
          </cell>
          <cell r="BK46">
            <v>110.53594400474411</v>
          </cell>
          <cell r="BL46">
            <v>0</v>
          </cell>
          <cell r="BN46">
            <v>133.22645200061802</v>
          </cell>
          <cell r="BO46">
            <v>855.20707564400414</v>
          </cell>
          <cell r="BT46">
            <v>6028.0593397263956</v>
          </cell>
          <cell r="BU46">
            <v>11010.034606570256</v>
          </cell>
          <cell r="BW46">
            <v>3321.8212263409173</v>
          </cell>
          <cell r="BX46">
            <v>3493.0115438072644</v>
          </cell>
          <cell r="BZ46">
            <v>1624.6275033067548</v>
          </cell>
          <cell r="CA46">
            <v>39.56797168006819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1164.339695031372</v>
          </cell>
          <cell r="CJ46">
            <v>1001.0059956019375</v>
          </cell>
          <cell r="CL46">
            <v>0</v>
          </cell>
          <cell r="CM46">
            <v>0</v>
          </cell>
          <cell r="CX46">
            <v>329.67230050648845</v>
          </cell>
          <cell r="CY46">
            <v>3156.2647339016271</v>
          </cell>
          <cell r="DA46">
            <v>-5537.3112576816748</v>
          </cell>
          <cell r="DC46">
            <v>20119.63</v>
          </cell>
          <cell r="DD46">
            <v>0</v>
          </cell>
          <cell r="DE46">
            <v>16477.27</v>
          </cell>
          <cell r="DF46">
            <v>0</v>
          </cell>
          <cell r="DW46">
            <v>0</v>
          </cell>
          <cell r="DX46">
            <v>0</v>
          </cell>
        </row>
        <row r="47">
          <cell r="F47">
            <v>403.93</v>
          </cell>
          <cell r="G47">
            <v>0</v>
          </cell>
          <cell r="H47">
            <v>0</v>
          </cell>
          <cell r="I47">
            <v>932.24264559321648</v>
          </cell>
          <cell r="J47">
            <v>798.37260987910702</v>
          </cell>
          <cell r="L47">
            <v>378.34444693621339</v>
          </cell>
          <cell r="M47">
            <v>312.83381828457436</v>
          </cell>
          <cell r="O47">
            <v>570.17796469803716</v>
          </cell>
          <cell r="P47">
            <v>572.06733126109202</v>
          </cell>
          <cell r="R47">
            <v>0</v>
          </cell>
          <cell r="S47">
            <v>0</v>
          </cell>
          <cell r="U47">
            <v>56.130589675625131</v>
          </cell>
          <cell r="V47">
            <v>32.383377259198049</v>
          </cell>
          <cell r="X47">
            <v>525.88492841510401</v>
          </cell>
          <cell r="Y47">
            <v>354.01646815584127</v>
          </cell>
          <cell r="AA47">
            <v>0</v>
          </cell>
          <cell r="AB47">
            <v>0</v>
          </cell>
          <cell r="AD47">
            <v>1464.1143972027569</v>
          </cell>
          <cell r="AE47">
            <v>1428.8127663008363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999.3140029075148</v>
          </cell>
          <cell r="AQ47">
            <v>555.96993608678224</v>
          </cell>
          <cell r="AS47">
            <v>4530.3005100175005</v>
          </cell>
          <cell r="AT47">
            <v>94.971232569078069</v>
          </cell>
          <cell r="AV47">
            <v>297.38882955182612</v>
          </cell>
          <cell r="AW47">
            <v>0</v>
          </cell>
          <cell r="AY47">
            <v>445.16471492835137</v>
          </cell>
          <cell r="AZ47">
            <v>0</v>
          </cell>
          <cell r="BB47">
            <v>209.20650165528983</v>
          </cell>
          <cell r="BC47">
            <v>0</v>
          </cell>
          <cell r="BE47">
            <v>0</v>
          </cell>
          <cell r="BF47">
            <v>0</v>
          </cell>
          <cell r="BH47">
            <v>33.081926391429903</v>
          </cell>
          <cell r="BI47">
            <v>0</v>
          </cell>
          <cell r="BK47">
            <v>112.48093237261659</v>
          </cell>
          <cell r="BL47">
            <v>0</v>
          </cell>
          <cell r="BN47">
            <v>130.99664671003583</v>
          </cell>
          <cell r="BO47">
            <v>0</v>
          </cell>
          <cell r="BT47">
            <v>4839.5799217086787</v>
          </cell>
          <cell r="BU47">
            <v>10428.308774988665</v>
          </cell>
          <cell r="BW47">
            <v>3383.532716150849</v>
          </cell>
          <cell r="BX47">
            <v>3559.1157470204357</v>
          </cell>
          <cell r="BZ47">
            <v>1861.0905040996352</v>
          </cell>
          <cell r="CA47">
            <v>35.05969504832423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1621.5255088859487</v>
          </cell>
          <cell r="CJ47">
            <v>2151.584706137754</v>
          </cell>
          <cell r="CL47">
            <v>0</v>
          </cell>
          <cell r="CM47">
            <v>0</v>
          </cell>
          <cell r="CX47">
            <v>834.21025637733862</v>
          </cell>
          <cell r="CY47">
            <v>3314.6837262680669</v>
          </cell>
          <cell r="DA47">
            <v>-7689.6360398084153</v>
          </cell>
          <cell r="DC47">
            <v>27195.68</v>
          </cell>
          <cell r="DD47">
            <v>0</v>
          </cell>
          <cell r="DE47">
            <v>23601.67</v>
          </cell>
          <cell r="DF47">
            <v>0</v>
          </cell>
          <cell r="DW47">
            <v>0</v>
          </cell>
          <cell r="DX47">
            <v>0</v>
          </cell>
        </row>
        <row r="48">
          <cell r="F48">
            <v>4846.6000000000004</v>
          </cell>
          <cell r="G48">
            <v>0</v>
          </cell>
          <cell r="H48">
            <v>45.7</v>
          </cell>
          <cell r="I48">
            <v>14276.26007424956</v>
          </cell>
          <cell r="J48">
            <v>11062.271791074094</v>
          </cell>
          <cell r="L48">
            <v>3064.5859018296887</v>
          </cell>
          <cell r="M48">
            <v>2619.2981037144718</v>
          </cell>
          <cell r="O48">
            <v>6834.8340420449513</v>
          </cell>
          <cell r="P48">
            <v>6856.2558337315277</v>
          </cell>
          <cell r="R48">
            <v>0</v>
          </cell>
          <cell r="S48">
            <v>0</v>
          </cell>
          <cell r="U48">
            <v>327.4284397744799</v>
          </cell>
          <cell r="V48">
            <v>188.90303401198861</v>
          </cell>
          <cell r="X48">
            <v>12300.208423782491</v>
          </cell>
          <cell r="Y48">
            <v>8859.5210130798023</v>
          </cell>
          <cell r="AA48">
            <v>0</v>
          </cell>
          <cell r="AB48">
            <v>0</v>
          </cell>
          <cell r="AD48">
            <v>17728.372633558643</v>
          </cell>
          <cell r="AE48">
            <v>17301.161927266323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13740.567539978329</v>
          </cell>
          <cell r="AQ48">
            <v>7655.9997866336362</v>
          </cell>
          <cell r="AS48">
            <v>38896.255978820169</v>
          </cell>
          <cell r="AT48">
            <v>3347.5392657936777</v>
          </cell>
          <cell r="AV48">
            <v>2483.5043984124345</v>
          </cell>
          <cell r="AW48">
            <v>275.42523712368603</v>
          </cell>
          <cell r="AY48">
            <v>3830.939140850488</v>
          </cell>
          <cell r="AZ48">
            <v>0</v>
          </cell>
          <cell r="BB48">
            <v>2346.5419618940136</v>
          </cell>
          <cell r="BC48">
            <v>5278.2855364948446</v>
          </cell>
          <cell r="BE48">
            <v>0</v>
          </cell>
          <cell r="BF48">
            <v>0</v>
          </cell>
          <cell r="BH48">
            <v>192.97790395000783</v>
          </cell>
          <cell r="BI48">
            <v>416.32736112493444</v>
          </cell>
          <cell r="BK48">
            <v>2381.7707665896392</v>
          </cell>
          <cell r="BL48">
            <v>897.64144058308545</v>
          </cell>
          <cell r="BN48">
            <v>767.73376880816159</v>
          </cell>
          <cell r="BO48">
            <v>10517.130919935411</v>
          </cell>
          <cell r="BT48">
            <v>69012.81989126702</v>
          </cell>
          <cell r="BU48">
            <v>129671.02998718382</v>
          </cell>
          <cell r="BW48">
            <v>22776.140194612257</v>
          </cell>
          <cell r="BX48">
            <v>25264.075441272103</v>
          </cell>
          <cell r="BZ48">
            <v>36088.220317413623</v>
          </cell>
          <cell r="CA48">
            <v>484.74742128402715</v>
          </cell>
          <cell r="CC48">
            <v>1577.7369285756965</v>
          </cell>
          <cell r="CD48">
            <v>1580.7824275604789</v>
          </cell>
          <cell r="CF48">
            <v>195.7111718280571</v>
          </cell>
          <cell r="CG48">
            <v>0</v>
          </cell>
          <cell r="CI48">
            <v>9407.857770810826</v>
          </cell>
          <cell r="CJ48">
            <v>9046.1588248679509</v>
          </cell>
          <cell r="CL48">
            <v>0</v>
          </cell>
          <cell r="CM48">
            <v>0</v>
          </cell>
          <cell r="CX48">
            <v>14406.35208806753</v>
          </cell>
          <cell r="CY48">
            <v>34695.846363645076</v>
          </cell>
          <cell r="DA48">
            <v>76395.255691130078</v>
          </cell>
          <cell r="DC48">
            <v>92790.98</v>
          </cell>
          <cell r="DD48">
            <v>0</v>
          </cell>
          <cell r="DE48">
            <v>50771.95</v>
          </cell>
          <cell r="DF48">
            <v>-363.42</v>
          </cell>
          <cell r="DW48">
            <v>1242</v>
          </cell>
          <cell r="DX48">
            <v>0</v>
          </cell>
        </row>
        <row r="49">
          <cell r="F49">
            <v>564.6</v>
          </cell>
          <cell r="G49">
            <v>0</v>
          </cell>
          <cell r="H49">
            <v>191.4</v>
          </cell>
          <cell r="I49">
            <v>3200.7561045669986</v>
          </cell>
          <cell r="J49">
            <v>3228.5782131441956</v>
          </cell>
          <cell r="L49">
            <v>674.09455189827202</v>
          </cell>
          <cell r="M49">
            <v>700.09850693263991</v>
          </cell>
          <cell r="O49">
            <v>913.81389579041513</v>
          </cell>
          <cell r="P49">
            <v>916.88760960394575</v>
          </cell>
          <cell r="R49">
            <v>0</v>
          </cell>
          <cell r="S49">
            <v>0</v>
          </cell>
          <cell r="U49">
            <v>84.195884513437704</v>
          </cell>
          <cell r="V49">
            <v>48.575065888797084</v>
          </cell>
          <cell r="X49">
            <v>2003.4632248135915</v>
          </cell>
          <cell r="Y49">
            <v>1726.3707687162162</v>
          </cell>
          <cell r="AA49">
            <v>0</v>
          </cell>
          <cell r="AB49">
            <v>0</v>
          </cell>
          <cell r="AD49">
            <v>2730.835847791463</v>
          </cell>
          <cell r="AE49">
            <v>2933.2205539743336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2623.1992576322264</v>
          </cell>
          <cell r="AQ49">
            <v>2871.5941959136899</v>
          </cell>
          <cell r="AS49">
            <v>8567.6945574705533</v>
          </cell>
          <cell r="AT49">
            <v>0</v>
          </cell>
          <cell r="AV49">
            <v>517.92489729617398</v>
          </cell>
          <cell r="AW49">
            <v>372.72529226087789</v>
          </cell>
          <cell r="AY49">
            <v>793.48274392967664</v>
          </cell>
          <cell r="AZ49">
            <v>0</v>
          </cell>
          <cell r="BB49">
            <v>367.55686104396614</v>
          </cell>
          <cell r="BC49">
            <v>660.51051783229582</v>
          </cell>
          <cell r="BE49">
            <v>0</v>
          </cell>
          <cell r="BF49">
            <v>0</v>
          </cell>
          <cell r="BH49">
            <v>49.622889587144876</v>
          </cell>
          <cell r="BI49">
            <v>0</v>
          </cell>
          <cell r="BK49">
            <v>288.14078925032641</v>
          </cell>
          <cell r="BL49">
            <v>0</v>
          </cell>
          <cell r="BN49">
            <v>53.989264928896702</v>
          </cell>
          <cell r="BO49">
            <v>0</v>
          </cell>
          <cell r="BT49">
            <v>7825.6732050297132</v>
          </cell>
          <cell r="BU49">
            <v>16121.047082131385</v>
          </cell>
          <cell r="BW49">
            <v>4878.5544493171046</v>
          </cell>
          <cell r="BX49">
            <v>5030.678106647274</v>
          </cell>
          <cell r="BZ49">
            <v>3180.2844703654846</v>
          </cell>
          <cell r="CA49">
            <v>211.78089614946174</v>
          </cell>
          <cell r="CC49">
            <v>397.31799176154846</v>
          </cell>
          <cell r="CD49">
            <v>398.08493301685508</v>
          </cell>
          <cell r="CF49">
            <v>49.285510370997336</v>
          </cell>
          <cell r="CG49">
            <v>0</v>
          </cell>
          <cell r="CI49">
            <v>1492.7585477868797</v>
          </cell>
          <cell r="CJ49">
            <v>1146.7001678615097</v>
          </cell>
          <cell r="CL49">
            <v>0</v>
          </cell>
          <cell r="CM49">
            <v>0</v>
          </cell>
          <cell r="CX49">
            <v>-78.806413746122587</v>
          </cell>
          <cell r="CY49">
            <v>5112.145228339552</v>
          </cell>
          <cell r="DA49">
            <v>814.03907274215453</v>
          </cell>
          <cell r="DC49">
            <v>6092.8</v>
          </cell>
          <cell r="DD49">
            <v>1719.75</v>
          </cell>
          <cell r="DE49">
            <v>1164.4800000000005</v>
          </cell>
          <cell r="DF49">
            <v>303.44000000000005</v>
          </cell>
          <cell r="DW49">
            <v>918</v>
          </cell>
          <cell r="DX49">
            <v>0</v>
          </cell>
        </row>
        <row r="50">
          <cell r="F50">
            <v>206.8</v>
          </cell>
          <cell r="G50">
            <v>0</v>
          </cell>
          <cell r="H50">
            <v>50.1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367.9996445107023</v>
          </cell>
          <cell r="AQ50">
            <v>48.792626315582865</v>
          </cell>
          <cell r="AS50">
            <v>2514.5303595677597</v>
          </cell>
          <cell r="AT50">
            <v>6753.653135392804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T50">
            <v>81.203325891785212</v>
          </cell>
          <cell r="BU50">
            <v>357.10272469344585</v>
          </cell>
          <cell r="BW50">
            <v>0</v>
          </cell>
          <cell r="BX50">
            <v>0</v>
          </cell>
          <cell r="BZ50">
            <v>19.098514828845211</v>
          </cell>
          <cell r="CA50">
            <v>0.60107973142130133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X50">
            <v>111.04855751072475</v>
          </cell>
          <cell r="CY50">
            <v>-4901.7327080902678</v>
          </cell>
          <cell r="DA50">
            <v>-640.80728191420712</v>
          </cell>
          <cell r="DC50">
            <v>428.42</v>
          </cell>
          <cell r="DD50">
            <v>0</v>
          </cell>
          <cell r="DE50">
            <v>45.120000000000005</v>
          </cell>
          <cell r="DF50">
            <v>-92.86</v>
          </cell>
          <cell r="DW50">
            <v>0</v>
          </cell>
          <cell r="DX50">
            <v>0</v>
          </cell>
        </row>
        <row r="51">
          <cell r="F51">
            <v>2587.4</v>
          </cell>
          <cell r="G51">
            <v>0</v>
          </cell>
          <cell r="H51">
            <v>480.79999999999995</v>
          </cell>
          <cell r="I51">
            <v>7514.9146458848927</v>
          </cell>
          <cell r="J51">
            <v>7635.7252703362419</v>
          </cell>
          <cell r="L51">
            <v>1460.8642343955928</v>
          </cell>
          <cell r="M51">
            <v>1517.9309147324034</v>
          </cell>
          <cell r="O51">
            <v>3305.2862670363088</v>
          </cell>
          <cell r="P51">
            <v>3316.3957196873439</v>
          </cell>
          <cell r="R51">
            <v>0</v>
          </cell>
          <cell r="S51">
            <v>0</v>
          </cell>
          <cell r="U51">
            <v>187.10196558541708</v>
          </cell>
          <cell r="V51">
            <v>107.9445908639935</v>
          </cell>
          <cell r="X51">
            <v>4667.7862005484039</v>
          </cell>
          <cell r="Y51">
            <v>4482.1998325356326</v>
          </cell>
          <cell r="AA51">
            <v>0</v>
          </cell>
          <cell r="AB51">
            <v>0</v>
          </cell>
          <cell r="AD51">
            <v>10773.149397257159</v>
          </cell>
          <cell r="AE51">
            <v>10858.406849405457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6745.3695196257249</v>
          </cell>
          <cell r="AQ51">
            <v>7617.2881625980463</v>
          </cell>
          <cell r="AS51">
            <v>27534.925570652151</v>
          </cell>
          <cell r="AT51">
            <v>6092.1120329133755</v>
          </cell>
          <cell r="AV51">
            <v>1225.6122455870609</v>
          </cell>
          <cell r="AW51">
            <v>3357.4912038997713</v>
          </cell>
          <cell r="AY51">
            <v>1842.4105344883794</v>
          </cell>
          <cell r="AZ51">
            <v>1778.882322286561</v>
          </cell>
          <cell r="BB51">
            <v>1696.6871230077963</v>
          </cell>
          <cell r="BC51">
            <v>0</v>
          </cell>
          <cell r="BE51">
            <v>0</v>
          </cell>
          <cell r="BF51">
            <v>0</v>
          </cell>
          <cell r="BH51">
            <v>110.27308797143304</v>
          </cell>
          <cell r="BI51">
            <v>0</v>
          </cell>
          <cell r="BK51">
            <v>797.44309059741067</v>
          </cell>
          <cell r="BL51">
            <v>1049.8982803023334</v>
          </cell>
          <cell r="BN51">
            <v>34.288359423174953</v>
          </cell>
          <cell r="BO51">
            <v>0</v>
          </cell>
          <cell r="BT51">
            <v>23821.191823902387</v>
          </cell>
          <cell r="BU51">
            <v>46098.491603458737</v>
          </cell>
          <cell r="BW51">
            <v>10444.437287597108</v>
          </cell>
          <cell r="BX51">
            <v>10950.738309309361</v>
          </cell>
          <cell r="BZ51">
            <v>10612.574642035164</v>
          </cell>
          <cell r="CA51">
            <v>341.34438075183778</v>
          </cell>
          <cell r="CC51">
            <v>1211.6917077786056</v>
          </cell>
          <cell r="CD51">
            <v>1214.0306312068863</v>
          </cell>
          <cell r="CF51">
            <v>150.30490807980928</v>
          </cell>
          <cell r="CG51">
            <v>0</v>
          </cell>
          <cell r="CI51">
            <v>5343.861293020449</v>
          </cell>
          <cell r="CJ51">
            <v>12258.456637147348</v>
          </cell>
          <cell r="CL51">
            <v>0</v>
          </cell>
          <cell r="CM51">
            <v>0</v>
          </cell>
          <cell r="CX51">
            <v>11343.074232206534</v>
          </cell>
          <cell r="CY51">
            <v>12306.478827853449</v>
          </cell>
          <cell r="DA51">
            <v>-553.04235046426766</v>
          </cell>
          <cell r="DC51">
            <v>41122.28</v>
          </cell>
          <cell r="DD51">
            <v>3273.46</v>
          </cell>
          <cell r="DE51">
            <v>23844.379999999997</v>
          </cell>
          <cell r="DF51">
            <v>373.19999999999982</v>
          </cell>
          <cell r="DW51">
            <v>918</v>
          </cell>
          <cell r="DX51">
            <v>0</v>
          </cell>
        </row>
        <row r="52">
          <cell r="F52">
            <v>1103.3</v>
          </cell>
          <cell r="G52">
            <v>0</v>
          </cell>
          <cell r="H52">
            <v>366.12999999999994</v>
          </cell>
          <cell r="I52">
            <v>5121.4221301159341</v>
          </cell>
          <cell r="J52">
            <v>5162.7201836849417</v>
          </cell>
          <cell r="L52">
            <v>1041.004500441004</v>
          </cell>
          <cell r="M52">
            <v>1081.6743489963435</v>
          </cell>
          <cell r="O52">
            <v>1864.5715219710939</v>
          </cell>
          <cell r="P52">
            <v>1870.8865143555374</v>
          </cell>
          <cell r="R52">
            <v>0</v>
          </cell>
          <cell r="S52">
            <v>0</v>
          </cell>
          <cell r="U52">
            <v>112.26117935125026</v>
          </cell>
          <cell r="V52">
            <v>64.766754518396098</v>
          </cell>
          <cell r="X52">
            <v>3531.7971983450798</v>
          </cell>
          <cell r="Y52">
            <v>3273.3275668225601</v>
          </cell>
          <cell r="AA52">
            <v>0</v>
          </cell>
          <cell r="AB52">
            <v>0</v>
          </cell>
          <cell r="AD52">
            <v>5326.4927101335707</v>
          </cell>
          <cell r="AE52">
            <v>5276.6667246899469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3622.5132605397412</v>
          </cell>
          <cell r="AQ52">
            <v>3801.752528924666</v>
          </cell>
          <cell r="AS52">
            <v>20556.315185550236</v>
          </cell>
          <cell r="AT52">
            <v>7615.9088616294939</v>
          </cell>
          <cell r="AV52">
            <v>860.43719895520735</v>
          </cell>
          <cell r="AW52">
            <v>0</v>
          </cell>
          <cell r="AY52">
            <v>1228.9850445096379</v>
          </cell>
          <cell r="AZ52">
            <v>0</v>
          </cell>
          <cell r="BB52">
            <v>737.91936525072242</v>
          </cell>
          <cell r="BC52">
            <v>0</v>
          </cell>
          <cell r="BE52">
            <v>0</v>
          </cell>
          <cell r="BF52">
            <v>0</v>
          </cell>
          <cell r="BH52">
            <v>66.163852782859806</v>
          </cell>
          <cell r="BI52">
            <v>0</v>
          </cell>
          <cell r="BK52">
            <v>628.50596768223647</v>
          </cell>
          <cell r="BL52">
            <v>10073.774540164291</v>
          </cell>
          <cell r="BN52">
            <v>34.288359423174953</v>
          </cell>
          <cell r="BO52">
            <v>0</v>
          </cell>
          <cell r="BT52">
            <v>12083.317936091065</v>
          </cell>
          <cell r="BU52">
            <v>18892.658551553912</v>
          </cell>
          <cell r="BW52">
            <v>11825.538646838029</v>
          </cell>
          <cell r="BX52">
            <v>10493.701132256547</v>
          </cell>
          <cell r="BZ52">
            <v>4490.1469981835044</v>
          </cell>
          <cell r="CA52">
            <v>243.59361261957565</v>
          </cell>
          <cell r="CC52">
            <v>1714.8757192804892</v>
          </cell>
          <cell r="CD52">
            <v>1718.1859366985548</v>
          </cell>
          <cell r="CF52">
            <v>212.7226221819175</v>
          </cell>
          <cell r="CG52">
            <v>0</v>
          </cell>
          <cell r="CI52">
            <v>3048.6150289425709</v>
          </cell>
          <cell r="CJ52">
            <v>2089.6993703147332</v>
          </cell>
          <cell r="CL52">
            <v>0</v>
          </cell>
          <cell r="CM52">
            <v>0</v>
          </cell>
          <cell r="CX52">
            <v>1899.9393712705337</v>
          </cell>
          <cell r="CY52">
            <v>9638.2327304783212</v>
          </cell>
          <cell r="DA52">
            <v>-25374.540615562102</v>
          </cell>
          <cell r="DC52">
            <v>28761.360000000001</v>
          </cell>
          <cell r="DD52">
            <v>8556.369999999999</v>
          </cell>
          <cell r="DE52">
            <v>18962.53</v>
          </cell>
          <cell r="DF52">
            <v>5900.4299999999985</v>
          </cell>
          <cell r="DW52">
            <v>909</v>
          </cell>
          <cell r="DX52">
            <v>0</v>
          </cell>
        </row>
        <row r="53">
          <cell r="F53">
            <v>4089.1</v>
          </cell>
          <cell r="G53">
            <v>442.1</v>
          </cell>
          <cell r="H53">
            <v>0</v>
          </cell>
          <cell r="I53">
            <v>10134.763357721969</v>
          </cell>
          <cell r="J53">
            <v>10079.680759083922</v>
          </cell>
          <cell r="L53">
            <v>1634.560186492035</v>
          </cell>
          <cell r="M53">
            <v>1707.8107729758631</v>
          </cell>
          <cell r="O53">
            <v>3274.8024437421454</v>
          </cell>
          <cell r="P53">
            <v>3286.8078355180483</v>
          </cell>
          <cell r="R53">
            <v>760.52677596676324</v>
          </cell>
          <cell r="S53">
            <v>762.21344838606649</v>
          </cell>
          <cell r="U53">
            <v>666.86551884722599</v>
          </cell>
          <cell r="V53">
            <v>444.93510530520007</v>
          </cell>
          <cell r="X53">
            <v>6110.5477248375173</v>
          </cell>
          <cell r="Y53">
            <v>6426.0380377819674</v>
          </cell>
          <cell r="AA53">
            <v>0</v>
          </cell>
          <cell r="AB53">
            <v>0</v>
          </cell>
          <cell r="AD53">
            <v>14803.181123845663</v>
          </cell>
          <cell r="AE53">
            <v>14447.228097712887</v>
          </cell>
          <cell r="AJ53">
            <v>31204.134701270665</v>
          </cell>
          <cell r="AK53">
            <v>34405.459310742655</v>
          </cell>
          <cell r="AM53">
            <v>835.3964758828439</v>
          </cell>
          <cell r="AN53">
            <v>3597.0530813235655</v>
          </cell>
          <cell r="AP53">
            <v>2770.9733589101397</v>
          </cell>
          <cell r="AQ53">
            <v>5060.2994999803723</v>
          </cell>
          <cell r="AS53">
            <v>65139.552855569949</v>
          </cell>
          <cell r="AT53">
            <v>4251.2812292618282</v>
          </cell>
          <cell r="AV53">
            <v>1148.9225880315778</v>
          </cell>
          <cell r="AW53">
            <v>3264.9694063399338</v>
          </cell>
          <cell r="AY53">
            <v>1136.4275869916808</v>
          </cell>
          <cell r="AZ53">
            <v>0</v>
          </cell>
          <cell r="BB53">
            <v>916.11480499623156</v>
          </cell>
          <cell r="BC53">
            <v>806.97263289390003</v>
          </cell>
          <cell r="BE53">
            <v>459.89431185226721</v>
          </cell>
          <cell r="BF53">
            <v>1047.800462372076</v>
          </cell>
          <cell r="BH53">
            <v>349.84781900587507</v>
          </cell>
          <cell r="BI53">
            <v>0</v>
          </cell>
          <cell r="BK53">
            <v>1272.0469843881606</v>
          </cell>
          <cell r="BL53">
            <v>0</v>
          </cell>
          <cell r="BN53">
            <v>119.20930083080034</v>
          </cell>
          <cell r="BO53">
            <v>0</v>
          </cell>
          <cell r="BT53">
            <v>46741.515552218836</v>
          </cell>
          <cell r="BU53">
            <v>51032.866888531418</v>
          </cell>
          <cell r="BW53">
            <v>22413.4538877544</v>
          </cell>
          <cell r="BX53">
            <v>27670.903024142695</v>
          </cell>
          <cell r="BZ53">
            <v>5630.1182066247138</v>
          </cell>
          <cell r="CA53">
            <v>256.03821433137369</v>
          </cell>
          <cell r="CC53">
            <v>1563.6385482228675</v>
          </cell>
          <cell r="CD53">
            <v>1566.656833163107</v>
          </cell>
          <cell r="CF53">
            <v>193.96233113747334</v>
          </cell>
          <cell r="CG53">
            <v>0</v>
          </cell>
          <cell r="CI53">
            <v>11138.128364167233</v>
          </cell>
          <cell r="CJ53">
            <v>12509.064601307076</v>
          </cell>
          <cell r="CL53">
            <v>12606.850463433231</v>
          </cell>
          <cell r="CM53">
            <v>20764.548968534182</v>
          </cell>
          <cell r="CX53">
            <v>5619.6065438026808</v>
          </cell>
          <cell r="CY53">
            <v>53183.775019467663</v>
          </cell>
          <cell r="DA53">
            <v>15016.762944657559</v>
          </cell>
          <cell r="DC53">
            <v>71638.22</v>
          </cell>
          <cell r="DD53">
            <v>0</v>
          </cell>
          <cell r="DE53">
            <v>33098.25</v>
          </cell>
          <cell r="DF53">
            <v>0</v>
          </cell>
          <cell r="DW53">
            <v>1188</v>
          </cell>
          <cell r="DX53">
            <v>0</v>
          </cell>
        </row>
        <row r="54">
          <cell r="F54">
            <v>298.60000000000002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367.9996445107023</v>
          </cell>
          <cell r="AQ54">
            <v>140.47538423161123</v>
          </cell>
          <cell r="AS54">
            <v>3071.2767098908535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T54">
            <v>182.70748325651678</v>
          </cell>
          <cell r="BU54">
            <v>1205.3081494282796</v>
          </cell>
          <cell r="BW54">
            <v>0</v>
          </cell>
          <cell r="BX54">
            <v>0</v>
          </cell>
          <cell r="BZ54">
            <v>42.971658364901714</v>
          </cell>
          <cell r="CA54">
            <v>2.0292104993901687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X54">
            <v>102.70355740547095</v>
          </cell>
          <cell r="CY54">
            <v>2883.2748596419028</v>
          </cell>
          <cell r="DA54">
            <v>-9404.6621392878696</v>
          </cell>
          <cell r="DC54">
            <v>1221.82</v>
          </cell>
          <cell r="DD54">
            <v>0</v>
          </cell>
          <cell r="DE54">
            <v>643.24999999999989</v>
          </cell>
          <cell r="DF54">
            <v>0</v>
          </cell>
          <cell r="DW54">
            <v>918</v>
          </cell>
          <cell r="DX54">
            <v>0</v>
          </cell>
        </row>
        <row r="55">
          <cell r="F55">
            <v>298.39999999999998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1623.6420351419495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441.59957341284274</v>
          </cell>
          <cell r="AQ55">
            <v>146.37787894674858</v>
          </cell>
          <cell r="AS55">
            <v>3080.6831299373057</v>
          </cell>
          <cell r="AT55">
            <v>13823.951424754938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T55">
            <v>142.10582031062413</v>
          </cell>
          <cell r="BU55">
            <v>1024.5081809479004</v>
          </cell>
          <cell r="BW55">
            <v>0</v>
          </cell>
          <cell r="BX55">
            <v>0</v>
          </cell>
          <cell r="BZ55">
            <v>33.422400950479123</v>
          </cell>
          <cell r="CA55">
            <v>1.724828924481643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X55">
            <v>103.99668570084005</v>
          </cell>
          <cell r="CY55">
            <v>-15402.875423224881</v>
          </cell>
          <cell r="DA55">
            <v>6632.6421197356067</v>
          </cell>
          <cell r="DC55">
            <v>615.91</v>
          </cell>
          <cell r="DD55">
            <v>0</v>
          </cell>
          <cell r="DE55">
            <v>25.089999999999918</v>
          </cell>
          <cell r="DF55">
            <v>0</v>
          </cell>
          <cell r="DW55">
            <v>0</v>
          </cell>
          <cell r="DX55">
            <v>1768.4</v>
          </cell>
        </row>
        <row r="56">
          <cell r="F56">
            <v>315.7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404.79960896177255</v>
          </cell>
          <cell r="AQ56">
            <v>73.18893947337429</v>
          </cell>
          <cell r="AS56">
            <v>3250.5260103885043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T56">
            <v>121.80498883767784</v>
          </cell>
          <cell r="BU56">
            <v>783.53806628940345</v>
          </cell>
          <cell r="BW56">
            <v>0</v>
          </cell>
          <cell r="BX56">
            <v>0</v>
          </cell>
          <cell r="BZ56">
            <v>28.647772243267816</v>
          </cell>
          <cell r="CA56">
            <v>1.3189868246036094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X56">
            <v>141.74431666250601</v>
          </cell>
          <cell r="CY56">
            <v>3679.0231820751155</v>
          </cell>
          <cell r="DA56">
            <v>-2667.6621087864096</v>
          </cell>
          <cell r="DC56">
            <v>527.76</v>
          </cell>
          <cell r="DD56">
            <v>0</v>
          </cell>
          <cell r="DE56">
            <v>-82.310000000000059</v>
          </cell>
          <cell r="DF56">
            <v>0</v>
          </cell>
          <cell r="DW56">
            <v>0</v>
          </cell>
          <cell r="DX56">
            <v>0</v>
          </cell>
        </row>
        <row r="57">
          <cell r="F57">
            <v>240.1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25.896266828444737</v>
          </cell>
          <cell r="Y57">
            <v>510.73058524494724</v>
          </cell>
          <cell r="AA57">
            <v>0</v>
          </cell>
          <cell r="AB57">
            <v>0</v>
          </cell>
          <cell r="AD57">
            <v>0</v>
          </cell>
          <cell r="AE57">
            <v>838.75148548181619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441.59957341284274</v>
          </cell>
          <cell r="AQ57">
            <v>280.95076846322246</v>
          </cell>
          <cell r="AS57">
            <v>2869.2534010880022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3.8899767357449502</v>
          </cell>
          <cell r="BL57">
            <v>0</v>
          </cell>
          <cell r="BN57">
            <v>0</v>
          </cell>
          <cell r="BO57">
            <v>0</v>
          </cell>
          <cell r="BT57">
            <v>81.203325891785212</v>
          </cell>
          <cell r="BU57">
            <v>516.98610338885419</v>
          </cell>
          <cell r="BW57">
            <v>0</v>
          </cell>
          <cell r="BX57">
            <v>0</v>
          </cell>
          <cell r="BZ57">
            <v>19.098514828845211</v>
          </cell>
          <cell r="CA57">
            <v>0.8703845828073522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381.30612278273549</v>
          </cell>
          <cell r="CJ57">
            <v>526.12982159685203</v>
          </cell>
          <cell r="CL57">
            <v>0</v>
          </cell>
          <cell r="CM57">
            <v>0</v>
          </cell>
          <cell r="CX57">
            <v>61.565195121924191</v>
          </cell>
          <cell r="CY57">
            <v>984.97992695248217</v>
          </cell>
          <cell r="DA57">
            <v>-4042.1415171341337</v>
          </cell>
          <cell r="DC57">
            <v>79.12</v>
          </cell>
          <cell r="DD57">
            <v>0</v>
          </cell>
          <cell r="DE57">
            <v>-342.35</v>
          </cell>
          <cell r="DF57">
            <v>0</v>
          </cell>
          <cell r="DW57">
            <v>0</v>
          </cell>
          <cell r="DX57">
            <v>0</v>
          </cell>
        </row>
        <row r="58">
          <cell r="F58">
            <v>135.5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25.896266828444737</v>
          </cell>
          <cell r="Y58">
            <v>7.2285232889148716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220.83224259918725</v>
          </cell>
          <cell r="AQ58">
            <v>187.30051230881497</v>
          </cell>
          <cell r="AS58">
            <v>1866.6876120820139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3.8899767357449502</v>
          </cell>
          <cell r="BL58">
            <v>0</v>
          </cell>
          <cell r="BN58">
            <v>0</v>
          </cell>
          <cell r="BO58">
            <v>0</v>
          </cell>
          <cell r="BT58">
            <v>60.904319149983984</v>
          </cell>
          <cell r="BU58">
            <v>344.67292307040589</v>
          </cell>
          <cell r="BW58">
            <v>0</v>
          </cell>
          <cell r="BX58">
            <v>0</v>
          </cell>
          <cell r="BZ58">
            <v>14.323886121633908</v>
          </cell>
          <cell r="CA58">
            <v>0.58025638853823469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83.33595558468862</v>
          </cell>
          <cell r="CJ58">
            <v>0</v>
          </cell>
          <cell r="CL58">
            <v>0</v>
          </cell>
          <cell r="CM58">
            <v>0</v>
          </cell>
          <cell r="CX58">
            <v>62.790574065805721</v>
          </cell>
          <cell r="CY58">
            <v>2146.096226919834</v>
          </cell>
          <cell r="DA58">
            <v>-8986.9722300310677</v>
          </cell>
          <cell r="DC58">
            <v>487.99</v>
          </cell>
          <cell r="DD58">
            <v>0</v>
          </cell>
          <cell r="DE58">
            <v>119.15000000000003</v>
          </cell>
          <cell r="DF58">
            <v>0</v>
          </cell>
          <cell r="DW58">
            <v>0</v>
          </cell>
          <cell r="DX58">
            <v>0</v>
          </cell>
        </row>
        <row r="59">
          <cell r="F59">
            <v>229.9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25.896266828444737</v>
          </cell>
          <cell r="Y59">
            <v>7.2285232889148716</v>
          </cell>
          <cell r="AA59">
            <v>0</v>
          </cell>
          <cell r="AB59">
            <v>0</v>
          </cell>
          <cell r="AD59">
            <v>0</v>
          </cell>
          <cell r="AE59">
            <v>813.2202484899916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367.9996445107023</v>
          </cell>
          <cell r="AQ59">
            <v>48.792626315582865</v>
          </cell>
          <cell r="AS59">
            <v>2876.1640076642984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3.8899767357449502</v>
          </cell>
          <cell r="BL59">
            <v>0</v>
          </cell>
          <cell r="BN59">
            <v>0</v>
          </cell>
          <cell r="BO59">
            <v>0</v>
          </cell>
          <cell r="BT59">
            <v>142.10582031062413</v>
          </cell>
          <cell r="BU59">
            <v>689.29928370730249</v>
          </cell>
          <cell r="BW59">
            <v>0</v>
          </cell>
          <cell r="BX59">
            <v>0</v>
          </cell>
          <cell r="BZ59">
            <v>33.422400950479123</v>
          </cell>
          <cell r="CA59">
            <v>1.1605127770764694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242.47592655051096</v>
          </cell>
          <cell r="CJ59">
            <v>69.412676037229872</v>
          </cell>
          <cell r="CL59">
            <v>0</v>
          </cell>
          <cell r="CM59">
            <v>0</v>
          </cell>
          <cell r="CX59">
            <v>137.95747747830228</v>
          </cell>
          <cell r="CY59">
            <v>2613.3656849999497</v>
          </cell>
          <cell r="DA59">
            <v>787.71112201289498</v>
          </cell>
          <cell r="DC59">
            <v>717.43</v>
          </cell>
          <cell r="DD59">
            <v>0</v>
          </cell>
          <cell r="DE59">
            <v>115.13999999999999</v>
          </cell>
          <cell r="DF59">
            <v>0</v>
          </cell>
          <cell r="DW59">
            <v>0</v>
          </cell>
          <cell r="DX59">
            <v>0</v>
          </cell>
        </row>
        <row r="60">
          <cell r="F60">
            <v>1988.1</v>
          </cell>
          <cell r="G60">
            <v>0</v>
          </cell>
          <cell r="H60">
            <v>179.5</v>
          </cell>
          <cell r="I60">
            <v>7283.9995335675003</v>
          </cell>
          <cell r="J60">
            <v>7356.8594568487597</v>
          </cell>
          <cell r="L60">
            <v>1228.514329174822</v>
          </cell>
          <cell r="M60">
            <v>1274.390016409603</v>
          </cell>
          <cell r="O60">
            <v>2922.5133919221621</v>
          </cell>
          <cell r="P60">
            <v>2932.3298862338547</v>
          </cell>
          <cell r="R60">
            <v>0</v>
          </cell>
          <cell r="S60">
            <v>0</v>
          </cell>
          <cell r="U60">
            <v>149.68157246833368</v>
          </cell>
          <cell r="V60">
            <v>86.355672691194812</v>
          </cell>
          <cell r="X60">
            <v>4209.4475793164747</v>
          </cell>
          <cell r="Y60">
            <v>3985.5467579219048</v>
          </cell>
          <cell r="AA60">
            <v>0</v>
          </cell>
          <cell r="AB60">
            <v>0</v>
          </cell>
          <cell r="AD60">
            <v>7856.8424414544488</v>
          </cell>
          <cell r="AE60">
            <v>7667.4041349582676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5371.3127656278921</v>
          </cell>
          <cell r="AQ60">
            <v>5963.7788549812121</v>
          </cell>
          <cell r="AS60">
            <v>18096.697815917611</v>
          </cell>
          <cell r="AT60">
            <v>39367.07960326974</v>
          </cell>
          <cell r="AV60">
            <v>1223.5535540974504</v>
          </cell>
          <cell r="AW60">
            <v>7960.6446587581977</v>
          </cell>
          <cell r="AY60">
            <v>1504.357779387831</v>
          </cell>
          <cell r="AZ60">
            <v>0</v>
          </cell>
          <cell r="BB60">
            <v>1480.4129397667193</v>
          </cell>
          <cell r="BC60">
            <v>0</v>
          </cell>
          <cell r="BE60">
            <v>0</v>
          </cell>
          <cell r="BF60">
            <v>0</v>
          </cell>
          <cell r="BH60">
            <v>88.218470377146446</v>
          </cell>
          <cell r="BI60">
            <v>2560.2511340297519</v>
          </cell>
          <cell r="BK60">
            <v>706.55624325863528</v>
          </cell>
          <cell r="BL60">
            <v>867.75934537491833</v>
          </cell>
          <cell r="BN60">
            <v>49.785568531179003</v>
          </cell>
          <cell r="BO60">
            <v>0</v>
          </cell>
          <cell r="BT60">
            <v>22938.352362445094</v>
          </cell>
          <cell r="BU60">
            <v>33100.080656382881</v>
          </cell>
          <cell r="BW60">
            <v>11923.532113378013</v>
          </cell>
          <cell r="BX60">
            <v>10673.389362136893</v>
          </cell>
          <cell r="BZ60">
            <v>6734.9057187276394</v>
          </cell>
          <cell r="CA60">
            <v>322.39450002381079</v>
          </cell>
          <cell r="CC60">
            <v>1166.3205564613193</v>
          </cell>
          <cell r="CD60">
            <v>1168.5719001462519</v>
          </cell>
          <cell r="CF60">
            <v>144.67682076647603</v>
          </cell>
          <cell r="CG60">
            <v>0</v>
          </cell>
          <cell r="CI60">
            <v>2377.0141842007815</v>
          </cell>
          <cell r="CJ60">
            <v>1098.9639500324654</v>
          </cell>
          <cell r="CL60">
            <v>0</v>
          </cell>
          <cell r="CM60">
            <v>0</v>
          </cell>
          <cell r="CX60">
            <v>3962.0809123299277</v>
          </cell>
          <cell r="CY60">
            <v>-30752.844066892711</v>
          </cell>
          <cell r="DA60">
            <v>50600.264235623996</v>
          </cell>
          <cell r="DC60">
            <v>33526.92</v>
          </cell>
          <cell r="DD60">
            <v>2939.58</v>
          </cell>
          <cell r="DE60">
            <v>18947.349999999999</v>
          </cell>
          <cell r="DF60">
            <v>1787.07</v>
          </cell>
          <cell r="DW60">
            <v>1062</v>
          </cell>
          <cell r="DX60">
            <v>0</v>
          </cell>
        </row>
        <row r="61">
          <cell r="F61">
            <v>1907.2</v>
          </cell>
          <cell r="G61">
            <v>0</v>
          </cell>
          <cell r="H61">
            <v>423.17000000000007</v>
          </cell>
          <cell r="I61">
            <v>5777.533858707021</v>
          </cell>
          <cell r="J61">
            <v>5839.0859317379363</v>
          </cell>
          <cell r="L61">
            <v>855.92310053815618</v>
          </cell>
          <cell r="M61">
            <v>887.12040918115474</v>
          </cell>
          <cell r="O61">
            <v>2880.4005390247535</v>
          </cell>
          <cell r="P61">
            <v>2890.3535498506176</v>
          </cell>
          <cell r="R61">
            <v>716.83423591615872</v>
          </cell>
          <cell r="S61">
            <v>719.40761675385124</v>
          </cell>
          <cell r="U61">
            <v>149.68157246833368</v>
          </cell>
          <cell r="V61">
            <v>86.355672691194812</v>
          </cell>
          <cell r="X61">
            <v>4042.6741289503234</v>
          </cell>
          <cell r="Y61">
            <v>3910.4165488560902</v>
          </cell>
          <cell r="AA61">
            <v>0</v>
          </cell>
          <cell r="AB61">
            <v>0</v>
          </cell>
          <cell r="AD61">
            <v>8404.1150022618494</v>
          </cell>
          <cell r="AE61">
            <v>8243.6999012603465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1332.4186705433533</v>
          </cell>
          <cell r="AQ61">
            <v>1319.9488241293323</v>
          </cell>
          <cell r="AS61">
            <v>23518.138139876068</v>
          </cell>
          <cell r="AT61">
            <v>2924.6824552556573</v>
          </cell>
          <cell r="AV61">
            <v>961.51895245773767</v>
          </cell>
          <cell r="AW61">
            <v>0</v>
          </cell>
          <cell r="AY61">
            <v>1045.2305004822615</v>
          </cell>
          <cell r="AZ61">
            <v>0</v>
          </cell>
          <cell r="BB61">
            <v>1413.1242621644135</v>
          </cell>
          <cell r="BC61">
            <v>0</v>
          </cell>
          <cell r="BE61">
            <v>893.6091280368945</v>
          </cell>
          <cell r="BF61">
            <v>0</v>
          </cell>
          <cell r="BH61">
            <v>88.218470377146446</v>
          </cell>
          <cell r="BI61">
            <v>148.72415250426442</v>
          </cell>
          <cell r="BK61">
            <v>709.67112779811953</v>
          </cell>
          <cell r="BL61">
            <v>0</v>
          </cell>
          <cell r="BN61">
            <v>34.288359423174953</v>
          </cell>
          <cell r="BO61">
            <v>0</v>
          </cell>
          <cell r="BT61">
            <v>38592.530136380243</v>
          </cell>
          <cell r="BU61">
            <v>64942.385209484652</v>
          </cell>
          <cell r="BW61">
            <v>19619.182147831238</v>
          </cell>
          <cell r="BX61">
            <v>20760.512110567615</v>
          </cell>
          <cell r="BZ61">
            <v>12654.405069356024</v>
          </cell>
          <cell r="CA61">
            <v>452.50920688079304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2805.6231036625641</v>
          </cell>
          <cell r="CJ61">
            <v>2737.0334071954776</v>
          </cell>
          <cell r="CL61">
            <v>0</v>
          </cell>
          <cell r="CM61">
            <v>0</v>
          </cell>
          <cell r="CX61">
            <v>4189.2232382022285</v>
          </cell>
          <cell r="CY61">
            <v>16948.685850090431</v>
          </cell>
          <cell r="DA61">
            <v>4644.5610457986331</v>
          </cell>
          <cell r="DC61">
            <v>20343.25</v>
          </cell>
          <cell r="DD61">
            <v>63399.25</v>
          </cell>
          <cell r="DE61">
            <v>3186.8199999999997</v>
          </cell>
          <cell r="DF61">
            <v>60239.83</v>
          </cell>
          <cell r="DW61">
            <v>918</v>
          </cell>
          <cell r="DX61">
            <v>0</v>
          </cell>
        </row>
        <row r="62">
          <cell r="F62">
            <v>2888.9</v>
          </cell>
          <cell r="G62">
            <v>0</v>
          </cell>
          <cell r="H62">
            <v>364.73</v>
          </cell>
          <cell r="I62">
            <v>8740.8232441281489</v>
          </cell>
          <cell r="J62">
            <v>8834.3096710130703</v>
          </cell>
          <cell r="L62">
            <v>1679.7789640254655</v>
          </cell>
          <cell r="M62">
            <v>1746.9179750470007</v>
          </cell>
          <cell r="O62">
            <v>4070.3942016494593</v>
          </cell>
          <cell r="P62">
            <v>4084.0728438415363</v>
          </cell>
          <cell r="R62">
            <v>0</v>
          </cell>
          <cell r="S62">
            <v>0</v>
          </cell>
          <cell r="U62">
            <v>187.10196558541708</v>
          </cell>
          <cell r="V62">
            <v>107.9445908639935</v>
          </cell>
          <cell r="X62">
            <v>6770.7922506721134</v>
          </cell>
          <cell r="Y62">
            <v>6571.9537098760402</v>
          </cell>
          <cell r="AA62">
            <v>0</v>
          </cell>
          <cell r="AB62">
            <v>0</v>
          </cell>
          <cell r="AD62">
            <v>11792.480828368742</v>
          </cell>
          <cell r="AE62">
            <v>11508.194831906449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6370.626768535406</v>
          </cell>
          <cell r="AQ62">
            <v>3515.3040783201404</v>
          </cell>
          <cell r="AS62">
            <v>22356.387588762427</v>
          </cell>
          <cell r="AT62">
            <v>5188.2789256239394</v>
          </cell>
          <cell r="AV62">
            <v>1439.6371811447357</v>
          </cell>
          <cell r="AW62">
            <v>0</v>
          </cell>
          <cell r="AY62">
            <v>1992.8244900112572</v>
          </cell>
          <cell r="AZ62">
            <v>0</v>
          </cell>
          <cell r="BB62">
            <v>1933.2424746842546</v>
          </cell>
          <cell r="BC62">
            <v>0</v>
          </cell>
          <cell r="BE62">
            <v>0</v>
          </cell>
          <cell r="BF62">
            <v>0</v>
          </cell>
          <cell r="BH62">
            <v>110.27308797143304</v>
          </cell>
          <cell r="BI62">
            <v>0</v>
          </cell>
          <cell r="BK62">
            <v>1030.3582624799783</v>
          </cell>
          <cell r="BL62">
            <v>0</v>
          </cell>
          <cell r="BN62">
            <v>89.28149214854156</v>
          </cell>
          <cell r="BO62">
            <v>3989.4135767078797</v>
          </cell>
          <cell r="BT62">
            <v>37120.888062556995</v>
          </cell>
          <cell r="BU62">
            <v>66374.777028100711</v>
          </cell>
          <cell r="BW62">
            <v>23361.821404562088</v>
          </cell>
          <cell r="BX62">
            <v>24502.620294398865</v>
          </cell>
          <cell r="BZ62">
            <v>16143.401020320696</v>
          </cell>
          <cell r="CA62">
            <v>437.29345157374371</v>
          </cell>
          <cell r="CC62">
            <v>884.35294940473671</v>
          </cell>
          <cell r="CD62">
            <v>886.06001219880625</v>
          </cell>
          <cell r="CF62">
            <v>109.70000695480053</v>
          </cell>
          <cell r="CG62">
            <v>0</v>
          </cell>
          <cell r="CI62">
            <v>2171.9252474045893</v>
          </cell>
          <cell r="CJ62">
            <v>1913.4490807595298</v>
          </cell>
          <cell r="CL62">
            <v>0</v>
          </cell>
          <cell r="CM62">
            <v>0</v>
          </cell>
          <cell r="CX62">
            <v>2131.4593179156545</v>
          </cell>
          <cell r="CY62">
            <v>12566.061023283122</v>
          </cell>
          <cell r="DA62">
            <v>18648.021268597702</v>
          </cell>
          <cell r="DC62">
            <v>52231.5</v>
          </cell>
          <cell r="DD62">
            <v>1229.06</v>
          </cell>
          <cell r="DE62">
            <v>31031.01</v>
          </cell>
          <cell r="DF62">
            <v>-995.75</v>
          </cell>
          <cell r="DW62">
            <v>1062</v>
          </cell>
          <cell r="DX62">
            <v>0</v>
          </cell>
        </row>
        <row r="63">
          <cell r="F63">
            <v>821.7</v>
          </cell>
          <cell r="G63">
            <v>0</v>
          </cell>
          <cell r="H63">
            <v>100.9</v>
          </cell>
          <cell r="I63">
            <v>3953.8039571929271</v>
          </cell>
          <cell r="J63">
            <v>3972.1740387482851</v>
          </cell>
          <cell r="L63">
            <v>720.32861378976963</v>
          </cell>
          <cell r="M63">
            <v>749.00419555341045</v>
          </cell>
          <cell r="O63">
            <v>1122.4905348395869</v>
          </cell>
          <cell r="P63">
            <v>1126.3816156206178</v>
          </cell>
          <cell r="R63">
            <v>278.30648108132851</v>
          </cell>
          <cell r="S63">
            <v>279.37840113824052</v>
          </cell>
          <cell r="U63">
            <v>0</v>
          </cell>
          <cell r="V63">
            <v>0</v>
          </cell>
          <cell r="X63">
            <v>1495.4727797433768</v>
          </cell>
          <cell r="Y63">
            <v>1422.8707181928817</v>
          </cell>
          <cell r="AA63">
            <v>0</v>
          </cell>
          <cell r="AB63">
            <v>0</v>
          </cell>
          <cell r="AD63">
            <v>3349.6075943574047</v>
          </cell>
          <cell r="AE63">
            <v>3263.4928284335192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666.20933527167665</v>
          </cell>
          <cell r="AQ63">
            <v>749.20204923525989</v>
          </cell>
          <cell r="AS63">
            <v>8707.8338898672082</v>
          </cell>
          <cell r="AT63">
            <v>2951.25575148403</v>
          </cell>
          <cell r="AV63">
            <v>680.60846036231078</v>
          </cell>
          <cell r="AW63">
            <v>0</v>
          </cell>
          <cell r="AY63">
            <v>853.88227655135142</v>
          </cell>
          <cell r="AZ63">
            <v>0</v>
          </cell>
          <cell r="BB63">
            <v>442.2645912310976</v>
          </cell>
          <cell r="BC63">
            <v>0</v>
          </cell>
          <cell r="BE63">
            <v>279.43461838521006</v>
          </cell>
          <cell r="BF63">
            <v>0</v>
          </cell>
          <cell r="BH63">
            <v>0</v>
          </cell>
          <cell r="BI63">
            <v>0</v>
          </cell>
          <cell r="BK63">
            <v>380.50301570194858</v>
          </cell>
          <cell r="BL63">
            <v>0</v>
          </cell>
          <cell r="BN63">
            <v>280.35131182797778</v>
          </cell>
          <cell r="BO63">
            <v>2960.3255682942668</v>
          </cell>
          <cell r="BT63">
            <v>12229.865464044755</v>
          </cell>
          <cell r="BU63">
            <v>24386.357029370636</v>
          </cell>
          <cell r="BW63">
            <v>6537.5328948722945</v>
          </cell>
          <cell r="BX63">
            <v>6458.8163041109165</v>
          </cell>
          <cell r="BZ63">
            <v>3970.4692360616737</v>
          </cell>
          <cell r="CA63">
            <v>246.16730045170564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2222.7574217998626</v>
          </cell>
          <cell r="CJ63">
            <v>1766.9264262342638</v>
          </cell>
          <cell r="CL63">
            <v>0</v>
          </cell>
          <cell r="CM63">
            <v>0</v>
          </cell>
          <cell r="CX63">
            <v>1715.5281150207254</v>
          </cell>
          <cell r="CY63">
            <v>-877.22758484278984</v>
          </cell>
          <cell r="DA63">
            <v>-43144.554730124932</v>
          </cell>
          <cell r="DC63">
            <v>29750.71</v>
          </cell>
          <cell r="DD63">
            <v>18304.059999999998</v>
          </cell>
          <cell r="DE63">
            <v>22741.62</v>
          </cell>
          <cell r="DF63">
            <v>17576.249999999996</v>
          </cell>
          <cell r="DW63">
            <v>918</v>
          </cell>
          <cell r="DX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2903.6555470574963</v>
          </cell>
          <cell r="J64">
            <v>2986.4217098800914</v>
          </cell>
          <cell r="L64">
            <v>552.93296217248928</v>
          </cell>
          <cell r="M64">
            <v>591.09717617703143</v>
          </cell>
          <cell r="O64">
            <v>794.39999999999986</v>
          </cell>
          <cell r="P64">
            <v>794.39999999999986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>
            <v>1103.8860949707271</v>
          </cell>
          <cell r="Y64">
            <v>1033.7715881086719</v>
          </cell>
          <cell r="AA64">
            <v>0</v>
          </cell>
          <cell r="AB64">
            <v>0</v>
          </cell>
          <cell r="AD64">
            <v>2591.7240199927328</v>
          </cell>
          <cell r="AE64">
            <v>2423.0204941154161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1231.1229357617447</v>
          </cell>
          <cell r="AQ64">
            <v>924.40128324361149</v>
          </cell>
          <cell r="AS64">
            <v>8715.2708882608185</v>
          </cell>
          <cell r="AT64">
            <v>5359.4381794659275</v>
          </cell>
          <cell r="AV64">
            <v>539.69189700948834</v>
          </cell>
          <cell r="AW64">
            <v>0</v>
          </cell>
          <cell r="AY64">
            <v>712.7388076826827</v>
          </cell>
          <cell r="AZ64">
            <v>0</v>
          </cell>
          <cell r="BB64">
            <v>423.09110755960398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118.5309055914786</v>
          </cell>
          <cell r="BL64">
            <v>0</v>
          </cell>
          <cell r="BN64">
            <v>0</v>
          </cell>
          <cell r="BO64">
            <v>3554.2861399005856</v>
          </cell>
          <cell r="BT64">
            <v>11131.112907013339</v>
          </cell>
          <cell r="BU64">
            <v>16273.895009224601</v>
          </cell>
          <cell r="BW64">
            <v>4533.3634796498591</v>
          </cell>
          <cell r="BX64">
            <v>4644.2794157375229</v>
          </cell>
          <cell r="BZ64">
            <v>1723.6093896127554</v>
          </cell>
          <cell r="CA64">
            <v>33.268615384786472</v>
          </cell>
          <cell r="CC64">
            <v>0</v>
          </cell>
          <cell r="CD64">
            <v>0</v>
          </cell>
          <cell r="CF64">
            <v>0</v>
          </cell>
          <cell r="CG64">
            <v>0</v>
          </cell>
          <cell r="CI64">
            <v>723.74430685142931</v>
          </cell>
          <cell r="CJ64">
            <v>436.15289707379793</v>
          </cell>
          <cell r="CL64">
            <v>0</v>
          </cell>
          <cell r="CM64">
            <v>0</v>
          </cell>
          <cell r="CX64">
            <v>5.5097009760283981</v>
          </cell>
          <cell r="CY64">
            <v>-1501.1590099744408</v>
          </cell>
          <cell r="DA64">
            <v>-15520.479638894401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W64">
            <v>816</v>
          </cell>
          <cell r="DX64">
            <v>0</v>
          </cell>
        </row>
        <row r="65">
          <cell r="F65">
            <v>1730</v>
          </cell>
          <cell r="G65">
            <v>0</v>
          </cell>
          <cell r="H65">
            <v>137.1</v>
          </cell>
          <cell r="I65">
            <v>5246.4046373317015</v>
          </cell>
          <cell r="J65">
            <v>5317.8300643345528</v>
          </cell>
          <cell r="L65">
            <v>918.60055033764456</v>
          </cell>
          <cell r="M65">
            <v>952.76690280042726</v>
          </cell>
          <cell r="O65">
            <v>2537.9872415902528</v>
          </cell>
          <cell r="P65">
            <v>2546.6599034283358</v>
          </cell>
          <cell r="R65">
            <v>0</v>
          </cell>
          <cell r="S65">
            <v>0</v>
          </cell>
          <cell r="U65">
            <v>140.32647418906288</v>
          </cell>
          <cell r="V65">
            <v>80.958443147995155</v>
          </cell>
          <cell r="X65">
            <v>2817.4254898839117</v>
          </cell>
          <cell r="Y65">
            <v>2660.1028734314773</v>
          </cell>
          <cell r="AA65">
            <v>0</v>
          </cell>
          <cell r="AB65">
            <v>0</v>
          </cell>
          <cell r="AD65">
            <v>6767.6280321275144</v>
          </cell>
          <cell r="AE65">
            <v>6604.45204852398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4621.8272634472569</v>
          </cell>
          <cell r="AQ65">
            <v>2497.837648825267</v>
          </cell>
          <cell r="AS65">
            <v>20870.073979423021</v>
          </cell>
          <cell r="AT65">
            <v>14081.617266865725</v>
          </cell>
          <cell r="AV65">
            <v>880.79237294637289</v>
          </cell>
          <cell r="AW65">
            <v>16832.148707978471</v>
          </cell>
          <cell r="AY65">
            <v>1199.0906643150158</v>
          </cell>
          <cell r="AZ65">
            <v>0</v>
          </cell>
          <cell r="BB65">
            <v>994.7952900186724</v>
          </cell>
          <cell r="BC65">
            <v>0</v>
          </cell>
          <cell r="BE65">
            <v>0</v>
          </cell>
          <cell r="BF65">
            <v>0</v>
          </cell>
          <cell r="BH65">
            <v>82.704815978574771</v>
          </cell>
          <cell r="BI65">
            <v>0</v>
          </cell>
          <cell r="BK65">
            <v>450.96103103612438</v>
          </cell>
          <cell r="BL65">
            <v>3281.1161694687517</v>
          </cell>
          <cell r="BN65">
            <v>53.989264928896702</v>
          </cell>
          <cell r="BO65">
            <v>1394.0767414220215</v>
          </cell>
          <cell r="BT65">
            <v>12871.721060106316</v>
          </cell>
          <cell r="BU65">
            <v>23393.831868747053</v>
          </cell>
          <cell r="BW65">
            <v>7509.9298789760624</v>
          </cell>
          <cell r="BX65">
            <v>8047.052211812048</v>
          </cell>
          <cell r="BZ65">
            <v>7005.8136776979236</v>
          </cell>
          <cell r="CA65">
            <v>265.53658311928791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1675.0024917468845</v>
          </cell>
          <cell r="CJ65">
            <v>525.55660883555038</v>
          </cell>
          <cell r="CL65">
            <v>0</v>
          </cell>
          <cell r="CM65">
            <v>0</v>
          </cell>
          <cell r="CX65">
            <v>3206.9838352417078</v>
          </cell>
          <cell r="CY65">
            <v>-10996.779956749982</v>
          </cell>
          <cell r="DA65">
            <v>8517.8286576127575</v>
          </cell>
          <cell r="DC65">
            <v>40354.29</v>
          </cell>
          <cell r="DD65">
            <v>2112.79</v>
          </cell>
          <cell r="DE65">
            <v>28812.410000000003</v>
          </cell>
          <cell r="DF65">
            <v>1290.2199999999998</v>
          </cell>
          <cell r="DW65">
            <v>1062</v>
          </cell>
          <cell r="DX65">
            <v>0</v>
          </cell>
        </row>
        <row r="66">
          <cell r="F66">
            <v>932.4</v>
          </cell>
          <cell r="G66">
            <v>0</v>
          </cell>
          <cell r="H66">
            <v>238.81</v>
          </cell>
          <cell r="I66">
            <v>4006.0071631104688</v>
          </cell>
          <cell r="J66">
            <v>4033.7652864530546</v>
          </cell>
          <cell r="L66">
            <v>793.85007709430147</v>
          </cell>
          <cell r="M66">
            <v>824.85110343188228</v>
          </cell>
          <cell r="O66">
            <v>1415.646035615762</v>
          </cell>
          <cell r="P66">
            <v>1420.5035462622061</v>
          </cell>
          <cell r="R66">
            <v>0</v>
          </cell>
          <cell r="S66">
            <v>0</v>
          </cell>
          <cell r="U66">
            <v>74.840786234166842</v>
          </cell>
          <cell r="V66">
            <v>43.177836345597406</v>
          </cell>
          <cell r="X66">
            <v>2447.0554913348269</v>
          </cell>
          <cell r="Y66">
            <v>2183.5843701475701</v>
          </cell>
          <cell r="AA66">
            <v>0</v>
          </cell>
          <cell r="AB66">
            <v>0</v>
          </cell>
          <cell r="AD66">
            <v>4249.8718359853056</v>
          </cell>
          <cell r="AE66">
            <v>4147.1595556460234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2248.4565065419083</v>
          </cell>
          <cell r="AQ66">
            <v>2583.5713002741682</v>
          </cell>
          <cell r="AS66">
            <v>12379.560620724949</v>
          </cell>
          <cell r="AT66">
            <v>0</v>
          </cell>
          <cell r="AV66">
            <v>709.6286022537181</v>
          </cell>
          <cell r="AW66">
            <v>0</v>
          </cell>
          <cell r="AY66">
            <v>936.84545522441545</v>
          </cell>
          <cell r="AZ66">
            <v>2503.3916264483914</v>
          </cell>
          <cell r="BB66">
            <v>644.48625478829172</v>
          </cell>
          <cell r="BC66">
            <v>0</v>
          </cell>
          <cell r="BE66">
            <v>0</v>
          </cell>
          <cell r="BF66">
            <v>0</v>
          </cell>
          <cell r="BH66">
            <v>44.109235188573223</v>
          </cell>
          <cell r="BI66">
            <v>0</v>
          </cell>
          <cell r="BK66">
            <v>381.56229400338407</v>
          </cell>
          <cell r="BL66">
            <v>565.91387857950178</v>
          </cell>
          <cell r="BN66">
            <v>38.711651901370431</v>
          </cell>
          <cell r="BO66">
            <v>0</v>
          </cell>
          <cell r="BT66">
            <v>18482.047022241339</v>
          </cell>
          <cell r="BU66">
            <v>29502.029371130735</v>
          </cell>
          <cell r="BW66">
            <v>7037.5953621940171</v>
          </cell>
          <cell r="BX66">
            <v>7261.7774468757561</v>
          </cell>
          <cell r="BZ66">
            <v>6070.0252955777869</v>
          </cell>
          <cell r="CA66">
            <v>294.66976949402226</v>
          </cell>
          <cell r="CC66">
            <v>251.20750446859185</v>
          </cell>
          <cell r="CD66">
            <v>251.69240926226962</v>
          </cell>
          <cell r="CF66">
            <v>31.161161395856375</v>
          </cell>
          <cell r="CG66">
            <v>0</v>
          </cell>
          <cell r="CI66">
            <v>2096.8564114790975</v>
          </cell>
          <cell r="CJ66">
            <v>552.62654294034883</v>
          </cell>
          <cell r="CL66">
            <v>0</v>
          </cell>
          <cell r="CM66">
            <v>0</v>
          </cell>
          <cell r="CX66">
            <v>2313.8450703069302</v>
          </cell>
          <cell r="CY66">
            <v>12118.817939186856</v>
          </cell>
          <cell r="DA66">
            <v>-13217.305700809888</v>
          </cell>
          <cell r="DC66">
            <v>55391.57</v>
          </cell>
          <cell r="DD66">
            <v>7741.09</v>
          </cell>
          <cell r="DE66">
            <v>46944.76</v>
          </cell>
          <cell r="DF66">
            <v>5850.68</v>
          </cell>
          <cell r="DW66">
            <v>918</v>
          </cell>
          <cell r="DX66">
            <v>0</v>
          </cell>
        </row>
        <row r="67">
          <cell r="F67">
            <v>1264.5999999999999</v>
          </cell>
          <cell r="G67">
            <v>0</v>
          </cell>
          <cell r="H67">
            <v>183.7</v>
          </cell>
          <cell r="I67">
            <v>4498.1238661251537</v>
          </cell>
          <cell r="J67">
            <v>4547.8762087388486</v>
          </cell>
          <cell r="L67">
            <v>813.62481863320318</v>
          </cell>
          <cell r="M67">
            <v>845.72824236928011</v>
          </cell>
          <cell r="O67">
            <v>1826.501761731957</v>
          </cell>
          <cell r="P67">
            <v>1832.7495737529371</v>
          </cell>
          <cell r="R67">
            <v>0</v>
          </cell>
          <cell r="S67">
            <v>0</v>
          </cell>
          <cell r="U67">
            <v>187.10196558541708</v>
          </cell>
          <cell r="V67">
            <v>107.9445908639935</v>
          </cell>
          <cell r="X67">
            <v>2605.8104370417614</v>
          </cell>
          <cell r="Y67">
            <v>2892.4554298071921</v>
          </cell>
          <cell r="AA67">
            <v>0</v>
          </cell>
          <cell r="AB67">
            <v>0</v>
          </cell>
          <cell r="AD67">
            <v>5249.6147388625577</v>
          </cell>
          <cell r="AE67">
            <v>5123.0399560158976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3372.6847598128625</v>
          </cell>
          <cell r="AQ67">
            <v>1717.6663838789987</v>
          </cell>
          <cell r="AS67">
            <v>11590.866600643925</v>
          </cell>
          <cell r="AT67">
            <v>3349.5350420597488</v>
          </cell>
          <cell r="AV67">
            <v>763.68429515153821</v>
          </cell>
          <cell r="AW67">
            <v>0</v>
          </cell>
          <cell r="AY67">
            <v>962.60717983327004</v>
          </cell>
          <cell r="AZ67">
            <v>0</v>
          </cell>
          <cell r="BB67">
            <v>907.54889960631408</v>
          </cell>
          <cell r="BC67">
            <v>1322.1204411355916</v>
          </cell>
          <cell r="BE67">
            <v>0</v>
          </cell>
          <cell r="BF67">
            <v>0</v>
          </cell>
          <cell r="BH67">
            <v>110.27308797143304</v>
          </cell>
          <cell r="BI67">
            <v>0</v>
          </cell>
          <cell r="BK67">
            <v>412.83020567082747</v>
          </cell>
          <cell r="BL67">
            <v>0</v>
          </cell>
          <cell r="BN67">
            <v>40.374307939273699</v>
          </cell>
          <cell r="BO67">
            <v>0</v>
          </cell>
          <cell r="BT67">
            <v>24679.686459542198</v>
          </cell>
          <cell r="BU67">
            <v>47580.0097792827</v>
          </cell>
          <cell r="BW67">
            <v>7917.4252004170639</v>
          </cell>
          <cell r="BX67">
            <v>8242.8430919364673</v>
          </cell>
          <cell r="BZ67">
            <v>11290.575747854986</v>
          </cell>
          <cell r="CA67">
            <v>347.46548417104123</v>
          </cell>
          <cell r="CC67">
            <v>789.50929975843155</v>
          </cell>
          <cell r="CD67">
            <v>791.03328625284735</v>
          </cell>
          <cell r="CF67">
            <v>97.935078672691475</v>
          </cell>
          <cell r="CG67">
            <v>0</v>
          </cell>
          <cell r="CI67">
            <v>1771.1560812934654</v>
          </cell>
          <cell r="CJ67">
            <v>348.92062680142851</v>
          </cell>
          <cell r="CL67">
            <v>0</v>
          </cell>
          <cell r="CM67">
            <v>0</v>
          </cell>
          <cell r="CX67">
            <v>1141.2828626375604</v>
          </cell>
          <cell r="CY67">
            <v>2147.5388487351747</v>
          </cell>
          <cell r="DA67">
            <v>44165.851581966774</v>
          </cell>
          <cell r="DC67">
            <v>16174.85</v>
          </cell>
          <cell r="DD67">
            <v>3234.5</v>
          </cell>
          <cell r="DE67">
            <v>5006.6400000000012</v>
          </cell>
          <cell r="DF67">
            <v>1791.02</v>
          </cell>
          <cell r="DW67">
            <v>918</v>
          </cell>
          <cell r="DX67">
            <v>0</v>
          </cell>
        </row>
        <row r="68">
          <cell r="F68">
            <v>1758.2</v>
          </cell>
          <cell r="G68">
            <v>0</v>
          </cell>
          <cell r="H68">
            <v>358</v>
          </cell>
          <cell r="I68">
            <v>5204.448198375122</v>
          </cell>
          <cell r="J68">
            <v>5293.6831783354965</v>
          </cell>
          <cell r="L68">
            <v>916.60275776649632</v>
          </cell>
          <cell r="M68">
            <v>952.76690280042726</v>
          </cell>
          <cell r="O68">
            <v>2397.0567391133995</v>
          </cell>
          <cell r="P68">
            <v>2405.1014797684916</v>
          </cell>
          <cell r="R68">
            <v>0</v>
          </cell>
          <cell r="S68">
            <v>0</v>
          </cell>
          <cell r="U68">
            <v>140.32647418906288</v>
          </cell>
          <cell r="V68">
            <v>80.958443147995155</v>
          </cell>
          <cell r="X68">
            <v>3061.3032173110696</v>
          </cell>
          <cell r="Y68">
            <v>2870.7811888640281</v>
          </cell>
          <cell r="AA68">
            <v>0</v>
          </cell>
          <cell r="AB68">
            <v>0</v>
          </cell>
          <cell r="AD68">
            <v>7673.9976432346002</v>
          </cell>
          <cell r="AE68">
            <v>7488.786040936553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4621.8272634472569</v>
          </cell>
          <cell r="AQ68">
            <v>5126.6317145492158</v>
          </cell>
          <cell r="AS68">
            <v>12184.178285905738</v>
          </cell>
          <cell r="AT68">
            <v>1822.2121171477961</v>
          </cell>
          <cell r="AV68">
            <v>860.15750535199049</v>
          </cell>
          <cell r="AW68">
            <v>0</v>
          </cell>
          <cell r="AY68">
            <v>1084.4159900406439</v>
          </cell>
          <cell r="AZ68">
            <v>0</v>
          </cell>
          <cell r="BB68">
            <v>1302.058268090304</v>
          </cell>
          <cell r="BC68">
            <v>0</v>
          </cell>
          <cell r="BE68">
            <v>0</v>
          </cell>
          <cell r="BF68">
            <v>0</v>
          </cell>
          <cell r="BH68">
            <v>82.704815978574771</v>
          </cell>
          <cell r="BI68">
            <v>0</v>
          </cell>
          <cell r="BK68">
            <v>468.42300249175662</v>
          </cell>
          <cell r="BL68">
            <v>0</v>
          </cell>
          <cell r="BN68">
            <v>39.401811011443485</v>
          </cell>
          <cell r="BO68">
            <v>0</v>
          </cell>
          <cell r="BT68">
            <v>19973.900426299755</v>
          </cell>
          <cell r="BU68">
            <v>39607.870538108262</v>
          </cell>
          <cell r="BW68">
            <v>8789.2358761064934</v>
          </cell>
          <cell r="BX68">
            <v>9203.7267649010191</v>
          </cell>
          <cell r="BZ68">
            <v>10261.756357569942</v>
          </cell>
          <cell r="CA68">
            <v>300.53981453554667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3090.9230651071462</v>
          </cell>
          <cell r="CJ68">
            <v>3064.005506942487</v>
          </cell>
          <cell r="CL68">
            <v>0</v>
          </cell>
          <cell r="CM68">
            <v>0</v>
          </cell>
          <cell r="CX68">
            <v>1128.8059408719241</v>
          </cell>
          <cell r="CY68">
            <v>5851.5907496960981</v>
          </cell>
          <cell r="DA68">
            <v>30166.463114681224</v>
          </cell>
          <cell r="DC68">
            <v>12730.16</v>
          </cell>
          <cell r="DD68">
            <v>380.8</v>
          </cell>
          <cell r="DE68">
            <v>1735.0900000000001</v>
          </cell>
          <cell r="DF68">
            <v>-1576.42</v>
          </cell>
          <cell r="DW68">
            <v>918</v>
          </cell>
          <cell r="DX68">
            <v>0</v>
          </cell>
        </row>
        <row r="69">
          <cell r="F69">
            <v>2215.63</v>
          </cell>
          <cell r="G69">
            <v>213.63</v>
          </cell>
          <cell r="H69">
            <v>0</v>
          </cell>
          <cell r="I69">
            <v>6523.9557128017959</v>
          </cell>
          <cell r="J69">
            <v>6523.3809760682407</v>
          </cell>
          <cell r="L69">
            <v>1189.957346625223</v>
          </cell>
          <cell r="M69">
            <v>1248.2721264802931</v>
          </cell>
          <cell r="O69">
            <v>2576.6130430926719</v>
          </cell>
          <cell r="P69">
            <v>2585.6379400975493</v>
          </cell>
          <cell r="R69">
            <v>642.17758648423194</v>
          </cell>
          <cell r="S69">
            <v>643.60693314129651</v>
          </cell>
          <cell r="U69">
            <v>333.53105448344229</v>
          </cell>
          <cell r="V69">
            <v>222.5365660508096</v>
          </cell>
          <cell r="X69">
            <v>3197.6312468658771</v>
          </cell>
          <cell r="Y69">
            <v>2909.6233050375563</v>
          </cell>
          <cell r="AA69">
            <v>0</v>
          </cell>
          <cell r="AB69">
            <v>0</v>
          </cell>
          <cell r="AD69">
            <v>8027.2989185490133</v>
          </cell>
          <cell r="AE69">
            <v>7833.9417014234314</v>
          </cell>
          <cell r="AJ69">
            <v>18271.792079092138</v>
          </cell>
          <cell r="AK69">
            <v>17241.834500498317</v>
          </cell>
          <cell r="AM69">
            <v>0</v>
          </cell>
          <cell r="AN69">
            <v>0</v>
          </cell>
          <cell r="AP69">
            <v>1457.3329209067929</v>
          </cell>
          <cell r="AQ69">
            <v>1680</v>
          </cell>
          <cell r="AS69">
            <v>40871.785612716187</v>
          </cell>
          <cell r="AT69">
            <v>81668.150687081812</v>
          </cell>
          <cell r="AV69">
            <v>459.71348740950361</v>
          </cell>
          <cell r="AW69">
            <v>0</v>
          </cell>
          <cell r="AY69">
            <v>317.11593908051157</v>
          </cell>
          <cell r="AZ69">
            <v>0</v>
          </cell>
          <cell r="BB69">
            <v>464.8604390099951</v>
          </cell>
          <cell r="BC69">
            <v>0</v>
          </cell>
          <cell r="BE69">
            <v>164.57264175441009</v>
          </cell>
          <cell r="BF69">
            <v>0</v>
          </cell>
          <cell r="BH69">
            <v>94.781008594747462</v>
          </cell>
          <cell r="BI69">
            <v>0</v>
          </cell>
          <cell r="BK69">
            <v>361.20737913814321</v>
          </cell>
          <cell r="BL69">
            <v>2203.3106709928916</v>
          </cell>
          <cell r="BN69">
            <v>50.193389823494897</v>
          </cell>
          <cell r="BO69">
            <v>2808.4596569599998</v>
          </cell>
          <cell r="BT69">
            <v>19488.129774330937</v>
          </cell>
          <cell r="BU69">
            <v>28611.33375649411</v>
          </cell>
          <cell r="BW69">
            <v>16918.131055452151</v>
          </cell>
          <cell r="BX69">
            <v>9667.3403833975317</v>
          </cell>
          <cell r="BZ69">
            <v>5257.8544520799014</v>
          </cell>
          <cell r="CA69">
            <v>183.44317990309889</v>
          </cell>
          <cell r="CC69">
            <v>639.04113126550976</v>
          </cell>
          <cell r="CD69">
            <v>640.2746696845287</v>
          </cell>
          <cell r="CF69">
            <v>79.270178938642815</v>
          </cell>
          <cell r="CG69">
            <v>0</v>
          </cell>
          <cell r="CI69">
            <v>7463.4063698412792</v>
          </cell>
          <cell r="CJ69">
            <v>15369.963129856244</v>
          </cell>
          <cell r="CL69">
            <v>5437.6098379227615</v>
          </cell>
          <cell r="CM69">
            <v>7275.3814188255938</v>
          </cell>
          <cell r="CX69">
            <v>5289.6866842795253</v>
          </cell>
          <cell r="CY69">
            <v>-53544.548110601201</v>
          </cell>
          <cell r="DA69">
            <v>42728.95095701464</v>
          </cell>
          <cell r="DC69">
            <v>38416.58</v>
          </cell>
          <cell r="DD69">
            <v>0</v>
          </cell>
          <cell r="DE69">
            <v>15648.580000000002</v>
          </cell>
          <cell r="DF69">
            <v>0</v>
          </cell>
          <cell r="DW69">
            <v>918</v>
          </cell>
          <cell r="DX69">
            <v>0</v>
          </cell>
        </row>
        <row r="70">
          <cell r="F70">
            <v>5955.55</v>
          </cell>
          <cell r="G70">
            <v>569.36</v>
          </cell>
          <cell r="H70">
            <v>0</v>
          </cell>
          <cell r="I70">
            <v>14395.822565218779</v>
          </cell>
          <cell r="J70">
            <v>14423.661040520314</v>
          </cell>
          <cell r="L70">
            <v>3566.337062646804</v>
          </cell>
          <cell r="M70">
            <v>3731.851261012539</v>
          </cell>
          <cell r="O70">
            <v>6914.0748941525071</v>
          </cell>
          <cell r="P70">
            <v>6938.2862043710602</v>
          </cell>
          <cell r="R70">
            <v>1680.2612540828177</v>
          </cell>
          <cell r="S70">
            <v>1684.9928990345452</v>
          </cell>
          <cell r="U70">
            <v>1000.3965733306683</v>
          </cell>
          <cell r="V70">
            <v>667.47167135600955</v>
          </cell>
          <cell r="X70">
            <v>9944.1136878035541</v>
          </cell>
          <cell r="Y70">
            <v>9490.8333241579203</v>
          </cell>
          <cell r="AA70">
            <v>0</v>
          </cell>
          <cell r="AB70">
            <v>0</v>
          </cell>
          <cell r="AD70">
            <v>21580.40192936888</v>
          </cell>
          <cell r="AE70">
            <v>21060.414026791103</v>
          </cell>
          <cell r="AJ70">
            <v>76132.371805637536</v>
          </cell>
          <cell r="AK70">
            <v>71605.011456329928</v>
          </cell>
          <cell r="AM70">
            <v>0</v>
          </cell>
          <cell r="AN70">
            <v>0</v>
          </cell>
          <cell r="AP70">
            <v>4371.9987627203773</v>
          </cell>
          <cell r="AQ70">
            <v>6000</v>
          </cell>
          <cell r="AS70">
            <v>139684.80212214298</v>
          </cell>
          <cell r="AT70">
            <v>144467.32704311723</v>
          </cell>
          <cell r="AV70">
            <v>961.94805397150162</v>
          </cell>
          <cell r="AW70">
            <v>0</v>
          </cell>
          <cell r="AY70">
            <v>1482.7122308625671</v>
          </cell>
          <cell r="AZ70">
            <v>5944.4275492047309</v>
          </cell>
          <cell r="BB70">
            <v>1418.6011722162357</v>
          </cell>
          <cell r="BC70">
            <v>2361.3797361303004</v>
          </cell>
          <cell r="BE70">
            <v>398.36095204886431</v>
          </cell>
          <cell r="BF70">
            <v>807</v>
          </cell>
          <cell r="BH70">
            <v>284.34295961481592</v>
          </cell>
          <cell r="BI70">
            <v>0</v>
          </cell>
          <cell r="BK70">
            <v>962.67663591135897</v>
          </cell>
          <cell r="BL70">
            <v>1010.4232548013701</v>
          </cell>
          <cell r="BN70">
            <v>112.9351271028635</v>
          </cell>
          <cell r="BO70">
            <v>0</v>
          </cell>
          <cell r="BT70">
            <v>21183.90245405419</v>
          </cell>
          <cell r="BU70">
            <v>26529.142613665321</v>
          </cell>
          <cell r="BW70">
            <v>50719.704242063097</v>
          </cell>
          <cell r="BX70">
            <v>30005.786107135966</v>
          </cell>
          <cell r="BZ70">
            <v>7864.5988321254754</v>
          </cell>
          <cell r="CA70">
            <v>367.13583233494552</v>
          </cell>
          <cell r="CC70">
            <v>1917.2259274718228</v>
          </cell>
          <cell r="CD70">
            <v>1920.9267406492038</v>
          </cell>
          <cell r="CF70">
            <v>237.82325565731452</v>
          </cell>
          <cell r="CG70">
            <v>0</v>
          </cell>
          <cell r="CI70">
            <v>18306.978210901718</v>
          </cell>
          <cell r="CJ70">
            <v>19823.897499136219</v>
          </cell>
          <cell r="CL70">
            <v>11525.311465902698</v>
          </cell>
          <cell r="CM70">
            <v>23473.742253607998</v>
          </cell>
          <cell r="CX70">
            <v>9214.0376996952273</v>
          </cell>
          <cell r="CY70">
            <v>14414.827696078493</v>
          </cell>
          <cell r="DA70">
            <v>5472.5743164576852</v>
          </cell>
          <cell r="DC70">
            <v>190528.43</v>
          </cell>
          <cell r="DD70">
            <v>0</v>
          </cell>
          <cell r="DE70">
            <v>127503.56999999999</v>
          </cell>
          <cell r="DF70">
            <v>0</v>
          </cell>
          <cell r="DW70">
            <v>792</v>
          </cell>
          <cell r="DX70">
            <v>0</v>
          </cell>
        </row>
        <row r="71">
          <cell r="F71">
            <v>3858.65</v>
          </cell>
          <cell r="G71">
            <v>441.5</v>
          </cell>
          <cell r="H71">
            <v>0</v>
          </cell>
          <cell r="I71">
            <v>9225.0467977974531</v>
          </cell>
          <cell r="J71">
            <v>9252.0173062988069</v>
          </cell>
          <cell r="L71">
            <v>1390.9769987767449</v>
          </cell>
          <cell r="M71">
            <v>1451.6358318444702</v>
          </cell>
          <cell r="O71">
            <v>4449.5931032478657</v>
          </cell>
          <cell r="P71">
            <v>4464.2053718398593</v>
          </cell>
          <cell r="R71">
            <v>1136.8309239926714</v>
          </cell>
          <cell r="S71">
            <v>1141.5030778870225</v>
          </cell>
          <cell r="U71">
            <v>669.98388494031633</v>
          </cell>
          <cell r="V71">
            <v>446.7341818196</v>
          </cell>
          <cell r="X71">
            <v>7332.59191393732</v>
          </cell>
          <cell r="Y71">
            <v>6909.3683119002362</v>
          </cell>
          <cell r="AA71">
            <v>0</v>
          </cell>
          <cell r="AB71">
            <v>0</v>
          </cell>
          <cell r="AD71">
            <v>13986.346690680113</v>
          </cell>
          <cell r="AE71">
            <v>13649.118363792546</v>
          </cell>
          <cell r="AJ71">
            <v>50754.907531670506</v>
          </cell>
          <cell r="AK71">
            <v>47893.900096703182</v>
          </cell>
          <cell r="AM71">
            <v>0</v>
          </cell>
          <cell r="AN71">
            <v>0</v>
          </cell>
          <cell r="AP71">
            <v>2914.6658418135858</v>
          </cell>
          <cell r="AQ71">
            <v>3480</v>
          </cell>
          <cell r="AS71">
            <v>86403.381075469442</v>
          </cell>
          <cell r="AT71">
            <v>24933.613231866464</v>
          </cell>
          <cell r="AV71">
            <v>680.23647282296952</v>
          </cell>
          <cell r="AW71">
            <v>0</v>
          </cell>
          <cell r="AY71">
            <v>638.10718051327808</v>
          </cell>
          <cell r="AZ71">
            <v>0</v>
          </cell>
          <cell r="BB71">
            <v>861.63008294934252</v>
          </cell>
          <cell r="BC71">
            <v>0</v>
          </cell>
          <cell r="BE71">
            <v>291.57036344181336</v>
          </cell>
          <cell r="BF71">
            <v>390.29985691784998</v>
          </cell>
          <cell r="BH71">
            <v>191.39990198901882</v>
          </cell>
          <cell r="BI71">
            <v>0</v>
          </cell>
          <cell r="BK71">
            <v>632.44634084750942</v>
          </cell>
          <cell r="BL71">
            <v>0</v>
          </cell>
          <cell r="BN71">
            <v>75.290084735242345</v>
          </cell>
          <cell r="BO71">
            <v>0</v>
          </cell>
          <cell r="BT71">
            <v>11749.781808031126</v>
          </cell>
          <cell r="BU71">
            <v>17502.895090749404</v>
          </cell>
          <cell r="BW71">
            <v>34899.650205100887</v>
          </cell>
          <cell r="BX71">
            <v>20740.508491660457</v>
          </cell>
          <cell r="BZ71">
            <v>5319.3862033312807</v>
          </cell>
          <cell r="CA71">
            <v>299.40531976563108</v>
          </cell>
          <cell r="CC71">
            <v>1035.333786274125</v>
          </cell>
          <cell r="CD71">
            <v>1037.3322867452111</v>
          </cell>
          <cell r="CF71">
            <v>128.42850089577948</v>
          </cell>
          <cell r="CG71">
            <v>0</v>
          </cell>
          <cell r="CI71">
            <v>744.83572734796803</v>
          </cell>
          <cell r="CJ71">
            <v>1682.5972987644395</v>
          </cell>
          <cell r="CL71">
            <v>6324.2399016302224</v>
          </cell>
          <cell r="CM71">
            <v>14791.859188183877</v>
          </cell>
          <cell r="CX71">
            <v>5677.8998048165977</v>
          </cell>
          <cell r="CY71">
            <v>91801.501423413632</v>
          </cell>
          <cell r="DA71">
            <v>-120044.28545678874</v>
          </cell>
          <cell r="DC71">
            <v>64718.26</v>
          </cell>
          <cell r="DD71">
            <v>0</v>
          </cell>
          <cell r="DE71">
            <v>26347.620000000003</v>
          </cell>
          <cell r="DF71">
            <v>0</v>
          </cell>
          <cell r="DW71">
            <v>756</v>
          </cell>
          <cell r="DX71">
            <v>0</v>
          </cell>
        </row>
        <row r="72">
          <cell r="F72">
            <v>9797.7000000000007</v>
          </cell>
          <cell r="G72">
            <v>1089.02</v>
          </cell>
          <cell r="H72">
            <v>0</v>
          </cell>
          <cell r="I72">
            <v>22893.698115214738</v>
          </cell>
          <cell r="J72">
            <v>22985.170561045103</v>
          </cell>
          <cell r="L72">
            <v>3701.3491035607694</v>
          </cell>
          <cell r="M72">
            <v>3872.3857722037974</v>
          </cell>
          <cell r="O72">
            <v>11146.753002524809</v>
          </cell>
          <cell r="P72">
            <v>11182.517897394537</v>
          </cell>
          <cell r="R72">
            <v>2637.4748542812977</v>
          </cell>
          <cell r="S72">
            <v>2644.073530822418</v>
          </cell>
          <cell r="U72">
            <v>1005.0741224703037</v>
          </cell>
          <cell r="V72">
            <v>670.17028612760953</v>
          </cell>
          <cell r="X72">
            <v>14004.869213211836</v>
          </cell>
          <cell r="Y72">
            <v>13632.523927504206</v>
          </cell>
          <cell r="AA72">
            <v>0</v>
          </cell>
          <cell r="AB72">
            <v>0</v>
          </cell>
          <cell r="AD72">
            <v>35487.604057950419</v>
          </cell>
          <cell r="AE72">
            <v>34633.311782599674</v>
          </cell>
          <cell r="AJ72">
            <v>46241.081953368972</v>
          </cell>
          <cell r="AK72">
            <v>46212.75990897126</v>
          </cell>
          <cell r="AM72">
            <v>908.80628444281319</v>
          </cell>
          <cell r="AN72">
            <v>3412.9715276791389</v>
          </cell>
          <cell r="AP72">
            <v>6703.7314361712452</v>
          </cell>
          <cell r="AQ72">
            <v>0</v>
          </cell>
          <cell r="AS72">
            <v>195063.69441822497</v>
          </cell>
          <cell r="AT72">
            <v>171562.4200753808</v>
          </cell>
          <cell r="AV72">
            <v>2436.293000519991</v>
          </cell>
          <cell r="AW72">
            <v>0</v>
          </cell>
          <cell r="AY72">
            <v>2680.7663084859255</v>
          </cell>
          <cell r="AZ72">
            <v>0</v>
          </cell>
          <cell r="BB72">
            <v>4566.2766775181099</v>
          </cell>
          <cell r="BC72">
            <v>0</v>
          </cell>
          <cell r="BE72">
            <v>1227.634888257774</v>
          </cell>
          <cell r="BF72">
            <v>1148</v>
          </cell>
          <cell r="BH72">
            <v>527.52839028453241</v>
          </cell>
          <cell r="BI72">
            <v>0</v>
          </cell>
          <cell r="BK72">
            <v>2145.4389371843713</v>
          </cell>
          <cell r="BL72">
            <v>7579.4949772765867</v>
          </cell>
          <cell r="BN72">
            <v>131.75764828667408</v>
          </cell>
          <cell r="BO72">
            <v>18412.818962083449</v>
          </cell>
          <cell r="BT72">
            <v>54248.337172633968</v>
          </cell>
          <cell r="BU72">
            <v>83567.750597577309</v>
          </cell>
          <cell r="BW72">
            <v>54144.551092490103</v>
          </cell>
          <cell r="BX72">
            <v>60083.881225634366</v>
          </cell>
          <cell r="BZ72">
            <v>10229.433982336188</v>
          </cell>
          <cell r="CA72">
            <v>555.50999492794256</v>
          </cell>
          <cell r="CC72">
            <v>2027.6803291815327</v>
          </cell>
          <cell r="CD72">
            <v>2031.5943520278893</v>
          </cell>
          <cell r="CF72">
            <v>251.52462754045175</v>
          </cell>
          <cell r="CG72">
            <v>0</v>
          </cell>
          <cell r="CI72">
            <v>39963.557237632034</v>
          </cell>
          <cell r="CJ72">
            <v>37260.144860254368</v>
          </cell>
          <cell r="CL72">
            <v>22123.784176430199</v>
          </cell>
          <cell r="CM72">
            <v>33983.711468517104</v>
          </cell>
          <cell r="CX72">
            <v>20512.909421220902</v>
          </cell>
          <cell r="CY72">
            <v>-2206.1033921673152</v>
          </cell>
          <cell r="DA72">
            <v>-189407.53400043875</v>
          </cell>
          <cell r="DC72">
            <v>141955.9</v>
          </cell>
          <cell r="DD72">
            <v>0</v>
          </cell>
          <cell r="DE72">
            <v>55726.119999999995</v>
          </cell>
          <cell r="DF72">
            <v>0</v>
          </cell>
          <cell r="DW72">
            <v>1215</v>
          </cell>
          <cell r="DX72">
            <v>0</v>
          </cell>
        </row>
        <row r="73">
          <cell r="F73">
            <v>6582.6</v>
          </cell>
          <cell r="G73">
            <v>729.6</v>
          </cell>
          <cell r="H73">
            <v>0</v>
          </cell>
          <cell r="I73">
            <v>15093.865745946456</v>
          </cell>
          <cell r="J73">
            <v>15168.060527421763</v>
          </cell>
          <cell r="L73">
            <v>2474.6899404861169</v>
          </cell>
          <cell r="M73">
            <v>2589.1712124628193</v>
          </cell>
          <cell r="O73">
            <v>7543.6212430586038</v>
          </cell>
          <cell r="P73">
            <v>7569.698150588004</v>
          </cell>
          <cell r="R73">
            <v>1775.6491750721511</v>
          </cell>
          <cell r="S73">
            <v>1781.3949211285801</v>
          </cell>
          <cell r="U73">
            <v>669.98388494031633</v>
          </cell>
          <cell r="V73">
            <v>446.7341818196</v>
          </cell>
          <cell r="X73">
            <v>8584.1848448884848</v>
          </cell>
          <cell r="Y73">
            <v>8229.4887053724869</v>
          </cell>
          <cell r="AA73">
            <v>0</v>
          </cell>
          <cell r="AB73">
            <v>0</v>
          </cell>
          <cell r="AD73">
            <v>23857.755945259378</v>
          </cell>
          <cell r="AE73">
            <v>23282.621699951091</v>
          </cell>
          <cell r="AJ73">
            <v>24859.518339556867</v>
          </cell>
          <cell r="AK73">
            <v>23458.26771186999</v>
          </cell>
          <cell r="AM73">
            <v>605.85684545284585</v>
          </cell>
          <cell r="AN73">
            <v>2624.8028966137431</v>
          </cell>
          <cell r="AP73">
            <v>4496.9130130838166</v>
          </cell>
          <cell r="AQ73">
            <v>5700</v>
          </cell>
          <cell r="AS73">
            <v>138941.62067109122</v>
          </cell>
          <cell r="AT73">
            <v>11854.856306512964</v>
          </cell>
          <cell r="AV73">
            <v>1586.6668956899032</v>
          </cell>
          <cell r="AW73">
            <v>1129.1021187651984</v>
          </cell>
          <cell r="AY73">
            <v>1788.9596363523756</v>
          </cell>
          <cell r="AZ73">
            <v>2343.503577452595</v>
          </cell>
          <cell r="BB73">
            <v>2907.3066030619439</v>
          </cell>
          <cell r="BC73">
            <v>1054.5142952903445</v>
          </cell>
          <cell r="BE73">
            <v>855.96557591617329</v>
          </cell>
          <cell r="BF73">
            <v>1276.3538271621001</v>
          </cell>
          <cell r="BH73">
            <v>351.68570380539899</v>
          </cell>
          <cell r="BI73">
            <v>0</v>
          </cell>
          <cell r="BK73">
            <v>1481.8968628048815</v>
          </cell>
          <cell r="BL73">
            <v>2516.4344032549598</v>
          </cell>
          <cell r="BN73">
            <v>81.564258463179186</v>
          </cell>
          <cell r="BO73">
            <v>0</v>
          </cell>
          <cell r="BT73">
            <v>57813.673860851748</v>
          </cell>
          <cell r="BU73">
            <v>101843.11102959455</v>
          </cell>
          <cell r="BW73">
            <v>34663.701810387211</v>
          </cell>
          <cell r="BX73">
            <v>38648.22195090181</v>
          </cell>
          <cell r="BZ73">
            <v>13694.431067631924</v>
          </cell>
          <cell r="CA73">
            <v>583.29248575225847</v>
          </cell>
          <cell r="CC73">
            <v>1963.5967821232189</v>
          </cell>
          <cell r="CD73">
            <v>1967.3871047671062</v>
          </cell>
          <cell r="CF73">
            <v>243.57535167416185</v>
          </cell>
          <cell r="CG73">
            <v>549.70273558112797</v>
          </cell>
          <cell r="CI73">
            <v>16986.686329072516</v>
          </cell>
          <cell r="CJ73">
            <v>9465.1218658755806</v>
          </cell>
          <cell r="CL73">
            <v>7985.7954186777697</v>
          </cell>
          <cell r="CM73">
            <v>18264.054354789278</v>
          </cell>
          <cell r="CX73">
            <v>10464.199147101073</v>
          </cell>
          <cell r="CY73">
            <v>117220.12283800595</v>
          </cell>
          <cell r="DA73">
            <v>-85111.035991823286</v>
          </cell>
          <cell r="DC73">
            <v>72224.789999999994</v>
          </cell>
          <cell r="DD73">
            <v>0</v>
          </cell>
          <cell r="DE73">
            <v>13096.089999999997</v>
          </cell>
          <cell r="DF73">
            <v>0</v>
          </cell>
          <cell r="DW73">
            <v>846</v>
          </cell>
          <cell r="DX73">
            <v>0</v>
          </cell>
        </row>
        <row r="74">
          <cell r="F74">
            <v>3261.8</v>
          </cell>
          <cell r="G74">
            <v>0</v>
          </cell>
          <cell r="H74">
            <v>185.76999999999998</v>
          </cell>
          <cell r="I74">
            <v>9825.4605442604843</v>
          </cell>
          <cell r="J74">
            <v>9970.9008105452831</v>
          </cell>
          <cell r="L74">
            <v>1796.6531879313548</v>
          </cell>
          <cell r="M74">
            <v>1866.9427305953618</v>
          </cell>
          <cell r="O74">
            <v>4017.2911260305382</v>
          </cell>
          <cell r="P74">
            <v>4030.8590800321454</v>
          </cell>
          <cell r="R74">
            <v>0</v>
          </cell>
          <cell r="S74">
            <v>0</v>
          </cell>
          <cell r="U74">
            <v>84.195884513437704</v>
          </cell>
          <cell r="V74">
            <v>48.575065888797084</v>
          </cell>
          <cell r="X74">
            <v>6328.0752814097596</v>
          </cell>
          <cell r="Y74">
            <v>6236.6059654357505</v>
          </cell>
          <cell r="AA74">
            <v>0</v>
          </cell>
          <cell r="AB74">
            <v>0</v>
          </cell>
          <cell r="AD74">
            <v>12494.006928387236</v>
          </cell>
          <cell r="AE74">
            <v>12192.882056468514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8868.9117758041921</v>
          </cell>
          <cell r="AQ74">
            <v>10768.630579641405</v>
          </cell>
          <cell r="AS74">
            <v>38048.545898502794</v>
          </cell>
          <cell r="AT74">
            <v>12850.056269844828</v>
          </cell>
          <cell r="AV74">
            <v>1597.5428345549331</v>
          </cell>
          <cell r="AW74">
            <v>0</v>
          </cell>
          <cell r="AY74">
            <v>2121.5166852322009</v>
          </cell>
          <cell r="AZ74">
            <v>0</v>
          </cell>
          <cell r="BB74">
            <v>1991.656373514345</v>
          </cell>
          <cell r="BC74">
            <v>0</v>
          </cell>
          <cell r="BE74">
            <v>0</v>
          </cell>
          <cell r="BF74">
            <v>0</v>
          </cell>
          <cell r="BH74">
            <v>49.622889587144876</v>
          </cell>
          <cell r="BI74">
            <v>0</v>
          </cell>
          <cell r="BK74">
            <v>1171.0814010502475</v>
          </cell>
          <cell r="BL74">
            <v>0</v>
          </cell>
          <cell r="BN74">
            <v>87.681577847917652</v>
          </cell>
          <cell r="BO74">
            <v>0</v>
          </cell>
          <cell r="BT74">
            <v>36088.159646409607</v>
          </cell>
          <cell r="BU74">
            <v>67360.112512896943</v>
          </cell>
          <cell r="BW74">
            <v>26797.655353632596</v>
          </cell>
          <cell r="BX74">
            <v>29229.194019688835</v>
          </cell>
          <cell r="BZ74">
            <v>19256.903934999751</v>
          </cell>
          <cell r="CA74">
            <v>461.08877808110623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4607.2637467723498</v>
          </cell>
          <cell r="CJ74">
            <v>4080.4401678863924</v>
          </cell>
          <cell r="CL74">
            <v>0</v>
          </cell>
          <cell r="CM74">
            <v>0</v>
          </cell>
          <cell r="CX74">
            <v>2537.6784306348445</v>
          </cell>
          <cell r="CY74">
            <v>21900.802870757507</v>
          </cell>
          <cell r="DA74">
            <v>-13609.770325848709</v>
          </cell>
          <cell r="DC74">
            <v>65961.98</v>
          </cell>
          <cell r="DD74">
            <v>1881.86</v>
          </cell>
          <cell r="DE74">
            <v>39593.569999999992</v>
          </cell>
          <cell r="DF74">
            <v>610.8599999999999</v>
          </cell>
          <cell r="DW74">
            <v>1138.5</v>
          </cell>
          <cell r="DX74">
            <v>0</v>
          </cell>
        </row>
        <row r="75">
          <cell r="F75">
            <v>244.2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467.83957341284275</v>
          </cell>
          <cell r="AQ75">
            <v>93.650256154407487</v>
          </cell>
          <cell r="AS75">
            <v>20.348400000000002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162.85631637993907</v>
          </cell>
          <cell r="BU75">
            <v>606.98878852954704</v>
          </cell>
          <cell r="BW75">
            <v>0</v>
          </cell>
          <cell r="BX75">
            <v>0</v>
          </cell>
          <cell r="BZ75">
            <v>57.295544486535633</v>
          </cell>
          <cell r="CA75">
            <v>1.0218355434162123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34.355444363014655</v>
          </cell>
          <cell r="CY75">
            <v>42.370189225350927</v>
          </cell>
          <cell r="DA75">
            <v>152.09058020013055</v>
          </cell>
          <cell r="DC75">
            <v>19.399999999999999</v>
          </cell>
          <cell r="DD75">
            <v>0</v>
          </cell>
          <cell r="DE75">
            <v>-90.13</v>
          </cell>
          <cell r="DF75">
            <v>0</v>
          </cell>
          <cell r="DW75">
            <v>0</v>
          </cell>
          <cell r="DX75">
            <v>0</v>
          </cell>
        </row>
        <row r="76">
          <cell r="F76">
            <v>323.7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367.9996445107023</v>
          </cell>
          <cell r="AQ76">
            <v>234.12564038601874</v>
          </cell>
          <cell r="AS76">
            <v>3314.3306885611314</v>
          </cell>
          <cell r="AT76">
            <v>10192.764529694025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81.203325891785212</v>
          </cell>
          <cell r="BU76">
            <v>321.2673277589887</v>
          </cell>
          <cell r="BW76">
            <v>0</v>
          </cell>
          <cell r="BX76">
            <v>0</v>
          </cell>
          <cell r="BZ76">
            <v>19.098514828845211</v>
          </cell>
          <cell r="CA76">
            <v>0.54097175827917121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141.1229194790364</v>
          </cell>
          <cell r="CY76">
            <v>-8218.1566354867809</v>
          </cell>
          <cell r="DA76">
            <v>4669.2097616697993</v>
          </cell>
          <cell r="DC76">
            <v>565.17999999999995</v>
          </cell>
          <cell r="DD76">
            <v>0</v>
          </cell>
          <cell r="DE76">
            <v>-44.120000000000005</v>
          </cell>
          <cell r="DF76">
            <v>0</v>
          </cell>
          <cell r="DW76">
            <v>0</v>
          </cell>
          <cell r="DX76">
            <v>0</v>
          </cell>
        </row>
        <row r="77">
          <cell r="F77">
            <v>2189.75</v>
          </cell>
          <cell r="G77">
            <v>0</v>
          </cell>
          <cell r="H77">
            <v>0</v>
          </cell>
          <cell r="I77">
            <v>6542.6060009539979</v>
          </cell>
          <cell r="J77">
            <v>5003.6036549370929</v>
          </cell>
          <cell r="L77">
            <v>1529.6696705004842</v>
          </cell>
          <cell r="M77">
            <v>1267.1406870484236</v>
          </cell>
          <cell r="O77">
            <v>2955.534164106271</v>
          </cell>
          <cell r="P77">
            <v>2965.5994709890574</v>
          </cell>
          <cell r="R77">
            <v>583.18316171787728</v>
          </cell>
          <cell r="S77">
            <v>585.27631058022178</v>
          </cell>
          <cell r="U77">
            <v>477.51062122902385</v>
          </cell>
          <cell r="V77">
            <v>194.18224105534046</v>
          </cell>
          <cell r="X77">
            <v>4921.4325534292811</v>
          </cell>
          <cell r="Y77">
            <v>3276.2065145883644</v>
          </cell>
          <cell r="AA77">
            <v>0</v>
          </cell>
          <cell r="AB77">
            <v>0</v>
          </cell>
          <cell r="AD77">
            <v>7937.5618890863434</v>
          </cell>
          <cell r="AE77">
            <v>7746.1545965661517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1249.1425036343937</v>
          </cell>
          <cell r="AQ77">
            <v>1156.3896933244228</v>
          </cell>
          <cell r="AS77">
            <v>27483.372483661078</v>
          </cell>
          <cell r="AT77">
            <v>27793.374084121147</v>
          </cell>
          <cell r="AV77">
            <v>1269.5636035821692</v>
          </cell>
          <cell r="AW77">
            <v>0</v>
          </cell>
          <cell r="AY77">
            <v>1803.2628740769037</v>
          </cell>
          <cell r="AZ77">
            <v>2913.6280338663282</v>
          </cell>
          <cell r="BB77">
            <v>986.32825286704269</v>
          </cell>
          <cell r="BC77">
            <v>51.992053775999999</v>
          </cell>
          <cell r="BE77">
            <v>678.61938820689795</v>
          </cell>
          <cell r="BF77">
            <v>0</v>
          </cell>
          <cell r="BH77">
            <v>434.179060857097</v>
          </cell>
          <cell r="BI77">
            <v>0</v>
          </cell>
          <cell r="BK77">
            <v>896.0778341075827</v>
          </cell>
          <cell r="BL77">
            <v>1298.6085154476873</v>
          </cell>
          <cell r="BN77">
            <v>573.84652178808608</v>
          </cell>
          <cell r="BO77">
            <v>0</v>
          </cell>
          <cell r="BT77">
            <v>34058.748913751326</v>
          </cell>
          <cell r="BU77">
            <v>28424.572331990006</v>
          </cell>
          <cell r="BW77">
            <v>15626.737568241877</v>
          </cell>
          <cell r="BX77">
            <v>10818.742169150541</v>
          </cell>
          <cell r="BZ77">
            <v>4848.4453848033154</v>
          </cell>
          <cell r="CA77">
            <v>20.210303094135156</v>
          </cell>
          <cell r="CC77">
            <v>529.07376451344248</v>
          </cell>
          <cell r="CD77">
            <v>530.09503338502509</v>
          </cell>
          <cell r="CF77">
            <v>65.629221552089362</v>
          </cell>
          <cell r="CG77">
            <v>678.72949786985009</v>
          </cell>
          <cell r="CI77">
            <v>3417.6553927517693</v>
          </cell>
          <cell r="CJ77">
            <v>2348.7037821769982</v>
          </cell>
          <cell r="CL77">
            <v>0</v>
          </cell>
          <cell r="CM77">
            <v>0</v>
          </cell>
          <cell r="CX77">
            <v>7124.7319869200965</v>
          </cell>
          <cell r="CY77">
            <v>33278.698213461976</v>
          </cell>
          <cell r="DA77">
            <v>-2971.3487256749067</v>
          </cell>
          <cell r="DC77">
            <v>29711.599999999999</v>
          </cell>
          <cell r="DD77">
            <v>0</v>
          </cell>
          <cell r="DE77">
            <v>10262.019999999997</v>
          </cell>
          <cell r="DF77">
            <v>0</v>
          </cell>
          <cell r="DW77">
            <v>918</v>
          </cell>
          <cell r="DX77">
            <v>0</v>
          </cell>
        </row>
        <row r="78">
          <cell r="F78">
            <v>1174.6199999999999</v>
          </cell>
          <cell r="G78">
            <v>0</v>
          </cell>
          <cell r="H78">
            <v>0</v>
          </cell>
          <cell r="I78">
            <v>4838.2347602903683</v>
          </cell>
          <cell r="J78">
            <v>3738.0708101908167</v>
          </cell>
          <cell r="L78">
            <v>1226.2447692916217</v>
          </cell>
          <cell r="M78">
            <v>1022.287289361183</v>
          </cell>
          <cell r="O78">
            <v>1508.8484286876226</v>
          </cell>
          <cell r="P78">
            <v>1513.7088723027607</v>
          </cell>
          <cell r="R78">
            <v>290.3337882575936</v>
          </cell>
          <cell r="S78">
            <v>290.97977711325649</v>
          </cell>
          <cell r="U78">
            <v>112.26117935125026</v>
          </cell>
          <cell r="V78">
            <v>64.766754518396098</v>
          </cell>
          <cell r="X78">
            <v>2411.0928492801404</v>
          </cell>
          <cell r="Y78">
            <v>1604.7049606049027</v>
          </cell>
          <cell r="AA78">
            <v>0</v>
          </cell>
          <cell r="AB78">
            <v>0</v>
          </cell>
          <cell r="AD78">
            <v>4253.2847953932742</v>
          </cell>
          <cell r="AE78">
            <v>4150.9601656603827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1498.9710043612722</v>
          </cell>
          <cell r="AQ78">
            <v>233.62366262197935</v>
          </cell>
          <cell r="AS78">
            <v>12140.989506225</v>
          </cell>
          <cell r="AT78">
            <v>912.19252952684133</v>
          </cell>
          <cell r="AV78">
            <v>718.79901352904062</v>
          </cell>
          <cell r="AW78">
            <v>0</v>
          </cell>
          <cell r="AY78">
            <v>1411.2689173775254</v>
          </cell>
          <cell r="AZ78">
            <v>0</v>
          </cell>
          <cell r="BB78">
            <v>401.30675408695049</v>
          </cell>
          <cell r="BC78">
            <v>0</v>
          </cell>
          <cell r="BE78">
            <v>345.81377037996657</v>
          </cell>
          <cell r="BF78">
            <v>0</v>
          </cell>
          <cell r="BH78">
            <v>66.163852782859806</v>
          </cell>
          <cell r="BI78">
            <v>0</v>
          </cell>
          <cell r="BK78">
            <v>472.48033157167089</v>
          </cell>
          <cell r="BL78">
            <v>0</v>
          </cell>
          <cell r="BN78">
            <v>310.46931952907244</v>
          </cell>
          <cell r="BO78">
            <v>374.54545586028001</v>
          </cell>
          <cell r="BT78">
            <v>17233.018183164866</v>
          </cell>
          <cell r="BU78">
            <v>13721.957297984201</v>
          </cell>
          <cell r="BW78">
            <v>6861.1655144775414</v>
          </cell>
          <cell r="BX78">
            <v>2671.6427648577296</v>
          </cell>
          <cell r="BZ78">
            <v>5851.5463082923125</v>
          </cell>
          <cell r="CA78">
            <v>11.229532186365407</v>
          </cell>
          <cell r="CC78">
            <v>521.64007305467794</v>
          </cell>
          <cell r="CD78">
            <v>522.64699270277413</v>
          </cell>
          <cell r="CF78">
            <v>64.707105551599724</v>
          </cell>
          <cell r="CG78">
            <v>1350.6288907757405</v>
          </cell>
          <cell r="CI78">
            <v>1333.7281671841311</v>
          </cell>
          <cell r="CJ78">
            <v>865.80507573448335</v>
          </cell>
          <cell r="CL78">
            <v>0</v>
          </cell>
          <cell r="CM78">
            <v>0</v>
          </cell>
          <cell r="CX78">
            <v>985.61805850086716</v>
          </cell>
          <cell r="CY78">
            <v>37972.759130642771</v>
          </cell>
          <cell r="DA78">
            <v>27603.599963680746</v>
          </cell>
          <cell r="DC78">
            <v>50484.35</v>
          </cell>
          <cell r="DD78">
            <v>0</v>
          </cell>
          <cell r="DE78">
            <v>40410.199999999997</v>
          </cell>
          <cell r="DF78">
            <v>0</v>
          </cell>
          <cell r="DW78">
            <v>918</v>
          </cell>
          <cell r="DX78">
            <v>0</v>
          </cell>
        </row>
        <row r="79">
          <cell r="F79">
            <v>2745.3</v>
          </cell>
          <cell r="G79">
            <v>0</v>
          </cell>
          <cell r="H79">
            <v>0</v>
          </cell>
          <cell r="I79">
            <v>9342.0306146421499</v>
          </cell>
          <cell r="J79">
            <v>7199.641746455628</v>
          </cell>
          <cell r="L79">
            <v>1777.0835677901759</v>
          </cell>
          <cell r="M79">
            <v>1565.7858683598774</v>
          </cell>
          <cell r="O79">
            <v>3680.1346832285676</v>
          </cell>
          <cell r="P79">
            <v>3692.8477367318255</v>
          </cell>
          <cell r="R79">
            <v>792.52909371463102</v>
          </cell>
          <cell r="S79">
            <v>795.06781794522556</v>
          </cell>
          <cell r="U79">
            <v>600.4308403500404</v>
          </cell>
          <cell r="V79">
            <v>237.9670795858064</v>
          </cell>
          <cell r="X79">
            <v>6444.4149182695837</v>
          </cell>
          <cell r="Y79">
            <v>4322.7966755539646</v>
          </cell>
          <cell r="AA79">
            <v>0</v>
          </cell>
          <cell r="AB79">
            <v>0</v>
          </cell>
          <cell r="AD79">
            <v>9944.4667559809532</v>
          </cell>
          <cell r="AE79">
            <v>9705.0267207138713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2498.2850072687875</v>
          </cell>
          <cell r="AQ79">
            <v>2784.325037177191</v>
          </cell>
          <cell r="AS79">
            <v>53237.893316026573</v>
          </cell>
          <cell r="AT79">
            <v>19213.553176788675</v>
          </cell>
          <cell r="AV79">
            <v>1612.3644764931662</v>
          </cell>
          <cell r="AW79">
            <v>0</v>
          </cell>
          <cell r="AY79">
            <v>2320.6598022469184</v>
          </cell>
          <cell r="AZ79">
            <v>1095.0942476351499</v>
          </cell>
          <cell r="BB79">
            <v>1203.149626560805</v>
          </cell>
          <cell r="BC79">
            <v>0</v>
          </cell>
          <cell r="BE79">
            <v>604.88827071865967</v>
          </cell>
          <cell r="BF79">
            <v>0</v>
          </cell>
          <cell r="BH79">
            <v>557.46342514835078</v>
          </cell>
          <cell r="BI79">
            <v>0</v>
          </cell>
          <cell r="BK79">
            <v>1254.7768864198042</v>
          </cell>
          <cell r="BL79">
            <v>694.82260686979976</v>
          </cell>
          <cell r="BN79">
            <v>184.93929388223745</v>
          </cell>
          <cell r="BO79">
            <v>2240.1847182129</v>
          </cell>
          <cell r="BT79">
            <v>14143.632402525107</v>
          </cell>
          <cell r="BU79">
            <v>25638.563086173945</v>
          </cell>
          <cell r="BW79">
            <v>15402.55751756373</v>
          </cell>
          <cell r="BX79">
            <v>18195.291869925946</v>
          </cell>
          <cell r="BZ79">
            <v>7655.4400812683907</v>
          </cell>
          <cell r="CA79">
            <v>117.55046430432941</v>
          </cell>
          <cell r="CC79">
            <v>1272.6992445781211</v>
          </cell>
          <cell r="CD79">
            <v>1275.1559305991516</v>
          </cell>
          <cell r="CF79">
            <v>157.87261870451724</v>
          </cell>
          <cell r="CG79">
            <v>0</v>
          </cell>
          <cell r="CI79">
            <v>4969.0331121224826</v>
          </cell>
          <cell r="CJ79">
            <v>1840.2911116999896</v>
          </cell>
          <cell r="CL79">
            <v>0</v>
          </cell>
          <cell r="CM79">
            <v>0</v>
          </cell>
          <cell r="CX79">
            <v>8477.4127394267398</v>
          </cell>
          <cell r="CY79">
            <v>55328.748332351293</v>
          </cell>
          <cell r="DA79">
            <v>-50827.741547454498</v>
          </cell>
          <cell r="DC79">
            <v>56769.74</v>
          </cell>
          <cell r="DD79">
            <v>0</v>
          </cell>
          <cell r="DE79">
            <v>33904.429999999993</v>
          </cell>
          <cell r="DF79">
            <v>0</v>
          </cell>
          <cell r="DW79">
            <v>909</v>
          </cell>
          <cell r="DX79">
            <v>0</v>
          </cell>
        </row>
        <row r="80">
          <cell r="F80">
            <v>2797.15</v>
          </cell>
          <cell r="G80">
            <v>0</v>
          </cell>
          <cell r="H80">
            <v>92.1</v>
          </cell>
          <cell r="I80">
            <v>5712.4364904048343</v>
          </cell>
          <cell r="J80">
            <v>5800.4740019189749</v>
          </cell>
          <cell r="L80">
            <v>1078.1535461913916</v>
          </cell>
          <cell r="M80">
            <v>1120.8980645756969</v>
          </cell>
          <cell r="O80">
            <v>3827.0010882956467</v>
          </cell>
          <cell r="P80">
            <v>3839.8169350480489</v>
          </cell>
          <cell r="R80">
            <v>0</v>
          </cell>
          <cell r="S80">
            <v>0</v>
          </cell>
          <cell r="U80">
            <v>187.10196558541708</v>
          </cell>
          <cell r="V80">
            <v>107.9445908639935</v>
          </cell>
          <cell r="X80">
            <v>4655.2268320605799</v>
          </cell>
          <cell r="Y80">
            <v>4502.536189032844</v>
          </cell>
          <cell r="AA80">
            <v>0</v>
          </cell>
          <cell r="AB80">
            <v>0</v>
          </cell>
          <cell r="AD80">
            <v>10472.039751553766</v>
          </cell>
          <cell r="AE80">
            <v>10219.547917022948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1207.5044201799137</v>
          </cell>
          <cell r="AQ80">
            <v>1316.4041521313954</v>
          </cell>
          <cell r="AS80">
            <v>21691.419969384391</v>
          </cell>
          <cell r="AT80">
            <v>317.32631407329188</v>
          </cell>
          <cell r="AV80">
            <v>1133.6441194008728</v>
          </cell>
          <cell r="AW80">
            <v>707.12426764617521</v>
          </cell>
          <cell r="AY80">
            <v>1276.7329511878017</v>
          </cell>
          <cell r="AZ80">
            <v>2230.5521223824899</v>
          </cell>
          <cell r="BB80">
            <v>1718.8766075674653</v>
          </cell>
          <cell r="BC80">
            <v>0</v>
          </cell>
          <cell r="BE80">
            <v>0</v>
          </cell>
          <cell r="BF80">
            <v>0</v>
          </cell>
          <cell r="BH80">
            <v>110.27308797143304</v>
          </cell>
          <cell r="BI80">
            <v>464.80188273267919</v>
          </cell>
          <cell r="BK80">
            <v>834.48216098599471</v>
          </cell>
          <cell r="BL80">
            <v>0</v>
          </cell>
          <cell r="BN80">
            <v>47.275899040004248</v>
          </cell>
          <cell r="BO80">
            <v>0</v>
          </cell>
          <cell r="BT80">
            <v>26474.671127360445</v>
          </cell>
          <cell r="BU80">
            <v>45481.678618118371</v>
          </cell>
          <cell r="BW80">
            <v>14715.431860153711</v>
          </cell>
          <cell r="BX80">
            <v>15666.198863295835</v>
          </cell>
          <cell r="BZ80">
            <v>11174.791634751693</v>
          </cell>
          <cell r="CA80">
            <v>364.96586767148466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2782.9992531390176</v>
          </cell>
          <cell r="CJ80">
            <v>2225.0358907132663</v>
          </cell>
          <cell r="CL80">
            <v>0</v>
          </cell>
          <cell r="CM80">
            <v>0</v>
          </cell>
          <cell r="CX80">
            <v>6553.6200038503403</v>
          </cell>
          <cell r="CY80">
            <v>24235.328509434592</v>
          </cell>
          <cell r="DA80">
            <v>-46120.485253728955</v>
          </cell>
          <cell r="DC80">
            <v>149387.98000000001</v>
          </cell>
          <cell r="DD80">
            <v>2387.34</v>
          </cell>
          <cell r="DE80">
            <v>131932.63</v>
          </cell>
          <cell r="DF80">
            <v>1888.16</v>
          </cell>
          <cell r="DW80">
            <v>1062</v>
          </cell>
          <cell r="DX80">
            <v>0</v>
          </cell>
        </row>
        <row r="81">
          <cell r="F81">
            <v>3220</v>
          </cell>
          <cell r="G81">
            <v>0</v>
          </cell>
          <cell r="H81">
            <v>0</v>
          </cell>
          <cell r="I81">
            <v>10858.50435984095</v>
          </cell>
          <cell r="J81">
            <v>10967.069950500972</v>
          </cell>
          <cell r="L81">
            <v>2067.7135266042119</v>
          </cell>
          <cell r="M81">
            <v>2152.4947432829858</v>
          </cell>
          <cell r="O81">
            <v>4312.8340259744073</v>
          </cell>
          <cell r="P81">
            <v>4327.2014308502539</v>
          </cell>
          <cell r="R81">
            <v>0</v>
          </cell>
          <cell r="S81">
            <v>0</v>
          </cell>
          <cell r="U81">
            <v>233.87745698177133</v>
          </cell>
          <cell r="V81">
            <v>134.93073857999187</v>
          </cell>
          <cell r="X81">
            <v>6555.0119618878562</v>
          </cell>
          <cell r="Y81">
            <v>6388.9696896195474</v>
          </cell>
          <cell r="AA81">
            <v>0</v>
          </cell>
          <cell r="AB81">
            <v>0</v>
          </cell>
          <cell r="AD81">
            <v>11670.005818780095</v>
          </cell>
          <cell r="AE81">
            <v>11388.703166909274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9993.1400290751499</v>
          </cell>
          <cell r="AQ81">
            <v>5230.3516950613157</v>
          </cell>
          <cell r="AS81">
            <v>26458.483471952648</v>
          </cell>
          <cell r="AT81">
            <v>297</v>
          </cell>
          <cell r="AV81">
            <v>1618.0597792174292</v>
          </cell>
          <cell r="AW81">
            <v>0</v>
          </cell>
          <cell r="AY81">
            <v>2704.1986650392282</v>
          </cell>
          <cell r="AZ81">
            <v>0</v>
          </cell>
          <cell r="BB81">
            <v>2075.5018672787696</v>
          </cell>
          <cell r="BC81">
            <v>0</v>
          </cell>
          <cell r="BE81">
            <v>0</v>
          </cell>
          <cell r="BF81">
            <v>0</v>
          </cell>
          <cell r="BH81">
            <v>137.84135996429129</v>
          </cell>
          <cell r="BI81">
            <v>0</v>
          </cell>
          <cell r="BK81">
            <v>1213.1544503008724</v>
          </cell>
          <cell r="BL81">
            <v>0</v>
          </cell>
          <cell r="BN81">
            <v>47.275899040004248</v>
          </cell>
          <cell r="BO81">
            <v>0</v>
          </cell>
          <cell r="BT81">
            <v>32451.862229275132</v>
          </cell>
          <cell r="BU81">
            <v>58822.256831644518</v>
          </cell>
          <cell r="BW81">
            <v>16624.912642013249</v>
          </cell>
          <cell r="BX81">
            <v>18042.987453815891</v>
          </cell>
          <cell r="BZ81">
            <v>15625.091941612593</v>
          </cell>
          <cell r="CA81">
            <v>414.95738394817488</v>
          </cell>
          <cell r="CC81">
            <v>1718.2080637275217</v>
          </cell>
          <cell r="CD81">
            <v>1721.5247135561153</v>
          </cell>
          <cell r="CF81">
            <v>213.13598452696456</v>
          </cell>
          <cell r="CG81">
            <v>0</v>
          </cell>
          <cell r="CI81">
            <v>3836.7170758098919</v>
          </cell>
          <cell r="CJ81">
            <v>1130.6022940382963</v>
          </cell>
          <cell r="CL81">
            <v>0</v>
          </cell>
          <cell r="CM81">
            <v>0</v>
          </cell>
          <cell r="CX81">
            <v>7003.3506408940584</v>
          </cell>
          <cell r="CY81">
            <v>42279.127261408896</v>
          </cell>
          <cell r="DA81">
            <v>-8368.9811128404981</v>
          </cell>
          <cell r="DC81">
            <v>53609.71</v>
          </cell>
          <cell r="DD81">
            <v>0</v>
          </cell>
          <cell r="DE81">
            <v>29091.68</v>
          </cell>
          <cell r="DF81">
            <v>0</v>
          </cell>
          <cell r="DW81">
            <v>1062</v>
          </cell>
          <cell r="DX81">
            <v>0</v>
          </cell>
        </row>
        <row r="82">
          <cell r="F82">
            <v>1738.6</v>
          </cell>
          <cell r="G82">
            <v>0</v>
          </cell>
          <cell r="H82">
            <v>133.6</v>
          </cell>
          <cell r="I82">
            <v>4699.5989065966342</v>
          </cell>
          <cell r="J82">
            <v>4764.9186535188583</v>
          </cell>
          <cell r="L82">
            <v>1052.4307899066016</v>
          </cell>
          <cell r="M82">
            <v>1095.8592294311698</v>
          </cell>
          <cell r="O82">
            <v>2086.2000131868517</v>
          </cell>
          <cell r="P82">
            <v>2093.2708910738793</v>
          </cell>
          <cell r="R82">
            <v>0</v>
          </cell>
          <cell r="S82">
            <v>0</v>
          </cell>
          <cell r="U82">
            <v>140.32647418906288</v>
          </cell>
          <cell r="V82">
            <v>80.958443147995155</v>
          </cell>
          <cell r="X82">
            <v>2890.564232950258</v>
          </cell>
          <cell r="Y82">
            <v>2673.8241886541364</v>
          </cell>
          <cell r="AA82">
            <v>0</v>
          </cell>
          <cell r="AB82">
            <v>0</v>
          </cell>
          <cell r="AD82">
            <v>6784.6707742182271</v>
          </cell>
          <cell r="AE82">
            <v>6621.1596657574219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4621.8272634472569</v>
          </cell>
          <cell r="AQ82">
            <v>3355.7670982118912</v>
          </cell>
          <cell r="AS82">
            <v>17465.766520056794</v>
          </cell>
          <cell r="AT82">
            <v>1719.7387849206921</v>
          </cell>
          <cell r="AV82">
            <v>790.09416949033641</v>
          </cell>
          <cell r="AW82">
            <v>0</v>
          </cell>
          <cell r="AY82">
            <v>1375.9732858586967</v>
          </cell>
          <cell r="AZ82">
            <v>0</v>
          </cell>
          <cell r="BB82">
            <v>1217.9915243564351</v>
          </cell>
          <cell r="BC82">
            <v>0</v>
          </cell>
          <cell r="BE82">
            <v>0</v>
          </cell>
          <cell r="BF82">
            <v>0</v>
          </cell>
          <cell r="BH82">
            <v>82.704815978574771</v>
          </cell>
          <cell r="BI82">
            <v>0</v>
          </cell>
          <cell r="BK82">
            <v>467.92631761505481</v>
          </cell>
          <cell r="BL82">
            <v>0</v>
          </cell>
          <cell r="BN82">
            <v>45.299534315704136</v>
          </cell>
          <cell r="BO82">
            <v>0</v>
          </cell>
          <cell r="BT82">
            <v>9838.9046143070755</v>
          </cell>
          <cell r="BU82">
            <v>17623.086023205258</v>
          </cell>
          <cell r="BW82">
            <v>7116.4336288406221</v>
          </cell>
          <cell r="BX82">
            <v>6985.1226344326069</v>
          </cell>
          <cell r="BZ82">
            <v>6271.8344411665794</v>
          </cell>
          <cell r="CA82">
            <v>235.94250484181538</v>
          </cell>
          <cell r="CC82">
            <v>454.73684992579786</v>
          </cell>
          <cell r="CD82">
            <v>455.61462656251661</v>
          </cell>
          <cell r="CF82">
            <v>56.408061547193071</v>
          </cell>
          <cell r="CG82">
            <v>0</v>
          </cell>
          <cell r="CI82">
            <v>3879.3936824955354</v>
          </cell>
          <cell r="CJ82">
            <v>3416.49262952445</v>
          </cell>
          <cell r="CL82">
            <v>0</v>
          </cell>
          <cell r="CM82">
            <v>0</v>
          </cell>
          <cell r="CX82">
            <v>4298.4874102321919</v>
          </cell>
          <cell r="CY82">
            <v>28559.284042832107</v>
          </cell>
          <cell r="DA82">
            <v>-28070.62808961868</v>
          </cell>
          <cell r="DC82">
            <v>41230.15</v>
          </cell>
          <cell r="DD82">
            <v>-111.39</v>
          </cell>
          <cell r="DE82">
            <v>30215.940000000002</v>
          </cell>
          <cell r="DF82">
            <v>-870.49</v>
          </cell>
          <cell r="DW82">
            <v>918</v>
          </cell>
          <cell r="DX82">
            <v>0</v>
          </cell>
        </row>
        <row r="83">
          <cell r="F83">
            <v>2148</v>
          </cell>
          <cell r="G83">
            <v>0</v>
          </cell>
          <cell r="H83">
            <v>1482</v>
          </cell>
          <cell r="I83">
            <v>7070.2171766210131</v>
          </cell>
          <cell r="J83">
            <v>7187.7258936772187</v>
          </cell>
          <cell r="L83">
            <v>1381.7170100225474</v>
          </cell>
          <cell r="M83">
            <v>1435.3173249749748</v>
          </cell>
          <cell r="O83">
            <v>4946.7417452831623</v>
          </cell>
          <cell r="P83">
            <v>4963.4386792454343</v>
          </cell>
          <cell r="R83">
            <v>1030.7231747297653</v>
          </cell>
          <cell r="S83">
            <v>1033.8742190137882</v>
          </cell>
          <cell r="U83">
            <v>347.07025740921398</v>
          </cell>
          <cell r="V83">
            <v>726.16401583954701</v>
          </cell>
          <cell r="X83">
            <v>3515.3755012811762</v>
          </cell>
          <cell r="Y83">
            <v>3400.0007975763469</v>
          </cell>
          <cell r="AA83">
            <v>0</v>
          </cell>
          <cell r="AB83">
            <v>0</v>
          </cell>
          <cell r="AD83">
            <v>13157.565077726356</v>
          </cell>
          <cell r="AE83">
            <v>12840.319712999868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1082.5901698164744</v>
          </cell>
          <cell r="AQ83">
            <v>1129.5052220338121</v>
          </cell>
          <cell r="AS83">
            <v>42449.027930781966</v>
          </cell>
          <cell r="AT83">
            <v>8523.3265726363989</v>
          </cell>
          <cell r="AV83">
            <v>1349.7541993643499</v>
          </cell>
          <cell r="AW83">
            <v>0</v>
          </cell>
          <cell r="AY83">
            <v>1801.5811360189173</v>
          </cell>
          <cell r="AZ83">
            <v>0</v>
          </cell>
          <cell r="BB83">
            <v>2166.8141967993197</v>
          </cell>
          <cell r="BC83">
            <v>9563.0944083643353</v>
          </cell>
          <cell r="BE83">
            <v>902.50457285530729</v>
          </cell>
          <cell r="BF83">
            <v>0</v>
          </cell>
          <cell r="BH83">
            <v>321.63733965096731</v>
          </cell>
          <cell r="BI83">
            <v>0</v>
          </cell>
          <cell r="BK83">
            <v>538.57366391949699</v>
          </cell>
          <cell r="BL83">
            <v>2861.2110204274854</v>
          </cell>
          <cell r="BN83">
            <v>53.989264928896702</v>
          </cell>
          <cell r="BO83">
            <v>5934.5907324580003</v>
          </cell>
          <cell r="BT83">
            <v>12057.044874189858</v>
          </cell>
          <cell r="BU83">
            <v>24056.706869778347</v>
          </cell>
          <cell r="BW83">
            <v>14036.792596057201</v>
          </cell>
          <cell r="BX83">
            <v>15003.013652118296</v>
          </cell>
          <cell r="BZ83">
            <v>8164.5079555478969</v>
          </cell>
          <cell r="CA83">
            <v>265.38737779071397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2908.531692938715</v>
          </cell>
          <cell r="CJ83">
            <v>4721.7634959790548</v>
          </cell>
          <cell r="CL83">
            <v>0</v>
          </cell>
          <cell r="CM83">
            <v>0</v>
          </cell>
          <cell r="CX83">
            <v>4447.9118408740014</v>
          </cell>
          <cell r="CY83">
            <v>23212.695290108779</v>
          </cell>
          <cell r="DA83">
            <v>-23763.210565815833</v>
          </cell>
          <cell r="DC83">
            <v>59922.73</v>
          </cell>
          <cell r="DD83">
            <v>9063.2899999999991</v>
          </cell>
          <cell r="DE83">
            <v>47662.560000000005</v>
          </cell>
          <cell r="DF83">
            <v>2131.9699999999993</v>
          </cell>
          <cell r="DW83">
            <v>918</v>
          </cell>
          <cell r="DX83">
            <v>0</v>
          </cell>
        </row>
        <row r="84">
          <cell r="F84">
            <v>1469</v>
          </cell>
          <cell r="G84">
            <v>0</v>
          </cell>
          <cell r="H84">
            <v>0</v>
          </cell>
          <cell r="I84">
            <v>4076.0135907705608</v>
          </cell>
          <cell r="J84">
            <v>4124.05018384507</v>
          </cell>
          <cell r="L84">
            <v>626.07164433582398</v>
          </cell>
          <cell r="M84">
            <v>650.70420175391348</v>
          </cell>
          <cell r="O84">
            <v>1795.6336376021645</v>
          </cell>
          <cell r="P84">
            <v>1801.7010220373666</v>
          </cell>
          <cell r="R84">
            <v>0</v>
          </cell>
          <cell r="S84">
            <v>0</v>
          </cell>
          <cell r="U84">
            <v>112.26117935125026</v>
          </cell>
          <cell r="V84">
            <v>64.766754518396098</v>
          </cell>
          <cell r="X84">
            <v>2623.2072020085579</v>
          </cell>
          <cell r="Y84">
            <v>2409.5374643311575</v>
          </cell>
          <cell r="AA84">
            <v>0</v>
          </cell>
          <cell r="AB84">
            <v>0</v>
          </cell>
          <cell r="AD84">
            <v>5325.5113377532471</v>
          </cell>
          <cell r="AE84">
            <v>5197.0611147063755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5329.6746821734132</v>
          </cell>
          <cell r="AQ84">
            <v>4522.1464070994734</v>
          </cell>
          <cell r="AS84">
            <v>13604.283895624876</v>
          </cell>
          <cell r="AT84">
            <v>0</v>
          </cell>
          <cell r="AV84">
            <v>648.19517044351164</v>
          </cell>
          <cell r="AW84">
            <v>0</v>
          </cell>
          <cell r="AY84">
            <v>740.39826132460757</v>
          </cell>
          <cell r="AZ84">
            <v>0</v>
          </cell>
          <cell r="BB84">
            <v>884.77909138019243</v>
          </cell>
          <cell r="BC84">
            <v>0</v>
          </cell>
          <cell r="BE84">
            <v>0</v>
          </cell>
          <cell r="BF84">
            <v>0</v>
          </cell>
          <cell r="BH84">
            <v>66.163852782859806</v>
          </cell>
          <cell r="BI84">
            <v>0</v>
          </cell>
          <cell r="BK84">
            <v>413.56930125061893</v>
          </cell>
          <cell r="BL84">
            <v>0</v>
          </cell>
          <cell r="BN84">
            <v>53.989264928896702</v>
          </cell>
          <cell r="BO84">
            <v>0</v>
          </cell>
          <cell r="BT84">
            <v>19440.235426134932</v>
          </cell>
          <cell r="BU84">
            <v>33054.434094041775</v>
          </cell>
          <cell r="BW84">
            <v>6514.4390518638265</v>
          </cell>
          <cell r="BX84">
            <v>6829.0250358626135</v>
          </cell>
          <cell r="BZ84">
            <v>5434.6762839500507</v>
          </cell>
          <cell r="CA84">
            <v>286.57909741677656</v>
          </cell>
          <cell r="CC84">
            <v>852.0548416873462</v>
          </cell>
          <cell r="CD84">
            <v>853.69955957937168</v>
          </cell>
          <cell r="CF84">
            <v>105.6935719181904</v>
          </cell>
          <cell r="CG84">
            <v>2728.4925814367971</v>
          </cell>
          <cell r="CI84">
            <v>3588.7303900154138</v>
          </cell>
          <cell r="CJ84">
            <v>2919.8227174236704</v>
          </cell>
          <cell r="CL84">
            <v>0</v>
          </cell>
          <cell r="CM84">
            <v>0</v>
          </cell>
          <cell r="CX84">
            <v>1046.7507195986616</v>
          </cell>
          <cell r="CY84">
            <v>9199.0244514957612</v>
          </cell>
          <cell r="DA84">
            <v>65225.486072233922</v>
          </cell>
          <cell r="DC84">
            <v>15077.3</v>
          </cell>
          <cell r="DD84">
            <v>0</v>
          </cell>
          <cell r="DE84">
            <v>3688.8899999999994</v>
          </cell>
          <cell r="DF84">
            <v>0</v>
          </cell>
          <cell r="DW84">
            <v>1062</v>
          </cell>
          <cell r="DX84">
            <v>0</v>
          </cell>
        </row>
        <row r="85">
          <cell r="F85">
            <v>253.5</v>
          </cell>
          <cell r="G85">
            <v>0</v>
          </cell>
          <cell r="H85">
            <v>0</v>
          </cell>
          <cell r="I85">
            <v>1274.3844366017295</v>
          </cell>
          <cell r="J85">
            <v>1287.2043205289588</v>
          </cell>
          <cell r="L85">
            <v>251.98509281927969</v>
          </cell>
          <cell r="M85">
            <v>260.61908900762432</v>
          </cell>
          <cell r="O85">
            <v>343.36317113746071</v>
          </cell>
          <cell r="P85">
            <v>344.51842575873059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>
            <v>746.0512447567063</v>
          </cell>
          <cell r="Y85">
            <v>683.14740191182159</v>
          </cell>
          <cell r="AA85">
            <v>0</v>
          </cell>
          <cell r="AB85">
            <v>0</v>
          </cell>
          <cell r="AD85">
            <v>918.85475129576616</v>
          </cell>
          <cell r="AE85">
            <v>896.70001301527998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499.6570014537574</v>
          </cell>
          <cell r="AQ85">
            <v>277.98496804339112</v>
          </cell>
          <cell r="AS85">
            <v>4555.2408797219314</v>
          </cell>
          <cell r="AT85">
            <v>0</v>
          </cell>
          <cell r="AV85">
            <v>261.66814377202326</v>
          </cell>
          <cell r="AW85">
            <v>0</v>
          </cell>
          <cell r="AY85">
            <v>367.53905091766205</v>
          </cell>
          <cell r="AZ85">
            <v>0</v>
          </cell>
          <cell r="BB85">
            <v>78.899594395191528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91.866778671316141</v>
          </cell>
          <cell r="BL85">
            <v>0</v>
          </cell>
          <cell r="BN85">
            <v>11.042545761168878</v>
          </cell>
          <cell r="BO85">
            <v>0</v>
          </cell>
          <cell r="BT85">
            <v>0</v>
          </cell>
          <cell r="BU85">
            <v>0</v>
          </cell>
          <cell r="BW85">
            <v>248.02629785342833</v>
          </cell>
          <cell r="BX85">
            <v>118.803592030353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186.94384805762124</v>
          </cell>
          <cell r="CJ85">
            <v>102.28612012303201</v>
          </cell>
          <cell r="CL85">
            <v>0</v>
          </cell>
          <cell r="CM85">
            <v>0</v>
          </cell>
          <cell r="CX85">
            <v>276.73502833605477</v>
          </cell>
          <cell r="CY85">
            <v>7313.8457164910742</v>
          </cell>
          <cell r="DA85">
            <v>-31429.503293554953</v>
          </cell>
          <cell r="DC85">
            <v>5351.08</v>
          </cell>
          <cell r="DD85">
            <v>0</v>
          </cell>
          <cell r="DE85">
            <v>3775.55</v>
          </cell>
          <cell r="DF85">
            <v>0</v>
          </cell>
          <cell r="DW85">
            <v>918</v>
          </cell>
          <cell r="DX85">
            <v>0</v>
          </cell>
        </row>
        <row r="86">
          <cell r="F86">
            <v>200.6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441.59957341284274</v>
          </cell>
          <cell r="AQ86">
            <v>140.47538423161123</v>
          </cell>
          <cell r="AS86">
            <v>2437.0753275417628</v>
          </cell>
          <cell r="AT86">
            <v>3158.5233342702945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1673.295126862</v>
          </cell>
          <cell r="BT86">
            <v>142.10582031062413</v>
          </cell>
          <cell r="BU86">
            <v>704.51409051901658</v>
          </cell>
          <cell r="BW86">
            <v>0</v>
          </cell>
          <cell r="BX86">
            <v>0</v>
          </cell>
          <cell r="BZ86">
            <v>33.422400950479123</v>
          </cell>
          <cell r="CA86">
            <v>1.1860385505056326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X86">
            <v>113.77594857130543</v>
          </cell>
          <cell r="CY86">
            <v>-3034.7730740899583</v>
          </cell>
          <cell r="DA86">
            <v>-1562.350149632613</v>
          </cell>
          <cell r="DC86">
            <v>593.41</v>
          </cell>
          <cell r="DD86">
            <v>0</v>
          </cell>
          <cell r="DE86">
            <v>105.07</v>
          </cell>
          <cell r="DF86">
            <v>0</v>
          </cell>
          <cell r="DW86">
            <v>0</v>
          </cell>
          <cell r="DX86">
            <v>0</v>
          </cell>
        </row>
        <row r="87">
          <cell r="F87">
            <v>83.8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220.79978670642137</v>
          </cell>
          <cell r="AQ87">
            <v>70.237692115805615</v>
          </cell>
          <cell r="AS87">
            <v>1038.8594992508208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60.90249441883892</v>
          </cell>
          <cell r="BU87">
            <v>352.19630338137881</v>
          </cell>
          <cell r="BW87">
            <v>0</v>
          </cell>
          <cell r="BX87">
            <v>0</v>
          </cell>
          <cell r="BZ87">
            <v>14.323886121633908</v>
          </cell>
          <cell r="CA87">
            <v>0.59301927525281628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49.644097685211797</v>
          </cell>
          <cell r="CY87">
            <v>1143.8744797555448</v>
          </cell>
          <cell r="DA87">
            <v>7392.2823026417118</v>
          </cell>
          <cell r="DC87">
            <v>213.12</v>
          </cell>
          <cell r="DD87">
            <v>0</v>
          </cell>
          <cell r="DE87">
            <v>0</v>
          </cell>
          <cell r="DF87">
            <v>0</v>
          </cell>
          <cell r="DW87">
            <v>0</v>
          </cell>
          <cell r="DX87">
            <v>0</v>
          </cell>
        </row>
        <row r="88">
          <cell r="F88">
            <v>1531.5</v>
          </cell>
          <cell r="G88">
            <v>0</v>
          </cell>
          <cell r="H88">
            <v>362.90000000000003</v>
          </cell>
          <cell r="I88">
            <v>5651.7742437444494</v>
          </cell>
          <cell r="J88">
            <v>5706.7549787813396</v>
          </cell>
          <cell r="L88">
            <v>996.09523500855175</v>
          </cell>
          <cell r="M88">
            <v>1036.6972189325922</v>
          </cell>
          <cell r="O88">
            <v>2134.0348491740015</v>
          </cell>
          <cell r="P88">
            <v>2141.3556307094755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>
            <v>2740.9254086376222</v>
          </cell>
          <cell r="Y88">
            <v>2542.7116460774087</v>
          </cell>
          <cell r="AA88">
            <v>0</v>
          </cell>
          <cell r="AB88">
            <v>0</v>
          </cell>
          <cell r="AD88">
            <v>6867.7360952425624</v>
          </cell>
          <cell r="AE88">
            <v>6702.0857433305982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4122.1702619934995</v>
          </cell>
          <cell r="AQ88">
            <v>1931.3926441871897</v>
          </cell>
          <cell r="AS88">
            <v>20356.827439880621</v>
          </cell>
          <cell r="AT88">
            <v>2297.4427551387553</v>
          </cell>
          <cell r="AV88">
            <v>942.29698901791824</v>
          </cell>
          <cell r="AW88">
            <v>0</v>
          </cell>
          <cell r="AY88">
            <v>1186.87377981135</v>
          </cell>
          <cell r="AZ88">
            <v>0</v>
          </cell>
          <cell r="BB88">
            <v>1231.120273532134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449.79406651882562</v>
          </cell>
          <cell r="BL88">
            <v>2103.7172245762877</v>
          </cell>
          <cell r="BN88">
            <v>39.997857515597488</v>
          </cell>
          <cell r="BO88">
            <v>0</v>
          </cell>
          <cell r="BT88">
            <v>8333.1978565165264</v>
          </cell>
          <cell r="BU88">
            <v>16221.813530047595</v>
          </cell>
          <cell r="BW88">
            <v>6937.1681549344485</v>
          </cell>
          <cell r="BX88">
            <v>7389.3620467818027</v>
          </cell>
          <cell r="BZ88">
            <v>5111.8436278632562</v>
          </cell>
          <cell r="CA88">
            <v>228.57638945465354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2772.936018005862</v>
          </cell>
          <cell r="CJ88">
            <v>3479.2552450491876</v>
          </cell>
          <cell r="CL88">
            <v>0</v>
          </cell>
          <cell r="CM88">
            <v>0</v>
          </cell>
          <cell r="CX88">
            <v>3228.5811126578869</v>
          </cell>
          <cell r="CY88">
            <v>24940.933637854279</v>
          </cell>
          <cell r="DA88">
            <v>61951.742966385529</v>
          </cell>
          <cell r="DC88">
            <v>16773.2</v>
          </cell>
          <cell r="DD88">
            <v>2580.96</v>
          </cell>
          <cell r="DE88">
            <v>7391.380000000001</v>
          </cell>
          <cell r="DF88">
            <v>620.98999999999978</v>
          </cell>
          <cell r="DW88">
            <v>918</v>
          </cell>
          <cell r="DX88">
            <v>0</v>
          </cell>
        </row>
        <row r="89">
          <cell r="F89">
            <v>783.2</v>
          </cell>
          <cell r="G89">
            <v>0</v>
          </cell>
          <cell r="H89">
            <v>64.3</v>
          </cell>
          <cell r="I89">
            <v>3133.7743911193188</v>
          </cell>
          <cell r="J89">
            <v>3161.8591322850962</v>
          </cell>
          <cell r="L89">
            <v>700.46164592678235</v>
          </cell>
          <cell r="M89">
            <v>727.93469218250357</v>
          </cell>
          <cell r="O89">
            <v>1011.1429669449627</v>
          </cell>
          <cell r="P89">
            <v>1014.4104915210135</v>
          </cell>
          <cell r="R89">
            <v>0</v>
          </cell>
          <cell r="S89">
            <v>0</v>
          </cell>
          <cell r="U89">
            <v>84.195884513437704</v>
          </cell>
          <cell r="V89">
            <v>48.575065888797084</v>
          </cell>
          <cell r="X89">
            <v>2110.2193973024896</v>
          </cell>
          <cell r="Y89">
            <v>1841.2373339247583</v>
          </cell>
          <cell r="AA89">
            <v>0</v>
          </cell>
          <cell r="AB89">
            <v>0</v>
          </cell>
          <cell r="AD89">
            <v>3071.9108549237158</v>
          </cell>
          <cell r="AE89">
            <v>2997.8432387788944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2123.5422561784685</v>
          </cell>
          <cell r="AQ89">
            <v>2385.4494013096564</v>
          </cell>
          <cell r="AS89">
            <v>8837.3562750739329</v>
          </cell>
          <cell r="AT89">
            <v>1150.8276384354258</v>
          </cell>
          <cell r="AV89">
            <v>519.29358179979704</v>
          </cell>
          <cell r="AW89">
            <v>0</v>
          </cell>
          <cell r="AY89">
            <v>827.70087055979832</v>
          </cell>
          <cell r="AZ89">
            <v>0</v>
          </cell>
          <cell r="BB89">
            <v>440.22549098393563</v>
          </cell>
          <cell r="BC89">
            <v>0</v>
          </cell>
          <cell r="BE89">
            <v>0</v>
          </cell>
          <cell r="BF89">
            <v>0</v>
          </cell>
          <cell r="BH89">
            <v>49.622889587144876</v>
          </cell>
          <cell r="BI89">
            <v>0</v>
          </cell>
          <cell r="BK89">
            <v>315.40958882037881</v>
          </cell>
          <cell r="BL89">
            <v>0</v>
          </cell>
          <cell r="BN89">
            <v>31.464981245603362</v>
          </cell>
          <cell r="BO89">
            <v>0</v>
          </cell>
          <cell r="BT89">
            <v>11648.652035516103</v>
          </cell>
          <cell r="BU89">
            <v>25432.388625361313</v>
          </cell>
          <cell r="BW89">
            <v>5696.0884967076063</v>
          </cell>
          <cell r="BX89">
            <v>6017.7828012483969</v>
          </cell>
          <cell r="BZ89">
            <v>3110.6697571420927</v>
          </cell>
          <cell r="CA89">
            <v>234.45902572955094</v>
          </cell>
          <cell r="CC89">
            <v>712.60904328845459</v>
          </cell>
          <cell r="CD89">
            <v>713.98458953990757</v>
          </cell>
          <cell r="CF89">
            <v>88.395947633143606</v>
          </cell>
          <cell r="CG89">
            <v>0</v>
          </cell>
          <cell r="CI89">
            <v>1689.6182027692298</v>
          </cell>
          <cell r="CJ89">
            <v>1811.8713455063726</v>
          </cell>
          <cell r="CL89">
            <v>0</v>
          </cell>
          <cell r="CM89">
            <v>0</v>
          </cell>
          <cell r="CX89">
            <v>661.85808779799379</v>
          </cell>
          <cell r="CY89">
            <v>-941.664500612349</v>
          </cell>
          <cell r="DA89">
            <v>51439.786782953415</v>
          </cell>
          <cell r="DC89">
            <v>6892.98</v>
          </cell>
          <cell r="DD89">
            <v>1180.31</v>
          </cell>
          <cell r="DE89">
            <v>70.069999999999709</v>
          </cell>
          <cell r="DF89">
            <v>692.76</v>
          </cell>
          <cell r="DW89">
            <v>918</v>
          </cell>
          <cell r="DX89">
            <v>0</v>
          </cell>
        </row>
        <row r="90">
          <cell r="F90">
            <v>2635.5</v>
          </cell>
          <cell r="G90">
            <v>208.7</v>
          </cell>
          <cell r="H90">
            <v>60.9</v>
          </cell>
          <cell r="I90">
            <v>7024.5424604242471</v>
          </cell>
          <cell r="J90">
            <v>7143.8929973048726</v>
          </cell>
          <cell r="L90">
            <v>1142.1472848246563</v>
          </cell>
          <cell r="M90">
            <v>1185.1432224770774</v>
          </cell>
          <cell r="O90">
            <v>3586.8322774696912</v>
          </cell>
          <cell r="P90">
            <v>3598.5153797926582</v>
          </cell>
          <cell r="R90">
            <v>776.3579467076695</v>
          </cell>
          <cell r="S90">
            <v>778.82415442912588</v>
          </cell>
          <cell r="U90">
            <v>354.61978124250459</v>
          </cell>
          <cell r="V90">
            <v>741.96098533695772</v>
          </cell>
          <cell r="X90">
            <v>2930.9938666155085</v>
          </cell>
          <cell r="Y90">
            <v>2512.1215684741514</v>
          </cell>
          <cell r="AA90">
            <v>0</v>
          </cell>
          <cell r="AB90">
            <v>0</v>
          </cell>
          <cell r="AD90">
            <v>9773.5698279838416</v>
          </cell>
          <cell r="AE90">
            <v>9537.9168248299829</v>
          </cell>
          <cell r="AJ90">
            <v>18782.75326125243</v>
          </cell>
          <cell r="AK90">
            <v>17724.024493412882</v>
          </cell>
          <cell r="AM90">
            <v>0</v>
          </cell>
          <cell r="AN90">
            <v>0</v>
          </cell>
          <cell r="AP90">
            <v>1623.8852547247116</v>
          </cell>
          <cell r="AQ90">
            <v>1833.0800903825204</v>
          </cell>
          <cell r="AS90">
            <v>33460.100397159156</v>
          </cell>
          <cell r="AT90">
            <v>90216.698770294592</v>
          </cell>
          <cell r="AV90">
            <v>699.39026781645202</v>
          </cell>
          <cell r="AW90">
            <v>356.5310496730479</v>
          </cell>
          <cell r="AY90">
            <v>733.20063086470861</v>
          </cell>
          <cell r="AZ90">
            <v>0</v>
          </cell>
          <cell r="BB90">
            <v>851.20669704792135</v>
          </cell>
          <cell r="BC90">
            <v>0</v>
          </cell>
          <cell r="BE90">
            <v>434.30434542369943</v>
          </cell>
          <cell r="BF90">
            <v>0</v>
          </cell>
          <cell r="BH90">
            <v>185.83106976572736</v>
          </cell>
          <cell r="BI90">
            <v>0</v>
          </cell>
          <cell r="BK90">
            <v>603.85690853109031</v>
          </cell>
          <cell r="BL90">
            <v>0</v>
          </cell>
          <cell r="BN90">
            <v>15.967772137599315</v>
          </cell>
          <cell r="BO90">
            <v>2082.2614168294685</v>
          </cell>
          <cell r="BT90">
            <v>30425.702754951672</v>
          </cell>
          <cell r="BU90">
            <v>34958.347554626984</v>
          </cell>
          <cell r="BW90">
            <v>23700.990925886759</v>
          </cell>
          <cell r="BX90">
            <v>21788.167421546932</v>
          </cell>
          <cell r="BZ90">
            <v>6379.5334010569932</v>
          </cell>
          <cell r="CA90">
            <v>359.01341446989454</v>
          </cell>
          <cell r="CC90">
            <v>735.67912022944756</v>
          </cell>
          <cell r="CD90">
            <v>737.09919855378962</v>
          </cell>
          <cell r="CF90">
            <v>91.257686945007976</v>
          </cell>
          <cell r="CG90">
            <v>0</v>
          </cell>
          <cell r="CI90">
            <v>8246.8263111830383</v>
          </cell>
          <cell r="CJ90">
            <v>7621.5767724955313</v>
          </cell>
          <cell r="CL90">
            <v>5539.3940941269539</v>
          </cell>
          <cell r="CM90">
            <v>12810.741178884082</v>
          </cell>
          <cell r="CX90">
            <v>2996.7121301441166</v>
          </cell>
          <cell r="CY90">
            <v>-66467.654449187568</v>
          </cell>
          <cell r="DA90">
            <v>65426.063142402098</v>
          </cell>
          <cell r="DC90">
            <v>35799.980000000003</v>
          </cell>
          <cell r="DD90">
            <v>1186</v>
          </cell>
          <cell r="DE90">
            <v>11005.780000000002</v>
          </cell>
          <cell r="DF90">
            <v>822.22</v>
          </cell>
          <cell r="DW90">
            <v>1062</v>
          </cell>
          <cell r="DX90">
            <v>0</v>
          </cell>
        </row>
        <row r="91">
          <cell r="F91">
            <v>1556.6</v>
          </cell>
          <cell r="G91">
            <v>0</v>
          </cell>
          <cell r="H91">
            <v>383.40000000000003</v>
          </cell>
          <cell r="I91">
            <v>4842.5523933891463</v>
          </cell>
          <cell r="J91">
            <v>4915.0043671970861</v>
          </cell>
          <cell r="L91">
            <v>1048.9852701316511</v>
          </cell>
          <cell r="M91">
            <v>1093.5395473270144</v>
          </cell>
          <cell r="O91">
            <v>2366.5708329301237</v>
          </cell>
          <cell r="P91">
            <v>2374.5977188738148</v>
          </cell>
          <cell r="R91">
            <v>0</v>
          </cell>
          <cell r="S91">
            <v>0</v>
          </cell>
          <cell r="U91">
            <v>140.32647418906288</v>
          </cell>
          <cell r="V91">
            <v>80.958443147995155</v>
          </cell>
          <cell r="X91">
            <v>2940.0122289091778</v>
          </cell>
          <cell r="Y91">
            <v>2718.4373380474476</v>
          </cell>
          <cell r="AA91">
            <v>0</v>
          </cell>
          <cell r="AB91">
            <v>0</v>
          </cell>
          <cell r="AD91">
            <v>6804.4352565034587</v>
          </cell>
          <cell r="AE91">
            <v>6862.319626231334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3160.381767136475</v>
          </cell>
          <cell r="AQ91">
            <v>5265.9850474665127</v>
          </cell>
          <cell r="AS91">
            <v>20263.100032061688</v>
          </cell>
          <cell r="AT91">
            <v>12162.824263467934</v>
          </cell>
          <cell r="AV91">
            <v>780.93079875431408</v>
          </cell>
          <cell r="AW91">
            <v>0</v>
          </cell>
          <cell r="AY91">
            <v>1301.5484540857217</v>
          </cell>
          <cell r="AZ91">
            <v>0</v>
          </cell>
          <cell r="BB91">
            <v>1043.3524125263305</v>
          </cell>
          <cell r="BC91">
            <v>0</v>
          </cell>
          <cell r="BE91">
            <v>0</v>
          </cell>
          <cell r="BF91">
            <v>0</v>
          </cell>
          <cell r="BH91">
            <v>82.704815978574771</v>
          </cell>
          <cell r="BI91">
            <v>148.16961909976442</v>
          </cell>
          <cell r="BK91">
            <v>465.03115784473835</v>
          </cell>
          <cell r="BL91">
            <v>0</v>
          </cell>
          <cell r="BN91">
            <v>38.805764507289481</v>
          </cell>
          <cell r="BO91">
            <v>0</v>
          </cell>
          <cell r="BT91">
            <v>22683.128365287746</v>
          </cell>
          <cell r="BU91">
            <v>34523.701837298024</v>
          </cell>
          <cell r="BW91">
            <v>6856.3467612408631</v>
          </cell>
          <cell r="BX91">
            <v>7004.3814681226077</v>
          </cell>
          <cell r="BZ91">
            <v>6176.900426133061</v>
          </cell>
          <cell r="CA91">
            <v>320.21638115112069</v>
          </cell>
          <cell r="CC91">
            <v>689.53896634746116</v>
          </cell>
          <cell r="CD91">
            <v>690.86998052602576</v>
          </cell>
          <cell r="CF91">
            <v>85.534208321279237</v>
          </cell>
          <cell r="CG91">
            <v>0</v>
          </cell>
          <cell r="CI91">
            <v>3851.8487855617318</v>
          </cell>
          <cell r="CJ91">
            <v>2290.2395393409452</v>
          </cell>
          <cell r="CL91">
            <v>0</v>
          </cell>
          <cell r="CM91">
            <v>0</v>
          </cell>
          <cell r="CX91">
            <v>5887.9070530495601</v>
          </cell>
          <cell r="CY91">
            <v>12092.855046500285</v>
          </cell>
          <cell r="DA91">
            <v>-22480.318142040931</v>
          </cell>
          <cell r="DC91">
            <v>10604.4</v>
          </cell>
          <cell r="DD91">
            <v>16200.519999999999</v>
          </cell>
          <cell r="DE91">
            <v>-922.51000000000022</v>
          </cell>
          <cell r="DF91">
            <v>13636.489999999998</v>
          </cell>
          <cell r="DW91">
            <v>1062</v>
          </cell>
          <cell r="DX91">
            <v>0</v>
          </cell>
        </row>
        <row r="92">
          <cell r="F92">
            <v>300.7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294.44299013224969</v>
          </cell>
          <cell r="AQ92">
            <v>138.99248402169556</v>
          </cell>
          <cell r="AS92">
            <v>3650.0950365637132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X92">
            <v>146.96846562779635</v>
          </cell>
          <cell r="CY92">
            <v>4713.623116836915</v>
          </cell>
          <cell r="DA92">
            <v>14774.726388359903</v>
          </cell>
          <cell r="DC92">
            <v>3766.4</v>
          </cell>
          <cell r="DD92">
            <v>0</v>
          </cell>
          <cell r="DE92">
            <v>3132.48</v>
          </cell>
          <cell r="DF92">
            <v>0</v>
          </cell>
          <cell r="DW92">
            <v>0</v>
          </cell>
          <cell r="DX92">
            <v>0</v>
          </cell>
        </row>
        <row r="93">
          <cell r="F93">
            <v>8439.9</v>
          </cell>
          <cell r="G93">
            <v>979.2</v>
          </cell>
          <cell r="H93">
            <v>0</v>
          </cell>
          <cell r="I93">
            <v>12071.400373345314</v>
          </cell>
          <cell r="J93">
            <v>9370.3911682311718</v>
          </cell>
          <cell r="L93">
            <v>2058.7995359239835</v>
          </cell>
          <cell r="M93">
            <v>1743.6693056374511</v>
          </cell>
          <cell r="O93">
            <v>11340.495969534342</v>
          </cell>
          <cell r="P93">
            <v>11378.248038106327</v>
          </cell>
          <cell r="R93">
            <v>2463.6488225119197</v>
          </cell>
          <cell r="S93">
            <v>2471.8485851002665</v>
          </cell>
          <cell r="U93">
            <v>1855.2161675780981</v>
          </cell>
          <cell r="V93">
            <v>812.50725183966119</v>
          </cell>
          <cell r="X93">
            <v>16086.515295116704</v>
          </cell>
          <cell r="Y93">
            <v>11542.084571891413</v>
          </cell>
          <cell r="AA93">
            <v>0</v>
          </cell>
          <cell r="AB93">
            <v>0</v>
          </cell>
          <cell r="AD93">
            <v>30600.973993547523</v>
          </cell>
          <cell r="AE93">
            <v>29862.668683089436</v>
          </cell>
          <cell r="AJ93">
            <v>94406.935557741584</v>
          </cell>
          <cell r="AK93">
            <v>87329.96768012979</v>
          </cell>
          <cell r="AM93">
            <v>1065.4349572378785</v>
          </cell>
          <cell r="AN93">
            <v>0</v>
          </cell>
          <cell r="AP93">
            <v>5829.3316836271715</v>
          </cell>
          <cell r="AQ93">
            <v>377.08271169255909</v>
          </cell>
          <cell r="AS93">
            <v>145754.67489145315</v>
          </cell>
          <cell r="AT93">
            <v>251125.15361816649</v>
          </cell>
          <cell r="AV93">
            <v>779.94310945206337</v>
          </cell>
          <cell r="AW93">
            <v>856.00568418513114</v>
          </cell>
          <cell r="AY93">
            <v>567.42810970259018</v>
          </cell>
          <cell r="AZ93">
            <v>0</v>
          </cell>
          <cell r="BB93">
            <v>1090.1049082345071</v>
          </cell>
          <cell r="BC93">
            <v>4662.2944534681219</v>
          </cell>
          <cell r="BE93">
            <v>515.08480364849822</v>
          </cell>
          <cell r="BF93">
            <v>0</v>
          </cell>
          <cell r="BH93">
            <v>492.15846940885876</v>
          </cell>
          <cell r="BI93">
            <v>0</v>
          </cell>
          <cell r="BK93">
            <v>1877.0585529093451</v>
          </cell>
          <cell r="BL93">
            <v>17005.371001367155</v>
          </cell>
          <cell r="BN93">
            <v>1039.1341694096475</v>
          </cell>
          <cell r="BO93">
            <v>0</v>
          </cell>
          <cell r="BT93">
            <v>94222.928839821689</v>
          </cell>
          <cell r="BU93">
            <v>47282.746070181121</v>
          </cell>
          <cell r="BW93">
            <v>75082.193686312734</v>
          </cell>
          <cell r="BX93">
            <v>27507.183635375633</v>
          </cell>
          <cell r="BZ93">
            <v>4245.5898493488403</v>
          </cell>
          <cell r="CA93">
            <v>69.037792883742583</v>
          </cell>
          <cell r="CC93">
            <v>3705.3106909117291</v>
          </cell>
          <cell r="CD93">
            <v>3712.4630366184774</v>
          </cell>
          <cell r="CF93">
            <v>459.62713058888153</v>
          </cell>
          <cell r="CG93">
            <v>0</v>
          </cell>
          <cell r="CI93">
            <v>13984.129856323387</v>
          </cell>
          <cell r="CJ93">
            <v>8376.9130731472414</v>
          </cell>
          <cell r="CL93">
            <v>16978.360997545133</v>
          </cell>
          <cell r="CM93">
            <v>17916.379451130753</v>
          </cell>
          <cell r="CX93">
            <v>16915.04562351825</v>
          </cell>
          <cell r="CY93">
            <v>23119.603154310447</v>
          </cell>
          <cell r="DA93">
            <v>14054.125361207582</v>
          </cell>
          <cell r="DC93">
            <v>161594.76999999999</v>
          </cell>
          <cell r="DD93">
            <v>0</v>
          </cell>
          <cell r="DE93">
            <v>75127.389999999985</v>
          </cell>
          <cell r="DF93">
            <v>0</v>
          </cell>
          <cell r="DW93">
            <v>1242</v>
          </cell>
          <cell r="DX93">
            <v>0</v>
          </cell>
        </row>
        <row r="94">
          <cell r="F94">
            <v>7612.5</v>
          </cell>
          <cell r="G94">
            <v>765.25</v>
          </cell>
          <cell r="H94">
            <v>0</v>
          </cell>
          <cell r="I94">
            <v>17047.284113419231</v>
          </cell>
          <cell r="J94">
            <v>13256.67473890262</v>
          </cell>
          <cell r="L94">
            <v>2835.6701724805798</v>
          </cell>
          <cell r="M94">
            <v>2394.1412516701525</v>
          </cell>
          <cell r="O94">
            <v>10148.330367451561</v>
          </cell>
          <cell r="P94">
            <v>10182.245649949013</v>
          </cell>
          <cell r="R94">
            <v>2192.0390656174177</v>
          </cell>
          <cell r="S94">
            <v>2199.1323497727208</v>
          </cell>
          <cell r="U94">
            <v>2745.403858250063</v>
          </cell>
          <cell r="V94">
            <v>1139.4660883526305</v>
          </cell>
          <cell r="X94">
            <v>12558.374734538218</v>
          </cell>
          <cell r="Y94">
            <v>8428.3119044994819</v>
          </cell>
          <cell r="AA94">
            <v>0</v>
          </cell>
          <cell r="AB94">
            <v>0</v>
          </cell>
          <cell r="AD94">
            <v>27598.599963256296</v>
          </cell>
          <cell r="AE94">
            <v>26932.859982128681</v>
          </cell>
          <cell r="AJ94">
            <v>58317.477261560627</v>
          </cell>
          <cell r="AK94">
            <v>54384.779420082443</v>
          </cell>
          <cell r="AM94">
            <v>2736.7267599286029</v>
          </cell>
          <cell r="AN94">
            <v>2365.1306860212403</v>
          </cell>
          <cell r="AP94">
            <v>4871.6557641741347</v>
          </cell>
          <cell r="AQ94">
            <v>518.48872857726872</v>
          </cell>
          <cell r="AS94">
            <v>111711.53128102302</v>
          </cell>
          <cell r="AT94">
            <v>148445.12231271382</v>
          </cell>
          <cell r="AV94">
            <v>1672.7446914158663</v>
          </cell>
          <cell r="AW94">
            <v>1318.7578567516159</v>
          </cell>
          <cell r="AY94">
            <v>1814.7253193576755</v>
          </cell>
          <cell r="AZ94">
            <v>0</v>
          </cell>
          <cell r="BB94">
            <v>2289.0744222633821</v>
          </cell>
          <cell r="BC94">
            <v>1142.8186032487322</v>
          </cell>
          <cell r="BE94">
            <v>886.10430620932209</v>
          </cell>
          <cell r="BF94">
            <v>0</v>
          </cell>
          <cell r="BH94">
            <v>1426.5074611736429</v>
          </cell>
          <cell r="BI94">
            <v>0</v>
          </cell>
          <cell r="BK94">
            <v>1938.2048053532531</v>
          </cell>
          <cell r="BL94">
            <v>19489.093255930969</v>
          </cell>
          <cell r="BN94">
            <v>652.0199790945062</v>
          </cell>
          <cell r="BO94">
            <v>0</v>
          </cell>
          <cell r="BT94">
            <v>77120.070015782621</v>
          </cell>
          <cell r="BU94">
            <v>100082.51068074946</v>
          </cell>
          <cell r="BW94">
            <v>53623.537313978944</v>
          </cell>
          <cell r="BX94">
            <v>63602.145483639644</v>
          </cell>
          <cell r="BZ94">
            <v>10846.442441637111</v>
          </cell>
          <cell r="CA94">
            <v>495.75264022757847</v>
          </cell>
          <cell r="CC94">
            <v>2390.5726394633552</v>
          </cell>
          <cell r="CD94">
            <v>2395.1871518162516</v>
          </cell>
          <cell r="CF94">
            <v>296.53978691607813</v>
          </cell>
          <cell r="CG94">
            <v>1471.6851249356</v>
          </cell>
          <cell r="CI94">
            <v>14921.263863478485</v>
          </cell>
          <cell r="CJ94">
            <v>14778.962734450739</v>
          </cell>
          <cell r="CL94">
            <v>22672.197646806784</v>
          </cell>
          <cell r="CM94">
            <v>22174.76198279078</v>
          </cell>
          <cell r="CX94">
            <v>13319.354240743816</v>
          </cell>
          <cell r="CY94">
            <v>-48942.562470353114</v>
          </cell>
          <cell r="DA94">
            <v>77807.641180369726</v>
          </cell>
          <cell r="DC94">
            <v>116026.23</v>
          </cell>
          <cell r="DD94">
            <v>0</v>
          </cell>
          <cell r="DE94">
            <v>44809.78</v>
          </cell>
          <cell r="DF94">
            <v>0</v>
          </cell>
          <cell r="DW94">
            <v>1341</v>
          </cell>
          <cell r="DX94">
            <v>0</v>
          </cell>
        </row>
        <row r="95">
          <cell r="F95">
            <v>2492.3200000000002</v>
          </cell>
          <cell r="G95">
            <v>0</v>
          </cell>
          <cell r="H95">
            <v>0</v>
          </cell>
          <cell r="I95">
            <v>7045.7882351450826</v>
          </cell>
          <cell r="J95">
            <v>5433.42223332503</v>
          </cell>
          <cell r="L95">
            <v>1519.309464921897</v>
          </cell>
          <cell r="M95">
            <v>1281.4802354788885</v>
          </cell>
          <cell r="O95">
            <v>3409.7894113829425</v>
          </cell>
          <cell r="P95">
            <v>3421.236573385554</v>
          </cell>
          <cell r="R95">
            <v>711.90481995039681</v>
          </cell>
          <cell r="S95">
            <v>714.33174029866336</v>
          </cell>
          <cell r="U95">
            <v>477.51062122902385</v>
          </cell>
          <cell r="V95">
            <v>235.92410517433623</v>
          </cell>
          <cell r="X95">
            <v>4715.1387873960084</v>
          </cell>
          <cell r="Y95">
            <v>3192.7764118295877</v>
          </cell>
          <cell r="AA95">
            <v>0</v>
          </cell>
          <cell r="AB95">
            <v>0</v>
          </cell>
          <cell r="AD95">
            <v>9026.7752883730263</v>
          </cell>
          <cell r="AE95">
            <v>8809.4998416548751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1873.7137554515903</v>
          </cell>
          <cell r="AQ95">
            <v>2083.8471719410554</v>
          </cell>
          <cell r="AS95">
            <v>21244.443213624603</v>
          </cell>
          <cell r="AT95">
            <v>20065.674414543733</v>
          </cell>
          <cell r="AV95">
            <v>1239.2570979817124</v>
          </cell>
          <cell r="AW95">
            <v>627.97140388658067</v>
          </cell>
          <cell r="AY95">
            <v>1806.4359012852296</v>
          </cell>
          <cell r="AZ95">
            <v>0</v>
          </cell>
          <cell r="BB95">
            <v>603.7527173610805</v>
          </cell>
          <cell r="BC95">
            <v>0</v>
          </cell>
          <cell r="BE95">
            <v>500.45799460891914</v>
          </cell>
          <cell r="BF95">
            <v>0</v>
          </cell>
          <cell r="BH95">
            <v>434.179060857097</v>
          </cell>
          <cell r="BI95">
            <v>0</v>
          </cell>
          <cell r="BK95">
            <v>972.41282059347509</v>
          </cell>
          <cell r="BL95">
            <v>3899.3759004065523</v>
          </cell>
          <cell r="BN95">
            <v>523.85636415538238</v>
          </cell>
          <cell r="BO95">
            <v>0</v>
          </cell>
          <cell r="BT95">
            <v>47588.690744734275</v>
          </cell>
          <cell r="BU95">
            <v>67637.201549440288</v>
          </cell>
          <cell r="BW95">
            <v>19933.135951548033</v>
          </cell>
          <cell r="BX95">
            <v>23303.300079140256</v>
          </cell>
          <cell r="BZ95">
            <v>11481.677330094322</v>
          </cell>
          <cell r="CA95">
            <v>346.8422295511221</v>
          </cell>
          <cell r="CC95">
            <v>1296.0256557073476</v>
          </cell>
          <cell r="CD95">
            <v>1298.5273686020769</v>
          </cell>
          <cell r="CF95">
            <v>160.76615511984676</v>
          </cell>
          <cell r="CG95">
            <v>0</v>
          </cell>
          <cell r="CI95">
            <v>4149.856790605133</v>
          </cell>
          <cell r="CJ95">
            <v>3390.7198027386094</v>
          </cell>
          <cell r="CL95">
            <v>0</v>
          </cell>
          <cell r="CM95">
            <v>0</v>
          </cell>
          <cell r="CX95">
            <v>2136.6792282925276</v>
          </cell>
          <cell r="CY95">
            <v>-3896.0242268324255</v>
          </cell>
          <cell r="DA95">
            <v>-26207.05754719126</v>
          </cell>
          <cell r="DC95">
            <v>50834.97</v>
          </cell>
          <cell r="DD95">
            <v>0</v>
          </cell>
          <cell r="DE95">
            <v>28629.39</v>
          </cell>
          <cell r="DF95">
            <v>0</v>
          </cell>
          <cell r="DW95">
            <v>918</v>
          </cell>
          <cell r="DX95">
            <v>0</v>
          </cell>
        </row>
        <row r="96">
          <cell r="F96">
            <v>11379.7</v>
          </cell>
          <cell r="G96">
            <v>1296.7</v>
          </cell>
          <cell r="H96">
            <v>0</v>
          </cell>
          <cell r="I96">
            <v>27206.743258946943</v>
          </cell>
          <cell r="J96">
            <v>21043.470298904289</v>
          </cell>
          <cell r="L96">
            <v>4644.2872644930712</v>
          </cell>
          <cell r="M96">
            <v>3877.7947806257189</v>
          </cell>
          <cell r="O96">
            <v>15370.716943537205</v>
          </cell>
          <cell r="P96">
            <v>15422.243800214605</v>
          </cell>
          <cell r="R96">
            <v>3331.1746691968269</v>
          </cell>
          <cell r="S96">
            <v>3342.1049149440282</v>
          </cell>
          <cell r="U96">
            <v>4401.0442650232517</v>
          </cell>
          <cell r="V96">
            <v>1710.3636186319379</v>
          </cell>
          <cell r="X96">
            <v>22506.389200991885</v>
          </cell>
          <cell r="Y96">
            <v>16112.983571372513</v>
          </cell>
          <cell r="AA96">
            <v>0</v>
          </cell>
          <cell r="AB96">
            <v>0</v>
          </cell>
          <cell r="AD96">
            <v>41241.492582408275</v>
          </cell>
          <cell r="AE96">
            <v>40247.43449700145</v>
          </cell>
          <cell r="AJ96">
            <v>114996.25968888549</v>
          </cell>
          <cell r="AK96">
            <v>105379.71043554868</v>
          </cell>
          <cell r="AM96">
            <v>1065.4349572378785</v>
          </cell>
          <cell r="AN96">
            <v>0</v>
          </cell>
          <cell r="AP96">
            <v>7578.1311887153224</v>
          </cell>
          <cell r="AQ96">
            <v>0</v>
          </cell>
          <cell r="AS96">
            <v>172261.41818947336</v>
          </cell>
          <cell r="AT96">
            <v>77980.183217092868</v>
          </cell>
          <cell r="AV96">
            <v>878.47004037012289</v>
          </cell>
          <cell r="AW96">
            <v>2529.6937279996509</v>
          </cell>
          <cell r="AY96">
            <v>1273.3887517738074</v>
          </cell>
          <cell r="AZ96">
            <v>7245.668937201659</v>
          </cell>
          <cell r="BB96">
            <v>970.41266802822554</v>
          </cell>
          <cell r="BC96">
            <v>0</v>
          </cell>
          <cell r="BE96">
            <v>615.35888923476114</v>
          </cell>
          <cell r="BF96">
            <v>3476.2876682233041</v>
          </cell>
          <cell r="BH96">
            <v>1090.6579848071483</v>
          </cell>
          <cell r="BI96">
            <v>1065.6453268944231</v>
          </cell>
          <cell r="BK96">
            <v>1340.6716708994859</v>
          </cell>
          <cell r="BL96">
            <v>6556.1410798053876</v>
          </cell>
          <cell r="BN96">
            <v>1000.6978824077703</v>
          </cell>
          <cell r="BO96">
            <v>23204.609039609684</v>
          </cell>
          <cell r="BT96">
            <v>158223.77960575675</v>
          </cell>
          <cell r="BU96">
            <v>231230.85929483824</v>
          </cell>
          <cell r="BW96">
            <v>92257.613743962342</v>
          </cell>
          <cell r="BX96">
            <v>115422.5756925841</v>
          </cell>
          <cell r="BZ96">
            <v>17940.120828272382</v>
          </cell>
          <cell r="CA96">
            <v>1076.7001909583064</v>
          </cell>
          <cell r="CC96">
            <v>2762.2572124015774</v>
          </cell>
          <cell r="CD96">
            <v>2767.5891859287926</v>
          </cell>
          <cell r="CF96">
            <v>342.64558694055955</v>
          </cell>
          <cell r="CG96">
            <v>0</v>
          </cell>
          <cell r="CI96">
            <v>28704.406074983555</v>
          </cell>
          <cell r="CJ96">
            <v>31149.29855238938</v>
          </cell>
          <cell r="CL96">
            <v>20141.033819443608</v>
          </cell>
          <cell r="CM96">
            <v>37495.495314675936</v>
          </cell>
          <cell r="CX96">
            <v>24474.356912848074</v>
          </cell>
          <cell r="CY96">
            <v>17043.66150014392</v>
          </cell>
          <cell r="DA96">
            <v>-13873.084965451824</v>
          </cell>
          <cell r="DC96">
            <v>304201.03999999998</v>
          </cell>
          <cell r="DD96">
            <v>0</v>
          </cell>
          <cell r="DE96">
            <v>184480.14999999997</v>
          </cell>
          <cell r="DF96">
            <v>0</v>
          </cell>
          <cell r="DW96">
            <v>1469.97</v>
          </cell>
          <cell r="DX96">
            <v>0</v>
          </cell>
        </row>
        <row r="97">
          <cell r="F97">
            <v>2481.34</v>
          </cell>
          <cell r="G97">
            <v>0</v>
          </cell>
          <cell r="H97">
            <v>0</v>
          </cell>
          <cell r="I97">
            <v>7136.6116396957341</v>
          </cell>
          <cell r="J97">
            <v>5516.3656297997341</v>
          </cell>
          <cell r="L97">
            <v>1549.1706073740011</v>
          </cell>
          <cell r="M97">
            <v>1335.6778350168429</v>
          </cell>
          <cell r="O97">
            <v>3416.8025572217057</v>
          </cell>
          <cell r="P97">
            <v>3428.2504111105673</v>
          </cell>
          <cell r="R97">
            <v>729.39361925014441</v>
          </cell>
          <cell r="S97">
            <v>732.11714307032742</v>
          </cell>
          <cell r="U97">
            <v>477.51062122902385</v>
          </cell>
          <cell r="V97">
            <v>235.92410517433623</v>
          </cell>
          <cell r="X97">
            <v>4741.2774750444378</v>
          </cell>
          <cell r="Y97">
            <v>3346.8968619961502</v>
          </cell>
          <cell r="AA97">
            <v>0</v>
          </cell>
          <cell r="AB97">
            <v>0</v>
          </cell>
          <cell r="AD97">
            <v>8994.220700093214</v>
          </cell>
          <cell r="AE97">
            <v>8777.3496843670964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1873.7137554515903</v>
          </cell>
          <cell r="AQ97">
            <v>2112.0765452875107</v>
          </cell>
          <cell r="AS97">
            <v>39537.12946893624</v>
          </cell>
          <cell r="AT97">
            <v>818.56495711009256</v>
          </cell>
          <cell r="AV97">
            <v>1374.6641750744361</v>
          </cell>
          <cell r="AW97">
            <v>527.72371755561187</v>
          </cell>
          <cell r="AY97">
            <v>1741.9313970058954</v>
          </cell>
          <cell r="AZ97">
            <v>3946.9223552812609</v>
          </cell>
          <cell r="BB97">
            <v>1227.6730598113438</v>
          </cell>
          <cell r="BC97">
            <v>0</v>
          </cell>
          <cell r="BE97">
            <v>624.67135103375972</v>
          </cell>
          <cell r="BF97">
            <v>0</v>
          </cell>
          <cell r="BH97">
            <v>434.179060857097</v>
          </cell>
          <cell r="BI97">
            <v>0</v>
          </cell>
          <cell r="BK97">
            <v>1024.7386952582476</v>
          </cell>
          <cell r="BL97">
            <v>0</v>
          </cell>
          <cell r="BN97">
            <v>608.21262992749348</v>
          </cell>
          <cell r="BO97">
            <v>0</v>
          </cell>
          <cell r="BT97">
            <v>39333.998842812391</v>
          </cell>
          <cell r="BU97">
            <v>54796.700673949425</v>
          </cell>
          <cell r="BW97">
            <v>18448.897568404536</v>
          </cell>
          <cell r="BX97">
            <v>22616.292337469888</v>
          </cell>
          <cell r="BZ97">
            <v>1735.2330850875021</v>
          </cell>
          <cell r="CA97">
            <v>268.94428563393734</v>
          </cell>
          <cell r="CC97">
            <v>1384.9736190242877</v>
          </cell>
          <cell r="CD97">
            <v>1387.6470278000436</v>
          </cell>
          <cell r="CF97">
            <v>171.79975002225711</v>
          </cell>
          <cell r="CG97">
            <v>981.12341662373331</v>
          </cell>
          <cell r="CI97">
            <v>3948.2235174209522</v>
          </cell>
          <cell r="CJ97">
            <v>2178.0941869676949</v>
          </cell>
          <cell r="CL97">
            <v>0</v>
          </cell>
          <cell r="CM97">
            <v>0</v>
          </cell>
          <cell r="CX97">
            <v>4650.4666275925447</v>
          </cell>
          <cell r="CY97">
            <v>37660.493853778986</v>
          </cell>
          <cell r="DA97">
            <v>62615.323474049481</v>
          </cell>
          <cell r="DC97">
            <v>31079.63</v>
          </cell>
          <cell r="DD97">
            <v>0</v>
          </cell>
          <cell r="DE97">
            <v>8539.66</v>
          </cell>
          <cell r="DF97">
            <v>0</v>
          </cell>
          <cell r="DW97">
            <v>1062</v>
          </cell>
          <cell r="DX97">
            <v>0</v>
          </cell>
        </row>
        <row r="98">
          <cell r="F98">
            <v>11369.21</v>
          </cell>
          <cell r="G98">
            <v>1267.95</v>
          </cell>
          <cell r="H98">
            <v>95.2</v>
          </cell>
          <cell r="I98">
            <v>27771.600609952111</v>
          </cell>
          <cell r="J98">
            <v>21548.549350915142</v>
          </cell>
          <cell r="L98">
            <v>4673.9564583120064</v>
          </cell>
          <cell r="M98">
            <v>3912.622387859949</v>
          </cell>
          <cell r="O98">
            <v>14790.592209924296</v>
          </cell>
          <cell r="P98">
            <v>14840.364782376453</v>
          </cell>
          <cell r="R98">
            <v>3339.1100443039968</v>
          </cell>
          <cell r="S98">
            <v>3350.0663624252597</v>
          </cell>
          <cell r="U98">
            <v>4401.0442650232517</v>
          </cell>
          <cell r="V98">
            <v>1720.7990846616869</v>
          </cell>
          <cell r="X98">
            <v>22641.882718355166</v>
          </cell>
          <cell r="Y98">
            <v>16011.458993272974</v>
          </cell>
          <cell r="AA98">
            <v>0</v>
          </cell>
          <cell r="AB98">
            <v>0</v>
          </cell>
          <cell r="AD98">
            <v>41531.769938642305</v>
          </cell>
          <cell r="AE98">
            <v>40536.683819054568</v>
          </cell>
          <cell r="AJ98">
            <v>126383.23985860699</v>
          </cell>
          <cell r="AK98">
            <v>119259.15429614601</v>
          </cell>
          <cell r="AM98">
            <v>0</v>
          </cell>
          <cell r="AN98">
            <v>0</v>
          </cell>
          <cell r="AP98">
            <v>7661.4073556242784</v>
          </cell>
          <cell r="AQ98">
            <v>8832.1410308353188</v>
          </cell>
          <cell r="AS98">
            <v>176545.86993292422</v>
          </cell>
          <cell r="AT98">
            <v>246298.55824721153</v>
          </cell>
          <cell r="AV98">
            <v>2732.1065465912015</v>
          </cell>
          <cell r="AW98">
            <v>2932.8689434617359</v>
          </cell>
          <cell r="AY98">
            <v>3012.1059934864315</v>
          </cell>
          <cell r="AZ98">
            <v>0</v>
          </cell>
          <cell r="BB98">
            <v>3553.9565527310874</v>
          </cell>
          <cell r="BC98">
            <v>380.93953441624404</v>
          </cell>
          <cell r="BE98">
            <v>1367.7681522721412</v>
          </cell>
          <cell r="BF98">
            <v>438.45034351095308</v>
          </cell>
          <cell r="BH98">
            <v>2274.5253013349948</v>
          </cell>
          <cell r="BI98">
            <v>0</v>
          </cell>
          <cell r="BK98">
            <v>3885.1663663005752</v>
          </cell>
          <cell r="BL98">
            <v>7900.0737895957591</v>
          </cell>
          <cell r="BN98">
            <v>1055.8862132632389</v>
          </cell>
          <cell r="BO98">
            <v>0</v>
          </cell>
          <cell r="BT98">
            <v>130784.27097021701</v>
          </cell>
          <cell r="BU98">
            <v>62036.38160734628</v>
          </cell>
          <cell r="BW98">
            <v>88960.770985300653</v>
          </cell>
          <cell r="BX98">
            <v>29761.121880864001</v>
          </cell>
          <cell r="BZ98">
            <v>26794.040284439379</v>
          </cell>
          <cell r="CA98">
            <v>86.143095156064973</v>
          </cell>
          <cell r="CC98">
            <v>1980.4379382901438</v>
          </cell>
          <cell r="CD98">
            <v>1984.2607693472398</v>
          </cell>
          <cell r="CF98">
            <v>245.66442137182284</v>
          </cell>
          <cell r="CG98">
            <v>848.41187233731262</v>
          </cell>
          <cell r="CI98">
            <v>26703.352481102032</v>
          </cell>
          <cell r="CJ98">
            <v>23674.695881076594</v>
          </cell>
          <cell r="CL98">
            <v>16449.730355115844</v>
          </cell>
          <cell r="CM98">
            <v>27457.820783559928</v>
          </cell>
          <cell r="CX98">
            <v>14410.373367576001</v>
          </cell>
          <cell r="CY98">
            <v>141284.80028524093</v>
          </cell>
          <cell r="DA98">
            <v>-116939.86501679533</v>
          </cell>
          <cell r="DC98">
            <v>350862.8</v>
          </cell>
          <cell r="DD98">
            <v>1440.47</v>
          </cell>
          <cell r="DE98">
            <v>234507.13999999998</v>
          </cell>
          <cell r="DF98">
            <v>780.22</v>
          </cell>
          <cell r="DW98">
            <v>1665</v>
          </cell>
          <cell r="DX98">
            <v>0</v>
          </cell>
        </row>
        <row r="99">
          <cell r="F99">
            <v>216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367.9996445107023</v>
          </cell>
          <cell r="AQ99">
            <v>140.47538423161123</v>
          </cell>
          <cell r="AS99">
            <v>3078.3663602506153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X99">
            <v>96.486206453800165</v>
          </cell>
          <cell r="CY99">
            <v>4063.554951089448</v>
          </cell>
          <cell r="DA99">
            <v>-4617.3389085280814</v>
          </cell>
          <cell r="DC99">
            <v>506.94</v>
          </cell>
          <cell r="DD99">
            <v>0</v>
          </cell>
          <cell r="DE99">
            <v>-38.599999999999966</v>
          </cell>
          <cell r="DF99">
            <v>0</v>
          </cell>
          <cell r="DW99">
            <v>0</v>
          </cell>
          <cell r="DX99">
            <v>0</v>
          </cell>
        </row>
        <row r="100">
          <cell r="F100">
            <v>216.8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294.39971560856185</v>
          </cell>
          <cell r="AQ100">
            <v>187.30051230881497</v>
          </cell>
          <cell r="AS100">
            <v>2646.8578488388457</v>
          </cell>
          <cell r="AT100">
            <v>5406.1248042904917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X100">
            <v>163.08538077201428</v>
          </cell>
          <cell r="CY100">
            <v>-3019.515921810264</v>
          </cell>
          <cell r="DA100">
            <v>-7446.1174435079038</v>
          </cell>
          <cell r="DC100">
            <v>1078.6300000000001</v>
          </cell>
          <cell r="DD100">
            <v>0</v>
          </cell>
          <cell r="DE100">
            <v>596.0100000000001</v>
          </cell>
          <cell r="DF100">
            <v>0</v>
          </cell>
          <cell r="DW100">
            <v>0</v>
          </cell>
          <cell r="DX100">
            <v>0</v>
          </cell>
        </row>
        <row r="101">
          <cell r="F101">
            <v>214.7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244.90779182891234</v>
          </cell>
          <cell r="P101">
            <v>245.98188613569721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333.10466763583833</v>
          </cell>
          <cell r="AQ101">
            <v>375.84186815509452</v>
          </cell>
          <cell r="AS101">
            <v>2627.3183685183049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99.980667021857144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X101">
            <v>123.09873736319705</v>
          </cell>
          <cell r="CY101">
            <v>3343.2840262201412</v>
          </cell>
          <cell r="DA101">
            <v>-11303.94526815754</v>
          </cell>
          <cell r="DC101">
            <v>529.36</v>
          </cell>
          <cell r="DD101">
            <v>0</v>
          </cell>
          <cell r="DE101">
            <v>0</v>
          </cell>
          <cell r="DF101">
            <v>0</v>
          </cell>
          <cell r="DW101">
            <v>0</v>
          </cell>
          <cell r="DX101">
            <v>0</v>
          </cell>
        </row>
        <row r="102">
          <cell r="F102">
            <v>397.8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515.19950231498319</v>
          </cell>
          <cell r="AQ102">
            <v>280.95076846322246</v>
          </cell>
          <cell r="AS102">
            <v>5483.6120957646153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T102">
            <v>149.40357169906758</v>
          </cell>
          <cell r="BU102">
            <v>0</v>
          </cell>
          <cell r="BW102">
            <v>0</v>
          </cell>
          <cell r="BX102">
            <v>0</v>
          </cell>
          <cell r="BZ102">
            <v>171.88663345960686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X102">
            <v>602.15190713176105</v>
          </cell>
          <cell r="CY102">
            <v>7849.1331488618234</v>
          </cell>
          <cell r="DA102">
            <v>-30987.795853199048</v>
          </cell>
          <cell r="DC102">
            <v>2759.07</v>
          </cell>
          <cell r="DD102">
            <v>0</v>
          </cell>
          <cell r="DE102">
            <v>1679.9700000000003</v>
          </cell>
          <cell r="DF102">
            <v>0</v>
          </cell>
          <cell r="DW102">
            <v>0</v>
          </cell>
          <cell r="DX102">
            <v>0</v>
          </cell>
        </row>
        <row r="103">
          <cell r="F103">
            <v>245.6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478.399537863913</v>
          </cell>
          <cell r="AQ103">
            <v>234.12564038601874</v>
          </cell>
          <cell r="AS103">
            <v>3358.9244288933514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T103">
            <v>263.91080914830201</v>
          </cell>
          <cell r="BU103">
            <v>1404.0595194288239</v>
          </cell>
          <cell r="BW103">
            <v>0</v>
          </cell>
          <cell r="BX103">
            <v>0</v>
          </cell>
          <cell r="BZ103">
            <v>62.070173193746939</v>
          </cell>
          <cell r="CA103">
            <v>2.3637940382597589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X103">
            <v>116.96105886072027</v>
          </cell>
          <cell r="CY103">
            <v>3144.2682531561741</v>
          </cell>
          <cell r="DA103">
            <v>7265.6624885832534</v>
          </cell>
          <cell r="DC103">
            <v>806.85</v>
          </cell>
          <cell r="DD103">
            <v>0</v>
          </cell>
          <cell r="DE103">
            <v>141.40999999999997</v>
          </cell>
          <cell r="DF103">
            <v>0</v>
          </cell>
          <cell r="DW103">
            <v>0</v>
          </cell>
          <cell r="DX103">
            <v>0</v>
          </cell>
        </row>
        <row r="104">
          <cell r="F104">
            <v>325.60000000000002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367.9996445107023</v>
          </cell>
          <cell r="AQ104">
            <v>187.30051230881497</v>
          </cell>
          <cell r="AS104">
            <v>2538.9844859994964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T104">
            <v>1055.643236593208</v>
          </cell>
          <cell r="BU104">
            <v>3209.3243142423498</v>
          </cell>
          <cell r="BW104">
            <v>0</v>
          </cell>
          <cell r="BX104">
            <v>0</v>
          </cell>
          <cell r="BZ104">
            <v>248.28069277498776</v>
          </cell>
          <cell r="CA104">
            <v>5.4029578017365933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X104">
            <v>734.55187328483328</v>
          </cell>
          <cell r="CY104">
            <v>1705.2082039154247</v>
          </cell>
          <cell r="DA104">
            <v>-6134.7184034321999</v>
          </cell>
          <cell r="DC104">
            <v>857.52</v>
          </cell>
          <cell r="DD104">
            <v>0</v>
          </cell>
          <cell r="DE104">
            <v>111.53999999999996</v>
          </cell>
          <cell r="DF104">
            <v>0</v>
          </cell>
          <cell r="DW104">
            <v>0</v>
          </cell>
          <cell r="DX104">
            <v>0</v>
          </cell>
        </row>
        <row r="105">
          <cell r="F105">
            <v>151.6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220.79978670642137</v>
          </cell>
          <cell r="AQ105">
            <v>93.650256154407487</v>
          </cell>
          <cell r="AS105">
            <v>1332.8663826334534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T105">
            <v>466.91912387776506</v>
          </cell>
          <cell r="BU105">
            <v>2607.6004242601807</v>
          </cell>
          <cell r="BW105">
            <v>0</v>
          </cell>
          <cell r="BX105">
            <v>0</v>
          </cell>
          <cell r="BZ105">
            <v>109.81646026585993</v>
          </cell>
          <cell r="CA105">
            <v>4.3899032139109799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X105">
            <v>79.295661319007706</v>
          </cell>
          <cell r="CY105">
            <v>-610.99093485499179</v>
          </cell>
          <cell r="DA105">
            <v>-1428.0676552552586</v>
          </cell>
          <cell r="DC105">
            <v>371.35</v>
          </cell>
          <cell r="DD105">
            <v>0</v>
          </cell>
          <cell r="DE105">
            <v>30.230000000000018</v>
          </cell>
          <cell r="DF105">
            <v>0</v>
          </cell>
          <cell r="DW105">
            <v>0</v>
          </cell>
          <cell r="DX105">
            <v>0</v>
          </cell>
        </row>
        <row r="106">
          <cell r="F106">
            <v>5046.8999999999996</v>
          </cell>
          <cell r="G106">
            <v>552.1</v>
          </cell>
          <cell r="H106">
            <v>0</v>
          </cell>
          <cell r="I106">
            <v>14078.604344241085</v>
          </cell>
          <cell r="J106">
            <v>14075.634656741748</v>
          </cell>
          <cell r="L106">
            <v>2535.5666862482667</v>
          </cell>
          <cell r="M106">
            <v>2646.9430141644793</v>
          </cell>
          <cell r="O106">
            <v>5768.6535217592091</v>
          </cell>
          <cell r="P106">
            <v>5787.7931807991681</v>
          </cell>
          <cell r="R106">
            <v>1374.1336425508669</v>
          </cell>
          <cell r="S106">
            <v>1379.4764658430179</v>
          </cell>
          <cell r="U106">
            <v>673.10225103340667</v>
          </cell>
          <cell r="V106">
            <v>448.53325833399987</v>
          </cell>
          <cell r="X106">
            <v>8133.0204955940908</v>
          </cell>
          <cell r="Y106">
            <v>7741.4800219782683</v>
          </cell>
          <cell r="AA106">
            <v>0</v>
          </cell>
          <cell r="AB106">
            <v>0</v>
          </cell>
          <cell r="AD106">
            <v>18295.962633986212</v>
          </cell>
          <cell r="AE106">
            <v>17854.687637328116</v>
          </cell>
          <cell r="AJ106">
            <v>33811.301767327001</v>
          </cell>
          <cell r="AK106">
            <v>34483.618016603694</v>
          </cell>
          <cell r="AM106">
            <v>605.85684545284585</v>
          </cell>
          <cell r="AN106">
            <v>0</v>
          </cell>
          <cell r="AP106">
            <v>3372.6847598128625</v>
          </cell>
          <cell r="AQ106">
            <v>3472.9222383046199</v>
          </cell>
          <cell r="AS106">
            <v>101595.65478515769</v>
          </cell>
          <cell r="AT106">
            <v>59667.092979140667</v>
          </cell>
          <cell r="AV106">
            <v>1383.5902207064114</v>
          </cell>
          <cell r="AW106">
            <v>0</v>
          </cell>
          <cell r="AY106">
            <v>1529.2025772547186</v>
          </cell>
          <cell r="AZ106">
            <v>675.61308906772877</v>
          </cell>
          <cell r="BB106">
            <v>1184.0311782735796</v>
          </cell>
          <cell r="BC106">
            <v>858.89868450435006</v>
          </cell>
          <cell r="BE106">
            <v>568.68818896100072</v>
          </cell>
          <cell r="BF106">
            <v>546.58312943999999</v>
          </cell>
          <cell r="BH106">
            <v>300.09498799946283</v>
          </cell>
          <cell r="BI106">
            <v>0</v>
          </cell>
          <cell r="BK106">
            <v>1001.5654431464359</v>
          </cell>
          <cell r="BL106">
            <v>0</v>
          </cell>
          <cell r="BN106">
            <v>81.564258463179186</v>
          </cell>
          <cell r="BO106">
            <v>0</v>
          </cell>
          <cell r="BT106">
            <v>33216.845272680228</v>
          </cell>
          <cell r="BU106">
            <v>33142.933002479636</v>
          </cell>
          <cell r="BW106">
            <v>37734.153229587224</v>
          </cell>
          <cell r="BX106">
            <v>36650.992283778956</v>
          </cell>
          <cell r="BZ106">
            <v>5995.0441719927458</v>
          </cell>
          <cell r="CA106">
            <v>353.10532021079854</v>
          </cell>
          <cell r="CC106">
            <v>1662.5835448809053</v>
          </cell>
          <cell r="CD106">
            <v>1665.7928229337558</v>
          </cell>
          <cell r="CF106">
            <v>206.23601307502497</v>
          </cell>
          <cell r="CG106">
            <v>0</v>
          </cell>
          <cell r="CI106">
            <v>14357.934939048389</v>
          </cell>
          <cell r="CJ106">
            <v>15984.235966108501</v>
          </cell>
          <cell r="CL106">
            <v>6778.0069759167945</v>
          </cell>
          <cell r="CM106">
            <v>9015.5064212253237</v>
          </cell>
          <cell r="CX106">
            <v>6887.7881979929462</v>
          </cell>
          <cell r="CY106">
            <v>66638.476853388333</v>
          </cell>
          <cell r="DA106">
            <v>-1844.9140307367488</v>
          </cell>
          <cell r="DC106">
            <v>101971.46</v>
          </cell>
          <cell r="DD106">
            <v>0</v>
          </cell>
          <cell r="DE106">
            <v>55499.12000000001</v>
          </cell>
          <cell r="DF106">
            <v>0</v>
          </cell>
          <cell r="DW106">
            <v>909</v>
          </cell>
          <cell r="DX106">
            <v>0</v>
          </cell>
        </row>
        <row r="107">
          <cell r="F107">
            <v>2605.5</v>
          </cell>
          <cell r="G107">
            <v>490.3</v>
          </cell>
          <cell r="H107">
            <v>0</v>
          </cell>
          <cell r="I107">
            <v>7639.3144096109054</v>
          </cell>
          <cell r="J107">
            <v>7646.9437054913315</v>
          </cell>
          <cell r="L107">
            <v>1323.697966727299</v>
          </cell>
          <cell r="M107">
            <v>1384.7512433851703</v>
          </cell>
          <cell r="O107">
            <v>3058.9030740058715</v>
          </cell>
          <cell r="P107">
            <v>3069.8169200061816</v>
          </cell>
          <cell r="R107">
            <v>740.9716020291803</v>
          </cell>
          <cell r="S107">
            <v>743.19642318861088</v>
          </cell>
          <cell r="U107">
            <v>227.84136013582798</v>
          </cell>
          <cell r="V107">
            <v>151.97177595398225</v>
          </cell>
          <cell r="X107">
            <v>2933.0341349853102</v>
          </cell>
          <cell r="Y107">
            <v>2578.1476582420537</v>
          </cell>
          <cell r="AA107">
            <v>0</v>
          </cell>
          <cell r="AB107">
            <v>0</v>
          </cell>
          <cell r="AD107">
            <v>9444.0870000044142</v>
          </cell>
          <cell r="AE107">
            <v>9216.3782402813104</v>
          </cell>
          <cell r="AJ107">
            <v>18271.792079092138</v>
          </cell>
          <cell r="AK107">
            <v>17241.834500498317</v>
          </cell>
          <cell r="AM107">
            <v>0</v>
          </cell>
          <cell r="AN107">
            <v>0</v>
          </cell>
          <cell r="AP107">
            <v>1665.5233381791911</v>
          </cell>
          <cell r="AQ107">
            <v>1713.8024700772403</v>
          </cell>
          <cell r="AS107">
            <v>41734.053042149113</v>
          </cell>
          <cell r="AT107">
            <v>132.05404403729605</v>
          </cell>
          <cell r="AV107">
            <v>750.76884851900866</v>
          </cell>
          <cell r="AW107">
            <v>0</v>
          </cell>
          <cell r="AY107">
            <v>922.01020805174778</v>
          </cell>
          <cell r="AZ107">
            <v>0</v>
          </cell>
          <cell r="BB107">
            <v>1159.7816201082633</v>
          </cell>
          <cell r="BC107">
            <v>0</v>
          </cell>
          <cell r="BE107">
            <v>365.45735662597514</v>
          </cell>
          <cell r="BF107">
            <v>0</v>
          </cell>
          <cell r="BH107">
            <v>119.57199129963456</v>
          </cell>
          <cell r="BI107">
            <v>0</v>
          </cell>
          <cell r="BK107">
            <v>490.96614687523231</v>
          </cell>
          <cell r="BL107">
            <v>1268.7893401217375</v>
          </cell>
          <cell r="BN107">
            <v>43.919216095558028</v>
          </cell>
          <cell r="BO107">
            <v>0</v>
          </cell>
          <cell r="BT107">
            <v>15810.491592580362</v>
          </cell>
          <cell r="BU107">
            <v>16952.30232968877</v>
          </cell>
          <cell r="BW107">
            <v>17182.925515650913</v>
          </cell>
          <cell r="BX107">
            <v>18683.016054446922</v>
          </cell>
          <cell r="BZ107">
            <v>3359.9854297804982</v>
          </cell>
          <cell r="CA107">
            <v>133.8202448050825</v>
          </cell>
          <cell r="CC107">
            <v>783.61361342906662</v>
          </cell>
          <cell r="CD107">
            <v>785.12621950485538</v>
          </cell>
          <cell r="CF107">
            <v>97.203745292992807</v>
          </cell>
          <cell r="CG107">
            <v>0</v>
          </cell>
          <cell r="CI107">
            <v>3330.0170421498583</v>
          </cell>
          <cell r="CJ107">
            <v>7030.0987609112963</v>
          </cell>
          <cell r="CL107">
            <v>4153.0642644693853</v>
          </cell>
          <cell r="CM107">
            <v>6372.1365792734205</v>
          </cell>
          <cell r="CX107">
            <v>1929.5251793791592</v>
          </cell>
          <cell r="CY107">
            <v>50535.294884900155</v>
          </cell>
          <cell r="DA107">
            <v>47149.280769168719</v>
          </cell>
          <cell r="DC107">
            <v>82433.009999999995</v>
          </cell>
          <cell r="DD107">
            <v>0</v>
          </cell>
          <cell r="DE107">
            <v>61046.75</v>
          </cell>
          <cell r="DF107">
            <v>0</v>
          </cell>
          <cell r="DW107">
            <v>909</v>
          </cell>
          <cell r="DX107">
            <v>0</v>
          </cell>
        </row>
        <row r="108">
          <cell r="F108">
            <v>4661.7</v>
          </cell>
          <cell r="G108">
            <v>410</v>
          </cell>
          <cell r="H108">
            <v>0</v>
          </cell>
          <cell r="I108">
            <v>13457.591845709791</v>
          </cell>
          <cell r="J108">
            <v>13482.618542443182</v>
          </cell>
          <cell r="L108">
            <v>2606.0493481407721</v>
          </cell>
          <cell r="M108">
            <v>2725.5061012840042</v>
          </cell>
          <cell r="O108">
            <v>5333.1332973377503</v>
          </cell>
          <cell r="P108">
            <v>5350.1045235134216</v>
          </cell>
          <cell r="R108">
            <v>1349.1730077063553</v>
          </cell>
          <cell r="S108">
            <v>1352.996850217216</v>
          </cell>
          <cell r="U108">
            <v>712.16100761130849</v>
          </cell>
          <cell r="V108">
            <v>475.17715820384035</v>
          </cell>
          <cell r="X108">
            <v>5835.8596674811406</v>
          </cell>
          <cell r="Y108">
            <v>5437.308857672394</v>
          </cell>
          <cell r="AA108">
            <v>0</v>
          </cell>
          <cell r="AB108">
            <v>0</v>
          </cell>
          <cell r="AD108">
            <v>16897.140805189243</v>
          </cell>
          <cell r="AE108">
            <v>16489.729588454949</v>
          </cell>
          <cell r="AJ108">
            <v>31475.057511439787</v>
          </cell>
          <cell r="AK108">
            <v>29700.821240286394</v>
          </cell>
          <cell r="AM108">
            <v>0</v>
          </cell>
          <cell r="AN108">
            <v>0</v>
          </cell>
          <cell r="AP108">
            <v>3331.0466763583822</v>
          </cell>
          <cell r="AQ108">
            <v>3334.624619897108</v>
          </cell>
          <cell r="AS108">
            <v>80390.275635556478</v>
          </cell>
          <cell r="AT108">
            <v>3008.0527270270841</v>
          </cell>
          <cell r="AV108">
            <v>1398.6909877898474</v>
          </cell>
          <cell r="AW108">
            <v>0</v>
          </cell>
          <cell r="AY108">
            <v>1817.2946765059583</v>
          </cell>
          <cell r="AZ108">
            <v>1678.8759548064568</v>
          </cell>
          <cell r="BB108">
            <v>2147.089369605304</v>
          </cell>
          <cell r="BC108">
            <v>1045.5776340554444</v>
          </cell>
          <cell r="BE108">
            <v>650.05597371703573</v>
          </cell>
          <cell r="BF108">
            <v>1837.8578088519419</v>
          </cell>
          <cell r="BH108">
            <v>373.59798854367591</v>
          </cell>
          <cell r="BI108">
            <v>0</v>
          </cell>
          <cell r="BK108">
            <v>1027.4490459429919</v>
          </cell>
          <cell r="BL108">
            <v>3431.9152114880726</v>
          </cell>
          <cell r="BN108">
            <v>81.564258463179186</v>
          </cell>
          <cell r="BO108">
            <v>0</v>
          </cell>
          <cell r="BT108">
            <v>31186.258007913882</v>
          </cell>
          <cell r="BU108">
            <v>33901.01892477744</v>
          </cell>
          <cell r="BW108">
            <v>35871.254707439992</v>
          </cell>
          <cell r="BX108">
            <v>38877.611771598189</v>
          </cell>
          <cell r="BZ108">
            <v>6907.7583289455652</v>
          </cell>
          <cell r="CA108">
            <v>291.99145666794141</v>
          </cell>
          <cell r="CC108">
            <v>1359.0838660127288</v>
          </cell>
          <cell r="CD108">
            <v>1361.7072999066872</v>
          </cell>
          <cell r="CF108">
            <v>168.58824257227602</v>
          </cell>
          <cell r="CG108">
            <v>0</v>
          </cell>
          <cell r="CI108">
            <v>5838.5167100195858</v>
          </cell>
          <cell r="CJ108">
            <v>7429.760179924675</v>
          </cell>
          <cell r="CL108">
            <v>7764.3376612741322</v>
          </cell>
          <cell r="CM108">
            <v>11091.181163433197</v>
          </cell>
          <cell r="CX108">
            <v>3663.6858259390156</v>
          </cell>
          <cell r="CY108">
            <v>94473.195041260056</v>
          </cell>
          <cell r="DA108">
            <v>17181.547216136969</v>
          </cell>
          <cell r="DC108">
            <v>84402.16</v>
          </cell>
          <cell r="DD108">
            <v>0</v>
          </cell>
          <cell r="DE108">
            <v>43779.61</v>
          </cell>
          <cell r="DF108">
            <v>0</v>
          </cell>
          <cell r="DW108">
            <v>918</v>
          </cell>
          <cell r="DX108">
            <v>0</v>
          </cell>
        </row>
        <row r="109">
          <cell r="F109">
            <v>4714.6499999999996</v>
          </cell>
          <cell r="G109">
            <v>571.65</v>
          </cell>
          <cell r="H109">
            <v>0</v>
          </cell>
          <cell r="I109">
            <v>11255.177754858447</v>
          </cell>
          <cell r="J109">
            <v>8695.5211754980501</v>
          </cell>
          <cell r="L109">
            <v>1898.8585899175007</v>
          </cell>
          <cell r="M109">
            <v>1743.6506178098045</v>
          </cell>
          <cell r="O109">
            <v>6415.4873936779777</v>
          </cell>
          <cell r="P109">
            <v>6437.2049758013791</v>
          </cell>
          <cell r="R109">
            <v>1388.7582522004425</v>
          </cell>
          <cell r="S109">
            <v>1393.1743005618694</v>
          </cell>
          <cell r="U109">
            <v>758.85731859338944</v>
          </cell>
          <cell r="V109">
            <v>440.68274028654128</v>
          </cell>
          <cell r="X109">
            <v>8247.2587348561956</v>
          </cell>
          <cell r="Y109">
            <v>5308.4554367592737</v>
          </cell>
          <cell r="AA109">
            <v>0</v>
          </cell>
          <cell r="AB109">
            <v>0</v>
          </cell>
          <cell r="AD109">
            <v>17090.79898276339</v>
          </cell>
          <cell r="AE109">
            <v>16678.627468559091</v>
          </cell>
          <cell r="AJ109">
            <v>46493.244196316649</v>
          </cell>
          <cell r="AK109">
            <v>47418.281181767627</v>
          </cell>
          <cell r="AM109">
            <v>605.85684545284585</v>
          </cell>
          <cell r="AN109">
            <v>2624.8139872817342</v>
          </cell>
          <cell r="AP109">
            <v>3081.2181756315035</v>
          </cell>
          <cell r="AQ109">
            <v>3449.2995258263909</v>
          </cell>
          <cell r="AS109">
            <v>82801.275510416832</v>
          </cell>
          <cell r="AT109">
            <v>40040.531894384432</v>
          </cell>
          <cell r="AV109">
            <v>802.60834400134172</v>
          </cell>
          <cell r="AW109">
            <v>527.72371755561187</v>
          </cell>
          <cell r="AY109">
            <v>455.73492121812353</v>
          </cell>
          <cell r="AZ109">
            <v>2376.414288087331</v>
          </cell>
          <cell r="BB109">
            <v>451.2205014012693</v>
          </cell>
          <cell r="BC109">
            <v>0</v>
          </cell>
          <cell r="BE109">
            <v>311.14379351795105</v>
          </cell>
          <cell r="BF109">
            <v>0</v>
          </cell>
          <cell r="BH109">
            <v>243.77961877544951</v>
          </cell>
          <cell r="BI109">
            <v>0</v>
          </cell>
          <cell r="BK109">
            <v>937.31478436358179</v>
          </cell>
          <cell r="BL109">
            <v>6144.6952894282495</v>
          </cell>
          <cell r="BN109">
            <v>458.58906661023377</v>
          </cell>
          <cell r="BO109">
            <v>0</v>
          </cell>
          <cell r="BT109">
            <v>63444.885133788324</v>
          </cell>
          <cell r="BU109">
            <v>64258.438238163042</v>
          </cell>
          <cell r="BW109">
            <v>35247.352657651965</v>
          </cell>
          <cell r="BX109">
            <v>27970.577286244872</v>
          </cell>
          <cell r="BZ109">
            <v>17228.447162374541</v>
          </cell>
          <cell r="CA109">
            <v>259.39401175927708</v>
          </cell>
          <cell r="CC109">
            <v>1725.6417551862864</v>
          </cell>
          <cell r="CD109">
            <v>1728.9727542383664</v>
          </cell>
          <cell r="CF109">
            <v>214.05810052745423</v>
          </cell>
          <cell r="CG109">
            <v>0</v>
          </cell>
          <cell r="CI109">
            <v>20525.469113943214</v>
          </cell>
          <cell r="CJ109">
            <v>15046.071879496665</v>
          </cell>
          <cell r="CL109">
            <v>7863.7432823221725</v>
          </cell>
          <cell r="CM109">
            <v>13908.836097422687</v>
          </cell>
          <cell r="CX109">
            <v>7709.0525136741344</v>
          </cell>
          <cell r="CY109">
            <v>83903.548261795906</v>
          </cell>
          <cell r="DA109">
            <v>-193999.82229306642</v>
          </cell>
          <cell r="DC109">
            <v>120891.17</v>
          </cell>
          <cell r="DD109">
            <v>0</v>
          </cell>
          <cell r="DE109">
            <v>69015.360000000001</v>
          </cell>
          <cell r="DF109">
            <v>0</v>
          </cell>
          <cell r="DW109">
            <v>1062</v>
          </cell>
          <cell r="DX109">
            <v>0</v>
          </cell>
        </row>
        <row r="110">
          <cell r="F110">
            <v>259.3</v>
          </cell>
          <cell r="G110">
            <v>0</v>
          </cell>
          <cell r="H110">
            <v>0</v>
          </cell>
          <cell r="I110">
            <v>131.17791734468295</v>
          </cell>
          <cell r="J110">
            <v>100.22865577443446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441.59957341284274</v>
          </cell>
          <cell r="AQ110">
            <v>23.165414003615926</v>
          </cell>
          <cell r="AS110">
            <v>2380.7627478514787</v>
          </cell>
          <cell r="AT110">
            <v>0</v>
          </cell>
          <cell r="AV110">
            <v>25.134176371119487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T110">
            <v>609.0249441883891</v>
          </cell>
          <cell r="BU110">
            <v>1404.0595194288239</v>
          </cell>
          <cell r="BW110">
            <v>0</v>
          </cell>
          <cell r="BX110">
            <v>0</v>
          </cell>
          <cell r="BZ110">
            <v>143.2388612163391</v>
          </cell>
          <cell r="CA110">
            <v>2.3637940382597589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X110">
            <v>215.05126652404593</v>
          </cell>
          <cell r="CY110">
            <v>2856.3962710917081</v>
          </cell>
          <cell r="DA110">
            <v>-1804.9200219755121</v>
          </cell>
          <cell r="DC110">
            <v>2480.4</v>
          </cell>
          <cell r="DD110">
            <v>0</v>
          </cell>
          <cell r="DE110">
            <v>1871.56</v>
          </cell>
          <cell r="DF110">
            <v>0</v>
          </cell>
          <cell r="DW110">
            <v>0</v>
          </cell>
          <cell r="DX110">
            <v>0</v>
          </cell>
        </row>
        <row r="111">
          <cell r="F111">
            <v>9698.2000000000007</v>
          </cell>
          <cell r="G111">
            <v>1110</v>
          </cell>
          <cell r="H111">
            <v>39.4</v>
          </cell>
          <cell r="I111">
            <v>21563.534979712094</v>
          </cell>
          <cell r="J111">
            <v>16700.44993135062</v>
          </cell>
          <cell r="L111">
            <v>3624.593775772968</v>
          </cell>
          <cell r="M111">
            <v>3010.4208995365043</v>
          </cell>
          <cell r="O111">
            <v>13441.643228034551</v>
          </cell>
          <cell r="P111">
            <v>13486.966555825846</v>
          </cell>
          <cell r="R111">
            <v>2792.9762688842734</v>
          </cell>
          <cell r="S111">
            <v>2802.0957216325683</v>
          </cell>
          <cell r="U111">
            <v>3513.9749404443751</v>
          </cell>
          <cell r="V111">
            <v>1364.9545427147573</v>
          </cell>
          <cell r="X111">
            <v>17243.413098515517</v>
          </cell>
          <cell r="Y111">
            <v>11663.04883383728</v>
          </cell>
          <cell r="AA111">
            <v>0</v>
          </cell>
          <cell r="AB111">
            <v>0</v>
          </cell>
          <cell r="AD111">
            <v>35296.198642454823</v>
          </cell>
          <cell r="AE111">
            <v>34445.132790440512</v>
          </cell>
          <cell r="AJ111">
            <v>67122.005543524705</v>
          </cell>
          <cell r="AK111">
            <v>62720.801492882703</v>
          </cell>
          <cell r="AM111">
            <v>5473.4745361207506</v>
          </cell>
          <cell r="AN111">
            <v>4329.3195326071072</v>
          </cell>
          <cell r="AP111">
            <v>6245.7125181719666</v>
          </cell>
          <cell r="AQ111">
            <v>6977.1454987499719</v>
          </cell>
          <cell r="AS111">
            <v>157770.04951325397</v>
          </cell>
          <cell r="AT111">
            <v>144334.06328712142</v>
          </cell>
          <cell r="AV111">
            <v>1068.1929141341254</v>
          </cell>
          <cell r="AW111">
            <v>273.9376929885193</v>
          </cell>
          <cell r="AY111">
            <v>1481.8466854970218</v>
          </cell>
          <cell r="AZ111">
            <v>946.36313919312875</v>
          </cell>
          <cell r="BB111">
            <v>2187.9526302182221</v>
          </cell>
          <cell r="BC111">
            <v>4638.5410550123324</v>
          </cell>
          <cell r="BE111">
            <v>753.29726531563176</v>
          </cell>
          <cell r="BF111">
            <v>0</v>
          </cell>
          <cell r="BH111">
            <v>1184.1927480663824</v>
          </cell>
          <cell r="BI111">
            <v>0</v>
          </cell>
          <cell r="BK111">
            <v>2201.7603996433863</v>
          </cell>
          <cell r="BL111">
            <v>4508.5081936278448</v>
          </cell>
          <cell r="BN111">
            <v>821.95481016639451</v>
          </cell>
          <cell r="BO111">
            <v>13771.414254505135</v>
          </cell>
          <cell r="BT111">
            <v>117709.48381298014</v>
          </cell>
          <cell r="BU111">
            <v>186348.08362565009</v>
          </cell>
          <cell r="BW111">
            <v>76332.472530265062</v>
          </cell>
          <cell r="BX111">
            <v>91363.500105799569</v>
          </cell>
          <cell r="BZ111">
            <v>30621.760325073563</v>
          </cell>
          <cell r="CA111">
            <v>886.01623484554182</v>
          </cell>
          <cell r="CC111">
            <v>2599.2286686852262</v>
          </cell>
          <cell r="CD111">
            <v>2604.2459488973614</v>
          </cell>
          <cell r="CF111">
            <v>322.422629136718</v>
          </cell>
          <cell r="CG111">
            <v>0</v>
          </cell>
          <cell r="CI111">
            <v>20957.451083626769</v>
          </cell>
          <cell r="CJ111">
            <v>20739.242769225646</v>
          </cell>
          <cell r="CL111">
            <v>31826.235245790493</v>
          </cell>
          <cell r="CM111">
            <v>31114.649582141967</v>
          </cell>
          <cell r="CX111">
            <v>23003.419294710526</v>
          </cell>
          <cell r="CY111">
            <v>-18844.268179406296</v>
          </cell>
          <cell r="DA111">
            <v>-33765.586656907166</v>
          </cell>
          <cell r="DC111">
            <v>198701.54</v>
          </cell>
          <cell r="DD111">
            <v>10024.92</v>
          </cell>
          <cell r="DE111">
            <v>98522.340000000011</v>
          </cell>
          <cell r="DF111">
            <v>9736.3700000000008</v>
          </cell>
          <cell r="DW111">
            <v>1242</v>
          </cell>
          <cell r="DX111">
            <v>0</v>
          </cell>
        </row>
        <row r="112">
          <cell r="F112">
            <v>249.9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551.9994667660535</v>
          </cell>
          <cell r="AQ112">
            <v>92.661656014463702</v>
          </cell>
          <cell r="AS112">
            <v>2484.7454066696982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T112">
            <v>1258.6515513226707</v>
          </cell>
          <cell r="BU112">
            <v>4412.6971728839389</v>
          </cell>
          <cell r="BW112">
            <v>0</v>
          </cell>
          <cell r="BX112">
            <v>0</v>
          </cell>
          <cell r="BZ112">
            <v>296.02697984710079</v>
          </cell>
          <cell r="CA112">
            <v>7.4290669773878131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X112">
            <v>162.15363842905896</v>
          </cell>
          <cell r="CY112">
            <v>256.51624890473875</v>
          </cell>
          <cell r="DA112">
            <v>-2030.1138304491183</v>
          </cell>
          <cell r="DC112">
            <v>949.56</v>
          </cell>
          <cell r="DD112">
            <v>0</v>
          </cell>
          <cell r="DE112">
            <v>219.76</v>
          </cell>
          <cell r="DF112">
            <v>0</v>
          </cell>
          <cell r="DW112">
            <v>0</v>
          </cell>
          <cell r="DX112">
            <v>0</v>
          </cell>
        </row>
        <row r="113">
          <cell r="F113">
            <v>1780.73</v>
          </cell>
          <cell r="G113">
            <v>0</v>
          </cell>
          <cell r="H113">
            <v>118.5</v>
          </cell>
          <cell r="I113">
            <v>5325.371851248532</v>
          </cell>
          <cell r="J113">
            <v>4087.5726142818812</v>
          </cell>
          <cell r="L113">
            <v>1048.6731408800174</v>
          </cell>
          <cell r="M113">
            <v>890.48641570753136</v>
          </cell>
          <cell r="O113">
            <v>2500.5815128109884</v>
          </cell>
          <cell r="P113">
            <v>2508.920188923847</v>
          </cell>
          <cell r="R113">
            <v>0</v>
          </cell>
          <cell r="S113">
            <v>0</v>
          </cell>
          <cell r="U113">
            <v>140.32647418906288</v>
          </cell>
          <cell r="V113">
            <v>80.958443147995155</v>
          </cell>
          <cell r="X113">
            <v>2809.4468746731131</v>
          </cell>
          <cell r="Y113">
            <v>1970.7818228422627</v>
          </cell>
          <cell r="AA113">
            <v>0</v>
          </cell>
          <cell r="AB113">
            <v>0</v>
          </cell>
          <cell r="AD113">
            <v>6883.6270042908945</v>
          </cell>
          <cell r="AE113">
            <v>6717.678395296829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4746.7415138106953</v>
          </cell>
          <cell r="AQ113">
            <v>2715.7327717059088</v>
          </cell>
          <cell r="AS113">
            <v>14370.853480298763</v>
          </cell>
          <cell r="AT113">
            <v>11251.666559918343</v>
          </cell>
          <cell r="AV113">
            <v>968.8579696474676</v>
          </cell>
          <cell r="AW113">
            <v>0</v>
          </cell>
          <cell r="AY113">
            <v>1231.5419374980313</v>
          </cell>
          <cell r="AZ113">
            <v>0</v>
          </cell>
          <cell r="BB113">
            <v>395.17929224952189</v>
          </cell>
          <cell r="BC113">
            <v>0</v>
          </cell>
          <cell r="BE113">
            <v>0</v>
          </cell>
          <cell r="BF113">
            <v>0</v>
          </cell>
          <cell r="BH113">
            <v>82.704815978574771</v>
          </cell>
          <cell r="BI113">
            <v>0</v>
          </cell>
          <cell r="BK113">
            <v>523.59917611005596</v>
          </cell>
          <cell r="BL113">
            <v>0</v>
          </cell>
          <cell r="BN113">
            <v>382.5197317312643</v>
          </cell>
          <cell r="BO113">
            <v>0</v>
          </cell>
          <cell r="BT113">
            <v>15325.514344197041</v>
          </cell>
          <cell r="BU113">
            <v>31072.518358806545</v>
          </cell>
          <cell r="BW113">
            <v>7256.4925821355655</v>
          </cell>
          <cell r="BX113">
            <v>9185.0750116173149</v>
          </cell>
          <cell r="BZ113">
            <v>8529.7496808103569</v>
          </cell>
          <cell r="CA113">
            <v>100.45609314806481</v>
          </cell>
          <cell r="CC113">
            <v>610.07536799515162</v>
          </cell>
          <cell r="CD113">
            <v>611.25299392265492</v>
          </cell>
          <cell r="CF113">
            <v>75.677106247079763</v>
          </cell>
          <cell r="CG113">
            <v>0</v>
          </cell>
          <cell r="CI113">
            <v>1467.4898887976708</v>
          </cell>
          <cell r="CJ113">
            <v>1405.7127495240497</v>
          </cell>
          <cell r="CL113">
            <v>0</v>
          </cell>
          <cell r="CM113">
            <v>0</v>
          </cell>
          <cell r="CX113">
            <v>2432.1621994768489</v>
          </cell>
          <cell r="CY113">
            <v>4923.615791584798</v>
          </cell>
          <cell r="DA113">
            <v>42622.046559757051</v>
          </cell>
          <cell r="DC113">
            <v>24131.62</v>
          </cell>
          <cell r="DD113">
            <v>673.51</v>
          </cell>
          <cell r="DE113">
            <v>12845.779999999999</v>
          </cell>
          <cell r="DF113">
            <v>0</v>
          </cell>
          <cell r="DW113">
            <v>918</v>
          </cell>
          <cell r="DX113">
            <v>0</v>
          </cell>
        </row>
        <row r="114">
          <cell r="F114">
            <v>9163.1</v>
          </cell>
          <cell r="G114">
            <v>1004.05</v>
          </cell>
          <cell r="H114">
            <v>149</v>
          </cell>
          <cell r="I114">
            <v>21372.86365871728</v>
          </cell>
          <cell r="J114">
            <v>16555.821564117767</v>
          </cell>
          <cell r="L114">
            <v>3517.4412894981651</v>
          </cell>
          <cell r="M114">
            <v>2905.1495532855847</v>
          </cell>
          <cell r="O114">
            <v>12510.460619130083</v>
          </cell>
          <cell r="P114">
            <v>12552.311528908862</v>
          </cell>
          <cell r="R114">
            <v>2669.794985942458</v>
          </cell>
          <cell r="S114">
            <v>2678.8522659043429</v>
          </cell>
          <cell r="U114">
            <v>3513.9749404443751</v>
          </cell>
          <cell r="V114">
            <v>2364.4608420118543</v>
          </cell>
          <cell r="X114">
            <v>17275.408330001959</v>
          </cell>
          <cell r="Y114">
            <v>11691.590824240206</v>
          </cell>
          <cell r="AA114">
            <v>0</v>
          </cell>
          <cell r="AB114">
            <v>0</v>
          </cell>
          <cell r="AD114">
            <v>33653.893681464266</v>
          </cell>
          <cell r="AE114">
            <v>32938.022182217421</v>
          </cell>
          <cell r="AJ114">
            <v>81762.434556871522</v>
          </cell>
          <cell r="AK114">
            <v>75536.216588503565</v>
          </cell>
          <cell r="AM114">
            <v>605.85684545284585</v>
          </cell>
          <cell r="AN114">
            <v>2228.0381641210543</v>
          </cell>
          <cell r="AP114">
            <v>6027.8458628927483</v>
          </cell>
          <cell r="AQ114">
            <v>6647.1981260189823</v>
          </cell>
          <cell r="AS114">
            <v>145067.71830351499</v>
          </cell>
          <cell r="AT114">
            <v>102441.08215890436</v>
          </cell>
          <cell r="AV114">
            <v>778.75102333121322</v>
          </cell>
          <cell r="AW114">
            <v>591.28868768881694</v>
          </cell>
          <cell r="AY114">
            <v>962.7387406440871</v>
          </cell>
          <cell r="AZ114">
            <v>4042.1656489151546</v>
          </cell>
          <cell r="BB114">
            <v>1177.3730456023102</v>
          </cell>
          <cell r="BC114">
            <v>0</v>
          </cell>
          <cell r="BE114">
            <v>532.08508087409132</v>
          </cell>
          <cell r="BF114">
            <v>0</v>
          </cell>
          <cell r="BH114">
            <v>868.49087842378185</v>
          </cell>
          <cell r="BI114">
            <v>1437.5564717240734</v>
          </cell>
          <cell r="BK114">
            <v>2129.3396555579884</v>
          </cell>
          <cell r="BL114">
            <v>8278.3467130710269</v>
          </cell>
          <cell r="BN114">
            <v>821.95481016639451</v>
          </cell>
          <cell r="BO114">
            <v>14227.048163898313</v>
          </cell>
          <cell r="BT114">
            <v>114932.83293668574</v>
          </cell>
          <cell r="BU114">
            <v>117210.3868021619</v>
          </cell>
          <cell r="BW114">
            <v>67027.863175390914</v>
          </cell>
          <cell r="BX114">
            <v>57265.919323156246</v>
          </cell>
          <cell r="BZ114">
            <v>17228.447162374541</v>
          </cell>
          <cell r="CA114">
            <v>139.22441256480099</v>
          </cell>
          <cell r="CC114">
            <v>2257.791529958527</v>
          </cell>
          <cell r="CD114">
            <v>2262.1497354919084</v>
          </cell>
          <cell r="CF114">
            <v>280.06888732112543</v>
          </cell>
          <cell r="CG114">
            <v>0</v>
          </cell>
          <cell r="CI114">
            <v>31690.005783947567</v>
          </cell>
          <cell r="CJ114">
            <v>26652.256039273114</v>
          </cell>
          <cell r="CL114">
            <v>15509.726508293345</v>
          </cell>
          <cell r="CM114">
            <v>21805.169232123641</v>
          </cell>
          <cell r="CX114">
            <v>23217.468720736091</v>
          </cell>
          <cell r="CY114">
            <v>97287.357437775223</v>
          </cell>
          <cell r="DA114">
            <v>-149599.6852154496</v>
          </cell>
          <cell r="DC114">
            <v>132962.48000000001</v>
          </cell>
          <cell r="DD114">
            <v>19945.55</v>
          </cell>
          <cell r="DE114">
            <v>39035.460000000006</v>
          </cell>
          <cell r="DF114">
            <v>18872.89</v>
          </cell>
          <cell r="DW114">
            <v>1242</v>
          </cell>
          <cell r="DX114">
            <v>0</v>
          </cell>
        </row>
        <row r="115">
          <cell r="F115">
            <v>3714.1</v>
          </cell>
          <cell r="G115">
            <v>340.25</v>
          </cell>
          <cell r="H115">
            <v>63.3</v>
          </cell>
          <cell r="I115">
            <v>8570.8044481447305</v>
          </cell>
          <cell r="J115">
            <v>6617.6460453853224</v>
          </cell>
          <cell r="L115">
            <v>1805.3613593746672</v>
          </cell>
          <cell r="M115">
            <v>1553.4332899459362</v>
          </cell>
          <cell r="O115">
            <v>5611.9236375925339</v>
          </cell>
          <cell r="P115">
            <v>5687.3641799219658</v>
          </cell>
          <cell r="R115">
            <v>1024.0073611054472</v>
          </cell>
          <cell r="S115">
            <v>1027.2523099355585</v>
          </cell>
          <cell r="U115">
            <v>650.74940183987576</v>
          </cell>
          <cell r="V115">
            <v>307.39701078298117</v>
          </cell>
          <cell r="X115">
            <v>6833.8362229878067</v>
          </cell>
          <cell r="Y115">
            <v>4848.7617058931555</v>
          </cell>
          <cell r="AA115">
            <v>0</v>
          </cell>
          <cell r="AB115">
            <v>0</v>
          </cell>
          <cell r="AD115">
            <v>13691.697653386454</v>
          </cell>
          <cell r="AE115">
            <v>13361.581263329976</v>
          </cell>
          <cell r="AJ115">
            <v>50754.907531670506</v>
          </cell>
          <cell r="AK115">
            <v>47893.900096703182</v>
          </cell>
          <cell r="AM115">
            <v>0</v>
          </cell>
          <cell r="AN115">
            <v>0</v>
          </cell>
          <cell r="AP115">
            <v>2956.3039252680646</v>
          </cell>
          <cell r="AQ115">
            <v>2622.2071723234098</v>
          </cell>
          <cell r="AS115">
            <v>55107.712554700389</v>
          </cell>
          <cell r="AT115">
            <v>76503.456074087706</v>
          </cell>
          <cell r="AV115">
            <v>865.41408736653739</v>
          </cell>
          <cell r="AW115">
            <v>527.72371755561187</v>
          </cell>
          <cell r="AY115">
            <v>1035.9151733841261</v>
          </cell>
          <cell r="AZ115">
            <v>0</v>
          </cell>
          <cell r="BB115">
            <v>1317.8877350198275</v>
          </cell>
          <cell r="BC115">
            <v>14861.681466427579</v>
          </cell>
          <cell r="BE115">
            <v>436.77134392517468</v>
          </cell>
          <cell r="BF115">
            <v>12458.673079920201</v>
          </cell>
          <cell r="BH115">
            <v>330.55002861087428</v>
          </cell>
          <cell r="BI115">
            <v>0</v>
          </cell>
          <cell r="BK115">
            <v>1160.7077041172338</v>
          </cell>
          <cell r="BL115">
            <v>3136.3490224332895</v>
          </cell>
          <cell r="BN115">
            <v>341.08779111384092</v>
          </cell>
          <cell r="BO115">
            <v>0</v>
          </cell>
          <cell r="BT115">
            <v>39140.665001576795</v>
          </cell>
          <cell r="BU115">
            <v>51650.440438179801</v>
          </cell>
          <cell r="BW115">
            <v>36012.663105748972</v>
          </cell>
          <cell r="BX115">
            <v>41511.992453474828</v>
          </cell>
          <cell r="BZ115">
            <v>7400.2587452261105</v>
          </cell>
          <cell r="CA115">
            <v>263.36102609988649</v>
          </cell>
          <cell r="CC115">
            <v>1058.147529026885</v>
          </cell>
          <cell r="CD115">
            <v>1060.1900667700502</v>
          </cell>
          <cell r="CF115">
            <v>131.25844310417872</v>
          </cell>
          <cell r="CG115">
            <v>0</v>
          </cell>
          <cell r="CI115">
            <v>11391.235258437147</v>
          </cell>
          <cell r="CJ115">
            <v>4972.2458676911492</v>
          </cell>
          <cell r="CL115">
            <v>7882.2162728336934</v>
          </cell>
          <cell r="CM115">
            <v>11970.247627831883</v>
          </cell>
          <cell r="CX115">
            <v>9520.1918113132906</v>
          </cell>
          <cell r="CY115">
            <v>-47268.394107644635</v>
          </cell>
          <cell r="DA115">
            <v>-13032.591699360826</v>
          </cell>
          <cell r="DC115">
            <v>113862.3</v>
          </cell>
          <cell r="DD115">
            <v>177.76</v>
          </cell>
          <cell r="DE115">
            <v>73206.63</v>
          </cell>
          <cell r="DF115">
            <v>-254.51999999999998</v>
          </cell>
          <cell r="DW115">
            <v>909</v>
          </cell>
          <cell r="DX115">
            <v>0</v>
          </cell>
        </row>
        <row r="116">
          <cell r="F116">
            <v>4512.63</v>
          </cell>
          <cell r="G116">
            <v>368.4</v>
          </cell>
          <cell r="H116">
            <v>143.69999999999999</v>
          </cell>
          <cell r="I116">
            <v>13920.332045304813</v>
          </cell>
          <cell r="J116">
            <v>10784.670158491384</v>
          </cell>
          <cell r="L116">
            <v>2166.9828580876515</v>
          </cell>
          <cell r="M116">
            <v>1860.865720196809</v>
          </cell>
          <cell r="O116">
            <v>6501.2787279255544</v>
          </cell>
          <cell r="P116">
            <v>6579.8123451847941</v>
          </cell>
          <cell r="R116">
            <v>1256.1093471076083</v>
          </cell>
          <cell r="S116">
            <v>1260.2280846746753</v>
          </cell>
          <cell r="U116">
            <v>634.12267486977794</v>
          </cell>
          <cell r="V116">
            <v>297.69886394754428</v>
          </cell>
          <cell r="X116">
            <v>5544.7775558069206</v>
          </cell>
          <cell r="Y116">
            <v>3647.0684042612443</v>
          </cell>
          <cell r="AA116">
            <v>0</v>
          </cell>
          <cell r="AB116">
            <v>0</v>
          </cell>
          <cell r="AD116">
            <v>16867.949860310633</v>
          </cell>
          <cell r="AE116">
            <v>16461.753345502715</v>
          </cell>
          <cell r="AJ116">
            <v>36072.063269306098</v>
          </cell>
          <cell r="AK116">
            <v>34483.618016603694</v>
          </cell>
          <cell r="AM116">
            <v>605.85684545284585</v>
          </cell>
          <cell r="AN116">
            <v>0</v>
          </cell>
          <cell r="AP116">
            <v>2914.6658418135858</v>
          </cell>
          <cell r="AQ116">
            <v>731.88939473374296</v>
          </cell>
          <cell r="AS116">
            <v>62590.704018499782</v>
          </cell>
          <cell r="AT116">
            <v>8967.9482112621445</v>
          </cell>
          <cell r="AV116">
            <v>1301.6231389672648</v>
          </cell>
          <cell r="AW116">
            <v>527.72371755561187</v>
          </cell>
          <cell r="AY116">
            <v>1304.6872597204274</v>
          </cell>
          <cell r="AZ116">
            <v>0</v>
          </cell>
          <cell r="BB116">
            <v>1313.7552357839647</v>
          </cell>
          <cell r="BC116">
            <v>1095.8237984348568</v>
          </cell>
          <cell r="BE116">
            <v>532.75031425918144</v>
          </cell>
          <cell r="BF116">
            <v>2364.6819563445451</v>
          </cell>
          <cell r="BH116">
            <v>330.55002861087428</v>
          </cell>
          <cell r="BI116">
            <v>1307.0381522802945</v>
          </cell>
          <cell r="BK116">
            <v>1094.4022730725228</v>
          </cell>
          <cell r="BL116">
            <v>0</v>
          </cell>
          <cell r="BN116">
            <v>344.57243115001052</v>
          </cell>
          <cell r="BO116">
            <v>0</v>
          </cell>
          <cell r="BT116">
            <v>48497.870565340956</v>
          </cell>
          <cell r="BU116">
            <v>22653.790579970297</v>
          </cell>
          <cell r="BW116">
            <v>36487.64603185896</v>
          </cell>
          <cell r="BX116">
            <v>12400.862142943302</v>
          </cell>
          <cell r="BZ116">
            <v>5869.1707289724345</v>
          </cell>
          <cell r="CA116">
            <v>29.732732303723431</v>
          </cell>
          <cell r="CC116">
            <v>914.3440494280278</v>
          </cell>
          <cell r="CD116">
            <v>916.10900391685254</v>
          </cell>
          <cell r="CF116">
            <v>113.42026806022419</v>
          </cell>
          <cell r="CG116">
            <v>0</v>
          </cell>
          <cell r="CI116">
            <v>8099.5456908243304</v>
          </cell>
          <cell r="CJ116">
            <v>8355.9129914435853</v>
          </cell>
          <cell r="CL116">
            <v>12291.027646210659</v>
          </cell>
          <cell r="CM116">
            <v>12523.657496303702</v>
          </cell>
          <cell r="CX116">
            <v>7702.3689829950117</v>
          </cell>
          <cell r="CY116">
            <v>152085.55729146249</v>
          </cell>
          <cell r="DA116">
            <v>-13931.434431721951</v>
          </cell>
          <cell r="DC116">
            <v>68985.179999999993</v>
          </cell>
          <cell r="DD116">
            <v>975.91</v>
          </cell>
          <cell r="DE116">
            <v>27231.919999999991</v>
          </cell>
          <cell r="DF116">
            <v>83.050000000000068</v>
          </cell>
          <cell r="DW116">
            <v>909</v>
          </cell>
          <cell r="DX116">
            <v>0</v>
          </cell>
        </row>
        <row r="117">
          <cell r="F117">
            <v>4786.05</v>
          </cell>
          <cell r="G117">
            <v>340.9</v>
          </cell>
          <cell r="H117">
            <v>64.599999999999994</v>
          </cell>
          <cell r="I117">
            <v>14968.659866173677</v>
          </cell>
          <cell r="J117">
            <v>11550.25762922849</v>
          </cell>
          <cell r="L117">
            <v>2301.6703572794645</v>
          </cell>
          <cell r="M117">
            <v>1939.2276246805436</v>
          </cell>
          <cell r="O117">
            <v>7009.1569211193373</v>
          </cell>
          <cell r="P117">
            <v>7089.399215213336</v>
          </cell>
          <cell r="R117">
            <v>1344.301770062679</v>
          </cell>
          <cell r="S117">
            <v>1348.6937930484344</v>
          </cell>
          <cell r="U117">
            <v>684.09571277349596</v>
          </cell>
          <cell r="V117">
            <v>318.3904368671636</v>
          </cell>
          <cell r="X117">
            <v>6051.2686800077781</v>
          </cell>
          <cell r="Y117">
            <v>3892.8798328481562</v>
          </cell>
          <cell r="AA117">
            <v>0</v>
          </cell>
          <cell r="AB117">
            <v>0</v>
          </cell>
          <cell r="AD117">
            <v>17582.022877210296</v>
          </cell>
          <cell r="AE117">
            <v>17158.09829638094</v>
          </cell>
          <cell r="AJ117">
            <v>38952.642965214181</v>
          </cell>
          <cell r="AK117">
            <v>29581.136033278115</v>
          </cell>
          <cell r="AM117">
            <v>302.92842272642292</v>
          </cell>
          <cell r="AN117">
            <v>1179.5107384089124</v>
          </cell>
          <cell r="AP117">
            <v>3289.4085929039034</v>
          </cell>
          <cell r="AQ117">
            <v>4560</v>
          </cell>
          <cell r="AS117">
            <v>61316.666805008019</v>
          </cell>
          <cell r="AT117">
            <v>79639.352446456251</v>
          </cell>
          <cell r="AV117">
            <v>1486.7710100466611</v>
          </cell>
          <cell r="AW117">
            <v>1355.8718912144586</v>
          </cell>
          <cell r="AY117">
            <v>1364.1698302773887</v>
          </cell>
          <cell r="AZ117">
            <v>12550.256093164056</v>
          </cell>
          <cell r="BB117">
            <v>1463.3510328378209</v>
          </cell>
          <cell r="BC117">
            <v>2661.5714154231418</v>
          </cell>
          <cell r="BE117">
            <v>551.67619993426422</v>
          </cell>
          <cell r="BF117">
            <v>532.08207401446475</v>
          </cell>
          <cell r="BH117">
            <v>357.05702534796092</v>
          </cell>
          <cell r="BI117">
            <v>0</v>
          </cell>
          <cell r="BK117">
            <v>1161.7104893997578</v>
          </cell>
          <cell r="BL117">
            <v>4878.569249700744</v>
          </cell>
          <cell r="BN117">
            <v>281.98209718707454</v>
          </cell>
          <cell r="BO117">
            <v>0</v>
          </cell>
          <cell r="BT117">
            <v>65972.578494015368</v>
          </cell>
          <cell r="BU117">
            <v>29617.137269160667</v>
          </cell>
          <cell r="BW117">
            <v>39683.192137005353</v>
          </cell>
          <cell r="BX117">
            <v>14205.108445086364</v>
          </cell>
          <cell r="BZ117">
            <v>10207.253441691189</v>
          </cell>
          <cell r="CA117">
            <v>40.265408810625381</v>
          </cell>
          <cell r="CC117">
            <v>673.64624667699945</v>
          </cell>
          <cell r="CD117">
            <v>674.94658320535154</v>
          </cell>
          <cell r="CF117">
            <v>83.562787906439354</v>
          </cell>
          <cell r="CG117">
            <v>0</v>
          </cell>
          <cell r="CI117">
            <v>16346.657959138196</v>
          </cell>
          <cell r="CJ117">
            <v>18050.646855320389</v>
          </cell>
          <cell r="CL117">
            <v>12116.09553404518</v>
          </cell>
          <cell r="CM117">
            <v>19544.96221220016</v>
          </cell>
          <cell r="CX117">
            <v>8376.7138871561783</v>
          </cell>
          <cell r="CY117">
            <v>60197.710341889979</v>
          </cell>
          <cell r="DA117">
            <v>-140136.26848019188</v>
          </cell>
          <cell r="DC117">
            <v>96543.73</v>
          </cell>
          <cell r="DD117">
            <v>11.04</v>
          </cell>
          <cell r="DE117">
            <v>48265.63</v>
          </cell>
          <cell r="DF117">
            <v>-429.13</v>
          </cell>
          <cell r="DW117">
            <v>909</v>
          </cell>
          <cell r="DX117">
            <v>0</v>
          </cell>
        </row>
        <row r="118">
          <cell r="F118">
            <v>9562.94</v>
          </cell>
          <cell r="G118">
            <v>1060.24</v>
          </cell>
          <cell r="H118">
            <v>0</v>
          </cell>
          <cell r="I118">
            <v>21244.812837384783</v>
          </cell>
          <cell r="J118">
            <v>16572.11251781767</v>
          </cell>
          <cell r="L118">
            <v>3518.6384494961776</v>
          </cell>
          <cell r="M118">
            <v>2998.1385288975434</v>
          </cell>
          <cell r="O118">
            <v>12095.01082836774</v>
          </cell>
          <cell r="P118">
            <v>12135.709643895869</v>
          </cell>
          <cell r="R118">
            <v>2630.7989028445395</v>
          </cell>
          <cell r="S118">
            <v>2639.5483187837253</v>
          </cell>
          <cell r="U118">
            <v>3655.6651575037545</v>
          </cell>
          <cell r="V118">
            <v>1623.9214744120084</v>
          </cell>
          <cell r="X118">
            <v>16693.932891388449</v>
          </cell>
          <cell r="Y118">
            <v>11991.94306128435</v>
          </cell>
          <cell r="AA118">
            <v>0</v>
          </cell>
          <cell r="AB118">
            <v>0</v>
          </cell>
          <cell r="AD118">
            <v>34635.98300474423</v>
          </cell>
          <cell r="AE118">
            <v>33802.260761604157</v>
          </cell>
          <cell r="AJ118">
            <v>79733.666743546637</v>
          </cell>
          <cell r="AK118">
            <v>68967.282337623212</v>
          </cell>
          <cell r="AM118">
            <v>0</v>
          </cell>
          <cell r="AN118">
            <v>0</v>
          </cell>
          <cell r="AP118">
            <v>6370.626768535406</v>
          </cell>
          <cell r="AQ118">
            <v>0</v>
          </cell>
          <cell r="AS118">
            <v>156666.9332429097</v>
          </cell>
          <cell r="AT118">
            <v>124356.26515863984</v>
          </cell>
          <cell r="AV118">
            <v>2053.3226133742751</v>
          </cell>
          <cell r="AW118">
            <v>140.5611779506969</v>
          </cell>
          <cell r="AY118">
            <v>2277.3850532644019</v>
          </cell>
          <cell r="AZ118">
            <v>3309.3753905172575</v>
          </cell>
          <cell r="BB118">
            <v>3763.6517631845877</v>
          </cell>
          <cell r="BC118">
            <v>51.992053775999999</v>
          </cell>
          <cell r="BE118">
            <v>1195.6800258772103</v>
          </cell>
          <cell r="BF118">
            <v>0</v>
          </cell>
          <cell r="BH118">
            <v>1721.864362575865</v>
          </cell>
          <cell r="BI118">
            <v>0</v>
          </cell>
          <cell r="BK118">
            <v>2750.5357145604298</v>
          </cell>
          <cell r="BL118">
            <v>0</v>
          </cell>
          <cell r="BN118">
            <v>903.99966546532426</v>
          </cell>
          <cell r="BO118">
            <v>12840.309038746444</v>
          </cell>
          <cell r="BT118">
            <v>121008.47881236137</v>
          </cell>
          <cell r="BU118">
            <v>185609.67260795517</v>
          </cell>
          <cell r="BW118">
            <v>83878.520489674003</v>
          </cell>
          <cell r="BX118">
            <v>100918.39533200445</v>
          </cell>
          <cell r="BZ118">
            <v>30621.760325073563</v>
          </cell>
          <cell r="CA118">
            <v>872.69976897489892</v>
          </cell>
          <cell r="CC118">
            <v>1686.6789585748311</v>
          </cell>
          <cell r="CD118">
            <v>1689.9347479038101</v>
          </cell>
          <cell r="CF118">
            <v>209.22494080074995</v>
          </cell>
          <cell r="CG118">
            <v>0</v>
          </cell>
          <cell r="CI118">
            <v>16623.22153932547</v>
          </cell>
          <cell r="CJ118">
            <v>18389.832664960264</v>
          </cell>
          <cell r="CL118">
            <v>25248.815934487069</v>
          </cell>
          <cell r="CM118">
            <v>27580.85552972302</v>
          </cell>
          <cell r="CX118">
            <v>18293.859247151824</v>
          </cell>
          <cell r="CY118">
            <v>23931.937938971954</v>
          </cell>
          <cell r="DA118">
            <v>-63131.719361958647</v>
          </cell>
          <cell r="DC118">
            <v>250299.3</v>
          </cell>
          <cell r="DD118">
            <v>0</v>
          </cell>
          <cell r="DE118">
            <v>149794.37</v>
          </cell>
          <cell r="DF118">
            <v>0</v>
          </cell>
          <cell r="DW118">
            <v>1494</v>
          </cell>
          <cell r="DX118">
            <v>0</v>
          </cell>
        </row>
        <row r="119">
          <cell r="F119">
            <v>7508.96</v>
          </cell>
          <cell r="G119">
            <v>772.75</v>
          </cell>
          <cell r="H119">
            <v>0</v>
          </cell>
          <cell r="I119">
            <v>17361.186142025159</v>
          </cell>
          <cell r="J119">
            <v>13482.494072319436</v>
          </cell>
          <cell r="L119">
            <v>3459.3901188496593</v>
          </cell>
          <cell r="M119">
            <v>2898.3103208814359</v>
          </cell>
          <cell r="O119">
            <v>11121.160578778494</v>
          </cell>
          <cell r="P119">
            <v>11214.899907486131</v>
          </cell>
          <cell r="R119">
            <v>2073.3994229308391</v>
          </cell>
          <cell r="S119">
            <v>2080.6123750149186</v>
          </cell>
          <cell r="U119">
            <v>1800.8529412461098</v>
          </cell>
          <cell r="V119">
            <v>736.68636431197365</v>
          </cell>
          <cell r="X119">
            <v>14002.484039909326</v>
          </cell>
          <cell r="Y119">
            <v>9431.046762609365</v>
          </cell>
          <cell r="AA119">
            <v>0</v>
          </cell>
          <cell r="AB119">
            <v>0</v>
          </cell>
          <cell r="AD119">
            <v>27213.11302370147</v>
          </cell>
          <cell r="AE119">
            <v>26557.202741981277</v>
          </cell>
          <cell r="AJ119">
            <v>53923.475175526968</v>
          </cell>
          <cell r="AK119">
            <v>49523.009613947761</v>
          </cell>
          <cell r="AM119">
            <v>5170.5461133943272</v>
          </cell>
          <cell r="AN119">
            <v>3273.1187546007641</v>
          </cell>
          <cell r="AP119">
            <v>5954.245933990609</v>
          </cell>
          <cell r="AQ119">
            <v>6755.4561683946067</v>
          </cell>
          <cell r="AS119">
            <v>112289.60385504285</v>
          </cell>
          <cell r="AT119">
            <v>47732.547467102682</v>
          </cell>
          <cell r="AV119">
            <v>1440.8123167557519</v>
          </cell>
          <cell r="AW119">
            <v>321.96308066569685</v>
          </cell>
          <cell r="AY119">
            <v>2127.1171160821686</v>
          </cell>
          <cell r="AZ119">
            <v>0</v>
          </cell>
          <cell r="BB119">
            <v>2455.4686610820254</v>
          </cell>
          <cell r="BC119">
            <v>4732.4747414387084</v>
          </cell>
          <cell r="BE119">
            <v>974.69131285195522</v>
          </cell>
          <cell r="BF119">
            <v>14082.981954027804</v>
          </cell>
          <cell r="BH119">
            <v>1028.2288455745195</v>
          </cell>
          <cell r="BI119">
            <v>0</v>
          </cell>
          <cell r="BK119">
            <v>1833.6091505353238</v>
          </cell>
          <cell r="BL119">
            <v>8100.7660245845973</v>
          </cell>
          <cell r="BN119">
            <v>664.91693960358907</v>
          </cell>
          <cell r="BO119">
            <v>0</v>
          </cell>
          <cell r="BT119">
            <v>97326.635419620856</v>
          </cell>
          <cell r="BU119">
            <v>127245.69483384081</v>
          </cell>
          <cell r="BW119">
            <v>60274.649668467733</v>
          </cell>
          <cell r="BX119">
            <v>72004.524502963759</v>
          </cell>
          <cell r="BZ119">
            <v>11960.080552181586</v>
          </cell>
          <cell r="CA119">
            <v>211.52843519075913</v>
          </cell>
          <cell r="CC119">
            <v>1732.8191124568173</v>
          </cell>
          <cell r="CD119">
            <v>1736.163965931574</v>
          </cell>
          <cell r="CF119">
            <v>214.94841942447869</v>
          </cell>
          <cell r="CG119">
            <v>0</v>
          </cell>
          <cell r="CI119">
            <v>10008.361441968627</v>
          </cell>
          <cell r="CJ119">
            <v>5459.0894929166952</v>
          </cell>
          <cell r="CL119">
            <v>14604.336210848351</v>
          </cell>
          <cell r="CM119">
            <v>23691.494334673906</v>
          </cell>
          <cell r="CX119">
            <v>13049.915797585332</v>
          </cell>
          <cell r="CY119">
            <v>48742.795715143184</v>
          </cell>
          <cell r="DA119">
            <v>-154595.3752539978</v>
          </cell>
          <cell r="DC119">
            <v>176087.9</v>
          </cell>
          <cell r="DD119">
            <v>0</v>
          </cell>
          <cell r="DE119">
            <v>102291.29999999999</v>
          </cell>
          <cell r="DF119">
            <v>0</v>
          </cell>
          <cell r="DW119">
            <v>1242</v>
          </cell>
          <cell r="DX119">
            <v>0</v>
          </cell>
        </row>
        <row r="120">
          <cell r="F120">
            <v>311.60000000000002</v>
          </cell>
          <cell r="G120">
            <v>0</v>
          </cell>
          <cell r="H120">
            <v>195.9</v>
          </cell>
          <cell r="I120">
            <v>1731.1795916108349</v>
          </cell>
          <cell r="J120">
            <v>1737.9876825322758</v>
          </cell>
          <cell r="L120">
            <v>317.46454358340014</v>
          </cell>
          <cell r="M120">
            <v>329.06667443327871</v>
          </cell>
          <cell r="O120">
            <v>632.86581982310088</v>
          </cell>
          <cell r="P120">
            <v>634.67138928747465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795.60009392374002</v>
          </cell>
          <cell r="Y120">
            <v>1382.4991688877374</v>
          </cell>
          <cell r="AA120">
            <v>0</v>
          </cell>
          <cell r="AB120">
            <v>0</v>
          </cell>
          <cell r="AD120">
            <v>1837.7901276081507</v>
          </cell>
          <cell r="AE120">
            <v>1795.1686651094853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624.57125181719687</v>
          </cell>
          <cell r="AQ120">
            <v>646.86829962542993</v>
          </cell>
          <cell r="AS120">
            <v>6561.3062206725663</v>
          </cell>
          <cell r="AT120">
            <v>0</v>
          </cell>
          <cell r="AV120">
            <v>382.30459306263037</v>
          </cell>
          <cell r="AW120">
            <v>0</v>
          </cell>
          <cell r="AY120">
            <v>387.74160602130803</v>
          </cell>
          <cell r="AZ120">
            <v>0</v>
          </cell>
          <cell r="BB120">
            <v>235.87053679696339</v>
          </cell>
          <cell r="BC120">
            <v>1370.1486166811239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100.76703299740301</v>
          </cell>
          <cell r="BL120">
            <v>0</v>
          </cell>
          <cell r="BN120">
            <v>38.805764507289481</v>
          </cell>
          <cell r="BO120">
            <v>0</v>
          </cell>
          <cell r="BT120">
            <v>7683.8438540231855</v>
          </cell>
          <cell r="BU120">
            <v>8689.8479222192946</v>
          </cell>
          <cell r="BW120">
            <v>3264.0440677735255</v>
          </cell>
          <cell r="BX120">
            <v>3030.6941146997738</v>
          </cell>
          <cell r="BZ120">
            <v>880.71954667802981</v>
          </cell>
          <cell r="CA120">
            <v>197.05874557861864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452.11733923589259</v>
          </cell>
          <cell r="CJ120">
            <v>264.06659211541438</v>
          </cell>
          <cell r="CL120">
            <v>0</v>
          </cell>
          <cell r="CM120">
            <v>0</v>
          </cell>
          <cell r="CX120">
            <v>991.40943024454191</v>
          </cell>
          <cell r="CY120">
            <v>8010.1063730029182</v>
          </cell>
          <cell r="DA120">
            <v>16135.117619323173</v>
          </cell>
          <cell r="DC120">
            <v>28163.25</v>
          </cell>
          <cell r="DD120">
            <v>-98.63</v>
          </cell>
          <cell r="DE120">
            <v>25397.8</v>
          </cell>
          <cell r="DF120">
            <v>-1497.96</v>
          </cell>
          <cell r="DW120">
            <v>918</v>
          </cell>
          <cell r="DX120">
            <v>0</v>
          </cell>
        </row>
        <row r="121">
          <cell r="F121">
            <v>2425.9</v>
          </cell>
          <cell r="G121">
            <v>0</v>
          </cell>
          <cell r="H121">
            <v>0</v>
          </cell>
          <cell r="I121">
            <v>7847.9292853075985</v>
          </cell>
          <cell r="J121">
            <v>7871.1772696744274</v>
          </cell>
          <cell r="L121">
            <v>832.35335677282319</v>
          </cell>
          <cell r="M121">
            <v>864.01206488217247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2137.1536708588901</v>
          </cell>
          <cell r="Y121">
            <v>2324.8121138853007</v>
          </cell>
          <cell r="AA121">
            <v>0</v>
          </cell>
          <cell r="AB121">
            <v>0</v>
          </cell>
          <cell r="AD121">
            <v>8793.0956259108461</v>
          </cell>
          <cell r="AE121">
            <v>8581.0830831312323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874.39975254407523</v>
          </cell>
          <cell r="AQ121">
            <v>842.85230538966744</v>
          </cell>
          <cell r="AS121">
            <v>43078.697896728918</v>
          </cell>
          <cell r="AT121">
            <v>134423.24756411678</v>
          </cell>
          <cell r="AV121">
            <v>1429.8738508305323</v>
          </cell>
          <cell r="AW121">
            <v>0</v>
          </cell>
          <cell r="AY121">
            <v>1021.0413113775113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680.32701806467276</v>
          </cell>
          <cell r="BL121">
            <v>0</v>
          </cell>
          <cell r="BN121">
            <v>0</v>
          </cell>
          <cell r="BO121">
            <v>0</v>
          </cell>
          <cell r="BT121">
            <v>17385.067990995391</v>
          </cell>
          <cell r="BU121">
            <v>37643.80755386097</v>
          </cell>
          <cell r="BW121">
            <v>8742.217743734438</v>
          </cell>
          <cell r="BX121">
            <v>10834.258364404373</v>
          </cell>
          <cell r="BZ121">
            <v>10334.356034548688</v>
          </cell>
          <cell r="CA121">
            <v>322.31388106370758</v>
          </cell>
          <cell r="CC121">
            <v>77.156590658210362</v>
          </cell>
          <cell r="CD121">
            <v>77.305525701982816</v>
          </cell>
          <cell r="CF121">
            <v>9.5709281430130311</v>
          </cell>
          <cell r="CG121">
            <v>0</v>
          </cell>
          <cell r="CI121">
            <v>6731.1490564557562</v>
          </cell>
          <cell r="CJ121">
            <v>6087.4006641707856</v>
          </cell>
          <cell r="CL121">
            <v>0</v>
          </cell>
          <cell r="CM121">
            <v>0</v>
          </cell>
          <cell r="CX121">
            <v>3091.9643719205342</v>
          </cell>
          <cell r="CY121">
            <v>-116785.49196089954</v>
          </cell>
          <cell r="DA121">
            <v>4078.6022059752431</v>
          </cell>
          <cell r="DC121">
            <v>18357.29</v>
          </cell>
          <cell r="DD121">
            <v>0</v>
          </cell>
          <cell r="DE121">
            <v>794.26000000000204</v>
          </cell>
          <cell r="DF121">
            <v>0</v>
          </cell>
          <cell r="DW121">
            <v>0</v>
          </cell>
          <cell r="DX121">
            <v>0</v>
          </cell>
        </row>
        <row r="122">
          <cell r="F122">
            <v>387.47</v>
          </cell>
          <cell r="G122">
            <v>0</v>
          </cell>
          <cell r="H122">
            <v>64.599999999999994</v>
          </cell>
          <cell r="I122">
            <v>1718.204555543839</v>
          </cell>
          <cell r="J122">
            <v>1724.9007602309305</v>
          </cell>
          <cell r="L122">
            <v>313.98049375458129</v>
          </cell>
          <cell r="M122">
            <v>325.69259137268915</v>
          </cell>
          <cell r="O122">
            <v>580.5741246382961</v>
          </cell>
          <cell r="P122">
            <v>582.80714874206603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804.50087758307484</v>
          </cell>
          <cell r="Y122">
            <v>729.34387011958302</v>
          </cell>
          <cell r="AA122">
            <v>0</v>
          </cell>
          <cell r="AB122">
            <v>0</v>
          </cell>
          <cell r="AD122">
            <v>1638.6927686981214</v>
          </cell>
          <cell r="AE122">
            <v>1599.1772869020892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874.39975254407523</v>
          </cell>
          <cell r="AQ122">
            <v>1008.0801347383259</v>
          </cell>
          <cell r="AS122">
            <v>4300.0692865774126</v>
          </cell>
          <cell r="AT122">
            <v>0</v>
          </cell>
          <cell r="AV122">
            <v>309.01895221400281</v>
          </cell>
          <cell r="AW122">
            <v>0</v>
          </cell>
          <cell r="AY122">
            <v>367.26263743937682</v>
          </cell>
          <cell r="AZ122">
            <v>0</v>
          </cell>
          <cell r="BB122">
            <v>193.20501834006288</v>
          </cell>
          <cell r="BC122">
            <v>1825.0324797898315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96.898809990934041</v>
          </cell>
          <cell r="BL122">
            <v>0</v>
          </cell>
          <cell r="BN122">
            <v>38.805764507289481</v>
          </cell>
          <cell r="BO122">
            <v>0</v>
          </cell>
          <cell r="BT122">
            <v>7609.139278803601</v>
          </cell>
          <cell r="BU122">
            <v>8747.9910874698089</v>
          </cell>
          <cell r="BW122">
            <v>3750.9302830911447</v>
          </cell>
          <cell r="BX122">
            <v>3412.0173984145367</v>
          </cell>
          <cell r="BZ122">
            <v>905.44790804755996</v>
          </cell>
          <cell r="CA122">
            <v>196.29620862937671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37.90298848381407</v>
          </cell>
          <cell r="CJ122">
            <v>76.87889555661684</v>
          </cell>
          <cell r="CL122">
            <v>0</v>
          </cell>
          <cell r="CM122">
            <v>0</v>
          </cell>
          <cell r="CX122">
            <v>335.3591765877029</v>
          </cell>
          <cell r="CY122">
            <v>4308.3379425373023</v>
          </cell>
          <cell r="DA122">
            <v>60816.304711872799</v>
          </cell>
          <cell r="DC122">
            <v>24245.21</v>
          </cell>
          <cell r="DD122">
            <v>637.9</v>
          </cell>
          <cell r="DE122">
            <v>20970.149999999998</v>
          </cell>
          <cell r="DF122">
            <v>191.35999999999996</v>
          </cell>
          <cell r="DW122">
            <v>918</v>
          </cell>
          <cell r="DX122">
            <v>0</v>
          </cell>
        </row>
        <row r="123">
          <cell r="F123">
            <v>321.10000000000002</v>
          </cell>
          <cell r="G123">
            <v>0</v>
          </cell>
          <cell r="H123">
            <v>57.7</v>
          </cell>
          <cell r="I123">
            <v>890.68443860552964</v>
          </cell>
          <cell r="J123">
            <v>901.49998672965467</v>
          </cell>
          <cell r="L123">
            <v>356.9203125478669</v>
          </cell>
          <cell r="M123">
            <v>371.0318324993612</v>
          </cell>
          <cell r="O123">
            <v>465.42930049905385</v>
          </cell>
          <cell r="P123">
            <v>466.69961456040755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425.55411199551776</v>
          </cell>
          <cell r="Y123">
            <v>392.01383083921701</v>
          </cell>
          <cell r="AA123">
            <v>0</v>
          </cell>
          <cell r="AB123">
            <v>0</v>
          </cell>
          <cell r="AD123">
            <v>1373.6035875166915</v>
          </cell>
          <cell r="AE123">
            <v>1339.9209661940356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999.3140029075148</v>
          </cell>
          <cell r="AQ123">
            <v>934.89119526495165</v>
          </cell>
          <cell r="AS123">
            <v>5208.6293008948151</v>
          </cell>
          <cell r="AT123">
            <v>0</v>
          </cell>
          <cell r="AV123">
            <v>279.87328946579879</v>
          </cell>
          <cell r="AW123">
            <v>0</v>
          </cell>
          <cell r="AY123">
            <v>422.4048015138635</v>
          </cell>
          <cell r="AZ123">
            <v>0</v>
          </cell>
          <cell r="BB123">
            <v>149.63642331755671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95.147665930682564</v>
          </cell>
          <cell r="BL123">
            <v>0</v>
          </cell>
          <cell r="BN123">
            <v>38.805764507289481</v>
          </cell>
          <cell r="BO123">
            <v>0</v>
          </cell>
          <cell r="BT123">
            <v>5992.6813888373208</v>
          </cell>
          <cell r="BU123">
            <v>7357.9145771995236</v>
          </cell>
          <cell r="BW123">
            <v>3028.331610014679</v>
          </cell>
          <cell r="BX123">
            <v>2778.2018563947863</v>
          </cell>
          <cell r="BZ123">
            <v>893.08372736279466</v>
          </cell>
          <cell r="CA123">
            <v>184.15796032529065</v>
          </cell>
          <cell r="CC123">
            <v>266.58755576258721</v>
          </cell>
          <cell r="CD123">
            <v>267.10214860485752</v>
          </cell>
          <cell r="CF123">
            <v>33.068987603765947</v>
          </cell>
          <cell r="CG123">
            <v>0</v>
          </cell>
          <cell r="CI123">
            <v>363.75074687787333</v>
          </cell>
          <cell r="CJ123">
            <v>473.32951907031105</v>
          </cell>
          <cell r="CL123">
            <v>0</v>
          </cell>
          <cell r="CM123">
            <v>0</v>
          </cell>
          <cell r="CX123">
            <v>784.54485054360111</v>
          </cell>
          <cell r="CY123">
            <v>7764.6370847181679</v>
          </cell>
          <cell r="DA123">
            <v>25602.553459618535</v>
          </cell>
          <cell r="DC123">
            <v>35180.07</v>
          </cell>
          <cell r="DD123">
            <v>23944.37</v>
          </cell>
          <cell r="DE123">
            <v>32200.720000000001</v>
          </cell>
          <cell r="DF123">
            <v>23496.03</v>
          </cell>
          <cell r="DW123">
            <v>918</v>
          </cell>
          <cell r="DX123">
            <v>0</v>
          </cell>
        </row>
        <row r="124">
          <cell r="F124">
            <v>685.8</v>
          </cell>
          <cell r="G124">
            <v>0</v>
          </cell>
          <cell r="H124">
            <v>80.5</v>
          </cell>
          <cell r="I124">
            <v>1814.0831396545584</v>
          </cell>
          <cell r="J124">
            <v>1831.3619703066968</v>
          </cell>
          <cell r="L124">
            <v>641.55628914006854</v>
          </cell>
          <cell r="M124">
            <v>666.96049224077865</v>
          </cell>
          <cell r="O124">
            <v>922.07773493785601</v>
          </cell>
          <cell r="P124">
            <v>925.34814203984865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1140.4849058100194</v>
          </cell>
          <cell r="Y124">
            <v>1121.7768655943735</v>
          </cell>
          <cell r="AA124">
            <v>0</v>
          </cell>
          <cell r="AB124">
            <v>0</v>
          </cell>
          <cell r="AD124">
            <v>2777.5873606230598</v>
          </cell>
          <cell r="AE124">
            <v>2710.6162523613771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1748.7995050881505</v>
          </cell>
          <cell r="AQ124">
            <v>974.154154583376</v>
          </cell>
          <cell r="AS124">
            <v>11463.911333448139</v>
          </cell>
          <cell r="AT124">
            <v>3027.1912537052463</v>
          </cell>
          <cell r="AV124">
            <v>573.63717137200808</v>
          </cell>
          <cell r="AW124">
            <v>0</v>
          </cell>
          <cell r="AY124">
            <v>759.6445443359346</v>
          </cell>
          <cell r="AZ124">
            <v>0</v>
          </cell>
          <cell r="BB124">
            <v>321.14613120167559</v>
          </cell>
          <cell r="BC124">
            <v>663.8087342452958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361.24761774334655</v>
          </cell>
          <cell r="BL124">
            <v>0</v>
          </cell>
          <cell r="BN124">
            <v>73.031382193185095</v>
          </cell>
          <cell r="BO124">
            <v>2694.642809421</v>
          </cell>
          <cell r="BT124">
            <v>10332.446207274726</v>
          </cell>
          <cell r="BU124">
            <v>15407.76782827072</v>
          </cell>
          <cell r="BW124">
            <v>6423.2746050746136</v>
          </cell>
          <cell r="BX124">
            <v>6863.9096957333086</v>
          </cell>
          <cell r="BZ124">
            <v>3280.2702614324576</v>
          </cell>
          <cell r="CA124">
            <v>215.17913023444584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985.33027237073884</v>
          </cell>
          <cell r="CJ124">
            <v>367.54661292601156</v>
          </cell>
          <cell r="CL124">
            <v>0</v>
          </cell>
          <cell r="CM124">
            <v>0</v>
          </cell>
          <cell r="CX124">
            <v>1227.2979422397439</v>
          </cell>
          <cell r="CY124">
            <v>8605.2153662854216</v>
          </cell>
          <cell r="DA124">
            <v>-16485.088997129536</v>
          </cell>
          <cell r="DC124">
            <v>27585.33</v>
          </cell>
          <cell r="DD124">
            <v>3595.61</v>
          </cell>
          <cell r="DE124">
            <v>21229.68</v>
          </cell>
          <cell r="DF124">
            <v>2970.1400000000003</v>
          </cell>
          <cell r="DW124">
            <v>918</v>
          </cell>
          <cell r="DX124">
            <v>0</v>
          </cell>
        </row>
        <row r="125">
          <cell r="F125">
            <v>760.1</v>
          </cell>
          <cell r="G125">
            <v>0</v>
          </cell>
          <cell r="H125">
            <v>234.70000000000002</v>
          </cell>
          <cell r="I125">
            <v>3820.0724764063007</v>
          </cell>
          <cell r="J125">
            <v>3825.6690400415764</v>
          </cell>
          <cell r="L125">
            <v>768.41980358046158</v>
          </cell>
          <cell r="M125">
            <v>798.9385625171077</v>
          </cell>
          <cell r="O125">
            <v>1208.4126419364366</v>
          </cell>
          <cell r="P125">
            <v>1212.6666406348454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1704.6919635857944</v>
          </cell>
          <cell r="Y125">
            <v>2242.4736841475892</v>
          </cell>
          <cell r="AA125">
            <v>0</v>
          </cell>
          <cell r="AB125">
            <v>0</v>
          </cell>
          <cell r="AD125">
            <v>3605.825272540545</v>
          </cell>
          <cell r="AE125">
            <v>3518.8843114303768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1623.8852547247116</v>
          </cell>
          <cell r="AQ125">
            <v>1757.8140484293226</v>
          </cell>
          <cell r="AS125">
            <v>10043.681430299172</v>
          </cell>
          <cell r="AT125">
            <v>4146.265511210212</v>
          </cell>
          <cell r="AV125">
            <v>682.32863690501063</v>
          </cell>
          <cell r="AW125">
            <v>0</v>
          </cell>
          <cell r="AY125">
            <v>910.24404509360352</v>
          </cell>
          <cell r="AZ125">
            <v>0</v>
          </cell>
          <cell r="BB125">
            <v>498.84670901265133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224.9242921984569</v>
          </cell>
          <cell r="BL125">
            <v>0</v>
          </cell>
          <cell r="BN125">
            <v>73.031382193185095</v>
          </cell>
          <cell r="BO125">
            <v>5378.2915641319996</v>
          </cell>
          <cell r="BT125">
            <v>16095.886458730116</v>
          </cell>
          <cell r="BU125">
            <v>19345.334426949765</v>
          </cell>
          <cell r="BW125">
            <v>6762.3398700444513</v>
          </cell>
          <cell r="BX125">
            <v>6243.4567856114036</v>
          </cell>
          <cell r="BZ125">
            <v>2372.2775318827039</v>
          </cell>
          <cell r="CA125">
            <v>252.35197993918234</v>
          </cell>
          <cell r="CC125">
            <v>499.85166705485113</v>
          </cell>
          <cell r="CD125">
            <v>500.8165286341079</v>
          </cell>
          <cell r="CF125">
            <v>62.004351757061166</v>
          </cell>
          <cell r="CG125">
            <v>0</v>
          </cell>
          <cell r="CI125">
            <v>702.30654887075093</v>
          </cell>
          <cell r="CJ125">
            <v>433.6311543630456</v>
          </cell>
          <cell r="CL125">
            <v>0</v>
          </cell>
          <cell r="CM125">
            <v>0</v>
          </cell>
          <cell r="CX125">
            <v>2402.8518130937509</v>
          </cell>
          <cell r="CY125">
            <v>4805.7751316246204</v>
          </cell>
          <cell r="DA125">
            <v>-18264.27757100551</v>
          </cell>
          <cell r="DC125">
            <v>6648.14</v>
          </cell>
          <cell r="DD125">
            <v>1618.48</v>
          </cell>
          <cell r="DE125">
            <v>-39.069999999999709</v>
          </cell>
          <cell r="DF125">
            <v>-102.93000000000029</v>
          </cell>
          <cell r="DW125">
            <v>918</v>
          </cell>
          <cell r="DX125">
            <v>0</v>
          </cell>
        </row>
        <row r="126">
          <cell r="F126">
            <v>468.01</v>
          </cell>
          <cell r="G126">
            <v>0</v>
          </cell>
          <cell r="H126">
            <v>130.30000000000001</v>
          </cell>
          <cell r="I126">
            <v>2803.8988685969075</v>
          </cell>
          <cell r="J126">
            <v>2806.2716941000244</v>
          </cell>
          <cell r="L126">
            <v>637.22977999095087</v>
          </cell>
          <cell r="M126">
            <v>662.86118981743891</v>
          </cell>
          <cell r="O126">
            <v>737.47972444328968</v>
          </cell>
          <cell r="P126">
            <v>740.10251695784871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>
            <v>1137.3604560202032</v>
          </cell>
          <cell r="Y126">
            <v>1100.301126513375</v>
          </cell>
          <cell r="AA126">
            <v>0</v>
          </cell>
          <cell r="AB126">
            <v>0</v>
          </cell>
          <cell r="AD126">
            <v>2168.6784467367647</v>
          </cell>
          <cell r="AE126">
            <v>2116.3888946239531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1082.5901698164744</v>
          </cell>
          <cell r="AQ126">
            <v>1082.1963785917669</v>
          </cell>
          <cell r="AS126">
            <v>7438.9808684514919</v>
          </cell>
          <cell r="AT126">
            <v>4253.4214024014063</v>
          </cell>
          <cell r="AV126">
            <v>518.46269174853296</v>
          </cell>
          <cell r="AW126">
            <v>0</v>
          </cell>
          <cell r="AY126">
            <v>757.02232933081586</v>
          </cell>
          <cell r="AZ126">
            <v>0</v>
          </cell>
          <cell r="BB126">
            <v>206.10407687879768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147.49477195927528</v>
          </cell>
          <cell r="BL126">
            <v>2663.3659014179279</v>
          </cell>
          <cell r="BN126">
            <v>73.031382193185095</v>
          </cell>
          <cell r="BO126">
            <v>1572.14982353</v>
          </cell>
          <cell r="BT126">
            <v>7550.2141696308727</v>
          </cell>
          <cell r="BU126">
            <v>13227.075441115367</v>
          </cell>
          <cell r="BW126">
            <v>4691.3205652574106</v>
          </cell>
          <cell r="BX126">
            <v>5463.8226367933521</v>
          </cell>
          <cell r="BZ126">
            <v>2485.2622990772606</v>
          </cell>
          <cell r="CA126">
            <v>212.12941100231825</v>
          </cell>
          <cell r="CC126">
            <v>410.13470117321117</v>
          </cell>
          <cell r="CD126">
            <v>410.92638246901163</v>
          </cell>
          <cell r="CF126">
            <v>50.87536554425531</v>
          </cell>
          <cell r="CG126">
            <v>0</v>
          </cell>
          <cell r="CI126">
            <v>1676.3941604409167</v>
          </cell>
          <cell r="CJ126">
            <v>3805.7030752606615</v>
          </cell>
          <cell r="CL126">
            <v>0</v>
          </cell>
          <cell r="CM126">
            <v>0</v>
          </cell>
          <cell r="CX126">
            <v>494.63960679761851</v>
          </cell>
          <cell r="CY126">
            <v>-6158.3776499669902</v>
          </cell>
          <cell r="DA126">
            <v>-36085.075690107398</v>
          </cell>
          <cell r="DC126">
            <v>28980.81</v>
          </cell>
          <cell r="DD126">
            <v>1555.81</v>
          </cell>
          <cell r="DE126">
            <v>24540.86</v>
          </cell>
          <cell r="DF126">
            <v>528.27</v>
          </cell>
          <cell r="DW126">
            <v>918</v>
          </cell>
          <cell r="DX126">
            <v>0</v>
          </cell>
        </row>
        <row r="127">
          <cell r="F127">
            <v>349.9</v>
          </cell>
          <cell r="G127">
            <v>0</v>
          </cell>
          <cell r="H127">
            <v>115.7</v>
          </cell>
          <cell r="I127">
            <v>1769.2683696751117</v>
          </cell>
          <cell r="J127">
            <v>1773.2656055819912</v>
          </cell>
          <cell r="L127">
            <v>617.45503845204917</v>
          </cell>
          <cell r="M127">
            <v>641.98405088004108</v>
          </cell>
          <cell r="O127">
            <v>592.35803374095565</v>
          </cell>
          <cell r="P127">
            <v>594.05336885012878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>
            <v>1133.5567967152085</v>
          </cell>
          <cell r="Y127">
            <v>1092.1600020479702</v>
          </cell>
          <cell r="AA127">
            <v>0</v>
          </cell>
          <cell r="AB127">
            <v>0</v>
          </cell>
          <cell r="AD127">
            <v>1687.6480165810995</v>
          </cell>
          <cell r="AE127">
            <v>1646.9567102955198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749.4855021806361</v>
          </cell>
          <cell r="AQ127">
            <v>560.60781926466984</v>
          </cell>
          <cell r="AS127">
            <v>6384.0117478673301</v>
          </cell>
          <cell r="AT127">
            <v>0</v>
          </cell>
          <cell r="AV127">
            <v>359.77806780773886</v>
          </cell>
          <cell r="AW127">
            <v>0</v>
          </cell>
          <cell r="AY127">
            <v>731.45719484162009</v>
          </cell>
          <cell r="AZ127">
            <v>0</v>
          </cell>
          <cell r="BB127">
            <v>190.90363052237669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203.78572248108145</v>
          </cell>
          <cell r="BL127">
            <v>0</v>
          </cell>
          <cell r="BN127">
            <v>31.214014296485885</v>
          </cell>
          <cell r="BO127">
            <v>0</v>
          </cell>
          <cell r="BT127">
            <v>7155.6744667632829</v>
          </cell>
          <cell r="BU127">
            <v>10059.606739695277</v>
          </cell>
          <cell r="BW127">
            <v>2021.867694385234</v>
          </cell>
          <cell r="BX127">
            <v>2059.1570362136645</v>
          </cell>
          <cell r="BZ127">
            <v>1512.0602461743686</v>
          </cell>
          <cell r="CA127">
            <v>198.88207079281713</v>
          </cell>
          <cell r="CC127">
            <v>158.92719670461932</v>
          </cell>
          <cell r="CD127">
            <v>159.23397320674201</v>
          </cell>
          <cell r="CF127">
            <v>19.714204148398935</v>
          </cell>
          <cell r="CG127">
            <v>0</v>
          </cell>
          <cell r="CI127">
            <v>598.51339034403713</v>
          </cell>
          <cell r="CJ127">
            <v>746.11867800879338</v>
          </cell>
          <cell r="CL127">
            <v>0</v>
          </cell>
          <cell r="CM127">
            <v>0</v>
          </cell>
          <cell r="CX127">
            <v>966.32871100571469</v>
          </cell>
          <cell r="CY127">
            <v>8629.112645618532</v>
          </cell>
          <cell r="DA127">
            <v>4893.2862520067793</v>
          </cell>
          <cell r="DC127">
            <v>14880.3</v>
          </cell>
          <cell r="DD127">
            <v>4797.9799999999996</v>
          </cell>
          <cell r="DE127">
            <v>11659.43</v>
          </cell>
          <cell r="DF127">
            <v>3849.1499999999996</v>
          </cell>
          <cell r="DW127">
            <v>918</v>
          </cell>
          <cell r="DX127">
            <v>0</v>
          </cell>
        </row>
        <row r="128">
          <cell r="F128">
            <v>475.2</v>
          </cell>
          <cell r="G128">
            <v>0</v>
          </cell>
          <cell r="H128">
            <v>0</v>
          </cell>
          <cell r="I128">
            <v>820.7316917448486</v>
          </cell>
          <cell r="J128">
            <v>834.74349436617399</v>
          </cell>
          <cell r="L128">
            <v>537.96223036286165</v>
          </cell>
          <cell r="M128">
            <v>558.05373474787609</v>
          </cell>
          <cell r="O128">
            <v>590.27332824591554</v>
          </cell>
          <cell r="P128">
            <v>592.08806482026193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656.84049977265636</v>
          </cell>
          <cell r="Y128">
            <v>637.61253751255606</v>
          </cell>
          <cell r="AA128">
            <v>0</v>
          </cell>
          <cell r="AB128">
            <v>0</v>
          </cell>
          <cell r="AD128">
            <v>1722.4448829023595</v>
          </cell>
          <cell r="AE128">
            <v>1680.9145806108913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999.3140029075148</v>
          </cell>
          <cell r="AQ128">
            <v>1008.0801347383259</v>
          </cell>
          <cell r="AS128">
            <v>6131.1512097979521</v>
          </cell>
          <cell r="AT128">
            <v>0</v>
          </cell>
          <cell r="AV128">
            <v>443.0085490692469</v>
          </cell>
          <cell r="AW128">
            <v>0</v>
          </cell>
          <cell r="AY128">
            <v>628.99940507091424</v>
          </cell>
          <cell r="AZ128">
            <v>0</v>
          </cell>
          <cell r="BB128">
            <v>213.83153052153452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208.69018064894078</v>
          </cell>
          <cell r="BL128">
            <v>0</v>
          </cell>
          <cell r="BN128">
            <v>31.214014296485885</v>
          </cell>
          <cell r="BO128">
            <v>585.74381097000003</v>
          </cell>
          <cell r="BT128">
            <v>6709.7859899764171</v>
          </cell>
          <cell r="BU128">
            <v>11093.607870925935</v>
          </cell>
          <cell r="BW128">
            <v>2720.1634118249467</v>
          </cell>
          <cell r="BX128">
            <v>3132.6434727393389</v>
          </cell>
          <cell r="BZ128">
            <v>2434.3350326527639</v>
          </cell>
          <cell r="CA128">
            <v>202.31261135297328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239.97854629327554</v>
          </cell>
          <cell r="CJ128">
            <v>262.53135965061489</v>
          </cell>
          <cell r="CL128">
            <v>0</v>
          </cell>
          <cell r="CM128">
            <v>0</v>
          </cell>
          <cell r="CX128">
            <v>934.7592286645579</v>
          </cell>
          <cell r="CY128">
            <v>6335.2306290489769</v>
          </cell>
          <cell r="DA128">
            <v>26663.708146184737</v>
          </cell>
          <cell r="DC128">
            <v>8695.77</v>
          </cell>
          <cell r="DD128">
            <v>0</v>
          </cell>
          <cell r="DE128">
            <v>4665.51</v>
          </cell>
          <cell r="DF128">
            <v>0</v>
          </cell>
          <cell r="DW128">
            <v>918</v>
          </cell>
          <cell r="DX128">
            <v>0</v>
          </cell>
        </row>
        <row r="129">
          <cell r="F129">
            <v>1053.3</v>
          </cell>
          <cell r="G129">
            <v>0</v>
          </cell>
          <cell r="H129">
            <v>54.5</v>
          </cell>
          <cell r="I129">
            <v>3954.8667954061848</v>
          </cell>
          <cell r="J129">
            <v>3996.7219103236898</v>
          </cell>
          <cell r="L129">
            <v>844.58230161733741</v>
          </cell>
          <cell r="M129">
            <v>878.41467201874138</v>
          </cell>
          <cell r="O129">
            <v>1191.612679006927</v>
          </cell>
          <cell r="P129">
            <v>1195.6789603581688</v>
          </cell>
          <cell r="R129">
            <v>0</v>
          </cell>
          <cell r="S129">
            <v>0</v>
          </cell>
          <cell r="U129">
            <v>84.195884513437704</v>
          </cell>
          <cell r="V129">
            <v>48.575065888797084</v>
          </cell>
          <cell r="X129">
            <v>1883.8701212661947</v>
          </cell>
          <cell r="Y129">
            <v>1606.1453032291852</v>
          </cell>
          <cell r="AA129">
            <v>0</v>
          </cell>
          <cell r="AB129">
            <v>0</v>
          </cell>
          <cell r="AD129">
            <v>4015.990623787357</v>
          </cell>
          <cell r="AE129">
            <v>3919.1297438162019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2968.9132947020871</v>
          </cell>
          <cell r="AQ129">
            <v>3185.6893411831788</v>
          </cell>
          <cell r="AS129">
            <v>10109.117286553501</v>
          </cell>
          <cell r="AT129">
            <v>0</v>
          </cell>
          <cell r="AV129">
            <v>646.22255338298532</v>
          </cell>
          <cell r="AW129">
            <v>0</v>
          </cell>
          <cell r="AY129">
            <v>1002.3316271663755</v>
          </cell>
          <cell r="AZ129">
            <v>0</v>
          </cell>
          <cell r="BB129">
            <v>621.12154419688329</v>
          </cell>
          <cell r="BC129">
            <v>0</v>
          </cell>
          <cell r="BE129">
            <v>0</v>
          </cell>
          <cell r="BF129">
            <v>0</v>
          </cell>
          <cell r="BH129">
            <v>49.622889587144876</v>
          </cell>
          <cell r="BI129">
            <v>0</v>
          </cell>
          <cell r="BK129">
            <v>303.58864305835397</v>
          </cell>
          <cell r="BL129">
            <v>0</v>
          </cell>
          <cell r="BN129">
            <v>81.940708886855418</v>
          </cell>
          <cell r="BO129">
            <v>0</v>
          </cell>
          <cell r="BT129">
            <v>14562.764445780962</v>
          </cell>
          <cell r="BU129">
            <v>27539.590364444837</v>
          </cell>
          <cell r="BW129">
            <v>6616.5758105742534</v>
          </cell>
          <cell r="BX129">
            <v>7696.6374191737868</v>
          </cell>
          <cell r="BZ129">
            <v>4991.769910263667</v>
          </cell>
          <cell r="CA129">
            <v>264.26476665542816</v>
          </cell>
          <cell r="CC129">
            <v>225.57408564526617</v>
          </cell>
          <cell r="CD129">
            <v>226.0095103579564</v>
          </cell>
          <cell r="CF129">
            <v>27.981451049340421</v>
          </cell>
          <cell r="CG129">
            <v>0</v>
          </cell>
          <cell r="CI129">
            <v>1687.3419648246352</v>
          </cell>
          <cell r="CJ129">
            <v>1220.078240987152</v>
          </cell>
          <cell r="CL129">
            <v>0</v>
          </cell>
          <cell r="CM129">
            <v>0</v>
          </cell>
          <cell r="CX129">
            <v>786.35178783337301</v>
          </cell>
          <cell r="CY129">
            <v>5698.0109752325334</v>
          </cell>
          <cell r="DA129">
            <v>8334.0251634000815</v>
          </cell>
          <cell r="DC129">
            <v>12647.25</v>
          </cell>
          <cell r="DD129">
            <v>-533.72</v>
          </cell>
          <cell r="DE129">
            <v>4230.2299999999996</v>
          </cell>
          <cell r="DF129">
            <v>-915.54</v>
          </cell>
          <cell r="DW129">
            <v>918</v>
          </cell>
          <cell r="DX129">
            <v>0</v>
          </cell>
        </row>
        <row r="130">
          <cell r="F130">
            <v>1379.8</v>
          </cell>
          <cell r="G130">
            <v>0</v>
          </cell>
          <cell r="H130">
            <v>92.8</v>
          </cell>
          <cell r="I130">
            <v>4645.1943479956644</v>
          </cell>
          <cell r="J130">
            <v>4693.7076734932152</v>
          </cell>
          <cell r="L130">
            <v>818.59193598305308</v>
          </cell>
          <cell r="M130">
            <v>849.10232542986955</v>
          </cell>
          <cell r="O130">
            <v>1898.7852684290806</v>
          </cell>
          <cell r="P130">
            <v>1905.3265983464005</v>
          </cell>
          <cell r="R130">
            <v>0</v>
          </cell>
          <cell r="S130">
            <v>0</v>
          </cell>
          <cell r="U130">
            <v>112.26117935125026</v>
          </cell>
          <cell r="V130">
            <v>64.766754518396098</v>
          </cell>
          <cell r="X130">
            <v>2600.3290270310013</v>
          </cell>
          <cell r="Y130">
            <v>2412.0306524953439</v>
          </cell>
          <cell r="AA130">
            <v>0</v>
          </cell>
          <cell r="AB130">
            <v>0</v>
          </cell>
          <cell r="AD130">
            <v>5337.6943067382454</v>
          </cell>
          <cell r="AE130">
            <v>5208.9958152516811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3718.3987968827232</v>
          </cell>
          <cell r="AQ130">
            <v>4025.9090494331308</v>
          </cell>
          <cell r="AS130">
            <v>16712.349927382325</v>
          </cell>
          <cell r="AT130">
            <v>0</v>
          </cell>
          <cell r="AV130">
            <v>795.34464007853626</v>
          </cell>
          <cell r="AW130">
            <v>0</v>
          </cell>
          <cell r="AY130">
            <v>1068.3925175007384</v>
          </cell>
          <cell r="AZ130">
            <v>0</v>
          </cell>
          <cell r="BB130">
            <v>870.18377549553998</v>
          </cell>
          <cell r="BC130">
            <v>0</v>
          </cell>
          <cell r="BE130">
            <v>0</v>
          </cell>
          <cell r="BF130">
            <v>0</v>
          </cell>
          <cell r="BH130">
            <v>66.163852782859806</v>
          </cell>
          <cell r="BI130">
            <v>0</v>
          </cell>
          <cell r="BK130">
            <v>416.00794825005426</v>
          </cell>
          <cell r="BL130">
            <v>591.10217486236036</v>
          </cell>
          <cell r="BN130">
            <v>81.940708886855418</v>
          </cell>
          <cell r="BO130">
            <v>0</v>
          </cell>
          <cell r="BT130">
            <v>15690.852299112024</v>
          </cell>
          <cell r="BU130">
            <v>31499.143992161753</v>
          </cell>
          <cell r="BW130">
            <v>7720.0236528420046</v>
          </cell>
          <cell r="BX130">
            <v>8885.0045330133889</v>
          </cell>
          <cell r="BZ130">
            <v>7591.1965876788527</v>
          </cell>
          <cell r="CA130">
            <v>275.84485623201942</v>
          </cell>
          <cell r="CC130">
            <v>320.41773529157126</v>
          </cell>
          <cell r="CD130">
            <v>321.0362363039153</v>
          </cell>
          <cell r="CF130">
            <v>39.746379331449454</v>
          </cell>
          <cell r="CG130">
            <v>0</v>
          </cell>
          <cell r="CI130">
            <v>2493.1468158052453</v>
          </cell>
          <cell r="CJ130">
            <v>1111.6206510527775</v>
          </cell>
          <cell r="CL130">
            <v>0</v>
          </cell>
          <cell r="CM130">
            <v>0</v>
          </cell>
          <cell r="CX130">
            <v>2050.7374127337016</v>
          </cell>
          <cell r="CY130">
            <v>15434.853881039478</v>
          </cell>
          <cell r="DA130">
            <v>41409.585255173646</v>
          </cell>
          <cell r="DC130">
            <v>18536.740000000002</v>
          </cell>
          <cell r="DD130">
            <v>1550.56</v>
          </cell>
          <cell r="DE130">
            <v>7558.6500000000015</v>
          </cell>
          <cell r="DF130">
            <v>891.3599999999999</v>
          </cell>
          <cell r="DW130">
            <v>918</v>
          </cell>
          <cell r="DX130">
            <v>0</v>
          </cell>
        </row>
        <row r="131">
          <cell r="F131">
            <v>498.78</v>
          </cell>
          <cell r="G131">
            <v>0</v>
          </cell>
          <cell r="H131">
            <v>0</v>
          </cell>
          <cell r="I131">
            <v>1587.5857889570457</v>
          </cell>
          <cell r="J131">
            <v>1591.8552242997364</v>
          </cell>
          <cell r="L131">
            <v>604.07506674170133</v>
          </cell>
          <cell r="M131">
            <v>627.85507806382236</v>
          </cell>
          <cell r="O131">
            <v>609.58027572989465</v>
          </cell>
          <cell r="P131">
            <v>611.77643059287163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>
            <v>1066.2744826115754</v>
          </cell>
          <cell r="Y131">
            <v>1020.2331808455338</v>
          </cell>
          <cell r="AA131">
            <v>0</v>
          </cell>
          <cell r="AB131">
            <v>0</v>
          </cell>
          <cell r="AD131">
            <v>1807.9146858039537</v>
          </cell>
          <cell r="AE131">
            <v>1764.3235995730229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999.3140029075148</v>
          </cell>
          <cell r="AQ131">
            <v>1078.9026430847125</v>
          </cell>
          <cell r="AS131">
            <v>8464.3234629786257</v>
          </cell>
          <cell r="AT131">
            <v>0</v>
          </cell>
          <cell r="AV131">
            <v>320.23343759498619</v>
          </cell>
          <cell r="AW131">
            <v>0</v>
          </cell>
          <cell r="AY131">
            <v>714.34813152655943</v>
          </cell>
          <cell r="AZ131">
            <v>0</v>
          </cell>
          <cell r="BB131">
            <v>174.20304513393748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205.88949472812374</v>
          </cell>
          <cell r="BL131">
            <v>0</v>
          </cell>
          <cell r="BN131">
            <v>31.214014296485885</v>
          </cell>
          <cell r="BO131">
            <v>0</v>
          </cell>
          <cell r="BT131">
            <v>6628.9972396283501</v>
          </cell>
          <cell r="BU131">
            <v>9006.1500414367492</v>
          </cell>
          <cell r="BW131">
            <v>2686.9144724932394</v>
          </cell>
          <cell r="BX131">
            <v>2648.6342678040774</v>
          </cell>
          <cell r="BZ131">
            <v>2094.558440240417</v>
          </cell>
          <cell r="CA131">
            <v>198.98395223921798</v>
          </cell>
          <cell r="CC131">
            <v>325.54441905623645</v>
          </cell>
          <cell r="CD131">
            <v>326.17281608477799</v>
          </cell>
          <cell r="CF131">
            <v>40.382321400752652</v>
          </cell>
          <cell r="CG131">
            <v>0</v>
          </cell>
          <cell r="CI131">
            <v>285.52110375722339</v>
          </cell>
          <cell r="CJ131">
            <v>23.439565306104704</v>
          </cell>
          <cell r="CL131">
            <v>0</v>
          </cell>
          <cell r="CM131">
            <v>0</v>
          </cell>
          <cell r="CX131">
            <v>409.66615364325833</v>
          </cell>
          <cell r="CY131">
            <v>12107.922657150451</v>
          </cell>
          <cell r="DA131">
            <v>887.6208502963018</v>
          </cell>
          <cell r="DC131">
            <v>5070.0200000000004</v>
          </cell>
          <cell r="DD131">
            <v>0</v>
          </cell>
          <cell r="DE131">
            <v>543.09000000000015</v>
          </cell>
          <cell r="DF131">
            <v>0</v>
          </cell>
          <cell r="DW131">
            <v>918</v>
          </cell>
          <cell r="DX131">
            <v>0</v>
          </cell>
        </row>
        <row r="132">
          <cell r="F132">
            <v>1270.2</v>
          </cell>
          <cell r="G132">
            <v>0</v>
          </cell>
          <cell r="H132">
            <v>212.5</v>
          </cell>
          <cell r="I132">
            <v>4505.1674742402947</v>
          </cell>
          <cell r="J132">
            <v>4550.1096661940264</v>
          </cell>
          <cell r="L132">
            <v>815.3978595400971</v>
          </cell>
          <cell r="M132">
            <v>845.72824236928011</v>
          </cell>
          <cell r="O132">
            <v>1929.8687319680444</v>
          </cell>
          <cell r="P132">
            <v>1936.5088406681168</v>
          </cell>
          <cell r="R132">
            <v>0</v>
          </cell>
          <cell r="S132">
            <v>0</v>
          </cell>
          <cell r="U132">
            <v>112.26117935125026</v>
          </cell>
          <cell r="V132">
            <v>64.766754518396098</v>
          </cell>
          <cell r="X132">
            <v>2517.6555696337796</v>
          </cell>
          <cell r="Y132">
            <v>2770.1241985513839</v>
          </cell>
          <cell r="AA132">
            <v>0</v>
          </cell>
          <cell r="AB132">
            <v>0</v>
          </cell>
          <cell r="AD132">
            <v>5372.9181404303126</v>
          </cell>
          <cell r="AE132">
            <v>5243.3898232743795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3497.5990101763009</v>
          </cell>
          <cell r="AQ132">
            <v>3810.802771419405</v>
          </cell>
          <cell r="AS132">
            <v>14239.955840347282</v>
          </cell>
          <cell r="AT132">
            <v>7067.7414203896678</v>
          </cell>
          <cell r="AV132">
            <v>794.38082814196252</v>
          </cell>
          <cell r="AW132">
            <v>0</v>
          </cell>
          <cell r="AY132">
            <v>1064.3809532517753</v>
          </cell>
          <cell r="AZ132">
            <v>0</v>
          </cell>
          <cell r="BB132">
            <v>866.3304660217907</v>
          </cell>
          <cell r="BC132">
            <v>0</v>
          </cell>
          <cell r="BE132">
            <v>0</v>
          </cell>
          <cell r="BF132">
            <v>0</v>
          </cell>
          <cell r="BH132">
            <v>66.163852782859806</v>
          </cell>
          <cell r="BI132">
            <v>0</v>
          </cell>
          <cell r="BK132">
            <v>412.24673964614209</v>
          </cell>
          <cell r="BL132">
            <v>0</v>
          </cell>
          <cell r="BN132">
            <v>66.035678486535474</v>
          </cell>
          <cell r="BO132">
            <v>0</v>
          </cell>
          <cell r="BT132">
            <v>22126.663621797608</v>
          </cell>
          <cell r="BU132">
            <v>40252.698093155901</v>
          </cell>
          <cell r="BW132">
            <v>8303.8067217931784</v>
          </cell>
          <cell r="BX132">
            <v>9522.017066339673</v>
          </cell>
          <cell r="BZ132">
            <v>5328.2557869213906</v>
          </cell>
          <cell r="CA132">
            <v>306.41956860678107</v>
          </cell>
          <cell r="CC132">
            <v>289.65763270358036</v>
          </cell>
          <cell r="CD132">
            <v>290.21675761873945</v>
          </cell>
          <cell r="CF132">
            <v>35.930726915630309</v>
          </cell>
          <cell r="CG132">
            <v>0</v>
          </cell>
          <cell r="CI132">
            <v>1808.8379274646384</v>
          </cell>
          <cell r="CJ132">
            <v>1054.8719660886509</v>
          </cell>
          <cell r="CL132">
            <v>0</v>
          </cell>
          <cell r="CM132">
            <v>0</v>
          </cell>
          <cell r="CX132">
            <v>2786.4408883255564</v>
          </cell>
          <cell r="CY132">
            <v>-1487.8156247703764</v>
          </cell>
          <cell r="DA132">
            <v>22233.575600079301</v>
          </cell>
          <cell r="DC132">
            <v>29703.86</v>
          </cell>
          <cell r="DD132">
            <v>9907.1500000000015</v>
          </cell>
          <cell r="DE132">
            <v>19317.690000000002</v>
          </cell>
          <cell r="DF132">
            <v>8393.9900000000016</v>
          </cell>
          <cell r="DW132">
            <v>918</v>
          </cell>
          <cell r="DX132">
            <v>0</v>
          </cell>
        </row>
        <row r="133">
          <cell r="F133">
            <v>626.29999999999995</v>
          </cell>
          <cell r="G133">
            <v>0</v>
          </cell>
          <cell r="H133">
            <v>0</v>
          </cell>
          <cell r="I133">
            <v>1394.8036361671554</v>
          </cell>
          <cell r="J133">
            <v>1410.7685214085518</v>
          </cell>
          <cell r="L133">
            <v>487.52608630724694</v>
          </cell>
          <cell r="M133">
            <v>506.30271594943844</v>
          </cell>
          <cell r="O133">
            <v>755.46952827068287</v>
          </cell>
          <cell r="P133">
            <v>758.18932800422749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858.18248138226295</v>
          </cell>
          <cell r="Y133">
            <v>852.49167793409015</v>
          </cell>
          <cell r="AA133">
            <v>0</v>
          </cell>
          <cell r="AB133">
            <v>0</v>
          </cell>
          <cell r="AD133">
            <v>2270.1330601046875</v>
          </cell>
          <cell r="AE133">
            <v>2215.3973102622081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1498.9710043612722</v>
          </cell>
          <cell r="AQ133">
            <v>1550.8130224663141</v>
          </cell>
          <cell r="AS133">
            <v>8350.9088220791909</v>
          </cell>
          <cell r="AT133">
            <v>0</v>
          </cell>
          <cell r="AV133">
            <v>446.593509015179</v>
          </cell>
          <cell r="AW133">
            <v>0</v>
          </cell>
          <cell r="AY133">
            <v>573.7647723232003</v>
          </cell>
          <cell r="AZ133">
            <v>0</v>
          </cell>
          <cell r="BB133">
            <v>282.45096366237311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262.92555052016638</v>
          </cell>
          <cell r="BL133">
            <v>69.538740391940053</v>
          </cell>
          <cell r="BN133">
            <v>31.214014296485885</v>
          </cell>
          <cell r="BO133">
            <v>0</v>
          </cell>
          <cell r="BT133">
            <v>7573.580759149002</v>
          </cell>
          <cell r="BU133">
            <v>12583.080447966715</v>
          </cell>
          <cell r="BW133">
            <v>3925.5992467747765</v>
          </cell>
          <cell r="BX133">
            <v>4473.0488003335195</v>
          </cell>
          <cell r="BZ133">
            <v>1728.2585311868593</v>
          </cell>
          <cell r="CA133">
            <v>201.10577921181897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1378.8284400227976</v>
          </cell>
          <cell r="CJ133">
            <v>1077.792359624855</v>
          </cell>
          <cell r="CL133">
            <v>0</v>
          </cell>
          <cell r="CM133">
            <v>0</v>
          </cell>
          <cell r="CX133">
            <v>1185.6646562516526</v>
          </cell>
          <cell r="CY133">
            <v>8530.4826987352426</v>
          </cell>
          <cell r="DA133">
            <v>10540.461919132915</v>
          </cell>
          <cell r="DC133">
            <v>6318.41</v>
          </cell>
          <cell r="DD133">
            <v>0</v>
          </cell>
          <cell r="DE133">
            <v>1209.8599999999997</v>
          </cell>
          <cell r="DF133">
            <v>0</v>
          </cell>
          <cell r="DW133">
            <v>918</v>
          </cell>
          <cell r="DX133">
            <v>0</v>
          </cell>
        </row>
        <row r="134">
          <cell r="F134">
            <v>2506.16</v>
          </cell>
          <cell r="G134">
            <v>0</v>
          </cell>
          <cell r="H134">
            <v>132.30000000000001</v>
          </cell>
          <cell r="I134">
            <v>7918.6331325487072</v>
          </cell>
          <cell r="J134">
            <v>8023.0284486873952</v>
          </cell>
          <cell r="L134">
            <v>1556.7990129278571</v>
          </cell>
          <cell r="M134">
            <v>1624.282426452721</v>
          </cell>
          <cell r="O134">
            <v>3280.5225184466717</v>
          </cell>
          <cell r="P134">
            <v>3291.6847562596545</v>
          </cell>
          <cell r="R134">
            <v>0</v>
          </cell>
          <cell r="S134">
            <v>0</v>
          </cell>
          <cell r="U134">
            <v>187.10196558541708</v>
          </cell>
          <cell r="V134">
            <v>107.9445908639935</v>
          </cell>
          <cell r="X134">
            <v>4436.0864354640735</v>
          </cell>
          <cell r="Y134">
            <v>4398.3783227156573</v>
          </cell>
          <cell r="AA134">
            <v>0</v>
          </cell>
          <cell r="AB134">
            <v>0</v>
          </cell>
          <cell r="AD134">
            <v>9559.0826522991265</v>
          </cell>
          <cell r="AE134">
            <v>9328.8361741121298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7369.9407714429199</v>
          </cell>
          <cell r="AQ134">
            <v>7964.8838731638152</v>
          </cell>
          <cell r="AS134">
            <v>18373.85876884143</v>
          </cell>
          <cell r="AT134">
            <v>839.28880726266743</v>
          </cell>
          <cell r="AV134">
            <v>1223.8873502623705</v>
          </cell>
          <cell r="AW134">
            <v>948.1245720560587</v>
          </cell>
          <cell r="AY134">
            <v>1846.4744983982625</v>
          </cell>
          <cell r="AZ134">
            <v>0</v>
          </cell>
          <cell r="BB134">
            <v>1554.8811798469437</v>
          </cell>
          <cell r="BC134">
            <v>0</v>
          </cell>
          <cell r="BE134">
            <v>0</v>
          </cell>
          <cell r="BF134">
            <v>0</v>
          </cell>
          <cell r="BH134">
            <v>110.27308797143304</v>
          </cell>
          <cell r="BI134">
            <v>0</v>
          </cell>
          <cell r="BK134">
            <v>766.47098910415832</v>
          </cell>
          <cell r="BL134">
            <v>0</v>
          </cell>
          <cell r="BN134">
            <v>66.035678486535474</v>
          </cell>
          <cell r="BO134">
            <v>0</v>
          </cell>
          <cell r="BT134">
            <v>51443.530140463503</v>
          </cell>
          <cell r="BU134">
            <v>92758.793002705206</v>
          </cell>
          <cell r="BW134">
            <v>11118.017309889115</v>
          </cell>
          <cell r="BX134">
            <v>12994.012524020778</v>
          </cell>
          <cell r="BZ134">
            <v>20057.206288350593</v>
          </cell>
          <cell r="CA134">
            <v>581.05426206886136</v>
          </cell>
          <cell r="CC134">
            <v>669.03223128880086</v>
          </cell>
          <cell r="CD134">
            <v>670.32366140257511</v>
          </cell>
          <cell r="CF134">
            <v>82.990440044066474</v>
          </cell>
          <cell r="CG134">
            <v>0</v>
          </cell>
          <cell r="CI134">
            <v>2306.1292536434107</v>
          </cell>
          <cell r="CJ134">
            <v>1461.725672931098</v>
          </cell>
          <cell r="CL134">
            <v>0</v>
          </cell>
          <cell r="CM134">
            <v>0</v>
          </cell>
          <cell r="CX134">
            <v>2134.9146438805324</v>
          </cell>
          <cell r="CY134">
            <v>856.42577660382995</v>
          </cell>
          <cell r="DA134">
            <v>-5788.1110562497488</v>
          </cell>
          <cell r="DC134">
            <v>82087.06</v>
          </cell>
          <cell r="DD134">
            <v>461.68</v>
          </cell>
          <cell r="DE134">
            <v>60397.479999999996</v>
          </cell>
          <cell r="DF134">
            <v>-593.43999999999983</v>
          </cell>
          <cell r="DW134">
            <v>1062</v>
          </cell>
          <cell r="DX134">
            <v>0</v>
          </cell>
        </row>
        <row r="135">
          <cell r="F135">
            <v>1804.3</v>
          </cell>
          <cell r="G135">
            <v>0</v>
          </cell>
          <cell r="H135">
            <v>88.5</v>
          </cell>
          <cell r="I135">
            <v>5336.9923750908747</v>
          </cell>
          <cell r="J135">
            <v>5408.0440512269579</v>
          </cell>
          <cell r="L135">
            <v>1047.7366497746834</v>
          </cell>
          <cell r="M135">
            <v>1093.5395473270144</v>
          </cell>
          <cell r="O135">
            <v>2194.9201968321822</v>
          </cell>
          <cell r="P135">
            <v>2202.3588036829988</v>
          </cell>
          <cell r="R135">
            <v>0</v>
          </cell>
          <cell r="S135">
            <v>0</v>
          </cell>
          <cell r="U135">
            <v>140.32647418906288</v>
          </cell>
          <cell r="V135">
            <v>80.958443147995155</v>
          </cell>
          <cell r="X135">
            <v>2882.0699764272676</v>
          </cell>
          <cell r="Y135">
            <v>2685.8620327459739</v>
          </cell>
          <cell r="AA135">
            <v>0</v>
          </cell>
          <cell r="AB135">
            <v>0</v>
          </cell>
          <cell r="AD135">
            <v>6605.354656793611</v>
          </cell>
          <cell r="AE135">
            <v>6695.3600971807573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4621.8272634472569</v>
          </cell>
          <cell r="AQ135">
            <v>5260.2769185155357</v>
          </cell>
          <cell r="AS135">
            <v>18517.710767615441</v>
          </cell>
          <cell r="AT135">
            <v>2486.7410159891633</v>
          </cell>
          <cell r="AV135">
            <v>878.1053202305992</v>
          </cell>
          <cell r="AW135">
            <v>489.07359764550097</v>
          </cell>
          <cell r="AY135">
            <v>1229.8767826642393</v>
          </cell>
          <cell r="AZ135">
            <v>0</v>
          </cell>
          <cell r="BB135">
            <v>1192.2426036005097</v>
          </cell>
          <cell r="BC135">
            <v>0</v>
          </cell>
          <cell r="BE135">
            <v>0</v>
          </cell>
          <cell r="BF135">
            <v>0</v>
          </cell>
          <cell r="BH135">
            <v>82.704815978574771</v>
          </cell>
          <cell r="BI135">
            <v>0</v>
          </cell>
          <cell r="BK135">
            <v>467.0345576696767</v>
          </cell>
          <cell r="BL135">
            <v>0</v>
          </cell>
          <cell r="BN135">
            <v>66.035678486535474</v>
          </cell>
          <cell r="BO135">
            <v>0</v>
          </cell>
          <cell r="BT135">
            <v>18605.414016088846</v>
          </cell>
          <cell r="BU135">
            <v>27534.265848311152</v>
          </cell>
          <cell r="BW135">
            <v>7207.9208934728758</v>
          </cell>
          <cell r="BX135">
            <v>7494.7525004114668</v>
          </cell>
          <cell r="BZ135">
            <v>6612.6544975904453</v>
          </cell>
          <cell r="CA135">
            <v>281.44121241725736</v>
          </cell>
          <cell r="CC135">
            <v>538.30179528983979</v>
          </cell>
          <cell r="CD135">
            <v>539.34087699057773</v>
          </cell>
          <cell r="CF135">
            <v>66.773917276835093</v>
          </cell>
          <cell r="CG135">
            <v>0</v>
          </cell>
          <cell r="CI135">
            <v>853.62364638915278</v>
          </cell>
          <cell r="CJ135">
            <v>583.00614342164738</v>
          </cell>
          <cell r="CL135">
            <v>0</v>
          </cell>
          <cell r="CM135">
            <v>0</v>
          </cell>
          <cell r="CX135">
            <v>5864.367986592084</v>
          </cell>
          <cell r="CY135">
            <v>25439.4949416655</v>
          </cell>
          <cell r="DA135">
            <v>-32025.401198298485</v>
          </cell>
          <cell r="DC135">
            <v>37353.69</v>
          </cell>
          <cell r="DD135">
            <v>563.76</v>
          </cell>
          <cell r="DE135">
            <v>24727.880000000005</v>
          </cell>
          <cell r="DF135">
            <v>0</v>
          </cell>
          <cell r="DW135">
            <v>1062</v>
          </cell>
          <cell r="DX135">
            <v>0</v>
          </cell>
        </row>
        <row r="136">
          <cell r="F136">
            <v>2858</v>
          </cell>
          <cell r="G136">
            <v>271.5</v>
          </cell>
          <cell r="H136">
            <v>0</v>
          </cell>
          <cell r="I136">
            <v>7160.7085587199517</v>
          </cell>
          <cell r="J136">
            <v>7278.752407476396</v>
          </cell>
          <cell r="L136">
            <v>1115.8103835946697</v>
          </cell>
          <cell r="M136">
            <v>1159.6557814011912</v>
          </cell>
          <cell r="O136">
            <v>3629.3010234433641</v>
          </cell>
          <cell r="P136">
            <v>3641.2796738000334</v>
          </cell>
          <cell r="R136">
            <v>744.68370609825183</v>
          </cell>
          <cell r="S136">
            <v>747.03548010342297</v>
          </cell>
          <cell r="U136">
            <v>354.61978124250459</v>
          </cell>
          <cell r="V136">
            <v>741.96098533695772</v>
          </cell>
          <cell r="X136">
            <v>3200.8058819158014</v>
          </cell>
          <cell r="Y136">
            <v>2746.8293039970295</v>
          </cell>
          <cell r="AA136">
            <v>0</v>
          </cell>
          <cell r="AB136">
            <v>0</v>
          </cell>
          <cell r="AD136">
            <v>10030.869078501979</v>
          </cell>
          <cell r="AE136">
            <v>9806.2636629628305</v>
          </cell>
          <cell r="AJ136">
            <v>15737.528755719894</v>
          </cell>
          <cell r="AK136">
            <v>14850.436112339667</v>
          </cell>
          <cell r="AM136">
            <v>0</v>
          </cell>
          <cell r="AN136">
            <v>0</v>
          </cell>
          <cell r="AP136">
            <v>1665.5233381791911</v>
          </cell>
          <cell r="AQ136">
            <v>1838.517219309289</v>
          </cell>
          <cell r="AS136">
            <v>35188.007211153497</v>
          </cell>
          <cell r="AT136">
            <v>13319.984084835753</v>
          </cell>
          <cell r="AV136">
            <v>707.39466350793111</v>
          </cell>
          <cell r="AW136">
            <v>0</v>
          </cell>
          <cell r="AY136">
            <v>813.94959887043183</v>
          </cell>
          <cell r="AZ136">
            <v>0</v>
          </cell>
          <cell r="BB136">
            <v>964.56113929154128</v>
          </cell>
          <cell r="BC136">
            <v>0</v>
          </cell>
          <cell r="BE136">
            <v>305.11279887486251</v>
          </cell>
          <cell r="BF136">
            <v>0</v>
          </cell>
          <cell r="BH136">
            <v>185.83106976572736</v>
          </cell>
          <cell r="BI136">
            <v>0</v>
          </cell>
          <cell r="BK136">
            <v>541.53890162225696</v>
          </cell>
          <cell r="BL136">
            <v>0</v>
          </cell>
          <cell r="BN136">
            <v>6.0545776474590696</v>
          </cell>
          <cell r="BO136">
            <v>0</v>
          </cell>
          <cell r="BT136">
            <v>34151.854209571895</v>
          </cell>
          <cell r="BU136">
            <v>50094.287775960045</v>
          </cell>
          <cell r="BW136">
            <v>26682.664749059652</v>
          </cell>
          <cell r="BX136">
            <v>32125.712979806493</v>
          </cell>
          <cell r="BZ136">
            <v>4959.1834233256941</v>
          </cell>
          <cell r="CA136">
            <v>390.11708098280099</v>
          </cell>
          <cell r="CC136">
            <v>553.68184658383518</v>
          </cell>
          <cell r="CD136">
            <v>554.75061633316579</v>
          </cell>
          <cell r="CF136">
            <v>68.681743484744672</v>
          </cell>
          <cell r="CG136">
            <v>0</v>
          </cell>
          <cell r="CI136">
            <v>5488.5060041995202</v>
          </cell>
          <cell r="CJ136">
            <v>5479.5134338922016</v>
          </cell>
          <cell r="CL136">
            <v>5113.0716081921573</v>
          </cell>
          <cell r="CM136">
            <v>8560.4539687294291</v>
          </cell>
          <cell r="CX136">
            <v>10666.036621434791</v>
          </cell>
          <cell r="CY136">
            <v>17907.308803794909</v>
          </cell>
          <cell r="DA136">
            <v>-12716.277835787652</v>
          </cell>
          <cell r="DC136">
            <v>33570.26</v>
          </cell>
          <cell r="DD136">
            <v>0</v>
          </cell>
          <cell r="DE136">
            <v>7382.02</v>
          </cell>
          <cell r="DF136">
            <v>0</v>
          </cell>
          <cell r="DW136">
            <v>1062</v>
          </cell>
          <cell r="DX136">
            <v>0</v>
          </cell>
        </row>
        <row r="137">
          <cell r="F137">
            <v>4254.1000000000004</v>
          </cell>
          <cell r="G137">
            <v>465</v>
          </cell>
          <cell r="H137">
            <v>0</v>
          </cell>
          <cell r="I137">
            <v>13938.822357639961</v>
          </cell>
          <cell r="J137">
            <v>14102.045991497285</v>
          </cell>
          <cell r="L137">
            <v>2102.4681270068781</v>
          </cell>
          <cell r="M137">
            <v>2184.8214459883893</v>
          </cell>
          <cell r="O137">
            <v>5538.6202903227186</v>
          </cell>
          <cell r="P137">
            <v>5557.5399547256684</v>
          </cell>
          <cell r="R137">
            <v>1232.0794043745384</v>
          </cell>
          <cell r="S137">
            <v>1236.0495484644264</v>
          </cell>
          <cell r="U137">
            <v>663.74715275413564</v>
          </cell>
          <cell r="V137">
            <v>1388.6435726481116</v>
          </cell>
          <cell r="X137">
            <v>5955.7985738700836</v>
          </cell>
          <cell r="Y137">
            <v>5214.5699489514009</v>
          </cell>
          <cell r="AA137">
            <v>0</v>
          </cell>
          <cell r="AB137">
            <v>0</v>
          </cell>
          <cell r="AD137">
            <v>15419.723855965756</v>
          </cell>
          <cell r="AE137">
            <v>15047.935011314803</v>
          </cell>
          <cell r="AJ137">
            <v>34837.403292893097</v>
          </cell>
          <cell r="AK137">
            <v>30518.432448345444</v>
          </cell>
          <cell r="AM137">
            <v>302.92842272642292</v>
          </cell>
          <cell r="AN137">
            <v>1312.4125389748624</v>
          </cell>
          <cell r="AP137">
            <v>2997.9420087225444</v>
          </cell>
          <cell r="AQ137">
            <v>3290.6591220288274</v>
          </cell>
          <cell r="AS137">
            <v>56744.021712194466</v>
          </cell>
          <cell r="AT137">
            <v>24754.278670043823</v>
          </cell>
          <cell r="AV137">
            <v>1524.9554747960781</v>
          </cell>
          <cell r="AW137">
            <v>1700.1578603041735</v>
          </cell>
          <cell r="AY137">
            <v>1540.1636498747498</v>
          </cell>
          <cell r="AZ137">
            <v>0</v>
          </cell>
          <cell r="BB137">
            <v>1528.2944359016278</v>
          </cell>
          <cell r="BC137">
            <v>0</v>
          </cell>
          <cell r="BE137">
            <v>550.0348596459595</v>
          </cell>
          <cell r="BF137">
            <v>0</v>
          </cell>
          <cell r="BH137">
            <v>348.0099342063512</v>
          </cell>
          <cell r="BI137">
            <v>0</v>
          </cell>
          <cell r="BK137">
            <v>1132.6422012511023</v>
          </cell>
          <cell r="BL137">
            <v>0</v>
          </cell>
          <cell r="BN137">
            <v>53.487331030661736</v>
          </cell>
          <cell r="BO137">
            <v>5492.6297331160004</v>
          </cell>
          <cell r="BT137">
            <v>44462.820917926962</v>
          </cell>
          <cell r="BU137">
            <v>63298.55266434676</v>
          </cell>
          <cell r="BW137">
            <v>33379.992924246733</v>
          </cell>
          <cell r="BX137">
            <v>40657.776156372231</v>
          </cell>
          <cell r="BZ137">
            <v>8803.7560934586509</v>
          </cell>
          <cell r="CA137">
            <v>480.59579848195369</v>
          </cell>
          <cell r="CC137">
            <v>717.7357270531196</v>
          </cell>
          <cell r="CD137">
            <v>719.12116932077038</v>
          </cell>
          <cell r="CF137">
            <v>89.031889702446776</v>
          </cell>
          <cell r="CG137">
            <v>0</v>
          </cell>
          <cell r="CI137">
            <v>9999.0353478776087</v>
          </cell>
          <cell r="CJ137">
            <v>5241.7559436484362</v>
          </cell>
          <cell r="CL137">
            <v>7198.0057282282096</v>
          </cell>
          <cell r="CM137">
            <v>12206.264367669795</v>
          </cell>
          <cell r="CX137">
            <v>6934.5666113534271</v>
          </cell>
          <cell r="CY137">
            <v>26923.302332266623</v>
          </cell>
          <cell r="DA137">
            <v>-139935.00196786225</v>
          </cell>
          <cell r="DC137">
            <v>80027.399999999994</v>
          </cell>
          <cell r="DD137">
            <v>0</v>
          </cell>
          <cell r="DE137">
            <v>40129.81</v>
          </cell>
          <cell r="DF137">
            <v>0</v>
          </cell>
          <cell r="DW137">
            <v>1062</v>
          </cell>
          <cell r="DX137">
            <v>0</v>
          </cell>
        </row>
        <row r="138">
          <cell r="F138">
            <v>130.1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220.79978670642137</v>
          </cell>
          <cell r="AQ138">
            <v>140.47538423161123</v>
          </cell>
          <cell r="AS138">
            <v>1567.1548575956654</v>
          </cell>
          <cell r="AT138">
            <v>7236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T138">
            <v>162.40665178357042</v>
          </cell>
          <cell r="BU138">
            <v>377.83817715324329</v>
          </cell>
          <cell r="BW138">
            <v>0</v>
          </cell>
          <cell r="BX138">
            <v>0</v>
          </cell>
          <cell r="BZ138">
            <v>38.197029657690422</v>
          </cell>
          <cell r="CA138">
            <v>0.63498679319378526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X138">
            <v>73.997890322969113</v>
          </cell>
          <cell r="CY138">
            <v>-6845.6703765986713</v>
          </cell>
          <cell r="DA138">
            <v>416.57922079164109</v>
          </cell>
          <cell r="DC138">
            <v>600.1</v>
          </cell>
          <cell r="DD138">
            <v>0</v>
          </cell>
          <cell r="DE138">
            <v>280.68</v>
          </cell>
          <cell r="DF138">
            <v>0</v>
          </cell>
          <cell r="DW138">
            <v>0</v>
          </cell>
          <cell r="DX138">
            <v>0</v>
          </cell>
        </row>
        <row r="139">
          <cell r="F139">
            <v>373.5</v>
          </cell>
          <cell r="G139">
            <v>0</v>
          </cell>
          <cell r="H139">
            <v>0</v>
          </cell>
          <cell r="I139">
            <v>1838.3676792225408</v>
          </cell>
          <cell r="J139">
            <v>1817.6689680110983</v>
          </cell>
          <cell r="L139">
            <v>366.92175516708687</v>
          </cell>
          <cell r="M139">
            <v>383.76141260465204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584.14691583126194</v>
          </cell>
          <cell r="Y139">
            <v>554.7097214223877</v>
          </cell>
          <cell r="AA139">
            <v>0</v>
          </cell>
          <cell r="AB139">
            <v>0</v>
          </cell>
          <cell r="AD139">
            <v>1353.8155803115137</v>
          </cell>
          <cell r="AE139">
            <v>1321.1733919574242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1177.5988624342474</v>
          </cell>
          <cell r="AQ139">
            <v>374.60102461762995</v>
          </cell>
          <cell r="AS139">
            <v>4465.0779012616567</v>
          </cell>
          <cell r="AT139">
            <v>0</v>
          </cell>
          <cell r="AV139">
            <v>319.27145664604552</v>
          </cell>
          <cell r="AW139">
            <v>0</v>
          </cell>
          <cell r="AY139">
            <v>434.26975757524593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115.07714379339315</v>
          </cell>
          <cell r="BL139">
            <v>0</v>
          </cell>
          <cell r="BN139">
            <v>25.096694911747448</v>
          </cell>
          <cell r="BO139">
            <v>1147.6023835599999</v>
          </cell>
          <cell r="BT139">
            <v>284.21164062124825</v>
          </cell>
          <cell r="BU139">
            <v>1033.9726747161403</v>
          </cell>
          <cell r="BW139">
            <v>416.44895985596884</v>
          </cell>
          <cell r="BX139">
            <v>164.87243637999219</v>
          </cell>
          <cell r="BZ139">
            <v>252.80182958114901</v>
          </cell>
          <cell r="CA139">
            <v>1.7407691656147044</v>
          </cell>
          <cell r="CC139">
            <v>265.30588482142099</v>
          </cell>
          <cell r="CD139">
            <v>265.81800365964187</v>
          </cell>
          <cell r="CF139">
            <v>32.910002086440151</v>
          </cell>
          <cell r="CG139">
            <v>0</v>
          </cell>
          <cell r="CI139">
            <v>12.634329494604692</v>
          </cell>
          <cell r="CJ139">
            <v>0</v>
          </cell>
          <cell r="CL139">
            <v>0</v>
          </cell>
          <cell r="CM139">
            <v>0</v>
          </cell>
          <cell r="CX139">
            <v>445.22359377070813</v>
          </cell>
          <cell r="CY139">
            <v>6298.866322795895</v>
          </cell>
          <cell r="DA139">
            <v>-22376.519728692947</v>
          </cell>
          <cell r="DC139">
            <v>1659.97</v>
          </cell>
          <cell r="DD139">
            <v>0</v>
          </cell>
          <cell r="DE139">
            <v>-259.32999999999993</v>
          </cell>
          <cell r="DF139">
            <v>0</v>
          </cell>
          <cell r="DW139">
            <v>0</v>
          </cell>
          <cell r="DX139">
            <v>0</v>
          </cell>
        </row>
        <row r="140">
          <cell r="F140">
            <v>173.75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147.19985780428092</v>
          </cell>
          <cell r="AQ140">
            <v>93.650256154407487</v>
          </cell>
          <cell r="AS140">
            <v>2216.857034251158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498.81265267999999</v>
          </cell>
          <cell r="BT140">
            <v>81.203325891785212</v>
          </cell>
          <cell r="BU140">
            <v>516.98633735807016</v>
          </cell>
          <cell r="BW140">
            <v>0</v>
          </cell>
          <cell r="BX140">
            <v>0</v>
          </cell>
          <cell r="BZ140">
            <v>19.098514828845211</v>
          </cell>
          <cell r="CA140">
            <v>0.8703845828073522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X140">
            <v>69.275704348910097</v>
          </cell>
          <cell r="CY140">
            <v>1694.1226267498516</v>
          </cell>
          <cell r="DA140">
            <v>-9637.504739822316</v>
          </cell>
          <cell r="DC140">
            <v>392.39</v>
          </cell>
          <cell r="DD140">
            <v>0</v>
          </cell>
          <cell r="DE140">
            <v>0</v>
          </cell>
          <cell r="DF140">
            <v>0</v>
          </cell>
          <cell r="DW140">
            <v>918</v>
          </cell>
          <cell r="DX140">
            <v>0</v>
          </cell>
        </row>
        <row r="141">
          <cell r="F141">
            <v>188.4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110.39989335321069</v>
          </cell>
          <cell r="AQ141">
            <v>70.237692115805615</v>
          </cell>
          <cell r="AS141">
            <v>1862.5294481698463</v>
          </cell>
          <cell r="AT141">
            <v>8085.071866928437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162.40665178357042</v>
          </cell>
          <cell r="BU141">
            <v>459.59942638154064</v>
          </cell>
          <cell r="BW141">
            <v>0</v>
          </cell>
          <cell r="BX141">
            <v>0</v>
          </cell>
          <cell r="BZ141">
            <v>38.197029657690422</v>
          </cell>
          <cell r="CA141">
            <v>0.77367518471764629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81.12475254664102</v>
          </cell>
          <cell r="CY141">
            <v>-7649.45481262878</v>
          </cell>
          <cell r="DA141">
            <v>1449.7972545335006</v>
          </cell>
          <cell r="DC141">
            <v>351.8</v>
          </cell>
          <cell r="DD141">
            <v>0</v>
          </cell>
          <cell r="DE141">
            <v>0</v>
          </cell>
          <cell r="DF141">
            <v>0</v>
          </cell>
          <cell r="DW141">
            <v>0</v>
          </cell>
          <cell r="DX141">
            <v>0</v>
          </cell>
        </row>
        <row r="142">
          <cell r="F142">
            <v>195.4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220.79978670642137</v>
          </cell>
          <cell r="AQ142">
            <v>97.58525263116573</v>
          </cell>
          <cell r="AS142">
            <v>2023.6711573466689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1901.9714648300001</v>
          </cell>
          <cell r="BT142">
            <v>182.70748325651678</v>
          </cell>
          <cell r="BU142">
            <v>359.85421066262597</v>
          </cell>
          <cell r="BW142">
            <v>0</v>
          </cell>
          <cell r="BX142">
            <v>0</v>
          </cell>
          <cell r="BZ142">
            <v>42.971658364901714</v>
          </cell>
          <cell r="CA142">
            <v>0.60578485652048975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X142">
            <v>89.793950198891352</v>
          </cell>
          <cell r="CY142">
            <v>221.95399743192689</v>
          </cell>
          <cell r="DA142">
            <v>-7097.5923018704434</v>
          </cell>
          <cell r="DC142">
            <v>296.29000000000002</v>
          </cell>
          <cell r="DD142">
            <v>0</v>
          </cell>
          <cell r="DE142">
            <v>-102.93</v>
          </cell>
          <cell r="DF142">
            <v>0</v>
          </cell>
          <cell r="DW142">
            <v>918</v>
          </cell>
          <cell r="DX142">
            <v>0</v>
          </cell>
        </row>
        <row r="143">
          <cell r="F143">
            <v>181.9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257.5997511574916</v>
          </cell>
          <cell r="AQ143">
            <v>93.650256154407487</v>
          </cell>
          <cell r="AS143">
            <v>2319.9869298478038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X143">
            <v>96.164916138109604</v>
          </cell>
          <cell r="CY143">
            <v>3076.8886259591754</v>
          </cell>
          <cell r="DA143">
            <v>-12720.568963075115</v>
          </cell>
          <cell r="DC143">
            <v>473.61</v>
          </cell>
          <cell r="DD143">
            <v>0</v>
          </cell>
          <cell r="DE143">
            <v>56.639999999999986</v>
          </cell>
          <cell r="DF143">
            <v>0</v>
          </cell>
          <cell r="DW143">
            <v>0</v>
          </cell>
          <cell r="DX143">
            <v>0</v>
          </cell>
        </row>
        <row r="144">
          <cell r="F144">
            <v>110.2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110.39989335321069</v>
          </cell>
          <cell r="AQ144">
            <v>70.237692115805615</v>
          </cell>
          <cell r="AS144">
            <v>1490.2782255601064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X144">
            <v>52.279855852230689</v>
          </cell>
          <cell r="CY144">
            <v>1888.8083680092443</v>
          </cell>
          <cell r="DA144">
            <v>-8076.2307797776048</v>
          </cell>
          <cell r="DC144">
            <v>254.23</v>
          </cell>
          <cell r="DD144">
            <v>0</v>
          </cell>
          <cell r="DE144">
            <v>0</v>
          </cell>
          <cell r="DF144">
            <v>0</v>
          </cell>
          <cell r="DW144">
            <v>0</v>
          </cell>
          <cell r="DX144">
            <v>0</v>
          </cell>
        </row>
        <row r="145">
          <cell r="F145">
            <v>3083.2</v>
          </cell>
          <cell r="G145">
            <v>0</v>
          </cell>
          <cell r="H145">
            <v>90.1</v>
          </cell>
          <cell r="I145">
            <v>9930.3834927347252</v>
          </cell>
          <cell r="J145">
            <v>10052.270708731539</v>
          </cell>
          <cell r="L145">
            <v>2052.177348274623</v>
          </cell>
          <cell r="M145">
            <v>2142.8045108280903</v>
          </cell>
          <cell r="O145">
            <v>3995.4604853073884</v>
          </cell>
          <cell r="P145">
            <v>4007.8973529551454</v>
          </cell>
          <cell r="R145">
            <v>0</v>
          </cell>
          <cell r="S145">
            <v>0</v>
          </cell>
          <cell r="U145">
            <v>168.39176902687541</v>
          </cell>
          <cell r="V145">
            <v>97.150131777594169</v>
          </cell>
          <cell r="X145">
            <v>6589.0734908647419</v>
          </cell>
          <cell r="Y145">
            <v>6385.5900391564792</v>
          </cell>
          <cell r="AA145">
            <v>0</v>
          </cell>
          <cell r="AB145">
            <v>0</v>
          </cell>
          <cell r="AD145">
            <v>12098.895670369629</v>
          </cell>
          <cell r="AE145">
            <v>11208.455011438555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8494.169024713874</v>
          </cell>
          <cell r="AQ145">
            <v>9152.9033898898415</v>
          </cell>
          <cell r="AS145">
            <v>36424.084127915827</v>
          </cell>
          <cell r="AT145">
            <v>59449.531493584378</v>
          </cell>
          <cell r="AV145">
            <v>1538.9524931662643</v>
          </cell>
          <cell r="AW145">
            <v>0</v>
          </cell>
          <cell r="AY145">
            <v>2407.2200322090407</v>
          </cell>
          <cell r="AZ145">
            <v>4033.9967426271583</v>
          </cell>
          <cell r="BB145">
            <v>1507.4518484832158</v>
          </cell>
          <cell r="BC145">
            <v>0</v>
          </cell>
          <cell r="BE145">
            <v>0</v>
          </cell>
          <cell r="BF145">
            <v>0</v>
          </cell>
          <cell r="BH145">
            <v>99.245779174289751</v>
          </cell>
          <cell r="BI145">
            <v>0</v>
          </cell>
          <cell r="BK145">
            <v>1574.6572977282613</v>
          </cell>
          <cell r="BL145">
            <v>0</v>
          </cell>
          <cell r="BN145">
            <v>100.38677964698979</v>
          </cell>
          <cell r="BO145">
            <v>5016.3353894336842</v>
          </cell>
          <cell r="BT145">
            <v>22419.844740318473</v>
          </cell>
          <cell r="BU145">
            <v>37850.316277465317</v>
          </cell>
          <cell r="BW145">
            <v>15145.399182559328</v>
          </cell>
          <cell r="BX145">
            <v>16536.465680616271</v>
          </cell>
          <cell r="BZ145">
            <v>5057.9941479180497</v>
          </cell>
          <cell r="CA145">
            <v>224.28578777427731</v>
          </cell>
          <cell r="CC145">
            <v>1490.5833045763895</v>
          </cell>
          <cell r="CD145">
            <v>1493.4605712858142</v>
          </cell>
          <cell r="CF145">
            <v>184.9001566499029</v>
          </cell>
          <cell r="CG145">
            <v>1374.2568389528199</v>
          </cell>
          <cell r="CI145">
            <v>3510.7956033116184</v>
          </cell>
          <cell r="CJ145">
            <v>2823.5014908374806</v>
          </cell>
          <cell r="CL145">
            <v>0</v>
          </cell>
          <cell r="CM145">
            <v>0</v>
          </cell>
          <cell r="CX145">
            <v>-2466.9010678686318</v>
          </cell>
          <cell r="CY145">
            <v>-46937.886638754549</v>
          </cell>
          <cell r="DA145">
            <v>39104.904036211352</v>
          </cell>
          <cell r="DC145">
            <v>47495.86</v>
          </cell>
          <cell r="DD145">
            <v>0</v>
          </cell>
          <cell r="DE145">
            <v>27153.170000000002</v>
          </cell>
          <cell r="DF145">
            <v>-526.66999999999996</v>
          </cell>
          <cell r="DW145">
            <v>918</v>
          </cell>
          <cell r="DX145">
            <v>0</v>
          </cell>
        </row>
        <row r="146">
          <cell r="F146">
            <v>7111.58</v>
          </cell>
          <cell r="G146">
            <v>625.84</v>
          </cell>
          <cell r="H146">
            <v>0</v>
          </cell>
          <cell r="I146">
            <v>22166.890399480872</v>
          </cell>
          <cell r="J146">
            <v>17112.120569154566</v>
          </cell>
          <cell r="L146">
            <v>3409.5877020819016</v>
          </cell>
          <cell r="M146">
            <v>2862.2492521143686</v>
          </cell>
          <cell r="O146">
            <v>9569.6438764642571</v>
          </cell>
          <cell r="P146">
            <v>9601.8493436465851</v>
          </cell>
          <cell r="R146">
            <v>1959.439391291806</v>
          </cell>
          <cell r="S146">
            <v>1967.8393592545328</v>
          </cell>
          <cell r="U146">
            <v>1027.8012126901845</v>
          </cell>
          <cell r="V146">
            <v>450.15021432798483</v>
          </cell>
          <cell r="X146">
            <v>9513.6944333222964</v>
          </cell>
          <cell r="Y146">
            <v>6680.0196156814727</v>
          </cell>
          <cell r="AA146">
            <v>0</v>
          </cell>
          <cell r="AB146">
            <v>0</v>
          </cell>
          <cell r="AD146">
            <v>25776.752037351846</v>
          </cell>
          <cell r="AE146">
            <v>25155.263501427413</v>
          </cell>
          <cell r="AJ146">
            <v>55524.758513040499</v>
          </cell>
          <cell r="AK146">
            <v>46909.404668641393</v>
          </cell>
          <cell r="AM146">
            <v>908.80628444281319</v>
          </cell>
          <cell r="AN146">
            <v>0</v>
          </cell>
          <cell r="AP146">
            <v>4996.5700145375749</v>
          </cell>
          <cell r="AQ146">
            <v>5369.8704801480917</v>
          </cell>
          <cell r="AS146">
            <v>92798.510535970694</v>
          </cell>
          <cell r="AT146">
            <v>28089.148764090103</v>
          </cell>
          <cell r="AV146">
            <v>2110.3532077341779</v>
          </cell>
          <cell r="AW146">
            <v>275.42523712368603</v>
          </cell>
          <cell r="AY146">
            <v>2318.9067969850694</v>
          </cell>
          <cell r="AZ146">
            <v>2738.1815747602373</v>
          </cell>
          <cell r="BB146">
            <v>2290.5177894052526</v>
          </cell>
          <cell r="BC146">
            <v>0</v>
          </cell>
          <cell r="BE146">
            <v>866.94875169910006</v>
          </cell>
          <cell r="BF146">
            <v>0</v>
          </cell>
          <cell r="BH146">
            <v>536.45549831535459</v>
          </cell>
          <cell r="BI146">
            <v>0</v>
          </cell>
          <cell r="BK146">
            <v>1902.3169042271888</v>
          </cell>
          <cell r="BL146">
            <v>1115.8219443980984</v>
          </cell>
          <cell r="BN146">
            <v>417.61668522145459</v>
          </cell>
          <cell r="BO146">
            <v>7020.8606057243496</v>
          </cell>
          <cell r="BT146">
            <v>88915.77420349553</v>
          </cell>
          <cell r="BU146">
            <v>132420.55491682884</v>
          </cell>
          <cell r="BW146">
            <v>66608.351436576821</v>
          </cell>
          <cell r="BX146">
            <v>77744.587139704614</v>
          </cell>
          <cell r="BZ146">
            <v>17862.69352295958</v>
          </cell>
          <cell r="CA146">
            <v>677.25554136669416</v>
          </cell>
          <cell r="CC146">
            <v>1551.3345071876713</v>
          </cell>
          <cell r="CD146">
            <v>1554.329041689037</v>
          </cell>
          <cell r="CF146">
            <v>192.4360701711457</v>
          </cell>
          <cell r="CG146">
            <v>1696.8237446746252</v>
          </cell>
          <cell r="CI146">
            <v>16095.961650059869</v>
          </cell>
          <cell r="CJ146">
            <v>12710.106710253045</v>
          </cell>
          <cell r="CL146">
            <v>15828.721571370887</v>
          </cell>
          <cell r="CM146">
            <v>21204.779512974586</v>
          </cell>
          <cell r="CX146">
            <v>15976.436930422675</v>
          </cell>
          <cell r="CY146">
            <v>66129.478440142091</v>
          </cell>
          <cell r="DA146">
            <v>52895.532465121738</v>
          </cell>
          <cell r="DC146">
            <v>192863.98</v>
          </cell>
          <cell r="DD146">
            <v>0</v>
          </cell>
          <cell r="DE146">
            <v>121392.86000000002</v>
          </cell>
          <cell r="DF146">
            <v>0</v>
          </cell>
          <cell r="DW146">
            <v>1188</v>
          </cell>
          <cell r="DX146">
            <v>0</v>
          </cell>
        </row>
        <row r="147">
          <cell r="F147">
            <v>9483.7999999999993</v>
          </cell>
          <cell r="G147">
            <v>988.9</v>
          </cell>
          <cell r="H147">
            <v>0</v>
          </cell>
          <cell r="I147">
            <v>25297.380270259106</v>
          </cell>
          <cell r="J147">
            <v>19614.388060073434</v>
          </cell>
          <cell r="L147">
            <v>3762.7956738849325</v>
          </cell>
          <cell r="M147">
            <v>3143.0750387485687</v>
          </cell>
          <cell r="O147">
            <v>13100.969279496523</v>
          </cell>
          <cell r="P147">
            <v>13145.153978417391</v>
          </cell>
          <cell r="R147">
            <v>2675.9705727007672</v>
          </cell>
          <cell r="S147">
            <v>2686.9321817902814</v>
          </cell>
          <cell r="U147">
            <v>1027.8012126901845</v>
          </cell>
          <cell r="V147">
            <v>431.63534328360072</v>
          </cell>
          <cell r="X147">
            <v>10009.258983470245</v>
          </cell>
          <cell r="Y147">
            <v>7074.4025494477391</v>
          </cell>
          <cell r="AA147">
            <v>0</v>
          </cell>
          <cell r="AB147">
            <v>0</v>
          </cell>
          <cell r="AD147">
            <v>34333.25231344132</v>
          </cell>
          <cell r="AE147">
            <v>33507.663053104232</v>
          </cell>
          <cell r="AJ147">
            <v>40214.938619212706</v>
          </cell>
          <cell r="AK147">
            <v>39377.413817337503</v>
          </cell>
          <cell r="AM147">
            <v>908.80628444281319</v>
          </cell>
          <cell r="AN147">
            <v>1312.4069936408671</v>
          </cell>
          <cell r="AP147">
            <v>5204.7604318099729</v>
          </cell>
          <cell r="AQ147">
            <v>5740.8534715947453</v>
          </cell>
          <cell r="AS147">
            <v>113317.3381383106</v>
          </cell>
          <cell r="AT147">
            <v>144018.81151926002</v>
          </cell>
          <cell r="AV147">
            <v>2417.3342096926654</v>
          </cell>
          <cell r="AW147">
            <v>662.93141411936881</v>
          </cell>
          <cell r="AY147">
            <v>2724.9816544138148</v>
          </cell>
          <cell r="AZ147">
            <v>0</v>
          </cell>
          <cell r="BB147">
            <v>3583.7712850974754</v>
          </cell>
          <cell r="BC147">
            <v>0</v>
          </cell>
          <cell r="BE147">
            <v>1131.4696646195605</v>
          </cell>
          <cell r="BF147">
            <v>0</v>
          </cell>
          <cell r="BH147">
            <v>536.45549831535459</v>
          </cell>
          <cell r="BI147">
            <v>0</v>
          </cell>
          <cell r="BK147">
            <v>1972.7106364332542</v>
          </cell>
          <cell r="BL147">
            <v>904.12540647134904</v>
          </cell>
          <cell r="BN147">
            <v>425.71779018198691</v>
          </cell>
          <cell r="BO147">
            <v>14635.695957452564</v>
          </cell>
          <cell r="BT147">
            <v>91433.699884187052</v>
          </cell>
          <cell r="BU147">
            <v>145666.8740419556</v>
          </cell>
          <cell r="BW147">
            <v>70532.307436509451</v>
          </cell>
          <cell r="BX147">
            <v>82956.024460620625</v>
          </cell>
          <cell r="BZ147">
            <v>25518.133604227973</v>
          </cell>
          <cell r="CA147">
            <v>723.08443798804615</v>
          </cell>
          <cell r="CC147">
            <v>1119.6677342028665</v>
          </cell>
          <cell r="CD147">
            <v>1121.8290241404018</v>
          </cell>
          <cell r="CF147">
            <v>138.88974793581701</v>
          </cell>
          <cell r="CG147">
            <v>0</v>
          </cell>
          <cell r="CI147">
            <v>16930.417109537488</v>
          </cell>
          <cell r="CJ147">
            <v>14165.872518450869</v>
          </cell>
          <cell r="CL147">
            <v>20613.695757299851</v>
          </cell>
          <cell r="CM147">
            <v>31344.165557975633</v>
          </cell>
          <cell r="CX147">
            <v>7641.8261786722978</v>
          </cell>
          <cell r="CY147">
            <v>-80319.151861526567</v>
          </cell>
          <cell r="DA147">
            <v>78660.738864487619</v>
          </cell>
          <cell r="DC147">
            <v>160220.95000000001</v>
          </cell>
          <cell r="DD147">
            <v>0</v>
          </cell>
          <cell r="DE147">
            <v>83052.030000000013</v>
          </cell>
          <cell r="DF147">
            <v>0</v>
          </cell>
          <cell r="DW147">
            <v>1188</v>
          </cell>
          <cell r="DX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157.83627381560828</v>
          </cell>
          <cell r="AQ148">
            <v>141.40601688470966</v>
          </cell>
          <cell r="AS148">
            <v>1423.1443556185518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B148">
            <v>0</v>
          </cell>
          <cell r="BC148">
            <v>0</v>
          </cell>
          <cell r="BE148">
            <v>0</v>
          </cell>
          <cell r="BF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1127.6054398000001</v>
          </cell>
          <cell r="BT148">
            <v>79.756702513991684</v>
          </cell>
          <cell r="BU148">
            <v>402.62943686702846</v>
          </cell>
          <cell r="BW148">
            <v>0</v>
          </cell>
          <cell r="BX148">
            <v>0</v>
          </cell>
          <cell r="BZ148">
            <v>0</v>
          </cell>
          <cell r="CA148">
            <v>0</v>
          </cell>
          <cell r="CC148">
            <v>0</v>
          </cell>
          <cell r="CD148">
            <v>0</v>
          </cell>
          <cell r="CF148">
            <v>0</v>
          </cell>
          <cell r="CG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X148">
            <v>23.265201662217976</v>
          </cell>
          <cell r="CY148">
            <v>10.180927737914317</v>
          </cell>
          <cell r="DA148">
            <v>-11456.932229278837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W148">
            <v>0</v>
          </cell>
          <cell r="DX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P149">
            <v>157.83627381560828</v>
          </cell>
          <cell r="AQ149">
            <v>188.54135584627954</v>
          </cell>
          <cell r="AS149">
            <v>954.1911793563911</v>
          </cell>
          <cell r="AT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B149">
            <v>0</v>
          </cell>
          <cell r="BC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1075.3911977600001</v>
          </cell>
          <cell r="BT149">
            <v>39.878351256995842</v>
          </cell>
          <cell r="BU149">
            <v>172.52112329178433</v>
          </cell>
          <cell r="BW149">
            <v>0</v>
          </cell>
          <cell r="BX149">
            <v>0</v>
          </cell>
          <cell r="BZ149">
            <v>0</v>
          </cell>
          <cell r="CA149">
            <v>0</v>
          </cell>
          <cell r="CC149">
            <v>0</v>
          </cell>
          <cell r="CD149">
            <v>0</v>
          </cell>
          <cell r="CF149">
            <v>0</v>
          </cell>
          <cell r="CG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X149">
            <v>34.463034685205685</v>
          </cell>
          <cell r="CY149">
            <v>-306.99441227767647</v>
          </cell>
          <cell r="DA149">
            <v>-6972.8277680381125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W149">
            <v>0</v>
          </cell>
          <cell r="DX149">
            <v>0</v>
          </cell>
        </row>
        <row r="150">
          <cell r="F150">
            <v>142.1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284.72347760174273</v>
          </cell>
          <cell r="AQ150">
            <v>70.237692115805615</v>
          </cell>
          <cell r="AS150">
            <v>1693.0234695738618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1678.6323345200001</v>
          </cell>
          <cell r="BT150">
            <v>0</v>
          </cell>
          <cell r="BU150">
            <v>0</v>
          </cell>
          <cell r="BW150">
            <v>0</v>
          </cell>
          <cell r="BX150">
            <v>0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X150">
            <v>28.218939893886503</v>
          </cell>
          <cell r="CY150">
            <v>302.87124454164478</v>
          </cell>
          <cell r="DA150">
            <v>-6754.0562198098432</v>
          </cell>
          <cell r="DC150">
            <v>392.13</v>
          </cell>
          <cell r="DD150">
            <v>0</v>
          </cell>
          <cell r="DE150">
            <v>80.21999999999997</v>
          </cell>
          <cell r="DF150">
            <v>0</v>
          </cell>
          <cell r="DW150">
            <v>0</v>
          </cell>
          <cell r="DX150">
            <v>0</v>
          </cell>
        </row>
        <row r="151">
          <cell r="F151">
            <v>4399.2</v>
          </cell>
          <cell r="G151">
            <v>394.3</v>
          </cell>
          <cell r="H151">
            <v>114.2</v>
          </cell>
          <cell r="I151">
            <v>14688.526658759101</v>
          </cell>
          <cell r="J151">
            <v>11434.522739525934</v>
          </cell>
          <cell r="L151">
            <v>2232.590702925515</v>
          </cell>
          <cell r="M151">
            <v>1912.6112480814063</v>
          </cell>
          <cell r="O151">
            <v>5982.1498779785206</v>
          </cell>
          <cell r="P151">
            <v>6002.3419768194954</v>
          </cell>
          <cell r="R151">
            <v>1194.4819892894675</v>
          </cell>
          <cell r="S151">
            <v>1198.2922694275101</v>
          </cell>
          <cell r="U151">
            <v>480.6289873221142</v>
          </cell>
          <cell r="V151">
            <v>195.98131756974038</v>
          </cell>
          <cell r="X151">
            <v>6123.2662299140102</v>
          </cell>
          <cell r="Y151">
            <v>5708.7220911778704</v>
          </cell>
          <cell r="AA151">
            <v>0</v>
          </cell>
          <cell r="AB151">
            <v>0</v>
          </cell>
          <cell r="AD151">
            <v>16023.072393176459</v>
          </cell>
          <cell r="AE151">
            <v>15654.411917788759</v>
          </cell>
          <cell r="AJ151">
            <v>37565.527538768409</v>
          </cell>
          <cell r="AK151">
            <v>35448.048986825765</v>
          </cell>
          <cell r="AM151">
            <v>0</v>
          </cell>
          <cell r="AN151">
            <v>0</v>
          </cell>
          <cell r="AP151">
            <v>3331.0466763583822</v>
          </cell>
          <cell r="AQ151">
            <v>3721.3506790948309</v>
          </cell>
          <cell r="AS151">
            <v>53311.897331718108</v>
          </cell>
          <cell r="AT151">
            <v>1951.5275975080433</v>
          </cell>
          <cell r="AV151">
            <v>1517.8258549435486</v>
          </cell>
          <cell r="AW151">
            <v>0</v>
          </cell>
          <cell r="AY151">
            <v>1286.1286975976411</v>
          </cell>
          <cell r="AZ151">
            <v>0</v>
          </cell>
          <cell r="BB151">
            <v>1087.0904900413716</v>
          </cell>
          <cell r="BC151">
            <v>761.87906883248809</v>
          </cell>
          <cell r="BE151">
            <v>594.32754772038152</v>
          </cell>
          <cell r="BF151">
            <v>0</v>
          </cell>
          <cell r="BH151">
            <v>253.84722641902619</v>
          </cell>
          <cell r="BI151">
            <v>0</v>
          </cell>
          <cell r="BK151">
            <v>1091.1233551373807</v>
          </cell>
          <cell r="BL151">
            <v>4527.2344549699519</v>
          </cell>
          <cell r="BN151">
            <v>353.06048633313435</v>
          </cell>
          <cell r="BO151">
            <v>3844.8911001287815</v>
          </cell>
          <cell r="BT151">
            <v>63270.652160565951</v>
          </cell>
          <cell r="BU151">
            <v>84722.102286014997</v>
          </cell>
          <cell r="BW151">
            <v>41628.079117056499</v>
          </cell>
          <cell r="BX151">
            <v>49377.516213396157</v>
          </cell>
          <cell r="BZ151">
            <v>4544.8306098290032</v>
          </cell>
          <cell r="CA151">
            <v>414.3450655844432</v>
          </cell>
          <cell r="CC151">
            <v>1225.2774197549684</v>
          </cell>
          <cell r="CD151">
            <v>1227.6425676261722</v>
          </cell>
          <cell r="CF151">
            <v>151.99015456346274</v>
          </cell>
          <cell r="CG151">
            <v>0</v>
          </cell>
          <cell r="CI151">
            <v>18646.161842688409</v>
          </cell>
          <cell r="CJ151">
            <v>48918.038983420338</v>
          </cell>
          <cell r="CL151">
            <v>6026.3025243362863</v>
          </cell>
          <cell r="CM151">
            <v>9099.9788289295393</v>
          </cell>
          <cell r="CX151">
            <v>11479.04112873761</v>
          </cell>
          <cell r="CY151">
            <v>7265.1769053075259</v>
          </cell>
          <cell r="DA151">
            <v>-10988.630257583733</v>
          </cell>
          <cell r="DC151">
            <v>91111.41</v>
          </cell>
          <cell r="DD151">
            <v>578.94000000000005</v>
          </cell>
          <cell r="DE151">
            <v>46318.740000000005</v>
          </cell>
          <cell r="DF151">
            <v>-233.59999999999991</v>
          </cell>
          <cell r="DW151">
            <v>1062</v>
          </cell>
          <cell r="DX151">
            <v>0</v>
          </cell>
        </row>
        <row r="152">
          <cell r="F152">
            <v>4752.3</v>
          </cell>
          <cell r="G152">
            <v>455.3</v>
          </cell>
          <cell r="H152">
            <v>0</v>
          </cell>
          <cell r="I152">
            <v>14323.459965031074</v>
          </cell>
          <cell r="J152">
            <v>11092.227133873137</v>
          </cell>
          <cell r="L152">
            <v>2098.389020267186</v>
          </cell>
          <cell r="M152">
            <v>1807.4112984210317</v>
          </cell>
          <cell r="O152">
            <v>6267.0584373351667</v>
          </cell>
          <cell r="P152">
            <v>6287.8958989492994</v>
          </cell>
          <cell r="R152">
            <v>1297.7239167429577</v>
          </cell>
          <cell r="S152">
            <v>1302.2125439399558</v>
          </cell>
          <cell r="U152">
            <v>684.09571277349596</v>
          </cell>
          <cell r="V152">
            <v>267.28713672702588</v>
          </cell>
          <cell r="X152">
            <v>5820.7602489875671</v>
          </cell>
          <cell r="Y152">
            <v>3889.760642282472</v>
          </cell>
          <cell r="AA152">
            <v>0</v>
          </cell>
          <cell r="AB152">
            <v>0</v>
          </cell>
          <cell r="AD152">
            <v>17224.958993839151</v>
          </cell>
          <cell r="AE152">
            <v>16809.673989007635</v>
          </cell>
          <cell r="AJ152">
            <v>28738.361705238221</v>
          </cell>
          <cell r="AK152">
            <v>24453.062765275521</v>
          </cell>
          <cell r="AM152">
            <v>611.57326913687439</v>
          </cell>
          <cell r="AN152">
            <v>3236.6723696095237</v>
          </cell>
          <cell r="AP152">
            <v>3331.0466763583822</v>
          </cell>
          <cell r="AQ152">
            <v>3723.2695147573927</v>
          </cell>
          <cell r="AS152">
            <v>60103.131132571099</v>
          </cell>
          <cell r="AT152">
            <v>0</v>
          </cell>
          <cell r="AV152">
            <v>1381.4326239544916</v>
          </cell>
          <cell r="AW152">
            <v>271.65398952433094</v>
          </cell>
          <cell r="AY152">
            <v>1097.4897669352588</v>
          </cell>
          <cell r="AZ152">
            <v>0</v>
          </cell>
          <cell r="BB152">
            <v>1363.2046629443082</v>
          </cell>
          <cell r="BC152">
            <v>0</v>
          </cell>
          <cell r="BE152">
            <v>552.40012624410758</v>
          </cell>
          <cell r="BF152">
            <v>0</v>
          </cell>
          <cell r="BH152">
            <v>299.9811217146551</v>
          </cell>
          <cell r="BI152">
            <v>0</v>
          </cell>
          <cell r="BK152">
            <v>1083.8311836320922</v>
          </cell>
          <cell r="BL152">
            <v>3134.0955390085919</v>
          </cell>
          <cell r="BN152">
            <v>358.8660967769423</v>
          </cell>
          <cell r="BO152">
            <v>0</v>
          </cell>
          <cell r="BT152">
            <v>59262.509633094189</v>
          </cell>
          <cell r="BU152">
            <v>84341.021342527703</v>
          </cell>
          <cell r="BW152">
            <v>36398.605711901611</v>
          </cell>
          <cell r="BX152">
            <v>43242.839617982303</v>
          </cell>
          <cell r="BZ152">
            <v>7400.2587452261105</v>
          </cell>
          <cell r="CA152">
            <v>381.43260683250867</v>
          </cell>
          <cell r="CC152">
            <v>1369.8499019185256</v>
          </cell>
          <cell r="CD152">
            <v>1372.4941174464989</v>
          </cell>
          <cell r="CF152">
            <v>169.92372091781274</v>
          </cell>
          <cell r="CG152">
            <v>0</v>
          </cell>
          <cell r="CI152">
            <v>3511.0904597284725</v>
          </cell>
          <cell r="CJ152">
            <v>1854.048931113836</v>
          </cell>
          <cell r="CL152">
            <v>21104.27904898929</v>
          </cell>
          <cell r="CM152">
            <v>20134.283737109356</v>
          </cell>
          <cell r="CX152">
            <v>7697.1272652656098</v>
          </cell>
          <cell r="CY152">
            <v>65600.653714710657</v>
          </cell>
          <cell r="DA152">
            <v>396609.56458837766</v>
          </cell>
          <cell r="DC152">
            <v>75067.8</v>
          </cell>
          <cell r="DD152">
            <v>0</v>
          </cell>
          <cell r="DE152">
            <v>31786.370000000003</v>
          </cell>
          <cell r="DF152">
            <v>0</v>
          </cell>
          <cell r="DW152">
            <v>1138.5</v>
          </cell>
          <cell r="DX152">
            <v>0</v>
          </cell>
        </row>
        <row r="153">
          <cell r="F153">
            <v>214.9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249.8285007268787</v>
          </cell>
          <cell r="AQ153">
            <v>192.01526375968112</v>
          </cell>
          <cell r="AS153">
            <v>1947.1538224826204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2388.5238380000001</v>
          </cell>
          <cell r="BT153">
            <v>0</v>
          </cell>
          <cell r="BU153">
            <v>0</v>
          </cell>
          <cell r="BW153">
            <v>0</v>
          </cell>
          <cell r="BX153">
            <v>17.959239526914054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X153">
            <v>71.829510210435132</v>
          </cell>
          <cell r="CY153">
            <v>-409.98971148208039</v>
          </cell>
          <cell r="DA153">
            <v>-5722.2102456117964</v>
          </cell>
          <cell r="DC153">
            <v>354.34</v>
          </cell>
          <cell r="DD153">
            <v>0</v>
          </cell>
          <cell r="DE153">
            <v>0</v>
          </cell>
          <cell r="DF153">
            <v>0</v>
          </cell>
          <cell r="DW153">
            <v>0</v>
          </cell>
          <cell r="DX153">
            <v>0</v>
          </cell>
        </row>
        <row r="154">
          <cell r="F154">
            <v>194.48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151.6183783339508</v>
          </cell>
          <cell r="P154">
            <v>152.12355614100082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62.457125181719675</v>
          </cell>
          <cell r="AQ154">
            <v>70.087098786593813</v>
          </cell>
          <cell r="AS154">
            <v>2018.0365738847981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80.938624578943987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X154">
            <v>229.41694389945647</v>
          </cell>
          <cell r="CY154">
            <v>2738.4250003616385</v>
          </cell>
          <cell r="DA154">
            <v>9221.9309508345432</v>
          </cell>
          <cell r="DC154">
            <v>215.82</v>
          </cell>
          <cell r="DD154">
            <v>0</v>
          </cell>
          <cell r="DE154">
            <v>-171.75</v>
          </cell>
          <cell r="DF154">
            <v>0</v>
          </cell>
          <cell r="DW154">
            <v>0</v>
          </cell>
          <cell r="DX154">
            <v>0</v>
          </cell>
        </row>
        <row r="155">
          <cell r="F155">
            <v>1442.5</v>
          </cell>
          <cell r="G155">
            <v>0</v>
          </cell>
          <cell r="H155">
            <v>45</v>
          </cell>
          <cell r="I155">
            <v>4465.8094199093448</v>
          </cell>
          <cell r="J155">
            <v>4520.0087091411133</v>
          </cell>
          <cell r="L155">
            <v>800.44143704251405</v>
          </cell>
          <cell r="M155">
            <v>831.81014974434811</v>
          </cell>
          <cell r="O155">
            <v>1903.496334441694</v>
          </cell>
          <cell r="P155">
            <v>1910.1045625702041</v>
          </cell>
          <cell r="R155">
            <v>0</v>
          </cell>
          <cell r="S155">
            <v>0</v>
          </cell>
          <cell r="U155">
            <v>112.26117935125026</v>
          </cell>
          <cell r="V155">
            <v>64.766754518396098</v>
          </cell>
          <cell r="X155">
            <v>2544.3553739012568</v>
          </cell>
          <cell r="Y155">
            <v>2259.97382085654</v>
          </cell>
          <cell r="AA155">
            <v>0</v>
          </cell>
          <cell r="AB155">
            <v>0</v>
          </cell>
          <cell r="AD155">
            <v>5386.218189066366</v>
          </cell>
          <cell r="AE155">
            <v>5255.305253219989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3872.3417612666194</v>
          </cell>
          <cell r="AQ155">
            <v>2150.356438771028</v>
          </cell>
          <cell r="AS155">
            <v>12830.49258178986</v>
          </cell>
          <cell r="AT155">
            <v>5015.0024014490145</v>
          </cell>
          <cell r="AV155">
            <v>747.48161876134952</v>
          </cell>
          <cell r="AW155">
            <v>0</v>
          </cell>
          <cell r="AY155">
            <v>945.49811651820914</v>
          </cell>
          <cell r="AZ155">
            <v>0</v>
          </cell>
          <cell r="BB155">
            <v>934.15556471335367</v>
          </cell>
          <cell r="BC155">
            <v>0</v>
          </cell>
          <cell r="BE155">
            <v>0</v>
          </cell>
          <cell r="BF155">
            <v>0</v>
          </cell>
          <cell r="BH155">
            <v>66.163852782859806</v>
          </cell>
          <cell r="BI155">
            <v>0</v>
          </cell>
          <cell r="BK155">
            <v>321.33354316793361</v>
          </cell>
          <cell r="BL155">
            <v>0</v>
          </cell>
          <cell r="BN155">
            <v>77.611529014578963</v>
          </cell>
          <cell r="BO155">
            <v>0</v>
          </cell>
          <cell r="BT155">
            <v>24844.155375232629</v>
          </cell>
          <cell r="BU155">
            <v>45288.903872172225</v>
          </cell>
          <cell r="BW155">
            <v>8386.1363763642639</v>
          </cell>
          <cell r="BX155">
            <v>10262.194778528812</v>
          </cell>
          <cell r="BZ155">
            <v>6291.1363719337669</v>
          </cell>
          <cell r="CA155">
            <v>330.61979036284458</v>
          </cell>
          <cell r="CC155">
            <v>515.23171834884658</v>
          </cell>
          <cell r="CD155">
            <v>516.22626797669579</v>
          </cell>
          <cell r="CF155">
            <v>63.912177964970731</v>
          </cell>
          <cell r="CG155">
            <v>0</v>
          </cell>
          <cell r="CI155">
            <v>1568.2696683376541</v>
          </cell>
          <cell r="CJ155">
            <v>1430.0628178331813</v>
          </cell>
          <cell r="CL155">
            <v>0</v>
          </cell>
          <cell r="CM155">
            <v>0</v>
          </cell>
          <cell r="CX155">
            <v>2253.8923086218347</v>
          </cell>
          <cell r="CY155">
            <v>-1536.707804060251</v>
          </cell>
          <cell r="DA155">
            <v>86294.103395689657</v>
          </cell>
          <cell r="DC155">
            <v>34902.29</v>
          </cell>
          <cell r="DD155">
            <v>18719.64</v>
          </cell>
          <cell r="DE155">
            <v>22918.120000000003</v>
          </cell>
          <cell r="DF155">
            <v>18385.989999999998</v>
          </cell>
          <cell r="DW155">
            <v>1062</v>
          </cell>
          <cell r="DX155">
            <v>0</v>
          </cell>
        </row>
        <row r="156">
          <cell r="F156">
            <v>4024.2</v>
          </cell>
          <cell r="G156">
            <v>446.8</v>
          </cell>
          <cell r="H156">
            <v>0</v>
          </cell>
          <cell r="I156">
            <v>9844.5425658675395</v>
          </cell>
          <cell r="J156">
            <v>7608.0477737441743</v>
          </cell>
          <cell r="L156">
            <v>1704.6725765671627</v>
          </cell>
          <cell r="M156">
            <v>1540.8488190034311</v>
          </cell>
          <cell r="O156">
            <v>5298.8619007248826</v>
          </cell>
          <cell r="P156">
            <v>5316.8686674297005</v>
          </cell>
          <cell r="R156">
            <v>1060.3227064232647</v>
          </cell>
          <cell r="S156">
            <v>1063.7235506209804</v>
          </cell>
          <cell r="U156">
            <v>741.70630508139288</v>
          </cell>
          <cell r="V156">
            <v>410.46020503323803</v>
          </cell>
          <cell r="X156">
            <v>7312.6911798573383</v>
          </cell>
          <cell r="Y156">
            <v>5056.3409122885332</v>
          </cell>
          <cell r="AA156">
            <v>0</v>
          </cell>
          <cell r="AB156">
            <v>0</v>
          </cell>
          <cell r="AD156">
            <v>14586.411401043088</v>
          </cell>
          <cell r="AE156">
            <v>14234.714762824809</v>
          </cell>
          <cell r="AJ156">
            <v>34518.204807900467</v>
          </cell>
          <cell r="AK156">
            <v>32610.910594093704</v>
          </cell>
          <cell r="AM156">
            <v>447.64641349193897</v>
          </cell>
          <cell r="AN156">
            <v>720.81915813943783</v>
          </cell>
          <cell r="AP156">
            <v>2914.6658418135858</v>
          </cell>
          <cell r="AQ156">
            <v>277.98496804339112</v>
          </cell>
          <cell r="AS156">
            <v>66669.574516325738</v>
          </cell>
          <cell r="AT156">
            <v>14475.217566043188</v>
          </cell>
          <cell r="AV156">
            <v>1059.5823753623545</v>
          </cell>
          <cell r="AW156">
            <v>527.72371755561187</v>
          </cell>
          <cell r="AY156">
            <v>1161.0401707132196</v>
          </cell>
          <cell r="AZ156">
            <v>0</v>
          </cell>
          <cell r="BB156">
            <v>1393.8320717359363</v>
          </cell>
          <cell r="BC156">
            <v>380.93953441624404</v>
          </cell>
          <cell r="BE156">
            <v>456.10914938705582</v>
          </cell>
          <cell r="BF156">
            <v>0</v>
          </cell>
          <cell r="BH156">
            <v>393.95705419444823</v>
          </cell>
          <cell r="BI156">
            <v>0</v>
          </cell>
          <cell r="BK156">
            <v>1060.1859117916333</v>
          </cell>
          <cell r="BL156">
            <v>17348.346744930317</v>
          </cell>
          <cell r="BN156">
            <v>357.96779205915567</v>
          </cell>
          <cell r="BO156">
            <v>0</v>
          </cell>
          <cell r="BT156">
            <v>43910.160986045186</v>
          </cell>
          <cell r="BU156">
            <v>59870.821876412185</v>
          </cell>
          <cell r="BW156">
            <v>43103.78918055023</v>
          </cell>
          <cell r="BX156">
            <v>50199.546190109155</v>
          </cell>
          <cell r="BZ156">
            <v>6379.5334010569932</v>
          </cell>
          <cell r="CA156">
            <v>296.4621751471654</v>
          </cell>
          <cell r="CC156">
            <v>982.52894349807423</v>
          </cell>
          <cell r="CD156">
            <v>984.42551500232594</v>
          </cell>
          <cell r="CF156">
            <v>121.8782975819566</v>
          </cell>
          <cell r="CG156">
            <v>0</v>
          </cell>
          <cell r="CI156">
            <v>6799.9699920951462</v>
          </cell>
          <cell r="CJ156">
            <v>11184.830047947664</v>
          </cell>
          <cell r="CL156">
            <v>6131.0526699214142</v>
          </cell>
          <cell r="CM156">
            <v>8344.724711930492</v>
          </cell>
          <cell r="CX156">
            <v>7558.6048009486676</v>
          </cell>
          <cell r="CY156">
            <v>38707.161665396779</v>
          </cell>
          <cell r="DA156">
            <v>27278.546802744357</v>
          </cell>
          <cell r="DC156">
            <v>62972.94</v>
          </cell>
          <cell r="DD156">
            <v>0</v>
          </cell>
          <cell r="DE156">
            <v>22156.46</v>
          </cell>
          <cell r="DF156">
            <v>0</v>
          </cell>
          <cell r="DW156">
            <v>1062</v>
          </cell>
          <cell r="DX156">
            <v>0</v>
          </cell>
        </row>
        <row r="157">
          <cell r="F157">
            <v>1398.6</v>
          </cell>
          <cell r="G157">
            <v>0</v>
          </cell>
          <cell r="H157">
            <v>85.1</v>
          </cell>
          <cell r="I157">
            <v>4468.8003163317544</v>
          </cell>
          <cell r="J157">
            <v>4519.9102127208907</v>
          </cell>
          <cell r="L157">
            <v>800.44143704251405</v>
          </cell>
          <cell r="M157">
            <v>831.81014974434811</v>
          </cell>
          <cell r="O157">
            <v>1905.7681496038065</v>
          </cell>
          <cell r="P157">
            <v>1912.4959469513751</v>
          </cell>
          <cell r="R157">
            <v>0</v>
          </cell>
          <cell r="S157">
            <v>0</v>
          </cell>
          <cell r="U157">
            <v>112.26117935125026</v>
          </cell>
          <cell r="V157">
            <v>64.766754518396098</v>
          </cell>
          <cell r="X157">
            <v>2542.5559749024019</v>
          </cell>
          <cell r="Y157">
            <v>2255.7748088717813</v>
          </cell>
          <cell r="AA157">
            <v>0</v>
          </cell>
          <cell r="AB157">
            <v>0</v>
          </cell>
          <cell r="AD157">
            <v>5381.6802255925886</v>
          </cell>
          <cell r="AE157">
            <v>5251.7241063699867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P157">
            <v>3747.4275109031805</v>
          </cell>
          <cell r="AQ157">
            <v>1730.7602195681177</v>
          </cell>
          <cell r="AS157">
            <v>17345.442211957703</v>
          </cell>
          <cell r="AT157">
            <v>99530.839845672555</v>
          </cell>
          <cell r="AV157">
            <v>746.74173363185287</v>
          </cell>
          <cell r="AW157">
            <v>825.81534884054884</v>
          </cell>
          <cell r="AY157">
            <v>945.49811651820914</v>
          </cell>
          <cell r="AZ157">
            <v>0</v>
          </cell>
          <cell r="BB157">
            <v>907.72002383909899</v>
          </cell>
          <cell r="BC157">
            <v>0</v>
          </cell>
          <cell r="BE157">
            <v>0</v>
          </cell>
          <cell r="BF157">
            <v>0</v>
          </cell>
          <cell r="BH157">
            <v>66.163852782859806</v>
          </cell>
          <cell r="BI157">
            <v>0</v>
          </cell>
          <cell r="BK157">
            <v>404.54979667251678</v>
          </cell>
          <cell r="BL157">
            <v>0</v>
          </cell>
          <cell r="BN157">
            <v>77.611529014578963</v>
          </cell>
          <cell r="BO157">
            <v>0</v>
          </cell>
          <cell r="BT157">
            <v>9185.6902732602939</v>
          </cell>
          <cell r="BU157">
            <v>19529.53744129603</v>
          </cell>
          <cell r="BW157">
            <v>7118.6291391754767</v>
          </cell>
          <cell r="BX157">
            <v>8988.167355705069</v>
          </cell>
          <cell r="BZ157">
            <v>5659.7829215257034</v>
          </cell>
          <cell r="CA157">
            <v>228.44030080344817</v>
          </cell>
          <cell r="CC157">
            <v>538.30179528983979</v>
          </cell>
          <cell r="CD157">
            <v>539.34087699057773</v>
          </cell>
          <cell r="CF157">
            <v>66.773917276835093</v>
          </cell>
          <cell r="CG157">
            <v>0</v>
          </cell>
          <cell r="CI157">
            <v>2157.6043927990991</v>
          </cell>
          <cell r="CJ157">
            <v>611.92167794198042</v>
          </cell>
          <cell r="CL157">
            <v>0</v>
          </cell>
          <cell r="CM157">
            <v>0</v>
          </cell>
          <cell r="CX157">
            <v>2331.2689063700959</v>
          </cell>
          <cell r="CY157">
            <v>-96838.963751858159</v>
          </cell>
          <cell r="DA157">
            <v>34592.433790498559</v>
          </cell>
          <cell r="DC157">
            <v>9996.16</v>
          </cell>
          <cell r="DD157">
            <v>0</v>
          </cell>
          <cell r="DE157">
            <v>183.47999999999956</v>
          </cell>
          <cell r="DF157">
            <v>-530.14</v>
          </cell>
          <cell r="DW157">
            <v>1138.5</v>
          </cell>
          <cell r="DX157">
            <v>0</v>
          </cell>
        </row>
        <row r="158">
          <cell r="F158">
            <v>539.29999999999995</v>
          </cell>
          <cell r="G158">
            <v>0</v>
          </cell>
          <cell r="H158">
            <v>205.3</v>
          </cell>
          <cell r="I158">
            <v>2823.761144850971</v>
          </cell>
          <cell r="J158">
            <v>2836.6519173934075</v>
          </cell>
          <cell r="L158">
            <v>608.1655978056433</v>
          </cell>
          <cell r="M158">
            <v>631.65092150698558</v>
          </cell>
          <cell r="O158">
            <v>907.68881027748671</v>
          </cell>
          <cell r="P158">
            <v>910.97278274823179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1718.2497613381643</v>
          </cell>
          <cell r="Y158">
            <v>1716.3347046209781</v>
          </cell>
          <cell r="AA158">
            <v>0</v>
          </cell>
          <cell r="AB158">
            <v>0</v>
          </cell>
          <cell r="AD158">
            <v>2698.9319440427116</v>
          </cell>
          <cell r="AE158">
            <v>2633.8573163360056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1374.0567539978329</v>
          </cell>
          <cell r="AQ158">
            <v>1024.9097928394669</v>
          </cell>
          <cell r="AS158">
            <v>8146.1015569954343</v>
          </cell>
          <cell r="AT158">
            <v>0</v>
          </cell>
          <cell r="AV158">
            <v>481.86737710232717</v>
          </cell>
          <cell r="AW158">
            <v>0</v>
          </cell>
          <cell r="AY158">
            <v>747.47838711429711</v>
          </cell>
          <cell r="AZ158">
            <v>0</v>
          </cell>
          <cell r="BB158">
            <v>408.31425064875828</v>
          </cell>
          <cell r="BC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K158">
            <v>296.79503569801636</v>
          </cell>
          <cell r="BL158">
            <v>0</v>
          </cell>
          <cell r="BN158">
            <v>31.214014296485885</v>
          </cell>
          <cell r="BO158">
            <v>569.49203397799999</v>
          </cell>
          <cell r="BT158">
            <v>7946.4883099059653</v>
          </cell>
          <cell r="BU158">
            <v>12643.223650950355</v>
          </cell>
          <cell r="BW158">
            <v>4458.2367871322576</v>
          </cell>
          <cell r="BX158">
            <v>4880.7439726991834</v>
          </cell>
          <cell r="BZ158">
            <v>4476.3294203797768</v>
          </cell>
          <cell r="CA158">
            <v>224.72466963835197</v>
          </cell>
          <cell r="CC158">
            <v>269.15089764491989</v>
          </cell>
          <cell r="CD158">
            <v>269.67043849528886</v>
          </cell>
          <cell r="CF158">
            <v>33.386958638417546</v>
          </cell>
          <cell r="CG158">
            <v>0</v>
          </cell>
          <cell r="CI158">
            <v>666.90094064417235</v>
          </cell>
          <cell r="CJ158">
            <v>335.05419965464387</v>
          </cell>
          <cell r="CL158">
            <v>0</v>
          </cell>
          <cell r="CM158">
            <v>0</v>
          </cell>
          <cell r="CX158">
            <v>543.26971349672431</v>
          </cell>
          <cell r="CY158">
            <v>11842.267570680015</v>
          </cell>
          <cell r="DA158">
            <v>20691.435705125405</v>
          </cell>
          <cell r="DC158">
            <v>5311.89</v>
          </cell>
          <cell r="DD158">
            <v>1439.7900000000002</v>
          </cell>
          <cell r="DE158">
            <v>766.42000000000007</v>
          </cell>
          <cell r="DF158">
            <v>-20.279999999999973</v>
          </cell>
          <cell r="DW158">
            <v>918</v>
          </cell>
          <cell r="DX158">
            <v>0</v>
          </cell>
        </row>
        <row r="159">
          <cell r="F159">
            <v>422.9</v>
          </cell>
          <cell r="G159">
            <v>0</v>
          </cell>
          <cell r="H159">
            <v>0</v>
          </cell>
          <cell r="I159">
            <v>1829.4974905146096</v>
          </cell>
          <cell r="J159">
            <v>1837.6056372888108</v>
          </cell>
          <cell r="L159">
            <v>283.90334106799907</v>
          </cell>
          <cell r="M159">
            <v>295.62520076124088</v>
          </cell>
          <cell r="O159">
            <v>506.60264229370915</v>
          </cell>
          <cell r="P159">
            <v>508.39295680039561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761.50304169226615</v>
          </cell>
          <cell r="Y159">
            <v>877.04310081861559</v>
          </cell>
          <cell r="AA159">
            <v>0</v>
          </cell>
          <cell r="AB159">
            <v>0</v>
          </cell>
          <cell r="AD159">
            <v>1532.8744549229964</v>
          </cell>
          <cell r="AE159">
            <v>1495.9149329552736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999.3140029075148</v>
          </cell>
          <cell r="AQ159">
            <v>699.60030328636537</v>
          </cell>
          <cell r="AS159">
            <v>5260.7124294450423</v>
          </cell>
          <cell r="AT159">
            <v>2324.3911964461658</v>
          </cell>
          <cell r="AV159">
            <v>300.58779923508365</v>
          </cell>
          <cell r="AW159">
            <v>0</v>
          </cell>
          <cell r="AY159">
            <v>339.25862486178289</v>
          </cell>
          <cell r="AZ159">
            <v>0</v>
          </cell>
          <cell r="BB159">
            <v>241.87670133837716</v>
          </cell>
          <cell r="BC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K159">
            <v>75.646255577652099</v>
          </cell>
          <cell r="BL159">
            <v>0</v>
          </cell>
          <cell r="BN159">
            <v>38.805764507289481</v>
          </cell>
          <cell r="BO159">
            <v>2752.9112993839999</v>
          </cell>
          <cell r="BT159">
            <v>6066.8195594281624</v>
          </cell>
          <cell r="BU159">
            <v>11338.692050003201</v>
          </cell>
          <cell r="BW159">
            <v>2918.4673603064989</v>
          </cell>
          <cell r="BX159">
            <v>3155.2043288534546</v>
          </cell>
          <cell r="BZ159">
            <v>833.21881388151746</v>
          </cell>
          <cell r="CA159">
            <v>192.54510928384036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747.48053581363081</v>
          </cell>
          <cell r="CJ159">
            <v>884.57145467011662</v>
          </cell>
          <cell r="CL159">
            <v>0</v>
          </cell>
          <cell r="CM159">
            <v>0</v>
          </cell>
          <cell r="CX159">
            <v>323.85055473614284</v>
          </cell>
          <cell r="CY159">
            <v>-4027.263948572675</v>
          </cell>
          <cell r="DA159">
            <v>9290.1613165538383</v>
          </cell>
          <cell r="DC159">
            <v>5811.24</v>
          </cell>
          <cell r="DD159">
            <v>0</v>
          </cell>
          <cell r="DE159">
            <v>2230.6799999999998</v>
          </cell>
          <cell r="DF159">
            <v>0</v>
          </cell>
          <cell r="DW159">
            <v>918</v>
          </cell>
          <cell r="DX159">
            <v>0</v>
          </cell>
        </row>
        <row r="160">
          <cell r="F160">
            <v>2615.5</v>
          </cell>
          <cell r="G160">
            <v>0</v>
          </cell>
          <cell r="H160">
            <v>987.49999999999989</v>
          </cell>
          <cell r="I160">
            <v>9762.9786792734776</v>
          </cell>
          <cell r="J160">
            <v>9894.4241851159695</v>
          </cell>
          <cell r="L160">
            <v>1962.6312138810592</v>
          </cell>
          <cell r="M160">
            <v>2037.9665657289943</v>
          </cell>
          <cell r="O160">
            <v>4378.8044498687841</v>
          </cell>
          <cell r="P160">
            <v>4393.3948595109987</v>
          </cell>
          <cell r="R160">
            <v>0</v>
          </cell>
          <cell r="S160">
            <v>0</v>
          </cell>
          <cell r="U160">
            <v>240.11418916795205</v>
          </cell>
          <cell r="V160">
            <v>138.5288916087917</v>
          </cell>
          <cell r="X160">
            <v>6556.5753116412834</v>
          </cell>
          <cell r="Y160">
            <v>6473.5708829918922</v>
          </cell>
          <cell r="AA160">
            <v>0</v>
          </cell>
          <cell r="AB160">
            <v>0</v>
          </cell>
          <cell r="AD160">
            <v>12693.817055859428</v>
          </cell>
          <cell r="AE160">
            <v>12731.83463937851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8119.4262736235578</v>
          </cell>
          <cell r="AQ160">
            <v>9091.5053436847811</v>
          </cell>
          <cell r="AS160">
            <v>30577.225382485092</v>
          </cell>
          <cell r="AT160">
            <v>20176.184912791818</v>
          </cell>
          <cell r="AV160">
            <v>1622.1611340219865</v>
          </cell>
          <cell r="AW160">
            <v>0</v>
          </cell>
          <cell r="AY160">
            <v>2559.5969182987928</v>
          </cell>
          <cell r="AZ160">
            <v>0</v>
          </cell>
          <cell r="BB160">
            <v>2223.4777312372244</v>
          </cell>
          <cell r="BC160">
            <v>0</v>
          </cell>
          <cell r="BE160">
            <v>0</v>
          </cell>
          <cell r="BF160">
            <v>0</v>
          </cell>
          <cell r="BH160">
            <v>141.5171295633391</v>
          </cell>
          <cell r="BI160">
            <v>416.32736112493444</v>
          </cell>
          <cell r="BK160">
            <v>1208.0828424132151</v>
          </cell>
          <cell r="BL160">
            <v>757.11718909218871</v>
          </cell>
          <cell r="BN160">
            <v>53.83241058569827</v>
          </cell>
          <cell r="BO160">
            <v>0</v>
          </cell>
          <cell r="BT160">
            <v>24496.820316446265</v>
          </cell>
          <cell r="BU160">
            <v>40264.226435210272</v>
          </cell>
          <cell r="BW160">
            <v>18006.728759838341</v>
          </cell>
          <cell r="BX160">
            <v>18492.529722304833</v>
          </cell>
          <cell r="BZ160">
            <v>14812.192291565287</v>
          </cell>
          <cell r="CA160">
            <v>374.6172706790494</v>
          </cell>
          <cell r="CC160">
            <v>766.43922281743835</v>
          </cell>
          <cell r="CD160">
            <v>767.91867723896542</v>
          </cell>
          <cell r="CF160">
            <v>95.073339360827106</v>
          </cell>
          <cell r="CG160">
            <v>0</v>
          </cell>
          <cell r="CI160">
            <v>3817.0328901688608</v>
          </cell>
          <cell r="CJ160">
            <v>1829.2123486197888</v>
          </cell>
          <cell r="CL160">
            <v>0</v>
          </cell>
          <cell r="CM160">
            <v>0</v>
          </cell>
          <cell r="CX160">
            <v>8581.6669733389353</v>
          </cell>
          <cell r="CY160">
            <v>28087.868881782277</v>
          </cell>
          <cell r="DA160">
            <v>-83468.138506041505</v>
          </cell>
          <cell r="DC160">
            <v>72141.05</v>
          </cell>
          <cell r="DD160">
            <v>72318.569999999992</v>
          </cell>
          <cell r="DE160">
            <v>54152.680000000008</v>
          </cell>
          <cell r="DF160">
            <v>62663.239999999991</v>
          </cell>
          <cell r="DW160">
            <v>1138.5</v>
          </cell>
          <cell r="DX160">
            <v>0</v>
          </cell>
        </row>
        <row r="161">
          <cell r="F161">
            <v>324.7</v>
          </cell>
          <cell r="G161">
            <v>0</v>
          </cell>
          <cell r="H161">
            <v>0</v>
          </cell>
          <cell r="I161">
            <v>716.42270393741467</v>
          </cell>
          <cell r="J161">
            <v>726.13498133019004</v>
          </cell>
          <cell r="L161">
            <v>242.132021934975</v>
          </cell>
          <cell r="M161">
            <v>251.89893813375187</v>
          </cell>
          <cell r="O161">
            <v>413.11713989513862</v>
          </cell>
          <cell r="P161">
            <v>414.59383146856698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>
            <v>467.93442848253949</v>
          </cell>
          <cell r="Y161">
            <v>437.22740138218057</v>
          </cell>
          <cell r="AA161">
            <v>0</v>
          </cell>
          <cell r="AB161">
            <v>0</v>
          </cell>
          <cell r="AD161">
            <v>1219.0698296048354</v>
          </cell>
          <cell r="AE161">
            <v>1187.463257904973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499.6570014537574</v>
          </cell>
          <cell r="AQ161">
            <v>522.92829099964831</v>
          </cell>
          <cell r="AS161">
            <v>3881.5903623091917</v>
          </cell>
          <cell r="AT161">
            <v>0</v>
          </cell>
          <cell r="AV161">
            <v>207.38084578316153</v>
          </cell>
          <cell r="AW161">
            <v>0</v>
          </cell>
          <cell r="AY161">
            <v>287.64302972740683</v>
          </cell>
          <cell r="AZ161">
            <v>0</v>
          </cell>
          <cell r="BB161">
            <v>175.53092435581479</v>
          </cell>
          <cell r="BC161">
            <v>0</v>
          </cell>
          <cell r="BE161">
            <v>0</v>
          </cell>
          <cell r="BF161">
            <v>0</v>
          </cell>
          <cell r="BH161">
            <v>0</v>
          </cell>
          <cell r="BI161">
            <v>0</v>
          </cell>
          <cell r="BK161">
            <v>87.698203163681441</v>
          </cell>
          <cell r="BL161">
            <v>0</v>
          </cell>
          <cell r="BN161">
            <v>39.495923617362543</v>
          </cell>
          <cell r="BO161">
            <v>0</v>
          </cell>
          <cell r="BT161">
            <v>3128.9651636184226</v>
          </cell>
          <cell r="BU161">
            <v>4883.5587516376836</v>
          </cell>
          <cell r="BW161">
            <v>2279.8442736964244</v>
          </cell>
          <cell r="BX161">
            <v>2614.4447010533518</v>
          </cell>
          <cell r="BZ161">
            <v>1981.7585525858476</v>
          </cell>
          <cell r="CA161">
            <v>180.24044144719815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42.897748998285074</v>
          </cell>
          <cell r="CJ161">
            <v>0</v>
          </cell>
          <cell r="CL161">
            <v>0</v>
          </cell>
          <cell r="CM161">
            <v>0</v>
          </cell>
          <cell r="CX161">
            <v>-54.935418673290656</v>
          </cell>
          <cell r="CY161">
            <v>5288.2416506947684</v>
          </cell>
          <cell r="DA161">
            <v>-26096.099271283219</v>
          </cell>
          <cell r="DC161">
            <v>3346</v>
          </cell>
          <cell r="DD161">
            <v>0</v>
          </cell>
          <cell r="DE161">
            <v>911.96</v>
          </cell>
          <cell r="DF161">
            <v>0</v>
          </cell>
          <cell r="DW161">
            <v>0</v>
          </cell>
          <cell r="DX161">
            <v>0</v>
          </cell>
        </row>
        <row r="162">
          <cell r="F162">
            <v>213.3</v>
          </cell>
          <cell r="G162">
            <v>0</v>
          </cell>
          <cell r="H162">
            <v>185.4</v>
          </cell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448.96707348861611</v>
          </cell>
          <cell r="P162">
            <v>450.29200718099946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124.91425036343935</v>
          </cell>
          <cell r="AQ162">
            <v>140.47538423161123</v>
          </cell>
          <cell r="AS162">
            <v>2892.7889790520467</v>
          </cell>
          <cell r="AT162">
            <v>1049.8260125355678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179.52171955913613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284.21164062124825</v>
          </cell>
          <cell r="BU162">
            <v>754.38189250277424</v>
          </cell>
          <cell r="BW162">
            <v>0</v>
          </cell>
          <cell r="BX162">
            <v>0</v>
          </cell>
          <cell r="BZ162">
            <v>66.844801900958245</v>
          </cell>
          <cell r="CA162">
            <v>1.2699735863875705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654.98017704579456</v>
          </cell>
          <cell r="CY162">
            <v>2576.1840109835193</v>
          </cell>
          <cell r="DA162">
            <v>-7098.538098314968</v>
          </cell>
          <cell r="DC162">
            <v>559.15</v>
          </cell>
          <cell r="DD162">
            <v>1504.21</v>
          </cell>
          <cell r="DE162">
            <v>178.96999999999997</v>
          </cell>
          <cell r="DF162">
            <v>1173.76</v>
          </cell>
          <cell r="DW162">
            <v>0</v>
          </cell>
          <cell r="DX162">
            <v>0</v>
          </cell>
        </row>
        <row r="163">
          <cell r="F163">
            <v>2162.2399999999998</v>
          </cell>
          <cell r="G163">
            <v>0</v>
          </cell>
          <cell r="H163">
            <v>1229.1000000000001</v>
          </cell>
          <cell r="I163">
            <v>5335.9195371681244</v>
          </cell>
          <cell r="J163">
            <v>5443.3547774932031</v>
          </cell>
          <cell r="L163">
            <v>1055.2550540032046</v>
          </cell>
          <cell r="M163">
            <v>1095.8033218125624</v>
          </cell>
          <cell r="O163">
            <v>3612.387826506736</v>
          </cell>
          <cell r="P163">
            <v>3624.6450805334071</v>
          </cell>
          <cell r="R163">
            <v>1056.0639544877038</v>
          </cell>
          <cell r="S163">
            <v>1059.1199520923199</v>
          </cell>
          <cell r="U163">
            <v>187.10196558541708</v>
          </cell>
          <cell r="V163">
            <v>107.9445908639935</v>
          </cell>
          <cell r="X163">
            <v>4691.0824261177304</v>
          </cell>
          <cell r="Y163">
            <v>4671.8401823007207</v>
          </cell>
          <cell r="AA163">
            <v>0</v>
          </cell>
          <cell r="AB163">
            <v>0</v>
          </cell>
          <cell r="AD163">
            <v>12023.911986611563</v>
          </cell>
          <cell r="AE163">
            <v>11725.988229796572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1382.8561482794428</v>
          </cell>
          <cell r="AQ163">
            <v>1320</v>
          </cell>
          <cell r="AS163">
            <v>34731.466050595984</v>
          </cell>
          <cell r="AT163">
            <v>11000.912732353414</v>
          </cell>
          <cell r="AV163">
            <v>968.05498597836367</v>
          </cell>
          <cell r="AW163">
            <v>0</v>
          </cell>
          <cell r="AY163">
            <v>1296.0850986411829</v>
          </cell>
          <cell r="AZ163">
            <v>0</v>
          </cell>
          <cell r="BB163">
            <v>2180.9363439422118</v>
          </cell>
          <cell r="BC163">
            <v>0</v>
          </cell>
          <cell r="BE163">
            <v>1023.3100284575603</v>
          </cell>
          <cell r="BF163">
            <v>0</v>
          </cell>
          <cell r="BH163">
            <v>110.27308797143304</v>
          </cell>
          <cell r="BI163">
            <v>892.23699869614256</v>
          </cell>
          <cell r="BK163">
            <v>823.76293125360962</v>
          </cell>
          <cell r="BL163">
            <v>938.16598089821059</v>
          </cell>
          <cell r="BN163">
            <v>74.286216938772441</v>
          </cell>
          <cell r="BO163">
            <v>0</v>
          </cell>
          <cell r="BT163">
            <v>35429.840474593067</v>
          </cell>
          <cell r="BU163">
            <v>54534.951098548197</v>
          </cell>
          <cell r="BW163">
            <v>13596.439483213806</v>
          </cell>
          <cell r="BX163">
            <v>14626.584381520994</v>
          </cell>
          <cell r="BZ163">
            <v>15596.559166994133</v>
          </cell>
          <cell r="CA163">
            <v>437.38319860441629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2934.9797775953416</v>
          </cell>
          <cell r="CJ163">
            <v>2186.2893901759771</v>
          </cell>
          <cell r="CL163">
            <v>0</v>
          </cell>
          <cell r="CM163">
            <v>0</v>
          </cell>
          <cell r="CX163">
            <v>7775.3608980988574</v>
          </cell>
          <cell r="CY163">
            <v>37109.784053193158</v>
          </cell>
          <cell r="DA163">
            <v>-45490.555672989933</v>
          </cell>
          <cell r="DC163">
            <v>55704.36</v>
          </cell>
          <cell r="DD163">
            <v>32273.819999999996</v>
          </cell>
          <cell r="DE163">
            <v>40567.020000000004</v>
          </cell>
          <cell r="DF163">
            <v>24860.039999999997</v>
          </cell>
          <cell r="DW163">
            <v>1062</v>
          </cell>
          <cell r="DX163">
            <v>0</v>
          </cell>
        </row>
        <row r="164">
          <cell r="F164">
            <v>2000.6</v>
          </cell>
          <cell r="G164">
            <v>0</v>
          </cell>
          <cell r="H164">
            <v>46.1</v>
          </cell>
          <cell r="I164">
            <v>6938.1392384613155</v>
          </cell>
          <cell r="J164">
            <v>7004.5062571018707</v>
          </cell>
          <cell r="L164">
            <v>1258.1864657438291</v>
          </cell>
          <cell r="M164">
            <v>1308.4487197071339</v>
          </cell>
          <cell r="O164">
            <v>2539.3723563838462</v>
          </cell>
          <cell r="P164">
            <v>2548.0375681233472</v>
          </cell>
          <cell r="R164">
            <v>0</v>
          </cell>
          <cell r="S164">
            <v>0</v>
          </cell>
          <cell r="U164">
            <v>149.68157246833368</v>
          </cell>
          <cell r="V164">
            <v>86.355672691194812</v>
          </cell>
          <cell r="X164">
            <v>3532.7965404401193</v>
          </cell>
          <cell r="Y164">
            <v>3263.9438875102946</v>
          </cell>
          <cell r="AA164">
            <v>0</v>
          </cell>
          <cell r="AB164">
            <v>0</v>
          </cell>
          <cell r="AD164">
            <v>7417.1763130786267</v>
          </cell>
          <cell r="AE164">
            <v>7238.4147043024577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5870.9697670816486</v>
          </cell>
          <cell r="AQ164">
            <v>7272.344836228609</v>
          </cell>
          <cell r="AS164">
            <v>23433.415943705684</v>
          </cell>
          <cell r="AT164">
            <v>19291.888893497184</v>
          </cell>
          <cell r="AV164">
            <v>1188.4722146198442</v>
          </cell>
          <cell r="AW164">
            <v>0</v>
          </cell>
          <cell r="AY164">
            <v>1492.5043497149088</v>
          </cell>
          <cell r="AZ164">
            <v>0</v>
          </cell>
          <cell r="BB164">
            <v>1170.1763708990302</v>
          </cell>
          <cell r="BC164">
            <v>0</v>
          </cell>
          <cell r="BE164">
            <v>0</v>
          </cell>
          <cell r="BF164">
            <v>0</v>
          </cell>
          <cell r="BH164">
            <v>88.218470377146446</v>
          </cell>
          <cell r="BI164">
            <v>0</v>
          </cell>
          <cell r="BK164">
            <v>657.46015665080301</v>
          </cell>
          <cell r="BL164">
            <v>0</v>
          </cell>
          <cell r="BN164">
            <v>45.299534315704136</v>
          </cell>
          <cell r="BO164">
            <v>4080.4874683600001</v>
          </cell>
          <cell r="BT164">
            <v>11331.101270059018</v>
          </cell>
          <cell r="BU164">
            <v>22387.435654019395</v>
          </cell>
          <cell r="BW164">
            <v>9833.7548609425285</v>
          </cell>
          <cell r="BX164">
            <v>9934.6605826867853</v>
          </cell>
          <cell r="BZ164">
            <v>6681.6769176802027</v>
          </cell>
          <cell r="CA164">
            <v>257.7320378147549</v>
          </cell>
          <cell r="CC164">
            <v>1749.7371688802125</v>
          </cell>
          <cell r="CD164">
            <v>1753.1146792084207</v>
          </cell>
          <cell r="CF164">
            <v>217.04702825317923</v>
          </cell>
          <cell r="CG164">
            <v>0</v>
          </cell>
          <cell r="CI164">
            <v>2811.2812911149572</v>
          </cell>
          <cell r="CJ164">
            <v>2286.7924931455432</v>
          </cell>
          <cell r="CL164">
            <v>0</v>
          </cell>
          <cell r="CM164">
            <v>0</v>
          </cell>
          <cell r="CX164">
            <v>2534.6390284467352</v>
          </cell>
          <cell r="CY164">
            <v>2165.4042802154609</v>
          </cell>
          <cell r="DA164">
            <v>-21966.425219912806</v>
          </cell>
          <cell r="DC164">
            <v>21311.119999999999</v>
          </cell>
          <cell r="DD164">
            <v>8.02</v>
          </cell>
          <cell r="DE164">
            <v>7487.5199999999986</v>
          </cell>
          <cell r="DF164">
            <v>-274.32</v>
          </cell>
          <cell r="DW164">
            <v>909</v>
          </cell>
          <cell r="DX164">
            <v>0</v>
          </cell>
        </row>
        <row r="165">
          <cell r="F165">
            <v>2340.9899999999998</v>
          </cell>
          <cell r="G165">
            <v>0</v>
          </cell>
          <cell r="H165">
            <v>483.5</v>
          </cell>
          <cell r="I165">
            <v>5691.731635933611</v>
          </cell>
          <cell r="J165">
            <v>5784.9070548813752</v>
          </cell>
          <cell r="L165">
            <v>1112.0532386607701</v>
          </cell>
          <cell r="M165">
            <v>1154.8497753728793</v>
          </cell>
          <cell r="O165">
            <v>3205.444687498205</v>
          </cell>
          <cell r="P165">
            <v>3216.260723682321</v>
          </cell>
          <cell r="R165">
            <v>945.84134769894911</v>
          </cell>
          <cell r="S165">
            <v>948.94598003398153</v>
          </cell>
          <cell r="U165">
            <v>187.10196558541708</v>
          </cell>
          <cell r="V165">
            <v>107.9445908639935</v>
          </cell>
          <cell r="X165">
            <v>4579.8621990880529</v>
          </cell>
          <cell r="Y165">
            <v>4379.469419520794</v>
          </cell>
          <cell r="AA165">
            <v>0</v>
          </cell>
          <cell r="AB165">
            <v>0</v>
          </cell>
          <cell r="AD165">
            <v>10213.552577703435</v>
          </cell>
          <cell r="AE165">
            <v>9983.2249760590075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1374.0567539978329</v>
          </cell>
          <cell r="AQ165">
            <v>1435.3306540965411</v>
          </cell>
          <cell r="AS165">
            <v>33630.175356325402</v>
          </cell>
          <cell r="AT165">
            <v>3014.4806088150549</v>
          </cell>
          <cell r="AV165">
            <v>954.38652833768106</v>
          </cell>
          <cell r="AW165">
            <v>664.49651020956799</v>
          </cell>
          <cell r="AY165">
            <v>1418.327316847214</v>
          </cell>
          <cell r="AZ165">
            <v>0</v>
          </cell>
          <cell r="BB165">
            <v>1813.0432572722798</v>
          </cell>
          <cell r="BC165">
            <v>0</v>
          </cell>
          <cell r="BE165">
            <v>931.89252569771372</v>
          </cell>
          <cell r="BF165">
            <v>0</v>
          </cell>
          <cell r="BH165">
            <v>110.27308797143304</v>
          </cell>
          <cell r="BI165">
            <v>866.66979229146114</v>
          </cell>
          <cell r="BK165">
            <v>796.45313792433853</v>
          </cell>
          <cell r="BL165">
            <v>871.72892506646372</v>
          </cell>
          <cell r="BN165">
            <v>39.307698405524434</v>
          </cell>
          <cell r="BO165">
            <v>0</v>
          </cell>
          <cell r="BT165">
            <v>27609.465765828616</v>
          </cell>
          <cell r="BU165">
            <v>48801.945009794275</v>
          </cell>
          <cell r="BW165">
            <v>18251.526450253448</v>
          </cell>
          <cell r="BX165">
            <v>21814.448450224983</v>
          </cell>
          <cell r="BZ165">
            <v>11820.944234397113</v>
          </cell>
          <cell r="CA165">
            <v>298.59107702261952</v>
          </cell>
          <cell r="CC165">
            <v>1496.9916592822208</v>
          </cell>
          <cell r="CD165">
            <v>1499.8812960118921</v>
          </cell>
          <cell r="CF165">
            <v>185.6950842365319</v>
          </cell>
          <cell r="CG165">
            <v>0</v>
          </cell>
          <cell r="CI165">
            <v>490.02032771970664</v>
          </cell>
          <cell r="CJ165">
            <v>438.80462303440459</v>
          </cell>
          <cell r="CL165">
            <v>0</v>
          </cell>
          <cell r="CM165">
            <v>0</v>
          </cell>
          <cell r="CX165">
            <v>6790.688482962606</v>
          </cell>
          <cell r="CY165">
            <v>32682.089326583278</v>
          </cell>
          <cell r="DA165">
            <v>121883.31882727031</v>
          </cell>
          <cell r="DC165">
            <v>19408.54</v>
          </cell>
          <cell r="DD165">
            <v>24730.219999999998</v>
          </cell>
          <cell r="DE165">
            <v>1682.3300000000017</v>
          </cell>
          <cell r="DF165">
            <v>21638.82</v>
          </cell>
          <cell r="DW165">
            <v>909</v>
          </cell>
          <cell r="DX165">
            <v>0</v>
          </cell>
        </row>
        <row r="166">
          <cell r="F166">
            <v>6924.5</v>
          </cell>
          <cell r="G166">
            <v>646.79999999999995</v>
          </cell>
          <cell r="H166">
            <v>0</v>
          </cell>
          <cell r="I166">
            <v>22667.4573490455</v>
          </cell>
          <cell r="J166">
            <v>17597.741543507076</v>
          </cell>
          <cell r="L166">
            <v>3591.9822368736977</v>
          </cell>
          <cell r="M166">
            <v>3186.109226706631</v>
          </cell>
          <cell r="O166">
            <v>9257.069313292337</v>
          </cell>
          <cell r="P166">
            <v>9288.0620841673699</v>
          </cell>
          <cell r="R166">
            <v>1947.9077095750329</v>
          </cell>
          <cell r="S166">
            <v>1954.568466219333</v>
          </cell>
          <cell r="U166">
            <v>1024.6828465970943</v>
          </cell>
          <cell r="V166">
            <v>542.59709997485322</v>
          </cell>
          <cell r="X166">
            <v>9542.7216083398416</v>
          </cell>
          <cell r="Y166">
            <v>8264.494724486236</v>
          </cell>
          <cell r="AA166">
            <v>0</v>
          </cell>
          <cell r="AB166">
            <v>0</v>
          </cell>
          <cell r="AD166">
            <v>25091.259468026925</v>
          </cell>
          <cell r="AE166">
            <v>24486.687096634021</v>
          </cell>
          <cell r="AJ166">
            <v>46280.662092818224</v>
          </cell>
          <cell r="AK166">
            <v>50809.343370815135</v>
          </cell>
          <cell r="AM166">
            <v>0</v>
          </cell>
          <cell r="AN166">
            <v>0</v>
          </cell>
          <cell r="AP166">
            <v>4913.2938476286154</v>
          </cell>
          <cell r="AQ166">
            <v>6900</v>
          </cell>
          <cell r="AS166">
            <v>91359.395070836064</v>
          </cell>
          <cell r="AT166">
            <v>29003.631813660453</v>
          </cell>
          <cell r="AV166">
            <v>2200.3222467804871</v>
          </cell>
          <cell r="AW166">
            <v>1090.179175769382</v>
          </cell>
          <cell r="AY166">
            <v>1995.9177487099198</v>
          </cell>
          <cell r="AZ166">
            <v>4124.2642766981162</v>
          </cell>
          <cell r="BB166">
            <v>2375.5541901380443</v>
          </cell>
          <cell r="BC166">
            <v>0</v>
          </cell>
          <cell r="BE166">
            <v>880.0309939587338</v>
          </cell>
          <cell r="BF166">
            <v>0</v>
          </cell>
          <cell r="BH166">
            <v>534.61761351583073</v>
          </cell>
          <cell r="BI166">
            <v>0</v>
          </cell>
          <cell r="BK166">
            <v>2204.0274328318601</v>
          </cell>
          <cell r="BL166">
            <v>15011.5875810257</v>
          </cell>
          <cell r="BN166">
            <v>573.84652178808608</v>
          </cell>
          <cell r="BO166">
            <v>8131.2028635160004</v>
          </cell>
          <cell r="BT166">
            <v>82098.015817045132</v>
          </cell>
          <cell r="BU166">
            <v>122820.43441568992</v>
          </cell>
          <cell r="BW166">
            <v>59792.514005543759</v>
          </cell>
          <cell r="BX166">
            <v>71528.951368253242</v>
          </cell>
          <cell r="BZ166">
            <v>17625.468967660301</v>
          </cell>
          <cell r="CA166">
            <v>590.5686317723455</v>
          </cell>
          <cell r="CC166">
            <v>1371.387907047925</v>
          </cell>
          <cell r="CD166">
            <v>1374.0350913807574</v>
          </cell>
          <cell r="CF166">
            <v>170.11450353860369</v>
          </cell>
          <cell r="CG166">
            <v>1090.1371295819258</v>
          </cell>
          <cell r="CI166">
            <v>11536.369270487634</v>
          </cell>
          <cell r="CJ166">
            <v>13544.980234146433</v>
          </cell>
          <cell r="CL166">
            <v>17527.785426067745</v>
          </cell>
          <cell r="CM166">
            <v>20317.082037069384</v>
          </cell>
          <cell r="CX166">
            <v>15667.779850686835</v>
          </cell>
          <cell r="CY166">
            <v>21554.674999174491</v>
          </cell>
          <cell r="DA166">
            <v>-49634.664902494289</v>
          </cell>
          <cell r="DC166">
            <v>181646.79</v>
          </cell>
          <cell r="DD166">
            <v>0</v>
          </cell>
          <cell r="DE166">
            <v>114631.1</v>
          </cell>
          <cell r="DF166">
            <v>0</v>
          </cell>
          <cell r="DW166">
            <v>1400.3999999999999</v>
          </cell>
          <cell r="DX166">
            <v>0</v>
          </cell>
        </row>
        <row r="167">
          <cell r="F167">
            <v>320.5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441.59957341284274</v>
          </cell>
          <cell r="AQ167">
            <v>140.47538423161123</v>
          </cell>
          <cell r="AS167">
            <v>3152.0270830212098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690.2282700801743</v>
          </cell>
          <cell r="BU167">
            <v>2020.5517521465167</v>
          </cell>
          <cell r="BW167">
            <v>0</v>
          </cell>
          <cell r="BX167">
            <v>0</v>
          </cell>
          <cell r="BZ167">
            <v>162.33737604518427</v>
          </cell>
          <cell r="CA167">
            <v>3.4017149635381343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125.09567822825525</v>
          </cell>
          <cell r="CY167">
            <v>2863.211819689549</v>
          </cell>
          <cell r="DA167">
            <v>-10579.615918135209</v>
          </cell>
          <cell r="DC167">
            <v>712.53</v>
          </cell>
          <cell r="DD167">
            <v>0</v>
          </cell>
          <cell r="DE167">
            <v>0</v>
          </cell>
          <cell r="DF167">
            <v>0</v>
          </cell>
          <cell r="DW167">
            <v>0</v>
          </cell>
          <cell r="DX167">
            <v>0</v>
          </cell>
        </row>
        <row r="168">
          <cell r="F168">
            <v>11587.55</v>
          </cell>
          <cell r="G168">
            <v>1227.6300000000001</v>
          </cell>
          <cell r="H168">
            <v>0</v>
          </cell>
          <cell r="I168">
            <v>25745.86246166614</v>
          </cell>
          <cell r="J168">
            <v>19897.489179769575</v>
          </cell>
          <cell r="L168">
            <v>7286.9117088597686</v>
          </cell>
          <cell r="M168">
            <v>6286.0263499198463</v>
          </cell>
          <cell r="O168">
            <v>15474.480329671111</v>
          </cell>
          <cell r="P168">
            <v>15526.487013688888</v>
          </cell>
          <cell r="R168">
            <v>3353.1223779132183</v>
          </cell>
          <cell r="S168">
            <v>3363.605660961282</v>
          </cell>
          <cell r="U168">
            <v>2697.0691838071634</v>
          </cell>
          <cell r="V168">
            <v>1088.69554531064</v>
          </cell>
          <cell r="X168">
            <v>19388.688847742571</v>
          </cell>
          <cell r="Y168">
            <v>12939.596071827566</v>
          </cell>
          <cell r="AA168">
            <v>0</v>
          </cell>
          <cell r="AB168">
            <v>0</v>
          </cell>
          <cell r="AD168">
            <v>41985.414293984788</v>
          </cell>
          <cell r="AE168">
            <v>40973.916553113137</v>
          </cell>
          <cell r="AJ168">
            <v>109976.04641214796</v>
          </cell>
          <cell r="AK168">
            <v>95625.015691736029</v>
          </cell>
          <cell r="AM168">
            <v>5776.4029588471731</v>
          </cell>
          <cell r="AN168">
            <v>5382.6569691975164</v>
          </cell>
          <cell r="AP168">
            <v>8910.5498592586737</v>
          </cell>
          <cell r="AQ168">
            <v>11400</v>
          </cell>
          <cell r="AS168">
            <v>184523.05900565343</v>
          </cell>
          <cell r="AT168">
            <v>24710.51128933514</v>
          </cell>
          <cell r="AV168">
            <v>1492.2439937230249</v>
          </cell>
          <cell r="AW168">
            <v>2840.9282934168987</v>
          </cell>
          <cell r="AY168">
            <v>2244.7889330680978</v>
          </cell>
          <cell r="AZ168">
            <v>2424.3372782689366</v>
          </cell>
          <cell r="BB168">
            <v>1456.1637947109521</v>
          </cell>
          <cell r="BC168">
            <v>3666.664463790195</v>
          </cell>
          <cell r="BE168">
            <v>635.19408975892168</v>
          </cell>
          <cell r="BF168">
            <v>0</v>
          </cell>
          <cell r="BH168">
            <v>687.67624619912863</v>
          </cell>
          <cell r="BI168">
            <v>0</v>
          </cell>
          <cell r="BK168">
            <v>2984.7979593492951</v>
          </cell>
          <cell r="BL168">
            <v>2970.8002827908203</v>
          </cell>
          <cell r="BN168">
            <v>898.22848161996308</v>
          </cell>
          <cell r="BO168">
            <v>14745.226177052</v>
          </cell>
          <cell r="BT168">
            <v>131218.27390416534</v>
          </cell>
          <cell r="BU168">
            <v>180111.01741271783</v>
          </cell>
          <cell r="BW168">
            <v>74491.452054688634</v>
          </cell>
          <cell r="BX168">
            <v>92540.860795951958</v>
          </cell>
          <cell r="BZ168">
            <v>16269.663662455663</v>
          </cell>
          <cell r="CA168">
            <v>862.4317566473303</v>
          </cell>
          <cell r="CC168">
            <v>1499.5550011645532</v>
          </cell>
          <cell r="CD168">
            <v>1502.4495859023239</v>
          </cell>
          <cell r="CF168">
            <v>186.01305527118348</v>
          </cell>
          <cell r="CG168">
            <v>0</v>
          </cell>
          <cell r="CI168">
            <v>6748.8518605690451</v>
          </cell>
          <cell r="CJ168">
            <v>5998.8957334409879</v>
          </cell>
          <cell r="CL168">
            <v>27690.972303958035</v>
          </cell>
          <cell r="CM168">
            <v>38292.795912747686</v>
          </cell>
          <cell r="CX168">
            <v>19791.168538155365</v>
          </cell>
          <cell r="CY168">
            <v>152356.45825335602</v>
          </cell>
          <cell r="DA168">
            <v>-112410.28744905823</v>
          </cell>
          <cell r="DC168">
            <v>232275.55</v>
          </cell>
          <cell r="DD168">
            <v>0</v>
          </cell>
          <cell r="DE168">
            <v>121798.37999999999</v>
          </cell>
          <cell r="DF168">
            <v>0</v>
          </cell>
          <cell r="DW168">
            <v>1818</v>
          </cell>
          <cell r="DX168">
            <v>0</v>
          </cell>
        </row>
        <row r="169">
          <cell r="F169">
            <v>2771.14</v>
          </cell>
          <cell r="G169">
            <v>0</v>
          </cell>
          <cell r="H169">
            <v>79.400000000000006</v>
          </cell>
          <cell r="I169">
            <v>9109.4082200405064</v>
          </cell>
          <cell r="J169">
            <v>7012.7232402282152</v>
          </cell>
          <cell r="L169">
            <v>1773.0879826478797</v>
          </cell>
          <cell r="M169">
            <v>1504.8721569536165</v>
          </cell>
          <cell r="O169">
            <v>3937.6886984633038</v>
          </cell>
          <cell r="P169">
            <v>3950.9649457508472</v>
          </cell>
          <cell r="R169">
            <v>831.26571756034616</v>
          </cell>
          <cell r="S169">
            <v>834.02426409861005</v>
          </cell>
          <cell r="U169">
            <v>609.78593862931109</v>
          </cell>
          <cell r="V169">
            <v>294.46760926914379</v>
          </cell>
          <cell r="X169">
            <v>6166.1299105997005</v>
          </cell>
          <cell r="Y169">
            <v>4216.924709087185</v>
          </cell>
          <cell r="AA169">
            <v>0</v>
          </cell>
          <cell r="AB169">
            <v>0</v>
          </cell>
          <cell r="AD169">
            <v>10332.738802660155</v>
          </cell>
          <cell r="AE169">
            <v>10083.57928052008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2456.6469238143077</v>
          </cell>
          <cell r="AQ169">
            <v>2760</v>
          </cell>
          <cell r="AS169">
            <v>33406.489310839228</v>
          </cell>
          <cell r="AT169">
            <v>14165.05719471852</v>
          </cell>
          <cell r="AV169">
            <v>1492.6074721124226</v>
          </cell>
          <cell r="AW169">
            <v>0</v>
          </cell>
          <cell r="AY169">
            <v>2091.3104536981746</v>
          </cell>
          <cell r="AZ169">
            <v>0</v>
          </cell>
          <cell r="BB169">
            <v>1452.630906398831</v>
          </cell>
          <cell r="BC169">
            <v>0</v>
          </cell>
          <cell r="BE169">
            <v>625.1676191114484</v>
          </cell>
          <cell r="BF169">
            <v>0</v>
          </cell>
          <cell r="BH169">
            <v>562.9770795469226</v>
          </cell>
          <cell r="BI169">
            <v>0</v>
          </cell>
          <cell r="BK169">
            <v>1156.3834736301721</v>
          </cell>
          <cell r="BL169">
            <v>1370.2127185972456</v>
          </cell>
          <cell r="BN169">
            <v>1128.5725159013873</v>
          </cell>
          <cell r="BO169">
            <v>0</v>
          </cell>
          <cell r="BT169">
            <v>38065.366983669919</v>
          </cell>
          <cell r="BU169">
            <v>85315.938855627115</v>
          </cell>
          <cell r="BW169">
            <v>15277.336288888891</v>
          </cell>
          <cell r="BX169">
            <v>16809.280764390631</v>
          </cell>
          <cell r="BZ169">
            <v>18868.163050214382</v>
          </cell>
          <cell r="CA169">
            <v>314.85064149145705</v>
          </cell>
          <cell r="CC169">
            <v>1455.9781891648995</v>
          </cell>
          <cell r="CD169">
            <v>1458.7886577649911</v>
          </cell>
          <cell r="CF169">
            <v>180.60754768210631</v>
          </cell>
          <cell r="CG169">
            <v>0</v>
          </cell>
          <cell r="CI169">
            <v>4688.6541970881572</v>
          </cell>
          <cell r="CJ169">
            <v>2640.9187742960285</v>
          </cell>
          <cell r="CL169">
            <v>0</v>
          </cell>
          <cell r="CM169">
            <v>0</v>
          </cell>
          <cell r="CX169">
            <v>5084.7844581456357</v>
          </cell>
          <cell r="CY169">
            <v>8608.4566216281946</v>
          </cell>
          <cell r="DA169">
            <v>25173.698439340675</v>
          </cell>
          <cell r="DC169">
            <v>34106.959999999999</v>
          </cell>
          <cell r="DD169">
            <v>186.65</v>
          </cell>
          <cell r="DE169">
            <v>9731.48</v>
          </cell>
          <cell r="DF169">
            <v>-446.55000000000007</v>
          </cell>
          <cell r="DW169">
            <v>1359</v>
          </cell>
          <cell r="DX169">
            <v>0</v>
          </cell>
        </row>
        <row r="170">
          <cell r="F170">
            <v>3771.18</v>
          </cell>
          <cell r="G170">
            <v>405</v>
          </cell>
          <cell r="H170">
            <v>0</v>
          </cell>
          <cell r="I170">
            <v>8582.5072123650407</v>
          </cell>
          <cell r="J170">
            <v>6647.0339273662366</v>
          </cell>
          <cell r="L170">
            <v>1949.7754901840697</v>
          </cell>
          <cell r="M170">
            <v>1656.9777653009262</v>
          </cell>
          <cell r="O170">
            <v>4772.1821113959377</v>
          </cell>
          <cell r="P170">
            <v>4788.0818716448457</v>
          </cell>
          <cell r="R170">
            <v>1015.1392911950585</v>
          </cell>
          <cell r="S170">
            <v>1018.4469731877809</v>
          </cell>
          <cell r="U170">
            <v>598.18195353783403</v>
          </cell>
          <cell r="V170">
            <v>285.10313534272444</v>
          </cell>
          <cell r="X170">
            <v>5606.7949394247989</v>
          </cell>
          <cell r="Y170">
            <v>3808.9593067151513</v>
          </cell>
          <cell r="AA170">
            <v>0</v>
          </cell>
          <cell r="AB170">
            <v>0</v>
          </cell>
          <cell r="AD170">
            <v>13670.133487086006</v>
          </cell>
          <cell r="AE170">
            <v>13340.485494120825</v>
          </cell>
          <cell r="AJ170">
            <v>32940.012987593596</v>
          </cell>
          <cell r="AK170">
            <v>30626.093884588274</v>
          </cell>
          <cell r="AM170">
            <v>2736.7267599286029</v>
          </cell>
          <cell r="AN170">
            <v>2360.7905288874117</v>
          </cell>
          <cell r="AP170">
            <v>2997.9420087225444</v>
          </cell>
          <cell r="AQ170">
            <v>471.35338961569886</v>
          </cell>
          <cell r="AS170">
            <v>60479.771092583644</v>
          </cell>
          <cell r="AT170">
            <v>3115.8331250667879</v>
          </cell>
          <cell r="AV170">
            <v>882.75837029939908</v>
          </cell>
          <cell r="AW170">
            <v>1375.3748763290137</v>
          </cell>
          <cell r="AY170">
            <v>1200.1675872374349</v>
          </cell>
          <cell r="AZ170">
            <v>4362.1880739788567</v>
          </cell>
          <cell r="BB170">
            <v>982.72400724620843</v>
          </cell>
          <cell r="BC170">
            <v>1912.9040107978021</v>
          </cell>
          <cell r="BE170">
            <v>431.35301136919804</v>
          </cell>
          <cell r="BF170">
            <v>0</v>
          </cell>
          <cell r="BH170">
            <v>312.31334804807921</v>
          </cell>
          <cell r="BI170">
            <v>0</v>
          </cell>
          <cell r="BK170">
            <v>1064.5025546742747</v>
          </cell>
          <cell r="BL170">
            <v>12264.231218757792</v>
          </cell>
          <cell r="BN170">
            <v>310.65804853334714</v>
          </cell>
          <cell r="BO170">
            <v>5314.2915215032926</v>
          </cell>
          <cell r="BT170">
            <v>48795.393607920843</v>
          </cell>
          <cell r="BU170">
            <v>68387.734089403471</v>
          </cell>
          <cell r="BW170">
            <v>23324.786614816214</v>
          </cell>
          <cell r="BX170">
            <v>30745.767750923209</v>
          </cell>
          <cell r="BZ170">
            <v>8395.4659557910018</v>
          </cell>
          <cell r="CA170">
            <v>330.61584160000012</v>
          </cell>
          <cell r="CC170">
            <v>820.26940234642234</v>
          </cell>
          <cell r="CD170">
            <v>821.85276493802326</v>
          </cell>
          <cell r="CF170">
            <v>101.75073108851062</v>
          </cell>
          <cell r="CG170">
            <v>0</v>
          </cell>
          <cell r="CI170">
            <v>6658.8724572043539</v>
          </cell>
          <cell r="CJ170">
            <v>5091.7157415342635</v>
          </cell>
          <cell r="CL170">
            <v>9313.0240802986082</v>
          </cell>
          <cell r="CM170">
            <v>14421.428838685782</v>
          </cell>
          <cell r="CX170">
            <v>6680.2587818718202</v>
          </cell>
          <cell r="CY170">
            <v>36435.39035859525</v>
          </cell>
          <cell r="DA170">
            <v>-33650.421296041452</v>
          </cell>
          <cell r="DC170">
            <v>50682.99</v>
          </cell>
          <cell r="DD170">
            <v>0</v>
          </cell>
          <cell r="DE170">
            <v>12557.629999999997</v>
          </cell>
          <cell r="DF170">
            <v>0</v>
          </cell>
          <cell r="DW170">
            <v>1138.5</v>
          </cell>
          <cell r="DX170">
            <v>0</v>
          </cell>
        </row>
        <row r="171">
          <cell r="F171">
            <v>3769.35</v>
          </cell>
          <cell r="G171">
            <v>406.43</v>
          </cell>
          <cell r="H171">
            <v>0</v>
          </cell>
          <cell r="I171">
            <v>8546.6019299900454</v>
          </cell>
          <cell r="J171">
            <v>6617.4635754918127</v>
          </cell>
          <cell r="L171">
            <v>1908.8921545450364</v>
          </cell>
          <cell r="M171">
            <v>1615.8962643249579</v>
          </cell>
          <cell r="O171">
            <v>4268.4928097819029</v>
          </cell>
          <cell r="P171">
            <v>4283.0155892441089</v>
          </cell>
          <cell r="R171">
            <v>1045.9041584404677</v>
          </cell>
          <cell r="S171">
            <v>1049.3310439724223</v>
          </cell>
          <cell r="U171">
            <v>598.18195353783403</v>
          </cell>
          <cell r="V171">
            <v>285.10313534272444</v>
          </cell>
          <cell r="X171">
            <v>5978.4960713322253</v>
          </cell>
          <cell r="Y171">
            <v>4042.1637270205238</v>
          </cell>
          <cell r="AA171">
            <v>0</v>
          </cell>
          <cell r="AB171">
            <v>0</v>
          </cell>
          <cell r="AD171">
            <v>13658.334060993524</v>
          </cell>
          <cell r="AE171">
            <v>13329.241920181632</v>
          </cell>
          <cell r="AJ171">
            <v>29124.752447998406</v>
          </cell>
          <cell r="AK171">
            <v>24761.50480697388</v>
          </cell>
          <cell r="AM171">
            <v>0</v>
          </cell>
          <cell r="AN171">
            <v>0</v>
          </cell>
          <cell r="AP171">
            <v>2997.9420087225444</v>
          </cell>
          <cell r="AQ171">
            <v>3368.2365624806584</v>
          </cell>
          <cell r="AS171">
            <v>54602.988150725054</v>
          </cell>
          <cell r="AT171">
            <v>11283.562722289198</v>
          </cell>
          <cell r="AV171">
            <v>705.4003888287898</v>
          </cell>
          <cell r="AW171">
            <v>674.69890186767543</v>
          </cell>
          <cell r="AY171">
            <v>1169.991206003097</v>
          </cell>
          <cell r="AZ171">
            <v>7834.5380818058784</v>
          </cell>
          <cell r="BB171">
            <v>1614.03954963607</v>
          </cell>
          <cell r="BC171">
            <v>4429.3308390270458</v>
          </cell>
          <cell r="BE171">
            <v>504.0541929045491</v>
          </cell>
          <cell r="BF171">
            <v>0</v>
          </cell>
          <cell r="BH171">
            <v>312.31334804807921</v>
          </cell>
          <cell r="BI171">
            <v>0</v>
          </cell>
          <cell r="BK171">
            <v>780.80865773614562</v>
          </cell>
          <cell r="BL171">
            <v>11312.35572685156</v>
          </cell>
          <cell r="BN171">
            <v>302.55694357281476</v>
          </cell>
          <cell r="BO171">
            <v>5616.3463846574905</v>
          </cell>
          <cell r="BT171">
            <v>43336.549120254145</v>
          </cell>
          <cell r="BU171">
            <v>63664.935236909601</v>
          </cell>
          <cell r="BW171">
            <v>32988.926023554639</v>
          </cell>
          <cell r="BX171">
            <v>38968.726650908611</v>
          </cell>
          <cell r="BZ171">
            <v>6473.4346953045251</v>
          </cell>
          <cell r="CA171">
            <v>282.6693599558422</v>
          </cell>
          <cell r="CC171">
            <v>820.26940234642234</v>
          </cell>
          <cell r="CD171">
            <v>821.85276493802326</v>
          </cell>
          <cell r="CF171">
            <v>101.75073108851062</v>
          </cell>
          <cell r="CG171">
            <v>0</v>
          </cell>
          <cell r="CI171">
            <v>5683.9002763836252</v>
          </cell>
          <cell r="CJ171">
            <v>2402.8774773132982</v>
          </cell>
          <cell r="CL171">
            <v>9053.4460809876073</v>
          </cell>
          <cell r="CM171">
            <v>13962.511504558946</v>
          </cell>
          <cell r="CX171">
            <v>6462.8555798000161</v>
          </cell>
          <cell r="CY171">
            <v>13628.852483720191</v>
          </cell>
          <cell r="DA171">
            <v>-27342.950592155379</v>
          </cell>
          <cell r="DC171">
            <v>107875.75</v>
          </cell>
          <cell r="DD171">
            <v>0</v>
          </cell>
          <cell r="DE171">
            <v>71566.55</v>
          </cell>
          <cell r="DF171">
            <v>0</v>
          </cell>
          <cell r="DW171">
            <v>1062</v>
          </cell>
          <cell r="DX171">
            <v>0</v>
          </cell>
        </row>
        <row r="172">
          <cell r="F172">
            <v>4228.22</v>
          </cell>
          <cell r="G172">
            <v>344.66</v>
          </cell>
          <cell r="H172">
            <v>490</v>
          </cell>
          <cell r="I172">
            <v>13855.635180021531</v>
          </cell>
          <cell r="J172">
            <v>10724.386949263189</v>
          </cell>
          <cell r="L172">
            <v>2136.2515467042895</v>
          </cell>
          <cell r="M172">
            <v>1812.0099323768784</v>
          </cell>
          <cell r="O172">
            <v>5395.2010924135311</v>
          </cell>
          <cell r="P172">
            <v>5413.1899218388071</v>
          </cell>
          <cell r="R172">
            <v>1246.6790747540481</v>
          </cell>
          <cell r="S172">
            <v>1250.8355172849629</v>
          </cell>
          <cell r="U172">
            <v>634.12267486977794</v>
          </cell>
          <cell r="V172">
            <v>298.77289395615128</v>
          </cell>
          <cell r="X172">
            <v>5793.5666240881474</v>
          </cell>
          <cell r="Y172">
            <v>4019.4410421395778</v>
          </cell>
          <cell r="AA172">
            <v>0</v>
          </cell>
          <cell r="AB172">
            <v>0</v>
          </cell>
          <cell r="AD172">
            <v>15875.666803196249</v>
          </cell>
          <cell r="AE172">
            <v>16686.991547193506</v>
          </cell>
          <cell r="AJ172">
            <v>37969.453574605599</v>
          </cell>
          <cell r="AK172">
            <v>34483.618016603694</v>
          </cell>
          <cell r="AM172">
            <v>302.92842272642292</v>
          </cell>
          <cell r="AN172">
            <v>0</v>
          </cell>
          <cell r="AP172">
            <v>2914.6658418135858</v>
          </cell>
          <cell r="AQ172">
            <v>3251.1194591148155</v>
          </cell>
          <cell r="AS172">
            <v>60877.57011110038</v>
          </cell>
          <cell r="AT172">
            <v>23628.176223697756</v>
          </cell>
          <cell r="AV172">
            <v>1339.8886316123539</v>
          </cell>
          <cell r="AW172">
            <v>0</v>
          </cell>
          <cell r="AY172">
            <v>1479.0904941069873</v>
          </cell>
          <cell r="AZ172">
            <v>5761.4106714731179</v>
          </cell>
          <cell r="BB172">
            <v>1517.6503158206449</v>
          </cell>
          <cell r="BC172">
            <v>0</v>
          </cell>
          <cell r="BE172">
            <v>647.21535558638925</v>
          </cell>
          <cell r="BF172">
            <v>0</v>
          </cell>
          <cell r="BH172">
            <v>330.55002861087428</v>
          </cell>
          <cell r="BI172">
            <v>0</v>
          </cell>
          <cell r="BK172">
            <v>1267.8073444810107</v>
          </cell>
          <cell r="BL172">
            <v>1888.2058801100907</v>
          </cell>
          <cell r="BN172">
            <v>305.7278749225876</v>
          </cell>
          <cell r="BO172">
            <v>1066.42330687</v>
          </cell>
          <cell r="BT172">
            <v>53820.430699573917</v>
          </cell>
          <cell r="BU172">
            <v>77478.250420476732</v>
          </cell>
          <cell r="BW172">
            <v>36750.536427311818</v>
          </cell>
          <cell r="BX172">
            <v>43373.954991006292</v>
          </cell>
          <cell r="BZ172">
            <v>10207.253441691189</v>
          </cell>
          <cell r="CA172">
            <v>333.08150005604546</v>
          </cell>
          <cell r="CC172">
            <v>615.20205175981664</v>
          </cell>
          <cell r="CD172">
            <v>616.38957370351739</v>
          </cell>
          <cell r="CF172">
            <v>76.313048316382961</v>
          </cell>
          <cell r="CG172">
            <v>0</v>
          </cell>
          <cell r="CI172">
            <v>11186.072607536742</v>
          </cell>
          <cell r="CJ172">
            <v>5873.6463569656971</v>
          </cell>
          <cell r="CL172">
            <v>10034.388157530315</v>
          </cell>
          <cell r="CM172">
            <v>12103.521510207089</v>
          </cell>
          <cell r="CX172">
            <v>24136.56344603845</v>
          </cell>
          <cell r="CY172">
            <v>55956.293499018393</v>
          </cell>
          <cell r="DA172">
            <v>27150.030736085893</v>
          </cell>
          <cell r="DC172">
            <v>80253.89</v>
          </cell>
          <cell r="DD172">
            <v>2022.79</v>
          </cell>
          <cell r="DE172">
            <v>37377.519999999997</v>
          </cell>
          <cell r="DF172">
            <v>-1161</v>
          </cell>
          <cell r="DW172">
            <v>1062</v>
          </cell>
          <cell r="DX172">
            <v>0</v>
          </cell>
        </row>
        <row r="173">
          <cell r="F173">
            <v>5064.8</v>
          </cell>
          <cell r="G173">
            <v>311.8</v>
          </cell>
          <cell r="H173">
            <v>210.29999999999998</v>
          </cell>
          <cell r="I173">
            <v>16565.753000474087</v>
          </cell>
          <cell r="J173">
            <v>12837.291360470988</v>
          </cell>
          <cell r="L173">
            <v>2680.1188143132485</v>
          </cell>
          <cell r="M173">
            <v>2249.5288778773961</v>
          </cell>
          <cell r="O173">
            <v>6907.0036586107526</v>
          </cell>
          <cell r="P173">
            <v>6930.2592897657069</v>
          </cell>
          <cell r="R173">
            <v>1407.5267093617233</v>
          </cell>
          <cell r="S173">
            <v>1411.8888168719895</v>
          </cell>
          <cell r="U173">
            <v>690.33244495967654</v>
          </cell>
          <cell r="V173">
            <v>312.62715387482143</v>
          </cell>
          <cell r="X173">
            <v>6385.5869536393038</v>
          </cell>
          <cell r="Y173">
            <v>4559.8126500755834</v>
          </cell>
          <cell r="AA173">
            <v>0</v>
          </cell>
          <cell r="AB173">
            <v>0</v>
          </cell>
          <cell r="AD173">
            <v>19092.519569211086</v>
          </cell>
          <cell r="AE173">
            <v>18633.64548387186</v>
          </cell>
          <cell r="AJ173">
            <v>37565.527538768409</v>
          </cell>
          <cell r="AK173">
            <v>35215.2900176896</v>
          </cell>
          <cell r="AM173">
            <v>0</v>
          </cell>
          <cell r="AN173">
            <v>0</v>
          </cell>
          <cell r="AP173">
            <v>3206.1324259949433</v>
          </cell>
          <cell r="AQ173">
            <v>3583.0824271061897</v>
          </cell>
          <cell r="AS173">
            <v>66374.742807898219</v>
          </cell>
          <cell r="AT173">
            <v>20302.50980741089</v>
          </cell>
          <cell r="AV173">
            <v>1656.1802675763113</v>
          </cell>
          <cell r="AW173">
            <v>768.21609510368512</v>
          </cell>
          <cell r="AY173">
            <v>1568.1721022827064</v>
          </cell>
          <cell r="AZ173">
            <v>3158.578420957178</v>
          </cell>
          <cell r="BB173">
            <v>1734.6155507411372</v>
          </cell>
          <cell r="BC173">
            <v>0</v>
          </cell>
          <cell r="BE173">
            <v>692.35993198234235</v>
          </cell>
          <cell r="BF173">
            <v>0</v>
          </cell>
          <cell r="BH173">
            <v>360.7327949470087</v>
          </cell>
          <cell r="BI173">
            <v>7580.9592137266955</v>
          </cell>
          <cell r="BK173">
            <v>1362.2155476337248</v>
          </cell>
          <cell r="BL173">
            <v>3955.3846030101522</v>
          </cell>
          <cell r="BN173">
            <v>392.17795978135399</v>
          </cell>
          <cell r="BO173">
            <v>4743.9346073650004</v>
          </cell>
          <cell r="BT173">
            <v>69181.630653571672</v>
          </cell>
          <cell r="BU173">
            <v>98641.559459025942</v>
          </cell>
          <cell r="BW173">
            <v>40334.122059643087</v>
          </cell>
          <cell r="BX173">
            <v>47698.050582925942</v>
          </cell>
          <cell r="BZ173">
            <v>10052.398831065593</v>
          </cell>
          <cell r="CA173">
            <v>404.34001751034708</v>
          </cell>
          <cell r="CC173">
            <v>512.66837646651402</v>
          </cell>
          <cell r="CD173">
            <v>513.65797808626451</v>
          </cell>
          <cell r="CF173">
            <v>63.594206930319132</v>
          </cell>
          <cell r="CG173">
            <v>0</v>
          </cell>
          <cell r="CI173">
            <v>9927.0447057570345</v>
          </cell>
          <cell r="CJ173">
            <v>7433.3608363431285</v>
          </cell>
          <cell r="CL173">
            <v>10808.758589266192</v>
          </cell>
          <cell r="CM173">
            <v>15499.832852446996</v>
          </cell>
          <cell r="CX173">
            <v>11587.723794064665</v>
          </cell>
          <cell r="CY173">
            <v>27293.449733296784</v>
          </cell>
          <cell r="DA173">
            <v>-6027.8513801446461</v>
          </cell>
          <cell r="DC173">
            <v>63676.01</v>
          </cell>
          <cell r="DD173">
            <v>8059.3499999999995</v>
          </cell>
          <cell r="DE173">
            <v>15246.150000000001</v>
          </cell>
          <cell r="DF173">
            <v>6665.03</v>
          </cell>
          <cell r="DW173">
            <v>1062</v>
          </cell>
          <cell r="DX173">
            <v>0</v>
          </cell>
        </row>
        <row r="174">
          <cell r="F174">
            <v>7055.84</v>
          </cell>
          <cell r="G174">
            <v>879.7</v>
          </cell>
          <cell r="H174">
            <v>0</v>
          </cell>
          <cell r="I174">
            <v>10204.524758514759</v>
          </cell>
          <cell r="J174">
            <v>8068.1299919104758</v>
          </cell>
          <cell r="L174">
            <v>3319.9232270573962</v>
          </cell>
          <cell r="M174">
            <v>2824.7658271422233</v>
          </cell>
          <cell r="O174">
            <v>8995.1508209111489</v>
          </cell>
          <cell r="P174">
            <v>9025.5643728889263</v>
          </cell>
          <cell r="R174">
            <v>2036.4767953453563</v>
          </cell>
          <cell r="S174">
            <v>2043.2355740477437</v>
          </cell>
          <cell r="U174">
            <v>1830.0495227880949</v>
          </cell>
          <cell r="V174">
            <v>990.16797006997513</v>
          </cell>
          <cell r="X174">
            <v>14381.70617214308</v>
          </cell>
          <cell r="Y174">
            <v>9429.2348072090354</v>
          </cell>
          <cell r="AA174">
            <v>0</v>
          </cell>
          <cell r="AB174">
            <v>0</v>
          </cell>
          <cell r="AD174">
            <v>25566.458239499181</v>
          </cell>
          <cell r="AE174">
            <v>24950.473709063237</v>
          </cell>
          <cell r="AJ174">
            <v>58150.310828721827</v>
          </cell>
          <cell r="AK174">
            <v>52129.686049428681</v>
          </cell>
          <cell r="AM174">
            <v>5473.4745361207506</v>
          </cell>
          <cell r="AN174">
            <v>4729.1736823718802</v>
          </cell>
          <cell r="AP174">
            <v>5329.6746821734132</v>
          </cell>
          <cell r="AQ174">
            <v>5864.9459990807436</v>
          </cell>
          <cell r="AS174">
            <v>123648.91511706571</v>
          </cell>
          <cell r="AT174">
            <v>121739.44113617967</v>
          </cell>
          <cell r="AV174">
            <v>493.84440587256319</v>
          </cell>
          <cell r="AW174">
            <v>273.9376929885193</v>
          </cell>
          <cell r="AY174">
            <v>853.47812126410679</v>
          </cell>
          <cell r="AZ174">
            <v>5771.8893240119796</v>
          </cell>
          <cell r="BB174">
            <v>448.05095754009966</v>
          </cell>
          <cell r="BC174">
            <v>1523.7581376649762</v>
          </cell>
          <cell r="BE174">
            <v>397.37767682399232</v>
          </cell>
          <cell r="BF174">
            <v>0</v>
          </cell>
          <cell r="BH174">
            <v>554.53452462036603</v>
          </cell>
          <cell r="BI174">
            <v>0</v>
          </cell>
          <cell r="BK174">
            <v>716.22417705111548</v>
          </cell>
          <cell r="BL174">
            <v>3525.0968402714652</v>
          </cell>
          <cell r="BN174">
            <v>903.99966546532426</v>
          </cell>
          <cell r="BO174">
            <v>0</v>
          </cell>
          <cell r="BT174">
            <v>93703.64459812727</v>
          </cell>
          <cell r="BU174">
            <v>126459.83912843476</v>
          </cell>
          <cell r="BW174">
            <v>45771.074763573626</v>
          </cell>
          <cell r="BX174">
            <v>61017.133698218735</v>
          </cell>
          <cell r="BZ174">
            <v>11289.920630110544</v>
          </cell>
          <cell r="CA174">
            <v>576.24446142008583</v>
          </cell>
          <cell r="CC174">
            <v>2597.9469977440599</v>
          </cell>
          <cell r="CD174">
            <v>2602.9618039521456</v>
          </cell>
          <cell r="CF174">
            <v>322.26364361939221</v>
          </cell>
          <cell r="CG174">
            <v>0</v>
          </cell>
          <cell r="CI174">
            <v>23235.666869815312</v>
          </cell>
          <cell r="CJ174">
            <v>24494.544821359505</v>
          </cell>
          <cell r="CL174">
            <v>24034.456864651318</v>
          </cell>
          <cell r="CM174">
            <v>25529.48391978594</v>
          </cell>
          <cell r="CX174">
            <v>13220.912029607005</v>
          </cell>
          <cell r="CY174">
            <v>-21951.760391450101</v>
          </cell>
          <cell r="DA174">
            <v>-81363.706030819885</v>
          </cell>
          <cell r="DC174">
            <v>126506.47</v>
          </cell>
          <cell r="DD174">
            <v>0</v>
          </cell>
          <cell r="DE174">
            <v>52540.380000000005</v>
          </cell>
          <cell r="DF174">
            <v>0</v>
          </cell>
          <cell r="DW174">
            <v>1242</v>
          </cell>
          <cell r="DX174">
            <v>0</v>
          </cell>
        </row>
        <row r="175">
          <cell r="F175">
            <v>10263.950000000001</v>
          </cell>
          <cell r="G175">
            <v>1160.45</v>
          </cell>
          <cell r="H175">
            <v>90.3</v>
          </cell>
          <cell r="I175">
            <v>23244.885707634534</v>
          </cell>
          <cell r="J175">
            <v>17974.862067378966</v>
          </cell>
          <cell r="L175">
            <v>3911.198597645368</v>
          </cell>
          <cell r="M175">
            <v>3284.1443374549212</v>
          </cell>
          <cell r="O175">
            <v>13818.948403126014</v>
          </cell>
          <cell r="P175">
            <v>13865.148494518609</v>
          </cell>
          <cell r="R175">
            <v>3088.6803741206854</v>
          </cell>
          <cell r="S175">
            <v>3099.0242534603708</v>
          </cell>
          <cell r="U175">
            <v>3448.489252489479</v>
          </cell>
          <cell r="V175">
            <v>1453.5716774836706</v>
          </cell>
          <cell r="X175">
            <v>19631.158577091388</v>
          </cell>
          <cell r="Y175">
            <v>13490.042695213468</v>
          </cell>
          <cell r="AA175">
            <v>0</v>
          </cell>
          <cell r="AB175">
            <v>0</v>
          </cell>
          <cell r="AD175">
            <v>37639.404137405465</v>
          </cell>
          <cell r="AE175">
            <v>36723.801216743333</v>
          </cell>
          <cell r="AJ175">
            <v>80913.120864879398</v>
          </cell>
          <cell r="AK175">
            <v>75437.998656235111</v>
          </cell>
          <cell r="AM175">
            <v>605.85684545284585</v>
          </cell>
          <cell r="AN175">
            <v>2500.1901695333381</v>
          </cell>
          <cell r="AP175">
            <v>6662.0933527167645</v>
          </cell>
          <cell r="AQ175">
            <v>9720</v>
          </cell>
          <cell r="AS175">
            <v>171578.77749313356</v>
          </cell>
          <cell r="AT175">
            <v>343140.3356109687</v>
          </cell>
          <cell r="AV175">
            <v>1782.9162542588647</v>
          </cell>
          <cell r="AW175">
            <v>1359.92186800677</v>
          </cell>
          <cell r="AY175">
            <v>1583.0877853721631</v>
          </cell>
          <cell r="AZ175">
            <v>10226.273796586343</v>
          </cell>
          <cell r="BB175">
            <v>2255.3316550773861</v>
          </cell>
          <cell r="BC175">
            <v>0</v>
          </cell>
          <cell r="BE175">
            <v>999.53896361972988</v>
          </cell>
          <cell r="BF175">
            <v>0</v>
          </cell>
          <cell r="BH175">
            <v>1145.5971672763808</v>
          </cell>
          <cell r="BI175">
            <v>1959.0823694717819</v>
          </cell>
          <cell r="BK175">
            <v>2661.2125279829143</v>
          </cell>
          <cell r="BL175">
            <v>9346.7649209601404</v>
          </cell>
          <cell r="BN175">
            <v>664.91693960358907</v>
          </cell>
          <cell r="BO175">
            <v>438.67713853039999</v>
          </cell>
          <cell r="BT175">
            <v>106401.17275981288</v>
          </cell>
          <cell r="BU175">
            <v>157048.10932360505</v>
          </cell>
          <cell r="BW175">
            <v>75211.709449932998</v>
          </cell>
          <cell r="BX175">
            <v>92356.639195993514</v>
          </cell>
          <cell r="BZ175">
            <v>20414.506883382379</v>
          </cell>
          <cell r="CA175">
            <v>760.51195636336558</v>
          </cell>
          <cell r="CC175">
            <v>1906.6136920789654</v>
          </cell>
          <cell r="CD175">
            <v>1910.2940205028176</v>
          </cell>
          <cell r="CF175">
            <v>236.50685557385685</v>
          </cell>
          <cell r="CG175">
            <v>0</v>
          </cell>
          <cell r="CI175">
            <v>25814.544368798939</v>
          </cell>
          <cell r="CJ175">
            <v>19738.758027368232</v>
          </cell>
          <cell r="CL175">
            <v>17865.483881033702</v>
          </cell>
          <cell r="CM175">
            <v>24610.84722693872</v>
          </cell>
          <cell r="CX175">
            <v>24948.602646216856</v>
          </cell>
          <cell r="CY175">
            <v>-235402.49283436395</v>
          </cell>
          <cell r="DA175">
            <v>168008.6133703418</v>
          </cell>
          <cell r="DC175">
            <v>249598.44</v>
          </cell>
          <cell r="DD175">
            <v>23016.68</v>
          </cell>
          <cell r="DE175">
            <v>150308.34</v>
          </cell>
          <cell r="DF175">
            <v>22402</v>
          </cell>
          <cell r="DW175">
            <v>1242</v>
          </cell>
          <cell r="DX175">
            <v>0</v>
          </cell>
        </row>
        <row r="176">
          <cell r="F176">
            <v>211.4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183.99982225535115</v>
          </cell>
          <cell r="AQ176">
            <v>93.650256154407487</v>
          </cell>
          <cell r="AS176">
            <v>2232.4012034159759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812.03325891785221</v>
          </cell>
          <cell r="BU176">
            <v>1805.2879386210211</v>
          </cell>
          <cell r="BW176">
            <v>0</v>
          </cell>
          <cell r="BX176">
            <v>0</v>
          </cell>
          <cell r="BZ176">
            <v>190.98514828845214</v>
          </cell>
          <cell r="CA176">
            <v>3.0391637634768327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127.19634147236432</v>
          </cell>
          <cell r="CY176">
            <v>1948.1268306788347</v>
          </cell>
          <cell r="DA176">
            <v>-10422.373812106536</v>
          </cell>
          <cell r="DC176">
            <v>545.78</v>
          </cell>
          <cell r="DD176">
            <v>0</v>
          </cell>
          <cell r="DE176">
            <v>0</v>
          </cell>
          <cell r="DF176">
            <v>0</v>
          </cell>
          <cell r="DW176">
            <v>918</v>
          </cell>
          <cell r="DX176">
            <v>0</v>
          </cell>
        </row>
        <row r="177">
          <cell r="F177">
            <v>7424.15</v>
          </cell>
          <cell r="G177">
            <v>926.05</v>
          </cell>
          <cell r="H177">
            <v>0</v>
          </cell>
          <cell r="I177">
            <v>17619.650596864227</v>
          </cell>
          <cell r="J177">
            <v>13568.011720530874</v>
          </cell>
          <cell r="L177">
            <v>3080.7386333078275</v>
          </cell>
          <cell r="M177">
            <v>2555.3803378334305</v>
          </cell>
          <cell r="O177">
            <v>11192.368653688762</v>
          </cell>
          <cell r="P177">
            <v>11230.094021426768</v>
          </cell>
          <cell r="R177">
            <v>2081.771586711131</v>
          </cell>
          <cell r="S177">
            <v>2088.5644772397868</v>
          </cell>
          <cell r="U177">
            <v>2614.4324823402712</v>
          </cell>
          <cell r="V177">
            <v>979.79953036895665</v>
          </cell>
          <cell r="X177">
            <v>12736.522152917561</v>
          </cell>
          <cell r="Y177">
            <v>11347.884673801253</v>
          </cell>
          <cell r="AA177">
            <v>0</v>
          </cell>
          <cell r="AB177">
            <v>0</v>
          </cell>
          <cell r="AD177">
            <v>26912.862199781172</v>
          </cell>
          <cell r="AE177">
            <v>26263.815388217052</v>
          </cell>
          <cell r="AJ177">
            <v>63490.822968200759</v>
          </cell>
          <cell r="AK177">
            <v>58764.667240582596</v>
          </cell>
          <cell r="AM177">
            <v>302.92842272642292</v>
          </cell>
          <cell r="AN177">
            <v>1312.4069936408671</v>
          </cell>
          <cell r="AP177">
            <v>4996.5700145375749</v>
          </cell>
          <cell r="AQ177">
            <v>5559.4355932451099</v>
          </cell>
          <cell r="AS177">
            <v>116395.31645149081</v>
          </cell>
          <cell r="AT177">
            <v>41904.622929514895</v>
          </cell>
          <cell r="AV177">
            <v>1532.061931244298</v>
          </cell>
          <cell r="AW177">
            <v>1144.6618646653308</v>
          </cell>
          <cell r="AY177">
            <v>1972.7381692370648</v>
          </cell>
          <cell r="AZ177">
            <v>2936.8243423494673</v>
          </cell>
          <cell r="BB177">
            <v>2320.0841344203814</v>
          </cell>
          <cell r="BC177">
            <v>0</v>
          </cell>
          <cell r="BE177">
            <v>896.65753708447789</v>
          </cell>
          <cell r="BF177">
            <v>0</v>
          </cell>
          <cell r="BH177">
            <v>1349.31629959364</v>
          </cell>
          <cell r="BI177">
            <v>0</v>
          </cell>
          <cell r="BK177">
            <v>1877.2968364279416</v>
          </cell>
          <cell r="BL177">
            <v>3728.8804938397434</v>
          </cell>
          <cell r="BN177">
            <v>716.35963092903216</v>
          </cell>
          <cell r="BO177">
            <v>13495.202156525</v>
          </cell>
          <cell r="BT177">
            <v>98622.147052939254</v>
          </cell>
          <cell r="BU177">
            <v>163409.92902296982</v>
          </cell>
          <cell r="BW177">
            <v>38003.5317333848</v>
          </cell>
          <cell r="BX177">
            <v>46647.230283883895</v>
          </cell>
          <cell r="BZ177">
            <v>36479.481343994063</v>
          </cell>
          <cell r="CA177">
            <v>800.80258325942611</v>
          </cell>
          <cell r="CC177">
            <v>1923.5317485023604</v>
          </cell>
          <cell r="CD177">
            <v>1927.2447337796643</v>
          </cell>
          <cell r="CF177">
            <v>238.6054644025574</v>
          </cell>
          <cell r="CG177">
            <v>0</v>
          </cell>
          <cell r="CI177">
            <v>21273.981647215835</v>
          </cell>
          <cell r="CJ177">
            <v>14796.284278931051</v>
          </cell>
          <cell r="CL177">
            <v>11588.326127531907</v>
          </cell>
          <cell r="CM177">
            <v>19667.746464347329</v>
          </cell>
          <cell r="CX177">
            <v>17839.206050189994</v>
          </cell>
          <cell r="CY177">
            <v>61145.543676416179</v>
          </cell>
          <cell r="DA177">
            <v>-23750.104552575278</v>
          </cell>
          <cell r="DC177">
            <v>153518.76999999999</v>
          </cell>
          <cell r="DD177">
            <v>0</v>
          </cell>
          <cell r="DE177">
            <v>76711.649999999994</v>
          </cell>
          <cell r="DF177">
            <v>0</v>
          </cell>
          <cell r="DW177">
            <v>1044</v>
          </cell>
          <cell r="DX177">
            <v>0</v>
          </cell>
        </row>
        <row r="178">
          <cell r="F178">
            <v>6127.15</v>
          </cell>
          <cell r="G178">
            <v>715.15</v>
          </cell>
          <cell r="H178">
            <v>0</v>
          </cell>
          <cell r="I178">
            <v>8815.069517422322</v>
          </cell>
          <cell r="J178">
            <v>6870.6177670615889</v>
          </cell>
          <cell r="L178">
            <v>2437.2042374296425</v>
          </cell>
          <cell r="M178">
            <v>2022.1636984087895</v>
          </cell>
          <cell r="O178">
            <v>8468.5185685368579</v>
          </cell>
          <cell r="P178">
            <v>8496.9963879335355</v>
          </cell>
          <cell r="R178">
            <v>1726.6236798227387</v>
          </cell>
          <cell r="S178">
            <v>1732.4428208660406</v>
          </cell>
          <cell r="U178">
            <v>964.32900009778018</v>
          </cell>
          <cell r="V178">
            <v>390.16465512709112</v>
          </cell>
          <cell r="X178">
            <v>10647.750787366416</v>
          </cell>
          <cell r="Y178">
            <v>7534.5637551069603</v>
          </cell>
          <cell r="AA178">
            <v>0</v>
          </cell>
          <cell r="AB178">
            <v>0</v>
          </cell>
          <cell r="AD178">
            <v>22204.878035066424</v>
          </cell>
          <cell r="AE178">
            <v>21669.702861037524</v>
          </cell>
          <cell r="AJ178">
            <v>65927.258164083716</v>
          </cell>
          <cell r="AK178">
            <v>61753.889227910404</v>
          </cell>
          <cell r="AM178">
            <v>302.92842272642292</v>
          </cell>
          <cell r="AN178">
            <v>658.35713080667483</v>
          </cell>
          <cell r="AP178">
            <v>4247.084512356937</v>
          </cell>
          <cell r="AQ178">
            <v>4674.1600849877632</v>
          </cell>
          <cell r="AS178">
            <v>101153.69217798478</v>
          </cell>
          <cell r="AT178">
            <v>14077.10117727153</v>
          </cell>
          <cell r="AV178">
            <v>455.21786774502823</v>
          </cell>
          <cell r="AW178">
            <v>963.17910696155377</v>
          </cell>
          <cell r="AY178">
            <v>648.67546044182961</v>
          </cell>
          <cell r="AZ178">
            <v>2429.0748794864367</v>
          </cell>
          <cell r="BB178">
            <v>396.038983043825</v>
          </cell>
          <cell r="BC178">
            <v>0</v>
          </cell>
          <cell r="BE178">
            <v>332.59300630436508</v>
          </cell>
          <cell r="BF178">
            <v>0</v>
          </cell>
          <cell r="BH178">
            <v>312.26359948608012</v>
          </cell>
          <cell r="BI178">
            <v>0</v>
          </cell>
          <cell r="BK178">
            <v>471.33325275345214</v>
          </cell>
          <cell r="BL178">
            <v>1280.8526342823393</v>
          </cell>
          <cell r="BN178">
            <v>884.089204388403</v>
          </cell>
          <cell r="BO178">
            <v>15474.132004325</v>
          </cell>
          <cell r="BT178">
            <v>76453.640801837057</v>
          </cell>
          <cell r="BU178">
            <v>111091.87815061396</v>
          </cell>
          <cell r="BW178">
            <v>33577.161439543554</v>
          </cell>
          <cell r="BX178">
            <v>43698.671111602525</v>
          </cell>
          <cell r="BZ178">
            <v>11984.000713285946</v>
          </cell>
          <cell r="CA178">
            <v>532.45499754047285</v>
          </cell>
          <cell r="CC178">
            <v>2153.2071811593592</v>
          </cell>
          <cell r="CD178">
            <v>2157.3635079623109</v>
          </cell>
          <cell r="CF178">
            <v>267.09566910734037</v>
          </cell>
          <cell r="CG178">
            <v>1308.1645554983111</v>
          </cell>
          <cell r="CI178">
            <v>12083.092203081622</v>
          </cell>
          <cell r="CJ178">
            <v>0</v>
          </cell>
          <cell r="CL178">
            <v>11561.531334603871</v>
          </cell>
          <cell r="CM178">
            <v>17402.691857258436</v>
          </cell>
          <cell r="CX178">
            <v>10779.956300368971</v>
          </cell>
          <cell r="CY178">
            <v>73487.942837520823</v>
          </cell>
          <cell r="DA178">
            <v>-62712.2287538253</v>
          </cell>
          <cell r="DC178">
            <v>90718.9</v>
          </cell>
          <cell r="DD178">
            <v>0</v>
          </cell>
          <cell r="DE178">
            <v>30351.719999999994</v>
          </cell>
          <cell r="DF178">
            <v>0</v>
          </cell>
          <cell r="DW178">
            <v>1044</v>
          </cell>
          <cell r="DX178">
            <v>0</v>
          </cell>
        </row>
        <row r="179">
          <cell r="F179">
            <v>159.9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183.99982225535115</v>
          </cell>
          <cell r="AQ179">
            <v>93.650256154407487</v>
          </cell>
          <cell r="AS179">
            <v>1749.3585572608349</v>
          </cell>
          <cell r="AT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E179">
            <v>0</v>
          </cell>
          <cell r="BF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T179">
            <v>900.63745404462622</v>
          </cell>
          <cell r="BU179">
            <v>3008.6451848452671</v>
          </cell>
          <cell r="BW179">
            <v>0</v>
          </cell>
          <cell r="BX179">
            <v>4.5981088177721148</v>
          </cell>
          <cell r="BZ179">
            <v>181.43589087402952</v>
          </cell>
          <cell r="CA179">
            <v>5.0652729391280538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X179">
            <v>167.24796054970739</v>
          </cell>
          <cell r="CY179">
            <v>51.415442563626982</v>
          </cell>
          <cell r="DA179">
            <v>-248.60006534548938</v>
          </cell>
          <cell r="DC179">
            <v>551.05999999999995</v>
          </cell>
          <cell r="DD179">
            <v>0</v>
          </cell>
          <cell r="DE179">
            <v>61.699999999999932</v>
          </cell>
          <cell r="DF179">
            <v>0</v>
          </cell>
          <cell r="DW179">
            <v>0</v>
          </cell>
          <cell r="DX179">
            <v>0</v>
          </cell>
        </row>
        <row r="180">
          <cell r="F180">
            <v>161.4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257.5997511574916</v>
          </cell>
          <cell r="AQ180">
            <v>70.237692115805615</v>
          </cell>
          <cell r="AS180">
            <v>1691.2372883869259</v>
          </cell>
          <cell r="AT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E180">
            <v>0</v>
          </cell>
          <cell r="BF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T180">
            <v>778.83246520694843</v>
          </cell>
          <cell r="BU180">
            <v>3008.6451848452671</v>
          </cell>
          <cell r="BW180">
            <v>0</v>
          </cell>
          <cell r="BX180">
            <v>0</v>
          </cell>
          <cell r="BZ180">
            <v>152.78811863076169</v>
          </cell>
          <cell r="CA180">
            <v>5.0652729391280538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X180">
            <v>146.70567367611937</v>
          </cell>
          <cell r="CY180">
            <v>-97.482958145568489</v>
          </cell>
          <cell r="DA180">
            <v>-4373.8044670008148</v>
          </cell>
          <cell r="DC180">
            <v>465.26</v>
          </cell>
          <cell r="DD180">
            <v>0</v>
          </cell>
          <cell r="DE180">
            <v>0</v>
          </cell>
          <cell r="DF180">
            <v>0</v>
          </cell>
          <cell r="DW180">
            <v>0</v>
          </cell>
          <cell r="DX180">
            <v>0</v>
          </cell>
        </row>
        <row r="181">
          <cell r="F181">
            <v>6019.3</v>
          </cell>
          <cell r="G181">
            <v>735.55</v>
          </cell>
          <cell r="H181">
            <v>0</v>
          </cell>
          <cell r="I181">
            <v>12052.165910278311</v>
          </cell>
          <cell r="J181">
            <v>9299.9387912681123</v>
          </cell>
          <cell r="L181">
            <v>1618.4317963105373</v>
          </cell>
          <cell r="M181">
            <v>1379.0530579941371</v>
          </cell>
          <cell r="O181">
            <v>7921.9737136274607</v>
          </cell>
          <cell r="P181">
            <v>7948.4877687306589</v>
          </cell>
          <cell r="R181">
            <v>1663.4947637357809</v>
          </cell>
          <cell r="S181">
            <v>1669.1369442832781</v>
          </cell>
          <cell r="U181">
            <v>1466.2527464941741</v>
          </cell>
          <cell r="V181">
            <v>687.28448979450684</v>
          </cell>
          <cell r="X181">
            <v>12870.93156532274</v>
          </cell>
          <cell r="Y181">
            <v>12004.145674453561</v>
          </cell>
          <cell r="AA181">
            <v>0</v>
          </cell>
          <cell r="AB181">
            <v>0</v>
          </cell>
          <cell r="AD181">
            <v>21820.017981186837</v>
          </cell>
          <cell r="AE181">
            <v>21293.803917473986</v>
          </cell>
          <cell r="AJ181">
            <v>73730.942021636976</v>
          </cell>
          <cell r="AK181">
            <v>62648.068512888916</v>
          </cell>
          <cell r="AM181">
            <v>302.92842272642292</v>
          </cell>
          <cell r="AN181">
            <v>238.14099783184656</v>
          </cell>
          <cell r="AP181">
            <v>4455.2749296293368</v>
          </cell>
          <cell r="AQ181">
            <v>5042.4114170627654</v>
          </cell>
          <cell r="AS181">
            <v>93450.727885521846</v>
          </cell>
          <cell r="AT181">
            <v>228115.79227256301</v>
          </cell>
          <cell r="AV181">
            <v>1144.4177787618974</v>
          </cell>
          <cell r="AW181">
            <v>1683.4927039917134</v>
          </cell>
          <cell r="AY181">
            <v>1083.5599100862275</v>
          </cell>
          <cell r="AZ181">
            <v>0</v>
          </cell>
          <cell r="BB181">
            <v>1849.5123927579148</v>
          </cell>
          <cell r="BC181">
            <v>761.87906883248809</v>
          </cell>
          <cell r="BE181">
            <v>618.51959052269706</v>
          </cell>
          <cell r="BF181">
            <v>718.34862679647222</v>
          </cell>
          <cell r="BH181">
            <v>768.39027457253803</v>
          </cell>
          <cell r="BI181">
            <v>0</v>
          </cell>
          <cell r="BK181">
            <v>1697.1265359929362</v>
          </cell>
          <cell r="BL181">
            <v>5915.8565211893892</v>
          </cell>
          <cell r="BN181">
            <v>884.089204388403</v>
          </cell>
          <cell r="BO181">
            <v>0</v>
          </cell>
          <cell r="BT181">
            <v>76005.659693340669</v>
          </cell>
          <cell r="BU181">
            <v>64198.263997357397</v>
          </cell>
          <cell r="BW181">
            <v>53950.167190956192</v>
          </cell>
          <cell r="BX181">
            <v>34732.786668286462</v>
          </cell>
          <cell r="BZ181">
            <v>9186.5280975220685</v>
          </cell>
          <cell r="CA181">
            <v>223.94218322651804</v>
          </cell>
          <cell r="CC181">
            <v>2354.4295189224658</v>
          </cell>
          <cell r="CD181">
            <v>2358.9742643611698</v>
          </cell>
          <cell r="CF181">
            <v>292.05639532749058</v>
          </cell>
          <cell r="CG181">
            <v>6061.4801330224436</v>
          </cell>
          <cell r="CI181">
            <v>23747.730234510887</v>
          </cell>
          <cell r="CJ181">
            <v>19796.053578012423</v>
          </cell>
          <cell r="CL181">
            <v>12823.250063370155</v>
          </cell>
          <cell r="CM181">
            <v>16930.717822553219</v>
          </cell>
          <cell r="CX181">
            <v>13966.24296647327</v>
          </cell>
          <cell r="CY181">
            <v>-89173.133986892572</v>
          </cell>
          <cell r="DA181">
            <v>13455.277253747132</v>
          </cell>
          <cell r="DC181">
            <v>81040.740000000005</v>
          </cell>
          <cell r="DD181">
            <v>0</v>
          </cell>
          <cell r="DE181">
            <v>14056.850000000006</v>
          </cell>
          <cell r="DF181">
            <v>0</v>
          </cell>
          <cell r="DW181">
            <v>1242</v>
          </cell>
          <cell r="DX181">
            <v>0</v>
          </cell>
        </row>
        <row r="182">
          <cell r="F182">
            <v>108.3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403.77146511077535</v>
          </cell>
          <cell r="AQ182">
            <v>210.71307634741686</v>
          </cell>
          <cell r="AS182">
            <v>109.65779999999998</v>
          </cell>
          <cell r="AT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E182">
            <v>0</v>
          </cell>
          <cell r="BF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X182">
            <v>6.9556005301744541</v>
          </cell>
          <cell r="CY182">
            <v>370.21502704620468</v>
          </cell>
          <cell r="DA182">
            <v>-985.53462612155249</v>
          </cell>
          <cell r="DC182">
            <v>77.010000000000005</v>
          </cell>
          <cell r="DD182">
            <v>0</v>
          </cell>
          <cell r="DE182">
            <v>0</v>
          </cell>
          <cell r="DF182">
            <v>0</v>
          </cell>
          <cell r="DW182">
            <v>0</v>
          </cell>
          <cell r="DX182">
            <v>0</v>
          </cell>
        </row>
        <row r="183">
          <cell r="F183">
            <v>137.30000000000001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P183">
            <v>220.79978670642137</v>
          </cell>
          <cell r="AQ183">
            <v>140.47538423161123</v>
          </cell>
          <cell r="AS183">
            <v>1797.8069171153861</v>
          </cell>
          <cell r="AT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E183">
            <v>0</v>
          </cell>
          <cell r="BF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2075.2383857599998</v>
          </cell>
          <cell r="BT183">
            <v>0</v>
          </cell>
          <cell r="BU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X183">
            <v>75.251020973760902</v>
          </cell>
          <cell r="CY183">
            <v>-161.27745843000224</v>
          </cell>
          <cell r="DA183">
            <v>-6717.3808968298536</v>
          </cell>
          <cell r="DC183">
            <v>365.1</v>
          </cell>
          <cell r="DD183">
            <v>0</v>
          </cell>
          <cell r="DE183">
            <v>40.110000000000014</v>
          </cell>
          <cell r="DF183">
            <v>0</v>
          </cell>
          <cell r="DW183">
            <v>0</v>
          </cell>
          <cell r="DX183">
            <v>0</v>
          </cell>
        </row>
        <row r="184">
          <cell r="F184">
            <v>211.6</v>
          </cell>
          <cell r="G184">
            <v>0</v>
          </cell>
          <cell r="H184">
            <v>0</v>
          </cell>
          <cell r="I184">
            <v>0.20052534129044103</v>
          </cell>
          <cell r="J184">
            <v>0.20153627033544289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294.39971560856185</v>
          </cell>
          <cell r="AQ184">
            <v>140.47538423161123</v>
          </cell>
          <cell r="AS184">
            <v>2665.9481849224453</v>
          </cell>
          <cell r="AT184">
            <v>18218</v>
          </cell>
          <cell r="AV184">
            <v>1.0019919531893755E-2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4102.7062947599998</v>
          </cell>
          <cell r="BT184">
            <v>0</v>
          </cell>
          <cell r="BU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X184">
            <v>110.25901420857983</v>
          </cell>
          <cell r="CY184">
            <v>-23290.730709155559</v>
          </cell>
          <cell r="DA184">
            <v>16467.875710561817</v>
          </cell>
          <cell r="DC184">
            <v>548.66999999999996</v>
          </cell>
          <cell r="DD184">
            <v>0</v>
          </cell>
          <cell r="DE184">
            <v>74.689999999999941</v>
          </cell>
          <cell r="DF184">
            <v>0</v>
          </cell>
          <cell r="DW184">
            <v>0</v>
          </cell>
          <cell r="DX184">
            <v>0</v>
          </cell>
        </row>
        <row r="185">
          <cell r="F185">
            <v>180.6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208.19041727239889</v>
          </cell>
          <cell r="AQ185">
            <v>117.06282019300937</v>
          </cell>
          <cell r="AS185">
            <v>2363.854992561342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2268.5421754399999</v>
          </cell>
          <cell r="BT185">
            <v>0</v>
          </cell>
          <cell r="BU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X185">
            <v>95.678424760037359</v>
          </cell>
          <cell r="CY185">
            <v>319.4069218009152</v>
          </cell>
          <cell r="DA185">
            <v>-10013.500108104747</v>
          </cell>
          <cell r="DC185">
            <v>408.3</v>
          </cell>
          <cell r="DD185">
            <v>0</v>
          </cell>
          <cell r="DE185">
            <v>0</v>
          </cell>
          <cell r="DF185">
            <v>0</v>
          </cell>
          <cell r="DW185">
            <v>0</v>
          </cell>
          <cell r="DX185">
            <v>0</v>
          </cell>
        </row>
        <row r="186">
          <cell r="F186">
            <v>102.4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252.76163215408204</v>
          </cell>
          <cell r="AQ186">
            <v>93.650256154407487</v>
          </cell>
          <cell r="AS186">
            <v>1567.8264149659569</v>
          </cell>
          <cell r="AT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1280.92</v>
          </cell>
          <cell r="BT186">
            <v>0</v>
          </cell>
          <cell r="BU186">
            <v>0</v>
          </cell>
          <cell r="BW186">
            <v>0</v>
          </cell>
          <cell r="BX186">
            <v>0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X186">
            <v>67.747358538908003</v>
          </cell>
          <cell r="CY186">
            <v>602.96870769766554</v>
          </cell>
          <cell r="DA186">
            <v>-7803.74969704673</v>
          </cell>
          <cell r="DC186">
            <v>289.20999999999998</v>
          </cell>
          <cell r="DD186">
            <v>0</v>
          </cell>
          <cell r="DE186">
            <v>0</v>
          </cell>
          <cell r="DF186">
            <v>0</v>
          </cell>
          <cell r="DW186">
            <v>0</v>
          </cell>
          <cell r="DX186">
            <v>0</v>
          </cell>
        </row>
        <row r="187">
          <cell r="F187">
            <v>180.22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326.36156105622251</v>
          </cell>
          <cell r="AQ187">
            <v>117.06282019300937</v>
          </cell>
          <cell r="AS187">
            <v>2467.6780075873412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1766.4</v>
          </cell>
          <cell r="BT187">
            <v>0</v>
          </cell>
          <cell r="BU187">
            <v>0</v>
          </cell>
          <cell r="BW187">
            <v>0</v>
          </cell>
          <cell r="BX187">
            <v>0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X187">
            <v>104.21753527165396</v>
          </cell>
          <cell r="CY187">
            <v>1196.9096334123201</v>
          </cell>
          <cell r="DA187">
            <v>-10566.306237792547</v>
          </cell>
          <cell r="DC187">
            <v>668.27</v>
          </cell>
          <cell r="DD187">
            <v>0</v>
          </cell>
          <cell r="DE187">
            <v>217.90999999999997</v>
          </cell>
          <cell r="DF187">
            <v>0</v>
          </cell>
          <cell r="DW187">
            <v>0</v>
          </cell>
          <cell r="DX187">
            <v>0</v>
          </cell>
        </row>
        <row r="188">
          <cell r="F188">
            <v>279</v>
          </cell>
          <cell r="G188">
            <v>0</v>
          </cell>
          <cell r="H188">
            <v>51.4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333.10466763583833</v>
          </cell>
          <cell r="AQ188">
            <v>140.47538423161123</v>
          </cell>
          <cell r="AS188">
            <v>3753.0032450224298</v>
          </cell>
          <cell r="AT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3375.0397301600001</v>
          </cell>
          <cell r="BT188">
            <v>0</v>
          </cell>
          <cell r="BU188">
            <v>0</v>
          </cell>
          <cell r="BW188">
            <v>0</v>
          </cell>
          <cell r="BX188">
            <v>0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X188">
            <v>160.67928439175708</v>
          </cell>
          <cell r="CY188">
            <v>845.39064231174495</v>
          </cell>
          <cell r="DA188">
            <v>-15244.441437911966</v>
          </cell>
          <cell r="DC188">
            <v>1244.5899999999999</v>
          </cell>
          <cell r="DD188">
            <v>422.11</v>
          </cell>
          <cell r="DE188">
            <v>686.43</v>
          </cell>
          <cell r="DF188">
            <v>319.28000000000003</v>
          </cell>
          <cell r="DW188">
            <v>0</v>
          </cell>
          <cell r="DX188">
            <v>0</v>
          </cell>
        </row>
        <row r="189">
          <cell r="F189">
            <v>151.80000000000001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147.19985780428092</v>
          </cell>
          <cell r="AQ189">
            <v>70.237692115805615</v>
          </cell>
          <cell r="AS189">
            <v>1584.9043145989838</v>
          </cell>
          <cell r="AT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974.29553764000002</v>
          </cell>
          <cell r="BT189">
            <v>0</v>
          </cell>
          <cell r="BU189">
            <v>0</v>
          </cell>
          <cell r="BW189">
            <v>0</v>
          </cell>
          <cell r="BX189">
            <v>0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X189">
            <v>64.546614476974469</v>
          </cell>
          <cell r="CY189">
            <v>889.63174565392524</v>
          </cell>
          <cell r="DA189">
            <v>-6695.2128585701594</v>
          </cell>
          <cell r="DC189">
            <v>276.52999999999997</v>
          </cell>
          <cell r="DD189">
            <v>0</v>
          </cell>
          <cell r="DE189">
            <v>0</v>
          </cell>
          <cell r="DF189">
            <v>0</v>
          </cell>
          <cell r="DW189">
            <v>0</v>
          </cell>
          <cell r="DX189">
            <v>0</v>
          </cell>
        </row>
        <row r="190">
          <cell r="F190">
            <v>4491.33</v>
          </cell>
          <cell r="G190">
            <v>0</v>
          </cell>
          <cell r="H190">
            <v>40.6</v>
          </cell>
          <cell r="I190">
            <v>14866.53230427257</v>
          </cell>
          <cell r="J190">
            <v>15008.744744012793</v>
          </cell>
          <cell r="L190">
            <v>2962.9211408787428</v>
          </cell>
          <cell r="M190">
            <v>3076.9834667657419</v>
          </cell>
          <cell r="O190">
            <v>5323.221100826634</v>
          </cell>
          <cell r="P190">
            <v>5342.4001061332983</v>
          </cell>
          <cell r="R190">
            <v>0</v>
          </cell>
          <cell r="S190">
            <v>0</v>
          </cell>
          <cell r="U190">
            <v>280.65294837812576</v>
          </cell>
          <cell r="V190">
            <v>161.91688629599031</v>
          </cell>
          <cell r="X190">
            <v>11434.970908271363</v>
          </cell>
          <cell r="Y190">
            <v>11473.458254183019</v>
          </cell>
          <cell r="AA190">
            <v>0</v>
          </cell>
          <cell r="AB190">
            <v>0</v>
          </cell>
          <cell r="AD190">
            <v>16420.128686889166</v>
          </cell>
          <cell r="AE190">
            <v>16024.567495601248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12366.510785980494</v>
          </cell>
          <cell r="AQ190">
            <v>14084.895028578361</v>
          </cell>
          <cell r="AS190">
            <v>55624.109543329869</v>
          </cell>
          <cell r="AT190">
            <v>4905.8331233660483</v>
          </cell>
          <cell r="AV190">
            <v>2590.7382588795613</v>
          </cell>
          <cell r="AW190">
            <v>0</v>
          </cell>
          <cell r="AY190">
            <v>3863.8985327360115</v>
          </cell>
          <cell r="AZ190">
            <v>1605.9973575179408</v>
          </cell>
          <cell r="BB190">
            <v>3086.0858587364569</v>
          </cell>
          <cell r="BC190">
            <v>0</v>
          </cell>
          <cell r="BE190">
            <v>0</v>
          </cell>
          <cell r="BF190">
            <v>0</v>
          </cell>
          <cell r="BH190">
            <v>165.40963195714954</v>
          </cell>
          <cell r="BI190">
            <v>1133.7402444184133</v>
          </cell>
          <cell r="BK190">
            <v>2230.692104336571</v>
          </cell>
          <cell r="BL190">
            <v>3181.945729323792</v>
          </cell>
          <cell r="BN190">
            <v>9.8504527528608712</v>
          </cell>
          <cell r="BO190">
            <v>0</v>
          </cell>
          <cell r="BT190">
            <v>29643.436654552272</v>
          </cell>
          <cell r="BU190">
            <v>52525.146992214664</v>
          </cell>
          <cell r="BW190">
            <v>22094.183374353306</v>
          </cell>
          <cell r="BX190">
            <v>23460.91482935318</v>
          </cell>
          <cell r="BZ190">
            <v>12428.409452893296</v>
          </cell>
          <cell r="CA190">
            <v>346.83855805840494</v>
          </cell>
          <cell r="CC190">
            <v>2312.647046240445</v>
          </cell>
          <cell r="CD190">
            <v>2317.1111391471395</v>
          </cell>
          <cell r="CF190">
            <v>286.87346746266962</v>
          </cell>
          <cell r="CG190">
            <v>0</v>
          </cell>
          <cell r="CI190">
            <v>6645.0587020423318</v>
          </cell>
          <cell r="CJ190">
            <v>5821.2913950843222</v>
          </cell>
          <cell r="CL190">
            <v>0</v>
          </cell>
          <cell r="CM190">
            <v>0</v>
          </cell>
          <cell r="CX190">
            <v>10530.250272720818</v>
          </cell>
          <cell r="CY190">
            <v>63527.70499957948</v>
          </cell>
          <cell r="DA190">
            <v>14405.392838354543</v>
          </cell>
          <cell r="DC190">
            <v>102031.11</v>
          </cell>
          <cell r="DD190">
            <v>1871.08</v>
          </cell>
          <cell r="DE190">
            <v>68858.69</v>
          </cell>
          <cell r="DF190">
            <v>1601.73</v>
          </cell>
          <cell r="DW190">
            <v>1206</v>
          </cell>
          <cell r="DX190">
            <v>0</v>
          </cell>
        </row>
        <row r="191">
          <cell r="F191">
            <v>2055.6</v>
          </cell>
          <cell r="G191">
            <v>0</v>
          </cell>
          <cell r="H191">
            <v>0</v>
          </cell>
          <cell r="I191">
            <v>6273.6907669291204</v>
          </cell>
          <cell r="J191">
            <v>6282.950606614877</v>
          </cell>
          <cell r="L191">
            <v>1230.6193477016357</v>
          </cell>
          <cell r="M191">
            <v>1284.1339872367671</v>
          </cell>
          <cell r="O191">
            <v>2659.5816392049455</v>
          </cell>
          <cell r="P191">
            <v>2669.0280412683637</v>
          </cell>
          <cell r="R191">
            <v>592.51068665653702</v>
          </cell>
          <cell r="S191">
            <v>594.49651227003892</v>
          </cell>
          <cell r="U191">
            <v>196.45706386468794</v>
          </cell>
          <cell r="V191">
            <v>113.34182040719315</v>
          </cell>
          <cell r="X191">
            <v>4449.3549026931241</v>
          </cell>
          <cell r="Y191">
            <v>4191.7102724991591</v>
          </cell>
          <cell r="AA191">
            <v>0</v>
          </cell>
          <cell r="AB191">
            <v>0</v>
          </cell>
          <cell r="AD191">
            <v>7450.8790010397515</v>
          </cell>
          <cell r="AE191">
            <v>7271.2289812789331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1998.6280058150296</v>
          </cell>
          <cell r="AQ191">
            <v>141.40601688470966</v>
          </cell>
          <cell r="AS191">
            <v>23119.291022227291</v>
          </cell>
          <cell r="AT191">
            <v>2672.1882370515546</v>
          </cell>
          <cell r="AV191">
            <v>1032.1740336413181</v>
          </cell>
          <cell r="AW191">
            <v>0</v>
          </cell>
          <cell r="AY191">
            <v>1438.7786734501954</v>
          </cell>
          <cell r="AZ191">
            <v>2290.419905761205</v>
          </cell>
          <cell r="BB191">
            <v>1004.4873326657298</v>
          </cell>
          <cell r="BC191">
            <v>0</v>
          </cell>
          <cell r="BE191">
            <v>504.66003450679705</v>
          </cell>
          <cell r="BF191">
            <v>0</v>
          </cell>
          <cell r="BH191">
            <v>115.78674237000469</v>
          </cell>
          <cell r="BI191">
            <v>0</v>
          </cell>
          <cell r="BK191">
            <v>1129.5805188153067</v>
          </cell>
          <cell r="BL191">
            <v>5355.3623088538016</v>
          </cell>
          <cell r="BN191">
            <v>56.467563551431752</v>
          </cell>
          <cell r="BO191">
            <v>3196.4251024579148</v>
          </cell>
          <cell r="BT191">
            <v>23824.55313792883</v>
          </cell>
          <cell r="BU191">
            <v>41849.331582681203</v>
          </cell>
          <cell r="BW191">
            <v>9490.4040116955639</v>
          </cell>
          <cell r="BX191">
            <v>11283.242726424998</v>
          </cell>
          <cell r="BZ191">
            <v>4704.7521190552716</v>
          </cell>
          <cell r="CA191">
            <v>265.01925626123028</v>
          </cell>
          <cell r="CC191">
            <v>1339.4230337752381</v>
          </cell>
          <cell r="CD191">
            <v>1342.0085164470788</v>
          </cell>
          <cell r="CF191">
            <v>166.1494047364983</v>
          </cell>
          <cell r="CG191">
            <v>0</v>
          </cell>
          <cell r="CI191">
            <v>3329.7310850190306</v>
          </cell>
          <cell r="CJ191">
            <v>1453.2289008004993</v>
          </cell>
          <cell r="CL191">
            <v>0</v>
          </cell>
          <cell r="CM191">
            <v>0</v>
          </cell>
          <cell r="CX191">
            <v>2702.3450724333093</v>
          </cell>
          <cell r="CY191">
            <v>7325.269895005863</v>
          </cell>
          <cell r="DA191">
            <v>-7121.0057898620362</v>
          </cell>
          <cell r="DC191">
            <v>86648.93</v>
          </cell>
          <cell r="DD191">
            <v>0</v>
          </cell>
          <cell r="DE191">
            <v>71295.23</v>
          </cell>
          <cell r="DF191">
            <v>0</v>
          </cell>
          <cell r="DW191">
            <v>909</v>
          </cell>
          <cell r="DX191">
            <v>0</v>
          </cell>
        </row>
        <row r="192">
          <cell r="F192">
            <v>376.81</v>
          </cell>
          <cell r="G192">
            <v>0</v>
          </cell>
          <cell r="H192">
            <v>0</v>
          </cell>
          <cell r="I192">
            <v>1544.7191699739913</v>
          </cell>
          <cell r="J192">
            <v>1544.4562695107079</v>
          </cell>
          <cell r="L192">
            <v>264.55010176049376</v>
          </cell>
          <cell r="M192">
            <v>275.27058791984609</v>
          </cell>
          <cell r="O192">
            <v>594.85968881554959</v>
          </cell>
          <cell r="P192">
            <v>597.13230401636793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966.61261725997929</v>
          </cell>
          <cell r="Y192">
            <v>843.44601124308542</v>
          </cell>
          <cell r="AA192">
            <v>0</v>
          </cell>
          <cell r="AB192">
            <v>0</v>
          </cell>
          <cell r="AD192">
            <v>1357.2124147161578</v>
          </cell>
          <cell r="AE192">
            <v>1324.9400744851823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73.599928902140462</v>
          </cell>
          <cell r="AQ192">
            <v>24.396313157791433</v>
          </cell>
          <cell r="AS192">
            <v>4645.9550138929399</v>
          </cell>
          <cell r="AT192">
            <v>849</v>
          </cell>
          <cell r="AV192">
            <v>273.34806906147804</v>
          </cell>
          <cell r="AW192">
            <v>0</v>
          </cell>
          <cell r="AY192">
            <v>345.93710427936003</v>
          </cell>
          <cell r="AZ192">
            <v>0</v>
          </cell>
          <cell r="BB192">
            <v>242.39236614770675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228.08097118895637</v>
          </cell>
          <cell r="BL192">
            <v>0</v>
          </cell>
          <cell r="BN192">
            <v>85.933590974316459</v>
          </cell>
          <cell r="BO192">
            <v>0</v>
          </cell>
          <cell r="BT192">
            <v>0</v>
          </cell>
          <cell r="BU192">
            <v>0</v>
          </cell>
          <cell r="BW192">
            <v>271.91873938976772</v>
          </cell>
          <cell r="BX192">
            <v>141.04601613833307</v>
          </cell>
          <cell r="BZ192">
            <v>0</v>
          </cell>
          <cell r="CA192">
            <v>0</v>
          </cell>
          <cell r="CC192">
            <v>76.90025646997708</v>
          </cell>
          <cell r="CD192">
            <v>77.048696712939673</v>
          </cell>
          <cell r="CF192">
            <v>9.5391310395478701</v>
          </cell>
          <cell r="CG192">
            <v>0</v>
          </cell>
          <cell r="CI192">
            <v>1076.0468167775662</v>
          </cell>
          <cell r="CJ192">
            <v>410.41910042187294</v>
          </cell>
          <cell r="CL192">
            <v>0</v>
          </cell>
          <cell r="CM192">
            <v>0</v>
          </cell>
          <cell r="CX192">
            <v>428.12983477873007</v>
          </cell>
          <cell r="CY192">
            <v>7592.6705632312915</v>
          </cell>
          <cell r="DA192">
            <v>-9972.9444937425687</v>
          </cell>
          <cell r="DC192">
            <v>2521.7800000000002</v>
          </cell>
          <cell r="DD192">
            <v>0</v>
          </cell>
          <cell r="DE192">
            <v>589.56000000000017</v>
          </cell>
          <cell r="DF192">
            <v>0</v>
          </cell>
          <cell r="DW192">
            <v>0</v>
          </cell>
          <cell r="DX192">
            <v>0</v>
          </cell>
        </row>
        <row r="193">
          <cell r="F193">
            <v>119.3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166.55233381791916</v>
          </cell>
          <cell r="AQ193">
            <v>93.650256154407487</v>
          </cell>
          <cell r="AS193">
            <v>1860.799101637803</v>
          </cell>
          <cell r="AT193">
            <v>1069.2161299893253</v>
          </cell>
          <cell r="AV193">
            <v>0</v>
          </cell>
          <cell r="AW193">
            <v>0</v>
          </cell>
          <cell r="AY193">
            <v>0</v>
          </cell>
          <cell r="AZ193">
            <v>0</v>
          </cell>
          <cell r="BB193">
            <v>0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T193">
            <v>0</v>
          </cell>
          <cell r="BU193">
            <v>0</v>
          </cell>
          <cell r="BW193">
            <v>0</v>
          </cell>
          <cell r="BX193">
            <v>0</v>
          </cell>
          <cell r="BZ193">
            <v>0</v>
          </cell>
          <cell r="CA193">
            <v>0</v>
          </cell>
          <cell r="CC193">
            <v>0</v>
          </cell>
          <cell r="CD193">
            <v>0</v>
          </cell>
          <cell r="CF193">
            <v>0</v>
          </cell>
          <cell r="CG193">
            <v>0</v>
          </cell>
          <cell r="CI193">
            <v>0</v>
          </cell>
          <cell r="CJ193">
            <v>0</v>
          </cell>
          <cell r="CL193">
            <v>0</v>
          </cell>
          <cell r="CM193">
            <v>0</v>
          </cell>
          <cell r="CX193">
            <v>56.870387285757637</v>
          </cell>
          <cell r="CY193">
            <v>1094.2524464601447</v>
          </cell>
          <cell r="DA193">
            <v>-1583.245920173684</v>
          </cell>
          <cell r="DC193">
            <v>320.95999999999998</v>
          </cell>
          <cell r="DD193">
            <v>0</v>
          </cell>
          <cell r="DE193">
            <v>0</v>
          </cell>
          <cell r="DF193">
            <v>0</v>
          </cell>
          <cell r="DW193">
            <v>0</v>
          </cell>
          <cell r="DX193">
            <v>0</v>
          </cell>
        </row>
        <row r="194">
          <cell r="F194">
            <v>182.8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183.99982225535115</v>
          </cell>
          <cell r="AQ194">
            <v>93.650256154407487</v>
          </cell>
          <cell r="AS194">
            <v>2138.9771716981909</v>
          </cell>
          <cell r="AT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B194">
            <v>0</v>
          </cell>
          <cell r="BC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2151.8933368399998</v>
          </cell>
          <cell r="BT194">
            <v>203.00831472946305</v>
          </cell>
          <cell r="BU194">
            <v>543.67955502994619</v>
          </cell>
          <cell r="BW194">
            <v>0</v>
          </cell>
          <cell r="BX194">
            <v>0</v>
          </cell>
          <cell r="BZ194">
            <v>47.746287072113034</v>
          </cell>
          <cell r="CA194">
            <v>0.91535394583378282</v>
          </cell>
          <cell r="CC194">
            <v>0</v>
          </cell>
          <cell r="CD194">
            <v>0</v>
          </cell>
          <cell r="CF194">
            <v>0</v>
          </cell>
          <cell r="CG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X194">
            <v>96.106418622512805</v>
          </cell>
          <cell r="CY194">
            <v>-163.58186883556971</v>
          </cell>
          <cell r="DA194">
            <v>-8032.7394399759814</v>
          </cell>
          <cell r="DC194">
            <v>501.14</v>
          </cell>
          <cell r="DD194">
            <v>0</v>
          </cell>
          <cell r="DE194">
            <v>85.269999999999982</v>
          </cell>
          <cell r="DF194">
            <v>0</v>
          </cell>
          <cell r="DW194">
            <v>0</v>
          </cell>
          <cell r="DX194">
            <v>0</v>
          </cell>
        </row>
        <row r="195">
          <cell r="F195">
            <v>229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110.39989335321069</v>
          </cell>
          <cell r="AQ195">
            <v>46.825128077203743</v>
          </cell>
          <cell r="AS195">
            <v>2773.7424703713923</v>
          </cell>
          <cell r="AT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2517.3930311200002</v>
          </cell>
          <cell r="BT195">
            <v>101.08914744334524</v>
          </cell>
          <cell r="BU195">
            <v>543.67955502994619</v>
          </cell>
          <cell r="BW195">
            <v>0</v>
          </cell>
          <cell r="BX195">
            <v>0</v>
          </cell>
          <cell r="BZ195">
            <v>23.395680665335384</v>
          </cell>
          <cell r="CA195">
            <v>0.91535394583378282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X195">
            <v>112.26551733259905</v>
          </cell>
          <cell r="CY195">
            <v>-7.9575342750405866</v>
          </cell>
          <cell r="DA195">
            <v>-3707.1304918407131</v>
          </cell>
          <cell r="DC195">
            <v>742.36</v>
          </cell>
          <cell r="DD195">
            <v>0</v>
          </cell>
          <cell r="DE195">
            <v>258.05</v>
          </cell>
          <cell r="DF195">
            <v>0</v>
          </cell>
          <cell r="DW195">
            <v>918</v>
          </cell>
          <cell r="DX195">
            <v>0</v>
          </cell>
        </row>
        <row r="196">
          <cell r="F196">
            <v>144.5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208.19041727239889</v>
          </cell>
          <cell r="AQ196">
            <v>93.650256154407487</v>
          </cell>
          <cell r="AS196">
            <v>2090.318744065894</v>
          </cell>
          <cell r="AT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B196">
            <v>0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O196">
            <v>974.29553764000002</v>
          </cell>
          <cell r="BT196">
            <v>0</v>
          </cell>
          <cell r="BU196">
            <v>0</v>
          </cell>
          <cell r="BW196">
            <v>0</v>
          </cell>
          <cell r="BX196">
            <v>0</v>
          </cell>
          <cell r="BZ196">
            <v>0</v>
          </cell>
          <cell r="CA196">
            <v>0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X196">
            <v>64.516786986290754</v>
          </cell>
          <cell r="CY196">
            <v>1541.1928280389534</v>
          </cell>
          <cell r="DA196">
            <v>-10590.661417109266</v>
          </cell>
          <cell r="DC196">
            <v>239.3</v>
          </cell>
          <cell r="DD196">
            <v>0</v>
          </cell>
          <cell r="DE196">
            <v>-127.49000000000001</v>
          </cell>
          <cell r="DF196">
            <v>0</v>
          </cell>
          <cell r="DW196">
            <v>0</v>
          </cell>
          <cell r="DX196">
            <v>0</v>
          </cell>
        </row>
        <row r="197">
          <cell r="F197">
            <v>393</v>
          </cell>
          <cell r="G197">
            <v>0</v>
          </cell>
          <cell r="H197">
            <v>0</v>
          </cell>
          <cell r="I197">
            <v>1323.3803071183791</v>
          </cell>
          <cell r="J197">
            <v>1319.4919960148591</v>
          </cell>
          <cell r="L197">
            <v>203.90120413872347</v>
          </cell>
          <cell r="M197">
            <v>214.2564145640049</v>
          </cell>
          <cell r="O197">
            <v>517.33960555009162</v>
          </cell>
          <cell r="P197">
            <v>519.28379531588598</v>
          </cell>
          <cell r="R197">
            <v>110.10379821945028</v>
          </cell>
          <cell r="S197">
            <v>110.89557707310556</v>
          </cell>
          <cell r="U197">
            <v>0</v>
          </cell>
          <cell r="V197">
            <v>0</v>
          </cell>
          <cell r="X197">
            <v>515.28464470284257</v>
          </cell>
          <cell r="Y197">
            <v>442.73776987042089</v>
          </cell>
          <cell r="AA197">
            <v>0</v>
          </cell>
          <cell r="AB197">
            <v>0</v>
          </cell>
          <cell r="AD197">
            <v>1424.4967150265725</v>
          </cell>
          <cell r="AE197">
            <v>1390.1503160355226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P197">
            <v>333.10466763583833</v>
          </cell>
          <cell r="AQ197">
            <v>374.60102461762995</v>
          </cell>
          <cell r="AS197">
            <v>3979.0752618738356</v>
          </cell>
          <cell r="AT197">
            <v>3739</v>
          </cell>
          <cell r="AV197">
            <v>244.14200446215645</v>
          </cell>
          <cell r="AW197">
            <v>0</v>
          </cell>
          <cell r="AY197">
            <v>231.47752045768161</v>
          </cell>
          <cell r="AZ197">
            <v>0</v>
          </cell>
          <cell r="BB197">
            <v>148.13995556895236</v>
          </cell>
          <cell r="BC197">
            <v>0</v>
          </cell>
          <cell r="BE197">
            <v>123.21292746333025</v>
          </cell>
          <cell r="BF197">
            <v>0</v>
          </cell>
          <cell r="BH197">
            <v>0</v>
          </cell>
          <cell r="BI197">
            <v>0</v>
          </cell>
          <cell r="BK197">
            <v>102.50209081466282</v>
          </cell>
          <cell r="BL197">
            <v>0</v>
          </cell>
          <cell r="BN197">
            <v>15.685434319842152</v>
          </cell>
          <cell r="BO197">
            <v>1781.94987728</v>
          </cell>
          <cell r="BT197">
            <v>3738.4173241315752</v>
          </cell>
          <cell r="BU197">
            <v>3528.3282160917925</v>
          </cell>
          <cell r="BW197">
            <v>2308.730703050403</v>
          </cell>
          <cell r="BX197">
            <v>1356.3200452925214</v>
          </cell>
          <cell r="BZ197">
            <v>526.42004064673313</v>
          </cell>
          <cell r="CA197">
            <v>116.21076475385</v>
          </cell>
          <cell r="CC197">
            <v>0</v>
          </cell>
          <cell r="CD197">
            <v>0</v>
          </cell>
          <cell r="CF197">
            <v>0</v>
          </cell>
          <cell r="CG197">
            <v>0</v>
          </cell>
          <cell r="CI197">
            <v>197.08079729499042</v>
          </cell>
          <cell r="CJ197">
            <v>32.248748127695151</v>
          </cell>
          <cell r="CL197">
            <v>0</v>
          </cell>
          <cell r="CM197">
            <v>0</v>
          </cell>
          <cell r="CX197">
            <v>451.06354098363869</v>
          </cell>
          <cell r="CY197">
            <v>1791.4880899101663</v>
          </cell>
          <cell r="DA197">
            <v>-6363.3229286242477</v>
          </cell>
          <cell r="DC197">
            <v>5133.5600000000004</v>
          </cell>
          <cell r="DD197">
            <v>0</v>
          </cell>
          <cell r="DE197">
            <v>2571.4000000000005</v>
          </cell>
          <cell r="DF197">
            <v>0</v>
          </cell>
          <cell r="DW197">
            <v>918</v>
          </cell>
          <cell r="DX197">
            <v>0</v>
          </cell>
        </row>
        <row r="198">
          <cell r="F198">
            <v>4524.34</v>
          </cell>
          <cell r="G198">
            <v>0</v>
          </cell>
          <cell r="H198">
            <v>0</v>
          </cell>
          <cell r="I198">
            <v>14142.979688343223</v>
          </cell>
          <cell r="J198">
            <v>14313.761206912701</v>
          </cell>
          <cell r="L198">
            <v>2989.5380762442237</v>
          </cell>
          <cell r="M198">
            <v>3093.533901804552</v>
          </cell>
          <cell r="O198">
            <v>5445.1316565739198</v>
          </cell>
          <cell r="P198">
            <v>5462.993322709387</v>
          </cell>
          <cell r="R198">
            <v>0</v>
          </cell>
          <cell r="S198">
            <v>0</v>
          </cell>
          <cell r="U198">
            <v>1066.2275281381505</v>
          </cell>
          <cell r="V198">
            <v>2283.8505059642121</v>
          </cell>
          <cell r="X198">
            <v>10446.193105778897</v>
          </cell>
          <cell r="Y198">
            <v>10495.821774215578</v>
          </cell>
          <cell r="AA198">
            <v>0</v>
          </cell>
          <cell r="AB198">
            <v>0</v>
          </cell>
          <cell r="AD198">
            <v>16398.303201435199</v>
          </cell>
          <cell r="AE198">
            <v>16002.969609787257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P198">
            <v>15687.609581110004</v>
          </cell>
          <cell r="AQ198">
            <v>14050.45007597071</v>
          </cell>
          <cell r="AS198">
            <v>52167.472169404653</v>
          </cell>
          <cell r="AT198">
            <v>12105.881654446977</v>
          </cell>
          <cell r="AV198">
            <v>2263.7770214237835</v>
          </cell>
          <cell r="AW198">
            <v>341.33937713576938</v>
          </cell>
          <cell r="AY198">
            <v>3908.2684937500794</v>
          </cell>
          <cell r="AZ198">
            <v>0</v>
          </cell>
          <cell r="BB198">
            <v>3295.1276064699478</v>
          </cell>
          <cell r="BC198">
            <v>654.85420560556304</v>
          </cell>
          <cell r="BE198">
            <v>0</v>
          </cell>
          <cell r="BF198">
            <v>0</v>
          </cell>
          <cell r="BH198">
            <v>1020.5677178132844</v>
          </cell>
          <cell r="BI198">
            <v>0</v>
          </cell>
          <cell r="BK198">
            <v>2065.4837943867851</v>
          </cell>
          <cell r="BL198">
            <v>0</v>
          </cell>
          <cell r="BN198">
            <v>50.444356772612366</v>
          </cell>
          <cell r="BO198">
            <v>0</v>
          </cell>
          <cell r="BT198">
            <v>35332.935303229948</v>
          </cell>
          <cell r="BU198">
            <v>58391.155083081714</v>
          </cell>
          <cell r="BW198">
            <v>21886.09833824469</v>
          </cell>
          <cell r="BX198">
            <v>23743.52374308099</v>
          </cell>
          <cell r="BZ198">
            <v>15125.325683006822</v>
          </cell>
          <cell r="CA198">
            <v>373.4787044932076</v>
          </cell>
          <cell r="CC198">
            <v>1814.3333843149926</v>
          </cell>
          <cell r="CD198">
            <v>1817.8355844472899</v>
          </cell>
          <cell r="CF198">
            <v>225.05989832639941</v>
          </cell>
          <cell r="CG198">
            <v>0</v>
          </cell>
          <cell r="CI198">
            <v>6657.54560332851</v>
          </cell>
          <cell r="CJ198">
            <v>6141.6823021844339</v>
          </cell>
          <cell r="CL198">
            <v>0</v>
          </cell>
          <cell r="CM198">
            <v>0</v>
          </cell>
          <cell r="CX198">
            <v>12737.3683933421</v>
          </cell>
          <cell r="CY198">
            <v>63995.717780848994</v>
          </cell>
          <cell r="DA198">
            <v>-106749.32119953682</v>
          </cell>
          <cell r="DC198">
            <v>111742.41</v>
          </cell>
          <cell r="DD198">
            <v>0</v>
          </cell>
          <cell r="DE198">
            <v>77050.149999999994</v>
          </cell>
          <cell r="DF198">
            <v>0</v>
          </cell>
          <cell r="DW198">
            <v>1359</v>
          </cell>
          <cell r="DX198">
            <v>0</v>
          </cell>
        </row>
        <row r="199">
          <cell r="F199">
            <v>6314.18</v>
          </cell>
          <cell r="G199">
            <v>706.38</v>
          </cell>
          <cell r="H199">
            <v>0</v>
          </cell>
          <cell r="I199">
            <v>19361.651265562821</v>
          </cell>
          <cell r="J199">
            <v>19399.038955976106</v>
          </cell>
          <cell r="L199">
            <v>3705.5846430665702</v>
          </cell>
          <cell r="M199">
            <v>3913.7130196148037</v>
          </cell>
          <cell r="O199">
            <v>7260.1892842437474</v>
          </cell>
          <cell r="P199">
            <v>7285.4866149934187</v>
          </cell>
          <cell r="R199">
            <v>1809.0395864896318</v>
          </cell>
          <cell r="S199">
            <v>1815.1585120943491</v>
          </cell>
          <cell r="U199">
            <v>1000.3965733306683</v>
          </cell>
          <cell r="V199">
            <v>667.47167135600955</v>
          </cell>
          <cell r="X199">
            <v>10495.91091912003</v>
          </cell>
          <cell r="Y199">
            <v>11492.152258193792</v>
          </cell>
          <cell r="AA199">
            <v>0</v>
          </cell>
          <cell r="AB199">
            <v>0</v>
          </cell>
          <cell r="AD199">
            <v>22864.30027973693</v>
          </cell>
          <cell r="AE199">
            <v>22314.197327316535</v>
          </cell>
          <cell r="AJ199">
            <v>76132.371805637536</v>
          </cell>
          <cell r="AK199">
            <v>71840.869956839699</v>
          </cell>
          <cell r="AM199">
            <v>0</v>
          </cell>
          <cell r="AN199">
            <v>0</v>
          </cell>
          <cell r="AP199">
            <v>4496.9130130838166</v>
          </cell>
          <cell r="AQ199">
            <v>5520</v>
          </cell>
          <cell r="AS199">
            <v>144803.96986207622</v>
          </cell>
          <cell r="AT199">
            <v>20178.782945532028</v>
          </cell>
          <cell r="AV199">
            <v>1935.0585637450356</v>
          </cell>
          <cell r="AW199">
            <v>0</v>
          </cell>
          <cell r="AY199">
            <v>2326.1254689270158</v>
          </cell>
          <cell r="AZ199">
            <v>3174.5271559253533</v>
          </cell>
          <cell r="BB199">
            <v>2832.06896568925</v>
          </cell>
          <cell r="BC199">
            <v>0</v>
          </cell>
          <cell r="BE199">
            <v>846.94742792578825</v>
          </cell>
          <cell r="BF199">
            <v>0</v>
          </cell>
          <cell r="BH199">
            <v>524.77156308524661</v>
          </cell>
          <cell r="BI199">
            <v>0</v>
          </cell>
          <cell r="BK199">
            <v>1713.6292976738337</v>
          </cell>
          <cell r="BL199">
            <v>0</v>
          </cell>
          <cell r="BN199">
            <v>100.38677964698979</v>
          </cell>
          <cell r="BO199">
            <v>0</v>
          </cell>
          <cell r="BT199">
            <v>36123.994340994832</v>
          </cell>
          <cell r="BU199">
            <v>58742.413353558426</v>
          </cell>
          <cell r="BW199">
            <v>44324.118961990447</v>
          </cell>
          <cell r="BX199">
            <v>49887.161459605071</v>
          </cell>
          <cell r="BZ199">
            <v>6983.7852323127472</v>
          </cell>
          <cell r="CA199">
            <v>461.78165155408556</v>
          </cell>
          <cell r="CC199">
            <v>1538.0051293995421</v>
          </cell>
          <cell r="CD199">
            <v>1540.9739342587934</v>
          </cell>
          <cell r="CF199">
            <v>190.7826207909574</v>
          </cell>
          <cell r="CG199">
            <v>0</v>
          </cell>
          <cell r="CI199">
            <v>32631.185167548378</v>
          </cell>
          <cell r="CJ199">
            <v>37758.392279785359</v>
          </cell>
          <cell r="CL199">
            <v>8825.3258444570693</v>
          </cell>
          <cell r="CM199">
            <v>21804.387963709538</v>
          </cell>
          <cell r="CX199">
            <v>10757.753698568773</v>
          </cell>
          <cell r="CY199">
            <v>124793.7579420348</v>
          </cell>
          <cell r="DA199">
            <v>-272333.6961639931</v>
          </cell>
          <cell r="DC199">
            <v>173413.02</v>
          </cell>
          <cell r="DD199">
            <v>0</v>
          </cell>
          <cell r="DE199">
            <v>104588.54</v>
          </cell>
          <cell r="DF199">
            <v>0</v>
          </cell>
          <cell r="DW199">
            <v>1242</v>
          </cell>
          <cell r="DX199">
            <v>0</v>
          </cell>
        </row>
        <row r="200">
          <cell r="F200">
            <v>2743.8</v>
          </cell>
          <cell r="G200">
            <v>0</v>
          </cell>
          <cell r="H200">
            <v>0</v>
          </cell>
          <cell r="I200">
            <v>9458.7854009008242</v>
          </cell>
          <cell r="J200">
            <v>9458.9040011384695</v>
          </cell>
          <cell r="L200">
            <v>2455.6896198572858</v>
          </cell>
          <cell r="M200">
            <v>2572.7617671796629</v>
          </cell>
          <cell r="O200">
            <v>3608.4126528181482</v>
          </cell>
          <cell r="P200">
            <v>3620.6438450717351</v>
          </cell>
          <cell r="R200">
            <v>868.3180214994652</v>
          </cell>
          <cell r="S200">
            <v>871.61475947312113</v>
          </cell>
          <cell r="U200">
            <v>478.81456271951919</v>
          </cell>
          <cell r="V200">
            <v>330.98825781303651</v>
          </cell>
          <cell r="X200">
            <v>6858.0876119587101</v>
          </cell>
          <cell r="Y200">
            <v>6855.7818959542556</v>
          </cell>
          <cell r="AA200">
            <v>0</v>
          </cell>
          <cell r="AB200">
            <v>0</v>
          </cell>
          <cell r="AD200">
            <v>9946.8224485875216</v>
          </cell>
          <cell r="AE200">
            <v>9706.9163108837292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2498.2850072687875</v>
          </cell>
          <cell r="AQ200">
            <v>3420</v>
          </cell>
          <cell r="AS200">
            <v>45546.261096249073</v>
          </cell>
          <cell r="AT200">
            <v>8580.2741187035317</v>
          </cell>
          <cell r="AV200">
            <v>1575.5002678807384</v>
          </cell>
          <cell r="AW200">
            <v>1020.3680806661047</v>
          </cell>
          <cell r="AY200">
            <v>3038.8281845670858</v>
          </cell>
          <cell r="AZ200">
            <v>1085.3415150196006</v>
          </cell>
          <cell r="BB200">
            <v>1363.8730870122704</v>
          </cell>
          <cell r="BC200">
            <v>7001.9597529599305</v>
          </cell>
          <cell r="BE200">
            <v>1033.2837351036162</v>
          </cell>
          <cell r="BF200">
            <v>2356.1047509747959</v>
          </cell>
          <cell r="BH200">
            <v>485.78591796691938</v>
          </cell>
          <cell r="BI200">
            <v>0</v>
          </cell>
          <cell r="BK200">
            <v>1180.4949955568429</v>
          </cell>
          <cell r="BL200">
            <v>0</v>
          </cell>
          <cell r="BN200">
            <v>69.015911007305476</v>
          </cell>
          <cell r="BO200">
            <v>1886.5523592784048</v>
          </cell>
          <cell r="BT200">
            <v>24121.783505763517</v>
          </cell>
          <cell r="BU200">
            <v>40065.245876071785</v>
          </cell>
          <cell r="BW200">
            <v>15847.857549310498</v>
          </cell>
          <cell r="BX200">
            <v>18416.205571301354</v>
          </cell>
          <cell r="BZ200">
            <v>5053.2351349957889</v>
          </cell>
          <cell r="CA200">
            <v>372.57385063631284</v>
          </cell>
          <cell r="CC200">
            <v>1409.8380352829136</v>
          </cell>
          <cell r="CD200">
            <v>1412.5594397372274</v>
          </cell>
          <cell r="CF200">
            <v>174.88406905837763</v>
          </cell>
          <cell r="CG200">
            <v>549.70273558112797</v>
          </cell>
          <cell r="CI200">
            <v>6785.2157521504005</v>
          </cell>
          <cell r="CJ200">
            <v>4403.0745864820856</v>
          </cell>
          <cell r="CL200">
            <v>0</v>
          </cell>
          <cell r="CM200">
            <v>0</v>
          </cell>
          <cell r="CX200">
            <v>8631.5610692550581</v>
          </cell>
          <cell r="CY200">
            <v>32477.359980362307</v>
          </cell>
          <cell r="DA200">
            <v>43251.925712188357</v>
          </cell>
          <cell r="DC200">
            <v>52661.35</v>
          </cell>
          <cell r="DD200">
            <v>0</v>
          </cell>
          <cell r="DE200">
            <v>29124.789999999997</v>
          </cell>
          <cell r="DF200">
            <v>0</v>
          </cell>
          <cell r="DW200">
            <v>909</v>
          </cell>
          <cell r="DX200">
            <v>0</v>
          </cell>
        </row>
        <row r="201">
          <cell r="F201">
            <v>6142.18</v>
          </cell>
          <cell r="G201">
            <v>688.06</v>
          </cell>
          <cell r="H201">
            <v>0</v>
          </cell>
          <cell r="I201">
            <v>19348.696622005769</v>
          </cell>
          <cell r="J201">
            <v>19376.168085997859</v>
          </cell>
          <cell r="L201">
            <v>3580.5715683428252</v>
          </cell>
          <cell r="M201">
            <v>3774.1564953404686</v>
          </cell>
          <cell r="O201">
            <v>7078.3755912378501</v>
          </cell>
          <cell r="P201">
            <v>7101.4216749872112</v>
          </cell>
          <cell r="R201">
            <v>1732.5094952540201</v>
          </cell>
          <cell r="S201">
            <v>1739.6436792147579</v>
          </cell>
          <cell r="U201">
            <v>1032.9271260982507</v>
          </cell>
          <cell r="V201">
            <v>686.44630646882104</v>
          </cell>
          <cell r="X201">
            <v>9944.9368287484012</v>
          </cell>
          <cell r="Y201">
            <v>9841.1414096346434</v>
          </cell>
          <cell r="AA201">
            <v>0</v>
          </cell>
          <cell r="AB201">
            <v>0</v>
          </cell>
          <cell r="AD201">
            <v>22252.430031816857</v>
          </cell>
          <cell r="AE201">
            <v>21716.47214516635</v>
          </cell>
          <cell r="AJ201">
            <v>76132.371805637536</v>
          </cell>
          <cell r="AK201">
            <v>71840.869956839699</v>
          </cell>
          <cell r="AM201">
            <v>0</v>
          </cell>
          <cell r="AN201">
            <v>0</v>
          </cell>
          <cell r="AP201">
            <v>4496.9130130838166</v>
          </cell>
          <cell r="AQ201">
            <v>5340</v>
          </cell>
          <cell r="AS201">
            <v>143189.93847404269</v>
          </cell>
          <cell r="AT201">
            <v>105534.06645181651</v>
          </cell>
          <cell r="AV201">
            <v>1933.2885128390672</v>
          </cell>
          <cell r="AW201">
            <v>2191.1815567737581</v>
          </cell>
          <cell r="AY201">
            <v>2325.1816660039158</v>
          </cell>
          <cell r="AZ201">
            <v>2744.8709337813661</v>
          </cell>
          <cell r="BB201">
            <v>2764.8062400421422</v>
          </cell>
          <cell r="BC201">
            <v>0</v>
          </cell>
          <cell r="BE201">
            <v>813.56353618537537</v>
          </cell>
          <cell r="BF201">
            <v>0</v>
          </cell>
          <cell r="BH201">
            <v>524.77156308524661</v>
          </cell>
          <cell r="BI201">
            <v>0</v>
          </cell>
          <cell r="BK201">
            <v>1680.5496480236516</v>
          </cell>
          <cell r="BL201">
            <v>0</v>
          </cell>
          <cell r="BN201">
            <v>100.38677964698979</v>
          </cell>
          <cell r="BO201">
            <v>5100.3739899085631</v>
          </cell>
          <cell r="BT201">
            <v>19947.627504033706</v>
          </cell>
          <cell r="BU201">
            <v>37628.787339858834</v>
          </cell>
          <cell r="BW201">
            <v>44018.837212988234</v>
          </cell>
          <cell r="BX201">
            <v>48750.286334754383</v>
          </cell>
          <cell r="BZ201">
            <v>9374.6931671357961</v>
          </cell>
          <cell r="CA201">
            <v>361.72054866854597</v>
          </cell>
          <cell r="CC201">
            <v>1538.0051293995421</v>
          </cell>
          <cell r="CD201">
            <v>1540.9739342587934</v>
          </cell>
          <cell r="CF201">
            <v>190.7826207909574</v>
          </cell>
          <cell r="CG201">
            <v>574.03089783038661</v>
          </cell>
          <cell r="CI201">
            <v>11144.852484363315</v>
          </cell>
          <cell r="CJ201">
            <v>16036.884516102486</v>
          </cell>
          <cell r="CL201">
            <v>13383.076744913407</v>
          </cell>
          <cell r="CM201">
            <v>24057.338171047231</v>
          </cell>
          <cell r="CX201">
            <v>9757.6497344973031</v>
          </cell>
          <cell r="CY201">
            <v>24869.560459219669</v>
          </cell>
          <cell r="DA201">
            <v>-88644.938623657101</v>
          </cell>
          <cell r="DC201">
            <v>177689.13</v>
          </cell>
          <cell r="DD201">
            <v>0</v>
          </cell>
          <cell r="DE201">
            <v>114419.39000000001</v>
          </cell>
          <cell r="DF201">
            <v>0</v>
          </cell>
          <cell r="DW201">
            <v>1242</v>
          </cell>
          <cell r="DX201">
            <v>0</v>
          </cell>
        </row>
        <row r="202">
          <cell r="F202">
            <v>6313.36</v>
          </cell>
          <cell r="G202">
            <v>695.2</v>
          </cell>
          <cell r="H202">
            <v>0</v>
          </cell>
          <cell r="I202">
            <v>19374.505402553266</v>
          </cell>
          <cell r="J202">
            <v>19406.840855176095</v>
          </cell>
          <cell r="L202">
            <v>3331.1545987786158</v>
          </cell>
          <cell r="M202">
            <v>3505.3116261470495</v>
          </cell>
          <cell r="O202">
            <v>7256.1716722784204</v>
          </cell>
          <cell r="P202">
            <v>7281.5775497667582</v>
          </cell>
          <cell r="R202">
            <v>1801.9821342840528</v>
          </cell>
          <cell r="S202">
            <v>1807.8096150358451</v>
          </cell>
          <cell r="U202">
            <v>1000.3965733306683</v>
          </cell>
          <cell r="V202">
            <v>667.47167135600955</v>
          </cell>
          <cell r="X202">
            <v>10503.939629244593</v>
          </cell>
          <cell r="Y202">
            <v>10393.145614893723</v>
          </cell>
          <cell r="AA202">
            <v>0</v>
          </cell>
          <cell r="AB202">
            <v>0</v>
          </cell>
          <cell r="AD202">
            <v>22857.200801017894</v>
          </cell>
          <cell r="AE202">
            <v>22307.485805304321</v>
          </cell>
          <cell r="AJ202">
            <v>66431.297642784775</v>
          </cell>
          <cell r="AK202">
            <v>62229.507983794152</v>
          </cell>
          <cell r="AM202">
            <v>302.92842272642292</v>
          </cell>
          <cell r="AN202">
            <v>1179.5162837429077</v>
          </cell>
          <cell r="AP202">
            <v>4496.9130130838166</v>
          </cell>
          <cell r="AQ202">
            <v>5400</v>
          </cell>
          <cell r="AS202">
            <v>142583.26162605826</v>
          </cell>
          <cell r="AT202">
            <v>118906.11664149347</v>
          </cell>
          <cell r="AV202">
            <v>1673.9905027496475</v>
          </cell>
          <cell r="AW202">
            <v>1000.8970345232095</v>
          </cell>
          <cell r="AY202">
            <v>1903.4558127202984</v>
          </cell>
          <cell r="AZ202">
            <v>1009.1087414576288</v>
          </cell>
          <cell r="BB202">
            <v>2388.5928974283311</v>
          </cell>
          <cell r="BC202">
            <v>2195.2597204529761</v>
          </cell>
          <cell r="BE202">
            <v>689.87333489158823</v>
          </cell>
          <cell r="BF202">
            <v>0</v>
          </cell>
          <cell r="BH202">
            <v>444.62869526176968</v>
          </cell>
          <cell r="BI202">
            <v>4628.8112178599768</v>
          </cell>
          <cell r="BK202">
            <v>1509.2250631079028</v>
          </cell>
          <cell r="BL202">
            <v>1632.0079449031614</v>
          </cell>
          <cell r="BN202">
            <v>100.38677964698979</v>
          </cell>
          <cell r="BO202">
            <v>4282.2615761738634</v>
          </cell>
          <cell r="BT202">
            <v>34644.786589403186</v>
          </cell>
          <cell r="BU202">
            <v>55397.164553614246</v>
          </cell>
          <cell r="BW202">
            <v>45425.382875392344</v>
          </cell>
          <cell r="BX202">
            <v>52342.394790885839</v>
          </cell>
          <cell r="BZ202">
            <v>9374.6931671357961</v>
          </cell>
          <cell r="CA202">
            <v>451.87417191197517</v>
          </cell>
          <cell r="CC202">
            <v>1538.0051293995421</v>
          </cell>
          <cell r="CD202">
            <v>1540.9739342587934</v>
          </cell>
          <cell r="CF202">
            <v>190.7826207909574</v>
          </cell>
          <cell r="CG202">
            <v>0</v>
          </cell>
          <cell r="CI202">
            <v>17527.382503693036</v>
          </cell>
          <cell r="CJ202">
            <v>22237.115505618349</v>
          </cell>
          <cell r="CL202">
            <v>26653.439402599481</v>
          </cell>
          <cell r="CM202">
            <v>33362.513901507424</v>
          </cell>
          <cell r="CX202">
            <v>16355.867421273415</v>
          </cell>
          <cell r="CY202">
            <v>5362.919601854046</v>
          </cell>
          <cell r="DA202">
            <v>-86441.242235831538</v>
          </cell>
          <cell r="DC202">
            <v>171497.41</v>
          </cell>
          <cell r="DD202">
            <v>0</v>
          </cell>
          <cell r="DE202">
            <v>103212.39</v>
          </cell>
          <cell r="DF202">
            <v>0</v>
          </cell>
          <cell r="DW202">
            <v>1242</v>
          </cell>
          <cell r="DX202">
            <v>0</v>
          </cell>
        </row>
        <row r="203">
          <cell r="F203">
            <v>4192.5</v>
          </cell>
          <cell r="G203">
            <v>468.7</v>
          </cell>
          <cell r="H203">
            <v>0</v>
          </cell>
          <cell r="I203">
            <v>11621.399739457933</v>
          </cell>
          <cell r="J203">
            <v>11639.851270594034</v>
          </cell>
          <cell r="L203">
            <v>1591.3334470786263</v>
          </cell>
          <cell r="M203">
            <v>1659.9297803065533</v>
          </cell>
          <cell r="O203">
            <v>4862.1324627671593</v>
          </cell>
          <cell r="P203">
            <v>4879.8099608075363</v>
          </cell>
          <cell r="R203">
            <v>1166.560160525424</v>
          </cell>
          <cell r="S203">
            <v>1171.1854321320252</v>
          </cell>
          <cell r="U203">
            <v>673.10225103340667</v>
          </cell>
          <cell r="V203">
            <v>448.53325833399987</v>
          </cell>
          <cell r="X203">
            <v>5162.6509057163612</v>
          </cell>
          <cell r="Y203">
            <v>5235.1581566515488</v>
          </cell>
          <cell r="AA203">
            <v>0</v>
          </cell>
          <cell r="AB203">
            <v>0</v>
          </cell>
          <cell r="AD203">
            <v>15193.269158824265</v>
          </cell>
          <cell r="AE203">
            <v>14827.107173773649</v>
          </cell>
          <cell r="AJ203">
            <v>12502.014825594841</v>
          </cell>
          <cell r="AK203">
            <v>10425.896760831109</v>
          </cell>
          <cell r="AM203">
            <v>302.92842272642292</v>
          </cell>
          <cell r="AN203">
            <v>929.06242199436906</v>
          </cell>
          <cell r="AP203">
            <v>7120.112270716043</v>
          </cell>
          <cell r="AQ203">
            <v>7592.3896530556794</v>
          </cell>
          <cell r="AS203">
            <v>52150.318350899019</v>
          </cell>
          <cell r="AT203">
            <v>4078.0278313673803</v>
          </cell>
          <cell r="AV203">
            <v>1174.8566364849808</v>
          </cell>
          <cell r="AW203">
            <v>0</v>
          </cell>
          <cell r="AY203">
            <v>1115.9804815642108</v>
          </cell>
          <cell r="AZ203">
            <v>0</v>
          </cell>
          <cell r="BB203">
            <v>1837.4832855167408</v>
          </cell>
          <cell r="BC203">
            <v>1404.0256190504656</v>
          </cell>
          <cell r="BE203">
            <v>653.8818911056303</v>
          </cell>
          <cell r="BF203">
            <v>0</v>
          </cell>
          <cell r="BH203">
            <v>353.52358860492279</v>
          </cell>
          <cell r="BI203">
            <v>0</v>
          </cell>
          <cell r="BK203">
            <v>1042.4736485020599</v>
          </cell>
          <cell r="BL203">
            <v>0</v>
          </cell>
          <cell r="BN203">
            <v>31.370868639684304</v>
          </cell>
          <cell r="BO203">
            <v>0</v>
          </cell>
          <cell r="BT203">
            <v>40672.999470529627</v>
          </cell>
          <cell r="BU203">
            <v>62261.638954698195</v>
          </cell>
          <cell r="BW203">
            <v>48849.76407335652</v>
          </cell>
          <cell r="BX203">
            <v>55097.372923270472</v>
          </cell>
          <cell r="BZ203">
            <v>6247.605670279655</v>
          </cell>
          <cell r="CA203">
            <v>299.62005778771925</v>
          </cell>
          <cell r="CC203">
            <v>1512.3717105762164</v>
          </cell>
          <cell r="CD203">
            <v>1515.2910353544805</v>
          </cell>
          <cell r="CF203">
            <v>187.60291044444142</v>
          </cell>
          <cell r="CG203">
            <v>0</v>
          </cell>
          <cell r="CI203">
            <v>18613.427740785573</v>
          </cell>
          <cell r="CJ203">
            <v>9796.5575172082135</v>
          </cell>
          <cell r="CL203">
            <v>7472.8051803112912</v>
          </cell>
          <cell r="CM203">
            <v>9706.5030166268425</v>
          </cell>
          <cell r="CX203">
            <v>6246.3557563948525</v>
          </cell>
          <cell r="CY203">
            <v>53219.165750231019</v>
          </cell>
          <cell r="DA203">
            <v>61294.853189460875</v>
          </cell>
          <cell r="DC203">
            <v>96282.26</v>
          </cell>
          <cell r="DD203">
            <v>0</v>
          </cell>
          <cell r="DE203">
            <v>57649.259999999995</v>
          </cell>
          <cell r="DF203">
            <v>0</v>
          </cell>
          <cell r="DW203">
            <v>11597.5</v>
          </cell>
          <cell r="DX203">
            <v>0</v>
          </cell>
        </row>
        <row r="204">
          <cell r="F204">
            <v>234.6</v>
          </cell>
          <cell r="G204">
            <v>0</v>
          </cell>
          <cell r="H204">
            <v>242.89999999999998</v>
          </cell>
          <cell r="I204">
            <v>2282.650791474814</v>
          </cell>
          <cell r="J204">
            <v>2280.5134936804425</v>
          </cell>
          <cell r="L204">
            <v>503.63900284012152</v>
          </cell>
          <cell r="M204">
            <v>522.84394965870217</v>
          </cell>
          <cell r="O204">
            <v>579.88678518133679</v>
          </cell>
          <cell r="P204">
            <v>581.76468615579313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>
            <v>1049.1488825602005</v>
          </cell>
          <cell r="Y204">
            <v>1004.4611003093371</v>
          </cell>
          <cell r="AA204">
            <v>0</v>
          </cell>
          <cell r="AB204">
            <v>0</v>
          </cell>
          <cell r="AD204">
            <v>1735.688148809513</v>
          </cell>
          <cell r="AE204">
            <v>1689.0503203739495</v>
          </cell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P204">
            <v>595.54253779673957</v>
          </cell>
          <cell r="AQ204">
            <v>355.87354172815174</v>
          </cell>
          <cell r="AS204">
            <v>5509.979454951319</v>
          </cell>
          <cell r="AT204">
            <v>912.69028472757088</v>
          </cell>
          <cell r="AV204">
            <v>428.58896621096773</v>
          </cell>
          <cell r="AW204">
            <v>0</v>
          </cell>
          <cell r="AY204">
            <v>591.60844479717377</v>
          </cell>
          <cell r="AZ204">
            <v>0</v>
          </cell>
          <cell r="BB204">
            <v>259.67821225665386</v>
          </cell>
          <cell r="BC204">
            <v>0</v>
          </cell>
          <cell r="BE204">
            <v>0</v>
          </cell>
          <cell r="BF204">
            <v>0</v>
          </cell>
          <cell r="BH204">
            <v>0</v>
          </cell>
          <cell r="BI204">
            <v>0</v>
          </cell>
          <cell r="BK204">
            <v>204.00275868236815</v>
          </cell>
          <cell r="BL204">
            <v>0</v>
          </cell>
          <cell r="BN204">
            <v>31.214014296485885</v>
          </cell>
          <cell r="BO204">
            <v>0</v>
          </cell>
          <cell r="BT204">
            <v>6259.8501502815679</v>
          </cell>
          <cell r="BU204">
            <v>9870.9154985582281</v>
          </cell>
          <cell r="BW204">
            <v>2517.4238452348891</v>
          </cell>
          <cell r="BX204">
            <v>2837.3187120982143</v>
          </cell>
          <cell r="BZ204">
            <v>1830.2285755722712</v>
          </cell>
          <cell r="CA204">
            <v>137.21385856847502</v>
          </cell>
          <cell r="CC204">
            <v>0</v>
          </cell>
          <cell r="CD204">
            <v>0</v>
          </cell>
          <cell r="CF204">
            <v>0</v>
          </cell>
          <cell r="CG204">
            <v>0</v>
          </cell>
          <cell r="CI204">
            <v>737.63844299311597</v>
          </cell>
          <cell r="CJ204">
            <v>308.22210603581169</v>
          </cell>
          <cell r="CL204">
            <v>0</v>
          </cell>
          <cell r="CM204">
            <v>0</v>
          </cell>
          <cell r="CX204">
            <v>628.92375392444751</v>
          </cell>
          <cell r="CY204">
            <v>6168.0055083782763</v>
          </cell>
          <cell r="DA204">
            <v>-11231.318638612436</v>
          </cell>
          <cell r="DC204">
            <v>2164.23</v>
          </cell>
          <cell r="DD204">
            <v>6909.24</v>
          </cell>
          <cell r="DE204">
            <v>0</v>
          </cell>
          <cell r="DF204">
            <v>5102.59</v>
          </cell>
          <cell r="DW204">
            <v>918</v>
          </cell>
          <cell r="DX204">
            <v>0</v>
          </cell>
        </row>
        <row r="205">
          <cell r="F205">
            <v>553.20000000000005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>
            <v>976.63874790345074</v>
          </cell>
          <cell r="Y205">
            <v>679.58284239109105</v>
          </cell>
          <cell r="AA205">
            <v>0</v>
          </cell>
          <cell r="AB205">
            <v>0</v>
          </cell>
          <cell r="AD205">
            <v>2005.169421762595</v>
          </cell>
          <cell r="AE205">
            <v>1956.8222769232855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P205">
            <v>809.5992179235451</v>
          </cell>
          <cell r="AQ205">
            <v>324.31579605062296</v>
          </cell>
          <cell r="AS205">
            <v>4627.4934509487075</v>
          </cell>
          <cell r="AT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B205">
            <v>0</v>
          </cell>
          <cell r="BC205">
            <v>0</v>
          </cell>
          <cell r="BE205">
            <v>0</v>
          </cell>
          <cell r="BF205">
            <v>0</v>
          </cell>
          <cell r="BH205">
            <v>0</v>
          </cell>
          <cell r="BI205">
            <v>0</v>
          </cell>
          <cell r="BK205">
            <v>140.17258249840697</v>
          </cell>
          <cell r="BL205">
            <v>0</v>
          </cell>
          <cell r="BN205">
            <v>117.69850350229915</v>
          </cell>
          <cell r="BO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0</v>
          </cell>
          <cell r="BZ205">
            <v>0</v>
          </cell>
          <cell r="CA205">
            <v>0</v>
          </cell>
          <cell r="CC205">
            <v>0</v>
          </cell>
          <cell r="CD205">
            <v>0</v>
          </cell>
          <cell r="CF205">
            <v>0</v>
          </cell>
          <cell r="CG205">
            <v>0</v>
          </cell>
          <cell r="CI205">
            <v>7.5658548759200954</v>
          </cell>
          <cell r="CJ205">
            <v>0</v>
          </cell>
          <cell r="CL205">
            <v>0</v>
          </cell>
          <cell r="CM205">
            <v>0</v>
          </cell>
          <cell r="CX205">
            <v>323.81588060805939</v>
          </cell>
          <cell r="CY205">
            <v>7192.1561174679691</v>
          </cell>
          <cell r="DA205">
            <v>226289.87131469612</v>
          </cell>
          <cell r="DC205">
            <v>4852.5200000000004</v>
          </cell>
          <cell r="DD205">
            <v>0</v>
          </cell>
          <cell r="DE205">
            <v>3452.5300000000007</v>
          </cell>
          <cell r="DF205">
            <v>0</v>
          </cell>
          <cell r="DW205">
            <v>0</v>
          </cell>
          <cell r="DX205">
            <v>0</v>
          </cell>
        </row>
        <row r="206">
          <cell r="F206">
            <v>358.84</v>
          </cell>
          <cell r="G206">
            <v>0</v>
          </cell>
          <cell r="H206">
            <v>0</v>
          </cell>
          <cell r="I206">
            <v>1079.9525593432008</v>
          </cell>
          <cell r="J206">
            <v>836.22588482435458</v>
          </cell>
          <cell r="L206">
            <v>216.06877847098937</v>
          </cell>
          <cell r="M206">
            <v>178.27452935002896</v>
          </cell>
          <cell r="O206">
            <v>475.81154739984697</v>
          </cell>
          <cell r="P206">
            <v>477.17426042089147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>
            <v>724.75327158971493</v>
          </cell>
          <cell r="Y206">
            <v>2537.9644616012233</v>
          </cell>
          <cell r="AA206">
            <v>0</v>
          </cell>
          <cell r="AB206">
            <v>0</v>
          </cell>
          <cell r="AD206">
            <v>1300.6778657000896</v>
          </cell>
          <cell r="AE206">
            <v>1269.3168941633255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P206">
            <v>666.20933527167665</v>
          </cell>
          <cell r="AQ206">
            <v>277.98496804339112</v>
          </cell>
          <cell r="AS206">
            <v>6749.8870806885225</v>
          </cell>
          <cell r="AT206">
            <v>0</v>
          </cell>
          <cell r="AV206">
            <v>202.99212245504432</v>
          </cell>
          <cell r="AW206">
            <v>0</v>
          </cell>
          <cell r="AY206">
            <v>282.28983093840492</v>
          </cell>
          <cell r="AZ206">
            <v>0</v>
          </cell>
          <cell r="BB206">
            <v>215.52101175926154</v>
          </cell>
          <cell r="BC206">
            <v>0</v>
          </cell>
          <cell r="BE206">
            <v>0</v>
          </cell>
          <cell r="BF206">
            <v>0</v>
          </cell>
          <cell r="BH206">
            <v>0</v>
          </cell>
          <cell r="BI206">
            <v>0</v>
          </cell>
          <cell r="BK206">
            <v>218.1120402037825</v>
          </cell>
          <cell r="BL206">
            <v>0</v>
          </cell>
          <cell r="BN206">
            <v>116.16069946062976</v>
          </cell>
          <cell r="BO206">
            <v>576.08846680399995</v>
          </cell>
          <cell r="BT206">
            <v>0</v>
          </cell>
          <cell r="BU206">
            <v>0</v>
          </cell>
          <cell r="BW206">
            <v>282.15835719105604</v>
          </cell>
          <cell r="BX206">
            <v>301.08142174935335</v>
          </cell>
          <cell r="BZ206">
            <v>0</v>
          </cell>
          <cell r="CA206">
            <v>0</v>
          </cell>
          <cell r="CC206">
            <v>0</v>
          </cell>
          <cell r="CD206">
            <v>0</v>
          </cell>
          <cell r="CF206">
            <v>0</v>
          </cell>
          <cell r="CG206">
            <v>0</v>
          </cell>
          <cell r="CI206">
            <v>755.19381889797808</v>
          </cell>
          <cell r="CJ206">
            <v>555.62527815183921</v>
          </cell>
          <cell r="CL206">
            <v>0</v>
          </cell>
          <cell r="CM206">
            <v>0</v>
          </cell>
          <cell r="CX206">
            <v>494.94846860060329</v>
          </cell>
          <cell r="CY206">
            <v>8026.2110537147528</v>
          </cell>
          <cell r="DA206">
            <v>-51117.519768003265</v>
          </cell>
          <cell r="DC206">
            <v>5904.88</v>
          </cell>
          <cell r="DD206">
            <v>0</v>
          </cell>
          <cell r="DE206">
            <v>3772.2200000000003</v>
          </cell>
          <cell r="DF206">
            <v>0</v>
          </cell>
          <cell r="DW206">
            <v>0</v>
          </cell>
          <cell r="DX206">
            <v>0</v>
          </cell>
        </row>
        <row r="207">
          <cell r="F207">
            <v>170.2</v>
          </cell>
          <cell r="G207">
            <v>0</v>
          </cell>
          <cell r="H207">
            <v>324.10000000000002</v>
          </cell>
          <cell r="I207">
            <v>2336.7064998362366</v>
          </cell>
          <cell r="J207">
            <v>2337.3619759188869</v>
          </cell>
          <cell r="L207">
            <v>493.56657983504783</v>
          </cell>
          <cell r="M207">
            <v>511.59390549730608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1046.9367719747399</v>
          </cell>
          <cell r="Y207">
            <v>1002.3486272893826</v>
          </cell>
          <cell r="AA207">
            <v>0</v>
          </cell>
          <cell r="AB207">
            <v>0</v>
          </cell>
          <cell r="AD207">
            <v>1775.802123620346</v>
          </cell>
          <cell r="AE207">
            <v>1733.819078338262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235.31414371665002</v>
          </cell>
          <cell r="AQ207">
            <v>70.237692115805615</v>
          </cell>
          <cell r="AS207">
            <v>6886.6623099926619</v>
          </cell>
          <cell r="AT207">
            <v>180.98932984823114</v>
          </cell>
          <cell r="AV207">
            <v>468.121925682599</v>
          </cell>
          <cell r="AW207">
            <v>0</v>
          </cell>
          <cell r="AY207">
            <v>591.60844479717377</v>
          </cell>
          <cell r="AZ207">
            <v>0</v>
          </cell>
          <cell r="BB207">
            <v>0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202.73851624325101</v>
          </cell>
          <cell r="BL207">
            <v>0</v>
          </cell>
          <cell r="BN207">
            <v>31.214014296485885</v>
          </cell>
          <cell r="BO207">
            <v>0</v>
          </cell>
          <cell r="BT207">
            <v>6966.3826135840045</v>
          </cell>
          <cell r="BU207">
            <v>13444.943962475692</v>
          </cell>
          <cell r="BW207">
            <v>1834.3494861031627</v>
          </cell>
          <cell r="BX207">
            <v>1580.6969692961281</v>
          </cell>
          <cell r="BZ207">
            <v>1726.3573969004833</v>
          </cell>
          <cell r="CA207">
            <v>145.20563973383435</v>
          </cell>
          <cell r="CC207">
            <v>0</v>
          </cell>
          <cell r="CD207">
            <v>0</v>
          </cell>
          <cell r="CF207">
            <v>0</v>
          </cell>
          <cell r="CG207">
            <v>0</v>
          </cell>
          <cell r="CI207">
            <v>98.503541595388427</v>
          </cell>
          <cell r="CJ207">
            <v>66.808790282239315</v>
          </cell>
          <cell r="CL207">
            <v>0</v>
          </cell>
          <cell r="CM207">
            <v>0</v>
          </cell>
          <cell r="CX207">
            <v>582.69876168840483</v>
          </cell>
          <cell r="CY207">
            <v>4927.0088385473609</v>
          </cell>
          <cell r="DA207">
            <v>14532.066102716952</v>
          </cell>
          <cell r="DC207">
            <v>34448.199999999997</v>
          </cell>
          <cell r="DD207">
            <v>10015.959999999999</v>
          </cell>
          <cell r="DE207">
            <v>32908.61</v>
          </cell>
          <cell r="DF207">
            <v>7698.3599999999988</v>
          </cell>
          <cell r="DW207">
            <v>918</v>
          </cell>
          <cell r="DX207">
            <v>0</v>
          </cell>
        </row>
        <row r="208">
          <cell r="F208">
            <v>239</v>
          </cell>
          <cell r="G208">
            <v>0</v>
          </cell>
          <cell r="H208">
            <v>146</v>
          </cell>
          <cell r="I208">
            <v>782.49322130545693</v>
          </cell>
          <cell r="J208">
            <v>789.23472484533306</v>
          </cell>
          <cell r="L208">
            <v>299.50191724576678</v>
          </cell>
          <cell r="M208">
            <v>310.55345597132163</v>
          </cell>
          <cell r="O208">
            <v>446.27391513093681</v>
          </cell>
          <cell r="P208">
            <v>447.89815627817916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>
            <v>415.78144479024047</v>
          </cell>
          <cell r="Y208">
            <v>594.27242284419162</v>
          </cell>
          <cell r="AA208">
            <v>0</v>
          </cell>
          <cell r="AB208">
            <v>0</v>
          </cell>
          <cell r="AD208">
            <v>1230.6980895570066</v>
          </cell>
          <cell r="AE208">
            <v>1363.1845921443119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P208">
            <v>749.4855021806361</v>
          </cell>
          <cell r="AQ208">
            <v>798.32434237158373</v>
          </cell>
          <cell r="AS208">
            <v>3897.2825942195213</v>
          </cell>
          <cell r="AT208">
            <v>0</v>
          </cell>
          <cell r="AV208">
            <v>281.19002122963627</v>
          </cell>
          <cell r="AW208">
            <v>0</v>
          </cell>
          <cell r="AY208">
            <v>390.93185060603179</v>
          </cell>
          <cell r="AZ208">
            <v>0</v>
          </cell>
          <cell r="BB208">
            <v>230.51242629587193</v>
          </cell>
          <cell r="BC208">
            <v>0</v>
          </cell>
          <cell r="BE208">
            <v>0</v>
          </cell>
          <cell r="BF208">
            <v>0</v>
          </cell>
          <cell r="BH208">
            <v>0</v>
          </cell>
          <cell r="BI208">
            <v>0</v>
          </cell>
          <cell r="BK208">
            <v>102.87322138717113</v>
          </cell>
          <cell r="BL208">
            <v>846.369578480222</v>
          </cell>
          <cell r="BN208">
            <v>38.805764507289481</v>
          </cell>
          <cell r="BO208">
            <v>0</v>
          </cell>
          <cell r="BT208">
            <v>6235.4119702365551</v>
          </cell>
          <cell r="BU208">
            <v>8757.5948351264014</v>
          </cell>
          <cell r="BW208">
            <v>3237.5841637683816</v>
          </cell>
          <cell r="BX208">
            <v>2984.716262830153</v>
          </cell>
          <cell r="BZ208">
            <v>1584.4136143101105</v>
          </cell>
          <cell r="CA208">
            <v>134.03223308821518</v>
          </cell>
          <cell r="CC208">
            <v>156.36385482228678</v>
          </cell>
          <cell r="CD208">
            <v>156.66568331631069</v>
          </cell>
          <cell r="CF208">
            <v>19.396233113747336</v>
          </cell>
          <cell r="CG208">
            <v>0</v>
          </cell>
          <cell r="CI208">
            <v>90.937686719468331</v>
          </cell>
          <cell r="CJ208">
            <v>27.487328060175145</v>
          </cell>
          <cell r="CL208">
            <v>0</v>
          </cell>
          <cell r="CM208">
            <v>0</v>
          </cell>
          <cell r="CX208">
            <v>3408.4247794329876</v>
          </cell>
          <cell r="CY208">
            <v>6983.9494307166451</v>
          </cell>
          <cell r="DA208">
            <v>10686.766610345971</v>
          </cell>
          <cell r="DC208">
            <v>2427.7399999999998</v>
          </cell>
          <cell r="DD208">
            <v>7614.6</v>
          </cell>
          <cell r="DE208">
            <v>0</v>
          </cell>
          <cell r="DF208">
            <v>6458.91</v>
          </cell>
          <cell r="DW208">
            <v>918</v>
          </cell>
          <cell r="DX208">
            <v>0</v>
          </cell>
        </row>
        <row r="209">
          <cell r="F209">
            <v>2127.9299999999998</v>
          </cell>
          <cell r="G209">
            <v>0</v>
          </cell>
          <cell r="H209">
            <v>163.89999999999998</v>
          </cell>
          <cell r="I209">
            <v>6952.7950803154527</v>
          </cell>
          <cell r="J209">
            <v>7023.7581390355108</v>
          </cell>
          <cell r="L209">
            <v>1429.4307950829391</v>
          </cell>
          <cell r="M209">
            <v>1486.7206464219501</v>
          </cell>
          <cell r="O209">
            <v>2761.0482283252345</v>
          </cell>
          <cell r="P209">
            <v>2770.2458543774396</v>
          </cell>
          <cell r="R209">
            <v>695.33836955255617</v>
          </cell>
          <cell r="S209">
            <v>697.62249426584856</v>
          </cell>
          <cell r="U209">
            <v>471.27388904284322</v>
          </cell>
          <cell r="V209">
            <v>957.61946684835459</v>
          </cell>
          <cell r="X209">
            <v>5088.3176688544318</v>
          </cell>
          <cell r="Y209">
            <v>4842.7647347085813</v>
          </cell>
          <cell r="AA209">
            <v>0</v>
          </cell>
          <cell r="AB209">
            <v>0</v>
          </cell>
          <cell r="AD209">
            <v>8308.5787328354563</v>
          </cell>
          <cell r="AE209">
            <v>8108.172701879721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P209">
            <v>1540.6090878157518</v>
          </cell>
          <cell r="AQ209">
            <v>1602.8405245014396</v>
          </cell>
          <cell r="AS209">
            <v>22319.999865241047</v>
          </cell>
          <cell r="AT209">
            <v>17763.36645333768</v>
          </cell>
          <cell r="AV209">
            <v>1182.6285041519982</v>
          </cell>
          <cell r="AW209">
            <v>1829.6437322267266</v>
          </cell>
          <cell r="AY209">
            <v>1696.8695957495979</v>
          </cell>
          <cell r="AZ209">
            <v>0</v>
          </cell>
          <cell r="BB209">
            <v>1418.3446389960473</v>
          </cell>
          <cell r="BC209">
            <v>0</v>
          </cell>
          <cell r="BE209">
            <v>650.29020490931543</v>
          </cell>
          <cell r="BF209">
            <v>3723.2648498197973</v>
          </cell>
          <cell r="BH209">
            <v>430.50329125804922</v>
          </cell>
          <cell r="BI209">
            <v>0</v>
          </cell>
          <cell r="BK209">
            <v>856.18024452562759</v>
          </cell>
          <cell r="BL209">
            <v>0</v>
          </cell>
          <cell r="BN209">
            <v>67.666963655799066</v>
          </cell>
          <cell r="BO209">
            <v>0</v>
          </cell>
          <cell r="BT209">
            <v>22044.528009984737</v>
          </cell>
          <cell r="BU209">
            <v>42610.647676031542</v>
          </cell>
          <cell r="BW209">
            <v>20571.347918783937</v>
          </cell>
          <cell r="BX209">
            <v>21729.203567985842</v>
          </cell>
          <cell r="BZ209">
            <v>16643.79047149012</v>
          </cell>
          <cell r="CA209">
            <v>303.76550210539381</v>
          </cell>
          <cell r="CC209">
            <v>1717.4390611628221</v>
          </cell>
          <cell r="CD209">
            <v>1720.7542265889861</v>
          </cell>
          <cell r="CF209">
            <v>213.04059321656911</v>
          </cell>
          <cell r="CG209">
            <v>0</v>
          </cell>
          <cell r="CI209">
            <v>3011.6703238135328</v>
          </cell>
          <cell r="CJ209">
            <v>1016.9282527394198</v>
          </cell>
          <cell r="CL209">
            <v>0</v>
          </cell>
          <cell r="CM209">
            <v>0</v>
          </cell>
          <cell r="CX209">
            <v>1746.9607801383127</v>
          </cell>
          <cell r="CY209">
            <v>4008.2080392058815</v>
          </cell>
          <cell r="DA209">
            <v>16211.478560496362</v>
          </cell>
          <cell r="DC209">
            <v>26999.95</v>
          </cell>
          <cell r="DD209">
            <v>5481.2699999999995</v>
          </cell>
          <cell r="DE209">
            <v>8611.4400000000023</v>
          </cell>
          <cell r="DF209">
            <v>4297.7699999999995</v>
          </cell>
          <cell r="DW209">
            <v>1062</v>
          </cell>
          <cell r="DX209">
            <v>0</v>
          </cell>
        </row>
        <row r="210">
          <cell r="F210">
            <v>354.3</v>
          </cell>
          <cell r="G210">
            <v>0</v>
          </cell>
          <cell r="H210">
            <v>0</v>
          </cell>
          <cell r="I210">
            <v>394.74131159299719</v>
          </cell>
          <cell r="J210">
            <v>403.93132721133122</v>
          </cell>
          <cell r="L210">
            <v>211.3617212859599</v>
          </cell>
          <cell r="M210">
            <v>218.71668507060522</v>
          </cell>
          <cell r="O210">
            <v>430.91731029261672</v>
          </cell>
          <cell r="P210">
            <v>432.43471258871938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>
            <v>150.06630427129838</v>
          </cell>
          <cell r="Y210">
            <v>93.516727594817112</v>
          </cell>
          <cell r="AA210">
            <v>0</v>
          </cell>
          <cell r="AB210">
            <v>0</v>
          </cell>
          <cell r="AD210">
            <v>1284.2218476689941</v>
          </cell>
          <cell r="AE210">
            <v>1253.2576513266811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P210">
            <v>1643.5403309899261</v>
          </cell>
          <cell r="AQ210">
            <v>375.84186815509452</v>
          </cell>
          <cell r="AS210">
            <v>2549.7026065452042</v>
          </cell>
          <cell r="AT210">
            <v>0</v>
          </cell>
          <cell r="AV210">
            <v>262.22253670330093</v>
          </cell>
          <cell r="AW210">
            <v>0</v>
          </cell>
          <cell r="AY210">
            <v>307.37491593592387</v>
          </cell>
          <cell r="AZ210">
            <v>0</v>
          </cell>
          <cell r="BB210">
            <v>218.67255935242412</v>
          </cell>
          <cell r="BC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K210">
            <v>1.147020302873283</v>
          </cell>
          <cell r="BL210">
            <v>0</v>
          </cell>
          <cell r="BN210">
            <v>38.805764507289481</v>
          </cell>
          <cell r="BO210">
            <v>0</v>
          </cell>
          <cell r="BT210">
            <v>6778.9009345803579</v>
          </cell>
          <cell r="BU210">
            <v>10894.660834772181</v>
          </cell>
          <cell r="BW210">
            <v>253.8952828058442</v>
          </cell>
          <cell r="BX210">
            <v>402.58524253338601</v>
          </cell>
          <cell r="BZ210">
            <v>2161.3616976019139</v>
          </cell>
          <cell r="CA210">
            <v>142.1289212843094</v>
          </cell>
          <cell r="CC210">
            <v>0</v>
          </cell>
          <cell r="CD210">
            <v>0</v>
          </cell>
          <cell r="CF210">
            <v>0</v>
          </cell>
          <cell r="CG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X210">
            <v>468.94530913668484</v>
          </cell>
          <cell r="CY210">
            <v>3432.7751178164422</v>
          </cell>
          <cell r="DA210">
            <v>-10138.467221806575</v>
          </cell>
          <cell r="DC210">
            <v>2662.95</v>
          </cell>
          <cell r="DD210">
            <v>0</v>
          </cell>
          <cell r="DE210">
            <v>0</v>
          </cell>
          <cell r="DF210">
            <v>0</v>
          </cell>
          <cell r="DW210">
            <v>918</v>
          </cell>
          <cell r="DX210">
            <v>0</v>
          </cell>
        </row>
        <row r="211">
          <cell r="F211">
            <v>397.4</v>
          </cell>
          <cell r="G211">
            <v>0</v>
          </cell>
          <cell r="H211">
            <v>76.900000000000006</v>
          </cell>
          <cell r="I211">
            <v>2108.0352840882047</v>
          </cell>
          <cell r="J211">
            <v>2111.3266986009112</v>
          </cell>
          <cell r="L211">
            <v>581.30283887950259</v>
          </cell>
          <cell r="M211">
            <v>603.81473625712181</v>
          </cell>
          <cell r="O211">
            <v>581.82581551521184</v>
          </cell>
          <cell r="P211">
            <v>583.64787598092471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1063.2238767822896</v>
          </cell>
          <cell r="Y211">
            <v>1018.0457091331155</v>
          </cell>
          <cell r="AA211">
            <v>0</v>
          </cell>
          <cell r="AB211">
            <v>0</v>
          </cell>
          <cell r="AD211">
            <v>1719.1826766847414</v>
          </cell>
          <cell r="AE211">
            <v>1677.7310302688256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874.39975254407523</v>
          </cell>
          <cell r="AQ211">
            <v>1046.300289596792</v>
          </cell>
          <cell r="AS211">
            <v>4920.5851750528245</v>
          </cell>
          <cell r="AT211">
            <v>1362.481936061416</v>
          </cell>
          <cell r="AV211">
            <v>351.98096952438277</v>
          </cell>
          <cell r="AW211">
            <v>0</v>
          </cell>
          <cell r="AY211">
            <v>684.7711019412684</v>
          </cell>
          <cell r="AZ211">
            <v>0</v>
          </cell>
          <cell r="BB211">
            <v>264.50131137572384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142.52455985306634</v>
          </cell>
          <cell r="BL211">
            <v>0</v>
          </cell>
          <cell r="BN211">
            <v>31.214014296485885</v>
          </cell>
          <cell r="BO211">
            <v>0</v>
          </cell>
          <cell r="BT211">
            <v>8522.5631282912891</v>
          </cell>
          <cell r="BU211">
            <v>15312.44774856095</v>
          </cell>
          <cell r="BW211">
            <v>2065.4329836801562</v>
          </cell>
          <cell r="BX211">
            <v>1974.9208833186738</v>
          </cell>
          <cell r="BZ211">
            <v>2310.1425079441383</v>
          </cell>
          <cell r="CA211">
            <v>153.1346341145854</v>
          </cell>
          <cell r="CC211">
            <v>274.27758140958503</v>
          </cell>
          <cell r="CD211">
            <v>274.80701827615155</v>
          </cell>
          <cell r="CF211">
            <v>34.022900707720737</v>
          </cell>
          <cell r="CG211">
            <v>0</v>
          </cell>
          <cell r="CI211">
            <v>1136.5736557849268</v>
          </cell>
          <cell r="CJ211">
            <v>1122.319064455472</v>
          </cell>
          <cell r="CL211">
            <v>0</v>
          </cell>
          <cell r="CM211">
            <v>0</v>
          </cell>
          <cell r="CX211">
            <v>396.33412994662001</v>
          </cell>
          <cell r="CY211">
            <v>907.03314162340439</v>
          </cell>
          <cell r="DA211">
            <v>32868.756156493539</v>
          </cell>
          <cell r="DC211">
            <v>4704.55</v>
          </cell>
          <cell r="DD211">
            <v>3808.87</v>
          </cell>
          <cell r="DE211">
            <v>985.71</v>
          </cell>
          <cell r="DF211">
            <v>3146.2</v>
          </cell>
          <cell r="DW211">
            <v>918</v>
          </cell>
          <cell r="DX211">
            <v>0</v>
          </cell>
        </row>
        <row r="212">
          <cell r="F212">
            <v>4361.57</v>
          </cell>
          <cell r="G212">
            <v>0</v>
          </cell>
          <cell r="H212">
            <v>376.3</v>
          </cell>
          <cell r="I212">
            <v>12053.741628380951</v>
          </cell>
          <cell r="J212">
            <v>12229.308893144591</v>
          </cell>
          <cell r="L212">
            <v>2476.4578166359443</v>
          </cell>
          <cell r="M212">
            <v>2571.9203093505175</v>
          </cell>
          <cell r="O212">
            <v>5763.0211332371682</v>
          </cell>
          <cell r="P212">
            <v>5782.5825963900033</v>
          </cell>
          <cell r="R212">
            <v>1363.1774061549777</v>
          </cell>
          <cell r="S212">
            <v>1367.2548134964677</v>
          </cell>
          <cell r="U212">
            <v>769.92996074775226</v>
          </cell>
          <cell r="V212">
            <v>1587.202589189038</v>
          </cell>
          <cell r="X212">
            <v>9630.4708351524096</v>
          </cell>
          <cell r="Y212">
            <v>9567.4343757101014</v>
          </cell>
          <cell r="AA212">
            <v>0</v>
          </cell>
          <cell r="AB212">
            <v>0</v>
          </cell>
          <cell r="AD212">
            <v>17165.150869809237</v>
          </cell>
          <cell r="AE212">
            <v>16751.702058057526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3289.4085929039034</v>
          </cell>
          <cell r="AQ212">
            <v>3663.4563002822706</v>
          </cell>
          <cell r="AS212">
            <v>47811.313467526154</v>
          </cell>
          <cell r="AT212">
            <v>78811.4654202128</v>
          </cell>
          <cell r="AV212">
            <v>2193.6222427832308</v>
          </cell>
          <cell r="AW212">
            <v>1788.0073460339131</v>
          </cell>
          <cell r="AY212">
            <v>3229.3878611449372</v>
          </cell>
          <cell r="AZ212">
            <v>832.92320353512014</v>
          </cell>
          <cell r="BB212">
            <v>2988.7855472876909</v>
          </cell>
          <cell r="BC212">
            <v>0</v>
          </cell>
          <cell r="BE212">
            <v>1183.953784831423</v>
          </cell>
          <cell r="BF212">
            <v>9221.5149797636241</v>
          </cell>
          <cell r="BH212">
            <v>708.11947131280408</v>
          </cell>
          <cell r="BI212">
            <v>0</v>
          </cell>
          <cell r="BK212">
            <v>1892.4225393378172</v>
          </cell>
          <cell r="BL212">
            <v>721.10176352025962</v>
          </cell>
          <cell r="BN212">
            <v>71.525580498480196</v>
          </cell>
          <cell r="BO212">
            <v>0</v>
          </cell>
          <cell r="BT212">
            <v>61886.89791123099</v>
          </cell>
          <cell r="BU212">
            <v>96904.273227457859</v>
          </cell>
          <cell r="BW212">
            <v>26780.738239789152</v>
          </cell>
          <cell r="BX212">
            <v>31557.219246758043</v>
          </cell>
          <cell r="BZ212">
            <v>15399.754045821181</v>
          </cell>
          <cell r="CA212">
            <v>449.62637598963124</v>
          </cell>
          <cell r="CC212">
            <v>2365.9645573929624</v>
          </cell>
          <cell r="CD212">
            <v>2370.5315688681112</v>
          </cell>
          <cell r="CF212">
            <v>293.48726498342279</v>
          </cell>
          <cell r="CG212">
            <v>3941.3686141166872</v>
          </cell>
          <cell r="CI212">
            <v>7095.7106584799794</v>
          </cell>
          <cell r="CJ212">
            <v>4398.8269898991693</v>
          </cell>
          <cell r="CL212">
            <v>0</v>
          </cell>
          <cell r="CM212">
            <v>0</v>
          </cell>
          <cell r="CX212">
            <v>7536.2291733261027</v>
          </cell>
          <cell r="CY212">
            <v>-62189.385934273712</v>
          </cell>
          <cell r="DA212">
            <v>24957.876694466162</v>
          </cell>
          <cell r="DC212">
            <v>53965</v>
          </cell>
          <cell r="DD212">
            <v>61950.5</v>
          </cell>
          <cell r="DE212">
            <v>20079.03</v>
          </cell>
          <cell r="DF212">
            <v>59372.24</v>
          </cell>
          <cell r="DW212">
            <v>1359</v>
          </cell>
          <cell r="DX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549.84232833810518</v>
          </cell>
          <cell r="J213">
            <v>664.85130880498684</v>
          </cell>
          <cell r="L213">
            <v>78.116717363747711</v>
          </cell>
          <cell r="M213">
            <v>98.035040528635349</v>
          </cell>
          <cell r="O213">
            <v>212.44</v>
          </cell>
          <cell r="P213">
            <v>212.44166666666669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X213">
            <v>385.0845420892756</v>
          </cell>
          <cell r="Y213">
            <v>471.59952028748501</v>
          </cell>
          <cell r="AA213">
            <v>0</v>
          </cell>
          <cell r="AB213">
            <v>0</v>
          </cell>
          <cell r="AD213">
            <v>705.92909655315145</v>
          </cell>
          <cell r="AE213">
            <v>654.2987274992048</v>
          </cell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P213">
            <v>426.15793930214238</v>
          </cell>
          <cell r="AQ213">
            <v>0</v>
          </cell>
          <cell r="AS213">
            <v>1494.1285285410243</v>
          </cell>
          <cell r="AT213">
            <v>0</v>
          </cell>
          <cell r="AV213">
            <v>93.973235344287261</v>
          </cell>
          <cell r="AW213">
            <v>0</v>
          </cell>
          <cell r="AY213">
            <v>100.6974605590315</v>
          </cell>
          <cell r="AZ213">
            <v>0</v>
          </cell>
          <cell r="BB213">
            <v>130.57305599791877</v>
          </cell>
          <cell r="BC213">
            <v>0</v>
          </cell>
          <cell r="BE213">
            <v>0</v>
          </cell>
          <cell r="BF213">
            <v>0</v>
          </cell>
          <cell r="BH213">
            <v>0</v>
          </cell>
          <cell r="BI213">
            <v>0</v>
          </cell>
          <cell r="BK213">
            <v>49.468905067871262</v>
          </cell>
          <cell r="BL213">
            <v>0</v>
          </cell>
          <cell r="BN213">
            <v>0</v>
          </cell>
          <cell r="BO213">
            <v>0</v>
          </cell>
          <cell r="BT213">
            <v>2645.3540300824889</v>
          </cell>
          <cell r="BU213">
            <v>4297.6064713040505</v>
          </cell>
          <cell r="BW213">
            <v>1223.927906025531</v>
          </cell>
          <cell r="BX213">
            <v>1968.7311105373524</v>
          </cell>
          <cell r="BZ213">
            <v>774.66867819156687</v>
          </cell>
          <cell r="CA213">
            <v>0</v>
          </cell>
          <cell r="CC213">
            <v>0</v>
          </cell>
          <cell r="CD213">
            <v>0</v>
          </cell>
          <cell r="CF213">
            <v>0</v>
          </cell>
          <cell r="CG213">
            <v>0</v>
          </cell>
          <cell r="CI213">
            <v>550.60719896240198</v>
          </cell>
          <cell r="CJ213">
            <v>585.58726992256231</v>
          </cell>
          <cell r="CL213">
            <v>0</v>
          </cell>
          <cell r="CM213">
            <v>0</v>
          </cell>
          <cell r="CX213">
            <v>282.66645309774685</v>
          </cell>
          <cell r="CY213">
            <v>844.04866133886753</v>
          </cell>
          <cell r="DA213">
            <v>-27003.316467220706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W213">
            <v>118</v>
          </cell>
          <cell r="DX213">
            <v>0</v>
          </cell>
        </row>
        <row r="214">
          <cell r="F214">
            <v>285.5</v>
          </cell>
          <cell r="G214">
            <v>0</v>
          </cell>
          <cell r="H214">
            <v>0</v>
          </cell>
          <cell r="I214">
            <v>487.93166255175305</v>
          </cell>
          <cell r="J214">
            <v>496.04695790224639</v>
          </cell>
          <cell r="L214">
            <v>247.65891517136654</v>
          </cell>
          <cell r="M214">
            <v>257.26352170481277</v>
          </cell>
          <cell r="O214">
            <v>346.63219378586814</v>
          </cell>
          <cell r="P214">
            <v>348.10827416056293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>
            <v>415.87851532455676</v>
          </cell>
          <cell r="Y214">
            <v>2125.3128886082754</v>
          </cell>
          <cell r="AA214">
            <v>0</v>
          </cell>
          <cell r="AB214">
            <v>0</v>
          </cell>
          <cell r="AD214">
            <v>1036.8646360994046</v>
          </cell>
          <cell r="AE214">
            <v>1011.7584159867567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749.4855021806361</v>
          </cell>
          <cell r="AQ214">
            <v>649.23473075241759</v>
          </cell>
          <cell r="AS214">
            <v>3792.1185304521173</v>
          </cell>
          <cell r="AT214">
            <v>58</v>
          </cell>
          <cell r="AV214">
            <v>262.62955380040887</v>
          </cell>
          <cell r="AW214">
            <v>0</v>
          </cell>
          <cell r="AY214">
            <v>291.95626045907369</v>
          </cell>
          <cell r="AZ214">
            <v>0</v>
          </cell>
          <cell r="BB214">
            <v>153.98796923711612</v>
          </cell>
          <cell r="BC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K214">
            <v>92.367037180253789</v>
          </cell>
          <cell r="BL214">
            <v>0</v>
          </cell>
          <cell r="BN214">
            <v>13.395360909145198</v>
          </cell>
          <cell r="BO214">
            <v>1197.2525579190001</v>
          </cell>
          <cell r="BT214">
            <v>5223.280097332974</v>
          </cell>
          <cell r="BU214">
            <v>7878.5101869204173</v>
          </cell>
          <cell r="BW214">
            <v>1057.689521925111</v>
          </cell>
          <cell r="BX214">
            <v>1273.5262383933255</v>
          </cell>
          <cell r="BZ214">
            <v>1494.1766030061292</v>
          </cell>
          <cell r="CA214">
            <v>130.79061087158914</v>
          </cell>
          <cell r="CC214">
            <v>0</v>
          </cell>
          <cell r="CD214">
            <v>0</v>
          </cell>
          <cell r="CF214">
            <v>0</v>
          </cell>
          <cell r="CG214">
            <v>0</v>
          </cell>
          <cell r="CI214">
            <v>909.3768671946832</v>
          </cell>
          <cell r="CJ214">
            <v>382.60503442694568</v>
          </cell>
          <cell r="CL214">
            <v>0</v>
          </cell>
          <cell r="CM214">
            <v>0</v>
          </cell>
          <cell r="CX214">
            <v>199.27215326852087</v>
          </cell>
          <cell r="CY214">
            <v>1119.6959240256217</v>
          </cell>
          <cell r="DA214">
            <v>511.1353398793899</v>
          </cell>
          <cell r="DC214">
            <v>5343.14</v>
          </cell>
          <cell r="DD214">
            <v>0</v>
          </cell>
          <cell r="DE214">
            <v>2731.1900000000005</v>
          </cell>
          <cell r="DF214">
            <v>0</v>
          </cell>
          <cell r="DW214">
            <v>918</v>
          </cell>
          <cell r="DX214">
            <v>0</v>
          </cell>
        </row>
        <row r="215">
          <cell r="F215">
            <v>3826</v>
          </cell>
          <cell r="G215">
            <v>407.65</v>
          </cell>
          <cell r="H215">
            <v>0</v>
          </cell>
          <cell r="I215">
            <v>4939.5212450727577</v>
          </cell>
          <cell r="J215">
            <v>3853.3869567199554</v>
          </cell>
          <cell r="L215">
            <v>1905.0295915942713</v>
          </cell>
          <cell r="M215">
            <v>1571.6470578190649</v>
          </cell>
          <cell r="O215">
            <v>4722.3633835128894</v>
          </cell>
          <cell r="P215">
            <v>4738.4614563293571</v>
          </cell>
          <cell r="R215">
            <v>1100.3081232986092</v>
          </cell>
          <cell r="S215">
            <v>1103.6587262792377</v>
          </cell>
          <cell r="U215">
            <v>885.51014153233018</v>
          </cell>
          <cell r="V215">
            <v>334.69568777111851</v>
          </cell>
          <cell r="X215">
            <v>7049.898478218689</v>
          </cell>
          <cell r="Y215">
            <v>4217.626005604192</v>
          </cell>
          <cell r="AA215">
            <v>0</v>
          </cell>
          <cell r="AB215">
            <v>0</v>
          </cell>
          <cell r="AD215">
            <v>13831.346532633686</v>
          </cell>
          <cell r="AE215">
            <v>13499.780697100092</v>
          </cell>
          <cell r="AJ215">
            <v>26240.732634351843</v>
          </cell>
          <cell r="AK215">
            <v>24761.50480697388</v>
          </cell>
          <cell r="AM215">
            <v>605.85684545284585</v>
          </cell>
          <cell r="AN215">
            <v>1572.369217369544</v>
          </cell>
          <cell r="AP215">
            <v>2997.9420087225444</v>
          </cell>
          <cell r="AQ215">
            <v>0</v>
          </cell>
          <cell r="AS215">
            <v>55661.996543583678</v>
          </cell>
          <cell r="AT215">
            <v>2564.6292580196978</v>
          </cell>
          <cell r="AV215">
            <v>582.91404976119065</v>
          </cell>
          <cell r="AW215">
            <v>291.77148727723926</v>
          </cell>
          <cell r="AY215">
            <v>1175.2267048345129</v>
          </cell>
          <cell r="AZ215">
            <v>2485.2341342750642</v>
          </cell>
          <cell r="BB215">
            <v>1114.2378206549386</v>
          </cell>
          <cell r="BC215">
            <v>0</v>
          </cell>
          <cell r="BE215">
            <v>526.55809870789403</v>
          </cell>
          <cell r="BF215">
            <v>0</v>
          </cell>
          <cell r="BH215">
            <v>458.00987158364961</v>
          </cell>
          <cell r="BI215">
            <v>0</v>
          </cell>
          <cell r="BK215">
            <v>769.24130418815696</v>
          </cell>
          <cell r="BL215">
            <v>0</v>
          </cell>
          <cell r="BN215">
            <v>462.41561338553572</v>
          </cell>
          <cell r="BO215">
            <v>0</v>
          </cell>
          <cell r="BT215">
            <v>52101.871170081751</v>
          </cell>
          <cell r="BU215">
            <v>83920.670054161776</v>
          </cell>
          <cell r="BW215">
            <v>25687.69516710606</v>
          </cell>
          <cell r="BX215">
            <v>32631.003756613398</v>
          </cell>
          <cell r="BZ215">
            <v>10437.970926299407</v>
          </cell>
          <cell r="CA215">
            <v>373.64113033993476</v>
          </cell>
          <cell r="CC215">
            <v>820.26940234642234</v>
          </cell>
          <cell r="CD215">
            <v>821.85276493802326</v>
          </cell>
          <cell r="CF215">
            <v>101.75073108851062</v>
          </cell>
          <cell r="CG215">
            <v>0</v>
          </cell>
          <cell r="CI215">
            <v>7246.732899581526</v>
          </cell>
          <cell r="CJ215">
            <v>5523.4998831511548</v>
          </cell>
          <cell r="CL215">
            <v>13980.931806110719</v>
          </cell>
          <cell r="CM215">
            <v>21448.775015375835</v>
          </cell>
          <cell r="CX215">
            <v>7383.636836657447</v>
          </cell>
          <cell r="CY215">
            <v>43014.184433760485</v>
          </cell>
          <cell r="DA215">
            <v>-66381.921638781103</v>
          </cell>
          <cell r="DC215">
            <v>102708.2</v>
          </cell>
          <cell r="DD215">
            <v>0</v>
          </cell>
          <cell r="DE215">
            <v>64673.32</v>
          </cell>
          <cell r="DF215">
            <v>0</v>
          </cell>
          <cell r="DW215">
            <v>1062</v>
          </cell>
          <cell r="DX215">
            <v>0</v>
          </cell>
        </row>
        <row r="216">
          <cell r="F216">
            <v>14591.35</v>
          </cell>
          <cell r="G216">
            <v>1189.72</v>
          </cell>
          <cell r="H216">
            <v>873.80000000000007</v>
          </cell>
          <cell r="I216">
            <v>46987.786799870992</v>
          </cell>
          <cell r="J216">
            <v>36347.348395660381</v>
          </cell>
          <cell r="L216">
            <v>7523.7093268467561</v>
          </cell>
          <cell r="M216">
            <v>6260.0824931291609</v>
          </cell>
          <cell r="O216">
            <v>20007.70911288022</v>
          </cell>
          <cell r="P216">
            <v>20074.506434610757</v>
          </cell>
          <cell r="R216">
            <v>4474.7523015934821</v>
          </cell>
          <cell r="S216">
            <v>4490.254703431734</v>
          </cell>
          <cell r="U216">
            <v>2208.0297126803571</v>
          </cell>
          <cell r="V216">
            <v>856.44290080196345</v>
          </cell>
          <cell r="X216">
            <v>28643.890993870169</v>
          </cell>
          <cell r="Y216">
            <v>19901.630554077488</v>
          </cell>
          <cell r="AA216">
            <v>0</v>
          </cell>
          <cell r="AB216">
            <v>0</v>
          </cell>
          <cell r="AD216">
            <v>55961.511354021277</v>
          </cell>
          <cell r="AE216">
            <v>54630.77002696081</v>
          </cell>
          <cell r="AJ216">
            <v>104973.48370775812</v>
          </cell>
          <cell r="AK216">
            <v>94484.711544678808</v>
          </cell>
          <cell r="AM216">
            <v>2120.5199753485049</v>
          </cell>
          <cell r="AN216">
            <v>7220.9873533280615</v>
          </cell>
          <cell r="AP216">
            <v>10201.330446347547</v>
          </cell>
          <cell r="AQ216">
            <v>11331.025263116573</v>
          </cell>
          <cell r="AS216">
            <v>196261.71240497514</v>
          </cell>
          <cell r="AT216">
            <v>79317.034165674733</v>
          </cell>
          <cell r="AV216">
            <v>4466.1501435959981</v>
          </cell>
          <cell r="AW216">
            <v>975</v>
          </cell>
          <cell r="AY216">
            <v>5271.1356626924289</v>
          </cell>
          <cell r="AZ216">
            <v>22530.724690927622</v>
          </cell>
          <cell r="BB216">
            <v>4797.4636279338283</v>
          </cell>
          <cell r="BC216">
            <v>0</v>
          </cell>
          <cell r="BE216">
            <v>2167.7139967950234</v>
          </cell>
          <cell r="BF216">
            <v>434.08200230550096</v>
          </cell>
          <cell r="BH216">
            <v>1150.0327012927137</v>
          </cell>
          <cell r="BI216">
            <v>0</v>
          </cell>
          <cell r="BK216">
            <v>5493.7044662766339</v>
          </cell>
          <cell r="BL216">
            <v>6587.2315372411686</v>
          </cell>
          <cell r="BN216">
            <v>1124.8647541655057</v>
          </cell>
          <cell r="BO216">
            <v>12372.275635531589</v>
          </cell>
          <cell r="BT216">
            <v>193392.21120474365</v>
          </cell>
          <cell r="BU216">
            <v>277880.0985745283</v>
          </cell>
          <cell r="BW216">
            <v>116042.10099872934</v>
          </cell>
          <cell r="BX216">
            <v>137693.25085486771</v>
          </cell>
          <cell r="BZ216">
            <v>40829.013766764758</v>
          </cell>
          <cell r="CA216">
            <v>1361.0212670855667</v>
          </cell>
          <cell r="CC216">
            <v>1830.2261039854548</v>
          </cell>
          <cell r="CD216">
            <v>1833.7589817679645</v>
          </cell>
          <cell r="CF216">
            <v>227.03131874123935</v>
          </cell>
          <cell r="CG216">
            <v>0</v>
          </cell>
          <cell r="CI216">
            <v>19524.721174689807</v>
          </cell>
          <cell r="CJ216">
            <v>11624.055565701998</v>
          </cell>
          <cell r="CL216">
            <v>17378.593424184943</v>
          </cell>
          <cell r="CM216">
            <v>28119.542089166422</v>
          </cell>
          <cell r="CX216">
            <v>26568.545051641893</v>
          </cell>
          <cell r="CY216">
            <v>94648.822387069376</v>
          </cell>
          <cell r="DA216">
            <v>3071.2799098449177</v>
          </cell>
          <cell r="DC216">
            <v>271144.58</v>
          </cell>
          <cell r="DD216">
            <v>19905.89</v>
          </cell>
          <cell r="DE216">
            <v>134098.72000000003</v>
          </cell>
          <cell r="DF216">
            <v>14250.75</v>
          </cell>
          <cell r="DW216">
            <v>2089.98</v>
          </cell>
          <cell r="DX216">
            <v>0</v>
          </cell>
        </row>
        <row r="217">
          <cell r="F217">
            <v>366</v>
          </cell>
          <cell r="G217">
            <v>0</v>
          </cell>
          <cell r="H217">
            <v>113.4</v>
          </cell>
          <cell r="I217">
            <v>2099.2631015943412</v>
          </cell>
          <cell r="J217">
            <v>2100.5489066091459</v>
          </cell>
          <cell r="L217">
            <v>474.21406597801104</v>
          </cell>
          <cell r="M217">
            <v>492.71380491819053</v>
          </cell>
          <cell r="O217">
            <v>505.14396750057534</v>
          </cell>
          <cell r="P217">
            <v>506.5308429830618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1047.9472819347332</v>
          </cell>
          <cell r="Y217">
            <v>1004.0902789533395</v>
          </cell>
          <cell r="AA217">
            <v>0</v>
          </cell>
          <cell r="AB217">
            <v>0</v>
          </cell>
          <cell r="AD217">
            <v>1737.6685119179101</v>
          </cell>
          <cell r="AE217">
            <v>1695.7711488738667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749.4855021806361</v>
          </cell>
          <cell r="AQ217">
            <v>818.23724358498987</v>
          </cell>
          <cell r="AS217">
            <v>6130.9711805514253</v>
          </cell>
          <cell r="AT217">
            <v>912.69028472757088</v>
          </cell>
          <cell r="AV217">
            <v>405.01434344246098</v>
          </cell>
          <cell r="AW217">
            <v>0</v>
          </cell>
          <cell r="AY217">
            <v>559.73673567279548</v>
          </cell>
          <cell r="AZ217">
            <v>0</v>
          </cell>
          <cell r="BB217">
            <v>267.31719796950057</v>
          </cell>
          <cell r="BC217">
            <v>3929.5444445395678</v>
          </cell>
          <cell r="BE217">
            <v>0</v>
          </cell>
          <cell r="BF217">
            <v>0</v>
          </cell>
          <cell r="BH217">
            <v>0</v>
          </cell>
          <cell r="BI217">
            <v>0</v>
          </cell>
          <cell r="BK217">
            <v>142.10629002505442</v>
          </cell>
          <cell r="BL217">
            <v>0</v>
          </cell>
          <cell r="BN217">
            <v>31.214014296485885</v>
          </cell>
          <cell r="BO217">
            <v>0</v>
          </cell>
          <cell r="BT217">
            <v>7225.2667309995259</v>
          </cell>
          <cell r="BU217">
            <v>11068.865594828987</v>
          </cell>
          <cell r="BW217">
            <v>1984.6252768341706</v>
          </cell>
          <cell r="BX217">
            <v>1806.7038478224486</v>
          </cell>
          <cell r="BZ217">
            <v>3064.7151934854069</v>
          </cell>
          <cell r="CA217">
            <v>148.48372528494187</v>
          </cell>
          <cell r="CC217">
            <v>0</v>
          </cell>
          <cell r="CD217">
            <v>0</v>
          </cell>
          <cell r="CF217">
            <v>0</v>
          </cell>
          <cell r="CG217">
            <v>0</v>
          </cell>
          <cell r="CI217">
            <v>1129.0815150132207</v>
          </cell>
          <cell r="CJ217">
            <v>757.92667986180174</v>
          </cell>
          <cell r="CL217">
            <v>0</v>
          </cell>
          <cell r="CM217">
            <v>0</v>
          </cell>
          <cell r="CX217">
            <v>1026.5682282410983</v>
          </cell>
          <cell r="CY217">
            <v>3800.56515593111</v>
          </cell>
          <cell r="DA217">
            <v>3311.5050810448301</v>
          </cell>
          <cell r="DC217">
            <v>12993.94</v>
          </cell>
          <cell r="DD217">
            <v>9006.76</v>
          </cell>
          <cell r="DE217">
            <v>9537.8000000000011</v>
          </cell>
          <cell r="DF217">
            <v>8043.85</v>
          </cell>
          <cell r="DW217">
            <v>918</v>
          </cell>
          <cell r="DX217">
            <v>0</v>
          </cell>
        </row>
        <row r="218">
          <cell r="F218">
            <v>5144.8999999999996</v>
          </cell>
          <cell r="G218">
            <v>642.45000000000005</v>
          </cell>
          <cell r="H218">
            <v>0</v>
          </cell>
          <cell r="I218">
            <v>11674.180652585306</v>
          </cell>
          <cell r="J218">
            <v>9024.8918824225402</v>
          </cell>
          <cell r="L218">
            <v>2052.0242890822492</v>
          </cell>
          <cell r="M218">
            <v>1848.3969888114364</v>
          </cell>
          <cell r="O218">
            <v>6985.6929034209825</v>
          </cell>
          <cell r="P218">
            <v>7009.1458632501563</v>
          </cell>
          <cell r="R218">
            <v>1454.9021753596746</v>
          </cell>
          <cell r="S218">
            <v>1459.5998337119381</v>
          </cell>
          <cell r="U218">
            <v>1735.079561732716</v>
          </cell>
          <cell r="V218">
            <v>758.59214841645246</v>
          </cell>
          <cell r="X218">
            <v>6793.5493634940804</v>
          </cell>
          <cell r="Y218">
            <v>4478.6582090778529</v>
          </cell>
          <cell r="AA218">
            <v>0</v>
          </cell>
          <cell r="AB218">
            <v>0</v>
          </cell>
          <cell r="AD218">
            <v>18630.255793783457</v>
          </cell>
          <cell r="AE218">
            <v>18182.019626909347</v>
          </cell>
          <cell r="AJ218">
            <v>33836.718342640059</v>
          </cell>
          <cell r="AK218">
            <v>31929.384460485369</v>
          </cell>
          <cell r="AM218">
            <v>605.85684545284585</v>
          </cell>
          <cell r="AN218">
            <v>1705.8204474802576</v>
          </cell>
          <cell r="AP218">
            <v>3331.0466763583822</v>
          </cell>
          <cell r="AQ218">
            <v>3755.4838420908004</v>
          </cell>
          <cell r="AS218">
            <v>78342.21412775814</v>
          </cell>
          <cell r="AT218">
            <v>54045.11456027293</v>
          </cell>
          <cell r="AV218">
            <v>984.1359391759172</v>
          </cell>
          <cell r="AW218">
            <v>430.726959519101</v>
          </cell>
          <cell r="AY218">
            <v>802.93074876595495</v>
          </cell>
          <cell r="AZ218">
            <v>2437.4861276306642</v>
          </cell>
          <cell r="BB218">
            <v>1320.5561196967183</v>
          </cell>
          <cell r="BC218">
            <v>0</v>
          </cell>
          <cell r="BE218">
            <v>312.16883714516433</v>
          </cell>
          <cell r="BF218">
            <v>1737.9924740369104</v>
          </cell>
          <cell r="BH218">
            <v>589.45433581131977</v>
          </cell>
          <cell r="BI218">
            <v>0</v>
          </cell>
          <cell r="BK218">
            <v>921.82075236651337</v>
          </cell>
          <cell r="BL218">
            <v>3250.317633545631</v>
          </cell>
          <cell r="BN218">
            <v>461.43108290608393</v>
          </cell>
          <cell r="BO218">
            <v>0</v>
          </cell>
          <cell r="BT218">
            <v>65290.588044094671</v>
          </cell>
          <cell r="BU218">
            <v>94277.967345864512</v>
          </cell>
          <cell r="BW218">
            <v>32592.236524393185</v>
          </cell>
          <cell r="BX218">
            <v>43790.714867517061</v>
          </cell>
          <cell r="BZ218">
            <v>14831.488412577342</v>
          </cell>
          <cell r="CA218">
            <v>437.60503387150248</v>
          </cell>
          <cell r="CC218">
            <v>1568.7652319875331</v>
          </cell>
          <cell r="CD218">
            <v>1571.7934129439695</v>
          </cell>
          <cell r="CF218">
            <v>194.59827320677653</v>
          </cell>
          <cell r="CG218">
            <v>0</v>
          </cell>
          <cell r="CI218">
            <v>28646.836699430773</v>
          </cell>
          <cell r="CJ218">
            <v>18213.813422630752</v>
          </cell>
          <cell r="CL218">
            <v>7791.5902943838082</v>
          </cell>
          <cell r="CM218">
            <v>11117.474828322782</v>
          </cell>
          <cell r="CX218">
            <v>12333.209316834318</v>
          </cell>
          <cell r="CY218">
            <v>24677.755787391623</v>
          </cell>
          <cell r="DA218">
            <v>-18496.987854567498</v>
          </cell>
          <cell r="DC218">
            <v>95371.56</v>
          </cell>
          <cell r="DD218">
            <v>0</v>
          </cell>
          <cell r="DE218">
            <v>43640.14</v>
          </cell>
          <cell r="DF218">
            <v>0</v>
          </cell>
          <cell r="DW218">
            <v>1062</v>
          </cell>
          <cell r="DX218">
            <v>0</v>
          </cell>
        </row>
        <row r="219">
          <cell r="F219">
            <v>284.10000000000002</v>
          </cell>
          <cell r="G219">
            <v>0</v>
          </cell>
          <cell r="H219">
            <v>120.4</v>
          </cell>
          <cell r="I219">
            <v>1239.6151903484163</v>
          </cell>
          <cell r="J219">
            <v>1246.2983925041667</v>
          </cell>
          <cell r="L219">
            <v>474.21406597801104</v>
          </cell>
          <cell r="M219">
            <v>492.71380491819053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1109.9989559327591</v>
          </cell>
          <cell r="Y219">
            <v>1068.5095031121066</v>
          </cell>
          <cell r="AA219">
            <v>0</v>
          </cell>
          <cell r="AB219">
            <v>0</v>
          </cell>
          <cell r="AD219">
            <v>1466.1804611405814</v>
          </cell>
          <cell r="AE219">
            <v>1430.8290148508117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551.9994667660535</v>
          </cell>
          <cell r="AQ219">
            <v>280.95076846322246</v>
          </cell>
          <cell r="AS219">
            <v>5790.3759507382156</v>
          </cell>
          <cell r="AT219">
            <v>538.77775360293617</v>
          </cell>
          <cell r="AV219">
            <v>264.19537878068712</v>
          </cell>
          <cell r="AW219">
            <v>0</v>
          </cell>
          <cell r="AY219">
            <v>559.73673567279548</v>
          </cell>
          <cell r="AZ219">
            <v>0</v>
          </cell>
          <cell r="BB219">
            <v>0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207.2897890240726</v>
          </cell>
          <cell r="BL219">
            <v>0</v>
          </cell>
          <cell r="BN219">
            <v>31.214014296485885</v>
          </cell>
          <cell r="BO219">
            <v>0</v>
          </cell>
          <cell r="BT219">
            <v>7467.2053831959856</v>
          </cell>
          <cell r="BU219">
            <v>11592.805994182349</v>
          </cell>
          <cell r="BW219">
            <v>1973.7645781662386</v>
          </cell>
          <cell r="BX219">
            <v>1757.5585519450449</v>
          </cell>
          <cell r="BZ219">
            <v>1643.6296295980997</v>
          </cell>
          <cell r="CA219">
            <v>154.33385037493957</v>
          </cell>
          <cell r="CC219">
            <v>0</v>
          </cell>
          <cell r="CD219">
            <v>0</v>
          </cell>
          <cell r="CF219">
            <v>0</v>
          </cell>
          <cell r="CG219">
            <v>0</v>
          </cell>
          <cell r="CI219">
            <v>376.31136226826453</v>
          </cell>
          <cell r="CJ219">
            <v>343.75592738756609</v>
          </cell>
          <cell r="CL219">
            <v>0</v>
          </cell>
          <cell r="CM219">
            <v>0</v>
          </cell>
          <cell r="CX219">
            <v>330.0956250420993</v>
          </cell>
          <cell r="CY219">
            <v>5429.1325057204976</v>
          </cell>
          <cell r="DA219">
            <v>25470.881535623725</v>
          </cell>
          <cell r="DC219">
            <v>3266.5</v>
          </cell>
          <cell r="DD219">
            <v>9992.0300000000007</v>
          </cell>
          <cell r="DE219">
            <v>600.40999999999985</v>
          </cell>
          <cell r="DF219">
            <v>9008.6400000000012</v>
          </cell>
          <cell r="DW219">
            <v>0</v>
          </cell>
          <cell r="DX219">
            <v>0</v>
          </cell>
        </row>
        <row r="220">
          <cell r="F220">
            <v>7448.76</v>
          </cell>
          <cell r="G220">
            <v>941.36</v>
          </cell>
          <cell r="H220">
            <v>0</v>
          </cell>
          <cell r="I220">
            <v>18152.190381185555</v>
          </cell>
          <cell r="J220">
            <v>14148.511448751902</v>
          </cell>
          <cell r="L220">
            <v>3141.3636811425849</v>
          </cell>
          <cell r="M220">
            <v>2687.0089196590284</v>
          </cell>
          <cell r="O220">
            <v>10696.663081745513</v>
          </cell>
          <cell r="P220">
            <v>10732.487454468961</v>
          </cell>
          <cell r="R220">
            <v>2090.2604466411203</v>
          </cell>
          <cell r="S220">
            <v>2097.6085403239867</v>
          </cell>
          <cell r="U220">
            <v>1070.8591735701361</v>
          </cell>
          <cell r="V220">
            <v>703.10689884860858</v>
          </cell>
          <cell r="X220">
            <v>12481.528702299371</v>
          </cell>
          <cell r="Y220">
            <v>10692.833532828119</v>
          </cell>
          <cell r="AA220">
            <v>0</v>
          </cell>
          <cell r="AB220">
            <v>0</v>
          </cell>
          <cell r="AD220">
            <v>27005.240221378554</v>
          </cell>
          <cell r="AE220">
            <v>26353.799306699282</v>
          </cell>
          <cell r="AJ220">
            <v>74620.25336953433</v>
          </cell>
          <cell r="AK220">
            <v>70414.000645500142</v>
          </cell>
          <cell r="AM220">
            <v>0</v>
          </cell>
          <cell r="AN220">
            <v>0</v>
          </cell>
          <cell r="AP220">
            <v>4996.5700145375749</v>
          </cell>
          <cell r="AQ220">
            <v>5554.8928310799993</v>
          </cell>
          <cell r="AS220">
            <v>108252.56552995906</v>
          </cell>
          <cell r="AT220">
            <v>272630.52230691124</v>
          </cell>
          <cell r="AV220">
            <v>1912.9320583229114</v>
          </cell>
          <cell r="AW220">
            <v>1111.1159889847941</v>
          </cell>
          <cell r="AY220">
            <v>2166.2516820750675</v>
          </cell>
          <cell r="AZ220">
            <v>6495.9368971524464</v>
          </cell>
          <cell r="BB220">
            <v>2533.2878838780366</v>
          </cell>
          <cell r="BC220">
            <v>1523.7581376649762</v>
          </cell>
          <cell r="BE220">
            <v>1044.0115530688031</v>
          </cell>
          <cell r="BF220">
            <v>0</v>
          </cell>
          <cell r="BH220">
            <v>566.30040801528844</v>
          </cell>
          <cell r="BI220">
            <v>0</v>
          </cell>
          <cell r="BK220">
            <v>2308.3084678135665</v>
          </cell>
          <cell r="BL220">
            <v>4264.9885218112659</v>
          </cell>
          <cell r="BN220">
            <v>693.49026769070235</v>
          </cell>
          <cell r="BO220">
            <v>3716.0503409034895</v>
          </cell>
          <cell r="BT220">
            <v>94226.181951338571</v>
          </cell>
          <cell r="BU220">
            <v>49733.339418829157</v>
          </cell>
          <cell r="BW220">
            <v>52448.423751800634</v>
          </cell>
          <cell r="BX220">
            <v>20185.071191044157</v>
          </cell>
          <cell r="BZ220">
            <v>14352.0966626179</v>
          </cell>
          <cell r="CA220">
            <v>61.447866172177676</v>
          </cell>
          <cell r="CC220">
            <v>1995.3053212076725</v>
          </cell>
          <cell r="CD220">
            <v>1999.1568507117418</v>
          </cell>
          <cell r="CF220">
            <v>247.50865337280209</v>
          </cell>
          <cell r="CG220">
            <v>0</v>
          </cell>
          <cell r="CI220">
            <v>23780.20507714097</v>
          </cell>
          <cell r="CJ220">
            <v>16522.031153663112</v>
          </cell>
          <cell r="CL220">
            <v>16568.644678234963</v>
          </cell>
          <cell r="CM220">
            <v>20454.896517483681</v>
          </cell>
          <cell r="CX220">
            <v>17770.385540591215</v>
          </cell>
          <cell r="CY220">
            <v>-59908.16056051341</v>
          </cell>
          <cell r="DA220">
            <v>-8667.6348717834626</v>
          </cell>
          <cell r="DC220">
            <v>149050.64000000001</v>
          </cell>
          <cell r="DD220">
            <v>0</v>
          </cell>
          <cell r="DE220">
            <v>72390.310000000012</v>
          </cell>
          <cell r="DF220">
            <v>0</v>
          </cell>
          <cell r="DW220">
            <v>1044</v>
          </cell>
          <cell r="DX220">
            <v>0</v>
          </cell>
        </row>
        <row r="221">
          <cell r="F221">
            <v>6115.75</v>
          </cell>
          <cell r="G221">
            <v>717.15</v>
          </cell>
          <cell r="H221">
            <v>0</v>
          </cell>
          <cell r="I221">
            <v>8833.9532812065263</v>
          </cell>
          <cell r="J221">
            <v>6885.4928009056612</v>
          </cell>
          <cell r="L221">
            <v>2436.7811163222318</v>
          </cell>
          <cell r="M221">
            <v>2054.2025899508058</v>
          </cell>
          <cell r="O221">
            <v>8738.7592008519805</v>
          </cell>
          <cell r="P221">
            <v>8768.1675798441902</v>
          </cell>
          <cell r="R221">
            <v>1606.3060302894439</v>
          </cell>
          <cell r="S221">
            <v>1611.4491546906427</v>
          </cell>
          <cell r="U221">
            <v>957.39977265856851</v>
          </cell>
          <cell r="V221">
            <v>489.74677434780858</v>
          </cell>
          <cell r="X221">
            <v>10444.1126547572</v>
          </cell>
          <cell r="Y221">
            <v>6801.7041105900362</v>
          </cell>
          <cell r="AA221">
            <v>0</v>
          </cell>
          <cell r="AB221">
            <v>0</v>
          </cell>
          <cell r="AD221">
            <v>22180.008018133929</v>
          </cell>
          <cell r="AE221">
            <v>21644.568405674243</v>
          </cell>
          <cell r="AJ221">
            <v>52028.864003543815</v>
          </cell>
          <cell r="AK221">
            <v>44471.01838241802</v>
          </cell>
          <cell r="AM221">
            <v>3499.2332944400587</v>
          </cell>
          <cell r="AN221">
            <v>791.95832906965779</v>
          </cell>
          <cell r="AP221">
            <v>4247.084512356937</v>
          </cell>
          <cell r="AQ221">
            <v>4728.6615666536791</v>
          </cell>
          <cell r="AS221">
            <v>101647.61112903283</v>
          </cell>
          <cell r="AT221">
            <v>18209.329346073057</v>
          </cell>
          <cell r="AV221">
            <v>456.11715323105</v>
          </cell>
          <cell r="AW221">
            <v>745.21377779366821</v>
          </cell>
          <cell r="AY221">
            <v>662.41470376919199</v>
          </cell>
          <cell r="AZ221">
            <v>0</v>
          </cell>
          <cell r="BB221">
            <v>425.70226566000258</v>
          </cell>
          <cell r="BC221">
            <v>0</v>
          </cell>
          <cell r="BE221">
            <v>384.50555915167331</v>
          </cell>
          <cell r="BF221">
            <v>0</v>
          </cell>
          <cell r="BH221">
            <v>354.53494987512943</v>
          </cell>
          <cell r="BI221">
            <v>0</v>
          </cell>
          <cell r="BK221">
            <v>660.24851717038962</v>
          </cell>
          <cell r="BL221">
            <v>0</v>
          </cell>
          <cell r="BN221">
            <v>855.75656584808121</v>
          </cell>
          <cell r="BO221">
            <v>0</v>
          </cell>
          <cell r="BT221">
            <v>65796.43570231933</v>
          </cell>
          <cell r="BU221">
            <v>89655.442892701976</v>
          </cell>
          <cell r="BW221">
            <v>44771.26509721372</v>
          </cell>
          <cell r="BX221">
            <v>59777.014662058296</v>
          </cell>
          <cell r="BZ221">
            <v>8372.0563865271088</v>
          </cell>
          <cell r="CA221">
            <v>435.65130330472721</v>
          </cell>
          <cell r="CC221">
            <v>1587.2212935403275</v>
          </cell>
          <cell r="CD221">
            <v>1590.2851001550748</v>
          </cell>
          <cell r="CF221">
            <v>196.88766465626804</v>
          </cell>
          <cell r="CG221">
            <v>0</v>
          </cell>
          <cell r="CI221">
            <v>13782.64095559642</v>
          </cell>
          <cell r="CJ221">
            <v>15141.562823227185</v>
          </cell>
          <cell r="CL221">
            <v>9960.059230028206</v>
          </cell>
          <cell r="CM221">
            <v>16954.784581085183</v>
          </cell>
          <cell r="CX221">
            <v>13346.011937037392</v>
          </cell>
          <cell r="CY221">
            <v>90301.657790201134</v>
          </cell>
          <cell r="DA221">
            <v>33833.825876169663</v>
          </cell>
          <cell r="DC221">
            <v>112676.54</v>
          </cell>
          <cell r="DD221">
            <v>0</v>
          </cell>
          <cell r="DE221">
            <v>53919.729999999996</v>
          </cell>
          <cell r="DF221">
            <v>0</v>
          </cell>
          <cell r="DW221">
            <v>1242</v>
          </cell>
          <cell r="DX221">
            <v>0</v>
          </cell>
        </row>
        <row r="222">
          <cell r="F222">
            <v>2163.62</v>
          </cell>
          <cell r="G222">
            <v>234.2</v>
          </cell>
          <cell r="H222">
            <v>0</v>
          </cell>
          <cell r="I222">
            <v>6924.392463001358</v>
          </cell>
          <cell r="J222">
            <v>5332.5425225470326</v>
          </cell>
          <cell r="L222">
            <v>1044.6215594052121</v>
          </cell>
          <cell r="M222">
            <v>892.65856603547263</v>
          </cell>
          <cell r="O222">
            <v>2810.9987487175031</v>
          </cell>
          <cell r="P222">
            <v>2820.3593846149161</v>
          </cell>
          <cell r="R222">
            <v>652.84085638787894</v>
          </cell>
          <cell r="S222">
            <v>654.78756812759184</v>
          </cell>
          <cell r="U222">
            <v>322.61677315762631</v>
          </cell>
          <cell r="V222">
            <v>157.7875520281633</v>
          </cell>
          <cell r="X222">
            <v>2001.7246747800673</v>
          </cell>
          <cell r="Y222">
            <v>1412.7293023062819</v>
          </cell>
          <cell r="AA222">
            <v>0</v>
          </cell>
          <cell r="AB222">
            <v>0</v>
          </cell>
          <cell r="AD222">
            <v>7842.9934778824099</v>
          </cell>
          <cell r="AE222">
            <v>7653.8587684386594</v>
          </cell>
          <cell r="AJ222">
            <v>15676.39011111427</v>
          </cell>
          <cell r="AK222">
            <v>14335.612406691291</v>
          </cell>
          <cell r="AM222">
            <v>1368.3633799643014</v>
          </cell>
          <cell r="AN222">
            <v>1312.4069936408671</v>
          </cell>
          <cell r="AP222">
            <v>1498.9710043612722</v>
          </cell>
          <cell r="AQ222">
            <v>1740</v>
          </cell>
          <cell r="AS222">
            <v>27751.812871750357</v>
          </cell>
          <cell r="AT222">
            <v>34453.570422394034</v>
          </cell>
          <cell r="AV222">
            <v>576.48433357104284</v>
          </cell>
          <cell r="AW222">
            <v>786.88028318186889</v>
          </cell>
          <cell r="AY222">
            <v>668.95266693578606</v>
          </cell>
          <cell r="AZ222">
            <v>0</v>
          </cell>
          <cell r="BB222">
            <v>529.94390601695522</v>
          </cell>
          <cell r="BC222">
            <v>0</v>
          </cell>
          <cell r="BE222">
            <v>320.51346302933115</v>
          </cell>
          <cell r="BF222">
            <v>622.83093257350083</v>
          </cell>
          <cell r="BH222">
            <v>168.49131270460393</v>
          </cell>
          <cell r="BI222">
            <v>0</v>
          </cell>
          <cell r="BK222">
            <v>258.37867465525898</v>
          </cell>
          <cell r="BL222">
            <v>2431.2588501124069</v>
          </cell>
          <cell r="BN222">
            <v>187.81525251464379</v>
          </cell>
          <cell r="BO222">
            <v>1878.8737064906281</v>
          </cell>
          <cell r="BT222">
            <v>28405.496456227454</v>
          </cell>
          <cell r="BU222">
            <v>31568.191236136925</v>
          </cell>
          <cell r="BW222">
            <v>15544.647275820476</v>
          </cell>
          <cell r="BX222">
            <v>13866.719492711418</v>
          </cell>
          <cell r="BZ222">
            <v>6566.3066419189308</v>
          </cell>
          <cell r="CA222">
            <v>46.542517591616097</v>
          </cell>
          <cell r="CC222">
            <v>680.56726975929746</v>
          </cell>
          <cell r="CD222">
            <v>681.88096590951625</v>
          </cell>
          <cell r="CF222">
            <v>84.421309699998659</v>
          </cell>
          <cell r="CG222">
            <v>1181.8002794287729</v>
          </cell>
          <cell r="CI222">
            <v>4552.9021946608518</v>
          </cell>
          <cell r="CJ222">
            <v>2278.0808480838446</v>
          </cell>
          <cell r="CL222">
            <v>4002.0491529978372</v>
          </cell>
          <cell r="CM222">
            <v>6416.038945739534</v>
          </cell>
          <cell r="CX222">
            <v>3660.587425189809</v>
          </cell>
          <cell r="CY222">
            <v>1161.3285686902454</v>
          </cell>
          <cell r="DA222">
            <v>-40618.783310680519</v>
          </cell>
          <cell r="DC222">
            <v>64754.59</v>
          </cell>
          <cell r="DD222">
            <v>0</v>
          </cell>
          <cell r="DE222">
            <v>43885.189999999995</v>
          </cell>
          <cell r="DF222">
            <v>0</v>
          </cell>
          <cell r="DW222">
            <v>909</v>
          </cell>
          <cell r="DX222">
            <v>0</v>
          </cell>
        </row>
        <row r="223">
          <cell r="F223">
            <v>4312.1400000000003</v>
          </cell>
          <cell r="G223">
            <v>457.6</v>
          </cell>
          <cell r="H223">
            <v>0</v>
          </cell>
          <cell r="I223">
            <v>13460.244749254411</v>
          </cell>
          <cell r="J223">
            <v>10322.09947532001</v>
          </cell>
          <cell r="L223">
            <v>2089.2431188104242</v>
          </cell>
          <cell r="M223">
            <v>1754.0107339816984</v>
          </cell>
          <cell r="O223">
            <v>5717.6169453845532</v>
          </cell>
          <cell r="P223">
            <v>5736.9466091767217</v>
          </cell>
          <cell r="R223">
            <v>1254.7176533854713</v>
          </cell>
          <cell r="S223">
            <v>1258.8375298794431</v>
          </cell>
          <cell r="U223">
            <v>645.03695619559403</v>
          </cell>
          <cell r="V223">
            <v>305.06966175655089</v>
          </cell>
          <cell r="X223">
            <v>5835.3334586977462</v>
          </cell>
          <cell r="Y223">
            <v>3638.6168299000151</v>
          </cell>
          <cell r="AA223">
            <v>0</v>
          </cell>
          <cell r="AB223">
            <v>0</v>
          </cell>
          <cell r="AD223">
            <v>15635.46821675631</v>
          </cell>
          <cell r="AE223">
            <v>15258.195540698833</v>
          </cell>
          <cell r="AJ223">
            <v>32940.012987593596</v>
          </cell>
          <cell r="AK223">
            <v>30626.093884588274</v>
          </cell>
          <cell r="AM223">
            <v>2736.7267599286029</v>
          </cell>
          <cell r="AN223">
            <v>2362.5277366047103</v>
          </cell>
          <cell r="AP223">
            <v>2997.9420087225444</v>
          </cell>
          <cell r="AQ223">
            <v>3480</v>
          </cell>
          <cell r="AS223">
            <v>52782.086222860307</v>
          </cell>
          <cell r="AT223">
            <v>7683.6537948098967</v>
          </cell>
          <cell r="AV223">
            <v>1287.7004011276442</v>
          </cell>
          <cell r="AW223">
            <v>3495.0311479236639</v>
          </cell>
          <cell r="AY223">
            <v>1122.5814585416513</v>
          </cell>
          <cell r="AZ223">
            <v>0</v>
          </cell>
          <cell r="BB223">
            <v>915.63240693361342</v>
          </cell>
          <cell r="BC223">
            <v>0</v>
          </cell>
          <cell r="BE223">
            <v>459.54445827127995</v>
          </cell>
          <cell r="BF223">
            <v>0</v>
          </cell>
          <cell r="BH223">
            <v>283.55402480374789</v>
          </cell>
          <cell r="BI223">
            <v>0</v>
          </cell>
          <cell r="BK223">
            <v>890.6438158504634</v>
          </cell>
          <cell r="BL223">
            <v>5967.2415871081812</v>
          </cell>
          <cell r="BN223">
            <v>400.33638537313857</v>
          </cell>
          <cell r="BO223">
            <v>6336.8411542312633</v>
          </cell>
          <cell r="BT223">
            <v>53042.416662882002</v>
          </cell>
          <cell r="BU223">
            <v>77463.645870555309</v>
          </cell>
          <cell r="BW223">
            <v>32460.149828580456</v>
          </cell>
          <cell r="BX223">
            <v>37004.84913432016</v>
          </cell>
          <cell r="BZ223">
            <v>12254.222672848311</v>
          </cell>
          <cell r="CA223">
            <v>130.55827272007781</v>
          </cell>
          <cell r="CC223">
            <v>1268.8542317546223</v>
          </cell>
          <cell r="CD223">
            <v>1271.3034957635045</v>
          </cell>
          <cell r="CF223">
            <v>157.39566215253984</v>
          </cell>
          <cell r="CG223">
            <v>3212.0124311948584</v>
          </cell>
          <cell r="CI223">
            <v>9067.901400837889</v>
          </cell>
          <cell r="CJ223">
            <v>4543.501510511489</v>
          </cell>
          <cell r="CL223">
            <v>7969.296669862807</v>
          </cell>
          <cell r="CM223">
            <v>12794.130324112621</v>
          </cell>
          <cell r="CX223">
            <v>7150.9382607196576</v>
          </cell>
          <cell r="CY223">
            <v>34786.329179422544</v>
          </cell>
          <cell r="DA223">
            <v>29756.067266608676</v>
          </cell>
          <cell r="DC223">
            <v>73001.23</v>
          </cell>
          <cell r="DD223">
            <v>0</v>
          </cell>
          <cell r="DE223">
            <v>31679.21</v>
          </cell>
          <cell r="DF223">
            <v>0</v>
          </cell>
          <cell r="DW223">
            <v>918</v>
          </cell>
          <cell r="DX223">
            <v>0</v>
          </cell>
        </row>
        <row r="224">
          <cell r="F224">
            <v>2140.64</v>
          </cell>
          <cell r="G224">
            <v>236.5</v>
          </cell>
          <cell r="H224">
            <v>0</v>
          </cell>
          <cell r="I224">
            <v>7042.3446851460321</v>
          </cell>
          <cell r="J224">
            <v>5440.8251589864285</v>
          </cell>
          <cell r="L224">
            <v>1045.1834385658476</v>
          </cell>
          <cell r="M224">
            <v>870.79995039346045</v>
          </cell>
          <cell r="O224">
            <v>2816.3079620309786</v>
          </cell>
          <cell r="P224">
            <v>2826.0424161729597</v>
          </cell>
          <cell r="R224">
            <v>623.56494134476407</v>
          </cell>
          <cell r="S224">
            <v>625.65502597694456</v>
          </cell>
          <cell r="U224">
            <v>322.61677315762631</v>
          </cell>
          <cell r="V224">
            <v>126.48115393891645</v>
          </cell>
          <cell r="X224">
            <v>2004.7949908863438</v>
          </cell>
          <cell r="Y224">
            <v>1410.3006423800903</v>
          </cell>
          <cell r="AA224">
            <v>0</v>
          </cell>
          <cell r="AB224">
            <v>0</v>
          </cell>
          <cell r="AD224">
            <v>7759.4098604974033</v>
          </cell>
          <cell r="AE224">
            <v>7572.3056160969181</v>
          </cell>
          <cell r="AJ224">
            <v>17263.62287647932</v>
          </cell>
          <cell r="AK224">
            <v>15969.593844010931</v>
          </cell>
          <cell r="AM224">
            <v>1368.3633799643014</v>
          </cell>
          <cell r="AN224">
            <v>1312.4069936408671</v>
          </cell>
          <cell r="AP224">
            <v>1498.9710043612722</v>
          </cell>
          <cell r="AQ224">
            <v>1740</v>
          </cell>
          <cell r="AS224">
            <v>29663.445942448547</v>
          </cell>
          <cell r="AT224">
            <v>25380.495937816617</v>
          </cell>
          <cell r="AV224">
            <v>716.33469738434678</v>
          </cell>
          <cell r="AW224">
            <v>0</v>
          </cell>
          <cell r="AY224">
            <v>701.20491907545318</v>
          </cell>
          <cell r="AZ224">
            <v>0</v>
          </cell>
          <cell r="BB224">
            <v>527.02810399456473</v>
          </cell>
          <cell r="BC224">
            <v>0</v>
          </cell>
          <cell r="BE224">
            <v>304.07509517971454</v>
          </cell>
          <cell r="BF224">
            <v>0</v>
          </cell>
          <cell r="BH224">
            <v>168.49131270460393</v>
          </cell>
          <cell r="BI224">
            <v>0</v>
          </cell>
          <cell r="BK224">
            <v>390.54979294396236</v>
          </cell>
          <cell r="BL224">
            <v>0</v>
          </cell>
          <cell r="BN224">
            <v>145.053269477779</v>
          </cell>
          <cell r="BO224">
            <v>1141.464691227553</v>
          </cell>
          <cell r="BT224">
            <v>30454.334275118854</v>
          </cell>
          <cell r="BU224">
            <v>46485.528610307818</v>
          </cell>
          <cell r="BW224">
            <v>16229.299861549138</v>
          </cell>
          <cell r="BX224">
            <v>18590.306709925331</v>
          </cell>
          <cell r="BZ224">
            <v>6889.8960731415546</v>
          </cell>
          <cell r="CA224">
            <v>73.962955746177357</v>
          </cell>
          <cell r="CC224">
            <v>623.91741415974741</v>
          </cell>
          <cell r="CD224">
            <v>625.12175933098388</v>
          </cell>
          <cell r="CF224">
            <v>77.394149834198387</v>
          </cell>
          <cell r="CG224">
            <v>1181.8002794287729</v>
          </cell>
          <cell r="CI224">
            <v>4520.0676807957225</v>
          </cell>
          <cell r="CJ224">
            <v>2258.8076028273381</v>
          </cell>
          <cell r="CL224">
            <v>3967.2475168649689</v>
          </cell>
          <cell r="CM224">
            <v>6372.4716587233625</v>
          </cell>
          <cell r="CX224">
            <v>3511.1806667234728</v>
          </cell>
          <cell r="CY224">
            <v>54.159478934148865</v>
          </cell>
          <cell r="DA224">
            <v>-21703.137383769543</v>
          </cell>
          <cell r="DC224">
            <v>29444.06</v>
          </cell>
          <cell r="DD224">
            <v>0</v>
          </cell>
          <cell r="DE224">
            <v>7473.0300000000025</v>
          </cell>
          <cell r="DF224">
            <v>0</v>
          </cell>
          <cell r="DW224">
            <v>918</v>
          </cell>
          <cell r="DX224">
            <v>0</v>
          </cell>
        </row>
        <row r="225">
          <cell r="F225">
            <v>365.9</v>
          </cell>
          <cell r="G225">
            <v>0</v>
          </cell>
          <cell r="H225">
            <v>239.6</v>
          </cell>
          <cell r="I225">
            <v>2451.6751913263806</v>
          </cell>
          <cell r="J225">
            <v>2458.1081138606514</v>
          </cell>
          <cell r="L225">
            <v>618.65509169219081</v>
          </cell>
          <cell r="M225">
            <v>643.24933202776219</v>
          </cell>
          <cell r="O225">
            <v>801.82135151962473</v>
          </cell>
          <cell r="P225">
            <v>804.41265072241208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1065.6785860800849</v>
          </cell>
          <cell r="Y225">
            <v>1024.4551241790921</v>
          </cell>
          <cell r="AA225">
            <v>0</v>
          </cell>
          <cell r="AB225">
            <v>0</v>
          </cell>
          <cell r="AD225">
            <v>2187.2357654011853</v>
          </cell>
          <cell r="AE225">
            <v>2281.2015680481472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999.3140029075148</v>
          </cell>
          <cell r="AQ225">
            <v>571.68253891372501</v>
          </cell>
          <cell r="AS225">
            <v>6632.6797952994921</v>
          </cell>
          <cell r="AT225">
            <v>34371.868952170691</v>
          </cell>
          <cell r="AV225">
            <v>463.54301921214972</v>
          </cell>
          <cell r="AW225">
            <v>0</v>
          </cell>
          <cell r="AY225">
            <v>733.14854141529986</v>
          </cell>
          <cell r="AZ225">
            <v>0</v>
          </cell>
          <cell r="BB225">
            <v>406.02353480092694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144.26532444231219</v>
          </cell>
          <cell r="BL225">
            <v>0</v>
          </cell>
          <cell r="BN225">
            <v>31.214014296485885</v>
          </cell>
          <cell r="BO225">
            <v>0</v>
          </cell>
          <cell r="BT225">
            <v>5341.9908749169899</v>
          </cell>
          <cell r="BU225">
            <v>10187.644290573329</v>
          </cell>
          <cell r="BW225">
            <v>5275.6450636991258</v>
          </cell>
          <cell r="BX225">
            <v>5418.0327755233075</v>
          </cell>
          <cell r="BZ225">
            <v>1716.1456469138866</v>
          </cell>
          <cell r="CA225">
            <v>140.74564678086688</v>
          </cell>
          <cell r="CC225">
            <v>522.92174399584428</v>
          </cell>
          <cell r="CD225">
            <v>523.93113764798977</v>
          </cell>
          <cell r="CF225">
            <v>64.866091068925527</v>
          </cell>
          <cell r="CG225">
            <v>0</v>
          </cell>
          <cell r="CI225">
            <v>1191.7371637567487</v>
          </cell>
          <cell r="CJ225">
            <v>3629.9521041891494</v>
          </cell>
          <cell r="CL225">
            <v>0</v>
          </cell>
          <cell r="CM225">
            <v>0</v>
          </cell>
          <cell r="CX225">
            <v>344.53735893248233</v>
          </cell>
          <cell r="CY225">
            <v>-37343.530759337853</v>
          </cell>
          <cell r="DA225">
            <v>38732.303593768745</v>
          </cell>
          <cell r="DC225">
            <v>3238</v>
          </cell>
          <cell r="DD225">
            <v>25756.6</v>
          </cell>
          <cell r="DE225">
            <v>-1.9699999999997999</v>
          </cell>
          <cell r="DF225">
            <v>24195.94</v>
          </cell>
          <cell r="DW225">
            <v>918</v>
          </cell>
          <cell r="DX225">
            <v>0</v>
          </cell>
        </row>
        <row r="226">
          <cell r="F226">
            <v>2135.1</v>
          </cell>
          <cell r="G226">
            <v>232.2</v>
          </cell>
          <cell r="H226">
            <v>0</v>
          </cell>
          <cell r="I226">
            <v>6986.8085741353134</v>
          </cell>
          <cell r="J226">
            <v>5388.3554830393014</v>
          </cell>
          <cell r="L226">
            <v>1046.3071968871184</v>
          </cell>
          <cell r="M226">
            <v>867.65065323981128</v>
          </cell>
          <cell r="O226">
            <v>2765.9457235937102</v>
          </cell>
          <cell r="P226">
            <v>2775.3081300986419</v>
          </cell>
          <cell r="R226">
            <v>618.12176282487371</v>
          </cell>
          <cell r="S226">
            <v>620.03834683320042</v>
          </cell>
          <cell r="U226">
            <v>322.61677315762631</v>
          </cell>
          <cell r="V226">
            <v>126.48115393891645</v>
          </cell>
          <cell r="X226">
            <v>2004.8970882979804</v>
          </cell>
          <cell r="Y226">
            <v>3751.1826680344748</v>
          </cell>
          <cell r="AA226">
            <v>0</v>
          </cell>
          <cell r="AB226">
            <v>0</v>
          </cell>
          <cell r="AD226">
            <v>7739.0405502626836</v>
          </cell>
          <cell r="AE226">
            <v>7552.4425948281023</v>
          </cell>
          <cell r="AJ226">
            <v>15676.39011111427</v>
          </cell>
          <cell r="AK226">
            <v>14335.612406691291</v>
          </cell>
          <cell r="AM226">
            <v>1368.3633799643014</v>
          </cell>
          <cell r="AN226">
            <v>1052.7236923803732</v>
          </cell>
          <cell r="AP226">
            <v>1498.9710043612722</v>
          </cell>
          <cell r="AQ226">
            <v>1677.4460125266892</v>
          </cell>
          <cell r="AS226">
            <v>28236.955799728974</v>
          </cell>
          <cell r="AT226">
            <v>55247.794707331668</v>
          </cell>
          <cell r="AV226">
            <v>712.17101150742246</v>
          </cell>
          <cell r="AW226">
            <v>0</v>
          </cell>
          <cell r="AY226">
            <v>765.70942335478742</v>
          </cell>
          <cell r="AZ226">
            <v>0</v>
          </cell>
          <cell r="BB226">
            <v>564.98589970719888</v>
          </cell>
          <cell r="BC226">
            <v>0</v>
          </cell>
          <cell r="BE226">
            <v>287.7311400341946</v>
          </cell>
          <cell r="BF226">
            <v>0</v>
          </cell>
          <cell r="BH226">
            <v>168.49131270460393</v>
          </cell>
          <cell r="BI226">
            <v>0</v>
          </cell>
          <cell r="BK226">
            <v>390.60814259499858</v>
          </cell>
          <cell r="BL226">
            <v>2602.5452944699882</v>
          </cell>
          <cell r="BN226">
            <v>241.33814638072869</v>
          </cell>
          <cell r="BO226">
            <v>0</v>
          </cell>
          <cell r="BT226">
            <v>31444.198940142149</v>
          </cell>
          <cell r="BU226">
            <v>46732.786615555626</v>
          </cell>
          <cell r="BW226">
            <v>15924.75704887075</v>
          </cell>
          <cell r="BX226">
            <v>18776.501966645537</v>
          </cell>
          <cell r="BZ226">
            <v>6889.8960731415546</v>
          </cell>
          <cell r="CA226">
            <v>220.21732652930692</v>
          </cell>
          <cell r="CC226">
            <v>618.02172783038259</v>
          </cell>
          <cell r="CD226">
            <v>619.21469258299192</v>
          </cell>
          <cell r="CF226">
            <v>76.662816454499705</v>
          </cell>
          <cell r="CG226">
            <v>0</v>
          </cell>
          <cell r="CI226">
            <v>1142.8126567850027</v>
          </cell>
          <cell r="CJ226">
            <v>3068.6631744769575</v>
          </cell>
          <cell r="CL226">
            <v>6245.2013274054098</v>
          </cell>
          <cell r="CM226">
            <v>4643.3114612068985</v>
          </cell>
          <cell r="CX226">
            <v>5007.3148962516298</v>
          </cell>
          <cell r="CY226">
            <v>-38578.21240274993</v>
          </cell>
          <cell r="DA226">
            <v>-56258.921306283883</v>
          </cell>
          <cell r="DC226">
            <v>50650.65</v>
          </cell>
          <cell r="DD226">
            <v>0</v>
          </cell>
          <cell r="DE226">
            <v>29144.730000000003</v>
          </cell>
          <cell r="DF226">
            <v>0</v>
          </cell>
          <cell r="DW226">
            <v>909</v>
          </cell>
          <cell r="DX226">
            <v>0</v>
          </cell>
        </row>
        <row r="227">
          <cell r="F227">
            <v>4354.05</v>
          </cell>
          <cell r="G227">
            <v>481.1</v>
          </cell>
          <cell r="H227">
            <v>0</v>
          </cell>
          <cell r="I227">
            <v>13918.228363183613</v>
          </cell>
          <cell r="J227">
            <v>10771.943907331544</v>
          </cell>
          <cell r="L227">
            <v>2089.2431188104242</v>
          </cell>
          <cell r="M227">
            <v>1735.3013064796226</v>
          </cell>
          <cell r="O227">
            <v>5794.3590731275535</v>
          </cell>
          <cell r="P227">
            <v>5813.6906032921615</v>
          </cell>
          <cell r="R227">
            <v>1250.7328041777839</v>
          </cell>
          <cell r="S227">
            <v>1254.8689166783693</v>
          </cell>
          <cell r="U227">
            <v>645.03695619559403</v>
          </cell>
          <cell r="V227">
            <v>252.89233160780614</v>
          </cell>
          <cell r="X227">
            <v>7352.873936913129</v>
          </cell>
          <cell r="Y227">
            <v>3985.6262424606261</v>
          </cell>
          <cell r="AA227">
            <v>0</v>
          </cell>
          <cell r="AB227">
            <v>0</v>
          </cell>
          <cell r="AD227">
            <v>15770.032306717734</v>
          </cell>
          <cell r="AE227">
            <v>15390.426201807759</v>
          </cell>
          <cell r="AJ227">
            <v>31352.780222228539</v>
          </cell>
          <cell r="AK227">
            <v>28671.216092285544</v>
          </cell>
          <cell r="AM227">
            <v>2736.7267599286029</v>
          </cell>
          <cell r="AN227">
            <v>2624.8139872817342</v>
          </cell>
          <cell r="AP227">
            <v>2956.3039252680646</v>
          </cell>
          <cell r="AQ227">
            <v>3349.6544907777306</v>
          </cell>
          <cell r="AS227">
            <v>51646.80008751979</v>
          </cell>
          <cell r="AT227">
            <v>57128.828467660103</v>
          </cell>
          <cell r="AV227">
            <v>1384.5525676321356</v>
          </cell>
          <cell r="AW227">
            <v>527.72371755561187</v>
          </cell>
          <cell r="AY227">
            <v>1337.9053338715703</v>
          </cell>
          <cell r="AZ227">
            <v>0</v>
          </cell>
          <cell r="BB227">
            <v>1074.0485404903941</v>
          </cell>
          <cell r="BC227">
            <v>0</v>
          </cell>
          <cell r="BE227">
            <v>529.6834589638255</v>
          </cell>
          <cell r="BF227">
            <v>0</v>
          </cell>
          <cell r="BH227">
            <v>336.98262540920786</v>
          </cell>
          <cell r="BI227">
            <v>0</v>
          </cell>
          <cell r="BK227">
            <v>951.09216875923846</v>
          </cell>
          <cell r="BL227">
            <v>3890.2132350196166</v>
          </cell>
          <cell r="BN227">
            <v>297.42151179212829</v>
          </cell>
          <cell r="BO227">
            <v>0</v>
          </cell>
          <cell r="BT227">
            <v>48847.898909788586</v>
          </cell>
          <cell r="BU227">
            <v>79099.915944196662</v>
          </cell>
          <cell r="BW227">
            <v>31847.449141499841</v>
          </cell>
          <cell r="BX227">
            <v>38898.557521945826</v>
          </cell>
          <cell r="BZ227">
            <v>14352.0966626179</v>
          </cell>
          <cell r="CA227">
            <v>370.75844180345246</v>
          </cell>
          <cell r="CC227">
            <v>1226.5590906961347</v>
          </cell>
          <cell r="CD227">
            <v>1228.9267125713877</v>
          </cell>
          <cell r="CF227">
            <v>152.14914008078856</v>
          </cell>
          <cell r="CG227">
            <v>0</v>
          </cell>
          <cell r="CI227">
            <v>2247.7960391904044</v>
          </cell>
          <cell r="CJ227">
            <v>6027.5783802388269</v>
          </cell>
          <cell r="CL227">
            <v>12624.384870588818</v>
          </cell>
          <cell r="CM227">
            <v>9109.2323825934727</v>
          </cell>
          <cell r="CX227">
            <v>9607.2955206741699</v>
          </cell>
          <cell r="CY227">
            <v>-11283.542001089114</v>
          </cell>
          <cell r="DA227">
            <v>159328.90531328914</v>
          </cell>
          <cell r="DC227">
            <v>94975.57</v>
          </cell>
          <cell r="DD227">
            <v>0</v>
          </cell>
          <cell r="DE227">
            <v>54462.180000000008</v>
          </cell>
          <cell r="DF227">
            <v>0</v>
          </cell>
          <cell r="DW227">
            <v>918</v>
          </cell>
          <cell r="DX227">
            <v>0</v>
          </cell>
        </row>
        <row r="228">
          <cell r="F228">
            <v>2131.65</v>
          </cell>
          <cell r="G228">
            <v>234</v>
          </cell>
          <cell r="H228">
            <v>0</v>
          </cell>
          <cell r="I228">
            <v>7004.0003942227304</v>
          </cell>
          <cell r="J228">
            <v>5407.8216603608407</v>
          </cell>
          <cell r="L228">
            <v>1044.0596802445766</v>
          </cell>
          <cell r="M228">
            <v>975.30175129731538</v>
          </cell>
          <cell r="O228">
            <v>2814.0898631462946</v>
          </cell>
          <cell r="P228">
            <v>2823.3949436627668</v>
          </cell>
          <cell r="R228">
            <v>617.62630489487788</v>
          </cell>
          <cell r="S228">
            <v>619.62067181916973</v>
          </cell>
          <cell r="U228">
            <v>322.61677315762631</v>
          </cell>
          <cell r="V228">
            <v>207.95004099384801</v>
          </cell>
          <cell r="X228">
            <v>2001.5640832671882</v>
          </cell>
          <cell r="Y228">
            <v>3750.9815598852419</v>
          </cell>
          <cell r="AA228">
            <v>0</v>
          </cell>
          <cell r="AB228">
            <v>0</v>
          </cell>
          <cell r="AD228">
            <v>7727.1126636854633</v>
          </cell>
          <cell r="AE228">
            <v>7540.7719857321554</v>
          </cell>
          <cell r="AJ228">
            <v>15191.944220156398</v>
          </cell>
          <cell r="AK228">
            <v>14335.612406691291</v>
          </cell>
          <cell r="AM228">
            <v>1368.3633799643014</v>
          </cell>
          <cell r="AN228">
            <v>0</v>
          </cell>
          <cell r="AP228">
            <v>1498.9710043612722</v>
          </cell>
          <cell r="AQ228">
            <v>1677.4460125266892</v>
          </cell>
          <cell r="AS228">
            <v>26516.868180414167</v>
          </cell>
          <cell r="AT228">
            <v>4610.9669514330826</v>
          </cell>
          <cell r="AV228">
            <v>264.44048090669895</v>
          </cell>
          <cell r="AW228">
            <v>0</v>
          </cell>
          <cell r="AY228">
            <v>313.71460180123995</v>
          </cell>
          <cell r="AZ228">
            <v>0</v>
          </cell>
          <cell r="BB228">
            <v>293.39119020642801</v>
          </cell>
          <cell r="BC228">
            <v>947.49409846507069</v>
          </cell>
          <cell r="BE228">
            <v>140.0019991993845</v>
          </cell>
          <cell r="BF228">
            <v>0</v>
          </cell>
          <cell r="BH228">
            <v>88.348411796413885</v>
          </cell>
          <cell r="BI228">
            <v>0</v>
          </cell>
          <cell r="BK228">
            <v>121.11440029642695</v>
          </cell>
          <cell r="BL228">
            <v>1773.2036463021441</v>
          </cell>
          <cell r="BN228">
            <v>144.55133557954406</v>
          </cell>
          <cell r="BO228">
            <v>0</v>
          </cell>
          <cell r="BT228">
            <v>32505.454552918942</v>
          </cell>
          <cell r="BU228">
            <v>46701.027341573099</v>
          </cell>
          <cell r="BW228">
            <v>15936.931858153031</v>
          </cell>
          <cell r="BX228">
            <v>19462.342598611693</v>
          </cell>
          <cell r="BZ228">
            <v>6242.717210696308</v>
          </cell>
          <cell r="CA228">
            <v>225.93792358448098</v>
          </cell>
          <cell r="CC228">
            <v>645.96215434780765</v>
          </cell>
          <cell r="CD228">
            <v>647.20905238869329</v>
          </cell>
          <cell r="CF228">
            <v>80.128700732202105</v>
          </cell>
          <cell r="CG228">
            <v>0</v>
          </cell>
          <cell r="CI228">
            <v>782.14900299807346</v>
          </cell>
          <cell r="CJ228">
            <v>2946.9203852340543</v>
          </cell>
          <cell r="CL228">
            <v>6173.8566122218472</v>
          </cell>
          <cell r="CM228">
            <v>4461.5962554835314</v>
          </cell>
          <cell r="CX228">
            <v>4838.3324417790118</v>
          </cell>
          <cell r="CY228">
            <v>17707.588169767914</v>
          </cell>
          <cell r="DA228">
            <v>24818.172235131642</v>
          </cell>
          <cell r="DC228">
            <v>27097.07</v>
          </cell>
          <cell r="DD228">
            <v>0</v>
          </cell>
          <cell r="DE228">
            <v>6001.57</v>
          </cell>
          <cell r="DF228">
            <v>0</v>
          </cell>
          <cell r="DW228">
            <v>918</v>
          </cell>
          <cell r="DX228">
            <v>0</v>
          </cell>
        </row>
        <row r="229">
          <cell r="F229">
            <v>105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294.39971560856185</v>
          </cell>
          <cell r="AQ229">
            <v>69.49624201084778</v>
          </cell>
          <cell r="AS229">
            <v>1415.5588538903421</v>
          </cell>
          <cell r="AT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N229">
            <v>0</v>
          </cell>
          <cell r="BO229">
            <v>0</v>
          </cell>
          <cell r="BT229">
            <v>146.16598660521342</v>
          </cell>
          <cell r="BU229">
            <v>1070.8665861776828</v>
          </cell>
          <cell r="BW229">
            <v>0</v>
          </cell>
          <cell r="BX229">
            <v>0</v>
          </cell>
          <cell r="BZ229">
            <v>34.377326691921368</v>
          </cell>
          <cell r="CA229">
            <v>1.8028275853173876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0</v>
          </cell>
          <cell r="CJ229">
            <v>0</v>
          </cell>
          <cell r="CL229">
            <v>0</v>
          </cell>
          <cell r="CM229">
            <v>0</v>
          </cell>
          <cell r="CX229">
            <v>53.135708902398889</v>
          </cell>
          <cell r="CY229">
            <v>951.13918132902802</v>
          </cell>
          <cell r="DA229">
            <v>687.74166419581752</v>
          </cell>
          <cell r="DC229">
            <v>301.04000000000002</v>
          </cell>
          <cell r="DD229">
            <v>0</v>
          </cell>
          <cell r="DE229">
            <v>0</v>
          </cell>
          <cell r="DF229">
            <v>0</v>
          </cell>
          <cell r="DW229">
            <v>0</v>
          </cell>
          <cell r="DX229">
            <v>0</v>
          </cell>
        </row>
        <row r="230">
          <cell r="F230">
            <v>140.69999999999999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J230">
            <v>0</v>
          </cell>
          <cell r="AK230">
            <v>0</v>
          </cell>
          <cell r="AM230">
            <v>0</v>
          </cell>
          <cell r="AN230">
            <v>0</v>
          </cell>
          <cell r="AP230">
            <v>294.39971560856185</v>
          </cell>
          <cell r="AQ230">
            <v>138.99248402169556</v>
          </cell>
          <cell r="AS230">
            <v>1437.2339975524485</v>
          </cell>
          <cell r="AT230">
            <v>0</v>
          </cell>
          <cell r="AV230">
            <v>0</v>
          </cell>
          <cell r="AW230">
            <v>0</v>
          </cell>
          <cell r="AY230">
            <v>0</v>
          </cell>
          <cell r="AZ230">
            <v>0</v>
          </cell>
          <cell r="BB230">
            <v>0</v>
          </cell>
          <cell r="BC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K230">
            <v>0</v>
          </cell>
          <cell r="BL230">
            <v>0</v>
          </cell>
          <cell r="BN230">
            <v>0</v>
          </cell>
          <cell r="BO230">
            <v>0</v>
          </cell>
          <cell r="BT230">
            <v>893.23658480963763</v>
          </cell>
          <cell r="BU230">
            <v>2141.7399350163078</v>
          </cell>
          <cell r="BW230">
            <v>0</v>
          </cell>
          <cell r="BX230">
            <v>0</v>
          </cell>
          <cell r="BZ230">
            <v>210.08366311729736</v>
          </cell>
          <cell r="CA230">
            <v>3.6056551706347753</v>
          </cell>
          <cell r="CC230">
            <v>0</v>
          </cell>
          <cell r="CD230">
            <v>0</v>
          </cell>
          <cell r="CF230">
            <v>0</v>
          </cell>
          <cell r="CG230">
            <v>0</v>
          </cell>
          <cell r="CI230">
            <v>0</v>
          </cell>
          <cell r="CJ230">
            <v>0</v>
          </cell>
          <cell r="CL230">
            <v>0</v>
          </cell>
          <cell r="CM230">
            <v>0</v>
          </cell>
          <cell r="CX230">
            <v>79.742568821447634</v>
          </cell>
          <cell r="CY230">
            <v>740.48163307661684</v>
          </cell>
          <cell r="DA230">
            <v>14972.353032119037</v>
          </cell>
          <cell r="DC230">
            <v>738.94</v>
          </cell>
          <cell r="DD230">
            <v>0</v>
          </cell>
          <cell r="DE230">
            <v>286.88000000000005</v>
          </cell>
          <cell r="DF230">
            <v>0</v>
          </cell>
          <cell r="DW230">
            <v>0</v>
          </cell>
          <cell r="DX230">
            <v>0</v>
          </cell>
        </row>
        <row r="231">
          <cell r="F231">
            <v>6681.95</v>
          </cell>
          <cell r="G231">
            <v>613.75</v>
          </cell>
          <cell r="H231">
            <v>64.91</v>
          </cell>
          <cell r="I231">
            <v>22112.479924332307</v>
          </cell>
          <cell r="J231">
            <v>17102.681629061975</v>
          </cell>
          <cell r="L231">
            <v>3400.5352479571334</v>
          </cell>
          <cell r="M231">
            <v>2835.7419425234771</v>
          </cell>
          <cell r="O231">
            <v>8636.2708729537153</v>
          </cell>
          <cell r="P231">
            <v>8665.4724978460163</v>
          </cell>
          <cell r="R231">
            <v>1878.2502401274187</v>
          </cell>
          <cell r="S231">
            <v>1884.5606036428974</v>
          </cell>
          <cell r="U231">
            <v>1024.6828465970943</v>
          </cell>
          <cell r="V231">
            <v>504.14596547506943</v>
          </cell>
          <cell r="X231">
            <v>9296.402986246816</v>
          </cell>
          <cell r="Y231">
            <v>6045.3578748854979</v>
          </cell>
          <cell r="AA231">
            <v>0</v>
          </cell>
          <cell r="AB231">
            <v>0</v>
          </cell>
          <cell r="AD231">
            <v>24443.331793341735</v>
          </cell>
          <cell r="AE231">
            <v>23854.594000832854</v>
          </cell>
          <cell r="AJ231">
            <v>36047.322778394802</v>
          </cell>
          <cell r="AK231">
            <v>31668.737041464596</v>
          </cell>
          <cell r="AM231">
            <v>4105.1111561564485</v>
          </cell>
          <cell r="AN231">
            <v>3410.9112718512561</v>
          </cell>
          <cell r="AP231">
            <v>4788.3795972651751</v>
          </cell>
          <cell r="AQ231">
            <v>5415.2055749477668</v>
          </cell>
          <cell r="AS231">
            <v>90641.128525800086</v>
          </cell>
          <cell r="AT231">
            <v>57522.063901144895</v>
          </cell>
          <cell r="AV231">
            <v>1772.6405281071345</v>
          </cell>
          <cell r="AW231">
            <v>956.8270562943917</v>
          </cell>
          <cell r="AY231">
            <v>2136.5387916074351</v>
          </cell>
          <cell r="AZ231">
            <v>0</v>
          </cell>
          <cell r="BB231">
            <v>2495.4475214697404</v>
          </cell>
          <cell r="BC231">
            <v>432.93158819224402</v>
          </cell>
          <cell r="BE231">
            <v>876.89623057759695</v>
          </cell>
          <cell r="BF231">
            <v>0</v>
          </cell>
          <cell r="BH231">
            <v>534.61761351583073</v>
          </cell>
          <cell r="BI231">
            <v>0</v>
          </cell>
          <cell r="BK231">
            <v>1546.1730758471851</v>
          </cell>
          <cell r="BL231">
            <v>10608.912809502242</v>
          </cell>
          <cell r="BN231">
            <v>494.75856220197528</v>
          </cell>
          <cell r="BO231">
            <v>0</v>
          </cell>
          <cell r="BT231">
            <v>79141.79842070445</v>
          </cell>
          <cell r="BU231">
            <v>68114.935614709233</v>
          </cell>
          <cell r="BW231">
            <v>65336.947795223175</v>
          </cell>
          <cell r="BX231">
            <v>41692.462631882452</v>
          </cell>
          <cell r="BZ231">
            <v>15310.880162536781</v>
          </cell>
          <cell r="CA231">
            <v>56.278046656701854</v>
          </cell>
          <cell r="CC231">
            <v>1906.6136920789654</v>
          </cell>
          <cell r="CD231">
            <v>1910.2940205028176</v>
          </cell>
          <cell r="CF231">
            <v>236.50685557385685</v>
          </cell>
          <cell r="CG231">
            <v>0</v>
          </cell>
          <cell r="CI231">
            <v>21158.881013070364</v>
          </cell>
          <cell r="CJ231">
            <v>11437.503737970981</v>
          </cell>
          <cell r="CL231">
            <v>13147.600206345396</v>
          </cell>
          <cell r="CM231">
            <v>21745.614689918864</v>
          </cell>
          <cell r="CX231">
            <v>11876.677853986073</v>
          </cell>
          <cell r="CY231">
            <v>127802.63458045768</v>
          </cell>
          <cell r="DA231">
            <v>-175244.30181867786</v>
          </cell>
          <cell r="DC231">
            <v>115420.34</v>
          </cell>
          <cell r="DD231">
            <v>853.87</v>
          </cell>
          <cell r="DE231">
            <v>49849.89</v>
          </cell>
          <cell r="DF231">
            <v>421.69</v>
          </cell>
          <cell r="DW231">
            <v>1242</v>
          </cell>
          <cell r="DX231">
            <v>0</v>
          </cell>
        </row>
        <row r="232">
          <cell r="F232">
            <v>3267</v>
          </cell>
          <cell r="G232">
            <v>0</v>
          </cell>
          <cell r="H232">
            <v>0</v>
          </cell>
          <cell r="I232">
            <v>9919.4053467171289</v>
          </cell>
          <cell r="J232">
            <v>7650.7090122405325</v>
          </cell>
          <cell r="L232">
            <v>2101.6645314684883</v>
          </cell>
          <cell r="M232">
            <v>1793.5797388411365</v>
          </cell>
          <cell r="O232">
            <v>4828.7690721090394</v>
          </cell>
          <cell r="P232">
            <v>4901.5358653779367</v>
          </cell>
          <cell r="R232">
            <v>942.67056498342777</v>
          </cell>
          <cell r="S232">
            <v>945.4612964737837</v>
          </cell>
          <cell r="U232">
            <v>609.78593862931109</v>
          </cell>
          <cell r="V232">
            <v>294.46760926914379</v>
          </cell>
          <cell r="X232">
            <v>7028.6467189260884</v>
          </cell>
          <cell r="Y232">
            <v>5067.651720432018</v>
          </cell>
          <cell r="AA232">
            <v>0</v>
          </cell>
          <cell r="AB232">
            <v>0</v>
          </cell>
          <cell r="AD232">
            <v>11842.674425839195</v>
          </cell>
          <cell r="AE232">
            <v>11557.087242522839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3747.4275109031805</v>
          </cell>
          <cell r="AQ232">
            <v>2779.9288213035193</v>
          </cell>
          <cell r="AS232">
            <v>39849.78100607032</v>
          </cell>
          <cell r="AT232">
            <v>39152.318464450414</v>
          </cell>
          <cell r="AV232">
            <v>1700.2328102252395</v>
          </cell>
          <cell r="AW232">
            <v>0</v>
          </cell>
          <cell r="AY232">
            <v>2467.5804345538781</v>
          </cell>
          <cell r="AZ232">
            <v>0</v>
          </cell>
          <cell r="BB232">
            <v>1802.7952027812689</v>
          </cell>
          <cell r="BC232">
            <v>6284.4709198616365</v>
          </cell>
          <cell r="BE232">
            <v>888.03561599102318</v>
          </cell>
          <cell r="BF232">
            <v>0</v>
          </cell>
          <cell r="BH232">
            <v>562.9770795469226</v>
          </cell>
          <cell r="BI232">
            <v>0</v>
          </cell>
          <cell r="BK232">
            <v>1347.5452322893043</v>
          </cell>
          <cell r="BL232">
            <v>9654.634353127356</v>
          </cell>
          <cell r="BN232">
            <v>460.50306960047044</v>
          </cell>
          <cell r="BO232">
            <v>0</v>
          </cell>
          <cell r="BT232">
            <v>34869.931905133664</v>
          </cell>
          <cell r="BU232">
            <v>48542.295244878536</v>
          </cell>
          <cell r="BW232">
            <v>16786.025206726903</v>
          </cell>
          <cell r="BX232">
            <v>15608.672958596107</v>
          </cell>
          <cell r="BZ232">
            <v>11560.587427215383</v>
          </cell>
          <cell r="CA232">
            <v>139.95242635236616</v>
          </cell>
          <cell r="CC232">
            <v>979.96560161574143</v>
          </cell>
          <cell r="CD232">
            <v>981.85722511189454</v>
          </cell>
          <cell r="CF232">
            <v>121.56032654730505</v>
          </cell>
          <cell r="CG232">
            <v>0</v>
          </cell>
          <cell r="CI232">
            <v>8143.5402520997923</v>
          </cell>
          <cell r="CJ232">
            <v>10098.134984213599</v>
          </cell>
          <cell r="CL232">
            <v>0</v>
          </cell>
          <cell r="CM232">
            <v>0</v>
          </cell>
          <cell r="CX232">
            <v>9739.0272711172274</v>
          </cell>
          <cell r="CY232">
            <v>6270.2441474215302</v>
          </cell>
          <cell r="DA232">
            <v>-90823.95160590508</v>
          </cell>
          <cell r="DC232">
            <v>73843.360000000001</v>
          </cell>
          <cell r="DD232">
            <v>0</v>
          </cell>
          <cell r="DE232">
            <v>47113.119999999995</v>
          </cell>
          <cell r="DF232">
            <v>0</v>
          </cell>
          <cell r="DW232">
            <v>918</v>
          </cell>
          <cell r="DX232">
            <v>0</v>
          </cell>
        </row>
        <row r="233">
          <cell r="F233">
            <v>6618.95</v>
          </cell>
          <cell r="G233">
            <v>735.55</v>
          </cell>
          <cell r="H233">
            <v>0</v>
          </cell>
          <cell r="I233">
            <v>14842.827581814099</v>
          </cell>
          <cell r="J233">
            <v>11480.157376852965</v>
          </cell>
          <cell r="L233">
            <v>3072.7919858913256</v>
          </cell>
          <cell r="M233">
            <v>2683.5928960549063</v>
          </cell>
          <cell r="O233">
            <v>8727.015047012108</v>
          </cell>
          <cell r="P233">
            <v>8756.2821547495878</v>
          </cell>
          <cell r="R233">
            <v>1784.8576921331633</v>
          </cell>
          <cell r="S233">
            <v>1790.8393250524528</v>
          </cell>
          <cell r="U233">
            <v>740.79925820366134</v>
          </cell>
          <cell r="V233">
            <v>416.77792311383524</v>
          </cell>
          <cell r="X233">
            <v>10218.129357450107</v>
          </cell>
          <cell r="Y233">
            <v>7012.9876949444933</v>
          </cell>
          <cell r="AA233">
            <v>0</v>
          </cell>
          <cell r="AB233">
            <v>0</v>
          </cell>
          <cell r="AD233">
            <v>23980.132724289433</v>
          </cell>
          <cell r="AE233">
            <v>23402.540502073589</v>
          </cell>
          <cell r="AJ233">
            <v>74234.981500338035</v>
          </cell>
          <cell r="AK233">
            <v>64184.387994230477</v>
          </cell>
          <cell r="AM233">
            <v>302.92842272642292</v>
          </cell>
          <cell r="AN233">
            <v>1312.4069936408671</v>
          </cell>
          <cell r="AP233">
            <v>4496.9130130838166</v>
          </cell>
          <cell r="AQ233">
            <v>5100</v>
          </cell>
          <cell r="AS233">
            <v>92882.380239247184</v>
          </cell>
          <cell r="AT233">
            <v>172860.23884466814</v>
          </cell>
          <cell r="AV233">
            <v>1645.1083462850368</v>
          </cell>
          <cell r="AW233">
            <v>1382.7810568360851</v>
          </cell>
          <cell r="AY233">
            <v>1770.5254101992575</v>
          </cell>
          <cell r="AZ233">
            <v>3451.8955475997009</v>
          </cell>
          <cell r="BB233">
            <v>1899.5347460533351</v>
          </cell>
          <cell r="BC233">
            <v>3166.7271244504232</v>
          </cell>
          <cell r="BE233">
            <v>832.86878662585286</v>
          </cell>
          <cell r="BF233">
            <v>13055.456359295815</v>
          </cell>
          <cell r="BH233">
            <v>388.47983776488206</v>
          </cell>
          <cell r="BI233">
            <v>0</v>
          </cell>
          <cell r="BK233">
            <v>1830.8945164047732</v>
          </cell>
          <cell r="BL233">
            <v>0</v>
          </cell>
          <cell r="BN233">
            <v>608.98114706632589</v>
          </cell>
          <cell r="BO233">
            <v>0</v>
          </cell>
          <cell r="BT233">
            <v>83002.402967457339</v>
          </cell>
          <cell r="BU233">
            <v>90144.023504393001</v>
          </cell>
          <cell r="BW233">
            <v>60424.447433484973</v>
          </cell>
          <cell r="BX233">
            <v>54857.405044076528</v>
          </cell>
          <cell r="BZ233">
            <v>8372.0563865271088</v>
          </cell>
          <cell r="CA233">
            <v>375.9973391756854</v>
          </cell>
          <cell r="CC233">
            <v>1625.1587533988495</v>
          </cell>
          <cell r="CD233">
            <v>1628.2957905334581</v>
          </cell>
          <cell r="CF233">
            <v>201.59363596911166</v>
          </cell>
          <cell r="CG233">
            <v>0</v>
          </cell>
          <cell r="CI233">
            <v>10863.073001348932</v>
          </cell>
          <cell r="CJ233">
            <v>15206.237265808884</v>
          </cell>
          <cell r="CL233">
            <v>14459.393052934478</v>
          </cell>
          <cell r="CM233">
            <v>17870.574588412848</v>
          </cell>
          <cell r="CX233">
            <v>15922.191056427195</v>
          </cell>
          <cell r="CY233">
            <v>-76395.405522277753</v>
          </cell>
          <cell r="DA233">
            <v>50520.333650224449</v>
          </cell>
          <cell r="DC233">
            <v>100104.3</v>
          </cell>
          <cell r="DD233">
            <v>0</v>
          </cell>
          <cell r="DE233">
            <v>32578.680000000008</v>
          </cell>
          <cell r="DF233">
            <v>0</v>
          </cell>
          <cell r="DW233">
            <v>1044</v>
          </cell>
          <cell r="DX233">
            <v>0</v>
          </cell>
        </row>
        <row r="234">
          <cell r="F234">
            <v>9392.58</v>
          </cell>
          <cell r="G234">
            <v>999.75</v>
          </cell>
          <cell r="H234">
            <v>0</v>
          </cell>
          <cell r="I234">
            <v>21162.423043257273</v>
          </cell>
          <cell r="J234">
            <v>16400.992980123738</v>
          </cell>
          <cell r="L234">
            <v>4467.7537725409366</v>
          </cell>
          <cell r="M234">
            <v>3993.9225931319233</v>
          </cell>
          <cell r="O234">
            <v>12623.655744865937</v>
          </cell>
          <cell r="P234">
            <v>12666.013766525548</v>
          </cell>
          <cell r="R234">
            <v>2591.1443219378862</v>
          </cell>
          <cell r="S234">
            <v>2599.2449002854955</v>
          </cell>
          <cell r="U234">
            <v>2202.0813155581709</v>
          </cell>
          <cell r="V234">
            <v>1013.178856353505</v>
          </cell>
          <cell r="X234">
            <v>19016.747343263465</v>
          </cell>
          <cell r="Y234">
            <v>13393.616422123232</v>
          </cell>
          <cell r="AA234">
            <v>0</v>
          </cell>
          <cell r="AB234">
            <v>0</v>
          </cell>
          <cell r="AD234">
            <v>34045.671489288747</v>
          </cell>
          <cell r="AE234">
            <v>33224.754380473547</v>
          </cell>
          <cell r="AJ234">
            <v>114978.67834548491</v>
          </cell>
          <cell r="AK234">
            <v>112078.28684414088</v>
          </cell>
          <cell r="AM234">
            <v>908.80628444281319</v>
          </cell>
          <cell r="AN234">
            <v>3807.1354135260831</v>
          </cell>
          <cell r="AP234">
            <v>7453.2169383518813</v>
          </cell>
          <cell r="AQ234">
            <v>10560</v>
          </cell>
          <cell r="AS234">
            <v>154602.78225445873</v>
          </cell>
          <cell r="AT234">
            <v>6938.9012672449244</v>
          </cell>
          <cell r="AV234">
            <v>1312.5000236692572</v>
          </cell>
          <cell r="AW234">
            <v>1134.9861735692598</v>
          </cell>
          <cell r="AY234">
            <v>1035.1381113926614</v>
          </cell>
          <cell r="AZ234">
            <v>5801.0246148822998</v>
          </cell>
          <cell r="BB234">
            <v>1256.4773939279223</v>
          </cell>
          <cell r="BC234">
            <v>999.69411339984447</v>
          </cell>
          <cell r="BE234">
            <v>594.38058304295043</v>
          </cell>
          <cell r="BF234">
            <v>709.09552607150101</v>
          </cell>
          <cell r="BH234">
            <v>546.24796788804872</v>
          </cell>
          <cell r="BI234">
            <v>0</v>
          </cell>
          <cell r="BK234">
            <v>2037.9906501834416</v>
          </cell>
          <cell r="BL234">
            <v>507.45180577129332</v>
          </cell>
          <cell r="BN234">
            <v>709.59085028587197</v>
          </cell>
          <cell r="BO234">
            <v>0</v>
          </cell>
          <cell r="BT234">
            <v>111772.43107830279</v>
          </cell>
          <cell r="BU234">
            <v>148454.64415792149</v>
          </cell>
          <cell r="BW234">
            <v>80015.060885259809</v>
          </cell>
          <cell r="BX234">
            <v>95035.425088627875</v>
          </cell>
          <cell r="BZ234">
            <v>8928.8754417993478</v>
          </cell>
          <cell r="CA234">
            <v>656.83611217162934</v>
          </cell>
          <cell r="CC234">
            <v>2267.2758949231588</v>
          </cell>
          <cell r="CD234">
            <v>2271.6524080865047</v>
          </cell>
          <cell r="CF234">
            <v>281.24538014933637</v>
          </cell>
          <cell r="CG234">
            <v>0</v>
          </cell>
          <cell r="CI234">
            <v>12222.382482511179</v>
          </cell>
          <cell r="CJ234">
            <v>5246.892714632042</v>
          </cell>
          <cell r="CL234">
            <v>17618.111537703844</v>
          </cell>
          <cell r="CM234">
            <v>28492.416505279536</v>
          </cell>
          <cell r="CX234">
            <v>22857.081592382408</v>
          </cell>
          <cell r="CY234">
            <v>153254.48458056018</v>
          </cell>
          <cell r="DA234">
            <v>37437.443926303065</v>
          </cell>
          <cell r="DC234">
            <v>280858.40000000002</v>
          </cell>
          <cell r="DD234">
            <v>0</v>
          </cell>
          <cell r="DE234">
            <v>182422.38</v>
          </cell>
          <cell r="DF234">
            <v>0</v>
          </cell>
          <cell r="DW234">
            <v>1665</v>
          </cell>
          <cell r="DX234">
            <v>0</v>
          </cell>
        </row>
        <row r="235">
          <cell r="F235">
            <v>11347.12</v>
          </cell>
          <cell r="G235">
            <v>1200.4000000000001</v>
          </cell>
          <cell r="H235">
            <v>0</v>
          </cell>
          <cell r="I235">
            <v>23653.961635377182</v>
          </cell>
          <cell r="J235">
            <v>24121.886042415223</v>
          </cell>
          <cell r="L235">
            <v>7121.0031853263754</v>
          </cell>
          <cell r="M235">
            <v>7407.721513091712</v>
          </cell>
          <cell r="O235">
            <v>14098.872015721816</v>
          </cell>
          <cell r="P235">
            <v>14147.001069180858</v>
          </cell>
          <cell r="R235">
            <v>3204.087367970541</v>
          </cell>
          <cell r="S235">
            <v>3216.2119662847799</v>
          </cell>
          <cell r="U235">
            <v>1104.8618374491928</v>
          </cell>
          <cell r="V235">
            <v>2146.1813274968335</v>
          </cell>
          <cell r="X235">
            <v>20012.851959163847</v>
          </cell>
          <cell r="Y235">
            <v>20339.009849955055</v>
          </cell>
          <cell r="AA235">
            <v>0</v>
          </cell>
          <cell r="AB235">
            <v>0</v>
          </cell>
          <cell r="AD235">
            <v>41102.187248136383</v>
          </cell>
          <cell r="AE235">
            <v>40112.602204456176</v>
          </cell>
          <cell r="AJ235">
            <v>80164.096548404574</v>
          </cell>
          <cell r="AK235">
            <v>74284.514420921652</v>
          </cell>
          <cell r="AM235">
            <v>7907.2728733229305</v>
          </cell>
          <cell r="AN235">
            <v>6562.0292638185456</v>
          </cell>
          <cell r="AP235">
            <v>8993.8260261676332</v>
          </cell>
          <cell r="AQ235">
            <v>1319.7894909239567</v>
          </cell>
          <cell r="AS235">
            <v>180935.08648202516</v>
          </cell>
          <cell r="AT235">
            <v>78746.214766361867</v>
          </cell>
          <cell r="AV235">
            <v>1952.2301441272568</v>
          </cell>
          <cell r="AW235">
            <v>1224.2447015138307</v>
          </cell>
          <cell r="AY235">
            <v>4733.5027590698828</v>
          </cell>
          <cell r="AZ235">
            <v>0</v>
          </cell>
          <cell r="BB235">
            <v>3885.6384934323451</v>
          </cell>
          <cell r="BC235">
            <v>0</v>
          </cell>
          <cell r="BE235">
            <v>1357.4109304074998</v>
          </cell>
          <cell r="BF235">
            <v>774.43253390249993</v>
          </cell>
          <cell r="BH235">
            <v>586.34070386929682</v>
          </cell>
          <cell r="BI235">
            <v>0</v>
          </cell>
          <cell r="BK235">
            <v>2915.7803006688737</v>
          </cell>
          <cell r="BL235">
            <v>269.6955269955651</v>
          </cell>
          <cell r="BN235">
            <v>20.485177221713855</v>
          </cell>
          <cell r="BO235">
            <v>0</v>
          </cell>
          <cell r="BT235">
            <v>111234.63599822944</v>
          </cell>
          <cell r="BU235">
            <v>151955.41036699017</v>
          </cell>
          <cell r="BW235">
            <v>107837.52142086378</v>
          </cell>
          <cell r="BX235">
            <v>133986.51226062479</v>
          </cell>
          <cell r="BZ235">
            <v>10664.411315189194</v>
          </cell>
          <cell r="CA235">
            <v>796.62303997511572</v>
          </cell>
          <cell r="CC235">
            <v>3396.530527765949</v>
          </cell>
          <cell r="CD235">
            <v>3403.0868364171192</v>
          </cell>
          <cell r="CF235">
            <v>421.32433975475027</v>
          </cell>
          <cell r="CG235">
            <v>1199.1508425401184</v>
          </cell>
          <cell r="CI235">
            <v>16599.674734623644</v>
          </cell>
          <cell r="CJ235">
            <v>23256.164972343042</v>
          </cell>
          <cell r="CL235">
            <v>22516.587631243085</v>
          </cell>
          <cell r="CM235">
            <v>30082.176977119721</v>
          </cell>
          <cell r="CX235">
            <v>26027.109235967426</v>
          </cell>
          <cell r="CY235">
            <v>94510.535254612041</v>
          </cell>
          <cell r="DA235">
            <v>-34007.983120487741</v>
          </cell>
          <cell r="DC235">
            <v>307834.19</v>
          </cell>
          <cell r="DD235">
            <v>0</v>
          </cell>
          <cell r="DE235">
            <v>198033.41</v>
          </cell>
          <cell r="DF235">
            <v>0</v>
          </cell>
          <cell r="DW235">
            <v>1962</v>
          </cell>
          <cell r="DX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16894.031395248938</v>
          </cell>
          <cell r="J236">
            <v>17224.067841087366</v>
          </cell>
          <cell r="L236">
            <v>4739.0816158467605</v>
          </cell>
          <cell r="M236">
            <v>4892.6868412877539</v>
          </cell>
          <cell r="O236">
            <v>9096.3599999999988</v>
          </cell>
          <cell r="P236">
            <v>9099.2999999999993</v>
          </cell>
          <cell r="R236">
            <v>1976.4600000000003</v>
          </cell>
          <cell r="S236">
            <v>1975.8</v>
          </cell>
          <cell r="U236">
            <v>682.58677395153177</v>
          </cell>
          <cell r="V236">
            <v>1863.8103573879937</v>
          </cell>
          <cell r="X236">
            <v>11382.394920794586</v>
          </cell>
          <cell r="Y236">
            <v>12529.901187786183</v>
          </cell>
          <cell r="AA236">
            <v>0</v>
          </cell>
          <cell r="AB236">
            <v>0</v>
          </cell>
          <cell r="AD236">
            <v>28259.654735990709</v>
          </cell>
          <cell r="AE236">
            <v>25313.953739545101</v>
          </cell>
          <cell r="AJ236">
            <v>84650.141310459861</v>
          </cell>
          <cell r="AK236">
            <v>81319.697502890325</v>
          </cell>
          <cell r="AM236">
            <v>2367.6332383063968</v>
          </cell>
          <cell r="AN236">
            <v>3257.4347792223452</v>
          </cell>
          <cell r="AP236">
            <v>5942.5357091576534</v>
          </cell>
          <cell r="AQ236">
            <v>3413.4437663704543</v>
          </cell>
          <cell r="AS236">
            <v>121938.7685453499</v>
          </cell>
          <cell r="AT236">
            <v>20575.050748024234</v>
          </cell>
          <cell r="AV236">
            <v>1378.3586727414681</v>
          </cell>
          <cell r="AW236">
            <v>964.8339791524354</v>
          </cell>
          <cell r="AY236">
            <v>3134.4070103778427</v>
          </cell>
          <cell r="AZ236">
            <v>1334.3803952412475</v>
          </cell>
          <cell r="BB236">
            <v>2468.5007054595235</v>
          </cell>
          <cell r="BC236">
            <v>0</v>
          </cell>
          <cell r="BE236">
            <v>936.82989851803211</v>
          </cell>
          <cell r="BF236">
            <v>0</v>
          </cell>
          <cell r="BH236">
            <v>346.26007982804515</v>
          </cell>
          <cell r="BI236">
            <v>0</v>
          </cell>
          <cell r="BK236">
            <v>1627.3463926791117</v>
          </cell>
          <cell r="BL236">
            <v>5265.1329167054128</v>
          </cell>
          <cell r="BN236">
            <v>0</v>
          </cell>
          <cell r="BO236">
            <v>0</v>
          </cell>
          <cell r="BT236">
            <v>84794.545412353618</v>
          </cell>
          <cell r="BU236">
            <v>109984.8208381485</v>
          </cell>
          <cell r="BW236">
            <v>57700.270476053352</v>
          </cell>
          <cell r="BX236">
            <v>66783.349715494405</v>
          </cell>
          <cell r="BZ236">
            <v>5725.901894268628</v>
          </cell>
          <cell r="CA236">
            <v>9.1576994069301172</v>
          </cell>
          <cell r="CC236">
            <v>2250.4080520538105</v>
          </cell>
          <cell r="CD236">
            <v>2231.6579530707268</v>
          </cell>
          <cell r="CF236">
            <v>277.0388700445032</v>
          </cell>
          <cell r="CG236">
            <v>0</v>
          </cell>
          <cell r="CI236">
            <v>9995.1584446205998</v>
          </cell>
          <cell r="CJ236">
            <v>9007.8785136828665</v>
          </cell>
          <cell r="CL236">
            <v>13822.892343356392</v>
          </cell>
          <cell r="CM236">
            <v>28720.777237954226</v>
          </cell>
          <cell r="CX236">
            <v>49162.130203046589</v>
          </cell>
          <cell r="CY236">
            <v>130156.80177788591</v>
          </cell>
          <cell r="DA236">
            <v>105461.01513430587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W236">
            <v>1308</v>
          </cell>
          <cell r="DX236">
            <v>0</v>
          </cell>
        </row>
        <row r="237">
          <cell r="F237">
            <v>5689.78</v>
          </cell>
          <cell r="G237">
            <v>618.45000000000005</v>
          </cell>
          <cell r="H237">
            <v>0</v>
          </cell>
          <cell r="I237">
            <v>12885.966055012741</v>
          </cell>
          <cell r="J237">
            <v>13112.735638751135</v>
          </cell>
          <cell r="L237">
            <v>2015.5571925446952</v>
          </cell>
          <cell r="M237">
            <v>2099.7955953379155</v>
          </cell>
          <cell r="O237">
            <v>7485.9374394469105</v>
          </cell>
          <cell r="P237">
            <v>7510.4804625756942</v>
          </cell>
          <cell r="R237">
            <v>1734.8145668740224</v>
          </cell>
          <cell r="S237">
            <v>1741.5721756568657</v>
          </cell>
          <cell r="U237">
            <v>582.05506576182199</v>
          </cell>
          <cell r="V237">
            <v>1090.181890635216</v>
          </cell>
          <cell r="X237">
            <v>9343.3587592185322</v>
          </cell>
          <cell r="Y237">
            <v>9610.2753075501369</v>
          </cell>
          <cell r="AA237">
            <v>0</v>
          </cell>
          <cell r="AB237">
            <v>0</v>
          </cell>
          <cell r="AD237">
            <v>20623.306595681664</v>
          </cell>
          <cell r="AE237">
            <v>20126.068016704296</v>
          </cell>
          <cell r="AJ237">
            <v>74234.981500338035</v>
          </cell>
          <cell r="AK237">
            <v>69816.879968445952</v>
          </cell>
          <cell r="AM237">
            <v>302.92842272642292</v>
          </cell>
          <cell r="AN237">
            <v>0</v>
          </cell>
          <cell r="AP237">
            <v>4496.9130130838166</v>
          </cell>
          <cell r="AQ237">
            <v>4980</v>
          </cell>
          <cell r="AS237">
            <v>94466.273936589263</v>
          </cell>
          <cell r="AT237">
            <v>37249.585282525841</v>
          </cell>
          <cell r="AV237">
            <v>1409.4594562833702</v>
          </cell>
          <cell r="AW237">
            <v>1615.2166287147945</v>
          </cell>
          <cell r="AY237">
            <v>1283.0364609027349</v>
          </cell>
          <cell r="AZ237">
            <v>0</v>
          </cell>
          <cell r="BB237">
            <v>1674.0167049349202</v>
          </cell>
          <cell r="BC237">
            <v>0</v>
          </cell>
          <cell r="BE237">
            <v>826.14754396325452</v>
          </cell>
          <cell r="BF237">
            <v>1760.5823107445101</v>
          </cell>
          <cell r="BH237">
            <v>310.58119271199365</v>
          </cell>
          <cell r="BI237">
            <v>0</v>
          </cell>
          <cell r="BK237">
            <v>1641.6348328995975</v>
          </cell>
          <cell r="BL237">
            <v>1091.9238990383551</v>
          </cell>
          <cell r="BN237">
            <v>28.767086542590516</v>
          </cell>
          <cell r="BO237">
            <v>0</v>
          </cell>
          <cell r="BT237">
            <v>66619.563875458596</v>
          </cell>
          <cell r="BU237">
            <v>93743.748927508583</v>
          </cell>
          <cell r="BW237">
            <v>28450.368236368187</v>
          </cell>
          <cell r="BX237">
            <v>36409.296972869153</v>
          </cell>
          <cell r="BZ237">
            <v>11125.906251443395</v>
          </cell>
          <cell r="CA237">
            <v>554.5134434545422</v>
          </cell>
          <cell r="CC237">
            <v>2362.3758787576962</v>
          </cell>
          <cell r="CD237">
            <v>2366.9359630215072</v>
          </cell>
          <cell r="CF237">
            <v>293.0421055349106</v>
          </cell>
          <cell r="CG237">
            <v>0</v>
          </cell>
          <cell r="CI237">
            <v>15663.675924673433</v>
          </cell>
          <cell r="CJ237">
            <v>14267.418767356221</v>
          </cell>
          <cell r="CL237">
            <v>9637.0553853742658</v>
          </cell>
          <cell r="CM237">
            <v>14405.434091275203</v>
          </cell>
          <cell r="CX237">
            <v>10200.158878687689</v>
          </cell>
          <cell r="CY237">
            <v>53334.252647840869</v>
          </cell>
          <cell r="DA237">
            <v>2187.0166878766977</v>
          </cell>
          <cell r="DC237">
            <v>176116.09</v>
          </cell>
          <cell r="DD237">
            <v>0</v>
          </cell>
          <cell r="DE237">
            <v>117544.57999999999</v>
          </cell>
          <cell r="DF237">
            <v>0</v>
          </cell>
          <cell r="DW237">
            <v>1494</v>
          </cell>
          <cell r="DX237">
            <v>0</v>
          </cell>
        </row>
        <row r="238">
          <cell r="F238">
            <v>6722.41</v>
          </cell>
          <cell r="G238">
            <v>727.4</v>
          </cell>
          <cell r="H238">
            <v>94.6</v>
          </cell>
          <cell r="I238">
            <v>13725.789883862064</v>
          </cell>
          <cell r="J238">
            <v>14001.096837688117</v>
          </cell>
          <cell r="L238">
            <v>2052.8967756424299</v>
          </cell>
          <cell r="M238">
            <v>2138.8084307259824</v>
          </cell>
          <cell r="O238">
            <v>8841.0085535502294</v>
          </cell>
          <cell r="P238">
            <v>8870.9247932107646</v>
          </cell>
          <cell r="R238">
            <v>1766.4369485784382</v>
          </cell>
          <cell r="S238">
            <v>1774.5104721878299</v>
          </cell>
          <cell r="U238">
            <v>663.74715275413564</v>
          </cell>
          <cell r="V238">
            <v>1388.6435726481116</v>
          </cell>
          <cell r="X238">
            <v>6432.724968708123</v>
          </cell>
          <cell r="Y238">
            <v>6700.7462672263273</v>
          </cell>
          <cell r="AA238">
            <v>0</v>
          </cell>
          <cell r="AB238">
            <v>0</v>
          </cell>
          <cell r="AD238">
            <v>24704.760386623773</v>
          </cell>
          <cell r="AE238">
            <v>24109.343270409248</v>
          </cell>
          <cell r="AJ238">
            <v>50754.907531670506</v>
          </cell>
          <cell r="AK238">
            <v>47893.900096703182</v>
          </cell>
          <cell r="AM238">
            <v>0</v>
          </cell>
          <cell r="AN238">
            <v>0</v>
          </cell>
          <cell r="AP238">
            <v>3747.4275109031805</v>
          </cell>
          <cell r="AQ238">
            <v>848.43610130825789</v>
          </cell>
          <cell r="AS238">
            <v>75312.290404561936</v>
          </cell>
          <cell r="AT238">
            <v>12604.833554697097</v>
          </cell>
          <cell r="AV238">
            <v>1180.791557242228</v>
          </cell>
          <cell r="AW238">
            <v>0</v>
          </cell>
          <cell r="AY238">
            <v>861.94992360709387</v>
          </cell>
          <cell r="AZ238">
            <v>0</v>
          </cell>
          <cell r="BB238">
            <v>1547.4760846756963</v>
          </cell>
          <cell r="BC238">
            <v>0</v>
          </cell>
          <cell r="BE238">
            <v>474.97679575081679</v>
          </cell>
          <cell r="BF238">
            <v>0</v>
          </cell>
          <cell r="BH238">
            <v>241.15273299543105</v>
          </cell>
          <cell r="BI238">
            <v>0</v>
          </cell>
          <cell r="BK238">
            <v>781.03422346797583</v>
          </cell>
          <cell r="BL238">
            <v>1364.873765063167</v>
          </cell>
          <cell r="BN238">
            <v>24.437906670314071</v>
          </cell>
          <cell r="BO238">
            <v>0</v>
          </cell>
          <cell r="BT238">
            <v>70765.975355098533</v>
          </cell>
          <cell r="BU238">
            <v>102532.92905127227</v>
          </cell>
          <cell r="BW238">
            <v>44186.042760391669</v>
          </cell>
          <cell r="BX238">
            <v>48754.956169270648</v>
          </cell>
          <cell r="BZ238">
            <v>21154.532757904992</v>
          </cell>
          <cell r="CA238">
            <v>534.59016300971655</v>
          </cell>
          <cell r="CC238">
            <v>2062.8493798071358</v>
          </cell>
          <cell r="CD238">
            <v>2066.8312893246066</v>
          </cell>
          <cell r="CF238">
            <v>255.88719013587158</v>
          </cell>
          <cell r="CG238">
            <v>0</v>
          </cell>
          <cell r="CI238">
            <v>21814.30035202927</v>
          </cell>
          <cell r="CJ238">
            <v>26827.427442933997</v>
          </cell>
          <cell r="CL238">
            <v>9532.1926367940123</v>
          </cell>
          <cell r="CM238">
            <v>15320.983125776851</v>
          </cell>
          <cell r="CX238">
            <v>8658.7773703664388</v>
          </cell>
          <cell r="CY238">
            <v>62840.883814330082</v>
          </cell>
          <cell r="DA238">
            <v>55712.671621813235</v>
          </cell>
          <cell r="DC238">
            <v>91937.22</v>
          </cell>
          <cell r="DD238">
            <v>2741.8</v>
          </cell>
          <cell r="DE238">
            <v>34784.93</v>
          </cell>
          <cell r="DF238">
            <v>2177.36</v>
          </cell>
          <cell r="DW238">
            <v>1206</v>
          </cell>
          <cell r="DX238">
            <v>0</v>
          </cell>
        </row>
        <row r="239">
          <cell r="F239">
            <v>2823.9</v>
          </cell>
          <cell r="G239">
            <v>312.10000000000002</v>
          </cell>
          <cell r="H239">
            <v>0</v>
          </cell>
          <cell r="I239">
            <v>7334.8856601859898</v>
          </cell>
          <cell r="J239">
            <v>7464.9306770135772</v>
          </cell>
          <cell r="L239">
            <v>1235.1386627956119</v>
          </cell>
          <cell r="M239">
            <v>1283.8796250175112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331.97187143689712</v>
          </cell>
          <cell r="V239">
            <v>694.5700768447258</v>
          </cell>
          <cell r="X239">
            <v>2889.0604062881712</v>
          </cell>
          <cell r="Y239">
            <v>2500.5936316431066</v>
          </cell>
          <cell r="AA239">
            <v>0</v>
          </cell>
          <cell r="AB239">
            <v>0</v>
          </cell>
          <cell r="AD239">
            <v>10235.427090184583</v>
          </cell>
          <cell r="AE239">
            <v>9988.6532896816916</v>
          </cell>
          <cell r="AJ239">
            <v>13196.322712624873</v>
          </cell>
          <cell r="AK239">
            <v>12452.466487150208</v>
          </cell>
          <cell r="AM239">
            <v>0</v>
          </cell>
          <cell r="AN239">
            <v>0</v>
          </cell>
          <cell r="AP239">
            <v>1498.9710043612722</v>
          </cell>
          <cell r="AQ239">
            <v>1693.0242754943115</v>
          </cell>
          <cell r="AS239">
            <v>31280.811283648338</v>
          </cell>
          <cell r="AT239">
            <v>3037.0253465313781</v>
          </cell>
          <cell r="AV239">
            <v>458.84644702501788</v>
          </cell>
          <cell r="AW239">
            <v>0</v>
          </cell>
          <cell r="AY239">
            <v>570.01167355404061</v>
          </cell>
          <cell r="AZ239">
            <v>0</v>
          </cell>
          <cell r="BB239">
            <v>0</v>
          </cell>
          <cell r="BC239">
            <v>0</v>
          </cell>
          <cell r="BE239">
            <v>0</v>
          </cell>
          <cell r="BF239">
            <v>0</v>
          </cell>
          <cell r="BH239">
            <v>120.57636649771553</v>
          </cell>
          <cell r="BI239">
            <v>0</v>
          </cell>
          <cell r="BK239">
            <v>385.6165685757461</v>
          </cell>
          <cell r="BL239">
            <v>0</v>
          </cell>
          <cell r="BN239">
            <v>15.748176057121521</v>
          </cell>
          <cell r="BO239">
            <v>4664.777413453</v>
          </cell>
          <cell r="BT239">
            <v>34891.372534501999</v>
          </cell>
          <cell r="BU239">
            <v>56020.156649901117</v>
          </cell>
          <cell r="BW239">
            <v>20413.341702303551</v>
          </cell>
          <cell r="BX239">
            <v>25008.991759567351</v>
          </cell>
          <cell r="BZ239">
            <v>10612.619258183724</v>
          </cell>
          <cell r="CA239">
            <v>372.65194474309328</v>
          </cell>
          <cell r="CC239">
            <v>911.13987207511207</v>
          </cell>
          <cell r="CD239">
            <v>912.89864155381349</v>
          </cell>
          <cell r="CF239">
            <v>113.02280426690967</v>
          </cell>
          <cell r="CG239">
            <v>0</v>
          </cell>
          <cell r="CI239">
            <v>2862.3994226410587</v>
          </cell>
          <cell r="CJ239">
            <v>6366.2288197131302</v>
          </cell>
          <cell r="CL239">
            <v>4220.9260938172965</v>
          </cell>
          <cell r="CM239">
            <v>5871.1637163595533</v>
          </cell>
          <cell r="CX239">
            <v>5361.4238037259111</v>
          </cell>
          <cell r="CY239">
            <v>11656.860511354836</v>
          </cell>
          <cell r="DA239">
            <v>-98037.377029926356</v>
          </cell>
          <cell r="DC239">
            <v>49251.06</v>
          </cell>
          <cell r="DD239">
            <v>0</v>
          </cell>
          <cell r="DE239">
            <v>26055.749999999996</v>
          </cell>
          <cell r="DF239">
            <v>0</v>
          </cell>
          <cell r="DW239">
            <v>1062</v>
          </cell>
          <cell r="DX239">
            <v>0</v>
          </cell>
        </row>
        <row r="240">
          <cell r="F240">
            <v>3228.8</v>
          </cell>
          <cell r="G240">
            <v>0</v>
          </cell>
          <cell r="H240">
            <v>276.7</v>
          </cell>
          <cell r="I240">
            <v>10693.494955751914</v>
          </cell>
          <cell r="J240">
            <v>10823.542245123743</v>
          </cell>
          <cell r="L240">
            <v>1970.6198788833362</v>
          </cell>
          <cell r="M240">
            <v>2046.4017733804685</v>
          </cell>
          <cell r="O240">
            <v>4407.5357509500891</v>
          </cell>
          <cell r="P240">
            <v>4422.5035974913217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6617.6238406333014</v>
          </cell>
          <cell r="Y240">
            <v>6460.5695038925187</v>
          </cell>
          <cell r="AA240">
            <v>0</v>
          </cell>
          <cell r="AB240">
            <v>0</v>
          </cell>
          <cell r="AD240">
            <v>12706.293217622517</v>
          </cell>
          <cell r="AE240">
            <v>12399.928582347389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9993.1400290751499</v>
          </cell>
          <cell r="AQ240">
            <v>12305.498199806982</v>
          </cell>
          <cell r="AS240">
            <v>29779.710339930716</v>
          </cell>
          <cell r="AT240">
            <v>3356.0026585057849</v>
          </cell>
          <cell r="AV240">
            <v>1647.1560852211276</v>
          </cell>
          <cell r="AW240">
            <v>0</v>
          </cell>
          <cell r="AY240">
            <v>2569.9409261662659</v>
          </cell>
          <cell r="AZ240">
            <v>0</v>
          </cell>
          <cell r="BB240">
            <v>2172.9320780037201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0</v>
          </cell>
          <cell r="BK240">
            <v>1222.9497206813894</v>
          </cell>
          <cell r="BL240">
            <v>0</v>
          </cell>
          <cell r="BN240">
            <v>26.790721818290397</v>
          </cell>
          <cell r="BO240">
            <v>0</v>
          </cell>
          <cell r="BT240">
            <v>19960.542750047684</v>
          </cell>
          <cell r="BU240">
            <v>37648.287645525692</v>
          </cell>
          <cell r="BW240">
            <v>13169.928684731411</v>
          </cell>
          <cell r="BX240">
            <v>16261.351452269768</v>
          </cell>
          <cell r="BZ240">
            <v>9902.1142260747238</v>
          </cell>
          <cell r="CA240">
            <v>250.7194548872005</v>
          </cell>
          <cell r="CC240">
            <v>1129.921101732197</v>
          </cell>
          <cell r="CD240">
            <v>1132.1021837021269</v>
          </cell>
          <cell r="CF240">
            <v>140.16163207442335</v>
          </cell>
          <cell r="CG240">
            <v>0</v>
          </cell>
          <cell r="CI240">
            <v>3587.4124354255964</v>
          </cell>
          <cell r="CJ240">
            <v>1410.1772319672937</v>
          </cell>
          <cell r="CL240">
            <v>0</v>
          </cell>
          <cell r="CM240">
            <v>0</v>
          </cell>
          <cell r="CX240">
            <v>4312.0439296724562</v>
          </cell>
          <cell r="CY240">
            <v>32129.464544780727</v>
          </cell>
          <cell r="DA240">
            <v>-53225.929659734764</v>
          </cell>
          <cell r="DC240">
            <v>48991.88</v>
          </cell>
          <cell r="DD240">
            <v>14988.18</v>
          </cell>
          <cell r="DE240">
            <v>29282.67</v>
          </cell>
          <cell r="DF240">
            <v>13481.14</v>
          </cell>
          <cell r="DW240">
            <v>1062</v>
          </cell>
          <cell r="DX240">
            <v>0</v>
          </cell>
        </row>
        <row r="241">
          <cell r="F241">
            <v>3564.2</v>
          </cell>
          <cell r="G241">
            <v>0</v>
          </cell>
          <cell r="H241">
            <v>0</v>
          </cell>
          <cell r="I241">
            <v>10597.235946864859</v>
          </cell>
          <cell r="J241">
            <v>10741.936772436886</v>
          </cell>
          <cell r="L241">
            <v>1819.6232585543701</v>
          </cell>
          <cell r="M241">
            <v>1978.0731595400439</v>
          </cell>
          <cell r="O241">
            <v>4304.5977320324337</v>
          </cell>
          <cell r="P241">
            <v>4318.8365600341413</v>
          </cell>
          <cell r="R241">
            <v>0</v>
          </cell>
          <cell r="S241">
            <v>0</v>
          </cell>
          <cell r="U241">
            <v>187.10196558541708</v>
          </cell>
          <cell r="V241">
            <v>107.9445908639935</v>
          </cell>
          <cell r="X241">
            <v>6642.2540546113432</v>
          </cell>
          <cell r="Y241">
            <v>6486.951879092102</v>
          </cell>
          <cell r="AA241">
            <v>0</v>
          </cell>
          <cell r="AB241">
            <v>0</v>
          </cell>
          <cell r="AD241">
            <v>12919.350175111213</v>
          </cell>
          <cell r="AE241">
            <v>12607.833310487578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9993.1400290751499</v>
          </cell>
          <cell r="AQ241">
            <v>10178.428838258529</v>
          </cell>
          <cell r="AS241">
            <v>49441.585148871891</v>
          </cell>
          <cell r="AT241">
            <v>76741.26924894996</v>
          </cell>
          <cell r="AV241">
            <v>1570.5334652246418</v>
          </cell>
          <cell r="AW241">
            <v>0</v>
          </cell>
          <cell r="AY241">
            <v>2375.1730952198018</v>
          </cell>
          <cell r="AZ241">
            <v>0</v>
          </cell>
          <cell r="BB241">
            <v>2164.6555858107299</v>
          </cell>
          <cell r="BC241">
            <v>0</v>
          </cell>
          <cell r="BE241">
            <v>0</v>
          </cell>
          <cell r="BF241">
            <v>0</v>
          </cell>
          <cell r="BH241">
            <v>110.27308797143304</v>
          </cell>
          <cell r="BI241">
            <v>0</v>
          </cell>
          <cell r="BK241">
            <v>1215.1597359900777</v>
          </cell>
          <cell r="BL241">
            <v>176.70892977667361</v>
          </cell>
          <cell r="BN241">
            <v>24.814357093990289</v>
          </cell>
          <cell r="BO241">
            <v>0</v>
          </cell>
          <cell r="BT241">
            <v>16649.743455843982</v>
          </cell>
          <cell r="BU241">
            <v>30977.840339300325</v>
          </cell>
          <cell r="BW241">
            <v>13338.253378357207</v>
          </cell>
          <cell r="BX241">
            <v>14429.005330579825</v>
          </cell>
          <cell r="BZ241">
            <v>8000.7964194219285</v>
          </cell>
          <cell r="CA241">
            <v>221.04584630271361</v>
          </cell>
          <cell r="CC241">
            <v>1828.9444330442891</v>
          </cell>
          <cell r="CD241">
            <v>1832.4748368227486</v>
          </cell>
          <cell r="CF241">
            <v>226.87233322391347</v>
          </cell>
          <cell r="CG241">
            <v>0</v>
          </cell>
          <cell r="CI241">
            <v>2327.4262502911124</v>
          </cell>
          <cell r="CJ241">
            <v>2569.3583584943067</v>
          </cell>
          <cell r="CL241">
            <v>0</v>
          </cell>
          <cell r="CM241">
            <v>0</v>
          </cell>
          <cell r="CX241">
            <v>8740.6339129449607</v>
          </cell>
          <cell r="CY241">
            <v>-24415.574998343101</v>
          </cell>
          <cell r="DA241">
            <v>87882.140643589504</v>
          </cell>
          <cell r="DC241">
            <v>42899.28</v>
          </cell>
          <cell r="DD241">
            <v>0</v>
          </cell>
          <cell r="DE241">
            <v>18815.27</v>
          </cell>
          <cell r="DF241">
            <v>0</v>
          </cell>
          <cell r="DW241">
            <v>918</v>
          </cell>
          <cell r="DX241">
            <v>0</v>
          </cell>
        </row>
        <row r="242">
          <cell r="F242">
            <v>3572</v>
          </cell>
          <cell r="G242">
            <v>0</v>
          </cell>
          <cell r="H242">
            <v>0</v>
          </cell>
          <cell r="I242">
            <v>10274.966530241383</v>
          </cell>
          <cell r="J242">
            <v>10419.374644483307</v>
          </cell>
          <cell r="L242">
            <v>1819.6232585543701</v>
          </cell>
          <cell r="M242">
            <v>1886.9763487676123</v>
          </cell>
          <cell r="O242">
            <v>4717.5131125358075</v>
          </cell>
          <cell r="P242">
            <v>4733.0973114412009</v>
          </cell>
          <cell r="R242">
            <v>0</v>
          </cell>
          <cell r="S242">
            <v>0</v>
          </cell>
          <cell r="U242">
            <v>187.10196558541708</v>
          </cell>
          <cell r="V242">
            <v>107.9445908639935</v>
          </cell>
          <cell r="X242">
            <v>6634.6819412716968</v>
          </cell>
          <cell r="Y242">
            <v>6514.0611206959757</v>
          </cell>
          <cell r="AA242">
            <v>0</v>
          </cell>
          <cell r="AB242">
            <v>0</v>
          </cell>
          <cell r="AD242">
            <v>12945.602298597798</v>
          </cell>
          <cell r="AE242">
            <v>12633.558578198576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9993.1400290751499</v>
          </cell>
          <cell r="AQ242">
            <v>11210.855130962831</v>
          </cell>
          <cell r="AS242">
            <v>48962.288265344578</v>
          </cell>
          <cell r="AT242">
            <v>7612.7720089686254</v>
          </cell>
          <cell r="AV242">
            <v>1520.0802152150454</v>
          </cell>
          <cell r="AW242">
            <v>0</v>
          </cell>
          <cell r="AY242">
            <v>2375.1730952198018</v>
          </cell>
          <cell r="AZ242">
            <v>0</v>
          </cell>
          <cell r="BB242">
            <v>2540.6951030054611</v>
          </cell>
          <cell r="BC242">
            <v>0</v>
          </cell>
          <cell r="BE242">
            <v>0</v>
          </cell>
          <cell r="BF242">
            <v>0</v>
          </cell>
          <cell r="BH242">
            <v>110.27308797143304</v>
          </cell>
          <cell r="BI242">
            <v>0</v>
          </cell>
          <cell r="BK242">
            <v>1219.7888083056141</v>
          </cell>
          <cell r="BL242">
            <v>1102.1574769873018</v>
          </cell>
          <cell r="BN242">
            <v>20.108726798037644</v>
          </cell>
          <cell r="BO242">
            <v>3947.3587885413904</v>
          </cell>
          <cell r="BT242">
            <v>13262.09634777232</v>
          </cell>
          <cell r="BU242">
            <v>25781.325891045952</v>
          </cell>
          <cell r="BW242">
            <v>15705.504010208708</v>
          </cell>
          <cell r="BX242">
            <v>18513.341910782146</v>
          </cell>
          <cell r="BZ242">
            <v>7505.3554674628058</v>
          </cell>
          <cell r="CA242">
            <v>203.54723068453745</v>
          </cell>
          <cell r="CC242">
            <v>1862.7805458910786</v>
          </cell>
          <cell r="CD242">
            <v>1866.3762633764425</v>
          </cell>
          <cell r="CF242">
            <v>231.0695508813146</v>
          </cell>
          <cell r="CG242">
            <v>0</v>
          </cell>
          <cell r="CI242">
            <v>9799.2919435449021</v>
          </cell>
          <cell r="CJ242">
            <v>9822.2157259581072</v>
          </cell>
          <cell r="CL242">
            <v>0</v>
          </cell>
          <cell r="CM242">
            <v>0</v>
          </cell>
          <cell r="CX242">
            <v>7794.1728774069843</v>
          </cell>
          <cell r="CY242">
            <v>50192.778415476649</v>
          </cell>
          <cell r="DA242">
            <v>-15544.403189837773</v>
          </cell>
          <cell r="DC242">
            <v>61484.09</v>
          </cell>
          <cell r="DD242">
            <v>0</v>
          </cell>
          <cell r="DE242">
            <v>36625.519999999997</v>
          </cell>
          <cell r="DF242">
            <v>0</v>
          </cell>
          <cell r="DW242">
            <v>1062</v>
          </cell>
          <cell r="DX242">
            <v>0</v>
          </cell>
        </row>
        <row r="243">
          <cell r="F243">
            <v>2479.3000000000002</v>
          </cell>
          <cell r="G243">
            <v>0</v>
          </cell>
          <cell r="H243">
            <v>210.60000000000002</v>
          </cell>
          <cell r="I243">
            <v>7597.1531790619701</v>
          </cell>
          <cell r="J243">
            <v>7702.1063194381695</v>
          </cell>
          <cell r="L243">
            <v>1588.0939746207546</v>
          </cell>
          <cell r="M243">
            <v>1654.3282551462712</v>
          </cell>
          <cell r="O243">
            <v>3120.7341543579273</v>
          </cell>
          <cell r="P243">
            <v>3131.1906887978175</v>
          </cell>
          <cell r="R243">
            <v>0</v>
          </cell>
          <cell r="S243">
            <v>0</v>
          </cell>
          <cell r="U243">
            <v>187.10196558541708</v>
          </cell>
          <cell r="V243">
            <v>107.9445908639935</v>
          </cell>
          <cell r="X243">
            <v>4879.958071763087</v>
          </cell>
          <cell r="Y243">
            <v>4721.2893861830935</v>
          </cell>
          <cell r="AA243">
            <v>0</v>
          </cell>
          <cell r="AB243">
            <v>0</v>
          </cell>
          <cell r="AD243">
            <v>9725.7654849522223</v>
          </cell>
          <cell r="AE243">
            <v>9668.6951750864628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7245.0265210794823</v>
          </cell>
          <cell r="AQ243">
            <v>4014.8716080851937</v>
          </cell>
          <cell r="AS243">
            <v>27605.804777250614</v>
          </cell>
          <cell r="AT243">
            <v>41245.496944247003</v>
          </cell>
          <cell r="AV243">
            <v>1183.0417998064411</v>
          </cell>
          <cell r="AW243">
            <v>0</v>
          </cell>
          <cell r="AY243">
            <v>2000.9164265171526</v>
          </cell>
          <cell r="AZ243">
            <v>0</v>
          </cell>
          <cell r="BB243">
            <v>1534.2031366314347</v>
          </cell>
          <cell r="BC243">
            <v>0</v>
          </cell>
          <cell r="BE243">
            <v>0</v>
          </cell>
          <cell r="BF243">
            <v>0</v>
          </cell>
          <cell r="BH243">
            <v>110.27308797143304</v>
          </cell>
          <cell r="BI243">
            <v>0</v>
          </cell>
          <cell r="BK243">
            <v>856.50687341208811</v>
          </cell>
          <cell r="BL243">
            <v>0</v>
          </cell>
          <cell r="BN243">
            <v>15.371725633445312</v>
          </cell>
          <cell r="BO243">
            <v>2934.3460105618965</v>
          </cell>
          <cell r="BT243">
            <v>17649.017543353595</v>
          </cell>
          <cell r="BU243">
            <v>30842.223426247307</v>
          </cell>
          <cell r="BW243">
            <v>9977.0555889953102</v>
          </cell>
          <cell r="BX243">
            <v>12047.828900762417</v>
          </cell>
          <cell r="BZ243">
            <v>8166.8811409872214</v>
          </cell>
          <cell r="CA243">
            <v>244.06649009837284</v>
          </cell>
          <cell r="CC243">
            <v>604.69235004225345</v>
          </cell>
          <cell r="CD243">
            <v>605.85958515274899</v>
          </cell>
          <cell r="CF243">
            <v>75.009367074311427</v>
          </cell>
          <cell r="CG243">
            <v>0</v>
          </cell>
          <cell r="CI243">
            <v>3890.1203445666133</v>
          </cell>
          <cell r="CJ243">
            <v>2431.6892047194201</v>
          </cell>
          <cell r="CL243">
            <v>0</v>
          </cell>
          <cell r="CM243">
            <v>0</v>
          </cell>
          <cell r="CX243">
            <v>3855.9392209373068</v>
          </cell>
          <cell r="CY243">
            <v>-12151.111665135561</v>
          </cell>
          <cell r="DA243">
            <v>25053.147081141804</v>
          </cell>
          <cell r="DC243">
            <v>51227.23</v>
          </cell>
          <cell r="DD243">
            <v>1445.77</v>
          </cell>
          <cell r="DE243">
            <v>35062.450000000004</v>
          </cell>
          <cell r="DF243">
            <v>210.57999999999993</v>
          </cell>
          <cell r="DW243">
            <v>1062</v>
          </cell>
          <cell r="DX243">
            <v>0</v>
          </cell>
        </row>
        <row r="244">
          <cell r="F244">
            <v>2013</v>
          </cell>
          <cell r="G244">
            <v>0</v>
          </cell>
          <cell r="H244">
            <v>511.20000000000005</v>
          </cell>
          <cell r="I244">
            <v>7880.403521144638</v>
          </cell>
          <cell r="J244">
            <v>7942.1622539012305</v>
          </cell>
          <cell r="L244">
            <v>1998.9541600305897</v>
          </cell>
          <cell r="M244">
            <v>2073.1063898333759</v>
          </cell>
          <cell r="O244">
            <v>3038.4492016388654</v>
          </cell>
          <cell r="P244">
            <v>3048.7391596198586</v>
          </cell>
          <cell r="R244">
            <v>0</v>
          </cell>
          <cell r="S244">
            <v>0</v>
          </cell>
          <cell r="U244">
            <v>224.52235870250053</v>
          </cell>
          <cell r="V244">
            <v>129.5335090367922</v>
          </cell>
          <cell r="X244">
            <v>7946.3750011392185</v>
          </cell>
          <cell r="Y244">
            <v>7891.7237252265013</v>
          </cell>
          <cell r="AA244">
            <v>0</v>
          </cell>
          <cell r="AB244">
            <v>0</v>
          </cell>
          <cell r="AD244">
            <v>9031.0674006648223</v>
          </cell>
          <cell r="AE244">
            <v>8928.7975260480052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4122.1702619934995</v>
          </cell>
          <cell r="AQ244">
            <v>4864.9546233434685</v>
          </cell>
          <cell r="AS244">
            <v>37379.883972609947</v>
          </cell>
          <cell r="AT244">
            <v>62051.504016462037</v>
          </cell>
          <cell r="AV244">
            <v>1390.7862735326853</v>
          </cell>
          <cell r="AW244">
            <v>0</v>
          </cell>
          <cell r="AY244">
            <v>2609.33877676881</v>
          </cell>
          <cell r="AZ244">
            <v>0</v>
          </cell>
          <cell r="BB244">
            <v>1278.2955137235497</v>
          </cell>
          <cell r="BC244">
            <v>0</v>
          </cell>
          <cell r="BE244">
            <v>0</v>
          </cell>
          <cell r="BF244">
            <v>0</v>
          </cell>
          <cell r="BH244">
            <v>132.32770556571961</v>
          </cell>
          <cell r="BI244">
            <v>0</v>
          </cell>
          <cell r="BK244">
            <v>1578.9289756698345</v>
          </cell>
          <cell r="BL244">
            <v>0</v>
          </cell>
          <cell r="BN244">
            <v>27.982814826598393</v>
          </cell>
          <cell r="BO244">
            <v>5519.8044332453574</v>
          </cell>
          <cell r="BT244">
            <v>13684.148711259868</v>
          </cell>
          <cell r="BU244">
            <v>24816.167928964376</v>
          </cell>
          <cell r="BW244">
            <v>14988.84300233853</v>
          </cell>
          <cell r="BX244">
            <v>17338.811677360769</v>
          </cell>
          <cell r="BZ244">
            <v>4147.861918895178</v>
          </cell>
          <cell r="CA244">
            <v>197.82345626261142</v>
          </cell>
          <cell r="CC244">
            <v>754.18644861988878</v>
          </cell>
          <cell r="CD244">
            <v>755.64225156270379</v>
          </cell>
          <cell r="CF244">
            <v>93.553437815192495</v>
          </cell>
          <cell r="CG244">
            <v>0</v>
          </cell>
          <cell r="CI244">
            <v>3864.8516855774046</v>
          </cell>
          <cell r="CJ244">
            <v>1605.850965703866</v>
          </cell>
          <cell r="CL244">
            <v>0</v>
          </cell>
          <cell r="CM244">
            <v>0</v>
          </cell>
          <cell r="CX244">
            <v>4093.1515543899086</v>
          </cell>
          <cell r="CY244">
            <v>-33096.877374474439</v>
          </cell>
          <cell r="DA244">
            <v>-5524.627931625073</v>
          </cell>
          <cell r="DC244">
            <v>33267.910000000003</v>
          </cell>
          <cell r="DD244">
            <v>5782.6799999999994</v>
          </cell>
          <cell r="DE244">
            <v>17845.500000000004</v>
          </cell>
          <cell r="DF244">
            <v>2477.92</v>
          </cell>
          <cell r="DW244">
            <v>918</v>
          </cell>
          <cell r="DX244">
            <v>0</v>
          </cell>
        </row>
        <row r="245">
          <cell r="F245">
            <v>648.26</v>
          </cell>
          <cell r="G245">
            <v>0</v>
          </cell>
          <cell r="H245">
            <v>127.7</v>
          </cell>
          <cell r="I245">
            <v>2178.8033785589887</v>
          </cell>
          <cell r="J245">
            <v>2186.7923263604957</v>
          </cell>
          <cell r="L245">
            <v>370.91494863850221</v>
          </cell>
          <cell r="M245">
            <v>384.77607644856221</v>
          </cell>
          <cell r="O245">
            <v>1005.365314786373</v>
          </cell>
          <cell r="P245">
            <v>1008.6399804768838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>
            <v>950.79217445635663</v>
          </cell>
          <cell r="Y245">
            <v>1207.706668499045</v>
          </cell>
          <cell r="AA245">
            <v>0</v>
          </cell>
          <cell r="AB245">
            <v>0</v>
          </cell>
          <cell r="AD245">
            <v>2774.6483577122258</v>
          </cell>
          <cell r="AE245">
            <v>3106.8269820296368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41.638083454479791</v>
          </cell>
          <cell r="AQ245">
            <v>21.25</v>
          </cell>
          <cell r="AS245">
            <v>9355.3471243972599</v>
          </cell>
          <cell r="AT245">
            <v>0</v>
          </cell>
          <cell r="AV245">
            <v>444.78039000859638</v>
          </cell>
          <cell r="AW245">
            <v>0</v>
          </cell>
          <cell r="AY245">
            <v>483.95493226143134</v>
          </cell>
          <cell r="AZ245">
            <v>0</v>
          </cell>
          <cell r="BB245">
            <v>432.0021274567427</v>
          </cell>
          <cell r="BC245">
            <v>0</v>
          </cell>
          <cell r="BE245">
            <v>0</v>
          </cell>
          <cell r="BF245">
            <v>0</v>
          </cell>
          <cell r="BH245">
            <v>0</v>
          </cell>
          <cell r="BI245">
            <v>0</v>
          </cell>
          <cell r="BK245">
            <v>122.7007508229072</v>
          </cell>
          <cell r="BL245">
            <v>0</v>
          </cell>
          <cell r="BN245">
            <v>5.8977233042606496</v>
          </cell>
          <cell r="BO245">
            <v>0</v>
          </cell>
          <cell r="BT245">
            <v>3970.1075819690313</v>
          </cell>
          <cell r="BU245">
            <v>6924.3431693011198</v>
          </cell>
          <cell r="BW245">
            <v>262.47529175430378</v>
          </cell>
          <cell r="BX245">
            <v>528.12160377294151</v>
          </cell>
          <cell r="BZ245">
            <v>1915.9396692527696</v>
          </cell>
          <cell r="CA245">
            <v>124.61940423199597</v>
          </cell>
          <cell r="CC245">
            <v>0</v>
          </cell>
          <cell r="CD245">
            <v>0</v>
          </cell>
          <cell r="CF245">
            <v>0</v>
          </cell>
          <cell r="CG245">
            <v>0</v>
          </cell>
          <cell r="CI245">
            <v>5688.7476086896695</v>
          </cell>
          <cell r="CJ245">
            <v>443.38841414179245</v>
          </cell>
          <cell r="CL245">
            <v>0</v>
          </cell>
          <cell r="CM245">
            <v>0</v>
          </cell>
          <cell r="CX245">
            <v>5963.2604816380481</v>
          </cell>
          <cell r="CY245">
            <v>22844.441480351765</v>
          </cell>
          <cell r="DA245">
            <v>80449.517283981113</v>
          </cell>
          <cell r="DC245">
            <v>16215.2</v>
          </cell>
          <cell r="DD245">
            <v>0.06</v>
          </cell>
          <cell r="DE245">
            <v>11288.720000000001</v>
          </cell>
          <cell r="DF245">
            <v>-782.38000000000011</v>
          </cell>
          <cell r="DW245">
            <v>0</v>
          </cell>
          <cell r="DX245">
            <v>0</v>
          </cell>
        </row>
        <row r="246">
          <cell r="F246">
            <v>63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249.8285007268787</v>
          </cell>
          <cell r="AQ246">
            <v>140.47538423161123</v>
          </cell>
          <cell r="AS246">
            <v>1002.3175090869643</v>
          </cell>
          <cell r="AT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B246">
            <v>0</v>
          </cell>
          <cell r="BC246">
            <v>0</v>
          </cell>
          <cell r="BE246">
            <v>0</v>
          </cell>
          <cell r="BF246">
            <v>0</v>
          </cell>
          <cell r="BH246">
            <v>0</v>
          </cell>
          <cell r="BI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0</v>
          </cell>
          <cell r="BZ246">
            <v>0</v>
          </cell>
          <cell r="CA246">
            <v>0</v>
          </cell>
          <cell r="CC246">
            <v>0</v>
          </cell>
          <cell r="CD246">
            <v>0</v>
          </cell>
          <cell r="CF246">
            <v>0</v>
          </cell>
          <cell r="CG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X246">
            <v>17.720274558311164</v>
          </cell>
          <cell r="CY246">
            <v>1351.7250252569893</v>
          </cell>
          <cell r="DA246">
            <v>-5722.7044696344474</v>
          </cell>
          <cell r="DC246">
            <v>456.27</v>
          </cell>
          <cell r="DD246">
            <v>0</v>
          </cell>
          <cell r="DE246">
            <v>259.57</v>
          </cell>
          <cell r="DF246">
            <v>0</v>
          </cell>
          <cell r="DW246">
            <v>0</v>
          </cell>
          <cell r="DX246">
            <v>0</v>
          </cell>
        </row>
        <row r="247">
          <cell r="F247">
            <v>253.7</v>
          </cell>
          <cell r="G247">
            <v>0</v>
          </cell>
          <cell r="H247">
            <v>0</v>
          </cell>
          <cell r="I247">
            <v>607.41895894387903</v>
          </cell>
          <cell r="J247">
            <v>612.33186299282761</v>
          </cell>
          <cell r="L247">
            <v>208.97763953285781</v>
          </cell>
          <cell r="M247">
            <v>216.89282638013532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369.10800392506087</v>
          </cell>
          <cell r="Y247">
            <v>331.18742272573644</v>
          </cell>
          <cell r="AA247">
            <v>0</v>
          </cell>
          <cell r="AB247">
            <v>0</v>
          </cell>
          <cell r="AD247">
            <v>919.57968601079233</v>
          </cell>
          <cell r="AE247">
            <v>897.40746864685013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333.10466763583833</v>
          </cell>
          <cell r="AQ247">
            <v>375.84186815509452</v>
          </cell>
          <cell r="AS247">
            <v>3170.8267518456064</v>
          </cell>
          <cell r="AT247">
            <v>0</v>
          </cell>
          <cell r="AV247">
            <v>191.3466718585338</v>
          </cell>
          <cell r="AW247">
            <v>0</v>
          </cell>
          <cell r="AY247">
            <v>244.96850107601821</v>
          </cell>
          <cell r="AZ247">
            <v>0</v>
          </cell>
          <cell r="BB247">
            <v>0</v>
          </cell>
          <cell r="BC247">
            <v>0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92.230112121581385</v>
          </cell>
          <cell r="BL247">
            <v>0</v>
          </cell>
          <cell r="BN247">
            <v>31.214014296485885</v>
          </cell>
          <cell r="BO247">
            <v>0</v>
          </cell>
          <cell r="BT247">
            <v>2492.0918868519911</v>
          </cell>
          <cell r="BU247">
            <v>4677.5642600827669</v>
          </cell>
          <cell r="BW247">
            <v>1963.0261313518492</v>
          </cell>
          <cell r="BX247">
            <v>2403.4657311923111</v>
          </cell>
          <cell r="BZ247">
            <v>1451.1739004112635</v>
          </cell>
          <cell r="CA247">
            <v>113.42114657244592</v>
          </cell>
          <cell r="CC247">
            <v>0</v>
          </cell>
          <cell r="CD247">
            <v>0</v>
          </cell>
          <cell r="CF247">
            <v>0</v>
          </cell>
          <cell r="CG247">
            <v>0</v>
          </cell>
          <cell r="CI247">
            <v>785.75209481851277</v>
          </cell>
          <cell r="CJ247">
            <v>26.079793225485666</v>
          </cell>
          <cell r="CL247">
            <v>0</v>
          </cell>
          <cell r="CM247">
            <v>0</v>
          </cell>
          <cell r="CX247">
            <v>183.2901932124673</v>
          </cell>
          <cell r="CY247">
            <v>4031.2421620604046</v>
          </cell>
          <cell r="DA247">
            <v>2474.6042349872914</v>
          </cell>
          <cell r="DC247">
            <v>3980.24</v>
          </cell>
          <cell r="DD247">
            <v>0</v>
          </cell>
          <cell r="DE247">
            <v>1953.7399999999998</v>
          </cell>
          <cell r="DF247">
            <v>0</v>
          </cell>
          <cell r="DW247">
            <v>0</v>
          </cell>
          <cell r="DX247">
            <v>0</v>
          </cell>
        </row>
        <row r="248">
          <cell r="F248">
            <v>601.4</v>
          </cell>
          <cell r="G248">
            <v>0</v>
          </cell>
          <cell r="H248">
            <v>0</v>
          </cell>
          <cell r="I248">
            <v>2144.289016119852</v>
          </cell>
          <cell r="J248">
            <v>2158.6532365074954</v>
          </cell>
          <cell r="L248">
            <v>329.95749291200298</v>
          </cell>
          <cell r="M248">
            <v>342.56300667563687</v>
          </cell>
          <cell r="O248">
            <v>800.97788940391399</v>
          </cell>
          <cell r="P248">
            <v>803.76163796903245</v>
          </cell>
          <cell r="R248">
            <v>0</v>
          </cell>
          <cell r="S248">
            <v>0</v>
          </cell>
          <cell r="U248">
            <v>56.130589675625131</v>
          </cell>
          <cell r="V248">
            <v>32.383377259198049</v>
          </cell>
          <cell r="X248">
            <v>1169.798483663566</v>
          </cell>
          <cell r="Y248">
            <v>2685.3653816540045</v>
          </cell>
          <cell r="AA248">
            <v>0</v>
          </cell>
          <cell r="AB248">
            <v>0</v>
          </cell>
          <cell r="AD248">
            <v>2179.8786880839207</v>
          </cell>
          <cell r="AE248">
            <v>2127.3190841317132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1498.9710043612722</v>
          </cell>
          <cell r="AQ248">
            <v>1837.1289165253588</v>
          </cell>
          <cell r="AS248">
            <v>7345.3890462511454</v>
          </cell>
          <cell r="AT248">
            <v>0</v>
          </cell>
          <cell r="AV248">
            <v>354.58619520575007</v>
          </cell>
          <cell r="AW248">
            <v>0</v>
          </cell>
          <cell r="AY248">
            <v>387.55780378213854</v>
          </cell>
          <cell r="AZ248">
            <v>0</v>
          </cell>
          <cell r="BB248">
            <v>350.85777292718421</v>
          </cell>
          <cell r="BC248">
            <v>0</v>
          </cell>
          <cell r="BE248">
            <v>0</v>
          </cell>
          <cell r="BF248">
            <v>0</v>
          </cell>
          <cell r="BH248">
            <v>33.081926391429903</v>
          </cell>
          <cell r="BI248">
            <v>0</v>
          </cell>
          <cell r="BK248">
            <v>121.64008963681349</v>
          </cell>
          <cell r="BL248">
            <v>0</v>
          </cell>
          <cell r="BN248">
            <v>24.814357093990289</v>
          </cell>
          <cell r="BO248">
            <v>905.68856706307645</v>
          </cell>
          <cell r="BT248">
            <v>5871.2181177785033</v>
          </cell>
          <cell r="BU248">
            <v>9000.9914297900577</v>
          </cell>
          <cell r="BW248">
            <v>4503.6358664030431</v>
          </cell>
          <cell r="BX248">
            <v>5067.4729151296979</v>
          </cell>
          <cell r="BZ248">
            <v>1571.9162215816473</v>
          </cell>
          <cell r="CA248">
            <v>135.53902390757099</v>
          </cell>
          <cell r="CC248">
            <v>0</v>
          </cell>
          <cell r="CD248">
            <v>0</v>
          </cell>
          <cell r="CF248">
            <v>0</v>
          </cell>
          <cell r="CG248">
            <v>0</v>
          </cell>
          <cell r="CI248">
            <v>763.05453019075264</v>
          </cell>
          <cell r="CJ248">
            <v>26.449996916812498</v>
          </cell>
          <cell r="CL248">
            <v>0</v>
          </cell>
          <cell r="CM248">
            <v>0</v>
          </cell>
          <cell r="CX248">
            <v>420.68726471006761</v>
          </cell>
          <cell r="CY248">
            <v>5682.0134862295454</v>
          </cell>
          <cell r="DA248">
            <v>-25403.007099509654</v>
          </cell>
          <cell r="DC248">
            <v>4403.04</v>
          </cell>
          <cell r="DD248">
            <v>0</v>
          </cell>
          <cell r="DE248">
            <v>-244.34000000000015</v>
          </cell>
          <cell r="DF248">
            <v>0</v>
          </cell>
          <cell r="DW248">
            <v>918</v>
          </cell>
          <cell r="DX248">
            <v>0</v>
          </cell>
        </row>
        <row r="249">
          <cell r="F249">
            <v>427.1</v>
          </cell>
          <cell r="G249">
            <v>0</v>
          </cell>
          <cell r="H249">
            <v>0</v>
          </cell>
          <cell r="I249">
            <v>1917.7257516372383</v>
          </cell>
          <cell r="J249">
            <v>1923.0060824639484</v>
          </cell>
          <cell r="L249">
            <v>376.46758669472308</v>
          </cell>
          <cell r="M249">
            <v>390.6364834333084</v>
          </cell>
          <cell r="O249">
            <v>553.29536065678315</v>
          </cell>
          <cell r="P249">
            <v>555.43301121766638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>
            <v>1096.7532177456521</v>
          </cell>
          <cell r="Y249">
            <v>1054.8966703900153</v>
          </cell>
          <cell r="AA249">
            <v>0</v>
          </cell>
          <cell r="AB249">
            <v>0</v>
          </cell>
          <cell r="AD249">
            <v>1548.0980839385475</v>
          </cell>
          <cell r="AE249">
            <v>1510.7715012182489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999.3140029075148</v>
          </cell>
          <cell r="AQ249">
            <v>1280.6967902927504</v>
          </cell>
          <cell r="AS249">
            <v>4413.8497567680888</v>
          </cell>
          <cell r="AT249">
            <v>0</v>
          </cell>
          <cell r="AV249">
            <v>346.36738102961817</v>
          </cell>
          <cell r="AW249">
            <v>0</v>
          </cell>
          <cell r="AY249">
            <v>440.99568274599528</v>
          </cell>
          <cell r="AZ249">
            <v>0</v>
          </cell>
          <cell r="BB249">
            <v>234.91068048012806</v>
          </cell>
          <cell r="BC249">
            <v>0</v>
          </cell>
          <cell r="BE249">
            <v>0</v>
          </cell>
          <cell r="BF249">
            <v>0</v>
          </cell>
          <cell r="BH249">
            <v>0</v>
          </cell>
          <cell r="BI249">
            <v>0</v>
          </cell>
          <cell r="BK249">
            <v>200.52441431361646</v>
          </cell>
          <cell r="BL249">
            <v>0</v>
          </cell>
          <cell r="BN249">
            <v>27.982814826598393</v>
          </cell>
          <cell r="BO249">
            <v>0</v>
          </cell>
          <cell r="BT249">
            <v>5572.9815786006566</v>
          </cell>
          <cell r="BU249">
            <v>10724.15316956628</v>
          </cell>
          <cell r="BW249">
            <v>4036.1314942058489</v>
          </cell>
          <cell r="BX249">
            <v>4553.0745274926485</v>
          </cell>
          <cell r="BZ249">
            <v>1746.0207940356208</v>
          </cell>
          <cell r="CA249">
            <v>130.61812025275646</v>
          </cell>
          <cell r="CC249">
            <v>0</v>
          </cell>
          <cell r="CD249">
            <v>0</v>
          </cell>
          <cell r="CF249">
            <v>0</v>
          </cell>
          <cell r="CG249">
            <v>0</v>
          </cell>
          <cell r="CI249">
            <v>745.35172607746324</v>
          </cell>
          <cell r="CJ249">
            <v>157.5844068633784</v>
          </cell>
          <cell r="CL249">
            <v>0</v>
          </cell>
          <cell r="CM249">
            <v>0</v>
          </cell>
          <cell r="CX249">
            <v>347.08112511358365</v>
          </cell>
          <cell r="CY249">
            <v>2718.1606012813022</v>
          </cell>
          <cell r="DA249">
            <v>84117.126397210697</v>
          </cell>
          <cell r="DC249">
            <v>15336.34</v>
          </cell>
          <cell r="DD249">
            <v>0</v>
          </cell>
          <cell r="DE249">
            <v>11502.380000000001</v>
          </cell>
          <cell r="DF249">
            <v>0</v>
          </cell>
          <cell r="DW249">
            <v>0</v>
          </cell>
          <cell r="DX249">
            <v>0</v>
          </cell>
        </row>
        <row r="250">
          <cell r="F250">
            <v>1283.3</v>
          </cell>
          <cell r="G250">
            <v>0</v>
          </cell>
          <cell r="H250">
            <v>0</v>
          </cell>
          <cell r="I250">
            <v>4146.449110898091</v>
          </cell>
          <cell r="J250">
            <v>4182.5768670905873</v>
          </cell>
          <cell r="L250">
            <v>800.44143704251405</v>
          </cell>
          <cell r="M250">
            <v>831.81014974434811</v>
          </cell>
          <cell r="O250">
            <v>1703.7554294900426</v>
          </cell>
          <cell r="P250">
            <v>1709.2765924456589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>
            <v>2533.7977126846818</v>
          </cell>
          <cell r="Y250">
            <v>2379.9060747187191</v>
          </cell>
          <cell r="AA250">
            <v>0</v>
          </cell>
          <cell r="AB250">
            <v>0</v>
          </cell>
          <cell r="AD250">
            <v>4648.0801754240092</v>
          </cell>
          <cell r="AE250">
            <v>4536.1910566786109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2748.1135079956657</v>
          </cell>
          <cell r="AQ250">
            <v>3264.0836354775302</v>
          </cell>
          <cell r="AS250">
            <v>10860.484216741104</v>
          </cell>
          <cell r="AT250">
            <v>934.08358859403154</v>
          </cell>
          <cell r="AV250">
            <v>707.87746653835734</v>
          </cell>
          <cell r="AW250">
            <v>353.76054788612788</v>
          </cell>
          <cell r="AY250">
            <v>945.49811651820914</v>
          </cell>
          <cell r="AZ250">
            <v>0</v>
          </cell>
          <cell r="BB250">
            <v>711.95967213384131</v>
          </cell>
          <cell r="BC250">
            <v>0</v>
          </cell>
          <cell r="BE250">
            <v>0</v>
          </cell>
          <cell r="BF250">
            <v>0</v>
          </cell>
          <cell r="BH250">
            <v>0</v>
          </cell>
          <cell r="BI250">
            <v>479.81746655732121</v>
          </cell>
          <cell r="BK250">
            <v>390.27346135822808</v>
          </cell>
          <cell r="BL250">
            <v>0</v>
          </cell>
          <cell r="BN250">
            <v>27.982814826598393</v>
          </cell>
          <cell r="BO250">
            <v>0</v>
          </cell>
          <cell r="BT250">
            <v>17263.21038376119</v>
          </cell>
          <cell r="BU250">
            <v>31495.912386262822</v>
          </cell>
          <cell r="BW250">
            <v>6616.4563069051355</v>
          </cell>
          <cell r="BX250">
            <v>7691.3718617126269</v>
          </cell>
          <cell r="BZ250">
            <v>7187.9088178719821</v>
          </cell>
          <cell r="CA250">
            <v>240.81333770167959</v>
          </cell>
          <cell r="CC250">
            <v>780.5376031702674</v>
          </cell>
          <cell r="CD250">
            <v>782.04427163633761</v>
          </cell>
          <cell r="CF250">
            <v>96.822180051410882</v>
          </cell>
          <cell r="CG250">
            <v>0</v>
          </cell>
          <cell r="CI250">
            <v>1671.7679704475136</v>
          </cell>
          <cell r="CJ250">
            <v>2497.5023799714368</v>
          </cell>
          <cell r="CL250">
            <v>0</v>
          </cell>
          <cell r="CM250">
            <v>0</v>
          </cell>
          <cell r="CX250">
            <v>969.22190040138423</v>
          </cell>
          <cell r="CY250">
            <v>3923.9413012585915</v>
          </cell>
          <cell r="DA250">
            <v>73787.465032192864</v>
          </cell>
          <cell r="DC250">
            <v>22430.57</v>
          </cell>
          <cell r="DD250">
            <v>0</v>
          </cell>
          <cell r="DE250">
            <v>12324.19</v>
          </cell>
          <cell r="DF250">
            <v>0</v>
          </cell>
          <cell r="DW250">
            <v>918</v>
          </cell>
          <cell r="DX250">
            <v>0</v>
          </cell>
        </row>
        <row r="251">
          <cell r="F251">
            <v>275.8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441.59957341284274</v>
          </cell>
          <cell r="AQ251">
            <v>117.06282019300937</v>
          </cell>
          <cell r="AS251">
            <v>3447.3300975173738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649.6266071342817</v>
          </cell>
          <cell r="BU251">
            <v>2022.7666679122638</v>
          </cell>
          <cell r="BW251">
            <v>0</v>
          </cell>
          <cell r="BX251">
            <v>0</v>
          </cell>
          <cell r="BZ251">
            <v>152.78811863076169</v>
          </cell>
          <cell r="CA251">
            <v>3.4053409944883977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260.33327264252108</v>
          </cell>
          <cell r="CY251">
            <v>3318.0647537571194</v>
          </cell>
          <cell r="DA251">
            <v>-7384.4288247372324</v>
          </cell>
          <cell r="DC251">
            <v>1746.88</v>
          </cell>
          <cell r="DD251">
            <v>0</v>
          </cell>
          <cell r="DE251">
            <v>980.17000000000007</v>
          </cell>
          <cell r="DF251">
            <v>0</v>
          </cell>
          <cell r="DW251">
            <v>0</v>
          </cell>
          <cell r="DX251">
            <v>0</v>
          </cell>
        </row>
        <row r="252">
          <cell r="F252">
            <v>146.1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291.46658418135843</v>
          </cell>
          <cell r="AQ252">
            <v>281.88140111632089</v>
          </cell>
          <cell r="AS252">
            <v>1547.5380028586419</v>
          </cell>
          <cell r="AT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343.49906181417884</v>
          </cell>
          <cell r="BU252">
            <v>1308.7995950638858</v>
          </cell>
          <cell r="BW252">
            <v>0</v>
          </cell>
          <cell r="BX252">
            <v>0</v>
          </cell>
          <cell r="BZ252">
            <v>81.168688022592136</v>
          </cell>
          <cell r="CA252">
            <v>2.2034559376101397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63.529029965967702</v>
          </cell>
          <cell r="CY252">
            <v>868.47449167671323</v>
          </cell>
          <cell r="DA252">
            <v>-503.14815003592685</v>
          </cell>
          <cell r="DC252">
            <v>-156.97</v>
          </cell>
          <cell r="DD252">
            <v>0</v>
          </cell>
          <cell r="DE252">
            <v>-517.25</v>
          </cell>
          <cell r="DF252">
            <v>0</v>
          </cell>
          <cell r="DW252">
            <v>0</v>
          </cell>
          <cell r="DX252">
            <v>0</v>
          </cell>
        </row>
        <row r="253">
          <cell r="F253">
            <v>3818.3</v>
          </cell>
          <cell r="G253">
            <v>276.3</v>
          </cell>
          <cell r="H253">
            <v>172.31</v>
          </cell>
          <cell r="I253">
            <v>9857.4345658853617</v>
          </cell>
          <cell r="J253">
            <v>7575.787488248021</v>
          </cell>
          <cell r="L253">
            <v>1700.1422376745215</v>
          </cell>
          <cell r="M253">
            <v>1413.2264846579405</v>
          </cell>
          <cell r="O253">
            <v>5209.3642531719925</v>
          </cell>
          <cell r="P253">
            <v>5227.0258805319218</v>
          </cell>
          <cell r="R253">
            <v>1118.3752340262984</v>
          </cell>
          <cell r="S253">
            <v>1121.9816498522441</v>
          </cell>
          <cell r="U253">
            <v>741.70630508139288</v>
          </cell>
          <cell r="V253">
            <v>308.66370355420281</v>
          </cell>
          <cell r="X253">
            <v>6953.549419571812</v>
          </cell>
          <cell r="Y253">
            <v>4478.6651856524086</v>
          </cell>
          <cell r="AA253">
            <v>0</v>
          </cell>
          <cell r="AB253">
            <v>0</v>
          </cell>
          <cell r="AD253">
            <v>14464.918372420072</v>
          </cell>
          <cell r="AE253">
            <v>14116.16408977691</v>
          </cell>
          <cell r="AJ253">
            <v>36068.805748456747</v>
          </cell>
          <cell r="AK253">
            <v>34483.618016603694</v>
          </cell>
          <cell r="AM253">
            <v>0</v>
          </cell>
          <cell r="AN253">
            <v>0</v>
          </cell>
          <cell r="AP253">
            <v>2831.3896749046257</v>
          </cell>
          <cell r="AQ253">
            <v>2970.6102932325293</v>
          </cell>
          <cell r="AS253">
            <v>65954.53173963906</v>
          </cell>
          <cell r="AT253">
            <v>66638.896996490264</v>
          </cell>
          <cell r="AV253">
            <v>1051.8721289572345</v>
          </cell>
          <cell r="AW253">
            <v>1112.5486985183848</v>
          </cell>
          <cell r="AY253">
            <v>1105.0641636845216</v>
          </cell>
          <cell r="AZ253">
            <v>0</v>
          </cell>
          <cell r="BB253">
            <v>1583.2738624722365</v>
          </cell>
          <cell r="BC253">
            <v>0</v>
          </cell>
          <cell r="BE253">
            <v>502.56453417756677</v>
          </cell>
          <cell r="BF253">
            <v>0</v>
          </cell>
          <cell r="BH253">
            <v>393.95705419444823</v>
          </cell>
          <cell r="BI253">
            <v>0</v>
          </cell>
          <cell r="BK253">
            <v>1427.6958543192604</v>
          </cell>
          <cell r="BL253">
            <v>2005.4202757549467</v>
          </cell>
          <cell r="BN253">
            <v>407.5486633334674</v>
          </cell>
          <cell r="BO253">
            <v>12702.530811934001</v>
          </cell>
          <cell r="BT253">
            <v>40830.467872246794</v>
          </cell>
          <cell r="BU253">
            <v>62131.293996151864</v>
          </cell>
          <cell r="BW253">
            <v>42865.016742950495</v>
          </cell>
          <cell r="BX253">
            <v>49870.155777940687</v>
          </cell>
          <cell r="BZ253">
            <v>5980.0402760907928</v>
          </cell>
          <cell r="CA253">
            <v>290.64357968000638</v>
          </cell>
          <cell r="CC253">
            <v>1284.746951425084</v>
          </cell>
          <cell r="CD253">
            <v>1287.2268930841788</v>
          </cell>
          <cell r="CF253">
            <v>159.36708256737978</v>
          </cell>
          <cell r="CG253">
            <v>0</v>
          </cell>
          <cell r="CI253">
            <v>4357.9502071020288</v>
          </cell>
          <cell r="CJ253">
            <v>8046.9163819416863</v>
          </cell>
          <cell r="CL253">
            <v>10057.555702366655</v>
          </cell>
          <cell r="CM253">
            <v>7435.7668455221583</v>
          </cell>
          <cell r="CX253">
            <v>9549.6746999986426</v>
          </cell>
          <cell r="CY253">
            <v>-22022.090582891193</v>
          </cell>
          <cell r="DA253">
            <v>-38462.526123416814</v>
          </cell>
          <cell r="DC253">
            <v>65845.61</v>
          </cell>
          <cell r="DD253">
            <v>1184.0999999999999</v>
          </cell>
          <cell r="DE253">
            <v>26195.599999999999</v>
          </cell>
          <cell r="DF253">
            <v>0.16999999999984539</v>
          </cell>
          <cell r="DW253">
            <v>909</v>
          </cell>
          <cell r="DX253">
            <v>0</v>
          </cell>
        </row>
        <row r="254">
          <cell r="F254">
            <v>319.39999999999998</v>
          </cell>
          <cell r="G254">
            <v>0</v>
          </cell>
          <cell r="H254">
            <v>0</v>
          </cell>
          <cell r="I254">
            <v>109.79397526725238</v>
          </cell>
          <cell r="J254">
            <v>108.92847585655772</v>
          </cell>
          <cell r="L254">
            <v>99.160839096336915</v>
          </cell>
          <cell r="M254">
            <v>97.568564817925221</v>
          </cell>
          <cell r="O254">
            <v>94.320573766469408</v>
          </cell>
          <cell r="P254">
            <v>0</v>
          </cell>
          <cell r="R254">
            <v>33.251150266025888</v>
          </cell>
          <cell r="S254">
            <v>0</v>
          </cell>
          <cell r="U254">
            <v>0</v>
          </cell>
          <cell r="V254">
            <v>0</v>
          </cell>
          <cell r="X254">
            <v>447.99772011983998</v>
          </cell>
          <cell r="Y254">
            <v>772.71955462733456</v>
          </cell>
          <cell r="AA254">
            <v>0</v>
          </cell>
          <cell r="AB254">
            <v>0</v>
          </cell>
          <cell r="AD254">
            <v>1115.8710387656797</v>
          </cell>
          <cell r="AE254">
            <v>1091.1641038413063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P254">
            <v>0</v>
          </cell>
          <cell r="AQ254">
            <v>0</v>
          </cell>
          <cell r="AS254">
            <v>4299.9342284239801</v>
          </cell>
          <cell r="AT254">
            <v>0</v>
          </cell>
          <cell r="AV254">
            <v>22.580731105454387</v>
          </cell>
          <cell r="AW254">
            <v>0</v>
          </cell>
          <cell r="AY254">
            <v>81.705705420490091</v>
          </cell>
          <cell r="AZ254">
            <v>0</v>
          </cell>
          <cell r="BB254">
            <v>21.381028007629617</v>
          </cell>
          <cell r="BC254">
            <v>0</v>
          </cell>
          <cell r="BE254">
            <v>9.6842333827027165</v>
          </cell>
          <cell r="BF254">
            <v>0</v>
          </cell>
          <cell r="BH254">
            <v>0</v>
          </cell>
          <cell r="BI254">
            <v>0</v>
          </cell>
          <cell r="BK254">
            <v>169.49705013494187</v>
          </cell>
          <cell r="BL254">
            <v>0</v>
          </cell>
          <cell r="BN254">
            <v>0</v>
          </cell>
          <cell r="BO254">
            <v>0</v>
          </cell>
          <cell r="BT254">
            <v>0</v>
          </cell>
          <cell r="BU254">
            <v>0</v>
          </cell>
          <cell r="BW254">
            <v>157.80008212919978</v>
          </cell>
          <cell r="BX254">
            <v>0</v>
          </cell>
          <cell r="BZ254">
            <v>0</v>
          </cell>
          <cell r="CA254">
            <v>0</v>
          </cell>
          <cell r="CC254">
            <v>0</v>
          </cell>
          <cell r="CD254">
            <v>0</v>
          </cell>
          <cell r="CF254">
            <v>0</v>
          </cell>
          <cell r="CG254">
            <v>0</v>
          </cell>
          <cell r="CI254">
            <v>153.96190598406463</v>
          </cell>
          <cell r="CJ254">
            <v>417.31260653962141</v>
          </cell>
          <cell r="CL254">
            <v>0</v>
          </cell>
          <cell r="CM254">
            <v>0</v>
          </cell>
          <cell r="CX254">
            <v>550.32873326223898</v>
          </cell>
          <cell r="CY254">
            <v>5745.425080687025</v>
          </cell>
          <cell r="DA254">
            <v>24315.711946799762</v>
          </cell>
          <cell r="DC254">
            <v>1232.6199999999999</v>
          </cell>
          <cell r="DD254">
            <v>0</v>
          </cell>
          <cell r="DE254">
            <v>0.65999999999985448</v>
          </cell>
          <cell r="DF254">
            <v>0</v>
          </cell>
          <cell r="DW254">
            <v>0</v>
          </cell>
          <cell r="DX254">
            <v>0</v>
          </cell>
        </row>
        <row r="255">
          <cell r="F255">
            <v>2762.6</v>
          </cell>
          <cell r="G255">
            <v>0</v>
          </cell>
          <cell r="H255">
            <v>0</v>
          </cell>
          <cell r="I255">
            <v>9295.6076797416517</v>
          </cell>
          <cell r="J255">
            <v>9268.6247565392878</v>
          </cell>
          <cell r="L255">
            <v>1767.8941878534929</v>
          </cell>
          <cell r="M255">
            <v>1884.7945727224567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>
            <v>6104.3727624535168</v>
          </cell>
          <cell r="Y255">
            <v>5849.1009735251928</v>
          </cell>
          <cell r="AA255">
            <v>0</v>
          </cell>
          <cell r="AB255">
            <v>0</v>
          </cell>
          <cell r="AD255">
            <v>10012.48419159496</v>
          </cell>
          <cell r="AE255">
            <v>9771.1252378921818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P255">
            <v>2498.2850072687875</v>
          </cell>
          <cell r="AQ255">
            <v>3978.1969736687147</v>
          </cell>
          <cell r="AS255">
            <v>32837.979614610762</v>
          </cell>
          <cell r="AT255">
            <v>18250.455600203022</v>
          </cell>
          <cell r="AV255">
            <v>1534.6835538136918</v>
          </cell>
          <cell r="AW255">
            <v>841.8627706236158</v>
          </cell>
          <cell r="AY255">
            <v>2308.624778652897</v>
          </cell>
          <cell r="AZ255">
            <v>0</v>
          </cell>
          <cell r="BB255">
            <v>0</v>
          </cell>
          <cell r="BC255">
            <v>0</v>
          </cell>
          <cell r="BE255">
            <v>0</v>
          </cell>
          <cell r="BF255">
            <v>0</v>
          </cell>
          <cell r="BH255">
            <v>0</v>
          </cell>
          <cell r="BI255">
            <v>0</v>
          </cell>
          <cell r="BK255">
            <v>1548.5801248356163</v>
          </cell>
          <cell r="BL255">
            <v>0</v>
          </cell>
          <cell r="BN255">
            <v>75.290084735242345</v>
          </cell>
          <cell r="BO255">
            <v>0</v>
          </cell>
          <cell r="BT255">
            <v>40488.753276639705</v>
          </cell>
          <cell r="BU255">
            <v>60015.714174736298</v>
          </cell>
          <cell r="BW255">
            <v>15640.312087455333</v>
          </cell>
          <cell r="BX255">
            <v>17924.741352030032</v>
          </cell>
          <cell r="BZ255">
            <v>8267.4298253846846</v>
          </cell>
          <cell r="CA255">
            <v>305.16669822519873</v>
          </cell>
          <cell r="CC255">
            <v>1502.1183430468859</v>
          </cell>
          <cell r="CD255">
            <v>1505.0178757927551</v>
          </cell>
          <cell r="CF255">
            <v>186.33102630583508</v>
          </cell>
          <cell r="CG255">
            <v>0</v>
          </cell>
          <cell r="CI255">
            <v>5161.1191489030025</v>
          </cell>
          <cell r="CJ255">
            <v>2173.2814259995189</v>
          </cell>
          <cell r="CL255">
            <v>0</v>
          </cell>
          <cell r="CM255">
            <v>0</v>
          </cell>
          <cell r="CX255">
            <v>2022.5174995074522</v>
          </cell>
          <cell r="CY255">
            <v>10976.657437112775</v>
          </cell>
          <cell r="DA255">
            <v>241676.24631814513</v>
          </cell>
          <cell r="DC255">
            <v>58697.31</v>
          </cell>
          <cell r="DD255">
            <v>0</v>
          </cell>
          <cell r="DE255">
            <v>36528.92</v>
          </cell>
          <cell r="DF255">
            <v>0</v>
          </cell>
          <cell r="DW255">
            <v>918</v>
          </cell>
          <cell r="DX255">
            <v>0</v>
          </cell>
        </row>
        <row r="256">
          <cell r="F256">
            <v>996.2</v>
          </cell>
          <cell r="G256">
            <v>0</v>
          </cell>
          <cell r="H256">
            <v>321.60000000000002</v>
          </cell>
          <cell r="I256">
            <v>3468.0467702641549</v>
          </cell>
          <cell r="J256">
            <v>3503.7988125329089</v>
          </cell>
          <cell r="L256">
            <v>634.02577679730575</v>
          </cell>
          <cell r="M256">
            <v>656.58312449643756</v>
          </cell>
          <cell r="O256">
            <v>1682.7346629556919</v>
          </cell>
          <cell r="P256">
            <v>1688.4498206551143</v>
          </cell>
          <cell r="R256">
            <v>0</v>
          </cell>
          <cell r="S256">
            <v>0</v>
          </cell>
          <cell r="U256">
            <v>112.26117935125026</v>
          </cell>
          <cell r="V256">
            <v>64.766754518396098</v>
          </cell>
          <cell r="X256">
            <v>2547.8595644784209</v>
          </cell>
          <cell r="Y256">
            <v>2326.3829376807207</v>
          </cell>
          <cell r="AA256">
            <v>0</v>
          </cell>
          <cell r="AB256">
            <v>0</v>
          </cell>
          <cell r="AD256">
            <v>4776.8834559364223</v>
          </cell>
          <cell r="AE256">
            <v>4661.6916566906348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P256">
            <v>2248.4565065419083</v>
          </cell>
          <cell r="AQ256">
            <v>2042.5963671809852</v>
          </cell>
          <cell r="AS256">
            <v>14458.327552913566</v>
          </cell>
          <cell r="AT256">
            <v>1433.4355977773839</v>
          </cell>
          <cell r="AV256">
            <v>649.84564290813682</v>
          </cell>
          <cell r="AW256">
            <v>0</v>
          </cell>
          <cell r="AY256">
            <v>828.50235644981524</v>
          </cell>
          <cell r="AZ256">
            <v>0</v>
          </cell>
          <cell r="BB256">
            <v>777.50133989013534</v>
          </cell>
          <cell r="BC256">
            <v>0</v>
          </cell>
          <cell r="BE256">
            <v>0</v>
          </cell>
          <cell r="BF256">
            <v>0</v>
          </cell>
          <cell r="BH256">
            <v>66.163852782859806</v>
          </cell>
          <cell r="BI256">
            <v>0</v>
          </cell>
          <cell r="BK256">
            <v>395.65808867248302</v>
          </cell>
          <cell r="BL256">
            <v>366.48772601357666</v>
          </cell>
          <cell r="BN256">
            <v>25.222178386306183</v>
          </cell>
          <cell r="BO256">
            <v>0</v>
          </cell>
          <cell r="BT256">
            <v>8842.687509401705</v>
          </cell>
          <cell r="BU256">
            <v>16918.47480642275</v>
          </cell>
          <cell r="BW256">
            <v>7893.7425775257443</v>
          </cell>
          <cell r="BX256">
            <v>9274.2027326179068</v>
          </cell>
          <cell r="BZ256">
            <v>4755.9412494788994</v>
          </cell>
          <cell r="CA256">
            <v>169.85526030500074</v>
          </cell>
          <cell r="CC256">
            <v>1224.7647513785018</v>
          </cell>
          <cell r="CD256">
            <v>1227.1289096480862</v>
          </cell>
          <cell r="CF256">
            <v>151.92656035653241</v>
          </cell>
          <cell r="CG256">
            <v>0</v>
          </cell>
          <cell r="CI256">
            <v>2372.1668518947372</v>
          </cell>
          <cell r="CJ256">
            <v>923.94764196003064</v>
          </cell>
          <cell r="CL256">
            <v>0</v>
          </cell>
          <cell r="CM256">
            <v>0</v>
          </cell>
          <cell r="CX256">
            <v>2155.418686681835</v>
          </cell>
          <cell r="CY256">
            <v>17341.318222519414</v>
          </cell>
          <cell r="DA256">
            <v>67672.225528609502</v>
          </cell>
          <cell r="DC256">
            <v>29626.47</v>
          </cell>
          <cell r="DD256">
            <v>1974.18</v>
          </cell>
          <cell r="DE256">
            <v>22268.030000000002</v>
          </cell>
          <cell r="DF256">
            <v>-1399.03</v>
          </cell>
          <cell r="DW256">
            <v>1062</v>
          </cell>
          <cell r="DX256">
            <v>0</v>
          </cell>
        </row>
        <row r="257">
          <cell r="F257">
            <v>6584.75</v>
          </cell>
          <cell r="G257">
            <v>226.3</v>
          </cell>
          <cell r="H257">
            <v>486.1</v>
          </cell>
          <cell r="I257">
            <v>23568.606708448169</v>
          </cell>
          <cell r="J257">
            <v>23541.998548687661</v>
          </cell>
          <cell r="L257">
            <v>4027.3191740333714</v>
          </cell>
          <cell r="M257">
            <v>4272.9503280646695</v>
          </cell>
          <cell r="O257">
            <v>7629.4959787319158</v>
          </cell>
          <cell r="P257">
            <v>7656.585240770436</v>
          </cell>
          <cell r="R257">
            <v>1934.2712637090292</v>
          </cell>
          <cell r="S257">
            <v>1942.0865933779255</v>
          </cell>
          <cell r="U257">
            <v>1063.6624227607228</v>
          </cell>
          <cell r="V257">
            <v>710.13613593237017</v>
          </cell>
          <cell r="X257">
            <v>8491.3767471091287</v>
          </cell>
          <cell r="Y257">
            <v>9179.9165145175521</v>
          </cell>
          <cell r="AA257">
            <v>0</v>
          </cell>
          <cell r="AB257">
            <v>0</v>
          </cell>
          <cell r="AD257">
            <v>24517.194087205869</v>
          </cell>
          <cell r="AE257">
            <v>24265.753040641812</v>
          </cell>
          <cell r="AJ257">
            <v>47167.397325756028</v>
          </cell>
          <cell r="AK257">
            <v>42305.601558846822</v>
          </cell>
          <cell r="AM257">
            <v>1065.4349572378785</v>
          </cell>
          <cell r="AN257">
            <v>392.7413999697078</v>
          </cell>
          <cell r="AP257">
            <v>4663.4653469017348</v>
          </cell>
          <cell r="AQ257">
            <v>5124.999693594531</v>
          </cell>
          <cell r="AS257">
            <v>120791.88396940529</v>
          </cell>
          <cell r="AT257">
            <v>63682.626636253757</v>
          </cell>
          <cell r="AV257">
            <v>2298.772770530567</v>
          </cell>
          <cell r="AW257">
            <v>3003.0971357121953</v>
          </cell>
          <cell r="AY257">
            <v>2659.7232989182539</v>
          </cell>
          <cell r="AZ257">
            <v>0</v>
          </cell>
          <cell r="BB257">
            <v>3080.9734296508691</v>
          </cell>
          <cell r="BC257">
            <v>774.43253390249993</v>
          </cell>
          <cell r="BE257">
            <v>921.95171846673907</v>
          </cell>
          <cell r="BF257">
            <v>0</v>
          </cell>
          <cell r="BH257">
            <v>557.59117350987935</v>
          </cell>
          <cell r="BI257">
            <v>1241.6980407141316</v>
          </cell>
          <cell r="BK257">
            <v>1340.0989086098898</v>
          </cell>
          <cell r="BL257">
            <v>4079.5358971971282</v>
          </cell>
          <cell r="BN257">
            <v>159.99143006238995</v>
          </cell>
          <cell r="BO257">
            <v>0</v>
          </cell>
          <cell r="BT257">
            <v>38558.812093089233</v>
          </cell>
          <cell r="BU257">
            <v>66966.369836091922</v>
          </cell>
          <cell r="BW257">
            <v>46951.923846209203</v>
          </cell>
          <cell r="BX257">
            <v>50455.877542015187</v>
          </cell>
          <cell r="BZ257">
            <v>15640.820366574881</v>
          </cell>
          <cell r="CA257">
            <v>426.58936265983289</v>
          </cell>
          <cell r="CC257">
            <v>563.93521411316544</v>
          </cell>
          <cell r="CD257">
            <v>565.02377589489106</v>
          </cell>
          <cell r="CF257">
            <v>69.953627623351053</v>
          </cell>
          <cell r="CG257">
            <v>0</v>
          </cell>
          <cell r="CI257">
            <v>12723.037959625697</v>
          </cell>
          <cell r="CJ257">
            <v>18122.045875581487</v>
          </cell>
          <cell r="CL257">
            <v>19362.829081774889</v>
          </cell>
          <cell r="CM257">
            <v>27180.901399580925</v>
          </cell>
          <cell r="CX257">
            <v>16139.479070246365</v>
          </cell>
          <cell r="CY257">
            <v>56842.946042307238</v>
          </cell>
          <cell r="DA257">
            <v>-4303.9463398244261</v>
          </cell>
          <cell r="DC257">
            <v>79789.91</v>
          </cell>
          <cell r="DD257">
            <v>24767.61</v>
          </cell>
          <cell r="DE257">
            <v>18432.810000000005</v>
          </cell>
          <cell r="DF257">
            <v>21621.57</v>
          </cell>
          <cell r="DW257">
            <v>1242</v>
          </cell>
          <cell r="DX257">
            <v>0</v>
          </cell>
        </row>
        <row r="258">
          <cell r="F258">
            <v>4139.33</v>
          </cell>
          <cell r="G258">
            <v>406.76</v>
          </cell>
          <cell r="H258">
            <v>50</v>
          </cell>
          <cell r="I258">
            <v>12846.658242718584</v>
          </cell>
          <cell r="J258">
            <v>13135.533968488577</v>
          </cell>
          <cell r="L258">
            <v>2410.3036400845508</v>
          </cell>
          <cell r="M258">
            <v>2561.7817102593954</v>
          </cell>
          <cell r="O258">
            <v>4898.348826074418</v>
          </cell>
          <cell r="P258">
            <v>4915.7629748151758</v>
          </cell>
          <cell r="R258">
            <v>1338.2659673996448</v>
          </cell>
          <cell r="S258">
            <v>1343.3410183154153</v>
          </cell>
          <cell r="U258">
            <v>663.74715275413564</v>
          </cell>
          <cell r="V258">
            <v>443.1360287908002</v>
          </cell>
          <cell r="X258">
            <v>5273.0848017471008</v>
          </cell>
          <cell r="Y258">
            <v>5395.2486713207454</v>
          </cell>
          <cell r="AA258">
            <v>0</v>
          </cell>
          <cell r="AB258">
            <v>0</v>
          </cell>
          <cell r="AD258">
            <v>15182.933418105069</v>
          </cell>
          <cell r="AE258">
            <v>14816.96000311054</v>
          </cell>
          <cell r="AJ258">
            <v>36543.563141920735</v>
          </cell>
          <cell r="AK258">
            <v>34483.618016603694</v>
          </cell>
          <cell r="AM258">
            <v>0</v>
          </cell>
          <cell r="AN258">
            <v>0</v>
          </cell>
          <cell r="AP258">
            <v>2956.3039252680646</v>
          </cell>
          <cell r="AQ258">
            <v>3251.7553004876195</v>
          </cell>
          <cell r="AS258">
            <v>80319.731877779341</v>
          </cell>
          <cell r="AT258">
            <v>79571.627129489265</v>
          </cell>
          <cell r="AV258">
            <v>1401.9089028507055</v>
          </cell>
          <cell r="AW258">
            <v>0</v>
          </cell>
          <cell r="AY258">
            <v>1683.6007062621939</v>
          </cell>
          <cell r="AZ258">
            <v>1830.6058002981117</v>
          </cell>
          <cell r="BB258">
            <v>1957.3101680580705</v>
          </cell>
          <cell r="BC258">
            <v>0</v>
          </cell>
          <cell r="BE258">
            <v>649.76111027473746</v>
          </cell>
          <cell r="BF258">
            <v>0</v>
          </cell>
          <cell r="BH258">
            <v>348.0099342063512</v>
          </cell>
          <cell r="BI258">
            <v>2736.2859111191829</v>
          </cell>
          <cell r="BK258">
            <v>709.25210582193563</v>
          </cell>
          <cell r="BL258">
            <v>3883.1462910796058</v>
          </cell>
          <cell r="BN258">
            <v>81.564258463179186</v>
          </cell>
          <cell r="BO258">
            <v>4932.1680519975707</v>
          </cell>
          <cell r="BT258">
            <v>42218.601484003564</v>
          </cell>
          <cell r="BU258">
            <v>62158.004245113429</v>
          </cell>
          <cell r="BW258">
            <v>30693.701541707163</v>
          </cell>
          <cell r="BX258">
            <v>32950.135189231994</v>
          </cell>
          <cell r="BZ258">
            <v>10370.376442118131</v>
          </cell>
          <cell r="CA258">
            <v>453.45998707034835</v>
          </cell>
          <cell r="CC258">
            <v>1153.5038470496565</v>
          </cell>
          <cell r="CD258">
            <v>1155.7304506940952</v>
          </cell>
          <cell r="CF258">
            <v>143.08696559321805</v>
          </cell>
          <cell r="CG258">
            <v>0</v>
          </cell>
          <cell r="CI258">
            <v>24996.170003141906</v>
          </cell>
          <cell r="CJ258">
            <v>30542.378142705351</v>
          </cell>
          <cell r="CL258">
            <v>9643.6532346726817</v>
          </cell>
          <cell r="CM258">
            <v>15561.880366133371</v>
          </cell>
          <cell r="CX258">
            <v>8122.907163395249</v>
          </cell>
          <cell r="CY258">
            <v>-25044.033907463789</v>
          </cell>
          <cell r="DA258">
            <v>-13383.377394929441</v>
          </cell>
          <cell r="DC258">
            <v>52284.73</v>
          </cell>
          <cell r="DD258">
            <v>-0.85</v>
          </cell>
          <cell r="DE258">
            <v>6662.4700000000012</v>
          </cell>
          <cell r="DF258">
            <v>-398.77000000000004</v>
          </cell>
          <cell r="DW258">
            <v>909</v>
          </cell>
          <cell r="DX258">
            <v>0</v>
          </cell>
        </row>
        <row r="259">
          <cell r="F259">
            <v>1762.3</v>
          </cell>
          <cell r="G259">
            <v>0</v>
          </cell>
          <cell r="H259">
            <v>304.2</v>
          </cell>
          <cell r="I259">
            <v>5703.5222142692483</v>
          </cell>
          <cell r="J259">
            <v>5773.4059842262859</v>
          </cell>
          <cell r="L259">
            <v>1115.5307112415057</v>
          </cell>
          <cell r="M259">
            <v>1158.0613186597864</v>
          </cell>
          <cell r="O259">
            <v>2457.3110369807314</v>
          </cell>
          <cell r="P259">
            <v>2465.451266997261</v>
          </cell>
          <cell r="R259">
            <v>0</v>
          </cell>
          <cell r="S259">
            <v>0</v>
          </cell>
          <cell r="U259">
            <v>140.32647418906288</v>
          </cell>
          <cell r="V259">
            <v>80.958443147995155</v>
          </cell>
          <cell r="X259">
            <v>3140.3531469484528</v>
          </cell>
          <cell r="Y259">
            <v>2941.1017482623324</v>
          </cell>
          <cell r="AA259">
            <v>0</v>
          </cell>
          <cell r="AB259">
            <v>0</v>
          </cell>
          <cell r="AD259">
            <v>7490.3879430086808</v>
          </cell>
          <cell r="AE259">
            <v>7309.7853131995098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4496.9130130838166</v>
          </cell>
          <cell r="AQ259">
            <v>2720.6467886622049</v>
          </cell>
          <cell r="AS259">
            <v>15782.318920563475</v>
          </cell>
          <cell r="AT259">
            <v>0</v>
          </cell>
          <cell r="AV259">
            <v>1001.3012035708774</v>
          </cell>
          <cell r="AW259">
            <v>0</v>
          </cell>
          <cell r="AY259">
            <v>1368.9789318388641</v>
          </cell>
          <cell r="AZ259">
            <v>0</v>
          </cell>
          <cell r="BB259">
            <v>1369.9857251933681</v>
          </cell>
          <cell r="BC259">
            <v>0</v>
          </cell>
          <cell r="BE259">
            <v>0</v>
          </cell>
          <cell r="BF259">
            <v>0</v>
          </cell>
          <cell r="BH259">
            <v>82.704815978574771</v>
          </cell>
          <cell r="BI259">
            <v>0</v>
          </cell>
          <cell r="BK259">
            <v>506.43365545567082</v>
          </cell>
          <cell r="BL259">
            <v>0</v>
          </cell>
          <cell r="BN259">
            <v>6.7133658888924428</v>
          </cell>
          <cell r="BO259">
            <v>3871.0066633910001</v>
          </cell>
          <cell r="BT259">
            <v>5680.223783404027</v>
          </cell>
          <cell r="BU259">
            <v>11734.870550463107</v>
          </cell>
          <cell r="BW259">
            <v>9120.5330312938131</v>
          </cell>
          <cell r="BX259">
            <v>10839.222463608321</v>
          </cell>
          <cell r="BZ259">
            <v>4135.4497377948219</v>
          </cell>
          <cell r="CA259">
            <v>148.40504685136082</v>
          </cell>
          <cell r="CC259">
            <v>642.88614408900855</v>
          </cell>
          <cell r="CD259">
            <v>644.12710452017575</v>
          </cell>
          <cell r="CF259">
            <v>79.747135490620209</v>
          </cell>
          <cell r="CG259">
            <v>0</v>
          </cell>
          <cell r="CI259">
            <v>2616.5504458687756</v>
          </cell>
          <cell r="CJ259">
            <v>2213.0966327157275</v>
          </cell>
          <cell r="CL259">
            <v>0</v>
          </cell>
          <cell r="CM259">
            <v>0</v>
          </cell>
          <cell r="CX259">
            <v>2193.3733482675002</v>
          </cell>
          <cell r="CY259">
            <v>20239.011882004153</v>
          </cell>
          <cell r="DA259">
            <v>-39481.854296613797</v>
          </cell>
          <cell r="DC259">
            <v>33374.959999999999</v>
          </cell>
          <cell r="DD259">
            <v>1378.24</v>
          </cell>
          <cell r="DE259">
            <v>23953.879999999997</v>
          </cell>
          <cell r="DF259">
            <v>0</v>
          </cell>
          <cell r="DW259">
            <v>918</v>
          </cell>
          <cell r="DX259">
            <v>0</v>
          </cell>
        </row>
        <row r="260">
          <cell r="F260">
            <v>4445.7</v>
          </cell>
          <cell r="G260">
            <v>0</v>
          </cell>
          <cell r="H260">
            <v>2224.0999999999995</v>
          </cell>
          <cell r="I260">
            <v>14313.505401869339</v>
          </cell>
          <cell r="J260">
            <v>14359.425722418433</v>
          </cell>
          <cell r="L260">
            <v>2940.2565725388658</v>
          </cell>
          <cell r="M260">
            <v>3115.757731095272</v>
          </cell>
          <cell r="O260">
            <v>6239.7037695361287</v>
          </cell>
          <cell r="P260">
            <v>6260.033441616979</v>
          </cell>
          <cell r="R260">
            <v>0</v>
          </cell>
          <cell r="S260">
            <v>0</v>
          </cell>
          <cell r="U260">
            <v>873.76799374305619</v>
          </cell>
          <cell r="V260">
            <v>604.00526113004491</v>
          </cell>
          <cell r="X260">
            <v>11756.378200290867</v>
          </cell>
          <cell r="Y260">
            <v>11369.507650513478</v>
          </cell>
          <cell r="AA260">
            <v>0</v>
          </cell>
          <cell r="AB260">
            <v>0</v>
          </cell>
          <cell r="AD260">
            <v>21381.567926435862</v>
          </cell>
          <cell r="AE260">
            <v>22146.64086850252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11741.939534163297</v>
          </cell>
          <cell r="AQ260">
            <v>10904.187937616351</v>
          </cell>
          <cell r="AS260">
            <v>63474.288542760485</v>
          </cell>
          <cell r="AT260">
            <v>10305.587042643931</v>
          </cell>
          <cell r="AV260">
            <v>2349.6078833098964</v>
          </cell>
          <cell r="AW260">
            <v>2224.4628013282272</v>
          </cell>
          <cell r="AY260">
            <v>3801.8159609264094</v>
          </cell>
          <cell r="AZ260">
            <v>8861.8774847398545</v>
          </cell>
          <cell r="BB260">
            <v>2297.5017299199694</v>
          </cell>
          <cell r="BC260">
            <v>8101.2131585628849</v>
          </cell>
          <cell r="BE260">
            <v>0</v>
          </cell>
          <cell r="BF260">
            <v>0</v>
          </cell>
          <cell r="BH260">
            <v>886.40212744804091</v>
          </cell>
          <cell r="BI260">
            <v>0</v>
          </cell>
          <cell r="BK260">
            <v>2299.8819081793176</v>
          </cell>
          <cell r="BL260">
            <v>3665.3860014140901</v>
          </cell>
          <cell r="BN260">
            <v>112.9351271028635</v>
          </cell>
          <cell r="BO260">
            <v>5178.1997684099997</v>
          </cell>
          <cell r="BT260">
            <v>38534.736950831801</v>
          </cell>
          <cell r="BU260">
            <v>61328.23442460534</v>
          </cell>
          <cell r="BW260">
            <v>23141.584555323658</v>
          </cell>
          <cell r="BX260">
            <v>25651.68897237107</v>
          </cell>
          <cell r="BZ260">
            <v>9471.1074114300409</v>
          </cell>
          <cell r="CA260">
            <v>457.89490632789227</v>
          </cell>
          <cell r="CC260">
            <v>935.6197870513879</v>
          </cell>
          <cell r="CD260">
            <v>937.4258100074328</v>
          </cell>
          <cell r="CF260">
            <v>116.05942764783241</v>
          </cell>
          <cell r="CG260">
            <v>0</v>
          </cell>
          <cell r="CI260">
            <v>1502.0109277736865</v>
          </cell>
          <cell r="CJ260">
            <v>2781.290422385362</v>
          </cell>
          <cell r="CL260">
            <v>0</v>
          </cell>
          <cell r="CM260">
            <v>0</v>
          </cell>
          <cell r="CX260">
            <v>16082.811412531255</v>
          </cell>
          <cell r="CY260">
            <v>39984.234211643605</v>
          </cell>
          <cell r="DA260">
            <v>-139915.99629462918</v>
          </cell>
          <cell r="DC260">
            <v>39676.300000000003</v>
          </cell>
          <cell r="DD260">
            <v>138788.18999999997</v>
          </cell>
          <cell r="DE260">
            <v>11895.960000000003</v>
          </cell>
          <cell r="DF260">
            <v>129626.00999999998</v>
          </cell>
          <cell r="DW260">
            <v>1359</v>
          </cell>
          <cell r="DX260">
            <v>0</v>
          </cell>
        </row>
        <row r="261">
          <cell r="F261">
            <v>1452.6</v>
          </cell>
          <cell r="G261">
            <v>0</v>
          </cell>
          <cell r="H261">
            <v>0</v>
          </cell>
          <cell r="I261">
            <v>4040.9030078634446</v>
          </cell>
          <cell r="J261">
            <v>4090.0309954812142</v>
          </cell>
          <cell r="L261">
            <v>639.11912316428936</v>
          </cell>
          <cell r="M261">
            <v>663.54217080890362</v>
          </cell>
          <cell r="O261">
            <v>1846.4823265940686</v>
          </cell>
          <cell r="P261">
            <v>1852.7073613270898</v>
          </cell>
          <cell r="R261">
            <v>0</v>
          </cell>
          <cell r="S261">
            <v>0</v>
          </cell>
          <cell r="U261">
            <v>112.26117935125026</v>
          </cell>
          <cell r="V261">
            <v>64.766754518396098</v>
          </cell>
          <cell r="X261">
            <v>2626.7391637797027</v>
          </cell>
          <cell r="Y261">
            <v>2550.2663943630023</v>
          </cell>
          <cell r="AA261">
            <v>0</v>
          </cell>
          <cell r="AB261">
            <v>0</v>
          </cell>
          <cell r="AD261">
            <v>5265.7780724926033</v>
          </cell>
          <cell r="AE261">
            <v>5138.7832526432958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3997.2560116300592</v>
          </cell>
          <cell r="AQ261">
            <v>4525.2171543610739</v>
          </cell>
          <cell r="AS261">
            <v>14626.557848341909</v>
          </cell>
          <cell r="AT261">
            <v>6609.469620531896</v>
          </cell>
          <cell r="AV261">
            <v>646.02175040209431</v>
          </cell>
          <cell r="AW261">
            <v>1269.419559694481</v>
          </cell>
          <cell r="AY261">
            <v>751.14901203782995</v>
          </cell>
          <cell r="AZ261">
            <v>0</v>
          </cell>
          <cell r="BB261">
            <v>829.4235217167751</v>
          </cell>
          <cell r="BC261">
            <v>0</v>
          </cell>
          <cell r="BE261">
            <v>0</v>
          </cell>
          <cell r="BF261">
            <v>0</v>
          </cell>
          <cell r="BH261">
            <v>66.163852782859806</v>
          </cell>
          <cell r="BI261">
            <v>0</v>
          </cell>
          <cell r="BK261">
            <v>413.56930125061893</v>
          </cell>
          <cell r="BL261">
            <v>938.16598089821059</v>
          </cell>
          <cell r="BN261">
            <v>81.940708886855418</v>
          </cell>
          <cell r="BO261">
            <v>0</v>
          </cell>
          <cell r="BT261">
            <v>8499.3745818039715</v>
          </cell>
          <cell r="BU261">
            <v>15961.794151660979</v>
          </cell>
          <cell r="BW261">
            <v>8379.9647600351054</v>
          </cell>
          <cell r="BX261">
            <v>9883.2907219719564</v>
          </cell>
          <cell r="BZ261">
            <v>4382.7813519057145</v>
          </cell>
          <cell r="CA261">
            <v>160.66870860576083</v>
          </cell>
          <cell r="CC261">
            <v>1262.4458770487906</v>
          </cell>
          <cell r="CD261">
            <v>1264.8827710374262</v>
          </cell>
          <cell r="CF261">
            <v>156.60073456591087</v>
          </cell>
          <cell r="CG261">
            <v>0</v>
          </cell>
          <cell r="CI261">
            <v>2911.9136424465137</v>
          </cell>
          <cell r="CJ261">
            <v>2378.550963483568</v>
          </cell>
          <cell r="CL261">
            <v>0</v>
          </cell>
          <cell r="CM261">
            <v>0</v>
          </cell>
          <cell r="CX261">
            <v>1722.4652947819318</v>
          </cell>
          <cell r="CY261">
            <v>6744.3324148376641</v>
          </cell>
          <cell r="DA261">
            <v>-66746.456424829667</v>
          </cell>
          <cell r="DC261">
            <v>20781.7</v>
          </cell>
          <cell r="DD261">
            <v>0</v>
          </cell>
          <cell r="DE261">
            <v>10958.900000000001</v>
          </cell>
          <cell r="DF261">
            <v>0</v>
          </cell>
          <cell r="DW261">
            <v>1062</v>
          </cell>
          <cell r="DX261">
            <v>0</v>
          </cell>
        </row>
        <row r="262">
          <cell r="F262">
            <v>3766.6</v>
          </cell>
          <cell r="G262">
            <v>0</v>
          </cell>
          <cell r="H262">
            <v>445.6</v>
          </cell>
          <cell r="I262">
            <v>12730.523307414238</v>
          </cell>
          <cell r="J262">
            <v>12893.771769588562</v>
          </cell>
          <cell r="L262">
            <v>2513.6584512219433</v>
          </cell>
          <cell r="M262">
            <v>2616.4023157414022</v>
          </cell>
          <cell r="O262">
            <v>4919.4297932868212</v>
          </cell>
          <cell r="P262">
            <v>4935.7541683720929</v>
          </cell>
          <cell r="R262">
            <v>0</v>
          </cell>
          <cell r="S262">
            <v>0</v>
          </cell>
          <cell r="U262">
            <v>280.65294837812576</v>
          </cell>
          <cell r="V262">
            <v>161.91688629599031</v>
          </cell>
          <cell r="X262">
            <v>8866.0970827107012</v>
          </cell>
          <cell r="Y262">
            <v>8857.7630863438062</v>
          </cell>
          <cell r="AA262">
            <v>0</v>
          </cell>
          <cell r="AB262">
            <v>0</v>
          </cell>
          <cell r="AD262">
            <v>15267.590276402114</v>
          </cell>
          <cell r="AE262">
            <v>14898.657055403559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11213.253818689083</v>
          </cell>
          <cell r="AQ262">
            <v>11950.373052067913</v>
          </cell>
          <cell r="AS262">
            <v>47476.260113497599</v>
          </cell>
          <cell r="AT262">
            <v>4789.0657461039827</v>
          </cell>
          <cell r="AV262">
            <v>2043.8209244860375</v>
          </cell>
          <cell r="AW262">
            <v>0</v>
          </cell>
          <cell r="AY262">
            <v>3125.3856689395348</v>
          </cell>
          <cell r="AZ262">
            <v>579.71223035203479</v>
          </cell>
          <cell r="BB262">
            <v>2547.1116141280804</v>
          </cell>
          <cell r="BC262">
            <v>0</v>
          </cell>
          <cell r="BE262">
            <v>0</v>
          </cell>
          <cell r="BF262">
            <v>0</v>
          </cell>
          <cell r="BH262">
            <v>165.40963195714954</v>
          </cell>
          <cell r="BI262">
            <v>0</v>
          </cell>
          <cell r="BK262">
            <v>1605.7344735606439</v>
          </cell>
          <cell r="BL262">
            <v>121.68657532546392</v>
          </cell>
          <cell r="BN262">
            <v>95.932116300154604</v>
          </cell>
          <cell r="BO262">
            <v>0</v>
          </cell>
          <cell r="BT262">
            <v>28723.106117193904</v>
          </cell>
          <cell r="BU262">
            <v>52289.269158843905</v>
          </cell>
          <cell r="BW262">
            <v>18919.064426035042</v>
          </cell>
          <cell r="BX262">
            <v>22527.383056725557</v>
          </cell>
          <cell r="BZ262">
            <v>12499.913811213215</v>
          </cell>
          <cell r="CA262">
            <v>326.53539384837472</v>
          </cell>
          <cell r="CC262">
            <v>673.38991248876607</v>
          </cell>
          <cell r="CD262">
            <v>674.68975421630853</v>
          </cell>
          <cell r="CF262">
            <v>83.530990802974173</v>
          </cell>
          <cell r="CG262">
            <v>0</v>
          </cell>
          <cell r="CI262">
            <v>3652.1968939052922</v>
          </cell>
          <cell r="CJ262">
            <v>2814.2054034598473</v>
          </cell>
          <cell r="CL262">
            <v>0</v>
          </cell>
          <cell r="CM262">
            <v>0</v>
          </cell>
          <cell r="CX262">
            <v>2535.9053016918288</v>
          </cell>
          <cell r="CY262">
            <v>46893.757365598954</v>
          </cell>
          <cell r="DA262">
            <v>41330.466761195246</v>
          </cell>
          <cell r="DC262">
            <v>65858.58</v>
          </cell>
          <cell r="DD262">
            <v>8683.33</v>
          </cell>
          <cell r="DE262">
            <v>40504.380000000005</v>
          </cell>
          <cell r="DF262">
            <v>6035.13</v>
          </cell>
          <cell r="DW262">
            <v>1062</v>
          </cell>
          <cell r="DX262">
            <v>0</v>
          </cell>
        </row>
        <row r="263">
          <cell r="F263">
            <v>3203.5</v>
          </cell>
          <cell r="G263">
            <v>0</v>
          </cell>
          <cell r="H263">
            <v>0</v>
          </cell>
          <cell r="I263">
            <v>10638.864067313994</v>
          </cell>
          <cell r="J263">
            <v>10756.518907719634</v>
          </cell>
          <cell r="L263">
            <v>1958.635628738763</v>
          </cell>
          <cell r="M263">
            <v>2037.9665657289943</v>
          </cell>
          <cell r="O263">
            <v>3697.8196360361148</v>
          </cell>
          <cell r="P263">
            <v>3710.0547045994185</v>
          </cell>
          <cell r="R263">
            <v>0</v>
          </cell>
          <cell r="S263">
            <v>0</v>
          </cell>
          <cell r="U263">
            <v>233.87745698177133</v>
          </cell>
          <cell r="V263">
            <v>134.93073857999187</v>
          </cell>
          <cell r="X263">
            <v>6526.7462764676857</v>
          </cell>
          <cell r="Y263">
            <v>6386.7915804491422</v>
          </cell>
          <cell r="AA263">
            <v>0</v>
          </cell>
          <cell r="AB263">
            <v>0</v>
          </cell>
          <cell r="AD263">
            <v>11611.930416561379</v>
          </cell>
          <cell r="AE263">
            <v>11331.937078950648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9993.1400290751499</v>
          </cell>
          <cell r="AQ263">
            <v>12761.930002951285</v>
          </cell>
          <cell r="AS263">
            <v>33296.17317411644</v>
          </cell>
          <cell r="AT263">
            <v>4918.8989803965924</v>
          </cell>
          <cell r="AV263">
            <v>1669.3438752390407</v>
          </cell>
          <cell r="AW263">
            <v>0</v>
          </cell>
          <cell r="AY263">
            <v>2330.247569750049</v>
          </cell>
          <cell r="AZ263">
            <v>0</v>
          </cell>
          <cell r="BB263">
            <v>2095.3280405492842</v>
          </cell>
          <cell r="BC263">
            <v>0</v>
          </cell>
          <cell r="BE263">
            <v>0</v>
          </cell>
          <cell r="BF263">
            <v>0</v>
          </cell>
          <cell r="BH263">
            <v>137.84135996429129</v>
          </cell>
          <cell r="BI263">
            <v>0</v>
          </cell>
          <cell r="BK263">
            <v>1210.8446556695417</v>
          </cell>
          <cell r="BL263">
            <v>1102.1574769873018</v>
          </cell>
          <cell r="BN263">
            <v>70.521712702010319</v>
          </cell>
          <cell r="BO263">
            <v>0</v>
          </cell>
          <cell r="BT263">
            <v>31062.471983056817</v>
          </cell>
          <cell r="BU263">
            <v>54552.777792793044</v>
          </cell>
          <cell r="BW263">
            <v>15412.357793930663</v>
          </cell>
          <cell r="BX263">
            <v>18451.722039263954</v>
          </cell>
          <cell r="BZ263">
            <v>9885.8913871224286</v>
          </cell>
          <cell r="CA263">
            <v>306.21147602811789</v>
          </cell>
          <cell r="CC263">
            <v>1812.2827108091267</v>
          </cell>
          <cell r="CD263">
            <v>1815.7809525349448</v>
          </cell>
          <cell r="CF263">
            <v>224.80552149867813</v>
          </cell>
          <cell r="CG263">
            <v>0</v>
          </cell>
          <cell r="CI263">
            <v>2613.9056374031134</v>
          </cell>
          <cell r="CJ263">
            <v>2811.205380177239</v>
          </cell>
          <cell r="CL263">
            <v>0</v>
          </cell>
          <cell r="CM263">
            <v>0</v>
          </cell>
          <cell r="CX263">
            <v>2085.1258787982902</v>
          </cell>
          <cell r="CY263">
            <v>20570.100185789535</v>
          </cell>
          <cell r="DA263">
            <v>-32650.754511267995</v>
          </cell>
          <cell r="DC263">
            <v>42082.62</v>
          </cell>
          <cell r="DD263">
            <v>0</v>
          </cell>
          <cell r="DE263">
            <v>18977.950000000004</v>
          </cell>
          <cell r="DF263">
            <v>0</v>
          </cell>
          <cell r="DW263">
            <v>1062</v>
          </cell>
          <cell r="DX263">
            <v>0</v>
          </cell>
        </row>
        <row r="264">
          <cell r="F264">
            <v>1311.9</v>
          </cell>
          <cell r="G264">
            <v>0</v>
          </cell>
          <cell r="H264">
            <v>251.1</v>
          </cell>
          <cell r="I264">
            <v>4362.1457512187162</v>
          </cell>
          <cell r="J264">
            <v>4420.3684127677461</v>
          </cell>
          <cell r="L264">
            <v>787.63445299891873</v>
          </cell>
          <cell r="M264">
            <v>816.41589578040839</v>
          </cell>
          <cell r="O264">
            <v>2065.2494627221795</v>
          </cell>
          <cell r="P264">
            <v>2072.4545221636981</v>
          </cell>
          <cell r="R264">
            <v>0</v>
          </cell>
          <cell r="S264">
            <v>0</v>
          </cell>
          <cell r="U264">
            <v>112.26117935125026</v>
          </cell>
          <cell r="V264">
            <v>64.766754518396098</v>
          </cell>
          <cell r="X264">
            <v>2516.5255753813494</v>
          </cell>
          <cell r="Y264">
            <v>2271.9417306846772</v>
          </cell>
          <cell r="AA264">
            <v>0</v>
          </cell>
          <cell r="AB264">
            <v>0</v>
          </cell>
          <cell r="AD264">
            <v>5792.9342317232522</v>
          </cell>
          <cell r="AE264">
            <v>5528.7657607214305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3372.6847598128625</v>
          </cell>
          <cell r="AQ264">
            <v>3804.5344420648653</v>
          </cell>
          <cell r="AS264">
            <v>12421.907367208647</v>
          </cell>
          <cell r="AT264">
            <v>479.21639352990803</v>
          </cell>
          <cell r="AV264">
            <v>711.74331207737976</v>
          </cell>
          <cell r="AW264">
            <v>0</v>
          </cell>
          <cell r="AY264">
            <v>1028.4714800479737</v>
          </cell>
          <cell r="AZ264">
            <v>408.24941022231127</v>
          </cell>
          <cell r="BB264">
            <v>844.34512285422761</v>
          </cell>
          <cell r="BC264">
            <v>0</v>
          </cell>
          <cell r="BE264">
            <v>0</v>
          </cell>
          <cell r="BF264">
            <v>0</v>
          </cell>
          <cell r="BH264">
            <v>66.163852782859806</v>
          </cell>
          <cell r="BI264">
            <v>0</v>
          </cell>
          <cell r="BK264">
            <v>394.61498716296444</v>
          </cell>
          <cell r="BL264">
            <v>0</v>
          </cell>
          <cell r="BN264">
            <v>11.042545761168878</v>
          </cell>
          <cell r="BO264">
            <v>0</v>
          </cell>
          <cell r="BT264">
            <v>4696.9616247730155</v>
          </cell>
          <cell r="BU264">
            <v>9840.1597520357282</v>
          </cell>
          <cell r="BW264">
            <v>9854.7891541902354</v>
          </cell>
          <cell r="BX264">
            <v>11453.083647400337</v>
          </cell>
          <cell r="BZ264">
            <v>3188.4170671939842</v>
          </cell>
          <cell r="CA264">
            <v>139.11586139256059</v>
          </cell>
          <cell r="CC264">
            <v>1280.901938601585</v>
          </cell>
          <cell r="CD264">
            <v>1283.3744582485319</v>
          </cell>
          <cell r="CF264">
            <v>158.89012601540233</v>
          </cell>
          <cell r="CG264">
            <v>0</v>
          </cell>
          <cell r="CI264">
            <v>893.87658692177524</v>
          </cell>
          <cell r="CJ264">
            <v>1575.8590965396713</v>
          </cell>
          <cell r="CL264">
            <v>0</v>
          </cell>
          <cell r="CM264">
            <v>0</v>
          </cell>
          <cell r="CX264">
            <v>865.81483615745879</v>
          </cell>
          <cell r="CY264">
            <v>13349.720165032828</v>
          </cell>
          <cell r="DA264">
            <v>23582.507046598104</v>
          </cell>
          <cell r="DC264">
            <v>35329.71</v>
          </cell>
          <cell r="DD264">
            <v>4300.6099999999997</v>
          </cell>
          <cell r="DE264">
            <v>27859.22</v>
          </cell>
          <cell r="DF264">
            <v>3159.4399999999996</v>
          </cell>
          <cell r="DW264">
            <v>918</v>
          </cell>
          <cell r="DX264">
            <v>0</v>
          </cell>
        </row>
        <row r="265">
          <cell r="F265">
            <v>2920.66</v>
          </cell>
          <cell r="G265">
            <v>0</v>
          </cell>
          <cell r="H265">
            <v>789.7</v>
          </cell>
          <cell r="I265">
            <v>10099.620763017694</v>
          </cell>
          <cell r="J265">
            <v>10100.678943226645</v>
          </cell>
          <cell r="L265">
            <v>1969.919409558293</v>
          </cell>
          <cell r="M265">
            <v>2061.2108228099537</v>
          </cell>
          <cell r="O265">
            <v>4614.0494836799262</v>
          </cell>
          <cell r="P265">
            <v>4629.9836670315017</v>
          </cell>
          <cell r="R265">
            <v>0</v>
          </cell>
          <cell r="S265">
            <v>0</v>
          </cell>
          <cell r="U265">
            <v>187.10196558541708</v>
          </cell>
          <cell r="V265">
            <v>107.9445908639935</v>
          </cell>
          <cell r="X265">
            <v>7200.582069296981</v>
          </cell>
          <cell r="Y265">
            <v>6955.010273657058</v>
          </cell>
          <cell r="AA265">
            <v>0</v>
          </cell>
          <cell r="AB265">
            <v>0</v>
          </cell>
          <cell r="AD265">
            <v>13447.631647984239</v>
          </cell>
          <cell r="AE265">
            <v>13124.788585984244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8244.340523986999</v>
          </cell>
          <cell r="AQ265">
            <v>4735.4855394199731</v>
          </cell>
          <cell r="AS265">
            <v>35110.34051726968</v>
          </cell>
          <cell r="AT265">
            <v>5657.7351942553369</v>
          </cell>
          <cell r="AV265">
            <v>1621.987295047787</v>
          </cell>
          <cell r="AW265">
            <v>1746.9985763489183</v>
          </cell>
          <cell r="AY265">
            <v>2428.9178009985849</v>
          </cell>
          <cell r="AZ265">
            <v>0</v>
          </cell>
          <cell r="BB265">
            <v>1658.656248964659</v>
          </cell>
          <cell r="BC265">
            <v>0</v>
          </cell>
          <cell r="BE265">
            <v>0</v>
          </cell>
          <cell r="BF265">
            <v>0</v>
          </cell>
          <cell r="BH265">
            <v>110.27308797143304</v>
          </cell>
          <cell r="BI265">
            <v>0</v>
          </cell>
          <cell r="BK265">
            <v>1557.086286737579</v>
          </cell>
          <cell r="BL265">
            <v>0</v>
          </cell>
          <cell r="BN265">
            <v>100.38677964698979</v>
          </cell>
          <cell r="BO265">
            <v>371.38792017384003</v>
          </cell>
          <cell r="BT265">
            <v>23103.157422949829</v>
          </cell>
          <cell r="BU265">
            <v>43272.516120580258</v>
          </cell>
          <cell r="BW265">
            <v>15134.709526248444</v>
          </cell>
          <cell r="BX265">
            <v>18570.997071973063</v>
          </cell>
          <cell r="BZ265">
            <v>6424.5445147782175</v>
          </cell>
          <cell r="CA265">
            <v>247.916283223996</v>
          </cell>
          <cell r="CC265">
            <v>1087.754127767826</v>
          </cell>
          <cell r="CD265">
            <v>1089.853815004532</v>
          </cell>
          <cell r="CF265">
            <v>134.93100855440463</v>
          </cell>
          <cell r="CG265">
            <v>0</v>
          </cell>
          <cell r="CI265">
            <v>3348.2358449926437</v>
          </cell>
          <cell r="CJ265">
            <v>2998.462200455941</v>
          </cell>
          <cell r="CL265">
            <v>0</v>
          </cell>
          <cell r="CM265">
            <v>0</v>
          </cell>
          <cell r="CX265">
            <v>8265.314134919272</v>
          </cell>
          <cell r="CY265">
            <v>34561.222198953299</v>
          </cell>
          <cell r="DA265">
            <v>111058.69466661583</v>
          </cell>
          <cell r="DC265">
            <v>44074.44</v>
          </cell>
          <cell r="DD265">
            <v>2192.7599999999998</v>
          </cell>
          <cell r="DE265">
            <v>25652.910000000003</v>
          </cell>
          <cell r="DF265">
            <v>-2152.2499999999995</v>
          </cell>
          <cell r="DW265">
            <v>909</v>
          </cell>
          <cell r="DX265">
            <v>0</v>
          </cell>
        </row>
        <row r="266">
          <cell r="F266">
            <v>2012.4</v>
          </cell>
          <cell r="G266">
            <v>0</v>
          </cell>
          <cell r="H266">
            <v>737.2</v>
          </cell>
          <cell r="I266">
            <v>7234.9870486068103</v>
          </cell>
          <cell r="J266">
            <v>7308.7475456089287</v>
          </cell>
          <cell r="L266">
            <v>1525.1888009187164</v>
          </cell>
          <cell r="M266">
            <v>1583.6967069909815</v>
          </cell>
          <cell r="O266">
            <v>2902.6354999074915</v>
          </cell>
          <cell r="P266">
            <v>2912.4321051657803</v>
          </cell>
          <cell r="R266">
            <v>0</v>
          </cell>
          <cell r="S266">
            <v>0</v>
          </cell>
          <cell r="U266">
            <v>187.10196558541708</v>
          </cell>
          <cell r="V266">
            <v>107.9445908639935</v>
          </cell>
          <cell r="X266">
            <v>6197.5810401736117</v>
          </cell>
          <cell r="Y266">
            <v>6003.2512642466636</v>
          </cell>
          <cell r="AA266">
            <v>0</v>
          </cell>
          <cell r="AB266">
            <v>0</v>
          </cell>
          <cell r="AD266">
            <v>9869.4266030077561</v>
          </cell>
          <cell r="AE266">
            <v>9730.364027216785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4122.1702619934995</v>
          </cell>
          <cell r="AQ266">
            <v>4488.7868723839483</v>
          </cell>
          <cell r="AS266">
            <v>28678.120334725769</v>
          </cell>
          <cell r="AT266">
            <v>0</v>
          </cell>
          <cell r="AV266">
            <v>1287.5897476173659</v>
          </cell>
          <cell r="AW266">
            <v>0</v>
          </cell>
          <cell r="AY266">
            <v>1793.6121521396199</v>
          </cell>
          <cell r="AZ266">
            <v>0</v>
          </cell>
          <cell r="BB266">
            <v>1181.7242134542366</v>
          </cell>
          <cell r="BC266">
            <v>0</v>
          </cell>
          <cell r="BE266">
            <v>0</v>
          </cell>
          <cell r="BF266">
            <v>0</v>
          </cell>
          <cell r="BH266">
            <v>110.27308797143304</v>
          </cell>
          <cell r="BI266">
            <v>462.73662468131209</v>
          </cell>
          <cell r="BK266">
            <v>1203.7335576070855</v>
          </cell>
          <cell r="BL266">
            <v>0</v>
          </cell>
          <cell r="BN266">
            <v>89.28149214854156</v>
          </cell>
          <cell r="BO266">
            <v>0</v>
          </cell>
          <cell r="BT266">
            <v>17587.108878019775</v>
          </cell>
          <cell r="BU266">
            <v>31240.130918217656</v>
          </cell>
          <cell r="BW266">
            <v>13112.394133961016</v>
          </cell>
          <cell r="BX266">
            <v>15608.85840842186</v>
          </cell>
          <cell r="BZ266">
            <v>9472.5795314173592</v>
          </cell>
          <cell r="CA266">
            <v>253.90453312322259</v>
          </cell>
          <cell r="CC266">
            <v>1537.2361268348423</v>
          </cell>
          <cell r="CD266">
            <v>1540.2034472916639</v>
          </cell>
          <cell r="CF266">
            <v>190.68722948056194</v>
          </cell>
          <cell r="CG266">
            <v>0</v>
          </cell>
          <cell r="CI266">
            <v>3415.4528689113881</v>
          </cell>
          <cell r="CJ266">
            <v>1555.3469857714542</v>
          </cell>
          <cell r="CL266">
            <v>0</v>
          </cell>
          <cell r="CM266">
            <v>0</v>
          </cell>
          <cell r="CX266">
            <v>5087.3868812584788</v>
          </cell>
          <cell r="CY266">
            <v>39770.363534656106</v>
          </cell>
          <cell r="DA266">
            <v>74133.822096127798</v>
          </cell>
          <cell r="DC266">
            <v>55253.45</v>
          </cell>
          <cell r="DD266">
            <v>10468.700000000001</v>
          </cell>
          <cell r="DE266">
            <v>41448</v>
          </cell>
          <cell r="DF266">
            <v>6163.4600000000009</v>
          </cell>
          <cell r="DW266">
            <v>1062</v>
          </cell>
          <cell r="DX266">
            <v>0</v>
          </cell>
        </row>
        <row r="267">
          <cell r="F267">
            <v>194.6</v>
          </cell>
          <cell r="G267">
            <v>0</v>
          </cell>
          <cell r="H267">
            <v>105.5</v>
          </cell>
          <cell r="I267">
            <v>1729.0719631390339</v>
          </cell>
          <cell r="J267">
            <v>1704.2806318179032</v>
          </cell>
          <cell r="L267">
            <v>295.50725389749613</v>
          </cell>
          <cell r="M267">
            <v>308.21474130333507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364.38139397458394</v>
          </cell>
          <cell r="Y267">
            <v>349.9925679478099</v>
          </cell>
          <cell r="AA267">
            <v>0</v>
          </cell>
          <cell r="AB267">
            <v>0</v>
          </cell>
          <cell r="AD267">
            <v>1089.4962516678293</v>
          </cell>
          <cell r="AE267">
            <v>1061.0041746225065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716.64681300776635</v>
          </cell>
          <cell r="AQ267">
            <v>219.56681842012287</v>
          </cell>
          <cell r="AS267">
            <v>3393.3780691560887</v>
          </cell>
          <cell r="AT267">
            <v>0</v>
          </cell>
          <cell r="AV267">
            <v>337.3725759664361</v>
          </cell>
          <cell r="AW267">
            <v>0</v>
          </cell>
          <cell r="AY267">
            <v>385.85814173212441</v>
          </cell>
          <cell r="AZ267">
            <v>0</v>
          </cell>
          <cell r="BB267">
            <v>0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95.985782010376298</v>
          </cell>
          <cell r="BL267">
            <v>0</v>
          </cell>
          <cell r="BN267">
            <v>12.548347455873724</v>
          </cell>
          <cell r="BO267">
            <v>514.52176042799999</v>
          </cell>
          <cell r="BT267">
            <v>3266.1788814483398</v>
          </cell>
          <cell r="BU267">
            <v>4919.0388779766927</v>
          </cell>
          <cell r="BW267">
            <v>1917.6185782238686</v>
          </cell>
          <cell r="BX267">
            <v>2359.1721068425031</v>
          </cell>
          <cell r="BZ267">
            <v>317.1995329883589</v>
          </cell>
          <cell r="CA267">
            <v>123.36242225945529</v>
          </cell>
          <cell r="CC267">
            <v>0</v>
          </cell>
          <cell r="CD267">
            <v>0</v>
          </cell>
          <cell r="CF267">
            <v>0</v>
          </cell>
          <cell r="CG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X267">
            <v>498.53248882404387</v>
          </cell>
          <cell r="CY267">
            <v>3333.039868483861</v>
          </cell>
          <cell r="DA267">
            <v>-23518.052610325387</v>
          </cell>
          <cell r="DC267">
            <v>11190.38</v>
          </cell>
          <cell r="DD267">
            <v>0</v>
          </cell>
          <cell r="DE267">
            <v>9635.41</v>
          </cell>
          <cell r="DF267">
            <v>-685.9</v>
          </cell>
          <cell r="DW267">
            <v>0</v>
          </cell>
          <cell r="DX267">
            <v>0</v>
          </cell>
        </row>
        <row r="268">
          <cell r="F268">
            <v>1754.6</v>
          </cell>
          <cell r="G268">
            <v>0</v>
          </cell>
          <cell r="H268">
            <v>196.2</v>
          </cell>
          <cell r="I268">
            <v>5336.5791605847535</v>
          </cell>
          <cell r="J268">
            <v>5409.0800223107026</v>
          </cell>
          <cell r="L268">
            <v>1048.9852701316511</v>
          </cell>
          <cell r="M268">
            <v>1093.5395473270144</v>
          </cell>
          <cell r="O268">
            <v>2443.7259372292451</v>
          </cell>
          <cell r="P268">
            <v>2452.2487058553461</v>
          </cell>
          <cell r="R268">
            <v>0</v>
          </cell>
          <cell r="S268">
            <v>0</v>
          </cell>
          <cell r="U268">
            <v>140.32647418906288</v>
          </cell>
          <cell r="V268">
            <v>80.958443147995155</v>
          </cell>
          <cell r="X268">
            <v>2884.4056989275891</v>
          </cell>
          <cell r="Y268">
            <v>2689.8842587249965</v>
          </cell>
          <cell r="AA268">
            <v>0</v>
          </cell>
          <cell r="AB268">
            <v>0</v>
          </cell>
          <cell r="AD268">
            <v>7071.0132103659989</v>
          </cell>
          <cell r="AE268">
            <v>6900.522230336127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4746.7415138106953</v>
          </cell>
          <cell r="AQ268">
            <v>5377.0028522332359</v>
          </cell>
          <cell r="AS268">
            <v>12815.052605471297</v>
          </cell>
          <cell r="AT268">
            <v>81762.949332745149</v>
          </cell>
          <cell r="AV268">
            <v>933.94898419977596</v>
          </cell>
          <cell r="AW268">
            <v>0</v>
          </cell>
          <cell r="AY268">
            <v>1301.5484540857217</v>
          </cell>
          <cell r="AZ268">
            <v>0</v>
          </cell>
          <cell r="BB268">
            <v>1274.1386167021785</v>
          </cell>
          <cell r="BC268">
            <v>0</v>
          </cell>
          <cell r="BE268">
            <v>0</v>
          </cell>
          <cell r="BF268">
            <v>0</v>
          </cell>
          <cell r="BH268">
            <v>82.704815978574771</v>
          </cell>
          <cell r="BI268">
            <v>1102.036601290617</v>
          </cell>
          <cell r="BK268">
            <v>469.1351117765459</v>
          </cell>
          <cell r="BL268">
            <v>863.2953249895204</v>
          </cell>
          <cell r="BN268">
            <v>81.940708886855418</v>
          </cell>
          <cell r="BO268">
            <v>0</v>
          </cell>
          <cell r="BT268">
            <v>18686.198726789811</v>
          </cell>
          <cell r="BU268">
            <v>31489.598992908377</v>
          </cell>
          <cell r="BW268">
            <v>7999.391910042269</v>
          </cell>
          <cell r="BX268">
            <v>9878.9453168863511</v>
          </cell>
          <cell r="BZ268">
            <v>6586.7026577105971</v>
          </cell>
          <cell r="CA268">
            <v>231.81393539903422</v>
          </cell>
          <cell r="CC268">
            <v>725.4257527001173</v>
          </cell>
          <cell r="CD268">
            <v>726.82603899206424</v>
          </cell>
          <cell r="CF268">
            <v>89.985802806401551</v>
          </cell>
          <cell r="CG268">
            <v>0</v>
          </cell>
          <cell r="CI268">
            <v>5454.2061075361471</v>
          </cell>
          <cell r="CJ268">
            <v>2114.3601545669931</v>
          </cell>
          <cell r="CL268">
            <v>0</v>
          </cell>
          <cell r="CM268">
            <v>0</v>
          </cell>
          <cell r="CX268">
            <v>2622.0843216895437</v>
          </cell>
          <cell r="CY268">
            <v>-83779.00076365631</v>
          </cell>
          <cell r="DA268">
            <v>75340.09406913603</v>
          </cell>
          <cell r="DC268">
            <v>25805.03</v>
          </cell>
          <cell r="DD268">
            <v>33.65</v>
          </cell>
          <cell r="DE268">
            <v>14114.679999999998</v>
          </cell>
          <cell r="DF268">
            <v>-1133.6299999999999</v>
          </cell>
          <cell r="DW268">
            <v>1062</v>
          </cell>
          <cell r="DX268">
            <v>0</v>
          </cell>
        </row>
        <row r="269">
          <cell r="F269">
            <v>3684.6</v>
          </cell>
          <cell r="G269">
            <v>0</v>
          </cell>
          <cell r="H269">
            <v>807.1</v>
          </cell>
          <cell r="I269">
            <v>12724.906422291257</v>
          </cell>
          <cell r="J269">
            <v>12899.355624440883</v>
          </cell>
          <cell r="L269">
            <v>2453.4889986540875</v>
          </cell>
          <cell r="M269">
            <v>2547.6690873525299</v>
          </cell>
          <cell r="O269">
            <v>5128.5266859133008</v>
          </cell>
          <cell r="P269">
            <v>5145.6365114876853</v>
          </cell>
          <cell r="R269">
            <v>0</v>
          </cell>
          <cell r="S269">
            <v>0</v>
          </cell>
          <cell r="U269">
            <v>280.65294837812576</v>
          </cell>
          <cell r="V269">
            <v>161.91688629599031</v>
          </cell>
          <cell r="X269">
            <v>9174.9292289180376</v>
          </cell>
          <cell r="Y269">
            <v>9146.882557195906</v>
          </cell>
          <cell r="AA269">
            <v>0</v>
          </cell>
          <cell r="AB269">
            <v>0</v>
          </cell>
          <cell r="AD269">
            <v>15950.853475496093</v>
          </cell>
          <cell r="AE269">
            <v>16054.155472247148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11117.368282346102</v>
          </cell>
          <cell r="AQ269">
            <v>13898.934009735203</v>
          </cell>
          <cell r="AS269">
            <v>43580.555109398869</v>
          </cell>
          <cell r="AT269">
            <v>141776.94026140828</v>
          </cell>
          <cell r="AV269">
            <v>2000.3307174233289</v>
          </cell>
          <cell r="AW269">
            <v>0</v>
          </cell>
          <cell r="AY269">
            <v>3199.8108315596464</v>
          </cell>
          <cell r="AZ269">
            <v>0</v>
          </cell>
          <cell r="BB269">
            <v>2396.4016373821578</v>
          </cell>
          <cell r="BC269">
            <v>0</v>
          </cell>
          <cell r="BE269">
            <v>0</v>
          </cell>
          <cell r="BF269">
            <v>0</v>
          </cell>
          <cell r="BH269">
            <v>165.40963195714954</v>
          </cell>
          <cell r="BI269">
            <v>755.30966191292123</v>
          </cell>
          <cell r="BK269">
            <v>1528.7664942080164</v>
          </cell>
          <cell r="BL269">
            <v>0</v>
          </cell>
          <cell r="BN269">
            <v>134.5182847269663</v>
          </cell>
          <cell r="BO269">
            <v>0</v>
          </cell>
          <cell r="BT269">
            <v>25666.814437796038</v>
          </cell>
          <cell r="BU269">
            <v>50587.897903336911</v>
          </cell>
          <cell r="BW269">
            <v>19055.04488708001</v>
          </cell>
          <cell r="BX269">
            <v>22680.63087870353</v>
          </cell>
          <cell r="BZ269">
            <v>12131.487144294491</v>
          </cell>
          <cell r="CA269">
            <v>303.09338556155825</v>
          </cell>
          <cell r="CC269">
            <v>1766.9115594918405</v>
          </cell>
          <cell r="CD269">
            <v>1770.3222214743105</v>
          </cell>
          <cell r="CF269">
            <v>219.17743418534491</v>
          </cell>
          <cell r="CG269">
            <v>0</v>
          </cell>
          <cell r="CI269">
            <v>5011.267434182846</v>
          </cell>
          <cell r="CJ269">
            <v>4907.2513325603159</v>
          </cell>
          <cell r="CL269">
            <v>0</v>
          </cell>
          <cell r="CM269">
            <v>0</v>
          </cell>
          <cell r="CX269">
            <v>9559.9395009800974</v>
          </cell>
          <cell r="CY269">
            <v>-124281.74947665521</v>
          </cell>
          <cell r="DA269">
            <v>86937.719147165713</v>
          </cell>
          <cell r="DC269">
            <v>88880.44</v>
          </cell>
          <cell r="DD269">
            <v>27798.84</v>
          </cell>
          <cell r="DE269">
            <v>64430.590000000004</v>
          </cell>
          <cell r="DF269">
            <v>23097.07</v>
          </cell>
          <cell r="DW269">
            <v>1062</v>
          </cell>
          <cell r="DX269">
            <v>0</v>
          </cell>
        </row>
        <row r="270">
          <cell r="F270">
            <v>2137.38</v>
          </cell>
          <cell r="G270">
            <v>0</v>
          </cell>
          <cell r="H270">
            <v>438.5</v>
          </cell>
          <cell r="I270">
            <v>7206.887339744886</v>
          </cell>
          <cell r="J270">
            <v>7305.4732425135962</v>
          </cell>
          <cell r="L270">
            <v>1353.9315220283149</v>
          </cell>
          <cell r="M270">
            <v>1403.8447312462195</v>
          </cell>
          <cell r="O270">
            <v>3106.0065088639494</v>
          </cell>
          <cell r="P270">
            <v>3117.0731672252091</v>
          </cell>
          <cell r="R270">
            <v>0</v>
          </cell>
          <cell r="S270">
            <v>0</v>
          </cell>
          <cell r="U270">
            <v>93.550982792708538</v>
          </cell>
          <cell r="V270">
            <v>53.972295431996749</v>
          </cell>
          <cell r="X270">
            <v>4257.9060142596973</v>
          </cell>
          <cell r="Y270">
            <v>4175.1179631641671</v>
          </cell>
          <cell r="AA270">
            <v>0</v>
          </cell>
          <cell r="AB270">
            <v>0</v>
          </cell>
          <cell r="AD270">
            <v>9242.2304297409828</v>
          </cell>
          <cell r="AE270">
            <v>9024.3518714334605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5746.0555167182101</v>
          </cell>
          <cell r="AQ270">
            <v>2938.3840051307679</v>
          </cell>
          <cell r="AS270">
            <v>32988.603323984687</v>
          </cell>
          <cell r="AT270">
            <v>12909.135416995116</v>
          </cell>
          <cell r="AV270">
            <v>1189.7074347670127</v>
          </cell>
          <cell r="AW270">
            <v>1420.55989481347</v>
          </cell>
          <cell r="AY270">
            <v>1767.4859620153945</v>
          </cell>
          <cell r="AZ270">
            <v>4069.0025503700049</v>
          </cell>
          <cell r="BB270">
            <v>1450.0137500515061</v>
          </cell>
          <cell r="BC270">
            <v>0</v>
          </cell>
          <cell r="BE270">
            <v>0</v>
          </cell>
          <cell r="BF270">
            <v>0</v>
          </cell>
          <cell r="BH270">
            <v>55.136543985716521</v>
          </cell>
          <cell r="BI270">
            <v>0</v>
          </cell>
          <cell r="BK270">
            <v>768.62543140320713</v>
          </cell>
          <cell r="BL270">
            <v>166.38317306659178</v>
          </cell>
          <cell r="BN270">
            <v>51.416853700442587</v>
          </cell>
          <cell r="BO270">
            <v>2823.3489029615021</v>
          </cell>
          <cell r="BT270">
            <v>17081.14106812633</v>
          </cell>
          <cell r="BU270">
            <v>32930.515770903912</v>
          </cell>
          <cell r="BW270">
            <v>8477.5951283542345</v>
          </cell>
          <cell r="BX270">
            <v>10528.492283907581</v>
          </cell>
          <cell r="BZ270">
            <v>11058.70740763176</v>
          </cell>
          <cell r="CA270">
            <v>252.08001740968987</v>
          </cell>
          <cell r="CC270">
            <v>0</v>
          </cell>
          <cell r="CD270">
            <v>0</v>
          </cell>
          <cell r="CF270">
            <v>0</v>
          </cell>
          <cell r="CG270">
            <v>0</v>
          </cell>
          <cell r="CI270">
            <v>5200.8560907061292</v>
          </cell>
          <cell r="CJ270">
            <v>3419.1026119829394</v>
          </cell>
          <cell r="CL270">
            <v>0</v>
          </cell>
          <cell r="CM270">
            <v>0</v>
          </cell>
          <cell r="CX270">
            <v>6212.9616112376198</v>
          </cell>
          <cell r="CY270">
            <v>23683.784903620355</v>
          </cell>
          <cell r="DA270">
            <v>-79368.781077859865</v>
          </cell>
          <cell r="DC270">
            <v>24481.1</v>
          </cell>
          <cell r="DD270">
            <v>173.78</v>
          </cell>
          <cell r="DE270">
            <v>9218.489999999998</v>
          </cell>
          <cell r="DF270">
            <v>-2685.0099999999998</v>
          </cell>
          <cell r="DW270">
            <v>1062</v>
          </cell>
          <cell r="DX270">
            <v>0</v>
          </cell>
        </row>
        <row r="271">
          <cell r="F271">
            <v>2551.9899999999998</v>
          </cell>
          <cell r="G271">
            <v>0</v>
          </cell>
          <cell r="H271">
            <v>448.3</v>
          </cell>
          <cell r="I271">
            <v>8853.1042593332932</v>
          </cell>
          <cell r="J271">
            <v>8977.1688564565193</v>
          </cell>
          <cell r="L271">
            <v>1754.5124968825442</v>
          </cell>
          <cell r="M271">
            <v>1819.2838073645346</v>
          </cell>
          <cell r="O271">
            <v>3247.8901262067502</v>
          </cell>
          <cell r="P271">
            <v>3257.9801328492108</v>
          </cell>
          <cell r="R271">
            <v>0</v>
          </cell>
          <cell r="S271">
            <v>0</v>
          </cell>
          <cell r="U271">
            <v>233.87745698177133</v>
          </cell>
          <cell r="V271">
            <v>134.93073857999187</v>
          </cell>
          <cell r="X271">
            <v>5829.9609734320675</v>
          </cell>
          <cell r="Y271">
            <v>5683.5191474201674</v>
          </cell>
          <cell r="AA271">
            <v>0</v>
          </cell>
          <cell r="AB271">
            <v>0</v>
          </cell>
          <cell r="AD271">
            <v>10870.656015714558</v>
          </cell>
          <cell r="AE271">
            <v>10613.84633523437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P271">
            <v>7994.5120232601184</v>
          </cell>
          <cell r="AQ271">
            <v>10144.523667321759</v>
          </cell>
          <cell r="AS271">
            <v>29393.012695171237</v>
          </cell>
          <cell r="AT271">
            <v>10359.70725727975</v>
          </cell>
          <cell r="AV271">
            <v>1399.5798937771867</v>
          </cell>
          <cell r="AW271">
            <v>827.64827069082219</v>
          </cell>
          <cell r="AY271">
            <v>2235.436782098122</v>
          </cell>
          <cell r="AZ271">
            <v>0</v>
          </cell>
          <cell r="BB271">
            <v>1409.9280803602189</v>
          </cell>
          <cell r="BC271">
            <v>6139.6882044226613</v>
          </cell>
          <cell r="BE271">
            <v>0</v>
          </cell>
          <cell r="BF271">
            <v>0</v>
          </cell>
          <cell r="BH271">
            <v>137.84135996429129</v>
          </cell>
          <cell r="BI271">
            <v>0</v>
          </cell>
          <cell r="BK271">
            <v>1114.1586090304727</v>
          </cell>
          <cell r="BL271">
            <v>2422.0845783130308</v>
          </cell>
          <cell r="BN271">
            <v>36.264724147475064</v>
          </cell>
          <cell r="BO271">
            <v>3201.0891275874701</v>
          </cell>
          <cell r="BT271">
            <v>19732.718176916635</v>
          </cell>
          <cell r="BU271">
            <v>39230.806015502108</v>
          </cell>
          <cell r="BW271">
            <v>10977.074891366821</v>
          </cell>
          <cell r="BX271">
            <v>13341.727505303174</v>
          </cell>
          <cell r="BZ271">
            <v>10590.066295437979</v>
          </cell>
          <cell r="CA271">
            <v>261.26792153926408</v>
          </cell>
          <cell r="CC271">
            <v>0</v>
          </cell>
          <cell r="CD271">
            <v>0</v>
          </cell>
          <cell r="CF271">
            <v>0</v>
          </cell>
          <cell r="CG271">
            <v>0</v>
          </cell>
          <cell r="CI271">
            <v>3548.4774494827916</v>
          </cell>
          <cell r="CJ271">
            <v>2646.3795314393683</v>
          </cell>
          <cell r="CL271">
            <v>0</v>
          </cell>
          <cell r="CM271">
            <v>0</v>
          </cell>
          <cell r="CX271">
            <v>6672.4614143460603</v>
          </cell>
          <cell r="CY271">
            <v>7029.3668690582126</v>
          </cell>
          <cell r="DA271">
            <v>-52213.331298868805</v>
          </cell>
          <cell r="DC271">
            <v>65404.42</v>
          </cell>
          <cell r="DD271">
            <v>5289.29</v>
          </cell>
          <cell r="DE271">
            <v>48477.599999999999</v>
          </cell>
          <cell r="DF271">
            <v>2604.4699999999998</v>
          </cell>
          <cell r="DW271">
            <v>1062</v>
          </cell>
          <cell r="DX271">
            <v>0</v>
          </cell>
        </row>
        <row r="272">
          <cell r="F272">
            <v>2563.4</v>
          </cell>
          <cell r="G272">
            <v>0</v>
          </cell>
          <cell r="H272">
            <v>54.2</v>
          </cell>
          <cell r="I272">
            <v>8025.5234279815404</v>
          </cell>
          <cell r="J272">
            <v>8123.3657458594844</v>
          </cell>
          <cell r="L272">
            <v>1357.9266519960288</v>
          </cell>
          <cell r="M272">
            <v>1411.2255379412591</v>
          </cell>
          <cell r="O272">
            <v>3158.0731648684596</v>
          </cell>
          <cell r="P272">
            <v>3168.7854367036412</v>
          </cell>
          <cell r="R272">
            <v>0</v>
          </cell>
          <cell r="S272">
            <v>0</v>
          </cell>
          <cell r="U272">
            <v>187.10196558541708</v>
          </cell>
          <cell r="V272">
            <v>107.9445908639935</v>
          </cell>
          <cell r="X272">
            <v>4493.8611199729121</v>
          </cell>
          <cell r="Y272">
            <v>4316.3989098171651</v>
          </cell>
          <cell r="AA272">
            <v>0</v>
          </cell>
          <cell r="AB272">
            <v>0</v>
          </cell>
          <cell r="AD272">
            <v>9448.6934167886866</v>
          </cell>
          <cell r="AE272">
            <v>9255.4483021508313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P272">
            <v>7369.9407714429199</v>
          </cell>
          <cell r="AQ272">
            <v>8181.0606157232396</v>
          </cell>
          <cell r="AS272">
            <v>33533.280608106805</v>
          </cell>
          <cell r="AT272">
            <v>30538.725824285466</v>
          </cell>
          <cell r="AV272">
            <v>1273.3023080738742</v>
          </cell>
          <cell r="AW272">
            <v>0</v>
          </cell>
          <cell r="AY272">
            <v>1604.559554573839</v>
          </cell>
          <cell r="AZ272">
            <v>0</v>
          </cell>
          <cell r="BB272">
            <v>1592.4681489475988</v>
          </cell>
          <cell r="BC272">
            <v>0</v>
          </cell>
          <cell r="BE272">
            <v>0</v>
          </cell>
          <cell r="BF272">
            <v>0</v>
          </cell>
          <cell r="BH272">
            <v>110.27308797143304</v>
          </cell>
          <cell r="BI272">
            <v>978.23542855730432</v>
          </cell>
          <cell r="BK272">
            <v>777.665608110113</v>
          </cell>
          <cell r="BL272">
            <v>0</v>
          </cell>
          <cell r="BN272">
            <v>35.072631139167051</v>
          </cell>
          <cell r="BO272">
            <v>2962.0098678149147</v>
          </cell>
          <cell r="BT272">
            <v>27702.329839453541</v>
          </cell>
          <cell r="BU272">
            <v>60023.291975329317</v>
          </cell>
          <cell r="BW272">
            <v>12140.137831288986</v>
          </cell>
          <cell r="BX272">
            <v>13972.285231605782</v>
          </cell>
          <cell r="BZ272">
            <v>14201.480154056737</v>
          </cell>
          <cell r="CA272">
            <v>306.80634268130564</v>
          </cell>
          <cell r="CC272">
            <v>1188.6216308376124</v>
          </cell>
          <cell r="CD272">
            <v>1190.9160221930042</v>
          </cell>
          <cell r="CF272">
            <v>147.44316876794494</v>
          </cell>
          <cell r="CG272">
            <v>0</v>
          </cell>
          <cell r="CI272">
            <v>2255.7393638734197</v>
          </cell>
          <cell r="CJ272">
            <v>1609.601184987956</v>
          </cell>
          <cell r="CL272">
            <v>0</v>
          </cell>
          <cell r="CM272">
            <v>0</v>
          </cell>
          <cell r="CX272">
            <v>3665.7077080788122</v>
          </cell>
          <cell r="CY272">
            <v>-14985.420167134344</v>
          </cell>
          <cell r="DA272">
            <v>31973.137445785724</v>
          </cell>
          <cell r="DC272">
            <v>37642.379999999997</v>
          </cell>
          <cell r="DD272">
            <v>12739.78</v>
          </cell>
          <cell r="DE272">
            <v>17168.949999999997</v>
          </cell>
          <cell r="DF272">
            <v>12346.17</v>
          </cell>
          <cell r="DW272">
            <v>1062</v>
          </cell>
          <cell r="DX272">
            <v>0</v>
          </cell>
        </row>
        <row r="273">
          <cell r="F273">
            <v>2295.46</v>
          </cell>
          <cell r="G273">
            <v>0</v>
          </cell>
          <cell r="H273">
            <v>656.5</v>
          </cell>
          <cell r="I273">
            <v>5144.4763147365875</v>
          </cell>
          <cell r="J273">
            <v>5252.5580130710623</v>
          </cell>
          <cell r="L273">
            <v>1028.6923623964324</v>
          </cell>
          <cell r="M273">
            <v>1067.7562563714116</v>
          </cell>
          <cell r="O273">
            <v>3714.1523481232693</v>
          </cell>
          <cell r="P273">
            <v>3726.3298401297575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>
            <v>4390.1948219365813</v>
          </cell>
          <cell r="Y273">
            <v>4247.9557269463812</v>
          </cell>
          <cell r="AA273">
            <v>0</v>
          </cell>
          <cell r="AB273">
            <v>0</v>
          </cell>
          <cell r="AD273">
            <v>10206.180380947211</v>
          </cell>
          <cell r="AE273">
            <v>10441.477230411525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1072.9139318096552</v>
          </cell>
          <cell r="AQ273">
            <v>1036.0557569850203</v>
          </cell>
          <cell r="AS273">
            <v>24761.837076461696</v>
          </cell>
          <cell r="AT273">
            <v>1915.4990610084785</v>
          </cell>
          <cell r="AV273">
            <v>909.61138446996245</v>
          </cell>
          <cell r="AW273">
            <v>0</v>
          </cell>
          <cell r="AY273">
            <v>1261.8669720110611</v>
          </cell>
          <cell r="AZ273">
            <v>0</v>
          </cell>
          <cell r="BB273">
            <v>1634.6472911674882</v>
          </cell>
          <cell r="BC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K273">
            <v>768.46729352777197</v>
          </cell>
          <cell r="BL273">
            <v>0</v>
          </cell>
          <cell r="BN273">
            <v>35.856902855159163</v>
          </cell>
          <cell r="BO273">
            <v>2940.3973301922965</v>
          </cell>
          <cell r="BT273">
            <v>28128.878684970601</v>
          </cell>
          <cell r="BU273">
            <v>53947.044930849574</v>
          </cell>
          <cell r="BW273">
            <v>10528.766251710036</v>
          </cell>
          <cell r="BX273">
            <v>12614.007834154419</v>
          </cell>
          <cell r="BZ273">
            <v>16712.771837016571</v>
          </cell>
          <cell r="CA273">
            <v>317.21421677461183</v>
          </cell>
          <cell r="CC273">
            <v>0</v>
          </cell>
          <cell r="CD273">
            <v>0</v>
          </cell>
          <cell r="CF273">
            <v>0</v>
          </cell>
          <cell r="CG273">
            <v>0</v>
          </cell>
          <cell r="CI273">
            <v>5190.2768568434794</v>
          </cell>
          <cell r="CJ273">
            <v>3861.2764355195004</v>
          </cell>
          <cell r="CL273">
            <v>0</v>
          </cell>
          <cell r="CM273">
            <v>0</v>
          </cell>
          <cell r="CX273">
            <v>7533.5414643528675</v>
          </cell>
          <cell r="CY273">
            <v>24479.963158636296</v>
          </cell>
          <cell r="DA273">
            <v>-1507.1636646315455</v>
          </cell>
          <cell r="DC273">
            <v>79220.34</v>
          </cell>
          <cell r="DD273">
            <v>6852.16</v>
          </cell>
          <cell r="DE273">
            <v>64079.119999999995</v>
          </cell>
          <cell r="DF273">
            <v>2985.3799999999997</v>
          </cell>
          <cell r="DW273">
            <v>1062</v>
          </cell>
          <cell r="DX273">
            <v>0</v>
          </cell>
        </row>
        <row r="274">
          <cell r="F274">
            <v>2595.42</v>
          </cell>
          <cell r="G274">
            <v>0</v>
          </cell>
          <cell r="H274">
            <v>0</v>
          </cell>
          <cell r="I274">
            <v>8008.2790477628141</v>
          </cell>
          <cell r="J274">
            <v>8106.432916965503</v>
          </cell>
          <cell r="L274">
            <v>1357.9266519960288</v>
          </cell>
          <cell r="M274">
            <v>1411.2255379412591</v>
          </cell>
          <cell r="O274">
            <v>3157.1788426915514</v>
          </cell>
          <cell r="P274">
            <v>3167.0735186226852</v>
          </cell>
          <cell r="R274">
            <v>0</v>
          </cell>
          <cell r="S274">
            <v>0</v>
          </cell>
          <cell r="U274">
            <v>187.10196558541708</v>
          </cell>
          <cell r="V274">
            <v>107.9445908639935</v>
          </cell>
          <cell r="X274">
            <v>4415.3765160591656</v>
          </cell>
          <cell r="Y274">
            <v>4258.9302997412024</v>
          </cell>
          <cell r="AA274">
            <v>0</v>
          </cell>
          <cell r="AB274">
            <v>0</v>
          </cell>
          <cell r="AD274">
            <v>9407.8389089955817</v>
          </cell>
          <cell r="AE274">
            <v>9180.9889767244895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7494.855021806361</v>
          </cell>
          <cell r="AQ274">
            <v>7096.7122955992818</v>
          </cell>
          <cell r="AS274">
            <v>36006.616669298091</v>
          </cell>
          <cell r="AT274">
            <v>4816.2736773755405</v>
          </cell>
          <cell r="AV274">
            <v>1273.5316176990079</v>
          </cell>
          <cell r="AW274">
            <v>0</v>
          </cell>
          <cell r="AY274">
            <v>1604.559554573839</v>
          </cell>
          <cell r="AZ274">
            <v>3848.0344440966592</v>
          </cell>
          <cell r="BB274">
            <v>1604.2374005297058</v>
          </cell>
          <cell r="BC274">
            <v>0</v>
          </cell>
          <cell r="BE274">
            <v>0</v>
          </cell>
          <cell r="BF274">
            <v>0</v>
          </cell>
          <cell r="BH274">
            <v>110.27308797143304</v>
          </cell>
          <cell r="BI274">
            <v>982.39936882725226</v>
          </cell>
          <cell r="BK274">
            <v>777.66567729773556</v>
          </cell>
          <cell r="BL274">
            <v>1237.1144901123071</v>
          </cell>
          <cell r="BN274">
            <v>35.072631139167051</v>
          </cell>
          <cell r="BO274">
            <v>3082.7976227439285</v>
          </cell>
          <cell r="BT274">
            <v>21564.102163869637</v>
          </cell>
          <cell r="BU274">
            <v>44636.831422892174</v>
          </cell>
          <cell r="BW274">
            <v>12345.299839424761</v>
          </cell>
          <cell r="BX274">
            <v>14959.178118323975</v>
          </cell>
          <cell r="BZ274">
            <v>12257.342987213151</v>
          </cell>
          <cell r="CA274">
            <v>253.69489149157701</v>
          </cell>
          <cell r="CC274">
            <v>1435.1638530803593</v>
          </cell>
          <cell r="CD274">
            <v>1437.934143854689</v>
          </cell>
          <cell r="CF274">
            <v>178.02562288073543</v>
          </cell>
          <cell r="CG274">
            <v>0</v>
          </cell>
          <cell r="CI274">
            <v>3518.9511710212473</v>
          </cell>
          <cell r="CJ274">
            <v>1402.0165557986654</v>
          </cell>
          <cell r="CL274">
            <v>0</v>
          </cell>
          <cell r="CM274">
            <v>0</v>
          </cell>
          <cell r="CX274">
            <v>4142.1773160091998</v>
          </cell>
          <cell r="CY274">
            <v>24246.756946713947</v>
          </cell>
          <cell r="DA274">
            <v>71197.961841830926</v>
          </cell>
          <cell r="DC274">
            <v>60112.23</v>
          </cell>
          <cell r="DD274">
            <v>0</v>
          </cell>
          <cell r="DE274">
            <v>39764.42</v>
          </cell>
          <cell r="DF274">
            <v>0</v>
          </cell>
          <cell r="DW274">
            <v>918</v>
          </cell>
          <cell r="DX274">
            <v>0</v>
          </cell>
        </row>
        <row r="275">
          <cell r="F275">
            <v>374.5</v>
          </cell>
          <cell r="G275">
            <v>0</v>
          </cell>
          <cell r="H275">
            <v>0</v>
          </cell>
          <cell r="I275">
            <v>851.10261649768131</v>
          </cell>
          <cell r="J275">
            <v>855.62947633604108</v>
          </cell>
          <cell r="L275">
            <v>299.64040451475631</v>
          </cell>
          <cell r="M275">
            <v>313.31577150464943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521.35299264985315</v>
          </cell>
          <cell r="Y275">
            <v>478.93379880975021</v>
          </cell>
          <cell r="AA275">
            <v>0</v>
          </cell>
          <cell r="AB275">
            <v>0</v>
          </cell>
          <cell r="AD275">
            <v>1353.9768303447495</v>
          </cell>
          <cell r="AE275">
            <v>1321.5126668234379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458.89576172448665</v>
          </cell>
          <cell r="AQ275">
            <v>646.27080010527129</v>
          </cell>
          <cell r="AS275">
            <v>4141.5807822512725</v>
          </cell>
          <cell r="AT275">
            <v>1995.3795536091852</v>
          </cell>
          <cell r="AV275">
            <v>278.62193449821598</v>
          </cell>
          <cell r="AW275">
            <v>0</v>
          </cell>
          <cell r="AY275">
            <v>354.0080093775905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155.173502680208</v>
          </cell>
          <cell r="BL275">
            <v>0</v>
          </cell>
          <cell r="BN275">
            <v>18.822521183810586</v>
          </cell>
          <cell r="BO275">
            <v>0</v>
          </cell>
          <cell r="BT275">
            <v>2915.1318904059453</v>
          </cell>
          <cell r="BU275">
            <v>10180.260128303975</v>
          </cell>
          <cell r="BW275">
            <v>2294.7588395414191</v>
          </cell>
          <cell r="BX275">
            <v>2752.7836889691625</v>
          </cell>
          <cell r="BZ275">
            <v>1201.9744083026176</v>
          </cell>
          <cell r="CA275">
            <v>26.200135451284396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783.03357224863657</v>
          </cell>
          <cell r="CJ275">
            <v>754.35953186656366</v>
          </cell>
          <cell r="CL275">
            <v>0</v>
          </cell>
          <cell r="CM275">
            <v>0</v>
          </cell>
          <cell r="CX275">
            <v>486.45760348635338</v>
          </cell>
          <cell r="CY275">
            <v>-3949.4281791833423</v>
          </cell>
          <cell r="DA275">
            <v>36853.999367379103</v>
          </cell>
          <cell r="DC275">
            <v>7546.21</v>
          </cell>
          <cell r="DD275">
            <v>0</v>
          </cell>
          <cell r="DE275">
            <v>5042.3099999999995</v>
          </cell>
          <cell r="DF275">
            <v>0</v>
          </cell>
          <cell r="DW275">
            <v>0</v>
          </cell>
          <cell r="DX275">
            <v>0</v>
          </cell>
        </row>
        <row r="276">
          <cell r="F276">
            <v>2559.3000000000002</v>
          </cell>
          <cell r="G276">
            <v>0</v>
          </cell>
          <cell r="H276">
            <v>1049.8</v>
          </cell>
          <cell r="I276">
            <v>9292.989241015317</v>
          </cell>
          <cell r="J276">
            <v>9425.2214198835827</v>
          </cell>
          <cell r="L276">
            <v>1909.0049233638877</v>
          </cell>
          <cell r="M276">
            <v>1978.7092319773906</v>
          </cell>
          <cell r="O276">
            <v>3408.3928056260775</v>
          </cell>
          <cell r="P276">
            <v>3420.492426974819</v>
          </cell>
          <cell r="R276">
            <v>0</v>
          </cell>
          <cell r="S276">
            <v>0</v>
          </cell>
          <cell r="U276">
            <v>233.87745698177133</v>
          </cell>
          <cell r="V276">
            <v>134.93073857999187</v>
          </cell>
          <cell r="X276">
            <v>5934.3211944778977</v>
          </cell>
          <cell r="Y276">
            <v>5802.3842609408157</v>
          </cell>
          <cell r="AA276">
            <v>0</v>
          </cell>
          <cell r="AB276">
            <v>0</v>
          </cell>
          <cell r="AD276">
            <v>12002.087110820266</v>
          </cell>
          <cell r="AE276">
            <v>12766.390599500777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P276">
            <v>7994.5120232601184</v>
          </cell>
          <cell r="AQ276">
            <v>9141.3903759144741</v>
          </cell>
          <cell r="AS276">
            <v>29973.864850229496</v>
          </cell>
          <cell r="AT276">
            <v>12863.961040769736</v>
          </cell>
          <cell r="AV276">
            <v>1531.8561663806763</v>
          </cell>
          <cell r="AW276">
            <v>3528.3834209953352</v>
          </cell>
          <cell r="AY276">
            <v>2630.6887029050781</v>
          </cell>
          <cell r="AZ276">
            <v>0</v>
          </cell>
          <cell r="BB276">
            <v>1605.9612081781281</v>
          </cell>
          <cell r="BC276">
            <v>0</v>
          </cell>
          <cell r="BE276">
            <v>0</v>
          </cell>
          <cell r="BF276">
            <v>0</v>
          </cell>
          <cell r="BH276">
            <v>137.84135996429129</v>
          </cell>
          <cell r="BI276">
            <v>0</v>
          </cell>
          <cell r="BK276">
            <v>1123.507101388424</v>
          </cell>
          <cell r="BL276">
            <v>938.16598089821059</v>
          </cell>
          <cell r="BN276">
            <v>30.743451266890624</v>
          </cell>
          <cell r="BO276">
            <v>4348.6091856311832</v>
          </cell>
          <cell r="BT276">
            <v>30843.957956653554</v>
          </cell>
          <cell r="BU276">
            <v>50648.251726903036</v>
          </cell>
          <cell r="BW276">
            <v>11490.400446754529</v>
          </cell>
          <cell r="BX276">
            <v>13544.212067984052</v>
          </cell>
          <cell r="BZ276">
            <v>13380.363596991769</v>
          </cell>
          <cell r="CA276">
            <v>346.80618193332407</v>
          </cell>
          <cell r="CC276">
            <v>32.041773529157126</v>
          </cell>
          <cell r="CD276">
            <v>32.103623630391532</v>
          </cell>
          <cell r="CF276">
            <v>3.9746379331449457</v>
          </cell>
          <cell r="CG276">
            <v>0</v>
          </cell>
          <cell r="CI276">
            <v>5173.0163373554715</v>
          </cell>
          <cell r="CJ276">
            <v>2741.097203780977</v>
          </cell>
          <cell r="CL276">
            <v>0</v>
          </cell>
          <cell r="CM276">
            <v>0</v>
          </cell>
          <cell r="CX276">
            <v>15226.624668743112</v>
          </cell>
          <cell r="CY276">
            <v>23713.376099276549</v>
          </cell>
          <cell r="DA276">
            <v>28707.082449025853</v>
          </cell>
          <cell r="DC276">
            <v>58516.3</v>
          </cell>
          <cell r="DD276">
            <v>10803.449999999999</v>
          </cell>
          <cell r="DE276">
            <v>41234.9</v>
          </cell>
          <cell r="DF276">
            <v>4450.369999999999</v>
          </cell>
          <cell r="DW276">
            <v>1062</v>
          </cell>
          <cell r="DX276">
            <v>0</v>
          </cell>
        </row>
        <row r="277">
          <cell r="F277">
            <v>2057.54</v>
          </cell>
          <cell r="G277">
            <v>0</v>
          </cell>
          <cell r="H277">
            <v>595.29999999999995</v>
          </cell>
          <cell r="I277">
            <v>8202.0516438229279</v>
          </cell>
          <cell r="J277">
            <v>8292.2110944507476</v>
          </cell>
          <cell r="L277">
            <v>1354.0609728466661</v>
          </cell>
          <cell r="M277">
            <v>1405.2694473582123</v>
          </cell>
          <cell r="O277">
            <v>3072.8847100877083</v>
          </cell>
          <cell r="P277">
            <v>3082.6112737765347</v>
          </cell>
          <cell r="R277">
            <v>786.44607085225368</v>
          </cell>
          <cell r="S277">
            <v>788.85481142342485</v>
          </cell>
          <cell r="U277">
            <v>187.10196558541708</v>
          </cell>
          <cell r="V277">
            <v>107.9445908639935</v>
          </cell>
          <cell r="X277">
            <v>5379.8934656835236</v>
          </cell>
          <cell r="Y277">
            <v>5185.5749181769488</v>
          </cell>
          <cell r="AA277">
            <v>0</v>
          </cell>
          <cell r="AB277">
            <v>0</v>
          </cell>
          <cell r="AD277">
            <v>9140.9014031829865</v>
          </cell>
          <cell r="AE277">
            <v>9497.89510568285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2206.8184230874285</v>
          </cell>
          <cell r="AQ277">
            <v>2445.5861110285923</v>
          </cell>
          <cell r="AS277">
            <v>22083.789592666253</v>
          </cell>
          <cell r="AT277">
            <v>638.90804528239414</v>
          </cell>
          <cell r="AV277">
            <v>1334.5936798367641</v>
          </cell>
          <cell r="AW277">
            <v>0</v>
          </cell>
          <cell r="AY277">
            <v>1587.3984224449905</v>
          </cell>
          <cell r="AZ277">
            <v>0</v>
          </cell>
          <cell r="BB277">
            <v>1512.0334108333072</v>
          </cell>
          <cell r="BC277">
            <v>0</v>
          </cell>
          <cell r="BE277">
            <v>647.11760309252099</v>
          </cell>
          <cell r="BF277">
            <v>858.89868450435006</v>
          </cell>
          <cell r="BH277">
            <v>110.27308797143304</v>
          </cell>
          <cell r="BI277">
            <v>0</v>
          </cell>
          <cell r="BK277">
            <v>1011.0001401137239</v>
          </cell>
          <cell r="BL277">
            <v>0</v>
          </cell>
          <cell r="BN277">
            <v>35.072631139167051</v>
          </cell>
          <cell r="BO277">
            <v>5017.8391734122933</v>
          </cell>
          <cell r="BT277">
            <v>29274.751514362721</v>
          </cell>
          <cell r="BU277">
            <v>58318.79400769194</v>
          </cell>
          <cell r="BW277">
            <v>12398.779558283681</v>
          </cell>
          <cell r="BX277">
            <v>14272.04891945676</v>
          </cell>
          <cell r="BZ277">
            <v>16072.851594704171</v>
          </cell>
          <cell r="CA277">
            <v>363.38048361868209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2421.8196006225935</v>
          </cell>
          <cell r="CJ277">
            <v>2979.3229421066844</v>
          </cell>
          <cell r="CL277">
            <v>0</v>
          </cell>
          <cell r="CM277">
            <v>0</v>
          </cell>
          <cell r="CX277">
            <v>10671.247438784165</v>
          </cell>
          <cell r="CY277">
            <v>17348.647297647163</v>
          </cell>
          <cell r="DA277">
            <v>41585.861358174006</v>
          </cell>
          <cell r="DC277">
            <v>15633.26</v>
          </cell>
          <cell r="DD277">
            <v>57575.86</v>
          </cell>
          <cell r="DE277">
            <v>-261.04999999999927</v>
          </cell>
          <cell r="DF277">
            <v>53529.83</v>
          </cell>
          <cell r="DW277">
            <v>1062</v>
          </cell>
          <cell r="DX277">
            <v>0</v>
          </cell>
        </row>
        <row r="278">
          <cell r="F278">
            <v>2582.5</v>
          </cell>
          <cell r="G278">
            <v>0</v>
          </cell>
          <cell r="H278">
            <v>0</v>
          </cell>
          <cell r="I278">
            <v>8488.6206291536073</v>
          </cell>
          <cell r="J278">
            <v>8589.9153083184392</v>
          </cell>
          <cell r="L278">
            <v>1305.6691307614167</v>
          </cell>
          <cell r="M278">
            <v>1357.9242947727018</v>
          </cell>
          <cell r="O278">
            <v>3388.6322010196095</v>
          </cell>
          <cell r="P278">
            <v>3400.6854747574835</v>
          </cell>
          <cell r="R278">
            <v>0</v>
          </cell>
          <cell r="S278">
            <v>0</v>
          </cell>
          <cell r="U278">
            <v>187.10196558541708</v>
          </cell>
          <cell r="V278">
            <v>107.9445908639935</v>
          </cell>
          <cell r="X278">
            <v>5366.5230918200332</v>
          </cell>
          <cell r="Y278">
            <v>5272.5084177270783</v>
          </cell>
          <cell r="AA278">
            <v>0</v>
          </cell>
          <cell r="AB278">
            <v>0</v>
          </cell>
          <cell r="AD278">
            <v>9356.9674656060088</v>
          </cell>
          <cell r="AE278">
            <v>9131.5563390845728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7994.5120232601184</v>
          </cell>
          <cell r="AQ278">
            <v>8988.0631140095575</v>
          </cell>
          <cell r="AS278">
            <v>25940.0513048742</v>
          </cell>
          <cell r="AT278">
            <v>257.82763018454966</v>
          </cell>
          <cell r="AV278">
            <v>1294.5363811176546</v>
          </cell>
          <cell r="AW278">
            <v>0</v>
          </cell>
          <cell r="AY278">
            <v>1549.469128466008</v>
          </cell>
          <cell r="AZ278">
            <v>0</v>
          </cell>
          <cell r="BB278">
            <v>1411.8072145348021</v>
          </cell>
          <cell r="BC278">
            <v>0</v>
          </cell>
          <cell r="BE278">
            <v>0</v>
          </cell>
          <cell r="BF278">
            <v>0</v>
          </cell>
          <cell r="BH278">
            <v>110.27308797143304</v>
          </cell>
          <cell r="BI278">
            <v>0</v>
          </cell>
          <cell r="BK278">
            <v>1018.9768480129665</v>
          </cell>
          <cell r="BL278">
            <v>0</v>
          </cell>
          <cell r="BN278">
            <v>45.299534315704136</v>
          </cell>
          <cell r="BO278">
            <v>3722.294962106077</v>
          </cell>
          <cell r="BT278">
            <v>28083.865664323108</v>
          </cell>
          <cell r="BU278">
            <v>44015.074093266579</v>
          </cell>
          <cell r="BW278">
            <v>12120.723814278848</v>
          </cell>
          <cell r="BX278">
            <v>14074.268680124711</v>
          </cell>
          <cell r="BZ278">
            <v>9948.1910488678768</v>
          </cell>
          <cell r="CA278">
            <v>313.33096738533584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3773.6191424410813</v>
          </cell>
          <cell r="CJ278">
            <v>2319.6563282906268</v>
          </cell>
          <cell r="CL278">
            <v>0</v>
          </cell>
          <cell r="CM278">
            <v>0</v>
          </cell>
          <cell r="CX278">
            <v>3470.9888824038635</v>
          </cell>
          <cell r="CY278">
            <v>27271.536253025683</v>
          </cell>
          <cell r="DA278">
            <v>-77959.885910597543</v>
          </cell>
          <cell r="DC278">
            <v>50604.34</v>
          </cell>
          <cell r="DD278">
            <v>0</v>
          </cell>
          <cell r="DE278">
            <v>31184.449999999997</v>
          </cell>
          <cell r="DF278">
            <v>0</v>
          </cell>
          <cell r="DW278">
            <v>1062</v>
          </cell>
          <cell r="DX278">
            <v>0</v>
          </cell>
        </row>
        <row r="279">
          <cell r="F279">
            <v>3994.9</v>
          </cell>
          <cell r="G279">
            <v>0</v>
          </cell>
          <cell r="H279">
            <v>1712.3000000000002</v>
          </cell>
          <cell r="I279">
            <v>15547.963479369377</v>
          </cell>
          <cell r="J279">
            <v>15683.89493224422</v>
          </cell>
          <cell r="L279">
            <v>3245.2146418210073</v>
          </cell>
          <cell r="M279">
            <v>3365.6207937915988</v>
          </cell>
          <cell r="O279">
            <v>5269.451355247983</v>
          </cell>
          <cell r="P279">
            <v>5286.9751107873508</v>
          </cell>
          <cell r="R279">
            <v>0</v>
          </cell>
          <cell r="S279">
            <v>0</v>
          </cell>
          <cell r="U279">
            <v>336.78353805375082</v>
          </cell>
          <cell r="V279">
            <v>194.30026355518834</v>
          </cell>
          <cell r="X279">
            <v>17092.1513361734</v>
          </cell>
          <cell r="Y279">
            <v>17406.059013717524</v>
          </cell>
          <cell r="AA279">
            <v>0</v>
          </cell>
          <cell r="AB279">
            <v>0</v>
          </cell>
          <cell r="AD279">
            <v>18530.467254530657</v>
          </cell>
          <cell r="AE279">
            <v>19894.004099913669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9243.6545268945138</v>
          </cell>
          <cell r="AQ279">
            <v>5937.9736704092184</v>
          </cell>
          <cell r="AS279">
            <v>80406.39905434371</v>
          </cell>
          <cell r="AT279">
            <v>2291.4700845801067</v>
          </cell>
          <cell r="AV279">
            <v>2657.9630385605019</v>
          </cell>
          <cell r="AW279">
            <v>0</v>
          </cell>
          <cell r="AY279">
            <v>4236.2062644762846</v>
          </cell>
          <cell r="AZ279">
            <v>0</v>
          </cell>
          <cell r="BB279">
            <v>2616.743321339191</v>
          </cell>
          <cell r="BC279">
            <v>0</v>
          </cell>
          <cell r="BE279">
            <v>0</v>
          </cell>
          <cell r="BF279">
            <v>0</v>
          </cell>
          <cell r="BH279">
            <v>198.4915583485795</v>
          </cell>
          <cell r="BI279">
            <v>0</v>
          </cell>
          <cell r="BK279">
            <v>3545.4319924809079</v>
          </cell>
          <cell r="BL279">
            <v>366.48772601357666</v>
          </cell>
          <cell r="BN279">
            <v>59.886988233157339</v>
          </cell>
          <cell r="BO279">
            <v>0</v>
          </cell>
          <cell r="BT279">
            <v>24314.562092425465</v>
          </cell>
          <cell r="BU279">
            <v>54306.066930922141</v>
          </cell>
          <cell r="BW279">
            <v>41058.419484278187</v>
          </cell>
          <cell r="BX279">
            <v>43210.597284420888</v>
          </cell>
          <cell r="BZ279">
            <v>11032.605456329788</v>
          </cell>
          <cell r="CA279">
            <v>281.75877880949486</v>
          </cell>
          <cell r="CC279">
            <v>717.7357270531196</v>
          </cell>
          <cell r="CD279">
            <v>719.12116932077038</v>
          </cell>
          <cell r="CF279">
            <v>89.031889702446776</v>
          </cell>
          <cell r="CG279">
            <v>0</v>
          </cell>
          <cell r="CI279">
            <v>4822.9967322493812</v>
          </cell>
          <cell r="CJ279">
            <v>6335.1590802248938</v>
          </cell>
          <cell r="CL279">
            <v>0</v>
          </cell>
          <cell r="CM279">
            <v>0</v>
          </cell>
          <cell r="CX279">
            <v>32482.859368199424</v>
          </cell>
          <cell r="CY279">
            <v>116174.06432004036</v>
          </cell>
          <cell r="DA279">
            <v>-150122.22963069443</v>
          </cell>
          <cell r="DC279">
            <v>114499.12</v>
          </cell>
          <cell r="DD279">
            <v>25141.780000000002</v>
          </cell>
          <cell r="DE279">
            <v>82643.39</v>
          </cell>
          <cell r="DF279">
            <v>14182.890000000001</v>
          </cell>
          <cell r="DW279">
            <v>1062</v>
          </cell>
          <cell r="DX279">
            <v>0</v>
          </cell>
        </row>
        <row r="280">
          <cell r="F280">
            <v>201.1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294.39971560856185</v>
          </cell>
          <cell r="AQ280">
            <v>187.30051230881497</v>
          </cell>
          <cell r="AS280">
            <v>2173.9933510263877</v>
          </cell>
          <cell r="AT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B280">
            <v>0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1774.8169317575841</v>
          </cell>
          <cell r="BT280">
            <v>162.40665178357042</v>
          </cell>
          <cell r="BU280">
            <v>357.09414095321767</v>
          </cell>
          <cell r="BW280">
            <v>0</v>
          </cell>
          <cell r="BX280">
            <v>0</v>
          </cell>
          <cell r="BZ280">
            <v>38.197029657690422</v>
          </cell>
          <cell r="CA280">
            <v>0.60107973142130133</v>
          </cell>
          <cell r="CC280">
            <v>0</v>
          </cell>
          <cell r="CD280">
            <v>0</v>
          </cell>
          <cell r="CF280">
            <v>0</v>
          </cell>
          <cell r="CG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X280">
            <v>99.434364031627425</v>
          </cell>
          <cell r="CY280">
            <v>518.45526402183373</v>
          </cell>
          <cell r="DA280">
            <v>-5924.4465360949325</v>
          </cell>
          <cell r="DC280">
            <v>426.83</v>
          </cell>
          <cell r="DD280">
            <v>0</v>
          </cell>
          <cell r="DE280">
            <v>0</v>
          </cell>
          <cell r="DF280">
            <v>0</v>
          </cell>
          <cell r="DW280">
            <v>0</v>
          </cell>
          <cell r="DX280">
            <v>0</v>
          </cell>
        </row>
        <row r="281">
          <cell r="F281">
            <v>243.32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J281">
            <v>0</v>
          </cell>
          <cell r="AK281">
            <v>0</v>
          </cell>
          <cell r="AM281">
            <v>0</v>
          </cell>
          <cell r="AN281">
            <v>0</v>
          </cell>
          <cell r="AP281">
            <v>441.59957341284274</v>
          </cell>
          <cell r="AQ281">
            <v>234.12564038601874</v>
          </cell>
          <cell r="AS281">
            <v>2671.3982925698888</v>
          </cell>
          <cell r="AT281">
            <v>8796.4145347751128</v>
          </cell>
          <cell r="AV281">
            <v>0</v>
          </cell>
          <cell r="AW281">
            <v>0</v>
          </cell>
          <cell r="AY281">
            <v>0</v>
          </cell>
          <cell r="AZ281">
            <v>0</v>
          </cell>
          <cell r="BB281">
            <v>0</v>
          </cell>
          <cell r="BC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N281">
            <v>0</v>
          </cell>
          <cell r="BO281">
            <v>0</v>
          </cell>
          <cell r="BT281">
            <v>101.50415736473153</v>
          </cell>
          <cell r="BU281">
            <v>392.76994581058585</v>
          </cell>
          <cell r="BW281">
            <v>0</v>
          </cell>
          <cell r="BX281">
            <v>0</v>
          </cell>
          <cell r="BZ281">
            <v>23.873143536056517</v>
          </cell>
          <cell r="CA281">
            <v>0.66118770456343123</v>
          </cell>
          <cell r="CC281">
            <v>0</v>
          </cell>
          <cell r="CD281">
            <v>0</v>
          </cell>
          <cell r="CF281">
            <v>0</v>
          </cell>
          <cell r="CG281">
            <v>0</v>
          </cell>
          <cell r="CI281">
            <v>0</v>
          </cell>
          <cell r="CJ281">
            <v>0</v>
          </cell>
          <cell r="CL281">
            <v>0</v>
          </cell>
          <cell r="CM281">
            <v>0</v>
          </cell>
          <cell r="CX281">
            <v>120.51158424326391</v>
          </cell>
          <cell r="CY281">
            <v>-7302.2037859080501</v>
          </cell>
          <cell r="DA281">
            <v>-1522.7027064360846</v>
          </cell>
          <cell r="DC281">
            <v>834.01</v>
          </cell>
          <cell r="DD281">
            <v>0</v>
          </cell>
          <cell r="DE281">
            <v>318.10000000000002</v>
          </cell>
          <cell r="DF281">
            <v>0</v>
          </cell>
          <cell r="DW281">
            <v>0</v>
          </cell>
          <cell r="DX281">
            <v>0</v>
          </cell>
        </row>
        <row r="282">
          <cell r="F282">
            <v>325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P282">
            <v>367.9996445107023</v>
          </cell>
          <cell r="AQ282">
            <v>140.47538423161123</v>
          </cell>
          <cell r="AS282">
            <v>3388.0145139495553</v>
          </cell>
          <cell r="AT282">
            <v>2529.2765410601078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B282">
            <v>0</v>
          </cell>
          <cell r="BC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511.88292117934719</v>
          </cell>
          <cell r="BT282">
            <v>446.61829240481882</v>
          </cell>
          <cell r="BU282">
            <v>856.89150133590772</v>
          </cell>
          <cell r="BW282">
            <v>0</v>
          </cell>
          <cell r="BX282">
            <v>0</v>
          </cell>
          <cell r="BZ282">
            <v>105.04183155864868</v>
          </cell>
          <cell r="CA282">
            <v>1.4425913554111229</v>
          </cell>
          <cell r="CC282">
            <v>0</v>
          </cell>
          <cell r="CD282">
            <v>0</v>
          </cell>
          <cell r="CF282">
            <v>0</v>
          </cell>
          <cell r="CG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X282">
            <v>146.58893909140937</v>
          </cell>
          <cell r="CY282">
            <v>467.83535100501695</v>
          </cell>
          <cell r="DA282">
            <v>-13217.028524764421</v>
          </cell>
          <cell r="DC282">
            <v>716.16</v>
          </cell>
          <cell r="DD282">
            <v>0</v>
          </cell>
          <cell r="DE282">
            <v>29.92999999999995</v>
          </cell>
          <cell r="DF282">
            <v>0</v>
          </cell>
          <cell r="DW282">
            <v>0</v>
          </cell>
          <cell r="DX282">
            <v>0</v>
          </cell>
        </row>
        <row r="283">
          <cell r="F283">
            <v>241.4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404.79960896177255</v>
          </cell>
          <cell r="AQ283">
            <v>140.47538423161123</v>
          </cell>
          <cell r="AS283">
            <v>2653.2112808794091</v>
          </cell>
          <cell r="AT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B283">
            <v>0</v>
          </cell>
          <cell r="BC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0</v>
          </cell>
          <cell r="BL283">
            <v>0</v>
          </cell>
          <cell r="BN283">
            <v>0</v>
          </cell>
          <cell r="BO283">
            <v>1478.7804376295485</v>
          </cell>
          <cell r="BT283">
            <v>101.50415736473153</v>
          </cell>
          <cell r="BU283">
            <v>392.76994581058585</v>
          </cell>
          <cell r="BW283">
            <v>0</v>
          </cell>
          <cell r="BX283">
            <v>0</v>
          </cell>
          <cell r="BZ283">
            <v>23.873143536056517</v>
          </cell>
          <cell r="CA283">
            <v>0.66118770456343123</v>
          </cell>
          <cell r="CC283">
            <v>0</v>
          </cell>
          <cell r="CD283">
            <v>0</v>
          </cell>
          <cell r="CF283">
            <v>0</v>
          </cell>
          <cell r="CG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X283">
            <v>118.62384323402323</v>
          </cell>
          <cell r="CY283">
            <v>1523.4653256728166</v>
          </cell>
          <cell r="DA283">
            <v>-10781.804398905251</v>
          </cell>
          <cell r="DC283">
            <v>1829.49</v>
          </cell>
          <cell r="DD283">
            <v>0</v>
          </cell>
          <cell r="DE283">
            <v>1317.67</v>
          </cell>
          <cell r="DF283">
            <v>0</v>
          </cell>
          <cell r="DW283">
            <v>0</v>
          </cell>
          <cell r="DX283">
            <v>0</v>
          </cell>
        </row>
        <row r="284">
          <cell r="F284">
            <v>148.69999999999999</v>
          </cell>
          <cell r="G284">
            <v>0</v>
          </cell>
          <cell r="H284">
            <v>0</v>
          </cell>
          <cell r="I284">
            <v>809.86892119784386</v>
          </cell>
          <cell r="J284">
            <v>798.6918436992006</v>
          </cell>
          <cell r="L284">
            <v>141.76357856737479</v>
          </cell>
          <cell r="M284">
            <v>148.34736328726279</v>
          </cell>
          <cell r="O284">
            <v>219.65162210211503</v>
          </cell>
          <cell r="P284">
            <v>220.3490758969632</v>
          </cell>
          <cell r="R284">
            <v>65.461625059875928</v>
          </cell>
          <cell r="S284">
            <v>65.633289536711501</v>
          </cell>
          <cell r="U284">
            <v>0</v>
          </cell>
          <cell r="V284">
            <v>0</v>
          </cell>
          <cell r="X284">
            <v>437.71353161015139</v>
          </cell>
          <cell r="Y284">
            <v>352.83730456831489</v>
          </cell>
          <cell r="AA284">
            <v>0</v>
          </cell>
          <cell r="AB284">
            <v>0</v>
          </cell>
          <cell r="AD284">
            <v>538.12310473653974</v>
          </cell>
          <cell r="AE284">
            <v>525.19376124951452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166.55233381791916</v>
          </cell>
          <cell r="AQ284">
            <v>185.02235093190762</v>
          </cell>
          <cell r="AS284">
            <v>2997.6336090284976</v>
          </cell>
          <cell r="AT284">
            <v>0</v>
          </cell>
          <cell r="AV284">
            <v>170.63066267985852</v>
          </cell>
          <cell r="AW284">
            <v>0</v>
          </cell>
          <cell r="AY284">
            <v>167.98403881554526</v>
          </cell>
          <cell r="AZ284">
            <v>0</v>
          </cell>
          <cell r="BB284">
            <v>68.29547635028635</v>
          </cell>
          <cell r="BC284">
            <v>0</v>
          </cell>
          <cell r="BE284">
            <v>77.613332702617271</v>
          </cell>
          <cell r="BF284">
            <v>780.59971383569996</v>
          </cell>
          <cell r="BH284">
            <v>0</v>
          </cell>
          <cell r="BI284">
            <v>0</v>
          </cell>
          <cell r="BK284">
            <v>68.943492386028637</v>
          </cell>
          <cell r="BL284">
            <v>0</v>
          </cell>
          <cell r="BN284">
            <v>12.548347455873724</v>
          </cell>
          <cell r="BO284">
            <v>0</v>
          </cell>
          <cell r="BT284">
            <v>0</v>
          </cell>
          <cell r="BU284">
            <v>0</v>
          </cell>
          <cell r="BW284">
            <v>238.92441536339425</v>
          </cell>
          <cell r="BX284">
            <v>467.03196827354736</v>
          </cell>
          <cell r="BZ284">
            <v>0</v>
          </cell>
          <cell r="CA284">
            <v>0</v>
          </cell>
          <cell r="CC284">
            <v>0</v>
          </cell>
          <cell r="CD284">
            <v>0</v>
          </cell>
          <cell r="CF284">
            <v>0</v>
          </cell>
          <cell r="CG284">
            <v>0</v>
          </cell>
          <cell r="CI284">
            <v>159.03038060274918</v>
          </cell>
          <cell r="CJ284">
            <v>147.05733556443153</v>
          </cell>
          <cell r="CL284">
            <v>0</v>
          </cell>
          <cell r="CM284">
            <v>0</v>
          </cell>
          <cell r="CX284">
            <v>102.76448264180988</v>
          </cell>
          <cell r="CY284">
            <v>3282.7338414015503</v>
          </cell>
          <cell r="DA284">
            <v>6638.0281580195369</v>
          </cell>
          <cell r="DC284">
            <v>1005.18</v>
          </cell>
          <cell r="DD284">
            <v>0</v>
          </cell>
          <cell r="DE284">
            <v>0</v>
          </cell>
          <cell r="DF284">
            <v>0</v>
          </cell>
          <cell r="DW284">
            <v>918</v>
          </cell>
          <cell r="DX284">
            <v>0</v>
          </cell>
        </row>
        <row r="285">
          <cell r="F285">
            <v>4471.6000000000004</v>
          </cell>
          <cell r="G285">
            <v>0</v>
          </cell>
          <cell r="H285">
            <v>100.8</v>
          </cell>
          <cell r="I285">
            <v>14738.899849135702</v>
          </cell>
          <cell r="J285">
            <v>14709.817738709737</v>
          </cell>
          <cell r="L285">
            <v>3026.6916800082149</v>
          </cell>
          <cell r="M285">
            <v>3190.0308337621323</v>
          </cell>
          <cell r="O285">
            <v>5912.9973680622907</v>
          </cell>
          <cell r="P285">
            <v>5934.2719663813596</v>
          </cell>
          <cell r="R285">
            <v>0</v>
          </cell>
          <cell r="S285">
            <v>0</v>
          </cell>
          <cell r="U285">
            <v>280.65294837812576</v>
          </cell>
          <cell r="V285">
            <v>161.91688629599031</v>
          </cell>
          <cell r="X285">
            <v>11272.703498441506</v>
          </cell>
          <cell r="Y285">
            <v>11114.130492305503</v>
          </cell>
          <cell r="AA285">
            <v>0</v>
          </cell>
          <cell r="AB285">
            <v>0</v>
          </cell>
          <cell r="AD285">
            <v>16573.168836301535</v>
          </cell>
          <cell r="AE285">
            <v>16173.58414868452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12241.596535617056</v>
          </cell>
          <cell r="AQ285">
            <v>13196.14732759433</v>
          </cell>
          <cell r="AS285">
            <v>52275.715802611136</v>
          </cell>
          <cell r="AT285">
            <v>51012.67645576995</v>
          </cell>
          <cell r="AV285">
            <v>2252.6585335953664</v>
          </cell>
          <cell r="AW285">
            <v>1480.3833372748431</v>
          </cell>
          <cell r="AY285">
            <v>3750.6494498267512</v>
          </cell>
          <cell r="AZ285">
            <v>4026.9354538046</v>
          </cell>
          <cell r="BB285">
            <v>2125.350395065243</v>
          </cell>
          <cell r="BC285">
            <v>0</v>
          </cell>
          <cell r="BE285">
            <v>0</v>
          </cell>
          <cell r="BF285">
            <v>0</v>
          </cell>
          <cell r="BH285">
            <v>165.40963195714954</v>
          </cell>
          <cell r="BI285">
            <v>0</v>
          </cell>
          <cell r="BK285">
            <v>2239.896872064267</v>
          </cell>
          <cell r="BL285">
            <v>0</v>
          </cell>
          <cell r="BN285">
            <v>131.75764828667408</v>
          </cell>
          <cell r="BO285">
            <v>4212.4308892474091</v>
          </cell>
          <cell r="BT285">
            <v>44534.927380889276</v>
          </cell>
          <cell r="BU285">
            <v>71156.915005299612</v>
          </cell>
          <cell r="BW285">
            <v>22189.87285386127</v>
          </cell>
          <cell r="BX285">
            <v>23336.618067325351</v>
          </cell>
          <cell r="BZ285">
            <v>7894.1298850061521</v>
          </cell>
          <cell r="CA285">
            <v>546.77623986296635</v>
          </cell>
          <cell r="CC285">
            <v>512.66837646651402</v>
          </cell>
          <cell r="CD285">
            <v>513.65797808626451</v>
          </cell>
          <cell r="CF285">
            <v>63.594206930319132</v>
          </cell>
          <cell r="CG285">
            <v>565.60791489154167</v>
          </cell>
          <cell r="CI285">
            <v>4237.9285265462968</v>
          </cell>
          <cell r="CJ285">
            <v>4139.3888713715469</v>
          </cell>
          <cell r="CL285">
            <v>0</v>
          </cell>
          <cell r="CM285">
            <v>0</v>
          </cell>
          <cell r="CX285">
            <v>9295.5142109386888</v>
          </cell>
          <cell r="CY285">
            <v>-13564.508982201478</v>
          </cell>
          <cell r="DA285">
            <v>22877.480513820061</v>
          </cell>
          <cell r="DC285">
            <v>84284.2</v>
          </cell>
          <cell r="DD285">
            <v>5954.64</v>
          </cell>
          <cell r="DE285">
            <v>51195.46</v>
          </cell>
          <cell r="DF285">
            <v>5473.6100000000006</v>
          </cell>
          <cell r="DW285">
            <v>1359</v>
          </cell>
          <cell r="DX285">
            <v>0</v>
          </cell>
        </row>
        <row r="286">
          <cell r="F286">
            <v>4538.6000000000004</v>
          </cell>
          <cell r="G286">
            <v>0</v>
          </cell>
          <cell r="H286">
            <v>39.799999999999997</v>
          </cell>
          <cell r="I286">
            <v>15130.491964626992</v>
          </cell>
          <cell r="J286">
            <v>15077.354995193884</v>
          </cell>
          <cell r="L286">
            <v>3029.8543805770969</v>
          </cell>
          <cell r="M286">
            <v>3190.4559196122414</v>
          </cell>
          <cell r="O286">
            <v>6104.3870332582947</v>
          </cell>
          <cell r="P286">
            <v>6125.7063507982048</v>
          </cell>
          <cell r="R286">
            <v>0</v>
          </cell>
          <cell r="S286">
            <v>0</v>
          </cell>
          <cell r="U286">
            <v>873.76799374305619</v>
          </cell>
          <cell r="V286">
            <v>604.00526113004491</v>
          </cell>
          <cell r="X286">
            <v>11171.980680309616</v>
          </cell>
          <cell r="Y286">
            <v>11004.103872270589</v>
          </cell>
          <cell r="AA286">
            <v>0</v>
          </cell>
          <cell r="AB286">
            <v>0</v>
          </cell>
          <cell r="AD286">
            <v>16593.473784609865</v>
          </cell>
          <cell r="AE286">
            <v>16193.475316260028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12462.396322323477</v>
          </cell>
          <cell r="AQ286">
            <v>13269.801583394254</v>
          </cell>
          <cell r="AS286">
            <v>61127.279827538747</v>
          </cell>
          <cell r="AT286">
            <v>5492.4008601473251</v>
          </cell>
          <cell r="AV286">
            <v>2359.6212541568061</v>
          </cell>
          <cell r="AW286">
            <v>0</v>
          </cell>
          <cell r="AY286">
            <v>3909.8522247955116</v>
          </cell>
          <cell r="AZ286">
            <v>1993.2749308295788</v>
          </cell>
          <cell r="BB286">
            <v>2138.7311666997189</v>
          </cell>
          <cell r="BC286">
            <v>0</v>
          </cell>
          <cell r="BE286">
            <v>0</v>
          </cell>
          <cell r="BF286">
            <v>0</v>
          </cell>
          <cell r="BH286">
            <v>886.40212744804091</v>
          </cell>
          <cell r="BI286">
            <v>0</v>
          </cell>
          <cell r="BK286">
            <v>2332.5335476403179</v>
          </cell>
          <cell r="BL286">
            <v>1919.8361817699697</v>
          </cell>
          <cell r="BN286">
            <v>131.75764828667408</v>
          </cell>
          <cell r="BO286">
            <v>0</v>
          </cell>
          <cell r="BT286">
            <v>43133.008236473579</v>
          </cell>
          <cell r="BU286">
            <v>61673.909165399593</v>
          </cell>
          <cell r="BW286">
            <v>22164.520326026104</v>
          </cell>
          <cell r="BX286">
            <v>23341.348576071236</v>
          </cell>
          <cell r="BZ286">
            <v>8603.3148720651498</v>
          </cell>
          <cell r="CA286">
            <v>524.41789881659963</v>
          </cell>
          <cell r="CC286">
            <v>512.66837646651402</v>
          </cell>
          <cell r="CD286">
            <v>513.65797808626451</v>
          </cell>
          <cell r="CF286">
            <v>63.594206930319132</v>
          </cell>
          <cell r="CG286">
            <v>0</v>
          </cell>
          <cell r="CI286">
            <v>4693.2066729773469</v>
          </cell>
          <cell r="CJ286">
            <v>2239.7956202540281</v>
          </cell>
          <cell r="CL286">
            <v>0</v>
          </cell>
          <cell r="CM286">
            <v>0</v>
          </cell>
          <cell r="CX286">
            <v>11104.36838262898</v>
          </cell>
          <cell r="CY286">
            <v>76215.526146932229</v>
          </cell>
          <cell r="DA286">
            <v>-9855.990525500325</v>
          </cell>
          <cell r="DC286">
            <v>171636.45</v>
          </cell>
          <cell r="DD286">
            <v>0</v>
          </cell>
          <cell r="DE286">
            <v>136378.78000000003</v>
          </cell>
          <cell r="DF286">
            <v>-279.61</v>
          </cell>
          <cell r="DW286">
            <v>1359</v>
          </cell>
          <cell r="DX286">
            <v>0</v>
          </cell>
        </row>
        <row r="287">
          <cell r="F287">
            <v>3208.53</v>
          </cell>
          <cell r="G287">
            <v>0</v>
          </cell>
          <cell r="H287">
            <v>0</v>
          </cell>
          <cell r="I287">
            <v>10056.72338497379</v>
          </cell>
          <cell r="J287">
            <v>10039.316374334403</v>
          </cell>
          <cell r="L287">
            <v>2060.4201138426652</v>
          </cell>
          <cell r="M287">
            <v>2164.4808762711141</v>
          </cell>
          <cell r="O287">
            <v>4241.4038367982357</v>
          </cell>
          <cell r="P287">
            <v>4254.5871966297218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6747.0220010471767</v>
          </cell>
          <cell r="Y287">
            <v>6530.2513808492968</v>
          </cell>
          <cell r="AA287">
            <v>0</v>
          </cell>
          <cell r="AB287">
            <v>0</v>
          </cell>
          <cell r="AD287">
            <v>11631.028380529764</v>
          </cell>
          <cell r="AE287">
            <v>11350.529088907599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8743.9975254407545</v>
          </cell>
          <cell r="AQ287">
            <v>9320.2717206001289</v>
          </cell>
          <cell r="AS287">
            <v>36114.505885279781</v>
          </cell>
          <cell r="AT287">
            <v>4031.5688044491808</v>
          </cell>
          <cell r="AV287">
            <v>1598.4003392753591</v>
          </cell>
          <cell r="AW287">
            <v>0</v>
          </cell>
          <cell r="AY287">
            <v>2330.247569750049</v>
          </cell>
          <cell r="AZ287">
            <v>570.54106016942649</v>
          </cell>
          <cell r="BB287">
            <v>1546.6563169970398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1287.8114697430451</v>
          </cell>
          <cell r="BL287">
            <v>0</v>
          </cell>
          <cell r="BN287">
            <v>100.38677964698979</v>
          </cell>
          <cell r="BO287">
            <v>0</v>
          </cell>
          <cell r="BT287">
            <v>42996.213551245026</v>
          </cell>
          <cell r="BU287">
            <v>65948.842680572474</v>
          </cell>
          <cell r="BW287">
            <v>16184.725558171926</v>
          </cell>
          <cell r="BX287">
            <v>17011.374232569633</v>
          </cell>
          <cell r="BZ287">
            <v>5816.3996366614992</v>
          </cell>
          <cell r="CA287">
            <v>355.90785988350063</v>
          </cell>
          <cell r="CC287">
            <v>256.33418823325701</v>
          </cell>
          <cell r="CD287">
            <v>256.82898904313225</v>
          </cell>
          <cell r="CF287">
            <v>31.797103465159566</v>
          </cell>
          <cell r="CG287">
            <v>0</v>
          </cell>
          <cell r="CI287">
            <v>3326.5702778238742</v>
          </cell>
          <cell r="CJ287">
            <v>2521.0166001282078</v>
          </cell>
          <cell r="CL287">
            <v>0</v>
          </cell>
          <cell r="CM287">
            <v>0</v>
          </cell>
          <cell r="CX287">
            <v>9286.3545460111836</v>
          </cell>
          <cell r="CY287">
            <v>34144.507011432244</v>
          </cell>
          <cell r="DA287">
            <v>31929.536128858977</v>
          </cell>
          <cell r="DC287">
            <v>45066.74</v>
          </cell>
          <cell r="DD287">
            <v>0</v>
          </cell>
          <cell r="DE287">
            <v>19632.449999999997</v>
          </cell>
          <cell r="DF287">
            <v>0</v>
          </cell>
          <cell r="DW287">
            <v>1062</v>
          </cell>
          <cell r="DX287">
            <v>0</v>
          </cell>
        </row>
        <row r="288">
          <cell r="F288">
            <v>5133.3</v>
          </cell>
          <cell r="G288">
            <v>0</v>
          </cell>
          <cell r="H288">
            <v>1122.4999999999998</v>
          </cell>
          <cell r="I288">
            <v>19879.395373808518</v>
          </cell>
          <cell r="J288">
            <v>19813.100063593265</v>
          </cell>
          <cell r="L288">
            <v>4042.6674145883826</v>
          </cell>
          <cell r="M288">
            <v>4256.9876747421067</v>
          </cell>
          <cell r="O288">
            <v>7781.0480444002978</v>
          </cell>
          <cell r="P288">
            <v>7806.0558362108413</v>
          </cell>
          <cell r="R288">
            <v>0</v>
          </cell>
          <cell r="S288">
            <v>0</v>
          </cell>
          <cell r="U288">
            <v>1352.3862971900487</v>
          </cell>
          <cell r="V288">
            <v>934.85549214666253</v>
          </cell>
          <cell r="X288">
            <v>17680.874539757566</v>
          </cell>
          <cell r="Y288">
            <v>17527.16806325558</v>
          </cell>
          <cell r="AA288">
            <v>0</v>
          </cell>
          <cell r="AB288">
            <v>0</v>
          </cell>
          <cell r="AD288">
            <v>22677.541900333868</v>
          </cell>
          <cell r="AE288">
            <v>22122.908194124837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13365.824788888009</v>
          </cell>
          <cell r="AQ288">
            <v>14400.517435025169</v>
          </cell>
          <cell r="AS288">
            <v>81721.196442598011</v>
          </cell>
          <cell r="AT288">
            <v>64078.396460815129</v>
          </cell>
          <cell r="AV288">
            <v>3145.4842372849116</v>
          </cell>
          <cell r="AW288">
            <v>431.24298690662943</v>
          </cell>
          <cell r="AY288">
            <v>5216.7286165752485</v>
          </cell>
          <cell r="AZ288">
            <v>7036.4628755305421</v>
          </cell>
          <cell r="BB288">
            <v>2929.7141823841439</v>
          </cell>
          <cell r="BC288">
            <v>0</v>
          </cell>
          <cell r="BE288">
            <v>0</v>
          </cell>
          <cell r="BF288">
            <v>0</v>
          </cell>
          <cell r="BH288">
            <v>1372.1877145678275</v>
          </cell>
          <cell r="BI288">
            <v>0</v>
          </cell>
          <cell r="BK288">
            <v>3719.432759867299</v>
          </cell>
          <cell r="BL288">
            <v>0</v>
          </cell>
          <cell r="BN288">
            <v>150.58016947048469</v>
          </cell>
          <cell r="BO288">
            <v>0</v>
          </cell>
          <cell r="BT288">
            <v>55857.627403770348</v>
          </cell>
          <cell r="BU288">
            <v>88664.844631929736</v>
          </cell>
          <cell r="BW288">
            <v>28458.572165468733</v>
          </cell>
          <cell r="BX288">
            <v>33234.920345708422</v>
          </cell>
          <cell r="BZ288">
            <v>11023.610985833897</v>
          </cell>
          <cell r="CA288">
            <v>598.26160798930687</v>
          </cell>
          <cell r="CC288">
            <v>769.00256469977103</v>
          </cell>
          <cell r="CD288">
            <v>770.4869671293967</v>
          </cell>
          <cell r="CF288">
            <v>95.391310395478698</v>
          </cell>
          <cell r="CG288">
            <v>0</v>
          </cell>
          <cell r="CI288">
            <v>2407.2038896002482</v>
          </cell>
          <cell r="CJ288">
            <v>2503.2895007794605</v>
          </cell>
          <cell r="CL288">
            <v>0</v>
          </cell>
          <cell r="CM288">
            <v>0</v>
          </cell>
          <cell r="CX288">
            <v>13904.797601240924</v>
          </cell>
          <cell r="CY288">
            <v>13265.164799956081</v>
          </cell>
          <cell r="DA288">
            <v>33082.399023385558</v>
          </cell>
          <cell r="DC288">
            <v>99579.34</v>
          </cell>
          <cell r="DD288">
            <v>15485.860000000002</v>
          </cell>
          <cell r="DE288">
            <v>60991.199999999997</v>
          </cell>
          <cell r="DF288">
            <v>7992.9800000000005</v>
          </cell>
          <cell r="DW288">
            <v>1494</v>
          </cell>
          <cell r="DX288">
            <v>0</v>
          </cell>
        </row>
        <row r="289">
          <cell r="F289">
            <v>2767.8</v>
          </cell>
          <cell r="G289">
            <v>0</v>
          </cell>
          <cell r="H289">
            <v>0</v>
          </cell>
          <cell r="I289">
            <v>8901.7218947657711</v>
          </cell>
          <cell r="J289">
            <v>8898.5997152501222</v>
          </cell>
          <cell r="L289">
            <v>1922.88388804244</v>
          </cell>
          <cell r="M289">
            <v>2012.7510358974671</v>
          </cell>
          <cell r="O289">
            <v>3635.2072852247006</v>
          </cell>
          <cell r="P289">
            <v>3647.3887212891582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6162.8568092426394</v>
          </cell>
          <cell r="Y289">
            <v>5886.4977741827634</v>
          </cell>
          <cell r="AA289">
            <v>0</v>
          </cell>
          <cell r="AB289">
            <v>0</v>
          </cell>
          <cell r="AD289">
            <v>10032.371521248213</v>
          </cell>
          <cell r="AE289">
            <v>9790.4784853005622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4618.2889315169004</v>
          </cell>
          <cell r="AQ289">
            <v>7907.9134676609556</v>
          </cell>
          <cell r="AS289">
            <v>40441.439886152024</v>
          </cell>
          <cell r="AT289">
            <v>25471.432212581967</v>
          </cell>
          <cell r="AV289">
            <v>1457.3964434146064</v>
          </cell>
          <cell r="AW289">
            <v>1924.9743504526677</v>
          </cell>
          <cell r="AY289">
            <v>2284.1906787984331</v>
          </cell>
          <cell r="AZ289">
            <v>666.0646154291527</v>
          </cell>
          <cell r="BB289">
            <v>1280.8507413924951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1156.2351422791551</v>
          </cell>
          <cell r="BL289">
            <v>3019.4716439340618</v>
          </cell>
          <cell r="BN289">
            <v>75.290084735242345</v>
          </cell>
          <cell r="BO289">
            <v>371.38792017384003</v>
          </cell>
          <cell r="BT289">
            <v>32465.87195360061</v>
          </cell>
          <cell r="BU289">
            <v>56346.739395390934</v>
          </cell>
          <cell r="BW289">
            <v>16173.918450730383</v>
          </cell>
          <cell r="BX289">
            <v>18647.327041096883</v>
          </cell>
          <cell r="BZ289">
            <v>4375.7857737517097</v>
          </cell>
          <cell r="CA289">
            <v>300.49174315469708</v>
          </cell>
          <cell r="CC289">
            <v>512.66837646651402</v>
          </cell>
          <cell r="CD289">
            <v>513.65797808626451</v>
          </cell>
          <cell r="CF289">
            <v>63.594206930319132</v>
          </cell>
          <cell r="CG289">
            <v>0</v>
          </cell>
          <cell r="CI289">
            <v>10494.106351643948</v>
          </cell>
          <cell r="CJ289">
            <v>11644.002197036318</v>
          </cell>
          <cell r="CL289">
            <v>0</v>
          </cell>
          <cell r="CM289">
            <v>0</v>
          </cell>
          <cell r="CX289">
            <v>4778.7865423755202</v>
          </cell>
          <cell r="CY289">
            <v>-8414.613310002509</v>
          </cell>
          <cell r="DA289">
            <v>35177.318896421246</v>
          </cell>
          <cell r="DC289">
            <v>55691.8</v>
          </cell>
          <cell r="DD289">
            <v>0</v>
          </cell>
          <cell r="DE289">
            <v>32222.240000000002</v>
          </cell>
          <cell r="DF289">
            <v>0</v>
          </cell>
          <cell r="DW289">
            <v>1062</v>
          </cell>
          <cell r="DX289">
            <v>0</v>
          </cell>
        </row>
        <row r="290">
          <cell r="F290">
            <v>4580.1000000000004</v>
          </cell>
          <cell r="G290">
            <v>0</v>
          </cell>
          <cell r="H290">
            <v>0</v>
          </cell>
          <cell r="I290">
            <v>14550.566823768831</v>
          </cell>
          <cell r="J290">
            <v>14535.025026212232</v>
          </cell>
          <cell r="L290">
            <v>3032.4829974237064</v>
          </cell>
          <cell r="M290">
            <v>3234.4466828065379</v>
          </cell>
          <cell r="O290">
            <v>6162.2576634226443</v>
          </cell>
          <cell r="P290">
            <v>6182.9364878133101</v>
          </cell>
          <cell r="R290">
            <v>0</v>
          </cell>
          <cell r="S290">
            <v>0</v>
          </cell>
          <cell r="U290">
            <v>891.72923892249673</v>
          </cell>
          <cell r="V290">
            <v>616.42767280776525</v>
          </cell>
          <cell r="X290">
            <v>11271.703911132961</v>
          </cell>
          <cell r="Y290">
            <v>11152.668916327544</v>
          </cell>
          <cell r="AA290">
            <v>0</v>
          </cell>
          <cell r="AB290">
            <v>0</v>
          </cell>
          <cell r="AD290">
            <v>16601.939752286067</v>
          </cell>
          <cell r="AE290">
            <v>16201.620691322936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12491.447830982228</v>
          </cell>
          <cell r="AQ290">
            <v>6960.8481839770175</v>
          </cell>
          <cell r="AS290">
            <v>60369.645271458176</v>
          </cell>
          <cell r="AT290">
            <v>9912.6609481112373</v>
          </cell>
          <cell r="AV290">
            <v>2200.0675660402817</v>
          </cell>
          <cell r="AW290">
            <v>1153.9366216582528</v>
          </cell>
          <cell r="AY290">
            <v>3913.2695663401223</v>
          </cell>
          <cell r="AZ290">
            <v>3993.3854926809418</v>
          </cell>
          <cell r="BB290">
            <v>2172.4099960912654</v>
          </cell>
          <cell r="BC290">
            <v>0</v>
          </cell>
          <cell r="BE290">
            <v>0</v>
          </cell>
          <cell r="BF290">
            <v>0</v>
          </cell>
          <cell r="BH290">
            <v>904.57350950575074</v>
          </cell>
          <cell r="BI290">
            <v>0</v>
          </cell>
          <cell r="BK290">
            <v>2334.6715541802564</v>
          </cell>
          <cell r="BL290">
            <v>0</v>
          </cell>
          <cell r="BN290">
            <v>131.75764828667408</v>
          </cell>
          <cell r="BO290">
            <v>0</v>
          </cell>
          <cell r="BT290">
            <v>42084.464892310738</v>
          </cell>
          <cell r="BU290">
            <v>75023.78376681247</v>
          </cell>
          <cell r="BW290">
            <v>20651.178039202739</v>
          </cell>
          <cell r="BX290">
            <v>24199.812193247311</v>
          </cell>
          <cell r="BZ290">
            <v>10229.443382966407</v>
          </cell>
          <cell r="CA290">
            <v>545.16965023576358</v>
          </cell>
          <cell r="CC290">
            <v>512.66616749153513</v>
          </cell>
          <cell r="CD290">
            <v>513.65797808626451</v>
          </cell>
          <cell r="CF290">
            <v>63.590715295141806</v>
          </cell>
          <cell r="CG290">
            <v>0</v>
          </cell>
          <cell r="CI290">
            <v>4450.7646653780521</v>
          </cell>
          <cell r="CJ290">
            <v>2812.398346642914</v>
          </cell>
          <cell r="CL290">
            <v>0</v>
          </cell>
          <cell r="CM290">
            <v>0</v>
          </cell>
          <cell r="CX290">
            <v>10152.174604461768</v>
          </cell>
          <cell r="CY290">
            <v>55730.397644954006</v>
          </cell>
          <cell r="DA290">
            <v>-46893.480565547987</v>
          </cell>
          <cell r="DC290">
            <v>68340.460000000006</v>
          </cell>
          <cell r="DD290">
            <v>0</v>
          </cell>
          <cell r="DE290">
            <v>33379.670000000006</v>
          </cell>
          <cell r="DF290">
            <v>0</v>
          </cell>
          <cell r="DW290">
            <v>1359</v>
          </cell>
          <cell r="DX290">
            <v>0</v>
          </cell>
        </row>
        <row r="291">
          <cell r="F291">
            <v>5974.7</v>
          </cell>
          <cell r="G291">
            <v>0</v>
          </cell>
          <cell r="H291">
            <v>235.9</v>
          </cell>
          <cell r="I291">
            <v>19844.989845308195</v>
          </cell>
          <cell r="J291">
            <v>19781.362734441303</v>
          </cell>
          <cell r="L291">
            <v>4044.8646448534973</v>
          </cell>
          <cell r="M291">
            <v>4300.5533520862937</v>
          </cell>
          <cell r="O291">
            <v>8043.7745997117227</v>
          </cell>
          <cell r="P291">
            <v>8071.2974733807605</v>
          </cell>
          <cell r="R291">
            <v>0</v>
          </cell>
          <cell r="S291">
            <v>0</v>
          </cell>
          <cell r="U291">
            <v>1668.7581345518474</v>
          </cell>
          <cell r="V291">
            <v>1117.0119892296516</v>
          </cell>
          <cell r="X291">
            <v>18289.568097175012</v>
          </cell>
          <cell r="Y291">
            <v>18197.437080475756</v>
          </cell>
          <cell r="AA291">
            <v>0</v>
          </cell>
          <cell r="AB291">
            <v>0</v>
          </cell>
          <cell r="AD291">
            <v>22512.840798852456</v>
          </cell>
          <cell r="AE291">
            <v>21969.952228522277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15864.109796156798</v>
          </cell>
          <cell r="AQ291">
            <v>19201.722628219464</v>
          </cell>
          <cell r="AS291">
            <v>66593.902568057878</v>
          </cell>
          <cell r="AT291">
            <v>23177.482480845036</v>
          </cell>
          <cell r="AV291">
            <v>3127.4380025121427</v>
          </cell>
          <cell r="AW291">
            <v>0</v>
          </cell>
          <cell r="AY291">
            <v>5219.4821077738761</v>
          </cell>
          <cell r="AZ291">
            <v>0</v>
          </cell>
          <cell r="BB291">
            <v>2954.4304447816285</v>
          </cell>
          <cell r="BC291">
            <v>8140.446216658981</v>
          </cell>
          <cell r="BE291">
            <v>0</v>
          </cell>
          <cell r="BF291">
            <v>0</v>
          </cell>
          <cell r="BH291">
            <v>1592.7338905106938</v>
          </cell>
          <cell r="BI291">
            <v>4686.7614884431332</v>
          </cell>
          <cell r="BK291">
            <v>3837.859428633371</v>
          </cell>
          <cell r="BL291">
            <v>1968.8779832321352</v>
          </cell>
          <cell r="BN291">
            <v>150.58016947048469</v>
          </cell>
          <cell r="BO291">
            <v>7310.2206392330872</v>
          </cell>
          <cell r="BT291">
            <v>67594.736862122081</v>
          </cell>
          <cell r="BU291">
            <v>106658.81192834603</v>
          </cell>
          <cell r="BW291">
            <v>30718.427004668341</v>
          </cell>
          <cell r="BX291">
            <v>35497.305315026482</v>
          </cell>
          <cell r="BZ291">
            <v>11835.20951705434</v>
          </cell>
          <cell r="CA291">
            <v>654.29254876440405</v>
          </cell>
          <cell r="CC291">
            <v>3097.0296622342112</v>
          </cell>
          <cell r="CD291">
            <v>3103.0078456191236</v>
          </cell>
          <cell r="CF291">
            <v>384.17260406605794</v>
          </cell>
          <cell r="CG291">
            <v>0</v>
          </cell>
          <cell r="CI291">
            <v>19564.43141863486</v>
          </cell>
          <cell r="CJ291">
            <v>19479.215074817028</v>
          </cell>
          <cell r="CL291">
            <v>0</v>
          </cell>
          <cell r="CM291">
            <v>0</v>
          </cell>
          <cell r="CX291">
            <v>15616.576475687587</v>
          </cell>
          <cell r="CY291">
            <v>19964.873183433829</v>
          </cell>
          <cell r="DA291">
            <v>70213.241044242997</v>
          </cell>
          <cell r="DC291">
            <v>144332.68</v>
          </cell>
          <cell r="DD291">
            <v>680.18</v>
          </cell>
          <cell r="DE291">
            <v>96002.169999999984</v>
          </cell>
          <cell r="DF291">
            <v>-1043.2800000000002</v>
          </cell>
          <cell r="DW291">
            <v>1494</v>
          </cell>
          <cell r="DX291">
            <v>0</v>
          </cell>
        </row>
        <row r="292">
          <cell r="F292">
            <v>2685.1</v>
          </cell>
          <cell r="G292">
            <v>0</v>
          </cell>
          <cell r="H292">
            <v>492.82</v>
          </cell>
          <cell r="I292">
            <v>10993.051190219294</v>
          </cell>
          <cell r="J292">
            <v>10960.560721682632</v>
          </cell>
          <cell r="L292">
            <v>2030.0662218694001</v>
          </cell>
          <cell r="M292">
            <v>2167.3886099933079</v>
          </cell>
          <cell r="O292">
            <v>4134.4578681964322</v>
          </cell>
          <cell r="P292">
            <v>4148.5619665225604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6488.6211045168375</v>
          </cell>
          <cell r="Y292">
            <v>6361.092190406901</v>
          </cell>
          <cell r="AA292">
            <v>0</v>
          </cell>
          <cell r="AB292">
            <v>0</v>
          </cell>
          <cell r="AD292">
            <v>11500.158623353818</v>
          </cell>
          <cell r="AE292">
            <v>11240.920503124176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7494.8286985893374</v>
          </cell>
          <cell r="AQ292">
            <v>4176.3606203652189</v>
          </cell>
          <cell r="AS292">
            <v>42792.916453340986</v>
          </cell>
          <cell r="AT292">
            <v>25198.361947330457</v>
          </cell>
          <cell r="AV292">
            <v>1829.3197571643427</v>
          </cell>
          <cell r="AW292">
            <v>0</v>
          </cell>
          <cell r="AY292">
            <v>2559.1480422367722</v>
          </cell>
          <cell r="AZ292">
            <v>0</v>
          </cell>
          <cell r="BB292">
            <v>1563.8856505870015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1387.3151365022659</v>
          </cell>
          <cell r="BL292">
            <v>0</v>
          </cell>
          <cell r="BN292">
            <v>100.38677964698979</v>
          </cell>
          <cell r="BO292">
            <v>0</v>
          </cell>
          <cell r="BT292">
            <v>14954.380897555169</v>
          </cell>
          <cell r="BU292">
            <v>29464.983477344445</v>
          </cell>
          <cell r="BW292">
            <v>18539.447513725285</v>
          </cell>
          <cell r="BX292">
            <v>21105.786201118335</v>
          </cell>
          <cell r="BZ292">
            <v>5847.7975016394385</v>
          </cell>
          <cell r="CA292">
            <v>336.83437288012374</v>
          </cell>
          <cell r="CC292">
            <v>1690.0511711358454</v>
          </cell>
          <cell r="CD292">
            <v>1693.2735247613705</v>
          </cell>
          <cell r="CF292">
            <v>209.64889297043499</v>
          </cell>
          <cell r="CG292">
            <v>0</v>
          </cell>
          <cell r="CI292">
            <v>5437.2138147300793</v>
          </cell>
          <cell r="CJ292">
            <v>5579.4952199693353</v>
          </cell>
          <cell r="CL292">
            <v>0</v>
          </cell>
          <cell r="CM292">
            <v>0</v>
          </cell>
          <cell r="CX292">
            <v>8592.7201292781556</v>
          </cell>
          <cell r="CY292">
            <v>29135.61128425521</v>
          </cell>
          <cell r="DA292">
            <v>27811.653416040383</v>
          </cell>
          <cell r="DC292">
            <v>20664.169999999998</v>
          </cell>
          <cell r="DD292">
            <v>11835.890000000001</v>
          </cell>
          <cell r="DE292">
            <v>798.5099999999984</v>
          </cell>
          <cell r="DF292">
            <v>8705.0400000000009</v>
          </cell>
          <cell r="DW292">
            <v>909</v>
          </cell>
          <cell r="DX292">
            <v>0</v>
          </cell>
        </row>
        <row r="293">
          <cell r="F293">
            <v>2595.8000000000002</v>
          </cell>
          <cell r="G293">
            <v>0</v>
          </cell>
          <cell r="H293">
            <v>571.9</v>
          </cell>
          <cell r="I293">
            <v>10830.829706398501</v>
          </cell>
          <cell r="J293">
            <v>10794.039428121472</v>
          </cell>
          <cell r="L293">
            <v>2030.4209874290261</v>
          </cell>
          <cell r="M293">
            <v>2179.39224562963</v>
          </cell>
          <cell r="O293">
            <v>4125.4428325808803</v>
          </cell>
          <cell r="P293">
            <v>4139.1535079798741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6470.0803179878003</v>
          </cell>
          <cell r="Y293">
            <v>6387.0992704941991</v>
          </cell>
          <cell r="AA293">
            <v>0</v>
          </cell>
          <cell r="AB293">
            <v>0</v>
          </cell>
          <cell r="AD293">
            <v>11474.951636859398</v>
          </cell>
          <cell r="AE293">
            <v>11204.769520350936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7120.112270716043</v>
          </cell>
          <cell r="AQ293">
            <v>3967.8718943326758</v>
          </cell>
          <cell r="AS293">
            <v>39243.325100342379</v>
          </cell>
          <cell r="AT293">
            <v>41954.354949042769</v>
          </cell>
          <cell r="AV293">
            <v>1953.852346316382</v>
          </cell>
          <cell r="AW293">
            <v>0</v>
          </cell>
          <cell r="AY293">
            <v>2620.0848963308435</v>
          </cell>
          <cell r="AZ293">
            <v>0</v>
          </cell>
          <cell r="BB293">
            <v>1618.8126107253645</v>
          </cell>
          <cell r="BC293">
            <v>1031.3735201027444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>
            <v>1379.4611706082223</v>
          </cell>
          <cell r="BL293">
            <v>0</v>
          </cell>
          <cell r="BN293">
            <v>100.38677964698979</v>
          </cell>
          <cell r="BO293">
            <v>4652.8550332467257</v>
          </cell>
          <cell r="BT293">
            <v>27387.777300218469</v>
          </cell>
          <cell r="BU293">
            <v>40889.420221268512</v>
          </cell>
          <cell r="BW293">
            <v>18316.932662594161</v>
          </cell>
          <cell r="BX293">
            <v>20852.031556843795</v>
          </cell>
          <cell r="BZ293">
            <v>5847.7551708222563</v>
          </cell>
          <cell r="CA293">
            <v>392.96298286184629</v>
          </cell>
          <cell r="CC293">
            <v>1640.5388046928447</v>
          </cell>
          <cell r="CD293">
            <v>1643.7055298760465</v>
          </cell>
          <cell r="CF293">
            <v>203.50146217702124</v>
          </cell>
          <cell r="CG293">
            <v>0</v>
          </cell>
          <cell r="CI293">
            <v>5569.5278839942603</v>
          </cell>
          <cell r="CJ293">
            <v>3463.6751801900587</v>
          </cell>
          <cell r="CL293">
            <v>0</v>
          </cell>
          <cell r="CM293">
            <v>0</v>
          </cell>
          <cell r="CX293">
            <v>8967.663150763794</v>
          </cell>
          <cell r="CY293">
            <v>2224.9700708832661</v>
          </cell>
          <cell r="DA293">
            <v>-16248.124046411613</v>
          </cell>
          <cell r="DC293">
            <v>26768.080000000002</v>
          </cell>
          <cell r="DD293">
            <v>1613.4600000000005</v>
          </cell>
          <cell r="DE293">
            <v>6336.0400000000009</v>
          </cell>
          <cell r="DF293">
            <v>-2276.5499999999997</v>
          </cell>
          <cell r="DW293">
            <v>909</v>
          </cell>
          <cell r="DX293">
            <v>0</v>
          </cell>
        </row>
        <row r="294">
          <cell r="F294">
            <v>4457.7</v>
          </cell>
          <cell r="G294">
            <v>0</v>
          </cell>
          <cell r="H294">
            <v>0</v>
          </cell>
          <cell r="I294">
            <v>13868.090650222963</v>
          </cell>
          <cell r="J294">
            <v>13847.49759865932</v>
          </cell>
          <cell r="L294">
            <v>3060.8464348477551</v>
          </cell>
          <cell r="M294">
            <v>3267.1842955009897</v>
          </cell>
          <cell r="O294">
            <v>5883.0135587846589</v>
          </cell>
          <cell r="P294">
            <v>5901.8532197733266</v>
          </cell>
          <cell r="R294">
            <v>0</v>
          </cell>
          <cell r="S294">
            <v>0</v>
          </cell>
          <cell r="U294">
            <v>873.76799374305619</v>
          </cell>
          <cell r="V294">
            <v>604.00526113004491</v>
          </cell>
          <cell r="X294">
            <v>11673.676552092642</v>
          </cell>
          <cell r="Y294">
            <v>11538.952075961566</v>
          </cell>
          <cell r="AA294">
            <v>0</v>
          </cell>
          <cell r="AB294">
            <v>0</v>
          </cell>
          <cell r="AD294">
            <v>16154.532590949071</v>
          </cell>
          <cell r="AE294">
            <v>15765.19334123579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7790.4032243621878</v>
          </cell>
          <cell r="AQ294">
            <v>5815.1280696641597</v>
          </cell>
          <cell r="AS294">
            <v>56368.705445466985</v>
          </cell>
          <cell r="AT294">
            <v>60957.21910400319</v>
          </cell>
          <cell r="AV294">
            <v>2296.5435922347392</v>
          </cell>
          <cell r="AW294">
            <v>2875.1968307598459</v>
          </cell>
          <cell r="AY294">
            <v>3888.1023952827572</v>
          </cell>
          <cell r="AZ294">
            <v>2648.6294328906129</v>
          </cell>
          <cell r="BB294">
            <v>2141.4431727927272</v>
          </cell>
          <cell r="BC294">
            <v>4332.2901089698898</v>
          </cell>
          <cell r="BE294">
            <v>0</v>
          </cell>
          <cell r="BF294">
            <v>0</v>
          </cell>
          <cell r="BH294">
            <v>886.40212744804091</v>
          </cell>
          <cell r="BI294">
            <v>0</v>
          </cell>
          <cell r="BK294">
            <v>2224.9441595898406</v>
          </cell>
          <cell r="BL294">
            <v>0</v>
          </cell>
          <cell r="BN294">
            <v>131.75764828667408</v>
          </cell>
          <cell r="BO294">
            <v>6598.4307670595836</v>
          </cell>
          <cell r="BT294">
            <v>43883.758005711439</v>
          </cell>
          <cell r="BU294">
            <v>66600.234646297467</v>
          </cell>
          <cell r="BW294">
            <v>22744.475323385348</v>
          </cell>
          <cell r="BX294">
            <v>26415.492113786393</v>
          </cell>
          <cell r="BZ294">
            <v>7337.9696270706536</v>
          </cell>
          <cell r="CA294">
            <v>499.24498827574428</v>
          </cell>
          <cell r="CC294">
            <v>2158.3338649240241</v>
          </cell>
          <cell r="CD294">
            <v>2162.5000877431739</v>
          </cell>
          <cell r="CF294">
            <v>267.73161117664364</v>
          </cell>
          <cell r="CG294">
            <v>0</v>
          </cell>
          <cell r="CI294">
            <v>8581.9264495639054</v>
          </cell>
          <cell r="CJ294">
            <v>5703.5512377040304</v>
          </cell>
          <cell r="CL294">
            <v>0</v>
          </cell>
          <cell r="CM294">
            <v>0</v>
          </cell>
          <cell r="CX294">
            <v>12783.355394011145</v>
          </cell>
          <cell r="CY294">
            <v>-15196.059107763671</v>
          </cell>
          <cell r="DA294">
            <v>88779.396744664031</v>
          </cell>
          <cell r="DC294">
            <v>46712</v>
          </cell>
          <cell r="DD294">
            <v>0</v>
          </cell>
          <cell r="DE294">
            <v>11750.68</v>
          </cell>
          <cell r="DF294">
            <v>0</v>
          </cell>
          <cell r="DW294">
            <v>1206</v>
          </cell>
          <cell r="DX294">
            <v>0</v>
          </cell>
        </row>
        <row r="295">
          <cell r="F295">
            <v>3569.1</v>
          </cell>
          <cell r="G295">
            <v>0</v>
          </cell>
          <cell r="H295">
            <v>101</v>
          </cell>
          <cell r="I295">
            <v>9718.5608232859504</v>
          </cell>
          <cell r="J295">
            <v>9708.7558929052157</v>
          </cell>
          <cell r="L295">
            <v>1925.8605455538413</v>
          </cell>
          <cell r="M295">
            <v>2050.5362984435287</v>
          </cell>
          <cell r="O295">
            <v>4666.0778054885977</v>
          </cell>
          <cell r="P295">
            <v>4681.122953145893</v>
          </cell>
          <cell r="R295">
            <v>1177.4885555677317</v>
          </cell>
          <cell r="S295">
            <v>1181.692163755507</v>
          </cell>
          <cell r="U295">
            <v>0</v>
          </cell>
          <cell r="V295">
            <v>0</v>
          </cell>
          <cell r="X295">
            <v>4081.4400184684355</v>
          </cell>
          <cell r="Y295">
            <v>3793.4685989662121</v>
          </cell>
          <cell r="AA295">
            <v>0</v>
          </cell>
          <cell r="AB295">
            <v>0</v>
          </cell>
          <cell r="AD295">
            <v>13302.914488089118</v>
          </cell>
          <cell r="AE295">
            <v>12982.164567129701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2415.0088403598274</v>
          </cell>
          <cell r="AQ295">
            <v>2590.7534368323945</v>
          </cell>
          <cell r="AS295">
            <v>28161.987264880096</v>
          </cell>
          <cell r="AT295">
            <v>38777.150972310017</v>
          </cell>
          <cell r="AV295">
            <v>1618.9339452512725</v>
          </cell>
          <cell r="AW295">
            <v>0</v>
          </cell>
          <cell r="AY295">
            <v>2514.0959226499845</v>
          </cell>
          <cell r="AZ295">
            <v>0</v>
          </cell>
          <cell r="BB295">
            <v>1961.5900383809781</v>
          </cell>
          <cell r="BC295">
            <v>0</v>
          </cell>
          <cell r="BE295">
            <v>997.51324423310234</v>
          </cell>
          <cell r="BF295">
            <v>705.11426222136083</v>
          </cell>
          <cell r="BH295">
            <v>0</v>
          </cell>
          <cell r="BI295">
            <v>0</v>
          </cell>
          <cell r="BK295">
            <v>1122.62951908017</v>
          </cell>
          <cell r="BL295">
            <v>1917.9951146321905</v>
          </cell>
          <cell r="BN295">
            <v>81.564258463179186</v>
          </cell>
          <cell r="BO295">
            <v>0</v>
          </cell>
          <cell r="BT295">
            <v>36954.035613295113</v>
          </cell>
          <cell r="BU295">
            <v>54316.336187311215</v>
          </cell>
          <cell r="BW295">
            <v>17810.30244284336</v>
          </cell>
          <cell r="BX295">
            <v>19656.885579277965</v>
          </cell>
          <cell r="BZ295">
            <v>5522.7242470750662</v>
          </cell>
          <cell r="CA295">
            <v>309.03844606059079</v>
          </cell>
          <cell r="CC295">
            <v>2136.8017931124305</v>
          </cell>
          <cell r="CD295">
            <v>2140.9264526635507</v>
          </cell>
          <cell r="CF295">
            <v>265.06065448557013</v>
          </cell>
          <cell r="CG295">
            <v>0</v>
          </cell>
          <cell r="CI295">
            <v>12994.238208777431</v>
          </cell>
          <cell r="CJ295">
            <v>8161.5301888749163</v>
          </cell>
          <cell r="CL295">
            <v>0</v>
          </cell>
          <cell r="CM295">
            <v>0</v>
          </cell>
          <cell r="CX295">
            <v>8964.8703367664239</v>
          </cell>
          <cell r="CY295">
            <v>-7288.7011254603349</v>
          </cell>
          <cell r="DA295">
            <v>29308.031276678743</v>
          </cell>
          <cell r="DC295">
            <v>46517.16</v>
          </cell>
          <cell r="DD295">
            <v>8815.2800000000007</v>
          </cell>
          <cell r="DE295">
            <v>22684.840000000004</v>
          </cell>
          <cell r="DF295">
            <v>8219.380000000001</v>
          </cell>
          <cell r="DW295">
            <v>909</v>
          </cell>
          <cell r="DX295">
            <v>0</v>
          </cell>
        </row>
        <row r="296">
          <cell r="F296">
            <v>2783.5</v>
          </cell>
          <cell r="G296">
            <v>0</v>
          </cell>
          <cell r="H296">
            <v>719.8</v>
          </cell>
          <cell r="I296">
            <v>10618.095871986658</v>
          </cell>
          <cell r="J296">
            <v>10705.444969762848</v>
          </cell>
          <cell r="L296">
            <v>2132.8610365624845</v>
          </cell>
          <cell r="M296">
            <v>2215.3990737249819</v>
          </cell>
          <cell r="O296">
            <v>4095.7514221536671</v>
          </cell>
          <cell r="P296">
            <v>4109.3853566529842</v>
          </cell>
          <cell r="R296">
            <v>0</v>
          </cell>
          <cell r="S296">
            <v>0</v>
          </cell>
          <cell r="U296">
            <v>224.52235870250053</v>
          </cell>
          <cell r="V296">
            <v>129.5335090367922</v>
          </cell>
          <cell r="X296">
            <v>9101.3900815738834</v>
          </cell>
          <cell r="Y296">
            <v>9195.7449886954437</v>
          </cell>
          <cell r="AA296">
            <v>0</v>
          </cell>
          <cell r="AB296">
            <v>0</v>
          </cell>
          <cell r="AD296">
            <v>12404.216553324623</v>
          </cell>
          <cell r="AE296">
            <v>12120.582790868264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4269.9443632714128</v>
          </cell>
          <cell r="AQ296">
            <v>4051.0056520987778</v>
          </cell>
          <cell r="AS296">
            <v>36237.766900632065</v>
          </cell>
          <cell r="AT296">
            <v>10296.485132126058</v>
          </cell>
          <cell r="AV296">
            <v>1836.9330889442845</v>
          </cell>
          <cell r="AW296">
            <v>0</v>
          </cell>
          <cell r="AY296">
            <v>2621.8126995408438</v>
          </cell>
          <cell r="AZ296">
            <v>0</v>
          </cell>
          <cell r="BB296">
            <v>1868.0189978220867</v>
          </cell>
          <cell r="BC296">
            <v>0</v>
          </cell>
          <cell r="BE296">
            <v>0</v>
          </cell>
          <cell r="BF296">
            <v>0</v>
          </cell>
          <cell r="BH296">
            <v>132.32770556571961</v>
          </cell>
          <cell r="BI296">
            <v>2242.0233663846593</v>
          </cell>
          <cell r="BK296">
            <v>1814.8467226008709</v>
          </cell>
          <cell r="BL296">
            <v>1454.734679519712</v>
          </cell>
          <cell r="BN296">
            <v>23.245813662006071</v>
          </cell>
          <cell r="BO296">
            <v>0</v>
          </cell>
          <cell r="BT296">
            <v>32073.552847079445</v>
          </cell>
          <cell r="BU296">
            <v>58363.10352840733</v>
          </cell>
          <cell r="BW296">
            <v>23281.264018368267</v>
          </cell>
          <cell r="BX296">
            <v>26756.006836260458</v>
          </cell>
          <cell r="BZ296">
            <v>13662.471182533216</v>
          </cell>
          <cell r="CA296">
            <v>316.14216466917367</v>
          </cell>
          <cell r="CC296">
            <v>1890.5415384767407</v>
          </cell>
          <cell r="CD296">
            <v>1894.1908428898137</v>
          </cell>
          <cell r="CF296">
            <v>234.51317718659135</v>
          </cell>
          <cell r="CG296">
            <v>0</v>
          </cell>
          <cell r="CI296">
            <v>6452.6778088449591</v>
          </cell>
          <cell r="CJ296">
            <v>6326.0109670105039</v>
          </cell>
          <cell r="CL296">
            <v>0</v>
          </cell>
          <cell r="CM296">
            <v>0</v>
          </cell>
          <cell r="CX296">
            <v>10082.391008091492</v>
          </cell>
          <cell r="CY296">
            <v>27843.543404960954</v>
          </cell>
          <cell r="DA296">
            <v>-20920.932944908825</v>
          </cell>
          <cell r="DC296">
            <v>74999.960000000006</v>
          </cell>
          <cell r="DD296">
            <v>35479.22</v>
          </cell>
          <cell r="DE296">
            <v>52766.740000000005</v>
          </cell>
          <cell r="DF296">
            <v>30661.700000000004</v>
          </cell>
          <cell r="DW296">
            <v>1062</v>
          </cell>
          <cell r="DX296">
            <v>0</v>
          </cell>
        </row>
        <row r="297">
          <cell r="F297">
            <v>1076.2</v>
          </cell>
          <cell r="G297">
            <v>0</v>
          </cell>
          <cell r="H297">
            <v>133.5</v>
          </cell>
          <cell r="I297">
            <v>6649.4519407930184</v>
          </cell>
          <cell r="J297">
            <v>6693.8332050701583</v>
          </cell>
          <cell r="L297">
            <v>1613.7780863130076</v>
          </cell>
          <cell r="M297">
            <v>1678.5444526524584</v>
          </cell>
          <cell r="O297">
            <v>1487.0593742420872</v>
          </cell>
          <cell r="P297">
            <v>1491.9944290267586</v>
          </cell>
          <cell r="R297">
            <v>358.47993636133612</v>
          </cell>
          <cell r="S297">
            <v>359.50835406456434</v>
          </cell>
          <cell r="U297">
            <v>112.26117935125026</v>
          </cell>
          <cell r="V297">
            <v>64.766754518396098</v>
          </cell>
          <cell r="X297">
            <v>2560.5893434697937</v>
          </cell>
          <cell r="Y297">
            <v>2299.0247463855476</v>
          </cell>
          <cell r="AA297">
            <v>0</v>
          </cell>
          <cell r="AB297">
            <v>0</v>
          </cell>
          <cell r="AD297">
            <v>4386.787954235685</v>
          </cell>
          <cell r="AE297">
            <v>4378.183489599558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874.39975254407523</v>
          </cell>
          <cell r="AQ297">
            <v>0</v>
          </cell>
          <cell r="AS297">
            <v>11113.959485751784</v>
          </cell>
          <cell r="AT297">
            <v>0</v>
          </cell>
          <cell r="AV297">
            <v>1218.8680388744015</v>
          </cell>
          <cell r="AW297">
            <v>3586.6332820377033</v>
          </cell>
          <cell r="AY297">
            <v>1916.2988313197484</v>
          </cell>
          <cell r="AZ297">
            <v>0</v>
          </cell>
          <cell r="BB297">
            <v>773.20390850160993</v>
          </cell>
          <cell r="BC297">
            <v>0</v>
          </cell>
          <cell r="BE297">
            <v>320.86078363657521</v>
          </cell>
          <cell r="BF297">
            <v>0</v>
          </cell>
          <cell r="BH297">
            <v>66.163852782859806</v>
          </cell>
          <cell r="BI297">
            <v>0</v>
          </cell>
          <cell r="BK297">
            <v>385.40432700513554</v>
          </cell>
          <cell r="BL297">
            <v>623.31079377806623</v>
          </cell>
          <cell r="BN297">
            <v>11.418996184845088</v>
          </cell>
          <cell r="BO297">
            <v>0</v>
          </cell>
          <cell r="BT297">
            <v>17470.654828401046</v>
          </cell>
          <cell r="BU297">
            <v>33571.682142931109</v>
          </cell>
          <cell r="BW297">
            <v>7064.8909863620393</v>
          </cell>
          <cell r="BX297">
            <v>8561.7280335895612</v>
          </cell>
          <cell r="BZ297">
            <v>4913.4631263793372</v>
          </cell>
          <cell r="CA297">
            <v>198.87238152661507</v>
          </cell>
          <cell r="CC297">
            <v>798.99366472306201</v>
          </cell>
          <cell r="CD297">
            <v>800.53595884744323</v>
          </cell>
          <cell r="CF297">
            <v>99.111571500902386</v>
          </cell>
          <cell r="CG297">
            <v>0</v>
          </cell>
          <cell r="CI297">
            <v>1119.0182798800649</v>
          </cell>
          <cell r="CJ297">
            <v>960.66258233021051</v>
          </cell>
          <cell r="CL297">
            <v>0</v>
          </cell>
          <cell r="CM297">
            <v>0</v>
          </cell>
          <cell r="CX297">
            <v>2179.1744124714396</v>
          </cell>
          <cell r="CY297">
            <v>2234.179583178051</v>
          </cell>
          <cell r="DA297">
            <v>63746.345920015789</v>
          </cell>
          <cell r="DC297">
            <v>27721</v>
          </cell>
          <cell r="DD297">
            <v>760.21</v>
          </cell>
          <cell r="DE297">
            <v>18294.14</v>
          </cell>
          <cell r="DF297">
            <v>-271.92000000000007</v>
          </cell>
          <cell r="DW297">
            <v>918</v>
          </cell>
          <cell r="DX297">
            <v>0</v>
          </cell>
        </row>
        <row r="298">
          <cell r="F298">
            <v>3519.5</v>
          </cell>
          <cell r="G298">
            <v>0</v>
          </cell>
          <cell r="H298">
            <v>1365.8</v>
          </cell>
          <cell r="I298">
            <v>12528.744576445353</v>
          </cell>
          <cell r="J298">
            <v>12659.137798187519</v>
          </cell>
          <cell r="L298">
            <v>2516.7626456932221</v>
          </cell>
          <cell r="M298">
            <v>2608.5362109949933</v>
          </cell>
          <cell r="O298">
            <v>4836.6616471135385</v>
          </cell>
          <cell r="P298">
            <v>4852.7150671370582</v>
          </cell>
          <cell r="R298">
            <v>0</v>
          </cell>
          <cell r="S298">
            <v>0</v>
          </cell>
          <cell r="U298">
            <v>679.80380829368221</v>
          </cell>
          <cell r="V298">
            <v>392.19868013917642</v>
          </cell>
          <cell r="X298">
            <v>12334.507824018176</v>
          </cell>
          <cell r="Y298">
            <v>12477.764979350939</v>
          </cell>
          <cell r="AA298">
            <v>0</v>
          </cell>
          <cell r="AB298">
            <v>0</v>
          </cell>
          <cell r="AD298">
            <v>16555.452251651433</v>
          </cell>
          <cell r="AE298">
            <v>15501.509153191646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7869.59777289668</v>
          </cell>
          <cell r="AQ298">
            <v>8803.7892820023008</v>
          </cell>
          <cell r="AS298">
            <v>41468.595906125069</v>
          </cell>
          <cell r="AT298">
            <v>924.30260662468334</v>
          </cell>
          <cell r="AV298">
            <v>2169.8541888236432</v>
          </cell>
          <cell r="AW298">
            <v>0</v>
          </cell>
          <cell r="AY298">
            <v>3015.2950770790312</v>
          </cell>
          <cell r="AZ298">
            <v>2569.439246533032</v>
          </cell>
          <cell r="BB298">
            <v>2083.1463296697129</v>
          </cell>
          <cell r="BC298">
            <v>0</v>
          </cell>
          <cell r="BE298">
            <v>0</v>
          </cell>
          <cell r="BF298">
            <v>0</v>
          </cell>
          <cell r="BH298">
            <v>400.65888629620662</v>
          </cell>
          <cell r="BI298">
            <v>0</v>
          </cell>
          <cell r="BK298">
            <v>1095.4948054314491</v>
          </cell>
          <cell r="BL298">
            <v>2172.9093567052246</v>
          </cell>
          <cell r="BN298">
            <v>50.036535480296465</v>
          </cell>
          <cell r="BO298">
            <v>0</v>
          </cell>
          <cell r="BT298">
            <v>65155.516256027811</v>
          </cell>
          <cell r="BU298">
            <v>87640.419172653696</v>
          </cell>
          <cell r="BW298">
            <v>26807.199589133023</v>
          </cell>
          <cell r="BX298">
            <v>27150.260910713088</v>
          </cell>
          <cell r="BZ298">
            <v>14502.603937903386</v>
          </cell>
          <cell r="CA298">
            <v>556.79246532776472</v>
          </cell>
          <cell r="CC298">
            <v>1018.9283982271963</v>
          </cell>
          <cell r="CD298">
            <v>1020.8952314464508</v>
          </cell>
          <cell r="CF298">
            <v>126.39348627400926</v>
          </cell>
          <cell r="CG298">
            <v>550.8838597318088</v>
          </cell>
          <cell r="CI298">
            <v>4194.2110231156357</v>
          </cell>
          <cell r="CJ298">
            <v>11749.022968440768</v>
          </cell>
          <cell r="CL298">
            <v>0</v>
          </cell>
          <cell r="CM298">
            <v>0</v>
          </cell>
          <cell r="CX298">
            <v>13786.65268939455</v>
          </cell>
          <cell r="CY298">
            <v>47121.31823721659</v>
          </cell>
          <cell r="DA298">
            <v>-117588.20453689784</v>
          </cell>
          <cell r="DC298">
            <v>97790.52</v>
          </cell>
          <cell r="DD298">
            <v>2089.23</v>
          </cell>
          <cell r="DE298">
            <v>69607.08</v>
          </cell>
          <cell r="DF298">
            <v>-7001.6200000000008</v>
          </cell>
          <cell r="DW298">
            <v>1062</v>
          </cell>
          <cell r="DX298">
            <v>0</v>
          </cell>
        </row>
        <row r="299">
          <cell r="F299">
            <v>2279.1</v>
          </cell>
          <cell r="G299">
            <v>0</v>
          </cell>
          <cell r="H299">
            <v>1000.1999999999998</v>
          </cell>
          <cell r="I299">
            <v>9497.3247015081597</v>
          </cell>
          <cell r="J299">
            <v>9591.6650913646426</v>
          </cell>
          <cell r="L299">
            <v>2018.9199713258868</v>
          </cell>
          <cell r="M299">
            <v>2093.6543471770892</v>
          </cell>
          <cell r="O299">
            <v>3648.7305134157937</v>
          </cell>
          <cell r="P299">
            <v>3661.3261544727661</v>
          </cell>
          <cell r="R299">
            <v>1049.1980958121433</v>
          </cell>
          <cell r="S299">
            <v>1052.7316798022562</v>
          </cell>
          <cell r="U299">
            <v>224.52235870250053</v>
          </cell>
          <cell r="V299">
            <v>129.5335090367922</v>
          </cell>
          <cell r="X299">
            <v>8674.8632544077627</v>
          </cell>
          <cell r="Y299">
            <v>8549.873023930837</v>
          </cell>
          <cell r="AA299">
            <v>0</v>
          </cell>
          <cell r="AB299">
            <v>0</v>
          </cell>
          <cell r="AD299">
            <v>12012.229776950029</v>
          </cell>
          <cell r="AE299">
            <v>11595.265758378009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1623.8852547247116</v>
          </cell>
          <cell r="AQ299">
            <v>1836.5881278496463</v>
          </cell>
          <cell r="AS299">
            <v>35847.1499020958</v>
          </cell>
          <cell r="AT299">
            <v>5677.8465508607542</v>
          </cell>
          <cell r="AV299">
            <v>1692.3740969824776</v>
          </cell>
          <cell r="AW299">
            <v>0</v>
          </cell>
          <cell r="AY299">
            <v>2635.4067990115554</v>
          </cell>
          <cell r="AZ299">
            <v>0</v>
          </cell>
          <cell r="BB299">
            <v>2062.5355379234566</v>
          </cell>
          <cell r="BC299">
            <v>997.74700148929367</v>
          </cell>
          <cell r="BE299">
            <v>1068.9279154588687</v>
          </cell>
          <cell r="BF299">
            <v>0</v>
          </cell>
          <cell r="BH299">
            <v>132.32770556571961</v>
          </cell>
          <cell r="BI299">
            <v>0</v>
          </cell>
          <cell r="BK299">
            <v>1624.7019625376386</v>
          </cell>
          <cell r="BL299">
            <v>0</v>
          </cell>
          <cell r="BN299">
            <v>134.5182847269663</v>
          </cell>
          <cell r="BO299">
            <v>0</v>
          </cell>
          <cell r="BT299">
            <v>43648.687726921977</v>
          </cell>
          <cell r="BU299">
            <v>68634.445345582149</v>
          </cell>
          <cell r="BW299">
            <v>24471.851911387079</v>
          </cell>
          <cell r="BX299">
            <v>27713.416194018024</v>
          </cell>
          <cell r="BZ299">
            <v>20883.560562574407</v>
          </cell>
          <cell r="CA299">
            <v>411.97695649826949</v>
          </cell>
          <cell r="CC299">
            <v>948.43649646305107</v>
          </cell>
          <cell r="CD299">
            <v>950.26725945958947</v>
          </cell>
          <cell r="CF299">
            <v>117.64928282109041</v>
          </cell>
          <cell r="CG299">
            <v>0</v>
          </cell>
          <cell r="CI299">
            <v>4859.5080520391639</v>
          </cell>
          <cell r="CJ299">
            <v>3596.6461589700339</v>
          </cell>
          <cell r="CL299">
            <v>0</v>
          </cell>
          <cell r="CM299">
            <v>0</v>
          </cell>
          <cell r="CX299">
            <v>3011.594524809736</v>
          </cell>
          <cell r="CY299">
            <v>41872.786930169023</v>
          </cell>
          <cell r="DA299">
            <v>13311.26341029325</v>
          </cell>
          <cell r="DC299">
            <v>94537.73</v>
          </cell>
          <cell r="DD299">
            <v>28250.79</v>
          </cell>
          <cell r="DE299">
            <v>73644.98</v>
          </cell>
          <cell r="DF299">
            <v>20766.89</v>
          </cell>
          <cell r="DW299">
            <v>1062</v>
          </cell>
          <cell r="DX299">
            <v>0</v>
          </cell>
        </row>
        <row r="300">
          <cell r="F300">
            <v>3007.56</v>
          </cell>
          <cell r="G300">
            <v>0</v>
          </cell>
          <cell r="H300">
            <v>964.30000000000007</v>
          </cell>
          <cell r="I300">
            <v>9279.0893053018226</v>
          </cell>
          <cell r="J300">
            <v>9394.3057951409646</v>
          </cell>
          <cell r="L300">
            <v>1776.1336880099925</v>
          </cell>
          <cell r="M300">
            <v>1844.5266761898924</v>
          </cell>
          <cell r="O300">
            <v>4100.8765910709353</v>
          </cell>
          <cell r="P300">
            <v>4114.6967625308089</v>
          </cell>
          <cell r="R300">
            <v>0</v>
          </cell>
          <cell r="S300">
            <v>0</v>
          </cell>
          <cell r="U300">
            <v>196.45706386468794</v>
          </cell>
          <cell r="V300">
            <v>113.34182040719315</v>
          </cell>
          <cell r="X300">
            <v>11948.241283372243</v>
          </cell>
          <cell r="Y300">
            <v>11954.871024006585</v>
          </cell>
          <cell r="AA300">
            <v>0</v>
          </cell>
          <cell r="AB300">
            <v>0</v>
          </cell>
          <cell r="AD300">
            <v>14400.159409662616</v>
          </cell>
          <cell r="AE300">
            <v>14090.081665739486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6495.5410188988462</v>
          </cell>
          <cell r="AQ300">
            <v>4185.0841191641775</v>
          </cell>
          <cell r="AS300">
            <v>40501.604521412868</v>
          </cell>
          <cell r="AT300">
            <v>345.61474558345043</v>
          </cell>
          <cell r="AV300">
            <v>1533.6747212562154</v>
          </cell>
          <cell r="AW300">
            <v>4503.4950019932257</v>
          </cell>
          <cell r="AY300">
            <v>2090.1965791971465</v>
          </cell>
          <cell r="AZ300">
            <v>5124.8656019659602</v>
          </cell>
          <cell r="BB300">
            <v>2525.9807596570499</v>
          </cell>
          <cell r="BC300">
            <v>0</v>
          </cell>
          <cell r="BE300">
            <v>0</v>
          </cell>
          <cell r="BF300">
            <v>0</v>
          </cell>
          <cell r="BH300">
            <v>115.78674237000469</v>
          </cell>
          <cell r="BI300">
            <v>0</v>
          </cell>
          <cell r="BK300">
            <v>2304.3981698089851</v>
          </cell>
          <cell r="BL300">
            <v>0</v>
          </cell>
          <cell r="BN300">
            <v>78.615396811048868</v>
          </cell>
          <cell r="BO300">
            <v>0</v>
          </cell>
          <cell r="BT300">
            <v>46326.820330784547</v>
          </cell>
          <cell r="BU300">
            <v>63868.061647981842</v>
          </cell>
          <cell r="BW300">
            <v>34574.410129383105</v>
          </cell>
          <cell r="BX300">
            <v>33410.025131783892</v>
          </cell>
          <cell r="BZ300">
            <v>16871.541991745326</v>
          </cell>
          <cell r="CA300">
            <v>448.77726401919006</v>
          </cell>
          <cell r="CC300">
            <v>717.7357270531196</v>
          </cell>
          <cell r="CD300">
            <v>719.12116932077038</v>
          </cell>
          <cell r="CF300">
            <v>89.031889702446776</v>
          </cell>
          <cell r="CG300">
            <v>0</v>
          </cell>
          <cell r="CI300">
            <v>3337.8777534426335</v>
          </cell>
          <cell r="CJ300">
            <v>3418.042218018044</v>
          </cell>
          <cell r="CL300">
            <v>0</v>
          </cell>
          <cell r="CM300">
            <v>0</v>
          </cell>
          <cell r="CX300">
            <v>7224.392098018141</v>
          </cell>
          <cell r="CY300">
            <v>57299.507012770337</v>
          </cell>
          <cell r="DA300">
            <v>30269.984925597004</v>
          </cell>
          <cell r="DC300">
            <v>143674.12</v>
          </cell>
          <cell r="DD300">
            <v>50667.08</v>
          </cell>
          <cell r="DE300">
            <v>118010.87999999999</v>
          </cell>
          <cell r="DF300">
            <v>44113.120000000003</v>
          </cell>
          <cell r="DW300">
            <v>1062</v>
          </cell>
          <cell r="DX300">
            <v>0</v>
          </cell>
        </row>
        <row r="301">
          <cell r="F301">
            <v>6585.58</v>
          </cell>
          <cell r="G301">
            <v>0</v>
          </cell>
          <cell r="H301">
            <v>2551.4</v>
          </cell>
          <cell r="I301">
            <v>24535.492662106379</v>
          </cell>
          <cell r="J301">
            <v>24863.613598804277</v>
          </cell>
          <cell r="L301">
            <v>5171.224646459098</v>
          </cell>
          <cell r="M301">
            <v>5389.8829460502247</v>
          </cell>
          <cell r="O301">
            <v>11051.035326576308</v>
          </cell>
          <cell r="P301">
            <v>11087.897887624184</v>
          </cell>
          <cell r="R301">
            <v>0</v>
          </cell>
          <cell r="S301">
            <v>0</v>
          </cell>
          <cell r="U301">
            <v>514.53040535989714</v>
          </cell>
          <cell r="V301">
            <v>296.84762487598215</v>
          </cell>
          <cell r="X301">
            <v>25403.815540401651</v>
          </cell>
          <cell r="Y301">
            <v>25761.268587627881</v>
          </cell>
          <cell r="AA301">
            <v>0</v>
          </cell>
          <cell r="AB301">
            <v>0</v>
          </cell>
          <cell r="AD301">
            <v>33006.355039745118</v>
          </cell>
          <cell r="AE301">
            <v>32320.093082778149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20111.194308513739</v>
          </cell>
          <cell r="AQ301">
            <v>12198.945417321462</v>
          </cell>
          <cell r="AS301">
            <v>99100.39815660569</v>
          </cell>
          <cell r="AT301">
            <v>5686.5088945296902</v>
          </cell>
          <cell r="AV301">
            <v>4308.8222760729377</v>
          </cell>
          <cell r="AW301">
            <v>489.07359764550097</v>
          </cell>
          <cell r="AY301">
            <v>6412.2858886620406</v>
          </cell>
          <cell r="AZ301">
            <v>2763.9000575951236</v>
          </cell>
          <cell r="BB301">
            <v>5511.0835575533911</v>
          </cell>
          <cell r="BC301">
            <v>1973.6124658973918</v>
          </cell>
          <cell r="BE301">
            <v>0</v>
          </cell>
          <cell r="BF301">
            <v>963</v>
          </cell>
          <cell r="BH301">
            <v>303.2509919214408</v>
          </cell>
          <cell r="BI301">
            <v>1112.3865532248451</v>
          </cell>
          <cell r="BK301">
            <v>4667.3121081132713</v>
          </cell>
          <cell r="BL301">
            <v>203.25860468921985</v>
          </cell>
          <cell r="BN301">
            <v>229.6033875738494</v>
          </cell>
          <cell r="BO301">
            <v>0</v>
          </cell>
          <cell r="BT301">
            <v>71083.795812717741</v>
          </cell>
          <cell r="BU301">
            <v>120932.00910438781</v>
          </cell>
          <cell r="BW301">
            <v>47848.026943356483</v>
          </cell>
          <cell r="BX301">
            <v>56814.826740176526</v>
          </cell>
          <cell r="BZ301">
            <v>24623.041371784922</v>
          </cell>
          <cell r="CA301">
            <v>531.98290085622921</v>
          </cell>
          <cell r="CC301">
            <v>792.07264164076412</v>
          </cell>
          <cell r="CD301">
            <v>793.60157614327863</v>
          </cell>
          <cell r="CF301">
            <v>98.253049707343067</v>
          </cell>
          <cell r="CG301">
            <v>0</v>
          </cell>
          <cell r="CI301">
            <v>10762.753305006283</v>
          </cell>
          <cell r="CJ301">
            <v>3754.6003573694688</v>
          </cell>
          <cell r="CL301">
            <v>0</v>
          </cell>
          <cell r="CM301">
            <v>0</v>
          </cell>
          <cell r="CX301">
            <v>15433.368875546588</v>
          </cell>
          <cell r="CY301">
            <v>120549.81378228398</v>
          </cell>
          <cell r="DA301">
            <v>8712.4256204977864</v>
          </cell>
          <cell r="DC301">
            <v>126272.96000000001</v>
          </cell>
          <cell r="DD301">
            <v>13239.15</v>
          </cell>
          <cell r="DE301">
            <v>77915.510000000009</v>
          </cell>
          <cell r="DF301">
            <v>-2650.7299999999996</v>
          </cell>
          <cell r="DW301">
            <v>2115</v>
          </cell>
          <cell r="DX301">
            <v>0</v>
          </cell>
        </row>
        <row r="302">
          <cell r="F302">
            <v>2467.7199999999998</v>
          </cell>
          <cell r="G302">
            <v>0</v>
          </cell>
          <cell r="H302">
            <v>140.6</v>
          </cell>
          <cell r="I302">
            <v>7901.9572658625739</v>
          </cell>
          <cell r="J302">
            <v>8000.7312023884342</v>
          </cell>
          <cell r="L302">
            <v>1480.0860629928402</v>
          </cell>
          <cell r="M302">
            <v>1539.018933861088</v>
          </cell>
          <cell r="O302">
            <v>3140.2513706188847</v>
          </cell>
          <cell r="P302">
            <v>3150.9860041602292</v>
          </cell>
          <cell r="R302">
            <v>0</v>
          </cell>
          <cell r="S302">
            <v>0</v>
          </cell>
          <cell r="U302">
            <v>187.10196558541708</v>
          </cell>
          <cell r="V302">
            <v>107.9445908639935</v>
          </cell>
          <cell r="X302">
            <v>4608.9951022249134</v>
          </cell>
          <cell r="Y302">
            <v>4415.9729553685847</v>
          </cell>
          <cell r="AA302">
            <v>0</v>
          </cell>
          <cell r="AB302">
            <v>0</v>
          </cell>
          <cell r="AD302">
            <v>9457.5988318510845</v>
          </cell>
          <cell r="AE302">
            <v>9229.3914678136953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7245.0265210794823</v>
          </cell>
          <cell r="AQ302">
            <v>3734.267872903979</v>
          </cell>
          <cell r="AS302">
            <v>25788.014843308607</v>
          </cell>
          <cell r="AT302">
            <v>8602.9557850862566</v>
          </cell>
          <cell r="AV302">
            <v>1270.3478312347697</v>
          </cell>
          <cell r="AW302">
            <v>316.54139948112498</v>
          </cell>
          <cell r="AY302">
            <v>1824.9729969718178</v>
          </cell>
          <cell r="AZ302">
            <v>0</v>
          </cell>
          <cell r="BB302">
            <v>1641.2518645331816</v>
          </cell>
          <cell r="BC302">
            <v>0</v>
          </cell>
          <cell r="BE302">
            <v>0</v>
          </cell>
          <cell r="BF302">
            <v>0</v>
          </cell>
          <cell r="BH302">
            <v>110.27308797143304</v>
          </cell>
          <cell r="BI302">
            <v>480.46762398767237</v>
          </cell>
          <cell r="BK302">
            <v>808.16196789893093</v>
          </cell>
          <cell r="BL302">
            <v>0</v>
          </cell>
          <cell r="BN302">
            <v>119.77397646631468</v>
          </cell>
          <cell r="BO302">
            <v>0</v>
          </cell>
          <cell r="BT302">
            <v>30892.247989611886</v>
          </cell>
          <cell r="BU302">
            <v>47469.525969294002</v>
          </cell>
          <cell r="BW302">
            <v>11560.452924591877</v>
          </cell>
          <cell r="BX302">
            <v>13430.417185672901</v>
          </cell>
          <cell r="BZ302">
            <v>8381.1889170242212</v>
          </cell>
          <cell r="CA302">
            <v>290.89024070017695</v>
          </cell>
          <cell r="CC302">
            <v>594.69531670115634</v>
          </cell>
          <cell r="CD302">
            <v>595.84325458006674</v>
          </cell>
          <cell r="CF302">
            <v>73.769280039170198</v>
          </cell>
          <cell r="CG302">
            <v>0</v>
          </cell>
          <cell r="CI302">
            <v>5135.5556334969397</v>
          </cell>
          <cell r="CJ302">
            <v>3157.4814284255554</v>
          </cell>
          <cell r="CL302">
            <v>0</v>
          </cell>
          <cell r="CM302">
            <v>0</v>
          </cell>
          <cell r="CX302">
            <v>3950.798624026037</v>
          </cell>
          <cell r="CY302">
            <v>25189.944026599351</v>
          </cell>
          <cell r="DA302">
            <v>24470.564432663159</v>
          </cell>
          <cell r="DC302">
            <v>22798.54</v>
          </cell>
          <cell r="DD302">
            <v>5575.8899999999994</v>
          </cell>
          <cell r="DE302">
            <v>4105.0600000000013</v>
          </cell>
          <cell r="DF302">
            <v>4611.1699999999992</v>
          </cell>
          <cell r="DW302">
            <v>1062</v>
          </cell>
          <cell r="DX302">
            <v>0</v>
          </cell>
        </row>
        <row r="303">
          <cell r="F303">
            <v>2004.8</v>
          </cell>
          <cell r="G303">
            <v>0</v>
          </cell>
          <cell r="H303">
            <v>595.4</v>
          </cell>
          <cell r="I303">
            <v>7180.1663408163286</v>
          </cell>
          <cell r="J303">
            <v>7263.8602991241441</v>
          </cell>
          <cell r="L303">
            <v>1553.0896341947673</v>
          </cell>
          <cell r="M303">
            <v>1608.3439667580351</v>
          </cell>
          <cell r="O303">
            <v>2841.6767131001084</v>
          </cell>
          <cell r="P303">
            <v>2851.0512769474831</v>
          </cell>
          <cell r="R303">
            <v>645.27658264003867</v>
          </cell>
          <cell r="S303">
            <v>647.42692909477751</v>
          </cell>
          <cell r="U303">
            <v>489.984085601385</v>
          </cell>
          <cell r="V303">
            <v>968.41392593475405</v>
          </cell>
          <cell r="X303">
            <v>4357.9867643099687</v>
          </cell>
          <cell r="Y303">
            <v>4084.9710535374084</v>
          </cell>
          <cell r="AA303">
            <v>0</v>
          </cell>
          <cell r="AB303">
            <v>0</v>
          </cell>
          <cell r="AD303">
            <v>9480.0023880980498</v>
          </cell>
          <cell r="AE303">
            <v>9021.7404849936447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1665.5233381791911</v>
          </cell>
          <cell r="AQ303">
            <v>2280</v>
          </cell>
          <cell r="AS303">
            <v>26304.43787377332</v>
          </cell>
          <cell r="AT303">
            <v>2005.206352052352</v>
          </cell>
          <cell r="AV303">
            <v>1217.91661388329</v>
          </cell>
          <cell r="AW303">
            <v>0</v>
          </cell>
          <cell r="AY303">
            <v>2029.237260523043</v>
          </cell>
          <cell r="AZ303">
            <v>396.50086280071275</v>
          </cell>
          <cell r="BB303">
            <v>1421.0104265611935</v>
          </cell>
          <cell r="BC303">
            <v>0</v>
          </cell>
          <cell r="BE303">
            <v>590.3640756903518</v>
          </cell>
          <cell r="BF303">
            <v>0</v>
          </cell>
          <cell r="BH303">
            <v>441.53060005519256</v>
          </cell>
          <cell r="BI303">
            <v>0</v>
          </cell>
          <cell r="BK303">
            <v>662.94918850712111</v>
          </cell>
          <cell r="BL303">
            <v>0</v>
          </cell>
          <cell r="BN303">
            <v>62.64762467344957</v>
          </cell>
          <cell r="BO303">
            <v>0</v>
          </cell>
          <cell r="BT303">
            <v>42420.033623379568</v>
          </cell>
          <cell r="BU303">
            <v>62403.550698124774</v>
          </cell>
          <cell r="BW303">
            <v>15517.580301507036</v>
          </cell>
          <cell r="BX303">
            <v>17231.802660865207</v>
          </cell>
          <cell r="BZ303">
            <v>12902.223871619211</v>
          </cell>
          <cell r="CA303">
            <v>372.17130421683419</v>
          </cell>
          <cell r="CC303">
            <v>307.60102587990832</v>
          </cell>
          <cell r="CD303">
            <v>308.19478685175869</v>
          </cell>
          <cell r="CF303">
            <v>38.15652415819148</v>
          </cell>
          <cell r="CG303">
            <v>0</v>
          </cell>
          <cell r="CI303">
            <v>4480.3307389925958</v>
          </cell>
          <cell r="CJ303">
            <v>4211.976208117585</v>
          </cell>
          <cell r="CL303">
            <v>0</v>
          </cell>
          <cell r="CM303">
            <v>0</v>
          </cell>
          <cell r="CX303">
            <v>3612.3353104021608</v>
          </cell>
          <cell r="CY303">
            <v>28757.753054470773</v>
          </cell>
          <cell r="DA303">
            <v>100775.81157737217</v>
          </cell>
          <cell r="DC303">
            <v>49438.98</v>
          </cell>
          <cell r="DD303">
            <v>5259.9</v>
          </cell>
          <cell r="DE303">
            <v>32050.550000000003</v>
          </cell>
          <cell r="DF303">
            <v>780.6299999999992</v>
          </cell>
          <cell r="DW303">
            <v>1062</v>
          </cell>
          <cell r="DX303">
            <v>0</v>
          </cell>
        </row>
        <row r="304">
          <cell r="F304">
            <v>3835.21</v>
          </cell>
          <cell r="G304">
            <v>0</v>
          </cell>
          <cell r="H304">
            <v>1191.7</v>
          </cell>
          <cell r="I304">
            <v>15425.606834317217</v>
          </cell>
          <cell r="J304">
            <v>11864.519438005009</v>
          </cell>
          <cell r="L304">
            <v>3090.6303361875648</v>
          </cell>
          <cell r="M304">
            <v>2684.481654918874</v>
          </cell>
          <cell r="O304">
            <v>6790.6109589062698</v>
          </cell>
          <cell r="P304">
            <v>6813.4325883223892</v>
          </cell>
          <cell r="R304">
            <v>0</v>
          </cell>
          <cell r="S304">
            <v>0</v>
          </cell>
          <cell r="U304">
            <v>327.4284397744799</v>
          </cell>
          <cell r="V304">
            <v>188.90303401198861</v>
          </cell>
          <cell r="X304">
            <v>12362.822100888148</v>
          </cell>
          <cell r="Y304">
            <v>10978.000829806308</v>
          </cell>
          <cell r="AA304">
            <v>0</v>
          </cell>
          <cell r="AB304">
            <v>0</v>
          </cell>
          <cell r="AD304">
            <v>18219.724505186106</v>
          </cell>
          <cell r="AE304">
            <v>17780.486293359078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11492.11103343642</v>
          </cell>
          <cell r="AQ304">
            <v>13541.947164541394</v>
          </cell>
          <cell r="AS304">
            <v>49488.295912389367</v>
          </cell>
          <cell r="AT304">
            <v>8360.6636819106898</v>
          </cell>
          <cell r="AV304">
            <v>2735.0416811778355</v>
          </cell>
          <cell r="AW304">
            <v>355.06420370318943</v>
          </cell>
          <cell r="AY304">
            <v>3495.3711892015031</v>
          </cell>
          <cell r="AZ304">
            <v>0</v>
          </cell>
          <cell r="BB304">
            <v>2544.4578931000028</v>
          </cell>
          <cell r="BC304">
            <v>0</v>
          </cell>
          <cell r="BE304">
            <v>0</v>
          </cell>
          <cell r="BF304">
            <v>0</v>
          </cell>
          <cell r="BH304">
            <v>192.97790395000783</v>
          </cell>
          <cell r="BI304">
            <v>2239.8044883595703</v>
          </cell>
          <cell r="BK304">
            <v>2375.9054469297594</v>
          </cell>
          <cell r="BL304">
            <v>0</v>
          </cell>
          <cell r="BN304">
            <v>1030.9910816439487</v>
          </cell>
          <cell r="BO304">
            <v>7232.0058500227551</v>
          </cell>
          <cell r="BT304">
            <v>40468.561997898483</v>
          </cell>
          <cell r="BU304">
            <v>79049.813647669522</v>
          </cell>
          <cell r="BW304">
            <v>21764.059529770457</v>
          </cell>
          <cell r="BX304">
            <v>24835.502600688</v>
          </cell>
          <cell r="BZ304">
            <v>19958.18115410694</v>
          </cell>
          <cell r="CA304">
            <v>262.16625779058501</v>
          </cell>
          <cell r="CC304">
            <v>82.02694023464224</v>
          </cell>
          <cell r="CD304">
            <v>82.185276493802334</v>
          </cell>
          <cell r="CF304">
            <v>10.175073108851061</v>
          </cell>
          <cell r="CG304">
            <v>0</v>
          </cell>
          <cell r="CI304">
            <v>8642.9781865867863</v>
          </cell>
          <cell r="CJ304">
            <v>3305.7659667340208</v>
          </cell>
          <cell r="CL304">
            <v>0</v>
          </cell>
          <cell r="CM304">
            <v>0</v>
          </cell>
          <cell r="CX304">
            <v>7233.5492553610102</v>
          </cell>
          <cell r="CY304">
            <v>44341.407522310197</v>
          </cell>
          <cell r="DA304">
            <v>6550.1865785155678</v>
          </cell>
          <cell r="DC304">
            <v>114306.56</v>
          </cell>
          <cell r="DD304">
            <v>-174.39000000000001</v>
          </cell>
          <cell r="DE304">
            <v>86455.66</v>
          </cell>
          <cell r="DF304">
            <v>-7743.3499999999995</v>
          </cell>
          <cell r="DW304">
            <v>918</v>
          </cell>
          <cell r="DX304">
            <v>0</v>
          </cell>
        </row>
        <row r="305">
          <cell r="F305">
            <v>2288.08</v>
          </cell>
          <cell r="G305">
            <v>0</v>
          </cell>
          <cell r="H305">
            <v>551.5</v>
          </cell>
          <cell r="I305">
            <v>7465.7206224372676</v>
          </cell>
          <cell r="J305">
            <v>5725.9020823120636</v>
          </cell>
          <cell r="L305">
            <v>1513.3300147821178</v>
          </cell>
          <cell r="M305">
            <v>1359.7049307403863</v>
          </cell>
          <cell r="O305">
            <v>4152.1297019819758</v>
          </cell>
          <cell r="P305">
            <v>4166.2231950687474</v>
          </cell>
          <cell r="R305">
            <v>0</v>
          </cell>
          <cell r="S305">
            <v>0</v>
          </cell>
          <cell r="U305">
            <v>140.32647418906288</v>
          </cell>
          <cell r="V305">
            <v>80.958443147995155</v>
          </cell>
          <cell r="X305">
            <v>4912.7791742832387</v>
          </cell>
          <cell r="Y305">
            <v>3385.1522049740861</v>
          </cell>
          <cell r="AA305">
            <v>0</v>
          </cell>
          <cell r="AB305">
            <v>0</v>
          </cell>
          <cell r="AD305">
            <v>10295.234743716101</v>
          </cell>
          <cell r="AE305">
            <v>10046.862764022293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6120.7982678085282</v>
          </cell>
          <cell r="AQ305">
            <v>7000.3169258665312</v>
          </cell>
          <cell r="AS305">
            <v>21871.256854819349</v>
          </cell>
          <cell r="AT305">
            <v>1253.4627365764745</v>
          </cell>
          <cell r="AV305">
            <v>1335.0180132504388</v>
          </cell>
          <cell r="AW305">
            <v>0</v>
          </cell>
          <cell r="AY305">
            <v>1925.989645726097</v>
          </cell>
          <cell r="AZ305">
            <v>5576.3083022952242</v>
          </cell>
          <cell r="BB305">
            <v>1494.7156445606101</v>
          </cell>
          <cell r="BC305">
            <v>0</v>
          </cell>
          <cell r="BE305">
            <v>0</v>
          </cell>
          <cell r="BF305">
            <v>0</v>
          </cell>
          <cell r="BH305">
            <v>82.704815978574771</v>
          </cell>
          <cell r="BI305">
            <v>0</v>
          </cell>
          <cell r="BK305">
            <v>964.65372575782339</v>
          </cell>
          <cell r="BL305">
            <v>0</v>
          </cell>
          <cell r="BN305">
            <v>506.17755838682035</v>
          </cell>
          <cell r="BO305">
            <v>3392.7069499238742</v>
          </cell>
          <cell r="BT305">
            <v>13973.634239241068</v>
          </cell>
          <cell r="BU305">
            <v>32202.734942690564</v>
          </cell>
          <cell r="BW305">
            <v>11957.934286728903</v>
          </cell>
          <cell r="BX305">
            <v>14791.200276813366</v>
          </cell>
          <cell r="BZ305">
            <v>10239.030926018009</v>
          </cell>
          <cell r="CA305">
            <v>106.84139842320465</v>
          </cell>
          <cell r="CC305">
            <v>602.38534234815393</v>
          </cell>
          <cell r="CD305">
            <v>603.54812425136072</v>
          </cell>
          <cell r="CF305">
            <v>74.723193143124988</v>
          </cell>
          <cell r="CG305">
            <v>0</v>
          </cell>
          <cell r="CI305">
            <v>2569.3213632939419</v>
          </cell>
          <cell r="CJ305">
            <v>1060.395939736557</v>
          </cell>
          <cell r="CL305">
            <v>0</v>
          </cell>
          <cell r="CM305">
            <v>0</v>
          </cell>
          <cell r="CX305">
            <v>6099.6485410582272</v>
          </cell>
          <cell r="CY305">
            <v>19834.303010988402</v>
          </cell>
          <cell r="DA305">
            <v>2043.6105227544031</v>
          </cell>
          <cell r="DC305">
            <v>30359.62</v>
          </cell>
          <cell r="DD305">
            <v>7185.59</v>
          </cell>
          <cell r="DE305">
            <v>16436.41</v>
          </cell>
          <cell r="DF305">
            <v>4282.01</v>
          </cell>
          <cell r="DW305">
            <v>918</v>
          </cell>
          <cell r="DX305">
            <v>0</v>
          </cell>
        </row>
        <row r="306">
          <cell r="F306">
            <v>2609.92</v>
          </cell>
          <cell r="G306">
            <v>0</v>
          </cell>
          <cell r="H306">
            <v>685.4</v>
          </cell>
          <cell r="I306">
            <v>9728.1485042757413</v>
          </cell>
          <cell r="J306">
            <v>7490.6639312109837</v>
          </cell>
          <cell r="L306">
            <v>2067.0118046380098</v>
          </cell>
          <cell r="M306">
            <v>1758.1577016853303</v>
          </cell>
          <cell r="O306">
            <v>4654.6774976286988</v>
          </cell>
          <cell r="P306">
            <v>4670.3370150477549</v>
          </cell>
          <cell r="R306">
            <v>0</v>
          </cell>
          <cell r="S306">
            <v>0</v>
          </cell>
          <cell r="U306">
            <v>233.87745698177133</v>
          </cell>
          <cell r="V306">
            <v>134.93073857999187</v>
          </cell>
          <cell r="X306">
            <v>6573.4233590396952</v>
          </cell>
          <cell r="Y306">
            <v>4655.1060175072998</v>
          </cell>
          <cell r="AA306">
            <v>0</v>
          </cell>
          <cell r="AB306">
            <v>0</v>
          </cell>
          <cell r="AD306">
            <v>11944.632496778531</v>
          </cell>
          <cell r="AE306">
            <v>11656.623359294821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7994.5120232601184</v>
          </cell>
          <cell r="AQ306">
            <v>8729.3014109490159</v>
          </cell>
          <cell r="AS306">
            <v>24784.278233109388</v>
          </cell>
          <cell r="AT306">
            <v>10387.835885492379</v>
          </cell>
          <cell r="AV306">
            <v>1628.3941739927573</v>
          </cell>
          <cell r="AW306">
            <v>507.17055751810352</v>
          </cell>
          <cell r="AY306">
            <v>2338.9002310438432</v>
          </cell>
          <cell r="AZ306">
            <v>0</v>
          </cell>
          <cell r="BB306">
            <v>1480.4084675719942</v>
          </cell>
          <cell r="BC306">
            <v>0</v>
          </cell>
          <cell r="BE306">
            <v>0</v>
          </cell>
          <cell r="BF306">
            <v>0</v>
          </cell>
          <cell r="BH306">
            <v>137.84135996429129</v>
          </cell>
          <cell r="BI306">
            <v>0</v>
          </cell>
          <cell r="BK306">
            <v>1190.5653045879285</v>
          </cell>
          <cell r="BL306">
            <v>2626.3928540686829</v>
          </cell>
          <cell r="BN306">
            <v>512.88994661157847</v>
          </cell>
          <cell r="BO306">
            <v>0</v>
          </cell>
          <cell r="BT306">
            <v>34404.008528214559</v>
          </cell>
          <cell r="BU306">
            <v>70749.703413680938</v>
          </cell>
          <cell r="BW306">
            <v>13885.298122780319</v>
          </cell>
          <cell r="BX306">
            <v>16627.202680036917</v>
          </cell>
          <cell r="BZ306">
            <v>24795.885848798087</v>
          </cell>
          <cell r="CA306">
            <v>122.3566726278395</v>
          </cell>
          <cell r="CC306">
            <v>1028.412763191827</v>
          </cell>
          <cell r="CD306">
            <v>1030.3979040410468</v>
          </cell>
          <cell r="CF306">
            <v>127.5699791022202</v>
          </cell>
          <cell r="CG306">
            <v>0</v>
          </cell>
          <cell r="CI306">
            <v>6866.0164896325005</v>
          </cell>
          <cell r="CJ306">
            <v>2815.3833847074848</v>
          </cell>
          <cell r="CL306">
            <v>0</v>
          </cell>
          <cell r="CM306">
            <v>0</v>
          </cell>
          <cell r="CX306">
            <v>2241.6593150704393</v>
          </cell>
          <cell r="CY306">
            <v>17139.886192776768</v>
          </cell>
          <cell r="DA306">
            <v>-11990.719082305441</v>
          </cell>
          <cell r="DC306">
            <v>41633.42</v>
          </cell>
          <cell r="DD306">
            <v>2516.9199999999996</v>
          </cell>
          <cell r="DE306">
            <v>21538.5</v>
          </cell>
          <cell r="DF306">
            <v>-2202.2000000000003</v>
          </cell>
          <cell r="DW306">
            <v>1062</v>
          </cell>
          <cell r="DX306">
            <v>0</v>
          </cell>
        </row>
        <row r="307">
          <cell r="F307">
            <v>4601.47</v>
          </cell>
          <cell r="G307">
            <v>0</v>
          </cell>
          <cell r="H307">
            <v>1200.0999999999999</v>
          </cell>
          <cell r="I307">
            <v>16350.564226702027</v>
          </cell>
          <cell r="J307">
            <v>12683.12503521751</v>
          </cell>
          <cell r="L307">
            <v>3659.6592795824799</v>
          </cell>
          <cell r="M307">
            <v>3094.3121925637583</v>
          </cell>
          <cell r="O307">
            <v>7023.5499459134717</v>
          </cell>
          <cell r="P307">
            <v>7047.1918728913734</v>
          </cell>
          <cell r="R307">
            <v>1590.4728947271237</v>
          </cell>
          <cell r="S307">
            <v>1595.7247312917091</v>
          </cell>
          <cell r="U307">
            <v>1115.050388439862</v>
          </cell>
          <cell r="V307">
            <v>453.79445995502061</v>
          </cell>
          <cell r="X307">
            <v>14442.37192117588</v>
          </cell>
          <cell r="Y307">
            <v>9993.5705898023261</v>
          </cell>
          <cell r="AA307">
            <v>0</v>
          </cell>
          <cell r="AB307">
            <v>0</v>
          </cell>
          <cell r="AD307">
            <v>20912.253271089303</v>
          </cell>
          <cell r="AE307">
            <v>20525.551146140144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3539.2370936307816</v>
          </cell>
          <cell r="AQ307">
            <v>4841.6080195683917</v>
          </cell>
          <cell r="AS307">
            <v>76600.385520424446</v>
          </cell>
          <cell r="AT307">
            <v>5707</v>
          </cell>
          <cell r="AV307">
            <v>2909.6213224717749</v>
          </cell>
          <cell r="AW307">
            <v>430.04681676810355</v>
          </cell>
          <cell r="AY307">
            <v>4448.3640596273244</v>
          </cell>
          <cell r="AZ307">
            <v>0</v>
          </cell>
          <cell r="BB307">
            <v>2567.5072101546962</v>
          </cell>
          <cell r="BC307">
            <v>0</v>
          </cell>
          <cell r="BE307">
            <v>1457.0433570687778</v>
          </cell>
          <cell r="BF307">
            <v>0</v>
          </cell>
          <cell r="BH307">
            <v>991.44589588578935</v>
          </cell>
          <cell r="BI307">
            <v>0</v>
          </cell>
          <cell r="BK307">
            <v>2627.2153346184209</v>
          </cell>
          <cell r="BL307">
            <v>2369.7826957431303</v>
          </cell>
          <cell r="BN307">
            <v>1214.9112029644205</v>
          </cell>
          <cell r="BO307">
            <v>7077.2254898314477</v>
          </cell>
          <cell r="BT307">
            <v>35877.056598758114</v>
          </cell>
          <cell r="BU307">
            <v>71653.503973018407</v>
          </cell>
          <cell r="BW307">
            <v>29624.527929700675</v>
          </cell>
          <cell r="BX307">
            <v>35423.451576308282</v>
          </cell>
          <cell r="BZ307">
            <v>22432.556541074904</v>
          </cell>
          <cell r="CA307">
            <v>280.25132303541687</v>
          </cell>
          <cell r="CC307">
            <v>2257.2788615820609</v>
          </cell>
          <cell r="CD307">
            <v>2261.6360775138228</v>
          </cell>
          <cell r="CF307">
            <v>280.00529311419524</v>
          </cell>
          <cell r="CG307">
            <v>0</v>
          </cell>
          <cell r="CI307">
            <v>11436.342012757628</v>
          </cell>
          <cell r="CJ307">
            <v>4856.8312468045242</v>
          </cell>
          <cell r="CL307">
            <v>0</v>
          </cell>
          <cell r="CM307">
            <v>0</v>
          </cell>
          <cell r="CX307">
            <v>17340.872195555348</v>
          </cell>
          <cell r="CY307">
            <v>105016.24769356829</v>
          </cell>
          <cell r="DA307">
            <v>-16840.209713085147</v>
          </cell>
          <cell r="DC307">
            <v>71491.38</v>
          </cell>
          <cell r="DD307">
            <v>13310.609999999999</v>
          </cell>
          <cell r="DE307">
            <v>36138.750000000007</v>
          </cell>
          <cell r="DF307">
            <v>5255.6599999999989</v>
          </cell>
          <cell r="DW307">
            <v>1359</v>
          </cell>
          <cell r="DX307">
            <v>0</v>
          </cell>
        </row>
        <row r="308">
          <cell r="F308">
            <v>3191.4</v>
          </cell>
          <cell r="G308">
            <v>0</v>
          </cell>
          <cell r="H308">
            <v>0</v>
          </cell>
          <cell r="I308">
            <v>11448.797311650413</v>
          </cell>
          <cell r="J308">
            <v>8861.8843065885012</v>
          </cell>
          <cell r="L308">
            <v>2266.7409684759295</v>
          </cell>
          <cell r="M308">
            <v>1896.4428026067326</v>
          </cell>
          <cell r="O308">
            <v>4391.4186120196327</v>
          </cell>
          <cell r="P308">
            <v>4405.8739775645254</v>
          </cell>
          <cell r="R308">
            <v>0</v>
          </cell>
          <cell r="S308">
            <v>0</v>
          </cell>
          <cell r="U308">
            <v>233.87745698177133</v>
          </cell>
          <cell r="V308">
            <v>134.93073857999187</v>
          </cell>
          <cell r="X308">
            <v>6567.6670038107241</v>
          </cell>
          <cell r="Y308">
            <v>4676.0559740424578</v>
          </cell>
          <cell r="AA308">
            <v>0</v>
          </cell>
          <cell r="AB308">
            <v>0</v>
          </cell>
          <cell r="AD308">
            <v>11564.031205503414</v>
          </cell>
          <cell r="AE308">
            <v>11285.405009400172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8743.9975254407545</v>
          </cell>
          <cell r="AQ308">
            <v>5392.3125702716889</v>
          </cell>
          <cell r="AS308">
            <v>31207.319163167493</v>
          </cell>
          <cell r="AT308">
            <v>10028.060385369308</v>
          </cell>
          <cell r="AV308">
            <v>1950.3844028426292</v>
          </cell>
          <cell r="AW308">
            <v>0</v>
          </cell>
          <cell r="AY308">
            <v>2959.1823689340827</v>
          </cell>
          <cell r="AZ308">
            <v>6648.2973791566701</v>
          </cell>
          <cell r="BB308">
            <v>1648.9506497005336</v>
          </cell>
          <cell r="BC308">
            <v>1451.859145189771</v>
          </cell>
          <cell r="BE308">
            <v>0</v>
          </cell>
          <cell r="BF308">
            <v>0</v>
          </cell>
          <cell r="BH308">
            <v>137.84135996429129</v>
          </cell>
          <cell r="BI308">
            <v>1258.012607588372</v>
          </cell>
          <cell r="BK308">
            <v>1278.2519218518228</v>
          </cell>
          <cell r="BL308">
            <v>3087.939100474121</v>
          </cell>
          <cell r="BN308">
            <v>850.5427469601143</v>
          </cell>
          <cell r="BO308">
            <v>0</v>
          </cell>
          <cell r="BT308">
            <v>24543.883036717671</v>
          </cell>
          <cell r="BU308">
            <v>41759.114442041508</v>
          </cell>
          <cell r="BW308">
            <v>15083.247422253526</v>
          </cell>
          <cell r="BX308">
            <v>17664.163088941103</v>
          </cell>
          <cell r="BZ308">
            <v>11218.88271018185</v>
          </cell>
          <cell r="CA308">
            <v>67.228970053047505</v>
          </cell>
          <cell r="CC308">
            <v>756.1858552881082</v>
          </cell>
          <cell r="CD308">
            <v>757.64551767724026</v>
          </cell>
          <cell r="CF308">
            <v>93.80145522222071</v>
          </cell>
          <cell r="CG308">
            <v>0</v>
          </cell>
          <cell r="CI308">
            <v>4590.0769413885564</v>
          </cell>
          <cell r="CJ308">
            <v>1726.3285677135818</v>
          </cell>
          <cell r="CL308">
            <v>0</v>
          </cell>
          <cell r="CM308">
            <v>0</v>
          </cell>
          <cell r="CX308">
            <v>4689.0090420583056</v>
          </cell>
          <cell r="CY308">
            <v>29209.239684174401</v>
          </cell>
          <cell r="DA308">
            <v>-42013.5028736803</v>
          </cell>
          <cell r="DC308">
            <v>51685.94</v>
          </cell>
          <cell r="DD308">
            <v>0</v>
          </cell>
          <cell r="DE308">
            <v>28860.100000000002</v>
          </cell>
          <cell r="DF308">
            <v>0</v>
          </cell>
          <cell r="DW308">
            <v>909</v>
          </cell>
          <cell r="DX308">
            <v>0</v>
          </cell>
        </row>
        <row r="309">
          <cell r="F309">
            <v>152.6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220.79978670642137</v>
          </cell>
          <cell r="AQ309">
            <v>140.47538423161123</v>
          </cell>
          <cell r="AS309">
            <v>2018.4508265285449</v>
          </cell>
          <cell r="AT309">
            <v>13345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B309">
            <v>0</v>
          </cell>
          <cell r="BC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K309">
            <v>0</v>
          </cell>
          <cell r="BL309">
            <v>0</v>
          </cell>
          <cell r="BN309">
            <v>0</v>
          </cell>
          <cell r="BO309">
            <v>0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0</v>
          </cell>
          <cell r="CA309">
            <v>0</v>
          </cell>
          <cell r="CC309">
            <v>0</v>
          </cell>
          <cell r="CD309">
            <v>0</v>
          </cell>
          <cell r="CF309">
            <v>0</v>
          </cell>
          <cell r="CG309">
            <v>0</v>
          </cell>
          <cell r="CI309">
            <v>0</v>
          </cell>
          <cell r="CJ309">
            <v>0</v>
          </cell>
          <cell r="CL309">
            <v>0</v>
          </cell>
          <cell r="CM309">
            <v>0</v>
          </cell>
          <cell r="CX309">
            <v>83.374697725523731</v>
          </cell>
          <cell r="CY309">
            <v>-13412.095027470446</v>
          </cell>
          <cell r="DA309">
            <v>5824.6022979116769</v>
          </cell>
          <cell r="DC309">
            <v>305.67</v>
          </cell>
          <cell r="DD309">
            <v>0</v>
          </cell>
          <cell r="DE309">
            <v>-53.899999999999977</v>
          </cell>
          <cell r="DF309">
            <v>0</v>
          </cell>
          <cell r="DW309">
            <v>0</v>
          </cell>
          <cell r="DX309">
            <v>0</v>
          </cell>
        </row>
        <row r="310">
          <cell r="F310">
            <v>2134.77</v>
          </cell>
          <cell r="G310">
            <v>0</v>
          </cell>
          <cell r="H310">
            <v>1050.3</v>
          </cell>
          <cell r="I310">
            <v>5993.9045313536772</v>
          </cell>
          <cell r="J310">
            <v>6080.8802527051339</v>
          </cell>
          <cell r="L310">
            <v>906.69751760708175</v>
          </cell>
          <cell r="M310">
            <v>940.27352628748861</v>
          </cell>
          <cell r="O310">
            <v>2573.3101462680597</v>
          </cell>
          <cell r="P310">
            <v>2582.1608557207651</v>
          </cell>
          <cell r="R310">
            <v>653.2643903018743</v>
          </cell>
          <cell r="S310">
            <v>655.60462137039406</v>
          </cell>
          <cell r="U310">
            <v>331.97187143689712</v>
          </cell>
          <cell r="V310">
            <v>694.5700768447258</v>
          </cell>
          <cell r="X310">
            <v>3309.8730455921254</v>
          </cell>
          <cell r="Y310">
            <v>2934.0580048465963</v>
          </cell>
          <cell r="AA310">
            <v>0</v>
          </cell>
          <cell r="AB310">
            <v>0</v>
          </cell>
          <cell r="AD310">
            <v>7733.5151285555212</v>
          </cell>
          <cell r="AE310">
            <v>8899.9605847272942</v>
          </cell>
          <cell r="AJ310">
            <v>25377.464273967027</v>
          </cell>
          <cell r="AK310">
            <v>23710.771846143878</v>
          </cell>
          <cell r="AM310">
            <v>0</v>
          </cell>
          <cell r="AN310">
            <v>0</v>
          </cell>
          <cell r="AP310">
            <v>1998.6280058150296</v>
          </cell>
          <cell r="AQ310">
            <v>2580</v>
          </cell>
          <cell r="AS310">
            <v>27834.303885605721</v>
          </cell>
          <cell r="AT310">
            <v>17417.943599401686</v>
          </cell>
          <cell r="AV310">
            <v>513.31409948618364</v>
          </cell>
          <cell r="AW310">
            <v>0</v>
          </cell>
          <cell r="AY310">
            <v>571.13461566759986</v>
          </cell>
          <cell r="AZ310">
            <v>1202.5171137800528</v>
          </cell>
          <cell r="BB310">
            <v>678.7836364241266</v>
          </cell>
          <cell r="BC310">
            <v>2544.8920626544873</v>
          </cell>
          <cell r="BE310">
            <v>298.37970187564554</v>
          </cell>
          <cell r="BF310">
            <v>0</v>
          </cell>
          <cell r="BH310">
            <v>147.29066680044559</v>
          </cell>
          <cell r="BI310">
            <v>0</v>
          </cell>
          <cell r="BK310">
            <v>400.14503410825091</v>
          </cell>
          <cell r="BL310">
            <v>0</v>
          </cell>
          <cell r="BN310">
            <v>28.923940885788934</v>
          </cell>
          <cell r="BO310">
            <v>0</v>
          </cell>
          <cell r="BT310">
            <v>37450.982842719714</v>
          </cell>
          <cell r="BU310">
            <v>51794.028436018183</v>
          </cell>
          <cell r="BW310">
            <v>16900.810240899122</v>
          </cell>
          <cell r="BX310">
            <v>20379.4844743623</v>
          </cell>
          <cell r="BZ310">
            <v>5231.2173888667339</v>
          </cell>
          <cell r="CA310">
            <v>347.60171102053312</v>
          </cell>
          <cell r="CC310">
            <v>128.1670941166285</v>
          </cell>
          <cell r="CD310">
            <v>128.41449452156613</v>
          </cell>
          <cell r="CF310">
            <v>15.898551732579783</v>
          </cell>
          <cell r="CG310">
            <v>0</v>
          </cell>
          <cell r="CI310">
            <v>7966.7422525655684</v>
          </cell>
          <cell r="CJ310">
            <v>6288.3067621272057</v>
          </cell>
          <cell r="CL310">
            <v>2872.4594170333048</v>
          </cell>
          <cell r="CM310">
            <v>6319.1395987289898</v>
          </cell>
          <cell r="CX310">
            <v>22078.250358770867</v>
          </cell>
          <cell r="CY310">
            <v>15378.139468878991</v>
          </cell>
          <cell r="DA310">
            <v>112511.42953308787</v>
          </cell>
          <cell r="DC310">
            <v>94147.21</v>
          </cell>
          <cell r="DD310">
            <v>32179.65</v>
          </cell>
          <cell r="DE310">
            <v>70281.279999999999</v>
          </cell>
          <cell r="DF310">
            <v>24904.54</v>
          </cell>
          <cell r="DW310">
            <v>918</v>
          </cell>
          <cell r="DX310">
            <v>0</v>
          </cell>
        </row>
        <row r="311">
          <cell r="F311">
            <v>6424.13</v>
          </cell>
          <cell r="G311">
            <v>653.79999999999995</v>
          </cell>
          <cell r="H311">
            <v>0</v>
          </cell>
          <cell r="I311">
            <v>20587.067539464533</v>
          </cell>
          <cell r="J311">
            <v>20846.008339846812</v>
          </cell>
          <cell r="L311">
            <v>3253.1548236745866</v>
          </cell>
          <cell r="M311">
            <v>3375.2039784253056</v>
          </cell>
          <cell r="O311">
            <v>8506.9389348617915</v>
          </cell>
          <cell r="P311">
            <v>8535.7065981001288</v>
          </cell>
          <cell r="R311">
            <v>1799.5771724756028</v>
          </cell>
          <cell r="S311">
            <v>1805.4022868164238</v>
          </cell>
          <cell r="U311">
            <v>995.71902419103264</v>
          </cell>
          <cell r="V311">
            <v>2083.2136494928372</v>
          </cell>
          <cell r="X311">
            <v>8950.1273753932728</v>
          </cell>
          <cell r="Y311">
            <v>8799.5833471983424</v>
          </cell>
          <cell r="AA311">
            <v>0</v>
          </cell>
          <cell r="AB311">
            <v>0</v>
          </cell>
          <cell r="AD311">
            <v>23275.272602210578</v>
          </cell>
          <cell r="AE311">
            <v>22714.607222595456</v>
          </cell>
          <cell r="AJ311">
            <v>76132.371805637536</v>
          </cell>
          <cell r="AK311">
            <v>71840.869956839699</v>
          </cell>
          <cell r="AM311">
            <v>0</v>
          </cell>
          <cell r="AN311">
            <v>0</v>
          </cell>
          <cell r="AP311">
            <v>4496.9130130838166</v>
          </cell>
          <cell r="AQ311">
            <v>4949.7682571836522</v>
          </cell>
          <cell r="AS311">
            <v>83920.772002155907</v>
          </cell>
          <cell r="AT311">
            <v>4053.9151012995785</v>
          </cell>
          <cell r="AV311">
            <v>1434.486478208695</v>
          </cell>
          <cell r="AW311">
            <v>0</v>
          </cell>
          <cell r="AY311">
            <v>1424.1252084795078</v>
          </cell>
          <cell r="AZ311">
            <v>0</v>
          </cell>
          <cell r="BB311">
            <v>1307.2567483606583</v>
          </cell>
          <cell r="BC311">
            <v>0</v>
          </cell>
          <cell r="BE311">
            <v>374.72153810090191</v>
          </cell>
          <cell r="BF311">
            <v>0</v>
          </cell>
          <cell r="BH311">
            <v>281.58613241553013</v>
          </cell>
          <cell r="BI311">
            <v>0</v>
          </cell>
          <cell r="BK311">
            <v>1064.3593087767688</v>
          </cell>
          <cell r="BL311">
            <v>0</v>
          </cell>
          <cell r="BN311">
            <v>62.553512067530519</v>
          </cell>
          <cell r="BO311">
            <v>4470.1826450859999</v>
          </cell>
          <cell r="BT311">
            <v>58942.562105166588</v>
          </cell>
          <cell r="BU311">
            <v>89960.944515185809</v>
          </cell>
          <cell r="BW311">
            <v>45997.398544874573</v>
          </cell>
          <cell r="BX311">
            <v>55756.186839435133</v>
          </cell>
          <cell r="BZ311">
            <v>15668.134032995973</v>
          </cell>
          <cell r="CA311">
            <v>545.06046703433276</v>
          </cell>
          <cell r="CC311">
            <v>899.7330006987321</v>
          </cell>
          <cell r="CD311">
            <v>901.46975154139432</v>
          </cell>
          <cell r="CF311">
            <v>111.60783316271011</v>
          </cell>
          <cell r="CG311">
            <v>0</v>
          </cell>
          <cell r="CI311">
            <v>8318.6695250951871</v>
          </cell>
          <cell r="CJ311">
            <v>6013.3894395930065</v>
          </cell>
          <cell r="CL311">
            <v>14782.410508700235</v>
          </cell>
          <cell r="CM311">
            <v>21880.334412906719</v>
          </cell>
          <cell r="CX311">
            <v>13856.714046077232</v>
          </cell>
          <cell r="CY311">
            <v>78723.520400083158</v>
          </cell>
          <cell r="DA311">
            <v>-56012.897009949869</v>
          </cell>
          <cell r="DC311">
            <v>190530.68</v>
          </cell>
          <cell r="DD311">
            <v>0</v>
          </cell>
          <cell r="DE311">
            <v>129144.47</v>
          </cell>
          <cell r="DF311">
            <v>0</v>
          </cell>
          <cell r="DW311">
            <v>1242</v>
          </cell>
          <cell r="DX311">
            <v>0</v>
          </cell>
        </row>
        <row r="312">
          <cell r="F312">
            <v>2586.9899999999998</v>
          </cell>
          <cell r="G312">
            <v>0</v>
          </cell>
          <cell r="H312">
            <v>788.57</v>
          </cell>
          <cell r="I312">
            <v>9682.4848369091196</v>
          </cell>
          <cell r="J312">
            <v>9809.1869691485153</v>
          </cell>
          <cell r="L312">
            <v>1986.3414274365509</v>
          </cell>
          <cell r="M312">
            <v>2061.0749100279763</v>
          </cell>
          <cell r="O312">
            <v>4083.3977282187157</v>
          </cell>
          <cell r="P312">
            <v>4096.9526963705785</v>
          </cell>
          <cell r="R312">
            <v>0</v>
          </cell>
          <cell r="S312">
            <v>0</v>
          </cell>
          <cell r="U312">
            <v>233.87745698177133</v>
          </cell>
          <cell r="V312">
            <v>134.93073857999187</v>
          </cell>
          <cell r="X312">
            <v>6619.5376213740956</v>
          </cell>
          <cell r="Y312">
            <v>8080.2806272540502</v>
          </cell>
          <cell r="AA312">
            <v>0</v>
          </cell>
          <cell r="AB312">
            <v>0</v>
          </cell>
          <cell r="AD312">
            <v>12231.678459694835</v>
          </cell>
          <cell r="AE312">
            <v>11937.629655773006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7994.5120232601184</v>
          </cell>
          <cell r="AQ312">
            <v>4210.2664984286184</v>
          </cell>
          <cell r="AS312">
            <v>30085.274292245675</v>
          </cell>
          <cell r="AT312">
            <v>337</v>
          </cell>
          <cell r="AV312">
            <v>1615.076529372076</v>
          </cell>
          <cell r="AW312">
            <v>0</v>
          </cell>
          <cell r="AY312">
            <v>2591.8491704384601</v>
          </cell>
          <cell r="AZ312">
            <v>0</v>
          </cell>
          <cell r="BB312">
            <v>1992.2471584583423</v>
          </cell>
          <cell r="BC312">
            <v>0</v>
          </cell>
          <cell r="BE312">
            <v>0</v>
          </cell>
          <cell r="BF312">
            <v>0</v>
          </cell>
          <cell r="BH312">
            <v>137.84135996429129</v>
          </cell>
          <cell r="BI312">
            <v>0</v>
          </cell>
          <cell r="BK312">
            <v>1203.5509672049702</v>
          </cell>
          <cell r="BL312">
            <v>7504.6327808874221</v>
          </cell>
          <cell r="BN312">
            <v>93.171479859862387</v>
          </cell>
          <cell r="BO312">
            <v>0</v>
          </cell>
          <cell r="BT312">
            <v>30089.952421589769</v>
          </cell>
          <cell r="BU312">
            <v>49253.245348404474</v>
          </cell>
          <cell r="BW312">
            <v>20719.577969482292</v>
          </cell>
          <cell r="BX312">
            <v>20701.837947777109</v>
          </cell>
          <cell r="BZ312">
            <v>13805.087548694743</v>
          </cell>
          <cell r="CA312">
            <v>337.78602465593951</v>
          </cell>
          <cell r="CC312">
            <v>681.8489407004638</v>
          </cell>
          <cell r="CD312">
            <v>683.16511085473178</v>
          </cell>
          <cell r="CF312">
            <v>84.580295217324448</v>
          </cell>
          <cell r="CG312">
            <v>0</v>
          </cell>
          <cell r="CI312">
            <v>5201.3720894356256</v>
          </cell>
          <cell r="CJ312">
            <v>2802.4561691232516</v>
          </cell>
          <cell r="CL312">
            <v>0</v>
          </cell>
          <cell r="CM312">
            <v>0</v>
          </cell>
          <cell r="CX312">
            <v>13076.61125084191</v>
          </cell>
          <cell r="CY312">
            <v>48095.988409946032</v>
          </cell>
          <cell r="DA312">
            <v>-59358.333312020004</v>
          </cell>
          <cell r="DC312">
            <v>41374.75</v>
          </cell>
          <cell r="DD312">
            <v>17021.68</v>
          </cell>
          <cell r="DE312">
            <v>22004.95</v>
          </cell>
          <cell r="DF312">
            <v>12069.880000000001</v>
          </cell>
          <cell r="DW312">
            <v>1062</v>
          </cell>
          <cell r="DX312">
            <v>0</v>
          </cell>
        </row>
        <row r="313">
          <cell r="F313">
            <v>4417.47</v>
          </cell>
          <cell r="G313">
            <v>0</v>
          </cell>
          <cell r="H313">
            <v>855.19999999999993</v>
          </cell>
          <cell r="I313">
            <v>19451.575476798767</v>
          </cell>
          <cell r="J313">
            <v>19702.051208466721</v>
          </cell>
          <cell r="L313">
            <v>3082.7941211640809</v>
          </cell>
          <cell r="M313">
            <v>3204.1822508641749</v>
          </cell>
          <cell r="O313">
            <v>6082.4094507001382</v>
          </cell>
          <cell r="P313">
            <v>6103.0857375790929</v>
          </cell>
          <cell r="R313">
            <v>1412.2087321126266</v>
          </cell>
          <cell r="S313">
            <v>1417.0670864343438</v>
          </cell>
          <cell r="U313">
            <v>785.52179121320364</v>
          </cell>
          <cell r="V313">
            <v>1596.1979717610377</v>
          </cell>
          <cell r="X313">
            <v>5460.6607286714607</v>
          </cell>
          <cell r="Y313">
            <v>5254.1522450687426</v>
          </cell>
          <cell r="AA313">
            <v>0</v>
          </cell>
          <cell r="AB313">
            <v>0</v>
          </cell>
          <cell r="AD313">
            <v>19064.114407548961</v>
          </cell>
          <cell r="AE313">
            <v>18642.665566080821</v>
          </cell>
          <cell r="AJ313">
            <v>45871.463503431805</v>
          </cell>
          <cell r="AK313">
            <v>38999.39838214255</v>
          </cell>
          <cell r="AM313">
            <v>0</v>
          </cell>
          <cell r="AN313">
            <v>529.67207839263438</v>
          </cell>
          <cell r="AP313">
            <v>3747.4275109031805</v>
          </cell>
          <cell r="AQ313">
            <v>3269.2137480731112</v>
          </cell>
          <cell r="AS313">
            <v>69397.33685091036</v>
          </cell>
          <cell r="AT313">
            <v>130251.70672742941</v>
          </cell>
          <cell r="AV313">
            <v>1955.0382382419707</v>
          </cell>
          <cell r="AW313">
            <v>0</v>
          </cell>
          <cell r="AY313">
            <v>2161.3543325139017</v>
          </cell>
          <cell r="AZ313">
            <v>0</v>
          </cell>
          <cell r="BB313">
            <v>2122.4241005253411</v>
          </cell>
          <cell r="BC313">
            <v>0</v>
          </cell>
          <cell r="BE313">
            <v>677.05183545178511</v>
          </cell>
          <cell r="BF313">
            <v>0</v>
          </cell>
          <cell r="BH313">
            <v>413.79099164092827</v>
          </cell>
          <cell r="BI313">
            <v>0</v>
          </cell>
          <cell r="BK313">
            <v>1721.94083666758</v>
          </cell>
          <cell r="BL313">
            <v>1371.9044569463742</v>
          </cell>
          <cell r="BN313">
            <v>0</v>
          </cell>
          <cell r="BO313">
            <v>0</v>
          </cell>
          <cell r="BT313">
            <v>44899.39504203137</v>
          </cell>
          <cell r="BU313">
            <v>56398.947061075545</v>
          </cell>
          <cell r="BW313">
            <v>55579.155777143191</v>
          </cell>
          <cell r="BX313">
            <v>61622.01523737036</v>
          </cell>
          <cell r="BZ313">
            <v>5180.1811216582792</v>
          </cell>
          <cell r="CA313">
            <v>400.91112257240479</v>
          </cell>
          <cell r="CC313">
            <v>707.48235952378934</v>
          </cell>
          <cell r="CD313">
            <v>708.848009759045</v>
          </cell>
          <cell r="CF313">
            <v>87.760005563840409</v>
          </cell>
          <cell r="CG313">
            <v>0</v>
          </cell>
          <cell r="CI313">
            <v>14296.597244894674</v>
          </cell>
          <cell r="CJ313">
            <v>15017.801524415605</v>
          </cell>
          <cell r="CL313">
            <v>28821.120940214696</v>
          </cell>
          <cell r="CM313">
            <v>25031.317021184495</v>
          </cell>
          <cell r="CX313">
            <v>13095.049909228461</v>
          </cell>
          <cell r="CY313">
            <v>-54755.74853408023</v>
          </cell>
          <cell r="DA313">
            <v>-87499.912907387683</v>
          </cell>
          <cell r="DC313">
            <v>60044.5</v>
          </cell>
          <cell r="DD313">
            <v>112.91</v>
          </cell>
          <cell r="DE313">
            <v>11610.89</v>
          </cell>
          <cell r="DF313">
            <v>-5129.5600000000004</v>
          </cell>
          <cell r="DW313">
            <v>1062</v>
          </cell>
          <cell r="DX313">
            <v>0</v>
          </cell>
        </row>
        <row r="314">
          <cell r="F314">
            <v>8246.2199999999993</v>
          </cell>
          <cell r="G314">
            <v>801.12</v>
          </cell>
          <cell r="H314">
            <v>215.29999999999998</v>
          </cell>
          <cell r="I314">
            <v>17890.86591916925</v>
          </cell>
          <cell r="J314">
            <v>18236.920424303127</v>
          </cell>
          <cell r="L314">
            <v>3609.629145131224</v>
          </cell>
          <cell r="M314">
            <v>3755.1329152836797</v>
          </cell>
          <cell r="O314">
            <v>11160.779641971327</v>
          </cell>
          <cell r="P314">
            <v>11198.331552952272</v>
          </cell>
          <cell r="R314">
            <v>2620.0506460774</v>
          </cell>
          <cell r="S314">
            <v>2628.395416923579</v>
          </cell>
          <cell r="U314">
            <v>1302.7436360360755</v>
          </cell>
          <cell r="V314">
            <v>2763.3911142223637</v>
          </cell>
          <cell r="X314">
            <v>12187.91632018145</v>
          </cell>
          <cell r="Y314">
            <v>11976.396819133344</v>
          </cell>
          <cell r="AA314">
            <v>0</v>
          </cell>
          <cell r="AB314">
            <v>0</v>
          </cell>
          <cell r="AD314">
            <v>30636.133227556718</v>
          </cell>
          <cell r="AE314">
            <v>29991.991641259796</v>
          </cell>
          <cell r="AJ314">
            <v>64292.793209822121</v>
          </cell>
          <cell r="AK314">
            <v>59297.293331499292</v>
          </cell>
          <cell r="AM314">
            <v>1211.7347071692361</v>
          </cell>
          <cell r="AN314">
            <v>4729.1848553262544</v>
          </cell>
          <cell r="AP314">
            <v>5902.9316125293099</v>
          </cell>
          <cell r="AQ314">
            <v>0</v>
          </cell>
          <cell r="AS314">
            <v>99195.307680404629</v>
          </cell>
          <cell r="AT314">
            <v>34714.871281370339</v>
          </cell>
          <cell r="AV314">
            <v>1798.3323455048562</v>
          </cell>
          <cell r="AW314">
            <v>448.18794590112498</v>
          </cell>
          <cell r="AY314">
            <v>2327.0999385920582</v>
          </cell>
          <cell r="AZ314">
            <v>4516.7726163450225</v>
          </cell>
          <cell r="BB314">
            <v>2636.8495701127008</v>
          </cell>
          <cell r="BC314">
            <v>0</v>
          </cell>
          <cell r="BE314">
            <v>1280.6745296419426</v>
          </cell>
          <cell r="BF314">
            <v>0</v>
          </cell>
          <cell r="BH314">
            <v>681.31662459294523</v>
          </cell>
          <cell r="BI314">
            <v>0</v>
          </cell>
          <cell r="BK314">
            <v>2536.937266303471</v>
          </cell>
          <cell r="BL314">
            <v>0</v>
          </cell>
          <cell r="BN314">
            <v>63.83971768175757</v>
          </cell>
          <cell r="BO314">
            <v>0</v>
          </cell>
          <cell r="BT314">
            <v>128005.74443918445</v>
          </cell>
          <cell r="BU314">
            <v>190395.83845303758</v>
          </cell>
          <cell r="BW314">
            <v>70232.69800708993</v>
          </cell>
          <cell r="BX314">
            <v>80417.072499804824</v>
          </cell>
          <cell r="BZ314">
            <v>13408.72016128446</v>
          </cell>
          <cell r="CA314">
            <v>965.18746725741471</v>
          </cell>
          <cell r="CC314">
            <v>1568.7652319875331</v>
          </cell>
          <cell r="CD314">
            <v>1571.7934129439695</v>
          </cell>
          <cell r="CF314">
            <v>194.59827320677653</v>
          </cell>
          <cell r="CG314">
            <v>0</v>
          </cell>
          <cell r="CI314">
            <v>9784.1780323651146</v>
          </cell>
          <cell r="CJ314">
            <v>4957.2703431354275</v>
          </cell>
          <cell r="CL314">
            <v>16816.668308475812</v>
          </cell>
          <cell r="CM314">
            <v>25280.523818304755</v>
          </cell>
          <cell r="CX314">
            <v>18606.462890916868</v>
          </cell>
          <cell r="CY314">
            <v>34809.765630598995</v>
          </cell>
          <cell r="DA314">
            <v>80096.146786386438</v>
          </cell>
          <cell r="DC314">
            <v>147355.94</v>
          </cell>
          <cell r="DD314">
            <v>7029.8900000000012</v>
          </cell>
          <cell r="DE314">
            <v>67827.69</v>
          </cell>
          <cell r="DF314">
            <v>5647.1200000000008</v>
          </cell>
          <cell r="DW314">
            <v>1494</v>
          </cell>
          <cell r="DX314">
            <v>0</v>
          </cell>
        </row>
        <row r="315">
          <cell r="F315">
            <v>3560.6</v>
          </cell>
          <cell r="G315">
            <v>191</v>
          </cell>
          <cell r="H315">
            <v>0</v>
          </cell>
          <cell r="I315">
            <v>17929.913929848044</v>
          </cell>
          <cell r="J315">
            <v>18078.750160800402</v>
          </cell>
          <cell r="L315">
            <v>2904.0281938177022</v>
          </cell>
          <cell r="M315">
            <v>3030.689952539311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298.14612470360311</v>
          </cell>
          <cell r="V315">
            <v>514.73504257110017</v>
          </cell>
          <cell r="X315">
            <v>6183.1902539135372</v>
          </cell>
          <cell r="Y315">
            <v>5828.310641157801</v>
          </cell>
          <cell r="AA315">
            <v>0</v>
          </cell>
          <cell r="AB315">
            <v>0</v>
          </cell>
          <cell r="AD315">
            <v>12779.02053507609</v>
          </cell>
          <cell r="AE315">
            <v>12477.572488144289</v>
          </cell>
          <cell r="AJ315">
            <v>9726.7485964833577</v>
          </cell>
          <cell r="AK315">
            <v>11235.982275645221</v>
          </cell>
          <cell r="AM315">
            <v>1443.309086610185</v>
          </cell>
          <cell r="AN315">
            <v>1667.2542794506039</v>
          </cell>
          <cell r="AP315">
            <v>4122.1702619934995</v>
          </cell>
          <cell r="AQ315">
            <v>3108.1659372408594</v>
          </cell>
          <cell r="AS315">
            <v>35069.457163009982</v>
          </cell>
          <cell r="AT315">
            <v>94179.66103381729</v>
          </cell>
          <cell r="AV315">
            <v>1379.0241178899068</v>
          </cell>
          <cell r="AW315">
            <v>0</v>
          </cell>
          <cell r="AY315">
            <v>1796.809866939619</v>
          </cell>
          <cell r="AZ315">
            <v>0</v>
          </cell>
          <cell r="BB315">
            <v>0</v>
          </cell>
          <cell r="BC315">
            <v>0</v>
          </cell>
          <cell r="BE315">
            <v>0</v>
          </cell>
          <cell r="BF315">
            <v>0</v>
          </cell>
          <cell r="BH315">
            <v>173.78959288558914</v>
          </cell>
          <cell r="BI315">
            <v>0</v>
          </cell>
          <cell r="BK315">
            <v>511.05544763931556</v>
          </cell>
          <cell r="BL315">
            <v>13331.88833759977</v>
          </cell>
          <cell r="BN315">
            <v>0</v>
          </cell>
          <cell r="BO315">
            <v>8782.0509023480008</v>
          </cell>
          <cell r="BT315">
            <v>16768.87975433626</v>
          </cell>
          <cell r="BU315">
            <v>36018.66757893117</v>
          </cell>
          <cell r="BW315">
            <v>27157.136116178619</v>
          </cell>
          <cell r="BX315">
            <v>30497.777617137854</v>
          </cell>
          <cell r="BZ315">
            <v>12872.914041130909</v>
          </cell>
          <cell r="CA315">
            <v>251.58094950779059</v>
          </cell>
          <cell r="CC315">
            <v>87.409958187540653</v>
          </cell>
          <cell r="CD315">
            <v>87.578685263708081</v>
          </cell>
          <cell r="CF315">
            <v>10.842812281619413</v>
          </cell>
          <cell r="CG315">
            <v>0</v>
          </cell>
          <cell r="CI315">
            <v>2671.7139538405972</v>
          </cell>
          <cell r="CJ315">
            <v>3453.6593399367548</v>
          </cell>
          <cell r="CL315">
            <v>7626.8725596604818</v>
          </cell>
          <cell r="CM315">
            <v>9521.9795679228228</v>
          </cell>
          <cell r="CX315">
            <v>6597.8634379072028</v>
          </cell>
          <cell r="CY315">
            <v>-102066.78347039878</v>
          </cell>
          <cell r="DA315">
            <v>2925.7301543588401</v>
          </cell>
          <cell r="DC315">
            <v>74477.740000000005</v>
          </cell>
          <cell r="DD315">
            <v>0</v>
          </cell>
          <cell r="DE315">
            <v>48146.37000000001</v>
          </cell>
          <cell r="DF315">
            <v>0</v>
          </cell>
          <cell r="DW315">
            <v>918</v>
          </cell>
          <cell r="DX315">
            <v>0</v>
          </cell>
        </row>
        <row r="316">
          <cell r="F316">
            <v>4158.7</v>
          </cell>
          <cell r="G316">
            <v>391.15</v>
          </cell>
          <cell r="H316">
            <v>0</v>
          </cell>
          <cell r="I316">
            <v>14669.768021794198</v>
          </cell>
          <cell r="J316">
            <v>14656.318128825849</v>
          </cell>
          <cell r="L316">
            <v>2373.3600708137405</v>
          </cell>
          <cell r="M316">
            <v>2482.3892705336211</v>
          </cell>
          <cell r="O316">
            <v>4801.1589558947508</v>
          </cell>
          <cell r="P316">
            <v>4818.0410062050005</v>
          </cell>
          <cell r="R316">
            <v>1189.2248347709785</v>
          </cell>
          <cell r="S316">
            <v>1192.308247127346</v>
          </cell>
          <cell r="U316">
            <v>666.86551884722599</v>
          </cell>
          <cell r="V316">
            <v>444.93510530520007</v>
          </cell>
          <cell r="X316">
            <v>5041.8536470071913</v>
          </cell>
          <cell r="Y316">
            <v>5641.0729071510532</v>
          </cell>
          <cell r="AA316">
            <v>0</v>
          </cell>
          <cell r="AB316">
            <v>0</v>
          </cell>
          <cell r="AD316">
            <v>15060.076302730657</v>
          </cell>
          <cell r="AE316">
            <v>14697.686661888445</v>
          </cell>
          <cell r="AJ316">
            <v>50754.907531670506</v>
          </cell>
          <cell r="AK316">
            <v>47893.900096703182</v>
          </cell>
          <cell r="AM316">
            <v>0</v>
          </cell>
          <cell r="AN316">
            <v>0</v>
          </cell>
          <cell r="AP316">
            <v>2956.3039252680646</v>
          </cell>
          <cell r="AQ316">
            <v>3225.0575789349718</v>
          </cell>
          <cell r="AS316">
            <v>55396.679652200386</v>
          </cell>
          <cell r="AT316">
            <v>6190.4729793062961</v>
          </cell>
          <cell r="AV316">
            <v>1345.9421533237226</v>
          </cell>
          <cell r="AW316">
            <v>0</v>
          </cell>
          <cell r="AY316">
            <v>1724.0704392919638</v>
          </cell>
          <cell r="AZ316">
            <v>2928.2496433445322</v>
          </cell>
          <cell r="BB316">
            <v>1840.8299032871571</v>
          </cell>
          <cell r="BC316">
            <v>0</v>
          </cell>
          <cell r="BE316">
            <v>562.92427796167976</v>
          </cell>
          <cell r="BF316">
            <v>0</v>
          </cell>
          <cell r="BH316">
            <v>349.84781900587507</v>
          </cell>
          <cell r="BI316">
            <v>0</v>
          </cell>
          <cell r="BK316">
            <v>1005.3223503907293</v>
          </cell>
          <cell r="BL316">
            <v>0</v>
          </cell>
          <cell r="BN316">
            <v>112.9351271028635</v>
          </cell>
          <cell r="BO316">
            <v>0</v>
          </cell>
          <cell r="BT316">
            <v>53023.633266507131</v>
          </cell>
          <cell r="BU316">
            <v>79937.719436622341</v>
          </cell>
          <cell r="BW316">
            <v>35253.476218594456</v>
          </cell>
          <cell r="BX316">
            <v>43990.706885889667</v>
          </cell>
          <cell r="BZ316">
            <v>5000.2530676018232</v>
          </cell>
          <cell r="CA316">
            <v>563.43801795187539</v>
          </cell>
          <cell r="CC316">
            <v>1245.0920525053994</v>
          </cell>
          <cell r="CD316">
            <v>1247.4954484792065</v>
          </cell>
          <cell r="CF316">
            <v>154.4480706613196</v>
          </cell>
          <cell r="CG316">
            <v>0</v>
          </cell>
          <cell r="CI316">
            <v>9751.5557615266007</v>
          </cell>
          <cell r="CJ316">
            <v>11004.786755279625</v>
          </cell>
          <cell r="CL316">
            <v>7974.0903806582764</v>
          </cell>
          <cell r="CM316">
            <v>12470.620539060725</v>
          </cell>
          <cell r="CX316">
            <v>6629.5052725672194</v>
          </cell>
          <cell r="CY316">
            <v>29272.810041536522</v>
          </cell>
          <cell r="DA316">
            <v>23796.782765294018</v>
          </cell>
          <cell r="DC316">
            <v>93600.88</v>
          </cell>
          <cell r="DD316">
            <v>0</v>
          </cell>
          <cell r="DE316">
            <v>50311.700000000004</v>
          </cell>
          <cell r="DF316">
            <v>0</v>
          </cell>
          <cell r="DW316">
            <v>1062</v>
          </cell>
          <cell r="DX316">
            <v>0</v>
          </cell>
        </row>
        <row r="317">
          <cell r="F317">
            <v>2749.1</v>
          </cell>
          <cell r="G317">
            <v>0</v>
          </cell>
          <cell r="H317">
            <v>0</v>
          </cell>
          <cell r="I317">
            <v>9416.2813929916447</v>
          </cell>
          <cell r="J317">
            <v>9479.5890781339913</v>
          </cell>
          <cell r="L317">
            <v>1766.8952915679188</v>
          </cell>
          <cell r="M317">
            <v>1843.566867553872</v>
          </cell>
          <cell r="O317">
            <v>3552.7711311524599</v>
          </cell>
          <cell r="P317">
            <v>3564.8548748973262</v>
          </cell>
          <cell r="R317">
            <v>0</v>
          </cell>
          <cell r="S317">
            <v>0</v>
          </cell>
          <cell r="U317">
            <v>647.20633174639465</v>
          </cell>
          <cell r="V317">
            <v>428.13838959063071</v>
          </cell>
          <cell r="X317">
            <v>6124.3043567038949</v>
          </cell>
          <cell r="Y317">
            <v>5862.0123694540316</v>
          </cell>
          <cell r="AA317">
            <v>0</v>
          </cell>
          <cell r="AB317">
            <v>0</v>
          </cell>
          <cell r="AD317">
            <v>9964.590125393257</v>
          </cell>
          <cell r="AE317">
            <v>9724.3313837487403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5193.6021495747918</v>
          </cell>
          <cell r="AQ317">
            <v>4249.7532954489961</v>
          </cell>
          <cell r="AS317">
            <v>48572.253382808492</v>
          </cell>
          <cell r="AT317">
            <v>69226.551105759412</v>
          </cell>
          <cell r="AV317">
            <v>1609.0867850342054</v>
          </cell>
          <cell r="AW317">
            <v>0</v>
          </cell>
          <cell r="AY317">
            <v>2251.2874415157112</v>
          </cell>
          <cell r="AZ317">
            <v>3313.1726554984525</v>
          </cell>
          <cell r="BB317">
            <v>1411.4340025269046</v>
          </cell>
          <cell r="BC317">
            <v>3580.671059463356</v>
          </cell>
          <cell r="BE317">
            <v>0</v>
          </cell>
          <cell r="BF317">
            <v>0</v>
          </cell>
          <cell r="BH317">
            <v>585.03169714120907</v>
          </cell>
          <cell r="BI317">
            <v>0</v>
          </cell>
          <cell r="BK317">
            <v>1212.0052319627773</v>
          </cell>
          <cell r="BL317">
            <v>0</v>
          </cell>
          <cell r="BN317">
            <v>75.290084735242345</v>
          </cell>
          <cell r="BO317">
            <v>0</v>
          </cell>
          <cell r="BT317">
            <v>27674.946290494998</v>
          </cell>
          <cell r="BU317">
            <v>16487.67537317735</v>
          </cell>
          <cell r="BW317">
            <v>15615.426109208962</v>
          </cell>
          <cell r="BX317">
            <v>5357.567008627313</v>
          </cell>
          <cell r="BZ317">
            <v>4311.6971665632873</v>
          </cell>
          <cell r="CA317">
            <v>80.968056454265962</v>
          </cell>
          <cell r="CC317">
            <v>1521.5997413526136</v>
          </cell>
          <cell r="CD317">
            <v>1524.5368789600332</v>
          </cell>
          <cell r="CF317">
            <v>188.74760616918724</v>
          </cell>
          <cell r="CG317">
            <v>0</v>
          </cell>
          <cell r="CI317">
            <v>3142.4186664403423</v>
          </cell>
          <cell r="CJ317">
            <v>2118.047607142742</v>
          </cell>
          <cell r="CL317">
            <v>0</v>
          </cell>
          <cell r="CM317">
            <v>0</v>
          </cell>
          <cell r="CX317">
            <v>8689.3752655185144</v>
          </cell>
          <cell r="CY317">
            <v>18283.902042927017</v>
          </cell>
          <cell r="DA317">
            <v>84109.948376730827</v>
          </cell>
          <cell r="DC317">
            <v>41430.629999999997</v>
          </cell>
          <cell r="DD317">
            <v>0</v>
          </cell>
          <cell r="DE317">
            <v>17637.729999999996</v>
          </cell>
          <cell r="DF317">
            <v>0</v>
          </cell>
          <cell r="DW317">
            <v>1062</v>
          </cell>
          <cell r="DX317">
            <v>0</v>
          </cell>
        </row>
        <row r="318">
          <cell r="F318">
            <v>3582</v>
          </cell>
          <cell r="G318">
            <v>0</v>
          </cell>
          <cell r="H318">
            <v>827.4</v>
          </cell>
          <cell r="I318">
            <v>13130.052762167805</v>
          </cell>
          <cell r="J318">
            <v>13089.75121689878</v>
          </cell>
          <cell r="L318">
            <v>2999.1335805625722</v>
          </cell>
          <cell r="M318">
            <v>3152.1165656913822</v>
          </cell>
          <cell r="O318">
            <v>4999.7348522873108</v>
          </cell>
          <cell r="P318">
            <v>5017.5335287234839</v>
          </cell>
          <cell r="R318">
            <v>0</v>
          </cell>
          <cell r="S318">
            <v>0</v>
          </cell>
          <cell r="U318">
            <v>905.12738496860311</v>
          </cell>
          <cell r="V318">
            <v>604.28895078712924</v>
          </cell>
          <cell r="X318">
            <v>11625.53046494085</v>
          </cell>
          <cell r="Y318">
            <v>11432.74748262174</v>
          </cell>
          <cell r="AA318">
            <v>0</v>
          </cell>
          <cell r="AB318">
            <v>0</v>
          </cell>
          <cell r="AD318">
            <v>15459.341226866112</v>
          </cell>
          <cell r="AE318">
            <v>15589.545801273818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7610.9698778881902</v>
          </cell>
          <cell r="AQ318">
            <v>9498.5455346783547</v>
          </cell>
          <cell r="AS318">
            <v>55005.759766065792</v>
          </cell>
          <cell r="AT318">
            <v>7011.4662921983272</v>
          </cell>
          <cell r="AV318">
            <v>2245.0798977360078</v>
          </cell>
          <cell r="AW318">
            <v>0</v>
          </cell>
          <cell r="AY318">
            <v>3832.9714267496038</v>
          </cell>
          <cell r="AZ318">
            <v>944.70188941412084</v>
          </cell>
          <cell r="BB318">
            <v>1820.4043385088703</v>
          </cell>
          <cell r="BC318">
            <v>779.56306004609996</v>
          </cell>
          <cell r="BE318">
            <v>0</v>
          </cell>
          <cell r="BF318">
            <v>0</v>
          </cell>
          <cell r="BH318">
            <v>838.7553748021536</v>
          </cell>
          <cell r="BI318">
            <v>0</v>
          </cell>
          <cell r="BK318">
            <v>1827.727636786582</v>
          </cell>
          <cell r="BL318">
            <v>0</v>
          </cell>
          <cell r="BN318">
            <v>112.9351271028635</v>
          </cell>
          <cell r="BO318">
            <v>11687.024298487751</v>
          </cell>
          <cell r="BT318">
            <v>35272.520340344767</v>
          </cell>
          <cell r="BU318">
            <v>53607.241010970596</v>
          </cell>
          <cell r="BW318">
            <v>23807.642477867117</v>
          </cell>
          <cell r="BX318">
            <v>27392.378479872605</v>
          </cell>
          <cell r="BZ318">
            <v>4635.3460310620931</v>
          </cell>
          <cell r="CA318">
            <v>426.30313040165925</v>
          </cell>
          <cell r="CC318">
            <v>2096.5316921409858</v>
          </cell>
          <cell r="CD318">
            <v>2100.5786184848739</v>
          </cell>
          <cell r="CF318">
            <v>260.06532953119358</v>
          </cell>
          <cell r="CG318">
            <v>1148.0617956607732</v>
          </cell>
          <cell r="CI318">
            <v>8053.6434621253411</v>
          </cell>
          <cell r="CJ318">
            <v>3144.8279741710221</v>
          </cell>
          <cell r="CL318">
            <v>0</v>
          </cell>
          <cell r="CM318">
            <v>0</v>
          </cell>
          <cell r="CX318">
            <v>18701.994480092035</v>
          </cell>
          <cell r="CY318">
            <v>54597.111384238779</v>
          </cell>
          <cell r="DA318">
            <v>38672.429466780159</v>
          </cell>
          <cell r="DC318">
            <v>85316.35</v>
          </cell>
          <cell r="DD318">
            <v>17799.740000000002</v>
          </cell>
          <cell r="DE318">
            <v>57637.210000000006</v>
          </cell>
          <cell r="DF318">
            <v>12492.110000000002</v>
          </cell>
          <cell r="DW318">
            <v>1359</v>
          </cell>
          <cell r="DX318">
            <v>0</v>
          </cell>
        </row>
        <row r="319">
          <cell r="F319">
            <v>2741.6</v>
          </cell>
          <cell r="G319">
            <v>0</v>
          </cell>
          <cell r="H319">
            <v>0</v>
          </cell>
          <cell r="I319">
            <v>9350.283200493308</v>
          </cell>
          <cell r="J319">
            <v>9322.5040627381077</v>
          </cell>
          <cell r="L319">
            <v>1791.7386426831436</v>
          </cell>
          <cell r="M319">
            <v>1866.5651411898446</v>
          </cell>
          <cell r="O319">
            <v>3529.9978596670271</v>
          </cell>
          <cell r="P319">
            <v>3541.3219575442381</v>
          </cell>
          <cell r="R319">
            <v>0</v>
          </cell>
          <cell r="S319">
            <v>0</v>
          </cell>
          <cell r="U319">
            <v>187.10196558541708</v>
          </cell>
          <cell r="V319">
            <v>107.9445908639935</v>
          </cell>
          <cell r="X319">
            <v>5933.1874600295059</v>
          </cell>
          <cell r="Y319">
            <v>5737.2022201151622</v>
          </cell>
          <cell r="AA319">
            <v>0</v>
          </cell>
          <cell r="AB319">
            <v>0</v>
          </cell>
          <cell r="AD319">
            <v>9936.827836322791</v>
          </cell>
          <cell r="AE319">
            <v>9697.2687970162187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4618.2889315169004</v>
          </cell>
          <cell r="AQ319">
            <v>4317.0251871449709</v>
          </cell>
          <cell r="AS319">
            <v>41014.468973659743</v>
          </cell>
          <cell r="AT319">
            <v>2632.7352126046358</v>
          </cell>
          <cell r="AV319">
            <v>1477.6101805684305</v>
          </cell>
          <cell r="AW319">
            <v>0</v>
          </cell>
          <cell r="AY319">
            <v>2280.8654098364714</v>
          </cell>
          <cell r="AZ319">
            <v>1258.4046860032297</v>
          </cell>
          <cell r="BB319">
            <v>1375.7324915172933</v>
          </cell>
          <cell r="BC319">
            <v>2901.7891789117189</v>
          </cell>
          <cell r="BE319">
            <v>0</v>
          </cell>
          <cell r="BF319">
            <v>0</v>
          </cell>
          <cell r="BH319">
            <v>110.27308797143304</v>
          </cell>
          <cell r="BI319">
            <v>0</v>
          </cell>
          <cell r="BK319">
            <v>1181.4027928961177</v>
          </cell>
          <cell r="BL319">
            <v>179.7251651707027</v>
          </cell>
          <cell r="BN319">
            <v>75.290084735242345</v>
          </cell>
          <cell r="BO319">
            <v>3089.3021136974285</v>
          </cell>
          <cell r="BT319">
            <v>25515.672070153396</v>
          </cell>
          <cell r="BU319">
            <v>37690.09683852084</v>
          </cell>
          <cell r="BW319">
            <v>15659.936775823269</v>
          </cell>
          <cell r="BX319">
            <v>17058.560185930819</v>
          </cell>
          <cell r="BZ319">
            <v>4203.3535253142236</v>
          </cell>
          <cell r="CA319">
            <v>380.2422048242002</v>
          </cell>
          <cell r="CC319">
            <v>1516.4217907503019</v>
          </cell>
          <cell r="CD319">
            <v>1519.3489333813618</v>
          </cell>
          <cell r="CF319">
            <v>188.10530467919097</v>
          </cell>
          <cell r="CG319">
            <v>0</v>
          </cell>
          <cell r="CI319">
            <v>6442.8446153104705</v>
          </cell>
          <cell r="CJ319">
            <v>1395.3029672619462</v>
          </cell>
          <cell r="CL319">
            <v>0</v>
          </cell>
          <cell r="CM319">
            <v>0</v>
          </cell>
          <cell r="CX319">
            <v>8193.9337340666752</v>
          </cell>
          <cell r="CY319">
            <v>48626.810001979757</v>
          </cell>
          <cell r="DA319">
            <v>-27414.096991486542</v>
          </cell>
          <cell r="DC319">
            <v>48061.81</v>
          </cell>
          <cell r="DD319">
            <v>0</v>
          </cell>
          <cell r="DE319">
            <v>25620.429999999997</v>
          </cell>
          <cell r="DF319">
            <v>0</v>
          </cell>
          <cell r="DW319">
            <v>1062</v>
          </cell>
          <cell r="DX319">
            <v>0</v>
          </cell>
        </row>
        <row r="320">
          <cell r="F320">
            <v>4244.42</v>
          </cell>
          <cell r="G320">
            <v>410.5</v>
          </cell>
          <cell r="H320">
            <v>0</v>
          </cell>
          <cell r="I320">
            <v>14607.332669369614</v>
          </cell>
          <cell r="J320">
            <v>14729.791803523005</v>
          </cell>
          <cell r="L320">
            <v>2373.8961016050557</v>
          </cell>
          <cell r="M320">
            <v>2484.004220382355</v>
          </cell>
          <cell r="O320">
            <v>4907.9034600712303</v>
          </cell>
          <cell r="P320">
            <v>4925.7236421802418</v>
          </cell>
          <cell r="R320">
            <v>1217.6678554074977</v>
          </cell>
          <cell r="S320">
            <v>1221.7798477973663</v>
          </cell>
          <cell r="U320">
            <v>698.04917977812886</v>
          </cell>
          <cell r="V320">
            <v>462.92587044919895</v>
          </cell>
          <cell r="X320">
            <v>5099.0392715996923</v>
          </cell>
          <cell r="Y320">
            <v>5705.6634740029804</v>
          </cell>
          <cell r="AA320">
            <v>0</v>
          </cell>
          <cell r="AB320">
            <v>0</v>
          </cell>
          <cell r="AD320">
            <v>15392.227685687805</v>
          </cell>
          <cell r="AE320">
            <v>15020.703115961413</v>
          </cell>
          <cell r="AJ320">
            <v>50754.907531670506</v>
          </cell>
          <cell r="AK320">
            <v>47893.900096703182</v>
          </cell>
          <cell r="AM320">
            <v>0</v>
          </cell>
          <cell r="AN320">
            <v>0</v>
          </cell>
          <cell r="AP320">
            <v>2914.6658418135858</v>
          </cell>
          <cell r="AQ320">
            <v>3106.1426767644216</v>
          </cell>
          <cell r="AS320">
            <v>59688.561266798097</v>
          </cell>
          <cell r="AT320">
            <v>72.747629616974706</v>
          </cell>
          <cell r="AV320">
            <v>1369.187731014556</v>
          </cell>
          <cell r="AW320">
            <v>0</v>
          </cell>
          <cell r="AY320">
            <v>1722.0906915743788</v>
          </cell>
          <cell r="AZ320">
            <v>0</v>
          </cell>
          <cell r="BB320">
            <v>1946.3020966997997</v>
          </cell>
          <cell r="BC320">
            <v>0</v>
          </cell>
          <cell r="BE320">
            <v>575.3046520685017</v>
          </cell>
          <cell r="BF320">
            <v>1112.8421518724895</v>
          </cell>
          <cell r="BH320">
            <v>368.22666700111392</v>
          </cell>
          <cell r="BI320">
            <v>0</v>
          </cell>
          <cell r="BK320">
            <v>943.7652304696885</v>
          </cell>
          <cell r="BL320">
            <v>0</v>
          </cell>
          <cell r="BN320">
            <v>112.9351271028635</v>
          </cell>
          <cell r="BO320">
            <v>0</v>
          </cell>
          <cell r="BT320">
            <v>46590.758676149861</v>
          </cell>
          <cell r="BU320">
            <v>66095.782642216858</v>
          </cell>
          <cell r="BW320">
            <v>34374.615223812805</v>
          </cell>
          <cell r="BX320">
            <v>43096.064540212079</v>
          </cell>
          <cell r="BZ320">
            <v>5000.2530676018232</v>
          </cell>
          <cell r="CA320">
            <v>534.17425861404911</v>
          </cell>
          <cell r="CC320">
            <v>1602.0886764578563</v>
          </cell>
          <cell r="CD320">
            <v>1605.1811815195765</v>
          </cell>
          <cell r="CF320">
            <v>198.73189665724729</v>
          </cell>
          <cell r="CG320">
            <v>0</v>
          </cell>
          <cell r="CI320">
            <v>14357.34522621468</v>
          </cell>
          <cell r="CJ320">
            <v>16599.213114717779</v>
          </cell>
          <cell r="CL320">
            <v>9231.2579298317323</v>
          </cell>
          <cell r="CM320">
            <v>12426.230115250579</v>
          </cell>
          <cell r="CX320">
            <v>7597.0336428481478</v>
          </cell>
          <cell r="CY320">
            <v>54342.12569245648</v>
          </cell>
          <cell r="DA320">
            <v>19745.822670407098</v>
          </cell>
          <cell r="DC320">
            <v>70500.62</v>
          </cell>
          <cell r="DD320">
            <v>0</v>
          </cell>
          <cell r="DE320">
            <v>26491.989999999998</v>
          </cell>
          <cell r="DF320">
            <v>0</v>
          </cell>
          <cell r="DW320">
            <v>1062</v>
          </cell>
          <cell r="DX320">
            <v>0</v>
          </cell>
        </row>
        <row r="321">
          <cell r="F321">
            <v>2712.45</v>
          </cell>
          <cell r="G321">
            <v>0</v>
          </cell>
          <cell r="H321">
            <v>0</v>
          </cell>
          <cell r="I321">
            <v>9532.8287806721528</v>
          </cell>
          <cell r="J321">
            <v>9623.2412433334866</v>
          </cell>
          <cell r="L321">
            <v>1773.0318378911224</v>
          </cell>
          <cell r="M321">
            <v>1852.5534458923653</v>
          </cell>
          <cell r="O321">
            <v>3625.3612329444186</v>
          </cell>
          <cell r="P321">
            <v>3637.5012978362302</v>
          </cell>
          <cell r="R321">
            <v>0</v>
          </cell>
          <cell r="S321">
            <v>0</v>
          </cell>
          <cell r="U321">
            <v>274.41621619194507</v>
          </cell>
          <cell r="V321">
            <v>158.31873326719051</v>
          </cell>
          <cell r="X321">
            <v>6095.5649123465719</v>
          </cell>
          <cell r="Y321">
            <v>5803.5168802257831</v>
          </cell>
          <cell r="AA321">
            <v>0</v>
          </cell>
          <cell r="AB321">
            <v>0</v>
          </cell>
          <cell r="AD321">
            <v>9830.5913643507338</v>
          </cell>
          <cell r="AE321">
            <v>9593.6241381662167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4618.2889315169004</v>
          </cell>
          <cell r="AQ321">
            <v>8601.1879137324686</v>
          </cell>
          <cell r="AS321">
            <v>39790.126775057935</v>
          </cell>
          <cell r="AT321">
            <v>3087.0785531706142</v>
          </cell>
          <cell r="AV321">
            <v>1524.8672074788442</v>
          </cell>
          <cell r="AW321">
            <v>0</v>
          </cell>
          <cell r="AY321">
            <v>2086.8009556034085</v>
          </cell>
          <cell r="AZ321">
            <v>1198.7071082293417</v>
          </cell>
          <cell r="BB321">
            <v>1525.4803079251915</v>
          </cell>
          <cell r="BC321">
            <v>0</v>
          </cell>
          <cell r="BE321">
            <v>0</v>
          </cell>
          <cell r="BF321">
            <v>0</v>
          </cell>
          <cell r="BH321">
            <v>161.73386235810182</v>
          </cell>
          <cell r="BI321">
            <v>0</v>
          </cell>
          <cell r="BK321">
            <v>1343.9531779343315</v>
          </cell>
          <cell r="BL321">
            <v>0</v>
          </cell>
          <cell r="BN321">
            <v>75.290084735242345</v>
          </cell>
          <cell r="BO321">
            <v>3529.4487595704632</v>
          </cell>
          <cell r="BT321">
            <v>29218.631753608162</v>
          </cell>
          <cell r="BU321">
            <v>47199.726898742854</v>
          </cell>
          <cell r="BW321">
            <v>15803.785102081771</v>
          </cell>
          <cell r="BX321">
            <v>17285.675691983968</v>
          </cell>
          <cell r="BZ321">
            <v>4913.5359595859636</v>
          </cell>
          <cell r="CA321">
            <v>392.62819630096391</v>
          </cell>
          <cell r="CC321">
            <v>1517.3702272467649</v>
          </cell>
          <cell r="CD321">
            <v>1520.2992006408215</v>
          </cell>
          <cell r="CF321">
            <v>188.22295396201207</v>
          </cell>
          <cell r="CG321">
            <v>0</v>
          </cell>
          <cell r="CI321">
            <v>11602.047197503918</v>
          </cell>
          <cell r="CJ321">
            <v>6472.7752154323507</v>
          </cell>
          <cell r="CL321">
            <v>0</v>
          </cell>
          <cell r="CM321">
            <v>0</v>
          </cell>
          <cell r="CX321">
            <v>8750.9579820752078</v>
          </cell>
          <cell r="CY321">
            <v>39405.732659439644</v>
          </cell>
          <cell r="DA321">
            <v>12404.950714843697</v>
          </cell>
          <cell r="DC321">
            <v>77271.039999999994</v>
          </cell>
          <cell r="DD321">
            <v>0</v>
          </cell>
          <cell r="DE321">
            <v>53409.499999999993</v>
          </cell>
          <cell r="DF321">
            <v>0</v>
          </cell>
          <cell r="DW321">
            <v>918</v>
          </cell>
          <cell r="DX321">
            <v>0</v>
          </cell>
        </row>
        <row r="322">
          <cell r="F322">
            <v>472.1</v>
          </cell>
          <cell r="G322">
            <v>0</v>
          </cell>
          <cell r="H322">
            <v>0</v>
          </cell>
          <cell r="I322">
            <v>1672.0004084572186</v>
          </cell>
          <cell r="J322">
            <v>1670.2779066416294</v>
          </cell>
          <cell r="L322">
            <v>395.45420964692909</v>
          </cell>
          <cell r="M322">
            <v>412.97372624402971</v>
          </cell>
          <cell r="O322">
            <v>577.87665645420202</v>
          </cell>
          <cell r="P322">
            <v>580.15542784652837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>
            <v>692.12302409963036</v>
          </cell>
          <cell r="Y322">
            <v>2461.6835253532304</v>
          </cell>
          <cell r="AA322">
            <v>0</v>
          </cell>
          <cell r="AB322">
            <v>0</v>
          </cell>
          <cell r="AD322">
            <v>1711.2083948194527</v>
          </cell>
          <cell r="AE322">
            <v>1669.949018321553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1255.0087664888001</v>
          </cell>
          <cell r="AQ322">
            <v>940.60969150615665</v>
          </cell>
          <cell r="AS322">
            <v>6113.3771960747281</v>
          </cell>
          <cell r="AT322">
            <v>223.08876527141891</v>
          </cell>
          <cell r="AV322">
            <v>293.08999460261663</v>
          </cell>
          <cell r="AW322">
            <v>0</v>
          </cell>
          <cell r="AY322">
            <v>464.26679129979578</v>
          </cell>
          <cell r="AZ322">
            <v>0</v>
          </cell>
          <cell r="BB322">
            <v>162.74855360376466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107.03232386101456</v>
          </cell>
          <cell r="BL322">
            <v>0</v>
          </cell>
          <cell r="BN322">
            <v>18.822521183810586</v>
          </cell>
          <cell r="BO322">
            <v>934.49465035000003</v>
          </cell>
          <cell r="BT322">
            <v>4466.7494892725472</v>
          </cell>
          <cell r="BU322">
            <v>6473.1522440031385</v>
          </cell>
          <cell r="BW322">
            <v>3329.9179355876263</v>
          </cell>
          <cell r="BX322">
            <v>3410.3533414556859</v>
          </cell>
          <cell r="BZ322">
            <v>500.71368430592941</v>
          </cell>
          <cell r="CA322">
            <v>87.287533054676942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1098.7443814053265</v>
          </cell>
          <cell r="CJ322">
            <v>318.27294389746328</v>
          </cell>
          <cell r="CL322">
            <v>0</v>
          </cell>
          <cell r="CM322">
            <v>0</v>
          </cell>
          <cell r="CX322">
            <v>325.7822247598441</v>
          </cell>
          <cell r="CY322">
            <v>4737.9848934212987</v>
          </cell>
          <cell r="DA322">
            <v>-2712.9268181384286</v>
          </cell>
          <cell r="DC322">
            <v>3031.75</v>
          </cell>
          <cell r="DD322">
            <v>0</v>
          </cell>
          <cell r="DE322">
            <v>-568.67999999999984</v>
          </cell>
          <cell r="DF322">
            <v>0</v>
          </cell>
          <cell r="DW322">
            <v>0</v>
          </cell>
          <cell r="DX322">
            <v>0</v>
          </cell>
        </row>
        <row r="323">
          <cell r="F323">
            <v>6211.85</v>
          </cell>
          <cell r="G323">
            <v>656.15</v>
          </cell>
          <cell r="H323">
            <v>0</v>
          </cell>
          <cell r="I323">
            <v>22672.206272924472</v>
          </cell>
          <cell r="J323">
            <v>22748.446523707928</v>
          </cell>
          <cell r="L323">
            <v>3611.6713927455867</v>
          </cell>
          <cell r="M323">
            <v>3776.9539988542074</v>
          </cell>
          <cell r="O323">
            <v>7121.3755672904717</v>
          </cell>
          <cell r="P323">
            <v>7145.662702411023</v>
          </cell>
          <cell r="R323">
            <v>1740.7293705485586</v>
          </cell>
          <cell r="S323">
            <v>1745.3424953142719</v>
          </cell>
          <cell r="U323">
            <v>1000.3965733306683</v>
          </cell>
          <cell r="V323">
            <v>667.47167135600955</v>
          </cell>
          <cell r="X323">
            <v>8763.8619099958287</v>
          </cell>
          <cell r="Y323">
            <v>8796.0805763867356</v>
          </cell>
          <cell r="AA323">
            <v>0</v>
          </cell>
          <cell r="AB323">
            <v>0</v>
          </cell>
          <cell r="AD323">
            <v>22516.361475621656</v>
          </cell>
          <cell r="AE323">
            <v>21973.441075259474</v>
          </cell>
          <cell r="AJ323">
            <v>74745.963698761887</v>
          </cell>
          <cell r="AK323">
            <v>72323.05983688157</v>
          </cell>
          <cell r="AM323">
            <v>302.92842272642292</v>
          </cell>
          <cell r="AN323">
            <v>132.89625523195463</v>
          </cell>
          <cell r="AP323">
            <v>4663.4653469017348</v>
          </cell>
          <cell r="AQ323">
            <v>4815.2725721437882</v>
          </cell>
          <cell r="AS323">
            <v>92438.99961999162</v>
          </cell>
          <cell r="AT323">
            <v>107551.65826843727</v>
          </cell>
          <cell r="AV323">
            <v>2252.8520659620754</v>
          </cell>
          <cell r="AW323">
            <v>1353.7407385015222</v>
          </cell>
          <cell r="AY323">
            <v>2622.9889949146577</v>
          </cell>
          <cell r="AZ323">
            <v>7636.7491493079069</v>
          </cell>
          <cell r="BB323">
            <v>2928.4497985635867</v>
          </cell>
          <cell r="BC323">
            <v>806.97263289390003</v>
          </cell>
          <cell r="BE323">
            <v>836.7882365023894</v>
          </cell>
          <cell r="BF323">
            <v>0</v>
          </cell>
          <cell r="BH323">
            <v>524.77156308524661</v>
          </cell>
          <cell r="BI323">
            <v>0</v>
          </cell>
          <cell r="BK323">
            <v>1347.3963151308617</v>
          </cell>
          <cell r="BL323">
            <v>3665.0134018810268</v>
          </cell>
          <cell r="BN323">
            <v>166.26560379032685</v>
          </cell>
          <cell r="BO323">
            <v>6791.1842891599999</v>
          </cell>
          <cell r="BT323">
            <v>84402.18518293518</v>
          </cell>
          <cell r="BU323">
            <v>106954.2018299394</v>
          </cell>
          <cell r="BW323">
            <v>44733.824416486052</v>
          </cell>
          <cell r="BX323">
            <v>52214.785532476504</v>
          </cell>
          <cell r="BZ323">
            <v>4720.8547167821744</v>
          </cell>
          <cell r="CA323">
            <v>771.94783402486496</v>
          </cell>
          <cell r="CC323">
            <v>1686.6789585748311</v>
          </cell>
          <cell r="CD323">
            <v>1689.9347479038101</v>
          </cell>
          <cell r="CF323">
            <v>209.22494080074995</v>
          </cell>
          <cell r="CG323">
            <v>0</v>
          </cell>
          <cell r="CI323">
            <v>27464.065958530002</v>
          </cell>
          <cell r="CJ323">
            <v>17556.546303418989</v>
          </cell>
          <cell r="CL323">
            <v>15793.131117129857</v>
          </cell>
          <cell r="CM323">
            <v>22424.533846394181</v>
          </cell>
          <cell r="CX323">
            <v>12048.421940992384</v>
          </cell>
          <cell r="CY323">
            <v>-41080.928573239013</v>
          </cell>
          <cell r="DA323">
            <v>-109055.39907482127</v>
          </cell>
          <cell r="DC323">
            <v>139028.15</v>
          </cell>
          <cell r="DD323">
            <v>0</v>
          </cell>
          <cell r="DE323">
            <v>70613.51999999999</v>
          </cell>
          <cell r="DF323">
            <v>0</v>
          </cell>
          <cell r="DW323">
            <v>1400.3999999999999</v>
          </cell>
          <cell r="DX323">
            <v>0</v>
          </cell>
        </row>
        <row r="324">
          <cell r="F324">
            <v>3895.01</v>
          </cell>
          <cell r="G324">
            <v>0</v>
          </cell>
          <cell r="H324">
            <v>463.5</v>
          </cell>
          <cell r="I324">
            <v>10063.391602349875</v>
          </cell>
          <cell r="J324">
            <v>10111.666311234185</v>
          </cell>
          <cell r="L324">
            <v>1325.1360950510771</v>
          </cell>
          <cell r="M324">
            <v>1383.2814625743335</v>
          </cell>
          <cell r="O324">
            <v>4577.7602690662416</v>
          </cell>
          <cell r="P324">
            <v>4593.336072701306</v>
          </cell>
          <cell r="R324">
            <v>1165.8679144682346</v>
          </cell>
          <cell r="S324">
            <v>1168.8746468086686</v>
          </cell>
          <cell r="U324">
            <v>680.40505262012971</v>
          </cell>
          <cell r="V324">
            <v>454.11625134754678</v>
          </cell>
          <cell r="X324">
            <v>5109.9317874064518</v>
          </cell>
          <cell r="Y324">
            <v>5037.0717282204096</v>
          </cell>
          <cell r="AA324">
            <v>0</v>
          </cell>
          <cell r="AB324">
            <v>0</v>
          </cell>
          <cell r="AD324">
            <v>15796.15569354577</v>
          </cell>
          <cell r="AE324">
            <v>15415.39672185581</v>
          </cell>
          <cell r="AJ324">
            <v>33720.550016351342</v>
          </cell>
          <cell r="AK324">
            <v>28820.818698983247</v>
          </cell>
          <cell r="AM324">
            <v>302.92842272642292</v>
          </cell>
          <cell r="AN324">
            <v>1312.4125389748624</v>
          </cell>
          <cell r="AP324">
            <v>2664.8373410867066</v>
          </cell>
          <cell r="AQ324">
            <v>0</v>
          </cell>
          <cell r="AS324">
            <v>60829.32456511083</v>
          </cell>
          <cell r="AT324">
            <v>132247.96687475516</v>
          </cell>
          <cell r="AV324">
            <v>3096.0582809123262</v>
          </cell>
          <cell r="AW324">
            <v>0</v>
          </cell>
          <cell r="AY324">
            <v>881.16053907393643</v>
          </cell>
          <cell r="AZ324">
            <v>743.34082157950525</v>
          </cell>
          <cell r="BB324">
            <v>1781.9748331025421</v>
          </cell>
          <cell r="BC324">
            <v>1054.5142952903445</v>
          </cell>
          <cell r="BE324">
            <v>569.68023434211557</v>
          </cell>
          <cell r="BF324">
            <v>0</v>
          </cell>
          <cell r="BH324">
            <v>356.87825452294589</v>
          </cell>
          <cell r="BI324">
            <v>0</v>
          </cell>
          <cell r="BK324">
            <v>878.64887924574145</v>
          </cell>
          <cell r="BL324">
            <v>1865.6780041508889</v>
          </cell>
          <cell r="BN324">
            <v>0</v>
          </cell>
          <cell r="BO324">
            <v>0</v>
          </cell>
          <cell r="BT324">
            <v>38775.535029449878</v>
          </cell>
          <cell r="BU324">
            <v>49534.726958120198</v>
          </cell>
          <cell r="BW324">
            <v>27656.231523519029</v>
          </cell>
          <cell r="BX324">
            <v>32605.312683469168</v>
          </cell>
          <cell r="BZ324">
            <v>1658.6786842748179</v>
          </cell>
          <cell r="CA324">
            <v>480.05795284110235</v>
          </cell>
          <cell r="CC324">
            <v>1007.3933597567</v>
          </cell>
          <cell r="CD324">
            <v>1009.3379269395098</v>
          </cell>
          <cell r="CF324">
            <v>124.96261661807711</v>
          </cell>
          <cell r="CG324">
            <v>0</v>
          </cell>
          <cell r="CI324">
            <v>12882.95290947901</v>
          </cell>
          <cell r="CJ324">
            <v>14620.923268274337</v>
          </cell>
          <cell r="CL324">
            <v>19570.92491607599</v>
          </cell>
          <cell r="CM324">
            <v>21933.970760620272</v>
          </cell>
          <cell r="CX324">
            <v>6412.4757375738573</v>
          </cell>
          <cell r="CY324">
            <v>-88286.046452727649</v>
          </cell>
          <cell r="DA324">
            <v>59061.555412408197</v>
          </cell>
          <cell r="DC324">
            <v>75947.98</v>
          </cell>
          <cell r="DD324">
            <v>163.03</v>
          </cell>
          <cell r="DE324">
            <v>39157.14</v>
          </cell>
          <cell r="DF324">
            <v>-2585.6099999999997</v>
          </cell>
          <cell r="DW324">
            <v>1138.5</v>
          </cell>
          <cell r="DX324">
            <v>0</v>
          </cell>
        </row>
        <row r="325">
          <cell r="F325">
            <v>8353.4</v>
          </cell>
          <cell r="G325">
            <v>0</v>
          </cell>
          <cell r="H325">
            <v>1736</v>
          </cell>
          <cell r="I325">
            <v>30565.782719429164</v>
          </cell>
          <cell r="J325">
            <v>30545.30351315024</v>
          </cell>
          <cell r="L325">
            <v>5228.8214313350272</v>
          </cell>
          <cell r="M325">
            <v>5471.2037804482115</v>
          </cell>
          <cell r="O325">
            <v>10403.931509650287</v>
          </cell>
          <cell r="P325">
            <v>10436.428957526621</v>
          </cell>
          <cell r="R325">
            <v>2570.0094926056631</v>
          </cell>
          <cell r="S325">
            <v>2575.9236764270145</v>
          </cell>
          <cell r="U325">
            <v>1424.322015222617</v>
          </cell>
          <cell r="V325">
            <v>950.3543164076807</v>
          </cell>
          <cell r="X325">
            <v>11620.105092386202</v>
          </cell>
          <cell r="Y325">
            <v>11642.283783936624</v>
          </cell>
          <cell r="AA325">
            <v>0</v>
          </cell>
          <cell r="AB325">
            <v>0</v>
          </cell>
          <cell r="AD325">
            <v>36184.609844007689</v>
          </cell>
          <cell r="AE325">
            <v>35915.006478447089</v>
          </cell>
          <cell r="AJ325">
            <v>73094.069003564233</v>
          </cell>
          <cell r="AK325">
            <v>68973.846014825438</v>
          </cell>
          <cell r="AM325">
            <v>0</v>
          </cell>
          <cell r="AN325">
            <v>0</v>
          </cell>
          <cell r="AP325">
            <v>5496.2270159913314</v>
          </cell>
          <cell r="AQ325">
            <v>5647.8731513373723</v>
          </cell>
          <cell r="AS325">
            <v>137218.38483833105</v>
          </cell>
          <cell r="AT325">
            <v>139913.57139455521</v>
          </cell>
          <cell r="AV325">
            <v>3459.2221026679608</v>
          </cell>
          <cell r="AW325">
            <v>827.64827069082219</v>
          </cell>
          <cell r="AY325">
            <v>3618.8763616583151</v>
          </cell>
          <cell r="AZ325">
            <v>1228.8074627065296</v>
          </cell>
          <cell r="BB325">
            <v>4136.5822686695738</v>
          </cell>
          <cell r="BC325">
            <v>0</v>
          </cell>
          <cell r="BE325">
            <v>1387.2815450092376</v>
          </cell>
          <cell r="BF325">
            <v>765</v>
          </cell>
          <cell r="BH325">
            <v>747.09784745108846</v>
          </cell>
          <cell r="BI325">
            <v>5019.5085951419278</v>
          </cell>
          <cell r="BK325">
            <v>1566.4907948563516</v>
          </cell>
          <cell r="BL325">
            <v>591.35038148288879</v>
          </cell>
          <cell r="BN325">
            <v>225.87025420572701</v>
          </cell>
          <cell r="BO325">
            <v>6356.8062330399998</v>
          </cell>
          <cell r="BT325">
            <v>104258.84302263748</v>
          </cell>
          <cell r="BU325">
            <v>138611.40762795263</v>
          </cell>
          <cell r="BW325">
            <v>72153.396445215316</v>
          </cell>
          <cell r="BX325">
            <v>84115.039253841125</v>
          </cell>
          <cell r="BZ325">
            <v>4465.673380739895</v>
          </cell>
          <cell r="CA325">
            <v>895.29223454070848</v>
          </cell>
          <cell r="CC325">
            <v>2098.8643332539082</v>
          </cell>
          <cell r="CD325">
            <v>2102.9157622851667</v>
          </cell>
          <cell r="CF325">
            <v>260.35468317272654</v>
          </cell>
          <cell r="CG325">
            <v>0</v>
          </cell>
          <cell r="CI325">
            <v>17166.939992218751</v>
          </cell>
          <cell r="CJ325">
            <v>13692.883406771098</v>
          </cell>
          <cell r="CL325">
            <v>18376.108611795004</v>
          </cell>
          <cell r="CM325">
            <v>28007.98059472569</v>
          </cell>
          <cell r="CX325">
            <v>9326.3538239346526</v>
          </cell>
          <cell r="CY325">
            <v>-46543.930517063869</v>
          </cell>
          <cell r="DA325">
            <v>91014.39046975461</v>
          </cell>
          <cell r="DC325">
            <v>223220.8</v>
          </cell>
          <cell r="DD325">
            <v>164480.88</v>
          </cell>
          <cell r="DE325">
            <v>146449.29999999999</v>
          </cell>
          <cell r="DF325">
            <v>155307.20000000001</v>
          </cell>
          <cell r="DW325">
            <v>1375.1999999999998</v>
          </cell>
          <cell r="DX325">
            <v>0</v>
          </cell>
        </row>
        <row r="326">
          <cell r="F326">
            <v>3581.3</v>
          </cell>
          <cell r="G326">
            <v>455.7</v>
          </cell>
          <cell r="H326">
            <v>0</v>
          </cell>
          <cell r="I326">
            <v>9541.8875723459932</v>
          </cell>
          <cell r="J326">
            <v>9549.8026992552441</v>
          </cell>
          <cell r="L326">
            <v>2358.7639611794875</v>
          </cell>
          <cell r="M326">
            <v>2471.8892736542334</v>
          </cell>
          <cell r="O326">
            <v>4134.4075092272869</v>
          </cell>
          <cell r="P326">
            <v>4148.5121149760907</v>
          </cell>
          <cell r="R326">
            <v>1019.1541628473093</v>
          </cell>
          <cell r="S326">
            <v>1021.5801714182203</v>
          </cell>
          <cell r="U326">
            <v>669.98388494031633</v>
          </cell>
          <cell r="V326">
            <v>446.7341818196</v>
          </cell>
          <cell r="X326">
            <v>7444.8264478201772</v>
          </cell>
          <cell r="Y326">
            <v>7956.8878886764496</v>
          </cell>
          <cell r="AA326">
            <v>0</v>
          </cell>
          <cell r="AB326">
            <v>0</v>
          </cell>
          <cell r="AD326">
            <v>12981.043474617467</v>
          </cell>
          <cell r="AE326">
            <v>12668.054266712514</v>
          </cell>
          <cell r="AJ326">
            <v>30356.298051843045</v>
          </cell>
          <cell r="AK326">
            <v>28645.193555327816</v>
          </cell>
          <cell r="AM326">
            <v>302.92842272642292</v>
          </cell>
          <cell r="AN326">
            <v>1179.5162837429077</v>
          </cell>
          <cell r="AP326">
            <v>2664.8373410867066</v>
          </cell>
          <cell r="AQ326">
            <v>329.94737273098917</v>
          </cell>
          <cell r="AS326">
            <v>77057.219098423346</v>
          </cell>
          <cell r="AT326">
            <v>13684.106784831067</v>
          </cell>
          <cell r="AV326">
            <v>1065.2991236020475</v>
          </cell>
          <cell r="AW326">
            <v>1584.5592261573313</v>
          </cell>
          <cell r="AY326">
            <v>1499.6814199136084</v>
          </cell>
          <cell r="AZ326">
            <v>988.62579973266759</v>
          </cell>
          <cell r="BB326">
            <v>1617.032676682551</v>
          </cell>
          <cell r="BC326">
            <v>0</v>
          </cell>
          <cell r="BE326">
            <v>499.91201586618911</v>
          </cell>
          <cell r="BF326">
            <v>0</v>
          </cell>
          <cell r="BH326">
            <v>351.68570380539899</v>
          </cell>
          <cell r="BI326">
            <v>0</v>
          </cell>
          <cell r="BK326">
            <v>1354.9906360225618</v>
          </cell>
          <cell r="BL326">
            <v>0</v>
          </cell>
          <cell r="BN326">
            <v>75.290084735242345</v>
          </cell>
          <cell r="BO326">
            <v>0</v>
          </cell>
          <cell r="BT326">
            <v>19256.452992260172</v>
          </cell>
          <cell r="BU326">
            <v>31459.13027643058</v>
          </cell>
          <cell r="BW326">
            <v>37640.763126893551</v>
          </cell>
          <cell r="BX326">
            <v>37241.477682557743</v>
          </cell>
          <cell r="BZ326">
            <v>7529.3112332236415</v>
          </cell>
          <cell r="CA326">
            <v>338.31808187528873</v>
          </cell>
          <cell r="CC326">
            <v>1265.7782214958229</v>
          </cell>
          <cell r="CD326">
            <v>1268.221547894987</v>
          </cell>
          <cell r="CF326">
            <v>157.01409691095796</v>
          </cell>
          <cell r="CG326">
            <v>0</v>
          </cell>
          <cell r="CI326">
            <v>4380.2246795683641</v>
          </cell>
          <cell r="CJ326">
            <v>1702.9738769233531</v>
          </cell>
          <cell r="CL326">
            <v>5538.3165515067158</v>
          </cell>
          <cell r="CM326">
            <v>7321.8435848523868</v>
          </cell>
          <cell r="CX326">
            <v>8603.2044560325121</v>
          </cell>
          <cell r="CY326">
            <v>88710.077840002457</v>
          </cell>
          <cell r="DA326">
            <v>-237587.99517458194</v>
          </cell>
          <cell r="DC326">
            <v>110372.23</v>
          </cell>
          <cell r="DD326">
            <v>0</v>
          </cell>
          <cell r="DE326">
            <v>73209.7</v>
          </cell>
          <cell r="DF326">
            <v>0</v>
          </cell>
          <cell r="DW326">
            <v>909</v>
          </cell>
          <cell r="DX326">
            <v>0</v>
          </cell>
        </row>
        <row r="327">
          <cell r="F327">
            <v>4073.8</v>
          </cell>
          <cell r="G327">
            <v>501.2</v>
          </cell>
          <cell r="H327">
            <v>0</v>
          </cell>
          <cell r="I327">
            <v>9616.9246017878631</v>
          </cell>
          <cell r="J327">
            <v>9719.8942792065591</v>
          </cell>
          <cell r="L327">
            <v>1377.921489806304</v>
          </cell>
          <cell r="M327">
            <v>1442.3256989637068</v>
          </cell>
          <cell r="O327">
            <v>4747.7996717688138</v>
          </cell>
          <cell r="P327">
            <v>4764.3859702829623</v>
          </cell>
          <cell r="R327">
            <v>1231.2503246476649</v>
          </cell>
          <cell r="S327">
            <v>1234.3045522606999</v>
          </cell>
          <cell r="U327">
            <v>669.98388494031633</v>
          </cell>
          <cell r="V327">
            <v>446.7341818196</v>
          </cell>
          <cell r="X327">
            <v>7506.7510528158746</v>
          </cell>
          <cell r="Y327">
            <v>7307.8834195378022</v>
          </cell>
          <cell r="AA327">
            <v>0</v>
          </cell>
          <cell r="AB327">
            <v>0</v>
          </cell>
          <cell r="AD327">
            <v>14766.195210369595</v>
          </cell>
          <cell r="AE327">
            <v>14410.16375945423</v>
          </cell>
          <cell r="AJ327">
            <v>35177.442962755638</v>
          </cell>
          <cell r="AK327">
            <v>34483.618016603694</v>
          </cell>
          <cell r="AM327">
            <v>302.92842272642292</v>
          </cell>
          <cell r="AN327">
            <v>0</v>
          </cell>
          <cell r="AP327">
            <v>2664.8373410867066</v>
          </cell>
          <cell r="AQ327">
            <v>235.67669480784943</v>
          </cell>
          <cell r="AS327">
            <v>88476.059347527684</v>
          </cell>
          <cell r="AT327">
            <v>105848.48708581051</v>
          </cell>
          <cell r="AV327">
            <v>1001.3933728025436</v>
          </cell>
          <cell r="AW327">
            <v>0</v>
          </cell>
          <cell r="AY327">
            <v>912.24910731328123</v>
          </cell>
          <cell r="AZ327">
            <v>0</v>
          </cell>
          <cell r="BB327">
            <v>1778.8691572128857</v>
          </cell>
          <cell r="BC327">
            <v>0</v>
          </cell>
          <cell r="BE327">
            <v>602.3896422175543</v>
          </cell>
          <cell r="BF327">
            <v>0</v>
          </cell>
          <cell r="BH327">
            <v>351.68570380539899</v>
          </cell>
          <cell r="BI327">
            <v>0</v>
          </cell>
          <cell r="BK327">
            <v>1234.3028883755019</v>
          </cell>
          <cell r="BL327">
            <v>2162.744805579337</v>
          </cell>
          <cell r="BN327">
            <v>75.290084735242345</v>
          </cell>
          <cell r="BO327">
            <v>5361.4028103199998</v>
          </cell>
          <cell r="BT327">
            <v>26546.12742651056</v>
          </cell>
          <cell r="BU327">
            <v>40822.703304717063</v>
          </cell>
          <cell r="BW327">
            <v>34273.600779862645</v>
          </cell>
          <cell r="BX327">
            <v>34579.269083880077</v>
          </cell>
          <cell r="BZ327">
            <v>9679.1101127643451</v>
          </cell>
          <cell r="CA327">
            <v>401.7459227947258</v>
          </cell>
          <cell r="CC327">
            <v>1478.7919319176597</v>
          </cell>
          <cell r="CD327">
            <v>1481.6464377898301</v>
          </cell>
          <cell r="CF327">
            <v>183.43748989050553</v>
          </cell>
          <cell r="CG327">
            <v>0</v>
          </cell>
          <cell r="CI327">
            <v>6852.4238767831175</v>
          </cell>
          <cell r="CJ327">
            <v>4907.6965098190458</v>
          </cell>
          <cell r="CL327">
            <v>7904.1546593811363</v>
          </cell>
          <cell r="CM327">
            <v>10530.848555205623</v>
          </cell>
          <cell r="CX327">
            <v>6101.7926957793406</v>
          </cell>
          <cell r="CY327">
            <v>-18773.739958278271</v>
          </cell>
          <cell r="DA327">
            <v>-59408.803095865704</v>
          </cell>
          <cell r="DC327">
            <v>71943.22</v>
          </cell>
          <cell r="DD327">
            <v>0</v>
          </cell>
          <cell r="DE327">
            <v>30708.1</v>
          </cell>
          <cell r="DF327">
            <v>0</v>
          </cell>
          <cell r="DW327">
            <v>909</v>
          </cell>
          <cell r="DX327">
            <v>0</v>
          </cell>
        </row>
        <row r="328">
          <cell r="F328">
            <v>4388.5</v>
          </cell>
          <cell r="G328">
            <v>446.3</v>
          </cell>
          <cell r="H328">
            <v>0</v>
          </cell>
          <cell r="I328">
            <v>14118.392739514815</v>
          </cell>
          <cell r="J328">
            <v>14111.362555506919</v>
          </cell>
          <cell r="L328">
            <v>2412.3738539473607</v>
          </cell>
          <cell r="M328">
            <v>2522.8578198457308</v>
          </cell>
          <cell r="O328">
            <v>5055.6147930783436</v>
          </cell>
          <cell r="P328">
            <v>5072.1029400824664</v>
          </cell>
          <cell r="R328">
            <v>1219.7482994830495</v>
          </cell>
          <cell r="S328">
            <v>1223.9087362979469</v>
          </cell>
          <cell r="U328">
            <v>679.33898321958713</v>
          </cell>
          <cell r="V328">
            <v>452.13141136279961</v>
          </cell>
          <cell r="X328">
            <v>5282.420379098603</v>
          </cell>
          <cell r="Y328">
            <v>4996.376273235287</v>
          </cell>
          <cell r="AA328">
            <v>0</v>
          </cell>
          <cell r="AB328">
            <v>0</v>
          </cell>
          <cell r="AD328">
            <v>15903.416560921496</v>
          </cell>
          <cell r="AE328">
            <v>15520.147192438168</v>
          </cell>
          <cell r="AJ328">
            <v>25145.133436829703</v>
          </cell>
          <cell r="AK328">
            <v>31334.873843227957</v>
          </cell>
          <cell r="AM328">
            <v>1513.0813707298173</v>
          </cell>
          <cell r="AN328">
            <v>2053.4591369852164</v>
          </cell>
          <cell r="AP328">
            <v>3122.8562590859833</v>
          </cell>
          <cell r="AQ328">
            <v>3251.1194591148155</v>
          </cell>
          <cell r="AS328">
            <v>83335.44095790459</v>
          </cell>
          <cell r="AT328">
            <v>69508.415481888645</v>
          </cell>
          <cell r="AV328">
            <v>1460.6260317244451</v>
          </cell>
          <cell r="AW328">
            <v>0</v>
          </cell>
          <cell r="AY328">
            <v>1751.6156523458812</v>
          </cell>
          <cell r="AZ328">
            <v>2503.5151930568909</v>
          </cell>
          <cell r="BB328">
            <v>2013.3155846406269</v>
          </cell>
          <cell r="BC328">
            <v>43831.745340195077</v>
          </cell>
          <cell r="BE328">
            <v>617.13355067223677</v>
          </cell>
          <cell r="BF328">
            <v>0</v>
          </cell>
          <cell r="BH328">
            <v>357.19935820397058</v>
          </cell>
          <cell r="BI328">
            <v>7531.899884688265</v>
          </cell>
          <cell r="BK328">
            <v>1210.8750592163638</v>
          </cell>
          <cell r="BL328">
            <v>6115.2138298589334</v>
          </cell>
          <cell r="BN328">
            <v>112.9351271028635</v>
          </cell>
          <cell r="BO328">
            <v>3008.4290945600001</v>
          </cell>
          <cell r="BT328">
            <v>27258.971840578277</v>
          </cell>
          <cell r="BU328">
            <v>23788.285705715261</v>
          </cell>
          <cell r="BW328">
            <v>26087.589372264541</v>
          </cell>
          <cell r="BX328">
            <v>9138.4144306328471</v>
          </cell>
          <cell r="BZ328">
            <v>9642.0130650949177</v>
          </cell>
          <cell r="CA328">
            <v>248.46524931041853</v>
          </cell>
          <cell r="CC328">
            <v>1384.2046164595877</v>
          </cell>
          <cell r="CD328">
            <v>1386.8765408329141</v>
          </cell>
          <cell r="CF328">
            <v>171.70435871186166</v>
          </cell>
          <cell r="CG328">
            <v>0</v>
          </cell>
          <cell r="CI328">
            <v>7118.0307533006453</v>
          </cell>
          <cell r="CJ328">
            <v>11451.95103768525</v>
          </cell>
          <cell r="CL328">
            <v>5249.5801961070565</v>
          </cell>
          <cell r="CM328">
            <v>6022.5688369026648</v>
          </cell>
          <cell r="CX328">
            <v>6382.9894353816089</v>
          </cell>
          <cell r="CY328">
            <v>-21037.619916443866</v>
          </cell>
          <cell r="DA328">
            <v>-18565.948778365346</v>
          </cell>
          <cell r="DC328">
            <v>56783.95</v>
          </cell>
          <cell r="DD328">
            <v>0</v>
          </cell>
          <cell r="DE328">
            <v>18214.25</v>
          </cell>
          <cell r="DF328">
            <v>0</v>
          </cell>
          <cell r="DW328">
            <v>909</v>
          </cell>
          <cell r="DX328">
            <v>0</v>
          </cell>
        </row>
        <row r="329">
          <cell r="F329">
            <v>5045.5</v>
          </cell>
          <cell r="G329">
            <v>0</v>
          </cell>
          <cell r="H329">
            <v>175.8</v>
          </cell>
          <cell r="I329">
            <v>10132.792589734612</v>
          </cell>
          <cell r="J329">
            <v>10221.121932532355</v>
          </cell>
          <cell r="L329">
            <v>1760.0162202333454</v>
          </cell>
          <cell r="M329">
            <v>1839.9024016969188</v>
          </cell>
          <cell r="O329">
            <v>5950.4735194285586</v>
          </cell>
          <cell r="P329">
            <v>5970.9279151879564</v>
          </cell>
          <cell r="R329">
            <v>1380.5956913980606</v>
          </cell>
          <cell r="S329">
            <v>1384.7102014716427</v>
          </cell>
          <cell r="U329">
            <v>680.40505262012971</v>
          </cell>
          <cell r="V329">
            <v>454.11625134754678</v>
          </cell>
          <cell r="X329">
            <v>6291.5010998385105</v>
          </cell>
          <cell r="Y329">
            <v>6013.0761224000898</v>
          </cell>
          <cell r="AA329">
            <v>0</v>
          </cell>
          <cell r="AB329">
            <v>0</v>
          </cell>
          <cell r="AD329">
            <v>18930.126035888545</v>
          </cell>
          <cell r="AE329">
            <v>18473.454449977602</v>
          </cell>
          <cell r="AJ329">
            <v>33042.516198640289</v>
          </cell>
          <cell r="AK329">
            <v>30777.792811321571</v>
          </cell>
          <cell r="AM329">
            <v>0</v>
          </cell>
          <cell r="AN329">
            <v>0</v>
          </cell>
          <cell r="AP329">
            <v>2789.7515914501455</v>
          </cell>
          <cell r="AQ329">
            <v>0</v>
          </cell>
          <cell r="AS329">
            <v>93672.605998021478</v>
          </cell>
          <cell r="AT329">
            <v>68333.117807633971</v>
          </cell>
          <cell r="AV329">
            <v>1209.8714143665707</v>
          </cell>
          <cell r="AW329">
            <v>0</v>
          </cell>
          <cell r="AY329">
            <v>1255.8253644137869</v>
          </cell>
          <cell r="AZ329">
            <v>0</v>
          </cell>
          <cell r="BB329">
            <v>2540.2827837981222</v>
          </cell>
          <cell r="BC329">
            <v>806.97263289390003</v>
          </cell>
          <cell r="BE329">
            <v>662.74810205751146</v>
          </cell>
          <cell r="BF329">
            <v>0</v>
          </cell>
          <cell r="BH329">
            <v>356.87825452294589</v>
          </cell>
          <cell r="BI329">
            <v>0</v>
          </cell>
          <cell r="BK329">
            <v>1066.1056440904349</v>
          </cell>
          <cell r="BL329">
            <v>0</v>
          </cell>
          <cell r="BN329">
            <v>0</v>
          </cell>
          <cell r="BO329">
            <v>0</v>
          </cell>
          <cell r="BT329">
            <v>23462.43571250821</v>
          </cell>
          <cell r="BU329">
            <v>37999.135154608157</v>
          </cell>
          <cell r="BW329">
            <v>41690.302978629923</v>
          </cell>
          <cell r="BX329">
            <v>45967.32370204827</v>
          </cell>
          <cell r="BZ329">
            <v>5974.5279043005612</v>
          </cell>
          <cell r="CA329">
            <v>357.58434528346606</v>
          </cell>
          <cell r="CC329">
            <v>1103.5186803441716</v>
          </cell>
          <cell r="CD329">
            <v>1105.6487978306843</v>
          </cell>
          <cell r="CF329">
            <v>136.88653041751192</v>
          </cell>
          <cell r="CG329">
            <v>0</v>
          </cell>
          <cell r="CI329">
            <v>11372.786413995695</v>
          </cell>
          <cell r="CJ329">
            <v>13092.895140524581</v>
          </cell>
          <cell r="CL329">
            <v>12002.283039673157</v>
          </cell>
          <cell r="CM329">
            <v>17015.404531929686</v>
          </cell>
          <cell r="CX329">
            <v>10011.631511091191</v>
          </cell>
          <cell r="CY329">
            <v>31194.094657111847</v>
          </cell>
          <cell r="DA329">
            <v>-157206.05065101883</v>
          </cell>
          <cell r="DC329">
            <v>67884.09</v>
          </cell>
          <cell r="DD329">
            <v>2454.23</v>
          </cell>
          <cell r="DE329">
            <v>24318.229999999996</v>
          </cell>
          <cell r="DF329">
            <v>1427.73</v>
          </cell>
          <cell r="DW329">
            <v>918</v>
          </cell>
          <cell r="DX329">
            <v>0</v>
          </cell>
        </row>
        <row r="330">
          <cell r="F330">
            <v>3937.18</v>
          </cell>
          <cell r="G330">
            <v>436.6</v>
          </cell>
          <cell r="H330">
            <v>0</v>
          </cell>
          <cell r="I330">
            <v>9654.8219895010498</v>
          </cell>
          <cell r="J330">
            <v>9738.6049741773277</v>
          </cell>
          <cell r="L330">
            <v>2359.3160766545661</v>
          </cell>
          <cell r="M330">
            <v>2468.488586853357</v>
          </cell>
          <cell r="O330">
            <v>4473.3877433535208</v>
          </cell>
          <cell r="P330">
            <v>4487.9713087931805</v>
          </cell>
          <cell r="R330">
            <v>1081.5564239581925</v>
          </cell>
          <cell r="S330">
            <v>1084.7993936402024</v>
          </cell>
          <cell r="U330">
            <v>669.98388494031633</v>
          </cell>
          <cell r="V330">
            <v>446.7341818196</v>
          </cell>
          <cell r="X330">
            <v>7761.5103397695557</v>
          </cell>
          <cell r="Y330">
            <v>7308.0270482933674</v>
          </cell>
          <cell r="AA330">
            <v>0</v>
          </cell>
          <cell r="AB330">
            <v>0</v>
          </cell>
          <cell r="AD330">
            <v>14268.625633781539</v>
          </cell>
          <cell r="AE330">
            <v>13924.715515279177</v>
          </cell>
          <cell r="AJ330">
            <v>36543.563141920735</v>
          </cell>
          <cell r="AK330">
            <v>34483.618016603694</v>
          </cell>
          <cell r="AM330">
            <v>0</v>
          </cell>
          <cell r="AN330">
            <v>0</v>
          </cell>
          <cell r="AP330">
            <v>2997.9420087225444</v>
          </cell>
          <cell r="AQ330">
            <v>3152.4735047716536</v>
          </cell>
          <cell r="AS330">
            <v>95390.021894727106</v>
          </cell>
          <cell r="AT330">
            <v>143811.01491959608</v>
          </cell>
          <cell r="AV330">
            <v>857.57763713424515</v>
          </cell>
          <cell r="AW330">
            <v>0</v>
          </cell>
          <cell r="AY330">
            <v>1226.7353803972919</v>
          </cell>
          <cell r="AZ330">
            <v>1796.5116058778501</v>
          </cell>
          <cell r="BB330">
            <v>1211.4992045969077</v>
          </cell>
          <cell r="BC330">
            <v>1496.4044294833034</v>
          </cell>
          <cell r="BE330">
            <v>358.33494561915558</v>
          </cell>
          <cell r="BF330">
            <v>0</v>
          </cell>
          <cell r="BH330">
            <v>244.82850259447883</v>
          </cell>
          <cell r="BI330">
            <v>0</v>
          </cell>
          <cell r="BK330">
            <v>1047.8782528579313</v>
          </cell>
          <cell r="BL330">
            <v>0</v>
          </cell>
          <cell r="BN330">
            <v>75.290084735242345</v>
          </cell>
          <cell r="BO330">
            <v>4962.5748764399996</v>
          </cell>
          <cell r="BT330">
            <v>20767.196054451328</v>
          </cell>
          <cell r="BU330">
            <v>32026.36217099784</v>
          </cell>
          <cell r="BW330">
            <v>34107.778789724733</v>
          </cell>
          <cell r="BX330">
            <v>35378.167134802054</v>
          </cell>
          <cell r="BZ330">
            <v>7505.7522326928574</v>
          </cell>
          <cell r="CA330">
            <v>366.97152421391013</v>
          </cell>
          <cell r="CC330">
            <v>1231.9421086490331</v>
          </cell>
          <cell r="CD330">
            <v>1234.3201213412935</v>
          </cell>
          <cell r="CF330">
            <v>152.81687925355692</v>
          </cell>
          <cell r="CG330">
            <v>0</v>
          </cell>
          <cell r="CI330">
            <v>4624.5979803645723</v>
          </cell>
          <cell r="CJ330">
            <v>4278.9854880742905</v>
          </cell>
          <cell r="CL330">
            <v>7144.5959779896702</v>
          </cell>
          <cell r="CM330">
            <v>9806.1179117267093</v>
          </cell>
          <cell r="CX330">
            <v>7210.0593600910606</v>
          </cell>
          <cell r="CY330">
            <v>-60584.312093182729</v>
          </cell>
          <cell r="DA330">
            <v>101846.93589232638</v>
          </cell>
          <cell r="DC330">
            <v>62349.120000000003</v>
          </cell>
          <cell r="DD330">
            <v>0</v>
          </cell>
          <cell r="DE330">
            <v>21590.630000000005</v>
          </cell>
          <cell r="DF330">
            <v>0</v>
          </cell>
          <cell r="DW330">
            <v>909</v>
          </cell>
          <cell r="DX330">
            <v>0</v>
          </cell>
        </row>
        <row r="331">
          <cell r="F331">
            <v>6309.2</v>
          </cell>
          <cell r="G331">
            <v>689.99</v>
          </cell>
          <cell r="H331">
            <v>0</v>
          </cell>
          <cell r="I331">
            <v>22211.30356534143</v>
          </cell>
          <cell r="J331">
            <v>22203.517879823794</v>
          </cell>
          <cell r="L331">
            <v>3670.5498390323078</v>
          </cell>
          <cell r="M331">
            <v>3858.5687088168393</v>
          </cell>
          <cell r="O331">
            <v>7312.3129388291845</v>
          </cell>
          <cell r="P331">
            <v>7336.0073040307216</v>
          </cell>
          <cell r="R331">
            <v>1728.4243466319076</v>
          </cell>
          <cell r="S331">
            <v>1735.6508911914816</v>
          </cell>
          <cell r="U331">
            <v>1000.3965733306683</v>
          </cell>
          <cell r="V331">
            <v>667.47167135600955</v>
          </cell>
          <cell r="X331">
            <v>8738.8667245586876</v>
          </cell>
          <cell r="Y331">
            <v>9271.9735885226146</v>
          </cell>
          <cell r="AA331">
            <v>0</v>
          </cell>
          <cell r="AB331">
            <v>0</v>
          </cell>
          <cell r="AD331">
            <v>22864.57668824197</v>
          </cell>
          <cell r="AE331">
            <v>22313.504449509743</v>
          </cell>
          <cell r="AJ331">
            <v>76132.371805637536</v>
          </cell>
          <cell r="AK331">
            <v>71840.869956839699</v>
          </cell>
          <cell r="AM331">
            <v>0</v>
          </cell>
          <cell r="AN331">
            <v>0</v>
          </cell>
          <cell r="AP331">
            <v>4496.9130130838166</v>
          </cell>
          <cell r="AQ331">
            <v>4826.166852426627</v>
          </cell>
          <cell r="AS331">
            <v>105653.3890564828</v>
          </cell>
          <cell r="AT331">
            <v>50240.603139808365</v>
          </cell>
          <cell r="AV331">
            <v>2114.9859868938674</v>
          </cell>
          <cell r="AW331">
            <v>0</v>
          </cell>
          <cell r="AY331">
            <v>2427.6414986691234</v>
          </cell>
          <cell r="AZ331">
            <v>0</v>
          </cell>
          <cell r="BB331">
            <v>5703.344077129751</v>
          </cell>
          <cell r="BC331">
            <v>1167.3358808091759</v>
          </cell>
          <cell r="BE331">
            <v>1562.6383127075064</v>
          </cell>
          <cell r="BF331">
            <v>931</v>
          </cell>
          <cell r="BH331">
            <v>524.77156308524661</v>
          </cell>
          <cell r="BI331">
            <v>5082.5942977019095</v>
          </cell>
          <cell r="BK331">
            <v>2382.5311997422032</v>
          </cell>
          <cell r="BL331">
            <v>668.47560115347426</v>
          </cell>
          <cell r="BN331">
            <v>166.26560379032685</v>
          </cell>
          <cell r="BO331">
            <v>0</v>
          </cell>
          <cell r="BT331">
            <v>36816.677231466674</v>
          </cell>
          <cell r="BU331">
            <v>69675.481595582183</v>
          </cell>
          <cell r="BW331">
            <v>31624.065179658821</v>
          </cell>
          <cell r="BX331">
            <v>36735.898948766058</v>
          </cell>
          <cell r="BZ331">
            <v>8361.0744777009022</v>
          </cell>
          <cell r="CA331">
            <v>453.55012696110327</v>
          </cell>
          <cell r="CC331">
            <v>2018.6317323368987</v>
          </cell>
          <cell r="CD331">
            <v>2022.5282887146666</v>
          </cell>
          <cell r="CF331">
            <v>250.40218978813158</v>
          </cell>
          <cell r="CG331">
            <v>0</v>
          </cell>
          <cell r="CI331">
            <v>24499.551003187091</v>
          </cell>
          <cell r="CJ331">
            <v>18836.808282247555</v>
          </cell>
          <cell r="CL331">
            <v>12401.321781385548</v>
          </cell>
          <cell r="CM331">
            <v>19722.838885536556</v>
          </cell>
          <cell r="CX331">
            <v>10896.937927584215</v>
          </cell>
          <cell r="CY331">
            <v>52983.529974280806</v>
          </cell>
          <cell r="DA331">
            <v>-54282.859676251333</v>
          </cell>
          <cell r="DC331">
            <v>68393.240000000005</v>
          </cell>
          <cell r="DD331">
            <v>0</v>
          </cell>
          <cell r="DE331">
            <v>6989.9800000000032</v>
          </cell>
          <cell r="DF331">
            <v>0</v>
          </cell>
          <cell r="DW331">
            <v>1400.3999999999999</v>
          </cell>
          <cell r="DX331">
            <v>0</v>
          </cell>
        </row>
        <row r="332">
          <cell r="F332">
            <v>6280.52</v>
          </cell>
          <cell r="G332">
            <v>653.29</v>
          </cell>
          <cell r="H332">
            <v>44.2</v>
          </cell>
          <cell r="I332">
            <v>22020.617179395271</v>
          </cell>
          <cell r="J332">
            <v>22071.988009961329</v>
          </cell>
          <cell r="L332">
            <v>3709.8991752347783</v>
          </cell>
          <cell r="M332">
            <v>3891.8106877031942</v>
          </cell>
          <cell r="O332">
            <v>7329.06988103189</v>
          </cell>
          <cell r="P332">
            <v>7355.577769507252</v>
          </cell>
          <cell r="R332">
            <v>1722.1117330361599</v>
          </cell>
          <cell r="S332">
            <v>1727.2881400380631</v>
          </cell>
          <cell r="U332">
            <v>1000.3965733306683</v>
          </cell>
          <cell r="V332">
            <v>667.47167135600955</v>
          </cell>
          <cell r="X332">
            <v>8339.2774041000539</v>
          </cell>
          <cell r="Y332">
            <v>7990.2716859117299</v>
          </cell>
          <cell r="AA332">
            <v>0</v>
          </cell>
          <cell r="AB332">
            <v>0</v>
          </cell>
          <cell r="AD332">
            <v>22925.045454103976</v>
          </cell>
          <cell r="AE332">
            <v>22372.293910524659</v>
          </cell>
          <cell r="AJ332">
            <v>72337.612211302083</v>
          </cell>
          <cell r="AK332">
            <v>58478.138314493735</v>
          </cell>
          <cell r="AM332">
            <v>605.85684545284585</v>
          </cell>
          <cell r="AN332">
            <v>0</v>
          </cell>
          <cell r="AP332">
            <v>4413.6368461748571</v>
          </cell>
          <cell r="AQ332">
            <v>4596.5990105288029</v>
          </cell>
          <cell r="AS332">
            <v>106593.25146663797</v>
          </cell>
          <cell r="AT332">
            <v>18416.697665579413</v>
          </cell>
          <cell r="AV332">
            <v>2142.2052846235893</v>
          </cell>
          <cell r="AW332">
            <v>699.26964881168954</v>
          </cell>
          <cell r="AY332">
            <v>2495.8431316466194</v>
          </cell>
          <cell r="AZ332">
            <v>2002.4325358207007</v>
          </cell>
          <cell r="BB332">
            <v>5644.1148909776402</v>
          </cell>
          <cell r="BC332">
            <v>0</v>
          </cell>
          <cell r="BE332">
            <v>1562.926333962846</v>
          </cell>
          <cell r="BF332">
            <v>9894.0245454838514</v>
          </cell>
          <cell r="BH332">
            <v>524.77156308524661</v>
          </cell>
          <cell r="BI332">
            <v>0</v>
          </cell>
          <cell r="BK332">
            <v>2391.5410472916183</v>
          </cell>
          <cell r="BL332">
            <v>3214.6469570142176</v>
          </cell>
          <cell r="BN332">
            <v>166.26560379032685</v>
          </cell>
          <cell r="BO332">
            <v>0</v>
          </cell>
          <cell r="BT332">
            <v>37402.003000629331</v>
          </cell>
          <cell r="BU332">
            <v>59683.221458908694</v>
          </cell>
          <cell r="BW332">
            <v>34755.49972146863</v>
          </cell>
          <cell r="BX332">
            <v>37637.506108961272</v>
          </cell>
          <cell r="BZ332">
            <v>8322.5804241567512</v>
          </cell>
          <cell r="CA332">
            <v>432.71450608092221</v>
          </cell>
          <cell r="CC332">
            <v>2137.8271298653635</v>
          </cell>
          <cell r="CD332">
            <v>2141.9537686197232</v>
          </cell>
          <cell r="CF332">
            <v>265.18784289943085</v>
          </cell>
          <cell r="CG332">
            <v>0</v>
          </cell>
          <cell r="CI332">
            <v>15194.89667806927</v>
          </cell>
          <cell r="CJ332">
            <v>6571.9704402261796</v>
          </cell>
          <cell r="CL332">
            <v>11515.913118591166</v>
          </cell>
          <cell r="CM332">
            <v>17041.246713128865</v>
          </cell>
          <cell r="CX332">
            <v>1415.7572635405131</v>
          </cell>
          <cell r="CY332">
            <v>107773.22965417831</v>
          </cell>
          <cell r="DA332">
            <v>-34251.875245330972</v>
          </cell>
          <cell r="DC332">
            <v>98791.88</v>
          </cell>
          <cell r="DD332">
            <v>0</v>
          </cell>
          <cell r="DE332">
            <v>42334.890000000007</v>
          </cell>
          <cell r="DF332">
            <v>-290.41000000000003</v>
          </cell>
          <cell r="DW332">
            <v>1341</v>
          </cell>
          <cell r="DX332">
            <v>4274.3999999999996</v>
          </cell>
        </row>
        <row r="333">
          <cell r="F333">
            <v>6336.6</v>
          </cell>
          <cell r="G333">
            <v>691.97</v>
          </cell>
          <cell r="H333">
            <v>0</v>
          </cell>
          <cell r="I333">
            <v>22223.356801061072</v>
          </cell>
          <cell r="J333">
            <v>22272.007692121391</v>
          </cell>
          <cell r="L333">
            <v>3660.764402641139</v>
          </cell>
          <cell r="M333">
            <v>3848.1541054891545</v>
          </cell>
          <cell r="O333">
            <v>7352.3844038507923</v>
          </cell>
          <cell r="P333">
            <v>7376.345688263993</v>
          </cell>
          <cell r="R333">
            <v>1786.0137113576418</v>
          </cell>
          <cell r="S333">
            <v>1790.8628540606753</v>
          </cell>
          <cell r="U333">
            <v>1000.3965733306683</v>
          </cell>
          <cell r="V333">
            <v>667.47167135600955</v>
          </cell>
          <cell r="X333">
            <v>8191.2982701320752</v>
          </cell>
          <cell r="Y333">
            <v>7763.0288943310106</v>
          </cell>
          <cell r="AA333">
            <v>0</v>
          </cell>
          <cell r="AB333">
            <v>0</v>
          </cell>
          <cell r="AD333">
            <v>22964.03705351481</v>
          </cell>
          <cell r="AE333">
            <v>22410.559121172024</v>
          </cell>
          <cell r="AJ333">
            <v>45575.853676732739</v>
          </cell>
          <cell r="AK333">
            <v>43006.824138428317</v>
          </cell>
          <cell r="AM333">
            <v>908.80628444281319</v>
          </cell>
          <cell r="AN333">
            <v>1312.4125389748624</v>
          </cell>
          <cell r="AP333">
            <v>4496.9130130838166</v>
          </cell>
          <cell r="AQ333">
            <v>4986.0072095728356</v>
          </cell>
          <cell r="AS333">
            <v>104247.4452156889</v>
          </cell>
          <cell r="AT333">
            <v>92408.505429700323</v>
          </cell>
          <cell r="AV333">
            <v>2051.5839217207276</v>
          </cell>
          <cell r="AW333">
            <v>0</v>
          </cell>
          <cell r="AY333">
            <v>2421.4073501104449</v>
          </cell>
          <cell r="AZ333">
            <v>0</v>
          </cell>
          <cell r="BB333">
            <v>5911.8883621880141</v>
          </cell>
          <cell r="BC333">
            <v>0</v>
          </cell>
          <cell r="BE333">
            <v>1933.6227265143973</v>
          </cell>
          <cell r="BF333">
            <v>0</v>
          </cell>
          <cell r="BH333">
            <v>524.77156308524661</v>
          </cell>
          <cell r="BI333">
            <v>0</v>
          </cell>
          <cell r="BK333">
            <v>2370.6051253162177</v>
          </cell>
          <cell r="BL333">
            <v>1917.9951146321905</v>
          </cell>
          <cell r="BN333">
            <v>166.26560379032685</v>
          </cell>
          <cell r="BO333">
            <v>8175.1790823560004</v>
          </cell>
          <cell r="BT333">
            <v>37948.581937596682</v>
          </cell>
          <cell r="BU333">
            <v>58940.268258187301</v>
          </cell>
          <cell r="BW333">
            <v>35964.380640872761</v>
          </cell>
          <cell r="BX333">
            <v>38944.787166773633</v>
          </cell>
          <cell r="BZ333">
            <v>9297.6731953983253</v>
          </cell>
          <cell r="CA333">
            <v>424.6627261525968</v>
          </cell>
          <cell r="CC333">
            <v>2137.314461488897</v>
          </cell>
          <cell r="CD333">
            <v>2141.4401106416367</v>
          </cell>
          <cell r="CF333">
            <v>265.12424869250049</v>
          </cell>
          <cell r="CG333">
            <v>1101.7677194636176</v>
          </cell>
          <cell r="CI333">
            <v>12505.028736204076</v>
          </cell>
          <cell r="CJ333">
            <v>11890.490700874545</v>
          </cell>
          <cell r="CL333">
            <v>18943.323643006606</v>
          </cell>
          <cell r="CM333">
            <v>17827.899491218697</v>
          </cell>
          <cell r="CX333">
            <v>10077.721843617201</v>
          </cell>
          <cell r="CY333">
            <v>16848.327293278297</v>
          </cell>
          <cell r="DA333">
            <v>-53469.164738254847</v>
          </cell>
          <cell r="DC333">
            <v>138638.56</v>
          </cell>
          <cell r="DD333">
            <v>0</v>
          </cell>
          <cell r="DE333">
            <v>81610.89</v>
          </cell>
          <cell r="DF333">
            <v>0</v>
          </cell>
          <cell r="DW333">
            <v>1044</v>
          </cell>
          <cell r="DX333">
            <v>0</v>
          </cell>
        </row>
        <row r="334">
          <cell r="F334">
            <v>6232.15</v>
          </cell>
          <cell r="G334">
            <v>576.05999999999995</v>
          </cell>
          <cell r="H334">
            <v>115.1</v>
          </cell>
          <cell r="I334">
            <v>21899.849158383906</v>
          </cell>
          <cell r="J334">
            <v>21883.197267652205</v>
          </cell>
          <cell r="L334">
            <v>3493.798003434757</v>
          </cell>
          <cell r="M334">
            <v>3661.4122773592958</v>
          </cell>
          <cell r="O334">
            <v>7355.2092743197609</v>
          </cell>
          <cell r="P334">
            <v>7381.0792361260628</v>
          </cell>
          <cell r="R334">
            <v>1737.1723466319072</v>
          </cell>
          <cell r="S334">
            <v>1743.6508911914816</v>
          </cell>
          <cell r="U334">
            <v>1000.3965733306683</v>
          </cell>
          <cell r="V334">
            <v>667.47167135600955</v>
          </cell>
          <cell r="X334">
            <v>8252.0733547400177</v>
          </cell>
          <cell r="Y334">
            <v>8345.7409700406497</v>
          </cell>
          <cell r="AA334">
            <v>0</v>
          </cell>
          <cell r="AB334">
            <v>0</v>
          </cell>
          <cell r="AD334">
            <v>23006.997968380176</v>
          </cell>
          <cell r="AE334">
            <v>22452.25528769537</v>
          </cell>
          <cell r="AJ334">
            <v>47029.170333342809</v>
          </cell>
          <cell r="AK334">
            <v>42819.499789946254</v>
          </cell>
          <cell r="AM334">
            <v>908.80628444281319</v>
          </cell>
          <cell r="AN334">
            <v>3283.1929165817633</v>
          </cell>
          <cell r="AP334">
            <v>4413.6368461748571</v>
          </cell>
          <cell r="AQ334">
            <v>4836.5396569998447</v>
          </cell>
          <cell r="AS334">
            <v>99534.113259184553</v>
          </cell>
          <cell r="AT334">
            <v>18911.498254347196</v>
          </cell>
          <cell r="AV334">
            <v>2149.9841274229102</v>
          </cell>
          <cell r="AW334">
            <v>0</v>
          </cell>
          <cell r="AY334">
            <v>2424.5735719196973</v>
          </cell>
          <cell r="AZ334">
            <v>3303.2015722511933</v>
          </cell>
          <cell r="BB334">
            <v>5295.4210046617136</v>
          </cell>
          <cell r="BC334">
            <v>2578.7466017190914</v>
          </cell>
          <cell r="BE334">
            <v>1571.0541643107931</v>
          </cell>
          <cell r="BF334">
            <v>353.86828631974277</v>
          </cell>
          <cell r="BH334">
            <v>524.77156308524661</v>
          </cell>
          <cell r="BI334">
            <v>0</v>
          </cell>
          <cell r="BK334">
            <v>2377.6333947849303</v>
          </cell>
          <cell r="BL334">
            <v>16317.667678251553</v>
          </cell>
          <cell r="BN334">
            <v>166.26560379032685</v>
          </cell>
          <cell r="BO334">
            <v>0</v>
          </cell>
          <cell r="BT334">
            <v>35807.40894581037</v>
          </cell>
          <cell r="BU334">
            <v>62342.3331342643</v>
          </cell>
          <cell r="BW334">
            <v>31046.098223341323</v>
          </cell>
          <cell r="BX334">
            <v>33854.380760258202</v>
          </cell>
          <cell r="BZ334">
            <v>9514.3604778964545</v>
          </cell>
          <cell r="CA334">
            <v>427.9093274915906</v>
          </cell>
          <cell r="CC334">
            <v>1987.8716297489084</v>
          </cell>
          <cell r="CD334">
            <v>1991.7088100294907</v>
          </cell>
          <cell r="CF334">
            <v>246.58653737231245</v>
          </cell>
          <cell r="CG334">
            <v>0</v>
          </cell>
          <cell r="CI334">
            <v>23739.5568682292</v>
          </cell>
          <cell r="CJ334">
            <v>29543.800260292719</v>
          </cell>
          <cell r="CL334">
            <v>12700.465960956702</v>
          </cell>
          <cell r="CM334">
            <v>20629.136517048501</v>
          </cell>
          <cell r="CX334">
            <v>9833.0808359659932</v>
          </cell>
          <cell r="CY334">
            <v>58859.062006135522</v>
          </cell>
          <cell r="DA334">
            <v>-29610.773721889738</v>
          </cell>
          <cell r="DC334">
            <v>102985.13</v>
          </cell>
          <cell r="DD334">
            <v>0</v>
          </cell>
          <cell r="DE334">
            <v>48237.240000000005</v>
          </cell>
          <cell r="DF334">
            <v>-705.56</v>
          </cell>
          <cell r="DW334">
            <v>1044</v>
          </cell>
          <cell r="DX334">
            <v>0</v>
          </cell>
        </row>
        <row r="335">
          <cell r="F335">
            <v>5865.08</v>
          </cell>
          <cell r="G335">
            <v>0</v>
          </cell>
          <cell r="H335">
            <v>0</v>
          </cell>
          <cell r="I335">
            <v>18057.127825426407</v>
          </cell>
          <cell r="J335">
            <v>18034.34152449244</v>
          </cell>
          <cell r="L335">
            <v>3731.6283685118369</v>
          </cell>
          <cell r="M335">
            <v>3917.5201173905011</v>
          </cell>
          <cell r="O335">
            <v>7797.7219748295765</v>
          </cell>
          <cell r="P335">
            <v>7825.7536577153451</v>
          </cell>
          <cell r="R335">
            <v>0</v>
          </cell>
          <cell r="S335">
            <v>0</v>
          </cell>
          <cell r="U335">
            <v>1352.3862971900487</v>
          </cell>
          <cell r="V335">
            <v>934.85549214666253</v>
          </cell>
          <cell r="X335">
            <v>16922.250505256816</v>
          </cell>
          <cell r="Y335">
            <v>16845.326108522742</v>
          </cell>
          <cell r="AA335">
            <v>0</v>
          </cell>
          <cell r="AB335">
            <v>0</v>
          </cell>
          <cell r="AD335">
            <v>21256.114305745748</v>
          </cell>
          <cell r="AE335">
            <v>20743.754375306733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10310.232816957636</v>
          </cell>
          <cell r="AQ335">
            <v>8563.3473658475868</v>
          </cell>
          <cell r="AS335">
            <v>84825.060042333615</v>
          </cell>
          <cell r="AT335">
            <v>87530.80803052886</v>
          </cell>
          <cell r="AV335">
            <v>2893.6189993192079</v>
          </cell>
          <cell r="AW335">
            <v>0</v>
          </cell>
          <cell r="AY335">
            <v>4522.2312542759464</v>
          </cell>
          <cell r="AZ335">
            <v>2122.315160640595</v>
          </cell>
          <cell r="BB335">
            <v>2840.175854295102</v>
          </cell>
          <cell r="BC335">
            <v>2600.5132177258911</v>
          </cell>
          <cell r="BE335">
            <v>0</v>
          </cell>
          <cell r="BF335">
            <v>0</v>
          </cell>
          <cell r="BH335">
            <v>1372.1877145678275</v>
          </cell>
          <cell r="BI335">
            <v>0</v>
          </cell>
          <cell r="BK335">
            <v>3516.4599317177726</v>
          </cell>
          <cell r="BL335">
            <v>0</v>
          </cell>
          <cell r="BN335">
            <v>150.58016947048469</v>
          </cell>
          <cell r="BO335">
            <v>0</v>
          </cell>
          <cell r="BT335">
            <v>48879.161971010319</v>
          </cell>
          <cell r="BU335">
            <v>65427.337174700398</v>
          </cell>
          <cell r="BW335">
            <v>31509.397080443781</v>
          </cell>
          <cell r="BX335">
            <v>30878.41021623175</v>
          </cell>
          <cell r="BZ335">
            <v>7414.9577341589566</v>
          </cell>
          <cell r="CA335">
            <v>447.68833748407468</v>
          </cell>
          <cell r="CC335">
            <v>2280.6052727112879</v>
          </cell>
          <cell r="CD335">
            <v>2285.0075155167478</v>
          </cell>
          <cell r="CF335">
            <v>282.89882952952473</v>
          </cell>
          <cell r="CG335">
            <v>0</v>
          </cell>
          <cell r="CI335">
            <v>10425.073172977944</v>
          </cell>
          <cell r="CJ335">
            <v>5501.0947027863731</v>
          </cell>
          <cell r="CL335">
            <v>0</v>
          </cell>
          <cell r="CM335">
            <v>0</v>
          </cell>
          <cell r="CX335">
            <v>16105.177033967246</v>
          </cell>
          <cell r="CY335">
            <v>24123.333582398911</v>
          </cell>
          <cell r="DA335">
            <v>19214.623443749202</v>
          </cell>
          <cell r="DC335">
            <v>78700.89</v>
          </cell>
          <cell r="DD335">
            <v>0</v>
          </cell>
          <cell r="DE335">
            <v>32691.1</v>
          </cell>
          <cell r="DF335">
            <v>0</v>
          </cell>
          <cell r="DW335">
            <v>1375.1999999999998</v>
          </cell>
          <cell r="DX335">
            <v>0</v>
          </cell>
        </row>
        <row r="336">
          <cell r="F336">
            <v>4467.0200000000004</v>
          </cell>
          <cell r="G336">
            <v>0</v>
          </cell>
          <cell r="H336">
            <v>0</v>
          </cell>
          <cell r="I336">
            <v>14446.069795320451</v>
          </cell>
          <cell r="J336">
            <v>14415.200877128455</v>
          </cell>
          <cell r="L336">
            <v>2669.7174829755336</v>
          </cell>
          <cell r="M336">
            <v>2784.3728931232104</v>
          </cell>
          <cell r="O336">
            <v>5583.5028400458532</v>
          </cell>
          <cell r="P336">
            <v>5602.3808842587923</v>
          </cell>
          <cell r="R336">
            <v>0</v>
          </cell>
          <cell r="S336">
            <v>0</v>
          </cell>
          <cell r="U336">
            <v>646.34056683895699</v>
          </cell>
          <cell r="V336">
            <v>446.7927400086736</v>
          </cell>
          <cell r="X336">
            <v>11044.151434950658</v>
          </cell>
          <cell r="Y336">
            <v>10903.0099235528</v>
          </cell>
          <cell r="AA336">
            <v>0</v>
          </cell>
          <cell r="AB336">
            <v>0</v>
          </cell>
          <cell r="AD336">
            <v>16192.932446725155</v>
          </cell>
          <cell r="AE336">
            <v>15802.424778056082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7790.4032243621878</v>
          </cell>
          <cell r="AQ336">
            <v>6405.8088805433345</v>
          </cell>
          <cell r="AS336">
            <v>67074.937896914504</v>
          </cell>
          <cell r="AT336">
            <v>29589.266414678052</v>
          </cell>
          <cell r="AV336">
            <v>2311.9269311143526</v>
          </cell>
          <cell r="AW336">
            <v>3710.5490251174515</v>
          </cell>
          <cell r="AY336">
            <v>3485.9656134551583</v>
          </cell>
          <cell r="AZ336">
            <v>7854.6873548721669</v>
          </cell>
          <cell r="BB336">
            <v>2214.3336281749835</v>
          </cell>
          <cell r="BC336">
            <v>0</v>
          </cell>
          <cell r="BE336">
            <v>0</v>
          </cell>
          <cell r="BF336">
            <v>0</v>
          </cell>
          <cell r="BH336">
            <v>655.73215469919853</v>
          </cell>
          <cell r="BI336">
            <v>0</v>
          </cell>
          <cell r="BK336">
            <v>2219.6617055993379</v>
          </cell>
          <cell r="BL336">
            <v>0</v>
          </cell>
          <cell r="BN336">
            <v>106.66095337492661</v>
          </cell>
          <cell r="BO336">
            <v>0</v>
          </cell>
          <cell r="BT336">
            <v>44356.597217338109</v>
          </cell>
          <cell r="BU336">
            <v>60928.32913371989</v>
          </cell>
          <cell r="BW336">
            <v>23012.837892083466</v>
          </cell>
          <cell r="BX336">
            <v>22687.532274690191</v>
          </cell>
          <cell r="BZ336">
            <v>6940.7096091574213</v>
          </cell>
          <cell r="CA336">
            <v>413.00200136142632</v>
          </cell>
          <cell r="CC336">
            <v>2146.5424922652942</v>
          </cell>
          <cell r="CD336">
            <v>2150.6859542471893</v>
          </cell>
          <cell r="CF336">
            <v>266.26894441724625</v>
          </cell>
          <cell r="CG336">
            <v>0</v>
          </cell>
          <cell r="CI336">
            <v>7153.9612595427434</v>
          </cell>
          <cell r="CJ336">
            <v>4131.16191874366</v>
          </cell>
          <cell r="CL336">
            <v>0</v>
          </cell>
          <cell r="CM336">
            <v>0</v>
          </cell>
          <cell r="CX336">
            <v>13196.972468639809</v>
          </cell>
          <cell r="CY336">
            <v>52189.831310944806</v>
          </cell>
          <cell r="DA336">
            <v>-11684.470665557645</v>
          </cell>
          <cell r="DC336">
            <v>87396.24</v>
          </cell>
          <cell r="DD336">
            <v>0</v>
          </cell>
          <cell r="DE336">
            <v>51102.810000000005</v>
          </cell>
          <cell r="DF336">
            <v>0</v>
          </cell>
          <cell r="DW336">
            <v>1129.5</v>
          </cell>
          <cell r="DX336">
            <v>0</v>
          </cell>
        </row>
        <row r="337">
          <cell r="F337">
            <v>2778.22</v>
          </cell>
          <cell r="G337">
            <v>0</v>
          </cell>
          <cell r="H337">
            <v>0</v>
          </cell>
          <cell r="I337">
            <v>9670.9979453978904</v>
          </cell>
          <cell r="J337">
            <v>9626.2067261662269</v>
          </cell>
          <cell r="L337">
            <v>1763.8986027111966</v>
          </cell>
          <cell r="M337">
            <v>1843.566867553872</v>
          </cell>
          <cell r="O337">
            <v>3676.78928896859</v>
          </cell>
          <cell r="P337">
            <v>3688.2529357564108</v>
          </cell>
          <cell r="R337">
            <v>0</v>
          </cell>
          <cell r="S337">
            <v>0</v>
          </cell>
          <cell r="U337">
            <v>646.34056683895699</v>
          </cell>
          <cell r="V337">
            <v>446.7927400086736</v>
          </cell>
          <cell r="X337">
            <v>6102.9453429599043</v>
          </cell>
          <cell r="Y337">
            <v>5888.7138629180108</v>
          </cell>
          <cell r="AA337">
            <v>0</v>
          </cell>
          <cell r="AB337">
            <v>0</v>
          </cell>
          <cell r="AD337">
            <v>10074.75851795694</v>
          </cell>
          <cell r="AE337">
            <v>9831.6009280944854</v>
          </cell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P337">
            <v>5193.6021495747918</v>
          </cell>
          <cell r="AQ337">
            <v>8368.9858057972033</v>
          </cell>
          <cell r="AS337">
            <v>43959.283874139393</v>
          </cell>
          <cell r="AT337">
            <v>22615.957277266447</v>
          </cell>
          <cell r="AV337">
            <v>1558.7760406104455</v>
          </cell>
          <cell r="AW337">
            <v>0</v>
          </cell>
          <cell r="AY337">
            <v>2079.2754301041532</v>
          </cell>
          <cell r="AZ337">
            <v>0</v>
          </cell>
          <cell r="BB337">
            <v>1306.1064813095927</v>
          </cell>
          <cell r="BC337">
            <v>5081.318401417584</v>
          </cell>
          <cell r="BE337">
            <v>0</v>
          </cell>
          <cell r="BF337">
            <v>0</v>
          </cell>
          <cell r="BH337">
            <v>655.73215469919853</v>
          </cell>
          <cell r="BI337">
            <v>0</v>
          </cell>
          <cell r="BK337">
            <v>1168.261107345663</v>
          </cell>
          <cell r="BL337">
            <v>909.37621783474344</v>
          </cell>
          <cell r="BN337">
            <v>75.290084735242345</v>
          </cell>
          <cell r="BO337">
            <v>0</v>
          </cell>
          <cell r="BT337">
            <v>28487.355768953206</v>
          </cell>
          <cell r="BU337">
            <v>49490.440640265289</v>
          </cell>
          <cell r="BW337">
            <v>15463.386025011208</v>
          </cell>
          <cell r="BX337">
            <v>16847.777482092377</v>
          </cell>
          <cell r="BZ337">
            <v>6916.4925943800499</v>
          </cell>
          <cell r="CA337">
            <v>434.40061400826693</v>
          </cell>
          <cell r="CC337">
            <v>1510.064702882117</v>
          </cell>
          <cell r="CD337">
            <v>1512.979574453092</v>
          </cell>
          <cell r="CF337">
            <v>187.31673651325502</v>
          </cell>
          <cell r="CG337">
            <v>0</v>
          </cell>
          <cell r="CI337">
            <v>4495.757305161289</v>
          </cell>
          <cell r="CJ337">
            <v>3433.8325046929608</v>
          </cell>
          <cell r="CL337">
            <v>0</v>
          </cell>
          <cell r="CM337">
            <v>0</v>
          </cell>
          <cell r="CX337">
            <v>8226.2583057800603</v>
          </cell>
          <cell r="CY337">
            <v>14192.93207609301</v>
          </cell>
          <cell r="DA337">
            <v>53395.937968789156</v>
          </cell>
          <cell r="DC337">
            <v>45315.24</v>
          </cell>
          <cell r="DD337">
            <v>0</v>
          </cell>
          <cell r="DE337">
            <v>21619.53</v>
          </cell>
          <cell r="DF337">
            <v>0</v>
          </cell>
          <cell r="DW337">
            <v>909</v>
          </cell>
          <cell r="DX337">
            <v>0</v>
          </cell>
        </row>
        <row r="338">
          <cell r="F338">
            <v>2763.5</v>
          </cell>
          <cell r="G338">
            <v>0</v>
          </cell>
          <cell r="H338">
            <v>0</v>
          </cell>
          <cell r="I338">
            <v>9371.5330842294243</v>
          </cell>
          <cell r="J338">
            <v>9440.8737998143533</v>
          </cell>
          <cell r="L338">
            <v>1766.8952915679188</v>
          </cell>
          <cell r="M338">
            <v>1843.566867553872</v>
          </cell>
          <cell r="O338">
            <v>3676.78928896859</v>
          </cell>
          <cell r="P338">
            <v>3689.5329357564106</v>
          </cell>
          <cell r="R338">
            <v>0</v>
          </cell>
          <cell r="S338">
            <v>0</v>
          </cell>
          <cell r="U338">
            <v>646.34056683895699</v>
          </cell>
          <cell r="V338">
            <v>446.7927400086736</v>
          </cell>
          <cell r="X338">
            <v>6102.9453429599043</v>
          </cell>
          <cell r="Y338">
            <v>5788.8188649322865</v>
          </cell>
          <cell r="AA338">
            <v>0</v>
          </cell>
          <cell r="AB338">
            <v>0</v>
          </cell>
          <cell r="AD338">
            <v>10013.322001333254</v>
          </cell>
          <cell r="AE338">
            <v>9772.0701859299625</v>
          </cell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P338">
            <v>5193.6021495747918</v>
          </cell>
          <cell r="AQ338">
            <v>8349.0729045837979</v>
          </cell>
          <cell r="AS338">
            <v>45417.458043201434</v>
          </cell>
          <cell r="AT338">
            <v>91464.096331581939</v>
          </cell>
          <cell r="AV338">
            <v>1476.8785611232013</v>
          </cell>
          <cell r="AW338">
            <v>0</v>
          </cell>
          <cell r="AY338">
            <v>2251.2874415157112</v>
          </cell>
          <cell r="AZ338">
            <v>0</v>
          </cell>
          <cell r="BB338">
            <v>1306.1064813095927</v>
          </cell>
          <cell r="BC338">
            <v>0</v>
          </cell>
          <cell r="BE338">
            <v>0</v>
          </cell>
          <cell r="BF338">
            <v>0</v>
          </cell>
          <cell r="BH338">
            <v>655.73215469919853</v>
          </cell>
          <cell r="BI338">
            <v>0</v>
          </cell>
          <cell r="BK338">
            <v>1168.261107345663</v>
          </cell>
          <cell r="BL338">
            <v>0</v>
          </cell>
          <cell r="BN338">
            <v>75.290084735242345</v>
          </cell>
          <cell r="BO338">
            <v>2780.1139905359541</v>
          </cell>
          <cell r="BT338">
            <v>26650.725608316607</v>
          </cell>
          <cell r="BU338">
            <v>45839.93551254207</v>
          </cell>
          <cell r="BW338">
            <v>15470.622880076871</v>
          </cell>
          <cell r="BX338">
            <v>16360.808945397283</v>
          </cell>
          <cell r="BZ338">
            <v>6733.5403525038146</v>
          </cell>
          <cell r="CA338">
            <v>412.75030342829945</v>
          </cell>
          <cell r="CC338">
            <v>1341.3968070246337</v>
          </cell>
          <cell r="CD338">
            <v>1343.986099662711</v>
          </cell>
          <cell r="CF338">
            <v>166.39424243318004</v>
          </cell>
          <cell r="CG338">
            <v>0</v>
          </cell>
          <cell r="CI338">
            <v>4794.4287371426135</v>
          </cell>
          <cell r="CJ338">
            <v>3326.812425834793</v>
          </cell>
          <cell r="CL338">
            <v>0</v>
          </cell>
          <cell r="CM338">
            <v>0</v>
          </cell>
          <cell r="CX338">
            <v>8714.9038094898988</v>
          </cell>
          <cell r="CY338">
            <v>-59180.714207304263</v>
          </cell>
          <cell r="DA338">
            <v>74101.128222885221</v>
          </cell>
          <cell r="DC338">
            <v>38343</v>
          </cell>
          <cell r="DD338">
            <v>0</v>
          </cell>
          <cell r="DE338">
            <v>14657.919999999998</v>
          </cell>
          <cell r="DF338">
            <v>0</v>
          </cell>
          <cell r="DW338">
            <v>909</v>
          </cell>
          <cell r="DX338">
            <v>0</v>
          </cell>
        </row>
        <row r="339">
          <cell r="F339">
            <v>2745.7</v>
          </cell>
          <cell r="G339">
            <v>0</v>
          </cell>
          <cell r="H339">
            <v>0</v>
          </cell>
          <cell r="I339">
            <v>9638.9194475799723</v>
          </cell>
          <cell r="J339">
            <v>9690.3118826035261</v>
          </cell>
          <cell r="L339">
            <v>1763.8986027111966</v>
          </cell>
          <cell r="M339">
            <v>1843.566867553872</v>
          </cell>
          <cell r="O339">
            <v>3676.78928896859</v>
          </cell>
          <cell r="P339">
            <v>3688.9729357564102</v>
          </cell>
          <cell r="R339">
            <v>0</v>
          </cell>
          <cell r="S339">
            <v>0</v>
          </cell>
          <cell r="U339">
            <v>646.34056683895699</v>
          </cell>
          <cell r="V339">
            <v>446.7927400086736</v>
          </cell>
          <cell r="X339">
            <v>6102.1521803689557</v>
          </cell>
          <cell r="Y339">
            <v>5787.7488655781208</v>
          </cell>
          <cell r="AA339">
            <v>0</v>
          </cell>
          <cell r="AB339">
            <v>0</v>
          </cell>
          <cell r="AD339">
            <v>9945.6280067825137</v>
          </cell>
          <cell r="AE339">
            <v>9706.1751317026938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P339">
            <v>5193.6021495747918</v>
          </cell>
          <cell r="AQ339">
            <v>4318.5080873548868</v>
          </cell>
          <cell r="AS339">
            <v>42015.723124870055</v>
          </cell>
          <cell r="AT339">
            <v>74217.880208564253</v>
          </cell>
          <cell r="AV339">
            <v>1552.4842302280465</v>
          </cell>
          <cell r="AW339">
            <v>320.49635058032499</v>
          </cell>
          <cell r="AY339">
            <v>2079.2754301041532</v>
          </cell>
          <cell r="AZ339">
            <v>0</v>
          </cell>
          <cell r="BB339">
            <v>1306.1064813095927</v>
          </cell>
          <cell r="BC339">
            <v>0</v>
          </cell>
          <cell r="BE339">
            <v>0</v>
          </cell>
          <cell r="BF339">
            <v>0</v>
          </cell>
          <cell r="BH339">
            <v>655.73215469919853</v>
          </cell>
          <cell r="BI339">
            <v>0</v>
          </cell>
          <cell r="BK339">
            <v>1168.2245461168188</v>
          </cell>
          <cell r="BL339">
            <v>0</v>
          </cell>
          <cell r="BN339">
            <v>75.290084735242345</v>
          </cell>
          <cell r="BO339">
            <v>2661.6829796211987</v>
          </cell>
          <cell r="BT339">
            <v>35738.637268758706</v>
          </cell>
          <cell r="BU339">
            <v>52110.432635460544</v>
          </cell>
          <cell r="BW339">
            <v>15228.20573836823</v>
          </cell>
          <cell r="BX339">
            <v>16957.389116420967</v>
          </cell>
          <cell r="BZ339">
            <v>6769.6548995868361</v>
          </cell>
          <cell r="CA339">
            <v>443.76406682361517</v>
          </cell>
          <cell r="CC339">
            <v>1341.1404728364007</v>
          </cell>
          <cell r="CD339">
            <v>1343.729270673668</v>
          </cell>
          <cell r="CF339">
            <v>166.36244532971486</v>
          </cell>
          <cell r="CG339">
            <v>0</v>
          </cell>
          <cell r="CI339">
            <v>5372.3733725950569</v>
          </cell>
          <cell r="CJ339">
            <v>3754.5489442165208</v>
          </cell>
          <cell r="CL339">
            <v>0</v>
          </cell>
          <cell r="CM339">
            <v>0</v>
          </cell>
          <cell r="CX339">
            <v>5034.7320696261404</v>
          </cell>
          <cell r="CY339">
            <v>-39191.819439041385</v>
          </cell>
          <cell r="DA339">
            <v>66743.84936452753</v>
          </cell>
          <cell r="DC339">
            <v>58183.99</v>
          </cell>
          <cell r="DD339">
            <v>0</v>
          </cell>
          <cell r="DE339">
            <v>34081.360000000001</v>
          </cell>
          <cell r="DF339">
            <v>0</v>
          </cell>
          <cell r="DW339">
            <v>918</v>
          </cell>
          <cell r="DX339">
            <v>0</v>
          </cell>
        </row>
        <row r="340">
          <cell r="F340">
            <v>5601.9</v>
          </cell>
          <cell r="G340">
            <v>0</v>
          </cell>
          <cell r="H340">
            <v>188.6</v>
          </cell>
          <cell r="I340">
            <v>18362.408895440738</v>
          </cell>
          <cell r="J340">
            <v>18455.915445228464</v>
          </cell>
          <cell r="L340">
            <v>3582.519204092438</v>
          </cell>
          <cell r="M340">
            <v>3758.5261608057253</v>
          </cell>
          <cell r="O340">
            <v>7717.3885252824166</v>
          </cell>
          <cell r="P340">
            <v>7744.1658160867537</v>
          </cell>
          <cell r="R340">
            <v>0</v>
          </cell>
          <cell r="S340">
            <v>0</v>
          </cell>
          <cell r="U340">
            <v>1352.3862971900487</v>
          </cell>
          <cell r="V340">
            <v>934.85549214666253</v>
          </cell>
          <cell r="X340">
            <v>17089.351085565166</v>
          </cell>
          <cell r="Y340">
            <v>16830.261054678413</v>
          </cell>
          <cell r="AA340">
            <v>0</v>
          </cell>
          <cell r="AB340">
            <v>0</v>
          </cell>
          <cell r="AD340">
            <v>20988.932093563013</v>
          </cell>
          <cell r="AE340">
            <v>20482.609173037388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P340">
            <v>9925.3754059978946</v>
          </cell>
          <cell r="AQ340">
            <v>8076.4083554451036</v>
          </cell>
          <cell r="AS340">
            <v>87254.401135173044</v>
          </cell>
          <cell r="AT340">
            <v>50288.219380707014</v>
          </cell>
          <cell r="AV340">
            <v>3087.815443427804</v>
          </cell>
          <cell r="AW340">
            <v>711.25363377424037</v>
          </cell>
          <cell r="AY340">
            <v>4449.4977690766455</v>
          </cell>
          <cell r="AZ340">
            <v>3467.8153331132044</v>
          </cell>
          <cell r="BB340">
            <v>2817.661840515329</v>
          </cell>
          <cell r="BC340">
            <v>4474.1998507433291</v>
          </cell>
          <cell r="BE340">
            <v>0</v>
          </cell>
          <cell r="BF340">
            <v>0</v>
          </cell>
          <cell r="BH340">
            <v>1372.1877145678275</v>
          </cell>
          <cell r="BI340">
            <v>0</v>
          </cell>
          <cell r="BK340">
            <v>3512.3341109292351</v>
          </cell>
          <cell r="BL340">
            <v>31013.671979167855</v>
          </cell>
          <cell r="BN340">
            <v>150.58016947048469</v>
          </cell>
          <cell r="BO340">
            <v>6253.656309808176</v>
          </cell>
          <cell r="BT340">
            <v>48782.172385989186</v>
          </cell>
          <cell r="BU340">
            <v>75332.110238954003</v>
          </cell>
          <cell r="BW340">
            <v>31765.242676993588</v>
          </cell>
          <cell r="BX340">
            <v>30301.174948369317</v>
          </cell>
          <cell r="BZ340">
            <v>7198.2704516608292</v>
          </cell>
          <cell r="CA340">
            <v>475.68821843748873</v>
          </cell>
          <cell r="CC340">
            <v>2028.8850998662288</v>
          </cell>
          <cell r="CD340">
            <v>2032.8014482763915</v>
          </cell>
          <cell r="CF340">
            <v>251.67407392673795</v>
          </cell>
          <cell r="CG340">
            <v>1131.2158297830833</v>
          </cell>
          <cell r="CI340">
            <v>4664.7034926887673</v>
          </cell>
          <cell r="CJ340">
            <v>3113.2332481409971</v>
          </cell>
          <cell r="CL340">
            <v>0</v>
          </cell>
          <cell r="CM340">
            <v>0</v>
          </cell>
          <cell r="CX340">
            <v>15843.422259269519</v>
          </cell>
          <cell r="CY340">
            <v>5614.6294049260614</v>
          </cell>
          <cell r="DA340">
            <v>94703.243564727221</v>
          </cell>
          <cell r="DC340">
            <v>106988.83</v>
          </cell>
          <cell r="DD340">
            <v>3379.7400000000002</v>
          </cell>
          <cell r="DE340">
            <v>62896.36</v>
          </cell>
          <cell r="DF340">
            <v>2057.04</v>
          </cell>
          <cell r="DW340">
            <v>1494</v>
          </cell>
          <cell r="DX340">
            <v>0</v>
          </cell>
        </row>
        <row r="341">
          <cell r="F341">
            <v>4446.8999999999996</v>
          </cell>
          <cell r="G341">
            <v>0</v>
          </cell>
          <cell r="H341">
            <v>0</v>
          </cell>
          <cell r="I341">
            <v>14128.001452658409</v>
          </cell>
          <cell r="J341">
            <v>14095.008940849646</v>
          </cell>
          <cell r="L341">
            <v>2672.3151721168711</v>
          </cell>
          <cell r="M341">
            <v>2787.1359511489218</v>
          </cell>
          <cell r="O341">
            <v>5775.3920947300157</v>
          </cell>
          <cell r="P341">
            <v>5795.1558891894902</v>
          </cell>
          <cell r="R341">
            <v>0</v>
          </cell>
          <cell r="S341">
            <v>0</v>
          </cell>
          <cell r="U341">
            <v>873.76799374305619</v>
          </cell>
          <cell r="V341">
            <v>604.00526113004491</v>
          </cell>
          <cell r="X341">
            <v>10914.572722625797</v>
          </cell>
          <cell r="Y341">
            <v>11310.437199165386</v>
          </cell>
          <cell r="AA341">
            <v>0</v>
          </cell>
          <cell r="AB341">
            <v>0</v>
          </cell>
          <cell r="AD341">
            <v>16114.520260452176</v>
          </cell>
          <cell r="AE341">
            <v>15726.191236308036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P341">
            <v>7790.4032243621878</v>
          </cell>
          <cell r="AQ341">
            <v>6335.8473222059374</v>
          </cell>
          <cell r="AS341">
            <v>63862.621972192028</v>
          </cell>
          <cell r="AT341">
            <v>3396.2695986163881</v>
          </cell>
          <cell r="AV341">
            <v>2396.123911509731</v>
          </cell>
          <cell r="AW341">
            <v>1252.7654439607561</v>
          </cell>
          <cell r="AY341">
            <v>3489.5442350279081</v>
          </cell>
          <cell r="AZ341">
            <v>0</v>
          </cell>
          <cell r="BB341">
            <v>2199.9934036287141</v>
          </cell>
          <cell r="BC341">
            <v>0</v>
          </cell>
          <cell r="BE341">
            <v>0</v>
          </cell>
          <cell r="BF341">
            <v>0</v>
          </cell>
          <cell r="BH341">
            <v>886.40212744804091</v>
          </cell>
          <cell r="BI341">
            <v>0</v>
          </cell>
          <cell r="BK341">
            <v>2235.1403069062185</v>
          </cell>
          <cell r="BL341">
            <v>3967.5311960287568</v>
          </cell>
          <cell r="BN341">
            <v>100.38677964698979</v>
          </cell>
          <cell r="BO341">
            <v>0</v>
          </cell>
          <cell r="BT341">
            <v>51125.42640472333</v>
          </cell>
          <cell r="BU341">
            <v>87326.813437538265</v>
          </cell>
          <cell r="BW341">
            <v>23093.868026396798</v>
          </cell>
          <cell r="BX341">
            <v>25544.234076938774</v>
          </cell>
          <cell r="BZ341">
            <v>6459.3229647724902</v>
          </cell>
          <cell r="CA341">
            <v>519.91501788552841</v>
          </cell>
          <cell r="CC341">
            <v>2407.4906958867505</v>
          </cell>
          <cell r="CD341">
            <v>2412.1378650930983</v>
          </cell>
          <cell r="CF341">
            <v>298.63839574477868</v>
          </cell>
          <cell r="CG341">
            <v>0</v>
          </cell>
          <cell r="CI341">
            <v>4786.9365963709051</v>
          </cell>
          <cell r="CJ341">
            <v>3707.3988946944169</v>
          </cell>
          <cell r="CL341">
            <v>0</v>
          </cell>
          <cell r="CM341">
            <v>0</v>
          </cell>
          <cell r="CX341">
            <v>13361.854130851309</v>
          </cell>
          <cell r="CY341">
            <v>57557.879823079027</v>
          </cell>
          <cell r="DA341">
            <v>-50518.644116456242</v>
          </cell>
          <cell r="DC341">
            <v>151746.04</v>
          </cell>
          <cell r="DD341">
            <v>0</v>
          </cell>
          <cell r="DE341">
            <v>115193.40000000001</v>
          </cell>
          <cell r="DF341">
            <v>0</v>
          </cell>
          <cell r="DW341">
            <v>1359</v>
          </cell>
          <cell r="DX341">
            <v>0</v>
          </cell>
        </row>
        <row r="342">
          <cell r="F342">
            <v>4596.3999999999996</v>
          </cell>
          <cell r="G342">
            <v>0</v>
          </cell>
          <cell r="H342">
            <v>0</v>
          </cell>
          <cell r="I342">
            <v>14831.369873396012</v>
          </cell>
          <cell r="J342">
            <v>14912.784247791655</v>
          </cell>
          <cell r="L342">
            <v>3029.8543805770969</v>
          </cell>
          <cell r="M342">
            <v>3190.4559196122414</v>
          </cell>
          <cell r="O342">
            <v>5976.6854215887615</v>
          </cell>
          <cell r="P342">
            <v>5998.1457069355383</v>
          </cell>
          <cell r="R342">
            <v>0</v>
          </cell>
          <cell r="S342">
            <v>0</v>
          </cell>
          <cell r="U342">
            <v>873.76799374305619</v>
          </cell>
          <cell r="V342">
            <v>604.00526113004491</v>
          </cell>
          <cell r="X342">
            <v>11314.269979728004</v>
          </cell>
          <cell r="Y342">
            <v>11722.247760559705</v>
          </cell>
          <cell r="AA342">
            <v>0</v>
          </cell>
          <cell r="AB342">
            <v>0</v>
          </cell>
          <cell r="AD342">
            <v>16645.441452051629</v>
          </cell>
          <cell r="AE342">
            <v>16244.88731048264</v>
          </cell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P342">
            <v>12241.596535617056</v>
          </cell>
          <cell r="AQ342">
            <v>6825.4759992498439</v>
          </cell>
          <cell r="AS342">
            <v>57250.59938258052</v>
          </cell>
          <cell r="AT342">
            <v>6439.1275861208587</v>
          </cell>
          <cell r="AV342">
            <v>2558.4694298587915</v>
          </cell>
          <cell r="AW342">
            <v>340.49329434032501</v>
          </cell>
          <cell r="AY342">
            <v>3909.8522247955116</v>
          </cell>
          <cell r="AZ342">
            <v>0</v>
          </cell>
          <cell r="BB342">
            <v>2338.8723807125211</v>
          </cell>
          <cell r="BC342">
            <v>0</v>
          </cell>
          <cell r="BE342">
            <v>0</v>
          </cell>
          <cell r="BF342">
            <v>0</v>
          </cell>
          <cell r="BH342">
            <v>886.40212744804091</v>
          </cell>
          <cell r="BI342">
            <v>0</v>
          </cell>
          <cell r="BK342">
            <v>2341.1522988916322</v>
          </cell>
          <cell r="BL342">
            <v>2173.3708111619303</v>
          </cell>
          <cell r="BN342">
            <v>131.75764828667408</v>
          </cell>
          <cell r="BO342">
            <v>0</v>
          </cell>
          <cell r="BT342">
            <v>39069.561187273874</v>
          </cell>
          <cell r="BU342">
            <v>59704.577065084712</v>
          </cell>
          <cell r="BW342">
            <v>22701.568690470165</v>
          </cell>
          <cell r="BX342">
            <v>25143.211876788875</v>
          </cell>
          <cell r="BZ342">
            <v>6861.3419956079852</v>
          </cell>
          <cell r="CA342">
            <v>477.17509443206359</v>
          </cell>
          <cell r="CC342">
            <v>1401.1226728829831</v>
          </cell>
          <cell r="CD342">
            <v>1403.827254109761</v>
          </cell>
          <cell r="CF342">
            <v>173.80296754056221</v>
          </cell>
          <cell r="CG342">
            <v>0</v>
          </cell>
          <cell r="CI342">
            <v>6170.0226558660388</v>
          </cell>
          <cell r="CJ342">
            <v>6480.3082181244818</v>
          </cell>
          <cell r="CL342">
            <v>0</v>
          </cell>
          <cell r="CM342">
            <v>0</v>
          </cell>
          <cell r="CX342">
            <v>12295.281992999015</v>
          </cell>
          <cell r="CY342">
            <v>71152.183464589631</v>
          </cell>
          <cell r="DA342">
            <v>231943.59953127344</v>
          </cell>
          <cell r="DC342">
            <v>116609.33</v>
          </cell>
          <cell r="DD342">
            <v>0</v>
          </cell>
          <cell r="DE342">
            <v>82195.649999999994</v>
          </cell>
          <cell r="DF342">
            <v>0</v>
          </cell>
          <cell r="DW342">
            <v>1359</v>
          </cell>
          <cell r="DX342">
            <v>0</v>
          </cell>
        </row>
        <row r="343">
          <cell r="F343">
            <v>4567.8</v>
          </cell>
          <cell r="G343">
            <v>0</v>
          </cell>
          <cell r="H343">
            <v>0</v>
          </cell>
          <cell r="I343">
            <v>15107.262183404373</v>
          </cell>
          <cell r="J343">
            <v>15079.474409723014</v>
          </cell>
          <cell r="L343">
            <v>3029.454252548006</v>
          </cell>
          <cell r="M343">
            <v>3190.0308337621323</v>
          </cell>
          <cell r="O343">
            <v>5875.5201078313294</v>
          </cell>
          <cell r="P343">
            <v>5895.9737977171862</v>
          </cell>
          <cell r="R343">
            <v>0</v>
          </cell>
          <cell r="S343">
            <v>0</v>
          </cell>
          <cell r="U343">
            <v>873.76799374305619</v>
          </cell>
          <cell r="V343">
            <v>604.00526113004491</v>
          </cell>
          <cell r="X343">
            <v>11503.675884202048</v>
          </cell>
          <cell r="Y343">
            <v>11547.080698125441</v>
          </cell>
          <cell r="AA343">
            <v>0</v>
          </cell>
          <cell r="AB343">
            <v>0</v>
          </cell>
          <cell r="AD343">
            <v>16553.609151571014</v>
          </cell>
          <cell r="AE343">
            <v>16154.647666415207</v>
          </cell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P343">
            <v>12491.425036343933</v>
          </cell>
          <cell r="AQ343">
            <v>6891.6156726185854</v>
          </cell>
          <cell r="AS343">
            <v>57259.406371914651</v>
          </cell>
          <cell r="AT343">
            <v>97343.886100928547</v>
          </cell>
          <cell r="AV343">
            <v>2358.3476127622703</v>
          </cell>
          <cell r="AW343">
            <v>2258.4756415662173</v>
          </cell>
          <cell r="AY343">
            <v>3909.2230228467811</v>
          </cell>
          <cell r="AZ343">
            <v>1883.2804363109901</v>
          </cell>
          <cell r="BB343">
            <v>2276.9106006549437</v>
          </cell>
          <cell r="BC343">
            <v>0</v>
          </cell>
          <cell r="BE343">
            <v>0</v>
          </cell>
          <cell r="BF343">
            <v>0</v>
          </cell>
          <cell r="BH343">
            <v>886.40212744804091</v>
          </cell>
          <cell r="BI343">
            <v>0</v>
          </cell>
          <cell r="BK343">
            <v>2344.4099784239552</v>
          </cell>
          <cell r="BL343">
            <v>591.35038148288868</v>
          </cell>
          <cell r="BN343">
            <v>131.75764828667408</v>
          </cell>
          <cell r="BO343">
            <v>1359.4478470556301</v>
          </cell>
          <cell r="BT343">
            <v>38849.994672797766</v>
          </cell>
          <cell r="BU343">
            <v>60643.723288061439</v>
          </cell>
          <cell r="BW343">
            <v>22584.234019415151</v>
          </cell>
          <cell r="BX343">
            <v>25664.473719901915</v>
          </cell>
          <cell r="BZ343">
            <v>5780.2850895784759</v>
          </cell>
          <cell r="CA343">
            <v>453.67610098587784</v>
          </cell>
          <cell r="CC343">
            <v>2788.9159679778368</v>
          </cell>
          <cell r="CD343">
            <v>2794.2994007892794</v>
          </cell>
          <cell r="CF343">
            <v>345.95248570093611</v>
          </cell>
          <cell r="CG343">
            <v>0</v>
          </cell>
          <cell r="CI343">
            <v>7049.504674078109</v>
          </cell>
          <cell r="CJ343">
            <v>4446.0194380480443</v>
          </cell>
          <cell r="CL343">
            <v>0</v>
          </cell>
          <cell r="CM343">
            <v>0</v>
          </cell>
          <cell r="CX343">
            <v>12765.78507161888</v>
          </cell>
          <cell r="CY343">
            <v>-40995.897104092801</v>
          </cell>
          <cell r="DA343">
            <v>47719.525590066929</v>
          </cell>
          <cell r="DC343">
            <v>91196.17</v>
          </cell>
          <cell r="DD343">
            <v>0</v>
          </cell>
          <cell r="DE343">
            <v>56372.61</v>
          </cell>
          <cell r="DF343">
            <v>0</v>
          </cell>
          <cell r="DW343">
            <v>909</v>
          </cell>
          <cell r="DX343">
            <v>0</v>
          </cell>
        </row>
        <row r="344">
          <cell r="F344">
            <v>4553.3</v>
          </cell>
          <cell r="G344">
            <v>0</v>
          </cell>
          <cell r="H344">
            <v>0</v>
          </cell>
          <cell r="I344">
            <v>14813.94907703044</v>
          </cell>
          <cell r="J344">
            <v>14809.855942773098</v>
          </cell>
          <cell r="L344">
            <v>3029.8543805770969</v>
          </cell>
          <cell r="M344">
            <v>3190.4559196122414</v>
          </cell>
          <cell r="O344">
            <v>5918.1971252982876</v>
          </cell>
          <cell r="P344">
            <v>5939.4348687350393</v>
          </cell>
          <cell r="R344">
            <v>0</v>
          </cell>
          <cell r="S344">
            <v>0</v>
          </cell>
          <cell r="U344">
            <v>873.76799374305619</v>
          </cell>
          <cell r="V344">
            <v>604.00526113004491</v>
          </cell>
          <cell r="X344">
            <v>11512.595477806008</v>
          </cell>
          <cell r="Y344">
            <v>11628.34344240567</v>
          </cell>
          <cell r="AA344">
            <v>0</v>
          </cell>
          <cell r="AB344">
            <v>0</v>
          </cell>
          <cell r="AD344">
            <v>16505.669282787476</v>
          </cell>
          <cell r="AE344">
            <v>16107.621137515482</v>
          </cell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P344">
            <v>12491.425036343933</v>
          </cell>
          <cell r="AQ344">
            <v>7171.7504428725751</v>
          </cell>
          <cell r="AS344">
            <v>66632.436324427865</v>
          </cell>
          <cell r="AT344">
            <v>77287.795696398214</v>
          </cell>
          <cell r="AV344">
            <v>2450.2543607919943</v>
          </cell>
          <cell r="AW344">
            <v>1134.8366127733539</v>
          </cell>
          <cell r="AY344">
            <v>3909.8522247955116</v>
          </cell>
          <cell r="AZ344">
            <v>4367.6585769732355</v>
          </cell>
          <cell r="BB344">
            <v>2336.7374832243413</v>
          </cell>
          <cell r="BC344">
            <v>0</v>
          </cell>
          <cell r="BE344">
            <v>0</v>
          </cell>
          <cell r="BF344">
            <v>0</v>
          </cell>
          <cell r="BH344">
            <v>886.40212744804091</v>
          </cell>
          <cell r="BI344">
            <v>0</v>
          </cell>
          <cell r="BK344">
            <v>2346.2402499092959</v>
          </cell>
          <cell r="BL344">
            <v>2667.6791049277244</v>
          </cell>
          <cell r="BN344">
            <v>131.75764828667408</v>
          </cell>
          <cell r="BO344">
            <v>6109.7352990395975</v>
          </cell>
          <cell r="BT344">
            <v>36945.223100845906</v>
          </cell>
          <cell r="BU344">
            <v>57705.92826904657</v>
          </cell>
          <cell r="BW344">
            <v>23152.456870964441</v>
          </cell>
          <cell r="BX344">
            <v>25246.33955640312</v>
          </cell>
          <cell r="BZ344">
            <v>6249.7742016577522</v>
          </cell>
          <cell r="CA344">
            <v>437.27205615563264</v>
          </cell>
          <cell r="CC344">
            <v>2792.5046466131021</v>
          </cell>
          <cell r="CD344">
            <v>2797.8950066358825</v>
          </cell>
          <cell r="CF344">
            <v>346.39764514944829</v>
          </cell>
          <cell r="CG344">
            <v>0</v>
          </cell>
          <cell r="CI344">
            <v>9654.2227463126001</v>
          </cell>
          <cell r="CJ344">
            <v>9487.8122639165522</v>
          </cell>
          <cell r="CL344">
            <v>0</v>
          </cell>
          <cell r="CM344">
            <v>0</v>
          </cell>
          <cell r="CX344">
            <v>7279.5932413628016</v>
          </cell>
          <cell r="CY344">
            <v>-21178.048502598103</v>
          </cell>
          <cell r="DA344">
            <v>23181.992231168177</v>
          </cell>
          <cell r="DC344">
            <v>95214.63</v>
          </cell>
          <cell r="DD344">
            <v>0</v>
          </cell>
          <cell r="DE344">
            <v>59249.860000000008</v>
          </cell>
          <cell r="DF344">
            <v>0</v>
          </cell>
          <cell r="DW344">
            <v>1206</v>
          </cell>
          <cell r="DX344">
            <v>0</v>
          </cell>
        </row>
        <row r="345">
          <cell r="F345">
            <v>6129.03</v>
          </cell>
          <cell r="G345">
            <v>0</v>
          </cell>
          <cell r="H345">
            <v>45.1</v>
          </cell>
          <cell r="I345">
            <v>19110.852460833041</v>
          </cell>
          <cell r="J345">
            <v>19127.214148857449</v>
          </cell>
          <cell r="L345">
            <v>3906.0869210991432</v>
          </cell>
          <cell r="M345">
            <v>4083.3137474098303</v>
          </cell>
          <cell r="O345">
            <v>8152.0419144060152</v>
          </cell>
          <cell r="P345">
            <v>8181.3009625326467</v>
          </cell>
          <cell r="R345">
            <v>0</v>
          </cell>
          <cell r="S345">
            <v>0</v>
          </cell>
          <cell r="U345">
            <v>1668.7581345518474</v>
          </cell>
          <cell r="V345">
            <v>1117.0119892296516</v>
          </cell>
          <cell r="X345">
            <v>18415.515564999234</v>
          </cell>
          <cell r="Y345">
            <v>18725.976420509385</v>
          </cell>
          <cell r="AA345">
            <v>0</v>
          </cell>
          <cell r="AB345">
            <v>0</v>
          </cell>
          <cell r="AD345">
            <v>22379.494479053465</v>
          </cell>
          <cell r="AE345">
            <v>21839.881693008167</v>
          </cell>
          <cell r="AJ345">
            <v>0</v>
          </cell>
          <cell r="AK345">
            <v>0</v>
          </cell>
          <cell r="AM345">
            <v>0</v>
          </cell>
          <cell r="AN345">
            <v>0</v>
          </cell>
          <cell r="AP345">
            <v>15989.024046520237</v>
          </cell>
          <cell r="AQ345">
            <v>9120.3348858177342</v>
          </cell>
          <cell r="AS345">
            <v>59976.162018476905</v>
          </cell>
          <cell r="AT345">
            <v>32409.854137642371</v>
          </cell>
          <cell r="AV345">
            <v>3008.1344732487755</v>
          </cell>
          <cell r="AW345">
            <v>0</v>
          </cell>
          <cell r="AY345">
            <v>4982.5326494067722</v>
          </cell>
          <cell r="AZ345">
            <v>8566.9842561324003</v>
          </cell>
          <cell r="BB345">
            <v>2991.3273350361587</v>
          </cell>
          <cell r="BC345">
            <v>0</v>
          </cell>
          <cell r="BE345">
            <v>0</v>
          </cell>
          <cell r="BF345">
            <v>0</v>
          </cell>
          <cell r="BH345">
            <v>1592.7338905106938</v>
          </cell>
          <cell r="BI345">
            <v>997.04677979813732</v>
          </cell>
          <cell r="BK345">
            <v>3844.1684810268398</v>
          </cell>
          <cell r="BL345">
            <v>2173.3708111619303</v>
          </cell>
          <cell r="BN345">
            <v>150.58016947048469</v>
          </cell>
          <cell r="BO345">
            <v>0</v>
          </cell>
          <cell r="BT345">
            <v>53717.618720133913</v>
          </cell>
          <cell r="BU345">
            <v>90343.922040879799</v>
          </cell>
          <cell r="BW345">
            <v>30730.130360976545</v>
          </cell>
          <cell r="BX345">
            <v>34211.267443565375</v>
          </cell>
          <cell r="BZ345">
            <v>7739.9886579061495</v>
          </cell>
          <cell r="CA345">
            <v>516.69719555881295</v>
          </cell>
          <cell r="CC345">
            <v>3284.6662880209551</v>
          </cell>
          <cell r="CD345">
            <v>3291.0066655986975</v>
          </cell>
          <cell r="CF345">
            <v>407.44808380255466</v>
          </cell>
          <cell r="CG345">
            <v>0</v>
          </cell>
          <cell r="CI345">
            <v>11674.969425121189</v>
          </cell>
          <cell r="CJ345">
            <v>15682.929650707167</v>
          </cell>
          <cell r="CL345">
            <v>0</v>
          </cell>
          <cell r="CM345">
            <v>0</v>
          </cell>
          <cell r="CX345">
            <v>16418.790852048467</v>
          </cell>
          <cell r="CY345">
            <v>20419.736347478167</v>
          </cell>
          <cell r="DA345">
            <v>-49352.128252327297</v>
          </cell>
          <cell r="DC345">
            <v>86774.15</v>
          </cell>
          <cell r="DD345">
            <v>285.33999999999997</v>
          </cell>
          <cell r="DE345">
            <v>42130.929999999993</v>
          </cell>
          <cell r="DF345">
            <v>-8.6800000000000068</v>
          </cell>
          <cell r="DW345">
            <v>1375.1999999999998</v>
          </cell>
          <cell r="DX345">
            <v>0</v>
          </cell>
        </row>
        <row r="346">
          <cell r="F346">
            <v>1684.76</v>
          </cell>
          <cell r="G346">
            <v>0</v>
          </cell>
          <cell r="H346">
            <v>429.73</v>
          </cell>
          <cell r="I346">
            <v>5787.6953629189165</v>
          </cell>
          <cell r="J346">
            <v>5853.3097954947352</v>
          </cell>
          <cell r="L346">
            <v>941.51671821808827</v>
          </cell>
          <cell r="M346">
            <v>979.82232141420729</v>
          </cell>
          <cell r="O346">
            <v>3059.6131086899504</v>
          </cell>
          <cell r="P346">
            <v>3070.1559038841583</v>
          </cell>
          <cell r="R346">
            <v>0</v>
          </cell>
          <cell r="S346">
            <v>0</v>
          </cell>
          <cell r="U346">
            <v>149.68157246833368</v>
          </cell>
          <cell r="V346">
            <v>86.355672691194812</v>
          </cell>
          <cell r="X346">
            <v>4178.1100995011275</v>
          </cell>
          <cell r="Y346">
            <v>3902.7942767891673</v>
          </cell>
          <cell r="AA346">
            <v>0</v>
          </cell>
          <cell r="AB346">
            <v>0</v>
          </cell>
          <cell r="AD346">
            <v>8478.2405602246145</v>
          </cell>
          <cell r="AE346">
            <v>7484.8692974811856</v>
          </cell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P346">
            <v>3497.5990101763009</v>
          </cell>
          <cell r="AQ346">
            <v>4048.5455467496231</v>
          </cell>
          <cell r="AS346">
            <v>19108.415665773391</v>
          </cell>
          <cell r="AT346">
            <v>86767.717861126162</v>
          </cell>
          <cell r="AV346">
            <v>1017.0726981260583</v>
          </cell>
          <cell r="AW346">
            <v>0</v>
          </cell>
          <cell r="AY346">
            <v>1121.243078472947</v>
          </cell>
          <cell r="AZ346">
            <v>0</v>
          </cell>
          <cell r="BB346">
            <v>1516.1542272713409</v>
          </cell>
          <cell r="BC346">
            <v>0</v>
          </cell>
          <cell r="BE346">
            <v>0</v>
          </cell>
          <cell r="BF346">
            <v>0</v>
          </cell>
          <cell r="BH346">
            <v>88.218470377146446</v>
          </cell>
          <cell r="BI346">
            <v>0</v>
          </cell>
          <cell r="BK346">
            <v>612.0821878321608</v>
          </cell>
          <cell r="BL346">
            <v>0</v>
          </cell>
          <cell r="BN346">
            <v>61.361419059222484</v>
          </cell>
          <cell r="BO346">
            <v>0</v>
          </cell>
          <cell r="BT346">
            <v>29396.081121531948</v>
          </cell>
          <cell r="BU346">
            <v>47657.830029050012</v>
          </cell>
          <cell r="BW346">
            <v>20028.450273694252</v>
          </cell>
          <cell r="BX346">
            <v>23632.4890306286</v>
          </cell>
          <cell r="BZ346">
            <v>5790.3151885161005</v>
          </cell>
          <cell r="CA346">
            <v>319.03282681501321</v>
          </cell>
          <cell r="CC346">
            <v>471.65490634919297</v>
          </cell>
          <cell r="CD346">
            <v>472.56533983936333</v>
          </cell>
          <cell r="CF346">
            <v>58.506670375893606</v>
          </cell>
          <cell r="CG346">
            <v>0</v>
          </cell>
          <cell r="CI346">
            <v>2512.5361450294213</v>
          </cell>
          <cell r="CJ346">
            <v>7213.5489651687658</v>
          </cell>
          <cell r="CL346">
            <v>0</v>
          </cell>
          <cell r="CM346">
            <v>0</v>
          </cell>
          <cell r="CX346">
            <v>-7040.7964866136635</v>
          </cell>
          <cell r="CY346">
            <v>-107378.18254564461</v>
          </cell>
          <cell r="DA346">
            <v>150576.85866285616</v>
          </cell>
          <cell r="DC346">
            <v>46260.14</v>
          </cell>
          <cell r="DD346">
            <v>14382.66</v>
          </cell>
          <cell r="DE346">
            <v>32787.089999999997</v>
          </cell>
          <cell r="DF346">
            <v>11814.26</v>
          </cell>
          <cell r="DW346">
            <v>1062</v>
          </cell>
          <cell r="DX346">
            <v>0</v>
          </cell>
        </row>
        <row r="347">
          <cell r="F347">
            <v>3612.98</v>
          </cell>
          <cell r="G347">
            <v>0</v>
          </cell>
          <cell r="H347">
            <v>896.1</v>
          </cell>
          <cell r="I347">
            <v>11575.748262333564</v>
          </cell>
          <cell r="J347">
            <v>11752.915024994789</v>
          </cell>
          <cell r="L347">
            <v>2146.9020662916396</v>
          </cell>
          <cell r="M347">
            <v>2229.2399985093916</v>
          </cell>
          <cell r="O347">
            <v>5840.5680347621364</v>
          </cell>
          <cell r="P347">
            <v>5860.0821418548803</v>
          </cell>
          <cell r="R347">
            <v>0</v>
          </cell>
          <cell r="S347">
            <v>0</v>
          </cell>
          <cell r="U347">
            <v>280.65294837812576</v>
          </cell>
          <cell r="V347">
            <v>161.91688629599031</v>
          </cell>
          <cell r="X347">
            <v>9253.7920562531017</v>
          </cell>
          <cell r="Y347">
            <v>9277.6273414874158</v>
          </cell>
          <cell r="AA347">
            <v>0</v>
          </cell>
          <cell r="AB347">
            <v>0</v>
          </cell>
          <cell r="AD347">
            <v>16360.907504617055</v>
          </cell>
          <cell r="AE347">
            <v>16114.167615121842</v>
          </cell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P347">
            <v>10367.882780165468</v>
          </cell>
          <cell r="AQ347">
            <v>13100.60966736362</v>
          </cell>
          <cell r="AS347">
            <v>38064.963675320687</v>
          </cell>
          <cell r="AT347">
            <v>4478.7625225269676</v>
          </cell>
          <cell r="AV347">
            <v>1893.8370153502854</v>
          </cell>
          <cell r="AW347">
            <v>17232.917882957576</v>
          </cell>
          <cell r="AY347">
            <v>2524.4142760491768</v>
          </cell>
          <cell r="AZ347">
            <v>0</v>
          </cell>
          <cell r="BB347">
            <v>2218.1441174293086</v>
          </cell>
          <cell r="BC347">
            <v>0</v>
          </cell>
          <cell r="BE347">
            <v>0</v>
          </cell>
          <cell r="BF347">
            <v>0</v>
          </cell>
          <cell r="BH347">
            <v>165.40963195714954</v>
          </cell>
          <cell r="BI347">
            <v>464.00837060753145</v>
          </cell>
          <cell r="BK347">
            <v>1756.9376431900234</v>
          </cell>
          <cell r="BL347">
            <v>451.37849776910139</v>
          </cell>
          <cell r="BN347">
            <v>180.35112380954513</v>
          </cell>
          <cell r="BO347">
            <v>0</v>
          </cell>
          <cell r="BT347">
            <v>30498.325009600296</v>
          </cell>
          <cell r="BU347">
            <v>48836.407992079665</v>
          </cell>
          <cell r="BW347">
            <v>19047.027064824673</v>
          </cell>
          <cell r="BX347">
            <v>22712.821656771044</v>
          </cell>
          <cell r="BZ347">
            <v>10596.50752766979</v>
          </cell>
          <cell r="CA347">
            <v>300.77678719439939</v>
          </cell>
          <cell r="CC347">
            <v>0</v>
          </cell>
          <cell r="CD347">
            <v>0</v>
          </cell>
          <cell r="CF347">
            <v>0</v>
          </cell>
          <cell r="CG347">
            <v>0</v>
          </cell>
          <cell r="CI347">
            <v>3990.2366971686747</v>
          </cell>
          <cell r="CJ347">
            <v>3714.0522466465259</v>
          </cell>
          <cell r="CL347">
            <v>0</v>
          </cell>
          <cell r="CM347">
            <v>0</v>
          </cell>
          <cell r="CX347">
            <v>6376.6632295266863</v>
          </cell>
          <cell r="CY347">
            <v>18466.570593114629</v>
          </cell>
          <cell r="DA347">
            <v>319348.61084181303</v>
          </cell>
          <cell r="DC347">
            <v>40932.949999999997</v>
          </cell>
          <cell r="DD347">
            <v>5024.0000000000009</v>
          </cell>
          <cell r="DE347">
            <v>19066.429999999997</v>
          </cell>
          <cell r="DF347">
            <v>-6.7299999999995634</v>
          </cell>
          <cell r="DW347">
            <v>1717.1999999999998</v>
          </cell>
          <cell r="DX347">
            <v>0</v>
          </cell>
        </row>
        <row r="348">
          <cell r="F348">
            <v>1891.75</v>
          </cell>
          <cell r="G348">
            <v>0</v>
          </cell>
          <cell r="H348">
            <v>840.40000000000009</v>
          </cell>
          <cell r="I348">
            <v>7745.9284009423054</v>
          </cell>
          <cell r="J348">
            <v>7808.4141840274233</v>
          </cell>
          <cell r="L348">
            <v>1520.7943403884865</v>
          </cell>
          <cell r="M348">
            <v>1579.057342782671</v>
          </cell>
          <cell r="O348">
            <v>3515.9240522530717</v>
          </cell>
          <cell r="P348">
            <v>3527.708476055865</v>
          </cell>
          <cell r="R348">
            <v>0</v>
          </cell>
          <cell r="S348">
            <v>0</v>
          </cell>
          <cell r="U348">
            <v>187.10196558541708</v>
          </cell>
          <cell r="V348">
            <v>107.9445908639935</v>
          </cell>
          <cell r="X348">
            <v>6285.760693611317</v>
          </cell>
          <cell r="Y348">
            <v>6096.9699864986505</v>
          </cell>
          <cell r="AA348">
            <v>0</v>
          </cell>
          <cell r="AB348">
            <v>0</v>
          </cell>
          <cell r="AD348">
            <v>9886.4120278422906</v>
          </cell>
          <cell r="AE348">
            <v>9648.9175030626175</v>
          </cell>
          <cell r="AJ348">
            <v>0</v>
          </cell>
          <cell r="AK348">
            <v>0</v>
          </cell>
          <cell r="AM348">
            <v>0</v>
          </cell>
          <cell r="AN348">
            <v>0</v>
          </cell>
          <cell r="AP348">
            <v>3747.4275109031805</v>
          </cell>
          <cell r="AQ348">
            <v>2369.1821943047685</v>
          </cell>
          <cell r="AS348">
            <v>26683.290348409253</v>
          </cell>
          <cell r="AT348">
            <v>4631.2661356167055</v>
          </cell>
          <cell r="AV348">
            <v>1428.9704465414543</v>
          </cell>
          <cell r="AW348">
            <v>0</v>
          </cell>
          <cell r="AY348">
            <v>1787.9092413169769</v>
          </cell>
          <cell r="AZ348">
            <v>0</v>
          </cell>
          <cell r="BB348">
            <v>1478.1395608062717</v>
          </cell>
          <cell r="BC348">
            <v>0</v>
          </cell>
          <cell r="BE348">
            <v>0</v>
          </cell>
          <cell r="BF348">
            <v>0</v>
          </cell>
          <cell r="BH348">
            <v>110.27308797143304</v>
          </cell>
          <cell r="BI348">
            <v>0</v>
          </cell>
          <cell r="BK348">
            <v>1113.2916669679332</v>
          </cell>
          <cell r="BL348">
            <v>0</v>
          </cell>
          <cell r="BN348">
            <v>81.752483675017274</v>
          </cell>
          <cell r="BO348">
            <v>0</v>
          </cell>
          <cell r="BT348">
            <v>22686.357405488223</v>
          </cell>
          <cell r="BU348">
            <v>43351.678540641435</v>
          </cell>
          <cell r="BW348">
            <v>16479.815275434958</v>
          </cell>
          <cell r="BX348">
            <v>19976.156139635292</v>
          </cell>
          <cell r="BZ348">
            <v>12352.496270977605</v>
          </cell>
          <cell r="CA348">
            <v>290.35347069644092</v>
          </cell>
          <cell r="CC348">
            <v>833.08611175808517</v>
          </cell>
          <cell r="CD348">
            <v>834.69421439017981</v>
          </cell>
          <cell r="CF348">
            <v>103.34058626176861</v>
          </cell>
          <cell r="CG348">
            <v>0</v>
          </cell>
          <cell r="CI348">
            <v>6031.2661737380276</v>
          </cell>
          <cell r="CJ348">
            <v>5313.4136184927229</v>
          </cell>
          <cell r="CL348">
            <v>0</v>
          </cell>
          <cell r="CM348">
            <v>0</v>
          </cell>
          <cell r="CX348">
            <v>3706.1322053771642</v>
          </cell>
          <cell r="CY348">
            <v>25934.429709942335</v>
          </cell>
          <cell r="DA348">
            <v>-122764.32568922565</v>
          </cell>
          <cell r="DC348">
            <v>15679.14</v>
          </cell>
          <cell r="DD348">
            <v>31616.300000000003</v>
          </cell>
          <cell r="DE348">
            <v>1095.0900000000001</v>
          </cell>
          <cell r="DF348">
            <v>26277.890000000003</v>
          </cell>
          <cell r="DW348">
            <v>1062</v>
          </cell>
          <cell r="DX348">
            <v>0</v>
          </cell>
        </row>
        <row r="349">
          <cell r="F349">
            <v>2076.5</v>
          </cell>
          <cell r="G349">
            <v>0</v>
          </cell>
          <cell r="H349">
            <v>328.9</v>
          </cell>
          <cell r="I349">
            <v>5926.2437572819472</v>
          </cell>
          <cell r="J349">
            <v>6030.3613091792249</v>
          </cell>
          <cell r="L349">
            <v>866.32566085691019</v>
          </cell>
          <cell r="M349">
            <v>898.06354037424592</v>
          </cell>
          <cell r="O349">
            <v>2949.9608627982266</v>
          </cell>
          <cell r="P349">
            <v>2959.868013471817</v>
          </cell>
          <cell r="R349">
            <v>683.01620566742974</v>
          </cell>
          <cell r="S349">
            <v>685.28916386045228</v>
          </cell>
          <cell r="U349">
            <v>331.97187143689712</v>
          </cell>
          <cell r="V349">
            <v>694.5700768447258</v>
          </cell>
          <cell r="X349">
            <v>3382.820797418351</v>
          </cell>
          <cell r="Y349">
            <v>3089.5982947769789</v>
          </cell>
          <cell r="AA349">
            <v>0</v>
          </cell>
          <cell r="AB349">
            <v>0</v>
          </cell>
          <cell r="AD349">
            <v>8718.7898176206563</v>
          </cell>
          <cell r="AE349">
            <v>8508.5688808952837</v>
          </cell>
          <cell r="AJ349">
            <v>19161.013181778813</v>
          </cell>
          <cell r="AK349">
            <v>15611.565810770018</v>
          </cell>
          <cell r="AM349">
            <v>0</v>
          </cell>
          <cell r="AN349">
            <v>0</v>
          </cell>
          <cell r="AP349">
            <v>1998.6280058150296</v>
          </cell>
          <cell r="AQ349">
            <v>0</v>
          </cell>
          <cell r="AS349">
            <v>27485.185896667557</v>
          </cell>
          <cell r="AT349">
            <v>42428.771868940363</v>
          </cell>
          <cell r="AV349">
            <v>252.76882891052423</v>
          </cell>
          <cell r="AW349">
            <v>0</v>
          </cell>
          <cell r="AY349">
            <v>244.77540796382289</v>
          </cell>
          <cell r="AZ349">
            <v>0</v>
          </cell>
          <cell r="BB349">
            <v>334.30471716394101</v>
          </cell>
          <cell r="BC349">
            <v>0</v>
          </cell>
          <cell r="BE349">
            <v>169.9300820220223</v>
          </cell>
          <cell r="BF349">
            <v>0</v>
          </cell>
          <cell r="BH349">
            <v>93.862066194985516</v>
          </cell>
          <cell r="BI349">
            <v>0</v>
          </cell>
          <cell r="BK349">
            <v>158.57700164036947</v>
          </cell>
          <cell r="BL349">
            <v>167.31026124217348</v>
          </cell>
          <cell r="BN349">
            <v>28.923940885788934</v>
          </cell>
          <cell r="BO349">
            <v>0</v>
          </cell>
          <cell r="BT349">
            <v>34129.278374852802</v>
          </cell>
          <cell r="BU349">
            <v>43395.117898239405</v>
          </cell>
          <cell r="BW349">
            <v>20777.582293560197</v>
          </cell>
          <cell r="BX349">
            <v>21970.372660535792</v>
          </cell>
          <cell r="BZ349">
            <v>9569.3001015854916</v>
          </cell>
          <cell r="CA349">
            <v>358.99965352970401</v>
          </cell>
          <cell r="CC349">
            <v>0</v>
          </cell>
          <cell r="CD349">
            <v>0</v>
          </cell>
          <cell r="CF349">
            <v>0</v>
          </cell>
          <cell r="CG349">
            <v>0</v>
          </cell>
          <cell r="CI349">
            <v>3336.707227061243</v>
          </cell>
          <cell r="CJ349">
            <v>2348.6354575386968</v>
          </cell>
          <cell r="CL349">
            <v>7241.4737456147495</v>
          </cell>
          <cell r="CM349">
            <v>9795.9493115090354</v>
          </cell>
          <cell r="CX349">
            <v>3928.836244363577</v>
          </cell>
          <cell r="CY349">
            <v>-9393.0865839286416</v>
          </cell>
          <cell r="DA349">
            <v>-47672.63425904137</v>
          </cell>
          <cell r="DC349">
            <v>32003.78</v>
          </cell>
          <cell r="DD349">
            <v>1240.93</v>
          </cell>
          <cell r="DE349">
            <v>10351.239999999998</v>
          </cell>
          <cell r="DF349">
            <v>-859.45</v>
          </cell>
          <cell r="DW349">
            <v>1062</v>
          </cell>
          <cell r="DX349">
            <v>1100</v>
          </cell>
        </row>
        <row r="350">
          <cell r="F350">
            <v>2322.13</v>
          </cell>
          <cell r="G350">
            <v>0</v>
          </cell>
          <cell r="H350">
            <v>689.30000000000007</v>
          </cell>
          <cell r="I350">
            <v>7505.0387540332022</v>
          </cell>
          <cell r="J350">
            <v>7619.4426663225058</v>
          </cell>
          <cell r="L350">
            <v>1533.3115570329442</v>
          </cell>
          <cell r="M350">
            <v>1595.5687727818367</v>
          </cell>
          <cell r="O350">
            <v>3855.1818581745356</v>
          </cell>
          <cell r="P350">
            <v>3868.0798507100367</v>
          </cell>
          <cell r="R350">
            <v>0</v>
          </cell>
          <cell r="S350">
            <v>0</v>
          </cell>
          <cell r="U350">
            <v>187.10196558541708</v>
          </cell>
          <cell r="V350">
            <v>107.9445908639935</v>
          </cell>
          <cell r="X350">
            <v>5025.3489318173542</v>
          </cell>
          <cell r="Y350">
            <v>4767.205310698595</v>
          </cell>
          <cell r="AA350">
            <v>0</v>
          </cell>
          <cell r="AB350">
            <v>0</v>
          </cell>
          <cell r="AD350">
            <v>10910.65967512448</v>
          </cell>
          <cell r="AE350">
            <v>10654.237664927814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6120.7982678085282</v>
          </cell>
          <cell r="AQ350">
            <v>7268.5856266600968</v>
          </cell>
          <cell r="AS350">
            <v>29952.566650305696</v>
          </cell>
          <cell r="AT350">
            <v>391.8979978805155</v>
          </cell>
          <cell r="AV350">
            <v>1262.0109808767459</v>
          </cell>
          <cell r="AW350">
            <v>0</v>
          </cell>
          <cell r="AY350">
            <v>1949.5892365719703</v>
          </cell>
          <cell r="AZ350">
            <v>0</v>
          </cell>
          <cell r="BB350">
            <v>1796.8206311174174</v>
          </cell>
          <cell r="BC350">
            <v>0</v>
          </cell>
          <cell r="BE350">
            <v>0</v>
          </cell>
          <cell r="BF350">
            <v>0</v>
          </cell>
          <cell r="BH350">
            <v>110.27308797143304</v>
          </cell>
          <cell r="BI350">
            <v>0</v>
          </cell>
          <cell r="BK350">
            <v>828.72832717361769</v>
          </cell>
          <cell r="BL350">
            <v>0</v>
          </cell>
          <cell r="BN350">
            <v>43.636878277800861</v>
          </cell>
          <cell r="BO350">
            <v>0</v>
          </cell>
          <cell r="BT350">
            <v>24282.946302042652</v>
          </cell>
          <cell r="BU350">
            <v>38768.895388470904</v>
          </cell>
          <cell r="BW350">
            <v>11623.925992443363</v>
          </cell>
          <cell r="BX350">
            <v>12093.775047718636</v>
          </cell>
          <cell r="BZ350">
            <v>8993.190417250069</v>
          </cell>
          <cell r="CA350">
            <v>251.75735210137461</v>
          </cell>
          <cell r="CC350">
            <v>458.83819693753003</v>
          </cell>
          <cell r="CD350">
            <v>459.72389038720678</v>
          </cell>
          <cell r="CF350">
            <v>56.916815202635632</v>
          </cell>
          <cell r="CG350">
            <v>0</v>
          </cell>
          <cell r="CI350">
            <v>3296.5280006328344</v>
          </cell>
          <cell r="CJ350">
            <v>2530.3416913007677</v>
          </cell>
          <cell r="CL350">
            <v>0</v>
          </cell>
          <cell r="CM350">
            <v>0</v>
          </cell>
          <cell r="CX350">
            <v>7239.9567485694288</v>
          </cell>
          <cell r="CY350">
            <v>42539.104759236565</v>
          </cell>
          <cell r="DA350">
            <v>-37891.937522059758</v>
          </cell>
          <cell r="DC350">
            <v>47555.29</v>
          </cell>
          <cell r="DD350">
            <v>8611.0500000000011</v>
          </cell>
          <cell r="DE350">
            <v>31876.5</v>
          </cell>
          <cell r="DF350">
            <v>4490.9600000000009</v>
          </cell>
          <cell r="DW350">
            <v>1062</v>
          </cell>
          <cell r="DX350">
            <v>0</v>
          </cell>
        </row>
        <row r="351">
          <cell r="F351">
            <v>1851.98</v>
          </cell>
          <cell r="G351">
            <v>0</v>
          </cell>
          <cell r="H351">
            <v>0</v>
          </cell>
          <cell r="I351">
            <v>5451.6677567843217</v>
          </cell>
          <cell r="J351">
            <v>5519.3814957973136</v>
          </cell>
          <cell r="L351">
            <v>910.01106697115165</v>
          </cell>
          <cell r="M351">
            <v>945.80785648796143</v>
          </cell>
          <cell r="O351">
            <v>2448.3154479290843</v>
          </cell>
          <cell r="P351">
            <v>2456.6792083464043</v>
          </cell>
          <cell r="R351">
            <v>0</v>
          </cell>
          <cell r="S351">
            <v>0</v>
          </cell>
          <cell r="U351">
            <v>140.32647418906288</v>
          </cell>
          <cell r="V351">
            <v>80.958443147995155</v>
          </cell>
          <cell r="X351">
            <v>2855.3434123170728</v>
          </cell>
          <cell r="Y351">
            <v>2671.3301232096346</v>
          </cell>
          <cell r="AA351">
            <v>0</v>
          </cell>
          <cell r="AB351">
            <v>0</v>
          </cell>
          <cell r="AD351">
            <v>6712.707520220134</v>
          </cell>
          <cell r="AE351">
            <v>6550.861802667544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4996.5700145375749</v>
          </cell>
          <cell r="AQ351">
            <v>5869.0349743818224</v>
          </cell>
          <cell r="AS351">
            <v>18500.985720609915</v>
          </cell>
          <cell r="AT351">
            <v>25391.769540100475</v>
          </cell>
          <cell r="AV351">
            <v>875.10295821686543</v>
          </cell>
          <cell r="AW351">
            <v>0</v>
          </cell>
          <cell r="AY351">
            <v>1075.7633287468504</v>
          </cell>
          <cell r="AZ351">
            <v>0</v>
          </cell>
          <cell r="BB351">
            <v>1005.2116750331423</v>
          </cell>
          <cell r="BC351">
            <v>0</v>
          </cell>
          <cell r="BE351">
            <v>0</v>
          </cell>
          <cell r="BF351">
            <v>0</v>
          </cell>
          <cell r="BH351">
            <v>82.704815978574771</v>
          </cell>
          <cell r="BI351">
            <v>0</v>
          </cell>
          <cell r="BK351">
            <v>449.55730434527766</v>
          </cell>
          <cell r="BL351">
            <v>0</v>
          </cell>
          <cell r="BN351">
            <v>26.884834424209455</v>
          </cell>
          <cell r="BO351">
            <v>0</v>
          </cell>
          <cell r="BT351">
            <v>21923.964829818175</v>
          </cell>
          <cell r="BU351">
            <v>34422.569048513149</v>
          </cell>
          <cell r="BW351">
            <v>7034.0038618700182</v>
          </cell>
          <cell r="BX351">
            <v>8571.3897044396363</v>
          </cell>
          <cell r="BZ351">
            <v>5770.1223823753044</v>
          </cell>
          <cell r="CA351">
            <v>243.94140556812246</v>
          </cell>
          <cell r="CC351">
            <v>0</v>
          </cell>
          <cell r="CD351">
            <v>0</v>
          </cell>
          <cell r="CF351">
            <v>0</v>
          </cell>
          <cell r="CG351">
            <v>0</v>
          </cell>
          <cell r="CI351">
            <v>429.49348871234588</v>
          </cell>
          <cell r="CJ351">
            <v>147.2651865100633</v>
          </cell>
          <cell r="CL351">
            <v>0</v>
          </cell>
          <cell r="CM351">
            <v>0</v>
          </cell>
          <cell r="CX351">
            <v>2641.336550598724</v>
          </cell>
          <cell r="CY351">
            <v>6082.6342752894761</v>
          </cell>
          <cell r="DA351">
            <v>16586.727632048991</v>
          </cell>
          <cell r="DC351">
            <v>26348.76</v>
          </cell>
          <cell r="DD351">
            <v>0</v>
          </cell>
          <cell r="DE351">
            <v>13397.099999999999</v>
          </cell>
          <cell r="DF351">
            <v>0</v>
          </cell>
          <cell r="DW351">
            <v>1062</v>
          </cell>
          <cell r="DX351">
            <v>15050</v>
          </cell>
        </row>
        <row r="352">
          <cell r="F352">
            <v>2555.1</v>
          </cell>
          <cell r="G352">
            <v>0</v>
          </cell>
          <cell r="H352">
            <v>841.2</v>
          </cell>
          <cell r="I352">
            <v>9696.2302393689479</v>
          </cell>
          <cell r="J352">
            <v>9824.175812893991</v>
          </cell>
          <cell r="L352">
            <v>1966.2250875059747</v>
          </cell>
          <cell r="M352">
            <v>2041.762409172158</v>
          </cell>
          <cell r="O352">
            <v>4188.0015099835691</v>
          </cell>
          <cell r="P352">
            <v>4202.1647473511257</v>
          </cell>
          <cell r="R352">
            <v>0</v>
          </cell>
          <cell r="S352">
            <v>0</v>
          </cell>
          <cell r="U352">
            <v>233.87745698177133</v>
          </cell>
          <cell r="V352">
            <v>134.93073857999187</v>
          </cell>
          <cell r="X352">
            <v>6633.566315370821</v>
          </cell>
          <cell r="Y352">
            <v>6454.7618832369453</v>
          </cell>
          <cell r="AA352">
            <v>0</v>
          </cell>
          <cell r="AB352">
            <v>0</v>
          </cell>
          <cell r="AD352">
            <v>12322.167917672086</v>
          </cell>
          <cell r="AE352">
            <v>12013.657807510041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7994.5120232601184</v>
          </cell>
          <cell r="AQ352">
            <v>10140.301364198987</v>
          </cell>
          <cell r="AS352">
            <v>38139.832193779184</v>
          </cell>
          <cell r="AT352">
            <v>15965.601772289519</v>
          </cell>
          <cell r="AV352">
            <v>1617.8167981969891</v>
          </cell>
          <cell r="AW352">
            <v>4108.5479215509022</v>
          </cell>
          <cell r="AY352">
            <v>2564.2376844964915</v>
          </cell>
          <cell r="AZ352">
            <v>0</v>
          </cell>
          <cell r="BB352">
            <v>1902.9331057485997</v>
          </cell>
          <cell r="BC352">
            <v>0</v>
          </cell>
          <cell r="BE352">
            <v>0</v>
          </cell>
          <cell r="BF352">
            <v>0</v>
          </cell>
          <cell r="BH352">
            <v>137.84135996429129</v>
          </cell>
          <cell r="BI352">
            <v>0</v>
          </cell>
          <cell r="BK352">
            <v>1209.654932880916</v>
          </cell>
          <cell r="BL352">
            <v>3776.9009983670144</v>
          </cell>
          <cell r="BN352">
            <v>101.86121047305494</v>
          </cell>
          <cell r="BO352">
            <v>0</v>
          </cell>
          <cell r="BT352">
            <v>15402.373531517635</v>
          </cell>
          <cell r="BU352">
            <v>34540.545726756049</v>
          </cell>
          <cell r="BW352">
            <v>18527.339794038002</v>
          </cell>
          <cell r="BX352">
            <v>20338.614570999085</v>
          </cell>
          <cell r="BZ352">
            <v>10005.698854401529</v>
          </cell>
          <cell r="CA352">
            <v>238.5229146914576</v>
          </cell>
          <cell r="CC352">
            <v>610.07536799515162</v>
          </cell>
          <cell r="CD352">
            <v>611.25299392265492</v>
          </cell>
          <cell r="CF352">
            <v>75.677106247079763</v>
          </cell>
          <cell r="CG352">
            <v>0</v>
          </cell>
          <cell r="CI352">
            <v>5083.396605225822</v>
          </cell>
          <cell r="CJ352">
            <v>3913.3462397337394</v>
          </cell>
          <cell r="CL352">
            <v>0</v>
          </cell>
          <cell r="CM352">
            <v>0</v>
          </cell>
          <cell r="CX352">
            <v>1857.8632672770329</v>
          </cell>
          <cell r="CY352">
            <v>13987.740699902302</v>
          </cell>
          <cell r="DA352">
            <v>-49030.490556244418</v>
          </cell>
          <cell r="DC352">
            <v>36941.89</v>
          </cell>
          <cell r="DD352">
            <v>3911.71</v>
          </cell>
          <cell r="DE352">
            <v>19715.7</v>
          </cell>
          <cell r="DF352">
            <v>-824.83999999999924</v>
          </cell>
          <cell r="DW352">
            <v>1062</v>
          </cell>
          <cell r="DX352">
            <v>0</v>
          </cell>
        </row>
        <row r="353">
          <cell r="F353">
            <v>1448.46</v>
          </cell>
          <cell r="G353">
            <v>0</v>
          </cell>
          <cell r="H353">
            <v>46.2</v>
          </cell>
          <cell r="I353">
            <v>4672.8035811565433</v>
          </cell>
          <cell r="J353">
            <v>4723.5051311627349</v>
          </cell>
          <cell r="L353">
            <v>815.3978595400971</v>
          </cell>
          <cell r="M353">
            <v>845.72824236928011</v>
          </cell>
          <cell r="O353">
            <v>1944.0375517901739</v>
          </cell>
          <cell r="P353">
            <v>1950.8058439896568</v>
          </cell>
          <cell r="R353">
            <v>0</v>
          </cell>
          <cell r="S353">
            <v>0</v>
          </cell>
          <cell r="U353">
            <v>112.26117935125026</v>
          </cell>
          <cell r="V353">
            <v>64.766754518396098</v>
          </cell>
          <cell r="X353">
            <v>2684.1027211017322</v>
          </cell>
          <cell r="Y353">
            <v>5405.6353615205144</v>
          </cell>
          <cell r="AA353">
            <v>0</v>
          </cell>
          <cell r="AB353">
            <v>0</v>
          </cell>
          <cell r="AD353">
            <v>5417.4814346285466</v>
          </cell>
          <cell r="AE353">
            <v>5286.8682712492882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3997.2560116300592</v>
          </cell>
          <cell r="AQ353">
            <v>5033.6996983319405</v>
          </cell>
          <cell r="AS353">
            <v>18138.290138091885</v>
          </cell>
          <cell r="AT353">
            <v>343.63277720001878</v>
          </cell>
          <cell r="AV353">
            <v>769.272366078201</v>
          </cell>
          <cell r="AW353">
            <v>0</v>
          </cell>
          <cell r="AY353">
            <v>1064.3809532517753</v>
          </cell>
          <cell r="AZ353">
            <v>0</v>
          </cell>
          <cell r="BB353">
            <v>784.26350660454909</v>
          </cell>
          <cell r="BC353">
            <v>0</v>
          </cell>
          <cell r="BE353">
            <v>0</v>
          </cell>
          <cell r="BF353">
            <v>0</v>
          </cell>
          <cell r="BH353">
            <v>66.163852782859806</v>
          </cell>
          <cell r="BI353">
            <v>0</v>
          </cell>
          <cell r="BK353">
            <v>414.71696449846343</v>
          </cell>
          <cell r="BL353">
            <v>0</v>
          </cell>
          <cell r="BN353">
            <v>42.068334845816658</v>
          </cell>
          <cell r="BO353">
            <v>0</v>
          </cell>
          <cell r="BT353">
            <v>17846.82443705219</v>
          </cell>
          <cell r="BU353">
            <v>26754.159159557901</v>
          </cell>
          <cell r="BW353">
            <v>8379.3926602338925</v>
          </cell>
          <cell r="BX353">
            <v>8515.39182454201</v>
          </cell>
          <cell r="BZ353">
            <v>5012.6550589451408</v>
          </cell>
          <cell r="CA353">
            <v>208.08201685464735</v>
          </cell>
          <cell r="CC353">
            <v>215.32071811593588</v>
          </cell>
          <cell r="CD353">
            <v>215.73635079623108</v>
          </cell>
          <cell r="CF353">
            <v>26.709566910734033</v>
          </cell>
          <cell r="CG353">
            <v>0</v>
          </cell>
          <cell r="CI353">
            <v>1659.133640952909</v>
          </cell>
          <cell r="CJ353">
            <v>2179.9460434124198</v>
          </cell>
          <cell r="CL353">
            <v>0</v>
          </cell>
          <cell r="CM353">
            <v>0</v>
          </cell>
          <cell r="CX353">
            <v>2764.1775168624345</v>
          </cell>
          <cell r="CY353">
            <v>17805.667591331694</v>
          </cell>
          <cell r="DA353">
            <v>-55994.935083890625</v>
          </cell>
          <cell r="DC353">
            <v>12617.56</v>
          </cell>
          <cell r="DD353">
            <v>0</v>
          </cell>
          <cell r="DE353">
            <v>1022.3299999999999</v>
          </cell>
          <cell r="DF353">
            <v>-328.2</v>
          </cell>
          <cell r="DW353">
            <v>918</v>
          </cell>
          <cell r="DX353">
            <v>0</v>
          </cell>
        </row>
      </sheetData>
      <sheetData sheetId="4"/>
      <sheetData sheetId="5"/>
      <sheetData sheetId="6"/>
      <sheetData sheetId="7">
        <row r="11"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248.49274725836409</v>
          </cell>
          <cell r="AE11">
            <v>326.7373937858498</v>
          </cell>
          <cell r="AF11">
            <v>0</v>
          </cell>
          <cell r="AH11">
            <v>355.26641327506138</v>
          </cell>
          <cell r="AI11">
            <v>0</v>
          </cell>
          <cell r="AK11">
            <v>232.99844584782588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150.42442725745678</v>
          </cell>
          <cell r="AU11">
            <v>0</v>
          </cell>
          <cell r="AW11">
            <v>15.685434319842152</v>
          </cell>
          <cell r="AX11">
            <v>0</v>
          </cell>
        </row>
        <row r="12"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3747.2925068229565</v>
          </cell>
          <cell r="AC12">
            <v>0</v>
          </cell>
          <cell r="AD12">
            <v>3885.9439774210337</v>
          </cell>
          <cell r="AE12">
            <v>1136.8885987758758</v>
          </cell>
          <cell r="AF12">
            <v>0</v>
          </cell>
          <cell r="AH12">
            <v>1877.3380091824231</v>
          </cell>
          <cell r="AI12">
            <v>0</v>
          </cell>
          <cell r="AK12">
            <v>1298.1388741819158</v>
          </cell>
          <cell r="AL12">
            <v>0</v>
          </cell>
          <cell r="AN12">
            <v>0</v>
          </cell>
          <cell r="AO12">
            <v>0</v>
          </cell>
          <cell r="AQ12">
            <v>110.27308797143304</v>
          </cell>
          <cell r="AR12">
            <v>538.44584269462018</v>
          </cell>
          <cell r="AT12">
            <v>703.00807951609249</v>
          </cell>
          <cell r="AU12">
            <v>1210.7967459379233</v>
          </cell>
          <cell r="AW12">
            <v>370.17600719432181</v>
          </cell>
          <cell r="AX12">
            <v>5581.6815762670003</v>
          </cell>
        </row>
        <row r="13"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X13">
            <v>340.89912597587926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4623.1287233964067</v>
          </cell>
          <cell r="AE13">
            <v>1516.3596207604137</v>
          </cell>
          <cell r="AF13">
            <v>0</v>
          </cell>
          <cell r="AH13">
            <v>2235.436782098122</v>
          </cell>
          <cell r="AI13">
            <v>0</v>
          </cell>
          <cell r="AK13">
            <v>1847.8466835827173</v>
          </cell>
          <cell r="AL13">
            <v>0</v>
          </cell>
          <cell r="AN13">
            <v>0</v>
          </cell>
          <cell r="AO13">
            <v>0</v>
          </cell>
          <cell r="AQ13">
            <v>559.30130994787476</v>
          </cell>
          <cell r="AR13">
            <v>0</v>
          </cell>
          <cell r="AT13">
            <v>1056.6469204769942</v>
          </cell>
          <cell r="AU13">
            <v>2105.355400192449</v>
          </cell>
          <cell r="AW13">
            <v>48.467992048312254</v>
          </cell>
          <cell r="AX13">
            <v>0</v>
          </cell>
        </row>
        <row r="14">
          <cell r="I14">
            <v>18</v>
          </cell>
          <cell r="J14">
            <v>14362.541615109529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296</v>
          </cell>
          <cell r="AB14">
            <v>132.05404403729605</v>
          </cell>
          <cell r="AC14">
            <v>0</v>
          </cell>
          <cell r="AD14">
            <v>281.11900023406389</v>
          </cell>
          <cell r="AE14">
            <v>1504.2658066153774</v>
          </cell>
          <cell r="AF14">
            <v>0</v>
          </cell>
          <cell r="AH14">
            <v>1723.4604045502606</v>
          </cell>
          <cell r="AI14">
            <v>2873.9239916609299</v>
          </cell>
          <cell r="AK14">
            <v>2176.2642422900753</v>
          </cell>
          <cell r="AL14">
            <v>982.43573288694427</v>
          </cell>
          <cell r="AN14">
            <v>545.01434787753931</v>
          </cell>
          <cell r="AO14">
            <v>0</v>
          </cell>
          <cell r="AQ14">
            <v>364.4858274382928</v>
          </cell>
          <cell r="AR14">
            <v>0</v>
          </cell>
          <cell r="AT14">
            <v>1318.5966616444321</v>
          </cell>
          <cell r="AU14">
            <v>0</v>
          </cell>
          <cell r="AW14">
            <v>112.9351271028635</v>
          </cell>
          <cell r="AX14">
            <v>0</v>
          </cell>
        </row>
        <row r="15"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9</v>
          </cell>
          <cell r="P15">
            <v>3014.4562867736499</v>
          </cell>
          <cell r="R15">
            <v>3</v>
          </cell>
          <cell r="S15">
            <v>3761.8742104659732</v>
          </cell>
          <cell r="U15">
            <v>0</v>
          </cell>
          <cell r="V15">
            <v>0</v>
          </cell>
          <cell r="W15">
            <v>0</v>
          </cell>
          <cell r="X15">
            <v>423.40396763493527</v>
          </cell>
          <cell r="Y15">
            <v>18029.080076167244</v>
          </cell>
          <cell r="Z15">
            <v>0</v>
          </cell>
          <cell r="AA15">
            <v>0</v>
          </cell>
          <cell r="AB15">
            <v>1609.1880447959372</v>
          </cell>
          <cell r="AC15">
            <v>555.51382149040671</v>
          </cell>
          <cell r="AD15">
            <v>1845.3743009240943</v>
          </cell>
          <cell r="AE15">
            <v>1503.7626049239473</v>
          </cell>
          <cell r="AF15">
            <v>1316.0072934296429</v>
          </cell>
          <cell r="AH15">
            <v>1774.8440061008359</v>
          </cell>
          <cell r="AI15">
            <v>5203.6621024858314</v>
          </cell>
          <cell r="AK15">
            <v>2162.071621110455</v>
          </cell>
          <cell r="AL15">
            <v>956.63872085874448</v>
          </cell>
          <cell r="AN15">
            <v>548.73077590504272</v>
          </cell>
          <cell r="AO15">
            <v>0</v>
          </cell>
          <cell r="AQ15">
            <v>364.4858274382928</v>
          </cell>
          <cell r="AR15">
            <v>0</v>
          </cell>
          <cell r="AT15">
            <v>1229.2860153715897</v>
          </cell>
          <cell r="AU15">
            <v>3023.682940087363</v>
          </cell>
          <cell r="AW15">
            <v>97.249692783021345</v>
          </cell>
          <cell r="AX15">
            <v>0</v>
          </cell>
        </row>
        <row r="16">
          <cell r="I16">
            <v>92</v>
          </cell>
          <cell r="J16">
            <v>25362.743516478324</v>
          </cell>
          <cell r="L16">
            <v>0</v>
          </cell>
          <cell r="M16">
            <v>4478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10</v>
          </cell>
          <cell r="X16">
            <v>8461</v>
          </cell>
          <cell r="Y16">
            <v>3565.1415310770258</v>
          </cell>
          <cell r="Z16">
            <v>0</v>
          </cell>
          <cell r="AA16">
            <v>0</v>
          </cell>
          <cell r="AB16">
            <v>1553.5594546272382</v>
          </cell>
          <cell r="AC16">
            <v>0</v>
          </cell>
          <cell r="AD16">
            <v>2310.6130785706628</v>
          </cell>
          <cell r="AE16">
            <v>1558.6942854969291</v>
          </cell>
          <cell r="AF16">
            <v>2330.2834939688255</v>
          </cell>
          <cell r="AH16">
            <v>2459.1524406811418</v>
          </cell>
          <cell r="AI16">
            <v>3765.6786680817454</v>
          </cell>
          <cell r="AK16">
            <v>1498.1096565995572</v>
          </cell>
          <cell r="AL16">
            <v>0</v>
          </cell>
          <cell r="AN16">
            <v>0</v>
          </cell>
          <cell r="AO16">
            <v>0</v>
          </cell>
          <cell r="AQ16">
            <v>485.78591796691938</v>
          </cell>
          <cell r="AR16">
            <v>0</v>
          </cell>
          <cell r="AT16">
            <v>1396.2223494208606</v>
          </cell>
          <cell r="AU16">
            <v>0</v>
          </cell>
          <cell r="AW16">
            <v>100.38677964698979</v>
          </cell>
          <cell r="AX16">
            <v>3369.4998712157189</v>
          </cell>
        </row>
        <row r="17"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469.96038901695198</v>
          </cell>
          <cell r="AC17">
            <v>0</v>
          </cell>
          <cell r="AD17">
            <v>258.34278856118908</v>
          </cell>
          <cell r="AE17">
            <v>1152.3129848330591</v>
          </cell>
          <cell r="AF17">
            <v>0</v>
          </cell>
          <cell r="AH17">
            <v>2100.6796333722805</v>
          </cell>
          <cell r="AI17">
            <v>0</v>
          </cell>
          <cell r="AK17">
            <v>1764.1100106670592</v>
          </cell>
          <cell r="AL17">
            <v>1466.2085221648515</v>
          </cell>
          <cell r="AN17">
            <v>0</v>
          </cell>
          <cell r="AO17">
            <v>0</v>
          </cell>
          <cell r="AQ17">
            <v>110.27308797143304</v>
          </cell>
          <cell r="AR17">
            <v>0</v>
          </cell>
          <cell r="AT17">
            <v>1133.1057968933508</v>
          </cell>
          <cell r="AU17">
            <v>0</v>
          </cell>
          <cell r="AW17">
            <v>20.108726798037644</v>
          </cell>
          <cell r="AX17">
            <v>1086.7894557032</v>
          </cell>
        </row>
        <row r="18">
          <cell r="I18">
            <v>2.4</v>
          </cell>
          <cell r="J18">
            <v>1301.428331303393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431.56378713967695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1105.6458308758185</v>
          </cell>
          <cell r="AF18">
            <v>352.16494577075309</v>
          </cell>
          <cell r="AH18">
            <v>1460.0305691171523</v>
          </cell>
          <cell r="AI18">
            <v>0</v>
          </cell>
          <cell r="AK18">
            <v>1075.0520102506127</v>
          </cell>
          <cell r="AL18">
            <v>1653.4525042026278</v>
          </cell>
          <cell r="AN18">
            <v>0</v>
          </cell>
          <cell r="AO18">
            <v>0</v>
          </cell>
          <cell r="AQ18">
            <v>88.218470377146446</v>
          </cell>
          <cell r="AR18">
            <v>0</v>
          </cell>
          <cell r="AT18">
            <v>693.76605763336875</v>
          </cell>
          <cell r="AU18">
            <v>0</v>
          </cell>
          <cell r="AW18">
            <v>24.437906670314071</v>
          </cell>
          <cell r="AX18">
            <v>763.45755556819995</v>
          </cell>
        </row>
        <row r="19"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1776.0936202192677</v>
          </cell>
          <cell r="Z19">
            <v>0</v>
          </cell>
          <cell r="AA19">
            <v>0</v>
          </cell>
          <cell r="AB19">
            <v>0</v>
          </cell>
          <cell r="AC19">
            <v>38431.787770664283</v>
          </cell>
          <cell r="AD19">
            <v>0</v>
          </cell>
          <cell r="AE19">
            <v>1363.6471527698673</v>
          </cell>
          <cell r="AF19">
            <v>0</v>
          </cell>
          <cell r="AH19">
            <v>1882.9727736913605</v>
          </cell>
          <cell r="AI19">
            <v>0</v>
          </cell>
          <cell r="AK19">
            <v>1239.0689258278519</v>
          </cell>
          <cell r="AL19">
            <v>1923.2911962155592</v>
          </cell>
          <cell r="AN19">
            <v>0</v>
          </cell>
          <cell r="AO19">
            <v>0</v>
          </cell>
          <cell r="AQ19">
            <v>110.27308797143304</v>
          </cell>
          <cell r="AR19">
            <v>0</v>
          </cell>
          <cell r="AT19">
            <v>1107.491200134662</v>
          </cell>
          <cell r="AU19">
            <v>176.70892977667361</v>
          </cell>
          <cell r="AW19">
            <v>24.437906670314071</v>
          </cell>
          <cell r="AX19">
            <v>4143.1669347787465</v>
          </cell>
        </row>
        <row r="20">
          <cell r="I20">
            <v>17.399999999999999</v>
          </cell>
          <cell r="J20">
            <v>6041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2140.3155105927831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1752.3517109637498</v>
          </cell>
          <cell r="AF20">
            <v>1589.3576569193528</v>
          </cell>
          <cell r="AH20">
            <v>2146.452948619793</v>
          </cell>
          <cell r="AI20">
            <v>5030.0201335806169</v>
          </cell>
          <cell r="AK20">
            <v>2308.4999943503826</v>
          </cell>
          <cell r="AL20">
            <v>0</v>
          </cell>
          <cell r="AN20">
            <v>0</v>
          </cell>
          <cell r="AO20">
            <v>0</v>
          </cell>
          <cell r="AQ20">
            <v>110.27308797143304</v>
          </cell>
          <cell r="AR20">
            <v>1784.7303144474527</v>
          </cell>
          <cell r="AT20">
            <v>1220.2817351726035</v>
          </cell>
          <cell r="AU20">
            <v>993.06977248955263</v>
          </cell>
          <cell r="AW20">
            <v>19.293084213405848</v>
          </cell>
          <cell r="AX20">
            <v>7231.9178803111272</v>
          </cell>
        </row>
        <row r="21">
          <cell r="I21">
            <v>1.6</v>
          </cell>
          <cell r="J21">
            <v>828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2395.4736787739898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2187.9824033624291</v>
          </cell>
          <cell r="AE21">
            <v>1820.2329882060822</v>
          </cell>
          <cell r="AF21">
            <v>0</v>
          </cell>
          <cell r="AH21">
            <v>2386.2426644588591</v>
          </cell>
          <cell r="AI21">
            <v>0</v>
          </cell>
          <cell r="AK21">
            <v>2093.2968332944511</v>
          </cell>
          <cell r="AL21">
            <v>0</v>
          </cell>
          <cell r="AN21">
            <v>0</v>
          </cell>
          <cell r="AO21">
            <v>0</v>
          </cell>
          <cell r="AQ21">
            <v>66.163852782859806</v>
          </cell>
          <cell r="AR21">
            <v>0</v>
          </cell>
          <cell r="AT21">
            <v>1668.816940163593</v>
          </cell>
          <cell r="AU21">
            <v>2873.7829392513991</v>
          </cell>
          <cell r="AW21">
            <v>15.371725633445312</v>
          </cell>
          <cell r="AX21">
            <v>769.58382970000002</v>
          </cell>
        </row>
        <row r="22"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1209.1352124913644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1912.0261305320159</v>
          </cell>
          <cell r="AE22">
            <v>865.2430353563509</v>
          </cell>
          <cell r="AF22">
            <v>0</v>
          </cell>
          <cell r="AH22">
            <v>1416.1620279401213</v>
          </cell>
          <cell r="AI22">
            <v>0</v>
          </cell>
          <cell r="AK22">
            <v>772.48012638863361</v>
          </cell>
          <cell r="AL22">
            <v>0</v>
          </cell>
          <cell r="AN22">
            <v>0</v>
          </cell>
          <cell r="AO22">
            <v>0</v>
          </cell>
          <cell r="AQ22">
            <v>44.109235188573223</v>
          </cell>
          <cell r="AR22">
            <v>2025.4790136307784</v>
          </cell>
          <cell r="AT22">
            <v>620.51570708001157</v>
          </cell>
          <cell r="AU22">
            <v>0</v>
          </cell>
          <cell r="AW22">
            <v>15.371725633445312</v>
          </cell>
          <cell r="AX22">
            <v>4163.972744114968</v>
          </cell>
        </row>
        <row r="23"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823.24445165581039</v>
          </cell>
          <cell r="AC23">
            <v>5190.341026818609</v>
          </cell>
          <cell r="AD23">
            <v>230.18479547546244</v>
          </cell>
          <cell r="AE23">
            <v>824.66235444874042</v>
          </cell>
          <cell r="AF23">
            <v>0</v>
          </cell>
          <cell r="AH23">
            <v>1100.3445791647773</v>
          </cell>
          <cell r="AI23">
            <v>0</v>
          </cell>
          <cell r="AK23">
            <v>845.85272605184696</v>
          </cell>
          <cell r="AL23">
            <v>0</v>
          </cell>
          <cell r="AN23">
            <v>0</v>
          </cell>
          <cell r="AO23">
            <v>0</v>
          </cell>
          <cell r="AQ23">
            <v>44.109235188573223</v>
          </cell>
          <cell r="AR23">
            <v>0</v>
          </cell>
          <cell r="AT23">
            <v>393.60950254995805</v>
          </cell>
          <cell r="AU23">
            <v>0</v>
          </cell>
          <cell r="AW23">
            <v>11.042545761168878</v>
          </cell>
          <cell r="AX23">
            <v>1399.8707557903615</v>
          </cell>
        </row>
        <row r="24">
          <cell r="I24">
            <v>0</v>
          </cell>
          <cell r="J24">
            <v>0</v>
          </cell>
          <cell r="L24">
            <v>2</v>
          </cell>
          <cell r="M24">
            <v>123598.52257883977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4481.8710262597124</v>
          </cell>
          <cell r="Z24">
            <v>0</v>
          </cell>
          <cell r="AA24">
            <v>0</v>
          </cell>
          <cell r="AB24">
            <v>0</v>
          </cell>
          <cell r="AC24">
            <v>2872.5101558774077</v>
          </cell>
          <cell r="AD24">
            <v>5057.57281377664</v>
          </cell>
          <cell r="AE24">
            <v>1392.7600493167768</v>
          </cell>
          <cell r="AF24">
            <v>0</v>
          </cell>
          <cell r="AH24">
            <v>1678.0575249970807</v>
          </cell>
          <cell r="AI24">
            <v>0</v>
          </cell>
          <cell r="AK24">
            <v>1482.9057295056548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1072.934629331121</v>
          </cell>
          <cell r="AU24">
            <v>0</v>
          </cell>
          <cell r="AW24">
            <v>18.916633789729637</v>
          </cell>
          <cell r="AX24">
            <v>4101.5414916316531</v>
          </cell>
        </row>
        <row r="25">
          <cell r="I25">
            <v>85.47</v>
          </cell>
          <cell r="J25">
            <v>55027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860.93672070904336</v>
          </cell>
          <cell r="AF25">
            <v>0</v>
          </cell>
          <cell r="AH25">
            <v>1303.2394698122698</v>
          </cell>
          <cell r="AI25">
            <v>0</v>
          </cell>
          <cell r="AK25">
            <v>1106.0910481854839</v>
          </cell>
          <cell r="AL25">
            <v>0</v>
          </cell>
          <cell r="AN25">
            <v>0</v>
          </cell>
          <cell r="AO25">
            <v>0</v>
          </cell>
          <cell r="AQ25">
            <v>44.109235188573223</v>
          </cell>
          <cell r="AR25">
            <v>0</v>
          </cell>
          <cell r="AT25">
            <v>468.45100336398411</v>
          </cell>
          <cell r="AU25">
            <v>0</v>
          </cell>
          <cell r="AW25">
            <v>11.418996184845088</v>
          </cell>
          <cell r="AX25">
            <v>527.51809613428497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1522.9401368642104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1542.0052344113897</v>
          </cell>
          <cell r="Y27">
            <v>0</v>
          </cell>
          <cell r="Z27">
            <v>0</v>
          </cell>
          <cell r="AA27">
            <v>0</v>
          </cell>
          <cell r="AB27">
            <v>2006.0881383652704</v>
          </cell>
          <cell r="AC27">
            <v>0</v>
          </cell>
          <cell r="AD27">
            <v>21614.208671092299</v>
          </cell>
          <cell r="AE27">
            <v>1053.6273536916024</v>
          </cell>
          <cell r="AF27">
            <v>0</v>
          </cell>
          <cell r="AH27">
            <v>1404.7222664771778</v>
          </cell>
          <cell r="AI27">
            <v>0</v>
          </cell>
          <cell r="AK27">
            <v>859.44809697526398</v>
          </cell>
          <cell r="AL27">
            <v>0</v>
          </cell>
          <cell r="AN27">
            <v>470.81401718127751</v>
          </cell>
          <cell r="AO27">
            <v>0</v>
          </cell>
          <cell r="AQ27">
            <v>167.7511411298571</v>
          </cell>
          <cell r="AR27">
            <v>1922.676424476216</v>
          </cell>
          <cell r="AT27">
            <v>694.82965714747729</v>
          </cell>
          <cell r="AU27">
            <v>5733.9351785458439</v>
          </cell>
          <cell r="AW27">
            <v>167.05909009718496</v>
          </cell>
          <cell r="AX27">
            <v>0</v>
          </cell>
        </row>
        <row r="28">
          <cell r="I28">
            <v>1</v>
          </cell>
          <cell r="J28">
            <v>748.45877909033675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447.60864355459893</v>
          </cell>
          <cell r="AF28">
            <v>0</v>
          </cell>
          <cell r="AH28">
            <v>443.95837175409611</v>
          </cell>
          <cell r="AI28">
            <v>0</v>
          </cell>
          <cell r="AK28">
            <v>325.21917855926233</v>
          </cell>
          <cell r="AL28">
            <v>0</v>
          </cell>
          <cell r="AN28">
            <v>0</v>
          </cell>
          <cell r="AO28">
            <v>0</v>
          </cell>
          <cell r="AQ28">
            <v>41.352407989287386</v>
          </cell>
          <cell r="AR28">
            <v>0</v>
          </cell>
          <cell r="AT28">
            <v>291.44178343063402</v>
          </cell>
          <cell r="AU28">
            <v>0</v>
          </cell>
          <cell r="AW28">
            <v>78.664586792276822</v>
          </cell>
          <cell r="AX28">
            <v>0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3</v>
          </cell>
          <cell r="S30">
            <v>5006.539877215303</v>
          </cell>
          <cell r="U30">
            <v>0</v>
          </cell>
          <cell r="V30">
            <v>0</v>
          </cell>
          <cell r="W30">
            <v>0</v>
          </cell>
          <cell r="X30">
            <v>318.45962233783945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850.46873332429948</v>
          </cell>
          <cell r="AE30">
            <v>1407.03199657505</v>
          </cell>
          <cell r="AF30">
            <v>699.58396102074971</v>
          </cell>
          <cell r="AH30">
            <v>1272.6760804131179</v>
          </cell>
          <cell r="AI30">
            <v>0</v>
          </cell>
          <cell r="AK30">
            <v>1680.4224562217564</v>
          </cell>
          <cell r="AL30">
            <v>0</v>
          </cell>
          <cell r="AN30">
            <v>544.36256039676277</v>
          </cell>
          <cell r="AO30">
            <v>548.24795760195309</v>
          </cell>
          <cell r="AQ30">
            <v>330.55002861087428</v>
          </cell>
          <cell r="AR30">
            <v>484.68361961872921</v>
          </cell>
          <cell r="AT30">
            <v>1132.3945619813705</v>
          </cell>
          <cell r="AU30">
            <v>4295.0069997016253</v>
          </cell>
          <cell r="AW30">
            <v>446.76295600115077</v>
          </cell>
          <cell r="AX30">
            <v>4105.0867629801878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166.08671722243741</v>
          </cell>
          <cell r="AF32">
            <v>0</v>
          </cell>
          <cell r="AH32">
            <v>241.15319609958175</v>
          </cell>
          <cell r="AI32">
            <v>0</v>
          </cell>
          <cell r="AK32">
            <v>102.52268334339573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79.811924656113376</v>
          </cell>
          <cell r="AU32">
            <v>0</v>
          </cell>
          <cell r="AW32">
            <v>38.805764507289481</v>
          </cell>
          <cell r="AX32">
            <v>0</v>
          </cell>
        </row>
        <row r="33"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X34">
            <v>495.82236573951866</v>
          </cell>
          <cell r="Y34">
            <v>31846.265645312033</v>
          </cell>
          <cell r="Z34">
            <v>0</v>
          </cell>
          <cell r="AA34">
            <v>0</v>
          </cell>
          <cell r="AB34">
            <v>508.49721339591429</v>
          </cell>
          <cell r="AC34">
            <v>0</v>
          </cell>
          <cell r="AD34">
            <v>264.23469672074521</v>
          </cell>
          <cell r="AE34">
            <v>1730.9671795039567</v>
          </cell>
          <cell r="AF34">
            <v>1378.7254319870619</v>
          </cell>
          <cell r="AH34">
            <v>2780.0031903803765</v>
          </cell>
          <cell r="AI34">
            <v>0</v>
          </cell>
          <cell r="AK34">
            <v>1919.1854325922072</v>
          </cell>
          <cell r="AL34">
            <v>0</v>
          </cell>
          <cell r="AN34">
            <v>0</v>
          </cell>
          <cell r="AO34">
            <v>0</v>
          </cell>
          <cell r="AQ34">
            <v>137.84135996429129</v>
          </cell>
          <cell r="AR34">
            <v>2126.4971065112836</v>
          </cell>
          <cell r="AT34">
            <v>1204.4261940555625</v>
          </cell>
          <cell r="AU34">
            <v>400.47451438863499</v>
          </cell>
          <cell r="AW34">
            <v>1032.8702354939596</v>
          </cell>
          <cell r="AX34">
            <v>3582.6837588106009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7268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524.65064775115025</v>
          </cell>
          <cell r="AF35">
            <v>0</v>
          </cell>
          <cell r="AH35">
            <v>650.55297531114684</v>
          </cell>
          <cell r="AI35">
            <v>0</v>
          </cell>
          <cell r="AK35">
            <v>354.21053596731934</v>
          </cell>
          <cell r="AL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T35">
            <v>206.35629193641316</v>
          </cell>
          <cell r="AU35">
            <v>0</v>
          </cell>
          <cell r="AW35">
            <v>31.214014296485885</v>
          </cell>
          <cell r="AX35">
            <v>0</v>
          </cell>
        </row>
        <row r="36">
          <cell r="I36">
            <v>28</v>
          </cell>
          <cell r="J36">
            <v>6909.0500852971436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1</v>
          </cell>
          <cell r="S36">
            <v>655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1613.7967412471708</v>
          </cell>
          <cell r="AE36">
            <v>1070.2708784118524</v>
          </cell>
          <cell r="AF36">
            <v>0</v>
          </cell>
          <cell r="AH36">
            <v>1308.4589375979128</v>
          </cell>
          <cell r="AI36">
            <v>0</v>
          </cell>
          <cell r="AK36">
            <v>1380.0116601786826</v>
          </cell>
          <cell r="AL36">
            <v>0</v>
          </cell>
          <cell r="AN36">
            <v>685.13231785507674</v>
          </cell>
          <cell r="AO36">
            <v>0</v>
          </cell>
          <cell r="AQ36">
            <v>348.0099342063512</v>
          </cell>
          <cell r="AR36">
            <v>0</v>
          </cell>
          <cell r="AT36">
            <v>860.05170286801933</v>
          </cell>
          <cell r="AU36">
            <v>0</v>
          </cell>
          <cell r="AW36">
            <v>53.487331030661736</v>
          </cell>
          <cell r="AX36">
            <v>5709.2126109029996</v>
          </cell>
        </row>
        <row r="37">
          <cell r="I37">
            <v>16.920000000000002</v>
          </cell>
          <cell r="J37">
            <v>8881.427907137253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673.44402845337891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265.94173045029208</v>
          </cell>
          <cell r="AF38">
            <v>0</v>
          </cell>
          <cell r="AH38">
            <v>358.60997614558318</v>
          </cell>
          <cell r="AI38">
            <v>0</v>
          </cell>
          <cell r="AK38">
            <v>244.62093005252035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98.11115581264491</v>
          </cell>
          <cell r="AU38">
            <v>0</v>
          </cell>
          <cell r="AW38">
            <v>38.805764507289481</v>
          </cell>
          <cell r="AX38">
            <v>0</v>
          </cell>
        </row>
        <row r="39"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128.65513255941875</v>
          </cell>
          <cell r="AE39">
            <v>291.95430172403513</v>
          </cell>
          <cell r="AF39">
            <v>0</v>
          </cell>
          <cell r="AH39">
            <v>358.60997614558318</v>
          </cell>
          <cell r="AI39">
            <v>0</v>
          </cell>
          <cell r="AK39">
            <v>262.01085772472703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97.410960000210821</v>
          </cell>
          <cell r="AU39">
            <v>0</v>
          </cell>
          <cell r="AW39">
            <v>38.805764507289481</v>
          </cell>
          <cell r="AX39">
            <v>0</v>
          </cell>
        </row>
        <row r="40">
          <cell r="I40">
            <v>28.5</v>
          </cell>
          <cell r="J40">
            <v>11945.135679900821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147.98410270592336</v>
          </cell>
          <cell r="AD40">
            <v>0</v>
          </cell>
          <cell r="AE40">
            <v>1232.2730409743399</v>
          </cell>
          <cell r="AF40">
            <v>3047.6754916444115</v>
          </cell>
          <cell r="AH40">
            <v>2099.7712723555824</v>
          </cell>
          <cell r="AI40">
            <v>0</v>
          </cell>
          <cell r="AK40">
            <v>1150.2542802504863</v>
          </cell>
          <cell r="AL40">
            <v>0</v>
          </cell>
          <cell r="AN40">
            <v>0</v>
          </cell>
          <cell r="AO40">
            <v>0</v>
          </cell>
          <cell r="AQ40">
            <v>110.27308797143304</v>
          </cell>
          <cell r="AR40">
            <v>504.72798816099402</v>
          </cell>
          <cell r="AT40">
            <v>855.30689219896624</v>
          </cell>
          <cell r="AU40">
            <v>1314.7192261408081</v>
          </cell>
          <cell r="AW40">
            <v>52.797171920588674</v>
          </cell>
          <cell r="AX40">
            <v>0</v>
          </cell>
        </row>
        <row r="41"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0</v>
          </cell>
          <cell r="X41">
            <v>441.31023821478522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1127.3331703965237</v>
          </cell>
          <cell r="AE41">
            <v>1387.4125397074151</v>
          </cell>
          <cell r="AF41">
            <v>0</v>
          </cell>
          <cell r="AH41">
            <v>1528.5447601745113</v>
          </cell>
          <cell r="AI41">
            <v>0</v>
          </cell>
          <cell r="AK41">
            <v>1678.6723443527335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751.04001261778444</v>
          </cell>
          <cell r="AU41">
            <v>606.64902946580617</v>
          </cell>
          <cell r="AW41">
            <v>26.790721818290397</v>
          </cell>
          <cell r="AX41">
            <v>0</v>
          </cell>
        </row>
        <row r="42">
          <cell r="I42">
            <v>70</v>
          </cell>
          <cell r="J42">
            <v>21214</v>
          </cell>
          <cell r="L42">
            <v>0</v>
          </cell>
          <cell r="M42">
            <v>3128</v>
          </cell>
          <cell r="O42">
            <v>106</v>
          </cell>
          <cell r="P42">
            <v>64021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4476.2756749261926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1220.3558379512126</v>
          </cell>
          <cell r="AE42">
            <v>1656.8231423602892</v>
          </cell>
          <cell r="AF42">
            <v>1817.6889085106104</v>
          </cell>
          <cell r="AH42">
            <v>2231.829752376837</v>
          </cell>
          <cell r="AI42">
            <v>4955.6566349614295</v>
          </cell>
          <cell r="AK42">
            <v>2407.6403283516265</v>
          </cell>
          <cell r="AL42">
            <v>0</v>
          </cell>
          <cell r="AN42">
            <v>0</v>
          </cell>
          <cell r="AO42">
            <v>0</v>
          </cell>
          <cell r="AQ42">
            <v>137.84135996429129</v>
          </cell>
          <cell r="AR42">
            <v>0</v>
          </cell>
          <cell r="AT42">
            <v>1219.0224801602681</v>
          </cell>
          <cell r="AU42">
            <v>0</v>
          </cell>
          <cell r="AW42">
            <v>28.359265250274611</v>
          </cell>
          <cell r="AX42">
            <v>3881.1204258349726</v>
          </cell>
        </row>
        <row r="43"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0</v>
          </cell>
          <cell r="X43">
            <v>5186.0186185692282</v>
          </cell>
          <cell r="Y43">
            <v>0</v>
          </cell>
          <cell r="Z43">
            <v>0</v>
          </cell>
          <cell r="AA43">
            <v>0</v>
          </cell>
          <cell r="AB43">
            <v>860.88916276447526</v>
          </cell>
          <cell r="AC43">
            <v>0</v>
          </cell>
          <cell r="AD43">
            <v>800.57627451729797</v>
          </cell>
          <cell r="AE43">
            <v>1658.5159190254819</v>
          </cell>
          <cell r="AF43">
            <v>3329.307448707822</v>
          </cell>
          <cell r="AH43">
            <v>2145.823746671058</v>
          </cell>
          <cell r="AI43">
            <v>0</v>
          </cell>
          <cell r="AK43">
            <v>2228.2428121090234</v>
          </cell>
          <cell r="AL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T43">
            <v>1219.0497127258227</v>
          </cell>
          <cell r="AU43">
            <v>0</v>
          </cell>
          <cell r="AW43">
            <v>25.598628809982401</v>
          </cell>
          <cell r="AX43">
            <v>0</v>
          </cell>
        </row>
        <row r="44">
          <cell r="I44">
            <v>9.9749999999999996</v>
          </cell>
          <cell r="J44">
            <v>8149.4748552515284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7131.7698783863052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3182.3331382392057</v>
          </cell>
          <cell r="AE44">
            <v>1715.4907422342217</v>
          </cell>
          <cell r="AF44">
            <v>0</v>
          </cell>
          <cell r="AH44">
            <v>2231.829752376837</v>
          </cell>
          <cell r="AI44">
            <v>0</v>
          </cell>
          <cell r="AK44">
            <v>2228.2428121090234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T44">
            <v>1219.0497127258227</v>
          </cell>
          <cell r="AU44">
            <v>131.88487087213676</v>
          </cell>
          <cell r="AW44">
            <v>26.414271394614186</v>
          </cell>
          <cell r="AX44">
            <v>7293.4097856278477</v>
          </cell>
        </row>
        <row r="45">
          <cell r="I45">
            <v>140</v>
          </cell>
          <cell r="J45">
            <v>43193.740006575557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838.42411391786356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1808.5201698304925</v>
          </cell>
          <cell r="AF45">
            <v>0</v>
          </cell>
          <cell r="AH45">
            <v>2375.1730952198018</v>
          </cell>
          <cell r="AI45">
            <v>5966.4304807987955</v>
          </cell>
          <cell r="AK45">
            <v>2375.7608728895066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T45">
            <v>1219.0497127258227</v>
          </cell>
          <cell r="AU45">
            <v>0</v>
          </cell>
          <cell r="AW45">
            <v>26.414271394614186</v>
          </cell>
          <cell r="AX45">
            <v>0</v>
          </cell>
        </row>
        <row r="46">
          <cell r="I46">
            <v>8</v>
          </cell>
          <cell r="J46">
            <v>1937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R46">
            <v>1</v>
          </cell>
          <cell r="S46">
            <v>2722.7971606600272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55223.878679031317</v>
          </cell>
          <cell r="Z46">
            <v>0</v>
          </cell>
          <cell r="AA46">
            <v>0</v>
          </cell>
          <cell r="AB46">
            <v>824.77083308471185</v>
          </cell>
          <cell r="AC46">
            <v>0</v>
          </cell>
          <cell r="AD46">
            <v>1238.4660703672903</v>
          </cell>
          <cell r="AE46">
            <v>778.23930954055572</v>
          </cell>
          <cell r="AF46">
            <v>0</v>
          </cell>
          <cell r="AH46">
            <v>868.6460512006114</v>
          </cell>
          <cell r="AI46">
            <v>0</v>
          </cell>
          <cell r="AK46">
            <v>1712.5686494282172</v>
          </cell>
          <cell r="AL46">
            <v>639.51295309639056</v>
          </cell>
          <cell r="AN46">
            <v>584.30571009516495</v>
          </cell>
          <cell r="AO46">
            <v>0</v>
          </cell>
          <cell r="AQ46">
            <v>178.59967910198529</v>
          </cell>
          <cell r="AR46">
            <v>0</v>
          </cell>
          <cell r="AT46">
            <v>492.9158629463081</v>
          </cell>
          <cell r="AU46">
            <v>0</v>
          </cell>
          <cell r="AW46">
            <v>62.741737279368607</v>
          </cell>
          <cell r="AX46">
            <v>4182.1384116839999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4</v>
          </cell>
          <cell r="X47">
            <v>427</v>
          </cell>
          <cell r="Y47">
            <v>7864.6253898669129</v>
          </cell>
          <cell r="Z47">
            <v>0</v>
          </cell>
          <cell r="AA47">
            <v>0</v>
          </cell>
          <cell r="AB47">
            <v>396.02666297208384</v>
          </cell>
          <cell r="AC47">
            <v>190.79236074722508</v>
          </cell>
          <cell r="AD47">
            <v>0</v>
          </cell>
          <cell r="AE47">
            <v>1278.4965796844742</v>
          </cell>
          <cell r="AF47">
            <v>10985.280685587217</v>
          </cell>
          <cell r="AH47">
            <v>1186.6056336990616</v>
          </cell>
          <cell r="AI47">
            <v>1542.89744798531</v>
          </cell>
          <cell r="AK47">
            <v>1181.5388069719424</v>
          </cell>
          <cell r="AL47">
            <v>1957.6765178958926</v>
          </cell>
          <cell r="AN47">
            <v>501.0647938756556</v>
          </cell>
          <cell r="AO47">
            <v>0</v>
          </cell>
          <cell r="AQ47">
            <v>336.98262540920786</v>
          </cell>
          <cell r="AR47">
            <v>0</v>
          </cell>
          <cell r="AT47">
            <v>1035.3844645368572</v>
          </cell>
          <cell r="AU47">
            <v>5904.4234222670102</v>
          </cell>
          <cell r="AW47">
            <v>258.0461244149954</v>
          </cell>
          <cell r="AX47">
            <v>0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X48">
            <v>94.971232569078069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299.5395931099045</v>
          </cell>
          <cell r="AF48">
            <v>0</v>
          </cell>
          <cell r="AH48">
            <v>447.31486507099589</v>
          </cell>
          <cell r="AI48">
            <v>0</v>
          </cell>
          <cell r="AK48">
            <v>145.05541054209425</v>
          </cell>
          <cell r="AL48">
            <v>0</v>
          </cell>
          <cell r="AN48">
            <v>0</v>
          </cell>
          <cell r="AO48">
            <v>0</v>
          </cell>
          <cell r="AQ48">
            <v>33.081926391429903</v>
          </cell>
          <cell r="AR48">
            <v>0</v>
          </cell>
          <cell r="AT48">
            <v>110.53594400474411</v>
          </cell>
          <cell r="AU48">
            <v>0</v>
          </cell>
          <cell r="AW48">
            <v>133.22645200061802</v>
          </cell>
          <cell r="AX48">
            <v>855.20707564400414</v>
          </cell>
        </row>
        <row r="49"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94.971232569078069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297.38882955182612</v>
          </cell>
          <cell r="AF49">
            <v>0</v>
          </cell>
          <cell r="AH49">
            <v>445.16471492835137</v>
          </cell>
          <cell r="AI49">
            <v>0</v>
          </cell>
          <cell r="AK49">
            <v>209.20650165528983</v>
          </cell>
          <cell r="AL49">
            <v>0</v>
          </cell>
          <cell r="AN49">
            <v>0</v>
          </cell>
          <cell r="AO49">
            <v>0</v>
          </cell>
          <cell r="AQ49">
            <v>33.081926391429903</v>
          </cell>
          <cell r="AR49">
            <v>0</v>
          </cell>
          <cell r="AT49">
            <v>112.48093237261659</v>
          </cell>
          <cell r="AU49">
            <v>0</v>
          </cell>
          <cell r="AW49">
            <v>130.99664671003583</v>
          </cell>
          <cell r="AX49">
            <v>0</v>
          </cell>
        </row>
        <row r="50">
          <cell r="I50">
            <v>5.09</v>
          </cell>
          <cell r="J50">
            <v>1233.0101596835389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597.93344037524571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1516.5956657348934</v>
          </cell>
          <cell r="AE50">
            <v>2483.5043984124345</v>
          </cell>
          <cell r="AF50">
            <v>275.42523712368603</v>
          </cell>
          <cell r="AH50">
            <v>3830.939140850488</v>
          </cell>
          <cell r="AI50">
            <v>0</v>
          </cell>
          <cell r="AK50">
            <v>2346.5419618940136</v>
          </cell>
          <cell r="AL50">
            <v>5278.2855364948446</v>
          </cell>
          <cell r="AN50">
            <v>0</v>
          </cell>
          <cell r="AO50">
            <v>0</v>
          </cell>
          <cell r="AQ50">
            <v>192.97790395000783</v>
          </cell>
          <cell r="AR50">
            <v>416.32736112493444</v>
          </cell>
          <cell r="AT50">
            <v>2381.7707665896392</v>
          </cell>
          <cell r="AU50">
            <v>897.64144058308545</v>
          </cell>
          <cell r="AW50">
            <v>767.73376880816159</v>
          </cell>
          <cell r="AX50">
            <v>10517.130919935411</v>
          </cell>
        </row>
        <row r="51"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517.92489729617398</v>
          </cell>
          <cell r="AF51">
            <v>372.72529226087789</v>
          </cell>
          <cell r="AH51">
            <v>793.48274392967664</v>
          </cell>
          <cell r="AI51">
            <v>0</v>
          </cell>
          <cell r="AK51">
            <v>367.55686104396614</v>
          </cell>
          <cell r="AL51">
            <v>660.51051783229582</v>
          </cell>
          <cell r="AN51">
            <v>0</v>
          </cell>
          <cell r="AO51">
            <v>0</v>
          </cell>
          <cell r="AQ51">
            <v>49.622889587144876</v>
          </cell>
          <cell r="AR51">
            <v>0</v>
          </cell>
          <cell r="AT51">
            <v>288.14078925032641</v>
          </cell>
          <cell r="AU51">
            <v>0</v>
          </cell>
          <cell r="AW51">
            <v>53.989264928896702</v>
          </cell>
          <cell r="AX51">
            <v>0</v>
          </cell>
        </row>
        <row r="52">
          <cell r="I52">
            <v>17</v>
          </cell>
          <cell r="J52">
            <v>5782.1899237149701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971.46321167783356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I53">
            <v>1.5</v>
          </cell>
          <cell r="J53">
            <v>168.24349920584268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5923.8685337075331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1225.6122455870609</v>
          </cell>
          <cell r="AF53">
            <v>3357.4912038997713</v>
          </cell>
          <cell r="AH53">
            <v>1842.4105344883794</v>
          </cell>
          <cell r="AI53">
            <v>1778.882322286561</v>
          </cell>
          <cell r="AK53">
            <v>1696.6871230077963</v>
          </cell>
          <cell r="AL53">
            <v>0</v>
          </cell>
          <cell r="AN53">
            <v>0</v>
          </cell>
          <cell r="AO53">
            <v>0</v>
          </cell>
          <cell r="AQ53">
            <v>110.27308797143304</v>
          </cell>
          <cell r="AR53">
            <v>0</v>
          </cell>
          <cell r="AT53">
            <v>797.44309059741067</v>
          </cell>
          <cell r="AU53">
            <v>1049.8982803023334</v>
          </cell>
          <cell r="AW53">
            <v>34.288359423174953</v>
          </cell>
          <cell r="AX53">
            <v>0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3946.4251142929788</v>
          </cell>
          <cell r="AD54">
            <v>3669.4837473365155</v>
          </cell>
          <cell r="AE54">
            <v>860.43719895520735</v>
          </cell>
          <cell r="AF54">
            <v>0</v>
          </cell>
          <cell r="AH54">
            <v>1228.9850445096379</v>
          </cell>
          <cell r="AI54">
            <v>0</v>
          </cell>
          <cell r="AK54">
            <v>737.91936525072242</v>
          </cell>
          <cell r="AL54">
            <v>0</v>
          </cell>
          <cell r="AN54">
            <v>0</v>
          </cell>
          <cell r="AO54">
            <v>0</v>
          </cell>
          <cell r="AQ54">
            <v>66.163852782859806</v>
          </cell>
          <cell r="AR54">
            <v>0</v>
          </cell>
          <cell r="AT54">
            <v>628.50596768223647</v>
          </cell>
          <cell r="AU54">
            <v>10073.774540164291</v>
          </cell>
          <cell r="AW54">
            <v>34.288359423174953</v>
          </cell>
          <cell r="AX54">
            <v>0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1710.4411597478049</v>
          </cell>
          <cell r="Z55">
            <v>0</v>
          </cell>
          <cell r="AA55">
            <v>0</v>
          </cell>
          <cell r="AB55">
            <v>0</v>
          </cell>
          <cell r="AC55">
            <v>2540.8400695140231</v>
          </cell>
          <cell r="AD55">
            <v>0</v>
          </cell>
          <cell r="AE55">
            <v>1148.9225880315778</v>
          </cell>
          <cell r="AF55">
            <v>3264.9694063399338</v>
          </cell>
          <cell r="AH55">
            <v>1136.4275869916808</v>
          </cell>
          <cell r="AI55">
            <v>0</v>
          </cell>
          <cell r="AK55">
            <v>916.11480499623156</v>
          </cell>
          <cell r="AL55">
            <v>806.97263289390003</v>
          </cell>
          <cell r="AN55">
            <v>459.89431185226721</v>
          </cell>
          <cell r="AO55">
            <v>1047.800462372076</v>
          </cell>
          <cell r="AQ55">
            <v>349.84781900587507</v>
          </cell>
          <cell r="AR55">
            <v>0</v>
          </cell>
          <cell r="AT55">
            <v>1272.0469843881606</v>
          </cell>
          <cell r="AU55">
            <v>0</v>
          </cell>
          <cell r="AW55">
            <v>119.20930083080034</v>
          </cell>
          <cell r="AX55">
            <v>0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13823.951424754938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3.8899767357449502</v>
          </cell>
          <cell r="AU59">
            <v>0</v>
          </cell>
          <cell r="AW59">
            <v>0</v>
          </cell>
          <cell r="AX59">
            <v>0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3.8899767357449502</v>
          </cell>
          <cell r="AU60">
            <v>0</v>
          </cell>
          <cell r="AW60">
            <v>0</v>
          </cell>
          <cell r="AX60">
            <v>0</v>
          </cell>
        </row>
        <row r="61"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T61">
            <v>3.8899767357449502</v>
          </cell>
          <cell r="AU61">
            <v>0</v>
          </cell>
          <cell r="AW61">
            <v>0</v>
          </cell>
          <cell r="AX61">
            <v>0</v>
          </cell>
        </row>
        <row r="62">
          <cell r="I62">
            <v>45.75</v>
          </cell>
          <cell r="J62">
            <v>26372.608600955697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1</v>
          </cell>
          <cell r="X62">
            <v>368.6605248141305</v>
          </cell>
          <cell r="Y62">
            <v>9861.8104774999156</v>
          </cell>
          <cell r="Z62">
            <v>0</v>
          </cell>
          <cell r="AA62">
            <v>0</v>
          </cell>
          <cell r="AB62">
            <v>2764</v>
          </cell>
          <cell r="AC62">
            <v>0</v>
          </cell>
          <cell r="AD62">
            <v>0</v>
          </cell>
          <cell r="AE62">
            <v>1223.5535540974504</v>
          </cell>
          <cell r="AF62">
            <v>7960.6446587581977</v>
          </cell>
          <cell r="AH62">
            <v>1504.357779387831</v>
          </cell>
          <cell r="AI62">
            <v>0</v>
          </cell>
          <cell r="AK62">
            <v>1480.4129397667193</v>
          </cell>
          <cell r="AL62">
            <v>0</v>
          </cell>
          <cell r="AN62">
            <v>0</v>
          </cell>
          <cell r="AO62">
            <v>0</v>
          </cell>
          <cell r="AQ62">
            <v>88.218470377146446</v>
          </cell>
          <cell r="AR62">
            <v>2560.2511340297519</v>
          </cell>
          <cell r="AT62">
            <v>706.55624325863528</v>
          </cell>
          <cell r="AU62">
            <v>867.75934537491833</v>
          </cell>
          <cell r="AW62">
            <v>49.785568531179003</v>
          </cell>
          <cell r="AX62">
            <v>0</v>
          </cell>
        </row>
        <row r="63"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2924.6824552556573</v>
          </cell>
          <cell r="AE63">
            <v>961.51895245773767</v>
          </cell>
          <cell r="AF63">
            <v>0</v>
          </cell>
          <cell r="AH63">
            <v>1045.2305004822615</v>
          </cell>
          <cell r="AI63">
            <v>0</v>
          </cell>
          <cell r="AK63">
            <v>1413.1242621644135</v>
          </cell>
          <cell r="AL63">
            <v>0</v>
          </cell>
          <cell r="AN63">
            <v>893.6091280368945</v>
          </cell>
          <cell r="AO63">
            <v>0</v>
          </cell>
          <cell r="AQ63">
            <v>88.218470377146446</v>
          </cell>
          <cell r="AR63">
            <v>148.72415250426442</v>
          </cell>
          <cell r="AT63">
            <v>709.67112779811953</v>
          </cell>
          <cell r="AU63">
            <v>0</v>
          </cell>
          <cell r="AW63">
            <v>34.288359423174953</v>
          </cell>
          <cell r="AX63">
            <v>0</v>
          </cell>
        </row>
        <row r="64"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5188.2789256239394</v>
          </cell>
          <cell r="AE64">
            <v>1439.6371811447357</v>
          </cell>
          <cell r="AF64">
            <v>0</v>
          </cell>
          <cell r="AH64">
            <v>1992.8244900112572</v>
          </cell>
          <cell r="AI64">
            <v>0</v>
          </cell>
          <cell r="AK64">
            <v>1933.2424746842546</v>
          </cell>
          <cell r="AL64">
            <v>0</v>
          </cell>
          <cell r="AN64">
            <v>0</v>
          </cell>
          <cell r="AO64">
            <v>0</v>
          </cell>
          <cell r="AQ64">
            <v>110.27308797143304</v>
          </cell>
          <cell r="AR64">
            <v>0</v>
          </cell>
          <cell r="AT64">
            <v>1030.3582624799783</v>
          </cell>
          <cell r="AU64">
            <v>0</v>
          </cell>
          <cell r="AW64">
            <v>89.28149214854156</v>
          </cell>
          <cell r="AX64">
            <v>3989.4135767078797</v>
          </cell>
        </row>
        <row r="65">
          <cell r="I65">
            <v>8.49</v>
          </cell>
          <cell r="J65">
            <v>2055.0318869290213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896.2238645550085</v>
          </cell>
          <cell r="AE65">
            <v>680.60846036231078</v>
          </cell>
          <cell r="AF65">
            <v>0</v>
          </cell>
          <cell r="AH65">
            <v>853.88227655135142</v>
          </cell>
          <cell r="AI65">
            <v>0</v>
          </cell>
          <cell r="AK65">
            <v>442.2645912310976</v>
          </cell>
          <cell r="AL65">
            <v>0</v>
          </cell>
          <cell r="AN65">
            <v>279.43461838521006</v>
          </cell>
          <cell r="AO65">
            <v>0</v>
          </cell>
          <cell r="AQ65">
            <v>0</v>
          </cell>
          <cell r="AR65">
            <v>0</v>
          </cell>
          <cell r="AT65">
            <v>380.50301570194858</v>
          </cell>
          <cell r="AU65">
            <v>0</v>
          </cell>
          <cell r="AW65">
            <v>280.35131182797778</v>
          </cell>
          <cell r="AX65">
            <v>2960.3255682942668</v>
          </cell>
        </row>
        <row r="66">
          <cell r="I66">
            <v>22.56</v>
          </cell>
          <cell r="J66">
            <v>5359.4381794659275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539.69189700948834</v>
          </cell>
          <cell r="AF66">
            <v>0</v>
          </cell>
          <cell r="AH66">
            <v>712.7388076826827</v>
          </cell>
          <cell r="AI66">
            <v>0</v>
          </cell>
          <cell r="AK66">
            <v>423.09110755960398</v>
          </cell>
          <cell r="AL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T66">
            <v>118.5309055914786</v>
          </cell>
          <cell r="AU66">
            <v>0</v>
          </cell>
          <cell r="AW66">
            <v>0</v>
          </cell>
          <cell r="AX66">
            <v>3554.2861399005856</v>
          </cell>
        </row>
        <row r="67">
          <cell r="I67">
            <v>2.85</v>
          </cell>
          <cell r="J67">
            <v>829.52850986175474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3</v>
          </cell>
          <cell r="X67">
            <v>750.13094114117484</v>
          </cell>
          <cell r="Y67">
            <v>6618.3837551860233</v>
          </cell>
          <cell r="Z67">
            <v>0</v>
          </cell>
          <cell r="AA67">
            <v>0</v>
          </cell>
          <cell r="AB67">
            <v>0</v>
          </cell>
          <cell r="AC67">
            <v>548.64776063233376</v>
          </cell>
          <cell r="AD67">
            <v>5334.9263000444407</v>
          </cell>
          <cell r="AE67">
            <v>880.79237294637289</v>
          </cell>
          <cell r="AF67">
            <v>16832.148707978471</v>
          </cell>
          <cell r="AH67">
            <v>1199.0906643150158</v>
          </cell>
          <cell r="AI67">
            <v>0</v>
          </cell>
          <cell r="AK67">
            <v>994.7952900186724</v>
          </cell>
          <cell r="AL67">
            <v>0</v>
          </cell>
          <cell r="AN67">
            <v>0</v>
          </cell>
          <cell r="AO67">
            <v>0</v>
          </cell>
          <cell r="AQ67">
            <v>82.704815978574771</v>
          </cell>
          <cell r="AR67">
            <v>0</v>
          </cell>
          <cell r="AT67">
            <v>450.96103103612438</v>
          </cell>
          <cell r="AU67">
            <v>3281.1161694687517</v>
          </cell>
          <cell r="AW67">
            <v>53.989264928896702</v>
          </cell>
          <cell r="AX67">
            <v>1394.0767414220215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709.6286022537181</v>
          </cell>
          <cell r="AF68">
            <v>0</v>
          </cell>
          <cell r="AH68">
            <v>936.84545522441545</v>
          </cell>
          <cell r="AI68">
            <v>2503.3916264483914</v>
          </cell>
          <cell r="AK68">
            <v>644.48625478829172</v>
          </cell>
          <cell r="AL68">
            <v>0</v>
          </cell>
          <cell r="AN68">
            <v>0</v>
          </cell>
          <cell r="AO68">
            <v>0</v>
          </cell>
          <cell r="AQ68">
            <v>44.109235188573223</v>
          </cell>
          <cell r="AR68">
            <v>0</v>
          </cell>
          <cell r="AT68">
            <v>381.56229400338407</v>
          </cell>
          <cell r="AU68">
            <v>565.91387857950178</v>
          </cell>
          <cell r="AW68">
            <v>38.711651901370431</v>
          </cell>
          <cell r="AX68">
            <v>0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218.16184092538819</v>
          </cell>
          <cell r="Y69">
            <v>0</v>
          </cell>
          <cell r="Z69">
            <v>0</v>
          </cell>
          <cell r="AA69">
            <v>0</v>
          </cell>
          <cell r="AB69">
            <v>912.69028472757088</v>
          </cell>
          <cell r="AC69">
            <v>0</v>
          </cell>
          <cell r="AD69">
            <v>2218.6829164067894</v>
          </cell>
          <cell r="AE69">
            <v>763.68429515153821</v>
          </cell>
          <cell r="AF69">
            <v>0</v>
          </cell>
          <cell r="AH69">
            <v>962.60717983327004</v>
          </cell>
          <cell r="AI69">
            <v>0</v>
          </cell>
          <cell r="AK69">
            <v>907.54889960631408</v>
          </cell>
          <cell r="AL69">
            <v>1322.1204411355916</v>
          </cell>
          <cell r="AN69">
            <v>0</v>
          </cell>
          <cell r="AO69">
            <v>0</v>
          </cell>
          <cell r="AQ69">
            <v>110.27308797143304</v>
          </cell>
          <cell r="AR69">
            <v>0</v>
          </cell>
          <cell r="AT69">
            <v>412.83020567082747</v>
          </cell>
          <cell r="AU69">
            <v>0</v>
          </cell>
          <cell r="AW69">
            <v>40.374307939273699</v>
          </cell>
          <cell r="AX69">
            <v>0</v>
          </cell>
        </row>
        <row r="70">
          <cell r="I70">
            <v>5</v>
          </cell>
          <cell r="J70">
            <v>1524.7186977040847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297.49341944371122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860.15750535199049</v>
          </cell>
          <cell r="AF70">
            <v>0</v>
          </cell>
          <cell r="AH70">
            <v>1084.4159900406439</v>
          </cell>
          <cell r="AI70">
            <v>0</v>
          </cell>
          <cell r="AK70">
            <v>1302.058268090304</v>
          </cell>
          <cell r="AL70">
            <v>0</v>
          </cell>
          <cell r="AN70">
            <v>0</v>
          </cell>
          <cell r="AO70">
            <v>0</v>
          </cell>
          <cell r="AQ70">
            <v>82.704815978574771</v>
          </cell>
          <cell r="AR70">
            <v>0</v>
          </cell>
          <cell r="AT70">
            <v>468.42300249175662</v>
          </cell>
          <cell r="AU70">
            <v>0</v>
          </cell>
          <cell r="AW70">
            <v>39.401811011443485</v>
          </cell>
          <cell r="AX70">
            <v>0</v>
          </cell>
        </row>
        <row r="71">
          <cell r="I71">
            <v>16.68</v>
          </cell>
          <cell r="J71">
            <v>10119.387264513789</v>
          </cell>
          <cell r="L71">
            <v>1</v>
          </cell>
          <cell r="M71">
            <v>34259.470179127304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U71">
            <v>8752</v>
          </cell>
          <cell r="V71">
            <v>0</v>
          </cell>
          <cell r="W71">
            <v>0</v>
          </cell>
          <cell r="X71">
            <v>378.29829870594591</v>
          </cell>
          <cell r="Y71">
            <v>26578.538320987871</v>
          </cell>
          <cell r="Z71">
            <v>0</v>
          </cell>
          <cell r="AA71">
            <v>0</v>
          </cell>
          <cell r="AB71">
            <v>0</v>
          </cell>
          <cell r="AC71">
            <v>680.13014662143041</v>
          </cell>
          <cell r="AD71">
            <v>900.32647712546577</v>
          </cell>
          <cell r="AE71">
            <v>459.71348740950361</v>
          </cell>
          <cell r="AF71">
            <v>0</v>
          </cell>
          <cell r="AH71">
            <v>317.11593908051157</v>
          </cell>
          <cell r="AI71">
            <v>0</v>
          </cell>
          <cell r="AK71">
            <v>464.8604390099951</v>
          </cell>
          <cell r="AL71">
            <v>0</v>
          </cell>
          <cell r="AN71">
            <v>164.57264175441009</v>
          </cell>
          <cell r="AO71">
            <v>0</v>
          </cell>
          <cell r="AQ71">
            <v>94.781008594747462</v>
          </cell>
          <cell r="AR71">
            <v>0</v>
          </cell>
          <cell r="AT71">
            <v>361.20737913814321</v>
          </cell>
          <cell r="AU71">
            <v>2203.3106709928916</v>
          </cell>
          <cell r="AW71">
            <v>50.193389823494897</v>
          </cell>
          <cell r="AX71">
            <v>2808.4596569599998</v>
          </cell>
        </row>
        <row r="72">
          <cell r="I72">
            <v>222.29</v>
          </cell>
          <cell r="J72">
            <v>129429.01128883737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1</v>
          </cell>
          <cell r="S72">
            <v>11734.845112225681</v>
          </cell>
          <cell r="U72">
            <v>0</v>
          </cell>
          <cell r="V72">
            <v>0</v>
          </cell>
          <cell r="W72">
            <v>0</v>
          </cell>
          <cell r="X72">
            <v>736.9903644352205</v>
          </cell>
          <cell r="Y72">
            <v>1364.4802776189422</v>
          </cell>
          <cell r="Z72">
            <v>0</v>
          </cell>
          <cell r="AA72">
            <v>0</v>
          </cell>
          <cell r="AB72">
            <v>1202</v>
          </cell>
          <cell r="AC72">
            <v>0</v>
          </cell>
          <cell r="AD72">
            <v>0</v>
          </cell>
          <cell r="AE72">
            <v>961.94805397150162</v>
          </cell>
          <cell r="AF72">
            <v>0</v>
          </cell>
          <cell r="AH72">
            <v>1482.7122308625671</v>
          </cell>
          <cell r="AI72">
            <v>5944.4275492047309</v>
          </cell>
          <cell r="AK72">
            <v>1418.6011722162357</v>
          </cell>
          <cell r="AL72">
            <v>2361.3797361303004</v>
          </cell>
          <cell r="AN72">
            <v>398.36095204886431</v>
          </cell>
          <cell r="AO72">
            <v>807</v>
          </cell>
          <cell r="AQ72">
            <v>284.34295961481592</v>
          </cell>
          <cell r="AR72">
            <v>0</v>
          </cell>
          <cell r="AT72">
            <v>962.67663591135897</v>
          </cell>
          <cell r="AU72">
            <v>1010.4232548013701</v>
          </cell>
          <cell r="AW72">
            <v>112.9351271028635</v>
          </cell>
          <cell r="AX72">
            <v>0</v>
          </cell>
        </row>
        <row r="73"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1</v>
          </cell>
          <cell r="S73">
            <v>1393</v>
          </cell>
          <cell r="U73">
            <v>0</v>
          </cell>
          <cell r="V73">
            <v>0</v>
          </cell>
          <cell r="W73">
            <v>8</v>
          </cell>
          <cell r="X73">
            <v>1007.2146111144707</v>
          </cell>
          <cell r="Y73">
            <v>10016.301868254644</v>
          </cell>
          <cell r="Z73">
            <v>0</v>
          </cell>
          <cell r="AA73">
            <v>0</v>
          </cell>
          <cell r="AB73">
            <v>10441.205353381454</v>
          </cell>
          <cell r="AC73">
            <v>1357.6117887339126</v>
          </cell>
          <cell r="AD73">
            <v>718.27961038197873</v>
          </cell>
          <cell r="AE73">
            <v>680.23647282296952</v>
          </cell>
          <cell r="AF73">
            <v>0</v>
          </cell>
          <cell r="AH73">
            <v>638.10718051327808</v>
          </cell>
          <cell r="AI73">
            <v>0</v>
          </cell>
          <cell r="AK73">
            <v>861.63008294934252</v>
          </cell>
          <cell r="AL73">
            <v>0</v>
          </cell>
          <cell r="AN73">
            <v>291.57036344181336</v>
          </cell>
          <cell r="AO73">
            <v>390.29985691784998</v>
          </cell>
          <cell r="AQ73">
            <v>191.39990198901882</v>
          </cell>
          <cell r="AR73">
            <v>0</v>
          </cell>
          <cell r="AT73">
            <v>632.44634084750942</v>
          </cell>
          <cell r="AU73">
            <v>0</v>
          </cell>
          <cell r="AW73">
            <v>75.290084735242345</v>
          </cell>
          <cell r="AX73">
            <v>0</v>
          </cell>
        </row>
        <row r="74">
          <cell r="I74">
            <v>192.73</v>
          </cell>
          <cell r="J74">
            <v>133118.08178203093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1</v>
          </cell>
          <cell r="S74">
            <v>874.62877346840946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22276.51854785781</v>
          </cell>
          <cell r="Z74">
            <v>0</v>
          </cell>
          <cell r="AA74">
            <v>0</v>
          </cell>
          <cell r="AB74">
            <v>11769.270781471272</v>
          </cell>
          <cell r="AC74">
            <v>0</v>
          </cell>
          <cell r="AD74">
            <v>3523.9201905523601</v>
          </cell>
          <cell r="AE74">
            <v>2436.293000519991</v>
          </cell>
          <cell r="AF74">
            <v>0</v>
          </cell>
          <cell r="AH74">
            <v>2680.7663084859255</v>
          </cell>
          <cell r="AI74">
            <v>0</v>
          </cell>
          <cell r="AK74">
            <v>4566.2766775181099</v>
          </cell>
          <cell r="AL74">
            <v>0</v>
          </cell>
          <cell r="AN74">
            <v>1227.634888257774</v>
          </cell>
          <cell r="AO74">
            <v>1148</v>
          </cell>
          <cell r="AQ74">
            <v>527.52839028453241</v>
          </cell>
          <cell r="AR74">
            <v>0</v>
          </cell>
          <cell r="AT74">
            <v>2145.4389371843713</v>
          </cell>
          <cell r="AU74">
            <v>7579.4949772765867</v>
          </cell>
          <cell r="AW74">
            <v>131.75764828667408</v>
          </cell>
          <cell r="AX74">
            <v>18412.818962083449</v>
          </cell>
        </row>
        <row r="75">
          <cell r="I75">
            <v>17.399999999999999</v>
          </cell>
          <cell r="J75">
            <v>4647.0896634747551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</v>
          </cell>
          <cell r="S75">
            <v>1878.3608894533011</v>
          </cell>
          <cell r="U75">
            <v>0</v>
          </cell>
          <cell r="V75">
            <v>0</v>
          </cell>
          <cell r="W75">
            <v>0</v>
          </cell>
          <cell r="X75">
            <v>560.48367409613172</v>
          </cell>
          <cell r="Y75">
            <v>3239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1529.9220794887747</v>
          </cell>
          <cell r="AE75">
            <v>1586.6668956899032</v>
          </cell>
          <cell r="AF75">
            <v>1129.1021187651984</v>
          </cell>
          <cell r="AH75">
            <v>1788.9596363523756</v>
          </cell>
          <cell r="AI75">
            <v>2343.503577452595</v>
          </cell>
          <cell r="AK75">
            <v>2907.3066030619439</v>
          </cell>
          <cell r="AL75">
            <v>1054.5142952903445</v>
          </cell>
          <cell r="AN75">
            <v>855.96557591617329</v>
          </cell>
          <cell r="AO75">
            <v>1276.3538271621001</v>
          </cell>
          <cell r="AQ75">
            <v>351.68570380539899</v>
          </cell>
          <cell r="AR75">
            <v>0</v>
          </cell>
          <cell r="AT75">
            <v>1481.8968628048815</v>
          </cell>
          <cell r="AU75">
            <v>2516.4344032549598</v>
          </cell>
          <cell r="AW75">
            <v>81.564258463179186</v>
          </cell>
          <cell r="AX75">
            <v>0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W76">
            <v>6</v>
          </cell>
          <cell r="X76">
            <v>472.50065312689196</v>
          </cell>
          <cell r="Y76">
            <v>12235.596652839951</v>
          </cell>
          <cell r="Z76">
            <v>0</v>
          </cell>
          <cell r="AA76">
            <v>0</v>
          </cell>
          <cell r="AB76">
            <v>141.95896387798635</v>
          </cell>
          <cell r="AC76">
            <v>0</v>
          </cell>
          <cell r="AD76">
            <v>0</v>
          </cell>
          <cell r="AE76">
            <v>1597.5428345549331</v>
          </cell>
          <cell r="AF76">
            <v>0</v>
          </cell>
          <cell r="AH76">
            <v>2121.5166852322009</v>
          </cell>
          <cell r="AI76">
            <v>0</v>
          </cell>
          <cell r="AK76">
            <v>1991.656373514345</v>
          </cell>
          <cell r="AL76">
            <v>0</v>
          </cell>
          <cell r="AN76">
            <v>0</v>
          </cell>
          <cell r="AO76">
            <v>0</v>
          </cell>
          <cell r="AQ76">
            <v>49.622889587144876</v>
          </cell>
          <cell r="AR76">
            <v>0</v>
          </cell>
          <cell r="AT76">
            <v>1171.0814010502475</v>
          </cell>
          <cell r="AU76">
            <v>0</v>
          </cell>
          <cell r="AW76">
            <v>87.681577847917652</v>
          </cell>
          <cell r="AX76">
            <v>0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10192.764529694025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I79">
            <v>36</v>
          </cell>
          <cell r="J79">
            <v>23231.346498836312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4</v>
          </cell>
          <cell r="X79">
            <v>832.52967614147985</v>
          </cell>
          <cell r="Y79">
            <v>0</v>
          </cell>
          <cell r="Z79">
            <v>0</v>
          </cell>
          <cell r="AA79">
            <v>0</v>
          </cell>
          <cell r="AB79">
            <v>2624.6088461660761</v>
          </cell>
          <cell r="AC79">
            <v>0</v>
          </cell>
          <cell r="AD79">
            <v>1104.8890629772777</v>
          </cell>
          <cell r="AE79">
            <v>1269.5636035821692</v>
          </cell>
          <cell r="AF79">
            <v>0</v>
          </cell>
          <cell r="AH79">
            <v>1803.2628740769037</v>
          </cell>
          <cell r="AI79">
            <v>2913.6280338663282</v>
          </cell>
          <cell r="AK79">
            <v>986.32825286704269</v>
          </cell>
          <cell r="AL79">
            <v>51.992053775999999</v>
          </cell>
          <cell r="AN79">
            <v>678.61938820689795</v>
          </cell>
          <cell r="AO79">
            <v>0</v>
          </cell>
          <cell r="AQ79">
            <v>434.179060857097</v>
          </cell>
          <cell r="AR79">
            <v>0</v>
          </cell>
          <cell r="AT79">
            <v>896.0778341075827</v>
          </cell>
          <cell r="AU79">
            <v>1298.6085154476873</v>
          </cell>
          <cell r="AW79">
            <v>573.84652178808608</v>
          </cell>
          <cell r="AX79">
            <v>0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912.19252952684133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718.79901352904062</v>
          </cell>
          <cell r="AF80">
            <v>0</v>
          </cell>
          <cell r="AH80">
            <v>1411.2689173775254</v>
          </cell>
          <cell r="AI80">
            <v>0</v>
          </cell>
          <cell r="AK80">
            <v>401.30675408695049</v>
          </cell>
          <cell r="AL80">
            <v>0</v>
          </cell>
          <cell r="AN80">
            <v>345.81377037996657</v>
          </cell>
          <cell r="AO80">
            <v>0</v>
          </cell>
          <cell r="AQ80">
            <v>66.163852782859806</v>
          </cell>
          <cell r="AR80">
            <v>0</v>
          </cell>
          <cell r="AT80">
            <v>472.48033157167089</v>
          </cell>
          <cell r="AU80">
            <v>0</v>
          </cell>
          <cell r="AW80">
            <v>310.46931952907244</v>
          </cell>
          <cell r="AX80">
            <v>374.54545586028001</v>
          </cell>
        </row>
        <row r="81"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19213.553176788675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1612.3644764931662</v>
          </cell>
          <cell r="AF81">
            <v>0</v>
          </cell>
          <cell r="AH81">
            <v>2320.6598022469184</v>
          </cell>
          <cell r="AI81">
            <v>1095.0942476351499</v>
          </cell>
          <cell r="AK81">
            <v>1203.149626560805</v>
          </cell>
          <cell r="AL81">
            <v>0</v>
          </cell>
          <cell r="AN81">
            <v>604.88827071865967</v>
          </cell>
          <cell r="AO81">
            <v>0</v>
          </cell>
          <cell r="AQ81">
            <v>557.46342514835078</v>
          </cell>
          <cell r="AR81">
            <v>0</v>
          </cell>
          <cell r="AT81">
            <v>1254.7768864198042</v>
          </cell>
          <cell r="AU81">
            <v>694.82260686979976</v>
          </cell>
          <cell r="AW81">
            <v>184.93929388223745</v>
          </cell>
          <cell r="AX81">
            <v>2240.1847182129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317.32631407329188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1133.6441194008728</v>
          </cell>
          <cell r="AF82">
            <v>707.12426764617521</v>
          </cell>
          <cell r="AH82">
            <v>1276.7329511878017</v>
          </cell>
          <cell r="AI82">
            <v>2230.5521223824899</v>
          </cell>
          <cell r="AK82">
            <v>1718.8766075674653</v>
          </cell>
          <cell r="AL82">
            <v>0</v>
          </cell>
          <cell r="AN82">
            <v>0</v>
          </cell>
          <cell r="AO82">
            <v>0</v>
          </cell>
          <cell r="AQ82">
            <v>110.27308797143304</v>
          </cell>
          <cell r="AR82">
            <v>464.80188273267919</v>
          </cell>
          <cell r="AT82">
            <v>834.48216098599471</v>
          </cell>
          <cell r="AU82">
            <v>0</v>
          </cell>
          <cell r="AW82">
            <v>47.275899040004248</v>
          </cell>
          <cell r="AX82">
            <v>0</v>
          </cell>
        </row>
        <row r="83"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W83">
            <v>4</v>
          </cell>
          <cell r="X83">
            <v>297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1618.0597792174292</v>
          </cell>
          <cell r="AF83">
            <v>0</v>
          </cell>
          <cell r="AH83">
            <v>2704.1986650392282</v>
          </cell>
          <cell r="AI83">
            <v>0</v>
          </cell>
          <cell r="AK83">
            <v>2075.5018672787696</v>
          </cell>
          <cell r="AL83">
            <v>0</v>
          </cell>
          <cell r="AN83">
            <v>0</v>
          </cell>
          <cell r="AO83">
            <v>0</v>
          </cell>
          <cell r="AQ83">
            <v>137.84135996429129</v>
          </cell>
          <cell r="AR83">
            <v>0</v>
          </cell>
          <cell r="AT83">
            <v>1213.1544503008724</v>
          </cell>
          <cell r="AU83">
            <v>0</v>
          </cell>
          <cell r="AW83">
            <v>47.275899040004248</v>
          </cell>
          <cell r="AX83">
            <v>0</v>
          </cell>
        </row>
        <row r="84"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298.61285236026208</v>
          </cell>
          <cell r="AC84">
            <v>1421.1259325604301</v>
          </cell>
          <cell r="AD84">
            <v>0</v>
          </cell>
          <cell r="AE84">
            <v>790.09416949033641</v>
          </cell>
          <cell r="AF84">
            <v>0</v>
          </cell>
          <cell r="AH84">
            <v>1375.9732858586967</v>
          </cell>
          <cell r="AI84">
            <v>0</v>
          </cell>
          <cell r="AK84">
            <v>1217.9915243564351</v>
          </cell>
          <cell r="AL84">
            <v>0</v>
          </cell>
          <cell r="AN84">
            <v>0</v>
          </cell>
          <cell r="AO84">
            <v>0</v>
          </cell>
          <cell r="AQ84">
            <v>82.704815978574771</v>
          </cell>
          <cell r="AR84">
            <v>0</v>
          </cell>
          <cell r="AT84">
            <v>467.92631761505481</v>
          </cell>
          <cell r="AU84">
            <v>0</v>
          </cell>
          <cell r="AW84">
            <v>45.299534315704136</v>
          </cell>
          <cell r="AX84">
            <v>0</v>
          </cell>
        </row>
        <row r="85"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4371.3325531129622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4151.9940195234367</v>
          </cell>
          <cell r="AE85">
            <v>1349.7541993643499</v>
          </cell>
          <cell r="AF85">
            <v>0</v>
          </cell>
          <cell r="AH85">
            <v>1801.5811360189173</v>
          </cell>
          <cell r="AI85">
            <v>0</v>
          </cell>
          <cell r="AK85">
            <v>2166.8141967993197</v>
          </cell>
          <cell r="AL85">
            <v>9563.0944083643353</v>
          </cell>
          <cell r="AN85">
            <v>902.50457285530729</v>
          </cell>
          <cell r="AO85">
            <v>0</v>
          </cell>
          <cell r="AQ85">
            <v>321.63733965096731</v>
          </cell>
          <cell r="AR85">
            <v>0</v>
          </cell>
          <cell r="AT85">
            <v>538.57366391949699</v>
          </cell>
          <cell r="AU85">
            <v>2861.2110204274854</v>
          </cell>
          <cell r="AW85">
            <v>53.989264928896702</v>
          </cell>
          <cell r="AX85">
            <v>5934.5907324580003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648.19517044351164</v>
          </cell>
          <cell r="AF86">
            <v>0</v>
          </cell>
          <cell r="AH86">
            <v>740.39826132460757</v>
          </cell>
          <cell r="AI86">
            <v>0</v>
          </cell>
          <cell r="AK86">
            <v>884.77909138019243</v>
          </cell>
          <cell r="AL86">
            <v>0</v>
          </cell>
          <cell r="AN86">
            <v>0</v>
          </cell>
          <cell r="AO86">
            <v>0</v>
          </cell>
          <cell r="AQ86">
            <v>66.163852782859806</v>
          </cell>
          <cell r="AR86">
            <v>0</v>
          </cell>
          <cell r="AT86">
            <v>413.56930125061893</v>
          </cell>
          <cell r="AU86">
            <v>0</v>
          </cell>
          <cell r="AW86">
            <v>53.989264928896702</v>
          </cell>
          <cell r="AX86">
            <v>0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261.66814377202326</v>
          </cell>
          <cell r="AF87">
            <v>0</v>
          </cell>
          <cell r="AH87">
            <v>367.53905091766205</v>
          </cell>
          <cell r="AI87">
            <v>0</v>
          </cell>
          <cell r="AK87">
            <v>78.899594395191528</v>
          </cell>
          <cell r="AL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T87">
            <v>91.866778671316141</v>
          </cell>
          <cell r="AU87">
            <v>0</v>
          </cell>
          <cell r="AW87">
            <v>11.042545761168878</v>
          </cell>
          <cell r="AX87">
            <v>0</v>
          </cell>
        </row>
        <row r="88">
          <cell r="I88">
            <v>5.0999999999999996</v>
          </cell>
          <cell r="J88">
            <v>3158.5233342702945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1673.295126862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I90">
            <v>2.85</v>
          </cell>
          <cell r="J90">
            <v>2113.846816282065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X90">
            <v>183.59593885669034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942.29698901791824</v>
          </cell>
          <cell r="AF90">
            <v>0</v>
          </cell>
          <cell r="AH90">
            <v>1186.87377981135</v>
          </cell>
          <cell r="AI90">
            <v>0</v>
          </cell>
          <cell r="AK90">
            <v>1231.120273532134</v>
          </cell>
          <cell r="AL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T90">
            <v>449.79406651882562</v>
          </cell>
          <cell r="AU90">
            <v>2103.7172245762877</v>
          </cell>
          <cell r="AW90">
            <v>39.997857515597488</v>
          </cell>
          <cell r="AX90">
            <v>0</v>
          </cell>
        </row>
        <row r="91"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W91">
            <v>0</v>
          </cell>
          <cell r="X91">
            <v>248.19450993589618</v>
          </cell>
          <cell r="Y91">
            <v>902.63312849952956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519.29358179979704</v>
          </cell>
          <cell r="AF91">
            <v>0</v>
          </cell>
          <cell r="AH91">
            <v>827.70087055979832</v>
          </cell>
          <cell r="AI91">
            <v>0</v>
          </cell>
          <cell r="AK91">
            <v>440.22549098393563</v>
          </cell>
          <cell r="AL91">
            <v>0</v>
          </cell>
          <cell r="AN91">
            <v>0</v>
          </cell>
          <cell r="AO91">
            <v>0</v>
          </cell>
          <cell r="AQ91">
            <v>49.622889587144876</v>
          </cell>
          <cell r="AR91">
            <v>0</v>
          </cell>
          <cell r="AT91">
            <v>315.40958882037881</v>
          </cell>
          <cell r="AU91">
            <v>0</v>
          </cell>
          <cell r="AW91">
            <v>31.464981245603362</v>
          </cell>
          <cell r="AX91">
            <v>0</v>
          </cell>
        </row>
        <row r="92">
          <cell r="I92">
            <v>248.94</v>
          </cell>
          <cell r="J92">
            <v>88419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2</v>
          </cell>
          <cell r="S92">
            <v>1797.6987702945846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699.39026781645202</v>
          </cell>
          <cell r="AF92">
            <v>356.5310496730479</v>
          </cell>
          <cell r="AH92">
            <v>733.20063086470861</v>
          </cell>
          <cell r="AI92">
            <v>0</v>
          </cell>
          <cell r="AK92">
            <v>851.20669704792135</v>
          </cell>
          <cell r="AL92">
            <v>0</v>
          </cell>
          <cell r="AN92">
            <v>434.30434542369943</v>
          </cell>
          <cell r="AO92">
            <v>0</v>
          </cell>
          <cell r="AQ92">
            <v>185.83106976572736</v>
          </cell>
          <cell r="AR92">
            <v>0</v>
          </cell>
          <cell r="AT92">
            <v>603.85690853109031</v>
          </cell>
          <cell r="AU92">
            <v>0</v>
          </cell>
          <cell r="AW92">
            <v>15.967772137599315</v>
          </cell>
          <cell r="AX92">
            <v>2082.2614168294685</v>
          </cell>
        </row>
        <row r="93"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12162.824263467934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780.93079875431408</v>
          </cell>
          <cell r="AF93">
            <v>0</v>
          </cell>
          <cell r="AH93">
            <v>1301.5484540857217</v>
          </cell>
          <cell r="AI93">
            <v>0</v>
          </cell>
          <cell r="AK93">
            <v>1043.3524125263305</v>
          </cell>
          <cell r="AL93">
            <v>0</v>
          </cell>
          <cell r="AN93">
            <v>0</v>
          </cell>
          <cell r="AO93">
            <v>0</v>
          </cell>
          <cell r="AQ93">
            <v>82.704815978574771</v>
          </cell>
          <cell r="AR93">
            <v>148.16961909976442</v>
          </cell>
          <cell r="AT93">
            <v>465.03115784473835</v>
          </cell>
          <cell r="AU93">
            <v>0</v>
          </cell>
          <cell r="AW93">
            <v>38.805764507289481</v>
          </cell>
          <cell r="AX93">
            <v>0</v>
          </cell>
        </row>
        <row r="94"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2</v>
          </cell>
          <cell r="S95">
            <v>79622.565676021943</v>
          </cell>
          <cell r="U95">
            <v>0</v>
          </cell>
          <cell r="V95">
            <v>0</v>
          </cell>
          <cell r="W95">
            <v>0</v>
          </cell>
          <cell r="X95">
            <v>369.11850176311134</v>
          </cell>
          <cell r="Y95">
            <v>157734.27126368336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13399.198176698073</v>
          </cell>
          <cell r="AE95">
            <v>779.94310945206337</v>
          </cell>
          <cell r="AF95">
            <v>856.00568418513114</v>
          </cell>
          <cell r="AH95">
            <v>567.42810970259018</v>
          </cell>
          <cell r="AI95">
            <v>0</v>
          </cell>
          <cell r="AK95">
            <v>1090.1049082345071</v>
          </cell>
          <cell r="AL95">
            <v>4662.2944534681219</v>
          </cell>
          <cell r="AN95">
            <v>515.08480364849822</v>
          </cell>
          <cell r="AO95">
            <v>0</v>
          </cell>
          <cell r="AQ95">
            <v>492.15846940885876</v>
          </cell>
          <cell r="AR95">
            <v>0</v>
          </cell>
          <cell r="AT95">
            <v>1877.0585529093451</v>
          </cell>
          <cell r="AU95">
            <v>17005.371001367155</v>
          </cell>
          <cell r="AW95">
            <v>1039.1341694096475</v>
          </cell>
          <cell r="AX95">
            <v>0</v>
          </cell>
        </row>
        <row r="96">
          <cell r="I96">
            <v>13.04</v>
          </cell>
          <cell r="J96">
            <v>10201.98889215947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2</v>
          </cell>
          <cell r="S96">
            <v>5270.0295080617316</v>
          </cell>
          <cell r="U96">
            <v>0</v>
          </cell>
          <cell r="V96">
            <v>0</v>
          </cell>
          <cell r="W96">
            <v>2</v>
          </cell>
          <cell r="X96">
            <v>376.32894629580744</v>
          </cell>
          <cell r="Y96">
            <v>121849.0642584812</v>
          </cell>
          <cell r="Z96">
            <v>0</v>
          </cell>
          <cell r="AA96">
            <v>0</v>
          </cell>
          <cell r="AB96">
            <v>0</v>
          </cell>
          <cell r="AC96">
            <v>4485.9573517663039</v>
          </cell>
          <cell r="AD96">
            <v>6261.753355949304</v>
          </cell>
          <cell r="AE96">
            <v>1672.7446914158663</v>
          </cell>
          <cell r="AF96">
            <v>1318.7578567516159</v>
          </cell>
          <cell r="AH96">
            <v>1814.7253193576755</v>
          </cell>
          <cell r="AI96">
            <v>0</v>
          </cell>
          <cell r="AK96">
            <v>2289.0744222633821</v>
          </cell>
          <cell r="AL96">
            <v>1142.8186032487322</v>
          </cell>
          <cell r="AN96">
            <v>886.10430620932209</v>
          </cell>
          <cell r="AO96">
            <v>0</v>
          </cell>
          <cell r="AQ96">
            <v>1426.5074611736429</v>
          </cell>
          <cell r="AR96">
            <v>0</v>
          </cell>
          <cell r="AT96">
            <v>1938.2048053532531</v>
          </cell>
          <cell r="AU96">
            <v>19489.093255930969</v>
          </cell>
          <cell r="AW96">
            <v>652.0199790945062</v>
          </cell>
          <cell r="AX96">
            <v>0</v>
          </cell>
        </row>
        <row r="97">
          <cell r="I97">
            <v>51.89</v>
          </cell>
          <cell r="J97">
            <v>20065.674414543733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1239.2570979817124</v>
          </cell>
          <cell r="AF97">
            <v>627.97140388658067</v>
          </cell>
          <cell r="AH97">
            <v>1806.4359012852296</v>
          </cell>
          <cell r="AI97">
            <v>0</v>
          </cell>
          <cell r="AK97">
            <v>603.7527173610805</v>
          </cell>
          <cell r="AL97">
            <v>0</v>
          </cell>
          <cell r="AN97">
            <v>500.45799460891914</v>
          </cell>
          <cell r="AO97">
            <v>0</v>
          </cell>
          <cell r="AQ97">
            <v>434.179060857097</v>
          </cell>
          <cell r="AR97">
            <v>0</v>
          </cell>
          <cell r="AT97">
            <v>972.41282059347509</v>
          </cell>
          <cell r="AU97">
            <v>3899.3759004065523</v>
          </cell>
          <cell r="AW97">
            <v>523.85636415538238</v>
          </cell>
          <cell r="AX97">
            <v>0</v>
          </cell>
        </row>
        <row r="98"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R98">
            <v>3</v>
          </cell>
          <cell r="S98">
            <v>3256.519026027478</v>
          </cell>
          <cell r="U98">
            <v>0</v>
          </cell>
          <cell r="V98">
            <v>0</v>
          </cell>
          <cell r="W98">
            <v>7</v>
          </cell>
          <cell r="X98">
            <v>285.86427706107594</v>
          </cell>
          <cell r="Y98">
            <v>37305.435753616635</v>
          </cell>
          <cell r="Z98">
            <v>0</v>
          </cell>
          <cell r="AA98">
            <v>0</v>
          </cell>
          <cell r="AB98">
            <v>7814.8163222597514</v>
          </cell>
          <cell r="AC98">
            <v>7137.3138285740006</v>
          </cell>
          <cell r="AD98">
            <v>22180.234009553937</v>
          </cell>
          <cell r="AE98">
            <v>878.47004037012289</v>
          </cell>
          <cell r="AF98">
            <v>2529.6937279996509</v>
          </cell>
          <cell r="AH98">
            <v>1273.3887517738074</v>
          </cell>
          <cell r="AI98">
            <v>7245.668937201659</v>
          </cell>
          <cell r="AK98">
            <v>970.41266802822554</v>
          </cell>
          <cell r="AL98">
            <v>0</v>
          </cell>
          <cell r="AN98">
            <v>615.35888923476114</v>
          </cell>
          <cell r="AO98">
            <v>3476.2876682233041</v>
          </cell>
          <cell r="AQ98">
            <v>1090.6579848071483</v>
          </cell>
          <cell r="AR98">
            <v>1065.6453268944231</v>
          </cell>
          <cell r="AT98">
            <v>1340.6716708994859</v>
          </cell>
          <cell r="AU98">
            <v>6556.1410798053876</v>
          </cell>
          <cell r="AW98">
            <v>1000.6978824077703</v>
          </cell>
          <cell r="AX98">
            <v>23204.609039609684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818.56495711009256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1374.6641750744361</v>
          </cell>
          <cell r="AF99">
            <v>527.72371755561187</v>
          </cell>
          <cell r="AH99">
            <v>1741.9313970058954</v>
          </cell>
          <cell r="AI99">
            <v>3946.9223552812609</v>
          </cell>
          <cell r="AK99">
            <v>1227.6730598113438</v>
          </cell>
          <cell r="AL99">
            <v>0</v>
          </cell>
          <cell r="AN99">
            <v>624.67135103375972</v>
          </cell>
          <cell r="AO99">
            <v>0</v>
          </cell>
          <cell r="AQ99">
            <v>434.179060857097</v>
          </cell>
          <cell r="AR99">
            <v>0</v>
          </cell>
          <cell r="AT99">
            <v>1024.7386952582476</v>
          </cell>
          <cell r="AU99">
            <v>0</v>
          </cell>
          <cell r="AW99">
            <v>608.21262992749348</v>
          </cell>
          <cell r="AX99">
            <v>0</v>
          </cell>
        </row>
        <row r="100">
          <cell r="I100">
            <v>130.44999999999999</v>
          </cell>
          <cell r="J100">
            <v>42412.318825347764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7</v>
          </cell>
          <cell r="S100">
            <v>175337.19962151637</v>
          </cell>
          <cell r="U100">
            <v>18156</v>
          </cell>
          <cell r="V100">
            <v>0</v>
          </cell>
          <cell r="W100">
            <v>0</v>
          </cell>
          <cell r="X100">
            <v>0</v>
          </cell>
          <cell r="Y100">
            <v>612.49416320357818</v>
          </cell>
          <cell r="Z100">
            <v>0</v>
          </cell>
          <cell r="AA100">
            <v>0</v>
          </cell>
          <cell r="AB100">
            <v>0</v>
          </cell>
          <cell r="AC100">
            <v>2907.6372586792791</v>
          </cell>
          <cell r="AD100">
            <v>6872.9083784645745</v>
          </cell>
          <cell r="AE100">
            <v>2732.1065465912015</v>
          </cell>
          <cell r="AF100">
            <v>2932.8689434617359</v>
          </cell>
          <cell r="AH100">
            <v>3012.1059934864315</v>
          </cell>
          <cell r="AI100">
            <v>0</v>
          </cell>
          <cell r="AK100">
            <v>3553.9565527310874</v>
          </cell>
          <cell r="AL100">
            <v>380.93953441624404</v>
          </cell>
          <cell r="AN100">
            <v>1367.7681522721412</v>
          </cell>
          <cell r="AO100">
            <v>438.45034351095308</v>
          </cell>
          <cell r="AQ100">
            <v>2274.5253013349948</v>
          </cell>
          <cell r="AR100">
            <v>0</v>
          </cell>
          <cell r="AT100">
            <v>3885.1663663005752</v>
          </cell>
          <cell r="AU100">
            <v>7900.0737895957591</v>
          </cell>
          <cell r="AW100">
            <v>1055.8862132632389</v>
          </cell>
          <cell r="AX100">
            <v>0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I102">
            <v>4.2699999999999996</v>
          </cell>
          <cell r="J102">
            <v>1244.5672455863019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4161.5575587041903</v>
          </cell>
          <cell r="AD102">
            <v>0</v>
          </cell>
          <cell r="AE102">
            <v>0</v>
          </cell>
          <cell r="AF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0</v>
          </cell>
          <cell r="AI103">
            <v>0</v>
          </cell>
          <cell r="AK103">
            <v>99.980667021857144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W104">
            <v>0</v>
          </cell>
          <cell r="AX104">
            <v>0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</row>
        <row r="106"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I108">
            <v>52.36</v>
          </cell>
          <cell r="J108">
            <v>54007.488939855604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1</v>
          </cell>
          <cell r="S108">
            <v>5114.4469532842641</v>
          </cell>
          <cell r="U108">
            <v>0</v>
          </cell>
          <cell r="V108">
            <v>0</v>
          </cell>
          <cell r="W108">
            <v>0</v>
          </cell>
          <cell r="X108">
            <v>108.34427009073826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436.81281591006319</v>
          </cell>
          <cell r="AE108">
            <v>1383.5902207064114</v>
          </cell>
          <cell r="AF108">
            <v>0</v>
          </cell>
          <cell r="AH108">
            <v>1529.2025772547186</v>
          </cell>
          <cell r="AI108">
            <v>675.61308906772877</v>
          </cell>
          <cell r="AK108">
            <v>1184.0311782735796</v>
          </cell>
          <cell r="AL108">
            <v>858.89868450435006</v>
          </cell>
          <cell r="AN108">
            <v>568.68818896100072</v>
          </cell>
          <cell r="AO108">
            <v>546.58312943999999</v>
          </cell>
          <cell r="AQ108">
            <v>300.09498799946283</v>
          </cell>
          <cell r="AR108">
            <v>0</v>
          </cell>
          <cell r="AT108">
            <v>1001.5654431464359</v>
          </cell>
          <cell r="AU108">
            <v>0</v>
          </cell>
          <cell r="AW108">
            <v>81.564258463179186</v>
          </cell>
          <cell r="AX108">
            <v>0</v>
          </cell>
        </row>
        <row r="109"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132.05404403729605</v>
          </cell>
          <cell r="AC109">
            <v>0</v>
          </cell>
          <cell r="AD109">
            <v>0</v>
          </cell>
          <cell r="AE109">
            <v>750.76884851900866</v>
          </cell>
          <cell r="AF109">
            <v>0</v>
          </cell>
          <cell r="AH109">
            <v>922.01020805174778</v>
          </cell>
          <cell r="AI109">
            <v>0</v>
          </cell>
          <cell r="AK109">
            <v>1159.7816201082633</v>
          </cell>
          <cell r="AL109">
            <v>0</v>
          </cell>
          <cell r="AN109">
            <v>365.45735662597514</v>
          </cell>
          <cell r="AO109">
            <v>0</v>
          </cell>
          <cell r="AQ109">
            <v>119.57199129963456</v>
          </cell>
          <cell r="AR109">
            <v>0</v>
          </cell>
          <cell r="AT109">
            <v>490.96614687523231</v>
          </cell>
          <cell r="AU109">
            <v>1268.7893401217375</v>
          </cell>
          <cell r="AW109">
            <v>43.919216095558028</v>
          </cell>
          <cell r="AX109">
            <v>0</v>
          </cell>
        </row>
        <row r="110"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557.0591754698678</v>
          </cell>
          <cell r="Z110">
            <v>0</v>
          </cell>
          <cell r="AA110">
            <v>0</v>
          </cell>
          <cell r="AB110">
            <v>0</v>
          </cell>
          <cell r="AC110">
            <v>1650.4172770399186</v>
          </cell>
          <cell r="AD110">
            <v>800.57627451729797</v>
          </cell>
          <cell r="AE110">
            <v>1398.6909877898474</v>
          </cell>
          <cell r="AF110">
            <v>0</v>
          </cell>
          <cell r="AH110">
            <v>1817.2946765059583</v>
          </cell>
          <cell r="AI110">
            <v>1678.8759548064568</v>
          </cell>
          <cell r="AK110">
            <v>2147.089369605304</v>
          </cell>
          <cell r="AL110">
            <v>1045.5776340554444</v>
          </cell>
          <cell r="AN110">
            <v>650.05597371703573</v>
          </cell>
          <cell r="AO110">
            <v>1837.8578088519419</v>
          </cell>
          <cell r="AQ110">
            <v>373.59798854367591</v>
          </cell>
          <cell r="AR110">
            <v>0</v>
          </cell>
          <cell r="AT110">
            <v>1027.4490459429919</v>
          </cell>
          <cell r="AU110">
            <v>3431.9152114880726</v>
          </cell>
          <cell r="AW110">
            <v>81.564258463179186</v>
          </cell>
          <cell r="AX110">
            <v>0</v>
          </cell>
        </row>
        <row r="111">
          <cell r="I111">
            <v>0</v>
          </cell>
          <cell r="J111">
            <v>0</v>
          </cell>
          <cell r="L111">
            <v>4</v>
          </cell>
          <cell r="M111">
            <v>22887.409348734509</v>
          </cell>
          <cell r="O111">
            <v>0</v>
          </cell>
          <cell r="P111">
            <v>0</v>
          </cell>
          <cell r="R111">
            <v>1</v>
          </cell>
          <cell r="S111">
            <v>3684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13273.773583128312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195.34896252160601</v>
          </cell>
          <cell r="AE111">
            <v>802.60834400134172</v>
          </cell>
          <cell r="AF111">
            <v>527.72371755561187</v>
          </cell>
          <cell r="AH111">
            <v>455.73492121812353</v>
          </cell>
          <cell r="AI111">
            <v>2376.414288087331</v>
          </cell>
          <cell r="AK111">
            <v>451.2205014012693</v>
          </cell>
          <cell r="AL111">
            <v>0</v>
          </cell>
          <cell r="AN111">
            <v>311.14379351795105</v>
          </cell>
          <cell r="AO111">
            <v>0</v>
          </cell>
          <cell r="AQ111">
            <v>243.77961877544951</v>
          </cell>
          <cell r="AR111">
            <v>0</v>
          </cell>
          <cell r="AT111">
            <v>937.31478436358179</v>
          </cell>
          <cell r="AU111">
            <v>6144.6952894282495</v>
          </cell>
          <cell r="AW111">
            <v>458.58906661023377</v>
          </cell>
          <cell r="AX111">
            <v>0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25.134176371119487</v>
          </cell>
          <cell r="AF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</row>
        <row r="113">
          <cell r="I113">
            <v>27</v>
          </cell>
          <cell r="J113">
            <v>13568.557660823375</v>
          </cell>
          <cell r="L113">
            <v>0</v>
          </cell>
          <cell r="M113">
            <v>0</v>
          </cell>
          <cell r="O113">
            <v>240.6</v>
          </cell>
          <cell r="P113">
            <v>90740.217388277</v>
          </cell>
          <cell r="R113">
            <v>3</v>
          </cell>
          <cell r="S113">
            <v>5808</v>
          </cell>
          <cell r="U113">
            <v>0</v>
          </cell>
          <cell r="V113">
            <v>0</v>
          </cell>
          <cell r="W113">
            <v>36</v>
          </cell>
          <cell r="X113">
            <v>14754.63742607635</v>
          </cell>
          <cell r="Y113">
            <v>9840.2501341062944</v>
          </cell>
          <cell r="Z113">
            <v>0</v>
          </cell>
          <cell r="AA113">
            <v>0</v>
          </cell>
          <cell r="AB113">
            <v>239.74637320845852</v>
          </cell>
          <cell r="AC113">
            <v>0</v>
          </cell>
          <cell r="AD113">
            <v>9382.6543046299776</v>
          </cell>
          <cell r="AE113">
            <v>1068.1929141341254</v>
          </cell>
          <cell r="AF113">
            <v>273.9376929885193</v>
          </cell>
          <cell r="AH113">
            <v>1481.8466854970218</v>
          </cell>
          <cell r="AI113">
            <v>946.36313919312875</v>
          </cell>
          <cell r="AK113">
            <v>2187.9526302182221</v>
          </cell>
          <cell r="AL113">
            <v>4638.5410550123324</v>
          </cell>
          <cell r="AN113">
            <v>753.29726531563176</v>
          </cell>
          <cell r="AO113">
            <v>0</v>
          </cell>
          <cell r="AQ113">
            <v>1184.1927480663824</v>
          </cell>
          <cell r="AR113">
            <v>0</v>
          </cell>
          <cell r="AT113">
            <v>2201.7603996433863</v>
          </cell>
          <cell r="AU113">
            <v>4508.5081936278448</v>
          </cell>
          <cell r="AW113">
            <v>821.95481016639451</v>
          </cell>
          <cell r="AX113">
            <v>13771.414254505135</v>
          </cell>
        </row>
        <row r="114"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</row>
        <row r="115">
          <cell r="I115">
            <v>21.34</v>
          </cell>
          <cell r="J115">
            <v>11040.417899406693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211.24866051164864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968.8579696474676</v>
          </cell>
          <cell r="AF115">
            <v>0</v>
          </cell>
          <cell r="AH115">
            <v>1231.5419374980313</v>
          </cell>
          <cell r="AI115">
            <v>0</v>
          </cell>
          <cell r="AK115">
            <v>395.17929224952189</v>
          </cell>
          <cell r="AL115">
            <v>0</v>
          </cell>
          <cell r="AN115">
            <v>0</v>
          </cell>
          <cell r="AO115">
            <v>0</v>
          </cell>
          <cell r="AQ115">
            <v>82.704815978574771</v>
          </cell>
          <cell r="AR115">
            <v>0</v>
          </cell>
          <cell r="AT115">
            <v>523.59917611005596</v>
          </cell>
          <cell r="AU115">
            <v>0</v>
          </cell>
          <cell r="AW115">
            <v>382.5197317312643</v>
          </cell>
          <cell r="AX115">
            <v>0</v>
          </cell>
        </row>
        <row r="116">
          <cell r="I116">
            <v>156.18</v>
          </cell>
          <cell r="J116">
            <v>67474.38720038539</v>
          </cell>
          <cell r="L116">
            <v>0</v>
          </cell>
          <cell r="M116">
            <v>0</v>
          </cell>
          <cell r="O116">
            <v>22</v>
          </cell>
          <cell r="P116">
            <v>7641.7970605390801</v>
          </cell>
          <cell r="R116">
            <v>2</v>
          </cell>
          <cell r="S116">
            <v>2615.559913620179</v>
          </cell>
          <cell r="U116">
            <v>0</v>
          </cell>
          <cell r="V116">
            <v>0</v>
          </cell>
          <cell r="W116">
            <v>26</v>
          </cell>
          <cell r="X116">
            <v>15741</v>
          </cell>
          <cell r="Y116">
            <v>0</v>
          </cell>
          <cell r="Z116">
            <v>0</v>
          </cell>
          <cell r="AA116">
            <v>0</v>
          </cell>
          <cell r="AB116">
            <v>1613.4120936844872</v>
          </cell>
          <cell r="AC116">
            <v>2198.1924197024159</v>
          </cell>
          <cell r="AD116">
            <v>5156.7334709728311</v>
          </cell>
          <cell r="AE116">
            <v>778.75102333121322</v>
          </cell>
          <cell r="AF116">
            <v>591.28868768881694</v>
          </cell>
          <cell r="AH116">
            <v>962.7387406440871</v>
          </cell>
          <cell r="AI116">
            <v>4042.1656489151546</v>
          </cell>
          <cell r="AK116">
            <v>1177.3730456023102</v>
          </cell>
          <cell r="AL116">
            <v>0</v>
          </cell>
          <cell r="AN116">
            <v>532.08508087409132</v>
          </cell>
          <cell r="AO116">
            <v>0</v>
          </cell>
          <cell r="AQ116">
            <v>868.49087842378185</v>
          </cell>
          <cell r="AR116">
            <v>1437.5564717240734</v>
          </cell>
          <cell r="AT116">
            <v>2129.3396555579884</v>
          </cell>
          <cell r="AU116">
            <v>8278.3467130710269</v>
          </cell>
          <cell r="AW116">
            <v>821.95481016639451</v>
          </cell>
          <cell r="AX116">
            <v>14227.048163898313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4</v>
          </cell>
          <cell r="S117">
            <v>76186.604002047534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316.85207204016422</v>
          </cell>
          <cell r="AE117">
            <v>865.41408736653739</v>
          </cell>
          <cell r="AF117">
            <v>527.72371755561187</v>
          </cell>
          <cell r="AH117">
            <v>1035.9151733841261</v>
          </cell>
          <cell r="AI117">
            <v>0</v>
          </cell>
          <cell r="AK117">
            <v>1317.8877350198275</v>
          </cell>
          <cell r="AL117">
            <v>14861.681466427579</v>
          </cell>
          <cell r="AN117">
            <v>436.77134392517468</v>
          </cell>
          <cell r="AO117">
            <v>12458.673079920201</v>
          </cell>
          <cell r="AQ117">
            <v>330.55002861087428</v>
          </cell>
          <cell r="AR117">
            <v>0</v>
          </cell>
          <cell r="AT117">
            <v>1160.7077041172338</v>
          </cell>
          <cell r="AU117">
            <v>3136.3490224332895</v>
          </cell>
          <cell r="AW117">
            <v>341.08779111384092</v>
          </cell>
          <cell r="AX117">
            <v>0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1</v>
          </cell>
          <cell r="S118">
            <v>1360.2954424036004</v>
          </cell>
          <cell r="U118">
            <v>0</v>
          </cell>
          <cell r="V118">
            <v>0</v>
          </cell>
          <cell r="W118">
            <v>0</v>
          </cell>
          <cell r="X118">
            <v>59.498683888742242</v>
          </cell>
          <cell r="Y118">
            <v>3243.1906104835903</v>
          </cell>
          <cell r="Z118">
            <v>0</v>
          </cell>
          <cell r="AA118">
            <v>0</v>
          </cell>
          <cell r="AB118">
            <v>0</v>
          </cell>
          <cell r="AC118">
            <v>3889.3700355199699</v>
          </cell>
          <cell r="AD118">
            <v>415.59343896624097</v>
          </cell>
          <cell r="AE118">
            <v>1301.6231389672648</v>
          </cell>
          <cell r="AF118">
            <v>527.72371755561187</v>
          </cell>
          <cell r="AH118">
            <v>1304.6872597204274</v>
          </cell>
          <cell r="AI118">
            <v>0</v>
          </cell>
          <cell r="AK118">
            <v>1313.7552357839647</v>
          </cell>
          <cell r="AL118">
            <v>1095.8237984348568</v>
          </cell>
          <cell r="AN118">
            <v>532.75031425918144</v>
          </cell>
          <cell r="AO118">
            <v>2364.6819563445451</v>
          </cell>
          <cell r="AQ118">
            <v>330.55002861087428</v>
          </cell>
          <cell r="AR118">
            <v>1307.0381522802945</v>
          </cell>
          <cell r="AT118">
            <v>1094.4022730725228</v>
          </cell>
          <cell r="AU118">
            <v>0</v>
          </cell>
          <cell r="AW118">
            <v>344.57243115001052</v>
          </cell>
          <cell r="AX118">
            <v>0</v>
          </cell>
        </row>
        <row r="119">
          <cell r="I119">
            <v>111</v>
          </cell>
          <cell r="J119">
            <v>40003.79389604579</v>
          </cell>
          <cell r="L119">
            <v>2</v>
          </cell>
          <cell r="M119">
            <v>17680.285702466706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97.804503230446784</v>
          </cell>
          <cell r="Y119">
            <v>21857.468344713299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1486.7710100466611</v>
          </cell>
          <cell r="AF119">
            <v>1355.8718912144586</v>
          </cell>
          <cell r="AH119">
            <v>1364.1698302773887</v>
          </cell>
          <cell r="AI119">
            <v>12550.256093164056</v>
          </cell>
          <cell r="AK119">
            <v>1463.3510328378209</v>
          </cell>
          <cell r="AL119">
            <v>2661.5714154231418</v>
          </cell>
          <cell r="AN119">
            <v>551.67619993426422</v>
          </cell>
          <cell r="AO119">
            <v>532.08207401446475</v>
          </cell>
          <cell r="AQ119">
            <v>357.05702534796092</v>
          </cell>
          <cell r="AR119">
            <v>0</v>
          </cell>
          <cell r="AT119">
            <v>1161.7104893997578</v>
          </cell>
          <cell r="AU119">
            <v>4878.569249700744</v>
          </cell>
          <cell r="AW119">
            <v>281.98209718707454</v>
          </cell>
          <cell r="AX119">
            <v>0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3</v>
          </cell>
          <cell r="S120">
            <v>6244.5781952977832</v>
          </cell>
          <cell r="U120">
            <v>0</v>
          </cell>
          <cell r="V120">
            <v>0</v>
          </cell>
          <cell r="W120">
            <v>19</v>
          </cell>
          <cell r="X120">
            <v>11725.182400336924</v>
          </cell>
          <cell r="Y120">
            <v>100374.43048689424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6012.0740761108973</v>
          </cell>
          <cell r="AE120">
            <v>2053.3226133742751</v>
          </cell>
          <cell r="AF120">
            <v>140.5611779506969</v>
          </cell>
          <cell r="AH120">
            <v>2277.3850532644019</v>
          </cell>
          <cell r="AI120">
            <v>3309.3753905172575</v>
          </cell>
          <cell r="AK120">
            <v>3763.6517631845877</v>
          </cell>
          <cell r="AL120">
            <v>51.992053775999999</v>
          </cell>
          <cell r="AN120">
            <v>1195.6800258772103</v>
          </cell>
          <cell r="AO120">
            <v>0</v>
          </cell>
          <cell r="AQ120">
            <v>1721.864362575865</v>
          </cell>
          <cell r="AR120">
            <v>0</v>
          </cell>
          <cell r="AT120">
            <v>2750.5357145604298</v>
          </cell>
          <cell r="AU120">
            <v>0</v>
          </cell>
          <cell r="AW120">
            <v>903.99966546532426</v>
          </cell>
          <cell r="AX120">
            <v>12840.309038746444</v>
          </cell>
        </row>
        <row r="121">
          <cell r="I121">
            <v>50</v>
          </cell>
          <cell r="J121">
            <v>3470.0655956439427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2</v>
          </cell>
          <cell r="S121">
            <v>2309.2088202836799</v>
          </cell>
          <cell r="U121">
            <v>0</v>
          </cell>
          <cell r="V121">
            <v>0</v>
          </cell>
          <cell r="W121">
            <v>0</v>
          </cell>
          <cell r="X121">
            <v>464.08973433218949</v>
          </cell>
          <cell r="Y121">
            <v>1617.8928592264022</v>
          </cell>
          <cell r="Z121">
            <v>0</v>
          </cell>
          <cell r="AA121">
            <v>0</v>
          </cell>
          <cell r="AB121">
            <v>36615.693624879983</v>
          </cell>
          <cell r="AC121">
            <v>432.83200907898043</v>
          </cell>
          <cell r="AD121">
            <v>2822.7648236575019</v>
          </cell>
          <cell r="AE121">
            <v>1440.8123167557519</v>
          </cell>
          <cell r="AF121">
            <v>321.96308066569685</v>
          </cell>
          <cell r="AH121">
            <v>2127.1171160821686</v>
          </cell>
          <cell r="AI121">
            <v>0</v>
          </cell>
          <cell r="AK121">
            <v>2455.4686610820254</v>
          </cell>
          <cell r="AL121">
            <v>4732.4747414387084</v>
          </cell>
          <cell r="AN121">
            <v>974.69131285195522</v>
          </cell>
          <cell r="AO121">
            <v>14082.981954027804</v>
          </cell>
          <cell r="AQ121">
            <v>1028.2288455745195</v>
          </cell>
          <cell r="AR121">
            <v>0</v>
          </cell>
          <cell r="AT121">
            <v>1833.6091505353238</v>
          </cell>
          <cell r="AU121">
            <v>8100.7660245845973</v>
          </cell>
          <cell r="AW121">
            <v>664.91693960358907</v>
          </cell>
          <cell r="AX121">
            <v>0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382.30459306263037</v>
          </cell>
          <cell r="AF122">
            <v>0</v>
          </cell>
          <cell r="AH122">
            <v>387.74160602130803</v>
          </cell>
          <cell r="AI122">
            <v>0</v>
          </cell>
          <cell r="AK122">
            <v>235.87053679696339</v>
          </cell>
          <cell r="AL122">
            <v>1370.1486166811239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100.76703299740301</v>
          </cell>
          <cell r="AU122">
            <v>0</v>
          </cell>
          <cell r="AW122">
            <v>38.805764507289481</v>
          </cell>
          <cell r="AX122">
            <v>0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134423.24756411678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1429.8738508305323</v>
          </cell>
          <cell r="AF123">
            <v>0</v>
          </cell>
          <cell r="AH123">
            <v>1021.0413113775113</v>
          </cell>
          <cell r="AI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T123">
            <v>680.32701806467276</v>
          </cell>
          <cell r="AU123">
            <v>0</v>
          </cell>
          <cell r="AW123">
            <v>0</v>
          </cell>
          <cell r="AX123">
            <v>0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309.01895221400281</v>
          </cell>
          <cell r="AF124">
            <v>0</v>
          </cell>
          <cell r="AH124">
            <v>367.26263743937682</v>
          </cell>
          <cell r="AI124">
            <v>0</v>
          </cell>
          <cell r="AK124">
            <v>193.20501834006288</v>
          </cell>
          <cell r="AL124">
            <v>1825.0324797898315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96.898809990934041</v>
          </cell>
          <cell r="AU124">
            <v>0</v>
          </cell>
          <cell r="AW124">
            <v>38.805764507289481</v>
          </cell>
          <cell r="AX124">
            <v>0</v>
          </cell>
        </row>
        <row r="125"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279.87328946579879</v>
          </cell>
          <cell r="AF125">
            <v>0</v>
          </cell>
          <cell r="AH125">
            <v>422.4048015138635</v>
          </cell>
          <cell r="AI125">
            <v>0</v>
          </cell>
          <cell r="AK125">
            <v>149.63642331755671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95.147665930682564</v>
          </cell>
          <cell r="AU125">
            <v>0</v>
          </cell>
          <cell r="AW125">
            <v>38.805764507289481</v>
          </cell>
          <cell r="AX125">
            <v>0</v>
          </cell>
        </row>
        <row r="126">
          <cell r="I126">
            <v>2.85</v>
          </cell>
          <cell r="J126">
            <v>2044.543127122223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982.6481265830231</v>
          </cell>
          <cell r="AE126">
            <v>573.63717137200808</v>
          </cell>
          <cell r="AF126">
            <v>0</v>
          </cell>
          <cell r="AH126">
            <v>759.6445443359346</v>
          </cell>
          <cell r="AI126">
            <v>0</v>
          </cell>
          <cell r="AK126">
            <v>321.14613120167559</v>
          </cell>
          <cell r="AL126">
            <v>663.8087342452958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361.24761774334655</v>
          </cell>
          <cell r="AU126">
            <v>0</v>
          </cell>
          <cell r="AW126">
            <v>73.031382193185095</v>
          </cell>
          <cell r="AX126">
            <v>2694.642809421</v>
          </cell>
        </row>
        <row r="127"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4</v>
          </cell>
          <cell r="X127">
            <v>2537</v>
          </cell>
          <cell r="Y127">
            <v>1609.265511210212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682.32863690501063</v>
          </cell>
          <cell r="AF127">
            <v>0</v>
          </cell>
          <cell r="AH127">
            <v>910.24404509360352</v>
          </cell>
          <cell r="AI127">
            <v>0</v>
          </cell>
          <cell r="AK127">
            <v>498.84670901265133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224.9242921984569</v>
          </cell>
          <cell r="AU127">
            <v>0</v>
          </cell>
          <cell r="AW127">
            <v>73.031382193185095</v>
          </cell>
          <cell r="AX127">
            <v>5378.2915641319996</v>
          </cell>
        </row>
        <row r="128">
          <cell r="I128">
            <v>9.11</v>
          </cell>
          <cell r="J128">
            <v>3972.4259860546335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280.99541634677252</v>
          </cell>
          <cell r="AE128">
            <v>518.46269174853296</v>
          </cell>
          <cell r="AF128">
            <v>0</v>
          </cell>
          <cell r="AH128">
            <v>757.02232933081586</v>
          </cell>
          <cell r="AI128">
            <v>0</v>
          </cell>
          <cell r="AK128">
            <v>206.10407687879768</v>
          </cell>
          <cell r="AL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T128">
            <v>147.49477195927528</v>
          </cell>
          <cell r="AU128">
            <v>2663.3659014179279</v>
          </cell>
          <cell r="AW128">
            <v>73.031382193185095</v>
          </cell>
          <cell r="AX128">
            <v>1572.14982353</v>
          </cell>
        </row>
        <row r="129"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359.77806780773886</v>
          </cell>
          <cell r="AF129">
            <v>0</v>
          </cell>
          <cell r="AH129">
            <v>731.45719484162009</v>
          </cell>
          <cell r="AI129">
            <v>0</v>
          </cell>
          <cell r="AK129">
            <v>190.90363052237669</v>
          </cell>
          <cell r="AL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T129">
            <v>203.78572248108145</v>
          </cell>
          <cell r="AU129">
            <v>0</v>
          </cell>
          <cell r="AW129">
            <v>31.214014296485885</v>
          </cell>
          <cell r="AX129">
            <v>0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443.0085490692469</v>
          </cell>
          <cell r="AF130">
            <v>0</v>
          </cell>
          <cell r="AH130">
            <v>628.99940507091424</v>
          </cell>
          <cell r="AI130">
            <v>0</v>
          </cell>
          <cell r="AK130">
            <v>213.83153052153452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208.69018064894078</v>
          </cell>
          <cell r="AU130">
            <v>0</v>
          </cell>
          <cell r="AW130">
            <v>31.214014296485885</v>
          </cell>
          <cell r="AX130">
            <v>585.74381097000003</v>
          </cell>
        </row>
        <row r="131"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646.22255338298532</v>
          </cell>
          <cell r="AF131">
            <v>0</v>
          </cell>
          <cell r="AH131">
            <v>1002.3316271663755</v>
          </cell>
          <cell r="AI131">
            <v>0</v>
          </cell>
          <cell r="AK131">
            <v>621.12154419688329</v>
          </cell>
          <cell r="AL131">
            <v>0</v>
          </cell>
          <cell r="AN131">
            <v>0</v>
          </cell>
          <cell r="AO131">
            <v>0</v>
          </cell>
          <cell r="AQ131">
            <v>49.622889587144876</v>
          </cell>
          <cell r="AR131">
            <v>0</v>
          </cell>
          <cell r="AT131">
            <v>303.58864305835397</v>
          </cell>
          <cell r="AU131">
            <v>0</v>
          </cell>
          <cell r="AW131">
            <v>81.940708886855418</v>
          </cell>
          <cell r="AX131">
            <v>0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795.34464007853626</v>
          </cell>
          <cell r="AF132">
            <v>0</v>
          </cell>
          <cell r="AH132">
            <v>1068.3925175007384</v>
          </cell>
          <cell r="AI132">
            <v>0</v>
          </cell>
          <cell r="AK132">
            <v>870.18377549553998</v>
          </cell>
          <cell r="AL132">
            <v>0</v>
          </cell>
          <cell r="AN132">
            <v>0</v>
          </cell>
          <cell r="AO132">
            <v>0</v>
          </cell>
          <cell r="AQ132">
            <v>66.163852782859806</v>
          </cell>
          <cell r="AR132">
            <v>0</v>
          </cell>
          <cell r="AT132">
            <v>416.00794825005426</v>
          </cell>
          <cell r="AU132">
            <v>591.10217486236036</v>
          </cell>
          <cell r="AW132">
            <v>81.940708886855418</v>
          </cell>
          <cell r="AX132">
            <v>0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320.23343759498619</v>
          </cell>
          <cell r="AF133">
            <v>0</v>
          </cell>
          <cell r="AH133">
            <v>714.34813152655943</v>
          </cell>
          <cell r="AI133">
            <v>0</v>
          </cell>
          <cell r="AK133">
            <v>174.20304513393748</v>
          </cell>
          <cell r="AL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T133">
            <v>205.88949472812374</v>
          </cell>
          <cell r="AU133">
            <v>0</v>
          </cell>
          <cell r="AW133">
            <v>31.214014296485885</v>
          </cell>
          <cell r="AX133">
            <v>0</v>
          </cell>
        </row>
        <row r="134"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6588.8720060969135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478.8694142927539</v>
          </cell>
          <cell r="AE134">
            <v>794.38082814196252</v>
          </cell>
          <cell r="AF134">
            <v>0</v>
          </cell>
          <cell r="AH134">
            <v>1064.3809532517753</v>
          </cell>
          <cell r="AI134">
            <v>0</v>
          </cell>
          <cell r="AK134">
            <v>866.3304660217907</v>
          </cell>
          <cell r="AL134">
            <v>0</v>
          </cell>
          <cell r="AN134">
            <v>0</v>
          </cell>
          <cell r="AO134">
            <v>0</v>
          </cell>
          <cell r="AQ134">
            <v>66.163852782859806</v>
          </cell>
          <cell r="AR134">
            <v>0</v>
          </cell>
          <cell r="AT134">
            <v>412.24673964614209</v>
          </cell>
          <cell r="AU134">
            <v>0</v>
          </cell>
          <cell r="AW134">
            <v>66.035678486535474</v>
          </cell>
          <cell r="AX134">
            <v>0</v>
          </cell>
        </row>
        <row r="135"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446.593509015179</v>
          </cell>
          <cell r="AF135">
            <v>0</v>
          </cell>
          <cell r="AH135">
            <v>573.7647723232003</v>
          </cell>
          <cell r="AI135">
            <v>0</v>
          </cell>
          <cell r="AK135">
            <v>282.45096366237311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262.92555052016638</v>
          </cell>
          <cell r="AU135">
            <v>69.538740391940053</v>
          </cell>
          <cell r="AW135">
            <v>31.214014296485885</v>
          </cell>
          <cell r="AX135">
            <v>0</v>
          </cell>
        </row>
        <row r="136"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330.57488376610007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508.7139234965673</v>
          </cell>
          <cell r="AE136">
            <v>1223.8873502623705</v>
          </cell>
          <cell r="AF136">
            <v>948.1245720560587</v>
          </cell>
          <cell r="AH136">
            <v>1846.4744983982625</v>
          </cell>
          <cell r="AI136">
            <v>0</v>
          </cell>
          <cell r="AK136">
            <v>1554.8811798469437</v>
          </cell>
          <cell r="AL136">
            <v>0</v>
          </cell>
          <cell r="AN136">
            <v>0</v>
          </cell>
          <cell r="AO136">
            <v>0</v>
          </cell>
          <cell r="AQ136">
            <v>110.27308797143304</v>
          </cell>
          <cell r="AR136">
            <v>0</v>
          </cell>
          <cell r="AT136">
            <v>766.47098910415832</v>
          </cell>
          <cell r="AU136">
            <v>0</v>
          </cell>
          <cell r="AW136">
            <v>66.035678486535474</v>
          </cell>
          <cell r="AX136">
            <v>0</v>
          </cell>
        </row>
        <row r="137"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3</v>
          </cell>
          <cell r="X137">
            <v>2068.9973677774842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417.74364821167865</v>
          </cell>
          <cell r="AE137">
            <v>878.1053202305992</v>
          </cell>
          <cell r="AF137">
            <v>489.07359764550097</v>
          </cell>
          <cell r="AH137">
            <v>1229.8767826642393</v>
          </cell>
          <cell r="AI137">
            <v>0</v>
          </cell>
          <cell r="AK137">
            <v>1192.2426036005097</v>
          </cell>
          <cell r="AL137">
            <v>0</v>
          </cell>
          <cell r="AN137">
            <v>0</v>
          </cell>
          <cell r="AO137">
            <v>0</v>
          </cell>
          <cell r="AQ137">
            <v>82.704815978574771</v>
          </cell>
          <cell r="AR137">
            <v>0</v>
          </cell>
          <cell r="AT137">
            <v>467.0345576696767</v>
          </cell>
          <cell r="AU137">
            <v>0</v>
          </cell>
          <cell r="AW137">
            <v>66.035678486535474</v>
          </cell>
          <cell r="AX137">
            <v>0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1</v>
          </cell>
          <cell r="S138">
            <v>3991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754.00971516886102</v>
          </cell>
          <cell r="Z138">
            <v>0</v>
          </cell>
          <cell r="AA138">
            <v>0</v>
          </cell>
          <cell r="AB138">
            <v>8503.974369666892</v>
          </cell>
          <cell r="AC138">
            <v>0</v>
          </cell>
          <cell r="AD138">
            <v>71</v>
          </cell>
          <cell r="AE138">
            <v>707.39466350793111</v>
          </cell>
          <cell r="AF138">
            <v>0</v>
          </cell>
          <cell r="AH138">
            <v>813.94959887043183</v>
          </cell>
          <cell r="AI138">
            <v>0</v>
          </cell>
          <cell r="AK138">
            <v>964.56113929154128</v>
          </cell>
          <cell r="AL138">
            <v>0</v>
          </cell>
          <cell r="AN138">
            <v>305.11279887486251</v>
          </cell>
          <cell r="AO138">
            <v>0</v>
          </cell>
          <cell r="AQ138">
            <v>185.83106976572736</v>
          </cell>
          <cell r="AR138">
            <v>0</v>
          </cell>
          <cell r="AT138">
            <v>541.53890162225696</v>
          </cell>
          <cell r="AU138">
            <v>0</v>
          </cell>
          <cell r="AW138">
            <v>6.0545776474590696</v>
          </cell>
          <cell r="AX138">
            <v>0</v>
          </cell>
        </row>
        <row r="139">
          <cell r="I139">
            <v>8.48</v>
          </cell>
          <cell r="J139">
            <v>2939.5444524387003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18459.961579053943</v>
          </cell>
          <cell r="Z139">
            <v>0</v>
          </cell>
          <cell r="AA139">
            <v>0</v>
          </cell>
          <cell r="AB139">
            <v>0</v>
          </cell>
          <cell r="AC139">
            <v>2284.8379327418475</v>
          </cell>
          <cell r="AD139">
            <v>1069.9347058093294</v>
          </cell>
          <cell r="AE139">
            <v>1524.9554747960781</v>
          </cell>
          <cell r="AF139">
            <v>1700.1578603041735</v>
          </cell>
          <cell r="AH139">
            <v>1540.1636498747498</v>
          </cell>
          <cell r="AI139">
            <v>0</v>
          </cell>
          <cell r="AK139">
            <v>1528.2944359016278</v>
          </cell>
          <cell r="AL139">
            <v>0</v>
          </cell>
          <cell r="AN139">
            <v>550.0348596459595</v>
          </cell>
          <cell r="AO139">
            <v>0</v>
          </cell>
          <cell r="AQ139">
            <v>348.0099342063512</v>
          </cell>
          <cell r="AR139">
            <v>0</v>
          </cell>
          <cell r="AT139">
            <v>1132.6422012511023</v>
          </cell>
          <cell r="AU139">
            <v>0</v>
          </cell>
          <cell r="AW139">
            <v>53.487331030661736</v>
          </cell>
          <cell r="AX139">
            <v>5492.6297331160004</v>
          </cell>
        </row>
        <row r="140">
          <cell r="I140">
            <v>29.5</v>
          </cell>
          <cell r="J140">
            <v>7236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319.27145664604552</v>
          </cell>
          <cell r="AF141">
            <v>0</v>
          </cell>
          <cell r="AH141">
            <v>434.26975757524593</v>
          </cell>
          <cell r="AI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115.07714379339315</v>
          </cell>
          <cell r="AU141">
            <v>0</v>
          </cell>
          <cell r="AW141">
            <v>25.096694911747448</v>
          </cell>
          <cell r="AX141">
            <v>1147.6023835599999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W142">
            <v>0</v>
          </cell>
          <cell r="AX142">
            <v>498.81265267999999</v>
          </cell>
        </row>
        <row r="143">
          <cell r="I143">
            <v>17.079999999999998</v>
          </cell>
          <cell r="J143">
            <v>8085.071866928437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T144">
            <v>0</v>
          </cell>
          <cell r="AU144">
            <v>0</v>
          </cell>
          <cell r="AW144">
            <v>0</v>
          </cell>
          <cell r="AX144">
            <v>1901.9714648300001</v>
          </cell>
        </row>
        <row r="145"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T145">
            <v>0</v>
          </cell>
          <cell r="AU145">
            <v>0</v>
          </cell>
          <cell r="AW145">
            <v>0</v>
          </cell>
          <cell r="AX145">
            <v>0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T146">
            <v>0</v>
          </cell>
          <cell r="AU146">
            <v>0</v>
          </cell>
          <cell r="AW146">
            <v>0</v>
          </cell>
          <cell r="AX146">
            <v>0</v>
          </cell>
        </row>
        <row r="147">
          <cell r="I147">
            <v>0</v>
          </cell>
          <cell r="J147">
            <v>0</v>
          </cell>
          <cell r="L147">
            <v>4</v>
          </cell>
          <cell r="M147">
            <v>18785.335522684014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198.32894629580744</v>
          </cell>
          <cell r="Y147">
            <v>39429.862958970363</v>
          </cell>
          <cell r="Z147">
            <v>0</v>
          </cell>
          <cell r="AA147">
            <v>0</v>
          </cell>
          <cell r="AB147">
            <v>0</v>
          </cell>
          <cell r="AC147">
            <v>1036.0040656341851</v>
          </cell>
          <cell r="AD147">
            <v>0</v>
          </cell>
          <cell r="AE147">
            <v>1538.9524931662643</v>
          </cell>
          <cell r="AF147">
            <v>0</v>
          </cell>
          <cell r="AH147">
            <v>2407.2200322090407</v>
          </cell>
          <cell r="AI147">
            <v>4033.9967426271583</v>
          </cell>
          <cell r="AK147">
            <v>1507.4518484832158</v>
          </cell>
          <cell r="AL147">
            <v>0</v>
          </cell>
          <cell r="AN147">
            <v>0</v>
          </cell>
          <cell r="AO147">
            <v>0</v>
          </cell>
          <cell r="AQ147">
            <v>99.245779174289751</v>
          </cell>
          <cell r="AR147">
            <v>0</v>
          </cell>
          <cell r="AT147">
            <v>1574.6572977282613</v>
          </cell>
          <cell r="AU147">
            <v>0</v>
          </cell>
          <cell r="AW147">
            <v>100.38677964698979</v>
          </cell>
          <cell r="AX147">
            <v>5016.3353894336842</v>
          </cell>
        </row>
        <row r="148"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2</v>
          </cell>
          <cell r="S148">
            <v>13624.070558308333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5964.5258388105631</v>
          </cell>
          <cell r="Z148">
            <v>0</v>
          </cell>
          <cell r="AA148">
            <v>0</v>
          </cell>
          <cell r="AB148">
            <v>0</v>
          </cell>
          <cell r="AC148">
            <v>7265</v>
          </cell>
          <cell r="AD148">
            <v>1235.5523669712054</v>
          </cell>
          <cell r="AE148">
            <v>2110.3532077341779</v>
          </cell>
          <cell r="AF148">
            <v>275.42523712368603</v>
          </cell>
          <cell r="AH148">
            <v>2318.9067969850694</v>
          </cell>
          <cell r="AI148">
            <v>2738.1815747602373</v>
          </cell>
          <cell r="AK148">
            <v>2290.5177894052526</v>
          </cell>
          <cell r="AL148">
            <v>0</v>
          </cell>
          <cell r="AN148">
            <v>866.94875169910006</v>
          </cell>
          <cell r="AO148">
            <v>0</v>
          </cell>
          <cell r="AQ148">
            <v>536.45549831535459</v>
          </cell>
          <cell r="AR148">
            <v>0</v>
          </cell>
          <cell r="AT148">
            <v>1902.3169042271888</v>
          </cell>
          <cell r="AU148">
            <v>1115.8219443980984</v>
          </cell>
          <cell r="AW148">
            <v>417.61668522145459</v>
          </cell>
          <cell r="AX148">
            <v>7020.8606057243496</v>
          </cell>
        </row>
        <row r="149">
          <cell r="I149">
            <v>432.4</v>
          </cell>
          <cell r="J149">
            <v>135555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2177.2480926577109</v>
          </cell>
          <cell r="Z149">
            <v>0</v>
          </cell>
          <cell r="AA149">
            <v>0</v>
          </cell>
          <cell r="AB149">
            <v>1059.9452125690291</v>
          </cell>
          <cell r="AC149">
            <v>164.36271239497705</v>
          </cell>
          <cell r="AD149">
            <v>5062.2555016383003</v>
          </cell>
          <cell r="AE149">
            <v>2417.3342096926654</v>
          </cell>
          <cell r="AF149">
            <v>662.93141411936881</v>
          </cell>
          <cell r="AH149">
            <v>2724.9816544138148</v>
          </cell>
          <cell r="AI149">
            <v>0</v>
          </cell>
          <cell r="AK149">
            <v>3583.7712850974754</v>
          </cell>
          <cell r="AL149">
            <v>0</v>
          </cell>
          <cell r="AN149">
            <v>1131.4696646195605</v>
          </cell>
          <cell r="AO149">
            <v>0</v>
          </cell>
          <cell r="AQ149">
            <v>536.45549831535459</v>
          </cell>
          <cell r="AR149">
            <v>0</v>
          </cell>
          <cell r="AT149">
            <v>1972.7106364332542</v>
          </cell>
          <cell r="AU149">
            <v>904.12540647134904</v>
          </cell>
          <cell r="AW149">
            <v>425.71779018198691</v>
          </cell>
          <cell r="AX149">
            <v>14635.695957452564</v>
          </cell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1127.6054398000001</v>
          </cell>
        </row>
        <row r="151"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T151">
            <v>0</v>
          </cell>
          <cell r="AU151">
            <v>0</v>
          </cell>
          <cell r="AW151">
            <v>0</v>
          </cell>
          <cell r="AX151">
            <v>1075.3911977600001</v>
          </cell>
        </row>
        <row r="152"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1678.6323345200001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3</v>
          </cell>
          <cell r="X153">
            <v>258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1693.5275975080433</v>
          </cell>
          <cell r="AE153">
            <v>1517.8258549435486</v>
          </cell>
          <cell r="AF153">
            <v>0</v>
          </cell>
          <cell r="AH153">
            <v>1286.1286975976411</v>
          </cell>
          <cell r="AI153">
            <v>0</v>
          </cell>
          <cell r="AK153">
            <v>1087.0904900413716</v>
          </cell>
          <cell r="AL153">
            <v>761.87906883248809</v>
          </cell>
          <cell r="AN153">
            <v>594.32754772038152</v>
          </cell>
          <cell r="AO153">
            <v>0</v>
          </cell>
          <cell r="AQ153">
            <v>253.84722641902619</v>
          </cell>
          <cell r="AR153">
            <v>0</v>
          </cell>
          <cell r="AT153">
            <v>1091.1233551373807</v>
          </cell>
          <cell r="AU153">
            <v>4527.2344549699519</v>
          </cell>
          <cell r="AW153">
            <v>353.06048633313435</v>
          </cell>
          <cell r="AX153">
            <v>3844.8911001287815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1381.4326239544916</v>
          </cell>
          <cell r="AF154">
            <v>271.65398952433094</v>
          </cell>
          <cell r="AH154">
            <v>1097.4897669352588</v>
          </cell>
          <cell r="AI154">
            <v>0</v>
          </cell>
          <cell r="AK154">
            <v>1363.2046629443082</v>
          </cell>
          <cell r="AL154">
            <v>0</v>
          </cell>
          <cell r="AN154">
            <v>552.40012624410758</v>
          </cell>
          <cell r="AO154">
            <v>0</v>
          </cell>
          <cell r="AQ154">
            <v>299.9811217146551</v>
          </cell>
          <cell r="AR154">
            <v>0</v>
          </cell>
          <cell r="AT154">
            <v>1083.8311836320922</v>
          </cell>
          <cell r="AU154">
            <v>3134.0955390085919</v>
          </cell>
          <cell r="AW154">
            <v>358.8660967769423</v>
          </cell>
          <cell r="AX154">
            <v>0</v>
          </cell>
        </row>
        <row r="155"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2388.5238380000001</v>
          </cell>
        </row>
        <row r="156"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H156">
            <v>0</v>
          </cell>
          <cell r="AI156">
            <v>0</v>
          </cell>
          <cell r="AK156">
            <v>80.938624578943987</v>
          </cell>
          <cell r="AL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T156">
            <v>0</v>
          </cell>
          <cell r="AU156">
            <v>0</v>
          </cell>
          <cell r="AW156">
            <v>0</v>
          </cell>
          <cell r="AX156">
            <v>0</v>
          </cell>
        </row>
        <row r="157"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5015.0024014490145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747.48161876134952</v>
          </cell>
          <cell r="AF157">
            <v>0</v>
          </cell>
          <cell r="AH157">
            <v>945.49811651820914</v>
          </cell>
          <cell r="AI157">
            <v>0</v>
          </cell>
          <cell r="AK157">
            <v>934.15556471335367</v>
          </cell>
          <cell r="AL157">
            <v>0</v>
          </cell>
          <cell r="AN157">
            <v>0</v>
          </cell>
          <cell r="AO157">
            <v>0</v>
          </cell>
          <cell r="AQ157">
            <v>66.163852782859806</v>
          </cell>
          <cell r="AR157">
            <v>0</v>
          </cell>
          <cell r="AT157">
            <v>321.33354316793361</v>
          </cell>
          <cell r="AU157">
            <v>0</v>
          </cell>
          <cell r="AW157">
            <v>77.611529014578963</v>
          </cell>
          <cell r="AX157">
            <v>0</v>
          </cell>
        </row>
        <row r="158"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1</v>
          </cell>
          <cell r="S158">
            <v>2121</v>
          </cell>
          <cell r="U158">
            <v>0</v>
          </cell>
          <cell r="V158">
            <v>0</v>
          </cell>
          <cell r="W158">
            <v>0</v>
          </cell>
          <cell r="X158">
            <v>2219.9496841853393</v>
          </cell>
          <cell r="Y158">
            <v>1710.1832111045073</v>
          </cell>
          <cell r="Z158">
            <v>0</v>
          </cell>
          <cell r="AA158">
            <v>0</v>
          </cell>
          <cell r="AB158">
            <v>974.11284754905523</v>
          </cell>
          <cell r="AC158">
            <v>206.40534848596172</v>
          </cell>
          <cell r="AD158">
            <v>7243.5664747183255</v>
          </cell>
          <cell r="AE158">
            <v>1059.5823753623545</v>
          </cell>
          <cell r="AF158">
            <v>527.72371755561187</v>
          </cell>
          <cell r="AH158">
            <v>1161.0401707132196</v>
          </cell>
          <cell r="AI158">
            <v>0</v>
          </cell>
          <cell r="AK158">
            <v>1393.8320717359363</v>
          </cell>
          <cell r="AL158">
            <v>380.93953441624404</v>
          </cell>
          <cell r="AN158">
            <v>456.10914938705582</v>
          </cell>
          <cell r="AO158">
            <v>0</v>
          </cell>
          <cell r="AQ158">
            <v>393.95705419444823</v>
          </cell>
          <cell r="AR158">
            <v>0</v>
          </cell>
          <cell r="AT158">
            <v>1060.1859117916333</v>
          </cell>
          <cell r="AU158">
            <v>17348.346744930317</v>
          </cell>
          <cell r="AW158">
            <v>357.96779205915567</v>
          </cell>
          <cell r="AX158">
            <v>0</v>
          </cell>
        </row>
        <row r="159">
          <cell r="I159">
            <v>128</v>
          </cell>
          <cell r="J159">
            <v>99530.839845672555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746.74173363185287</v>
          </cell>
          <cell r="AF159">
            <v>825.81534884054884</v>
          </cell>
          <cell r="AH159">
            <v>945.49811651820914</v>
          </cell>
          <cell r="AI159">
            <v>0</v>
          </cell>
          <cell r="AK159">
            <v>907.72002383909899</v>
          </cell>
          <cell r="AL159">
            <v>0</v>
          </cell>
          <cell r="AN159">
            <v>0</v>
          </cell>
          <cell r="AO159">
            <v>0</v>
          </cell>
          <cell r="AQ159">
            <v>66.163852782859806</v>
          </cell>
          <cell r="AR159">
            <v>0</v>
          </cell>
          <cell r="AT159">
            <v>404.54979667251678</v>
          </cell>
          <cell r="AU159">
            <v>0</v>
          </cell>
          <cell r="AW159">
            <v>77.611529014578963</v>
          </cell>
          <cell r="AX159">
            <v>0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481.86737710232717</v>
          </cell>
          <cell r="AF160">
            <v>0</v>
          </cell>
          <cell r="AH160">
            <v>747.47838711429711</v>
          </cell>
          <cell r="AI160">
            <v>0</v>
          </cell>
          <cell r="AK160">
            <v>408.31425064875828</v>
          </cell>
          <cell r="AL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T160">
            <v>296.79503569801636</v>
          </cell>
          <cell r="AU160">
            <v>0</v>
          </cell>
          <cell r="AW160">
            <v>31.214014296485885</v>
          </cell>
          <cell r="AX160">
            <v>569.49203397799999</v>
          </cell>
        </row>
        <row r="161"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2324.3911964461658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300.58779923508365</v>
          </cell>
          <cell r="AF161">
            <v>0</v>
          </cell>
          <cell r="AH161">
            <v>339.25862486178289</v>
          </cell>
          <cell r="AI161">
            <v>0</v>
          </cell>
          <cell r="AK161">
            <v>241.87670133837716</v>
          </cell>
          <cell r="AL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T161">
            <v>75.646255577652099</v>
          </cell>
          <cell r="AU161">
            <v>0</v>
          </cell>
          <cell r="AW161">
            <v>38.805764507289481</v>
          </cell>
          <cell r="AX161">
            <v>2752.9112993839999</v>
          </cell>
        </row>
        <row r="162">
          <cell r="I162">
            <v>2</v>
          </cell>
          <cell r="J162">
            <v>224.33520584101547</v>
          </cell>
          <cell r="L162">
            <v>1</v>
          </cell>
          <cell r="M162">
            <v>12557.288813615627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6643.571156208508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750.98973712666441</v>
          </cell>
          <cell r="AE162">
            <v>1622.1611340219865</v>
          </cell>
          <cell r="AF162">
            <v>0</v>
          </cell>
          <cell r="AH162">
            <v>2559.5969182987928</v>
          </cell>
          <cell r="AI162">
            <v>0</v>
          </cell>
          <cell r="AK162">
            <v>2223.4777312372244</v>
          </cell>
          <cell r="AL162">
            <v>0</v>
          </cell>
          <cell r="AN162">
            <v>0</v>
          </cell>
          <cell r="AO162">
            <v>0</v>
          </cell>
          <cell r="AQ162">
            <v>141.5171295633391</v>
          </cell>
          <cell r="AR162">
            <v>416.32736112493444</v>
          </cell>
          <cell r="AT162">
            <v>1208.0828424132151</v>
          </cell>
          <cell r="AU162">
            <v>757.11718909218871</v>
          </cell>
          <cell r="AW162">
            <v>53.83241058569827</v>
          </cell>
          <cell r="AX162">
            <v>0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207.38084578316153</v>
          </cell>
          <cell r="AF163">
            <v>0</v>
          </cell>
          <cell r="AH163">
            <v>287.64302972740683</v>
          </cell>
          <cell r="AI163">
            <v>0</v>
          </cell>
          <cell r="AK163">
            <v>175.53092435581479</v>
          </cell>
          <cell r="AL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T163">
            <v>87.698203163681441</v>
          </cell>
          <cell r="AU163">
            <v>0</v>
          </cell>
          <cell r="AW163">
            <v>39.495923617362543</v>
          </cell>
          <cell r="AX163">
            <v>0</v>
          </cell>
        </row>
        <row r="164">
          <cell r="I164">
            <v>2.84</v>
          </cell>
          <cell r="J164">
            <v>769.17800335257834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280.64800918298931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179.52171955913613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11000.912732353414</v>
          </cell>
          <cell r="AE165">
            <v>968.05498597836367</v>
          </cell>
          <cell r="AF165">
            <v>0</v>
          </cell>
          <cell r="AH165">
            <v>1296.0850986411829</v>
          </cell>
          <cell r="AI165">
            <v>0</v>
          </cell>
          <cell r="AK165">
            <v>2180.9363439422118</v>
          </cell>
          <cell r="AL165">
            <v>0</v>
          </cell>
          <cell r="AN165">
            <v>1023.3100284575603</v>
          </cell>
          <cell r="AO165">
            <v>0</v>
          </cell>
          <cell r="AQ165">
            <v>110.27308797143304</v>
          </cell>
          <cell r="AR165">
            <v>892.23699869614256</v>
          </cell>
          <cell r="AT165">
            <v>823.76293125360962</v>
          </cell>
          <cell r="AU165">
            <v>938.16598089821059</v>
          </cell>
          <cell r="AW165">
            <v>74.286216938772441</v>
          </cell>
          <cell r="AX165">
            <v>0</v>
          </cell>
        </row>
        <row r="166">
          <cell r="I166">
            <v>4.2699999999999996</v>
          </cell>
          <cell r="J166">
            <v>1447.8888934971828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20</v>
          </cell>
          <cell r="X166">
            <v>17079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765</v>
          </cell>
          <cell r="AE166">
            <v>1188.4722146198442</v>
          </cell>
          <cell r="AF166">
            <v>0</v>
          </cell>
          <cell r="AH166">
            <v>1492.5043497149088</v>
          </cell>
          <cell r="AI166">
            <v>0</v>
          </cell>
          <cell r="AK166">
            <v>1170.1763708990302</v>
          </cell>
          <cell r="AL166">
            <v>0</v>
          </cell>
          <cell r="AN166">
            <v>0</v>
          </cell>
          <cell r="AO166">
            <v>0</v>
          </cell>
          <cell r="AQ166">
            <v>88.218470377146446</v>
          </cell>
          <cell r="AR166">
            <v>0</v>
          </cell>
          <cell r="AT166">
            <v>657.46015665080301</v>
          </cell>
          <cell r="AU166">
            <v>0</v>
          </cell>
          <cell r="AW166">
            <v>45.299534315704136</v>
          </cell>
          <cell r="AX166">
            <v>4080.4874683600001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168.63626976466372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2845.8443390503908</v>
          </cell>
          <cell r="AE167">
            <v>954.38652833768106</v>
          </cell>
          <cell r="AF167">
            <v>664.49651020956799</v>
          </cell>
          <cell r="AH167">
            <v>1418.327316847214</v>
          </cell>
          <cell r="AI167">
            <v>0</v>
          </cell>
          <cell r="AK167">
            <v>1813.0432572722798</v>
          </cell>
          <cell r="AL167">
            <v>0</v>
          </cell>
          <cell r="AN167">
            <v>931.89252569771372</v>
          </cell>
          <cell r="AO167">
            <v>0</v>
          </cell>
          <cell r="AQ167">
            <v>110.27308797143304</v>
          </cell>
          <cell r="AR167">
            <v>866.66979229146114</v>
          </cell>
          <cell r="AT167">
            <v>796.45313792433853</v>
          </cell>
          <cell r="AU167">
            <v>871.72892506646372</v>
          </cell>
          <cell r="AW167">
            <v>39.307698405524434</v>
          </cell>
          <cell r="AX167">
            <v>0</v>
          </cell>
        </row>
        <row r="168">
          <cell r="I168">
            <v>10.06</v>
          </cell>
          <cell r="J168">
            <v>8667.8205667409147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2</v>
          </cell>
          <cell r="S168">
            <v>6493</v>
          </cell>
          <cell r="U168">
            <v>0</v>
          </cell>
          <cell r="V168">
            <v>0</v>
          </cell>
          <cell r="W168">
            <v>7</v>
          </cell>
          <cell r="X168">
            <v>1509</v>
          </cell>
          <cell r="Y168">
            <v>6545.2351419554607</v>
          </cell>
          <cell r="Z168">
            <v>0</v>
          </cell>
          <cell r="AA168">
            <v>0</v>
          </cell>
          <cell r="AB168">
            <v>0</v>
          </cell>
          <cell r="AC168">
            <v>4208</v>
          </cell>
          <cell r="AD168">
            <v>1580.5761049640789</v>
          </cell>
          <cell r="AE168">
            <v>2200.3222467804871</v>
          </cell>
          <cell r="AF168">
            <v>1090.179175769382</v>
          </cell>
          <cell r="AH168">
            <v>1995.9177487099198</v>
          </cell>
          <cell r="AI168">
            <v>4124.2642766981162</v>
          </cell>
          <cell r="AK168">
            <v>2375.5541901380443</v>
          </cell>
          <cell r="AL168">
            <v>0</v>
          </cell>
          <cell r="AN168">
            <v>880.0309939587338</v>
          </cell>
          <cell r="AO168">
            <v>0</v>
          </cell>
          <cell r="AQ168">
            <v>534.61761351583073</v>
          </cell>
          <cell r="AR168">
            <v>0</v>
          </cell>
          <cell r="AT168">
            <v>2204.0274328318601</v>
          </cell>
          <cell r="AU168">
            <v>15011.5875810257</v>
          </cell>
          <cell r="AW168">
            <v>573.84652178808608</v>
          </cell>
          <cell r="AX168">
            <v>8131.2028635160004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4</v>
          </cell>
          <cell r="S170">
            <v>16624.028891352711</v>
          </cell>
          <cell r="U170">
            <v>0</v>
          </cell>
          <cell r="V170">
            <v>0</v>
          </cell>
          <cell r="W170">
            <v>5</v>
          </cell>
          <cell r="X170">
            <v>648.18715346270449</v>
          </cell>
          <cell r="Y170">
            <v>0</v>
          </cell>
          <cell r="Z170">
            <v>0</v>
          </cell>
          <cell r="AA170">
            <v>0</v>
          </cell>
          <cell r="AB170">
            <v>150.44556759024371</v>
          </cell>
          <cell r="AC170">
            <v>869.44986085658309</v>
          </cell>
          <cell r="AD170">
            <v>6418.3998160728997</v>
          </cell>
          <cell r="AE170">
            <v>1492.2439937230249</v>
          </cell>
          <cell r="AF170">
            <v>2840.9282934168987</v>
          </cell>
          <cell r="AH170">
            <v>2244.7889330680978</v>
          </cell>
          <cell r="AI170">
            <v>2424.3372782689366</v>
          </cell>
          <cell r="AK170">
            <v>1456.1637947109521</v>
          </cell>
          <cell r="AL170">
            <v>3666.664463790195</v>
          </cell>
          <cell r="AN170">
            <v>635.19408975892168</v>
          </cell>
          <cell r="AO170">
            <v>0</v>
          </cell>
          <cell r="AQ170">
            <v>687.67624619912863</v>
          </cell>
          <cell r="AR170">
            <v>0</v>
          </cell>
          <cell r="AT170">
            <v>2984.7979593492951</v>
          </cell>
          <cell r="AU170">
            <v>2970.8002827908203</v>
          </cell>
          <cell r="AW170">
            <v>898.22848161996308</v>
          </cell>
          <cell r="AX170">
            <v>14745.226177052</v>
          </cell>
        </row>
        <row r="171">
          <cell r="I171">
            <v>34.72</v>
          </cell>
          <cell r="J171">
            <v>13151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1014.0571947185192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1492.6074721124226</v>
          </cell>
          <cell r="AF171">
            <v>0</v>
          </cell>
          <cell r="AH171">
            <v>2091.3104536981746</v>
          </cell>
          <cell r="AI171">
            <v>0</v>
          </cell>
          <cell r="AK171">
            <v>1452.630906398831</v>
          </cell>
          <cell r="AL171">
            <v>0</v>
          </cell>
          <cell r="AN171">
            <v>625.1676191114484</v>
          </cell>
          <cell r="AO171">
            <v>0</v>
          </cell>
          <cell r="AQ171">
            <v>562.9770795469226</v>
          </cell>
          <cell r="AR171">
            <v>0</v>
          </cell>
          <cell r="AT171">
            <v>1156.3834736301721</v>
          </cell>
          <cell r="AU171">
            <v>1370.2127185972456</v>
          </cell>
          <cell r="AW171">
            <v>1128.5725159013873</v>
          </cell>
          <cell r="AX171">
            <v>0</v>
          </cell>
        </row>
        <row r="172"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676.04908807993922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2439.7840369868491</v>
          </cell>
          <cell r="AE172">
            <v>882.75837029939908</v>
          </cell>
          <cell r="AF172">
            <v>1375.3748763290137</v>
          </cell>
          <cell r="AH172">
            <v>1200.1675872374349</v>
          </cell>
          <cell r="AI172">
            <v>4362.1880739788567</v>
          </cell>
          <cell r="AK172">
            <v>982.72400724620843</v>
          </cell>
          <cell r="AL172">
            <v>1912.9040107978021</v>
          </cell>
          <cell r="AN172">
            <v>431.35301136919804</v>
          </cell>
          <cell r="AO172">
            <v>0</v>
          </cell>
          <cell r="AQ172">
            <v>312.31334804807921</v>
          </cell>
          <cell r="AR172">
            <v>0</v>
          </cell>
          <cell r="AT172">
            <v>1064.5025546742747</v>
          </cell>
          <cell r="AU172">
            <v>12264.231218757792</v>
          </cell>
          <cell r="AW172">
            <v>310.65804853334714</v>
          </cell>
          <cell r="AX172">
            <v>5314.2915215032926</v>
          </cell>
        </row>
        <row r="173"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14</v>
          </cell>
          <cell r="P173">
            <v>4537</v>
          </cell>
          <cell r="R173">
            <v>1</v>
          </cell>
          <cell r="S173">
            <v>1360.2954424036004</v>
          </cell>
          <cell r="U173">
            <v>0</v>
          </cell>
          <cell r="V173">
            <v>0</v>
          </cell>
          <cell r="W173">
            <v>2</v>
          </cell>
          <cell r="X173">
            <v>1560.3685251402053</v>
          </cell>
          <cell r="Y173">
            <v>676.04908807993922</v>
          </cell>
          <cell r="Z173">
            <v>0</v>
          </cell>
          <cell r="AA173">
            <v>0</v>
          </cell>
          <cell r="AB173">
            <v>0</v>
          </cell>
          <cell r="AC173">
            <v>2861.8794702557761</v>
          </cell>
          <cell r="AD173">
            <v>287.97019640967835</v>
          </cell>
          <cell r="AE173">
            <v>705.4003888287898</v>
          </cell>
          <cell r="AF173">
            <v>674.69890186767543</v>
          </cell>
          <cell r="AH173">
            <v>1169.991206003097</v>
          </cell>
          <cell r="AI173">
            <v>7834.5380818058784</v>
          </cell>
          <cell r="AK173">
            <v>1614.03954963607</v>
          </cell>
          <cell r="AL173">
            <v>4429.3308390270458</v>
          </cell>
          <cell r="AN173">
            <v>504.0541929045491</v>
          </cell>
          <cell r="AO173">
            <v>0</v>
          </cell>
          <cell r="AQ173">
            <v>312.31334804807921</v>
          </cell>
          <cell r="AR173">
            <v>0</v>
          </cell>
          <cell r="AT173">
            <v>780.80865773614562</v>
          </cell>
          <cell r="AU173">
            <v>11312.35572685156</v>
          </cell>
          <cell r="AW173">
            <v>302.55694357281476</v>
          </cell>
          <cell r="AX173">
            <v>5616.3463846574905</v>
          </cell>
        </row>
        <row r="174"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23628.176223697756</v>
          </cell>
          <cell r="AE174">
            <v>1339.8886316123539</v>
          </cell>
          <cell r="AF174">
            <v>0</v>
          </cell>
          <cell r="AH174">
            <v>1479.0904941069873</v>
          </cell>
          <cell r="AI174">
            <v>5761.4106714731179</v>
          </cell>
          <cell r="AK174">
            <v>1517.6503158206449</v>
          </cell>
          <cell r="AL174">
            <v>0</v>
          </cell>
          <cell r="AN174">
            <v>647.21535558638925</v>
          </cell>
          <cell r="AO174">
            <v>0</v>
          </cell>
          <cell r="AQ174">
            <v>330.55002861087428</v>
          </cell>
          <cell r="AR174">
            <v>0</v>
          </cell>
          <cell r="AT174">
            <v>1267.8073444810107</v>
          </cell>
          <cell r="AU174">
            <v>1888.2058801100907</v>
          </cell>
          <cell r="AW174">
            <v>305.7278749225876</v>
          </cell>
          <cell r="AX174">
            <v>1066.42330687</v>
          </cell>
        </row>
        <row r="175">
          <cell r="I175">
            <v>45.8</v>
          </cell>
          <cell r="J175">
            <v>15709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2315.3915304410043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2278.1182769698808</v>
          </cell>
          <cell r="AE175">
            <v>1656.1802675763113</v>
          </cell>
          <cell r="AF175">
            <v>768.21609510368512</v>
          </cell>
          <cell r="AH175">
            <v>1568.1721022827064</v>
          </cell>
          <cell r="AI175">
            <v>3158.578420957178</v>
          </cell>
          <cell r="AK175">
            <v>1734.6155507411372</v>
          </cell>
          <cell r="AL175">
            <v>0</v>
          </cell>
          <cell r="AN175">
            <v>692.35993198234235</v>
          </cell>
          <cell r="AO175">
            <v>0</v>
          </cell>
          <cell r="AQ175">
            <v>360.7327949470087</v>
          </cell>
          <cell r="AR175">
            <v>7580.9592137266955</v>
          </cell>
          <cell r="AT175">
            <v>1362.2155476337248</v>
          </cell>
          <cell r="AU175">
            <v>3955.3846030101522</v>
          </cell>
          <cell r="AW175">
            <v>392.17795978135399</v>
          </cell>
          <cell r="AX175">
            <v>4743.9346073650004</v>
          </cell>
        </row>
        <row r="176">
          <cell r="I176">
            <v>61.87</v>
          </cell>
          <cell r="J176">
            <v>20072.015332591964</v>
          </cell>
          <cell r="L176">
            <v>0</v>
          </cell>
          <cell r="M176">
            <v>0</v>
          </cell>
          <cell r="O176">
            <v>155.5</v>
          </cell>
          <cell r="P176">
            <v>64686</v>
          </cell>
          <cell r="R176">
            <v>4</v>
          </cell>
          <cell r="S176">
            <v>24742.676738460937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821.25626898158021</v>
          </cell>
          <cell r="Z176">
            <v>0</v>
          </cell>
          <cell r="AA176">
            <v>0</v>
          </cell>
          <cell r="AB176">
            <v>0</v>
          </cell>
          <cell r="AC176">
            <v>1050.3658416965923</v>
          </cell>
          <cell r="AD176">
            <v>10367.126954448602</v>
          </cell>
          <cell r="AE176">
            <v>493.84440587256319</v>
          </cell>
          <cell r="AF176">
            <v>273.9376929885193</v>
          </cell>
          <cell r="AH176">
            <v>853.47812126410679</v>
          </cell>
          <cell r="AI176">
            <v>5771.8893240119796</v>
          </cell>
          <cell r="AK176">
            <v>448.05095754009966</v>
          </cell>
          <cell r="AL176">
            <v>1523.7581376649762</v>
          </cell>
          <cell r="AN176">
            <v>397.37767682399232</v>
          </cell>
          <cell r="AO176">
            <v>0</v>
          </cell>
          <cell r="AQ176">
            <v>554.53452462036603</v>
          </cell>
          <cell r="AR176">
            <v>0</v>
          </cell>
          <cell r="AT176">
            <v>716.22417705111548</v>
          </cell>
          <cell r="AU176">
            <v>3525.0968402714652</v>
          </cell>
          <cell r="AW176">
            <v>903.99966546532426</v>
          </cell>
          <cell r="AX176">
            <v>0</v>
          </cell>
        </row>
        <row r="177">
          <cell r="I177">
            <v>132.60399999999998</v>
          </cell>
          <cell r="J177">
            <v>50216.114047688512</v>
          </cell>
          <cell r="L177">
            <v>0</v>
          </cell>
          <cell r="M177">
            <v>0</v>
          </cell>
          <cell r="O177">
            <v>191.5</v>
          </cell>
          <cell r="P177">
            <v>73863.012037863577</v>
          </cell>
          <cell r="R177">
            <v>9</v>
          </cell>
          <cell r="S177">
            <v>206846.64033579128</v>
          </cell>
          <cell r="U177">
            <v>0</v>
          </cell>
          <cell r="V177">
            <v>0</v>
          </cell>
          <cell r="W177">
            <v>4</v>
          </cell>
          <cell r="X177">
            <v>351</v>
          </cell>
          <cell r="Y177">
            <v>2986.5377243029961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8877.031465322294</v>
          </cell>
          <cell r="AE177">
            <v>1782.9162542588647</v>
          </cell>
          <cell r="AF177">
            <v>1359.92186800677</v>
          </cell>
          <cell r="AH177">
            <v>1583.0877853721631</v>
          </cell>
          <cell r="AI177">
            <v>10226.273796586343</v>
          </cell>
          <cell r="AK177">
            <v>2255.3316550773861</v>
          </cell>
          <cell r="AL177">
            <v>0</v>
          </cell>
          <cell r="AN177">
            <v>999.53896361972988</v>
          </cell>
          <cell r="AO177">
            <v>0</v>
          </cell>
          <cell r="AQ177">
            <v>1145.5971672763808</v>
          </cell>
          <cell r="AR177">
            <v>1959.0823694717819</v>
          </cell>
          <cell r="AT177">
            <v>2661.2125279829143</v>
          </cell>
          <cell r="AU177">
            <v>9346.7649209601404</v>
          </cell>
          <cell r="AW177">
            <v>664.91693960358907</v>
          </cell>
          <cell r="AX177">
            <v>438.67713853039999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I179">
            <v>47.51</v>
          </cell>
          <cell r="J179">
            <v>20108.146236679895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15606.925818872727</v>
          </cell>
          <cell r="AD179">
            <v>6189.5508739622728</v>
          </cell>
          <cell r="AE179">
            <v>1532.061931244298</v>
          </cell>
          <cell r="AF179">
            <v>1144.6618646653308</v>
          </cell>
          <cell r="AH179">
            <v>1972.7381692370648</v>
          </cell>
          <cell r="AI179">
            <v>2936.8243423494673</v>
          </cell>
          <cell r="AK179">
            <v>2320.0841344203814</v>
          </cell>
          <cell r="AL179">
            <v>0</v>
          </cell>
          <cell r="AN179">
            <v>896.65753708447789</v>
          </cell>
          <cell r="AO179">
            <v>0</v>
          </cell>
          <cell r="AQ179">
            <v>1349.31629959364</v>
          </cell>
          <cell r="AR179">
            <v>0</v>
          </cell>
          <cell r="AT179">
            <v>1877.2968364279416</v>
          </cell>
          <cell r="AU179">
            <v>3728.8804938397434</v>
          </cell>
          <cell r="AW179">
            <v>716.35963092903216</v>
          </cell>
          <cell r="AX179">
            <v>13495.202156525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2</v>
          </cell>
          <cell r="S180">
            <v>4509</v>
          </cell>
          <cell r="U180">
            <v>0</v>
          </cell>
          <cell r="V180">
            <v>0</v>
          </cell>
          <cell r="W180">
            <v>0</v>
          </cell>
          <cell r="X180">
            <v>10.539766860291483</v>
          </cell>
          <cell r="Y180">
            <v>7152.6925247545641</v>
          </cell>
          <cell r="Z180">
            <v>0</v>
          </cell>
          <cell r="AA180">
            <v>0</v>
          </cell>
          <cell r="AB180">
            <v>0</v>
          </cell>
          <cell r="AC180">
            <v>547.26493048783993</v>
          </cell>
          <cell r="AD180">
            <v>1857.6039551688352</v>
          </cell>
          <cell r="AE180">
            <v>455.21786774502823</v>
          </cell>
          <cell r="AF180">
            <v>963.17910696155377</v>
          </cell>
          <cell r="AH180">
            <v>648.67546044182961</v>
          </cell>
          <cell r="AI180">
            <v>2429.0748794864367</v>
          </cell>
          <cell r="AK180">
            <v>396.038983043825</v>
          </cell>
          <cell r="AL180">
            <v>0</v>
          </cell>
          <cell r="AN180">
            <v>332.59300630436508</v>
          </cell>
          <cell r="AO180">
            <v>0</v>
          </cell>
          <cell r="AQ180">
            <v>312.26359948608012</v>
          </cell>
          <cell r="AR180">
            <v>0</v>
          </cell>
          <cell r="AT180">
            <v>471.33325275345214</v>
          </cell>
          <cell r="AU180">
            <v>1280.8526342823393</v>
          </cell>
          <cell r="AW180">
            <v>884.089204388403</v>
          </cell>
          <cell r="AX180">
            <v>15474.132004325</v>
          </cell>
        </row>
        <row r="181"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T181">
            <v>0</v>
          </cell>
          <cell r="AU181">
            <v>0</v>
          </cell>
          <cell r="AW181">
            <v>0</v>
          </cell>
          <cell r="AX181">
            <v>0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</row>
        <row r="183">
          <cell r="I183">
            <v>6</v>
          </cell>
          <cell r="J183">
            <v>560.4614629011819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5</v>
          </cell>
          <cell r="S183">
            <v>218906.68671915212</v>
          </cell>
          <cell r="U183">
            <v>487</v>
          </cell>
          <cell r="V183">
            <v>0</v>
          </cell>
          <cell r="W183">
            <v>9</v>
          </cell>
          <cell r="X183">
            <v>2407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201.56563642701104</v>
          </cell>
          <cell r="AD183">
            <v>5553.0784540827108</v>
          </cell>
          <cell r="AE183">
            <v>1144.4177787618974</v>
          </cell>
          <cell r="AF183">
            <v>1683.4927039917134</v>
          </cell>
          <cell r="AH183">
            <v>1083.5599100862275</v>
          </cell>
          <cell r="AI183">
            <v>0</v>
          </cell>
          <cell r="AK183">
            <v>1849.5123927579148</v>
          </cell>
          <cell r="AL183">
            <v>761.87906883248809</v>
          </cell>
          <cell r="AN183">
            <v>618.51959052269706</v>
          </cell>
          <cell r="AO183">
            <v>718.34862679647222</v>
          </cell>
          <cell r="AQ183">
            <v>768.39027457253803</v>
          </cell>
          <cell r="AR183">
            <v>0</v>
          </cell>
          <cell r="AT183">
            <v>1697.1265359929362</v>
          </cell>
          <cell r="AU183">
            <v>5915.8565211893892</v>
          </cell>
          <cell r="AW183">
            <v>884.089204388403</v>
          </cell>
          <cell r="AX183">
            <v>0</v>
          </cell>
        </row>
        <row r="184"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T185">
            <v>0</v>
          </cell>
          <cell r="AU185">
            <v>0</v>
          </cell>
          <cell r="AW185">
            <v>0</v>
          </cell>
          <cell r="AX185">
            <v>2075.2383857599998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18218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1.0019919531893755E-2</v>
          </cell>
          <cell r="AF186">
            <v>0</v>
          </cell>
          <cell r="AH186">
            <v>0</v>
          </cell>
          <cell r="AI186">
            <v>0</v>
          </cell>
          <cell r="AK186">
            <v>0</v>
          </cell>
          <cell r="AL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4102.7062947599998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T187">
            <v>0</v>
          </cell>
          <cell r="AU187">
            <v>0</v>
          </cell>
          <cell r="AW187">
            <v>0</v>
          </cell>
          <cell r="AX187">
            <v>2268.5421754399999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0</v>
          </cell>
          <cell r="AU188">
            <v>0</v>
          </cell>
          <cell r="AW188">
            <v>0</v>
          </cell>
          <cell r="AX188">
            <v>1280.92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0</v>
          </cell>
          <cell r="AU189">
            <v>0</v>
          </cell>
          <cell r="AW189">
            <v>0</v>
          </cell>
          <cell r="AX189">
            <v>1766.4</v>
          </cell>
        </row>
        <row r="190"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3375.0397301600001</v>
          </cell>
        </row>
        <row r="191"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W191">
            <v>0</v>
          </cell>
          <cell r="AX191">
            <v>974.29553764000002</v>
          </cell>
        </row>
        <row r="192"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3138.6040631976621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1767.2290601683867</v>
          </cell>
          <cell r="AE192">
            <v>2590.7382588795613</v>
          </cell>
          <cell r="AF192">
            <v>0</v>
          </cell>
          <cell r="AH192">
            <v>3863.8985327360115</v>
          </cell>
          <cell r="AI192">
            <v>1605.9973575179408</v>
          </cell>
          <cell r="AK192">
            <v>3086.0858587364569</v>
          </cell>
          <cell r="AL192">
            <v>0</v>
          </cell>
          <cell r="AN192">
            <v>0</v>
          </cell>
          <cell r="AO192">
            <v>0</v>
          </cell>
          <cell r="AQ192">
            <v>165.40963195714954</v>
          </cell>
          <cell r="AR192">
            <v>1133.7402444184133</v>
          </cell>
          <cell r="AT192">
            <v>2230.692104336571</v>
          </cell>
          <cell r="AU192">
            <v>3181.945729323792</v>
          </cell>
          <cell r="AW192">
            <v>9.8504527528608712</v>
          </cell>
          <cell r="AX192">
            <v>0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2005.0141269599699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667.17411009158468</v>
          </cell>
          <cell r="AE193">
            <v>1032.1740336413181</v>
          </cell>
          <cell r="AF193">
            <v>0</v>
          </cell>
          <cell r="AH193">
            <v>1438.7786734501954</v>
          </cell>
          <cell r="AI193">
            <v>2290.419905761205</v>
          </cell>
          <cell r="AK193">
            <v>1004.4873326657298</v>
          </cell>
          <cell r="AL193">
            <v>0</v>
          </cell>
          <cell r="AN193">
            <v>504.66003450679705</v>
          </cell>
          <cell r="AO193">
            <v>0</v>
          </cell>
          <cell r="AQ193">
            <v>115.78674237000469</v>
          </cell>
          <cell r="AR193">
            <v>0</v>
          </cell>
          <cell r="AT193">
            <v>1129.5805188153067</v>
          </cell>
          <cell r="AU193">
            <v>5355.3623088538016</v>
          </cell>
          <cell r="AW193">
            <v>56.467563551431752</v>
          </cell>
          <cell r="AX193">
            <v>3196.4251024579148</v>
          </cell>
        </row>
        <row r="194">
          <cell r="I194">
            <v>3.6</v>
          </cell>
          <cell r="J194">
            <v>849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273.34806906147804</v>
          </cell>
          <cell r="AF194">
            <v>0</v>
          </cell>
          <cell r="AH194">
            <v>345.93710427936003</v>
          </cell>
          <cell r="AI194">
            <v>0</v>
          </cell>
          <cell r="AK194">
            <v>242.39236614770675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228.08097118895637</v>
          </cell>
          <cell r="AU194">
            <v>0</v>
          </cell>
          <cell r="AW194">
            <v>85.933590974316459</v>
          </cell>
          <cell r="AX194">
            <v>0</v>
          </cell>
        </row>
        <row r="195">
          <cell r="I195">
            <v>5</v>
          </cell>
          <cell r="J195">
            <v>1069.2161299893253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T196">
            <v>0</v>
          </cell>
          <cell r="AU196">
            <v>0</v>
          </cell>
          <cell r="AW196">
            <v>0</v>
          </cell>
          <cell r="AX196">
            <v>2151.8933368399998</v>
          </cell>
        </row>
        <row r="197"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  <cell r="AW197">
            <v>0</v>
          </cell>
          <cell r="AX197">
            <v>2517.3930311200002</v>
          </cell>
        </row>
        <row r="198"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974.29553764000002</v>
          </cell>
        </row>
        <row r="199">
          <cell r="I199">
            <v>15.2</v>
          </cell>
          <cell r="J199">
            <v>3739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244.14200446215645</v>
          </cell>
          <cell r="AF199">
            <v>0</v>
          </cell>
          <cell r="AH199">
            <v>231.47752045768161</v>
          </cell>
          <cell r="AI199">
            <v>0</v>
          </cell>
          <cell r="AK199">
            <v>148.13995556895236</v>
          </cell>
          <cell r="AL199">
            <v>0</v>
          </cell>
          <cell r="AN199">
            <v>123.21292746333025</v>
          </cell>
          <cell r="AO199">
            <v>0</v>
          </cell>
          <cell r="AQ199">
            <v>0</v>
          </cell>
          <cell r="AR199">
            <v>0</v>
          </cell>
          <cell r="AT199">
            <v>102.50209081466282</v>
          </cell>
          <cell r="AU199">
            <v>0</v>
          </cell>
          <cell r="AW199">
            <v>15.685434319842152</v>
          </cell>
          <cell r="AX199">
            <v>1781.94987728</v>
          </cell>
        </row>
        <row r="200"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1161.0727521402382</v>
          </cell>
          <cell r="Y200">
            <v>0</v>
          </cell>
          <cell r="Z200">
            <v>0</v>
          </cell>
          <cell r="AA200">
            <v>0</v>
          </cell>
          <cell r="AB200">
            <v>5086.3934231262538</v>
          </cell>
          <cell r="AC200">
            <v>1602.4289093822092</v>
          </cell>
          <cell r="AD200">
            <v>4255.9865697982768</v>
          </cell>
          <cell r="AE200">
            <v>2263.7770214237835</v>
          </cell>
          <cell r="AF200">
            <v>341.33937713576938</v>
          </cell>
          <cell r="AH200">
            <v>3908.2684937500794</v>
          </cell>
          <cell r="AI200">
            <v>0</v>
          </cell>
          <cell r="AK200">
            <v>3295.1276064699478</v>
          </cell>
          <cell r="AL200">
            <v>654.85420560556304</v>
          </cell>
          <cell r="AN200">
            <v>0</v>
          </cell>
          <cell r="AO200">
            <v>0</v>
          </cell>
          <cell r="AQ200">
            <v>1020.5677178132844</v>
          </cell>
          <cell r="AR200">
            <v>0</v>
          </cell>
          <cell r="AT200">
            <v>2065.4837943867851</v>
          </cell>
          <cell r="AU200">
            <v>0</v>
          </cell>
          <cell r="AW200">
            <v>50.444356772612366</v>
          </cell>
          <cell r="AX200">
            <v>0</v>
          </cell>
        </row>
        <row r="201">
          <cell r="I201">
            <v>26.79</v>
          </cell>
          <cell r="J201">
            <v>19298.853908490146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109.1375858759215</v>
          </cell>
          <cell r="Y201">
            <v>511.68828238720596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259.1031687787534</v>
          </cell>
          <cell r="AE201">
            <v>1935.0585637450356</v>
          </cell>
          <cell r="AF201">
            <v>0</v>
          </cell>
          <cell r="AH201">
            <v>2326.1254689270158</v>
          </cell>
          <cell r="AI201">
            <v>3174.5271559253533</v>
          </cell>
          <cell r="AK201">
            <v>2832.06896568925</v>
          </cell>
          <cell r="AL201">
            <v>0</v>
          </cell>
          <cell r="AN201">
            <v>846.94742792578825</v>
          </cell>
          <cell r="AO201">
            <v>0</v>
          </cell>
          <cell r="AQ201">
            <v>524.77156308524661</v>
          </cell>
          <cell r="AR201">
            <v>0</v>
          </cell>
          <cell r="AT201">
            <v>1713.6292976738337</v>
          </cell>
          <cell r="AU201">
            <v>0</v>
          </cell>
          <cell r="AW201">
            <v>100.38677964698979</v>
          </cell>
          <cell r="AX201">
            <v>0</v>
          </cell>
        </row>
        <row r="202"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13</v>
          </cell>
          <cell r="P202">
            <v>4551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1345.9785296596094</v>
          </cell>
          <cell r="Y202">
            <v>2344.3646265462744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338.93096249764824</v>
          </cell>
          <cell r="AE202">
            <v>1575.5002678807384</v>
          </cell>
          <cell r="AF202">
            <v>1020.3680806661047</v>
          </cell>
          <cell r="AH202">
            <v>3038.8281845670858</v>
          </cell>
          <cell r="AI202">
            <v>1085.3415150196006</v>
          </cell>
          <cell r="AK202">
            <v>1363.8730870122704</v>
          </cell>
          <cell r="AL202">
            <v>7001.9597529599305</v>
          </cell>
          <cell r="AN202">
            <v>1033.2837351036162</v>
          </cell>
          <cell r="AO202">
            <v>2356.1047509747959</v>
          </cell>
          <cell r="AQ202">
            <v>485.78591796691938</v>
          </cell>
          <cell r="AR202">
            <v>0</v>
          </cell>
          <cell r="AT202">
            <v>1180.4949955568429</v>
          </cell>
          <cell r="AU202">
            <v>0</v>
          </cell>
          <cell r="AW202">
            <v>69.015911007305476</v>
          </cell>
          <cell r="AX202">
            <v>1886.5523592784048</v>
          </cell>
        </row>
        <row r="203">
          <cell r="I203">
            <v>148.1</v>
          </cell>
          <cell r="J203">
            <v>92634.267869557458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396.65789259161488</v>
          </cell>
          <cell r="Y203">
            <v>0</v>
          </cell>
          <cell r="Z203">
            <v>0</v>
          </cell>
          <cell r="AA203">
            <v>0</v>
          </cell>
          <cell r="AB203">
            <v>10893.574088656685</v>
          </cell>
          <cell r="AC203">
            <v>618.79751579604317</v>
          </cell>
          <cell r="AD203">
            <v>990.76908521469818</v>
          </cell>
          <cell r="AE203">
            <v>1933.2885128390672</v>
          </cell>
          <cell r="AF203">
            <v>2191.1815567737581</v>
          </cell>
          <cell r="AH203">
            <v>2325.1816660039158</v>
          </cell>
          <cell r="AI203">
            <v>2744.8709337813661</v>
          </cell>
          <cell r="AK203">
            <v>2764.8062400421422</v>
          </cell>
          <cell r="AL203">
            <v>0</v>
          </cell>
          <cell r="AN203">
            <v>813.56353618537537</v>
          </cell>
          <cell r="AO203">
            <v>0</v>
          </cell>
          <cell r="AQ203">
            <v>524.77156308524661</v>
          </cell>
          <cell r="AR203">
            <v>0</v>
          </cell>
          <cell r="AT203">
            <v>1680.5496480236516</v>
          </cell>
          <cell r="AU203">
            <v>0</v>
          </cell>
          <cell r="AW203">
            <v>100.38677964698979</v>
          </cell>
          <cell r="AX203">
            <v>5100.3739899085631</v>
          </cell>
        </row>
        <row r="204">
          <cell r="I204">
            <v>103.87</v>
          </cell>
          <cell r="J204">
            <v>104357.33181373427</v>
          </cell>
          <cell r="L204">
            <v>0</v>
          </cell>
          <cell r="M204">
            <v>0</v>
          </cell>
          <cell r="O204">
            <v>25.2</v>
          </cell>
          <cell r="P204">
            <v>8359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2</v>
          </cell>
          <cell r="X204">
            <v>370.52181084284518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1788.4661345871277</v>
          </cell>
          <cell r="AD204">
            <v>4030.7968823292254</v>
          </cell>
          <cell r="AE204">
            <v>1673.9905027496475</v>
          </cell>
          <cell r="AF204">
            <v>1000.8970345232095</v>
          </cell>
          <cell r="AH204">
            <v>1903.4558127202984</v>
          </cell>
          <cell r="AI204">
            <v>1009.1087414576288</v>
          </cell>
          <cell r="AK204">
            <v>2388.5928974283311</v>
          </cell>
          <cell r="AL204">
            <v>2195.2597204529761</v>
          </cell>
          <cell r="AN204">
            <v>689.87333489158823</v>
          </cell>
          <cell r="AO204">
            <v>0</v>
          </cell>
          <cell r="AQ204">
            <v>444.62869526176968</v>
          </cell>
          <cell r="AR204">
            <v>4628.8112178599768</v>
          </cell>
          <cell r="AT204">
            <v>1509.2250631079028</v>
          </cell>
          <cell r="AU204">
            <v>1632.0079449031614</v>
          </cell>
          <cell r="AW204">
            <v>100.38677964698979</v>
          </cell>
          <cell r="AX204">
            <v>4282.2615761738634</v>
          </cell>
        </row>
        <row r="205"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1</v>
          </cell>
          <cell r="S205">
            <v>2226.6232764722035</v>
          </cell>
          <cell r="U205">
            <v>0</v>
          </cell>
          <cell r="V205">
            <v>0</v>
          </cell>
          <cell r="W205">
            <v>4</v>
          </cell>
          <cell r="X205">
            <v>579.66052481413033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1271.7440300810458</v>
          </cell>
          <cell r="AD205">
            <v>0</v>
          </cell>
          <cell r="AE205">
            <v>1174.8566364849808</v>
          </cell>
          <cell r="AF205">
            <v>0</v>
          </cell>
          <cell r="AH205">
            <v>1115.9804815642108</v>
          </cell>
          <cell r="AI205">
            <v>0</v>
          </cell>
          <cell r="AK205">
            <v>1837.4832855167408</v>
          </cell>
          <cell r="AL205">
            <v>1404.0256190504656</v>
          </cell>
          <cell r="AN205">
            <v>653.8818911056303</v>
          </cell>
          <cell r="AO205">
            <v>0</v>
          </cell>
          <cell r="AQ205">
            <v>353.52358860492279</v>
          </cell>
          <cell r="AR205">
            <v>0</v>
          </cell>
          <cell r="AT205">
            <v>1042.4736485020599</v>
          </cell>
          <cell r="AU205">
            <v>0</v>
          </cell>
          <cell r="AW205">
            <v>31.370868639684304</v>
          </cell>
          <cell r="AX205">
            <v>0</v>
          </cell>
        </row>
        <row r="206"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912.69028472757088</v>
          </cell>
          <cell r="AC206">
            <v>0</v>
          </cell>
          <cell r="AD206">
            <v>0</v>
          </cell>
          <cell r="AE206">
            <v>428.58896621096773</v>
          </cell>
          <cell r="AF206">
            <v>0</v>
          </cell>
          <cell r="AH206">
            <v>591.60844479717377</v>
          </cell>
          <cell r="AI206">
            <v>0</v>
          </cell>
          <cell r="AK206">
            <v>259.67821225665386</v>
          </cell>
          <cell r="AL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T206">
            <v>204.00275868236815</v>
          </cell>
          <cell r="AU206">
            <v>0</v>
          </cell>
          <cell r="AW206">
            <v>31.214014296485885</v>
          </cell>
          <cell r="AX206">
            <v>0</v>
          </cell>
        </row>
        <row r="207"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T207">
            <v>140.17258249840697</v>
          </cell>
          <cell r="AU207">
            <v>0</v>
          </cell>
          <cell r="AW207">
            <v>117.69850350229915</v>
          </cell>
          <cell r="AX207">
            <v>0</v>
          </cell>
        </row>
        <row r="208"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202.99212245504432</v>
          </cell>
          <cell r="AF208">
            <v>0</v>
          </cell>
          <cell r="AH208">
            <v>282.28983093840492</v>
          </cell>
          <cell r="AI208">
            <v>0</v>
          </cell>
          <cell r="AK208">
            <v>215.52101175926154</v>
          </cell>
          <cell r="AL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T208">
            <v>218.1120402037825</v>
          </cell>
          <cell r="AU208">
            <v>0</v>
          </cell>
          <cell r="AW208">
            <v>116.16069946062976</v>
          </cell>
          <cell r="AX208">
            <v>576.08846680399995</v>
          </cell>
        </row>
        <row r="209"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180.98932984823114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468.121925682599</v>
          </cell>
          <cell r="AF209">
            <v>0</v>
          </cell>
          <cell r="AH209">
            <v>591.60844479717377</v>
          </cell>
          <cell r="AI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202.73851624325101</v>
          </cell>
          <cell r="AU209">
            <v>0</v>
          </cell>
          <cell r="AW209">
            <v>31.214014296485885</v>
          </cell>
          <cell r="AX209">
            <v>0</v>
          </cell>
        </row>
        <row r="210"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281.19002122963627</v>
          </cell>
          <cell r="AF210">
            <v>0</v>
          </cell>
          <cell r="AH210">
            <v>390.93185060603179</v>
          </cell>
          <cell r="AI210">
            <v>0</v>
          </cell>
          <cell r="AK210">
            <v>230.51242629587193</v>
          </cell>
          <cell r="AL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T210">
            <v>102.87322138717113</v>
          </cell>
          <cell r="AU210">
            <v>846.369578480222</v>
          </cell>
          <cell r="AW210">
            <v>38.805764507289481</v>
          </cell>
          <cell r="AX210">
            <v>0</v>
          </cell>
        </row>
        <row r="211">
          <cell r="I211">
            <v>36.4</v>
          </cell>
          <cell r="J211">
            <v>15610</v>
          </cell>
          <cell r="L211">
            <v>1</v>
          </cell>
          <cell r="M211">
            <v>427.69294245699376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1725.673510880684</v>
          </cell>
          <cell r="AE211">
            <v>1182.6285041519982</v>
          </cell>
          <cell r="AF211">
            <v>1829.6437322267266</v>
          </cell>
          <cell r="AH211">
            <v>1696.8695957495979</v>
          </cell>
          <cell r="AI211">
            <v>0</v>
          </cell>
          <cell r="AK211">
            <v>1418.3446389960473</v>
          </cell>
          <cell r="AL211">
            <v>0</v>
          </cell>
          <cell r="AN211">
            <v>650.29020490931543</v>
          </cell>
          <cell r="AO211">
            <v>3723.2648498197973</v>
          </cell>
          <cell r="AQ211">
            <v>430.50329125804922</v>
          </cell>
          <cell r="AR211">
            <v>0</v>
          </cell>
          <cell r="AT211">
            <v>856.18024452562759</v>
          </cell>
          <cell r="AU211">
            <v>0</v>
          </cell>
          <cell r="AW211">
            <v>67.666963655799066</v>
          </cell>
          <cell r="AX211">
            <v>0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262.22253670330093</v>
          </cell>
          <cell r="AF212">
            <v>0</v>
          </cell>
          <cell r="AH212">
            <v>307.37491593592387</v>
          </cell>
          <cell r="AI212">
            <v>0</v>
          </cell>
          <cell r="AK212">
            <v>218.67255935242412</v>
          </cell>
          <cell r="AL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T212">
            <v>1.147020302873283</v>
          </cell>
          <cell r="AU212">
            <v>0</v>
          </cell>
          <cell r="AW212">
            <v>38.805764507289481</v>
          </cell>
          <cell r="AX212">
            <v>0</v>
          </cell>
        </row>
        <row r="213"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1362.481936061416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351.98096952438277</v>
          </cell>
          <cell r="AF213">
            <v>0</v>
          </cell>
          <cell r="AH213">
            <v>684.7711019412684</v>
          </cell>
          <cell r="AI213">
            <v>0</v>
          </cell>
          <cell r="AK213">
            <v>264.50131137572384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142.52455985306634</v>
          </cell>
          <cell r="AU213">
            <v>0</v>
          </cell>
          <cell r="AW213">
            <v>31.214014296485885</v>
          </cell>
          <cell r="AX213">
            <v>0</v>
          </cell>
        </row>
        <row r="214">
          <cell r="I214">
            <v>5.57</v>
          </cell>
          <cell r="J214">
            <v>2600.9401791730552</v>
          </cell>
          <cell r="L214">
            <v>2</v>
          </cell>
          <cell r="M214">
            <v>66395.163341202613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3</v>
          </cell>
          <cell r="X214">
            <v>261</v>
          </cell>
          <cell r="Y214">
            <v>0</v>
          </cell>
          <cell r="Z214">
            <v>0</v>
          </cell>
          <cell r="AA214">
            <v>0</v>
          </cell>
          <cell r="AB214">
            <v>2854.9498316558929</v>
          </cell>
          <cell r="AC214">
            <v>0</v>
          </cell>
          <cell r="AD214">
            <v>6699.4120681812365</v>
          </cell>
          <cell r="AE214">
            <v>2193.6222427832308</v>
          </cell>
          <cell r="AF214">
            <v>1788.0073460339131</v>
          </cell>
          <cell r="AH214">
            <v>3229.3878611449372</v>
          </cell>
          <cell r="AI214">
            <v>832.92320353512014</v>
          </cell>
          <cell r="AK214">
            <v>2988.7855472876909</v>
          </cell>
          <cell r="AL214">
            <v>0</v>
          </cell>
          <cell r="AN214">
            <v>1183.953784831423</v>
          </cell>
          <cell r="AO214">
            <v>9221.5149797636241</v>
          </cell>
          <cell r="AQ214">
            <v>708.11947131280408</v>
          </cell>
          <cell r="AR214">
            <v>0</v>
          </cell>
          <cell r="AT214">
            <v>1892.4225393378172</v>
          </cell>
          <cell r="AU214">
            <v>721.10176352025962</v>
          </cell>
          <cell r="AW214">
            <v>71.525580498480196</v>
          </cell>
          <cell r="AX214">
            <v>0</v>
          </cell>
        </row>
        <row r="215"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93.973235344287261</v>
          </cell>
          <cell r="AF215">
            <v>0</v>
          </cell>
          <cell r="AH215">
            <v>100.6974605590315</v>
          </cell>
          <cell r="AI215">
            <v>0</v>
          </cell>
          <cell r="AK215">
            <v>130.57305599791877</v>
          </cell>
          <cell r="AL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T215">
            <v>49.468905067871262</v>
          </cell>
          <cell r="AU215">
            <v>0</v>
          </cell>
          <cell r="AW215">
            <v>0</v>
          </cell>
          <cell r="AX215">
            <v>0</v>
          </cell>
        </row>
        <row r="216"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58</v>
          </cell>
          <cell r="AD216">
            <v>0</v>
          </cell>
          <cell r="AE216">
            <v>262.62955380040887</v>
          </cell>
          <cell r="AF216">
            <v>0</v>
          </cell>
          <cell r="AH216">
            <v>291.95626045907369</v>
          </cell>
          <cell r="AI216">
            <v>0</v>
          </cell>
          <cell r="AK216">
            <v>153.98796923711612</v>
          </cell>
          <cell r="AL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T216">
            <v>92.367037180253789</v>
          </cell>
          <cell r="AU216">
            <v>0</v>
          </cell>
          <cell r="AW216">
            <v>13.395360909145198</v>
          </cell>
          <cell r="AX216">
            <v>1197.2525579190001</v>
          </cell>
        </row>
        <row r="217"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R217">
            <v>1</v>
          </cell>
          <cell r="S217">
            <v>1386.690875142624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1177.9383828770735</v>
          </cell>
          <cell r="AC217">
            <v>0</v>
          </cell>
          <cell r="AD217">
            <v>0</v>
          </cell>
          <cell r="AE217">
            <v>582.91404976119065</v>
          </cell>
          <cell r="AF217">
            <v>291.77148727723926</v>
          </cell>
          <cell r="AH217">
            <v>1175.2267048345129</v>
          </cell>
          <cell r="AI217">
            <v>2485.2341342750642</v>
          </cell>
          <cell r="AK217">
            <v>1114.2378206549386</v>
          </cell>
          <cell r="AL217">
            <v>0</v>
          </cell>
          <cell r="AN217">
            <v>526.55809870789403</v>
          </cell>
          <cell r="AO217">
            <v>0</v>
          </cell>
          <cell r="AQ217">
            <v>458.00987158364961</v>
          </cell>
          <cell r="AR217">
            <v>0</v>
          </cell>
          <cell r="AT217">
            <v>769.24130418815696</v>
          </cell>
          <cell r="AU217">
            <v>0</v>
          </cell>
          <cell r="AW217">
            <v>462.41561338553572</v>
          </cell>
          <cell r="AX217">
            <v>0</v>
          </cell>
        </row>
        <row r="218">
          <cell r="I218">
            <v>41.8</v>
          </cell>
          <cell r="J218">
            <v>21349.754319579613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R218">
            <v>5</v>
          </cell>
          <cell r="S218">
            <v>14264.845422693013</v>
          </cell>
          <cell r="U218">
            <v>0</v>
          </cell>
          <cell r="V218">
            <v>0</v>
          </cell>
          <cell r="W218">
            <v>5</v>
          </cell>
          <cell r="X218">
            <v>987.40711715094562</v>
          </cell>
          <cell r="Y218">
            <v>25972.486156729701</v>
          </cell>
          <cell r="Z218">
            <v>0</v>
          </cell>
          <cell r="AA218">
            <v>0</v>
          </cell>
          <cell r="AB218">
            <v>1823.2243334303641</v>
          </cell>
          <cell r="AC218">
            <v>4947.7173583457134</v>
          </cell>
          <cell r="AD218">
            <v>9971.5994577453785</v>
          </cell>
          <cell r="AE218">
            <v>4466.1501435959981</v>
          </cell>
          <cell r="AF218">
            <v>975</v>
          </cell>
          <cell r="AH218">
            <v>5271.1356626924289</v>
          </cell>
          <cell r="AI218">
            <v>22530.724690927622</v>
          </cell>
          <cell r="AK218">
            <v>4797.4636279338283</v>
          </cell>
          <cell r="AL218">
            <v>0</v>
          </cell>
          <cell r="AN218">
            <v>2167.7139967950234</v>
          </cell>
          <cell r="AO218">
            <v>434.08200230550096</v>
          </cell>
          <cell r="AQ218">
            <v>1150.0327012927137</v>
          </cell>
          <cell r="AR218">
            <v>0</v>
          </cell>
          <cell r="AT218">
            <v>5493.7044662766339</v>
          </cell>
          <cell r="AU218">
            <v>6587.2315372411686</v>
          </cell>
          <cell r="AW218">
            <v>1124.8647541655057</v>
          </cell>
          <cell r="AX218">
            <v>12372.275635531589</v>
          </cell>
        </row>
        <row r="219"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912.69028472757088</v>
          </cell>
          <cell r="AC219">
            <v>0</v>
          </cell>
          <cell r="AD219">
            <v>0</v>
          </cell>
          <cell r="AE219">
            <v>405.01434344246098</v>
          </cell>
          <cell r="AF219">
            <v>0</v>
          </cell>
          <cell r="AH219">
            <v>559.73673567279548</v>
          </cell>
          <cell r="AI219">
            <v>0</v>
          </cell>
          <cell r="AK219">
            <v>267.31719796950057</v>
          </cell>
          <cell r="AL219">
            <v>3929.5444445395678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T219">
            <v>142.10629002505442</v>
          </cell>
          <cell r="AU219">
            <v>0</v>
          </cell>
          <cell r="AW219">
            <v>31.214014296485885</v>
          </cell>
          <cell r="AX219">
            <v>0</v>
          </cell>
        </row>
        <row r="220">
          <cell r="I220">
            <v>0</v>
          </cell>
          <cell r="J220">
            <v>0</v>
          </cell>
          <cell r="L220">
            <v>4</v>
          </cell>
          <cell r="M220">
            <v>22189.208209401939</v>
          </cell>
          <cell r="O220">
            <v>0</v>
          </cell>
          <cell r="P220">
            <v>0</v>
          </cell>
          <cell r="R220">
            <v>1</v>
          </cell>
          <cell r="S220">
            <v>10382.663298952939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17849.750810497877</v>
          </cell>
          <cell r="Z220">
            <v>0</v>
          </cell>
          <cell r="AA220">
            <v>0</v>
          </cell>
          <cell r="AB220">
            <v>394.79827875826231</v>
          </cell>
          <cell r="AC220">
            <v>0</v>
          </cell>
          <cell r="AD220">
            <v>3228.6939626619078</v>
          </cell>
          <cell r="AE220">
            <v>984.1359391759172</v>
          </cell>
          <cell r="AF220">
            <v>430.726959519101</v>
          </cell>
          <cell r="AH220">
            <v>802.93074876595495</v>
          </cell>
          <cell r="AI220">
            <v>2437.4861276306642</v>
          </cell>
          <cell r="AK220">
            <v>1320.5561196967183</v>
          </cell>
          <cell r="AL220">
            <v>0</v>
          </cell>
          <cell r="AN220">
            <v>312.16883714516433</v>
          </cell>
          <cell r="AO220">
            <v>1737.9924740369104</v>
          </cell>
          <cell r="AQ220">
            <v>589.45433581131977</v>
          </cell>
          <cell r="AR220">
            <v>0</v>
          </cell>
          <cell r="AT220">
            <v>921.82075236651337</v>
          </cell>
          <cell r="AU220">
            <v>3250.317633545631</v>
          </cell>
          <cell r="AW220">
            <v>461.43108290608393</v>
          </cell>
          <cell r="AX220">
            <v>0</v>
          </cell>
        </row>
        <row r="221"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538.77775360293617</v>
          </cell>
          <cell r="AE221">
            <v>264.19537878068712</v>
          </cell>
          <cell r="AF221">
            <v>0</v>
          </cell>
          <cell r="AH221">
            <v>559.73673567279548</v>
          </cell>
          <cell r="AI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207.2897890240726</v>
          </cell>
          <cell r="AU221">
            <v>0</v>
          </cell>
          <cell r="AW221">
            <v>31.214014296485885</v>
          </cell>
          <cell r="AX221">
            <v>0</v>
          </cell>
        </row>
        <row r="222">
          <cell r="I222">
            <v>86.94</v>
          </cell>
          <cell r="J222">
            <v>29216.180905254168</v>
          </cell>
          <cell r="L222">
            <v>2</v>
          </cell>
          <cell r="M222">
            <v>160612.13534376869</v>
          </cell>
          <cell r="O222">
            <v>182.2</v>
          </cell>
          <cell r="P222">
            <v>69700.990362329409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3848.6107053950013</v>
          </cell>
          <cell r="AC222">
            <v>6535.2412711724428</v>
          </cell>
          <cell r="AD222">
            <v>2717.3637189915162</v>
          </cell>
          <cell r="AE222">
            <v>1912.9320583229114</v>
          </cell>
          <cell r="AF222">
            <v>1111.1159889847941</v>
          </cell>
          <cell r="AH222">
            <v>2166.2516820750675</v>
          </cell>
          <cell r="AI222">
            <v>6495.9368971524464</v>
          </cell>
          <cell r="AK222">
            <v>2533.2878838780366</v>
          </cell>
          <cell r="AL222">
            <v>1523.7581376649762</v>
          </cell>
          <cell r="AN222">
            <v>1044.0115530688031</v>
          </cell>
          <cell r="AO222">
            <v>0</v>
          </cell>
          <cell r="AQ222">
            <v>566.30040801528844</v>
          </cell>
          <cell r="AR222">
            <v>0</v>
          </cell>
          <cell r="AT222">
            <v>2308.3084678135665</v>
          </cell>
          <cell r="AU222">
            <v>4264.9885218112659</v>
          </cell>
          <cell r="AW222">
            <v>693.49026769070235</v>
          </cell>
          <cell r="AX222">
            <v>3716.0503409034895</v>
          </cell>
        </row>
        <row r="223">
          <cell r="I223">
            <v>0</v>
          </cell>
          <cell r="J223">
            <v>0</v>
          </cell>
          <cell r="L223">
            <v>0</v>
          </cell>
          <cell r="M223">
            <v>312.02999999999997</v>
          </cell>
          <cell r="O223">
            <v>0</v>
          </cell>
          <cell r="P223">
            <v>0</v>
          </cell>
          <cell r="R223">
            <v>3</v>
          </cell>
          <cell r="S223">
            <v>11904.492910184377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5992.8064358886804</v>
          </cell>
          <cell r="AE223">
            <v>456.11715323105</v>
          </cell>
          <cell r="AF223">
            <v>745.21377779366821</v>
          </cell>
          <cell r="AH223">
            <v>662.41470376919199</v>
          </cell>
          <cell r="AI223">
            <v>0</v>
          </cell>
          <cell r="AK223">
            <v>425.70226566000258</v>
          </cell>
          <cell r="AL223">
            <v>0</v>
          </cell>
          <cell r="AN223">
            <v>384.50555915167331</v>
          </cell>
          <cell r="AO223">
            <v>0</v>
          </cell>
          <cell r="AQ223">
            <v>354.53494987512943</v>
          </cell>
          <cell r="AR223">
            <v>0</v>
          </cell>
          <cell r="AT223">
            <v>660.24851717038962</v>
          </cell>
          <cell r="AU223">
            <v>0</v>
          </cell>
          <cell r="AW223">
            <v>855.75656584808121</v>
          </cell>
          <cell r="AX223">
            <v>0</v>
          </cell>
        </row>
        <row r="224">
          <cell r="I224">
            <v>71.36</v>
          </cell>
          <cell r="J224">
            <v>26736.871173538981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3</v>
          </cell>
          <cell r="X224">
            <v>935.41139476231967</v>
          </cell>
          <cell r="Y224">
            <v>1484.9730386898955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5296.3148154028395</v>
          </cell>
          <cell r="AE224">
            <v>576.48433357104284</v>
          </cell>
          <cell r="AF224">
            <v>786.88028318186889</v>
          </cell>
          <cell r="AH224">
            <v>668.95266693578606</v>
          </cell>
          <cell r="AI224">
            <v>0</v>
          </cell>
          <cell r="AK224">
            <v>529.94390601695522</v>
          </cell>
          <cell r="AL224">
            <v>0</v>
          </cell>
          <cell r="AN224">
            <v>320.51346302933115</v>
          </cell>
          <cell r="AO224">
            <v>622.83093257350083</v>
          </cell>
          <cell r="AQ224">
            <v>168.49131270460393</v>
          </cell>
          <cell r="AR224">
            <v>0</v>
          </cell>
          <cell r="AT224">
            <v>258.37867465525898</v>
          </cell>
          <cell r="AU224">
            <v>2431.2588501124069</v>
          </cell>
          <cell r="AW224">
            <v>187.81525251464379</v>
          </cell>
          <cell r="AX224">
            <v>1878.8737064906281</v>
          </cell>
        </row>
        <row r="225"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380.6782460614956</v>
          </cell>
          <cell r="Y225">
            <v>2153.0602639161984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5149.9152848322037</v>
          </cell>
          <cell r="AE225">
            <v>1287.7004011276442</v>
          </cell>
          <cell r="AF225">
            <v>3495.0311479236639</v>
          </cell>
          <cell r="AH225">
            <v>1122.5814585416513</v>
          </cell>
          <cell r="AI225">
            <v>0</v>
          </cell>
          <cell r="AK225">
            <v>915.63240693361342</v>
          </cell>
          <cell r="AL225">
            <v>0</v>
          </cell>
          <cell r="AN225">
            <v>459.54445827127995</v>
          </cell>
          <cell r="AO225">
            <v>0</v>
          </cell>
          <cell r="AQ225">
            <v>283.55402480374789</v>
          </cell>
          <cell r="AR225">
            <v>0</v>
          </cell>
          <cell r="AT225">
            <v>890.6438158504634</v>
          </cell>
          <cell r="AU225">
            <v>5967.2415871081812</v>
          </cell>
          <cell r="AW225">
            <v>400.33638537313857</v>
          </cell>
          <cell r="AX225">
            <v>6336.8411542312633</v>
          </cell>
        </row>
        <row r="226"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1</v>
          </cell>
          <cell r="S226">
            <v>23386.917691194722</v>
          </cell>
          <cell r="U226">
            <v>0</v>
          </cell>
          <cell r="V226">
            <v>0</v>
          </cell>
          <cell r="W226">
            <v>1</v>
          </cell>
          <cell r="X226">
            <v>1445.8012087700745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547.77703785182439</v>
          </cell>
          <cell r="AE226">
            <v>716.33469738434678</v>
          </cell>
          <cell r="AF226">
            <v>0</v>
          </cell>
          <cell r="AH226">
            <v>701.20491907545318</v>
          </cell>
          <cell r="AI226">
            <v>0</v>
          </cell>
          <cell r="AK226">
            <v>527.02810399456473</v>
          </cell>
          <cell r="AL226">
            <v>0</v>
          </cell>
          <cell r="AN226">
            <v>304.07509517971454</v>
          </cell>
          <cell r="AO226">
            <v>0</v>
          </cell>
          <cell r="AQ226">
            <v>168.49131270460393</v>
          </cell>
          <cell r="AR226">
            <v>0</v>
          </cell>
          <cell r="AT226">
            <v>390.54979294396236</v>
          </cell>
          <cell r="AU226">
            <v>0</v>
          </cell>
          <cell r="AW226">
            <v>145.053269477779</v>
          </cell>
          <cell r="AX226">
            <v>1141.464691227553</v>
          </cell>
        </row>
        <row r="227">
          <cell r="I227">
            <v>2.84</v>
          </cell>
          <cell r="J227">
            <v>691.58751095590753</v>
          </cell>
          <cell r="L227">
            <v>1</v>
          </cell>
          <cell r="M227">
            <v>33497.292146481333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182.98929473345493</v>
          </cell>
          <cell r="AE227">
            <v>463.54301921214972</v>
          </cell>
          <cell r="AF227">
            <v>0</v>
          </cell>
          <cell r="AH227">
            <v>733.14854141529986</v>
          </cell>
          <cell r="AI227">
            <v>0</v>
          </cell>
          <cell r="AK227">
            <v>406.02353480092694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144.26532444231219</v>
          </cell>
          <cell r="AU227">
            <v>0</v>
          </cell>
          <cell r="AW227">
            <v>31.214014296485885</v>
          </cell>
          <cell r="AX227">
            <v>0</v>
          </cell>
        </row>
        <row r="228"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4</v>
          </cell>
          <cell r="X228">
            <v>557.99348226897371</v>
          </cell>
          <cell r="Y228">
            <v>53838.702124854346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851.09910020835082</v>
          </cell>
          <cell r="AE228">
            <v>712.17101150742246</v>
          </cell>
          <cell r="AF228">
            <v>0</v>
          </cell>
          <cell r="AH228">
            <v>765.70942335478742</v>
          </cell>
          <cell r="AI228">
            <v>0</v>
          </cell>
          <cell r="AK228">
            <v>564.98589970719888</v>
          </cell>
          <cell r="AL228">
            <v>0</v>
          </cell>
          <cell r="AN228">
            <v>287.7311400341946</v>
          </cell>
          <cell r="AO228">
            <v>0</v>
          </cell>
          <cell r="AQ228">
            <v>168.49131270460393</v>
          </cell>
          <cell r="AR228">
            <v>0</v>
          </cell>
          <cell r="AT228">
            <v>390.60814259499858</v>
          </cell>
          <cell r="AU228">
            <v>2602.5452944699882</v>
          </cell>
          <cell r="AW228">
            <v>241.33814638072869</v>
          </cell>
          <cell r="AX228">
            <v>0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1200</v>
          </cell>
          <cell r="U229">
            <v>0</v>
          </cell>
          <cell r="V229">
            <v>0</v>
          </cell>
          <cell r="W229">
            <v>5</v>
          </cell>
          <cell r="X229">
            <v>577.96281860803674</v>
          </cell>
          <cell r="Y229">
            <v>0</v>
          </cell>
          <cell r="Z229">
            <v>0</v>
          </cell>
          <cell r="AA229">
            <v>0</v>
          </cell>
          <cell r="AB229">
            <v>11077.977333281651</v>
          </cell>
          <cell r="AC229">
            <v>40520</v>
          </cell>
          <cell r="AD229">
            <v>3752.8883157704131</v>
          </cell>
          <cell r="AE229">
            <v>1384.5525676321356</v>
          </cell>
          <cell r="AF229">
            <v>527.72371755561187</v>
          </cell>
          <cell r="AH229">
            <v>1337.9053338715703</v>
          </cell>
          <cell r="AI229">
            <v>0</v>
          </cell>
          <cell r="AK229">
            <v>1074.0485404903941</v>
          </cell>
          <cell r="AL229">
            <v>0</v>
          </cell>
          <cell r="AN229">
            <v>529.6834589638255</v>
          </cell>
          <cell r="AO229">
            <v>0</v>
          </cell>
          <cell r="AQ229">
            <v>336.98262540920786</v>
          </cell>
          <cell r="AR229">
            <v>0</v>
          </cell>
          <cell r="AT229">
            <v>951.09216875923846</v>
          </cell>
          <cell r="AU229">
            <v>3890.2132350196166</v>
          </cell>
          <cell r="AW229">
            <v>297.42151179212829</v>
          </cell>
          <cell r="AX229">
            <v>0</v>
          </cell>
        </row>
        <row r="230">
          <cell r="I230">
            <v>8.6999999999999993</v>
          </cell>
          <cell r="J230">
            <v>2630.4464266683317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94.631240089713842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1885.8892846750373</v>
          </cell>
          <cell r="AE230">
            <v>264.44048090669895</v>
          </cell>
          <cell r="AF230">
            <v>0</v>
          </cell>
          <cell r="AH230">
            <v>313.71460180123995</v>
          </cell>
          <cell r="AI230">
            <v>0</v>
          </cell>
          <cell r="AK230">
            <v>293.39119020642801</v>
          </cell>
          <cell r="AL230">
            <v>947.49409846507069</v>
          </cell>
          <cell r="AN230">
            <v>140.0019991993845</v>
          </cell>
          <cell r="AO230">
            <v>0</v>
          </cell>
          <cell r="AQ230">
            <v>88.348411796413885</v>
          </cell>
          <cell r="AR230">
            <v>0</v>
          </cell>
          <cell r="AT230">
            <v>121.11440029642695</v>
          </cell>
          <cell r="AU230">
            <v>1773.2036463021441</v>
          </cell>
          <cell r="AW230">
            <v>144.55133557954406</v>
          </cell>
          <cell r="AX230">
            <v>0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</row>
        <row r="232"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Q232">
            <v>0</v>
          </cell>
          <cell r="AR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</row>
        <row r="233">
          <cell r="I233">
            <v>4</v>
          </cell>
          <cell r="J233">
            <v>4154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3</v>
          </cell>
          <cell r="S233">
            <v>6415.2855084734283</v>
          </cell>
          <cell r="U233">
            <v>0</v>
          </cell>
          <cell r="V233">
            <v>0</v>
          </cell>
          <cell r="W233">
            <v>2</v>
          </cell>
          <cell r="X233">
            <v>162</v>
          </cell>
          <cell r="Y233">
            <v>35945.738705277123</v>
          </cell>
          <cell r="Z233">
            <v>0</v>
          </cell>
          <cell r="AA233">
            <v>0</v>
          </cell>
          <cell r="AB233">
            <v>9359.6342080582763</v>
          </cell>
          <cell r="AC233">
            <v>652.70365434897724</v>
          </cell>
          <cell r="AD233">
            <v>832.70182498709187</v>
          </cell>
          <cell r="AE233">
            <v>1772.6405281071345</v>
          </cell>
          <cell r="AF233">
            <v>956.8270562943917</v>
          </cell>
          <cell r="AH233">
            <v>2136.5387916074351</v>
          </cell>
          <cell r="AI233">
            <v>0</v>
          </cell>
          <cell r="AK233">
            <v>2495.4475214697404</v>
          </cell>
          <cell r="AL233">
            <v>432.93158819224402</v>
          </cell>
          <cell r="AN233">
            <v>876.89623057759695</v>
          </cell>
          <cell r="AO233">
            <v>0</v>
          </cell>
          <cell r="AQ233">
            <v>534.61761351583073</v>
          </cell>
          <cell r="AR233">
            <v>0</v>
          </cell>
          <cell r="AT233">
            <v>1546.1730758471851</v>
          </cell>
          <cell r="AU233">
            <v>10608.912809502242</v>
          </cell>
          <cell r="AW233">
            <v>494.75856220197528</v>
          </cell>
          <cell r="AX233">
            <v>0</v>
          </cell>
        </row>
        <row r="234">
          <cell r="I234">
            <v>86.95</v>
          </cell>
          <cell r="J234">
            <v>28655.051959919147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9895.7864756329927</v>
          </cell>
          <cell r="AC234">
            <v>214.69979883354068</v>
          </cell>
          <cell r="AD234">
            <v>386.780230064732</v>
          </cell>
          <cell r="AE234">
            <v>1700.2328102252395</v>
          </cell>
          <cell r="AF234">
            <v>0</v>
          </cell>
          <cell r="AH234">
            <v>2467.5804345538781</v>
          </cell>
          <cell r="AI234">
            <v>0</v>
          </cell>
          <cell r="AK234">
            <v>1802.7952027812689</v>
          </cell>
          <cell r="AL234">
            <v>6284.4709198616365</v>
          </cell>
          <cell r="AN234">
            <v>888.03561599102318</v>
          </cell>
          <cell r="AO234">
            <v>0</v>
          </cell>
          <cell r="AQ234">
            <v>562.9770795469226</v>
          </cell>
          <cell r="AR234">
            <v>0</v>
          </cell>
          <cell r="AT234">
            <v>1347.5452322893043</v>
          </cell>
          <cell r="AU234">
            <v>9654.634353127356</v>
          </cell>
          <cell r="AW234">
            <v>460.50306960047044</v>
          </cell>
          <cell r="AX234">
            <v>0</v>
          </cell>
        </row>
        <row r="235">
          <cell r="I235">
            <v>250</v>
          </cell>
          <cell r="J235">
            <v>121463</v>
          </cell>
          <cell r="L235">
            <v>0</v>
          </cell>
          <cell r="M235">
            <v>0</v>
          </cell>
          <cell r="O235">
            <v>69</v>
          </cell>
          <cell r="P235">
            <v>23587</v>
          </cell>
          <cell r="R235">
            <v>2</v>
          </cell>
          <cell r="S235">
            <v>5162.383552335099</v>
          </cell>
          <cell r="U235">
            <v>325</v>
          </cell>
          <cell r="V235">
            <v>0</v>
          </cell>
          <cell r="W235">
            <v>3</v>
          </cell>
          <cell r="X235">
            <v>1114.1940403957337</v>
          </cell>
          <cell r="Y235">
            <v>3852.2094469172844</v>
          </cell>
          <cell r="Z235">
            <v>0</v>
          </cell>
          <cell r="AA235">
            <v>0</v>
          </cell>
          <cell r="AB235">
            <v>15378.064568903725</v>
          </cell>
          <cell r="AC235">
            <v>0</v>
          </cell>
          <cell r="AD235">
            <v>1978.3872361163058</v>
          </cell>
          <cell r="AE235">
            <v>1645.1083462850368</v>
          </cell>
          <cell r="AF235">
            <v>1382.7810568360851</v>
          </cell>
          <cell r="AH235">
            <v>1770.5254101992575</v>
          </cell>
          <cell r="AI235">
            <v>3451.8955475997009</v>
          </cell>
          <cell r="AK235">
            <v>1899.5347460533351</v>
          </cell>
          <cell r="AL235">
            <v>3166.7271244504232</v>
          </cell>
          <cell r="AN235">
            <v>832.86878662585286</v>
          </cell>
          <cell r="AO235">
            <v>13055.456359295815</v>
          </cell>
          <cell r="AQ235">
            <v>388.47983776488206</v>
          </cell>
          <cell r="AR235">
            <v>0</v>
          </cell>
          <cell r="AT235">
            <v>1830.8945164047732</v>
          </cell>
          <cell r="AU235">
            <v>0</v>
          </cell>
          <cell r="AW235">
            <v>608.98114706632589</v>
          </cell>
          <cell r="AX235">
            <v>0</v>
          </cell>
        </row>
        <row r="236"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2</v>
          </cell>
          <cell r="S236">
            <v>2351.5726077924619</v>
          </cell>
          <cell r="U236">
            <v>0</v>
          </cell>
          <cell r="V236">
            <v>0</v>
          </cell>
          <cell r="W236">
            <v>0</v>
          </cell>
          <cell r="X236">
            <v>246.15455505971073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4341.1741043927523</v>
          </cell>
          <cell r="AE236">
            <v>1312.5000236692572</v>
          </cell>
          <cell r="AF236">
            <v>1134.9861735692598</v>
          </cell>
          <cell r="AH236">
            <v>1035.1381113926614</v>
          </cell>
          <cell r="AI236">
            <v>5801.0246148822998</v>
          </cell>
          <cell r="AK236">
            <v>1256.4773939279223</v>
          </cell>
          <cell r="AL236">
            <v>999.69411339984447</v>
          </cell>
          <cell r="AN236">
            <v>594.38058304295043</v>
          </cell>
          <cell r="AO236">
            <v>709.09552607150101</v>
          </cell>
          <cell r="AQ236">
            <v>546.24796788804872</v>
          </cell>
          <cell r="AR236">
            <v>0</v>
          </cell>
          <cell r="AT236">
            <v>2037.9906501834416</v>
          </cell>
          <cell r="AU236">
            <v>507.45180577129332</v>
          </cell>
          <cell r="AW236">
            <v>709.59085028587197</v>
          </cell>
          <cell r="AX236">
            <v>0</v>
          </cell>
        </row>
        <row r="237">
          <cell r="I237">
            <v>190.55</v>
          </cell>
          <cell r="J237">
            <v>59931.656983543384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4</v>
          </cell>
          <cell r="S237">
            <v>8266.7589671612714</v>
          </cell>
          <cell r="U237">
            <v>0</v>
          </cell>
          <cell r="V237">
            <v>0</v>
          </cell>
          <cell r="W237">
            <v>2.1</v>
          </cell>
          <cell r="X237">
            <v>671.98911899493476</v>
          </cell>
          <cell r="Y237">
            <v>0</v>
          </cell>
          <cell r="Z237">
            <v>0</v>
          </cell>
          <cell r="AA237">
            <v>0</v>
          </cell>
          <cell r="AB237">
            <v>1782.9468611648917</v>
          </cell>
          <cell r="AC237">
            <v>0</v>
          </cell>
          <cell r="AD237">
            <v>8092.8628354973807</v>
          </cell>
          <cell r="AE237">
            <v>1952.2301441272568</v>
          </cell>
          <cell r="AF237">
            <v>1224.2447015138307</v>
          </cell>
          <cell r="AH237">
            <v>4733.5027590698828</v>
          </cell>
          <cell r="AI237">
            <v>0</v>
          </cell>
          <cell r="AK237">
            <v>3885.6384934323451</v>
          </cell>
          <cell r="AL237">
            <v>0</v>
          </cell>
          <cell r="AN237">
            <v>1357.4109304074998</v>
          </cell>
          <cell r="AO237">
            <v>774.43253390249993</v>
          </cell>
          <cell r="AQ237">
            <v>586.34070386929682</v>
          </cell>
          <cell r="AR237">
            <v>0</v>
          </cell>
          <cell r="AT237">
            <v>2915.7803006688737</v>
          </cell>
          <cell r="AU237">
            <v>269.6955269955651</v>
          </cell>
          <cell r="AW237">
            <v>20.485177221713855</v>
          </cell>
          <cell r="AX237">
            <v>0</v>
          </cell>
        </row>
        <row r="238"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21</v>
          </cell>
          <cell r="P238">
            <v>6141</v>
          </cell>
          <cell r="R238">
            <v>2</v>
          </cell>
          <cell r="S238">
            <v>11338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116.39600088286119</v>
          </cell>
          <cell r="AC238">
            <v>2071.4655667344659</v>
          </cell>
          <cell r="AD238">
            <v>908.1891804069046</v>
          </cell>
          <cell r="AE238">
            <v>1378.3586727414681</v>
          </cell>
          <cell r="AF238">
            <v>964.8339791524354</v>
          </cell>
          <cell r="AH238">
            <v>3134.4070103778427</v>
          </cell>
          <cell r="AI238">
            <v>1334.3803952412475</v>
          </cell>
          <cell r="AK238">
            <v>2468.5007054595235</v>
          </cell>
          <cell r="AL238">
            <v>0</v>
          </cell>
          <cell r="AN238">
            <v>936.82989851803211</v>
          </cell>
          <cell r="AO238">
            <v>0</v>
          </cell>
          <cell r="AQ238">
            <v>346.26007982804515</v>
          </cell>
          <cell r="AR238">
            <v>0</v>
          </cell>
          <cell r="AT238">
            <v>1627.3463926791117</v>
          </cell>
          <cell r="AU238">
            <v>5265.1329167054128</v>
          </cell>
          <cell r="AW238">
            <v>0</v>
          </cell>
          <cell r="AX238">
            <v>0</v>
          </cell>
        </row>
        <row r="239"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R239">
            <v>3</v>
          </cell>
          <cell r="S239">
            <v>19799.105490595794</v>
          </cell>
          <cell r="U239">
            <v>5950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11349</v>
          </cell>
          <cell r="AC239">
            <v>151.47979193004454</v>
          </cell>
          <cell r="AD239">
            <v>0</v>
          </cell>
          <cell r="AE239">
            <v>1409.4594562833702</v>
          </cell>
          <cell r="AF239">
            <v>1615.2166287147945</v>
          </cell>
          <cell r="AH239">
            <v>1283.0364609027349</v>
          </cell>
          <cell r="AI239">
            <v>0</v>
          </cell>
          <cell r="AK239">
            <v>1674.0167049349202</v>
          </cell>
          <cell r="AL239">
            <v>0</v>
          </cell>
          <cell r="AN239">
            <v>826.14754396325452</v>
          </cell>
          <cell r="AO239">
            <v>1760.5823107445101</v>
          </cell>
          <cell r="AQ239">
            <v>310.58119271199365</v>
          </cell>
          <cell r="AR239">
            <v>0</v>
          </cell>
          <cell r="AT239">
            <v>1641.6348328995975</v>
          </cell>
          <cell r="AU239">
            <v>1091.9238990383551</v>
          </cell>
          <cell r="AW239">
            <v>28.767086542590516</v>
          </cell>
          <cell r="AX239">
            <v>0</v>
          </cell>
        </row>
        <row r="240"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1</v>
          </cell>
          <cell r="S240">
            <v>2779.6753227463073</v>
          </cell>
          <cell r="U240">
            <v>0</v>
          </cell>
          <cell r="V240">
            <v>0</v>
          </cell>
          <cell r="W240">
            <v>0</v>
          </cell>
          <cell r="X240">
            <v>466.12968920837483</v>
          </cell>
          <cell r="Y240">
            <v>1270.46623194881</v>
          </cell>
          <cell r="Z240">
            <v>0</v>
          </cell>
          <cell r="AA240">
            <v>0</v>
          </cell>
          <cell r="AB240">
            <v>0</v>
          </cell>
          <cell r="AC240">
            <v>117.47979193004454</v>
          </cell>
          <cell r="AD240">
            <v>7971.082518863559</v>
          </cell>
          <cell r="AE240">
            <v>1180.791557242228</v>
          </cell>
          <cell r="AF240">
            <v>0</v>
          </cell>
          <cell r="AH240">
            <v>861.94992360709387</v>
          </cell>
          <cell r="AI240">
            <v>0</v>
          </cell>
          <cell r="AK240">
            <v>1547.4760846756963</v>
          </cell>
          <cell r="AL240">
            <v>0</v>
          </cell>
          <cell r="AN240">
            <v>474.97679575081679</v>
          </cell>
          <cell r="AO240">
            <v>0</v>
          </cell>
          <cell r="AQ240">
            <v>241.15273299543105</v>
          </cell>
          <cell r="AR240">
            <v>0</v>
          </cell>
          <cell r="AT240">
            <v>781.03422346797583</v>
          </cell>
          <cell r="AU240">
            <v>1364.873765063167</v>
          </cell>
          <cell r="AW240">
            <v>24.437906670314071</v>
          </cell>
          <cell r="AX240">
            <v>0</v>
          </cell>
        </row>
        <row r="241"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2702.4390079369982</v>
          </cell>
          <cell r="AC241">
            <v>0</v>
          </cell>
          <cell r="AD241">
            <v>334.58633859437975</v>
          </cell>
          <cell r="AE241">
            <v>458.84644702501788</v>
          </cell>
          <cell r="AF241">
            <v>0</v>
          </cell>
          <cell r="AH241">
            <v>570.01167355404061</v>
          </cell>
          <cell r="AI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Q241">
            <v>120.57636649771553</v>
          </cell>
          <cell r="AR241">
            <v>0</v>
          </cell>
          <cell r="AT241">
            <v>385.6165685757461</v>
          </cell>
          <cell r="AU241">
            <v>0</v>
          </cell>
          <cell r="AW241">
            <v>15.748176057121521</v>
          </cell>
          <cell r="AX241">
            <v>4664.777413453</v>
          </cell>
        </row>
        <row r="242"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2998.2404092798301</v>
          </cell>
          <cell r="Z242">
            <v>0</v>
          </cell>
          <cell r="AA242">
            <v>0</v>
          </cell>
          <cell r="AB242">
            <v>0</v>
          </cell>
          <cell r="AC242">
            <v>357.76224922595486</v>
          </cell>
          <cell r="AD242">
            <v>0</v>
          </cell>
          <cell r="AE242">
            <v>1647.1560852211276</v>
          </cell>
          <cell r="AF242">
            <v>0</v>
          </cell>
          <cell r="AH242">
            <v>2569.9409261662659</v>
          </cell>
          <cell r="AI242">
            <v>0</v>
          </cell>
          <cell r="AK242">
            <v>2172.9320780037201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T242">
            <v>1222.9497206813894</v>
          </cell>
          <cell r="AU242">
            <v>0</v>
          </cell>
          <cell r="AW242">
            <v>26.790721818290397</v>
          </cell>
          <cell r="AX242">
            <v>0</v>
          </cell>
        </row>
        <row r="243">
          <cell r="I243">
            <v>165.6</v>
          </cell>
          <cell r="J243">
            <v>67455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7013.4150995610007</v>
          </cell>
          <cell r="Z243">
            <v>0</v>
          </cell>
          <cell r="AA243">
            <v>0</v>
          </cell>
          <cell r="AB243">
            <v>0</v>
          </cell>
          <cell r="AC243">
            <v>2002.6379814534191</v>
          </cell>
          <cell r="AD243">
            <v>270.21616793555182</v>
          </cell>
          <cell r="AE243">
            <v>1570.5334652246418</v>
          </cell>
          <cell r="AF243">
            <v>0</v>
          </cell>
          <cell r="AH243">
            <v>2375.1730952198018</v>
          </cell>
          <cell r="AI243">
            <v>0</v>
          </cell>
          <cell r="AK243">
            <v>2164.6555858107299</v>
          </cell>
          <cell r="AL243">
            <v>0</v>
          </cell>
          <cell r="AN243">
            <v>0</v>
          </cell>
          <cell r="AO243">
            <v>0</v>
          </cell>
          <cell r="AQ243">
            <v>110.27308797143304</v>
          </cell>
          <cell r="AR243">
            <v>0</v>
          </cell>
          <cell r="AT243">
            <v>1215.1597359900777</v>
          </cell>
          <cell r="AU243">
            <v>176.70892977667361</v>
          </cell>
          <cell r="AW243">
            <v>24.814357093990289</v>
          </cell>
          <cell r="AX243">
            <v>0</v>
          </cell>
        </row>
        <row r="244"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O244">
            <v>9</v>
          </cell>
          <cell r="P244">
            <v>3179.4342494965495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1228.7913688575195</v>
          </cell>
          <cell r="Z244">
            <v>0</v>
          </cell>
          <cell r="AA244">
            <v>0</v>
          </cell>
          <cell r="AB244">
            <v>1806.4387410537649</v>
          </cell>
          <cell r="AC244">
            <v>795.25921403917982</v>
          </cell>
          <cell r="AD244">
            <v>602.84843552161192</v>
          </cell>
          <cell r="AE244">
            <v>1520.0802152150454</v>
          </cell>
          <cell r="AF244">
            <v>0</v>
          </cell>
          <cell r="AH244">
            <v>2375.1730952198018</v>
          </cell>
          <cell r="AI244">
            <v>0</v>
          </cell>
          <cell r="AK244">
            <v>2540.6951030054611</v>
          </cell>
          <cell r="AL244">
            <v>0</v>
          </cell>
          <cell r="AN244">
            <v>0</v>
          </cell>
          <cell r="AO244">
            <v>0</v>
          </cell>
          <cell r="AQ244">
            <v>110.27308797143304</v>
          </cell>
          <cell r="AR244">
            <v>0</v>
          </cell>
          <cell r="AT244">
            <v>1219.7888083056141</v>
          </cell>
          <cell r="AU244">
            <v>1102.1574769873018</v>
          </cell>
          <cell r="AW244">
            <v>20.108726798037644</v>
          </cell>
          <cell r="AX244">
            <v>3947.3587885413904</v>
          </cell>
        </row>
        <row r="245">
          <cell r="I245">
            <v>21.1</v>
          </cell>
          <cell r="J245">
            <v>15346.227943486636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24779</v>
          </cell>
          <cell r="AB245">
            <v>0</v>
          </cell>
          <cell r="AC245">
            <v>0</v>
          </cell>
          <cell r="AD245">
            <v>1120.2690007603649</v>
          </cell>
          <cell r="AE245">
            <v>1183.0417998064411</v>
          </cell>
          <cell r="AF245">
            <v>0</v>
          </cell>
          <cell r="AH245">
            <v>2000.9164265171526</v>
          </cell>
          <cell r="AI245">
            <v>0</v>
          </cell>
          <cell r="AK245">
            <v>1534.2031366314347</v>
          </cell>
          <cell r="AL245">
            <v>0</v>
          </cell>
          <cell r="AN245">
            <v>0</v>
          </cell>
          <cell r="AO245">
            <v>0</v>
          </cell>
          <cell r="AQ245">
            <v>110.27308797143304</v>
          </cell>
          <cell r="AR245">
            <v>0</v>
          </cell>
          <cell r="AT245">
            <v>856.50687341208811</v>
          </cell>
          <cell r="AU245">
            <v>0</v>
          </cell>
          <cell r="AW245">
            <v>15.371725633445312</v>
          </cell>
          <cell r="AX245">
            <v>2934.3460105618965</v>
          </cell>
        </row>
        <row r="246">
          <cell r="I246">
            <v>0</v>
          </cell>
          <cell r="J246">
            <v>0</v>
          </cell>
          <cell r="L246">
            <v>1</v>
          </cell>
          <cell r="M246">
            <v>13420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5901.7367317183653</v>
          </cell>
          <cell r="Z246">
            <v>0</v>
          </cell>
          <cell r="AA246">
            <v>0</v>
          </cell>
          <cell r="AB246">
            <v>0</v>
          </cell>
          <cell r="AC246">
            <v>1126.579930776559</v>
          </cell>
          <cell r="AD246">
            <v>41603.187353967114</v>
          </cell>
          <cell r="AE246">
            <v>1390.7862735326853</v>
          </cell>
          <cell r="AF246">
            <v>0</v>
          </cell>
          <cell r="AH246">
            <v>2609.33877676881</v>
          </cell>
          <cell r="AI246">
            <v>0</v>
          </cell>
          <cell r="AK246">
            <v>1278.2955137235497</v>
          </cell>
          <cell r="AL246">
            <v>0</v>
          </cell>
          <cell r="AN246">
            <v>0</v>
          </cell>
          <cell r="AO246">
            <v>0</v>
          </cell>
          <cell r="AQ246">
            <v>132.32770556571961</v>
          </cell>
          <cell r="AR246">
            <v>0</v>
          </cell>
          <cell r="AT246">
            <v>1578.9289756698345</v>
          </cell>
          <cell r="AU246">
            <v>0</v>
          </cell>
          <cell r="AW246">
            <v>27.982814826598393</v>
          </cell>
          <cell r="AX246">
            <v>5519.8044332453574</v>
          </cell>
        </row>
        <row r="247"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444.78039000859638</v>
          </cell>
          <cell r="AF247">
            <v>0</v>
          </cell>
          <cell r="AH247">
            <v>483.95493226143134</v>
          </cell>
          <cell r="AI247">
            <v>0</v>
          </cell>
          <cell r="AK247">
            <v>432.0021274567427</v>
          </cell>
          <cell r="AL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T247">
            <v>122.7007508229072</v>
          </cell>
          <cell r="AU247">
            <v>0</v>
          </cell>
          <cell r="AW247">
            <v>5.8977233042606496</v>
          </cell>
          <cell r="AX247">
            <v>0</v>
          </cell>
        </row>
        <row r="248"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T248">
            <v>0</v>
          </cell>
          <cell r="AU248">
            <v>0</v>
          </cell>
          <cell r="AW248">
            <v>0</v>
          </cell>
          <cell r="AX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191.3466718585338</v>
          </cell>
          <cell r="AF249">
            <v>0</v>
          </cell>
          <cell r="AH249">
            <v>244.96850107601821</v>
          </cell>
          <cell r="AI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92.230112121581385</v>
          </cell>
          <cell r="AU249">
            <v>0</v>
          </cell>
          <cell r="AW249">
            <v>31.214014296485885</v>
          </cell>
          <cell r="AX249">
            <v>0</v>
          </cell>
        </row>
        <row r="250"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354.58619520575007</v>
          </cell>
          <cell r="AF250">
            <v>0</v>
          </cell>
          <cell r="AH250">
            <v>387.55780378213854</v>
          </cell>
          <cell r="AI250">
            <v>0</v>
          </cell>
          <cell r="AK250">
            <v>350.85777292718421</v>
          </cell>
          <cell r="AL250">
            <v>0</v>
          </cell>
          <cell r="AN250">
            <v>0</v>
          </cell>
          <cell r="AO250">
            <v>0</v>
          </cell>
          <cell r="AQ250">
            <v>33.081926391429903</v>
          </cell>
          <cell r="AR250">
            <v>0</v>
          </cell>
          <cell r="AT250">
            <v>121.64008963681349</v>
          </cell>
          <cell r="AU250">
            <v>0</v>
          </cell>
          <cell r="AW250">
            <v>24.814357093990289</v>
          </cell>
          <cell r="AX250">
            <v>905.68856706307645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346.36738102961817</v>
          </cell>
          <cell r="AF251">
            <v>0</v>
          </cell>
          <cell r="AH251">
            <v>440.99568274599528</v>
          </cell>
          <cell r="AI251">
            <v>0</v>
          </cell>
          <cell r="AK251">
            <v>234.91068048012806</v>
          </cell>
          <cell r="AL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T251">
            <v>200.52441431361646</v>
          </cell>
          <cell r="AU251">
            <v>0</v>
          </cell>
          <cell r="AW251">
            <v>27.982814826598393</v>
          </cell>
          <cell r="AX251">
            <v>0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870.1576319267831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63.925956667248464</v>
          </cell>
          <cell r="AE252">
            <v>707.87746653835734</v>
          </cell>
          <cell r="AF252">
            <v>353.76054788612788</v>
          </cell>
          <cell r="AH252">
            <v>945.49811651820914</v>
          </cell>
          <cell r="AI252">
            <v>0</v>
          </cell>
          <cell r="AK252">
            <v>711.95967213384131</v>
          </cell>
          <cell r="AL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479.81746655732121</v>
          </cell>
          <cell r="AT252">
            <v>390.27346135822808</v>
          </cell>
          <cell r="AU252">
            <v>0</v>
          </cell>
          <cell r="AW252">
            <v>27.982814826598393</v>
          </cell>
          <cell r="AX252">
            <v>0</v>
          </cell>
        </row>
        <row r="253"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1365.7035594191289</v>
          </cell>
          <cell r="AF253">
            <v>0</v>
          </cell>
          <cell r="AH253">
            <v>2143.5042448176973</v>
          </cell>
          <cell r="AI253">
            <v>0</v>
          </cell>
          <cell r="AK253">
            <v>1744.9062770190326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850.1377089714357</v>
          </cell>
          <cell r="AU253">
            <v>0</v>
          </cell>
          <cell r="AW253">
            <v>0</v>
          </cell>
          <cell r="AX253">
            <v>0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1112.4586635456358</v>
          </cell>
          <cell r="AF254">
            <v>0</v>
          </cell>
          <cell r="AH254">
            <v>1716.4894849985837</v>
          </cell>
          <cell r="AI254">
            <v>0</v>
          </cell>
          <cell r="AK254">
            <v>1523.7536474436763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610.46510845650778</v>
          </cell>
          <cell r="AU254">
            <v>0</v>
          </cell>
          <cell r="AW254">
            <v>0</v>
          </cell>
          <cell r="AX254">
            <v>0</v>
          </cell>
        </row>
        <row r="255"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3</v>
          </cell>
          <cell r="S255">
            <v>58012.681147640193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945.34531979928818</v>
          </cell>
          <cell r="Z255">
            <v>0</v>
          </cell>
          <cell r="AA255">
            <v>0</v>
          </cell>
          <cell r="AB255">
            <v>4551.4980814956698</v>
          </cell>
          <cell r="AC255">
            <v>287.9117873377225</v>
          </cell>
          <cell r="AD255">
            <v>2841.4606602174008</v>
          </cell>
          <cell r="AE255">
            <v>973.48095334291907</v>
          </cell>
          <cell r="AF255">
            <v>1112.5486985183848</v>
          </cell>
          <cell r="AH255">
            <v>1016.921708782853</v>
          </cell>
          <cell r="AI255">
            <v>0</v>
          </cell>
          <cell r="AK255">
            <v>1107.1747322452418</v>
          </cell>
          <cell r="AL255">
            <v>0</v>
          </cell>
          <cell r="AN255">
            <v>119.60859402160048</v>
          </cell>
          <cell r="AO255">
            <v>0</v>
          </cell>
          <cell r="AQ255">
            <v>163.09273059060848</v>
          </cell>
          <cell r="AR255">
            <v>0</v>
          </cell>
          <cell r="AT255">
            <v>987.37950051147186</v>
          </cell>
          <cell r="AU255">
            <v>2005.4202757549467</v>
          </cell>
          <cell r="AW255">
            <v>77.983488501946781</v>
          </cell>
          <cell r="AX255">
            <v>12702.530811934001</v>
          </cell>
        </row>
        <row r="256"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1127.1904194067079</v>
          </cell>
          <cell r="AF256">
            <v>0</v>
          </cell>
          <cell r="AH256">
            <v>1809.1395828634318</v>
          </cell>
          <cell r="AI256">
            <v>0</v>
          </cell>
          <cell r="AK256">
            <v>1171.1659159460551</v>
          </cell>
          <cell r="AL256">
            <v>0</v>
          </cell>
          <cell r="AN256">
            <v>9.6842333827027165</v>
          </cell>
          <cell r="AO256">
            <v>0</v>
          </cell>
          <cell r="AQ256">
            <v>0</v>
          </cell>
          <cell r="AR256">
            <v>0</v>
          </cell>
          <cell r="AT256">
            <v>894.68770869804359</v>
          </cell>
          <cell r="AU256">
            <v>0</v>
          </cell>
          <cell r="AW256">
            <v>0</v>
          </cell>
          <cell r="AX256">
            <v>0</v>
          </cell>
        </row>
        <row r="257">
          <cell r="I257">
            <v>53</v>
          </cell>
          <cell r="J257">
            <v>18250.455600203022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1377.7569364559051</v>
          </cell>
          <cell r="AF257">
            <v>841.8627706236158</v>
          </cell>
          <cell r="AH257">
            <v>2095.2020591740661</v>
          </cell>
          <cell r="AI257">
            <v>0</v>
          </cell>
          <cell r="AK257">
            <v>832.6241926102465</v>
          </cell>
          <cell r="AL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T257">
            <v>1215.9749901992327</v>
          </cell>
          <cell r="AU257">
            <v>0</v>
          </cell>
          <cell r="AW257">
            <v>75.290084735242345</v>
          </cell>
          <cell r="AX257">
            <v>0</v>
          </cell>
        </row>
        <row r="258"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8</v>
          </cell>
          <cell r="X258">
            <v>478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955.43559777738403</v>
          </cell>
          <cell r="AE258">
            <v>424.58288533930687</v>
          </cell>
          <cell r="AF258">
            <v>0</v>
          </cell>
          <cell r="AH258">
            <v>549.71727551068523</v>
          </cell>
          <cell r="AI258">
            <v>0</v>
          </cell>
          <cell r="AK258">
            <v>221.80434481883185</v>
          </cell>
          <cell r="AL258">
            <v>0</v>
          </cell>
          <cell r="AN258">
            <v>0</v>
          </cell>
          <cell r="AO258">
            <v>0</v>
          </cell>
          <cell r="AQ258">
            <v>66.163852782859806</v>
          </cell>
          <cell r="AR258">
            <v>0</v>
          </cell>
          <cell r="AT258">
            <v>223.15159438730078</v>
          </cell>
          <cell r="AU258">
            <v>366.48772601357666</v>
          </cell>
          <cell r="AW258">
            <v>25.222178386306183</v>
          </cell>
          <cell r="AX258">
            <v>0</v>
          </cell>
        </row>
        <row r="259">
          <cell r="I259">
            <v>60.349999999999994</v>
          </cell>
          <cell r="J259">
            <v>29508.635054001814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4</v>
          </cell>
          <cell r="S259">
            <v>18802.645777826587</v>
          </cell>
          <cell r="U259">
            <v>0</v>
          </cell>
          <cell r="V259">
            <v>0</v>
          </cell>
          <cell r="W259">
            <v>6</v>
          </cell>
          <cell r="X259">
            <v>501.22183469410999</v>
          </cell>
          <cell r="Y259">
            <v>1349.7224752995232</v>
          </cell>
          <cell r="Z259">
            <v>0</v>
          </cell>
          <cell r="AA259">
            <v>0</v>
          </cell>
          <cell r="AB259">
            <v>0</v>
          </cell>
          <cell r="AC259">
            <v>12846.957465978341</v>
          </cell>
          <cell r="AD259">
            <v>673.44402845337891</v>
          </cell>
          <cell r="AE259">
            <v>1652.2704424212543</v>
          </cell>
          <cell r="AF259">
            <v>3003.0971357121953</v>
          </cell>
          <cell r="AH259">
            <v>1808.6914400187161</v>
          </cell>
          <cell r="AI259">
            <v>0</v>
          </cell>
          <cell r="AK259">
            <v>1855.5273468008397</v>
          </cell>
          <cell r="AL259">
            <v>774.43253390249993</v>
          </cell>
          <cell r="AN259">
            <v>214.37798054931065</v>
          </cell>
          <cell r="AO259">
            <v>0</v>
          </cell>
          <cell r="AQ259">
            <v>187.69709128714862</v>
          </cell>
          <cell r="AR259">
            <v>1241.6980407141316</v>
          </cell>
          <cell r="AT259">
            <v>1104.9709715175873</v>
          </cell>
          <cell r="AU259">
            <v>4079.5358971971282</v>
          </cell>
          <cell r="AW259">
            <v>159.99143006238995</v>
          </cell>
          <cell r="AX259">
            <v>0</v>
          </cell>
        </row>
        <row r="260">
          <cell r="I260">
            <v>64</v>
          </cell>
          <cell r="J260">
            <v>20355.5938864036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57421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1795.0332430856574</v>
          </cell>
          <cell r="AD260">
            <v>0</v>
          </cell>
          <cell r="AE260">
            <v>2136.6324593488976</v>
          </cell>
          <cell r="AF260">
            <v>0</v>
          </cell>
          <cell r="AH260">
            <v>2768.449680245255</v>
          </cell>
          <cell r="AI260">
            <v>1830.6058002981117</v>
          </cell>
          <cell r="AK260">
            <v>2275.2160731090444</v>
          </cell>
          <cell r="AL260">
            <v>0</v>
          </cell>
          <cell r="AN260">
            <v>130.34855845957827</v>
          </cell>
          <cell r="AO260">
            <v>0</v>
          </cell>
          <cell r="AQ260">
            <v>117.14561060251144</v>
          </cell>
          <cell r="AR260">
            <v>2736.2859111191829</v>
          </cell>
          <cell r="AT260">
            <v>1308.4607716294563</v>
          </cell>
          <cell r="AU260">
            <v>3883.1462910796058</v>
          </cell>
          <cell r="AW260">
            <v>81.564258463179186</v>
          </cell>
          <cell r="AX260">
            <v>4932.1680519975707</v>
          </cell>
        </row>
        <row r="261"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1149.4857418850281</v>
          </cell>
          <cell r="AF261">
            <v>0</v>
          </cell>
          <cell r="AH261">
            <v>1574.0061400298966</v>
          </cell>
          <cell r="AI261">
            <v>0</v>
          </cell>
          <cell r="AK261">
            <v>1464.0211387254765</v>
          </cell>
          <cell r="AL261">
            <v>0</v>
          </cell>
          <cell r="AN261">
            <v>0</v>
          </cell>
          <cell r="AO261">
            <v>0</v>
          </cell>
          <cell r="AQ261">
            <v>82.704815978574771</v>
          </cell>
          <cell r="AR261">
            <v>0</v>
          </cell>
          <cell r="AT261">
            <v>616.87273887610627</v>
          </cell>
          <cell r="AU261">
            <v>0</v>
          </cell>
          <cell r="AW261">
            <v>6.7133658888924428</v>
          </cell>
          <cell r="AX261">
            <v>3871.0066633910001</v>
          </cell>
        </row>
        <row r="262"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7282.1156481526978</v>
          </cell>
          <cell r="Z262">
            <v>0</v>
          </cell>
          <cell r="AA262">
            <v>0</v>
          </cell>
          <cell r="AB262">
            <v>1619.5319851962784</v>
          </cell>
          <cell r="AC262">
            <v>0</v>
          </cell>
          <cell r="AD262">
            <v>1403.9394092949551</v>
          </cell>
          <cell r="AE262">
            <v>1690.9267547233671</v>
          </cell>
          <cell r="AF262">
            <v>2224.4628013282272</v>
          </cell>
          <cell r="AH262">
            <v>2733.0719569725479</v>
          </cell>
          <cell r="AI262">
            <v>8861.8774847398545</v>
          </cell>
          <cell r="AK262">
            <v>1766.5543494999524</v>
          </cell>
          <cell r="AL262">
            <v>8101.2131585628849</v>
          </cell>
          <cell r="AN262">
            <v>0</v>
          </cell>
          <cell r="AO262">
            <v>0</v>
          </cell>
          <cell r="AQ262">
            <v>120.3755975546722</v>
          </cell>
          <cell r="AR262">
            <v>0</v>
          </cell>
          <cell r="AT262">
            <v>1672.2032470530755</v>
          </cell>
          <cell r="AU262">
            <v>3665.3860014140901</v>
          </cell>
          <cell r="AW262">
            <v>112.9351271028635</v>
          </cell>
          <cell r="AX262">
            <v>5178.1997684099997</v>
          </cell>
        </row>
        <row r="263"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6609.469620531896</v>
          </cell>
          <cell r="AC263">
            <v>0</v>
          </cell>
          <cell r="AD263">
            <v>0</v>
          </cell>
          <cell r="AE263">
            <v>1064.9429342300916</v>
          </cell>
          <cell r="AF263">
            <v>1269.419559694481</v>
          </cell>
          <cell r="AH263">
            <v>1377.1750290552845</v>
          </cell>
          <cell r="AI263">
            <v>0</v>
          </cell>
          <cell r="AK263">
            <v>1376.9459982652359</v>
          </cell>
          <cell r="AL263">
            <v>0</v>
          </cell>
          <cell r="AN263">
            <v>0</v>
          </cell>
          <cell r="AO263">
            <v>0</v>
          </cell>
          <cell r="AQ263">
            <v>66.163852782859806</v>
          </cell>
          <cell r="AR263">
            <v>0</v>
          </cell>
          <cell r="AT263">
            <v>615.43684829469987</v>
          </cell>
          <cell r="AU263">
            <v>938.16598089821059</v>
          </cell>
          <cell r="AW263">
            <v>81.940708886855418</v>
          </cell>
          <cell r="AX263">
            <v>0</v>
          </cell>
        </row>
        <row r="264">
          <cell r="I264">
            <v>1.42</v>
          </cell>
          <cell r="J264">
            <v>823.1870933268799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2</v>
          </cell>
          <cell r="X264">
            <v>1890.8141407935166</v>
          </cell>
          <cell r="Y264">
            <v>0</v>
          </cell>
          <cell r="Z264">
            <v>0</v>
          </cell>
          <cell r="AA264">
            <v>0</v>
          </cell>
          <cell r="AB264">
            <v>1839.2780698668164</v>
          </cell>
          <cell r="AC264">
            <v>0</v>
          </cell>
          <cell r="AD264">
            <v>235.78644211677036</v>
          </cell>
          <cell r="AE264">
            <v>1307.8345547010335</v>
          </cell>
          <cell r="AF264">
            <v>0</v>
          </cell>
          <cell r="AH264">
            <v>1856.3732914675768</v>
          </cell>
          <cell r="AI264">
            <v>579.71223035203479</v>
          </cell>
          <cell r="AK264">
            <v>1923.7194837252227</v>
          </cell>
          <cell r="AL264">
            <v>0</v>
          </cell>
          <cell r="AN264">
            <v>0</v>
          </cell>
          <cell r="AO264">
            <v>0</v>
          </cell>
          <cell r="AQ264">
            <v>165.40963195714954</v>
          </cell>
          <cell r="AR264">
            <v>0</v>
          </cell>
          <cell r="AT264">
            <v>1159.0887961994606</v>
          </cell>
          <cell r="AU264">
            <v>121.68657532546392</v>
          </cell>
          <cell r="AW264">
            <v>95.932116300154604</v>
          </cell>
          <cell r="AX264">
            <v>0</v>
          </cell>
        </row>
        <row r="265">
          <cell r="I265">
            <v>4</v>
          </cell>
          <cell r="J265">
            <v>1205.3176422019528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89</v>
          </cell>
          <cell r="AB265">
            <v>1982.0241151803855</v>
          </cell>
          <cell r="AC265">
            <v>0</v>
          </cell>
          <cell r="AD265">
            <v>1642.5572230142536</v>
          </cell>
          <cell r="AE265">
            <v>1411.8035683265337</v>
          </cell>
          <cell r="AF265">
            <v>0</v>
          </cell>
          <cell r="AH265">
            <v>1777.4359566274543</v>
          </cell>
          <cell r="AI265">
            <v>0</v>
          </cell>
          <cell r="AK265">
            <v>1721.5135369931418</v>
          </cell>
          <cell r="AL265">
            <v>0</v>
          </cell>
          <cell r="AN265">
            <v>0</v>
          </cell>
          <cell r="AO265">
            <v>0</v>
          </cell>
          <cell r="AQ265">
            <v>137.84135996429129</v>
          </cell>
          <cell r="AR265">
            <v>0</v>
          </cell>
          <cell r="AT265">
            <v>1012.4436445864432</v>
          </cell>
          <cell r="AU265">
            <v>1102.1574769873018</v>
          </cell>
          <cell r="AW265">
            <v>70.521712702010319</v>
          </cell>
          <cell r="AX265">
            <v>0</v>
          </cell>
        </row>
        <row r="266"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479.21639352990803</v>
          </cell>
          <cell r="AE266">
            <v>444.24511051297384</v>
          </cell>
          <cell r="AF266">
            <v>0</v>
          </cell>
          <cell r="AH266">
            <v>616.24233050113526</v>
          </cell>
          <cell r="AI266">
            <v>408.24941022231127</v>
          </cell>
          <cell r="AK266">
            <v>267.59540748112727</v>
          </cell>
          <cell r="AL266">
            <v>0</v>
          </cell>
          <cell r="AN266">
            <v>0</v>
          </cell>
          <cell r="AO266">
            <v>0</v>
          </cell>
          <cell r="AQ266">
            <v>66.163852782859806</v>
          </cell>
          <cell r="AR266">
            <v>0</v>
          </cell>
          <cell r="AT266">
            <v>278.3033204226025</v>
          </cell>
          <cell r="AU266">
            <v>0</v>
          </cell>
          <cell r="AW266">
            <v>11.042545761168878</v>
          </cell>
          <cell r="AX266">
            <v>0</v>
          </cell>
        </row>
        <row r="267"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533.10820764313041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5124.6269866122066</v>
          </cell>
          <cell r="AE267">
            <v>1528.0841943740845</v>
          </cell>
          <cell r="AF267">
            <v>1746.9985763489183</v>
          </cell>
          <cell r="AH267">
            <v>2355.5337903249979</v>
          </cell>
          <cell r="AI267">
            <v>0</v>
          </cell>
          <cell r="AK267">
            <v>1612.8081442088055</v>
          </cell>
          <cell r="AL267">
            <v>0</v>
          </cell>
          <cell r="AN267">
            <v>0</v>
          </cell>
          <cell r="AO267">
            <v>0</v>
          </cell>
          <cell r="AQ267">
            <v>110.27308797143304</v>
          </cell>
          <cell r="AR267">
            <v>0</v>
          </cell>
          <cell r="AT267">
            <v>1298.449293620313</v>
          </cell>
          <cell r="AU267">
            <v>0</v>
          </cell>
          <cell r="AW267">
            <v>100.38677964698979</v>
          </cell>
          <cell r="AX267">
            <v>371.38792017384003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1295.7974539889688</v>
          </cell>
          <cell r="AF268">
            <v>0</v>
          </cell>
          <cell r="AH268">
            <v>1637.7006094383519</v>
          </cell>
          <cell r="AI268">
            <v>0</v>
          </cell>
          <cell r="AK268">
            <v>1432.6488538545773</v>
          </cell>
          <cell r="AL268">
            <v>0</v>
          </cell>
          <cell r="AN268">
            <v>501.08556478340154</v>
          </cell>
          <cell r="AO268">
            <v>0</v>
          </cell>
          <cell r="AQ268">
            <v>110.27308797143304</v>
          </cell>
          <cell r="AR268">
            <v>462.73662468131209</v>
          </cell>
          <cell r="AT268">
            <v>1077.0100573325808</v>
          </cell>
          <cell r="AU268">
            <v>0</v>
          </cell>
          <cell r="AW268">
            <v>89.28149214854156</v>
          </cell>
          <cell r="AX268">
            <v>0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1013.8426032313806</v>
          </cell>
          <cell r="AF269">
            <v>0</v>
          </cell>
          <cell r="AH269">
            <v>1269.1193824401723</v>
          </cell>
          <cell r="AI269">
            <v>0</v>
          </cell>
          <cell r="AK269">
            <v>1002.6716589791738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530.74647248256497</v>
          </cell>
          <cell r="AU269">
            <v>0</v>
          </cell>
          <cell r="AW269">
            <v>12.548347455873724</v>
          </cell>
          <cell r="AX269">
            <v>514.52176042799999</v>
          </cell>
        </row>
        <row r="270">
          <cell r="I270">
            <v>0</v>
          </cell>
          <cell r="J270">
            <v>0</v>
          </cell>
          <cell r="L270">
            <v>1</v>
          </cell>
          <cell r="M270">
            <v>80101.804292519781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1104.4515467328572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556.69349349250365</v>
          </cell>
          <cell r="AE270">
            <v>2125.3252901668461</v>
          </cell>
          <cell r="AF270">
            <v>0</v>
          </cell>
          <cell r="AH270">
            <v>3205.8999767079549</v>
          </cell>
          <cell r="AI270">
            <v>0</v>
          </cell>
          <cell r="AK270">
            <v>2119.2591464954821</v>
          </cell>
          <cell r="AL270">
            <v>0</v>
          </cell>
          <cell r="AN270">
            <v>0</v>
          </cell>
          <cell r="AO270">
            <v>0</v>
          </cell>
          <cell r="AQ270">
            <v>82.704815978574771</v>
          </cell>
          <cell r="AR270">
            <v>1102.036601290617</v>
          </cell>
          <cell r="AT270">
            <v>1988.480463411483</v>
          </cell>
          <cell r="AU270">
            <v>863.2953249895204</v>
          </cell>
          <cell r="AW270">
            <v>81.940708886855418</v>
          </cell>
          <cell r="AX270">
            <v>0</v>
          </cell>
        </row>
        <row r="271">
          <cell r="I271">
            <v>0</v>
          </cell>
          <cell r="J271">
            <v>0</v>
          </cell>
          <cell r="L271">
            <v>1</v>
          </cell>
          <cell r="M271">
            <v>141003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773.94026140829078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634.62715800420017</v>
          </cell>
          <cell r="AF271">
            <v>0</v>
          </cell>
          <cell r="AH271">
            <v>1053.9270264468382</v>
          </cell>
          <cell r="AI271">
            <v>0</v>
          </cell>
          <cell r="AK271">
            <v>765.54989276715605</v>
          </cell>
          <cell r="AL271">
            <v>0</v>
          </cell>
          <cell r="AN271">
            <v>0</v>
          </cell>
          <cell r="AO271">
            <v>0</v>
          </cell>
          <cell r="AQ271">
            <v>165.40963195714954</v>
          </cell>
          <cell r="AR271">
            <v>755.30966191292123</v>
          </cell>
          <cell r="AT271">
            <v>678.62887022685243</v>
          </cell>
          <cell r="AU271">
            <v>0</v>
          </cell>
          <cell r="AW271">
            <v>134.5182847269663</v>
          </cell>
          <cell r="AX271">
            <v>0</v>
          </cell>
        </row>
        <row r="272"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12909.135416995116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369.56124763541118</v>
          </cell>
          <cell r="AF272">
            <v>1420.55989481347</v>
          </cell>
          <cell r="AH272">
            <v>611.65984665669134</v>
          </cell>
          <cell r="AI272">
            <v>4069.0025503700049</v>
          </cell>
          <cell r="AK272">
            <v>418.75353300252397</v>
          </cell>
          <cell r="AL272">
            <v>0</v>
          </cell>
          <cell r="AN272">
            <v>0</v>
          </cell>
          <cell r="AO272">
            <v>0</v>
          </cell>
          <cell r="AQ272">
            <v>55.136543985716521</v>
          </cell>
          <cell r="AR272">
            <v>0</v>
          </cell>
          <cell r="AT272">
            <v>381.01434824649681</v>
          </cell>
          <cell r="AU272">
            <v>166.38317306659178</v>
          </cell>
          <cell r="AW272">
            <v>51.416853700442587</v>
          </cell>
          <cell r="AX272">
            <v>2823.3489029615021</v>
          </cell>
        </row>
        <row r="273"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287.63363754214816</v>
          </cell>
          <cell r="Y273">
            <v>10072.073619737603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459.4538180537694</v>
          </cell>
          <cell r="AF273">
            <v>827.64827069082219</v>
          </cell>
          <cell r="AH273">
            <v>749.53490122847575</v>
          </cell>
          <cell r="AI273">
            <v>0</v>
          </cell>
          <cell r="AK273">
            <v>430.41319634134538</v>
          </cell>
          <cell r="AL273">
            <v>6139.6882044226613</v>
          </cell>
          <cell r="AN273">
            <v>0</v>
          </cell>
          <cell r="AO273">
            <v>0</v>
          </cell>
          <cell r="AQ273">
            <v>137.84135996429129</v>
          </cell>
          <cell r="AR273">
            <v>0</v>
          </cell>
          <cell r="AT273">
            <v>579.18124345210913</v>
          </cell>
          <cell r="AU273">
            <v>2422.0845783130308</v>
          </cell>
          <cell r="AW273">
            <v>36.264724147475064</v>
          </cell>
          <cell r="AX273">
            <v>3201.0891275874701</v>
          </cell>
        </row>
        <row r="274">
          <cell r="I274">
            <v>67.3</v>
          </cell>
          <cell r="J274">
            <v>26850.459695755304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396.65789259161488</v>
          </cell>
          <cell r="Y274">
            <v>1591.2678091521764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1700.3404267863709</v>
          </cell>
          <cell r="AE274">
            <v>418.38395144074559</v>
          </cell>
          <cell r="AF274">
            <v>0</v>
          </cell>
          <cell r="AH274">
            <v>440.88168269784978</v>
          </cell>
          <cell r="AI274">
            <v>0</v>
          </cell>
          <cell r="AK274">
            <v>441.46535617124988</v>
          </cell>
          <cell r="AL274">
            <v>0</v>
          </cell>
          <cell r="AN274">
            <v>0</v>
          </cell>
          <cell r="AO274">
            <v>0</v>
          </cell>
          <cell r="AQ274">
            <v>110.27308797143304</v>
          </cell>
          <cell r="AR274">
            <v>978.23542855730432</v>
          </cell>
          <cell r="AT274">
            <v>365.60157052847632</v>
          </cell>
          <cell r="AU274">
            <v>0</v>
          </cell>
          <cell r="AW274">
            <v>35.072631139167051</v>
          </cell>
          <cell r="AX274">
            <v>2962.0098678149147</v>
          </cell>
        </row>
        <row r="275"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1242.0550325550996</v>
          </cell>
          <cell r="AD275">
            <v>673.44402845337891</v>
          </cell>
          <cell r="AE275">
            <v>400.64899758263937</v>
          </cell>
          <cell r="AF275">
            <v>0</v>
          </cell>
          <cell r="AH275">
            <v>510.24864290318396</v>
          </cell>
          <cell r="AI275">
            <v>0</v>
          </cell>
          <cell r="AK275">
            <v>553.25580092220321</v>
          </cell>
          <cell r="AL275">
            <v>0</v>
          </cell>
          <cell r="AN275">
            <v>62.848897336776218</v>
          </cell>
          <cell r="AO275">
            <v>0</v>
          </cell>
          <cell r="AQ275">
            <v>0</v>
          </cell>
          <cell r="AR275">
            <v>0</v>
          </cell>
          <cell r="AT275">
            <v>399.49023351408619</v>
          </cell>
          <cell r="AU275">
            <v>0</v>
          </cell>
          <cell r="AW275">
            <v>35.856902855159163</v>
          </cell>
          <cell r="AX275">
            <v>2940.3973301922965</v>
          </cell>
        </row>
        <row r="276"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1807.6983371243439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3008.5753402511968</v>
          </cell>
          <cell r="AE276">
            <v>2004.6882961080005</v>
          </cell>
          <cell r="AF276">
            <v>0</v>
          </cell>
          <cell r="AH276">
            <v>2996.9892250541711</v>
          </cell>
          <cell r="AI276">
            <v>3848.0344440966592</v>
          </cell>
          <cell r="AK276">
            <v>1902.7184527990246</v>
          </cell>
          <cell r="AL276">
            <v>0</v>
          </cell>
          <cell r="AN276">
            <v>0</v>
          </cell>
          <cell r="AO276">
            <v>0</v>
          </cell>
          <cell r="AQ276">
            <v>110.27308797143304</v>
          </cell>
          <cell r="AR276">
            <v>982.39936882725226</v>
          </cell>
          <cell r="AT276">
            <v>1529.9686038873399</v>
          </cell>
          <cell r="AU276">
            <v>1237.1144901123071</v>
          </cell>
          <cell r="AW276">
            <v>35.072631139167051</v>
          </cell>
          <cell r="AX276">
            <v>3082.7976227439285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1995.3795536091852</v>
          </cell>
          <cell r="AE277">
            <v>1650.0267804279888</v>
          </cell>
          <cell r="AF277">
            <v>0</v>
          </cell>
          <cell r="AH277">
            <v>2653.9675516670641</v>
          </cell>
          <cell r="AI277">
            <v>0</v>
          </cell>
          <cell r="AK277">
            <v>1438.5200978236953</v>
          </cell>
          <cell r="AL277">
            <v>0</v>
          </cell>
          <cell r="AN277">
            <v>0</v>
          </cell>
          <cell r="AO277">
            <v>0</v>
          </cell>
          <cell r="AQ277">
            <v>766.02652989336866</v>
          </cell>
          <cell r="AR277">
            <v>0</v>
          </cell>
          <cell r="AT277">
            <v>1239.5625296929952</v>
          </cell>
          <cell r="AU277">
            <v>0</v>
          </cell>
          <cell r="AW277">
            <v>18.822521183810586</v>
          </cell>
          <cell r="AX277">
            <v>0</v>
          </cell>
        </row>
        <row r="278"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178.49605166622672</v>
          </cell>
          <cell r="Y278">
            <v>11680.926874143068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1004.5381149604426</v>
          </cell>
          <cell r="AE278">
            <v>1613.4333385973096</v>
          </cell>
          <cell r="AF278">
            <v>3528.3834209953352</v>
          </cell>
          <cell r="AH278">
            <v>2693.1283211343075</v>
          </cell>
          <cell r="AI278">
            <v>0</v>
          </cell>
          <cell r="AK278">
            <v>1534.6927635801349</v>
          </cell>
          <cell r="AL278">
            <v>0</v>
          </cell>
          <cell r="AN278">
            <v>0</v>
          </cell>
          <cell r="AO278">
            <v>0</v>
          </cell>
          <cell r="AQ278">
            <v>137.84135996429129</v>
          </cell>
          <cell r="AR278">
            <v>0</v>
          </cell>
          <cell r="AT278">
            <v>1232.7340447174438</v>
          </cell>
          <cell r="AU278">
            <v>938.16598089821059</v>
          </cell>
          <cell r="AW278">
            <v>30.743451266890624</v>
          </cell>
          <cell r="AX278">
            <v>4348.6091856311832</v>
          </cell>
        </row>
        <row r="279"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59.498683888742242</v>
          </cell>
          <cell r="Y279">
            <v>579.40936139365192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2547.3969421639322</v>
          </cell>
          <cell r="AF279">
            <v>0</v>
          </cell>
          <cell r="AH279">
            <v>3869.1055705433359</v>
          </cell>
          <cell r="AI279">
            <v>0</v>
          </cell>
          <cell r="AK279">
            <v>2415.1415182344863</v>
          </cell>
          <cell r="AL279">
            <v>0</v>
          </cell>
          <cell r="AN279">
            <v>146.03203830911946</v>
          </cell>
          <cell r="AO279">
            <v>858.89868450435006</v>
          </cell>
          <cell r="AQ279">
            <v>1296.114322783136</v>
          </cell>
          <cell r="AR279">
            <v>0</v>
          </cell>
          <cell r="AT279">
            <v>2368.8908117678125</v>
          </cell>
          <cell r="AU279">
            <v>0</v>
          </cell>
          <cell r="AW279">
            <v>35.072631139167051</v>
          </cell>
          <cell r="AX279">
            <v>5017.8391734122933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257.82763018454966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1427.2762282807139</v>
          </cell>
          <cell r="AF280">
            <v>0</v>
          </cell>
          <cell r="AH280">
            <v>2091.5059559229717</v>
          </cell>
          <cell r="AI280">
            <v>0</v>
          </cell>
          <cell r="AK280">
            <v>1290.3894029804576</v>
          </cell>
          <cell r="AL280">
            <v>0</v>
          </cell>
          <cell r="AN280">
            <v>0</v>
          </cell>
          <cell r="AO280">
            <v>0</v>
          </cell>
          <cell r="AQ280">
            <v>110.27308797143304</v>
          </cell>
          <cell r="AR280">
            <v>0</v>
          </cell>
          <cell r="AT280">
            <v>1166.0999971541905</v>
          </cell>
          <cell r="AU280">
            <v>0</v>
          </cell>
          <cell r="AW280">
            <v>45.299534315704136</v>
          </cell>
          <cell r="AX280">
            <v>3722.294962106077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511.34868896381897</v>
          </cell>
          <cell r="Y281">
            <v>210.05844343273924</v>
          </cell>
          <cell r="Z281">
            <v>0</v>
          </cell>
          <cell r="AA281">
            <v>0</v>
          </cell>
          <cell r="AB281">
            <v>1020.2040138881625</v>
          </cell>
          <cell r="AC281">
            <v>0</v>
          </cell>
          <cell r="AD281">
            <v>549.85893829538611</v>
          </cell>
          <cell r="AE281">
            <v>2462.5038297820524</v>
          </cell>
          <cell r="AF281">
            <v>0</v>
          </cell>
          <cell r="AH281">
            <v>4014.388319626928</v>
          </cell>
          <cell r="AI281">
            <v>0</v>
          </cell>
          <cell r="AK281">
            <v>2368.1520569517538</v>
          </cell>
          <cell r="AL281">
            <v>0</v>
          </cell>
          <cell r="AN281">
            <v>0</v>
          </cell>
          <cell r="AO281">
            <v>0</v>
          </cell>
          <cell r="AQ281">
            <v>980.1933791661113</v>
          </cell>
          <cell r="AR281">
            <v>0</v>
          </cell>
          <cell r="AT281">
            <v>2952.1295386039205</v>
          </cell>
          <cell r="AU281">
            <v>366.48772601357666</v>
          </cell>
          <cell r="AW281">
            <v>59.886988233157339</v>
          </cell>
          <cell r="AX281">
            <v>0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2094.9763777735479</v>
          </cell>
          <cell r="AF282">
            <v>0</v>
          </cell>
          <cell r="AH282">
            <v>3414.3524278142531</v>
          </cell>
          <cell r="AI282">
            <v>0</v>
          </cell>
          <cell r="AK282">
            <v>1990.1201540664147</v>
          </cell>
          <cell r="AL282">
            <v>0</v>
          </cell>
          <cell r="AN282">
            <v>0</v>
          </cell>
          <cell r="AO282">
            <v>0</v>
          </cell>
          <cell r="AQ282">
            <v>1185.8412348117029</v>
          </cell>
          <cell r="AR282">
            <v>0</v>
          </cell>
          <cell r="AT282">
            <v>1900.4772546094782</v>
          </cell>
          <cell r="AU282">
            <v>0</v>
          </cell>
          <cell r="AW282">
            <v>0</v>
          </cell>
          <cell r="AX282">
            <v>1774.8169317575841</v>
          </cell>
        </row>
        <row r="283">
          <cell r="I283">
            <v>27.360000000000003</v>
          </cell>
          <cell r="J283">
            <v>8612.2415412333448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184.17299354176777</v>
          </cell>
          <cell r="AE283">
            <v>1281.309264962792</v>
          </cell>
          <cell r="AF283">
            <v>0</v>
          </cell>
          <cell r="AH283">
            <v>1716.1153370067982</v>
          </cell>
          <cell r="AI283">
            <v>0</v>
          </cell>
          <cell r="AK283">
            <v>1077.7004887555609</v>
          </cell>
          <cell r="AL283">
            <v>0</v>
          </cell>
          <cell r="AN283">
            <v>0</v>
          </cell>
          <cell r="AO283">
            <v>0</v>
          </cell>
          <cell r="AQ283">
            <v>0</v>
          </cell>
          <cell r="AR283">
            <v>0</v>
          </cell>
          <cell r="AT283">
            <v>701.93906543693743</v>
          </cell>
          <cell r="AU283">
            <v>0</v>
          </cell>
          <cell r="AW283">
            <v>0</v>
          </cell>
          <cell r="AX283">
            <v>0</v>
          </cell>
        </row>
        <row r="284">
          <cell r="I284">
            <v>8.5399999999999991</v>
          </cell>
          <cell r="J284">
            <v>2529.2765410601078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1273.6427380794116</v>
          </cell>
          <cell r="AF284">
            <v>0</v>
          </cell>
          <cell r="AH284">
            <v>1716.1153370067982</v>
          </cell>
          <cell r="AI284">
            <v>0</v>
          </cell>
          <cell r="AK284">
            <v>1086.3608679074032</v>
          </cell>
          <cell r="AL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T284">
            <v>702.18733583365986</v>
          </cell>
          <cell r="AU284">
            <v>0</v>
          </cell>
          <cell r="AW284">
            <v>0</v>
          </cell>
          <cell r="AX284">
            <v>511.88292117934719</v>
          </cell>
        </row>
        <row r="285"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1545.7860333541164</v>
          </cell>
          <cell r="AF285">
            <v>0</v>
          </cell>
          <cell r="AH285">
            <v>2537.8551481651898</v>
          </cell>
          <cell r="AI285">
            <v>0</v>
          </cell>
          <cell r="AK285">
            <v>1444.1799924345055</v>
          </cell>
          <cell r="AL285">
            <v>0</v>
          </cell>
          <cell r="AN285">
            <v>0</v>
          </cell>
          <cell r="AO285">
            <v>0</v>
          </cell>
          <cell r="AQ285">
            <v>766.02652989336866</v>
          </cell>
          <cell r="AR285">
            <v>0</v>
          </cell>
          <cell r="AT285">
            <v>1136.5153945192765</v>
          </cell>
          <cell r="AU285">
            <v>0</v>
          </cell>
          <cell r="AW285">
            <v>0</v>
          </cell>
          <cell r="AX285">
            <v>1478.7804376295485</v>
          </cell>
        </row>
        <row r="286"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1116.4948897895028</v>
          </cell>
          <cell r="AF286">
            <v>0</v>
          </cell>
          <cell r="AH286">
            <v>1691.3088967470269</v>
          </cell>
          <cell r="AI286">
            <v>0</v>
          </cell>
          <cell r="AK286">
            <v>1345.9477566707626</v>
          </cell>
          <cell r="AL286">
            <v>0</v>
          </cell>
          <cell r="AN286">
            <v>805.25825080563209</v>
          </cell>
          <cell r="AO286">
            <v>780.59971383569996</v>
          </cell>
          <cell r="AQ286">
            <v>0</v>
          </cell>
          <cell r="AR286">
            <v>0</v>
          </cell>
          <cell r="AT286">
            <v>694.66302524986986</v>
          </cell>
          <cell r="AU286">
            <v>0</v>
          </cell>
          <cell r="AW286">
            <v>12.548347455873724</v>
          </cell>
          <cell r="AX286">
            <v>0</v>
          </cell>
        </row>
        <row r="287"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45472.493583748685</v>
          </cell>
          <cell r="Z287">
            <v>0</v>
          </cell>
          <cell r="AA287">
            <v>0</v>
          </cell>
          <cell r="AB287">
            <v>2387.8035746603491</v>
          </cell>
          <cell r="AC287">
            <v>0</v>
          </cell>
          <cell r="AD287">
            <v>3152.379297360907</v>
          </cell>
          <cell r="AE287">
            <v>666.58349855324514</v>
          </cell>
          <cell r="AF287">
            <v>1480.3833372748431</v>
          </cell>
          <cell r="AH287">
            <v>1194.5419074704296</v>
          </cell>
          <cell r="AI287">
            <v>4026.9354538046</v>
          </cell>
          <cell r="AK287">
            <v>676.93019890839014</v>
          </cell>
          <cell r="AL287">
            <v>0</v>
          </cell>
          <cell r="AN287">
            <v>0</v>
          </cell>
          <cell r="AO287">
            <v>0</v>
          </cell>
          <cell r="AQ287">
            <v>165.40963195714954</v>
          </cell>
          <cell r="AR287">
            <v>0</v>
          </cell>
          <cell r="AT287">
            <v>1075.5298481012535</v>
          </cell>
          <cell r="AU287">
            <v>0</v>
          </cell>
          <cell r="AW287">
            <v>131.75764828667408</v>
          </cell>
          <cell r="AX287">
            <v>4212.4308892474091</v>
          </cell>
        </row>
        <row r="288"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2232.0418727984938</v>
          </cell>
          <cell r="Z288">
            <v>0</v>
          </cell>
          <cell r="AA288">
            <v>0</v>
          </cell>
          <cell r="AB288">
            <v>0</v>
          </cell>
          <cell r="AC288">
            <v>494.42802485118295</v>
          </cell>
          <cell r="AD288">
            <v>2765.9309624976481</v>
          </cell>
          <cell r="AE288">
            <v>773.11757953491247</v>
          </cell>
          <cell r="AF288">
            <v>0</v>
          </cell>
          <cell r="AH288">
            <v>1353.2009276686822</v>
          </cell>
          <cell r="AI288">
            <v>1993.2749308295788</v>
          </cell>
          <cell r="AK288">
            <v>700.21106887602366</v>
          </cell>
          <cell r="AL288">
            <v>0</v>
          </cell>
          <cell r="AN288">
            <v>0</v>
          </cell>
          <cell r="AO288">
            <v>0</v>
          </cell>
          <cell r="AQ288">
            <v>120.3755975546722</v>
          </cell>
          <cell r="AR288">
            <v>0</v>
          </cell>
          <cell r="AT288">
            <v>1167.4463453884696</v>
          </cell>
          <cell r="AU288">
            <v>1919.8361817699697</v>
          </cell>
          <cell r="AW288">
            <v>131.75764828667408</v>
          </cell>
          <cell r="AX288">
            <v>0</v>
          </cell>
        </row>
        <row r="289"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1091.3323496510825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343.77136764237849</v>
          </cell>
          <cell r="AD289">
            <v>2596.4650871557196</v>
          </cell>
          <cell r="AE289">
            <v>1067.1047853020175</v>
          </cell>
          <cell r="AF289">
            <v>0</v>
          </cell>
          <cell r="AH289">
            <v>1370.8214440373281</v>
          </cell>
          <cell r="AI289">
            <v>570.54106016942649</v>
          </cell>
          <cell r="AK289">
            <v>1566.8368240125562</v>
          </cell>
          <cell r="AL289">
            <v>0</v>
          </cell>
          <cell r="AN289">
            <v>382.95594015596635</v>
          </cell>
          <cell r="AO289">
            <v>0</v>
          </cell>
          <cell r="AQ289">
            <v>230.86432360383978</v>
          </cell>
          <cell r="AR289">
            <v>0</v>
          </cell>
          <cell r="AT289">
            <v>1268.6522772471412</v>
          </cell>
          <cell r="AU289">
            <v>0</v>
          </cell>
          <cell r="AW289">
            <v>429.9519544785104</v>
          </cell>
          <cell r="AX289">
            <v>0</v>
          </cell>
        </row>
        <row r="290">
          <cell r="I290">
            <v>185</v>
          </cell>
          <cell r="J290">
            <v>54174.497888903148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8</v>
          </cell>
          <cell r="X290">
            <v>588</v>
          </cell>
          <cell r="Y290">
            <v>8858.8985719119701</v>
          </cell>
          <cell r="Z290">
            <v>0</v>
          </cell>
          <cell r="AA290">
            <v>0</v>
          </cell>
          <cell r="AB290">
            <v>0</v>
          </cell>
          <cell r="AC290">
            <v>457</v>
          </cell>
          <cell r="AD290">
            <v>0</v>
          </cell>
          <cell r="AE290">
            <v>1053.5040728582671</v>
          </cell>
          <cell r="AF290">
            <v>431.24298690662943</v>
          </cell>
          <cell r="AH290">
            <v>1804.7557490561057</v>
          </cell>
          <cell r="AI290">
            <v>7036.4628755305421</v>
          </cell>
          <cell r="AK290">
            <v>943.05724197237737</v>
          </cell>
          <cell r="AL290">
            <v>0</v>
          </cell>
          <cell r="AN290">
            <v>0</v>
          </cell>
          <cell r="AO290">
            <v>0</v>
          </cell>
          <cell r="AQ290">
            <v>186.34647975612475</v>
          </cell>
          <cell r="AR290">
            <v>0</v>
          </cell>
          <cell r="AT290">
            <v>1974.2337442247162</v>
          </cell>
          <cell r="AU290">
            <v>0</v>
          </cell>
          <cell r="AW290">
            <v>150.58016947048469</v>
          </cell>
          <cell r="AX290">
            <v>0</v>
          </cell>
        </row>
        <row r="291">
          <cell r="I291">
            <v>83</v>
          </cell>
          <cell r="J291">
            <v>25471.432212581967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1457.6095698662252</v>
          </cell>
          <cell r="AF291">
            <v>1924.9743504526677</v>
          </cell>
          <cell r="AH291">
            <v>2107.1034268404132</v>
          </cell>
          <cell r="AI291">
            <v>666.0646154291527</v>
          </cell>
          <cell r="AK291">
            <v>399.59689396766612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1467.17803816387</v>
          </cell>
          <cell r="AU291">
            <v>3019.4716439340618</v>
          </cell>
          <cell r="AW291">
            <v>75.290084735242345</v>
          </cell>
          <cell r="AX291">
            <v>371.38792017384003</v>
          </cell>
        </row>
        <row r="292"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8</v>
          </cell>
          <cell r="X292">
            <v>592</v>
          </cell>
          <cell r="Y292">
            <v>7297.3852973104567</v>
          </cell>
          <cell r="Z292">
            <v>0</v>
          </cell>
          <cell r="AA292">
            <v>0</v>
          </cell>
          <cell r="AB292">
            <v>1769.3446883031322</v>
          </cell>
          <cell r="AC292">
            <v>0</v>
          </cell>
          <cell r="AD292">
            <v>253.93096249764827</v>
          </cell>
          <cell r="AE292">
            <v>1053.6195532597635</v>
          </cell>
          <cell r="AF292">
            <v>1153.9366216582528</v>
          </cell>
          <cell r="AH292">
            <v>1883.8692004807069</v>
          </cell>
          <cell r="AI292">
            <v>3993.3854926809418</v>
          </cell>
          <cell r="AK292">
            <v>1260.5114163984745</v>
          </cell>
          <cell r="AL292">
            <v>0</v>
          </cell>
          <cell r="AN292">
            <v>0</v>
          </cell>
          <cell r="AO292">
            <v>0</v>
          </cell>
          <cell r="AQ292">
            <v>122.87168868821882</v>
          </cell>
          <cell r="AR292">
            <v>0</v>
          </cell>
          <cell r="AT292">
            <v>1371.7199957201028</v>
          </cell>
          <cell r="AU292">
            <v>0</v>
          </cell>
          <cell r="AW292">
            <v>131.75764828667408</v>
          </cell>
          <cell r="AX292">
            <v>0</v>
          </cell>
        </row>
        <row r="293">
          <cell r="I293">
            <v>16.440000000000001</v>
          </cell>
          <cell r="J293">
            <v>12526.230573945744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78</v>
          </cell>
          <cell r="Z293">
            <v>0</v>
          </cell>
          <cell r="AA293">
            <v>0</v>
          </cell>
          <cell r="AB293">
            <v>8446.316756394388</v>
          </cell>
          <cell r="AC293">
            <v>0</v>
          </cell>
          <cell r="AD293">
            <v>2126.9351505049008</v>
          </cell>
          <cell r="AE293">
            <v>2273.2304382146726</v>
          </cell>
          <cell r="AF293">
            <v>0</v>
          </cell>
          <cell r="AH293">
            <v>3533.2025732787342</v>
          </cell>
          <cell r="AI293">
            <v>0</v>
          </cell>
          <cell r="AK293">
            <v>3060.8226829234709</v>
          </cell>
          <cell r="AL293">
            <v>8140.446216658981</v>
          </cell>
          <cell r="AN293">
            <v>707.57373791742839</v>
          </cell>
          <cell r="AO293">
            <v>0</v>
          </cell>
          <cell r="AQ293">
            <v>776.78673792172162</v>
          </cell>
          <cell r="AR293">
            <v>4686.7614884431332</v>
          </cell>
          <cell r="AT293">
            <v>2416.440289013095</v>
          </cell>
          <cell r="AU293">
            <v>1968.8779832321352</v>
          </cell>
          <cell r="AW293">
            <v>150.58016947048469</v>
          </cell>
          <cell r="AX293">
            <v>7310.2206392330872</v>
          </cell>
        </row>
        <row r="294">
          <cell r="I294">
            <v>69.569999999999993</v>
          </cell>
          <cell r="J294">
            <v>22577.382337337989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2197.7567845837211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423.22282540874562</v>
          </cell>
          <cell r="AE294">
            <v>1178.9904951224876</v>
          </cell>
          <cell r="AF294">
            <v>0</v>
          </cell>
          <cell r="AH294">
            <v>1904.0675363597215</v>
          </cell>
          <cell r="AI294">
            <v>0</v>
          </cell>
          <cell r="AK294">
            <v>1799.1310013954683</v>
          </cell>
          <cell r="AL294">
            <v>0</v>
          </cell>
          <cell r="AN294">
            <v>519.41255181515908</v>
          </cell>
          <cell r="AO294">
            <v>0</v>
          </cell>
          <cell r="AQ294">
            <v>230.86432360383978</v>
          </cell>
          <cell r="AR294">
            <v>0</v>
          </cell>
          <cell r="AT294">
            <v>936.30502923897166</v>
          </cell>
          <cell r="AU294">
            <v>0</v>
          </cell>
          <cell r="AW294">
            <v>100.38677964698979</v>
          </cell>
          <cell r="AX294">
            <v>0</v>
          </cell>
        </row>
        <row r="295">
          <cell r="I295">
            <v>138</v>
          </cell>
          <cell r="J295">
            <v>38436.12056171005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3518.2343873327209</v>
          </cell>
          <cell r="AE295">
            <v>1352.1712570544209</v>
          </cell>
          <cell r="AF295">
            <v>0</v>
          </cell>
          <cell r="AH295">
            <v>1854.7684664917163</v>
          </cell>
          <cell r="AI295">
            <v>0</v>
          </cell>
          <cell r="AK295">
            <v>1469.6765463348349</v>
          </cell>
          <cell r="AL295">
            <v>1031.3735201027444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T295">
            <v>954.44583451083736</v>
          </cell>
          <cell r="AU295">
            <v>0</v>
          </cell>
          <cell r="AW295">
            <v>100.38677964698979</v>
          </cell>
          <cell r="AX295">
            <v>4652.8550332467257</v>
          </cell>
        </row>
        <row r="296">
          <cell r="I296">
            <v>190.7</v>
          </cell>
          <cell r="J296">
            <v>53898.38876678513</v>
          </cell>
          <cell r="L296">
            <v>0</v>
          </cell>
          <cell r="M296">
            <v>0</v>
          </cell>
          <cell r="O296">
            <v>7</v>
          </cell>
          <cell r="P296">
            <v>2045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1510.1337006056917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3503.6966366123679</v>
          </cell>
          <cell r="AE296">
            <v>2349.564763190569</v>
          </cell>
          <cell r="AF296">
            <v>2875.1968307598459</v>
          </cell>
          <cell r="AH296">
            <v>3904.8931319410749</v>
          </cell>
          <cell r="AI296">
            <v>2648.6294328906129</v>
          </cell>
          <cell r="AK296">
            <v>2207.7254447971122</v>
          </cell>
          <cell r="AL296">
            <v>4332.2901089698898</v>
          </cell>
          <cell r="AN296">
            <v>0</v>
          </cell>
          <cell r="AO296">
            <v>0</v>
          </cell>
          <cell r="AQ296">
            <v>886.40212744804091</v>
          </cell>
          <cell r="AR296">
            <v>0</v>
          </cell>
          <cell r="AT296">
            <v>2251.0847917751698</v>
          </cell>
          <cell r="AU296">
            <v>0</v>
          </cell>
          <cell r="AW296">
            <v>131.75764828667408</v>
          </cell>
          <cell r="AX296">
            <v>6598.4307670595836</v>
          </cell>
        </row>
        <row r="297">
          <cell r="I297">
            <v>105</v>
          </cell>
          <cell r="J297">
            <v>34269.644057933809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4507.5069143762066</v>
          </cell>
          <cell r="AD297">
            <v>0</v>
          </cell>
          <cell r="AE297">
            <v>988.31208819995777</v>
          </cell>
          <cell r="AF297">
            <v>0</v>
          </cell>
          <cell r="AH297">
            <v>1405.5493813391754</v>
          </cell>
          <cell r="AI297">
            <v>0</v>
          </cell>
          <cell r="AK297">
            <v>1247.2954179175003</v>
          </cell>
          <cell r="AL297">
            <v>0</v>
          </cell>
          <cell r="AN297">
            <v>207.01942879331136</v>
          </cell>
          <cell r="AO297">
            <v>705.11426222136083</v>
          </cell>
          <cell r="AQ297">
            <v>0</v>
          </cell>
          <cell r="AR297">
            <v>0</v>
          </cell>
          <cell r="AT297">
            <v>672.59150515731801</v>
          </cell>
          <cell r="AU297">
            <v>1917.9951146321905</v>
          </cell>
          <cell r="AW297">
            <v>81.564258463179186</v>
          </cell>
          <cell r="AX297">
            <v>0</v>
          </cell>
        </row>
        <row r="298"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9873.2623067173117</v>
          </cell>
          <cell r="AD298">
            <v>423.22282540874562</v>
          </cell>
          <cell r="AE298">
            <v>1836.9330889442845</v>
          </cell>
          <cell r="AF298">
            <v>0</v>
          </cell>
          <cell r="AH298">
            <v>2621.8126995408438</v>
          </cell>
          <cell r="AI298">
            <v>0</v>
          </cell>
          <cell r="AK298">
            <v>1868.0189978220867</v>
          </cell>
          <cell r="AL298">
            <v>0</v>
          </cell>
          <cell r="AN298">
            <v>0</v>
          </cell>
          <cell r="AO298">
            <v>0</v>
          </cell>
          <cell r="AQ298">
            <v>132.32770556571961</v>
          </cell>
          <cell r="AR298">
            <v>2242.0233663846593</v>
          </cell>
          <cell r="AT298">
            <v>1814.8467226008709</v>
          </cell>
          <cell r="AU298">
            <v>1454.734679519712</v>
          </cell>
          <cell r="AW298">
            <v>23.245813662006071</v>
          </cell>
          <cell r="AX298">
            <v>0</v>
          </cell>
        </row>
        <row r="299"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1218.8680388744015</v>
          </cell>
          <cell r="AF299">
            <v>3586.6332820377033</v>
          </cell>
          <cell r="AH299">
            <v>1916.2988313197484</v>
          </cell>
          <cell r="AI299">
            <v>0</v>
          </cell>
          <cell r="AK299">
            <v>773.20390850160993</v>
          </cell>
          <cell r="AL299">
            <v>0</v>
          </cell>
          <cell r="AN299">
            <v>320.86078363657521</v>
          </cell>
          <cell r="AO299">
            <v>0</v>
          </cell>
          <cell r="AQ299">
            <v>66.163852782859806</v>
          </cell>
          <cell r="AR299">
            <v>0</v>
          </cell>
          <cell r="AT299">
            <v>385.40432700513554</v>
          </cell>
          <cell r="AU299">
            <v>623.31079377806623</v>
          </cell>
          <cell r="AW299">
            <v>11.418996184845088</v>
          </cell>
          <cell r="AX299">
            <v>0</v>
          </cell>
        </row>
        <row r="300"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2</v>
          </cell>
          <cell r="X300">
            <v>924.30260662468334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2169.8541888236432</v>
          </cell>
          <cell r="AF300">
            <v>0</v>
          </cell>
          <cell r="AH300">
            <v>3015.2950770790312</v>
          </cell>
          <cell r="AI300">
            <v>2569.439246533032</v>
          </cell>
          <cell r="AK300">
            <v>2083.1463296697129</v>
          </cell>
          <cell r="AL300">
            <v>0</v>
          </cell>
          <cell r="AN300">
            <v>0</v>
          </cell>
          <cell r="AO300">
            <v>0</v>
          </cell>
          <cell r="AQ300">
            <v>400.65888629620662</v>
          </cell>
          <cell r="AR300">
            <v>0</v>
          </cell>
          <cell r="AT300">
            <v>1095.4948054314491</v>
          </cell>
          <cell r="AU300">
            <v>2172.9093567052246</v>
          </cell>
          <cell r="AW300">
            <v>50.036535480296465</v>
          </cell>
          <cell r="AX300">
            <v>0</v>
          </cell>
        </row>
        <row r="301">
          <cell r="I301">
            <v>21.37</v>
          </cell>
          <cell r="J301">
            <v>5380.3531314170441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297.49341944371122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1692.3740969824776</v>
          </cell>
          <cell r="AF301">
            <v>0</v>
          </cell>
          <cell r="AH301">
            <v>2635.4067990115554</v>
          </cell>
          <cell r="AI301">
            <v>0</v>
          </cell>
          <cell r="AK301">
            <v>2062.5355379234566</v>
          </cell>
          <cell r="AL301">
            <v>997.74700148929367</v>
          </cell>
          <cell r="AN301">
            <v>1068.9279154588687</v>
          </cell>
          <cell r="AO301">
            <v>0</v>
          </cell>
          <cell r="AQ301">
            <v>132.32770556571961</v>
          </cell>
          <cell r="AR301">
            <v>0</v>
          </cell>
          <cell r="AT301">
            <v>1624.7019625376386</v>
          </cell>
          <cell r="AU301">
            <v>0</v>
          </cell>
          <cell r="AW301">
            <v>134.5182847269663</v>
          </cell>
          <cell r="AX301">
            <v>0</v>
          </cell>
        </row>
        <row r="302"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228.13495365340589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117.47979193004454</v>
          </cell>
          <cell r="AD302">
            <v>0</v>
          </cell>
          <cell r="AE302">
            <v>1533.6747212562154</v>
          </cell>
          <cell r="AF302">
            <v>4503.4950019932257</v>
          </cell>
          <cell r="AH302">
            <v>2090.1965791971465</v>
          </cell>
          <cell r="AI302">
            <v>5124.8656019659602</v>
          </cell>
          <cell r="AK302">
            <v>2525.9807596570499</v>
          </cell>
          <cell r="AL302">
            <v>0</v>
          </cell>
          <cell r="AN302">
            <v>0</v>
          </cell>
          <cell r="AO302">
            <v>0</v>
          </cell>
          <cell r="AQ302">
            <v>115.78674237000469</v>
          </cell>
          <cell r="AR302">
            <v>0</v>
          </cell>
          <cell r="AT302">
            <v>2304.3981698089851</v>
          </cell>
          <cell r="AU302">
            <v>0</v>
          </cell>
          <cell r="AW302">
            <v>78.615396811048868</v>
          </cell>
          <cell r="AX302">
            <v>0</v>
          </cell>
        </row>
        <row r="303">
          <cell r="I303">
            <v>1.4</v>
          </cell>
          <cell r="J303">
            <v>647.17827457326962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4</v>
          </cell>
          <cell r="X303">
            <v>496.31850210937301</v>
          </cell>
          <cell r="Y303">
            <v>1733.9412738779965</v>
          </cell>
          <cell r="Z303">
            <v>0</v>
          </cell>
          <cell r="AA303">
            <v>0</v>
          </cell>
          <cell r="AB303">
            <v>2388</v>
          </cell>
          <cell r="AC303">
            <v>0</v>
          </cell>
          <cell r="AD303">
            <v>421.07084396905088</v>
          </cell>
          <cell r="AE303">
            <v>4308.8222760729377</v>
          </cell>
          <cell r="AF303">
            <v>489.07359764550097</v>
          </cell>
          <cell r="AH303">
            <v>6412.2858886620406</v>
          </cell>
          <cell r="AI303">
            <v>2763.9000575951236</v>
          </cell>
          <cell r="AK303">
            <v>5511.0835575533911</v>
          </cell>
          <cell r="AL303">
            <v>1973.6124658973918</v>
          </cell>
          <cell r="AN303">
            <v>0</v>
          </cell>
          <cell r="AO303">
            <v>963</v>
          </cell>
          <cell r="AQ303">
            <v>303.2509919214408</v>
          </cell>
          <cell r="AR303">
            <v>1112.3865532248451</v>
          </cell>
          <cell r="AT303">
            <v>4667.3121081132713</v>
          </cell>
          <cell r="AU303">
            <v>203.25860468921985</v>
          </cell>
          <cell r="AW303">
            <v>229.6033875738494</v>
          </cell>
          <cell r="AX303">
            <v>0</v>
          </cell>
        </row>
        <row r="304"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626</v>
          </cell>
          <cell r="Z304">
            <v>0</v>
          </cell>
          <cell r="AA304">
            <v>0</v>
          </cell>
          <cell r="AB304">
            <v>0</v>
          </cell>
          <cell r="AC304">
            <v>488.06679329716451</v>
          </cell>
          <cell r="AD304">
            <v>7488.888991789092</v>
          </cell>
          <cell r="AE304">
            <v>1270.3478312347697</v>
          </cell>
          <cell r="AF304">
            <v>316.54139948112498</v>
          </cell>
          <cell r="AH304">
            <v>1824.9729969718178</v>
          </cell>
          <cell r="AI304">
            <v>0</v>
          </cell>
          <cell r="AK304">
            <v>1641.2518645331816</v>
          </cell>
          <cell r="AL304">
            <v>0</v>
          </cell>
          <cell r="AN304">
            <v>0</v>
          </cell>
          <cell r="AO304">
            <v>0</v>
          </cell>
          <cell r="AQ304">
            <v>110.27308797143304</v>
          </cell>
          <cell r="AR304">
            <v>480.46762398767237</v>
          </cell>
          <cell r="AT304">
            <v>808.16196789893093</v>
          </cell>
          <cell r="AU304">
            <v>0</v>
          </cell>
          <cell r="AW304">
            <v>119.77397646631468</v>
          </cell>
          <cell r="AX304">
            <v>0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2005.206352052352</v>
          </cell>
          <cell r="AE305">
            <v>1217.91661388329</v>
          </cell>
          <cell r="AF305">
            <v>0</v>
          </cell>
          <cell r="AH305">
            <v>2029.237260523043</v>
          </cell>
          <cell r="AI305">
            <v>396.50086280071275</v>
          </cell>
          <cell r="AK305">
            <v>1421.0104265611935</v>
          </cell>
          <cell r="AL305">
            <v>0</v>
          </cell>
          <cell r="AN305">
            <v>590.3640756903518</v>
          </cell>
          <cell r="AO305">
            <v>0</v>
          </cell>
          <cell r="AQ305">
            <v>441.53060005519256</v>
          </cell>
          <cell r="AR305">
            <v>0</v>
          </cell>
          <cell r="AT305">
            <v>662.94918850712111</v>
          </cell>
          <cell r="AU305">
            <v>0</v>
          </cell>
          <cell r="AW305">
            <v>62.64762467344957</v>
          </cell>
          <cell r="AX305">
            <v>0</v>
          </cell>
        </row>
        <row r="306">
          <cell r="I306">
            <v>5.78</v>
          </cell>
          <cell r="J306">
            <v>1208.8201677640889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7151.8435141465998</v>
          </cell>
          <cell r="AE306">
            <v>2735.0416811778355</v>
          </cell>
          <cell r="AF306">
            <v>355.06420370318943</v>
          </cell>
          <cell r="AH306">
            <v>3495.3711892015031</v>
          </cell>
          <cell r="AI306">
            <v>0</v>
          </cell>
          <cell r="AK306">
            <v>2544.4578931000028</v>
          </cell>
          <cell r="AL306">
            <v>0</v>
          </cell>
          <cell r="AN306">
            <v>0</v>
          </cell>
          <cell r="AO306">
            <v>0</v>
          </cell>
          <cell r="AQ306">
            <v>192.97790395000783</v>
          </cell>
          <cell r="AR306">
            <v>2239.8044883595703</v>
          </cell>
          <cell r="AT306">
            <v>2375.9054469297594</v>
          </cell>
          <cell r="AU306">
            <v>0</v>
          </cell>
          <cell r="AW306">
            <v>1030.9910816439487</v>
          </cell>
          <cell r="AX306">
            <v>7232.0058500227551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1253.4627365764745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1335.0180132504388</v>
          </cell>
          <cell r="AF307">
            <v>0</v>
          </cell>
          <cell r="AH307">
            <v>1925.989645726097</v>
          </cell>
          <cell r="AI307">
            <v>5576.3083022952242</v>
          </cell>
          <cell r="AK307">
            <v>1494.7156445606101</v>
          </cell>
          <cell r="AL307">
            <v>0</v>
          </cell>
          <cell r="AN307">
            <v>0</v>
          </cell>
          <cell r="AO307">
            <v>0</v>
          </cell>
          <cell r="AQ307">
            <v>82.704815978574771</v>
          </cell>
          <cell r="AR307">
            <v>0</v>
          </cell>
          <cell r="AT307">
            <v>964.65372575782339</v>
          </cell>
          <cell r="AU307">
            <v>0</v>
          </cell>
          <cell r="AW307">
            <v>506.17755838682035</v>
          </cell>
          <cell r="AX307">
            <v>3392.7069499238742</v>
          </cell>
        </row>
        <row r="308"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221.44843489257588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10166.387450599803</v>
          </cell>
          <cell r="AE308">
            <v>1628.3941739927573</v>
          </cell>
          <cell r="AF308">
            <v>507.17055751810352</v>
          </cell>
          <cell r="AH308">
            <v>2338.9002310438432</v>
          </cell>
          <cell r="AI308">
            <v>0</v>
          </cell>
          <cell r="AK308">
            <v>1480.4084675719942</v>
          </cell>
          <cell r="AL308">
            <v>0</v>
          </cell>
          <cell r="AN308">
            <v>0</v>
          </cell>
          <cell r="AO308">
            <v>0</v>
          </cell>
          <cell r="AQ308">
            <v>137.84135996429129</v>
          </cell>
          <cell r="AR308">
            <v>0</v>
          </cell>
          <cell r="AT308">
            <v>1190.5653045879285</v>
          </cell>
          <cell r="AU308">
            <v>2626.3928540686829</v>
          </cell>
          <cell r="AW308">
            <v>512.88994661157847</v>
          </cell>
          <cell r="AX308">
            <v>0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5530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W309">
            <v>2</v>
          </cell>
          <cell r="X309">
            <v>177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2909.6213224717749</v>
          </cell>
          <cell r="AF309">
            <v>430.04681676810355</v>
          </cell>
          <cell r="AH309">
            <v>4448.3640596273244</v>
          </cell>
          <cell r="AI309">
            <v>0</v>
          </cell>
          <cell r="AK309">
            <v>2567.5072101546962</v>
          </cell>
          <cell r="AL309">
            <v>0</v>
          </cell>
          <cell r="AN309">
            <v>1457.0433570687778</v>
          </cell>
          <cell r="AO309">
            <v>0</v>
          </cell>
          <cell r="AQ309">
            <v>991.44589588578935</v>
          </cell>
          <cell r="AR309">
            <v>0</v>
          </cell>
          <cell r="AT309">
            <v>2627.2153346184209</v>
          </cell>
          <cell r="AU309">
            <v>2369.7826957431303</v>
          </cell>
          <cell r="AW309">
            <v>1214.9112029644205</v>
          </cell>
          <cell r="AX309">
            <v>7077.2254898314477</v>
          </cell>
        </row>
        <row r="310">
          <cell r="I310">
            <v>4.2699999999999996</v>
          </cell>
          <cell r="J310">
            <v>1279.0756647864066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7167.9947931954948</v>
          </cell>
          <cell r="Z310">
            <v>0</v>
          </cell>
          <cell r="AA310">
            <v>0</v>
          </cell>
          <cell r="AB310">
            <v>0</v>
          </cell>
          <cell r="AC310">
            <v>981.388180189227</v>
          </cell>
          <cell r="AD310">
            <v>599.60174719817769</v>
          </cell>
          <cell r="AE310">
            <v>1950.3844028426292</v>
          </cell>
          <cell r="AF310">
            <v>0</v>
          </cell>
          <cell r="AH310">
            <v>2959.1823689340827</v>
          </cell>
          <cell r="AI310">
            <v>6648.2973791566701</v>
          </cell>
          <cell r="AK310">
            <v>1648.9506497005336</v>
          </cell>
          <cell r="AL310">
            <v>1451.859145189771</v>
          </cell>
          <cell r="AN310">
            <v>0</v>
          </cell>
          <cell r="AO310">
            <v>0</v>
          </cell>
          <cell r="AQ310">
            <v>137.84135996429129</v>
          </cell>
          <cell r="AR310">
            <v>1258.012607588372</v>
          </cell>
          <cell r="AT310">
            <v>1278.2519218518228</v>
          </cell>
          <cell r="AU310">
            <v>3087.939100474121</v>
          </cell>
          <cell r="AW310">
            <v>850.5427469601143</v>
          </cell>
          <cell r="AX310">
            <v>0</v>
          </cell>
        </row>
        <row r="311"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13345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H311">
            <v>0</v>
          </cell>
          <cell r="AI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</row>
        <row r="312"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477</v>
          </cell>
          <cell r="V312">
            <v>0</v>
          </cell>
          <cell r="W312">
            <v>0</v>
          </cell>
          <cell r="X312">
            <v>26.972736696229809</v>
          </cell>
          <cell r="Y312">
            <v>15756.827678040459</v>
          </cell>
          <cell r="Z312">
            <v>0</v>
          </cell>
          <cell r="AA312">
            <v>0</v>
          </cell>
          <cell r="AB312">
            <v>0</v>
          </cell>
          <cell r="AC312">
            <v>918.98677813498307</v>
          </cell>
          <cell r="AD312">
            <v>238.15640653001185</v>
          </cell>
          <cell r="AE312">
            <v>513.31409948618364</v>
          </cell>
          <cell r="AF312">
            <v>0</v>
          </cell>
          <cell r="AH312">
            <v>571.13461566759986</v>
          </cell>
          <cell r="AI312">
            <v>1202.5171137800528</v>
          </cell>
          <cell r="AK312">
            <v>678.7836364241266</v>
          </cell>
          <cell r="AL312">
            <v>2544.8920626544873</v>
          </cell>
          <cell r="AN312">
            <v>298.37970187564554</v>
          </cell>
          <cell r="AO312">
            <v>0</v>
          </cell>
          <cell r="AQ312">
            <v>147.29066680044559</v>
          </cell>
          <cell r="AR312">
            <v>0</v>
          </cell>
          <cell r="AT312">
            <v>400.14503410825091</v>
          </cell>
          <cell r="AU312">
            <v>0</v>
          </cell>
          <cell r="AW312">
            <v>28.923940885788934</v>
          </cell>
          <cell r="AX312">
            <v>0</v>
          </cell>
        </row>
        <row r="313"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2</v>
          </cell>
          <cell r="S313">
            <v>2652.7205821932571</v>
          </cell>
          <cell r="U313">
            <v>0</v>
          </cell>
          <cell r="V313">
            <v>0</v>
          </cell>
          <cell r="W313">
            <v>3</v>
          </cell>
          <cell r="X313">
            <v>523.34088580464675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877.85363330167468</v>
          </cell>
          <cell r="AD313">
            <v>0</v>
          </cell>
          <cell r="AE313">
            <v>1434.486478208695</v>
          </cell>
          <cell r="AF313">
            <v>0</v>
          </cell>
          <cell r="AH313">
            <v>1424.1252084795078</v>
          </cell>
          <cell r="AI313">
            <v>0</v>
          </cell>
          <cell r="AK313">
            <v>1307.2567483606583</v>
          </cell>
          <cell r="AL313">
            <v>0</v>
          </cell>
          <cell r="AN313">
            <v>374.72153810090191</v>
          </cell>
          <cell r="AO313">
            <v>0</v>
          </cell>
          <cell r="AQ313">
            <v>281.58613241553013</v>
          </cell>
          <cell r="AR313">
            <v>0</v>
          </cell>
          <cell r="AT313">
            <v>1064.3593087767688</v>
          </cell>
          <cell r="AU313">
            <v>0</v>
          </cell>
          <cell r="AW313">
            <v>62.553512067530519</v>
          </cell>
          <cell r="AX313">
            <v>4470.1826450859999</v>
          </cell>
        </row>
        <row r="314"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337</v>
          </cell>
          <cell r="AD314">
            <v>0</v>
          </cell>
          <cell r="AE314">
            <v>1615.076529372076</v>
          </cell>
          <cell r="AF314">
            <v>0</v>
          </cell>
          <cell r="AH314">
            <v>2591.8491704384601</v>
          </cell>
          <cell r="AI314">
            <v>0</v>
          </cell>
          <cell r="AK314">
            <v>1992.2471584583423</v>
          </cell>
          <cell r="AL314">
            <v>0</v>
          </cell>
          <cell r="AN314">
            <v>0</v>
          </cell>
          <cell r="AO314">
            <v>0</v>
          </cell>
          <cell r="AQ314">
            <v>137.84135996429129</v>
          </cell>
          <cell r="AR314">
            <v>0</v>
          </cell>
          <cell r="AT314">
            <v>1203.5509672049702</v>
          </cell>
          <cell r="AU314">
            <v>7504.6327808874221</v>
          </cell>
          <cell r="AW314">
            <v>93.171479859862387</v>
          </cell>
          <cell r="AX314">
            <v>0</v>
          </cell>
        </row>
        <row r="315"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3</v>
          </cell>
          <cell r="S315">
            <v>77108.679383775714</v>
          </cell>
          <cell r="U315">
            <v>126</v>
          </cell>
          <cell r="V315">
            <v>0</v>
          </cell>
          <cell r="W315">
            <v>10.5</v>
          </cell>
          <cell r="X315">
            <v>10873.431711497031</v>
          </cell>
          <cell r="Y315">
            <v>33636.02523634713</v>
          </cell>
          <cell r="Z315">
            <v>0</v>
          </cell>
          <cell r="AA315">
            <v>0</v>
          </cell>
          <cell r="AB315">
            <v>2315.0250230620145</v>
          </cell>
          <cell r="AC315">
            <v>0</v>
          </cell>
          <cell r="AD315">
            <v>6192.5453727475497</v>
          </cell>
          <cell r="AE315">
            <v>1955.0382382419707</v>
          </cell>
          <cell r="AF315">
            <v>0</v>
          </cell>
          <cell r="AH315">
            <v>2161.3543325139017</v>
          </cell>
          <cell r="AI315">
            <v>0</v>
          </cell>
          <cell r="AK315">
            <v>2122.4241005253411</v>
          </cell>
          <cell r="AL315">
            <v>0</v>
          </cell>
          <cell r="AN315">
            <v>677.05183545178511</v>
          </cell>
          <cell r="AO315">
            <v>0</v>
          </cell>
          <cell r="AQ315">
            <v>413.79099164092827</v>
          </cell>
          <cell r="AR315">
            <v>0</v>
          </cell>
          <cell r="AT315">
            <v>1721.94083666758</v>
          </cell>
          <cell r="AU315">
            <v>1371.9044569463742</v>
          </cell>
          <cell r="AW315">
            <v>0</v>
          </cell>
          <cell r="AX315">
            <v>0</v>
          </cell>
        </row>
        <row r="316"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2</v>
          </cell>
          <cell r="S316">
            <v>20234.078373979381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870.52927634114951</v>
          </cell>
          <cell r="Z316">
            <v>0</v>
          </cell>
          <cell r="AA316">
            <v>0</v>
          </cell>
          <cell r="AB316">
            <v>11543.278175093064</v>
          </cell>
          <cell r="AC316">
            <v>716.27944689400454</v>
          </cell>
          <cell r="AD316">
            <v>1350.7060090627383</v>
          </cell>
          <cell r="AE316">
            <v>1798.3323455048562</v>
          </cell>
          <cell r="AF316">
            <v>448.18794590112498</v>
          </cell>
          <cell r="AH316">
            <v>2327.0999385920582</v>
          </cell>
          <cell r="AI316">
            <v>4516.7726163450225</v>
          </cell>
          <cell r="AK316">
            <v>2636.8495701127008</v>
          </cell>
          <cell r="AL316">
            <v>0</v>
          </cell>
          <cell r="AN316">
            <v>1280.6745296419426</v>
          </cell>
          <cell r="AO316">
            <v>0</v>
          </cell>
          <cell r="AQ316">
            <v>681.31662459294523</v>
          </cell>
          <cell r="AR316">
            <v>0</v>
          </cell>
          <cell r="AT316">
            <v>2536.937266303471</v>
          </cell>
          <cell r="AU316">
            <v>0</v>
          </cell>
          <cell r="AW316">
            <v>63.83971768175757</v>
          </cell>
          <cell r="AX316">
            <v>0</v>
          </cell>
        </row>
        <row r="317">
          <cell r="I317">
            <v>86.122</v>
          </cell>
          <cell r="J317">
            <v>24825.747865797108</v>
          </cell>
          <cell r="L317">
            <v>1</v>
          </cell>
          <cell r="M317">
            <v>41551</v>
          </cell>
          <cell r="O317">
            <v>0</v>
          </cell>
          <cell r="P317">
            <v>0</v>
          </cell>
          <cell r="R317">
            <v>1</v>
          </cell>
          <cell r="S317">
            <v>851</v>
          </cell>
          <cell r="U317">
            <v>0</v>
          </cell>
          <cell r="V317">
            <v>0</v>
          </cell>
          <cell r="W317">
            <v>4.13</v>
          </cell>
          <cell r="X317">
            <v>5120</v>
          </cell>
          <cell r="Y317">
            <v>3464</v>
          </cell>
          <cell r="Z317">
            <v>0</v>
          </cell>
          <cell r="AA317">
            <v>0</v>
          </cell>
          <cell r="AB317">
            <v>8703.3034782012128</v>
          </cell>
          <cell r="AC317">
            <v>2165.2513166573221</v>
          </cell>
          <cell r="AD317">
            <v>7499.3583731616418</v>
          </cell>
          <cell r="AE317">
            <v>1379.0241178899068</v>
          </cell>
          <cell r="AF317">
            <v>0</v>
          </cell>
          <cell r="AH317">
            <v>1796.809866939619</v>
          </cell>
          <cell r="AI317">
            <v>0</v>
          </cell>
          <cell r="AK317">
            <v>0</v>
          </cell>
          <cell r="AL317">
            <v>0</v>
          </cell>
          <cell r="AN317">
            <v>0</v>
          </cell>
          <cell r="AO317">
            <v>0</v>
          </cell>
          <cell r="AQ317">
            <v>173.78959288558914</v>
          </cell>
          <cell r="AR317">
            <v>0</v>
          </cell>
          <cell r="AT317">
            <v>511.05544763931556</v>
          </cell>
          <cell r="AU317">
            <v>13331.88833759977</v>
          </cell>
          <cell r="AW317">
            <v>0</v>
          </cell>
          <cell r="AX317">
            <v>8782.0509023480008</v>
          </cell>
        </row>
        <row r="318"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R318">
            <v>1</v>
          </cell>
          <cell r="S318">
            <v>2598</v>
          </cell>
          <cell r="U318">
            <v>0</v>
          </cell>
          <cell r="V318">
            <v>0</v>
          </cell>
          <cell r="W318">
            <v>0</v>
          </cell>
          <cell r="X318">
            <v>234.59481076132658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1872.0370041947685</v>
          </cell>
          <cell r="AD318">
            <v>1485.8411643502013</v>
          </cell>
          <cell r="AE318">
            <v>1345.9421533237226</v>
          </cell>
          <cell r="AF318">
            <v>0</v>
          </cell>
          <cell r="AH318">
            <v>1724.0704392919638</v>
          </cell>
          <cell r="AI318">
            <v>2928.2496433445322</v>
          </cell>
          <cell r="AK318">
            <v>1840.8299032871571</v>
          </cell>
          <cell r="AL318">
            <v>0</v>
          </cell>
          <cell r="AN318">
            <v>562.92427796167976</v>
          </cell>
          <cell r="AO318">
            <v>0</v>
          </cell>
          <cell r="AQ318">
            <v>349.84781900587507</v>
          </cell>
          <cell r="AR318">
            <v>0</v>
          </cell>
          <cell r="AT318">
            <v>1005.3223503907293</v>
          </cell>
          <cell r="AU318">
            <v>0</v>
          </cell>
          <cell r="AW318">
            <v>112.9351271028635</v>
          </cell>
          <cell r="AX318">
            <v>0</v>
          </cell>
        </row>
        <row r="319">
          <cell r="I319">
            <v>4.95</v>
          </cell>
          <cell r="J319">
            <v>3934.353742123526</v>
          </cell>
          <cell r="L319">
            <v>0</v>
          </cell>
          <cell r="M319">
            <v>0</v>
          </cell>
          <cell r="O319">
            <v>133.30000000000001</v>
          </cell>
          <cell r="P319">
            <v>54787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564.50084657109539</v>
          </cell>
          <cell r="Y319">
            <v>0</v>
          </cell>
          <cell r="Z319">
            <v>0</v>
          </cell>
          <cell r="AA319">
            <v>0</v>
          </cell>
          <cell r="AB319">
            <v>132.05404403729605</v>
          </cell>
          <cell r="AC319">
            <v>0</v>
          </cell>
          <cell r="AD319">
            <v>9808.6424730274957</v>
          </cell>
          <cell r="AE319">
            <v>1609.0867850342054</v>
          </cell>
          <cell r="AF319">
            <v>0</v>
          </cell>
          <cell r="AH319">
            <v>2251.2874415157112</v>
          </cell>
          <cell r="AI319">
            <v>3313.1726554984525</v>
          </cell>
          <cell r="AK319">
            <v>1411.4340025269046</v>
          </cell>
          <cell r="AL319">
            <v>3580.671059463356</v>
          </cell>
          <cell r="AN319">
            <v>0</v>
          </cell>
          <cell r="AO319">
            <v>0</v>
          </cell>
          <cell r="AQ319">
            <v>585.03169714120907</v>
          </cell>
          <cell r="AR319">
            <v>0</v>
          </cell>
          <cell r="AT319">
            <v>1212.0052319627773</v>
          </cell>
          <cell r="AU319">
            <v>0</v>
          </cell>
          <cell r="AW319">
            <v>75.290084735242345</v>
          </cell>
          <cell r="AX319">
            <v>0</v>
          </cell>
        </row>
        <row r="320"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2029.2921821067416</v>
          </cell>
          <cell r="Z320">
            <v>0</v>
          </cell>
          <cell r="AA320">
            <v>0</v>
          </cell>
          <cell r="AB320">
            <v>4066</v>
          </cell>
          <cell r="AC320">
            <v>249</v>
          </cell>
          <cell r="AD320">
            <v>667.17411009158468</v>
          </cell>
          <cell r="AE320">
            <v>2245.0798977360078</v>
          </cell>
          <cell r="AF320">
            <v>0</v>
          </cell>
          <cell r="AH320">
            <v>3832.9714267496038</v>
          </cell>
          <cell r="AI320">
            <v>944.70188941412084</v>
          </cell>
          <cell r="AK320">
            <v>1820.4043385088703</v>
          </cell>
          <cell r="AL320">
            <v>779.56306004609996</v>
          </cell>
          <cell r="AN320">
            <v>0</v>
          </cell>
          <cell r="AO320">
            <v>0</v>
          </cell>
          <cell r="AQ320">
            <v>838.7553748021536</v>
          </cell>
          <cell r="AR320">
            <v>0</v>
          </cell>
          <cell r="AT320">
            <v>1827.727636786582</v>
          </cell>
          <cell r="AU320">
            <v>0</v>
          </cell>
          <cell r="AW320">
            <v>112.9351271028635</v>
          </cell>
          <cell r="AX320">
            <v>11687.024298487751</v>
          </cell>
        </row>
        <row r="321">
          <cell r="I321">
            <v>0</v>
          </cell>
          <cell r="J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654.78761925100321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1977.9475933536326</v>
          </cell>
          <cell r="AE321">
            <v>1477.6101805684305</v>
          </cell>
          <cell r="AF321">
            <v>0</v>
          </cell>
          <cell r="AH321">
            <v>2280.8654098364714</v>
          </cell>
          <cell r="AI321">
            <v>1258.4046860032297</v>
          </cell>
          <cell r="AK321">
            <v>1375.7324915172933</v>
          </cell>
          <cell r="AL321">
            <v>2901.7891789117189</v>
          </cell>
          <cell r="AN321">
            <v>0</v>
          </cell>
          <cell r="AO321">
            <v>0</v>
          </cell>
          <cell r="AQ321">
            <v>110.27308797143304</v>
          </cell>
          <cell r="AR321">
            <v>0</v>
          </cell>
          <cell r="AT321">
            <v>1181.4027928961177</v>
          </cell>
          <cell r="AU321">
            <v>179.7251651707027</v>
          </cell>
          <cell r="AW321">
            <v>75.290084735242345</v>
          </cell>
          <cell r="AX321">
            <v>3089.3021136974285</v>
          </cell>
        </row>
        <row r="322"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72.747629616974706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1369.187731014556</v>
          </cell>
          <cell r="AF322">
            <v>0</v>
          </cell>
          <cell r="AH322">
            <v>1722.0906915743788</v>
          </cell>
          <cell r="AI322">
            <v>0</v>
          </cell>
          <cell r="AK322">
            <v>1946.3020966997997</v>
          </cell>
          <cell r="AL322">
            <v>0</v>
          </cell>
          <cell r="AN322">
            <v>575.3046520685017</v>
          </cell>
          <cell r="AO322">
            <v>1112.8421518724895</v>
          </cell>
          <cell r="AQ322">
            <v>368.22666700111392</v>
          </cell>
          <cell r="AR322">
            <v>0</v>
          </cell>
          <cell r="AT322">
            <v>943.7652304696885</v>
          </cell>
          <cell r="AU322">
            <v>0</v>
          </cell>
          <cell r="AW322">
            <v>112.9351271028635</v>
          </cell>
          <cell r="AX322">
            <v>0</v>
          </cell>
        </row>
        <row r="323"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4</v>
          </cell>
          <cell r="X323">
            <v>306.56800033896013</v>
          </cell>
          <cell r="Y323">
            <v>489.05506470411859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2291.4554881275353</v>
          </cell>
          <cell r="AE323">
            <v>1524.8672074788442</v>
          </cell>
          <cell r="AF323">
            <v>0</v>
          </cell>
          <cell r="AH323">
            <v>2086.8009556034085</v>
          </cell>
          <cell r="AI323">
            <v>1198.7071082293417</v>
          </cell>
          <cell r="AK323">
            <v>1525.4803079251915</v>
          </cell>
          <cell r="AL323">
            <v>0</v>
          </cell>
          <cell r="AN323">
            <v>0</v>
          </cell>
          <cell r="AO323">
            <v>0</v>
          </cell>
          <cell r="AQ323">
            <v>161.73386235810182</v>
          </cell>
          <cell r="AR323">
            <v>0</v>
          </cell>
          <cell r="AT323">
            <v>1343.9531779343315</v>
          </cell>
          <cell r="AU323">
            <v>0</v>
          </cell>
          <cell r="AW323">
            <v>75.290084735242345</v>
          </cell>
          <cell r="AX323">
            <v>3529.4487595704632</v>
          </cell>
        </row>
        <row r="324"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223.08876527141891</v>
          </cell>
          <cell r="AE324">
            <v>293.08999460261663</v>
          </cell>
          <cell r="AF324">
            <v>0</v>
          </cell>
          <cell r="AH324">
            <v>464.26679129979578</v>
          </cell>
          <cell r="AI324">
            <v>0</v>
          </cell>
          <cell r="AK324">
            <v>162.74855360376466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107.03232386101456</v>
          </cell>
          <cell r="AU324">
            <v>0</v>
          </cell>
          <cell r="AW324">
            <v>18.822521183810586</v>
          </cell>
          <cell r="AX324">
            <v>934.49465035000003</v>
          </cell>
        </row>
        <row r="325">
          <cell r="I325">
            <v>0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2</v>
          </cell>
          <cell r="S325">
            <v>96654.993916662454</v>
          </cell>
          <cell r="U325">
            <v>9326</v>
          </cell>
          <cell r="V325">
            <v>0</v>
          </cell>
          <cell r="W325">
            <v>0</v>
          </cell>
          <cell r="X325">
            <v>0</v>
          </cell>
          <cell r="Y325">
            <v>413</v>
          </cell>
          <cell r="Z325">
            <v>0</v>
          </cell>
          <cell r="AA325">
            <v>0</v>
          </cell>
          <cell r="AB325">
            <v>0</v>
          </cell>
          <cell r="AC325">
            <v>481.23291228631496</v>
          </cell>
          <cell r="AD325">
            <v>676.43143948851321</v>
          </cell>
          <cell r="AE325">
            <v>2252.8520659620754</v>
          </cell>
          <cell r="AF325">
            <v>1353.7407385015222</v>
          </cell>
          <cell r="AH325">
            <v>2622.9889949146577</v>
          </cell>
          <cell r="AI325">
            <v>7636.7491493079069</v>
          </cell>
          <cell r="AK325">
            <v>2928.4497985635867</v>
          </cell>
          <cell r="AL325">
            <v>806.97263289390003</v>
          </cell>
          <cell r="AN325">
            <v>836.7882365023894</v>
          </cell>
          <cell r="AO325">
            <v>0</v>
          </cell>
          <cell r="AQ325">
            <v>524.77156308524661</v>
          </cell>
          <cell r="AR325">
            <v>0</v>
          </cell>
          <cell r="AT325">
            <v>1347.3963151308617</v>
          </cell>
          <cell r="AU325">
            <v>3665.0134018810268</v>
          </cell>
          <cell r="AW325">
            <v>166.26560379032685</v>
          </cell>
          <cell r="AX325">
            <v>6791.1842891599999</v>
          </cell>
        </row>
        <row r="326">
          <cell r="I326">
            <v>264</v>
          </cell>
          <cell r="J326">
            <v>129621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1</v>
          </cell>
          <cell r="S326">
            <v>2376.5786873509437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250.38818740422008</v>
          </cell>
          <cell r="AD326">
            <v>0</v>
          </cell>
          <cell r="AE326">
            <v>3096.0582809123262</v>
          </cell>
          <cell r="AF326">
            <v>0</v>
          </cell>
          <cell r="AH326">
            <v>881.16053907393643</v>
          </cell>
          <cell r="AI326">
            <v>743.34082157950525</v>
          </cell>
          <cell r="AK326">
            <v>1781.9748331025421</v>
          </cell>
          <cell r="AL326">
            <v>1054.5142952903445</v>
          </cell>
          <cell r="AN326">
            <v>569.68023434211557</v>
          </cell>
          <cell r="AO326">
            <v>0</v>
          </cell>
          <cell r="AQ326">
            <v>356.87825452294589</v>
          </cell>
          <cell r="AR326">
            <v>0</v>
          </cell>
          <cell r="AT326">
            <v>878.64887924574145</v>
          </cell>
          <cell r="AU326">
            <v>1865.6780041508889</v>
          </cell>
          <cell r="AW326">
            <v>0</v>
          </cell>
          <cell r="AX326">
            <v>0</v>
          </cell>
        </row>
        <row r="327">
          <cell r="I327">
            <v>56.71</v>
          </cell>
          <cell r="J327">
            <v>45558.86822427102</v>
          </cell>
          <cell r="L327">
            <v>4</v>
          </cell>
          <cell r="M327">
            <v>21419.994817252285</v>
          </cell>
          <cell r="O327">
            <v>0</v>
          </cell>
          <cell r="P327">
            <v>0</v>
          </cell>
          <cell r="R327">
            <v>4</v>
          </cell>
          <cell r="S327">
            <v>17966.244334053878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47473.871241326604</v>
          </cell>
          <cell r="Z327">
            <v>0</v>
          </cell>
          <cell r="AA327">
            <v>0</v>
          </cell>
          <cell r="AB327">
            <v>2616.4276238998391</v>
          </cell>
          <cell r="AC327">
            <v>2953.0355398104584</v>
          </cell>
          <cell r="AD327">
            <v>1925.1296139411213</v>
          </cell>
          <cell r="AE327">
            <v>3459.2221026679608</v>
          </cell>
          <cell r="AF327">
            <v>827.64827069082219</v>
          </cell>
          <cell r="AH327">
            <v>3618.8763616583151</v>
          </cell>
          <cell r="AI327">
            <v>1228.8074627065296</v>
          </cell>
          <cell r="AK327">
            <v>4136.5822686695738</v>
          </cell>
          <cell r="AL327">
            <v>0</v>
          </cell>
          <cell r="AN327">
            <v>1387.2815450092376</v>
          </cell>
          <cell r="AO327">
            <v>765</v>
          </cell>
          <cell r="AQ327">
            <v>747.09784745108846</v>
          </cell>
          <cell r="AR327">
            <v>5019.5085951419278</v>
          </cell>
          <cell r="AT327">
            <v>1566.4907948563516</v>
          </cell>
          <cell r="AU327">
            <v>591.35038148288879</v>
          </cell>
          <cell r="AW327">
            <v>225.87025420572701</v>
          </cell>
          <cell r="AX327">
            <v>6356.8062330399998</v>
          </cell>
        </row>
        <row r="328"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36</v>
          </cell>
          <cell r="P328">
            <v>11794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1127.2720756480901</v>
          </cell>
          <cell r="AC328">
            <v>687.45716940962393</v>
          </cell>
          <cell r="AD328">
            <v>75.377539773353334</v>
          </cell>
          <cell r="AE328">
            <v>1065.2991236020475</v>
          </cell>
          <cell r="AF328">
            <v>1584.5592261573313</v>
          </cell>
          <cell r="AH328">
            <v>1499.6814199136084</v>
          </cell>
          <cell r="AI328">
            <v>988.62579973266759</v>
          </cell>
          <cell r="AK328">
            <v>1617.032676682551</v>
          </cell>
          <cell r="AL328">
            <v>0</v>
          </cell>
          <cell r="AN328">
            <v>499.91201586618911</v>
          </cell>
          <cell r="AO328">
            <v>0</v>
          </cell>
          <cell r="AQ328">
            <v>351.68570380539899</v>
          </cell>
          <cell r="AR328">
            <v>0</v>
          </cell>
          <cell r="AT328">
            <v>1354.9906360225618</v>
          </cell>
          <cell r="AU328">
            <v>0</v>
          </cell>
          <cell r="AW328">
            <v>75.290084735242345</v>
          </cell>
          <cell r="AX328">
            <v>0</v>
          </cell>
        </row>
        <row r="329"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2</v>
          </cell>
          <cell r="S329">
            <v>85199.327541106104</v>
          </cell>
          <cell r="U329">
            <v>6574</v>
          </cell>
          <cell r="V329">
            <v>0</v>
          </cell>
          <cell r="W329">
            <v>0</v>
          </cell>
          <cell r="X329">
            <v>0</v>
          </cell>
          <cell r="Y329">
            <v>7707.8210133789335</v>
          </cell>
          <cell r="Z329">
            <v>0</v>
          </cell>
          <cell r="AA329">
            <v>0</v>
          </cell>
          <cell r="AB329">
            <v>5084.6266134460675</v>
          </cell>
          <cell r="AC329">
            <v>944.17885845829665</v>
          </cell>
          <cell r="AD329">
            <v>338.53305942110876</v>
          </cell>
          <cell r="AE329">
            <v>1001.3933728025436</v>
          </cell>
          <cell r="AF329">
            <v>0</v>
          </cell>
          <cell r="AH329">
            <v>912.24910731328123</v>
          </cell>
          <cell r="AI329">
            <v>0</v>
          </cell>
          <cell r="AK329">
            <v>1778.8691572128857</v>
          </cell>
          <cell r="AL329">
            <v>0</v>
          </cell>
          <cell r="AN329">
            <v>602.3896422175543</v>
          </cell>
          <cell r="AO329">
            <v>0</v>
          </cell>
          <cell r="AQ329">
            <v>351.68570380539899</v>
          </cell>
          <cell r="AR329">
            <v>0</v>
          </cell>
          <cell r="AT329">
            <v>1234.3028883755019</v>
          </cell>
          <cell r="AU329">
            <v>2162.744805579337</v>
          </cell>
          <cell r="AW329">
            <v>75.290084735242345</v>
          </cell>
          <cell r="AX329">
            <v>5361.4028103199998</v>
          </cell>
        </row>
        <row r="330"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1</v>
          </cell>
          <cell r="S330">
            <v>514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57264.075721813679</v>
          </cell>
          <cell r="Z330">
            <v>0</v>
          </cell>
          <cell r="AA330">
            <v>0</v>
          </cell>
          <cell r="AB330">
            <v>5828.4789766751301</v>
          </cell>
          <cell r="AC330">
            <v>2747.1091563635659</v>
          </cell>
          <cell r="AD330">
            <v>3154.7516270362639</v>
          </cell>
          <cell r="AE330">
            <v>1460.6260317244451</v>
          </cell>
          <cell r="AF330">
            <v>0</v>
          </cell>
          <cell r="AH330">
            <v>1751.6156523458812</v>
          </cell>
          <cell r="AI330">
            <v>2503.5151930568909</v>
          </cell>
          <cell r="AK330">
            <v>2013.3155846406269</v>
          </cell>
          <cell r="AL330">
            <v>43831.745340195077</v>
          </cell>
          <cell r="AN330">
            <v>617.13355067223677</v>
          </cell>
          <cell r="AO330">
            <v>0</v>
          </cell>
          <cell r="AQ330">
            <v>357.19935820397058</v>
          </cell>
          <cell r="AR330">
            <v>7531.899884688265</v>
          </cell>
          <cell r="AT330">
            <v>1210.8750592163638</v>
          </cell>
          <cell r="AU330">
            <v>6115.2138298589334</v>
          </cell>
          <cell r="AW330">
            <v>112.9351271028635</v>
          </cell>
          <cell r="AX330">
            <v>3008.4290945600001</v>
          </cell>
        </row>
        <row r="331">
          <cell r="I331">
            <v>138</v>
          </cell>
          <cell r="J331">
            <v>38054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2</v>
          </cell>
          <cell r="S331">
            <v>8027.4472716448681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18258.670535989109</v>
          </cell>
          <cell r="Z331">
            <v>0</v>
          </cell>
          <cell r="AA331">
            <v>0</v>
          </cell>
          <cell r="AB331">
            <v>0</v>
          </cell>
          <cell r="AC331">
            <v>3993</v>
          </cell>
          <cell r="AD331">
            <v>0</v>
          </cell>
          <cell r="AE331">
            <v>1209.8714143665707</v>
          </cell>
          <cell r="AF331">
            <v>0</v>
          </cell>
          <cell r="AH331">
            <v>1255.8253644137869</v>
          </cell>
          <cell r="AI331">
            <v>0</v>
          </cell>
          <cell r="AK331">
            <v>2540.2827837981222</v>
          </cell>
          <cell r="AL331">
            <v>806.97263289390003</v>
          </cell>
          <cell r="AN331">
            <v>662.74810205751146</v>
          </cell>
          <cell r="AO331">
            <v>0</v>
          </cell>
          <cell r="AQ331">
            <v>356.87825452294589</v>
          </cell>
          <cell r="AR331">
            <v>0</v>
          </cell>
          <cell r="AT331">
            <v>1066.1056440904349</v>
          </cell>
          <cell r="AU331">
            <v>0</v>
          </cell>
          <cell r="AW331">
            <v>0</v>
          </cell>
          <cell r="AX331">
            <v>0</v>
          </cell>
        </row>
        <row r="332"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95547.454916421513</v>
          </cell>
          <cell r="Z332">
            <v>0</v>
          </cell>
          <cell r="AA332">
            <v>0</v>
          </cell>
          <cell r="AB332">
            <v>47353.380530472015</v>
          </cell>
          <cell r="AC332">
            <v>910.17947270257878</v>
          </cell>
          <cell r="AD332">
            <v>0</v>
          </cell>
          <cell r="AE332">
            <v>857.57763713424515</v>
          </cell>
          <cell r="AF332">
            <v>0</v>
          </cell>
          <cell r="AH332">
            <v>1226.7353803972919</v>
          </cell>
          <cell r="AI332">
            <v>1796.5116058778501</v>
          </cell>
          <cell r="AK332">
            <v>1211.4992045969077</v>
          </cell>
          <cell r="AL332">
            <v>1496.4044294833034</v>
          </cell>
          <cell r="AN332">
            <v>358.33494561915558</v>
          </cell>
          <cell r="AO332">
            <v>0</v>
          </cell>
          <cell r="AQ332">
            <v>244.82850259447883</v>
          </cell>
          <cell r="AR332">
            <v>0</v>
          </cell>
          <cell r="AT332">
            <v>1047.8782528579313</v>
          </cell>
          <cell r="AU332">
            <v>0</v>
          </cell>
          <cell r="AW332">
            <v>75.290084735242345</v>
          </cell>
          <cell r="AX332">
            <v>4962.5748764399996</v>
          </cell>
        </row>
        <row r="333">
          <cell r="I333">
            <v>87</v>
          </cell>
          <cell r="J333">
            <v>26273.674611952618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R333">
            <v>1</v>
          </cell>
          <cell r="S333">
            <v>11961</v>
          </cell>
          <cell r="U333">
            <v>0</v>
          </cell>
          <cell r="V333">
            <v>0</v>
          </cell>
          <cell r="W333">
            <v>0</v>
          </cell>
          <cell r="X333">
            <v>3245.1148847052295</v>
          </cell>
          <cell r="Y333">
            <v>0</v>
          </cell>
          <cell r="Z333">
            <v>0</v>
          </cell>
          <cell r="AA333">
            <v>4206</v>
          </cell>
          <cell r="AB333">
            <v>138.02306135554494</v>
          </cell>
          <cell r="AC333">
            <v>1039</v>
          </cell>
          <cell r="AD333">
            <v>3377.7905817949645</v>
          </cell>
          <cell r="AE333">
            <v>2114.9859868938674</v>
          </cell>
          <cell r="AF333">
            <v>0</v>
          </cell>
          <cell r="AH333">
            <v>2427.6414986691234</v>
          </cell>
          <cell r="AI333">
            <v>0</v>
          </cell>
          <cell r="AK333">
            <v>5703.344077129751</v>
          </cell>
          <cell r="AL333">
            <v>1167.3358808091759</v>
          </cell>
          <cell r="AN333">
            <v>1562.6383127075064</v>
          </cell>
          <cell r="AO333">
            <v>931</v>
          </cell>
          <cell r="AQ333">
            <v>524.77156308524661</v>
          </cell>
          <cell r="AR333">
            <v>5082.5942977019095</v>
          </cell>
          <cell r="AT333">
            <v>2382.5311997422032</v>
          </cell>
          <cell r="AU333">
            <v>668.47560115347426</v>
          </cell>
          <cell r="AW333">
            <v>166.26560379032685</v>
          </cell>
          <cell r="AX333">
            <v>0</v>
          </cell>
        </row>
        <row r="334"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R334">
            <v>4</v>
          </cell>
          <cell r="S334">
            <v>10556.505210431858</v>
          </cell>
          <cell r="U334">
            <v>0</v>
          </cell>
          <cell r="V334">
            <v>0</v>
          </cell>
          <cell r="W334">
            <v>0</v>
          </cell>
          <cell r="X334">
            <v>2753.0324362387173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3986.8910181484753</v>
          </cell>
          <cell r="AD334">
            <v>1120.2690007603649</v>
          </cell>
          <cell r="AE334">
            <v>2142.2052846235893</v>
          </cell>
          <cell r="AF334">
            <v>699.26964881168954</v>
          </cell>
          <cell r="AH334">
            <v>2495.8431316466194</v>
          </cell>
          <cell r="AI334">
            <v>2002.4325358207007</v>
          </cell>
          <cell r="AK334">
            <v>5644.1148909776402</v>
          </cell>
          <cell r="AL334">
            <v>0</v>
          </cell>
          <cell r="AN334">
            <v>1562.926333962846</v>
          </cell>
          <cell r="AO334">
            <v>9894.0245454838514</v>
          </cell>
          <cell r="AQ334">
            <v>524.77156308524661</v>
          </cell>
          <cell r="AR334">
            <v>0</v>
          </cell>
          <cell r="AT334">
            <v>2391.5410472916183</v>
          </cell>
          <cell r="AU334">
            <v>3214.6469570142176</v>
          </cell>
          <cell r="AW334">
            <v>166.26560379032685</v>
          </cell>
          <cell r="AX334">
            <v>0</v>
          </cell>
        </row>
        <row r="335">
          <cell r="I335">
            <v>258</v>
          </cell>
          <cell r="J335">
            <v>86822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2622.1353316834839</v>
          </cell>
          <cell r="Y335">
            <v>2964.3700980168369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2051.5839217207276</v>
          </cell>
          <cell r="AF335">
            <v>0</v>
          </cell>
          <cell r="AH335">
            <v>2421.4073501104449</v>
          </cell>
          <cell r="AI335">
            <v>0</v>
          </cell>
          <cell r="AK335">
            <v>5911.8883621880141</v>
          </cell>
          <cell r="AL335">
            <v>0</v>
          </cell>
          <cell r="AN335">
            <v>1933.6227265143973</v>
          </cell>
          <cell r="AO335">
            <v>0</v>
          </cell>
          <cell r="AQ335">
            <v>524.77156308524661</v>
          </cell>
          <cell r="AR335">
            <v>0</v>
          </cell>
          <cell r="AT335">
            <v>2370.6051253162177</v>
          </cell>
          <cell r="AU335">
            <v>1917.9951146321905</v>
          </cell>
          <cell r="AW335">
            <v>166.26560379032685</v>
          </cell>
          <cell r="AX335">
            <v>8175.1790823560004</v>
          </cell>
        </row>
        <row r="336"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R336">
            <v>1</v>
          </cell>
          <cell r="S336">
            <v>15228.269774084423</v>
          </cell>
          <cell r="U336">
            <v>0</v>
          </cell>
          <cell r="V336">
            <v>0</v>
          </cell>
          <cell r="W336">
            <v>0</v>
          </cell>
          <cell r="X336">
            <v>2096.7336202392762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728.01201583563989</v>
          </cell>
          <cell r="AD336">
            <v>858.48284418785852</v>
          </cell>
          <cell r="AE336">
            <v>2149.9841274229102</v>
          </cell>
          <cell r="AF336">
            <v>0</v>
          </cell>
          <cell r="AH336">
            <v>2424.5735719196973</v>
          </cell>
          <cell r="AI336">
            <v>3303.2015722511933</v>
          </cell>
          <cell r="AK336">
            <v>5295.4210046617136</v>
          </cell>
          <cell r="AL336">
            <v>2578.7466017190914</v>
          </cell>
          <cell r="AN336">
            <v>1571.0541643107931</v>
          </cell>
          <cell r="AO336">
            <v>353.86828631974277</v>
          </cell>
          <cell r="AQ336">
            <v>524.77156308524661</v>
          </cell>
          <cell r="AR336">
            <v>0</v>
          </cell>
          <cell r="AT336">
            <v>2377.6333947849303</v>
          </cell>
          <cell r="AU336">
            <v>16317.667678251553</v>
          </cell>
          <cell r="AW336">
            <v>166.26560379032685</v>
          </cell>
          <cell r="AX336">
            <v>0</v>
          </cell>
        </row>
        <row r="337">
          <cell r="I337">
            <v>227</v>
          </cell>
          <cell r="J337">
            <v>63817.526756896601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506.47546342626487</v>
          </cell>
          <cell r="Y337">
            <v>8219.7793212262422</v>
          </cell>
          <cell r="Z337">
            <v>0</v>
          </cell>
          <cell r="AA337">
            <v>0</v>
          </cell>
          <cell r="AB337">
            <v>10090.037312569017</v>
          </cell>
          <cell r="AC337">
            <v>4769</v>
          </cell>
          <cell r="AD337">
            <v>127.98917641074496</v>
          </cell>
          <cell r="AE337">
            <v>2893.6189993192079</v>
          </cell>
          <cell r="AF337">
            <v>0</v>
          </cell>
          <cell r="AH337">
            <v>4522.2312542759464</v>
          </cell>
          <cell r="AI337">
            <v>2122.315160640595</v>
          </cell>
          <cell r="AK337">
            <v>2840.175854295102</v>
          </cell>
          <cell r="AL337">
            <v>2600.5132177258911</v>
          </cell>
          <cell r="AN337">
            <v>0</v>
          </cell>
          <cell r="AO337">
            <v>0</v>
          </cell>
          <cell r="AQ337">
            <v>1372.1877145678275</v>
          </cell>
          <cell r="AR337">
            <v>0</v>
          </cell>
          <cell r="AT337">
            <v>3516.4599317177726</v>
          </cell>
          <cell r="AU337">
            <v>0</v>
          </cell>
          <cell r="AW337">
            <v>150.58016947048469</v>
          </cell>
          <cell r="AX337">
            <v>0</v>
          </cell>
        </row>
        <row r="338">
          <cell r="I338">
            <v>62</v>
          </cell>
          <cell r="J338">
            <v>20204.666121646907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347.13232143089044</v>
          </cell>
          <cell r="Y338">
            <v>0</v>
          </cell>
          <cell r="Z338">
            <v>0</v>
          </cell>
          <cell r="AA338">
            <v>0</v>
          </cell>
          <cell r="AB338">
            <v>5537.5538329836718</v>
          </cell>
          <cell r="AC338">
            <v>0</v>
          </cell>
          <cell r="AD338">
            <v>3499.9141386165866</v>
          </cell>
          <cell r="AE338">
            <v>2311.9269311143526</v>
          </cell>
          <cell r="AF338">
            <v>3710.5490251174515</v>
          </cell>
          <cell r="AH338">
            <v>3485.9656134551583</v>
          </cell>
          <cell r="AI338">
            <v>7854.6873548721669</v>
          </cell>
          <cell r="AK338">
            <v>2214.3336281749835</v>
          </cell>
          <cell r="AL338">
            <v>0</v>
          </cell>
          <cell r="AN338">
            <v>0</v>
          </cell>
          <cell r="AO338">
            <v>0</v>
          </cell>
          <cell r="AQ338">
            <v>655.73215469919853</v>
          </cell>
          <cell r="AR338">
            <v>0</v>
          </cell>
          <cell r="AT338">
            <v>2219.6617055993379</v>
          </cell>
          <cell r="AU338">
            <v>0</v>
          </cell>
          <cell r="AW338">
            <v>106.66095337492661</v>
          </cell>
          <cell r="AX338">
            <v>0</v>
          </cell>
        </row>
        <row r="339">
          <cell r="I339">
            <v>62</v>
          </cell>
          <cell r="J339">
            <v>17118.20790319243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277.66052481413044</v>
          </cell>
          <cell r="Y339">
            <v>4334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886.08884925988639</v>
          </cell>
          <cell r="AE339">
            <v>1558.7760406104455</v>
          </cell>
          <cell r="AF339">
            <v>0</v>
          </cell>
          <cell r="AH339">
            <v>2079.2754301041532</v>
          </cell>
          <cell r="AI339">
            <v>0</v>
          </cell>
          <cell r="AK339">
            <v>1306.1064813095927</v>
          </cell>
          <cell r="AL339">
            <v>5081.318401417584</v>
          </cell>
          <cell r="AN339">
            <v>0</v>
          </cell>
          <cell r="AO339">
            <v>0</v>
          </cell>
          <cell r="AQ339">
            <v>655.73215469919853</v>
          </cell>
          <cell r="AR339">
            <v>0</v>
          </cell>
          <cell r="AT339">
            <v>1168.261107345663</v>
          </cell>
          <cell r="AU339">
            <v>909.37621783474344</v>
          </cell>
          <cell r="AW339">
            <v>75.290084735242345</v>
          </cell>
          <cell r="AX339">
            <v>0</v>
          </cell>
        </row>
        <row r="340">
          <cell r="I340">
            <v>280</v>
          </cell>
          <cell r="J340">
            <v>81083.344379337505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188.46916439424444</v>
          </cell>
          <cell r="Y340">
            <v>10192.28278785019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1476.8785611232013</v>
          </cell>
          <cell r="AF340">
            <v>0</v>
          </cell>
          <cell r="AH340">
            <v>2251.2874415157112</v>
          </cell>
          <cell r="AI340">
            <v>0</v>
          </cell>
          <cell r="AK340">
            <v>1306.1064813095927</v>
          </cell>
          <cell r="AL340">
            <v>0</v>
          </cell>
          <cell r="AN340">
            <v>0</v>
          </cell>
          <cell r="AO340">
            <v>0</v>
          </cell>
          <cell r="AQ340">
            <v>655.73215469919853</v>
          </cell>
          <cell r="AR340">
            <v>0</v>
          </cell>
          <cell r="AT340">
            <v>1168.261107345663</v>
          </cell>
          <cell r="AU340">
            <v>0</v>
          </cell>
          <cell r="AW340">
            <v>75.290084735242345</v>
          </cell>
          <cell r="AX340">
            <v>2780.1139905359541</v>
          </cell>
        </row>
        <row r="341">
          <cell r="I341">
            <v>140</v>
          </cell>
          <cell r="J341">
            <v>57684.704902397229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347.13232143089044</v>
          </cell>
          <cell r="Y341">
            <v>10323.166085725892</v>
          </cell>
          <cell r="Z341">
            <v>0</v>
          </cell>
          <cell r="AA341">
            <v>0</v>
          </cell>
          <cell r="AB341">
            <v>0</v>
          </cell>
          <cell r="AC341">
            <v>1799.425476270322</v>
          </cell>
          <cell r="AD341">
            <v>4063.4514227399313</v>
          </cell>
          <cell r="AE341">
            <v>1552.4842302280465</v>
          </cell>
          <cell r="AF341">
            <v>320.49635058032499</v>
          </cell>
          <cell r="AH341">
            <v>2079.2754301041532</v>
          </cell>
          <cell r="AI341">
            <v>0</v>
          </cell>
          <cell r="AK341">
            <v>1306.1064813095927</v>
          </cell>
          <cell r="AL341">
            <v>0</v>
          </cell>
          <cell r="AN341">
            <v>0</v>
          </cell>
          <cell r="AO341">
            <v>0</v>
          </cell>
          <cell r="AQ341">
            <v>655.73215469919853</v>
          </cell>
          <cell r="AR341">
            <v>0</v>
          </cell>
          <cell r="AT341">
            <v>1168.2245461168188</v>
          </cell>
          <cell r="AU341">
            <v>0</v>
          </cell>
          <cell r="AW341">
            <v>75.290084735242345</v>
          </cell>
          <cell r="AX341">
            <v>2661.6829796211987</v>
          </cell>
        </row>
        <row r="342">
          <cell r="I342">
            <v>63.2</v>
          </cell>
          <cell r="J342">
            <v>17651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784.02265741394058</v>
          </cell>
          <cell r="Y342">
            <v>27713.579621001729</v>
          </cell>
          <cell r="Z342">
            <v>0</v>
          </cell>
          <cell r="AA342">
            <v>0</v>
          </cell>
          <cell r="AB342">
            <v>2424.2628334548085</v>
          </cell>
          <cell r="AC342">
            <v>471</v>
          </cell>
          <cell r="AD342">
            <v>1244.3542688365378</v>
          </cell>
          <cell r="AE342">
            <v>3087.815443427804</v>
          </cell>
          <cell r="AF342">
            <v>711.25363377424037</v>
          </cell>
          <cell r="AH342">
            <v>4449.4977690766455</v>
          </cell>
          <cell r="AI342">
            <v>3467.8153331132044</v>
          </cell>
          <cell r="AK342">
            <v>2817.661840515329</v>
          </cell>
          <cell r="AL342">
            <v>4474.1998507433291</v>
          </cell>
          <cell r="AN342">
            <v>0</v>
          </cell>
          <cell r="AO342">
            <v>0</v>
          </cell>
          <cell r="AQ342">
            <v>1372.1877145678275</v>
          </cell>
          <cell r="AR342">
            <v>0</v>
          </cell>
          <cell r="AT342">
            <v>3512.3341109292351</v>
          </cell>
          <cell r="AU342">
            <v>31013.671979167855</v>
          </cell>
          <cell r="AW342">
            <v>150.58016947048469</v>
          </cell>
          <cell r="AX342">
            <v>6253.656309808176</v>
          </cell>
        </row>
        <row r="343"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8</v>
          </cell>
          <cell r="P343">
            <v>1997.7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377.72598502435665</v>
          </cell>
          <cell r="Z343">
            <v>0</v>
          </cell>
          <cell r="AA343">
            <v>0</v>
          </cell>
          <cell r="AB343">
            <v>0</v>
          </cell>
          <cell r="AC343">
            <v>347.3995851386523</v>
          </cell>
          <cell r="AD343">
            <v>673.44402845337891</v>
          </cell>
          <cell r="AE343">
            <v>2396.123911509731</v>
          </cell>
          <cell r="AF343">
            <v>1252.7654439607561</v>
          </cell>
          <cell r="AH343">
            <v>3489.5442350279081</v>
          </cell>
          <cell r="AI343">
            <v>0</v>
          </cell>
          <cell r="AK343">
            <v>2199.9934036287141</v>
          </cell>
          <cell r="AL343">
            <v>0</v>
          </cell>
          <cell r="AN343">
            <v>0</v>
          </cell>
          <cell r="AO343">
            <v>0</v>
          </cell>
          <cell r="AQ343">
            <v>886.40212744804091</v>
          </cell>
          <cell r="AR343">
            <v>0</v>
          </cell>
          <cell r="AT343">
            <v>2235.1403069062185</v>
          </cell>
          <cell r="AU343">
            <v>3967.5311960287568</v>
          </cell>
          <cell r="AW343">
            <v>100.38677964698979</v>
          </cell>
          <cell r="AX343">
            <v>0</v>
          </cell>
        </row>
        <row r="344"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533.2215384695852</v>
          </cell>
          <cell r="Y344">
            <v>1803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4102.9060476512741</v>
          </cell>
          <cell r="AE344">
            <v>2558.4694298587915</v>
          </cell>
          <cell r="AF344">
            <v>340.49329434032501</v>
          </cell>
          <cell r="AH344">
            <v>3909.8522247955116</v>
          </cell>
          <cell r="AI344">
            <v>0</v>
          </cell>
          <cell r="AK344">
            <v>2338.8723807125211</v>
          </cell>
          <cell r="AL344">
            <v>0</v>
          </cell>
          <cell r="AN344">
            <v>0</v>
          </cell>
          <cell r="AO344">
            <v>0</v>
          </cell>
          <cell r="AQ344">
            <v>886.40212744804091</v>
          </cell>
          <cell r="AR344">
            <v>0</v>
          </cell>
          <cell r="AT344">
            <v>2341.1522988916322</v>
          </cell>
          <cell r="AU344">
            <v>2173.3708111619303</v>
          </cell>
          <cell r="AW344">
            <v>131.75764828667408</v>
          </cell>
          <cell r="AX344">
            <v>0</v>
          </cell>
        </row>
        <row r="345">
          <cell r="I345">
            <v>0</v>
          </cell>
          <cell r="J345">
            <v>0</v>
          </cell>
          <cell r="L345">
            <v>7</v>
          </cell>
          <cell r="M345">
            <v>62420.160906139092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47.032292978720065</v>
          </cell>
          <cell r="Y345">
            <v>24273.243702319349</v>
          </cell>
          <cell r="Z345">
            <v>0</v>
          </cell>
          <cell r="AA345">
            <v>0</v>
          </cell>
          <cell r="AB345">
            <v>8834.1603232314501</v>
          </cell>
          <cell r="AC345">
            <v>0</v>
          </cell>
          <cell r="AD345">
            <v>1769.2888762599298</v>
          </cell>
          <cell r="AE345">
            <v>2358.3476127622703</v>
          </cell>
          <cell r="AF345">
            <v>2258.4756415662173</v>
          </cell>
          <cell r="AH345">
            <v>3909.2230228467811</v>
          </cell>
          <cell r="AI345">
            <v>1883.2804363109901</v>
          </cell>
          <cell r="AK345">
            <v>2276.9106006549437</v>
          </cell>
          <cell r="AL345">
            <v>0</v>
          </cell>
          <cell r="AN345">
            <v>0</v>
          </cell>
          <cell r="AO345">
            <v>0</v>
          </cell>
          <cell r="AQ345">
            <v>886.40212744804091</v>
          </cell>
          <cell r="AR345">
            <v>0</v>
          </cell>
          <cell r="AT345">
            <v>2344.4099784239552</v>
          </cell>
          <cell r="AU345">
            <v>591.35038148288868</v>
          </cell>
          <cell r="AW345">
            <v>131.75764828667408</v>
          </cell>
          <cell r="AX345">
            <v>1359.4478470556301</v>
          </cell>
        </row>
        <row r="346"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535.4881549986801</v>
          </cell>
          <cell r="Y346">
            <v>76752.307541399525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2450.2543607919943</v>
          </cell>
          <cell r="AF346">
            <v>1134.8366127733539</v>
          </cell>
          <cell r="AH346">
            <v>3909.8522247955116</v>
          </cell>
          <cell r="AI346">
            <v>4367.6585769732355</v>
          </cell>
          <cell r="AK346">
            <v>2336.7374832243413</v>
          </cell>
          <cell r="AL346">
            <v>0</v>
          </cell>
          <cell r="AN346">
            <v>0</v>
          </cell>
          <cell r="AO346">
            <v>0</v>
          </cell>
          <cell r="AQ346">
            <v>886.40212744804091</v>
          </cell>
          <cell r="AR346">
            <v>0</v>
          </cell>
          <cell r="AT346">
            <v>2346.2402499092959</v>
          </cell>
          <cell r="AU346">
            <v>2667.6791049277244</v>
          </cell>
          <cell r="AW346">
            <v>131.75764828667408</v>
          </cell>
          <cell r="AX346">
            <v>6109.7352990395975</v>
          </cell>
        </row>
        <row r="347">
          <cell r="I347">
            <v>43</v>
          </cell>
          <cell r="J347">
            <v>9713.0492761938531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6</v>
          </cell>
          <cell r="X347">
            <v>457</v>
          </cell>
          <cell r="Y347">
            <v>13251.246322516467</v>
          </cell>
          <cell r="Z347">
            <v>0</v>
          </cell>
          <cell r="AA347">
            <v>0</v>
          </cell>
          <cell r="AB347">
            <v>5235</v>
          </cell>
          <cell r="AC347">
            <v>0</v>
          </cell>
          <cell r="AD347">
            <v>3753.5585389320531</v>
          </cell>
          <cell r="AE347">
            <v>3008.1344732487755</v>
          </cell>
          <cell r="AF347">
            <v>0</v>
          </cell>
          <cell r="AH347">
            <v>4982.5326494067722</v>
          </cell>
          <cell r="AI347">
            <v>8566.9842561324003</v>
          </cell>
          <cell r="AK347">
            <v>2991.3273350361587</v>
          </cell>
          <cell r="AL347">
            <v>0</v>
          </cell>
          <cell r="AN347">
            <v>0</v>
          </cell>
          <cell r="AO347">
            <v>0</v>
          </cell>
          <cell r="AQ347">
            <v>1592.7338905106938</v>
          </cell>
          <cell r="AR347">
            <v>997.04677979813732</v>
          </cell>
          <cell r="AT347">
            <v>3844.1684810268398</v>
          </cell>
          <cell r="AU347">
            <v>2173.3708111619303</v>
          </cell>
          <cell r="AW347">
            <v>150.58016947048469</v>
          </cell>
          <cell r="AX347">
            <v>0</v>
          </cell>
        </row>
        <row r="348">
          <cell r="I348">
            <v>0</v>
          </cell>
          <cell r="J348">
            <v>0</v>
          </cell>
          <cell r="L348">
            <v>2</v>
          </cell>
          <cell r="M348">
            <v>85152.873808091303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1107.808828595153</v>
          </cell>
          <cell r="Y348">
            <v>18.968431142562569</v>
          </cell>
          <cell r="Z348">
            <v>0</v>
          </cell>
          <cell r="AA348">
            <v>0</v>
          </cell>
          <cell r="AB348">
            <v>0</v>
          </cell>
          <cell r="AC348">
            <v>488.06679329716451</v>
          </cell>
          <cell r="AD348">
            <v>0</v>
          </cell>
          <cell r="AE348">
            <v>1017.0726981260583</v>
          </cell>
          <cell r="AF348">
            <v>0</v>
          </cell>
          <cell r="AH348">
            <v>1121.243078472947</v>
          </cell>
          <cell r="AI348">
            <v>0</v>
          </cell>
          <cell r="AK348">
            <v>1516.1542272713409</v>
          </cell>
          <cell r="AL348">
            <v>0</v>
          </cell>
          <cell r="AN348">
            <v>0</v>
          </cell>
          <cell r="AO348">
            <v>0</v>
          </cell>
          <cell r="AQ348">
            <v>88.218470377146446</v>
          </cell>
          <cell r="AR348">
            <v>0</v>
          </cell>
          <cell r="AT348">
            <v>612.0821878321608</v>
          </cell>
          <cell r="AU348">
            <v>0</v>
          </cell>
          <cell r="AW348">
            <v>61.361419059222484</v>
          </cell>
          <cell r="AX348">
            <v>0</v>
          </cell>
        </row>
        <row r="349">
          <cell r="I349">
            <v>8.84</v>
          </cell>
          <cell r="J349">
            <v>2355.9664261600374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358.69696374838628</v>
          </cell>
          <cell r="Z349">
            <v>0</v>
          </cell>
          <cell r="AA349">
            <v>0</v>
          </cell>
          <cell r="AB349">
            <v>1764.0991326185435</v>
          </cell>
          <cell r="AC349">
            <v>0</v>
          </cell>
          <cell r="AD349">
            <v>0</v>
          </cell>
          <cell r="AE349">
            <v>1893.8370153502854</v>
          </cell>
          <cell r="AF349">
            <v>17232.917882957576</v>
          </cell>
          <cell r="AH349">
            <v>2524.4142760491768</v>
          </cell>
          <cell r="AI349">
            <v>0</v>
          </cell>
          <cell r="AK349">
            <v>2218.1441174293086</v>
          </cell>
          <cell r="AL349">
            <v>0</v>
          </cell>
          <cell r="AN349">
            <v>0</v>
          </cell>
          <cell r="AO349">
            <v>0</v>
          </cell>
          <cell r="AQ349">
            <v>165.40963195714954</v>
          </cell>
          <cell r="AR349">
            <v>464.00837060753145</v>
          </cell>
          <cell r="AT349">
            <v>1756.9376431900234</v>
          </cell>
          <cell r="AU349">
            <v>451.37849776910139</v>
          </cell>
          <cell r="AW349">
            <v>180.35112380954513</v>
          </cell>
          <cell r="AX349">
            <v>0</v>
          </cell>
        </row>
        <row r="350">
          <cell r="I350">
            <v>6</v>
          </cell>
          <cell r="J350">
            <v>1951.0019497237145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6</v>
          </cell>
          <cell r="X350">
            <v>918.34412439986704</v>
          </cell>
          <cell r="Y350">
            <v>752.80538301590946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1009.1146784772147</v>
          </cell>
          <cell r="AE350">
            <v>1428.9704465414543</v>
          </cell>
          <cell r="AF350">
            <v>0</v>
          </cell>
          <cell r="AH350">
            <v>1787.9092413169769</v>
          </cell>
          <cell r="AI350">
            <v>0</v>
          </cell>
          <cell r="AK350">
            <v>1478.1395608062717</v>
          </cell>
          <cell r="AL350">
            <v>0</v>
          </cell>
          <cell r="AN350">
            <v>0</v>
          </cell>
          <cell r="AO350">
            <v>0</v>
          </cell>
          <cell r="AQ350">
            <v>110.27308797143304</v>
          </cell>
          <cell r="AR350">
            <v>0</v>
          </cell>
          <cell r="AT350">
            <v>1113.2916669679332</v>
          </cell>
          <cell r="AU350">
            <v>0</v>
          </cell>
          <cell r="AW350">
            <v>81.752483675017274</v>
          </cell>
          <cell r="AX350">
            <v>0</v>
          </cell>
        </row>
        <row r="351"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3</v>
          </cell>
          <cell r="S351">
            <v>42428.771868940363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252.76882891052423</v>
          </cell>
          <cell r="AF351">
            <v>0</v>
          </cell>
          <cell r="AH351">
            <v>244.77540796382289</v>
          </cell>
          <cell r="AI351">
            <v>0</v>
          </cell>
          <cell r="AK351">
            <v>334.30471716394101</v>
          </cell>
          <cell r="AL351">
            <v>0</v>
          </cell>
          <cell r="AN351">
            <v>169.9300820220223</v>
          </cell>
          <cell r="AO351">
            <v>0</v>
          </cell>
          <cell r="AQ351">
            <v>93.862066194985516</v>
          </cell>
          <cell r="AR351">
            <v>0</v>
          </cell>
          <cell r="AT351">
            <v>158.57700164036947</v>
          </cell>
          <cell r="AU351">
            <v>167.31026124217348</v>
          </cell>
          <cell r="AW351">
            <v>28.923940885788934</v>
          </cell>
          <cell r="AX351">
            <v>0</v>
          </cell>
        </row>
        <row r="352"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391.8979978805155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1262.0109808767459</v>
          </cell>
          <cell r="AF352">
            <v>0</v>
          </cell>
          <cell r="AH352">
            <v>1949.5892365719703</v>
          </cell>
          <cell r="AI352">
            <v>0</v>
          </cell>
          <cell r="AK352">
            <v>1796.8206311174174</v>
          </cell>
          <cell r="AL352">
            <v>0</v>
          </cell>
          <cell r="AN352">
            <v>0</v>
          </cell>
          <cell r="AO352">
            <v>0</v>
          </cell>
          <cell r="AQ352">
            <v>110.27308797143304</v>
          </cell>
          <cell r="AR352">
            <v>0</v>
          </cell>
          <cell r="AT352">
            <v>828.72832717361769</v>
          </cell>
          <cell r="AU352">
            <v>0</v>
          </cell>
          <cell r="AW352">
            <v>43.636878277800861</v>
          </cell>
          <cell r="AX352">
            <v>0</v>
          </cell>
        </row>
        <row r="353">
          <cell r="I353">
            <v>37</v>
          </cell>
          <cell r="J353">
            <v>25391.769540100475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875.10295821686543</v>
          </cell>
          <cell r="AF353">
            <v>0</v>
          </cell>
          <cell r="AH353">
            <v>1075.7633287468504</v>
          </cell>
          <cell r="AI353">
            <v>0</v>
          </cell>
          <cell r="AK353">
            <v>1005.2116750331423</v>
          </cell>
          <cell r="AL353">
            <v>0</v>
          </cell>
          <cell r="AN353">
            <v>0</v>
          </cell>
          <cell r="AO353">
            <v>0</v>
          </cell>
          <cell r="AQ353">
            <v>82.704815978574771</v>
          </cell>
          <cell r="AR353">
            <v>0</v>
          </cell>
          <cell r="AT353">
            <v>449.55730434527766</v>
          </cell>
          <cell r="AU353">
            <v>0</v>
          </cell>
          <cell r="AW353">
            <v>26.884834424209455</v>
          </cell>
          <cell r="AX353">
            <v>0</v>
          </cell>
        </row>
        <row r="354">
          <cell r="I354">
            <v>1.42</v>
          </cell>
          <cell r="J354">
            <v>823.1870933268799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7</v>
          </cell>
          <cell r="X354">
            <v>2875.3867086634682</v>
          </cell>
          <cell r="Y354">
            <v>0</v>
          </cell>
          <cell r="Z354">
            <v>0</v>
          </cell>
          <cell r="AA354">
            <v>0</v>
          </cell>
          <cell r="AB354">
            <v>993.48833655630585</v>
          </cell>
          <cell r="AC354">
            <v>553.47403373252268</v>
          </cell>
          <cell r="AD354">
            <v>10720.065600010341</v>
          </cell>
          <cell r="AE354">
            <v>1617.8167981969891</v>
          </cell>
          <cell r="AF354">
            <v>4108.5479215509022</v>
          </cell>
          <cell r="AH354">
            <v>2564.2376844964915</v>
          </cell>
          <cell r="AI354">
            <v>0</v>
          </cell>
          <cell r="AK354">
            <v>1902.9331057485997</v>
          </cell>
          <cell r="AL354">
            <v>0</v>
          </cell>
          <cell r="AN354">
            <v>0</v>
          </cell>
          <cell r="AO354">
            <v>0</v>
          </cell>
          <cell r="AQ354">
            <v>137.84135996429129</v>
          </cell>
          <cell r="AR354">
            <v>0</v>
          </cell>
          <cell r="AT354">
            <v>1209.654932880916</v>
          </cell>
          <cell r="AU354">
            <v>3776.9009983670144</v>
          </cell>
          <cell r="AW354">
            <v>101.86121047305494</v>
          </cell>
          <cell r="AX354">
            <v>0</v>
          </cell>
        </row>
        <row r="355"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343.63277720001878</v>
          </cell>
          <cell r="AE355">
            <v>769.272366078201</v>
          </cell>
          <cell r="AF355">
            <v>0</v>
          </cell>
          <cell r="AH355">
            <v>1064.3809532517753</v>
          </cell>
          <cell r="AI355">
            <v>0</v>
          </cell>
          <cell r="AK355">
            <v>784.26350660454909</v>
          </cell>
          <cell r="AL355">
            <v>0</v>
          </cell>
          <cell r="AN355">
            <v>0</v>
          </cell>
          <cell r="AO355">
            <v>0</v>
          </cell>
          <cell r="AQ355">
            <v>66.163852782859806</v>
          </cell>
          <cell r="AR355">
            <v>0</v>
          </cell>
          <cell r="AT355">
            <v>414.71696449846343</v>
          </cell>
          <cell r="AU355">
            <v>0</v>
          </cell>
          <cell r="AW355">
            <v>42.068334845816658</v>
          </cell>
          <cell r="AX355">
            <v>0</v>
          </cell>
        </row>
      </sheetData>
      <sheetData sheetId="8"/>
      <sheetData sheetId="9"/>
      <sheetData sheetId="10"/>
      <sheetData sheetId="11">
        <row r="7">
          <cell r="C7">
            <v>4911956</v>
          </cell>
          <cell r="D7">
            <v>5090636</v>
          </cell>
          <cell r="F7">
            <v>3113976</v>
          </cell>
          <cell r="G7">
            <v>3637288</v>
          </cell>
        </row>
        <row r="8">
          <cell r="C8">
            <v>1076136</v>
          </cell>
          <cell r="D8">
            <v>1096618</v>
          </cell>
          <cell r="F8">
            <v>669190</v>
          </cell>
          <cell r="G8">
            <v>697645</v>
          </cell>
        </row>
        <row r="9">
          <cell r="C9">
            <v>315344</v>
          </cell>
          <cell r="D9">
            <v>334414</v>
          </cell>
          <cell r="F9">
            <v>55002</v>
          </cell>
          <cell r="G9">
            <v>58616</v>
          </cell>
        </row>
        <row r="10">
          <cell r="C10">
            <v>931390</v>
          </cell>
          <cell r="D10">
            <v>1364418</v>
          </cell>
          <cell r="F10">
            <v>0</v>
          </cell>
          <cell r="G10">
            <v>0</v>
          </cell>
        </row>
        <row r="11">
          <cell r="C11">
            <v>157188</v>
          </cell>
          <cell r="D11">
            <v>209539</v>
          </cell>
          <cell r="F11">
            <v>0</v>
          </cell>
          <cell r="G11">
            <v>0</v>
          </cell>
        </row>
        <row r="12">
          <cell r="C12">
            <v>1071046</v>
          </cell>
          <cell r="D12">
            <v>438789</v>
          </cell>
          <cell r="F12">
            <v>243500</v>
          </cell>
          <cell r="G12">
            <v>212329</v>
          </cell>
        </row>
        <row r="13">
          <cell r="C13">
            <v>26566</v>
          </cell>
          <cell r="D13">
            <v>17945</v>
          </cell>
          <cell r="F13">
            <v>10000</v>
          </cell>
          <cell r="G13">
            <v>3675</v>
          </cell>
        </row>
        <row r="14">
          <cell r="C14">
            <v>161790</v>
          </cell>
          <cell r="D14">
            <v>187050</v>
          </cell>
          <cell r="F14">
            <v>0</v>
          </cell>
          <cell r="G14">
            <v>0</v>
          </cell>
        </row>
        <row r="15">
          <cell r="C15">
            <v>451967</v>
          </cell>
          <cell r="D15">
            <v>264079</v>
          </cell>
          <cell r="F15">
            <v>177662</v>
          </cell>
          <cell r="G15">
            <v>192743</v>
          </cell>
        </row>
        <row r="16">
          <cell r="C16">
            <v>65496</v>
          </cell>
          <cell r="D16">
            <v>86467</v>
          </cell>
          <cell r="F16">
            <v>92274</v>
          </cell>
          <cell r="G16">
            <v>122959</v>
          </cell>
        </row>
        <row r="17">
          <cell r="C17">
            <v>428924</v>
          </cell>
          <cell r="D17">
            <v>255405</v>
          </cell>
          <cell r="F17">
            <v>119786</v>
          </cell>
          <cell r="G17">
            <v>117706</v>
          </cell>
        </row>
        <row r="18">
          <cell r="C18">
            <v>9546</v>
          </cell>
          <cell r="D18">
            <v>16451</v>
          </cell>
          <cell r="F18">
            <v>5200</v>
          </cell>
          <cell r="G18">
            <v>2625</v>
          </cell>
        </row>
        <row r="19">
          <cell r="C19">
            <v>16070</v>
          </cell>
          <cell r="D19">
            <v>20833</v>
          </cell>
          <cell r="F19">
            <v>18000</v>
          </cell>
          <cell r="G19">
            <v>36629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F21">
            <v>58000</v>
          </cell>
          <cell r="G21">
            <v>91289</v>
          </cell>
        </row>
        <row r="22">
          <cell r="C22">
            <v>646976</v>
          </cell>
          <cell r="D22">
            <v>558859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F23">
            <v>32000</v>
          </cell>
          <cell r="G23">
            <v>30290</v>
          </cell>
        </row>
        <row r="24">
          <cell r="C24">
            <v>0</v>
          </cell>
          <cell r="D24">
            <v>0</v>
          </cell>
          <cell r="F24">
            <v>6000</v>
          </cell>
          <cell r="G24">
            <v>0</v>
          </cell>
        </row>
        <row r="25">
          <cell r="C25">
            <v>12600</v>
          </cell>
          <cell r="D25">
            <v>0</v>
          </cell>
          <cell r="F25">
            <v>14400</v>
          </cell>
          <cell r="G25">
            <v>12478</v>
          </cell>
        </row>
        <row r="26">
          <cell r="C26">
            <v>30800</v>
          </cell>
          <cell r="D26">
            <v>25000</v>
          </cell>
          <cell r="F26">
            <v>56000</v>
          </cell>
          <cell r="G26">
            <v>60430</v>
          </cell>
        </row>
        <row r="27">
          <cell r="C27">
            <v>798834</v>
          </cell>
          <cell r="D27">
            <v>788492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F28">
            <v>87488</v>
          </cell>
          <cell r="G28">
            <v>89338</v>
          </cell>
        </row>
        <row r="29">
          <cell r="C29">
            <v>0</v>
          </cell>
          <cell r="D29">
            <v>0</v>
          </cell>
          <cell r="F29">
            <v>105128</v>
          </cell>
          <cell r="G29">
            <v>164054</v>
          </cell>
        </row>
        <row r="30">
          <cell r="C30">
            <v>231934</v>
          </cell>
          <cell r="D30">
            <v>223865</v>
          </cell>
          <cell r="F30">
            <v>80000</v>
          </cell>
          <cell r="G30">
            <v>1268</v>
          </cell>
        </row>
        <row r="31">
          <cell r="C31">
            <v>241800</v>
          </cell>
          <cell r="D31">
            <v>139765</v>
          </cell>
          <cell r="F31">
            <v>2000</v>
          </cell>
          <cell r="G31">
            <v>6665</v>
          </cell>
        </row>
        <row r="32">
          <cell r="C32">
            <v>118000</v>
          </cell>
          <cell r="D32">
            <v>66276</v>
          </cell>
          <cell r="F32">
            <v>47048</v>
          </cell>
          <cell r="G32">
            <v>10057</v>
          </cell>
        </row>
        <row r="34">
          <cell r="C34">
            <v>478352</v>
          </cell>
          <cell r="D34">
            <v>973869</v>
          </cell>
          <cell r="F34">
            <v>6000</v>
          </cell>
          <cell r="G34">
            <v>39280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поточний ремонт"/>
      <sheetName val="Лист2"/>
      <sheetName val="ДЗ нас "/>
      <sheetName val="ДЗ нежит"/>
      <sheetName val="кошти 01.03.23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I9">
            <v>351.19381183098398</v>
          </cell>
          <cell r="J9">
            <v>429.24927870975944</v>
          </cell>
          <cell r="L9">
            <v>57.108400686931418</v>
          </cell>
          <cell r="M9">
            <v>72.941639472140423</v>
          </cell>
          <cell r="O9">
            <v>110.78</v>
          </cell>
          <cell r="P9">
            <v>110.78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74.281131288571572</v>
          </cell>
          <cell r="Y9">
            <v>67.520864066287089</v>
          </cell>
          <cell r="AA9">
            <v>0</v>
          </cell>
          <cell r="AB9">
            <v>0</v>
          </cell>
          <cell r="AD9">
            <v>265.67166592974343</v>
          </cell>
          <cell r="AE9">
            <v>291.9639219000573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252.53803810497325</v>
          </cell>
          <cell r="AQ9">
            <v>0</v>
          </cell>
          <cell r="AS9">
            <v>1071.8596995211831</v>
          </cell>
          <cell r="AT9">
            <v>0</v>
          </cell>
          <cell r="AV9">
            <v>65.647448675769112</v>
          </cell>
          <cell r="AW9">
            <v>0</v>
          </cell>
          <cell r="AY9">
            <v>73.651218393822916</v>
          </cell>
          <cell r="AZ9">
            <v>0</v>
          </cell>
          <cell r="BB9">
            <v>43.544938300567878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26.345569159282459</v>
          </cell>
          <cell r="BL9">
            <v>0</v>
          </cell>
          <cell r="BN9">
            <v>0</v>
          </cell>
          <cell r="BO9">
            <v>0</v>
          </cell>
          <cell r="BT9">
            <v>684.93316134050997</v>
          </cell>
          <cell r="BU9">
            <v>1010.4740811539934</v>
          </cell>
          <cell r="BW9">
            <v>354.88780966588178</v>
          </cell>
          <cell r="BX9">
            <v>1623.7270537000215</v>
          </cell>
          <cell r="BZ9">
            <v>109.5189842624678</v>
          </cell>
          <cell r="CA9">
            <v>1085.2782187917428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4.5747407172711974E-2</v>
          </cell>
          <cell r="CY9">
            <v>-1379.9220693528025</v>
          </cell>
          <cell r="DW9">
            <v>0</v>
          </cell>
        </row>
        <row r="10">
          <cell r="I10">
            <v>1175.1168727202646</v>
          </cell>
          <cell r="J10">
            <v>1296.3716848312833</v>
          </cell>
          <cell r="L10">
            <v>277.25497855505745</v>
          </cell>
          <cell r="M10">
            <v>305.12328599515558</v>
          </cell>
          <cell r="O10">
            <v>405.28</v>
          </cell>
          <cell r="P10">
            <v>405.26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  <cell r="X10">
            <v>789.36594858569674</v>
          </cell>
          <cell r="Y10">
            <v>2839.7071070286843</v>
          </cell>
          <cell r="AA10">
            <v>0</v>
          </cell>
          <cell r="AB10">
            <v>0</v>
          </cell>
          <cell r="AD10">
            <v>1311.7538505281082</v>
          </cell>
          <cell r="AE10">
            <v>1441.5718643815328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710.2632321702373</v>
          </cell>
          <cell r="AQ10">
            <v>2151.3721285901001</v>
          </cell>
          <cell r="AS10">
            <v>4484.602370255906</v>
          </cell>
          <cell r="AT10">
            <v>0</v>
          </cell>
          <cell r="AV10">
            <v>212.61335910407598</v>
          </cell>
          <cell r="AW10">
            <v>0</v>
          </cell>
          <cell r="AY10">
            <v>357.35999522309328</v>
          </cell>
          <cell r="AZ10">
            <v>0</v>
          </cell>
          <cell r="BB10">
            <v>242.54952035302418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K10">
            <v>108.30800270624789</v>
          </cell>
          <cell r="BL10">
            <v>0</v>
          </cell>
          <cell r="BN10">
            <v>67.149090736659304</v>
          </cell>
          <cell r="BO10">
            <v>0</v>
          </cell>
          <cell r="BT10">
            <v>2462.018433176389</v>
          </cell>
          <cell r="BU10">
            <v>2802.2721471223294</v>
          </cell>
          <cell r="BW10">
            <v>2405.289666019376</v>
          </cell>
          <cell r="BX10">
            <v>2863.4901789755677</v>
          </cell>
          <cell r="BZ10">
            <v>1536.232840287282</v>
          </cell>
          <cell r="CA10">
            <v>2727.9484954229906</v>
          </cell>
          <cell r="CC10">
            <v>191.97050346017346</v>
          </cell>
          <cell r="CD10">
            <v>194.087603758466</v>
          </cell>
          <cell r="CF10">
            <v>23.632732433544081</v>
          </cell>
          <cell r="CG10">
            <v>0</v>
          </cell>
          <cell r="CI10">
            <v>268.28452753975392</v>
          </cell>
          <cell r="CJ10">
            <v>235.39774890871846</v>
          </cell>
          <cell r="CL10">
            <v>0</v>
          </cell>
          <cell r="CM10">
            <v>0</v>
          </cell>
          <cell r="CX10">
            <v>393.32489137413722</v>
          </cell>
          <cell r="CY10">
            <v>113.05730598220907</v>
          </cell>
        </row>
        <row r="11">
          <cell r="I11">
            <v>1741.171546975178</v>
          </cell>
          <cell r="J11">
            <v>1925.4805907416767</v>
          </cell>
          <cell r="L11">
            <v>329.38184827529136</v>
          </cell>
          <cell r="M11">
            <v>362.48993723970909</v>
          </cell>
          <cell r="O11">
            <v>650.04</v>
          </cell>
          <cell r="P11">
            <v>650.24</v>
          </cell>
          <cell r="R11">
            <v>0</v>
          </cell>
          <cell r="S11">
            <v>0</v>
          </cell>
          <cell r="U11">
            <v>118.22581795543685</v>
          </cell>
          <cell r="V11">
            <v>337.2583303091327</v>
          </cell>
          <cell r="X11">
            <v>1121.9174967746451</v>
          </cell>
          <cell r="Y11">
            <v>1084.0619869884415</v>
          </cell>
          <cell r="AA11">
            <v>0</v>
          </cell>
          <cell r="AB11">
            <v>0</v>
          </cell>
          <cell r="AD11">
            <v>1999.4358360133112</v>
          </cell>
          <cell r="AE11">
            <v>2197.3104517074908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852.31587860428476</v>
          </cell>
          <cell r="AQ11">
            <v>3885.593933315005</v>
          </cell>
          <cell r="AS11">
            <v>8205.6088792881528</v>
          </cell>
          <cell r="AT11">
            <v>69.428838593435316</v>
          </cell>
          <cell r="AV11">
            <v>289.4167974824482</v>
          </cell>
          <cell r="AW11">
            <v>0</v>
          </cell>
          <cell r="AY11">
            <v>424.54339453418447</v>
          </cell>
          <cell r="AZ11">
            <v>0</v>
          </cell>
          <cell r="BB11">
            <v>334.69292906585082</v>
          </cell>
          <cell r="BC11">
            <v>0</v>
          </cell>
          <cell r="BE11">
            <v>0</v>
          </cell>
          <cell r="BF11">
            <v>0</v>
          </cell>
          <cell r="BH11">
            <v>119.94714023874553</v>
          </cell>
          <cell r="BI11">
            <v>0</v>
          </cell>
          <cell r="BK11">
            <v>159.06063071437234</v>
          </cell>
          <cell r="BL11">
            <v>0</v>
          </cell>
          <cell r="BN11">
            <v>0</v>
          </cell>
          <cell r="BO11">
            <v>0</v>
          </cell>
          <cell r="BT11">
            <v>4471.7402756929214</v>
          </cell>
          <cell r="BU11">
            <v>4048.9626283443936</v>
          </cell>
          <cell r="BW11">
            <v>2740.7748392235353</v>
          </cell>
          <cell r="BX11">
            <v>2121.0567103358981</v>
          </cell>
          <cell r="BZ11">
            <v>1923.4887250634042</v>
          </cell>
          <cell r="CA11">
            <v>2781.9583173492501</v>
          </cell>
          <cell r="CC11">
            <v>281.63190561253742</v>
          </cell>
          <cell r="CD11">
            <v>284.73781501337771</v>
          </cell>
          <cell r="CF11">
            <v>34.670594440937371</v>
          </cell>
          <cell r="CG11">
            <v>0</v>
          </cell>
          <cell r="CI11">
            <v>1553.5545897069471</v>
          </cell>
          <cell r="CJ11">
            <v>1300.54327611401</v>
          </cell>
          <cell r="CL11">
            <v>0</v>
          </cell>
          <cell r="CM11">
            <v>0</v>
          </cell>
          <cell r="CX11">
            <v>1529.2570492053783</v>
          </cell>
          <cell r="CY11">
            <v>9092.252620737816</v>
          </cell>
        </row>
        <row r="12">
          <cell r="I12">
            <v>3690.6182841072077</v>
          </cell>
          <cell r="J12">
            <v>4613.7636071059023</v>
          </cell>
          <cell r="L12">
            <v>691.46079665397417</v>
          </cell>
          <cell r="M12">
            <v>906.15571598054999</v>
          </cell>
          <cell r="O12">
            <v>1315.5</v>
          </cell>
          <cell r="P12">
            <v>1315.6</v>
          </cell>
          <cell r="R12">
            <v>317.12</v>
          </cell>
          <cell r="S12">
            <v>316.95999999999998</v>
          </cell>
          <cell r="U12">
            <v>195.03873136964788</v>
          </cell>
          <cell r="V12">
            <v>427.68050599091657</v>
          </cell>
          <cell r="X12">
            <v>2075.5296592115569</v>
          </cell>
          <cell r="Y12">
            <v>2539.8074289582974</v>
          </cell>
          <cell r="AA12">
            <v>0</v>
          </cell>
          <cell r="AB12">
            <v>0</v>
          </cell>
          <cell r="AD12">
            <v>4343.9669086856302</v>
          </cell>
          <cell r="AE12">
            <v>4773.8685675246998</v>
          </cell>
          <cell r="AJ12">
            <v>10369.642644772852</v>
          </cell>
          <cell r="AK12">
            <v>10483.97921383816</v>
          </cell>
          <cell r="AM12">
            <v>0</v>
          </cell>
          <cell r="AN12">
            <v>0</v>
          </cell>
          <cell r="AP12">
            <v>828.64043753194358</v>
          </cell>
          <cell r="AQ12">
            <v>0</v>
          </cell>
          <cell r="AS12">
            <v>23649.783105325576</v>
          </cell>
          <cell r="AT12">
            <v>0</v>
          </cell>
          <cell r="AV12">
            <v>195.1868202376665</v>
          </cell>
          <cell r="AW12">
            <v>0</v>
          </cell>
          <cell r="AY12">
            <v>274.23891701150251</v>
          </cell>
          <cell r="AZ12">
            <v>0</v>
          </cell>
          <cell r="BB12">
            <v>331.11315353246988</v>
          </cell>
          <cell r="BC12">
            <v>0</v>
          </cell>
          <cell r="BE12">
            <v>107.70574273720977</v>
          </cell>
          <cell r="BF12">
            <v>0</v>
          </cell>
          <cell r="BH12">
            <v>59.365087276649547</v>
          </cell>
          <cell r="BI12">
            <v>0</v>
          </cell>
          <cell r="BK12">
            <v>139.77564606445563</v>
          </cell>
          <cell r="BL12">
            <v>0</v>
          </cell>
          <cell r="BN12">
            <v>0</v>
          </cell>
          <cell r="BO12">
            <v>0</v>
          </cell>
          <cell r="BT12">
            <v>8210.50479603438</v>
          </cell>
          <cell r="BU12">
            <v>3673.2913385102765</v>
          </cell>
          <cell r="BW12">
            <v>9199.5616633053905</v>
          </cell>
          <cell r="BX12">
            <v>10873.738972606357</v>
          </cell>
          <cell r="BZ12">
            <v>1174.5728391613313</v>
          </cell>
          <cell r="CA12">
            <v>4300.262504173822</v>
          </cell>
          <cell r="CC12">
            <v>362.61639787918875</v>
          </cell>
          <cell r="CD12">
            <v>366.61542517910448</v>
          </cell>
          <cell r="CF12">
            <v>44.640276254066798</v>
          </cell>
          <cell r="CG12">
            <v>0</v>
          </cell>
          <cell r="CI12">
            <v>2330.3318845604208</v>
          </cell>
          <cell r="CJ12">
            <v>2450.5593688627109</v>
          </cell>
          <cell r="CL12">
            <v>3500.1772081349295</v>
          </cell>
          <cell r="CM12">
            <v>3674.6075338466426</v>
          </cell>
          <cell r="CX12">
            <v>1320.7508001823153</v>
          </cell>
          <cell r="CY12">
            <v>28548.991780907072</v>
          </cell>
        </row>
        <row r="13">
          <cell r="I13">
            <v>3637.0548092005447</v>
          </cell>
          <cell r="J13">
            <v>4558.153532398449</v>
          </cell>
          <cell r="L13">
            <v>683.02839453546585</v>
          </cell>
          <cell r="M13">
            <v>895.38454123984525</v>
          </cell>
          <cell r="O13">
            <v>1382.42</v>
          </cell>
          <cell r="P13">
            <v>1382.28</v>
          </cell>
          <cell r="R13">
            <v>322.08</v>
          </cell>
          <cell r="S13">
            <v>322.14</v>
          </cell>
          <cell r="U13">
            <v>195.03873136964788</v>
          </cell>
          <cell r="V13">
            <v>427.68050599091657</v>
          </cell>
          <cell r="X13">
            <v>2385.2813197332594</v>
          </cell>
          <cell r="Y13">
            <v>2912.7787438323876</v>
          </cell>
          <cell r="AA13">
            <v>0</v>
          </cell>
          <cell r="AB13">
            <v>0</v>
          </cell>
          <cell r="AD13">
            <v>4501.0253272861037</v>
          </cell>
          <cell r="AE13">
            <v>4946.4703077273653</v>
          </cell>
          <cell r="AJ13">
            <v>10369.642644772852</v>
          </cell>
          <cell r="AK13">
            <v>10483.97921383816</v>
          </cell>
          <cell r="AM13">
            <v>0</v>
          </cell>
          <cell r="AN13">
            <v>132.7382131909072</v>
          </cell>
          <cell r="AP13">
            <v>836.53225122272397</v>
          </cell>
          <cell r="AQ13">
            <v>0</v>
          </cell>
          <cell r="AS13">
            <v>23655.905738538444</v>
          </cell>
          <cell r="AT13">
            <v>1808.2769265188349</v>
          </cell>
          <cell r="AV13">
            <v>191.60637661083345</v>
          </cell>
          <cell r="AW13">
            <v>0</v>
          </cell>
          <cell r="AY13">
            <v>270.99918794267313</v>
          </cell>
          <cell r="AZ13">
            <v>0</v>
          </cell>
          <cell r="BB13">
            <v>347.5643962397636</v>
          </cell>
          <cell r="BC13">
            <v>719.28487379341368</v>
          </cell>
          <cell r="BE13">
            <v>108.73858583039781</v>
          </cell>
          <cell r="BF13">
            <v>0</v>
          </cell>
          <cell r="BH13">
            <v>59.365087276649547</v>
          </cell>
          <cell r="BI13">
            <v>7754.8875732244178</v>
          </cell>
          <cell r="BK13">
            <v>136.28317344284591</v>
          </cell>
          <cell r="BL13">
            <v>0</v>
          </cell>
          <cell r="BN13">
            <v>0</v>
          </cell>
          <cell r="BO13">
            <v>0</v>
          </cell>
          <cell r="BT13">
            <v>8574.9266840098862</v>
          </cell>
          <cell r="BU13">
            <v>5760.4899616286157</v>
          </cell>
          <cell r="BW13">
            <v>9291.8807730131321</v>
          </cell>
          <cell r="BX13">
            <v>13934.536472035004</v>
          </cell>
          <cell r="BZ13">
            <v>1295.7322026423385</v>
          </cell>
          <cell r="CA13">
            <v>5331.136438262979</v>
          </cell>
          <cell r="CC13">
            <v>446.54221553082732</v>
          </cell>
          <cell r="CD13">
            <v>451.46679842591084</v>
          </cell>
          <cell r="CF13">
            <v>54.972053048302612</v>
          </cell>
          <cell r="CG13">
            <v>0</v>
          </cell>
          <cell r="CI13">
            <v>1653.3813906519715</v>
          </cell>
          <cell r="CJ13">
            <v>1885.7557415423157</v>
          </cell>
          <cell r="CL13">
            <v>2480.0720859779581</v>
          </cell>
          <cell r="CM13">
            <v>2827.3970605306995</v>
          </cell>
          <cell r="CX13">
            <v>2297.0918853480252</v>
          </cell>
          <cell r="CY13">
            <v>9911.3757149837184</v>
          </cell>
        </row>
        <row r="14">
          <cell r="I14">
            <v>1830.4126028444532</v>
          </cell>
          <cell r="J14">
            <v>2290.8307572163503</v>
          </cell>
          <cell r="L14">
            <v>372.23739875297053</v>
          </cell>
          <cell r="M14">
            <v>475.44343241426236</v>
          </cell>
          <cell r="O14">
            <v>781.62</v>
          </cell>
          <cell r="P14">
            <v>781.76</v>
          </cell>
          <cell r="R14">
            <v>0</v>
          </cell>
          <cell r="S14">
            <v>0</v>
          </cell>
          <cell r="U14">
            <v>118.22581795543685</v>
          </cell>
          <cell r="V14">
            <v>96.813560492705875</v>
          </cell>
          <cell r="X14">
            <v>1148.6259876199663</v>
          </cell>
          <cell r="Y14">
            <v>1385.3413294343432</v>
          </cell>
          <cell r="AA14">
            <v>0</v>
          </cell>
          <cell r="AB14">
            <v>0</v>
          </cell>
          <cell r="AD14">
            <v>2263.1976305248904</v>
          </cell>
          <cell r="AE14">
            <v>2487.1754913363784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1657.2808750638872</v>
          </cell>
          <cell r="AQ14">
            <v>0</v>
          </cell>
          <cell r="AS14">
            <v>6739.0552952929311</v>
          </cell>
          <cell r="AT14">
            <v>0</v>
          </cell>
          <cell r="AV14">
            <v>293.41770088640146</v>
          </cell>
          <cell r="AW14">
            <v>0</v>
          </cell>
          <cell r="AY14">
            <v>479.78182875221421</v>
          </cell>
          <cell r="AZ14">
            <v>0</v>
          </cell>
          <cell r="BB14">
            <v>298.87887909621088</v>
          </cell>
          <cell r="BC14">
            <v>0</v>
          </cell>
          <cell r="BE14">
            <v>0</v>
          </cell>
          <cell r="BF14">
            <v>0</v>
          </cell>
          <cell r="BH14">
            <v>119.94714023874553</v>
          </cell>
          <cell r="BI14">
            <v>0</v>
          </cell>
          <cell r="BK14">
            <v>216.37577436144372</v>
          </cell>
          <cell r="BL14">
            <v>0</v>
          </cell>
          <cell r="BN14">
            <v>0</v>
          </cell>
          <cell r="BO14">
            <v>0</v>
          </cell>
          <cell r="BT14">
            <v>5925.0570718561357</v>
          </cell>
          <cell r="BU14">
            <v>3441.6213162409022</v>
          </cell>
          <cell r="BW14">
            <v>2993.9524813163084</v>
          </cell>
          <cell r="BX14">
            <v>4349.7310891017614</v>
          </cell>
          <cell r="BZ14">
            <v>1046.6787700960404</v>
          </cell>
          <cell r="CA14">
            <v>2362.271534615501</v>
          </cell>
          <cell r="CC14">
            <v>309.13329796216897</v>
          </cell>
          <cell r="CD14">
            <v>312.54249982147257</v>
          </cell>
          <cell r="CF14">
            <v>38.056182514282163</v>
          </cell>
          <cell r="CG14">
            <v>0</v>
          </cell>
          <cell r="CI14">
            <v>1229.1174866356168</v>
          </cell>
          <cell r="CJ14">
            <v>339.65055614843976</v>
          </cell>
          <cell r="CL14">
            <v>0</v>
          </cell>
          <cell r="CM14">
            <v>0</v>
          </cell>
          <cell r="CX14">
            <v>688.17733387587941</v>
          </cell>
          <cell r="CY14">
            <v>12133.622119813461</v>
          </cell>
        </row>
        <row r="15">
          <cell r="I15">
            <v>1502.5186096054649</v>
          </cell>
          <cell r="J15">
            <v>1675.8640307539108</v>
          </cell>
          <cell r="L15">
            <v>304.97030261980154</v>
          </cell>
          <cell r="M15">
            <v>335.62475997759549</v>
          </cell>
          <cell r="O15">
            <v>652.78</v>
          </cell>
          <cell r="P15">
            <v>652.78333333333342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>
            <v>1149.8122135358485</v>
          </cell>
          <cell r="Y15">
            <v>1114.3571435668655</v>
          </cell>
          <cell r="AA15">
            <v>0</v>
          </cell>
          <cell r="AB15">
            <v>0</v>
          </cell>
          <cell r="AD15">
            <v>2028.8107986464227</v>
          </cell>
          <cell r="AE15">
            <v>2227.6346015357371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1491.5527875574985</v>
          </cell>
          <cell r="AQ15">
            <v>3957.5493765245424</v>
          </cell>
          <cell r="AS15">
            <v>5769.3295467474818</v>
          </cell>
          <cell r="AT15">
            <v>0</v>
          </cell>
          <cell r="AV15">
            <v>228.12681019305984</v>
          </cell>
          <cell r="AW15">
            <v>0</v>
          </cell>
          <cell r="AY15">
            <v>393.03969537771724</v>
          </cell>
          <cell r="AZ15">
            <v>0</v>
          </cell>
          <cell r="BB15">
            <v>367.83331737600776</v>
          </cell>
          <cell r="BC15">
            <v>0</v>
          </cell>
          <cell r="BE15">
            <v>0</v>
          </cell>
          <cell r="BF15">
            <v>0</v>
          </cell>
          <cell r="BH15">
            <v>0</v>
          </cell>
          <cell r="BI15">
            <v>0</v>
          </cell>
          <cell r="BK15">
            <v>159.1131641582902</v>
          </cell>
          <cell r="BL15">
            <v>0</v>
          </cell>
          <cell r="BN15">
            <v>0</v>
          </cell>
          <cell r="BO15">
            <v>0</v>
          </cell>
          <cell r="BT15">
            <v>2718.1677486991421</v>
          </cell>
          <cell r="BU15">
            <v>3576.255602826036</v>
          </cell>
          <cell r="BW15">
            <v>3193.6257175959154</v>
          </cell>
          <cell r="BX15">
            <v>3745.0482020060508</v>
          </cell>
          <cell r="BZ15">
            <v>1446.4846694309438</v>
          </cell>
          <cell r="CA15">
            <v>3357.6258209055463</v>
          </cell>
          <cell r="CC15">
            <v>99.759952640820472</v>
          </cell>
          <cell r="CD15">
            <v>100.86013116661857</v>
          </cell>
          <cell r="CF15">
            <v>12.281054775858582</v>
          </cell>
          <cell r="CG15">
            <v>0</v>
          </cell>
          <cell r="CI15">
            <v>489.77524213652754</v>
          </cell>
          <cell r="CJ15">
            <v>651.77490361338096</v>
          </cell>
          <cell r="CL15">
            <v>0</v>
          </cell>
          <cell r="CM15">
            <v>0</v>
          </cell>
          <cell r="CX15">
            <v>637.08204268384361</v>
          </cell>
          <cell r="CY15">
            <v>1372.2065125484587</v>
          </cell>
        </row>
        <row r="16">
          <cell r="I16">
            <v>1294.4919141352987</v>
          </cell>
          <cell r="J16">
            <v>1434.8953973548464</v>
          </cell>
          <cell r="L16">
            <v>228.18567069470174</v>
          </cell>
          <cell r="M16">
            <v>251.12156604403856</v>
          </cell>
          <cell r="O16">
            <v>474.32</v>
          </cell>
          <cell r="P16">
            <v>474.31666666666666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>
            <v>768.55189986748701</v>
          </cell>
          <cell r="Y16">
            <v>730.90534793664438</v>
          </cell>
          <cell r="AA16">
            <v>0</v>
          </cell>
          <cell r="AB16">
            <v>0</v>
          </cell>
          <cell r="AD16">
            <v>1636.7170470516137</v>
          </cell>
          <cell r="AE16">
            <v>1798.6951164910447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1018.0439661106735</v>
          </cell>
          <cell r="AQ16">
            <v>2734.306841962411</v>
          </cell>
          <cell r="AS16">
            <v>4093.7792772436806</v>
          </cell>
          <cell r="AT16">
            <v>87.893955240625573</v>
          </cell>
          <cell r="AV16">
            <v>209.63946651249057</v>
          </cell>
          <cell r="AW16">
            <v>0</v>
          </cell>
          <cell r="AY16">
            <v>294.13871636705994</v>
          </cell>
          <cell r="AZ16">
            <v>0</v>
          </cell>
          <cell r="BB16">
            <v>215.11532239040895</v>
          </cell>
          <cell r="BC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K16">
            <v>103.19210586326328</v>
          </cell>
          <cell r="BL16">
            <v>0</v>
          </cell>
          <cell r="BN16">
            <v>0</v>
          </cell>
          <cell r="BO16">
            <v>0</v>
          </cell>
          <cell r="BT16">
            <v>1979.4414983963732</v>
          </cell>
          <cell r="BU16">
            <v>2309.5408946595217</v>
          </cell>
          <cell r="BW16">
            <v>1940.9362467393446</v>
          </cell>
          <cell r="BX16">
            <v>1651.0932855469212</v>
          </cell>
          <cell r="BZ16">
            <v>1286.6788681919518</v>
          </cell>
          <cell r="CA16">
            <v>2118.2528677913479</v>
          </cell>
          <cell r="CC16">
            <v>274.81783513731676</v>
          </cell>
          <cell r="CD16">
            <v>277.84859720887653</v>
          </cell>
          <cell r="CF16">
            <v>33.831741068040884</v>
          </cell>
          <cell r="CG16">
            <v>0</v>
          </cell>
          <cell r="CI16">
            <v>74.870100708768533</v>
          </cell>
          <cell r="CJ16">
            <v>74.323947685587683</v>
          </cell>
          <cell r="CL16">
            <v>0</v>
          </cell>
          <cell r="CM16">
            <v>0</v>
          </cell>
          <cell r="CX16">
            <v>477.03798822583121</v>
          </cell>
          <cell r="CY16">
            <v>2857.3066184937634</v>
          </cell>
        </row>
        <row r="17">
          <cell r="I17">
            <v>1677.3271461910476</v>
          </cell>
          <cell r="J17">
            <v>1849.2973056181834</v>
          </cell>
          <cell r="L17">
            <v>302.20913189258357</v>
          </cell>
          <cell r="M17">
            <v>332.58546719642715</v>
          </cell>
          <cell r="O17">
            <v>689.2</v>
          </cell>
          <cell r="P17">
            <v>689.2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>
            <v>1126.6784905085808</v>
          </cell>
          <cell r="Y17">
            <v>1087.9260865264864</v>
          </cell>
          <cell r="AA17">
            <v>0</v>
          </cell>
          <cell r="AB17">
            <v>0</v>
          </cell>
          <cell r="AD17">
            <v>1833.690353014546</v>
          </cell>
          <cell r="AE17">
            <v>2046.8801134066248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1373.1755821957922</v>
          </cell>
          <cell r="AQ17">
            <v>0</v>
          </cell>
          <cell r="AS17">
            <v>6476.2261206265648</v>
          </cell>
          <cell r="AT17">
            <v>0</v>
          </cell>
          <cell r="AV17">
            <v>271.83156836932346</v>
          </cell>
          <cell r="AW17">
            <v>0</v>
          </cell>
          <cell r="AY17">
            <v>389.54356874959132</v>
          </cell>
          <cell r="AZ17">
            <v>0</v>
          </cell>
          <cell r="BB17">
            <v>239.64210531342968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K17">
            <v>155.62201221057634</v>
          </cell>
          <cell r="BL17">
            <v>0</v>
          </cell>
          <cell r="BN17">
            <v>0</v>
          </cell>
          <cell r="BO17">
            <v>0</v>
          </cell>
          <cell r="BT17">
            <v>2260.8172763639477</v>
          </cell>
          <cell r="BU17">
            <v>2494.1587443930421</v>
          </cell>
          <cell r="BW17">
            <v>2444.4507972912147</v>
          </cell>
          <cell r="BX17">
            <v>2869.3664820026115</v>
          </cell>
          <cell r="BZ17">
            <v>1217.1023562062742</v>
          </cell>
          <cell r="CA17">
            <v>2448.4948888808731</v>
          </cell>
          <cell r="CC17">
            <v>163.29258095654694</v>
          </cell>
          <cell r="CD17">
            <v>165.09341371793931</v>
          </cell>
          <cell r="CF17">
            <v>20.102306367756725</v>
          </cell>
          <cell r="CG17">
            <v>0</v>
          </cell>
          <cell r="CI17">
            <v>670.71131884938472</v>
          </cell>
          <cell r="CJ17">
            <v>604.64503047812764</v>
          </cell>
          <cell r="CL17">
            <v>0</v>
          </cell>
          <cell r="CM17">
            <v>0</v>
          </cell>
          <cell r="CX17">
            <v>328.29274187140982</v>
          </cell>
          <cell r="CY17">
            <v>8397.0629613356195</v>
          </cell>
        </row>
        <row r="18">
          <cell r="I18">
            <v>2035.037297251921</v>
          </cell>
          <cell r="J18">
            <v>2256.9639669493135</v>
          </cell>
          <cell r="L18">
            <v>345.31073553833897</v>
          </cell>
          <cell r="M18">
            <v>380.02014381680533</v>
          </cell>
          <cell r="O18">
            <v>870.36</v>
          </cell>
          <cell r="P18">
            <v>870.36666666666679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>
            <v>1271.5458962357698</v>
          </cell>
          <cell r="Y18">
            <v>1238.3277408325512</v>
          </cell>
          <cell r="AA18">
            <v>0</v>
          </cell>
          <cell r="AB18">
            <v>0</v>
          </cell>
          <cell r="AD18">
            <v>2542.6232212197733</v>
          </cell>
          <cell r="AE18">
            <v>2794.2544982489653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1894.0352857872995</v>
          </cell>
          <cell r="AQ18">
            <v>4892.9701382485246</v>
          </cell>
          <cell r="AS18">
            <v>9562.4065541049185</v>
          </cell>
          <cell r="AT18">
            <v>2477.779450817985</v>
          </cell>
          <cell r="AV18">
            <v>323.5364997196728</v>
          </cell>
          <cell r="AW18">
            <v>0</v>
          </cell>
          <cell r="AY18">
            <v>445.04417920905604</v>
          </cell>
          <cell r="AZ18">
            <v>0</v>
          </cell>
          <cell r="BB18">
            <v>445.86836908779861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1264.1866671432276</v>
          </cell>
          <cell r="BK18">
            <v>179.58218534787574</v>
          </cell>
          <cell r="BL18">
            <v>0</v>
          </cell>
          <cell r="BN18">
            <v>0</v>
          </cell>
          <cell r="BO18">
            <v>0</v>
          </cell>
          <cell r="BT18">
            <v>4858.1349118951357</v>
          </cell>
          <cell r="BU18">
            <v>4577.9879895511694</v>
          </cell>
          <cell r="BW18">
            <v>2995.2490216940291</v>
          </cell>
          <cell r="BX18">
            <v>3616.0701154417711</v>
          </cell>
          <cell r="BZ18">
            <v>1451.3516657753503</v>
          </cell>
          <cell r="CA18">
            <v>4341.249828577751</v>
          </cell>
          <cell r="CC18">
            <v>346.29204199250898</v>
          </cell>
          <cell r="CD18">
            <v>350.11104007911229</v>
          </cell>
          <cell r="CF18">
            <v>42.630649108926299</v>
          </cell>
          <cell r="CG18">
            <v>0</v>
          </cell>
          <cell r="CI18">
            <v>954.59378403679898</v>
          </cell>
          <cell r="CJ18">
            <v>560.04864893263459</v>
          </cell>
          <cell r="CL18">
            <v>0</v>
          </cell>
          <cell r="CM18">
            <v>0</v>
          </cell>
          <cell r="CX18">
            <v>1087.8172423937867</v>
          </cell>
          <cell r="CY18">
            <v>2219.7357256322339</v>
          </cell>
        </row>
        <row r="19">
          <cell r="I19">
            <v>2146.2565035349362</v>
          </cell>
          <cell r="J19">
            <v>2373.9312260245679</v>
          </cell>
          <cell r="L19">
            <v>384.02375386401712</v>
          </cell>
          <cell r="M19">
            <v>422.62451583854079</v>
          </cell>
          <cell r="O19">
            <v>849.22</v>
          </cell>
          <cell r="P19">
            <v>849.23333333333335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>
            <v>1679.7499651644921</v>
          </cell>
          <cell r="Y19">
            <v>1640.4473865943939</v>
          </cell>
          <cell r="AA19">
            <v>0</v>
          </cell>
          <cell r="AB19">
            <v>0</v>
          </cell>
          <cell r="AD19">
            <v>2588.0895631895091</v>
          </cell>
          <cell r="AE19">
            <v>2876.3301930320285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1775.6580804255932</v>
          </cell>
          <cell r="AQ19">
            <v>4317.326592572228</v>
          </cell>
          <cell r="AS19">
            <v>7510.4836489941408</v>
          </cell>
          <cell r="AT19">
            <v>487.87146321457533</v>
          </cell>
          <cell r="AV19">
            <v>346.64143553108937</v>
          </cell>
          <cell r="AW19">
            <v>0</v>
          </cell>
          <cell r="AY19">
            <v>494.96074423196654</v>
          </cell>
          <cell r="AZ19">
            <v>0</v>
          </cell>
          <cell r="BB19">
            <v>427.90836804502794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229.60894525507237</v>
          </cell>
          <cell r="BL19">
            <v>0</v>
          </cell>
          <cell r="BN19">
            <v>0</v>
          </cell>
          <cell r="BO19">
            <v>0</v>
          </cell>
          <cell r="BT19">
            <v>4136.8747565661242</v>
          </cell>
          <cell r="BU19">
            <v>4357.9572171794762</v>
          </cell>
          <cell r="BW19">
            <v>3533.0309729436153</v>
          </cell>
          <cell r="BX19">
            <v>4156.1507670392866</v>
          </cell>
          <cell r="BZ19">
            <v>2042.05194301193</v>
          </cell>
          <cell r="CA19">
            <v>4300.4865307073223</v>
          </cell>
          <cell r="CC19">
            <v>454.72890451904209</v>
          </cell>
          <cell r="CD19">
            <v>459.74377233491589</v>
          </cell>
          <cell r="CF19">
            <v>55.979884079048752</v>
          </cell>
          <cell r="CG19">
            <v>0</v>
          </cell>
          <cell r="CI19">
            <v>570.88451790436011</v>
          </cell>
          <cell r="CJ19">
            <v>1953.3447761389898</v>
          </cell>
          <cell r="CL19">
            <v>0</v>
          </cell>
          <cell r="CM19">
            <v>0</v>
          </cell>
          <cell r="CX19">
            <v>718.33761528804462</v>
          </cell>
          <cell r="CY19">
            <v>1955.1826711884114</v>
          </cell>
        </row>
        <row r="20">
          <cell r="I20">
            <v>933.58164452706671</v>
          </cell>
          <cell r="J20">
            <v>1028.3786651863238</v>
          </cell>
          <cell r="L20">
            <v>233.01798496194539</v>
          </cell>
          <cell r="M20">
            <v>256.44032841108321</v>
          </cell>
          <cell r="O20">
            <v>330.3</v>
          </cell>
          <cell r="P20">
            <v>330.3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>
            <v>655.57717177108248</v>
          </cell>
          <cell r="Y20">
            <v>604.30393303377946</v>
          </cell>
          <cell r="AA20">
            <v>0</v>
          </cell>
          <cell r="AB20">
            <v>0</v>
          </cell>
          <cell r="AD20">
            <v>973.53557625166957</v>
          </cell>
          <cell r="AE20">
            <v>1069.88174277808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473.50882144682487</v>
          </cell>
          <cell r="AQ20">
            <v>0</v>
          </cell>
          <cell r="AS20">
            <v>2696.6519777680537</v>
          </cell>
          <cell r="AT20">
            <v>4617.9370267106233</v>
          </cell>
          <cell r="AV20">
            <v>166.96317896061075</v>
          </cell>
          <cell r="AW20">
            <v>0</v>
          </cell>
          <cell r="AY20">
            <v>300.29581843807034</v>
          </cell>
          <cell r="AZ20">
            <v>0</v>
          </cell>
          <cell r="BB20">
            <v>160.64986160541216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647.41536177161379</v>
          </cell>
          <cell r="BK20">
            <v>80.014774571099423</v>
          </cell>
          <cell r="BL20">
            <v>0</v>
          </cell>
          <cell r="BN20">
            <v>0</v>
          </cell>
          <cell r="BO20">
            <v>0</v>
          </cell>
          <cell r="BT20">
            <v>2233.977107845878</v>
          </cell>
          <cell r="BU20">
            <v>2349.31037949441</v>
          </cell>
          <cell r="BW20">
            <v>2057.1678062338697</v>
          </cell>
          <cell r="BX20">
            <v>2363.9100542009583</v>
          </cell>
          <cell r="BZ20">
            <v>1056.4880127117485</v>
          </cell>
          <cell r="CA20">
            <v>2313.5522001858799</v>
          </cell>
          <cell r="CC20">
            <v>169.12620963677182</v>
          </cell>
          <cell r="CD20">
            <v>170.99137716208062</v>
          </cell>
          <cell r="CF20">
            <v>20.820461413617743</v>
          </cell>
          <cell r="CG20">
            <v>0</v>
          </cell>
          <cell r="CI20">
            <v>199.65360189004946</v>
          </cell>
          <cell r="CJ20">
            <v>190.81143203392739</v>
          </cell>
          <cell r="CL20">
            <v>0</v>
          </cell>
          <cell r="CM20">
            <v>0</v>
          </cell>
          <cell r="CX20">
            <v>384.64398795947454</v>
          </cell>
          <cell r="CY20">
            <v>-3457.6390011625108</v>
          </cell>
        </row>
        <row r="21">
          <cell r="I21">
            <v>950.42358610886231</v>
          </cell>
          <cell r="J21">
            <v>1050.165646899633</v>
          </cell>
          <cell r="L21">
            <v>181.53243827731791</v>
          </cell>
          <cell r="M21">
            <v>199.77922727644392</v>
          </cell>
          <cell r="O21">
            <v>366.76</v>
          </cell>
          <cell r="P21">
            <v>366.76666666666671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459.84373703407272</v>
          </cell>
          <cell r="Y21">
            <v>424.32780443704831</v>
          </cell>
          <cell r="AA21">
            <v>0</v>
          </cell>
          <cell r="AB21">
            <v>0</v>
          </cell>
          <cell r="AD21">
            <v>1072.0934930920225</v>
          </cell>
          <cell r="AE21">
            <v>1178.1934659507679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757.61411431491979</v>
          </cell>
          <cell r="AQ21">
            <v>0</v>
          </cell>
          <cell r="AS21">
            <v>2516.9875896159838</v>
          </cell>
          <cell r="AT21">
            <v>0</v>
          </cell>
          <cell r="AV21">
            <v>159.03712164227363</v>
          </cell>
          <cell r="AW21">
            <v>0</v>
          </cell>
          <cell r="AY21">
            <v>233.99602939185672</v>
          </cell>
          <cell r="AZ21">
            <v>0</v>
          </cell>
          <cell r="BB21">
            <v>172.71582493274184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K21">
            <v>54.753204443068483</v>
          </cell>
          <cell r="BL21">
            <v>0</v>
          </cell>
          <cell r="BN21">
            <v>0</v>
          </cell>
          <cell r="BO21">
            <v>0</v>
          </cell>
          <cell r="BT21">
            <v>3627.3848223148484</v>
          </cell>
          <cell r="BU21">
            <v>3313.6106044252783</v>
          </cell>
          <cell r="BW21">
            <v>1257.9292594552583</v>
          </cell>
          <cell r="BX21">
            <v>1421.0914334507179</v>
          </cell>
          <cell r="BZ21">
            <v>1133.2381335770474</v>
          </cell>
          <cell r="CA21">
            <v>3226.3459486940847</v>
          </cell>
          <cell r="CC21">
            <v>145.59560655687312</v>
          </cell>
          <cell r="CD21">
            <v>147.20127251344331</v>
          </cell>
          <cell r="CF21">
            <v>17.923701564766581</v>
          </cell>
          <cell r="CG21">
            <v>0</v>
          </cell>
          <cell r="CI21">
            <v>549.04740519763595</v>
          </cell>
          <cell r="CJ21">
            <v>560.00839024982679</v>
          </cell>
          <cell r="CL21">
            <v>0</v>
          </cell>
          <cell r="CM21">
            <v>0</v>
          </cell>
          <cell r="CX21">
            <v>835.74871897653793</v>
          </cell>
          <cell r="CY21">
            <v>2959.0114473233089</v>
          </cell>
        </row>
        <row r="22">
          <cell r="I22">
            <v>1667.92351123758</v>
          </cell>
          <cell r="J22">
            <v>1844.3227205353189</v>
          </cell>
          <cell r="L22">
            <v>263.0021283458052</v>
          </cell>
          <cell r="M22">
            <v>289.43836432091149</v>
          </cell>
          <cell r="O22">
            <v>606.64</v>
          </cell>
          <cell r="P22">
            <v>606.65000000000009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1092.6593652683889</v>
          </cell>
          <cell r="Y22">
            <v>1047.9106643841269</v>
          </cell>
          <cell r="AA22">
            <v>0</v>
          </cell>
          <cell r="AB22">
            <v>0</v>
          </cell>
          <cell r="AD22">
            <v>1848.7982910985336</v>
          </cell>
          <cell r="AE22">
            <v>2031.765028394095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1325.8247000511096</v>
          </cell>
          <cell r="AQ22">
            <v>0</v>
          </cell>
          <cell r="AS22">
            <v>5491.0605006795886</v>
          </cell>
          <cell r="AT22">
            <v>0</v>
          </cell>
          <cell r="AV22">
            <v>271.32552484176745</v>
          </cell>
          <cell r="AW22">
            <v>0</v>
          </cell>
          <cell r="AY22">
            <v>338.94721104730002</v>
          </cell>
          <cell r="AZ22">
            <v>0</v>
          </cell>
          <cell r="BB22">
            <v>299.40237983729122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148.43420890847807</v>
          </cell>
          <cell r="BL22">
            <v>0</v>
          </cell>
          <cell r="BN22">
            <v>0</v>
          </cell>
          <cell r="BO22">
            <v>0</v>
          </cell>
          <cell r="BT22">
            <v>4584.9234001021596</v>
          </cell>
          <cell r="BU22">
            <v>4264.2442153937245</v>
          </cell>
          <cell r="BW22">
            <v>2938.0539291155892</v>
          </cell>
          <cell r="BX22">
            <v>3477.6712845839384</v>
          </cell>
          <cell r="BZ22">
            <v>1383.6617523859186</v>
          </cell>
          <cell r="CA22">
            <v>4232.8457290876531</v>
          </cell>
          <cell r="CC22">
            <v>0</v>
          </cell>
          <cell r="CD22">
            <v>0</v>
          </cell>
          <cell r="CF22">
            <v>0</v>
          </cell>
          <cell r="CG22">
            <v>0</v>
          </cell>
          <cell r="CI22">
            <v>274.52370259881798</v>
          </cell>
          <cell r="CJ22">
            <v>89.212892432389893</v>
          </cell>
          <cell r="CL22">
            <v>0</v>
          </cell>
          <cell r="CM22">
            <v>0</v>
          </cell>
          <cell r="CX22">
            <v>676.50327337800991</v>
          </cell>
          <cell r="CY22">
            <v>6257.8469210414114</v>
          </cell>
        </row>
        <row r="23">
          <cell r="I23">
            <v>1029.9111845356804</v>
          </cell>
          <cell r="J23">
            <v>1140.7484265303933</v>
          </cell>
          <cell r="L23">
            <v>194.74869558343363</v>
          </cell>
          <cell r="M23">
            <v>237.50706215360685</v>
          </cell>
          <cell r="O23">
            <v>429.84</v>
          </cell>
          <cell r="P23">
            <v>429.83333333333331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>
            <v>547.54941357618532</v>
          </cell>
          <cell r="Y23">
            <v>516.65636365744012</v>
          </cell>
          <cell r="AA23">
            <v>0</v>
          </cell>
          <cell r="AB23">
            <v>0</v>
          </cell>
          <cell r="AD23">
            <v>1332.2065780286007</v>
          </cell>
          <cell r="AE23">
            <v>1464.1270171463441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828.64043753194358</v>
          </cell>
          <cell r="AQ23">
            <v>1798.8860802384283</v>
          </cell>
          <cell r="AS23">
            <v>3688.054129397507</v>
          </cell>
          <cell r="AT23">
            <v>0</v>
          </cell>
          <cell r="AV23">
            <v>170.22583618592486</v>
          </cell>
          <cell r="AW23">
            <v>0</v>
          </cell>
          <cell r="AY23">
            <v>251.00068743860237</v>
          </cell>
          <cell r="AZ23">
            <v>0</v>
          </cell>
          <cell r="BB23">
            <v>220.77882065324417</v>
          </cell>
          <cell r="BC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K23">
            <v>69.900011236879692</v>
          </cell>
          <cell r="BL23">
            <v>0</v>
          </cell>
          <cell r="BN23">
            <v>0</v>
          </cell>
          <cell r="BO23">
            <v>0</v>
          </cell>
          <cell r="BT23">
            <v>2632.6545472906359</v>
          </cell>
          <cell r="BU23">
            <v>2691.0702661238083</v>
          </cell>
          <cell r="BW23">
            <v>1505.6475528038907</v>
          </cell>
          <cell r="BX23">
            <v>1290.4033669294599</v>
          </cell>
          <cell r="BZ23">
            <v>1454.0468066271301</v>
          </cell>
          <cell r="CA23">
            <v>2055.6272158615152</v>
          </cell>
          <cell r="CC23">
            <v>249.03221592892777</v>
          </cell>
          <cell r="CD23">
            <v>251.77860753141147</v>
          </cell>
          <cell r="CF23">
            <v>30.65737506700815</v>
          </cell>
          <cell r="CG23">
            <v>0</v>
          </cell>
          <cell r="CI23">
            <v>623.91750590640459</v>
          </cell>
          <cell r="CJ23">
            <v>530.0191426714814</v>
          </cell>
          <cell r="CL23">
            <v>0</v>
          </cell>
          <cell r="CM23">
            <v>0</v>
          </cell>
          <cell r="CX23">
            <v>373.24584264960868</v>
          </cell>
          <cell r="CY23">
            <v>3795.8317413873356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142.05264643404746</v>
          </cell>
          <cell r="AQ24">
            <v>0</v>
          </cell>
          <cell r="AS24">
            <v>452.12299260614532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T24">
            <v>99.695878142489619</v>
          </cell>
          <cell r="BU24">
            <v>224.35716581846719</v>
          </cell>
          <cell r="BW24">
            <v>0</v>
          </cell>
          <cell r="BX24">
            <v>1.1205514396831284</v>
          </cell>
          <cell r="BZ24">
            <v>0</v>
          </cell>
          <cell r="CA24">
            <v>211.09146117982948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20.834179380781165</v>
          </cell>
          <cell r="CY24">
            <v>329.59698587442426</v>
          </cell>
        </row>
        <row r="25">
          <cell r="I25">
            <v>1086.8459842226634</v>
          </cell>
          <cell r="J25">
            <v>929.85881942683363</v>
          </cell>
          <cell r="L25">
            <v>239.23492827996802</v>
          </cell>
          <cell r="M25">
            <v>215.71190411485378</v>
          </cell>
          <cell r="O25">
            <v>370.12</v>
          </cell>
          <cell r="P25">
            <v>370.11666666666667</v>
          </cell>
          <cell r="R25">
            <v>89.84</v>
          </cell>
          <cell r="S25">
            <v>89.85</v>
          </cell>
          <cell r="U25">
            <v>35.448304571321643</v>
          </cell>
          <cell r="V25">
            <v>12.425023166679686</v>
          </cell>
          <cell r="X25">
            <v>427.61588856909913</v>
          </cell>
          <cell r="Y25">
            <v>244.48928566209679</v>
          </cell>
          <cell r="AA25">
            <v>0</v>
          </cell>
          <cell r="AB25">
            <v>0</v>
          </cell>
          <cell r="AD25">
            <v>1125.0425402448657</v>
          </cell>
          <cell r="AE25">
            <v>1236.3826274238745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94.701764289364974</v>
          </cell>
          <cell r="AQ25">
            <v>0</v>
          </cell>
          <cell r="AS25">
            <v>4361.3246293003276</v>
          </cell>
          <cell r="AT25">
            <v>1327.812127843695</v>
          </cell>
          <cell r="AV25">
            <v>196.24790144530206</v>
          </cell>
          <cell r="AW25">
            <v>0</v>
          </cell>
          <cell r="AY25">
            <v>285.79135804273159</v>
          </cell>
          <cell r="AZ25">
            <v>0</v>
          </cell>
          <cell r="BB25">
            <v>174.4002952120108</v>
          </cell>
          <cell r="BC25">
            <v>0</v>
          </cell>
          <cell r="BE25">
            <v>106.53832154271349</v>
          </cell>
          <cell r="BF25">
            <v>0</v>
          </cell>
          <cell r="BH25">
            <v>35.974450255696418</v>
          </cell>
          <cell r="BI25">
            <v>0</v>
          </cell>
          <cell r="BK25">
            <v>92.185307259032186</v>
          </cell>
          <cell r="BL25">
            <v>1329.3338849372135</v>
          </cell>
          <cell r="BN25">
            <v>31.907610498203873</v>
          </cell>
          <cell r="BO25">
            <v>0</v>
          </cell>
          <cell r="BT25">
            <v>4683.7447847143994</v>
          </cell>
          <cell r="BU25">
            <v>3746.7240832017924</v>
          </cell>
          <cell r="BW25">
            <v>2022.4492303529128</v>
          </cell>
          <cell r="BX25">
            <v>1662.3790048274368</v>
          </cell>
          <cell r="BZ25">
            <v>2163.9840870251805</v>
          </cell>
          <cell r="CA25">
            <v>2561.9011916904437</v>
          </cell>
          <cell r="CC25">
            <v>156.87068719932458</v>
          </cell>
          <cell r="CD25">
            <v>158.60069765758203</v>
          </cell>
          <cell r="CF25">
            <v>19.311732325674427</v>
          </cell>
          <cell r="CG25">
            <v>0</v>
          </cell>
          <cell r="CI25">
            <v>648.87420614266057</v>
          </cell>
          <cell r="CJ25">
            <v>245.27003382950954</v>
          </cell>
          <cell r="CL25">
            <v>0</v>
          </cell>
          <cell r="CM25">
            <v>0</v>
          </cell>
          <cell r="CX25">
            <v>221.2551862078617</v>
          </cell>
          <cell r="CY25">
            <v>5402.3735794615886</v>
          </cell>
        </row>
        <row r="26">
          <cell r="I26">
            <v>484.7768484533787</v>
          </cell>
          <cell r="J26">
            <v>413.56283589530148</v>
          </cell>
          <cell r="L26">
            <v>72.297167870152549</v>
          </cell>
          <cell r="M26">
            <v>65.18937362036192</v>
          </cell>
          <cell r="O26">
            <v>134.28</v>
          </cell>
          <cell r="P26">
            <v>134.28333333333333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>
            <v>242.41668202897176</v>
          </cell>
          <cell r="Y26">
            <v>160.94470988156181</v>
          </cell>
          <cell r="AA26">
            <v>0</v>
          </cell>
          <cell r="AB26">
            <v>0</v>
          </cell>
          <cell r="AD26">
            <v>449.7462134341767</v>
          </cell>
          <cell r="AE26">
            <v>494.25544825945855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260.42985179575368</v>
          </cell>
          <cell r="AQ26">
            <v>0</v>
          </cell>
          <cell r="AS26">
            <v>874.75995205603374</v>
          </cell>
          <cell r="AT26">
            <v>0</v>
          </cell>
          <cell r="AV26">
            <v>91.799711134666694</v>
          </cell>
          <cell r="AW26">
            <v>0</v>
          </cell>
          <cell r="AY26">
            <v>93.161411686942571</v>
          </cell>
          <cell r="AZ26">
            <v>0</v>
          </cell>
          <cell r="BB26">
            <v>67.913456968774284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305.83164913890846</v>
          </cell>
          <cell r="BK26">
            <v>44.518397153018292</v>
          </cell>
          <cell r="BL26">
            <v>0</v>
          </cell>
          <cell r="BN26">
            <v>15.287047639181583</v>
          </cell>
          <cell r="BO26">
            <v>0</v>
          </cell>
          <cell r="BT26">
            <v>1517.0969820315222</v>
          </cell>
          <cell r="BU26">
            <v>1410.3769853613762</v>
          </cell>
          <cell r="BW26">
            <v>733.41286011125896</v>
          </cell>
          <cell r="BX26">
            <v>828.03643571298085</v>
          </cell>
          <cell r="BZ26">
            <v>649.19522610755416</v>
          </cell>
          <cell r="CA26">
            <v>1369.3525582573425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84.228863297364597</v>
          </cell>
          <cell r="CJ26">
            <v>113.98418677068513</v>
          </cell>
          <cell r="CL26">
            <v>0</v>
          </cell>
          <cell r="CM26">
            <v>0</v>
          </cell>
          <cell r="CX26">
            <v>-2.4806122500194761E-2</v>
          </cell>
          <cell r="CY26">
            <v>623.37898052242872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71.02632321702373</v>
          </cell>
          <cell r="AQ27">
            <v>0</v>
          </cell>
          <cell r="AS27">
            <v>398.0008367639935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39.878351256995849</v>
          </cell>
          <cell r="BU27">
            <v>114.95597466153319</v>
          </cell>
          <cell r="BW27">
            <v>0</v>
          </cell>
          <cell r="BX27">
            <v>0.52181145865374878</v>
          </cell>
          <cell r="BZ27">
            <v>0</v>
          </cell>
          <cell r="CA27">
            <v>108.16126840977638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X27">
            <v>9.1533865143843514</v>
          </cell>
          <cell r="CY27">
            <v>351.47313456404407</v>
          </cell>
        </row>
        <row r="28">
          <cell r="I28">
            <v>2627.2186425265522</v>
          </cell>
          <cell r="J28">
            <v>2267.5775168472614</v>
          </cell>
          <cell r="L28">
            <v>407.55257968286838</v>
          </cell>
          <cell r="M28">
            <v>367.47952496498692</v>
          </cell>
          <cell r="O28">
            <v>991.82</v>
          </cell>
          <cell r="P28">
            <v>991.81666666666672</v>
          </cell>
          <cell r="R28">
            <v>221.4</v>
          </cell>
          <cell r="S28">
            <v>221.4</v>
          </cell>
          <cell r="U28">
            <v>130.00964065633656</v>
          </cell>
          <cell r="V28">
            <v>45.569938929811315</v>
          </cell>
          <cell r="X28">
            <v>1129.1493210721176</v>
          </cell>
          <cell r="Y28">
            <v>840.08571833353608</v>
          </cell>
          <cell r="AA28">
            <v>0</v>
          </cell>
          <cell r="AB28">
            <v>0</v>
          </cell>
          <cell r="AD28">
            <v>3004.8833682744607</v>
          </cell>
          <cell r="AE28">
            <v>3302.2623243747466</v>
          </cell>
          <cell r="AJ28">
            <v>5747.840023162752</v>
          </cell>
          <cell r="AK28">
            <v>5811.2286876098406</v>
          </cell>
          <cell r="AM28">
            <v>0</v>
          </cell>
          <cell r="AN28">
            <v>266.0109811433166</v>
          </cell>
          <cell r="AP28">
            <v>568.21058573618984</v>
          </cell>
          <cell r="AQ28">
            <v>0</v>
          </cell>
          <cell r="AS28">
            <v>10064.675918389228</v>
          </cell>
          <cell r="AT28">
            <v>2969.1415306988943</v>
          </cell>
          <cell r="AV28">
            <v>206.76395489082276</v>
          </cell>
          <cell r="AW28">
            <v>0</v>
          </cell>
          <cell r="AY28">
            <v>249.72595634349193</v>
          </cell>
          <cell r="AZ28">
            <v>0</v>
          </cell>
          <cell r="BB28">
            <v>312.35655427083907</v>
          </cell>
          <cell r="BC28">
            <v>0</v>
          </cell>
          <cell r="BE28">
            <v>115.73902546114914</v>
          </cell>
          <cell r="BF28">
            <v>0</v>
          </cell>
          <cell r="BH28">
            <v>65.961235315382794</v>
          </cell>
          <cell r="BI28">
            <v>0</v>
          </cell>
          <cell r="BK28">
            <v>127.2900014790072</v>
          </cell>
          <cell r="BL28">
            <v>2356.3432915853305</v>
          </cell>
          <cell r="BN28">
            <v>102.33357069191999</v>
          </cell>
          <cell r="BO28">
            <v>0</v>
          </cell>
          <cell r="BT28">
            <v>10638.35249388026</v>
          </cell>
          <cell r="BU28">
            <v>8418.9178099990295</v>
          </cell>
          <cell r="BW28">
            <v>6063.4296423644155</v>
          </cell>
          <cell r="BX28">
            <v>7892.5205999536865</v>
          </cell>
          <cell r="BZ28">
            <v>2120.7044052846768</v>
          </cell>
          <cell r="CA28">
            <v>8019.5176074052415</v>
          </cell>
          <cell r="CC28">
            <v>327.46755952859007</v>
          </cell>
          <cell r="CD28">
            <v>331.07895636020248</v>
          </cell>
          <cell r="CF28">
            <v>40.31324122984536</v>
          </cell>
          <cell r="CG28">
            <v>0</v>
          </cell>
          <cell r="CI28">
            <v>1410.0535633484742</v>
          </cell>
          <cell r="CJ28">
            <v>726.00826926265108</v>
          </cell>
          <cell r="CL28">
            <v>1041.9422348636956</v>
          </cell>
          <cell r="CM28">
            <v>1372.9174831105502</v>
          </cell>
          <cell r="CX28">
            <v>1418.2077778563253</v>
          </cell>
          <cell r="CY28">
            <v>3236.5877113050992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47.350882144682487</v>
          </cell>
          <cell r="AQ29">
            <v>0</v>
          </cell>
          <cell r="AS29">
            <v>320.83238666977394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127.61072402238671</v>
          </cell>
          <cell r="BU29">
            <v>191.5932911025553</v>
          </cell>
          <cell r="BW29">
            <v>0</v>
          </cell>
          <cell r="BX29">
            <v>0.7017183734158059</v>
          </cell>
          <cell r="BZ29">
            <v>0</v>
          </cell>
          <cell r="CA29">
            <v>180.26878068296065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X29">
            <v>8.9272085957882155</v>
          </cell>
          <cell r="CY29">
            <v>156.80345180928188</v>
          </cell>
        </row>
        <row r="30">
          <cell r="I30">
            <v>82.969000405177255</v>
          </cell>
          <cell r="J30">
            <v>94.164247469350016</v>
          </cell>
          <cell r="L30">
            <v>37.9243574755655</v>
          </cell>
          <cell r="M30">
            <v>41.736002655687415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70.863556614904908</v>
          </cell>
          <cell r="Y30">
            <v>64.543694845777793</v>
          </cell>
          <cell r="AA30">
            <v>0</v>
          </cell>
          <cell r="AB30">
            <v>0</v>
          </cell>
          <cell r="AD30">
            <v>186.14119941214852</v>
          </cell>
          <cell r="AE30">
            <v>204.56270493641352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94.701764289364974</v>
          </cell>
          <cell r="AQ30">
            <v>0</v>
          </cell>
          <cell r="AS30">
            <v>623.57614642388046</v>
          </cell>
          <cell r="AT30">
            <v>0</v>
          </cell>
          <cell r="AV30">
            <v>36.308589429809629</v>
          </cell>
          <cell r="AW30">
            <v>0</v>
          </cell>
          <cell r="AY30">
            <v>48.925973641158578</v>
          </cell>
          <cell r="AZ30">
            <v>0</v>
          </cell>
          <cell r="BB30">
            <v>25.314242800838446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9.8614252960765771</v>
          </cell>
          <cell r="BL30">
            <v>0</v>
          </cell>
          <cell r="BN30">
            <v>0</v>
          </cell>
          <cell r="BO30">
            <v>0</v>
          </cell>
          <cell r="BT30">
            <v>660.13963200194405</v>
          </cell>
          <cell r="BU30">
            <v>674.12940321248095</v>
          </cell>
          <cell r="BW30">
            <v>386.57171728327529</v>
          </cell>
          <cell r="BX30">
            <v>345.29908766511971</v>
          </cell>
          <cell r="BZ30">
            <v>338.39005983146222</v>
          </cell>
          <cell r="CA30">
            <v>647.97496123472479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155.97937647660115</v>
          </cell>
          <cell r="CJ30">
            <v>257.71606902286885</v>
          </cell>
          <cell r="CL30">
            <v>0</v>
          </cell>
          <cell r="CM30">
            <v>0</v>
          </cell>
          <cell r="CX30">
            <v>49.619550341350987</v>
          </cell>
          <cell r="CY30">
            <v>562.66859474909256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63.134509526243313</v>
          </cell>
          <cell r="AQ31">
            <v>0</v>
          </cell>
          <cell r="AS31">
            <v>695.48980715602272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1.0289698654264252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X31">
            <v>22.730819981280888</v>
          </cell>
          <cell r="CY31">
            <v>931.8452361614884</v>
          </cell>
        </row>
        <row r="32">
          <cell r="I32">
            <v>2179.1610473992082</v>
          </cell>
          <cell r="J32">
            <v>2404.2380876462389</v>
          </cell>
          <cell r="L32">
            <v>429.59193429862819</v>
          </cell>
          <cell r="M32">
            <v>472.77284672781934</v>
          </cell>
          <cell r="O32">
            <v>737.66</v>
          </cell>
          <cell r="P32">
            <v>737.66666666666674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>
            <v>1241.9147834079502</v>
          </cell>
          <cell r="Y32">
            <v>1202.1085501765779</v>
          </cell>
          <cell r="AA32">
            <v>0</v>
          </cell>
          <cell r="AB32">
            <v>0</v>
          </cell>
          <cell r="AD32">
            <v>2262.2712003593629</v>
          </cell>
          <cell r="AE32">
            <v>2486.1573768018557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1633.6054339915459</v>
          </cell>
          <cell r="AQ32">
            <v>0</v>
          </cell>
          <cell r="AS32">
            <v>7334.9898286120761</v>
          </cell>
          <cell r="AT32">
            <v>100.98110666432166</v>
          </cell>
          <cell r="AV32">
            <v>338.3518327252624</v>
          </cell>
          <cell r="AW32">
            <v>0</v>
          </cell>
          <cell r="AY32">
            <v>553.69522338747106</v>
          </cell>
          <cell r="AZ32">
            <v>0</v>
          </cell>
          <cell r="BB32">
            <v>395.83670735449164</v>
          </cell>
          <cell r="BC32">
            <v>367.97798214586402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174.41860241614506</v>
          </cell>
          <cell r="BL32">
            <v>0</v>
          </cell>
          <cell r="BN32">
            <v>200.88589227223855</v>
          </cell>
          <cell r="BO32">
            <v>0</v>
          </cell>
          <cell r="BT32">
            <v>3380.651705548893</v>
          </cell>
          <cell r="BU32">
            <v>3562.6738085409552</v>
          </cell>
          <cell r="BW32">
            <v>2264.1058263503965</v>
          </cell>
          <cell r="BX32">
            <v>2694.5807724624274</v>
          </cell>
          <cell r="BZ32">
            <v>1465.7426478390848</v>
          </cell>
          <cell r="CA32">
            <v>3394.9532340991786</v>
          </cell>
          <cell r="CC32">
            <v>175.00886040674649</v>
          </cell>
          <cell r="CD32">
            <v>176.93890332423996</v>
          </cell>
          <cell r="CF32">
            <v>21.544651375830533</v>
          </cell>
          <cell r="CG32">
            <v>0</v>
          </cell>
          <cell r="CI32">
            <v>1550.4350021774148</v>
          </cell>
          <cell r="CJ32">
            <v>1313.6636442443998</v>
          </cell>
          <cell r="CL32">
            <v>0</v>
          </cell>
          <cell r="CM32">
            <v>0</v>
          </cell>
          <cell r="CX32">
            <v>1594.9745840927098</v>
          </cell>
          <cell r="CY32">
            <v>10505.164424599345</v>
          </cell>
        </row>
        <row r="33">
          <cell r="I33">
            <v>603.65476624585074</v>
          </cell>
          <cell r="J33">
            <v>652.74573781281538</v>
          </cell>
          <cell r="L33">
            <v>102.82383724539872</v>
          </cell>
          <cell r="M33">
            <v>113.15938301314469</v>
          </cell>
          <cell r="O33">
            <v>137.76</v>
          </cell>
          <cell r="P33">
            <v>137.76666666666668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>
            <v>201.19626340407379</v>
          </cell>
          <cell r="Y33">
            <v>189.9742976194965</v>
          </cell>
          <cell r="AA33">
            <v>0</v>
          </cell>
          <cell r="AB33">
            <v>0</v>
          </cell>
          <cell r="AD33">
            <v>429.93486066366467</v>
          </cell>
          <cell r="AE33">
            <v>472.48346052120314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284.10529286809492</v>
          </cell>
          <cell r="AQ33">
            <v>0</v>
          </cell>
          <cell r="AS33">
            <v>1512.9277306976576</v>
          </cell>
          <cell r="AT33">
            <v>0</v>
          </cell>
          <cell r="AV33">
            <v>106.42402557711507</v>
          </cell>
          <cell r="AW33">
            <v>0</v>
          </cell>
          <cell r="AY33">
            <v>132.492596975553</v>
          </cell>
          <cell r="AZ33">
            <v>0</v>
          </cell>
          <cell r="BB33">
            <v>66.563181804184708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19.771301113804686</v>
          </cell>
          <cell r="BL33">
            <v>0</v>
          </cell>
          <cell r="BN33">
            <v>0</v>
          </cell>
          <cell r="BO33">
            <v>0</v>
          </cell>
          <cell r="BT33">
            <v>1543.6814883329262</v>
          </cell>
          <cell r="BU33">
            <v>1293.4686088973917</v>
          </cell>
          <cell r="BW33">
            <v>815.58566851900912</v>
          </cell>
          <cell r="BX33">
            <v>910.97450552718215</v>
          </cell>
          <cell r="BZ33">
            <v>279.8951109604879</v>
          </cell>
          <cell r="CA33">
            <v>1314.1700551901729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124.78350118128091</v>
          </cell>
          <cell r="CJ33">
            <v>39.640109743693557</v>
          </cell>
          <cell r="CL33">
            <v>0</v>
          </cell>
          <cell r="CM33">
            <v>0</v>
          </cell>
          <cell r="CX33">
            <v>104.22044929307776</v>
          </cell>
          <cell r="CY33">
            <v>1588.8806100098814</v>
          </cell>
        </row>
        <row r="34">
          <cell r="I34">
            <v>2596.3118439050209</v>
          </cell>
          <cell r="J34">
            <v>2876.7575084917003</v>
          </cell>
          <cell r="L34">
            <v>395.71270067189192</v>
          </cell>
          <cell r="M34">
            <v>435.48723707312843</v>
          </cell>
          <cell r="O34">
            <v>1011.36</v>
          </cell>
          <cell r="P34">
            <v>1011.3499999999999</v>
          </cell>
          <cell r="R34">
            <v>251.7</v>
          </cell>
          <cell r="S34">
            <v>251.70000000000002</v>
          </cell>
          <cell r="U34">
            <v>130.00964065633656</v>
          </cell>
          <cell r="V34">
            <v>471.29426869068135</v>
          </cell>
          <cell r="X34">
            <v>1078.8889875448481</v>
          </cell>
          <cell r="Y34">
            <v>979.82177692111327</v>
          </cell>
          <cell r="AA34">
            <v>0</v>
          </cell>
          <cell r="AB34">
            <v>0</v>
          </cell>
          <cell r="AD34">
            <v>2991.7993237828559</v>
          </cell>
          <cell r="AE34">
            <v>3287.8834144871789</v>
          </cell>
          <cell r="AJ34">
            <v>6139.7493479442464</v>
          </cell>
          <cell r="AK34">
            <v>6207.4600896555166</v>
          </cell>
          <cell r="AM34">
            <v>0</v>
          </cell>
          <cell r="AN34">
            <v>532.00510021686796</v>
          </cell>
          <cell r="AP34">
            <v>568.21058573618984</v>
          </cell>
          <cell r="AQ34">
            <v>0</v>
          </cell>
          <cell r="AS34">
            <v>10751.05370272178</v>
          </cell>
          <cell r="AT34">
            <v>0</v>
          </cell>
          <cell r="AV34">
            <v>205.77312815090349</v>
          </cell>
          <cell r="AW34">
            <v>0</v>
          </cell>
          <cell r="AY34">
            <v>262.67571456331655</v>
          </cell>
          <cell r="AZ34">
            <v>0</v>
          </cell>
          <cell r="BB34">
            <v>264.85518945278432</v>
          </cell>
          <cell r="BC34">
            <v>0</v>
          </cell>
          <cell r="BE34">
            <v>145.72291312674076</v>
          </cell>
          <cell r="BF34">
            <v>0</v>
          </cell>
          <cell r="BH34">
            <v>65.961235315382794</v>
          </cell>
          <cell r="BI34">
            <v>0</v>
          </cell>
          <cell r="BK34">
            <v>171.46695994239872</v>
          </cell>
          <cell r="BL34">
            <v>0</v>
          </cell>
          <cell r="BN34">
            <v>0</v>
          </cell>
          <cell r="BO34">
            <v>0</v>
          </cell>
          <cell r="BT34">
            <v>9851.5077486654918</v>
          </cell>
          <cell r="BU34">
            <v>8177.2816903300254</v>
          </cell>
          <cell r="BW34">
            <v>5954.258277416272</v>
          </cell>
          <cell r="BX34">
            <v>9888.2049507084812</v>
          </cell>
          <cell r="BZ34">
            <v>1934.6017738005112</v>
          </cell>
          <cell r="CA34">
            <v>7881.8005961390118</v>
          </cell>
          <cell r="CC34">
            <v>88.23976154962007</v>
          </cell>
          <cell r="CD34">
            <v>89.212892432389893</v>
          </cell>
          <cell r="CF34">
            <v>10.862849433191865</v>
          </cell>
          <cell r="CG34">
            <v>0</v>
          </cell>
          <cell r="CI34">
            <v>1372.6185129940898</v>
          </cell>
          <cell r="CJ34">
            <v>4480.7112609235392</v>
          </cell>
          <cell r="CL34">
            <v>2058.9277694911343</v>
          </cell>
          <cell r="CM34">
            <v>6721.0668913853087</v>
          </cell>
          <cell r="CX34">
            <v>1456.0784397619936</v>
          </cell>
          <cell r="CY34">
            <v>-4531.6452129459285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94.701764289364974</v>
          </cell>
          <cell r="AQ35">
            <v>0</v>
          </cell>
          <cell r="AS35">
            <v>547.48421012736378</v>
          </cell>
          <cell r="AT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T35">
            <v>87.732372765390863</v>
          </cell>
          <cell r="BU35">
            <v>121.37223675059785</v>
          </cell>
          <cell r="BW35">
            <v>0</v>
          </cell>
          <cell r="BX35">
            <v>0.93494611585620979</v>
          </cell>
          <cell r="BZ35">
            <v>0</v>
          </cell>
          <cell r="CA35">
            <v>114.1958131959895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X35">
            <v>13.117983381456384</v>
          </cell>
          <cell r="CY35">
            <v>605.21640472506772</v>
          </cell>
        </row>
        <row r="36">
          <cell r="I36">
            <v>327.32270344175856</v>
          </cell>
          <cell r="J36">
            <v>356.5999916667738</v>
          </cell>
          <cell r="L36">
            <v>55.924551659938601</v>
          </cell>
          <cell r="M36">
            <v>61.545678818659979</v>
          </cell>
          <cell r="O36">
            <v>95.5</v>
          </cell>
          <cell r="P36">
            <v>95.5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160.71800817894464</v>
          </cell>
          <cell r="Y36">
            <v>148.05471896377921</v>
          </cell>
          <cell r="AA36">
            <v>0</v>
          </cell>
          <cell r="AB36">
            <v>0</v>
          </cell>
          <cell r="AD36">
            <v>291.96802985894811</v>
          </cell>
          <cell r="AE36">
            <v>320.86271137997176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189.40352857872995</v>
          </cell>
          <cell r="AQ36">
            <v>501.64657551187616</v>
          </cell>
          <cell r="AS36">
            <v>931.67389590225719</v>
          </cell>
          <cell r="AT36">
            <v>0</v>
          </cell>
          <cell r="AV36">
            <v>55.047242791802105</v>
          </cell>
          <cell r="AW36">
            <v>0</v>
          </cell>
          <cell r="AY36">
            <v>72.08773375891468</v>
          </cell>
          <cell r="AZ36">
            <v>0</v>
          </cell>
          <cell r="BB36">
            <v>47.77744413412605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13.131198850039331</v>
          </cell>
          <cell r="BL36">
            <v>0</v>
          </cell>
          <cell r="BN36">
            <v>0</v>
          </cell>
          <cell r="BO36">
            <v>0</v>
          </cell>
          <cell r="BT36">
            <v>975.27684272162037</v>
          </cell>
          <cell r="BU36">
            <v>911.94178633643094</v>
          </cell>
          <cell r="BW36">
            <v>581.89933690651253</v>
          </cell>
          <cell r="BX36">
            <v>656.21214441041047</v>
          </cell>
          <cell r="BZ36">
            <v>183.22723722074753</v>
          </cell>
          <cell r="CA36">
            <v>951.31895691502791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115.42473859268483</v>
          </cell>
          <cell r="CJ36">
            <v>240.46473208823932</v>
          </cell>
          <cell r="CL36">
            <v>0</v>
          </cell>
          <cell r="CM36">
            <v>0</v>
          </cell>
          <cell r="CX36">
            <v>-1.8991116427969246E-2</v>
          </cell>
          <cell r="CY36">
            <v>-177.33675530940309</v>
          </cell>
        </row>
        <row r="37">
          <cell r="I37">
            <v>333.51076696215716</v>
          </cell>
          <cell r="J37">
            <v>364.2133615753736</v>
          </cell>
          <cell r="L37">
            <v>55.924551659938601</v>
          </cell>
          <cell r="M37">
            <v>61.545678818659979</v>
          </cell>
          <cell r="O37">
            <v>107.52</v>
          </cell>
          <cell r="P37">
            <v>107.51666666666668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160.71800817894464</v>
          </cell>
          <cell r="Y37">
            <v>148.46036577744053</v>
          </cell>
          <cell r="AA37">
            <v>0</v>
          </cell>
          <cell r="AB37">
            <v>0</v>
          </cell>
          <cell r="AD37">
            <v>321.11494814362226</v>
          </cell>
          <cell r="AE37">
            <v>352.89416096611001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165.7280875063887</v>
          </cell>
          <cell r="AQ37">
            <v>358.31898250848297</v>
          </cell>
          <cell r="AS37">
            <v>669.94801109952175</v>
          </cell>
          <cell r="AT37">
            <v>0</v>
          </cell>
          <cell r="AV37">
            <v>58.218883533051603</v>
          </cell>
          <cell r="AW37">
            <v>0</v>
          </cell>
          <cell r="AY37">
            <v>72.08773375891468</v>
          </cell>
          <cell r="AZ37">
            <v>0</v>
          </cell>
          <cell r="BB37">
            <v>53.860905364050453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13.131198850039331</v>
          </cell>
          <cell r="BL37">
            <v>0</v>
          </cell>
          <cell r="BN37">
            <v>0</v>
          </cell>
          <cell r="BO37">
            <v>0</v>
          </cell>
          <cell r="BT37">
            <v>998.385822723616</v>
          </cell>
          <cell r="BU37">
            <v>809.89490001303477</v>
          </cell>
          <cell r="BW37">
            <v>802.9280128816464</v>
          </cell>
          <cell r="BX37">
            <v>914.4301039502044</v>
          </cell>
          <cell r="BZ37">
            <v>177.85096626383185</v>
          </cell>
          <cell r="CA37">
            <v>854.61481873955597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159.09896400613314</v>
          </cell>
          <cell r="CJ37">
            <v>34.703967283298013</v>
          </cell>
          <cell r="CL37">
            <v>0</v>
          </cell>
          <cell r="CM37">
            <v>0</v>
          </cell>
          <cell r="CX37">
            <v>124.46776688177215</v>
          </cell>
          <cell r="CY37">
            <v>296.58839244140768</v>
          </cell>
        </row>
        <row r="38">
          <cell r="I38">
            <v>1412.3497975921871</v>
          </cell>
          <cell r="J38">
            <v>1552.9758759508154</v>
          </cell>
          <cell r="L38">
            <v>299.29898953786147</v>
          </cell>
          <cell r="M38">
            <v>329.38335515912468</v>
          </cell>
          <cell r="O38">
            <v>523.96</v>
          </cell>
          <cell r="P38">
            <v>523.9666666666667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>
            <v>939.72715203929658</v>
          </cell>
          <cell r="Y38">
            <v>908.14368398121871</v>
          </cell>
          <cell r="AA38">
            <v>0</v>
          </cell>
          <cell r="AB38">
            <v>0</v>
          </cell>
          <cell r="AD38">
            <v>1498.3938969524636</v>
          </cell>
          <cell r="AE38">
            <v>1646.6827848365353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947.01764289364974</v>
          </cell>
          <cell r="AQ38">
            <v>0</v>
          </cell>
          <cell r="AS38">
            <v>4693.1017113782236</v>
          </cell>
          <cell r="AT38">
            <v>0</v>
          </cell>
          <cell r="AV38">
            <v>249.80458999544032</v>
          </cell>
          <cell r="AW38">
            <v>0</v>
          </cell>
          <cell r="AY38">
            <v>385.7367251097441</v>
          </cell>
          <cell r="AZ38">
            <v>0</v>
          </cell>
          <cell r="BB38">
            <v>225.03237420717613</v>
          </cell>
          <cell r="BC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K38">
            <v>128.96003314994545</v>
          </cell>
          <cell r="BL38">
            <v>0</v>
          </cell>
          <cell r="BN38">
            <v>0</v>
          </cell>
          <cell r="BO38">
            <v>0</v>
          </cell>
          <cell r="BT38">
            <v>2174.3199739358015</v>
          </cell>
          <cell r="BU38">
            <v>2278.1011482132053</v>
          </cell>
          <cell r="BW38">
            <v>1926.4745622324472</v>
          </cell>
          <cell r="BX38">
            <v>2285.9604449386052</v>
          </cell>
          <cell r="BZ38">
            <v>879.31083166086194</v>
          </cell>
          <cell r="CA38">
            <v>2246.1905315053141</v>
          </cell>
          <cell r="CC38">
            <v>185.30349925420214</v>
          </cell>
          <cell r="CD38">
            <v>187.34707410801877</v>
          </cell>
          <cell r="CF38">
            <v>22.81198380970292</v>
          </cell>
          <cell r="CG38">
            <v>0</v>
          </cell>
          <cell r="CI38">
            <v>452.34019178214317</v>
          </cell>
          <cell r="CJ38">
            <v>520.35821583543122</v>
          </cell>
          <cell r="CL38">
            <v>0</v>
          </cell>
          <cell r="CM38">
            <v>0</v>
          </cell>
          <cell r="CX38">
            <v>987.16725336262243</v>
          </cell>
          <cell r="CY38">
            <v>6344.9682625660789</v>
          </cell>
        </row>
        <row r="39">
          <cell r="I39">
            <v>1762.7751319934337</v>
          </cell>
          <cell r="J39">
            <v>1946.616907145836</v>
          </cell>
          <cell r="L39">
            <v>247.51688833927398</v>
          </cell>
          <cell r="M39">
            <v>272.39661551221729</v>
          </cell>
          <cell r="O39">
            <v>625.32000000000005</v>
          </cell>
          <cell r="P39">
            <v>625.33333333333337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773.10054146450511</v>
          </cell>
          <cell r="Y39">
            <v>717.62004160275194</v>
          </cell>
          <cell r="AA39">
            <v>0</v>
          </cell>
          <cell r="AB39">
            <v>0</v>
          </cell>
          <cell r="AD39">
            <v>1989.6156762587195</v>
          </cell>
          <cell r="AE39">
            <v>2185.0304240910937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1633.6054339915459</v>
          </cell>
          <cell r="AQ39">
            <v>0</v>
          </cell>
          <cell r="AS39">
            <v>5274.8921488145579</v>
          </cell>
          <cell r="AT39">
            <v>89.878955280198525</v>
          </cell>
          <cell r="AV39">
            <v>276.78672703023619</v>
          </cell>
          <cell r="AW39">
            <v>0</v>
          </cell>
          <cell r="AY39">
            <v>319.0193196255849</v>
          </cell>
          <cell r="AZ39">
            <v>0</v>
          </cell>
          <cell r="BB39">
            <v>346.12883444303247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113.23255725526957</v>
          </cell>
          <cell r="BL39">
            <v>0</v>
          </cell>
          <cell r="BN39">
            <v>0</v>
          </cell>
          <cell r="BO39">
            <v>0</v>
          </cell>
          <cell r="BT39">
            <v>5955.8271266455595</v>
          </cell>
          <cell r="BU39">
            <v>5481.3347456564088</v>
          </cell>
          <cell r="BW39">
            <v>2935.1660347396864</v>
          </cell>
          <cell r="BX39">
            <v>3463.9340636921388</v>
          </cell>
          <cell r="BZ39">
            <v>1902.5954635965757</v>
          </cell>
          <cell r="CA39">
            <v>5424.1876355121813</v>
          </cell>
          <cell r="CC39">
            <v>0</v>
          </cell>
          <cell r="CD39">
            <v>0</v>
          </cell>
          <cell r="CF39">
            <v>0</v>
          </cell>
          <cell r="CG39">
            <v>0</v>
          </cell>
          <cell r="CI39">
            <v>340.03504071899044</v>
          </cell>
          <cell r="CJ39">
            <v>322.09727909275182</v>
          </cell>
          <cell r="CL39">
            <v>0</v>
          </cell>
          <cell r="CM39">
            <v>0</v>
          </cell>
          <cell r="CX39">
            <v>701.71969009963141</v>
          </cell>
          <cell r="CY39">
            <v>5462.3439988973023</v>
          </cell>
        </row>
        <row r="40">
          <cell r="I40">
            <v>2033.8603633767334</v>
          </cell>
          <cell r="J40">
            <v>2255.5738291506327</v>
          </cell>
          <cell r="L40">
            <v>345.21193849411895</v>
          </cell>
          <cell r="M40">
            <v>379.91159764604924</v>
          </cell>
          <cell r="O40">
            <v>813</v>
          </cell>
          <cell r="P40">
            <v>812.98333333333335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>
            <v>1458.8328846659915</v>
          </cell>
          <cell r="Y40">
            <v>1428.3129710102594</v>
          </cell>
          <cell r="AA40">
            <v>0</v>
          </cell>
          <cell r="AB40">
            <v>0</v>
          </cell>
          <cell r="AD40">
            <v>2536.6370570732875</v>
          </cell>
          <cell r="AE40">
            <v>2787.6759120258957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1894.0352857872995</v>
          </cell>
          <cell r="AQ40">
            <v>0</v>
          </cell>
          <cell r="AS40">
            <v>9634.576653702592</v>
          </cell>
          <cell r="AT40">
            <v>5899.3116566400386</v>
          </cell>
          <cell r="AV40">
            <v>323.47028542496639</v>
          </cell>
          <cell r="AW40">
            <v>0</v>
          </cell>
          <cell r="AY40">
            <v>444.88882070319545</v>
          </cell>
          <cell r="AZ40">
            <v>0</v>
          </cell>
          <cell r="BB40">
            <v>469.97318737165875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K40">
            <v>179.51138020506116</v>
          </cell>
          <cell r="BL40">
            <v>0</v>
          </cell>
          <cell r="BN40">
            <v>0</v>
          </cell>
          <cell r="BO40">
            <v>0</v>
          </cell>
          <cell r="BT40">
            <v>4105.1319113664031</v>
          </cell>
          <cell r="BU40">
            <v>4144.1239029774006</v>
          </cell>
          <cell r="BW40">
            <v>2922.8817848610447</v>
          </cell>
          <cell r="BX40">
            <v>3526.3766333681501</v>
          </cell>
          <cell r="BZ40">
            <v>1922.0816475218207</v>
          </cell>
          <cell r="CA40">
            <v>4021.6321805740954</v>
          </cell>
          <cell r="CC40">
            <v>305.79979585918329</v>
          </cell>
          <cell r="CD40">
            <v>309.1722349962489</v>
          </cell>
          <cell r="CF40">
            <v>37.645808202361586</v>
          </cell>
          <cell r="CG40">
            <v>0</v>
          </cell>
          <cell r="CI40">
            <v>311.95875295320229</v>
          </cell>
          <cell r="CJ40">
            <v>611.92343578494661</v>
          </cell>
          <cell r="CL40">
            <v>0</v>
          </cell>
          <cell r="CM40">
            <v>0</v>
          </cell>
          <cell r="CX40">
            <v>1084.2629309172989</v>
          </cell>
          <cell r="CY40">
            <v>5359.2627749915409</v>
          </cell>
        </row>
        <row r="41">
          <cell r="I41">
            <v>2034.0152430067699</v>
          </cell>
          <cell r="J41">
            <v>2256.1416256300413</v>
          </cell>
          <cell r="L41">
            <v>345.21193849411895</v>
          </cell>
          <cell r="M41">
            <v>379.91159764604924</v>
          </cell>
          <cell r="O41">
            <v>820.28</v>
          </cell>
          <cell r="P41">
            <v>820.28333333333342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1275.7588742575476</v>
          </cell>
          <cell r="Y41">
            <v>1240.4102533814012</v>
          </cell>
          <cell r="AA41">
            <v>0</v>
          </cell>
          <cell r="AB41">
            <v>0</v>
          </cell>
          <cell r="AD41">
            <v>2547.8254829185048</v>
          </cell>
          <cell r="AE41">
            <v>2799.9716029428237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1894.0352857872995</v>
          </cell>
          <cell r="AQ41">
            <v>1504.9397265356283</v>
          </cell>
          <cell r="AS41">
            <v>9653.4290157244177</v>
          </cell>
          <cell r="AT41">
            <v>1056.2046722192822</v>
          </cell>
          <cell r="AV41">
            <v>323.52638508503514</v>
          </cell>
          <cell r="AW41">
            <v>0</v>
          </cell>
          <cell r="AY41">
            <v>444.88882070319545</v>
          </cell>
          <cell r="AZ41">
            <v>0</v>
          </cell>
          <cell r="BB41">
            <v>472.79176507359625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179.51810429532154</v>
          </cell>
          <cell r="BL41">
            <v>0</v>
          </cell>
          <cell r="BN41">
            <v>0</v>
          </cell>
          <cell r="BO41">
            <v>0</v>
          </cell>
          <cell r="BT41">
            <v>4845.0990235753434</v>
          </cell>
          <cell r="BU41">
            <v>4886.8434973296244</v>
          </cell>
          <cell r="BW41">
            <v>3157.2849209092883</v>
          </cell>
          <cell r="BX41">
            <v>3806.3016518065842</v>
          </cell>
          <cell r="BZ41">
            <v>2000.0445817704201</v>
          </cell>
          <cell r="CA41">
            <v>4724.9219194538355</v>
          </cell>
          <cell r="CC41">
            <v>422.17823692518226</v>
          </cell>
          <cell r="CD41">
            <v>426.83412757096767</v>
          </cell>
          <cell r="CF41">
            <v>51.9726996214713</v>
          </cell>
          <cell r="CG41">
            <v>0</v>
          </cell>
          <cell r="CI41">
            <v>754.94018214674941</v>
          </cell>
          <cell r="CJ41">
            <v>834.94560219521918</v>
          </cell>
          <cell r="CL41">
            <v>0</v>
          </cell>
          <cell r="CM41">
            <v>0</v>
          </cell>
          <cell r="CX41">
            <v>1290.7593276468906</v>
          </cell>
          <cell r="CY41">
            <v>9072.8684679462531</v>
          </cell>
        </row>
        <row r="42">
          <cell r="I42">
            <v>2034.7811152672907</v>
          </cell>
          <cell r="J42">
            <v>2256.6186084778674</v>
          </cell>
          <cell r="L42">
            <v>345.21193849411895</v>
          </cell>
          <cell r="M42">
            <v>379.91159764604924</v>
          </cell>
          <cell r="O42">
            <v>820.28</v>
          </cell>
          <cell r="P42">
            <v>820.28333333333342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1275.7588742575476</v>
          </cell>
          <cell r="Y42">
            <v>1240.3095677761012</v>
          </cell>
          <cell r="AA42">
            <v>0</v>
          </cell>
          <cell r="AB42">
            <v>0</v>
          </cell>
          <cell r="AD42">
            <v>2539.9864584409638</v>
          </cell>
          <cell r="AE42">
            <v>2791.3567876507082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1894.0352857872995</v>
          </cell>
          <cell r="AQ42">
            <v>0</v>
          </cell>
          <cell r="AS42">
            <v>8783.0631475805385</v>
          </cell>
          <cell r="AT42">
            <v>1221.4913687532407</v>
          </cell>
          <cell r="AV42">
            <v>323.47537914525492</v>
          </cell>
          <cell r="AW42">
            <v>1294.188597259516</v>
          </cell>
          <cell r="AY42">
            <v>444.88882070319545</v>
          </cell>
          <cell r="AZ42">
            <v>0</v>
          </cell>
          <cell r="BB42">
            <v>472.79176507359625</v>
          </cell>
          <cell r="BC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K42">
            <v>179.51810429532154</v>
          </cell>
          <cell r="BL42">
            <v>0</v>
          </cell>
          <cell r="BN42">
            <v>0</v>
          </cell>
          <cell r="BO42">
            <v>0</v>
          </cell>
          <cell r="BT42">
            <v>4585.7963105153513</v>
          </cell>
          <cell r="BU42">
            <v>3966.7279012131921</v>
          </cell>
          <cell r="BW42">
            <v>3058.3057780193394</v>
          </cell>
          <cell r="BX42">
            <v>2655.0103162919877</v>
          </cell>
          <cell r="BZ42">
            <v>1991.3291383066266</v>
          </cell>
          <cell r="CA42">
            <v>2873.6671095756019</v>
          </cell>
          <cell r="CC42">
            <v>350.80207424948964</v>
          </cell>
          <cell r="CD42">
            <v>354.67081013676784</v>
          </cell>
          <cell r="CF42">
            <v>43.185861413289444</v>
          </cell>
          <cell r="CG42">
            <v>0</v>
          </cell>
          <cell r="CI42">
            <v>1279.0308871081293</v>
          </cell>
          <cell r="CJ42">
            <v>2385.7856366354522</v>
          </cell>
          <cell r="CL42">
            <v>0</v>
          </cell>
          <cell r="CM42">
            <v>0</v>
          </cell>
          <cell r="CX42">
            <v>1842.6708736111759</v>
          </cell>
          <cell r="CY42">
            <v>11661.334038300221</v>
          </cell>
        </row>
        <row r="43">
          <cell r="I43">
            <v>2033.9636981540743</v>
          </cell>
          <cell r="J43">
            <v>2256.0052659543462</v>
          </cell>
          <cell r="L43">
            <v>345.21193849411895</v>
          </cell>
          <cell r="M43">
            <v>379.91159764604924</v>
          </cell>
          <cell r="O43">
            <v>811.52</v>
          </cell>
          <cell r="P43">
            <v>811.51666666666677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>
            <v>1275.7588742575476</v>
          </cell>
          <cell r="Y43">
            <v>1240.3788859428269</v>
          </cell>
          <cell r="AA43">
            <v>0</v>
          </cell>
          <cell r="AB43">
            <v>0</v>
          </cell>
          <cell r="AD43">
            <v>2545.5165338905745</v>
          </cell>
          <cell r="AE43">
            <v>2797.4341482567825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1894.0352857872995</v>
          </cell>
          <cell r="AQ43">
            <v>0</v>
          </cell>
          <cell r="AS43">
            <v>9622.1724222320809</v>
          </cell>
          <cell r="AT43">
            <v>15596.175520571929</v>
          </cell>
          <cell r="AV43">
            <v>323.47537914525492</v>
          </cell>
          <cell r="AW43">
            <v>0</v>
          </cell>
          <cell r="AY43">
            <v>444.88882070319545</v>
          </cell>
          <cell r="AZ43">
            <v>0</v>
          </cell>
          <cell r="BB43">
            <v>469.39987804412397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179.51810429532154</v>
          </cell>
          <cell r="BL43">
            <v>0</v>
          </cell>
          <cell r="BN43">
            <v>0</v>
          </cell>
          <cell r="BO43">
            <v>0</v>
          </cell>
          <cell r="BT43">
            <v>6196.558486382004</v>
          </cell>
          <cell r="BU43">
            <v>4690.5116443959387</v>
          </cell>
          <cell r="BW43">
            <v>3120.7220613320342</v>
          </cell>
          <cell r="BX43">
            <v>2708.5352847231725</v>
          </cell>
          <cell r="BZ43">
            <v>1751.3290402107157</v>
          </cell>
          <cell r="CA43">
            <v>3422.7919581941919</v>
          </cell>
          <cell r="CC43">
            <v>349.72358827499426</v>
          </cell>
          <cell r="CD43">
            <v>353.58043034037195</v>
          </cell>
          <cell r="CF43">
            <v>43.053093253550429</v>
          </cell>
          <cell r="CG43">
            <v>0</v>
          </cell>
          <cell r="CI43">
            <v>1232.2370741651489</v>
          </cell>
          <cell r="CJ43">
            <v>954.09741885244478</v>
          </cell>
          <cell r="CL43">
            <v>0</v>
          </cell>
          <cell r="CM43">
            <v>0</v>
          </cell>
          <cell r="CX43">
            <v>1252.2788656535486</v>
          </cell>
          <cell r="CY43">
            <v>-1833.9465858536605</v>
          </cell>
        </row>
        <row r="44">
          <cell r="I44">
            <v>1430.0344742090283</v>
          </cell>
          <cell r="J44">
            <v>1833.421037532542</v>
          </cell>
          <cell r="L44">
            <v>231.48993924785538</v>
          </cell>
          <cell r="M44">
            <v>295.6718960986417</v>
          </cell>
          <cell r="O44">
            <v>820.06</v>
          </cell>
          <cell r="P44">
            <v>820.22</v>
          </cell>
          <cell r="R44">
            <v>194.64</v>
          </cell>
          <cell r="S44">
            <v>194.56</v>
          </cell>
          <cell r="U44">
            <v>65.029090713311319</v>
          </cell>
          <cell r="V44">
            <v>53.251495533727706</v>
          </cell>
          <cell r="X44">
            <v>654.25699934816919</v>
          </cell>
          <cell r="Y44">
            <v>2532.261138299853</v>
          </cell>
          <cell r="AA44">
            <v>0</v>
          </cell>
          <cell r="AB44">
            <v>0</v>
          </cell>
          <cell r="AD44">
            <v>2718.7162165288923</v>
          </cell>
          <cell r="AE44">
            <v>2987.7745763109401</v>
          </cell>
          <cell r="AJ44">
            <v>2496.4053549718647</v>
          </cell>
          <cell r="AK44">
            <v>2523.9363580499839</v>
          </cell>
          <cell r="AM44">
            <v>0</v>
          </cell>
          <cell r="AN44">
            <v>0</v>
          </cell>
          <cell r="AP44">
            <v>355.13161608511865</v>
          </cell>
          <cell r="AQ44">
            <v>0</v>
          </cell>
          <cell r="AS44">
            <v>9732.1681610338401</v>
          </cell>
          <cell r="AT44">
            <v>0</v>
          </cell>
          <cell r="AV44">
            <v>124.99549231576577</v>
          </cell>
          <cell r="AW44">
            <v>0</v>
          </cell>
          <cell r="AY44">
            <v>153.02341104794502</v>
          </cell>
          <cell r="AZ44">
            <v>0</v>
          </cell>
          <cell r="BB44">
            <v>335.89607452838891</v>
          </cell>
          <cell r="BC44">
            <v>0</v>
          </cell>
          <cell r="BE44">
            <v>111.59307533867725</v>
          </cell>
          <cell r="BF44">
            <v>0</v>
          </cell>
          <cell r="BH44">
            <v>32.980617657691397</v>
          </cell>
          <cell r="BI44">
            <v>0</v>
          </cell>
          <cell r="BK44">
            <v>43.380793390018312</v>
          </cell>
          <cell r="BL44">
            <v>0</v>
          </cell>
          <cell r="BN44">
            <v>0</v>
          </cell>
          <cell r="BO44">
            <v>0</v>
          </cell>
          <cell r="BT44">
            <v>3289.2661212406183</v>
          </cell>
          <cell r="BU44">
            <v>2132.0531879636515</v>
          </cell>
          <cell r="BW44">
            <v>4513.7986003992146</v>
          </cell>
          <cell r="BX44">
            <v>4071.9774111560287</v>
          </cell>
          <cell r="BZ44">
            <v>909.41793131327347</v>
          </cell>
          <cell r="CA44">
            <v>1921.8352496139587</v>
          </cell>
          <cell r="CC44">
            <v>224.76628150278225</v>
          </cell>
          <cell r="CD44">
            <v>227.24506211250426</v>
          </cell>
          <cell r="CF44">
            <v>27.670091472880394</v>
          </cell>
          <cell r="CG44">
            <v>0</v>
          </cell>
          <cell r="CI44">
            <v>586.48245555202027</v>
          </cell>
          <cell r="CJ44">
            <v>383.50215206198862</v>
          </cell>
          <cell r="CL44">
            <v>567.76493037482805</v>
          </cell>
          <cell r="CM44">
            <v>1441.9759596297088</v>
          </cell>
          <cell r="CX44">
            <v>584.97872607337922</v>
          </cell>
          <cell r="CY44">
            <v>10424.117370763761</v>
          </cell>
        </row>
        <row r="45">
          <cell r="I45">
            <v>2539.5135045074321</v>
          </cell>
          <cell r="J45">
            <v>2197.8905370515586</v>
          </cell>
          <cell r="L45">
            <v>380.28171978113971</v>
          </cell>
          <cell r="M45">
            <v>342.88899044107143</v>
          </cell>
          <cell r="O45">
            <v>1105.18</v>
          </cell>
          <cell r="P45">
            <v>1105.2</v>
          </cell>
          <cell r="R45">
            <v>219.88</v>
          </cell>
          <cell r="S45">
            <v>219.92</v>
          </cell>
          <cell r="U45">
            <v>130.00964065633656</v>
          </cell>
          <cell r="V45">
            <v>45.569938929811315</v>
          </cell>
          <cell r="X45">
            <v>922.900498752364</v>
          </cell>
          <cell r="Y45">
            <v>737.15779717730265</v>
          </cell>
          <cell r="AA45">
            <v>0</v>
          </cell>
          <cell r="AB45">
            <v>0</v>
          </cell>
          <cell r="AD45">
            <v>2966.9995008902729</v>
          </cell>
          <cell r="AE45">
            <v>3260.6292715630325</v>
          </cell>
          <cell r="AJ45">
            <v>9601.5110639297945</v>
          </cell>
          <cell r="AK45">
            <v>9707.3764795125717</v>
          </cell>
          <cell r="AM45">
            <v>0</v>
          </cell>
          <cell r="AN45">
            <v>0</v>
          </cell>
          <cell r="AP45">
            <v>560.31877204540945</v>
          </cell>
          <cell r="AQ45">
            <v>0</v>
          </cell>
          <cell r="AS45">
            <v>10225.707110585236</v>
          </cell>
          <cell r="AT45">
            <v>1128.8642763287075</v>
          </cell>
          <cell r="AV45">
            <v>189.77948309198482</v>
          </cell>
          <cell r="AW45">
            <v>0</v>
          </cell>
          <cell r="AY45">
            <v>228.47399419187306</v>
          </cell>
          <cell r="AZ45">
            <v>0</v>
          </cell>
          <cell r="BB45">
            <v>224.81280975438688</v>
          </cell>
          <cell r="BC45">
            <v>0</v>
          </cell>
          <cell r="BE45">
            <v>105.43188534218436</v>
          </cell>
          <cell r="BF45">
            <v>912.29523135982788</v>
          </cell>
          <cell r="BH45">
            <v>65.961235315382794</v>
          </cell>
          <cell r="BI45">
            <v>0</v>
          </cell>
          <cell r="BK45">
            <v>117.84882201386395</v>
          </cell>
          <cell r="BL45">
            <v>0</v>
          </cell>
          <cell r="BN45">
            <v>53.862315927238761</v>
          </cell>
          <cell r="BO45">
            <v>0</v>
          </cell>
          <cell r="BT45">
            <v>11359.058791014731</v>
          </cell>
          <cell r="BU45">
            <v>10550.297373421168</v>
          </cell>
          <cell r="BW45">
            <v>6745.5553781553781</v>
          </cell>
          <cell r="BX45">
            <v>11555.309739018208</v>
          </cell>
          <cell r="BZ45">
            <v>2157.0593379467</v>
          </cell>
          <cell r="CA45">
            <v>10129.6253473492</v>
          </cell>
          <cell r="CC45">
            <v>283.34767875377997</v>
          </cell>
          <cell r="CD45">
            <v>286.47251014400752</v>
          </cell>
          <cell r="CF45">
            <v>34.881816513249433</v>
          </cell>
          <cell r="CG45">
            <v>0</v>
          </cell>
          <cell r="CI45">
            <v>2140.0370452589677</v>
          </cell>
          <cell r="CJ45">
            <v>1992.6628164202209</v>
          </cell>
          <cell r="CL45">
            <v>2249.2226087925883</v>
          </cell>
          <cell r="CM45">
            <v>2986.5110563940807</v>
          </cell>
          <cell r="CX45">
            <v>1057.9579841356463</v>
          </cell>
          <cell r="CY45">
            <v>-2003.2856381329184</v>
          </cell>
        </row>
        <row r="46">
          <cell r="I46">
            <v>175.87277271292075</v>
          </cell>
          <cell r="J46">
            <v>155.21684510611129</v>
          </cell>
          <cell r="L46">
            <v>70.86718398443351</v>
          </cell>
          <cell r="M46">
            <v>63.899815752019151</v>
          </cell>
          <cell r="O46">
            <v>109.36</v>
          </cell>
          <cell r="P46">
            <v>109.34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>
            <v>98.891409429387878</v>
          </cell>
          <cell r="Y46">
            <v>77.357280624528073</v>
          </cell>
          <cell r="AA46">
            <v>0</v>
          </cell>
          <cell r="AB46">
            <v>0</v>
          </cell>
          <cell r="AD46">
            <v>292.13193673438764</v>
          </cell>
          <cell r="AE46">
            <v>321.04283933607962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189.40352857872995</v>
          </cell>
          <cell r="AQ46">
            <v>503.68810246675991</v>
          </cell>
          <cell r="AS46">
            <v>879.2372180236606</v>
          </cell>
          <cell r="AT46">
            <v>399.45892302046599</v>
          </cell>
          <cell r="AV46">
            <v>67.696308299723157</v>
          </cell>
          <cell r="AW46">
            <v>0</v>
          </cell>
          <cell r="AY46">
            <v>91.335669119949301</v>
          </cell>
          <cell r="AZ46">
            <v>0</v>
          </cell>
          <cell r="BB46">
            <v>31.502063628871475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19.771277081972755</v>
          </cell>
          <cell r="BL46">
            <v>0</v>
          </cell>
          <cell r="BN46">
            <v>27.907064838681809</v>
          </cell>
          <cell r="BO46">
            <v>0</v>
          </cell>
          <cell r="BT46">
            <v>1101.9723394183075</v>
          </cell>
          <cell r="BU46">
            <v>1131.9851947086361</v>
          </cell>
          <cell r="BW46">
            <v>619.92379792893234</v>
          </cell>
          <cell r="BX46">
            <v>1854.3406344988225</v>
          </cell>
          <cell r="BZ46">
            <v>300.36379342842406</v>
          </cell>
          <cell r="CA46">
            <v>1075.1883283996799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218.37112706724159</v>
          </cell>
          <cell r="CJ46">
            <v>223.04229575167668</v>
          </cell>
          <cell r="CL46">
            <v>0</v>
          </cell>
          <cell r="CM46">
            <v>0</v>
          </cell>
          <cell r="CX46">
            <v>3.1011669250801788E-2</v>
          </cell>
          <cell r="CY46">
            <v>-1943.9123115977345</v>
          </cell>
        </row>
        <row r="47">
          <cell r="I47">
            <v>175.87277271292075</v>
          </cell>
          <cell r="J47">
            <v>155.04999522762952</v>
          </cell>
          <cell r="L47">
            <v>70.86718398443351</v>
          </cell>
          <cell r="M47">
            <v>63.899815752019151</v>
          </cell>
          <cell r="O47">
            <v>107.16</v>
          </cell>
          <cell r="P47">
            <v>107.18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>
            <v>98.891409429387878</v>
          </cell>
          <cell r="Y47">
            <v>77.286377330128488</v>
          </cell>
          <cell r="AA47">
            <v>0</v>
          </cell>
          <cell r="AB47">
            <v>0</v>
          </cell>
          <cell r="AD47">
            <v>287.8561052011836</v>
          </cell>
          <cell r="AE47">
            <v>316.3438491767439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189.40352857872995</v>
          </cell>
          <cell r="AQ47">
            <v>575.64354567629709</v>
          </cell>
          <cell r="AS47">
            <v>848.99000114935666</v>
          </cell>
          <cell r="AT47">
            <v>19.342209687931785</v>
          </cell>
          <cell r="AV47">
            <v>67.696308299723157</v>
          </cell>
          <cell r="AW47">
            <v>0</v>
          </cell>
          <cell r="AY47">
            <v>91.335669119949301</v>
          </cell>
          <cell r="AZ47">
            <v>0</v>
          </cell>
          <cell r="BB47">
            <v>30.616109573468009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K47">
            <v>19.771277081972755</v>
          </cell>
          <cell r="BL47">
            <v>0</v>
          </cell>
          <cell r="BN47">
            <v>27.240307228761459</v>
          </cell>
          <cell r="BO47">
            <v>0</v>
          </cell>
          <cell r="BT47">
            <v>888.46755129148744</v>
          </cell>
          <cell r="BU47">
            <v>1106.4322594004514</v>
          </cell>
          <cell r="BW47">
            <v>631.88048155811032</v>
          </cell>
          <cell r="BX47">
            <v>1869.3736937978474</v>
          </cell>
          <cell r="BZ47">
            <v>345.48841878418835</v>
          </cell>
          <cell r="CA47">
            <v>1058.6053047245173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308.83916542367018</v>
          </cell>
          <cell r="CJ47">
            <v>131.55759316777699</v>
          </cell>
          <cell r="CL47">
            <v>0</v>
          </cell>
          <cell r="CM47">
            <v>0</v>
          </cell>
          <cell r="CX47">
            <v>125.68845269918893</v>
          </cell>
          <cell r="CY47">
            <v>-1422.7175727296117</v>
          </cell>
        </row>
        <row r="48">
          <cell r="I48">
            <v>2739.4930041117791</v>
          </cell>
          <cell r="J48">
            <v>2370.9844600956817</v>
          </cell>
          <cell r="L48">
            <v>569.15627999259948</v>
          </cell>
          <cell r="M48">
            <v>513.19956408771952</v>
          </cell>
          <cell r="O48">
            <v>1280.7</v>
          </cell>
          <cell r="P48">
            <v>1280.3800000000001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>
            <v>2359.2676634497793</v>
          </cell>
          <cell r="Y48">
            <v>1903.7740184117533</v>
          </cell>
          <cell r="AA48">
            <v>0</v>
          </cell>
          <cell r="AB48">
            <v>0</v>
          </cell>
          <cell r="AD48">
            <v>3485.301546573487</v>
          </cell>
          <cell r="AE48">
            <v>3830.2251953771729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2604.2985179575371</v>
          </cell>
          <cell r="AQ48">
            <v>7339.4552073727873</v>
          </cell>
          <cell r="AS48">
            <v>7400.7728820642214</v>
          </cell>
          <cell r="AT48">
            <v>368.5689749258147</v>
          </cell>
          <cell r="AV48">
            <v>472.55756514456755</v>
          </cell>
          <cell r="AW48">
            <v>0</v>
          </cell>
          <cell r="AY48">
            <v>733.55039105992546</v>
          </cell>
          <cell r="AZ48">
            <v>0</v>
          </cell>
          <cell r="BB48">
            <v>441.34166583337264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K48">
            <v>331.20826457246949</v>
          </cell>
          <cell r="BL48">
            <v>0</v>
          </cell>
          <cell r="BN48">
            <v>160.2534325618756</v>
          </cell>
          <cell r="BO48">
            <v>0</v>
          </cell>
          <cell r="BT48">
            <v>12700.329515779938</v>
          </cell>
          <cell r="BU48">
            <v>13869.932663667685</v>
          </cell>
          <cell r="BW48">
            <v>4328.9121256616163</v>
          </cell>
          <cell r="BX48">
            <v>9895.3398213836444</v>
          </cell>
          <cell r="BZ48">
            <v>6309.1240987888905</v>
          </cell>
          <cell r="CA48">
            <v>12681.615753871658</v>
          </cell>
          <cell r="CC48">
            <v>301.73096240995085</v>
          </cell>
          <cell r="CD48">
            <v>305.05852940075539</v>
          </cell>
          <cell r="CF48">
            <v>37.144910145164403</v>
          </cell>
          <cell r="CG48">
            <v>0</v>
          </cell>
          <cell r="CI48">
            <v>1725.1319038312085</v>
          </cell>
          <cell r="CJ48">
            <v>1997.2970187595581</v>
          </cell>
          <cell r="CL48">
            <v>0</v>
          </cell>
          <cell r="CM48">
            <v>0</v>
          </cell>
          <cell r="CX48">
            <v>2601.7903240739543</v>
          </cell>
          <cell r="CY48">
            <v>-7448.8774488250747</v>
          </cell>
        </row>
        <row r="49">
          <cell r="I49">
            <v>621.03896781351762</v>
          </cell>
          <cell r="J49">
            <v>679.36545860972114</v>
          </cell>
          <cell r="L49">
            <v>126.49526282106204</v>
          </cell>
          <cell r="M49">
            <v>139.21046399458805</v>
          </cell>
          <cell r="O49">
            <v>170.88</v>
          </cell>
          <cell r="P49">
            <v>170.86666666666667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>
            <v>376.00662446244172</v>
          </cell>
          <cell r="Y49">
            <v>329.124287629023</v>
          </cell>
          <cell r="AA49">
            <v>0</v>
          </cell>
          <cell r="AB49">
            <v>0</v>
          </cell>
          <cell r="AD49">
            <v>536.83064899376529</v>
          </cell>
          <cell r="AE49">
            <v>668.19640065753458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497.18426251916611</v>
          </cell>
          <cell r="AQ49">
            <v>0</v>
          </cell>
          <cell r="AS49">
            <v>1617.6290010005876</v>
          </cell>
          <cell r="AT49">
            <v>0</v>
          </cell>
          <cell r="AV49">
            <v>103.78450226731735</v>
          </cell>
          <cell r="AW49">
            <v>0</v>
          </cell>
          <cell r="AY49">
            <v>163.00578644091831</v>
          </cell>
          <cell r="AZ49">
            <v>0</v>
          </cell>
          <cell r="BB49">
            <v>71.428492411828188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K49">
            <v>39.526483889459712</v>
          </cell>
          <cell r="BL49">
            <v>0</v>
          </cell>
          <cell r="BN49">
            <v>0</v>
          </cell>
          <cell r="BO49">
            <v>0</v>
          </cell>
          <cell r="BT49">
            <v>1446.2540173647089</v>
          </cell>
          <cell r="BU49">
            <v>1443.9077480901408</v>
          </cell>
          <cell r="BW49">
            <v>925.15193998895006</v>
          </cell>
          <cell r="BX49">
            <v>1938.9924479633546</v>
          </cell>
          <cell r="BZ49">
            <v>620.65129044285891</v>
          </cell>
          <cell r="CA49">
            <v>1306.4087621238837</v>
          </cell>
          <cell r="CC49">
            <v>75.984239112172844</v>
          </cell>
          <cell r="CD49">
            <v>76.8222129278913</v>
          </cell>
          <cell r="CF49">
            <v>9.3541203452485515</v>
          </cell>
          <cell r="CG49">
            <v>0</v>
          </cell>
          <cell r="CI49">
            <v>290.12164024647802</v>
          </cell>
          <cell r="CJ49">
            <v>284.91014357320307</v>
          </cell>
          <cell r="CL49">
            <v>0</v>
          </cell>
          <cell r="CM49">
            <v>0</v>
          </cell>
          <cell r="CX49">
            <v>-160.83273614457721</v>
          </cell>
          <cell r="CY49">
            <v>623.39448931679317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78.91813690780414</v>
          </cell>
          <cell r="AQ50">
            <v>0</v>
          </cell>
          <cell r="AS50">
            <v>464.34536742130445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T50">
            <v>15.951340502798338</v>
          </cell>
          <cell r="BU50">
            <v>36.881322329389512</v>
          </cell>
          <cell r="BW50">
            <v>0</v>
          </cell>
          <cell r="BX50">
            <v>1.0456580634020911</v>
          </cell>
          <cell r="BZ50">
            <v>0</v>
          </cell>
          <cell r="CA50">
            <v>34.698482396317097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X50">
            <v>16.782186201711738</v>
          </cell>
          <cell r="CY50">
            <v>600.68944465306959</v>
          </cell>
        </row>
        <row r="51">
          <cell r="I51">
            <v>1451.5629398755198</v>
          </cell>
          <cell r="J51">
            <v>1620.3460082913602</v>
          </cell>
          <cell r="L51">
            <v>282.92637332764753</v>
          </cell>
          <cell r="M51">
            <v>311.36469081362634</v>
          </cell>
          <cell r="O51">
            <v>618.74</v>
          </cell>
          <cell r="P51">
            <v>618.73333333333335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883.51669266117415</v>
          </cell>
          <cell r="Y51">
            <v>859.58014126875082</v>
          </cell>
          <cell r="AA51">
            <v>0</v>
          </cell>
          <cell r="AB51">
            <v>0</v>
          </cell>
          <cell r="AD51">
            <v>2100.5735045453639</v>
          </cell>
          <cell r="AE51">
            <v>2404.4732645320701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1278.4738179064273</v>
          </cell>
          <cell r="AQ51">
            <v>0</v>
          </cell>
          <cell r="AS51">
            <v>5217.8459568311582</v>
          </cell>
          <cell r="AT51">
            <v>0</v>
          </cell>
          <cell r="AV51">
            <v>235.07044024849569</v>
          </cell>
          <cell r="AW51">
            <v>0</v>
          </cell>
          <cell r="AY51">
            <v>364.66296549106636</v>
          </cell>
          <cell r="AZ51">
            <v>0</v>
          </cell>
          <cell r="BB51">
            <v>335.41627860193557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K51">
            <v>113.60653295778928</v>
          </cell>
          <cell r="BL51">
            <v>218.46854642875923</v>
          </cell>
          <cell r="BN51">
            <v>0</v>
          </cell>
          <cell r="BO51">
            <v>0</v>
          </cell>
          <cell r="BT51">
            <v>4347.4199743444433</v>
          </cell>
          <cell r="BU51">
            <v>4236.7685842526589</v>
          </cell>
          <cell r="BW51">
            <v>1956.9435953144853</v>
          </cell>
          <cell r="BX51">
            <v>4564.9359025622744</v>
          </cell>
          <cell r="BZ51">
            <v>1920.5993200533412</v>
          </cell>
          <cell r="CA51">
            <v>4118.0767094971416</v>
          </cell>
          <cell r="CC51">
            <v>231.72741824725227</v>
          </cell>
          <cell r="CD51">
            <v>234.28296807105949</v>
          </cell>
          <cell r="CF51">
            <v>28.527049594832192</v>
          </cell>
          <cell r="CG51">
            <v>0</v>
          </cell>
          <cell r="CI51">
            <v>620.79791837687242</v>
          </cell>
          <cell r="CJ51">
            <v>1952.7610252382769</v>
          </cell>
          <cell r="CL51">
            <v>0</v>
          </cell>
          <cell r="CM51">
            <v>0</v>
          </cell>
          <cell r="CX51">
            <v>2349.987065946636</v>
          </cell>
          <cell r="CY51">
            <v>3368.3305908528291</v>
          </cell>
        </row>
        <row r="52">
          <cell r="I52">
            <v>980.11058656366777</v>
          </cell>
          <cell r="J52">
            <v>1075.9852241289627</v>
          </cell>
          <cell r="L52">
            <v>197.11639363741926</v>
          </cell>
          <cell r="M52">
            <v>216.92952225589414</v>
          </cell>
          <cell r="O52">
            <v>349.12</v>
          </cell>
          <cell r="P52">
            <v>349.13333333333333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>
            <v>704.04373794736694</v>
          </cell>
          <cell r="Y52">
            <v>662.8087634438283</v>
          </cell>
          <cell r="AA52">
            <v>0</v>
          </cell>
          <cell r="AB52">
            <v>0</v>
          </cell>
          <cell r="AD52">
            <v>1047.2437854982186</v>
          </cell>
          <cell r="AE52">
            <v>1173.9878697581621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686.58779109789612</v>
          </cell>
          <cell r="AQ52">
            <v>0</v>
          </cell>
          <cell r="AS52">
            <v>3708.0836556568615</v>
          </cell>
          <cell r="AT52">
            <v>444.12879455214471</v>
          </cell>
          <cell r="AV52">
            <v>164.42305467854635</v>
          </cell>
          <cell r="AW52">
            <v>0</v>
          </cell>
          <cell r="AY52">
            <v>254.07927931943252</v>
          </cell>
          <cell r="AZ52">
            <v>0</v>
          </cell>
          <cell r="BB52">
            <v>149.22429345480151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K52">
            <v>87.33759704525356</v>
          </cell>
          <cell r="BL52">
            <v>0</v>
          </cell>
          <cell r="BN52">
            <v>0</v>
          </cell>
          <cell r="BO52">
            <v>0</v>
          </cell>
          <cell r="BT52">
            <v>2297.3567290374276</v>
          </cell>
          <cell r="BU52">
            <v>2225.5065682702207</v>
          </cell>
          <cell r="BW52">
            <v>2251.4238286090226</v>
          </cell>
          <cell r="BX52">
            <v>4510.9218625642197</v>
          </cell>
          <cell r="BZ52">
            <v>817.64122088344482</v>
          </cell>
          <cell r="CA52">
            <v>2200.6240675375593</v>
          </cell>
          <cell r="CC52">
            <v>327.95778042608794</v>
          </cell>
          <cell r="CD52">
            <v>331.57458354038243</v>
          </cell>
          <cell r="CF52">
            <v>40.373590393363102</v>
          </cell>
          <cell r="CG52">
            <v>0</v>
          </cell>
          <cell r="CI52">
            <v>586.48245555202027</v>
          </cell>
          <cell r="CJ52">
            <v>483.31198570570984</v>
          </cell>
          <cell r="CL52">
            <v>0</v>
          </cell>
          <cell r="CM52">
            <v>0</v>
          </cell>
          <cell r="CX52">
            <v>182.09306423900489</v>
          </cell>
          <cell r="CY52">
            <v>1350.5249098914983</v>
          </cell>
        </row>
        <row r="53">
          <cell r="I53">
            <v>1986.8518445396794</v>
          </cell>
          <cell r="J53">
            <v>2432.6312441695864</v>
          </cell>
          <cell r="L53">
            <v>306.30279651169889</v>
          </cell>
          <cell r="M53">
            <v>414.20908016240082</v>
          </cell>
          <cell r="O53">
            <v>612.38</v>
          </cell>
          <cell r="P53">
            <v>612.58000000000004</v>
          </cell>
          <cell r="R53">
            <v>142.96</v>
          </cell>
          <cell r="S53">
            <v>142.78</v>
          </cell>
          <cell r="U53">
            <v>130.00964065633656</v>
          </cell>
          <cell r="V53">
            <v>106.46261844006062</v>
          </cell>
          <cell r="X53">
            <v>1250.523613259714</v>
          </cell>
          <cell r="Y53">
            <v>1507.6501162443474</v>
          </cell>
          <cell r="AA53">
            <v>0</v>
          </cell>
          <cell r="AB53">
            <v>0</v>
          </cell>
          <cell r="AD53">
            <v>2909.4895667686783</v>
          </cell>
          <cell r="AE53">
            <v>3197.4278539199672</v>
          </cell>
          <cell r="AJ53">
            <v>6098.459378714083</v>
          </cell>
          <cell r="AK53">
            <v>6973.4744251318098</v>
          </cell>
          <cell r="AM53">
            <v>0</v>
          </cell>
          <cell r="AN53">
            <v>657.05859175387445</v>
          </cell>
          <cell r="AP53">
            <v>426.15793930214238</v>
          </cell>
          <cell r="AQ53">
            <v>0</v>
          </cell>
          <cell r="AS53">
            <v>12832.580826908254</v>
          </cell>
          <cell r="AT53">
            <v>0</v>
          </cell>
          <cell r="AV53">
            <v>177.51800880001062</v>
          </cell>
          <cell r="AW53">
            <v>0</v>
          </cell>
          <cell r="AY53">
            <v>200.43331245737406</v>
          </cell>
          <cell r="AZ53">
            <v>0</v>
          </cell>
          <cell r="BB53">
            <v>170.68014774308622</v>
          </cell>
          <cell r="BC53">
            <v>0</v>
          </cell>
          <cell r="BE53">
            <v>101.1739894233076</v>
          </cell>
          <cell r="BF53">
            <v>0</v>
          </cell>
          <cell r="BH53">
            <v>65.961235315382794</v>
          </cell>
          <cell r="BI53">
            <v>0</v>
          </cell>
          <cell r="BK53">
            <v>208.54056051817184</v>
          </cell>
          <cell r="BL53">
            <v>0</v>
          </cell>
          <cell r="BN53">
            <v>0</v>
          </cell>
          <cell r="BO53">
            <v>0</v>
          </cell>
          <cell r="BT53">
            <v>9261.253440929102</v>
          </cell>
          <cell r="BU53">
            <v>4601.3445047540918</v>
          </cell>
          <cell r="BW53">
            <v>4004.0829469997734</v>
          </cell>
          <cell r="BX53">
            <v>6357.6900735506633</v>
          </cell>
          <cell r="BZ53">
            <v>864.93761305377711</v>
          </cell>
          <cell r="CA53">
            <v>4661.2881221751304</v>
          </cell>
          <cell r="CC53">
            <v>299.03474747371246</v>
          </cell>
          <cell r="CD53">
            <v>302.33257990976574</v>
          </cell>
          <cell r="CF53">
            <v>36.812989745816871</v>
          </cell>
          <cell r="CG53">
            <v>0</v>
          </cell>
          <cell r="CI53">
            <v>1591.9255163201908</v>
          </cell>
          <cell r="CJ53">
            <v>3007.3196759029388</v>
          </cell>
          <cell r="CL53">
            <v>1977.8184937233023</v>
          </cell>
          <cell r="CM53">
            <v>2665.7395084068557</v>
          </cell>
          <cell r="CX53">
            <v>526.53366900367837</v>
          </cell>
          <cell r="CY53">
            <v>10145.613926574206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78.91813690780414</v>
          </cell>
          <cell r="AQ54">
            <v>0</v>
          </cell>
          <cell r="AS54">
            <v>574.69669133791456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T54">
            <v>35.890516131296266</v>
          </cell>
          <cell r="BU54">
            <v>115.60403931813357</v>
          </cell>
          <cell r="BW54">
            <v>0</v>
          </cell>
          <cell r="BX54">
            <v>1.215389247691181</v>
          </cell>
          <cell r="BZ54">
            <v>0</v>
          </cell>
          <cell r="CA54">
            <v>108.76843361223003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X54">
            <v>12.433586747582012</v>
          </cell>
          <cell r="CY54">
            <v>569.13456538633432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94.701764289364974</v>
          </cell>
          <cell r="AQ55">
            <v>0</v>
          </cell>
          <cell r="AS55">
            <v>570.43433432923587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T55">
            <v>27.914845879897086</v>
          </cell>
          <cell r="BU55">
            <v>98.272770279757651</v>
          </cell>
          <cell r="BW55">
            <v>0</v>
          </cell>
          <cell r="BX55">
            <v>1.2145751892533436</v>
          </cell>
          <cell r="BZ55">
            <v>0</v>
          </cell>
          <cell r="CA55">
            <v>92.461756867947088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X55">
            <v>12.478866601802451</v>
          </cell>
          <cell r="CY55">
            <v>613.80107719565035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86.809950598584564</v>
          </cell>
          <cell r="AQ56">
            <v>0</v>
          </cell>
          <cell r="AS56">
            <v>601.82121739763295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T56">
            <v>23.927010754197507</v>
          </cell>
          <cell r="BU56">
            <v>75.14662706793429</v>
          </cell>
          <cell r="BW56">
            <v>0</v>
          </cell>
          <cell r="BX56">
            <v>1.2849912441262754</v>
          </cell>
          <cell r="BZ56">
            <v>0</v>
          </cell>
          <cell r="CA56">
            <v>70.703162546900202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X56">
            <v>21.370185499502099</v>
          </cell>
          <cell r="CY56">
            <v>699.87826296924709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187.88128987077184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94.701764289364974</v>
          </cell>
          <cell r="AQ57">
            <v>0</v>
          </cell>
          <cell r="AS57">
            <v>528.83181241499767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N57">
            <v>0</v>
          </cell>
          <cell r="BO57">
            <v>0</v>
          </cell>
          <cell r="BT57">
            <v>15.951340502798338</v>
          </cell>
          <cell r="BU57">
            <v>55.300884058046066</v>
          </cell>
          <cell r="BW57">
            <v>0</v>
          </cell>
          <cell r="BX57">
            <v>0.97646309618591531</v>
          </cell>
          <cell r="BZ57">
            <v>0</v>
          </cell>
          <cell r="CA57">
            <v>50.86725949836908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62.391750590640456</v>
          </cell>
          <cell r="CJ57">
            <v>156.08733540922549</v>
          </cell>
          <cell r="CL57">
            <v>0</v>
          </cell>
          <cell r="CM57">
            <v>0</v>
          </cell>
          <cell r="CX57">
            <v>0.68799864263849031</v>
          </cell>
          <cell r="CY57">
            <v>301.60412168088203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47.350882144682487</v>
          </cell>
          <cell r="AQ58">
            <v>0</v>
          </cell>
          <cell r="AS58">
            <v>346.58547648362503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N58">
            <v>0</v>
          </cell>
          <cell r="BO58">
            <v>0</v>
          </cell>
          <cell r="BT58">
            <v>11.963505377098754</v>
          </cell>
          <cell r="BU58">
            <v>36.867256038697377</v>
          </cell>
          <cell r="BW58">
            <v>0</v>
          </cell>
          <cell r="BX58">
            <v>0.55193162085373126</v>
          </cell>
          <cell r="BZ58">
            <v>0</v>
          </cell>
          <cell r="CA58">
            <v>33.911506332246056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18.717525177192133</v>
          </cell>
          <cell r="CJ58">
            <v>0</v>
          </cell>
          <cell r="CL58">
            <v>0</v>
          </cell>
          <cell r="CM58">
            <v>0</v>
          </cell>
          <cell r="CX58">
            <v>7.2591329808818728</v>
          </cell>
          <cell r="CY58">
            <v>431.2031672098434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180.04963960521235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78.91813690780414</v>
          </cell>
          <cell r="AQ59">
            <v>0</v>
          </cell>
          <cell r="AS59">
            <v>533.71609377250206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T59">
            <v>27.914845879897086</v>
          </cell>
          <cell r="BU59">
            <v>73.734512077394754</v>
          </cell>
          <cell r="BW59">
            <v>0</v>
          </cell>
          <cell r="BX59">
            <v>0.93576017429404723</v>
          </cell>
          <cell r="BZ59">
            <v>0</v>
          </cell>
          <cell r="CA59">
            <v>67.823012664492111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46.793812942980331</v>
          </cell>
          <cell r="CJ59">
            <v>49.562718017994385</v>
          </cell>
          <cell r="CL59">
            <v>0</v>
          </cell>
          <cell r="CM59">
            <v>0</v>
          </cell>
          <cell r="CX59">
            <v>20.608532596179657</v>
          </cell>
          <cell r="CY59">
            <v>398.89322895273483</v>
          </cell>
        </row>
        <row r="60">
          <cell r="I60">
            <v>1404.8915285558232</v>
          </cell>
          <cell r="J60">
            <v>1550.4008965385151</v>
          </cell>
          <cell r="L60">
            <v>228.97416816351449</v>
          </cell>
          <cell r="M60">
            <v>251.98993541008667</v>
          </cell>
          <cell r="O60">
            <v>547.20000000000005</v>
          </cell>
          <cell r="P60">
            <v>547.20000000000005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>
            <v>802.53212698495156</v>
          </cell>
          <cell r="Y60">
            <v>765.21587329782653</v>
          </cell>
          <cell r="AA60">
            <v>0</v>
          </cell>
          <cell r="AB60">
            <v>0</v>
          </cell>
          <cell r="AD60">
            <v>1544.7154052288406</v>
          </cell>
          <cell r="AE60">
            <v>1697.588511562672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1018.0439661106735</v>
          </cell>
          <cell r="AQ60">
            <v>0</v>
          </cell>
          <cell r="AS60">
            <v>3240.9237804053437</v>
          </cell>
          <cell r="AT60">
            <v>56.549419732020127</v>
          </cell>
          <cell r="AV60">
            <v>232.70143930527138</v>
          </cell>
          <cell r="AW60">
            <v>0</v>
          </cell>
          <cell r="AY60">
            <v>295.12930774881175</v>
          </cell>
          <cell r="AZ60">
            <v>0</v>
          </cell>
          <cell r="BB60">
            <v>285.7634610185147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K60">
            <v>103.83367027199259</v>
          </cell>
          <cell r="BL60">
            <v>0</v>
          </cell>
          <cell r="BN60">
            <v>0</v>
          </cell>
          <cell r="BO60">
            <v>0</v>
          </cell>
          <cell r="BT60">
            <v>4265.4749211737553</v>
          </cell>
          <cell r="BU60">
            <v>3839.2001572975496</v>
          </cell>
          <cell r="BW60">
            <v>2268.4796377658272</v>
          </cell>
          <cell r="BX60">
            <v>4676.5349182109458</v>
          </cell>
          <cell r="BZ60">
            <v>1226.8934002743631</v>
          </cell>
          <cell r="CA60">
            <v>3736.1858051159393</v>
          </cell>
          <cell r="CC60">
            <v>223.05050836153961</v>
          </cell>
          <cell r="CD60">
            <v>225.51036698187445</v>
          </cell>
          <cell r="CF60">
            <v>27.458869400568325</v>
          </cell>
          <cell r="CG60">
            <v>0</v>
          </cell>
          <cell r="CI60">
            <v>489.77524213652754</v>
          </cell>
          <cell r="CJ60">
            <v>322.12747310485764</v>
          </cell>
          <cell r="CL60">
            <v>0</v>
          </cell>
          <cell r="CM60">
            <v>0</v>
          </cell>
          <cell r="CX60">
            <v>545.95028051242116</v>
          </cell>
          <cell r="CY60">
            <v>1190.7559712972579</v>
          </cell>
        </row>
        <row r="61">
          <cell r="I61">
            <v>1092.2517325889678</v>
          </cell>
          <cell r="J61">
            <v>1215.2385892191073</v>
          </cell>
          <cell r="L61">
            <v>157.0219321963082</v>
          </cell>
          <cell r="M61">
            <v>172.8055038435744</v>
          </cell>
          <cell r="O61">
            <v>538.36</v>
          </cell>
          <cell r="P61">
            <v>538.36666666666667</v>
          </cell>
          <cell r="R61">
            <v>133.74</v>
          </cell>
          <cell r="S61">
            <v>133.75</v>
          </cell>
          <cell r="U61">
            <v>0</v>
          </cell>
          <cell r="V61">
            <v>0</v>
          </cell>
          <cell r="X61">
            <v>761.05043981804761</v>
          </cell>
          <cell r="Y61">
            <v>728.10407072624412</v>
          </cell>
          <cell r="AA61">
            <v>0</v>
          </cell>
          <cell r="AB61">
            <v>0</v>
          </cell>
          <cell r="AD61">
            <v>1650.1645372235407</v>
          </cell>
          <cell r="AE61">
            <v>1825.2209159404949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252.53803810497325</v>
          </cell>
          <cell r="AQ61">
            <v>0</v>
          </cell>
          <cell r="AS61">
            <v>4387.3632503741846</v>
          </cell>
          <cell r="AT61">
            <v>1425.6754889223862</v>
          </cell>
          <cell r="AV61">
            <v>184.08752228194177</v>
          </cell>
          <cell r="AW61">
            <v>0</v>
          </cell>
          <cell r="AY61">
            <v>202.33697172952878</v>
          </cell>
          <cell r="AZ61">
            <v>0</v>
          </cell>
          <cell r="BB61">
            <v>278.42593120908015</v>
          </cell>
          <cell r="BC61">
            <v>0</v>
          </cell>
          <cell r="BE61">
            <v>166.3792122642065</v>
          </cell>
          <cell r="BF61">
            <v>0</v>
          </cell>
          <cell r="BH61">
            <v>0</v>
          </cell>
          <cell r="BI61">
            <v>0</v>
          </cell>
          <cell r="BK61">
            <v>99.57945223095534</v>
          </cell>
          <cell r="BL61">
            <v>0</v>
          </cell>
          <cell r="BN61">
            <v>0</v>
          </cell>
          <cell r="BO61">
            <v>0</v>
          </cell>
          <cell r="BT61">
            <v>7227.9308855987092</v>
          </cell>
          <cell r="BU61">
            <v>5960.2313604301407</v>
          </cell>
          <cell r="BW61">
            <v>3758.0864221511893</v>
          </cell>
          <cell r="BX61">
            <v>5915.5549059008627</v>
          </cell>
          <cell r="BZ61">
            <v>2305.6537305012353</v>
          </cell>
          <cell r="CA61">
            <v>4969.5483348802854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474.17730448886743</v>
          </cell>
          <cell r="CJ61">
            <v>738.47443379741435</v>
          </cell>
          <cell r="CL61">
            <v>0</v>
          </cell>
          <cell r="CM61">
            <v>0</v>
          </cell>
          <cell r="CX61">
            <v>580.52316468592107</v>
          </cell>
          <cell r="CY61">
            <v>635.93567560738666</v>
          </cell>
        </row>
        <row r="62">
          <cell r="I62">
            <v>1639.0758812242188</v>
          </cell>
          <cell r="J62">
            <v>1821.4135488058891</v>
          </cell>
          <cell r="L62">
            <v>323.26680624618496</v>
          </cell>
          <cell r="M62">
            <v>355.76007465283612</v>
          </cell>
          <cell r="O62">
            <v>762.1</v>
          </cell>
          <cell r="P62">
            <v>762.1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>
            <v>1358.3859075355863</v>
          </cell>
          <cell r="Y62">
            <v>1311.263977055919</v>
          </cell>
          <cell r="AA62">
            <v>0</v>
          </cell>
          <cell r="AB62">
            <v>0</v>
          </cell>
          <cell r="AD62">
            <v>2318.4485003197747</v>
          </cell>
          <cell r="AE62">
            <v>2547.8942758452613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1207.4474946894034</v>
          </cell>
          <cell r="AQ62">
            <v>3657.4784419570906</v>
          </cell>
          <cell r="AS62">
            <v>4323.9715266595067</v>
          </cell>
          <cell r="AT62">
            <v>1009.3704606572395</v>
          </cell>
          <cell r="AV62">
            <v>277.79676139153776</v>
          </cell>
          <cell r="AW62">
            <v>0</v>
          </cell>
          <cell r="AY62">
            <v>416.66744932240522</v>
          </cell>
          <cell r="AZ62">
            <v>0</v>
          </cell>
          <cell r="BB62">
            <v>404.66261151588901</v>
          </cell>
          <cell r="BC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K62">
            <v>182.40649484309614</v>
          </cell>
          <cell r="BL62">
            <v>0</v>
          </cell>
          <cell r="BN62">
            <v>0</v>
          </cell>
          <cell r="BO62">
            <v>0</v>
          </cell>
          <cell r="BT62">
            <v>6821.3572378848621</v>
          </cell>
          <cell r="BU62">
            <v>6329.7243129999879</v>
          </cell>
          <cell r="BW62">
            <v>4435.9907341832659</v>
          </cell>
          <cell r="BX62">
            <v>7657.0004638688242</v>
          </cell>
          <cell r="BZ62">
            <v>2860.879907325454</v>
          </cell>
          <cell r="CA62">
            <v>5391.6537475819723</v>
          </cell>
          <cell r="CC62">
            <v>169.12620963677182</v>
          </cell>
          <cell r="CD62">
            <v>170.99137716208062</v>
          </cell>
          <cell r="CF62">
            <v>20.820461413617743</v>
          </cell>
          <cell r="CG62">
            <v>0</v>
          </cell>
          <cell r="CI62">
            <v>386.82885366197075</v>
          </cell>
          <cell r="CJ62">
            <v>532.62308695615548</v>
          </cell>
          <cell r="CL62">
            <v>0</v>
          </cell>
          <cell r="CM62">
            <v>0</v>
          </cell>
          <cell r="CX62">
            <v>-10.499405424248835</v>
          </cell>
          <cell r="CY62">
            <v>-4376.1485210518986</v>
          </cell>
        </row>
        <row r="63">
          <cell r="I63">
            <v>754.72357126679117</v>
          </cell>
          <cell r="J63">
            <v>825.10498181708158</v>
          </cell>
          <cell r="L63">
            <v>138.23324054312235</v>
          </cell>
          <cell r="M63">
            <v>152.12745831455373</v>
          </cell>
          <cell r="O63">
            <v>209.56</v>
          </cell>
          <cell r="P63">
            <v>209.55</v>
          </cell>
          <cell r="R63">
            <v>51.74</v>
          </cell>
          <cell r="S63">
            <v>51.75</v>
          </cell>
          <cell r="U63">
            <v>0</v>
          </cell>
          <cell r="V63">
            <v>0</v>
          </cell>
          <cell r="X63">
            <v>275.97152374268182</v>
          </cell>
          <cell r="Y63">
            <v>255.27019853525863</v>
          </cell>
          <cell r="AA63">
            <v>0</v>
          </cell>
          <cell r="AB63">
            <v>0</v>
          </cell>
          <cell r="AD63">
            <v>658.83437540785349</v>
          </cell>
          <cell r="AE63">
            <v>722.5480535005172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126.26901905248663</v>
          </cell>
          <cell r="AQ63">
            <v>0</v>
          </cell>
          <cell r="AS63">
            <v>1612.6337968136643</v>
          </cell>
          <cell r="AT63">
            <v>0</v>
          </cell>
          <cell r="AV63">
            <v>136.67164351341606</v>
          </cell>
          <cell r="AW63">
            <v>0</v>
          </cell>
          <cell r="AY63">
            <v>178.18470192067068</v>
          </cell>
          <cell r="AZ63">
            <v>0</v>
          </cell>
          <cell r="BB63">
            <v>92.228281868088715</v>
          </cell>
          <cell r="BC63">
            <v>0</v>
          </cell>
          <cell r="BE63">
            <v>61.697166401660027</v>
          </cell>
          <cell r="BF63">
            <v>0</v>
          </cell>
          <cell r="BH63">
            <v>0</v>
          </cell>
          <cell r="BI63">
            <v>0</v>
          </cell>
          <cell r="BK63">
            <v>29.632726397869654</v>
          </cell>
          <cell r="BL63">
            <v>0</v>
          </cell>
          <cell r="BN63">
            <v>59.090917443770564</v>
          </cell>
          <cell r="BO63">
            <v>0</v>
          </cell>
          <cell r="BT63">
            <v>2217.985281707286</v>
          </cell>
          <cell r="BU63">
            <v>2017.0681369641816</v>
          </cell>
          <cell r="BW63">
            <v>1211.3714592213919</v>
          </cell>
          <cell r="BX63">
            <v>3024.9408078288043</v>
          </cell>
          <cell r="BZ63">
            <v>761.99191271804148</v>
          </cell>
          <cell r="CA63">
            <v>1723.0766271929976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436.74225413448318</v>
          </cell>
          <cell r="CJ63">
            <v>332.06014604986035</v>
          </cell>
          <cell r="CL63">
            <v>0</v>
          </cell>
          <cell r="CM63">
            <v>0</v>
          </cell>
          <cell r="CX63">
            <v>250.74575341606578</v>
          </cell>
          <cell r="CY63">
            <v>-109.17569224390536</v>
          </cell>
        </row>
        <row r="64">
          <cell r="I64">
            <v>725.91388676437407</v>
          </cell>
          <cell r="J64">
            <v>790.55641888143259</v>
          </cell>
          <cell r="L64">
            <v>138.23324054312235</v>
          </cell>
          <cell r="M64">
            <v>152.12745831455373</v>
          </cell>
          <cell r="O64">
            <v>198.6</v>
          </cell>
          <cell r="P64">
            <v>198.6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>
            <v>275.97152374268182</v>
          </cell>
          <cell r="Y64">
            <v>253.90707034042552</v>
          </cell>
          <cell r="AA64">
            <v>0</v>
          </cell>
          <cell r="AB64">
            <v>0</v>
          </cell>
          <cell r="AD64">
            <v>647.9310049981832</v>
          </cell>
          <cell r="AE64">
            <v>712.05364214466761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307.78073394043616</v>
          </cell>
          <cell r="AQ64">
            <v>788.30176151866249</v>
          </cell>
          <cell r="AS64">
            <v>2178.8177220652046</v>
          </cell>
          <cell r="AT64">
            <v>0</v>
          </cell>
          <cell r="AV64">
            <v>134.92297425237206</v>
          </cell>
          <cell r="AW64">
            <v>0</v>
          </cell>
          <cell r="AY64">
            <v>178.18470192067068</v>
          </cell>
          <cell r="AZ64">
            <v>0</v>
          </cell>
          <cell r="BB64">
            <v>105.77277688990097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29.632726397869654</v>
          </cell>
          <cell r="BL64">
            <v>0</v>
          </cell>
          <cell r="BN64">
            <v>0</v>
          </cell>
          <cell r="BO64">
            <v>0</v>
          </cell>
          <cell r="BT64">
            <v>2782.7782267533348</v>
          </cell>
          <cell r="BU64">
            <v>2025.6614315704551</v>
          </cell>
          <cell r="BW64">
            <v>1133.3408699124648</v>
          </cell>
          <cell r="BX64">
            <v>2909.3306651767789</v>
          </cell>
          <cell r="BZ64">
            <v>430.90234740318891</v>
          </cell>
          <cell r="CA64">
            <v>1748.6884993667609</v>
          </cell>
          <cell r="CC64">
            <v>0</v>
          </cell>
          <cell r="CD64">
            <v>0</v>
          </cell>
          <cell r="CF64">
            <v>0</v>
          </cell>
          <cell r="CG64">
            <v>0</v>
          </cell>
          <cell r="CI64">
            <v>180.9360767128573</v>
          </cell>
          <cell r="CJ64">
            <v>294.87301053031172</v>
          </cell>
          <cell r="CL64">
            <v>0</v>
          </cell>
          <cell r="CM64">
            <v>0</v>
          </cell>
          <cell r="CX64">
            <v>1.3774252440070995</v>
          </cell>
          <cell r="CY64">
            <v>-507.87994941285797</v>
          </cell>
        </row>
        <row r="65">
          <cell r="I65">
            <v>1018.6981411229349</v>
          </cell>
          <cell r="J65">
            <v>1130.7477812159409</v>
          </cell>
          <cell r="L65">
            <v>174.77607321260498</v>
          </cell>
          <cell r="M65">
            <v>192.34381457965691</v>
          </cell>
          <cell r="O65">
            <v>474.54</v>
          </cell>
          <cell r="P65">
            <v>474.53333333333342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>
            <v>534.8229636829783</v>
          </cell>
          <cell r="Y65">
            <v>495.68654890071264</v>
          </cell>
          <cell r="AA65">
            <v>0</v>
          </cell>
          <cell r="AB65">
            <v>0</v>
          </cell>
          <cell r="AD65">
            <v>1330.5675092742056</v>
          </cell>
          <cell r="AE65">
            <v>1462.2474210826099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875.99131967662606</v>
          </cell>
          <cell r="AQ65">
            <v>2508.2328775593805</v>
          </cell>
          <cell r="AS65">
            <v>3816.6006608944781</v>
          </cell>
          <cell r="AT65">
            <v>0</v>
          </cell>
          <cell r="AV65">
            <v>169.22371489358517</v>
          </cell>
          <cell r="AW65">
            <v>0</v>
          </cell>
          <cell r="AY65">
            <v>225.284932994836</v>
          </cell>
          <cell r="AZ65">
            <v>0</v>
          </cell>
          <cell r="BB65">
            <v>197.05114053367473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65.725572763423372</v>
          </cell>
          <cell r="BL65">
            <v>0</v>
          </cell>
          <cell r="BN65">
            <v>0</v>
          </cell>
          <cell r="BO65">
            <v>0</v>
          </cell>
          <cell r="BT65">
            <v>2470.0777213196375</v>
          </cell>
          <cell r="BU65">
            <v>2635.6529265791005</v>
          </cell>
          <cell r="BW65">
            <v>1421.4723490536485</v>
          </cell>
          <cell r="BX65">
            <v>3578.2364236296576</v>
          </cell>
          <cell r="BZ65">
            <v>1171.8608259426294</v>
          </cell>
          <cell r="CA65">
            <v>2588.3945971545409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374.35050354384265</v>
          </cell>
          <cell r="CJ65">
            <v>136.31257155553749</v>
          </cell>
          <cell r="CL65">
            <v>0</v>
          </cell>
          <cell r="CM65">
            <v>0</v>
          </cell>
          <cell r="CX65">
            <v>515.62788530907346</v>
          </cell>
          <cell r="CY65">
            <v>-541.98595470856799</v>
          </cell>
        </row>
        <row r="66">
          <cell r="I66">
            <v>739.26346231697892</v>
          </cell>
          <cell r="J66">
            <v>814.61069845712871</v>
          </cell>
          <cell r="L66">
            <v>150.26564882224523</v>
          </cell>
          <cell r="M66">
            <v>165.37009114678744</v>
          </cell>
          <cell r="O66">
            <v>264.62</v>
          </cell>
          <cell r="P66">
            <v>264.61666666666667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>
            <v>490.57790749522491</v>
          </cell>
          <cell r="Y66">
            <v>445.80714120555035</v>
          </cell>
          <cell r="AA66">
            <v>0</v>
          </cell>
          <cell r="AB66">
            <v>0</v>
          </cell>
          <cell r="AD66">
            <v>835.78966340950194</v>
          </cell>
          <cell r="AE66">
            <v>918.50377479508086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426.15793930214238</v>
          </cell>
          <cell r="AQ66">
            <v>0</v>
          </cell>
          <cell r="AS66">
            <v>2208.9486094834106</v>
          </cell>
          <cell r="AT66">
            <v>0</v>
          </cell>
          <cell r="AV66">
            <v>134.16117568240614</v>
          </cell>
          <cell r="AW66">
            <v>0</v>
          </cell>
          <cell r="AY66">
            <v>193.62587533250806</v>
          </cell>
          <cell r="AZ66">
            <v>0</v>
          </cell>
          <cell r="BB66">
            <v>134.29499378403258</v>
          </cell>
          <cell r="BC66">
            <v>378.07232362048796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57.335008608429149</v>
          </cell>
          <cell r="BL66">
            <v>0</v>
          </cell>
          <cell r="BN66">
            <v>0</v>
          </cell>
          <cell r="BO66">
            <v>0</v>
          </cell>
          <cell r="BT66">
            <v>3483.0594556997635</v>
          </cell>
          <cell r="BU66">
            <v>3345.6460835227999</v>
          </cell>
          <cell r="BW66">
            <v>1340.796661716583</v>
          </cell>
          <cell r="BX66">
            <v>2909.1113871396706</v>
          </cell>
          <cell r="BZ66">
            <v>1062.8919321674925</v>
          </cell>
          <cell r="CA66">
            <v>3177.530153224734</v>
          </cell>
          <cell r="CC66">
            <v>48.041647954793149</v>
          </cell>
          <cell r="CD66">
            <v>48.571463657634503</v>
          </cell>
          <cell r="CF66">
            <v>5.9142180247377931</v>
          </cell>
          <cell r="CG66">
            <v>0</v>
          </cell>
          <cell r="CI66">
            <v>461.69895437073933</v>
          </cell>
          <cell r="CJ66">
            <v>183.32166864236751</v>
          </cell>
          <cell r="CL66">
            <v>0</v>
          </cell>
          <cell r="CM66">
            <v>0</v>
          </cell>
          <cell r="CX66">
            <v>340.3882149948131</v>
          </cell>
          <cell r="CY66">
            <v>-396.07374249468921</v>
          </cell>
        </row>
        <row r="67">
          <cell r="I67">
            <v>866.85730196865711</v>
          </cell>
          <cell r="J67">
            <v>958.64243052230347</v>
          </cell>
          <cell r="L67">
            <v>155.14830105407276</v>
          </cell>
          <cell r="M67">
            <v>170.74312659921014</v>
          </cell>
          <cell r="O67">
            <v>341.66</v>
          </cell>
          <cell r="P67">
            <v>341.66666666666669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>
            <v>494.95930459311847</v>
          </cell>
          <cell r="Y67">
            <v>468.54583614904942</v>
          </cell>
          <cell r="AA67">
            <v>0</v>
          </cell>
          <cell r="AB67">
            <v>0</v>
          </cell>
          <cell r="AD67">
            <v>1032.1144682565648</v>
          </cell>
          <cell r="AE67">
            <v>1134.2579079609789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639.23690895321363</v>
          </cell>
          <cell r="AQ67">
            <v>1721.0977028720804</v>
          </cell>
          <cell r="AS67">
            <v>2184.8415673809905</v>
          </cell>
          <cell r="AT67">
            <v>44.431686932301531</v>
          </cell>
          <cell r="AV67">
            <v>146.92028080228897</v>
          </cell>
          <cell r="AW67">
            <v>0</v>
          </cell>
          <cell r="AY67">
            <v>199.98679498901538</v>
          </cell>
          <cell r="AZ67">
            <v>0</v>
          </cell>
          <cell r="BB67">
            <v>191.36245860498491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K67">
            <v>60.056140153587386</v>
          </cell>
          <cell r="BL67">
            <v>0</v>
          </cell>
          <cell r="BN67">
            <v>0</v>
          </cell>
          <cell r="BO67">
            <v>0</v>
          </cell>
          <cell r="BT67">
            <v>4579.0736492066962</v>
          </cell>
          <cell r="BU67">
            <v>4537.9471020304636</v>
          </cell>
          <cell r="BW67">
            <v>1496.5194226195499</v>
          </cell>
          <cell r="BX67">
            <v>3103.9236651260967</v>
          </cell>
          <cell r="BZ67">
            <v>2056.5181750025595</v>
          </cell>
          <cell r="CA67">
            <v>4395.4155688318888</v>
          </cell>
          <cell r="CC67">
            <v>150.9880364293499</v>
          </cell>
          <cell r="CD67">
            <v>152.65317149542273</v>
          </cell>
          <cell r="CF67">
            <v>18.587542363461637</v>
          </cell>
          <cell r="CG67">
            <v>0</v>
          </cell>
          <cell r="CI67">
            <v>414.90514142775902</v>
          </cell>
          <cell r="CJ67">
            <v>54.629701197515246</v>
          </cell>
          <cell r="CL67">
            <v>0</v>
          </cell>
          <cell r="CM67">
            <v>0</v>
          </cell>
          <cell r="CX67">
            <v>5.7407432959735161E-2</v>
          </cell>
          <cell r="CY67">
            <v>-2465.0054796607728</v>
          </cell>
        </row>
        <row r="68">
          <cell r="I68">
            <v>1018.6978960509853</v>
          </cell>
          <cell r="J68">
            <v>1141.8117744944177</v>
          </cell>
          <cell r="L68">
            <v>174.77607321260498</v>
          </cell>
          <cell r="M68">
            <v>192.34381457965691</v>
          </cell>
          <cell r="O68">
            <v>448.74</v>
          </cell>
          <cell r="P68">
            <v>448.73333333333335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>
            <v>595.03968650449883</v>
          </cell>
          <cell r="Y68">
            <v>567.95800658944154</v>
          </cell>
          <cell r="AA68">
            <v>0</v>
          </cell>
          <cell r="AB68">
            <v>0</v>
          </cell>
          <cell r="AD68">
            <v>1508.9409480677004</v>
          </cell>
          <cell r="AE68">
            <v>1658.2736272295635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875.99131967662606</v>
          </cell>
          <cell r="AQ68">
            <v>0</v>
          </cell>
          <cell r="AS68">
            <v>2320.279880842194</v>
          </cell>
          <cell r="AT68">
            <v>2279.5297986200349</v>
          </cell>
          <cell r="AV68">
            <v>169.22371489358517</v>
          </cell>
          <cell r="AW68">
            <v>534.67626702048801</v>
          </cell>
          <cell r="AY68">
            <v>225.284932994836</v>
          </cell>
          <cell r="AZ68">
            <v>0</v>
          </cell>
          <cell r="BB68">
            <v>274.70400539597944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K68">
            <v>70.037170653702944</v>
          </cell>
          <cell r="BL68">
            <v>0</v>
          </cell>
          <cell r="BN68">
            <v>0</v>
          </cell>
          <cell r="BO68">
            <v>0</v>
          </cell>
          <cell r="BT68">
            <v>3708.3464369723051</v>
          </cell>
          <cell r="BU68">
            <v>3946.5696713088059</v>
          </cell>
          <cell r="BW68">
            <v>1655.3174169644992</v>
          </cell>
          <cell r="BX68">
            <v>3443.8756986160856</v>
          </cell>
          <cell r="BZ68">
            <v>1901.983641235742</v>
          </cell>
          <cell r="CA68">
            <v>3809.3094748907383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514.73194237278358</v>
          </cell>
          <cell r="CJ68">
            <v>760.68204253384329</v>
          </cell>
          <cell r="CL68">
            <v>0</v>
          </cell>
          <cell r="CM68">
            <v>0</v>
          </cell>
          <cell r="CX68">
            <v>-10.634079005649255</v>
          </cell>
          <cell r="CY68">
            <v>-3996.636211059691</v>
          </cell>
        </row>
        <row r="69">
          <cell r="I69">
            <v>1250.1361702082252</v>
          </cell>
          <cell r="J69">
            <v>1566.8092614952775</v>
          </cell>
          <cell r="L69">
            <v>230.05995536213632</v>
          </cell>
          <cell r="M69">
            <v>316.82758221427554</v>
          </cell>
          <cell r="O69">
            <v>481.94</v>
          </cell>
          <cell r="P69">
            <v>482</v>
          </cell>
          <cell r="R69">
            <v>121.18</v>
          </cell>
          <cell r="S69">
            <v>121.06</v>
          </cell>
          <cell r="U69">
            <v>65.029090713311319</v>
          </cell>
          <cell r="V69">
            <v>53.251495533727706</v>
          </cell>
          <cell r="X69">
            <v>639.57049507040438</v>
          </cell>
          <cell r="Y69">
            <v>759.34271978430581</v>
          </cell>
          <cell r="AA69">
            <v>0</v>
          </cell>
          <cell r="AB69">
            <v>0</v>
          </cell>
          <cell r="AD69">
            <v>1578.045512030166</v>
          </cell>
          <cell r="AE69">
            <v>1734.2171398546936</v>
          </cell>
          <cell r="AJ69">
            <v>3456.5475482576176</v>
          </cell>
          <cell r="AK69">
            <v>3494.6672474487841</v>
          </cell>
          <cell r="AM69">
            <v>0</v>
          </cell>
          <cell r="AN69">
            <v>0</v>
          </cell>
          <cell r="AP69">
            <v>276.21347917731453</v>
          </cell>
          <cell r="AQ69">
            <v>143.32759300339319</v>
          </cell>
          <cell r="AS69">
            <v>8193.6179222916762</v>
          </cell>
          <cell r="AT69">
            <v>14135.449625296924</v>
          </cell>
          <cell r="AV69">
            <v>44.924807561176856</v>
          </cell>
          <cell r="AW69">
            <v>0</v>
          </cell>
          <cell r="AY69">
            <v>60.844215905779357</v>
          </cell>
          <cell r="AZ69">
            <v>0</v>
          </cell>
          <cell r="BB69">
            <v>76.6936654717761</v>
          </cell>
          <cell r="BC69">
            <v>0</v>
          </cell>
          <cell r="BE69">
            <v>30.092783099948647</v>
          </cell>
          <cell r="BF69">
            <v>0</v>
          </cell>
          <cell r="BH69">
            <v>13.192247063076561</v>
          </cell>
          <cell r="BI69">
            <v>0</v>
          </cell>
          <cell r="BK69">
            <v>34.861306109848641</v>
          </cell>
          <cell r="BL69">
            <v>0</v>
          </cell>
          <cell r="BN69">
            <v>0</v>
          </cell>
          <cell r="BO69">
            <v>0</v>
          </cell>
          <cell r="BT69">
            <v>3625.3196930000076</v>
          </cell>
          <cell r="BU69">
            <v>1640.828655087204</v>
          </cell>
          <cell r="BW69">
            <v>3154.1013903507978</v>
          </cell>
          <cell r="BX69">
            <v>2101.1705651120478</v>
          </cell>
          <cell r="BZ69">
            <v>981.01697653478436</v>
          </cell>
          <cell r="CA69">
            <v>1726.6484500194949</v>
          </cell>
          <cell r="CC69">
            <v>122.2120697462238</v>
          </cell>
          <cell r="CD69">
            <v>123.55985601886</v>
          </cell>
          <cell r="CF69">
            <v>15.045046464970735</v>
          </cell>
          <cell r="CG69">
            <v>0</v>
          </cell>
          <cell r="CI69">
            <v>761.17935720581352</v>
          </cell>
          <cell r="CJ69">
            <v>3011.9768130108105</v>
          </cell>
          <cell r="CL69">
            <v>948.35460897773487</v>
          </cell>
          <cell r="CM69">
            <v>1102.2420806885227</v>
          </cell>
          <cell r="CX69">
            <v>797.36599127665249</v>
          </cell>
          <cell r="CY69">
            <v>-6826.4749014819845</v>
          </cell>
        </row>
        <row r="70">
          <cell r="I70">
            <v>2651.857488636876</v>
          </cell>
          <cell r="J70">
            <v>3363.9938242442454</v>
          </cell>
          <cell r="L70">
            <v>687.17092668746682</v>
          </cell>
          <cell r="M70">
            <v>900.67564462124392</v>
          </cell>
          <cell r="O70">
            <v>1294.46</v>
          </cell>
          <cell r="P70">
            <v>1294.7</v>
          </cell>
          <cell r="R70">
            <v>315.64</v>
          </cell>
          <cell r="S70">
            <v>315.48</v>
          </cell>
          <cell r="U70">
            <v>195.03873136964788</v>
          </cell>
          <cell r="V70">
            <v>427.68050599091657</v>
          </cell>
          <cell r="X70">
            <v>2053.8089537204951</v>
          </cell>
          <cell r="Y70">
            <v>5653.2713609864568</v>
          </cell>
          <cell r="AA70">
            <v>0</v>
          </cell>
          <cell r="AB70">
            <v>0</v>
          </cell>
          <cell r="AD70">
            <v>4242.5441847180309</v>
          </cell>
          <cell r="AE70">
            <v>4662.4085209452569</v>
          </cell>
          <cell r="AJ70">
            <v>14402.266595894693</v>
          </cell>
          <cell r="AK70">
            <v>14561.070339958776</v>
          </cell>
          <cell r="AM70">
            <v>0</v>
          </cell>
          <cell r="AN70">
            <v>0</v>
          </cell>
          <cell r="AP70">
            <v>828.64043753194358</v>
          </cell>
          <cell r="AQ70">
            <v>0</v>
          </cell>
          <cell r="AS70">
            <v>26305.34239474616</v>
          </cell>
          <cell r="AT70">
            <v>150.09831694584773</v>
          </cell>
          <cell r="AV70">
            <v>81.224311988646505</v>
          </cell>
          <cell r="AW70">
            <v>0</v>
          </cell>
          <cell r="AY70">
            <v>181.73049913413948</v>
          </cell>
          <cell r="AZ70">
            <v>0</v>
          </cell>
          <cell r="BB70">
            <v>211.62743048370936</v>
          </cell>
          <cell r="BC70">
            <v>2461.0811386210121</v>
          </cell>
          <cell r="BE70">
            <v>71.036897363237614</v>
          </cell>
          <cell r="BF70">
            <v>0</v>
          </cell>
          <cell r="BH70">
            <v>39.576724851099698</v>
          </cell>
          <cell r="BI70">
            <v>0</v>
          </cell>
          <cell r="BK70">
            <v>48.871603317094689</v>
          </cell>
          <cell r="BL70">
            <v>0</v>
          </cell>
          <cell r="BN70">
            <v>0</v>
          </cell>
          <cell r="BO70">
            <v>0</v>
          </cell>
          <cell r="BT70">
            <v>3731.1760995542918</v>
          </cell>
          <cell r="BU70">
            <v>1612.1300347808301</v>
          </cell>
          <cell r="BW70">
            <v>9679.5399225995043</v>
          </cell>
          <cell r="BX70">
            <v>6444.1135150813398</v>
          </cell>
          <cell r="BZ70">
            <v>1371.6925209018348</v>
          </cell>
          <cell r="CA70">
            <v>1757.112113021788</v>
          </cell>
          <cell r="CC70">
            <v>366.65581807457136</v>
          </cell>
          <cell r="CD70">
            <v>370.69939314378723</v>
          </cell>
          <cell r="CF70">
            <v>45.137553361452916</v>
          </cell>
          <cell r="CG70">
            <v>0</v>
          </cell>
          <cell r="CI70">
            <v>3858.9297740311113</v>
          </cell>
          <cell r="CJ70">
            <v>1986.0688087211345</v>
          </cell>
          <cell r="CL70">
            <v>1808.11293211676</v>
          </cell>
          <cell r="CM70">
            <v>3117.243346564298</v>
          </cell>
          <cell r="CX70">
            <v>897.88183870069042</v>
          </cell>
          <cell r="CY70">
            <v>31370.987763647696</v>
          </cell>
        </row>
        <row r="71">
          <cell r="I71">
            <v>1743.9826197680936</v>
          </cell>
          <cell r="J71">
            <v>2211.1955275643404</v>
          </cell>
          <cell r="L71">
            <v>256.3944898366467</v>
          </cell>
          <cell r="M71">
            <v>350.4638822817393</v>
          </cell>
          <cell r="O71">
            <v>833.48</v>
          </cell>
          <cell r="P71">
            <v>833.42</v>
          </cell>
          <cell r="R71">
            <v>213.26</v>
          </cell>
          <cell r="S71">
            <v>213.5</v>
          </cell>
          <cell r="U71">
            <v>130.00964065633656</v>
          </cell>
          <cell r="V71">
            <v>106.46261844006062</v>
          </cell>
          <cell r="X71">
            <v>1502.8490254426088</v>
          </cell>
          <cell r="Y71">
            <v>4265.0780409753097</v>
          </cell>
          <cell r="AA71">
            <v>0</v>
          </cell>
          <cell r="AB71">
            <v>0</v>
          </cell>
          <cell r="AD71">
            <v>2749.8228909329519</v>
          </cell>
          <cell r="AE71">
            <v>3021.9597297201071</v>
          </cell>
          <cell r="AJ71">
            <v>9601.5110639297945</v>
          </cell>
          <cell r="AK71">
            <v>9707.3764795125717</v>
          </cell>
          <cell r="AM71">
            <v>0</v>
          </cell>
          <cell r="AN71">
            <v>0</v>
          </cell>
          <cell r="AP71">
            <v>552.42695835462905</v>
          </cell>
          <cell r="AQ71">
            <v>286.65518600678638</v>
          </cell>
          <cell r="AS71">
            <v>16720.365882700298</v>
          </cell>
          <cell r="AT71">
            <v>0</v>
          </cell>
          <cell r="AV71">
            <v>53.40841260932612</v>
          </cell>
          <cell r="AW71">
            <v>0</v>
          </cell>
          <cell r="AY71">
            <v>69.151720215382937</v>
          </cell>
          <cell r="AZ71">
            <v>0</v>
          </cell>
          <cell r="BB71">
            <v>137.42866535911875</v>
          </cell>
          <cell r="BC71">
            <v>0</v>
          </cell>
          <cell r="BE71">
            <v>51.28841910229302</v>
          </cell>
          <cell r="BF71">
            <v>0</v>
          </cell>
          <cell r="BH71">
            <v>26.384494126153122</v>
          </cell>
          <cell r="BI71">
            <v>0</v>
          </cell>
          <cell r="BK71">
            <v>44.991929303447613</v>
          </cell>
          <cell r="BL71">
            <v>0</v>
          </cell>
          <cell r="BN71">
            <v>0</v>
          </cell>
          <cell r="BO71">
            <v>0</v>
          </cell>
          <cell r="BT71">
            <v>2005.4847189565644</v>
          </cell>
          <cell r="BU71">
            <v>1074.9143420353487</v>
          </cell>
          <cell r="BW71">
            <v>6682.5429803204406</v>
          </cell>
          <cell r="BX71">
            <v>4363.2318424916193</v>
          </cell>
          <cell r="BZ71">
            <v>929.83506697780592</v>
          </cell>
          <cell r="CA71">
            <v>1248.1876195149564</v>
          </cell>
          <cell r="CC71">
            <v>198.00022049939747</v>
          </cell>
          <cell r="CD71">
            <v>200.18381807467932</v>
          </cell>
          <cell r="CF71">
            <v>24.37502714481219</v>
          </cell>
          <cell r="CG71">
            <v>0</v>
          </cell>
          <cell r="CI71">
            <v>109.18556353362079</v>
          </cell>
          <cell r="CJ71">
            <v>245.25996915880762</v>
          </cell>
          <cell r="CL71">
            <v>789.8795624775081</v>
          </cell>
          <cell r="CM71">
            <v>1801.8614490569953</v>
          </cell>
          <cell r="CX71">
            <v>544.7487773033281</v>
          </cell>
          <cell r="CY71">
            <v>19140.319394200014</v>
          </cell>
        </row>
        <row r="72">
          <cell r="I72">
            <v>4353.7176469955293</v>
          </cell>
          <cell r="J72">
            <v>5525.5472011833599</v>
          </cell>
          <cell r="L72">
            <v>710.84243395378007</v>
          </cell>
          <cell r="M72">
            <v>930.91052108637984</v>
          </cell>
          <cell r="O72">
            <v>2088.58</v>
          </cell>
          <cell r="P72">
            <v>2088.2600000000002</v>
          </cell>
          <cell r="R72">
            <v>493.3</v>
          </cell>
          <cell r="S72">
            <v>492.7</v>
          </cell>
          <cell r="U72">
            <v>195.03873136964788</v>
          </cell>
          <cell r="V72">
            <v>159.7141139737883</v>
          </cell>
          <cell r="X72">
            <v>2756.495322043857</v>
          </cell>
          <cell r="Y72">
            <v>3396.4163063447804</v>
          </cell>
          <cell r="AA72">
            <v>0</v>
          </cell>
          <cell r="AB72">
            <v>0</v>
          </cell>
          <cell r="AD72">
            <v>6975.8338603892607</v>
          </cell>
          <cell r="AE72">
            <v>7666.1988220492658</v>
          </cell>
          <cell r="AJ72">
            <v>9264.4841968999954</v>
          </cell>
          <cell r="AK72">
            <v>9366.6327931388587</v>
          </cell>
          <cell r="AM72">
            <v>0</v>
          </cell>
          <cell r="AN72">
            <v>664.7433134077753</v>
          </cell>
          <cell r="AP72">
            <v>1270.582004215647</v>
          </cell>
          <cell r="AQ72">
            <v>7360.788436863043</v>
          </cell>
          <cell r="AS72">
            <v>37388.389636342414</v>
          </cell>
          <cell r="AT72">
            <v>0</v>
          </cell>
          <cell r="AV72">
            <v>355.3379711336587</v>
          </cell>
          <cell r="AW72">
            <v>1606.1249901208598</v>
          </cell>
          <cell r="AY72">
            <v>469.58280172270531</v>
          </cell>
          <cell r="AZ72">
            <v>0</v>
          </cell>
          <cell r="BB72">
            <v>919.72733484503044</v>
          </cell>
          <cell r="BC72">
            <v>790.158006</v>
          </cell>
          <cell r="BE72">
            <v>270.25810971215151</v>
          </cell>
          <cell r="BF72">
            <v>0</v>
          </cell>
          <cell r="BH72">
            <v>98.941812127749259</v>
          </cell>
          <cell r="BI72">
            <v>0</v>
          </cell>
          <cell r="BK72">
            <v>275.07006865002995</v>
          </cell>
          <cell r="BL72">
            <v>0</v>
          </cell>
          <cell r="BN72">
            <v>0</v>
          </cell>
          <cell r="BO72">
            <v>0</v>
          </cell>
          <cell r="BT72">
            <v>9649.1544464226172</v>
          </cell>
          <cell r="BU72">
            <v>8557.5369486404707</v>
          </cell>
          <cell r="BW72">
            <v>10262.439334125222</v>
          </cell>
          <cell r="BX72">
            <v>17448.759664794248</v>
          </cell>
          <cell r="BZ72">
            <v>1794.9509296043527</v>
          </cell>
          <cell r="CA72">
            <v>8000.0187705212293</v>
          </cell>
          <cell r="CC72">
            <v>387.77943654775538</v>
          </cell>
          <cell r="CD72">
            <v>392.05596833774098</v>
          </cell>
          <cell r="CF72">
            <v>47.737998817432</v>
          </cell>
          <cell r="CG72">
            <v>0</v>
          </cell>
          <cell r="CI72">
            <v>7134.4966800397351</v>
          </cell>
          <cell r="CJ72">
            <v>7585.5516364044161</v>
          </cell>
          <cell r="CL72">
            <v>3210.0555678884512</v>
          </cell>
          <cell r="CM72">
            <v>6149.3169928912585</v>
          </cell>
          <cell r="CX72">
            <v>3001.7144113835748</v>
          </cell>
          <cell r="CY72">
            <v>17631.348617091026</v>
          </cell>
        </row>
        <row r="73">
          <cell r="I73">
            <v>2906.2925569482009</v>
          </cell>
          <cell r="J73">
            <v>3690.1912468286191</v>
          </cell>
          <cell r="L73">
            <v>475.65393657303974</v>
          </cell>
          <cell r="M73">
            <v>630.51442554006076</v>
          </cell>
          <cell r="O73">
            <v>1413.28</v>
          </cell>
          <cell r="P73">
            <v>1413.52</v>
          </cell>
          <cell r="R73">
            <v>333.6</v>
          </cell>
          <cell r="S73">
            <v>333.62</v>
          </cell>
          <cell r="U73">
            <v>130.00964065633656</v>
          </cell>
          <cell r="V73">
            <v>285.05745518476795</v>
          </cell>
          <cell r="X73">
            <v>1691.0760126715447</v>
          </cell>
          <cell r="Y73">
            <v>8262.3890724456796</v>
          </cell>
          <cell r="AA73">
            <v>0</v>
          </cell>
          <cell r="AB73">
            <v>0</v>
          </cell>
          <cell r="AD73">
            <v>4690.5159280659282</v>
          </cell>
          <cell r="AE73">
            <v>5154.7138882885911</v>
          </cell>
          <cell r="AJ73">
            <v>4702.7782007695241</v>
          </cell>
          <cell r="AK73">
            <v>4754.6416534989612</v>
          </cell>
          <cell r="AM73">
            <v>0</v>
          </cell>
          <cell r="AN73">
            <v>266.0109811433166</v>
          </cell>
          <cell r="AP73">
            <v>852.31587860428476</v>
          </cell>
          <cell r="AQ73">
            <v>382.20691467571515</v>
          </cell>
          <cell r="AS73">
            <v>26210.551572664823</v>
          </cell>
          <cell r="AT73">
            <v>84685.223613041497</v>
          </cell>
          <cell r="AV73">
            <v>237.6327308728423</v>
          </cell>
          <cell r="AW73">
            <v>0</v>
          </cell>
          <cell r="AY73">
            <v>313.4952251884107</v>
          </cell>
          <cell r="AZ73">
            <v>0</v>
          </cell>
          <cell r="BB73">
            <v>608.83264751210118</v>
          </cell>
          <cell r="BC73">
            <v>0</v>
          </cell>
          <cell r="BE73">
            <v>185.8924655995005</v>
          </cell>
          <cell r="BF73">
            <v>0</v>
          </cell>
          <cell r="BH73">
            <v>65.961235315382794</v>
          </cell>
          <cell r="BI73">
            <v>0</v>
          </cell>
          <cell r="BK73">
            <v>224.10163676469494</v>
          </cell>
          <cell r="BL73">
            <v>0</v>
          </cell>
          <cell r="BN73">
            <v>0</v>
          </cell>
          <cell r="BO73">
            <v>0</v>
          </cell>
          <cell r="BT73">
            <v>10495.309041736185</v>
          </cell>
          <cell r="BU73">
            <v>9105.301361711332</v>
          </cell>
          <cell r="BW73">
            <v>6575.8146224775537</v>
          </cell>
          <cell r="BX73">
            <v>11285.521004713286</v>
          </cell>
          <cell r="BZ73">
            <v>2473.5922026423386</v>
          </cell>
          <cell r="CA73">
            <v>8678.4165952873955</v>
          </cell>
          <cell r="CC73">
            <v>375.52391411030817</v>
          </cell>
          <cell r="CD73">
            <v>379.66528883324236</v>
          </cell>
          <cell r="CF73">
            <v>46.229269729488692</v>
          </cell>
          <cell r="CG73">
            <v>0</v>
          </cell>
          <cell r="CI73">
            <v>3372.2741194241162</v>
          </cell>
          <cell r="CJ73">
            <v>1711.1215321050399</v>
          </cell>
          <cell r="CL73">
            <v>1285.2700621671934</v>
          </cell>
          <cell r="CM73">
            <v>2173.9514215807949</v>
          </cell>
          <cell r="CX73">
            <v>1262.8365194074431</v>
          </cell>
          <cell r="CY73">
            <v>-86968.439745853946</v>
          </cell>
        </row>
        <row r="74">
          <cell r="I74">
            <v>1926.546003696857</v>
          </cell>
          <cell r="J74">
            <v>2138.5129211056001</v>
          </cell>
          <cell r="L74">
            <v>340.52688035073152</v>
          </cell>
          <cell r="M74">
            <v>374.75565453513855</v>
          </cell>
          <cell r="O74">
            <v>751.9</v>
          </cell>
          <cell r="P74">
            <v>751.9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>
            <v>1196.982628269664</v>
          </cell>
          <cell r="Y74">
            <v>1300.0188366942443</v>
          </cell>
          <cell r="AA74">
            <v>0</v>
          </cell>
          <cell r="AB74">
            <v>0</v>
          </cell>
          <cell r="AD74">
            <v>2456.3013089502729</v>
          </cell>
          <cell r="AE74">
            <v>2699.3897185822434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1680.9563161362285</v>
          </cell>
          <cell r="AQ74">
            <v>573.31037201357276</v>
          </cell>
          <cell r="AS74">
            <v>7215.6825472452292</v>
          </cell>
          <cell r="AT74">
            <v>1208.9431478373917</v>
          </cell>
          <cell r="AV74">
            <v>312.08924497789428</v>
          </cell>
          <cell r="AW74">
            <v>0</v>
          </cell>
          <cell r="AY74">
            <v>438.88707713804558</v>
          </cell>
          <cell r="AZ74">
            <v>0</v>
          </cell>
          <cell r="BB74">
            <v>418.3787489409853</v>
          </cell>
          <cell r="BC74">
            <v>0</v>
          </cell>
          <cell r="BE74">
            <v>0</v>
          </cell>
          <cell r="BF74">
            <v>0</v>
          </cell>
          <cell r="BH74">
            <v>0</v>
          </cell>
          <cell r="BI74">
            <v>0</v>
          </cell>
          <cell r="BK74">
            <v>166.257356798828</v>
          </cell>
          <cell r="BL74">
            <v>0</v>
          </cell>
          <cell r="BN74">
            <v>0</v>
          </cell>
          <cell r="BO74">
            <v>0</v>
          </cell>
          <cell r="BT74">
            <v>6613.7108670434091</v>
          </cell>
          <cell r="BU74">
            <v>6578.2654772477754</v>
          </cell>
          <cell r="BW74">
            <v>5107.9566969305752</v>
          </cell>
          <cell r="BX74">
            <v>7092.5486206177411</v>
          </cell>
          <cell r="BZ74">
            <v>3432.9468113931639</v>
          </cell>
          <cell r="CA74">
            <v>5280.8213560969161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917.15873368241455</v>
          </cell>
          <cell r="CJ74">
            <v>693.66669416718037</v>
          </cell>
          <cell r="CL74">
            <v>0</v>
          </cell>
          <cell r="CM74">
            <v>0</v>
          </cell>
          <cell r="CX74">
            <v>10.262534134835732</v>
          </cell>
          <cell r="CY74">
            <v>5151.2406413226345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94.701764289364974</v>
          </cell>
          <cell r="AQ75">
            <v>0</v>
          </cell>
          <cell r="AS75">
            <v>13.128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27.914845879897086</v>
          </cell>
          <cell r="BU75">
            <v>62.687577263568912</v>
          </cell>
          <cell r="BW75">
            <v>0</v>
          </cell>
          <cell r="BX75">
            <v>0.99396535259941854</v>
          </cell>
          <cell r="BZ75">
            <v>0</v>
          </cell>
          <cell r="CA75">
            <v>58.977604876537264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4.086467796885529</v>
          </cell>
          <cell r="CY75">
            <v>19.789023008753276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78.91813690780414</v>
          </cell>
          <cell r="AQ76">
            <v>0</v>
          </cell>
          <cell r="AS76">
            <v>612.2526097829134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15.951340502798338</v>
          </cell>
          <cell r="BU76">
            <v>33.171848703664047</v>
          </cell>
          <cell r="BW76">
            <v>0</v>
          </cell>
          <cell r="BX76">
            <v>1.3175535816397699</v>
          </cell>
          <cell r="BZ76">
            <v>0</v>
          </cell>
          <cell r="CA76">
            <v>31.209003762281775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21.233495367780961</v>
          </cell>
          <cell r="CY76">
            <v>790.94191274289733</v>
          </cell>
        </row>
        <row r="77">
          <cell r="I77">
            <v>1278.6362450629172</v>
          </cell>
          <cell r="J77">
            <v>1102.3943488622849</v>
          </cell>
          <cell r="L77">
            <v>294.46879922751515</v>
          </cell>
          <cell r="M77">
            <v>286.28383449823849</v>
          </cell>
          <cell r="O77">
            <v>552.96</v>
          </cell>
          <cell r="P77">
            <v>552.9666666666667</v>
          </cell>
          <cell r="R77">
            <v>108.48</v>
          </cell>
          <cell r="S77">
            <v>108.46666666666667</v>
          </cell>
          <cell r="U77">
            <v>88.645113504097054</v>
          </cell>
          <cell r="V77">
            <v>31.071198405688563</v>
          </cell>
          <cell r="X77">
            <v>967.70110311905819</v>
          </cell>
          <cell r="Y77">
            <v>2792.3141952032838</v>
          </cell>
          <cell r="AA77">
            <v>0</v>
          </cell>
          <cell r="AB77">
            <v>0</v>
          </cell>
          <cell r="AD77">
            <v>1560.6072457605824</v>
          </cell>
          <cell r="AE77">
            <v>1715.0530916548696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236.75441072341243</v>
          </cell>
          <cell r="AQ77">
            <v>0</v>
          </cell>
          <cell r="AS77">
            <v>4876.9028539962819</v>
          </cell>
          <cell r="AT77">
            <v>2131.6402572925035</v>
          </cell>
          <cell r="AV77">
            <v>240.97600204603114</v>
          </cell>
          <cell r="AW77">
            <v>425.98817545704691</v>
          </cell>
          <cell r="AY77">
            <v>351.66292323452029</v>
          </cell>
          <cell r="AZ77">
            <v>0</v>
          </cell>
          <cell r="BB77">
            <v>193.26395990750746</v>
          </cell>
          <cell r="BC77">
            <v>0</v>
          </cell>
          <cell r="BE77">
            <v>107.54409784126776</v>
          </cell>
          <cell r="BF77">
            <v>0</v>
          </cell>
          <cell r="BH77">
            <v>89.960355179059135</v>
          </cell>
          <cell r="BI77">
            <v>7.7228418000000003</v>
          </cell>
          <cell r="BK77">
            <v>130.2465264345808</v>
          </cell>
          <cell r="BL77">
            <v>0</v>
          </cell>
          <cell r="BN77">
            <v>118.34437622421669</v>
          </cell>
          <cell r="BO77">
            <v>0</v>
          </cell>
          <cell r="BT77">
            <v>6348.3673242622444</v>
          </cell>
          <cell r="BU77">
            <v>4712.973645934755</v>
          </cell>
          <cell r="BW77">
            <v>2934.5000493459806</v>
          </cell>
          <cell r="BX77">
            <v>3822.5759636574571</v>
          </cell>
          <cell r="BZ77">
            <v>822.31395306956858</v>
          </cell>
          <cell r="CA77">
            <v>4485.7941547437404</v>
          </cell>
          <cell r="CC77">
            <v>101.18159324356435</v>
          </cell>
          <cell r="CD77">
            <v>102.29744998914043</v>
          </cell>
          <cell r="CF77">
            <v>12.456067350060005</v>
          </cell>
          <cell r="CG77">
            <v>0</v>
          </cell>
          <cell r="CI77">
            <v>692.54843155610899</v>
          </cell>
          <cell r="CJ77">
            <v>436.20224191186031</v>
          </cell>
          <cell r="CL77">
            <v>0</v>
          </cell>
          <cell r="CM77">
            <v>0</v>
          </cell>
          <cell r="CX77">
            <v>1324.6942826937084</v>
          </cell>
          <cell r="CY77">
            <v>598.42632070695072</v>
          </cell>
        </row>
        <row r="78">
          <cell r="I78">
            <v>924.36445027596199</v>
          </cell>
          <cell r="J78">
            <v>788.94536627325647</v>
          </cell>
          <cell r="L78">
            <v>226.46199146776917</v>
          </cell>
          <cell r="M78">
            <v>204.19481832517187</v>
          </cell>
          <cell r="O78">
            <v>283.3</v>
          </cell>
          <cell r="P78">
            <v>283.3</v>
          </cell>
          <cell r="R78">
            <v>55.46</v>
          </cell>
          <cell r="S78">
            <v>55.45000000000001</v>
          </cell>
          <cell r="U78">
            <v>0</v>
          </cell>
          <cell r="V78">
            <v>0</v>
          </cell>
          <cell r="X78">
            <v>475.34409908085331</v>
          </cell>
          <cell r="Y78">
            <v>359.94338705412292</v>
          </cell>
          <cell r="AA78">
            <v>0</v>
          </cell>
          <cell r="AB78">
            <v>0</v>
          </cell>
          <cell r="AD78">
            <v>836.01058137205086</v>
          </cell>
          <cell r="AE78">
            <v>918.74655595331319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284.10529286809492</v>
          </cell>
          <cell r="AQ78">
            <v>1147.2040374428266</v>
          </cell>
          <cell r="AS78">
            <v>2348.1552161167724</v>
          </cell>
          <cell r="AT78">
            <v>0</v>
          </cell>
          <cell r="AV78">
            <v>135.60864137130488</v>
          </cell>
          <cell r="AW78">
            <v>0</v>
          </cell>
          <cell r="AY78">
            <v>264.84451108914089</v>
          </cell>
          <cell r="AZ78">
            <v>0</v>
          </cell>
          <cell r="BB78">
            <v>78.612730666321482</v>
          </cell>
          <cell r="BC78">
            <v>0</v>
          </cell>
          <cell r="BE78">
            <v>80.855039196896257</v>
          </cell>
          <cell r="BF78">
            <v>0</v>
          </cell>
          <cell r="BH78">
            <v>0</v>
          </cell>
          <cell r="BI78">
            <v>0</v>
          </cell>
          <cell r="BK78">
            <v>63.909261025478145</v>
          </cell>
          <cell r="BL78">
            <v>0</v>
          </cell>
          <cell r="BN78">
            <v>54.529073537159114</v>
          </cell>
          <cell r="BO78">
            <v>0</v>
          </cell>
          <cell r="BT78">
            <v>3083.8504256899096</v>
          </cell>
          <cell r="BU78">
            <v>1209.0627178028581</v>
          </cell>
          <cell r="BW78">
            <v>1315.9470971797632</v>
          </cell>
          <cell r="BX78">
            <v>1658.8487886255068</v>
          </cell>
          <cell r="BZ78">
            <v>1125.2717252530938</v>
          </cell>
          <cell r="CA78">
            <v>1712.1303842233501</v>
          </cell>
          <cell r="CC78">
            <v>99.759952640820472</v>
          </cell>
          <cell r="CD78">
            <v>100.86013116661857</v>
          </cell>
          <cell r="CF78">
            <v>12.281054775858582</v>
          </cell>
          <cell r="CG78">
            <v>0</v>
          </cell>
          <cell r="CI78">
            <v>271.40411506928592</v>
          </cell>
          <cell r="CJ78">
            <v>175.94261662852909</v>
          </cell>
          <cell r="CL78">
            <v>0</v>
          </cell>
          <cell r="CM78">
            <v>0</v>
          </cell>
          <cell r="CX78">
            <v>18.309689588159017</v>
          </cell>
          <cell r="CY78">
            <v>4104.845435805335</v>
          </cell>
        </row>
        <row r="79">
          <cell r="I79">
            <v>1774.4772626132697</v>
          </cell>
          <cell r="J79">
            <v>1526.0976036270204</v>
          </cell>
          <cell r="L79">
            <v>334.70831114493518</v>
          </cell>
          <cell r="M79">
            <v>301.80100870490878</v>
          </cell>
          <cell r="O79">
            <v>687.92</v>
          </cell>
          <cell r="P79">
            <v>687.93333333333339</v>
          </cell>
          <cell r="R79">
            <v>148.96</v>
          </cell>
          <cell r="S79">
            <v>148.96666666666667</v>
          </cell>
          <cell r="U79">
            <v>118.22581795543685</v>
          </cell>
          <cell r="V79">
            <v>41.439785192903869</v>
          </cell>
          <cell r="X79">
            <v>1252.3001528107757</v>
          </cell>
          <cell r="Y79">
            <v>3200.9355541361729</v>
          </cell>
          <cell r="AA79">
            <v>0</v>
          </cell>
          <cell r="AB79">
            <v>0</v>
          </cell>
          <cell r="AD79">
            <v>1954.8389131219933</v>
          </cell>
          <cell r="AE79">
            <v>2148.29998434562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473.50882144682487</v>
          </cell>
          <cell r="AQ79">
            <v>0</v>
          </cell>
          <cell r="AS79">
            <v>9576.3677377268014</v>
          </cell>
          <cell r="AT79">
            <v>0</v>
          </cell>
          <cell r="AV79">
            <v>296.97430937581089</v>
          </cell>
          <cell r="AW79">
            <v>951.97722752600112</v>
          </cell>
          <cell r="AY79">
            <v>431.42874836421191</v>
          </cell>
          <cell r="AZ79">
            <v>2821.7797941782142</v>
          </cell>
          <cell r="BB79">
            <v>225.25790184519559</v>
          </cell>
          <cell r="BC79">
            <v>0</v>
          </cell>
          <cell r="BE79">
            <v>134.01654655351942</v>
          </cell>
          <cell r="BF79">
            <v>0</v>
          </cell>
          <cell r="BH79">
            <v>119.94714023874553</v>
          </cell>
          <cell r="BI79">
            <v>7.7228418000000003</v>
          </cell>
          <cell r="BK79">
            <v>185.68589968581432</v>
          </cell>
          <cell r="BL79">
            <v>0</v>
          </cell>
          <cell r="BN79">
            <v>39.854603062339315</v>
          </cell>
          <cell r="BO79">
            <v>0</v>
          </cell>
          <cell r="BT79">
            <v>2638.5371036827164</v>
          </cell>
          <cell r="BU79">
            <v>2746.9903500970281</v>
          </cell>
          <cell r="BW79">
            <v>2944.2932400040918</v>
          </cell>
          <cell r="BX79">
            <v>3489.3873300782388</v>
          </cell>
          <cell r="BZ79">
            <v>1298.3904522151083</v>
          </cell>
          <cell r="CA79">
            <v>2686.0406996581878</v>
          </cell>
          <cell r="CC79">
            <v>243.39467560770206</v>
          </cell>
          <cell r="CD79">
            <v>246.07889495934211</v>
          </cell>
          <cell r="CF79">
            <v>29.963359686554227</v>
          </cell>
          <cell r="CG79">
            <v>0</v>
          </cell>
          <cell r="CI79">
            <v>1060.6597600408875</v>
          </cell>
          <cell r="CJ79">
            <v>552.5991442238826</v>
          </cell>
          <cell r="CL79">
            <v>0</v>
          </cell>
          <cell r="CM79">
            <v>0</v>
          </cell>
          <cell r="CX79">
            <v>1568.9870913807208</v>
          </cell>
          <cell r="CY79">
            <v>6862.9797377669765</v>
          </cell>
        </row>
        <row r="80">
          <cell r="I80">
            <v>1104.1718947595289</v>
          </cell>
          <cell r="J80">
            <v>1243.4936593568361</v>
          </cell>
          <cell r="L80">
            <v>206.28899752640388</v>
          </cell>
          <cell r="M80">
            <v>227.0243161362034</v>
          </cell>
          <cell r="O80">
            <v>716.7</v>
          </cell>
          <cell r="P80">
            <v>716.7</v>
          </cell>
          <cell r="R80">
            <v>0</v>
          </cell>
          <cell r="S80">
            <v>0</v>
          </cell>
          <cell r="U80">
            <v>0</v>
          </cell>
          <cell r="V80">
            <v>22.855347475559377</v>
          </cell>
          <cell r="X80">
            <v>887.98203486775833</v>
          </cell>
          <cell r="Y80">
            <v>867.14078910163687</v>
          </cell>
          <cell r="AA80">
            <v>0</v>
          </cell>
          <cell r="AB80">
            <v>0</v>
          </cell>
          <cell r="AD80">
            <v>2058.8556415530697</v>
          </cell>
          <cell r="AE80">
            <v>2262.6029199714603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228.86259703263201</v>
          </cell>
          <cell r="AQ80">
            <v>0</v>
          </cell>
          <cell r="AS80">
            <v>3968.7186887636053</v>
          </cell>
          <cell r="AT80">
            <v>64.627908265165871</v>
          </cell>
          <cell r="AV80">
            <v>199.30110444818735</v>
          </cell>
          <cell r="AW80">
            <v>0</v>
          </cell>
          <cell r="AY80">
            <v>265.86888590663347</v>
          </cell>
          <cell r="AZ80">
            <v>0</v>
          </cell>
          <cell r="BB80">
            <v>339.09608183163061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K80">
            <v>122.47344089241105</v>
          </cell>
          <cell r="BL80">
            <v>0</v>
          </cell>
          <cell r="BN80">
            <v>0</v>
          </cell>
          <cell r="BO80">
            <v>0</v>
          </cell>
          <cell r="BT80">
            <v>5000.3184534389857</v>
          </cell>
          <cell r="BU80">
            <v>4455.6046336402242</v>
          </cell>
          <cell r="BW80">
            <v>2778.9371192187477</v>
          </cell>
          <cell r="BX80">
            <v>5267.6352386164799</v>
          </cell>
          <cell r="BZ80">
            <v>1892.1901414312354</v>
          </cell>
          <cell r="CA80">
            <v>3363.7019725217733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483.53606707746354</v>
          </cell>
          <cell r="CJ80">
            <v>768.07115921838363</v>
          </cell>
          <cell r="CL80">
            <v>0</v>
          </cell>
          <cell r="CM80">
            <v>0</v>
          </cell>
          <cell r="CX80">
            <v>1217.0786215020526</v>
          </cell>
          <cell r="CY80">
            <v>2409.6904668355346</v>
          </cell>
        </row>
        <row r="81">
          <cell r="I81">
            <v>2010.5870585823509</v>
          </cell>
          <cell r="J81">
            <v>2222.6060466406698</v>
          </cell>
          <cell r="L81">
            <v>380.72022052671252</v>
          </cell>
          <cell r="M81">
            <v>418.98821911821437</v>
          </cell>
          <cell r="O81">
            <v>807.92</v>
          </cell>
          <cell r="P81">
            <v>807.91666666666674</v>
          </cell>
          <cell r="R81">
            <v>0</v>
          </cell>
          <cell r="S81">
            <v>0</v>
          </cell>
          <cell r="U81">
            <v>0</v>
          </cell>
          <cell r="V81">
            <v>22.855347475559377</v>
          </cell>
          <cell r="X81">
            <v>1243.2842644426239</v>
          </cell>
          <cell r="Y81">
            <v>1203.5681484093316</v>
          </cell>
          <cell r="AA81">
            <v>0</v>
          </cell>
          <cell r="AB81">
            <v>0</v>
          </cell>
          <cell r="AD81">
            <v>2294.3399368583928</v>
          </cell>
          <cell r="AE81">
            <v>2521.3998029968734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1894.0352857872995</v>
          </cell>
          <cell r="AQ81">
            <v>5597.0672948283482</v>
          </cell>
          <cell r="AS81">
            <v>4952.8335367596737</v>
          </cell>
          <cell r="AT81">
            <v>0</v>
          </cell>
          <cell r="AV81">
            <v>318.0902693443374</v>
          </cell>
          <cell r="AW81">
            <v>2630.8750602537534</v>
          </cell>
          <cell r="AY81">
            <v>490.73628415417375</v>
          </cell>
          <cell r="AZ81">
            <v>0</v>
          </cell>
          <cell r="BB81">
            <v>365.88444988692856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2477.1850515697056</v>
          </cell>
          <cell r="BK81">
            <v>174.62873904711446</v>
          </cell>
          <cell r="BL81">
            <v>0</v>
          </cell>
          <cell r="BN81">
            <v>0</v>
          </cell>
          <cell r="BO81">
            <v>0</v>
          </cell>
          <cell r="BT81">
            <v>6121.5088890601883</v>
          </cell>
          <cell r="BU81">
            <v>5721.0144737951559</v>
          </cell>
          <cell r="BW81">
            <v>3159.8576901785882</v>
          </cell>
          <cell r="BX81">
            <v>5428.7668633143603</v>
          </cell>
          <cell r="BZ81">
            <v>2681.7669477046475</v>
          </cell>
          <cell r="CA81">
            <v>4259.5767894079981</v>
          </cell>
          <cell r="CC81">
            <v>328.59506759283516</v>
          </cell>
          <cell r="CD81">
            <v>332.21889887461634</v>
          </cell>
          <cell r="CF81">
            <v>40.452044305936148</v>
          </cell>
          <cell r="CG81">
            <v>0</v>
          </cell>
          <cell r="CI81">
            <v>745.58141955815336</v>
          </cell>
          <cell r="CJ81">
            <v>334.46279692049552</v>
          </cell>
          <cell r="CL81">
            <v>0</v>
          </cell>
          <cell r="CM81">
            <v>0</v>
          </cell>
          <cell r="CX81">
            <v>1181.4934754520582</v>
          </cell>
          <cell r="CY81">
            <v>-5979.7217523260952</v>
          </cell>
        </row>
        <row r="82">
          <cell r="I82">
            <v>899.77845885533634</v>
          </cell>
          <cell r="J82">
            <v>1002.7793350934437</v>
          </cell>
          <cell r="L82">
            <v>194.94628967187373</v>
          </cell>
          <cell r="M82">
            <v>214.54150649926183</v>
          </cell>
          <cell r="O82">
            <v>390.32</v>
          </cell>
          <cell r="P82">
            <v>390.31666666666666</v>
          </cell>
          <cell r="R82">
            <v>0</v>
          </cell>
          <cell r="S82">
            <v>0</v>
          </cell>
          <cell r="U82">
            <v>0</v>
          </cell>
          <cell r="V82">
            <v>22.855347475559377</v>
          </cell>
          <cell r="X82">
            <v>548.47906295308962</v>
          </cell>
          <cell r="Y82">
            <v>526.20060614161468</v>
          </cell>
          <cell r="AA82">
            <v>0</v>
          </cell>
          <cell r="AB82">
            <v>0</v>
          </cell>
          <cell r="AD82">
            <v>1333.8456467829953</v>
          </cell>
          <cell r="AE82">
            <v>1465.849980204767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875.99131967662606</v>
          </cell>
          <cell r="AQ82">
            <v>1870.8415234479653</v>
          </cell>
          <cell r="AS82">
            <v>3203.0702278670028</v>
          </cell>
          <cell r="AT82">
            <v>0</v>
          </cell>
          <cell r="AV82">
            <v>141.19134888296281</v>
          </cell>
          <cell r="AW82">
            <v>0</v>
          </cell>
          <cell r="AY82">
            <v>251.26294537068739</v>
          </cell>
          <cell r="AZ82">
            <v>0</v>
          </cell>
          <cell r="BB82">
            <v>238.9164663369109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603.48322308377033</v>
          </cell>
          <cell r="BK82">
            <v>70.039395863319015</v>
          </cell>
          <cell r="BL82">
            <v>0</v>
          </cell>
          <cell r="BN82">
            <v>0</v>
          </cell>
          <cell r="BO82">
            <v>0</v>
          </cell>
          <cell r="BT82">
            <v>1850.3408731043698</v>
          </cell>
          <cell r="BU82">
            <v>1989.7746893698654</v>
          </cell>
          <cell r="BW82">
            <v>1334.3614911240522</v>
          </cell>
          <cell r="BX82">
            <v>3078.8851464754548</v>
          </cell>
          <cell r="BZ82">
            <v>1080.2244591477311</v>
          </cell>
          <cell r="CA82">
            <v>1716.4919307294001</v>
          </cell>
          <cell r="CC82">
            <v>86.965187216125557</v>
          </cell>
          <cell r="CD82">
            <v>87.924261763922033</v>
          </cell>
          <cell r="CF82">
            <v>10.705941608045761</v>
          </cell>
          <cell r="CG82">
            <v>0</v>
          </cell>
          <cell r="CI82">
            <v>720.62471932189726</v>
          </cell>
          <cell r="CJ82">
            <v>723.7565884525452</v>
          </cell>
          <cell r="CL82">
            <v>0</v>
          </cell>
          <cell r="CM82">
            <v>0</v>
          </cell>
          <cell r="CX82">
            <v>798.34339946037289</v>
          </cell>
          <cell r="CY82">
            <v>243.17903351491896</v>
          </cell>
        </row>
        <row r="83">
          <cell r="I83">
            <v>1346.766002270316</v>
          </cell>
          <cell r="J83">
            <v>1520.0158975315862</v>
          </cell>
          <cell r="L83">
            <v>269.61123728666183</v>
          </cell>
          <cell r="M83">
            <v>461.01665175972494</v>
          </cell>
          <cell r="O83">
            <v>925.9</v>
          </cell>
          <cell r="P83">
            <v>925.9</v>
          </cell>
          <cell r="R83">
            <v>194.12</v>
          </cell>
          <cell r="S83">
            <v>194.11666666666667</v>
          </cell>
          <cell r="U83">
            <v>67.987120313120343</v>
          </cell>
          <cell r="V83">
            <v>193.94463615358382</v>
          </cell>
          <cell r="X83">
            <v>665.50686720275428</v>
          </cell>
          <cell r="Y83">
            <v>657.47234569228556</v>
          </cell>
          <cell r="AA83">
            <v>0</v>
          </cell>
          <cell r="AB83">
            <v>0</v>
          </cell>
          <cell r="AD83">
            <v>2586.8780775884347</v>
          </cell>
          <cell r="AE83">
            <v>2842.8890463980897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205.18715596029077</v>
          </cell>
          <cell r="AQ83">
            <v>0</v>
          </cell>
          <cell r="AS83">
            <v>7932.9238123057485</v>
          </cell>
          <cell r="AT83">
            <v>17903.36740133987</v>
          </cell>
          <cell r="AV83">
            <v>254.36667126777695</v>
          </cell>
          <cell r="AW83">
            <v>0</v>
          </cell>
          <cell r="AY83">
            <v>347.50294893846012</v>
          </cell>
          <cell r="AZ83">
            <v>0</v>
          </cell>
          <cell r="BB83">
            <v>428.65127600087555</v>
          </cell>
          <cell r="BC83">
            <v>0</v>
          </cell>
          <cell r="BE83">
            <v>164.11543594438629</v>
          </cell>
          <cell r="BF83">
            <v>0</v>
          </cell>
          <cell r="BH83">
            <v>68.97925660788097</v>
          </cell>
          <cell r="BI83">
            <v>0</v>
          </cell>
          <cell r="BK83">
            <v>73.753166691452407</v>
          </cell>
          <cell r="BL83">
            <v>0</v>
          </cell>
          <cell r="BN83">
            <v>0</v>
          </cell>
          <cell r="BO83">
            <v>0</v>
          </cell>
          <cell r="BT83">
            <v>2284.608499797233</v>
          </cell>
          <cell r="BU83">
            <v>2775.8179757745811</v>
          </cell>
          <cell r="BW83">
            <v>2641.5643180941433</v>
          </cell>
          <cell r="BX83">
            <v>5860.6932821923065</v>
          </cell>
          <cell r="BZ83">
            <v>1436.8101838578243</v>
          </cell>
          <cell r="CA83">
            <v>2719.1417609853474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411.78555389822696</v>
          </cell>
          <cell r="CJ83">
            <v>897.26636019833336</v>
          </cell>
          <cell r="CL83">
            <v>0</v>
          </cell>
          <cell r="CM83">
            <v>0</v>
          </cell>
          <cell r="CX83">
            <v>669.5188991692994</v>
          </cell>
          <cell r="CY83">
            <v>-16904.03042963085</v>
          </cell>
        </row>
        <row r="84">
          <cell r="I84">
            <v>778.91177143626908</v>
          </cell>
          <cell r="J84">
            <v>864.24883537131336</v>
          </cell>
          <cell r="L84">
            <v>119.14799437597647</v>
          </cell>
          <cell r="M84">
            <v>131.12377427326498</v>
          </cell>
          <cell r="O84">
            <v>336.02</v>
          </cell>
          <cell r="P84">
            <v>336.01666666666671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X84">
            <v>494.95930459311847</v>
          </cell>
          <cell r="Y84">
            <v>460.09856428913668</v>
          </cell>
          <cell r="AA84">
            <v>0</v>
          </cell>
          <cell r="AB84">
            <v>0</v>
          </cell>
          <cell r="AD84">
            <v>1047.0798786227788</v>
          </cell>
          <cell r="AE84">
            <v>1150.7043735186539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1010.152152419893</v>
          </cell>
          <cell r="AQ84">
            <v>0</v>
          </cell>
          <cell r="AS84">
            <v>2572.1818483559537</v>
          </cell>
          <cell r="AT84">
            <v>0</v>
          </cell>
          <cell r="AV84">
            <v>124.57062080146615</v>
          </cell>
          <cell r="AW84">
            <v>0</v>
          </cell>
          <cell r="AY84">
            <v>153.61481567386699</v>
          </cell>
          <cell r="AZ84">
            <v>0</v>
          </cell>
          <cell r="BB84">
            <v>187.39808963912321</v>
          </cell>
          <cell r="BC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K84">
            <v>60.056140153587386</v>
          </cell>
          <cell r="BL84">
            <v>0</v>
          </cell>
          <cell r="BN84">
            <v>0</v>
          </cell>
          <cell r="BO84">
            <v>0</v>
          </cell>
          <cell r="BT84">
            <v>3640.4352898710845</v>
          </cell>
          <cell r="BU84">
            <v>3363.4673474301253</v>
          </cell>
          <cell r="BW84">
            <v>1221.3599418250965</v>
          </cell>
          <cell r="BX84">
            <v>3341.0965052242009</v>
          </cell>
          <cell r="BZ84">
            <v>1030.4528251461522</v>
          </cell>
          <cell r="CA84">
            <v>3192.7408134858997</v>
          </cell>
          <cell r="CC84">
            <v>162.94942632829839</v>
          </cell>
          <cell r="CD84">
            <v>164.74647469181332</v>
          </cell>
          <cell r="CF84">
            <v>20.060061953294309</v>
          </cell>
          <cell r="CG84">
            <v>0</v>
          </cell>
          <cell r="CI84">
            <v>639.51544355406463</v>
          </cell>
          <cell r="CJ84">
            <v>730.90415304023895</v>
          </cell>
          <cell r="CL84">
            <v>0</v>
          </cell>
          <cell r="CM84">
            <v>0</v>
          </cell>
          <cell r="CX84">
            <v>-3.2987257000258978</v>
          </cell>
          <cell r="CY84">
            <v>-166.83700958957434</v>
          </cell>
        </row>
        <row r="85">
          <cell r="I85">
            <v>242.61489492325532</v>
          </cell>
          <cell r="J85">
            <v>265.82243967875525</v>
          </cell>
          <cell r="L85">
            <v>47.738284400156573</v>
          </cell>
          <cell r="M85">
            <v>52.536346645910811</v>
          </cell>
          <cell r="O85">
            <v>64.08</v>
          </cell>
          <cell r="P85">
            <v>64.066666666666663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>
            <v>160.71800817894464</v>
          </cell>
          <cell r="Y85">
            <v>146.55217993083815</v>
          </cell>
          <cell r="AA85">
            <v>0</v>
          </cell>
          <cell r="AB85">
            <v>0</v>
          </cell>
          <cell r="AD85">
            <v>180.65388227787005</v>
          </cell>
          <cell r="AE85">
            <v>198.53233423193274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94.701764289364974</v>
          </cell>
          <cell r="AQ85">
            <v>287.82177283814855</v>
          </cell>
          <cell r="AS85">
            <v>840.80559216705501</v>
          </cell>
          <cell r="AT85">
            <v>0</v>
          </cell>
          <cell r="AV85">
            <v>51.794461945442009</v>
          </cell>
          <cell r="AW85">
            <v>0</v>
          </cell>
          <cell r="AY85">
            <v>61.550813104250835</v>
          </cell>
          <cell r="AZ85">
            <v>0</v>
          </cell>
          <cell r="BB85">
            <v>12.103661341664061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13.131198850039331</v>
          </cell>
          <cell r="BL85">
            <v>0</v>
          </cell>
          <cell r="BN85">
            <v>0</v>
          </cell>
          <cell r="BO85">
            <v>0</v>
          </cell>
          <cell r="BT85">
            <v>0</v>
          </cell>
          <cell r="BU85">
            <v>0</v>
          </cell>
          <cell r="BW85">
            <v>31.459001284102019</v>
          </cell>
          <cell r="BX85">
            <v>652.10359762342136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40.554637883916286</v>
          </cell>
          <cell r="CJ85">
            <v>19.815022536495807</v>
          </cell>
          <cell r="CL85">
            <v>0</v>
          </cell>
          <cell r="CM85">
            <v>0</v>
          </cell>
          <cell r="CX85">
            <v>33.132559224727174</v>
          </cell>
          <cell r="CY85">
            <v>218.71956781739721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94.701764289364974</v>
          </cell>
          <cell r="AQ86">
            <v>0</v>
          </cell>
          <cell r="AS86">
            <v>449.68071273131363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T86">
            <v>27.914845879897086</v>
          </cell>
          <cell r="BU86">
            <v>75.361793277366203</v>
          </cell>
          <cell r="BW86">
            <v>0</v>
          </cell>
          <cell r="BX86">
            <v>0.81650061315087374</v>
          </cell>
          <cell r="BZ86">
            <v>0</v>
          </cell>
          <cell r="CA86">
            <v>69.319830237767789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X86">
            <v>17.183212519309336</v>
          </cell>
          <cell r="CY86">
            <v>529.34225104605821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47.350882144682487</v>
          </cell>
          <cell r="AQ87">
            <v>0</v>
          </cell>
          <cell r="AS87">
            <v>190.93821728022763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11.963505377098754</v>
          </cell>
          <cell r="BU87">
            <v>37.667558268191534</v>
          </cell>
          <cell r="BW87">
            <v>0</v>
          </cell>
          <cell r="BX87">
            <v>0.34109048545385451</v>
          </cell>
          <cell r="BZ87">
            <v>0</v>
          </cell>
          <cell r="CA87">
            <v>34.647646122381644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7.4968742375893953</v>
          </cell>
          <cell r="CY87">
            <v>220.61244614876756</v>
          </cell>
        </row>
        <row r="88">
          <cell r="I88">
            <v>1042.9318580776642</v>
          </cell>
          <cell r="J88">
            <v>1157.5524971996083</v>
          </cell>
          <cell r="L88">
            <v>194.40384537113721</v>
          </cell>
          <cell r="M88">
            <v>213.94450256010376</v>
          </cell>
          <cell r="O88">
            <v>399.14</v>
          </cell>
          <cell r="P88">
            <v>399.15000000000003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>
            <v>516.65099587113502</v>
          </cell>
          <cell r="Y88">
            <v>493.1296247515989</v>
          </cell>
          <cell r="AA88">
            <v>0</v>
          </cell>
          <cell r="AB88">
            <v>0</v>
          </cell>
          <cell r="AD88">
            <v>1350.307598185831</v>
          </cell>
          <cell r="AE88">
            <v>1483.9410923182097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781.28955538726109</v>
          </cell>
          <cell r="AQ88">
            <v>2152.247068713622</v>
          </cell>
          <cell r="AS88">
            <v>3798.1378183901502</v>
          </cell>
          <cell r="AT88">
            <v>37.391861210560251</v>
          </cell>
          <cell r="AV88">
            <v>172.97663207927951</v>
          </cell>
          <cell r="AW88">
            <v>0</v>
          </cell>
          <cell r="AY88">
            <v>250.58315269130659</v>
          </cell>
          <cell r="AZ88">
            <v>0</v>
          </cell>
          <cell r="BB88">
            <v>245.82574354996487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65.725579801306026</v>
          </cell>
          <cell r="BL88">
            <v>0</v>
          </cell>
          <cell r="BN88">
            <v>0</v>
          </cell>
          <cell r="BO88">
            <v>0</v>
          </cell>
          <cell r="BT88">
            <v>1555.6207516672716</v>
          </cell>
          <cell r="BU88">
            <v>1856.7188958057079</v>
          </cell>
          <cell r="BW88">
            <v>1299.4342977627225</v>
          </cell>
          <cell r="BX88">
            <v>3743.0105390645667</v>
          </cell>
          <cell r="BZ88">
            <v>870.46063115447839</v>
          </cell>
          <cell r="CA88">
            <v>1844.9457806817049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486.65565460699548</v>
          </cell>
          <cell r="CJ88">
            <v>622.03727280258443</v>
          </cell>
          <cell r="CL88">
            <v>0</v>
          </cell>
          <cell r="CM88">
            <v>0</v>
          </cell>
          <cell r="CX88">
            <v>543.80706248419847</v>
          </cell>
          <cell r="CY88">
            <v>-624.90296212992143</v>
          </cell>
        </row>
        <row r="89">
          <cell r="I89">
            <v>599.7820158470247</v>
          </cell>
          <cell r="J89">
            <v>658.80479426206205</v>
          </cell>
          <cell r="L89">
            <v>133.00565640834853</v>
          </cell>
          <cell r="M89">
            <v>146.37451126448497</v>
          </cell>
          <cell r="O89">
            <v>189.66</v>
          </cell>
          <cell r="P89">
            <v>189.65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>
            <v>391.21773853144077</v>
          </cell>
          <cell r="Y89">
            <v>352.01169265343822</v>
          </cell>
          <cell r="AA89">
            <v>0</v>
          </cell>
          <cell r="AB89">
            <v>0</v>
          </cell>
          <cell r="AD89">
            <v>603.9612040650685</v>
          </cell>
          <cell r="AE89">
            <v>663.73236000616555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402.48249822980114</v>
          </cell>
          <cell r="AQ89">
            <v>143.32759300339319</v>
          </cell>
          <cell r="AS89">
            <v>1683.3915846033244</v>
          </cell>
          <cell r="AT89">
            <v>50.548256821683296</v>
          </cell>
          <cell r="AV89">
            <v>105.50314275515966</v>
          </cell>
          <cell r="AW89">
            <v>0</v>
          </cell>
          <cell r="AY89">
            <v>171.45470659650391</v>
          </cell>
          <cell r="AZ89">
            <v>0</v>
          </cell>
          <cell r="BB89">
            <v>87.527632979009326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K89">
            <v>41.778843913608405</v>
          </cell>
          <cell r="BL89">
            <v>0</v>
          </cell>
          <cell r="BN89">
            <v>0</v>
          </cell>
          <cell r="BO89">
            <v>0</v>
          </cell>
          <cell r="BT89">
            <v>2170.9213886355342</v>
          </cell>
          <cell r="BU89">
            <v>2023.082451374471</v>
          </cell>
          <cell r="BW89">
            <v>1077.1597071967265</v>
          </cell>
          <cell r="BX89">
            <v>2561.2827535269889</v>
          </cell>
          <cell r="BZ89">
            <v>566.34955270334569</v>
          </cell>
          <cell r="CA89">
            <v>1793.9300050360603</v>
          </cell>
          <cell r="CC89">
            <v>136.28140950441323</v>
          </cell>
          <cell r="CD89">
            <v>137.7843560900244</v>
          </cell>
          <cell r="CF89">
            <v>16.777067457929661</v>
          </cell>
          <cell r="CG89">
            <v>0</v>
          </cell>
          <cell r="CI89">
            <v>308.83916542367018</v>
          </cell>
          <cell r="CJ89">
            <v>223.03223108097473</v>
          </cell>
          <cell r="CL89">
            <v>0</v>
          </cell>
          <cell r="CM89">
            <v>0</v>
          </cell>
          <cell r="CX89">
            <v>0.10802217890886823</v>
          </cell>
          <cell r="CY89">
            <v>-308.85320614369539</v>
          </cell>
        </row>
        <row r="90">
          <cell r="I90">
            <v>1368.0478903158062</v>
          </cell>
          <cell r="J90">
            <v>1527.9361266535345</v>
          </cell>
          <cell r="L90">
            <v>215.01852599342138</v>
          </cell>
          <cell r="M90">
            <v>263.44707627834794</v>
          </cell>
          <cell r="O90">
            <v>672.92</v>
          </cell>
          <cell r="P90">
            <v>672.91666666666674</v>
          </cell>
          <cell r="R90">
            <v>145.9</v>
          </cell>
          <cell r="S90">
            <v>145.9</v>
          </cell>
          <cell r="U90">
            <v>69.466216803674769</v>
          </cell>
          <cell r="V90">
            <v>258.417452453132</v>
          </cell>
          <cell r="X90">
            <v>576.55334155569881</v>
          </cell>
          <cell r="Y90">
            <v>505.83640191888793</v>
          </cell>
          <cell r="AA90">
            <v>0</v>
          </cell>
          <cell r="AB90">
            <v>0</v>
          </cell>
          <cell r="AD90">
            <v>1921.5586910218888</v>
          </cell>
          <cell r="AE90">
            <v>2111.7261776054575</v>
          </cell>
          <cell r="AJ90">
            <v>3553.2101961369735</v>
          </cell>
          <cell r="AK90">
            <v>3592.3959159769925</v>
          </cell>
          <cell r="AM90">
            <v>0</v>
          </cell>
          <cell r="AN90">
            <v>0</v>
          </cell>
          <cell r="AP90">
            <v>307.78073394043616</v>
          </cell>
          <cell r="AQ90">
            <v>0</v>
          </cell>
          <cell r="AS90">
            <v>6555.680786383632</v>
          </cell>
          <cell r="AT90">
            <v>11714.223899416529</v>
          </cell>
          <cell r="AV90">
            <v>106.72721825659063</v>
          </cell>
          <cell r="AW90">
            <v>0</v>
          </cell>
          <cell r="AY90">
            <v>142.40885198567582</v>
          </cell>
          <cell r="AZ90">
            <v>0</v>
          </cell>
          <cell r="BB90">
            <v>152.44260063250758</v>
          </cell>
          <cell r="BC90">
            <v>0</v>
          </cell>
          <cell r="BE90">
            <v>86.385768771972465</v>
          </cell>
          <cell r="BF90">
            <v>0</v>
          </cell>
          <cell r="BH90">
            <v>35.219944932571877</v>
          </cell>
          <cell r="BI90">
            <v>0</v>
          </cell>
          <cell r="BK90">
            <v>103.56430512559632</v>
          </cell>
          <cell r="BL90">
            <v>0</v>
          </cell>
          <cell r="BN90">
            <v>0</v>
          </cell>
          <cell r="BO90">
            <v>0</v>
          </cell>
          <cell r="BT90">
            <v>5875.9117312974586</v>
          </cell>
          <cell r="BU90">
            <v>2044.4199438444884</v>
          </cell>
          <cell r="BW90">
            <v>4463.2329351666622</v>
          </cell>
          <cell r="BX90">
            <v>4236.6528216838497</v>
          </cell>
          <cell r="BZ90">
            <v>1081.9920435125903</v>
          </cell>
          <cell r="CA90">
            <v>3060.598985736121</v>
          </cell>
          <cell r="CC90">
            <v>140.69339758189423</v>
          </cell>
          <cell r="CD90">
            <v>142.24500071164391</v>
          </cell>
          <cell r="CF90">
            <v>17.320209929589254</v>
          </cell>
          <cell r="CG90">
            <v>0</v>
          </cell>
          <cell r="CI90">
            <v>1606.5875777089918</v>
          </cell>
          <cell r="CJ90">
            <v>1214.3369147943722</v>
          </cell>
          <cell r="CL90">
            <v>471.05771695933538</v>
          </cell>
          <cell r="CM90">
            <v>4102.0949279684364</v>
          </cell>
          <cell r="CX90">
            <v>177.90317918443907</v>
          </cell>
          <cell r="CY90">
            <v>-6930.2579740501569</v>
          </cell>
        </row>
        <row r="91">
          <cell r="I91">
            <v>910.76891337889401</v>
          </cell>
          <cell r="J91">
            <v>1018.1525107540283</v>
          </cell>
          <cell r="L91">
            <v>194.40384537113721</v>
          </cell>
          <cell r="M91">
            <v>213.94450256010376</v>
          </cell>
          <cell r="O91">
            <v>442.66</v>
          </cell>
          <cell r="P91">
            <v>442.65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>
            <v>564.40132585881236</v>
          </cell>
          <cell r="Y91">
            <v>525.65210060480558</v>
          </cell>
          <cell r="AA91">
            <v>0</v>
          </cell>
          <cell r="AB91">
            <v>0</v>
          </cell>
          <cell r="AD91">
            <v>1326.3629415998882</v>
          </cell>
          <cell r="AE91">
            <v>1519.3401515185383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536.64333097306826</v>
          </cell>
          <cell r="AQ91">
            <v>0</v>
          </cell>
          <cell r="AS91">
            <v>3781.5843644521588</v>
          </cell>
          <cell r="AT91">
            <v>1115.4073979074426</v>
          </cell>
          <cell r="AV91">
            <v>149.96382133002803</v>
          </cell>
          <cell r="AW91">
            <v>0</v>
          </cell>
          <cell r="AY91">
            <v>250.58315269130659</v>
          </cell>
          <cell r="AZ91">
            <v>0</v>
          </cell>
          <cell r="BB91">
            <v>189.22455054922412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K91">
            <v>69.694329510959818</v>
          </cell>
          <cell r="BL91">
            <v>0</v>
          </cell>
          <cell r="BN91">
            <v>0</v>
          </cell>
          <cell r="BO91">
            <v>0</v>
          </cell>
          <cell r="BT91">
            <v>4252.7385324115112</v>
          </cell>
          <cell r="BU91">
            <v>3691.3667089141654</v>
          </cell>
          <cell r="BW91">
            <v>1277.0347140781084</v>
          </cell>
          <cell r="BX91">
            <v>2950.0299392762563</v>
          </cell>
          <cell r="BZ91">
            <v>1055.0056852432697</v>
          </cell>
          <cell r="CA91">
            <v>3600.8511839481635</v>
          </cell>
          <cell r="CC91">
            <v>131.86942142693221</v>
          </cell>
          <cell r="CD91">
            <v>133.32371146840489</v>
          </cell>
          <cell r="CF91">
            <v>16.233924986270065</v>
          </cell>
          <cell r="CG91">
            <v>0</v>
          </cell>
          <cell r="CI91">
            <v>745.58141955815336</v>
          </cell>
          <cell r="CJ91">
            <v>557.65606273270146</v>
          </cell>
          <cell r="CL91">
            <v>0</v>
          </cell>
          <cell r="CM91">
            <v>0</v>
          </cell>
          <cell r="CX91">
            <v>1139.0148718963355</v>
          </cell>
          <cell r="CY91">
            <v>1290.6708763784682</v>
          </cell>
        </row>
        <row r="92"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63.134509526243313</v>
          </cell>
          <cell r="AQ92">
            <v>0</v>
          </cell>
          <cell r="AS92">
            <v>674.80434284954276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1.2239368612884731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X92">
            <v>22.173377149056819</v>
          </cell>
          <cell r="CY92">
            <v>906.2312757664539</v>
          </cell>
        </row>
        <row r="93">
          <cell r="I93">
            <v>2347.6975260114577</v>
          </cell>
          <cell r="J93">
            <v>2131.5084902181611</v>
          </cell>
          <cell r="L93">
            <v>392.40867719068791</v>
          </cell>
          <cell r="M93">
            <v>405.53834584528977</v>
          </cell>
          <cell r="O93">
            <v>2124.54</v>
          </cell>
          <cell r="P93">
            <v>2124.5333333333333</v>
          </cell>
          <cell r="R93">
            <v>461.52</v>
          </cell>
          <cell r="S93">
            <v>461.51666666666671</v>
          </cell>
          <cell r="U93">
            <v>384.16124015837795</v>
          </cell>
          <cell r="V93">
            <v>176.02165823369404</v>
          </cell>
          <cell r="X93">
            <v>3318.3688345038936</v>
          </cell>
          <cell r="Y93">
            <v>2624.8697502889095</v>
          </cell>
          <cell r="AA93">
            <v>0</v>
          </cell>
          <cell r="AB93">
            <v>0</v>
          </cell>
          <cell r="AD93">
            <v>6016.8432377363724</v>
          </cell>
          <cell r="AE93">
            <v>6612.3014774631929</v>
          </cell>
          <cell r="AJ93">
            <v>17507.437174486666</v>
          </cell>
          <cell r="AK93">
            <v>17700.491185323663</v>
          </cell>
          <cell r="AM93">
            <v>263.07035981182185</v>
          </cell>
          <cell r="AN93">
            <v>0</v>
          </cell>
          <cell r="AP93">
            <v>1104.8539167092581</v>
          </cell>
          <cell r="AQ93">
            <v>6284.1087069662426</v>
          </cell>
          <cell r="AS93">
            <v>27894.71780304578</v>
          </cell>
          <cell r="AT93">
            <v>10908.069373334411</v>
          </cell>
          <cell r="AV93">
            <v>79.668368280872841</v>
          </cell>
          <cell r="AW93">
            <v>352.16728040695443</v>
          </cell>
          <cell r="AY93">
            <v>107.26776403088104</v>
          </cell>
          <cell r="AZ93">
            <v>0</v>
          </cell>
          <cell r="BB93">
            <v>219.57380665742699</v>
          </cell>
          <cell r="BC93">
            <v>0</v>
          </cell>
          <cell r="BE93">
            <v>90.336393042483721</v>
          </cell>
          <cell r="BF93">
            <v>858.1913451964266</v>
          </cell>
          <cell r="BH93">
            <v>77.955933001127377</v>
          </cell>
          <cell r="BI93">
            <v>0</v>
          </cell>
          <cell r="BK93">
            <v>123.81884893767143</v>
          </cell>
          <cell r="BL93">
            <v>0</v>
          </cell>
          <cell r="BN93">
            <v>232.74222385317006</v>
          </cell>
          <cell r="BO93">
            <v>0</v>
          </cell>
          <cell r="BT93">
            <v>16382.728790387599</v>
          </cell>
          <cell r="BU93">
            <v>4015.4096884110195</v>
          </cell>
          <cell r="BW93">
            <v>14646.095343258816</v>
          </cell>
          <cell r="BX93">
            <v>5062.9618124625813</v>
          </cell>
          <cell r="BZ93">
            <v>649.19522610755416</v>
          </cell>
          <cell r="CA93">
            <v>4094.8370228174599</v>
          </cell>
          <cell r="CC93">
            <v>708.61430733319889</v>
          </cell>
          <cell r="CD93">
            <v>716.42908895010896</v>
          </cell>
          <cell r="CF93">
            <v>87.234715864882446</v>
          </cell>
          <cell r="CG93">
            <v>0</v>
          </cell>
          <cell r="CI93">
            <v>2870.0205271694608</v>
          </cell>
          <cell r="CJ93">
            <v>2032.1418914326832</v>
          </cell>
          <cell r="CL93">
            <v>2657.8885751612834</v>
          </cell>
          <cell r="CM93">
            <v>3957.5880660722023</v>
          </cell>
          <cell r="CX93">
            <v>2242.6284887111397</v>
          </cell>
          <cell r="CY93">
            <v>38518.717779892417</v>
          </cell>
        </row>
        <row r="94">
          <cell r="I94">
            <v>3198.5741164837109</v>
          </cell>
          <cell r="J94">
            <v>2817.4659163953493</v>
          </cell>
          <cell r="L94">
            <v>527.33756749000668</v>
          </cell>
          <cell r="M94">
            <v>527.20146059652461</v>
          </cell>
          <cell r="O94">
            <v>1900.94</v>
          </cell>
          <cell r="P94">
            <v>1900.95</v>
          </cell>
          <cell r="R94">
            <v>411.2</v>
          </cell>
          <cell r="S94">
            <v>411.18333333333334</v>
          </cell>
          <cell r="U94">
            <v>576.24186023756681</v>
          </cell>
          <cell r="V94">
            <v>243.34834843867881</v>
          </cell>
          <cell r="X94">
            <v>2627.0034835670463</v>
          </cell>
          <cell r="Y94">
            <v>2146.13856646062</v>
          </cell>
          <cell r="AA94">
            <v>0</v>
          </cell>
          <cell r="AB94">
            <v>0</v>
          </cell>
          <cell r="AD94">
            <v>5426.3865349303405</v>
          </cell>
          <cell r="AE94">
            <v>5963.4100947102634</v>
          </cell>
          <cell r="AJ94">
            <v>10940.504879909146</v>
          </cell>
          <cell r="AK94">
            <v>11061.137065157705</v>
          </cell>
          <cell r="AM94">
            <v>526.14071962364369</v>
          </cell>
          <cell r="AN94">
            <v>532.00510021686796</v>
          </cell>
          <cell r="AP94">
            <v>923.34220182130855</v>
          </cell>
          <cell r="AQ94">
            <v>5036.8810246675994</v>
          </cell>
          <cell r="AS94">
            <v>20978.873295414356</v>
          </cell>
          <cell r="AT94">
            <v>10444.035010337595</v>
          </cell>
          <cell r="AV94">
            <v>261.46872234701635</v>
          </cell>
          <cell r="AW94">
            <v>0</v>
          </cell>
          <cell r="AY94">
            <v>351.30774901844745</v>
          </cell>
          <cell r="AZ94">
            <v>0</v>
          </cell>
          <cell r="BB94">
            <v>483.70917241723362</v>
          </cell>
          <cell r="BC94">
            <v>0</v>
          </cell>
          <cell r="BE94">
            <v>185.6386927230358</v>
          </cell>
          <cell r="BF94">
            <v>1287.2999011257489</v>
          </cell>
          <cell r="BH94">
            <v>292.3226339843186</v>
          </cell>
          <cell r="BI94">
            <v>0</v>
          </cell>
          <cell r="BK94">
            <v>235.82173208405922</v>
          </cell>
          <cell r="BL94">
            <v>0</v>
          </cell>
          <cell r="BN94">
            <v>142.02289427059736</v>
          </cell>
          <cell r="BO94">
            <v>0</v>
          </cell>
          <cell r="BT94">
            <v>13789.566830533042</v>
          </cell>
          <cell r="BU94">
            <v>8970.5042567962264</v>
          </cell>
          <cell r="BW94">
            <v>10503.156030901628</v>
          </cell>
          <cell r="BX94">
            <v>9660.995496525451</v>
          </cell>
          <cell r="BZ94">
            <v>1731.1872696201444</v>
          </cell>
          <cell r="CA94">
            <v>6736.1559442059861</v>
          </cell>
          <cell r="CC94">
            <v>457.18000900653158</v>
          </cell>
          <cell r="CD94">
            <v>462.2219082358157</v>
          </cell>
          <cell r="CF94">
            <v>56.281629896637412</v>
          </cell>
          <cell r="CG94">
            <v>0</v>
          </cell>
          <cell r="CI94">
            <v>2738.9978509291154</v>
          </cell>
          <cell r="CJ94">
            <v>2582.1572207132958</v>
          </cell>
          <cell r="CL94">
            <v>4108.4967763936729</v>
          </cell>
          <cell r="CM94">
            <v>3875.7139669708431</v>
          </cell>
          <cell r="CX94">
            <v>1742.2168156768894</v>
          </cell>
          <cell r="CY94">
            <v>12200.094462134519</v>
          </cell>
        </row>
        <row r="95">
          <cell r="I95">
            <v>1344.3932896630999</v>
          </cell>
          <cell r="J95">
            <v>1165.5634768576883</v>
          </cell>
          <cell r="L95">
            <v>286.23374612549731</v>
          </cell>
          <cell r="M95">
            <v>299.45772154308361</v>
          </cell>
          <cell r="O95">
            <v>638.55999999999995</v>
          </cell>
          <cell r="P95">
            <v>638.56666666666672</v>
          </cell>
          <cell r="R95">
            <v>133.26</v>
          </cell>
          <cell r="S95">
            <v>133.26666666666665</v>
          </cell>
          <cell r="U95">
            <v>88.645113504097054</v>
          </cell>
          <cell r="V95">
            <v>72.439476229413017</v>
          </cell>
          <cell r="X95">
            <v>895.69712760030052</v>
          </cell>
          <cell r="Y95">
            <v>2923.589380469713</v>
          </cell>
          <cell r="AA95">
            <v>0</v>
          </cell>
          <cell r="AB95">
            <v>0</v>
          </cell>
          <cell r="AD95">
            <v>1774.3774432631174</v>
          </cell>
          <cell r="AE95">
            <v>1949.9791046708572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355.13161608511865</v>
          </cell>
          <cell r="AQ95">
            <v>0</v>
          </cell>
          <cell r="AS95">
            <v>4098.2820626538005</v>
          </cell>
          <cell r="AT95">
            <v>81.783384953212092</v>
          </cell>
          <cell r="AV95">
            <v>242.09477570878985</v>
          </cell>
          <cell r="AW95">
            <v>861.93812120803887</v>
          </cell>
          <cell r="AY95">
            <v>341.29746007718495</v>
          </cell>
          <cell r="AZ95">
            <v>2370.3930450573271</v>
          </cell>
          <cell r="BB95">
            <v>97.993438091568279</v>
          </cell>
          <cell r="BC95">
            <v>0</v>
          </cell>
          <cell r="BE95">
            <v>114.75461373279184</v>
          </cell>
          <cell r="BF95">
            <v>0</v>
          </cell>
          <cell r="BH95">
            <v>89.960355179059135</v>
          </cell>
          <cell r="BI95">
            <v>0</v>
          </cell>
          <cell r="BK95">
            <v>122.56982730821436</v>
          </cell>
          <cell r="BL95">
            <v>2161.3363421519093</v>
          </cell>
          <cell r="BN95">
            <v>122.29074143818023</v>
          </cell>
          <cell r="BO95">
            <v>0</v>
          </cell>
          <cell r="BT95">
            <v>8812.6475364995222</v>
          </cell>
          <cell r="BU95">
            <v>5993.7871482305127</v>
          </cell>
          <cell r="BW95">
            <v>3764.0620259892066</v>
          </cell>
          <cell r="BX95">
            <v>3429.6639568922492</v>
          </cell>
          <cell r="BZ95">
            <v>2077.424723544173</v>
          </cell>
          <cell r="CA95">
            <v>4031.031460022401</v>
          </cell>
          <cell r="CC95">
            <v>247.85568577493282</v>
          </cell>
          <cell r="CD95">
            <v>250.58910229897964</v>
          </cell>
          <cell r="CF95">
            <v>30.512537074565593</v>
          </cell>
          <cell r="CG95">
            <v>0</v>
          </cell>
          <cell r="CI95">
            <v>798.61440756019783</v>
          </cell>
          <cell r="CJ95">
            <v>673.93218899630028</v>
          </cell>
          <cell r="CL95">
            <v>0</v>
          </cell>
          <cell r="CM95">
            <v>0</v>
          </cell>
          <cell r="CX95">
            <v>31.509767751897016</v>
          </cell>
          <cell r="CY95">
            <v>-641.2806914980174</v>
          </cell>
        </row>
        <row r="96">
          <cell r="I96">
            <v>5217.213045238298</v>
          </cell>
          <cell r="J96">
            <v>4571.1392922296809</v>
          </cell>
          <cell r="L96">
            <v>888.72599853759777</v>
          </cell>
          <cell r="M96">
            <v>853.05939367293126</v>
          </cell>
          <cell r="O96">
            <v>2878.24</v>
          </cell>
          <cell r="P96">
            <v>2878.2333333333336</v>
          </cell>
          <cell r="R96">
            <v>624.70000000000005</v>
          </cell>
          <cell r="S96">
            <v>624.70000000000005</v>
          </cell>
          <cell r="U96">
            <v>960.40301870529493</v>
          </cell>
          <cell r="V96">
            <v>388.34379830457954</v>
          </cell>
          <cell r="X96">
            <v>4855.2149582976526</v>
          </cell>
          <cell r="Y96">
            <v>3903.0555958317141</v>
          </cell>
          <cell r="AA96">
            <v>0</v>
          </cell>
          <cell r="AB96">
            <v>0</v>
          </cell>
          <cell r="AD96">
            <v>8108.081176767575</v>
          </cell>
          <cell r="AE96">
            <v>8910.4992478916211</v>
          </cell>
          <cell r="AJ96">
            <v>21125.935881063131</v>
          </cell>
          <cell r="AK96">
            <v>21358.884366043254</v>
          </cell>
          <cell r="AM96">
            <v>263.07035981182185</v>
          </cell>
          <cell r="AN96">
            <v>0</v>
          </cell>
          <cell r="AP96">
            <v>1436.3100917220356</v>
          </cell>
          <cell r="AQ96">
            <v>8554.4073206704106</v>
          </cell>
          <cell r="AS96">
            <v>32711.222227285507</v>
          </cell>
          <cell r="AT96">
            <v>3020.035864262451</v>
          </cell>
          <cell r="AV96">
            <v>172.64896221065933</v>
          </cell>
          <cell r="AW96">
            <v>0</v>
          </cell>
          <cell r="AY96">
            <v>236.7462978235489</v>
          </cell>
          <cell r="AZ96">
            <v>0</v>
          </cell>
          <cell r="BB96">
            <v>184.64634567058175</v>
          </cell>
          <cell r="BC96">
            <v>0</v>
          </cell>
          <cell r="BE96">
            <v>115.32993121019737</v>
          </cell>
          <cell r="BF96">
            <v>0</v>
          </cell>
          <cell r="BH96">
            <v>194.87527844079784</v>
          </cell>
          <cell r="BI96">
            <v>0</v>
          </cell>
          <cell r="BK96">
            <v>235.39234830930431</v>
          </cell>
          <cell r="BL96">
            <v>0</v>
          </cell>
          <cell r="BN96">
            <v>228.84431771884292</v>
          </cell>
          <cell r="BO96">
            <v>0</v>
          </cell>
          <cell r="BT96">
            <v>29334.669546950514</v>
          </cell>
          <cell r="BU96">
            <v>22865.215324828918</v>
          </cell>
          <cell r="BW96">
            <v>17312.470647145135</v>
          </cell>
          <cell r="BX96">
            <v>28393.774542955587</v>
          </cell>
          <cell r="BZ96">
            <v>3245.976130537771</v>
          </cell>
          <cell r="CA96">
            <v>22413.602578920858</v>
          </cell>
          <cell r="CC96">
            <v>528.26203914372547</v>
          </cell>
          <cell r="CD96">
            <v>534.0878493619075</v>
          </cell>
          <cell r="CF96">
            <v>65.032258606708638</v>
          </cell>
          <cell r="CG96">
            <v>0</v>
          </cell>
          <cell r="CI96">
            <v>5066.2101479600042</v>
          </cell>
          <cell r="CJ96">
            <v>5429.2283983906636</v>
          </cell>
          <cell r="CL96">
            <v>2685.9648629270714</v>
          </cell>
          <cell r="CM96">
            <v>5393.9004215238447</v>
          </cell>
          <cell r="CX96">
            <v>3384.1569534994924</v>
          </cell>
          <cell r="CY96">
            <v>1684.9792061338812</v>
          </cell>
        </row>
        <row r="97">
          <cell r="I97">
            <v>1344.4919233260202</v>
          </cell>
          <cell r="J97">
            <v>1165.4205186607915</v>
          </cell>
          <cell r="L97">
            <v>286.23374612549731</v>
          </cell>
          <cell r="M97">
            <v>299.45772154308361</v>
          </cell>
          <cell r="O97">
            <v>639.96</v>
          </cell>
          <cell r="P97">
            <v>639.9666666666667</v>
          </cell>
          <cell r="R97">
            <v>135.58000000000001</v>
          </cell>
          <cell r="S97">
            <v>135.58333333333334</v>
          </cell>
          <cell r="U97">
            <v>88.645113504097054</v>
          </cell>
          <cell r="V97">
            <v>72.439476229413017</v>
          </cell>
          <cell r="X97">
            <v>895.69712760030052</v>
          </cell>
          <cell r="Y97">
            <v>730.33363760496673</v>
          </cell>
          <cell r="AA97">
            <v>0</v>
          </cell>
          <cell r="AB97">
            <v>0</v>
          </cell>
          <cell r="AD97">
            <v>1768.3413944154113</v>
          </cell>
          <cell r="AE97">
            <v>1943.3456968959285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355.13161608511865</v>
          </cell>
          <cell r="AQ97">
            <v>0</v>
          </cell>
          <cell r="AS97">
            <v>7397.8271065027866</v>
          </cell>
          <cell r="AT97">
            <v>0</v>
          </cell>
          <cell r="AV97">
            <v>257.18257003536439</v>
          </cell>
          <cell r="AW97">
            <v>346.84603369889084</v>
          </cell>
          <cell r="AY97">
            <v>341.29746007718495</v>
          </cell>
          <cell r="AZ97">
            <v>0</v>
          </cell>
          <cell r="BB97">
            <v>238.21117418178792</v>
          </cell>
          <cell r="BC97">
            <v>0</v>
          </cell>
          <cell r="BE97">
            <v>117.71760222739266</v>
          </cell>
          <cell r="BF97">
            <v>0</v>
          </cell>
          <cell r="BH97">
            <v>89.960355179059135</v>
          </cell>
          <cell r="BI97">
            <v>0</v>
          </cell>
          <cell r="BK97">
            <v>122.56982730821436</v>
          </cell>
          <cell r="BL97">
            <v>3451.8002312702101</v>
          </cell>
          <cell r="BN97">
            <v>122.29074143818023</v>
          </cell>
          <cell r="BO97">
            <v>0</v>
          </cell>
          <cell r="BT97">
            <v>7237.1423175673672</v>
          </cell>
          <cell r="BU97">
            <v>5505.7242997198</v>
          </cell>
          <cell r="BW97">
            <v>3468.9014645131238</v>
          </cell>
          <cell r="BX97">
            <v>6796.4919841950032</v>
          </cell>
          <cell r="BZ97">
            <v>294.30183583542453</v>
          </cell>
          <cell r="CA97">
            <v>5202.9324718227817</v>
          </cell>
          <cell r="CC97">
            <v>264.86635091810956</v>
          </cell>
          <cell r="CD97">
            <v>267.78736545122365</v>
          </cell>
          <cell r="CF97">
            <v>32.606653048630918</v>
          </cell>
          <cell r="CG97">
            <v>0</v>
          </cell>
          <cell r="CI97">
            <v>814.21234520785777</v>
          </cell>
          <cell r="CJ97">
            <v>426.21924561334782</v>
          </cell>
          <cell r="CL97">
            <v>0</v>
          </cell>
          <cell r="CM97">
            <v>0</v>
          </cell>
          <cell r="CX97">
            <v>630.49752988368346</v>
          </cell>
          <cell r="CY97">
            <v>-174.91841924652908</v>
          </cell>
        </row>
        <row r="98">
          <cell r="I98">
            <v>5236.4195015732439</v>
          </cell>
          <cell r="J98">
            <v>4588.9014380141325</v>
          </cell>
          <cell r="L98">
            <v>888.72599853759777</v>
          </cell>
          <cell r="M98">
            <v>863.40146312886236</v>
          </cell>
          <cell r="O98">
            <v>2768.78</v>
          </cell>
          <cell r="P98">
            <v>2768.7666666666669</v>
          </cell>
          <cell r="R98">
            <v>626.34</v>
          </cell>
          <cell r="S98">
            <v>626.35</v>
          </cell>
          <cell r="U98">
            <v>960.40301870529493</v>
          </cell>
          <cell r="V98">
            <v>378.00172884864838</v>
          </cell>
          <cell r="X98">
            <v>4855.2149582976526</v>
          </cell>
          <cell r="Y98">
            <v>3958.6514961160883</v>
          </cell>
          <cell r="AA98">
            <v>0</v>
          </cell>
          <cell r="AB98">
            <v>0</v>
          </cell>
          <cell r="AD98">
            <v>8164.3083614292082</v>
          </cell>
          <cell r="AE98">
            <v>8973.7868136876095</v>
          </cell>
          <cell r="AJ98">
            <v>23908.429695261148</v>
          </cell>
          <cell r="AK98">
            <v>24172.052976490522</v>
          </cell>
          <cell r="AM98">
            <v>0</v>
          </cell>
          <cell r="AN98">
            <v>0</v>
          </cell>
          <cell r="AP98">
            <v>1452.0937191035962</v>
          </cell>
          <cell r="AQ98">
            <v>0</v>
          </cell>
          <cell r="AS98">
            <v>32883.1927937488</v>
          </cell>
          <cell r="AT98">
            <v>24155.30623781505</v>
          </cell>
          <cell r="AV98">
            <v>432.21338540871011</v>
          </cell>
          <cell r="AW98">
            <v>0</v>
          </cell>
          <cell r="AY98">
            <v>591.86574455887205</v>
          </cell>
          <cell r="AZ98">
            <v>8106.5454623041142</v>
          </cell>
          <cell r="BB98">
            <v>690.27183197185354</v>
          </cell>
          <cell r="BC98">
            <v>0</v>
          </cell>
          <cell r="BE98">
            <v>289.88286770503936</v>
          </cell>
          <cell r="BF98">
            <v>0</v>
          </cell>
          <cell r="BH98">
            <v>487.18819610199455</v>
          </cell>
          <cell r="BI98">
            <v>0</v>
          </cell>
          <cell r="BK98">
            <v>588.48087077326079</v>
          </cell>
          <cell r="BL98">
            <v>0</v>
          </cell>
          <cell r="BN98">
            <v>232.74222385317006</v>
          </cell>
          <cell r="BO98">
            <v>0</v>
          </cell>
          <cell r="BT98">
            <v>24406.647181947399</v>
          </cell>
          <cell r="BU98">
            <v>5549.6593380879131</v>
          </cell>
          <cell r="BW98">
            <v>17054.735181625801</v>
          </cell>
          <cell r="BX98">
            <v>10236.368677582435</v>
          </cell>
          <cell r="BZ98">
            <v>4544.3665827528803</v>
          </cell>
          <cell r="CA98">
            <v>5904.4289891756243</v>
          </cell>
          <cell r="CC98">
            <v>378.74466540686927</v>
          </cell>
          <cell r="CD98">
            <v>382.92155940702457</v>
          </cell>
          <cell r="CF98">
            <v>46.625763733800198</v>
          </cell>
          <cell r="CG98">
            <v>0</v>
          </cell>
          <cell r="CI98">
            <v>5240.9070496137983</v>
          </cell>
          <cell r="CJ98">
            <v>3746.7804474291443</v>
          </cell>
          <cell r="CL98">
            <v>2314.733946912761</v>
          </cell>
          <cell r="CM98">
            <v>4004.6374218418405</v>
          </cell>
          <cell r="CX98">
            <v>944.56375317269703</v>
          </cell>
          <cell r="CY98">
            <v>37696.667140085192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78.91813690780414</v>
          </cell>
          <cell r="AQ99">
            <v>0</v>
          </cell>
          <cell r="AS99">
            <v>568.91798965145097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0.87918311286435058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X99">
            <v>11.636648128893853</v>
          </cell>
          <cell r="CY99">
            <v>787.98498026456275</v>
          </cell>
        </row>
        <row r="100"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63.134509526243313</v>
          </cell>
          <cell r="AQ100">
            <v>0</v>
          </cell>
          <cell r="AS100">
            <v>483.41008641630623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0.88243934661570012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X100">
            <v>29.486484868940579</v>
          </cell>
          <cell r="CY100">
            <v>684.28107278406117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44.9</v>
          </cell>
          <cell r="P101">
            <v>44.9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63.134509526243313</v>
          </cell>
          <cell r="AQ101">
            <v>0</v>
          </cell>
          <cell r="AS101">
            <v>494.22706795266049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16.764476281060535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0.87389173301840772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X101">
            <v>18.568735488042876</v>
          </cell>
          <cell r="CY101">
            <v>706.47132992037791</v>
          </cell>
        </row>
        <row r="102"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110.48539167092581</v>
          </cell>
          <cell r="AQ102">
            <v>0</v>
          </cell>
          <cell r="AS102">
            <v>1075.2062017177741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1.6191622328585125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X102">
            <v>35.570087933560217</v>
          </cell>
          <cell r="CY102">
            <v>1456.4570053205698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102.59357798014538</v>
          </cell>
          <cell r="AQ103">
            <v>0</v>
          </cell>
          <cell r="AS103">
            <v>625.77037335856789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T103">
            <v>51.841856634094597</v>
          </cell>
          <cell r="BU103">
            <v>134.12473070577778</v>
          </cell>
          <cell r="BW103">
            <v>0</v>
          </cell>
          <cell r="BX103">
            <v>0.99966376166428006</v>
          </cell>
          <cell r="BZ103">
            <v>0</v>
          </cell>
          <cell r="CA103">
            <v>126.19128878940214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X103">
            <v>14.013030432630558</v>
          </cell>
          <cell r="CY103">
            <v>636.68118009178693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78.91813690780414</v>
          </cell>
          <cell r="AQ104">
            <v>0</v>
          </cell>
          <cell r="AS104">
            <v>475.69300020619374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T104">
            <v>207.36742653637839</v>
          </cell>
          <cell r="BU104">
            <v>306.57594250507157</v>
          </cell>
          <cell r="BW104">
            <v>0</v>
          </cell>
          <cell r="BX104">
            <v>1.1510786311020293</v>
          </cell>
          <cell r="BZ104">
            <v>0</v>
          </cell>
          <cell r="CA104">
            <v>288.45458708574154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X104">
            <v>164.70572361954839</v>
          </cell>
          <cell r="CY104">
            <v>363.66207013370183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47.350882144682487</v>
          </cell>
          <cell r="AQ105">
            <v>0</v>
          </cell>
          <cell r="AS105">
            <v>259.94663363461746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T105">
            <v>91.720207891090439</v>
          </cell>
          <cell r="BU105">
            <v>249.10738210829405</v>
          </cell>
          <cell r="BW105">
            <v>0</v>
          </cell>
          <cell r="BX105">
            <v>0.6170562958807202</v>
          </cell>
          <cell r="BZ105">
            <v>0</v>
          </cell>
          <cell r="CA105">
            <v>234.37709519218305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X105">
            <v>11.958731595531503</v>
          </cell>
          <cell r="CY105">
            <v>-90.141840315629395</v>
          </cell>
        </row>
        <row r="106">
          <cell r="I106">
            <v>2624.201831481359</v>
          </cell>
          <cell r="J106">
            <v>3302.18605997742</v>
          </cell>
          <cell r="L106">
            <v>468.2074626304846</v>
          </cell>
          <cell r="M106">
            <v>621.0030373187368</v>
          </cell>
          <cell r="O106">
            <v>1079.48</v>
          </cell>
          <cell r="P106">
            <v>1079.3800000000001</v>
          </cell>
          <cell r="R106">
            <v>257.26</v>
          </cell>
          <cell r="S106">
            <v>257.44</v>
          </cell>
          <cell r="U106">
            <v>130.00964065633656</v>
          </cell>
          <cell r="V106">
            <v>106.46261844006062</v>
          </cell>
          <cell r="X106">
            <v>1636.4362498778764</v>
          </cell>
          <cell r="Y106">
            <v>5457.6410058509318</v>
          </cell>
          <cell r="AA106">
            <v>0</v>
          </cell>
          <cell r="AB106">
            <v>0</v>
          </cell>
          <cell r="AD106">
            <v>3597.2570688845462</v>
          </cell>
          <cell r="AE106">
            <v>3953.2604210491127</v>
          </cell>
          <cell r="AJ106">
            <v>6913.0950965152351</v>
          </cell>
          <cell r="AK106">
            <v>6989.3119663893776</v>
          </cell>
          <cell r="AM106">
            <v>0</v>
          </cell>
          <cell r="AN106">
            <v>532.00510021686796</v>
          </cell>
          <cell r="AP106">
            <v>639.23690895321363</v>
          </cell>
          <cell r="AQ106">
            <v>0</v>
          </cell>
          <cell r="AS106">
            <v>18881.948881576231</v>
          </cell>
          <cell r="AT106">
            <v>22.065814393392344</v>
          </cell>
          <cell r="AV106">
            <v>181.86362735840896</v>
          </cell>
          <cell r="AW106">
            <v>0</v>
          </cell>
          <cell r="AY106">
            <v>247.51007217452394</v>
          </cell>
          <cell r="AZ106">
            <v>0</v>
          </cell>
          <cell r="BB106">
            <v>186.3722322641847</v>
          </cell>
          <cell r="BC106">
            <v>0</v>
          </cell>
          <cell r="BE106">
            <v>117.22675514518498</v>
          </cell>
          <cell r="BF106">
            <v>0</v>
          </cell>
          <cell r="BH106">
            <v>52.768988252306244</v>
          </cell>
          <cell r="BI106">
            <v>0</v>
          </cell>
          <cell r="BK106">
            <v>124.71493816741945</v>
          </cell>
          <cell r="BL106">
            <v>0</v>
          </cell>
          <cell r="BN106">
            <v>0</v>
          </cell>
          <cell r="BO106">
            <v>0</v>
          </cell>
          <cell r="BT106">
            <v>6311.2730490459644</v>
          </cell>
          <cell r="BU106">
            <v>3015.596425149497</v>
          </cell>
          <cell r="BW106">
            <v>7288.5770829861058</v>
          </cell>
          <cell r="BX106">
            <v>9029.9905324846222</v>
          </cell>
          <cell r="BZ106">
            <v>962.89443045881319</v>
          </cell>
          <cell r="CA106">
            <v>3459.0605056932545</v>
          </cell>
          <cell r="CC106">
            <v>317.95727411713102</v>
          </cell>
          <cell r="CD106">
            <v>321.46378906471159</v>
          </cell>
          <cell r="CF106">
            <v>39.142467457601356</v>
          </cell>
          <cell r="CG106">
            <v>0</v>
          </cell>
          <cell r="CI106">
            <v>2620.4535248068992</v>
          </cell>
          <cell r="CJ106">
            <v>2452.7607263193067</v>
          </cell>
          <cell r="CL106">
            <v>1166.7257360449762</v>
          </cell>
          <cell r="CM106">
            <v>1293.3353235021048</v>
          </cell>
          <cell r="CX106">
            <v>662.56401737424312</v>
          </cell>
          <cell r="CY106">
            <v>17404.544008980731</v>
          </cell>
        </row>
        <row r="107">
          <cell r="I107">
            <v>1426.7025312298838</v>
          </cell>
          <cell r="J107">
            <v>1793.779059023567</v>
          </cell>
          <cell r="L107">
            <v>253.38653072550332</v>
          </cell>
          <cell r="M107">
            <v>344.40747298662552</v>
          </cell>
          <cell r="O107">
            <v>572.74</v>
          </cell>
          <cell r="P107">
            <v>572.9</v>
          </cell>
          <cell r="R107">
            <v>138.22</v>
          </cell>
          <cell r="S107">
            <v>138.12</v>
          </cell>
          <cell r="U107">
            <v>44.32263844269842</v>
          </cell>
          <cell r="V107">
            <v>71.426179006690006</v>
          </cell>
          <cell r="X107">
            <v>551.29715865472485</v>
          </cell>
          <cell r="Y107">
            <v>1146.2765690501483</v>
          </cell>
          <cell r="AA107">
            <v>0</v>
          </cell>
          <cell r="AB107">
            <v>0</v>
          </cell>
          <cell r="AD107">
            <v>1856.7798432938478</v>
          </cell>
          <cell r="AE107">
            <v>2040.5364766915213</v>
          </cell>
          <cell r="AJ107">
            <v>3456.5475482576176</v>
          </cell>
          <cell r="AK107">
            <v>3494.6672474487841</v>
          </cell>
          <cell r="AM107">
            <v>0</v>
          </cell>
          <cell r="AN107">
            <v>0</v>
          </cell>
          <cell r="AP107">
            <v>315.67254763121656</v>
          </cell>
          <cell r="AQ107">
            <v>0</v>
          </cell>
          <cell r="AS107">
            <v>8088.1051498008674</v>
          </cell>
          <cell r="AT107">
            <v>0</v>
          </cell>
          <cell r="AV107">
            <v>120.80412032157389</v>
          </cell>
          <cell r="AW107">
            <v>0</v>
          </cell>
          <cell r="AY107">
            <v>167.13409673834016</v>
          </cell>
          <cell r="AZ107">
            <v>0</v>
          </cell>
          <cell r="BB107">
            <v>227.91988548368033</v>
          </cell>
          <cell r="BC107">
            <v>0</v>
          </cell>
          <cell r="BE107">
            <v>78.705552175750455</v>
          </cell>
          <cell r="BF107">
            <v>0</v>
          </cell>
          <cell r="BH107">
            <v>22.490068372102311</v>
          </cell>
          <cell r="BI107">
            <v>0</v>
          </cell>
          <cell r="BK107">
            <v>48.034030076738333</v>
          </cell>
          <cell r="BL107">
            <v>0</v>
          </cell>
          <cell r="BN107">
            <v>0</v>
          </cell>
          <cell r="BO107">
            <v>0</v>
          </cell>
          <cell r="BT107">
            <v>3117.5987474900976</v>
          </cell>
          <cell r="BU107">
            <v>1831.176238239171</v>
          </cell>
          <cell r="BW107">
            <v>3322.2959011682083</v>
          </cell>
          <cell r="BX107">
            <v>5033.9260930144765</v>
          </cell>
          <cell r="BZ107">
            <v>436.01745392402893</v>
          </cell>
          <cell r="CA107">
            <v>1679.1518506918592</v>
          </cell>
          <cell r="CC107">
            <v>149.86052836510476</v>
          </cell>
          <cell r="CD107">
            <v>151.51322898100884</v>
          </cell>
          <cell r="CF107">
            <v>18.448739287370852</v>
          </cell>
          <cell r="CG107">
            <v>0</v>
          </cell>
          <cell r="CI107">
            <v>452.34019178214317</v>
          </cell>
          <cell r="CJ107">
            <v>986.13705382685703</v>
          </cell>
          <cell r="CL107">
            <v>655.11338120172479</v>
          </cell>
          <cell r="CM107">
            <v>941.58093096417178</v>
          </cell>
          <cell r="CX107">
            <v>-1.363973307867127</v>
          </cell>
          <cell r="CY107">
            <v>6352.5619200901456</v>
          </cell>
        </row>
        <row r="108">
          <cell r="I108">
            <v>2570.6085682782468</v>
          </cell>
          <cell r="J108">
            <v>3231.8371535247811</v>
          </cell>
          <cell r="L108">
            <v>496.56402804018524</v>
          </cell>
          <cell r="M108">
            <v>655.00783933992807</v>
          </cell>
          <cell r="O108">
            <v>997.88</v>
          </cell>
          <cell r="P108">
            <v>997.6</v>
          </cell>
          <cell r="R108">
            <v>251.96</v>
          </cell>
          <cell r="S108">
            <v>251.74</v>
          </cell>
          <cell r="U108">
            <v>138.88381114641354</v>
          </cell>
          <cell r="V108">
            <v>148.86087834989678</v>
          </cell>
          <cell r="X108">
            <v>1085.9097597306229</v>
          </cell>
          <cell r="Y108">
            <v>1311.7267095843454</v>
          </cell>
          <cell r="AA108">
            <v>0</v>
          </cell>
          <cell r="AB108">
            <v>0</v>
          </cell>
          <cell r="AD108">
            <v>3322.1073097228668</v>
          </cell>
          <cell r="AE108">
            <v>3650.8804042958609</v>
          </cell>
          <cell r="AJ108">
            <v>5954.2675865454994</v>
          </cell>
          <cell r="AK108">
            <v>6019.9102589737886</v>
          </cell>
          <cell r="AM108">
            <v>0</v>
          </cell>
          <cell r="AN108">
            <v>0</v>
          </cell>
          <cell r="AP108">
            <v>631.34509526243312</v>
          </cell>
          <cell r="AQ108">
            <v>0</v>
          </cell>
          <cell r="AS108">
            <v>15031.684612411525</v>
          </cell>
          <cell r="AT108">
            <v>522.70970284035616</v>
          </cell>
          <cell r="AV108">
            <v>205.94082565918421</v>
          </cell>
          <cell r="AW108">
            <v>0</v>
          </cell>
          <cell r="AY108">
            <v>327.66924542790565</v>
          </cell>
          <cell r="AZ108">
            <v>0</v>
          </cell>
          <cell r="BB108">
            <v>427.11349242364076</v>
          </cell>
          <cell r="BC108">
            <v>0</v>
          </cell>
          <cell r="BE108">
            <v>142.59912413250379</v>
          </cell>
          <cell r="BF108">
            <v>0</v>
          </cell>
          <cell r="BH108">
            <v>70.464078559636903</v>
          </cell>
          <cell r="BI108">
            <v>0</v>
          </cell>
          <cell r="BK108">
            <v>133.9978264959357</v>
          </cell>
          <cell r="BL108">
            <v>0</v>
          </cell>
          <cell r="BN108">
            <v>0</v>
          </cell>
          <cell r="BO108">
            <v>0</v>
          </cell>
          <cell r="BT108">
            <v>6266.3320480143602</v>
          </cell>
          <cell r="BU108">
            <v>3620.5683235605579</v>
          </cell>
          <cell r="BW108">
            <v>6942.4981817021162</v>
          </cell>
          <cell r="BX108">
            <v>10091.511708126483</v>
          </cell>
          <cell r="BZ108">
            <v>986.97411219931678</v>
          </cell>
          <cell r="CA108">
            <v>3475.2447848417542</v>
          </cell>
          <cell r="CC108">
            <v>259.91511985338093</v>
          </cell>
          <cell r="CD108">
            <v>262.78153093140622</v>
          </cell>
          <cell r="CF108">
            <v>31.997126497101817</v>
          </cell>
          <cell r="CG108">
            <v>0</v>
          </cell>
          <cell r="CI108">
            <v>985.78965933211919</v>
          </cell>
          <cell r="CJ108">
            <v>1189.2435509936147</v>
          </cell>
          <cell r="CL108">
            <v>1310.2267624034496</v>
          </cell>
          <cell r="CM108">
            <v>1506.4650756501824</v>
          </cell>
          <cell r="CX108">
            <v>-2.9340486061410047</v>
          </cell>
          <cell r="CY108">
            <v>13961.03449478445</v>
          </cell>
        </row>
        <row r="109">
          <cell r="I109">
            <v>2153.8903249409314</v>
          </cell>
          <cell r="J109">
            <v>1886.910263589783</v>
          </cell>
          <cell r="L109">
            <v>363.90338522543288</v>
          </cell>
          <cell r="M109">
            <v>328.12577622418189</v>
          </cell>
          <cell r="O109">
            <v>1200.52</v>
          </cell>
          <cell r="P109">
            <v>1200.5166666666667</v>
          </cell>
          <cell r="R109">
            <v>260.92</v>
          </cell>
          <cell r="S109">
            <v>260.91666666666669</v>
          </cell>
          <cell r="U109">
            <v>130.00964065633656</v>
          </cell>
          <cell r="V109">
            <v>45.569938929811315</v>
          </cell>
          <cell r="X109">
            <v>1728.5388552515153</v>
          </cell>
          <cell r="Y109">
            <v>1291.5121742090887</v>
          </cell>
          <cell r="AA109">
            <v>0</v>
          </cell>
          <cell r="AB109">
            <v>0</v>
          </cell>
          <cell r="AD109">
            <v>3360.269106156713</v>
          </cell>
          <cell r="AE109">
            <v>3692.8188914679322</v>
          </cell>
          <cell r="AJ109">
            <v>9506.1630993664548</v>
          </cell>
          <cell r="AK109">
            <v>9610.9769929675713</v>
          </cell>
          <cell r="AM109">
            <v>0</v>
          </cell>
          <cell r="AN109">
            <v>532.00510021686796</v>
          </cell>
          <cell r="AP109">
            <v>583.99421311775063</v>
          </cell>
          <cell r="AQ109">
            <v>0</v>
          </cell>
          <cell r="AS109">
            <v>15405.051077608774</v>
          </cell>
          <cell r="AT109">
            <v>0</v>
          </cell>
          <cell r="AV109">
            <v>72.267726688588141</v>
          </cell>
          <cell r="AW109">
            <v>352.16728040695443</v>
          </cell>
          <cell r="AY109">
            <v>96.860280139450751</v>
          </cell>
          <cell r="AZ109">
            <v>0</v>
          </cell>
          <cell r="BB109">
            <v>78.98502057400087</v>
          </cell>
          <cell r="BC109">
            <v>0</v>
          </cell>
          <cell r="BE109">
            <v>54.362571797023676</v>
          </cell>
          <cell r="BF109">
            <v>0</v>
          </cell>
          <cell r="BH109">
            <v>26.384494126153122</v>
          </cell>
          <cell r="BI109">
            <v>0</v>
          </cell>
          <cell r="BK109">
            <v>83.05021167631331</v>
          </cell>
          <cell r="BL109">
            <v>0</v>
          </cell>
          <cell r="BN109">
            <v>94.161478523291592</v>
          </cell>
          <cell r="BO109">
            <v>0</v>
          </cell>
          <cell r="BT109">
            <v>11930.409499728048</v>
          </cell>
          <cell r="BU109">
            <v>7178.0013494522464</v>
          </cell>
          <cell r="BW109">
            <v>6918.4548581166655</v>
          </cell>
          <cell r="BX109">
            <v>8820.8744849280483</v>
          </cell>
          <cell r="BZ109">
            <v>2596.7809044302167</v>
          </cell>
          <cell r="CA109">
            <v>7238.3973396931005</v>
          </cell>
          <cell r="CC109">
            <v>330.0167081955791</v>
          </cell>
          <cell r="CD109">
            <v>333.65621769713823</v>
          </cell>
          <cell r="CF109">
            <v>40.62705688013758</v>
          </cell>
          <cell r="CG109">
            <v>0</v>
          </cell>
          <cell r="CI109">
            <v>4074.1813135688208</v>
          </cell>
          <cell r="CJ109">
            <v>2934.0021952875459</v>
          </cell>
          <cell r="CL109">
            <v>1065.6511000881387</v>
          </cell>
          <cell r="CM109">
            <v>2220.4298965475523</v>
          </cell>
          <cell r="CX109">
            <v>744.6964877723949</v>
          </cell>
          <cell r="CY109">
            <v>17818.982518058616</v>
          </cell>
        </row>
        <row r="110">
          <cell r="I110">
            <v>24.995415117984283</v>
          </cell>
          <cell r="J110">
            <v>20.701595606983098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94.701764289364974</v>
          </cell>
          <cell r="AQ110">
            <v>0</v>
          </cell>
          <cell r="AS110">
            <v>451.01894199054971</v>
          </cell>
          <cell r="AT110">
            <v>0</v>
          </cell>
          <cell r="AV110">
            <v>4.1838094870111275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T110">
            <v>119.63505377098753</v>
          </cell>
          <cell r="BU110">
            <v>134.12473070577778</v>
          </cell>
          <cell r="BW110">
            <v>0</v>
          </cell>
          <cell r="BX110">
            <v>1.05217053090479</v>
          </cell>
          <cell r="BZ110">
            <v>0</v>
          </cell>
          <cell r="CA110">
            <v>126.19128878940214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X110">
            <v>37.498018412922988</v>
          </cell>
          <cell r="CY110">
            <v>532.45625724031879</v>
          </cell>
        </row>
        <row r="111">
          <cell r="I111">
            <v>4130.388322134093</v>
          </cell>
          <cell r="J111">
            <v>3636.7044061077058</v>
          </cell>
          <cell r="L111">
            <v>686.77639203578588</v>
          </cell>
          <cell r="M111">
            <v>660.79121419620287</v>
          </cell>
          <cell r="O111">
            <v>2516.1</v>
          </cell>
          <cell r="P111">
            <v>2516.1000000000004</v>
          </cell>
          <cell r="R111">
            <v>523.84</v>
          </cell>
          <cell r="S111">
            <v>523.83333333333337</v>
          </cell>
          <cell r="U111">
            <v>768.32239862610584</v>
          </cell>
          <cell r="V111">
            <v>342.7859663562665</v>
          </cell>
          <cell r="X111">
            <v>3607.1769392430233</v>
          </cell>
          <cell r="Y111">
            <v>2888.0082341478146</v>
          </cell>
          <cell r="AA111">
            <v>0</v>
          </cell>
          <cell r="AB111">
            <v>0</v>
          </cell>
          <cell r="AD111">
            <v>6939.5320506723583</v>
          </cell>
          <cell r="AE111">
            <v>7626.3043955965059</v>
          </cell>
          <cell r="AJ111">
            <v>12606.097227462427</v>
          </cell>
          <cell r="AK111">
            <v>12745.097995343634</v>
          </cell>
          <cell r="AM111">
            <v>1052.2814392472874</v>
          </cell>
          <cell r="AN111">
            <v>930.74305317124833</v>
          </cell>
          <cell r="AP111">
            <v>1183.7720536170623</v>
          </cell>
          <cell r="AQ111">
            <v>0</v>
          </cell>
          <cell r="AS111">
            <v>29765.741970449177</v>
          </cell>
          <cell r="AT111">
            <v>1337.8998141806067</v>
          </cell>
          <cell r="AV111">
            <v>202.06990605035185</v>
          </cell>
          <cell r="AW111">
            <v>0</v>
          </cell>
          <cell r="AY111">
            <v>274.72892540618346</v>
          </cell>
          <cell r="AZ111">
            <v>0</v>
          </cell>
          <cell r="BB111">
            <v>341.18561558757222</v>
          </cell>
          <cell r="BC111">
            <v>810.4161813659432</v>
          </cell>
          <cell r="BE111">
            <v>142.08269596907468</v>
          </cell>
          <cell r="BF111">
            <v>0</v>
          </cell>
          <cell r="BH111">
            <v>233.85323677229661</v>
          </cell>
          <cell r="BI111">
            <v>0</v>
          </cell>
          <cell r="BK111">
            <v>267.81638294522492</v>
          </cell>
          <cell r="BL111">
            <v>0</v>
          </cell>
          <cell r="BN111">
            <v>187.38255906188371</v>
          </cell>
          <cell r="BO111">
            <v>0</v>
          </cell>
          <cell r="BT111">
            <v>21559.947714302514</v>
          </cell>
          <cell r="BU111">
            <v>19109.759372436361</v>
          </cell>
          <cell r="BW111">
            <v>14346.243679882051</v>
          </cell>
          <cell r="BX111">
            <v>18707.183694437233</v>
          </cell>
          <cell r="BZ111">
            <v>5193.5618088604333</v>
          </cell>
          <cell r="CA111">
            <v>18798.205878330882</v>
          </cell>
          <cell r="CC111">
            <v>497.08399006285975</v>
          </cell>
          <cell r="CD111">
            <v>502.56596070246303</v>
          </cell>
          <cell r="CF111">
            <v>61.194051806980845</v>
          </cell>
          <cell r="CG111">
            <v>0</v>
          </cell>
          <cell r="CI111">
            <v>3846.4514239129835</v>
          </cell>
          <cell r="CJ111">
            <v>3771.5718711088434</v>
          </cell>
          <cell r="CL111">
            <v>5764.9977545751781</v>
          </cell>
          <cell r="CM111">
            <v>5662.3140784650641</v>
          </cell>
          <cell r="CX111">
            <v>3467.2657535805192</v>
          </cell>
          <cell r="CY111">
            <v>22821.277460863879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118.37720536170622</v>
          </cell>
          <cell r="AQ112">
            <v>0</v>
          </cell>
          <cell r="AS112">
            <v>496.33189943305825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T112">
            <v>247.24577779337423</v>
          </cell>
          <cell r="BU112">
            <v>421.53191716660479</v>
          </cell>
          <cell r="BW112">
            <v>0</v>
          </cell>
          <cell r="BX112">
            <v>1.0192011641723768</v>
          </cell>
          <cell r="BZ112">
            <v>0</v>
          </cell>
          <cell r="CA112">
            <v>396.61585549551802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X112">
            <v>23.734140894233406</v>
          </cell>
          <cell r="CY112">
            <v>75.079631408445721</v>
          </cell>
        </row>
        <row r="113">
          <cell r="I113">
            <v>1033.2350606552918</v>
          </cell>
          <cell r="J113">
            <v>894.83372554730988</v>
          </cell>
          <cell r="L113">
            <v>195.14396545096372</v>
          </cell>
          <cell r="M113">
            <v>175.95794775973542</v>
          </cell>
          <cell r="O113">
            <v>468.48</v>
          </cell>
          <cell r="P113">
            <v>468.48333333333329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X113">
            <v>525.29805736846345</v>
          </cell>
          <cell r="Y113">
            <v>429.60025457018105</v>
          </cell>
          <cell r="AA113">
            <v>0</v>
          </cell>
          <cell r="AB113">
            <v>0</v>
          </cell>
          <cell r="AD113">
            <v>1353.3505649602944</v>
          </cell>
          <cell r="AE113">
            <v>1487.2852069816033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899.66676074896725</v>
          </cell>
          <cell r="AQ113">
            <v>2446.4850691242623</v>
          </cell>
          <cell r="AS113">
            <v>2729.1030731621481</v>
          </cell>
          <cell r="AT113">
            <v>43.023721787953278</v>
          </cell>
          <cell r="AV113">
            <v>186.05208943515458</v>
          </cell>
          <cell r="AW113">
            <v>0</v>
          </cell>
          <cell r="AY113">
            <v>251.52520330277241</v>
          </cell>
          <cell r="AZ113">
            <v>0</v>
          </cell>
          <cell r="BB113">
            <v>75.295688921806018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K113">
            <v>70.178787536868555</v>
          </cell>
          <cell r="BL113">
            <v>0</v>
          </cell>
          <cell r="BN113">
            <v>78.880070559382432</v>
          </cell>
          <cell r="BO113">
            <v>0</v>
          </cell>
          <cell r="BT113">
            <v>2852.316725013673</v>
          </cell>
          <cell r="BU113">
            <v>2858.1796894023551</v>
          </cell>
          <cell r="BW113">
            <v>1353.912359438375</v>
          </cell>
          <cell r="BX113">
            <v>1559.1011314449606</v>
          </cell>
          <cell r="BZ113">
            <v>1494.0013266074004</v>
          </cell>
          <cell r="CA113">
            <v>2749.9878723415241</v>
          </cell>
          <cell r="CC113">
            <v>116.67257360449764</v>
          </cell>
          <cell r="CD113">
            <v>117.95926888282665</v>
          </cell>
          <cell r="CF113">
            <v>14.363100917220356</v>
          </cell>
          <cell r="CG113">
            <v>0</v>
          </cell>
          <cell r="CI113">
            <v>283.88246518741403</v>
          </cell>
          <cell r="CJ113">
            <v>225.48520530511956</v>
          </cell>
          <cell r="CL113">
            <v>0</v>
          </cell>
          <cell r="CM113">
            <v>0</v>
          </cell>
          <cell r="CX113">
            <v>336.97055255516898</v>
          </cell>
          <cell r="CY113">
            <v>966.94108822260387</v>
          </cell>
        </row>
        <row r="114">
          <cell r="I114">
            <v>4082.3238039077446</v>
          </cell>
          <cell r="J114">
            <v>3585.9443467487922</v>
          </cell>
          <cell r="L114">
            <v>686.77639203578588</v>
          </cell>
          <cell r="M114">
            <v>640.02289803846975</v>
          </cell>
          <cell r="O114">
            <v>2343.16</v>
          </cell>
          <cell r="P114">
            <v>2343.166666666667</v>
          </cell>
          <cell r="R114">
            <v>499.44</v>
          </cell>
          <cell r="S114">
            <v>499.43333333333339</v>
          </cell>
          <cell r="U114">
            <v>768.32239862610584</v>
          </cell>
          <cell r="V114">
            <v>318.29289784415732</v>
          </cell>
          <cell r="X114">
            <v>3607.1769392430233</v>
          </cell>
          <cell r="Y114">
            <v>5226.4019795862841</v>
          </cell>
          <cell r="AA114">
            <v>0</v>
          </cell>
          <cell r="AB114">
            <v>0</v>
          </cell>
          <cell r="AD114">
            <v>6611.6114040050534</v>
          </cell>
          <cell r="AE114">
            <v>7292.4803030270332</v>
          </cell>
          <cell r="AJ114">
            <v>15284.040293884987</v>
          </cell>
          <cell r="AK114">
            <v>15368.727653820602</v>
          </cell>
          <cell r="AM114">
            <v>0</v>
          </cell>
          <cell r="AN114">
            <v>532.00510021686796</v>
          </cell>
          <cell r="AP114">
            <v>1144.31298516316</v>
          </cell>
          <cell r="AQ114">
            <v>0</v>
          </cell>
          <cell r="AS114">
            <v>27570.666558880832</v>
          </cell>
          <cell r="AT114">
            <v>15637.610769449302</v>
          </cell>
          <cell r="AV114">
            <v>134.13685304925804</v>
          </cell>
          <cell r="AW114">
            <v>0</v>
          </cell>
          <cell r="AY114">
            <v>183.15261693745566</v>
          </cell>
          <cell r="AZ114">
            <v>0</v>
          </cell>
          <cell r="BB114">
            <v>212.78673471802713</v>
          </cell>
          <cell r="BC114">
            <v>0</v>
          </cell>
          <cell r="BE114">
            <v>90.737144763417078</v>
          </cell>
          <cell r="BF114">
            <v>429.10855592932234</v>
          </cell>
          <cell r="BH114">
            <v>155.90215784819776</v>
          </cell>
          <cell r="BI114">
            <v>0</v>
          </cell>
          <cell r="BK114">
            <v>178.54425529681663</v>
          </cell>
          <cell r="BL114">
            <v>0</v>
          </cell>
          <cell r="BN114">
            <v>187.38255906188371</v>
          </cell>
          <cell r="BO114">
            <v>0</v>
          </cell>
          <cell r="BT114">
            <v>21047.631113071988</v>
          </cell>
          <cell r="BU114">
            <v>5010.2095714963725</v>
          </cell>
          <cell r="BW114">
            <v>12661.634291593467</v>
          </cell>
          <cell r="BX114">
            <v>4940.0849519338508</v>
          </cell>
          <cell r="BZ114">
            <v>2596.7809044302167</v>
          </cell>
          <cell r="CA114">
            <v>5767.1542340936976</v>
          </cell>
          <cell r="CC114">
            <v>431.78656651614085</v>
          </cell>
          <cell r="CD114">
            <v>436.54842030249449</v>
          </cell>
          <cell r="CF114">
            <v>53.155543226418857</v>
          </cell>
          <cell r="CG114">
            <v>0</v>
          </cell>
          <cell r="CI114">
            <v>5977.1297065833551</v>
          </cell>
          <cell r="CJ114">
            <v>5545.9674995065525</v>
          </cell>
          <cell r="CL114">
            <v>2420.7999229168495</v>
          </cell>
          <cell r="CM114">
            <v>3640.416864769144</v>
          </cell>
          <cell r="CX114">
            <v>3821.5706250878284</v>
          </cell>
          <cell r="CY114">
            <v>41880.548743884501</v>
          </cell>
        </row>
        <row r="115">
          <cell r="I115">
            <v>1651.4394993166454</v>
          </cell>
          <cell r="J115">
            <v>1450.0056926506268</v>
          </cell>
          <cell r="L115">
            <v>330.57166071972682</v>
          </cell>
          <cell r="M115">
            <v>298.06573763798491</v>
          </cell>
          <cell r="O115">
            <v>1051.1199999999999</v>
          </cell>
          <cell r="P115">
            <v>1051.1166666666666</v>
          </cell>
          <cell r="R115">
            <v>192.42</v>
          </cell>
          <cell r="S115">
            <v>192.41666666666669</v>
          </cell>
          <cell r="U115">
            <v>130.00964065633656</v>
          </cell>
          <cell r="V115">
            <v>45.569938929811315</v>
          </cell>
          <cell r="X115">
            <v>1341.8762766724853</v>
          </cell>
          <cell r="Y115">
            <v>1005.0920726865845</v>
          </cell>
          <cell r="AA115">
            <v>0</v>
          </cell>
          <cell r="AB115">
            <v>0</v>
          </cell>
          <cell r="AD115">
            <v>2691.8853736580372</v>
          </cell>
          <cell r="AE115">
            <v>2958.2884130611092</v>
          </cell>
          <cell r="AJ115">
            <v>9601.5110639297945</v>
          </cell>
          <cell r="AK115">
            <v>9707.3764795125717</v>
          </cell>
          <cell r="AM115">
            <v>0</v>
          </cell>
          <cell r="AN115">
            <v>0</v>
          </cell>
          <cell r="AP115">
            <v>560.31877204540945</v>
          </cell>
          <cell r="AQ115">
            <v>0</v>
          </cell>
          <cell r="AS115">
            <v>10208.813653126617</v>
          </cell>
          <cell r="AT115">
            <v>22341.643617071157</v>
          </cell>
          <cell r="AV115">
            <v>137.83775051620293</v>
          </cell>
          <cell r="AW115">
            <v>0</v>
          </cell>
          <cell r="AY115">
            <v>196.28665419193635</v>
          </cell>
          <cell r="AZ115">
            <v>0</v>
          </cell>
          <cell r="BB115">
            <v>213.70317684306562</v>
          </cell>
          <cell r="BC115">
            <v>0</v>
          </cell>
          <cell r="BE115">
            <v>94.011752103766042</v>
          </cell>
          <cell r="BF115">
            <v>0</v>
          </cell>
          <cell r="BH115">
            <v>65.961235315382794</v>
          </cell>
          <cell r="BI115">
            <v>0</v>
          </cell>
          <cell r="BK115">
            <v>143.43543095359502</v>
          </cell>
          <cell r="BL115">
            <v>0</v>
          </cell>
          <cell r="BN115">
            <v>65.148817906898302</v>
          </cell>
          <cell r="BO115">
            <v>0</v>
          </cell>
          <cell r="BT115">
            <v>7049.1017358049348</v>
          </cell>
          <cell r="BU115">
            <v>1986.8140217707651</v>
          </cell>
          <cell r="BW115">
            <v>6792.2801346467168</v>
          </cell>
          <cell r="BX115">
            <v>2304.9483255957512</v>
          </cell>
          <cell r="BZ115">
            <v>1255.1107704746041</v>
          </cell>
          <cell r="CA115">
            <v>2625.7123413032887</v>
          </cell>
          <cell r="CC115">
            <v>202.3631864871287</v>
          </cell>
          <cell r="CD115">
            <v>204.59489997828086</v>
          </cell>
          <cell r="CF115">
            <v>24.91213470012001</v>
          </cell>
          <cell r="CG115">
            <v>0</v>
          </cell>
          <cell r="CI115">
            <v>2508.1483737437461</v>
          </cell>
          <cell r="CJ115">
            <v>983.70420894411609</v>
          </cell>
          <cell r="CL115">
            <v>1297.7484122853211</v>
          </cell>
          <cell r="CM115">
            <v>1645.5224968802213</v>
          </cell>
          <cell r="CX115">
            <v>1433.6613926818536</v>
          </cell>
          <cell r="CY115">
            <v>239.83410477329562</v>
          </cell>
        </row>
        <row r="116">
          <cell r="I116">
            <v>2620.0810761823745</v>
          </cell>
          <cell r="J116">
            <v>2272.5294499490028</v>
          </cell>
          <cell r="L116">
            <v>403.26262802571125</v>
          </cell>
          <cell r="M116">
            <v>363.6108513599587</v>
          </cell>
          <cell r="O116">
            <v>1217.44</v>
          </cell>
          <cell r="P116">
            <v>1217.45</v>
          </cell>
          <cell r="R116">
            <v>235.52</v>
          </cell>
          <cell r="S116">
            <v>235.51666666666668</v>
          </cell>
          <cell r="U116">
            <v>130.00964065633656</v>
          </cell>
          <cell r="V116">
            <v>45.569938929811315</v>
          </cell>
          <cell r="X116">
            <v>1098.0597491529893</v>
          </cell>
          <cell r="Y116">
            <v>814.80837015728991</v>
          </cell>
          <cell r="AA116">
            <v>0</v>
          </cell>
          <cell r="AB116">
            <v>0</v>
          </cell>
          <cell r="AD116">
            <v>3315.8788484561665</v>
          </cell>
          <cell r="AE116">
            <v>3644.0355419637617</v>
          </cell>
          <cell r="AJ116">
            <v>6913.0950965152351</v>
          </cell>
          <cell r="AK116">
            <v>6989.3119663893776</v>
          </cell>
          <cell r="AM116">
            <v>0</v>
          </cell>
          <cell r="AN116">
            <v>0</v>
          </cell>
          <cell r="AP116">
            <v>552.42695835462905</v>
          </cell>
          <cell r="AQ116">
            <v>3202.3439283790372</v>
          </cell>
          <cell r="AS116">
            <v>11575.811840161983</v>
          </cell>
          <cell r="AT116">
            <v>47803.785448473915</v>
          </cell>
          <cell r="AV116">
            <v>204.42021713237085</v>
          </cell>
          <cell r="AW116">
            <v>778.1554558640014</v>
          </cell>
          <cell r="AY116">
            <v>247.01192583841049</v>
          </cell>
          <cell r="AZ116">
            <v>0</v>
          </cell>
          <cell r="BB116">
            <v>242.23676703378922</v>
          </cell>
          <cell r="BC116">
            <v>0</v>
          </cell>
          <cell r="BE116">
            <v>112.20924174271603</v>
          </cell>
          <cell r="BF116">
            <v>0</v>
          </cell>
          <cell r="BH116">
            <v>65.961235315382794</v>
          </cell>
          <cell r="BI116">
            <v>0</v>
          </cell>
          <cell r="BK116">
            <v>125.7136219185039</v>
          </cell>
          <cell r="BL116">
            <v>0</v>
          </cell>
          <cell r="BN116">
            <v>65.815575516818669</v>
          </cell>
          <cell r="BO116">
            <v>0</v>
          </cell>
          <cell r="BT116">
            <v>9311.9724774132319</v>
          </cell>
          <cell r="BU116">
            <v>2049.0189970537635</v>
          </cell>
          <cell r="BW116">
            <v>6866.0125003594403</v>
          </cell>
          <cell r="BX116">
            <v>4739.8515248140429</v>
          </cell>
          <cell r="BZ116">
            <v>995.43268003158312</v>
          </cell>
          <cell r="CA116">
            <v>2144.1499963267638</v>
          </cell>
          <cell r="CC116">
            <v>174.86179413749713</v>
          </cell>
          <cell r="CD116">
            <v>176.79021517018597</v>
          </cell>
          <cell r="CF116">
            <v>21.526546626775215</v>
          </cell>
          <cell r="CG116">
            <v>0</v>
          </cell>
          <cell r="CI116">
            <v>1478.6844889981785</v>
          </cell>
          <cell r="CJ116">
            <v>1556.3599278013412</v>
          </cell>
          <cell r="CL116">
            <v>2214.9071459677357</v>
          </cell>
          <cell r="CM116">
            <v>2334.5449240373628</v>
          </cell>
          <cell r="CX116">
            <v>949.11753335456888</v>
          </cell>
          <cell r="CY116">
            <v>-35266.259844003536</v>
          </cell>
        </row>
        <row r="117">
          <cell r="I117">
            <v>2857.7819032408252</v>
          </cell>
          <cell r="J117">
            <v>2473.4569594218074</v>
          </cell>
          <cell r="L117">
            <v>440.94085064255063</v>
          </cell>
          <cell r="M117">
            <v>397.58403106388528</v>
          </cell>
          <cell r="O117">
            <v>1312.32</v>
          </cell>
          <cell r="P117">
            <v>1312.3166666666666</v>
          </cell>
          <cell r="R117">
            <v>252.12</v>
          </cell>
          <cell r="S117">
            <v>252.1166666666667</v>
          </cell>
          <cell r="U117">
            <v>138.88381114641354</v>
          </cell>
          <cell r="V117">
            <v>48.680514965975902</v>
          </cell>
          <cell r="X117">
            <v>1203.003071162668</v>
          </cell>
          <cell r="Y117">
            <v>1282.4953438234281</v>
          </cell>
          <cell r="AA117">
            <v>0</v>
          </cell>
          <cell r="AB117">
            <v>0</v>
          </cell>
          <cell r="AD117">
            <v>3456.7603710893509</v>
          </cell>
          <cell r="AE117">
            <v>3798.859436063608</v>
          </cell>
          <cell r="AJ117">
            <v>7106.4203922739471</v>
          </cell>
          <cell r="AK117">
            <v>6035.7703287395461</v>
          </cell>
          <cell r="AM117">
            <v>0</v>
          </cell>
          <cell r="AN117">
            <v>266.0109811433166</v>
          </cell>
          <cell r="AP117">
            <v>623.45328157165284</v>
          </cell>
          <cell r="AQ117">
            <v>0</v>
          </cell>
          <cell r="AS117">
            <v>11968.06806260582</v>
          </cell>
          <cell r="AT117">
            <v>24266.911821554921</v>
          </cell>
          <cell r="AV117">
            <v>224.64054342263609</v>
          </cell>
          <cell r="AW117">
            <v>425.98817545704691</v>
          </cell>
          <cell r="AY117">
            <v>267.27344362970138</v>
          </cell>
          <cell r="AZ117">
            <v>0</v>
          </cell>
          <cell r="BB117">
            <v>249.74705045300354</v>
          </cell>
          <cell r="BC117">
            <v>0</v>
          </cell>
          <cell r="BE117">
            <v>116.76510375432694</v>
          </cell>
          <cell r="BF117">
            <v>0</v>
          </cell>
          <cell r="BH117">
            <v>70.464078559636903</v>
          </cell>
          <cell r="BI117">
            <v>0</v>
          </cell>
          <cell r="BK117">
            <v>129.27437902784081</v>
          </cell>
          <cell r="BL117">
            <v>0</v>
          </cell>
          <cell r="BN117">
            <v>53.862315927238761</v>
          </cell>
          <cell r="BO117">
            <v>0</v>
          </cell>
          <cell r="BT117">
            <v>12613.798963913558</v>
          </cell>
          <cell r="BU117">
            <v>2806.9184969195248</v>
          </cell>
          <cell r="BW117">
            <v>7645.8973383343236</v>
          </cell>
          <cell r="BX117">
            <v>2667.551273427021</v>
          </cell>
          <cell r="BZ117">
            <v>1731.1872696201444</v>
          </cell>
          <cell r="CA117">
            <v>3010.0272244254384</v>
          </cell>
          <cell r="CC117">
            <v>128.83005186244532</v>
          </cell>
          <cell r="CD117">
            <v>130.25082295128925</v>
          </cell>
          <cell r="CF117">
            <v>15.859760172460122</v>
          </cell>
          <cell r="CG117">
            <v>0</v>
          </cell>
          <cell r="CI117">
            <v>2801.3896015197561</v>
          </cell>
          <cell r="CJ117">
            <v>2463.3073441771285</v>
          </cell>
          <cell r="CL117">
            <v>1896.7092179554697</v>
          </cell>
          <cell r="CM117">
            <v>2738.5766902556852</v>
          </cell>
          <cell r="CX117">
            <v>1031.618965737056</v>
          </cell>
          <cell r="CY117">
            <v>4545.9726667324358</v>
          </cell>
        </row>
        <row r="118">
          <cell r="I118">
            <v>4023.6856361617752</v>
          </cell>
          <cell r="J118">
            <v>3546.8741328866499</v>
          </cell>
          <cell r="L118">
            <v>667.14870156790357</v>
          </cell>
          <cell r="M118">
            <v>601.55651182554971</v>
          </cell>
          <cell r="O118">
            <v>2264.6</v>
          </cell>
          <cell r="P118">
            <v>2264.6166666666668</v>
          </cell>
          <cell r="R118">
            <v>492.76</v>
          </cell>
          <cell r="S118">
            <v>492.75</v>
          </cell>
          <cell r="U118">
            <v>768.32239862610584</v>
          </cell>
          <cell r="V118">
            <v>269.30676081993909</v>
          </cell>
          <cell r="X118">
            <v>3258.6646951280009</v>
          </cell>
          <cell r="Y118">
            <v>2911.0201024492453</v>
          </cell>
          <cell r="AA118">
            <v>0</v>
          </cell>
          <cell r="AB118">
            <v>0</v>
          </cell>
          <cell r="AD118">
            <v>6808.3637920054362</v>
          </cell>
          <cell r="AE118">
            <v>7482.1550408086187</v>
          </cell>
          <cell r="AJ118">
            <v>13826.19019303047</v>
          </cell>
          <cell r="AK118">
            <v>13978.646461286946</v>
          </cell>
          <cell r="AM118">
            <v>0</v>
          </cell>
          <cell r="AN118">
            <v>0</v>
          </cell>
          <cell r="AP118">
            <v>1207.4474946894034</v>
          </cell>
          <cell r="AQ118">
            <v>7216.2942570282867</v>
          </cell>
          <cell r="AS118">
            <v>30389.077925700603</v>
          </cell>
          <cell r="AT118">
            <v>1116.8796845066395</v>
          </cell>
          <cell r="AV118">
            <v>323.33608540472653</v>
          </cell>
          <cell r="AW118">
            <v>645.13426342048797</v>
          </cell>
          <cell r="AY118">
            <v>445.23247334072875</v>
          </cell>
          <cell r="AZ118">
            <v>0</v>
          </cell>
          <cell r="BB118">
            <v>707.69677335411563</v>
          </cell>
          <cell r="BC118">
            <v>0</v>
          </cell>
          <cell r="BE118">
            <v>259.54606438313925</v>
          </cell>
          <cell r="BF118">
            <v>0</v>
          </cell>
          <cell r="BH118">
            <v>389.75539462049437</v>
          </cell>
          <cell r="BI118">
            <v>0</v>
          </cell>
          <cell r="BK118">
            <v>305.88578314824531</v>
          </cell>
          <cell r="BL118">
            <v>631.08057496383105</v>
          </cell>
          <cell r="BN118">
            <v>186.43229164545758</v>
          </cell>
          <cell r="BO118">
            <v>0</v>
          </cell>
          <cell r="BT118">
            <v>22681.584756530261</v>
          </cell>
          <cell r="BU118">
            <v>18631.574681973136</v>
          </cell>
          <cell r="BW118">
            <v>16335.184019151573</v>
          </cell>
          <cell r="BX118">
            <v>25804.240800359461</v>
          </cell>
          <cell r="BZ118">
            <v>5193.5618088604333</v>
          </cell>
          <cell r="CA118">
            <v>17826.150232023094</v>
          </cell>
          <cell r="CC118">
            <v>322.56535055361115</v>
          </cell>
          <cell r="CD118">
            <v>326.12268455840308</v>
          </cell>
          <cell r="CF118">
            <v>39.70974959466804</v>
          </cell>
          <cell r="CG118">
            <v>0</v>
          </cell>
          <cell r="CI118">
            <v>3013.5215535279335</v>
          </cell>
          <cell r="CJ118">
            <v>3224.7140430015124</v>
          </cell>
          <cell r="CL118">
            <v>4517.1627427623689</v>
          </cell>
          <cell r="CM118">
            <v>4833.3513444832433</v>
          </cell>
          <cell r="CX118">
            <v>2271.6971794550482</v>
          </cell>
          <cell r="CY118">
            <v>10221.658108325944</v>
          </cell>
        </row>
        <row r="119">
          <cell r="I119">
            <v>3271.0078238234873</v>
          </cell>
          <cell r="J119">
            <v>2873.4745083862076</v>
          </cell>
          <cell r="L119">
            <v>657.63704750276531</v>
          </cell>
          <cell r="M119">
            <v>592.97428187416517</v>
          </cell>
          <cell r="O119">
            <v>2083.2800000000002</v>
          </cell>
          <cell r="P119">
            <v>2083.2666666666669</v>
          </cell>
          <cell r="R119">
            <v>387.22</v>
          </cell>
          <cell r="S119">
            <v>387.2166666666667</v>
          </cell>
          <cell r="U119">
            <v>384.16124015837795</v>
          </cell>
          <cell r="V119">
            <v>134.65338040996954</v>
          </cell>
          <cell r="X119">
            <v>2922.4912750502126</v>
          </cell>
          <cell r="Y119">
            <v>5473.849111975107</v>
          </cell>
          <cell r="AA119">
            <v>0</v>
          </cell>
          <cell r="AB119">
            <v>0</v>
          </cell>
          <cell r="AD119">
            <v>5350.0843212203154</v>
          </cell>
          <cell r="AE119">
            <v>5879.5566153169184</v>
          </cell>
          <cell r="AJ119">
            <v>9928.131878271799</v>
          </cell>
          <cell r="AK119">
            <v>10037.576824053362</v>
          </cell>
          <cell r="AM119">
            <v>1052.2814392472874</v>
          </cell>
          <cell r="AN119">
            <v>665.27786816927733</v>
          </cell>
          <cell r="AP119">
            <v>1128.5293577815992</v>
          </cell>
          <cell r="AQ119">
            <v>0</v>
          </cell>
          <cell r="AS119">
            <v>20843.791893704052</v>
          </cell>
          <cell r="AT119">
            <v>1116.6444474376492</v>
          </cell>
          <cell r="AV119">
            <v>269.67725713302559</v>
          </cell>
          <cell r="AW119">
            <v>3836.817335233668</v>
          </cell>
          <cell r="AY119">
            <v>410.25288405390029</v>
          </cell>
          <cell r="AZ119">
            <v>0</v>
          </cell>
          <cell r="BB119">
            <v>461.00414588991288</v>
          </cell>
          <cell r="BC119">
            <v>0</v>
          </cell>
          <cell r="BE119">
            <v>184.90845320217682</v>
          </cell>
          <cell r="BF119">
            <v>0</v>
          </cell>
          <cell r="BH119">
            <v>194.88983250281842</v>
          </cell>
          <cell r="BI119">
            <v>19.323966600000002</v>
          </cell>
          <cell r="BK119">
            <v>320.53124901133737</v>
          </cell>
          <cell r="BL119">
            <v>620.414238975481</v>
          </cell>
          <cell r="BN119">
            <v>127.01222515318118</v>
          </cell>
          <cell r="BO119">
            <v>0</v>
          </cell>
          <cell r="BT119">
            <v>17586.937373999514</v>
          </cell>
          <cell r="BU119">
            <v>11323.230990286611</v>
          </cell>
          <cell r="BW119">
            <v>11826.962656217722</v>
          </cell>
          <cell r="BX119">
            <v>11429.121135527761</v>
          </cell>
          <cell r="BZ119">
            <v>2163.9840870251805</v>
          </cell>
          <cell r="CA119">
            <v>7880.2366313416333</v>
          </cell>
          <cell r="CC119">
            <v>331.38932670857315</v>
          </cell>
          <cell r="CD119">
            <v>335.04397380164204</v>
          </cell>
          <cell r="CF119">
            <v>40.796034537987225</v>
          </cell>
          <cell r="CG119">
            <v>0</v>
          </cell>
          <cell r="CI119">
            <v>2080.7648821978587</v>
          </cell>
          <cell r="CJ119">
            <v>1291.1842893990183</v>
          </cell>
          <cell r="CL119">
            <v>2345.9298222080811</v>
          </cell>
          <cell r="CM119">
            <v>3241.9049919119298</v>
          </cell>
          <cell r="CX119">
            <v>1573.5521920786268</v>
          </cell>
          <cell r="CY119">
            <v>22131.818491159524</v>
          </cell>
        </row>
        <row r="120">
          <cell r="I120">
            <v>330.06110514782131</v>
          </cell>
          <cell r="J120">
            <v>361.40739596768572</v>
          </cell>
          <cell r="L120">
            <v>58.340708793560438</v>
          </cell>
          <cell r="M120">
            <v>64.205060002182321</v>
          </cell>
          <cell r="O120">
            <v>119.56</v>
          </cell>
          <cell r="P120">
            <v>119.55000000000001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161.59822986475291</v>
          </cell>
          <cell r="Y120">
            <v>149.91075097874892</v>
          </cell>
          <cell r="AA120">
            <v>0</v>
          </cell>
          <cell r="AB120">
            <v>0</v>
          </cell>
          <cell r="AD120">
            <v>361.2365006968534</v>
          </cell>
          <cell r="AE120">
            <v>397.45625097714344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118.37720536170622</v>
          </cell>
          <cell r="AQ120">
            <v>0</v>
          </cell>
          <cell r="AS120">
            <v>1204.8740076873394</v>
          </cell>
          <cell r="AT120">
            <v>0</v>
          </cell>
          <cell r="AV120">
            <v>65.57164767213348</v>
          </cell>
          <cell r="AW120">
            <v>0</v>
          </cell>
          <cell r="AY120">
            <v>75.166243949094962</v>
          </cell>
          <cell r="AZ120">
            <v>0</v>
          </cell>
          <cell r="BB120">
            <v>45.844143371333203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13.268307429658046</v>
          </cell>
          <cell r="BL120">
            <v>0</v>
          </cell>
          <cell r="BN120">
            <v>0</v>
          </cell>
          <cell r="BO120">
            <v>0</v>
          </cell>
          <cell r="BT120">
            <v>1444.4003781775982</v>
          </cell>
          <cell r="BU120">
            <v>538.43499974819076</v>
          </cell>
          <cell r="BW120">
            <v>605.00518935875584</v>
          </cell>
          <cell r="BX120">
            <v>343.35105124281648</v>
          </cell>
          <cell r="BZ120">
            <v>160.4043365250414</v>
          </cell>
          <cell r="CA120">
            <v>823.90190763882219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87.348450826896624</v>
          </cell>
          <cell r="CJ120">
            <v>86.699530184033364</v>
          </cell>
          <cell r="CL120">
            <v>0</v>
          </cell>
          <cell r="CM120">
            <v>0</v>
          </cell>
          <cell r="CX120">
            <v>151.75225416494504</v>
          </cell>
          <cell r="CY120">
            <v>2511.1196639124528</v>
          </cell>
        </row>
        <row r="121">
          <cell r="I121">
            <v>1513.5616404527182</v>
          </cell>
          <cell r="J121">
            <v>1654.7620158405039</v>
          </cell>
          <cell r="L121">
            <v>157.0219321963082</v>
          </cell>
          <cell r="M121">
            <v>172.8055038435744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411.18317022109903</v>
          </cell>
          <cell r="Y121">
            <v>444.60159198239819</v>
          </cell>
          <cell r="AA121">
            <v>0</v>
          </cell>
          <cell r="AB121">
            <v>0</v>
          </cell>
          <cell r="AD121">
            <v>1728.789952733274</v>
          </cell>
          <cell r="AE121">
            <v>1899.8800379220734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165.7280875063887</v>
          </cell>
          <cell r="AQ121">
            <v>0</v>
          </cell>
          <cell r="AS121">
            <v>8133.8892895917461</v>
          </cell>
          <cell r="AT121">
            <v>0</v>
          </cell>
          <cell r="AV121">
            <v>278.28634321365632</v>
          </cell>
          <cell r="AW121">
            <v>0</v>
          </cell>
          <cell r="AY121">
            <v>202.33697172952878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121.16066476790479</v>
          </cell>
          <cell r="BL121">
            <v>0</v>
          </cell>
          <cell r="BN121">
            <v>0</v>
          </cell>
          <cell r="BO121">
            <v>0</v>
          </cell>
          <cell r="BT121">
            <v>3186.0731314985942</v>
          </cell>
          <cell r="BU121">
            <v>4016.9026535009843</v>
          </cell>
          <cell r="BW121">
            <v>1633.1344934402202</v>
          </cell>
          <cell r="BX121">
            <v>1890.7576701207227</v>
          </cell>
          <cell r="BZ121">
            <v>1778.7949195346985</v>
          </cell>
          <cell r="CA121">
            <v>3973.0153516782075</v>
          </cell>
          <cell r="CC121">
            <v>14.755649014686469</v>
          </cell>
          <cell r="CD121">
            <v>14.918378123416311</v>
          </cell>
          <cell r="CF121">
            <v>1.816509821883751</v>
          </cell>
          <cell r="CG121">
            <v>0</v>
          </cell>
          <cell r="CI121">
            <v>1288.3896496967252</v>
          </cell>
          <cell r="CJ121">
            <v>4.9462071310974904</v>
          </cell>
          <cell r="CL121">
            <v>0</v>
          </cell>
          <cell r="CM121">
            <v>0</v>
          </cell>
          <cell r="CX121">
            <v>371.09311349668496</v>
          </cell>
          <cell r="CY121">
            <v>8221.8927078284287</v>
          </cell>
        </row>
        <row r="122">
          <cell r="I122">
            <v>327.36131952487551</v>
          </cell>
          <cell r="J122">
            <v>357.39571786891656</v>
          </cell>
          <cell r="L122">
            <v>57.552129634097753</v>
          </cell>
          <cell r="M122">
            <v>63.336690636134207</v>
          </cell>
          <cell r="O122">
            <v>107.68</v>
          </cell>
          <cell r="P122">
            <v>107.68333333333334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161.30494762421137</v>
          </cell>
          <cell r="Y122">
            <v>149.07843943943621</v>
          </cell>
          <cell r="AA122">
            <v>0</v>
          </cell>
          <cell r="AB122">
            <v>0</v>
          </cell>
          <cell r="AD122">
            <v>322.1839060269233</v>
          </cell>
          <cell r="AE122">
            <v>354.06890850594391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165.7280875063887</v>
          </cell>
          <cell r="AQ122">
            <v>0</v>
          </cell>
          <cell r="AS122">
            <v>789.04142677796767</v>
          </cell>
          <cell r="AT122">
            <v>109.74192315099162</v>
          </cell>
          <cell r="AV122">
            <v>61.647099991546234</v>
          </cell>
          <cell r="AW122">
            <v>0</v>
          </cell>
          <cell r="AY122">
            <v>74.22419333762916</v>
          </cell>
          <cell r="AZ122">
            <v>0</v>
          </cell>
          <cell r="BB122">
            <v>37.481307210205827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13.206444555034306</v>
          </cell>
          <cell r="BL122">
            <v>0</v>
          </cell>
          <cell r="BN122">
            <v>0</v>
          </cell>
          <cell r="BO122">
            <v>0</v>
          </cell>
          <cell r="BT122">
            <v>1430.8327142327882</v>
          </cell>
          <cell r="BU122">
            <v>577.55049978930606</v>
          </cell>
          <cell r="BW122">
            <v>703.97638279258308</v>
          </cell>
          <cell r="BX122">
            <v>403.88436391703942</v>
          </cell>
          <cell r="BZ122">
            <v>164.86706174168074</v>
          </cell>
          <cell r="CA122">
            <v>891.14308617963388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9.3587625885960666</v>
          </cell>
          <cell r="CJ122">
            <v>0</v>
          </cell>
          <cell r="CL122">
            <v>0</v>
          </cell>
          <cell r="CM122">
            <v>0</v>
          </cell>
          <cell r="CX122">
            <v>-0.33494025343406975</v>
          </cell>
          <cell r="CY122">
            <v>1694.7404446151177</v>
          </cell>
        </row>
        <row r="123">
          <cell r="I123">
            <v>168.94704540147532</v>
          </cell>
          <cell r="J123">
            <v>188.49890601978916</v>
          </cell>
          <cell r="L123">
            <v>68.154554027501604</v>
          </cell>
          <cell r="M123">
            <v>75.005403992405718</v>
          </cell>
          <cell r="O123">
            <v>88.36</v>
          </cell>
          <cell r="P123">
            <v>88.366666666666674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70.863556614904908</v>
          </cell>
          <cell r="Y123">
            <v>73.890360237650796</v>
          </cell>
          <cell r="AA123">
            <v>0</v>
          </cell>
          <cell r="AB123">
            <v>0</v>
          </cell>
          <cell r="AD123">
            <v>270.09002518072089</v>
          </cell>
          <cell r="AE123">
            <v>296.66291205939297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189.40352857872995</v>
          </cell>
          <cell r="AQ123">
            <v>0</v>
          </cell>
          <cell r="AS123">
            <v>991.5081372774448</v>
          </cell>
          <cell r="AT123">
            <v>0</v>
          </cell>
          <cell r="AV123">
            <v>62.624915751524455</v>
          </cell>
          <cell r="AW123">
            <v>0</v>
          </cell>
          <cell r="AY123">
            <v>87.83954249182338</v>
          </cell>
          <cell r="AZ123">
            <v>0</v>
          </cell>
          <cell r="BB123">
            <v>26.929707894682178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9.8614252960765771</v>
          </cell>
          <cell r="BL123">
            <v>0</v>
          </cell>
          <cell r="BN123">
            <v>0</v>
          </cell>
          <cell r="BO123">
            <v>0</v>
          </cell>
          <cell r="BT123">
            <v>1082.1947738192671</v>
          </cell>
          <cell r="BU123">
            <v>450.1736125232166</v>
          </cell>
          <cell r="BW123">
            <v>567.40725476558691</v>
          </cell>
          <cell r="BX123">
            <v>323.32500007314775</v>
          </cell>
          <cell r="BZ123">
            <v>162.63569913336102</v>
          </cell>
          <cell r="CA123">
            <v>711.03055940084869</v>
          </cell>
          <cell r="CC123">
            <v>50.982973339780486</v>
          </cell>
          <cell r="CD123">
            <v>51.545226738714149</v>
          </cell>
          <cell r="CF123">
            <v>6.2763130058441892</v>
          </cell>
          <cell r="CG123">
            <v>0</v>
          </cell>
          <cell r="CI123">
            <v>74.870100708768533</v>
          </cell>
          <cell r="CJ123">
            <v>44.586316874791052</v>
          </cell>
          <cell r="CL123">
            <v>0</v>
          </cell>
          <cell r="CM123">
            <v>0</v>
          </cell>
          <cell r="CX123">
            <v>117.14053605500976</v>
          </cell>
          <cell r="CY123">
            <v>2128.1780424960521</v>
          </cell>
        </row>
        <row r="124">
          <cell r="I124">
            <v>346.56585113153938</v>
          </cell>
          <cell r="J124">
            <v>384.95782832874431</v>
          </cell>
          <cell r="L124">
            <v>122.64920349237109</v>
          </cell>
          <cell r="M124">
            <v>134.97716333510351</v>
          </cell>
          <cell r="O124">
            <v>172.14</v>
          </cell>
          <cell r="P124">
            <v>172.15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140.13469421323308</v>
          </cell>
          <cell r="Y124">
            <v>131.82103992021575</v>
          </cell>
          <cell r="AA124">
            <v>0</v>
          </cell>
          <cell r="AB124">
            <v>0</v>
          </cell>
          <cell r="AD124">
            <v>546.0949506490407</v>
          </cell>
          <cell r="AE124">
            <v>600.13935984982265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331.45617501277741</v>
          </cell>
          <cell r="AQ124">
            <v>935.42076172398265</v>
          </cell>
          <cell r="AS124">
            <v>2219.4063426828725</v>
          </cell>
          <cell r="AT124">
            <v>0</v>
          </cell>
          <cell r="AV124">
            <v>129.83068955272117</v>
          </cell>
          <cell r="AW124">
            <v>0</v>
          </cell>
          <cell r="AY124">
            <v>158.10153368374478</v>
          </cell>
          <cell r="AZ124">
            <v>0</v>
          </cell>
          <cell r="BB124">
            <v>64.119955629500566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29.632723159187076</v>
          </cell>
          <cell r="BL124">
            <v>0</v>
          </cell>
          <cell r="BN124">
            <v>0</v>
          </cell>
          <cell r="BO124">
            <v>0</v>
          </cell>
          <cell r="BT124">
            <v>1969.7298490373375</v>
          </cell>
          <cell r="BU124">
            <v>1788.1316766454356</v>
          </cell>
          <cell r="BW124">
            <v>1203.5908831379625</v>
          </cell>
          <cell r="BX124">
            <v>1349.0180469706911</v>
          </cell>
          <cell r="BZ124">
            <v>512.65422165548318</v>
          </cell>
          <cell r="CA124">
            <v>1784.422040474713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224.61030212630564</v>
          </cell>
          <cell r="CJ124">
            <v>64.421468752690757</v>
          </cell>
          <cell r="CL124">
            <v>0</v>
          </cell>
          <cell r="CM124">
            <v>0</v>
          </cell>
          <cell r="CX124">
            <v>147.0791498031067</v>
          </cell>
          <cell r="CY124">
            <v>1137.3887367983189</v>
          </cell>
        </row>
        <row r="125">
          <cell r="I125">
            <v>724.59658715271075</v>
          </cell>
          <cell r="J125">
            <v>788.81570447410218</v>
          </cell>
          <cell r="L125">
            <v>147.20816865301694</v>
          </cell>
          <cell r="M125">
            <v>162.00515985335102</v>
          </cell>
          <cell r="O125">
            <v>225.72</v>
          </cell>
          <cell r="P125">
            <v>225.73333333333335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280.26938842646615</v>
          </cell>
          <cell r="Y125">
            <v>266.65136088331457</v>
          </cell>
          <cell r="AA125">
            <v>0</v>
          </cell>
          <cell r="AB125">
            <v>0</v>
          </cell>
          <cell r="AD125">
            <v>708.93286820522724</v>
          </cell>
          <cell r="AE125">
            <v>779.09256841785668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307.78073394043616</v>
          </cell>
          <cell r="AQ125">
            <v>0</v>
          </cell>
          <cell r="AS125">
            <v>1793.3115562584599</v>
          </cell>
          <cell r="AT125">
            <v>0</v>
          </cell>
          <cell r="AV125">
            <v>136.87399555182537</v>
          </cell>
          <cell r="AW125">
            <v>0</v>
          </cell>
          <cell r="AY125">
            <v>189.71213226643653</v>
          </cell>
          <cell r="AZ125">
            <v>0</v>
          </cell>
          <cell r="BB125">
            <v>102.89263852286297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29.632723159187076</v>
          </cell>
          <cell r="BL125">
            <v>0</v>
          </cell>
          <cell r="BN125">
            <v>0</v>
          </cell>
          <cell r="BO125">
            <v>0</v>
          </cell>
          <cell r="BT125">
            <v>3029.5982338546637</v>
          </cell>
          <cell r="BU125">
            <v>1136.1179605044344</v>
          </cell>
          <cell r="BW125">
            <v>1255.6181088844019</v>
          </cell>
          <cell r="BX125">
            <v>714.60238170626201</v>
          </cell>
          <cell r="BZ125">
            <v>432.15278574993789</v>
          </cell>
          <cell r="CA125">
            <v>1658.6740040949248</v>
          </cell>
          <cell r="CC125">
            <v>95.593075012088406</v>
          </cell>
          <cell r="CD125">
            <v>96.647300135089068</v>
          </cell>
          <cell r="CF125">
            <v>11.768086885957853</v>
          </cell>
          <cell r="CG125">
            <v>0</v>
          </cell>
          <cell r="CI125">
            <v>152.85978894706909</v>
          </cell>
          <cell r="CJ125">
            <v>66.924766330345335</v>
          </cell>
          <cell r="CL125">
            <v>0</v>
          </cell>
          <cell r="CM125">
            <v>0</v>
          </cell>
          <cell r="CX125">
            <v>288.774954235103</v>
          </cell>
          <cell r="CY125">
            <v>4763.882552320385</v>
          </cell>
        </row>
        <row r="126">
          <cell r="I126">
            <v>546.64403299877335</v>
          </cell>
          <cell r="J126">
            <v>591.11817965928208</v>
          </cell>
          <cell r="L126">
            <v>123.19172948375747</v>
          </cell>
          <cell r="M126">
            <v>135.57416727426158</v>
          </cell>
          <cell r="O126">
            <v>137.58000000000001</v>
          </cell>
          <cell r="P126">
            <v>137.58333333333334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>
            <v>201.19626340407379</v>
          </cell>
          <cell r="Y126">
            <v>189.82336602462823</v>
          </cell>
          <cell r="AA126">
            <v>0</v>
          </cell>
          <cell r="AB126">
            <v>0</v>
          </cell>
          <cell r="AD126">
            <v>426.37879410521663</v>
          </cell>
          <cell r="AE126">
            <v>468.575467038689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205.18715596029077</v>
          </cell>
          <cell r="AQ126">
            <v>0</v>
          </cell>
          <cell r="AS126">
            <v>1410.7793571771711</v>
          </cell>
          <cell r="AT126">
            <v>0</v>
          </cell>
          <cell r="AV126">
            <v>104.73648131794</v>
          </cell>
          <cell r="AW126">
            <v>0</v>
          </cell>
          <cell r="AY126">
            <v>158.78132636312557</v>
          </cell>
          <cell r="AZ126">
            <v>0</v>
          </cell>
          <cell r="BB126">
            <v>39.003700583199688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19.771301113804686</v>
          </cell>
          <cell r="BL126">
            <v>0</v>
          </cell>
          <cell r="BN126">
            <v>0</v>
          </cell>
          <cell r="BO126">
            <v>0</v>
          </cell>
          <cell r="BT126">
            <v>1428.8055632265434</v>
          </cell>
          <cell r="BU126">
            <v>1418.5500690334629</v>
          </cell>
          <cell r="BW126">
            <v>879.35993904153167</v>
          </cell>
          <cell r="BX126">
            <v>985.02883240731785</v>
          </cell>
          <cell r="BZ126">
            <v>500.35197375187818</v>
          </cell>
          <cell r="CA126">
            <v>1433.238851748449</v>
          </cell>
          <cell r="CC126">
            <v>78.435343599662289</v>
          </cell>
          <cell r="CD126">
            <v>79.300348828791016</v>
          </cell>
          <cell r="CF126">
            <v>9.6558661628372136</v>
          </cell>
          <cell r="CG126">
            <v>0</v>
          </cell>
          <cell r="CI126">
            <v>230.84947718536966</v>
          </cell>
          <cell r="CJ126">
            <v>545.22009221004407</v>
          </cell>
          <cell r="CL126">
            <v>0</v>
          </cell>
          <cell r="CM126">
            <v>0</v>
          </cell>
          <cell r="CX126">
            <v>-9.9665702100537601E-3</v>
          </cell>
          <cell r="CY126">
            <v>620.02475093008979</v>
          </cell>
        </row>
        <row r="127">
          <cell r="I127">
            <v>348.13551215027348</v>
          </cell>
          <cell r="J127">
            <v>378.2333859319528</v>
          </cell>
          <cell r="L127">
            <v>118.30907725192991</v>
          </cell>
          <cell r="M127">
            <v>130.20113182183886</v>
          </cell>
          <cell r="O127">
            <v>112.08</v>
          </cell>
          <cell r="P127">
            <v>112.08333333333334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>
            <v>201.19626340407379</v>
          </cell>
          <cell r="Y127">
            <v>188.6319842372975</v>
          </cell>
          <cell r="AA127">
            <v>0</v>
          </cell>
          <cell r="AB127">
            <v>0</v>
          </cell>
          <cell r="AD127">
            <v>331.8045269766323</v>
          </cell>
          <cell r="AE127">
            <v>364.64163636444914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142.05264643404746</v>
          </cell>
          <cell r="AQ127">
            <v>287.82177283814855</v>
          </cell>
          <cell r="AS127">
            <v>1231.8455391580062</v>
          </cell>
          <cell r="AT127">
            <v>0</v>
          </cell>
          <cell r="AV127">
            <v>74.37925463325017</v>
          </cell>
          <cell r="AW127">
            <v>0</v>
          </cell>
          <cell r="AY127">
            <v>152.46894747690439</v>
          </cell>
          <cell r="AZ127">
            <v>0</v>
          </cell>
          <cell r="BB127">
            <v>37.303148170468859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19.771301113804686</v>
          </cell>
          <cell r="BL127">
            <v>0</v>
          </cell>
          <cell r="BN127">
            <v>0</v>
          </cell>
          <cell r="BO127">
            <v>0</v>
          </cell>
          <cell r="BT127">
            <v>1296.7527311018016</v>
          </cell>
          <cell r="BU127">
            <v>1146.4954137529617</v>
          </cell>
          <cell r="BW127">
            <v>368.3796602903484</v>
          </cell>
          <cell r="BX127">
            <v>388.72582117983552</v>
          </cell>
          <cell r="BZ127">
            <v>275.36500722255391</v>
          </cell>
          <cell r="CA127">
            <v>1175.6357720147255</v>
          </cell>
          <cell r="CC127">
            <v>30.393695644869137</v>
          </cell>
          <cell r="CD127">
            <v>30.72888517115652</v>
          </cell>
          <cell r="CF127">
            <v>3.7416481380994209</v>
          </cell>
          <cell r="CG127">
            <v>0</v>
          </cell>
          <cell r="CI127">
            <v>102.94638847455674</v>
          </cell>
          <cell r="CJ127">
            <v>121.473950162245</v>
          </cell>
          <cell r="CL127">
            <v>0</v>
          </cell>
          <cell r="CM127">
            <v>0</v>
          </cell>
          <cell r="CX127">
            <v>145.4495828300569</v>
          </cell>
          <cell r="CY127">
            <v>772.15229583046676</v>
          </cell>
        </row>
        <row r="128">
          <cell r="I128">
            <v>159.15974780912475</v>
          </cell>
          <cell r="J128">
            <v>180.10067086347976</v>
          </cell>
          <cell r="L128">
            <v>98.68122340274779</v>
          </cell>
          <cell r="M128">
            <v>108.60044384139209</v>
          </cell>
          <cell r="O128">
            <v>111.26</v>
          </cell>
          <cell r="P128">
            <v>111.26666666666668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98.891409429387878</v>
          </cell>
          <cell r="Y128">
            <v>95.233904561424637</v>
          </cell>
          <cell r="AA128">
            <v>0</v>
          </cell>
          <cell r="AB128">
            <v>0</v>
          </cell>
          <cell r="AD128">
            <v>338.64585742975873</v>
          </cell>
          <cell r="AE128">
            <v>372.16002061938627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189.40352857872995</v>
          </cell>
          <cell r="AQ128">
            <v>0</v>
          </cell>
          <cell r="AS128">
            <v>1159.589904724319</v>
          </cell>
          <cell r="AT128">
            <v>0</v>
          </cell>
          <cell r="AV128">
            <v>103.00123221737752</v>
          </cell>
          <cell r="AW128">
            <v>0</v>
          </cell>
          <cell r="AY128">
            <v>127.17072778043382</v>
          </cell>
          <cell r="AZ128">
            <v>0</v>
          </cell>
          <cell r="BB128">
            <v>36.881382527661664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19.771277081972755</v>
          </cell>
          <cell r="BL128">
            <v>0</v>
          </cell>
          <cell r="BN128">
            <v>0</v>
          </cell>
          <cell r="BO128">
            <v>0</v>
          </cell>
          <cell r="BT128">
            <v>1282.5886538623627</v>
          </cell>
          <cell r="BU128">
            <v>1236.2776078795259</v>
          </cell>
          <cell r="BW128">
            <v>494.3183874156116</v>
          </cell>
          <cell r="BX128">
            <v>519.43596181328462</v>
          </cell>
          <cell r="BZ128">
            <v>424.88204479117491</v>
          </cell>
          <cell r="CA128">
            <v>1259.3266401605963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49.913400472512365</v>
          </cell>
          <cell r="CJ128">
            <v>27.254462574545936</v>
          </cell>
          <cell r="CL128">
            <v>0</v>
          </cell>
          <cell r="CM128">
            <v>0</v>
          </cell>
          <cell r="CX128">
            <v>140.76946697219046</v>
          </cell>
          <cell r="CY128">
            <v>1082.1723452236374</v>
          </cell>
        </row>
        <row r="129">
          <cell r="I129">
            <v>760.6743199595129</v>
          </cell>
          <cell r="J129">
            <v>837.48388717354521</v>
          </cell>
          <cell r="L129">
            <v>162.7921240131183</v>
          </cell>
          <cell r="M129">
            <v>179.15545483280121</v>
          </cell>
          <cell r="O129">
            <v>222.82</v>
          </cell>
          <cell r="P129">
            <v>222.81666666666666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>
            <v>352.33651879988565</v>
          </cell>
          <cell r="Y129">
            <v>308.22758146130565</v>
          </cell>
          <cell r="AA129">
            <v>0</v>
          </cell>
          <cell r="AB129">
            <v>0</v>
          </cell>
          <cell r="AD129">
            <v>789.60355646500989</v>
          </cell>
          <cell r="AE129">
            <v>867.74684942398994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568.21058573618984</v>
          </cell>
          <cell r="AQ129">
            <v>0</v>
          </cell>
          <cell r="AS129">
            <v>1909.0894452390098</v>
          </cell>
          <cell r="AT129">
            <v>0</v>
          </cell>
          <cell r="AV129">
            <v>128.09725591400303</v>
          </cell>
          <cell r="AW129">
            <v>0</v>
          </cell>
          <cell r="AY129">
            <v>209.79530050336243</v>
          </cell>
          <cell r="AZ129">
            <v>0</v>
          </cell>
          <cell r="BB129">
            <v>132.3516939143727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K129">
            <v>35.916195899513809</v>
          </cell>
          <cell r="BL129">
            <v>0</v>
          </cell>
          <cell r="BN129">
            <v>0</v>
          </cell>
          <cell r="BO129">
            <v>0</v>
          </cell>
          <cell r="BT129">
            <v>2632.4025855748146</v>
          </cell>
          <cell r="BU129">
            <v>2449.4773592916395</v>
          </cell>
          <cell r="BW129">
            <v>1247.34724859518</v>
          </cell>
          <cell r="BX129">
            <v>1194.2221181791597</v>
          </cell>
          <cell r="BZ129">
            <v>979.06410663350448</v>
          </cell>
          <cell r="CA129">
            <v>2083.1992470143769</v>
          </cell>
          <cell r="CC129">
            <v>43.139438979814258</v>
          </cell>
          <cell r="CD129">
            <v>43.615191855835064</v>
          </cell>
          <cell r="CF129">
            <v>5.3107263895604673</v>
          </cell>
          <cell r="CG129">
            <v>0</v>
          </cell>
          <cell r="CI129">
            <v>340.03504071899044</v>
          </cell>
          <cell r="CJ129">
            <v>232.91458067246776</v>
          </cell>
          <cell r="CL129">
            <v>0</v>
          </cell>
          <cell r="CM129">
            <v>0</v>
          </cell>
          <cell r="CX129">
            <v>-2.4033720030129189</v>
          </cell>
          <cell r="CY129">
            <v>2517.7492761138546</v>
          </cell>
        </row>
        <row r="130">
          <cell r="I130">
            <v>891.33220340056687</v>
          </cell>
          <cell r="J130">
            <v>984.14768933742539</v>
          </cell>
          <cell r="L130">
            <v>155.93696190418538</v>
          </cell>
          <cell r="M130">
            <v>171.61149596525829</v>
          </cell>
          <cell r="O130">
            <v>354.9</v>
          </cell>
          <cell r="P130">
            <v>354.90000000000003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>
            <v>488.88020781717967</v>
          </cell>
          <cell r="Y130">
            <v>458.50748757553964</v>
          </cell>
          <cell r="AA130">
            <v>0</v>
          </cell>
          <cell r="AB130">
            <v>0</v>
          </cell>
          <cell r="AD130">
            <v>1049.431585966041</v>
          </cell>
          <cell r="AE130">
            <v>1153.2888181062883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710.2632321702373</v>
          </cell>
          <cell r="AQ130">
            <v>0</v>
          </cell>
          <cell r="AS130">
            <v>3154.2915281237479</v>
          </cell>
          <cell r="AT130">
            <v>0</v>
          </cell>
          <cell r="AV130">
            <v>149.27602959383947</v>
          </cell>
          <cell r="AW130">
            <v>0</v>
          </cell>
          <cell r="AY130">
            <v>200.97730468011736</v>
          </cell>
          <cell r="AZ130">
            <v>0</v>
          </cell>
          <cell r="BB130">
            <v>166.70191689660794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K130">
            <v>60.485387360254336</v>
          </cell>
          <cell r="BL130">
            <v>0</v>
          </cell>
          <cell r="BN130">
            <v>0</v>
          </cell>
          <cell r="BO130">
            <v>0</v>
          </cell>
          <cell r="BT130">
            <v>2997.3921988985448</v>
          </cell>
          <cell r="BU130">
            <v>2801.4248544898137</v>
          </cell>
          <cell r="BW130">
            <v>1468.0397114384098</v>
          </cell>
          <cell r="BX130">
            <v>1445.4831722592637</v>
          </cell>
          <cell r="BZ130">
            <v>1268.9627243679831</v>
          </cell>
          <cell r="CA130">
            <v>2390.0643617040878</v>
          </cell>
          <cell r="CC130">
            <v>61.277612187236159</v>
          </cell>
          <cell r="CD130">
            <v>61.953397522492978</v>
          </cell>
          <cell r="CF130">
            <v>7.5436454397165722</v>
          </cell>
          <cell r="CG130">
            <v>0</v>
          </cell>
          <cell r="CI130">
            <v>505.37317978418764</v>
          </cell>
          <cell r="CJ130">
            <v>317.24165399797187</v>
          </cell>
          <cell r="CL130">
            <v>0</v>
          </cell>
          <cell r="CM130">
            <v>0</v>
          </cell>
          <cell r="CX130">
            <v>246.38148396537508</v>
          </cell>
          <cell r="CY130">
            <v>4509.3124828502296</v>
          </cell>
        </row>
        <row r="131">
          <cell r="I131">
            <v>300.08934464309783</v>
          </cell>
          <cell r="J131">
            <v>328.45932673191129</v>
          </cell>
          <cell r="L131">
            <v>115.00538053332554</v>
          </cell>
          <cell r="M131">
            <v>126.56483510151241</v>
          </cell>
          <cell r="O131">
            <v>113.52</v>
          </cell>
          <cell r="P131">
            <v>113.51666666666667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>
            <v>201.19626340407379</v>
          </cell>
          <cell r="Y131">
            <v>188.96240728622971</v>
          </cell>
          <cell r="AA131">
            <v>0</v>
          </cell>
          <cell r="AB131">
            <v>0</v>
          </cell>
          <cell r="AD131">
            <v>355.44987535525053</v>
          </cell>
          <cell r="AE131">
            <v>390.62705194557554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189.40352857872995</v>
          </cell>
          <cell r="AQ131">
            <v>0</v>
          </cell>
          <cell r="AS131">
            <v>1675.5731975947206</v>
          </cell>
          <cell r="AT131">
            <v>0</v>
          </cell>
          <cell r="AV131">
            <v>66.793785964930606</v>
          </cell>
          <cell r="AW131">
            <v>0</v>
          </cell>
          <cell r="AY131">
            <v>148.24448739911162</v>
          </cell>
          <cell r="AZ131">
            <v>0</v>
          </cell>
          <cell r="BB131">
            <v>27.646517586814632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19.771301113804686</v>
          </cell>
          <cell r="BL131">
            <v>0</v>
          </cell>
          <cell r="BN131">
            <v>0</v>
          </cell>
          <cell r="BO131">
            <v>0</v>
          </cell>
          <cell r="BT131">
            <v>1210.4882451360165</v>
          </cell>
          <cell r="BU131">
            <v>1025.9205295122397</v>
          </cell>
          <cell r="BW131">
            <v>497.30085947542415</v>
          </cell>
          <cell r="BX131">
            <v>458.04764179693996</v>
          </cell>
          <cell r="BZ131">
            <v>328.76229849560036</v>
          </cell>
          <cell r="CA131">
            <v>935.22238689123719</v>
          </cell>
          <cell r="CC131">
            <v>62.258053982231942</v>
          </cell>
          <cell r="CD131">
            <v>62.944651882852867</v>
          </cell>
          <cell r="CF131">
            <v>7.6643437667520375</v>
          </cell>
          <cell r="CG131">
            <v>0</v>
          </cell>
          <cell r="CI131">
            <v>68.630925649704494</v>
          </cell>
          <cell r="CJ131">
            <v>2.4731035655487452</v>
          </cell>
          <cell r="CL131">
            <v>0</v>
          </cell>
          <cell r="CM131">
            <v>0</v>
          </cell>
          <cell r="CX131">
            <v>2.1909584494096634E-2</v>
          </cell>
          <cell r="CY131">
            <v>2106.093678343143</v>
          </cell>
        </row>
        <row r="132">
          <cell r="I132">
            <v>857.25440056378432</v>
          </cell>
          <cell r="J132">
            <v>948.02290231378447</v>
          </cell>
          <cell r="L132">
            <v>155.14830105407276</v>
          </cell>
          <cell r="M132">
            <v>170.74312659921014</v>
          </cell>
          <cell r="O132">
            <v>360.64</v>
          </cell>
          <cell r="P132">
            <v>360.63333333333333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>
            <v>499.51451257606567</v>
          </cell>
          <cell r="Y132">
            <v>1099.2202350340383</v>
          </cell>
          <cell r="AA132">
            <v>0</v>
          </cell>
          <cell r="AB132">
            <v>0</v>
          </cell>
          <cell r="AD132">
            <v>1056.287169190945</v>
          </cell>
          <cell r="AE132">
            <v>1160.8072023612256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662.91235002555482</v>
          </cell>
          <cell r="AQ132">
            <v>0</v>
          </cell>
          <cell r="AS132">
            <v>2509.6770077695455</v>
          </cell>
          <cell r="AT132">
            <v>1093.9336000106091</v>
          </cell>
          <cell r="AV132">
            <v>146.35357130536974</v>
          </cell>
          <cell r="AW132">
            <v>0</v>
          </cell>
          <cell r="AY132">
            <v>199.98679498901538</v>
          </cell>
          <cell r="AZ132">
            <v>0</v>
          </cell>
          <cell r="BB132">
            <v>164.52396800690619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K132">
            <v>60.056147680914883</v>
          </cell>
          <cell r="BL132">
            <v>0</v>
          </cell>
          <cell r="BN132">
            <v>0</v>
          </cell>
          <cell r="BO132">
            <v>0</v>
          </cell>
          <cell r="BT132">
            <v>4199.3962536786403</v>
          </cell>
          <cell r="BU132">
            <v>3386.1809365286435</v>
          </cell>
          <cell r="BW132">
            <v>1574.8162209483044</v>
          </cell>
          <cell r="BX132">
            <v>1539.2380195299693</v>
          </cell>
          <cell r="BZ132">
            <v>970.06340627333043</v>
          </cell>
          <cell r="CA132">
            <v>2844.1721363575161</v>
          </cell>
          <cell r="CC132">
            <v>55.394961417261491</v>
          </cell>
          <cell r="CD132">
            <v>56.005871360333657</v>
          </cell>
          <cell r="CF132">
            <v>6.8194554775037819</v>
          </cell>
          <cell r="CG132">
            <v>0</v>
          </cell>
          <cell r="CI132">
            <v>396.18761625056686</v>
          </cell>
          <cell r="CJ132">
            <v>163.51671077657369</v>
          </cell>
          <cell r="CL132">
            <v>0</v>
          </cell>
          <cell r="CM132">
            <v>0</v>
          </cell>
          <cell r="CX132">
            <v>421.94143535066178</v>
          </cell>
          <cell r="CY132">
            <v>1685.0111109537156</v>
          </cell>
        </row>
        <row r="133">
          <cell r="I133">
            <v>260.88601082753377</v>
          </cell>
          <cell r="J133">
            <v>292.03235853954186</v>
          </cell>
          <cell r="L133">
            <v>91.382414037298403</v>
          </cell>
          <cell r="M133">
            <v>100.56802720544704</v>
          </cell>
          <cell r="O133">
            <v>140.86000000000001</v>
          </cell>
          <cell r="P133">
            <v>140.86666666666667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148.75225375508055</v>
          </cell>
          <cell r="Y133">
            <v>147.97349671713513</v>
          </cell>
          <cell r="AA133">
            <v>0</v>
          </cell>
          <cell r="AB133">
            <v>0</v>
          </cell>
          <cell r="AD133">
            <v>446.32554820761339</v>
          </cell>
          <cell r="AE133">
            <v>490.49625613198998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284.10529286809492</v>
          </cell>
          <cell r="AQ133">
            <v>0</v>
          </cell>
          <cell r="AS133">
            <v>1590.6280479295372</v>
          </cell>
          <cell r="AT133">
            <v>0</v>
          </cell>
          <cell r="AV133">
            <v>94.800233592295626</v>
          </cell>
          <cell r="AW133">
            <v>0</v>
          </cell>
          <cell r="AY133">
            <v>117.77975701338245</v>
          </cell>
          <cell r="AZ133">
            <v>0</v>
          </cell>
          <cell r="BB133">
            <v>49.688136637059898</v>
          </cell>
          <cell r="BC133">
            <v>518.61230642048793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34.837121188239912</v>
          </cell>
          <cell r="BL133">
            <v>0</v>
          </cell>
          <cell r="BN133">
            <v>0</v>
          </cell>
          <cell r="BO133">
            <v>0</v>
          </cell>
          <cell r="BT133">
            <v>1417.6693052805904</v>
          </cell>
          <cell r="BU133">
            <v>1219.5642485501771</v>
          </cell>
          <cell r="BW133">
            <v>728.20209298592124</v>
          </cell>
          <cell r="BX133">
            <v>801.53646130976813</v>
          </cell>
          <cell r="BZ133">
            <v>314.65361339547968</v>
          </cell>
          <cell r="CA133">
            <v>1244.7849472514251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233.96906471490172</v>
          </cell>
          <cell r="CJ133">
            <v>356.73079368113622</v>
          </cell>
          <cell r="CL133">
            <v>0</v>
          </cell>
          <cell r="CM133">
            <v>0</v>
          </cell>
          <cell r="CX133">
            <v>178.633329080365</v>
          </cell>
          <cell r="CY133">
            <v>948.28132503146981</v>
          </cell>
        </row>
        <row r="134">
          <cell r="I134">
            <v>1521.5377372849632</v>
          </cell>
          <cell r="J134">
            <v>1686.4206878343348</v>
          </cell>
          <cell r="L134">
            <v>287.85748463911119</v>
          </cell>
          <cell r="M134">
            <v>316.79199935142708</v>
          </cell>
          <cell r="O134">
            <v>613.84</v>
          </cell>
          <cell r="P134">
            <v>613.85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>
            <v>840.39745932189419</v>
          </cell>
          <cell r="Y134">
            <v>818.99997586849929</v>
          </cell>
          <cell r="AA134">
            <v>0</v>
          </cell>
          <cell r="AB134">
            <v>0</v>
          </cell>
          <cell r="AD134">
            <v>1879.163821370171</v>
          </cell>
          <cell r="AE134">
            <v>2065.135690175644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1396.8510232681333</v>
          </cell>
          <cell r="AQ134">
            <v>0</v>
          </cell>
          <cell r="AS134">
            <v>3460.1383067985284</v>
          </cell>
          <cell r="AT134">
            <v>2731.8634456118143</v>
          </cell>
          <cell r="AV134">
            <v>244.42904331491323</v>
          </cell>
          <cell r="AW134">
            <v>0</v>
          </cell>
          <cell r="AY134">
            <v>370.97542606793741</v>
          </cell>
          <cell r="AZ134">
            <v>0</v>
          </cell>
          <cell r="BB134">
            <v>313.66672284506978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K134">
            <v>108.30269141259552</v>
          </cell>
          <cell r="BL134">
            <v>0</v>
          </cell>
          <cell r="BN134">
            <v>0</v>
          </cell>
          <cell r="BO134">
            <v>0</v>
          </cell>
          <cell r="BT134">
            <v>9573.6108824041603</v>
          </cell>
          <cell r="BU134">
            <v>9781.9525139719954</v>
          </cell>
          <cell r="BW134">
            <v>2111.3290914545732</v>
          </cell>
          <cell r="BX134">
            <v>2508.5050474162335</v>
          </cell>
          <cell r="BZ134">
            <v>3747.6875761386782</v>
          </cell>
          <cell r="CA134">
            <v>9383.4432638513772</v>
          </cell>
          <cell r="CC134">
            <v>127.94765424694911</v>
          </cell>
          <cell r="CD134">
            <v>129.35869402696534</v>
          </cell>
          <cell r="CF134">
            <v>15.751131678128205</v>
          </cell>
          <cell r="CG134">
            <v>0</v>
          </cell>
          <cell r="CI134">
            <v>455.45977931167528</v>
          </cell>
          <cell r="CJ134">
            <v>312.11428279423927</v>
          </cell>
          <cell r="CL134">
            <v>0</v>
          </cell>
          <cell r="CM134">
            <v>0</v>
          </cell>
          <cell r="CX134">
            <v>19.025002131031215</v>
          </cell>
          <cell r="CY134">
            <v>-3916.3627210830346</v>
          </cell>
        </row>
        <row r="135">
          <cell r="I135">
            <v>1028.3012875997574</v>
          </cell>
          <cell r="J135">
            <v>1141.7186451441664</v>
          </cell>
          <cell r="L135">
            <v>194.40384537113721</v>
          </cell>
          <cell r="M135">
            <v>235.76255945677011</v>
          </cell>
          <cell r="O135">
            <v>410.92</v>
          </cell>
          <cell r="P135">
            <v>410.93333333333334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X135">
            <v>550.78456529862183</v>
          </cell>
          <cell r="Y135">
            <v>518.66913920992988</v>
          </cell>
          <cell r="AA135">
            <v>0</v>
          </cell>
          <cell r="AB135">
            <v>0</v>
          </cell>
          <cell r="AD135">
            <v>1285.8138058933368</v>
          </cell>
          <cell r="AE135">
            <v>1482.3747622650976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875.99131967662606</v>
          </cell>
          <cell r="AQ135">
            <v>0</v>
          </cell>
          <cell r="AS135">
            <v>3341.9574334431359</v>
          </cell>
          <cell r="AT135">
            <v>24.235465599437198</v>
          </cell>
          <cell r="AV135">
            <v>169.7904243905044</v>
          </cell>
          <cell r="AW135">
            <v>0</v>
          </cell>
          <cell r="AY135">
            <v>250.58315269130659</v>
          </cell>
          <cell r="AZ135">
            <v>0</v>
          </cell>
          <cell r="BB135">
            <v>240.66409739837528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K135">
            <v>69.694344771707904</v>
          </cell>
          <cell r="BL135">
            <v>0</v>
          </cell>
          <cell r="BN135">
            <v>0</v>
          </cell>
          <cell r="BO135">
            <v>0</v>
          </cell>
          <cell r="BT135">
            <v>3455.0817141006105</v>
          </cell>
          <cell r="BU135">
            <v>1513.0102386283597</v>
          </cell>
          <cell r="BW135">
            <v>1363.9111632721911</v>
          </cell>
          <cell r="BX135">
            <v>849.70993127052475</v>
          </cell>
          <cell r="BZ135">
            <v>1131.0820208956234</v>
          </cell>
          <cell r="CA135">
            <v>2144.5214655404443</v>
          </cell>
          <cell r="CC135">
            <v>102.94638847455676</v>
          </cell>
          <cell r="CD135">
            <v>104.0817078377882</v>
          </cell>
          <cell r="CF135">
            <v>12.673324338723843</v>
          </cell>
          <cell r="CG135">
            <v>0</v>
          </cell>
          <cell r="CI135">
            <v>152.85978894706909</v>
          </cell>
          <cell r="CJ135">
            <v>203.04610914254582</v>
          </cell>
          <cell r="CL135">
            <v>0</v>
          </cell>
          <cell r="CM135">
            <v>0</v>
          </cell>
          <cell r="CX135">
            <v>1148.289588124062</v>
          </cell>
          <cell r="CY135">
            <v>8359.563971085925</v>
          </cell>
        </row>
        <row r="136">
          <cell r="I136">
            <v>1361.8448029045849</v>
          </cell>
          <cell r="J136">
            <v>1523.0285457042332</v>
          </cell>
          <cell r="L136">
            <v>212.65082793943571</v>
          </cell>
          <cell r="M136">
            <v>234.02554414996629</v>
          </cell>
          <cell r="O136">
            <v>680.24</v>
          </cell>
          <cell r="P136">
            <v>680.23333333333335</v>
          </cell>
          <cell r="R136">
            <v>140</v>
          </cell>
          <cell r="S136">
            <v>140</v>
          </cell>
          <cell r="U136">
            <v>69.466216803674769</v>
          </cell>
          <cell r="V136">
            <v>288.54423801965464</v>
          </cell>
          <cell r="X136">
            <v>613.49460952912648</v>
          </cell>
          <cell r="Y136">
            <v>528.67216413716551</v>
          </cell>
          <cell r="AA136">
            <v>0</v>
          </cell>
          <cell r="AB136">
            <v>0</v>
          </cell>
          <cell r="AD136">
            <v>1955.6228155697472</v>
          </cell>
          <cell r="AE136">
            <v>2149.1614658748313</v>
          </cell>
          <cell r="AJ136">
            <v>2977.1337932727497</v>
          </cell>
          <cell r="AK136">
            <v>3009.9663937409887</v>
          </cell>
          <cell r="AM136">
            <v>0</v>
          </cell>
          <cell r="AN136">
            <v>0</v>
          </cell>
          <cell r="AP136">
            <v>315.67254763121656</v>
          </cell>
          <cell r="AQ136">
            <v>0</v>
          </cell>
          <cell r="AS136">
            <v>6587.9296288171709</v>
          </cell>
          <cell r="AT136">
            <v>388.85009456710986</v>
          </cell>
          <cell r="AV136">
            <v>105.27399646775474</v>
          </cell>
          <cell r="AW136">
            <v>0</v>
          </cell>
          <cell r="AY136">
            <v>140.84536735076762</v>
          </cell>
          <cell r="AZ136">
            <v>0</v>
          </cell>
          <cell r="BB136">
            <v>172.52999303886682</v>
          </cell>
          <cell r="BC136">
            <v>0</v>
          </cell>
          <cell r="BE136">
            <v>62.030552270349432</v>
          </cell>
          <cell r="BF136">
            <v>0</v>
          </cell>
          <cell r="BH136">
            <v>35.219944932571877</v>
          </cell>
          <cell r="BI136">
            <v>0</v>
          </cell>
          <cell r="BK136">
            <v>86.679575327637068</v>
          </cell>
          <cell r="BL136">
            <v>0</v>
          </cell>
          <cell r="BN136">
            <v>0</v>
          </cell>
          <cell r="BO136">
            <v>0</v>
          </cell>
          <cell r="BT136">
            <v>6476.0075387296292</v>
          </cell>
          <cell r="BU136">
            <v>4963.6320513018927</v>
          </cell>
          <cell r="BW136">
            <v>5022.9104068925235</v>
          </cell>
          <cell r="BX136">
            <v>6683.9641492920618</v>
          </cell>
          <cell r="BZ136">
            <v>640.53928975945348</v>
          </cell>
          <cell r="CA136">
            <v>4816.5688972819426</v>
          </cell>
          <cell r="CC136">
            <v>105.88771385954409</v>
          </cell>
          <cell r="CD136">
            <v>107.05547091886788</v>
          </cell>
          <cell r="CF136">
            <v>13.03541931983024</v>
          </cell>
          <cell r="CG136">
            <v>0</v>
          </cell>
          <cell r="CI136">
            <v>1054.4205849818234</v>
          </cell>
          <cell r="CJ136">
            <v>830.04971841763154</v>
          </cell>
          <cell r="CL136">
            <v>770.53811979440957</v>
          </cell>
          <cell r="CM136">
            <v>1298.3721126695195</v>
          </cell>
          <cell r="CX136">
            <v>2048.5515057685552</v>
          </cell>
          <cell r="CY136">
            <v>4397.9709847089616</v>
          </cell>
        </row>
        <row r="137">
          <cell r="I137">
            <v>2622.508365388338</v>
          </cell>
          <cell r="J137">
            <v>2905.4052317475871</v>
          </cell>
          <cell r="L137">
            <v>399.85531451454284</v>
          </cell>
          <cell r="M137">
            <v>440.04617624488105</v>
          </cell>
          <cell r="O137">
            <v>1035.8800000000001</v>
          </cell>
          <cell r="P137">
            <v>1035.8833333333334</v>
          </cell>
          <cell r="R137">
            <v>231.38</v>
          </cell>
          <cell r="S137">
            <v>231.38333333333335</v>
          </cell>
          <cell r="U137">
            <v>130.00964065633656</v>
          </cell>
          <cell r="V137">
            <v>491.3787924016965</v>
          </cell>
          <cell r="X137">
            <v>1135.7802883136044</v>
          </cell>
          <cell r="Y137">
            <v>3454.4779228049033</v>
          </cell>
          <cell r="AA137">
            <v>0</v>
          </cell>
          <cell r="AB137">
            <v>0</v>
          </cell>
          <cell r="AD137">
            <v>3031.6358209005407</v>
          </cell>
          <cell r="AE137">
            <v>3331.6623394716571</v>
          </cell>
          <cell r="AJ137">
            <v>6139.7493479442464</v>
          </cell>
          <cell r="AK137">
            <v>6207.4600896555166</v>
          </cell>
          <cell r="AM137">
            <v>0</v>
          </cell>
          <cell r="AN137">
            <v>266.0109811433166</v>
          </cell>
          <cell r="AP137">
            <v>568.21058573618984</v>
          </cell>
          <cell r="AQ137">
            <v>0</v>
          </cell>
          <cell r="AS137">
            <v>11118.535947054592</v>
          </cell>
          <cell r="AT137">
            <v>0</v>
          </cell>
          <cell r="AV137">
            <v>208.68357540627463</v>
          </cell>
          <cell r="AW137">
            <v>820.68830455751629</v>
          </cell>
          <cell r="AY137">
            <v>265.33664916087628</v>
          </cell>
          <cell r="AZ137">
            <v>0</v>
          </cell>
          <cell r="BB137">
            <v>274.04768569408526</v>
          </cell>
          <cell r="BC137">
            <v>0</v>
          </cell>
          <cell r="BE137">
            <v>114.36755956189184</v>
          </cell>
          <cell r="BF137">
            <v>0</v>
          </cell>
          <cell r="BH137">
            <v>65.961235315382794</v>
          </cell>
          <cell r="BI137">
            <v>0</v>
          </cell>
          <cell r="BK137">
            <v>173.06738905400283</v>
          </cell>
          <cell r="BL137">
            <v>0</v>
          </cell>
          <cell r="BN137">
            <v>0</v>
          </cell>
          <cell r="BO137">
            <v>0</v>
          </cell>
          <cell r="BT137">
            <v>8414.2274508281298</v>
          </cell>
          <cell r="BU137">
            <v>7038.2379845200894</v>
          </cell>
          <cell r="BW137">
            <v>6302.0773372596695</v>
          </cell>
          <cell r="BX137">
            <v>8367.8664623126897</v>
          </cell>
          <cell r="BZ137">
            <v>1493.1490200473745</v>
          </cell>
          <cell r="CA137">
            <v>6701.4464916801526</v>
          </cell>
          <cell r="CC137">
            <v>137.26185129940902</v>
          </cell>
          <cell r="CD137">
            <v>138.77561045038428</v>
          </cell>
          <cell r="CF137">
            <v>16.897765784965124</v>
          </cell>
          <cell r="CG137">
            <v>0</v>
          </cell>
          <cell r="CI137">
            <v>2177.4720956133515</v>
          </cell>
          <cell r="CJ137">
            <v>780.49706507033909</v>
          </cell>
          <cell r="CL137">
            <v>1079.3772852180796</v>
          </cell>
          <cell r="CM137">
            <v>1826.1496392015972</v>
          </cell>
          <cell r="CX137">
            <v>849.03334709774936</v>
          </cell>
          <cell r="CY137">
            <v>4566.7562904852057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47.350882144682487</v>
          </cell>
          <cell r="AQ138">
            <v>0</v>
          </cell>
          <cell r="AS138">
            <v>292.81710297192973</v>
          </cell>
          <cell r="AT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T138">
            <v>31.902681005596676</v>
          </cell>
          <cell r="BU138">
            <v>40.33523236650538</v>
          </cell>
          <cell r="BW138">
            <v>0</v>
          </cell>
          <cell r="BX138">
            <v>0.52954501381320374</v>
          </cell>
          <cell r="BZ138">
            <v>0</v>
          </cell>
          <cell r="CA138">
            <v>37.101445422833592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X138">
            <v>11.135200653349386</v>
          </cell>
          <cell r="CY138">
            <v>364.06053263621737</v>
          </cell>
        </row>
        <row r="139">
          <cell r="I139">
            <v>349.70859153849744</v>
          </cell>
          <cell r="J139">
            <v>427.54463756626342</v>
          </cell>
          <cell r="L139">
            <v>69.979726090100854</v>
          </cell>
          <cell r="M139">
            <v>89.381853550058054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112.40342435690623</v>
          </cell>
          <cell r="Y139">
            <v>162.17703190576458</v>
          </cell>
          <cell r="AA139">
            <v>0</v>
          </cell>
          <cell r="AB139">
            <v>0</v>
          </cell>
          <cell r="AD139">
            <v>266.17051294195056</v>
          </cell>
          <cell r="AE139">
            <v>292.51213741864643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252.53803810497325</v>
          </cell>
          <cell r="AQ139">
            <v>0</v>
          </cell>
          <cell r="AS139">
            <v>792.72739894583151</v>
          </cell>
          <cell r="AT139">
            <v>0</v>
          </cell>
          <cell r="AV139">
            <v>65.283353780054597</v>
          </cell>
          <cell r="AW139">
            <v>0</v>
          </cell>
          <cell r="AY139">
            <v>90.238260002622894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15.221714027152627</v>
          </cell>
          <cell r="BL139">
            <v>0</v>
          </cell>
          <cell r="BN139">
            <v>0</v>
          </cell>
          <cell r="BO139">
            <v>0</v>
          </cell>
          <cell r="BT139">
            <v>55.829691759794173</v>
          </cell>
          <cell r="BU139">
            <v>110.60176811609213</v>
          </cell>
          <cell r="BW139">
            <v>58.384948082713876</v>
          </cell>
          <cell r="BX139">
            <v>893.23276532876173</v>
          </cell>
          <cell r="BZ139">
            <v>45.915315476590322</v>
          </cell>
          <cell r="CA139">
            <v>101.73451899673816</v>
          </cell>
          <cell r="CC139">
            <v>50.73786289103154</v>
          </cell>
          <cell r="CD139">
            <v>51.297413148624187</v>
          </cell>
          <cell r="CF139">
            <v>6.2461384240853226</v>
          </cell>
          <cell r="CG139">
            <v>0</v>
          </cell>
          <cell r="CI139">
            <v>3.1195875295320228</v>
          </cell>
          <cell r="CJ139">
            <v>0</v>
          </cell>
          <cell r="CL139">
            <v>0</v>
          </cell>
          <cell r="CM139">
            <v>0</v>
          </cell>
          <cell r="CX139">
            <v>67.054523257795154</v>
          </cell>
          <cell r="CY139">
            <v>194.2814487628616</v>
          </cell>
        </row>
        <row r="140"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31.567254763121657</v>
          </cell>
          <cell r="AQ140">
            <v>0</v>
          </cell>
          <cell r="AS140">
            <v>414.86545717728092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0</v>
          </cell>
          <cell r="BT140">
            <v>15.951340502798338</v>
          </cell>
          <cell r="BU140">
            <v>55.300884058046066</v>
          </cell>
          <cell r="BW140">
            <v>0</v>
          </cell>
          <cell r="BX140">
            <v>0.70721326787120797</v>
          </cell>
          <cell r="BZ140">
            <v>0</v>
          </cell>
          <cell r="CA140">
            <v>50.86725949836908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X140">
            <v>8.3391370681589478</v>
          </cell>
          <cell r="CY140">
            <v>434.94957181085647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23.675441072341243</v>
          </cell>
          <cell r="AQ141">
            <v>0</v>
          </cell>
          <cell r="AS141">
            <v>350.11210501028825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31.902681005596676</v>
          </cell>
          <cell r="BU141">
            <v>49.16523363192421</v>
          </cell>
          <cell r="BW141">
            <v>0</v>
          </cell>
          <cell r="BX141">
            <v>0.76684304844279472</v>
          </cell>
          <cell r="BZ141">
            <v>0</v>
          </cell>
          <cell r="CA141">
            <v>45.223521107329574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12.171727494128618</v>
          </cell>
          <cell r="CY141">
            <v>384.81328265476407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47.350882144682487</v>
          </cell>
          <cell r="AQ142">
            <v>0</v>
          </cell>
          <cell r="AS142">
            <v>378.03119724461283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T142">
            <v>35.890516131296266</v>
          </cell>
          <cell r="BU142">
            <v>38.494537238668826</v>
          </cell>
          <cell r="BW142">
            <v>0</v>
          </cell>
          <cell r="BX142">
            <v>0.79614915220493976</v>
          </cell>
          <cell r="BZ142">
            <v>0</v>
          </cell>
          <cell r="CA142">
            <v>35.408323905521748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X142">
            <v>13.25288537529002</v>
          </cell>
          <cell r="CY142">
            <v>477.14118764432533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55.242695835462904</v>
          </cell>
          <cell r="AQ143">
            <v>0</v>
          </cell>
          <cell r="AS143">
            <v>425.94940385534807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0.74038614921308044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X143">
            <v>14.429480371026898</v>
          </cell>
          <cell r="CY143">
            <v>590.97153662094433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23.675441072341243</v>
          </cell>
          <cell r="AQ144">
            <v>0</v>
          </cell>
          <cell r="AS144">
            <v>276.90006966302394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0.44854619924838635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X144">
            <v>7.2293871175618278</v>
          </cell>
          <cell r="CY144">
            <v>367.38174456090195</v>
          </cell>
        </row>
        <row r="145">
          <cell r="I145">
            <v>1892.1726710408768</v>
          </cell>
          <cell r="J145">
            <v>2372.6219816209887</v>
          </cell>
          <cell r="L145">
            <v>380.42374770340246</v>
          </cell>
          <cell r="M145">
            <v>485.89966052512187</v>
          </cell>
          <cell r="O145">
            <v>747.88</v>
          </cell>
          <cell r="P145">
            <v>747.62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>
            <v>1255.2804053373438</v>
          </cell>
          <cell r="Y145">
            <v>3764.8669398289744</v>
          </cell>
          <cell r="AA145">
            <v>0</v>
          </cell>
          <cell r="AB145">
            <v>0</v>
          </cell>
          <cell r="AD145">
            <v>2408.7540623010441</v>
          </cell>
          <cell r="AE145">
            <v>2480.4011138566693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1609.9299929192046</v>
          </cell>
          <cell r="AQ145">
            <v>0</v>
          </cell>
          <cell r="AS145">
            <v>7027.2795505622944</v>
          </cell>
          <cell r="AT145">
            <v>40.392442665728666</v>
          </cell>
          <cell r="AV145">
            <v>310.69298550910793</v>
          </cell>
          <cell r="AW145">
            <v>0</v>
          </cell>
          <cell r="AY145">
            <v>490.31866771622811</v>
          </cell>
          <cell r="AZ145">
            <v>0</v>
          </cell>
          <cell r="BB145">
            <v>298.96762202027503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259.81939144057162</v>
          </cell>
          <cell r="BL145">
            <v>0</v>
          </cell>
          <cell r="BN145">
            <v>0</v>
          </cell>
          <cell r="BO145">
            <v>0</v>
          </cell>
          <cell r="BT145">
            <v>4093.4756552240938</v>
          </cell>
          <cell r="BU145">
            <v>3969.5210110844473</v>
          </cell>
          <cell r="BW145">
            <v>2875.7520705027341</v>
          </cell>
          <cell r="BX145">
            <v>6205.4656771047594</v>
          </cell>
          <cell r="BZ145">
            <v>869.57683897204879</v>
          </cell>
          <cell r="CA145">
            <v>3666.2041255728009</v>
          </cell>
          <cell r="CC145">
            <v>285.06345189502264</v>
          </cell>
          <cell r="CD145">
            <v>288.20720527463732</v>
          </cell>
          <cell r="CF145">
            <v>35.093038585561501</v>
          </cell>
          <cell r="CG145">
            <v>0</v>
          </cell>
          <cell r="CI145">
            <v>670.71131884938472</v>
          </cell>
          <cell r="CJ145">
            <v>558.34046034043388</v>
          </cell>
          <cell r="CL145">
            <v>0</v>
          </cell>
          <cell r="CM145">
            <v>0</v>
          </cell>
          <cell r="CX145">
            <v>-1075.3297646950268</v>
          </cell>
          <cell r="CY145">
            <v>42.651258550526109</v>
          </cell>
        </row>
        <row r="146">
          <cell r="I146">
            <v>4233.0872346783917</v>
          </cell>
          <cell r="J146">
            <v>3663.6409176983207</v>
          </cell>
          <cell r="L146">
            <v>653.2997804350706</v>
          </cell>
          <cell r="M146">
            <v>589.06114075643541</v>
          </cell>
          <cell r="O146">
            <v>1790.94</v>
          </cell>
          <cell r="P146">
            <v>1790.9</v>
          </cell>
          <cell r="R146">
            <v>366.96</v>
          </cell>
          <cell r="S146">
            <v>367.42</v>
          </cell>
          <cell r="U146">
            <v>208.3500279500883</v>
          </cell>
          <cell r="V146">
            <v>73.029412937953197</v>
          </cell>
          <cell r="X146">
            <v>1777.3378454003325</v>
          </cell>
          <cell r="Y146">
            <v>1462.1459763684002</v>
          </cell>
          <cell r="AA146">
            <v>0</v>
          </cell>
          <cell r="AB146">
            <v>0</v>
          </cell>
          <cell r="AD146">
            <v>5067.8865664147379</v>
          </cell>
          <cell r="AE146">
            <v>5569.4310964510278</v>
          </cell>
          <cell r="AJ146">
            <v>10659.630588410922</v>
          </cell>
          <cell r="AK146">
            <v>9628.1662447165399</v>
          </cell>
          <cell r="AM146">
            <v>0</v>
          </cell>
          <cell r="AN146">
            <v>133.27276795240937</v>
          </cell>
          <cell r="AP146">
            <v>947.01764289364974</v>
          </cell>
          <cell r="AQ146">
            <v>0</v>
          </cell>
          <cell r="AS146">
            <v>17451.15737203055</v>
          </cell>
          <cell r="AT146">
            <v>5541.7763630301633</v>
          </cell>
          <cell r="AV146">
            <v>328.46265580426922</v>
          </cell>
          <cell r="AW146">
            <v>0</v>
          </cell>
          <cell r="AY146">
            <v>392.18005276187682</v>
          </cell>
          <cell r="AZ146">
            <v>0</v>
          </cell>
          <cell r="BB146">
            <v>372.00327676087647</v>
          </cell>
          <cell r="BC146">
            <v>0</v>
          </cell>
          <cell r="BE146">
            <v>189.47734017193309</v>
          </cell>
          <cell r="BF146">
            <v>0</v>
          </cell>
          <cell r="BH146">
            <v>105.68402349220877</v>
          </cell>
          <cell r="BI146">
            <v>5465.3785898137121</v>
          </cell>
          <cell r="BK146">
            <v>220.07829963175874</v>
          </cell>
          <cell r="BL146">
            <v>1490.4433143344122</v>
          </cell>
          <cell r="BN146">
            <v>79.769107936159529</v>
          </cell>
          <cell r="BO146">
            <v>0</v>
          </cell>
          <cell r="BT146">
            <v>16876.157167809484</v>
          </cell>
          <cell r="BU146">
            <v>14056.161113522558</v>
          </cell>
          <cell r="BW146">
            <v>12533.585930717967</v>
          </cell>
          <cell r="BX146">
            <v>19212.811880427009</v>
          </cell>
          <cell r="BZ146">
            <v>3029.5777218352528</v>
          </cell>
          <cell r="CA146">
            <v>13977.046253158469</v>
          </cell>
          <cell r="CC146">
            <v>296.68168716572262</v>
          </cell>
          <cell r="CD146">
            <v>299.95356944490209</v>
          </cell>
          <cell r="CF146">
            <v>36.523313760931757</v>
          </cell>
          <cell r="CG146">
            <v>0</v>
          </cell>
          <cell r="CI146">
            <v>2991.6844408212096</v>
          </cell>
          <cell r="CJ146">
            <v>3397.2173476771054</v>
          </cell>
          <cell r="CL146">
            <v>2695.3236255156671</v>
          </cell>
          <cell r="CM146">
            <v>3243.9251852958914</v>
          </cell>
          <cell r="CX146">
            <v>2500.953157121141</v>
          </cell>
          <cell r="CY146">
            <v>-5489.7574083023646</v>
          </cell>
        </row>
        <row r="147">
          <cell r="I147">
            <v>4776.7343170700387</v>
          </cell>
          <cell r="J147">
            <v>4168.351732462701</v>
          </cell>
          <cell r="L147">
            <v>719.57122720494851</v>
          </cell>
          <cell r="M147">
            <v>648.82547782721736</v>
          </cell>
          <cell r="O147">
            <v>2454.42</v>
          </cell>
          <cell r="P147">
            <v>2454.56</v>
          </cell>
          <cell r="R147">
            <v>501.14</v>
          </cell>
          <cell r="S147">
            <v>501.64</v>
          </cell>
          <cell r="U147">
            <v>208.3500279500883</v>
          </cell>
          <cell r="V147">
            <v>73.029412937953197</v>
          </cell>
          <cell r="X147">
            <v>1852.0601884178236</v>
          </cell>
          <cell r="Y147">
            <v>1536.3865804875823</v>
          </cell>
          <cell r="AA147">
            <v>0</v>
          </cell>
          <cell r="AB147">
            <v>0</v>
          </cell>
          <cell r="AD147">
            <v>6748.0460618437055</v>
          </cell>
          <cell r="AE147">
            <v>7415.8679529609235</v>
          </cell>
          <cell r="AJ147">
            <v>7894.1608090169193</v>
          </cell>
          <cell r="AK147">
            <v>7981.2196534867744</v>
          </cell>
          <cell r="AM147">
            <v>0</v>
          </cell>
          <cell r="AN147">
            <v>531.47054545536594</v>
          </cell>
          <cell r="AP147">
            <v>986.47671134755183</v>
          </cell>
          <cell r="AQ147">
            <v>0</v>
          </cell>
          <cell r="AS147">
            <v>21730.434584412214</v>
          </cell>
          <cell r="AT147">
            <v>4123.9450677383329</v>
          </cell>
          <cell r="AV147">
            <v>369.47411731187549</v>
          </cell>
          <cell r="AW147">
            <v>0</v>
          </cell>
          <cell r="AY147">
            <v>475.19115838972868</v>
          </cell>
          <cell r="AZ147">
            <v>0</v>
          </cell>
          <cell r="BB147">
            <v>655.87603860784714</v>
          </cell>
          <cell r="BC147">
            <v>0</v>
          </cell>
          <cell r="BE147">
            <v>238.48745367779139</v>
          </cell>
          <cell r="BF147">
            <v>0</v>
          </cell>
          <cell r="BH147">
            <v>105.68402349220877</v>
          </cell>
          <cell r="BI147">
            <v>294.13123099999996</v>
          </cell>
          <cell r="BK147">
            <v>223.64458815826015</v>
          </cell>
          <cell r="BL147">
            <v>0</v>
          </cell>
          <cell r="BN147">
            <v>81.769380765920587</v>
          </cell>
          <cell r="BO147">
            <v>0</v>
          </cell>
          <cell r="BT147">
            <v>17587.448211511677</v>
          </cell>
          <cell r="BU147">
            <v>15670.709000140138</v>
          </cell>
          <cell r="BW147">
            <v>13238.40311574012</v>
          </cell>
          <cell r="BX147">
            <v>20733.889682627909</v>
          </cell>
          <cell r="BZ147">
            <v>4327.9681740503611</v>
          </cell>
          <cell r="CA147">
            <v>15549.092938482787</v>
          </cell>
          <cell r="CC147">
            <v>214.12848802707805</v>
          </cell>
          <cell r="CD147">
            <v>216.48995230259948</v>
          </cell>
          <cell r="CF147">
            <v>26.360514624545594</v>
          </cell>
          <cell r="CG147">
            <v>0</v>
          </cell>
          <cell r="CI147">
            <v>3272.4473184790918</v>
          </cell>
          <cell r="CJ147">
            <v>2272.576429508817</v>
          </cell>
          <cell r="CL147">
            <v>3303.6431937744119</v>
          </cell>
          <cell r="CM147">
            <v>4629.2585095876948</v>
          </cell>
          <cell r="CX147">
            <v>95.516355350948288</v>
          </cell>
          <cell r="CY147">
            <v>3924.0869995918547</v>
          </cell>
        </row>
        <row r="148"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63.134509526243313</v>
          </cell>
          <cell r="AQ148">
            <v>0</v>
          </cell>
          <cell r="AS148">
            <v>569.25774224742077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B148">
            <v>0</v>
          </cell>
          <cell r="BC148">
            <v>0</v>
          </cell>
          <cell r="BE148">
            <v>0</v>
          </cell>
          <cell r="BF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0</v>
          </cell>
          <cell r="BT148">
            <v>31.902681005596676</v>
          </cell>
          <cell r="BU148">
            <v>89.340405552530768</v>
          </cell>
          <cell r="BW148">
            <v>0</v>
          </cell>
          <cell r="BX148">
            <v>0.98134744681293951</v>
          </cell>
          <cell r="BZ148">
            <v>0</v>
          </cell>
          <cell r="CA148">
            <v>82.177738572136064</v>
          </cell>
          <cell r="CC148">
            <v>0</v>
          </cell>
          <cell r="CD148">
            <v>0</v>
          </cell>
          <cell r="CF148">
            <v>0</v>
          </cell>
          <cell r="CG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X148">
            <v>9.3060806648871903</v>
          </cell>
          <cell r="CY148">
            <v>599.46061011422432</v>
          </cell>
        </row>
        <row r="149"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P149">
            <v>63.134509526243313</v>
          </cell>
          <cell r="AQ149">
            <v>0</v>
          </cell>
          <cell r="AS149">
            <v>381.67647174255643</v>
          </cell>
          <cell r="AT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B149">
            <v>0</v>
          </cell>
          <cell r="BC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T149">
            <v>15.951340502798338</v>
          </cell>
          <cell r="BU149">
            <v>38.281123310803721</v>
          </cell>
          <cell r="BW149">
            <v>0</v>
          </cell>
          <cell r="BX149">
            <v>0.76887819453738815</v>
          </cell>
          <cell r="BZ149">
            <v>0</v>
          </cell>
          <cell r="CA149">
            <v>35.212019961485588</v>
          </cell>
          <cell r="CC149">
            <v>0</v>
          </cell>
          <cell r="CD149">
            <v>0</v>
          </cell>
          <cell r="CF149">
            <v>0</v>
          </cell>
          <cell r="CG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X149">
            <v>13.785213874082274</v>
          </cell>
          <cell r="CY149">
            <v>477.58557423980801</v>
          </cell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63.134509526243313</v>
          </cell>
          <cell r="AQ150">
            <v>0</v>
          </cell>
          <cell r="AS150">
            <v>309.06574070629631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0.57838852008344543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X150">
            <v>-3.0027904756479984E-4</v>
          </cell>
          <cell r="CY150">
            <v>445.9459337758999</v>
          </cell>
        </row>
        <row r="151">
          <cell r="I151">
            <v>2772.9413641345659</v>
          </cell>
          <cell r="J151">
            <v>2397.5601537592993</v>
          </cell>
          <cell r="L151">
            <v>426.44292755302081</v>
          </cell>
          <cell r="M151">
            <v>384.51058232965181</v>
          </cell>
          <cell r="O151">
            <v>1119.7</v>
          </cell>
          <cell r="P151">
            <v>1119.7</v>
          </cell>
          <cell r="R151">
            <v>224.62</v>
          </cell>
          <cell r="S151">
            <v>224.63333333333335</v>
          </cell>
          <cell r="U151">
            <v>88.645113504097054</v>
          </cell>
          <cell r="V151">
            <v>31.071198405688563</v>
          </cell>
          <cell r="X151">
            <v>1206.9765271512726</v>
          </cell>
          <cell r="Y151">
            <v>843.96395633390796</v>
          </cell>
          <cell r="AA151">
            <v>0</v>
          </cell>
          <cell r="AB151">
            <v>0</v>
          </cell>
          <cell r="AD151">
            <v>3133.3293475319092</v>
          </cell>
          <cell r="AE151">
            <v>3443.4199887611903</v>
          </cell>
          <cell r="AJ151">
            <v>7106.4203922739471</v>
          </cell>
          <cell r="AK151">
            <v>7184.7918319539849</v>
          </cell>
          <cell r="AM151">
            <v>0</v>
          </cell>
          <cell r="AN151">
            <v>0</v>
          </cell>
          <cell r="AP151">
            <v>631.34509526243312</v>
          </cell>
          <cell r="AQ151">
            <v>0</v>
          </cell>
          <cell r="AS151">
            <v>10322.180931511321</v>
          </cell>
          <cell r="AT151">
            <v>0</v>
          </cell>
          <cell r="AV151">
            <v>214.40752078805031</v>
          </cell>
          <cell r="AW151">
            <v>0</v>
          </cell>
          <cell r="AY151">
            <v>249.06583069279796</v>
          </cell>
          <cell r="AZ151">
            <v>0</v>
          </cell>
          <cell r="BB151">
            <v>226.77710403175575</v>
          </cell>
          <cell r="BC151">
            <v>0</v>
          </cell>
          <cell r="BE151">
            <v>128.6876472295032</v>
          </cell>
          <cell r="BF151">
            <v>0</v>
          </cell>
          <cell r="BH151">
            <v>44.980177589529568</v>
          </cell>
          <cell r="BI151">
            <v>0</v>
          </cell>
          <cell r="BK151">
            <v>133.23107334635267</v>
          </cell>
          <cell r="BL151">
            <v>3855.8818932800623</v>
          </cell>
          <cell r="BN151">
            <v>79.878797055444863</v>
          </cell>
          <cell r="BO151">
            <v>0</v>
          </cell>
          <cell r="BT151">
            <v>11956.9359590036</v>
          </cell>
          <cell r="BU151">
            <v>8688.7994769406359</v>
          </cell>
          <cell r="BW151">
            <v>7934.1147340712114</v>
          </cell>
          <cell r="BX151">
            <v>11887.885403683726</v>
          </cell>
          <cell r="BZ151">
            <v>822.31395306956858</v>
          </cell>
          <cell r="CA151">
            <v>8290.9916057148203</v>
          </cell>
          <cell r="CC151">
            <v>234.32558900399107</v>
          </cell>
          <cell r="CD151">
            <v>236.90979212601317</v>
          </cell>
          <cell r="CF151">
            <v>28.846900161476174</v>
          </cell>
          <cell r="CG151">
            <v>0</v>
          </cell>
          <cell r="CI151">
            <v>2735.8782633995838</v>
          </cell>
          <cell r="CJ151">
            <v>7821.9301121876651</v>
          </cell>
          <cell r="CL151">
            <v>979.55048427305508</v>
          </cell>
          <cell r="CM151">
            <v>1221.6052554304893</v>
          </cell>
          <cell r="CX151">
            <v>1248.0451208338091</v>
          </cell>
          <cell r="CY151">
            <v>-4550.4255010885536</v>
          </cell>
        </row>
        <row r="152">
          <cell r="I152">
            <v>2772.8912712419319</v>
          </cell>
          <cell r="J152">
            <v>2403.122723116242</v>
          </cell>
          <cell r="L152">
            <v>393.00611582305254</v>
          </cell>
          <cell r="M152">
            <v>354.36160871805191</v>
          </cell>
          <cell r="O152">
            <v>1174.28</v>
          </cell>
          <cell r="P152">
            <v>1174.2833333333335</v>
          </cell>
          <cell r="R152">
            <v>242.64</v>
          </cell>
          <cell r="S152">
            <v>242.65</v>
          </cell>
          <cell r="U152">
            <v>138.88381114641354</v>
          </cell>
          <cell r="V152">
            <v>48.680514965975902</v>
          </cell>
          <cell r="X152">
            <v>1167.3899526286189</v>
          </cell>
          <cell r="Y152">
            <v>1209.1361137523595</v>
          </cell>
          <cell r="AA152">
            <v>0</v>
          </cell>
          <cell r="AB152">
            <v>0</v>
          </cell>
          <cell r="AD152">
            <v>3386.5298381564744</v>
          </cell>
          <cell r="AE152">
            <v>3721.6785226965189</v>
          </cell>
          <cell r="AJ152">
            <v>5954.2675865454994</v>
          </cell>
          <cell r="AK152">
            <v>4956.2718017994375</v>
          </cell>
          <cell r="AM152">
            <v>0</v>
          </cell>
          <cell r="AN152">
            <v>657.07215918214206</v>
          </cell>
          <cell r="AP152">
            <v>631.34509526243312</v>
          </cell>
          <cell r="AQ152">
            <v>0</v>
          </cell>
          <cell r="AS152">
            <v>11465.553840186622</v>
          </cell>
          <cell r="AT152">
            <v>1059.4162047011591</v>
          </cell>
          <cell r="AV152">
            <v>171.52601663044027</v>
          </cell>
          <cell r="AW152">
            <v>0</v>
          </cell>
          <cell r="AY152">
            <v>185.23402568086527</v>
          </cell>
          <cell r="AZ152">
            <v>0</v>
          </cell>
          <cell r="BB152">
            <v>229.91088521272141</v>
          </cell>
          <cell r="BC152">
            <v>0</v>
          </cell>
          <cell r="BE152">
            <v>111.16789026792613</v>
          </cell>
          <cell r="BF152">
            <v>0</v>
          </cell>
          <cell r="BH152">
            <v>56.371262847709524</v>
          </cell>
          <cell r="BI152">
            <v>0</v>
          </cell>
          <cell r="BK152">
            <v>105.1618901772249</v>
          </cell>
          <cell r="BL152">
            <v>0</v>
          </cell>
          <cell r="BN152">
            <v>78.880070559382432</v>
          </cell>
          <cell r="BO152">
            <v>0</v>
          </cell>
          <cell r="BT152">
            <v>10642.112670513292</v>
          </cell>
          <cell r="BU152">
            <v>8434.0706942040324</v>
          </cell>
          <cell r="BW152">
            <v>6864.3542547369134</v>
          </cell>
          <cell r="BX152">
            <v>10606.088489635509</v>
          </cell>
          <cell r="BZ152">
            <v>1255.1107704746041</v>
          </cell>
          <cell r="CA152">
            <v>8571.9635972801971</v>
          </cell>
          <cell r="CC152">
            <v>261.97404762287204</v>
          </cell>
          <cell r="CD152">
            <v>264.86316508816196</v>
          </cell>
          <cell r="CF152">
            <v>32.250592983876295</v>
          </cell>
          <cell r="CG152">
            <v>0</v>
          </cell>
          <cell r="CI152">
            <v>708.14636920376904</v>
          </cell>
          <cell r="CJ152">
            <v>520.59976793227804</v>
          </cell>
          <cell r="CL152">
            <v>3968.1153375647327</v>
          </cell>
          <cell r="CM152">
            <v>3021.295541042994</v>
          </cell>
          <cell r="CX152">
            <v>730.02568543917005</v>
          </cell>
          <cell r="CY152">
            <v>6431.8849150619353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47.350882144682487</v>
          </cell>
          <cell r="AQ153">
            <v>0</v>
          </cell>
          <cell r="AS153">
            <v>363.18261367780133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0.87470579145624505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X153">
            <v>9.8198050130194474</v>
          </cell>
          <cell r="CY153">
            <v>501.41035305025252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28.1</v>
          </cell>
          <cell r="P154">
            <v>28.08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11.837720536170622</v>
          </cell>
          <cell r="AQ154">
            <v>0</v>
          </cell>
          <cell r="AS154">
            <v>376.0473934711996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10.841388784924442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0.73826959727470332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X154">
            <v>47.988196649246333</v>
          </cell>
          <cell r="CY154">
            <v>525.59807648327023</v>
          </cell>
        </row>
        <row r="155">
          <cell r="I155">
            <v>865.13584529854973</v>
          </cell>
          <cell r="J155">
            <v>957.305441307808</v>
          </cell>
          <cell r="L155">
            <v>151.89314510575448</v>
          </cell>
          <cell r="M155">
            <v>167.16110296426169</v>
          </cell>
          <cell r="O155">
            <v>355.74</v>
          </cell>
          <cell r="P155">
            <v>355.75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501.10049208695614</v>
          </cell>
          <cell r="Y155">
            <v>465.49511437502338</v>
          </cell>
          <cell r="AA155">
            <v>0</v>
          </cell>
          <cell r="AB155">
            <v>0</v>
          </cell>
          <cell r="AD155">
            <v>1058.6958876213164</v>
          </cell>
          <cell r="AE155">
            <v>1163.0783809382378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733.9386732425786</v>
          </cell>
          <cell r="AQ155">
            <v>2151.6637752979409</v>
          </cell>
          <cell r="AS155">
            <v>2437.5860038463184</v>
          </cell>
          <cell r="AT155">
            <v>1587.1868598870578</v>
          </cell>
          <cell r="AV155">
            <v>143.40667600346097</v>
          </cell>
          <cell r="AW155">
            <v>0</v>
          </cell>
          <cell r="AY155">
            <v>195.76233491122258</v>
          </cell>
          <cell r="AZ155">
            <v>0</v>
          </cell>
          <cell r="BB155">
            <v>195.83071739750042</v>
          </cell>
          <cell r="BC155">
            <v>0</v>
          </cell>
          <cell r="BE155">
            <v>0</v>
          </cell>
          <cell r="BF155">
            <v>0</v>
          </cell>
          <cell r="BH155">
            <v>0</v>
          </cell>
          <cell r="BI155">
            <v>0</v>
          </cell>
          <cell r="BK155">
            <v>58.242111861801746</v>
          </cell>
          <cell r="BL155">
            <v>0</v>
          </cell>
          <cell r="BN155">
            <v>0</v>
          </cell>
          <cell r="BO155">
            <v>0</v>
          </cell>
          <cell r="BT155">
            <v>4523.2235593910427</v>
          </cell>
          <cell r="BU155">
            <v>3837.7402916654746</v>
          </cell>
          <cell r="BW155">
            <v>1590.6871427887886</v>
          </cell>
          <cell r="BX155">
            <v>1555.1048806768413</v>
          </cell>
          <cell r="BZ155">
            <v>1152.8566188084644</v>
          </cell>
          <cell r="CA155">
            <v>3232.5268784701384</v>
          </cell>
          <cell r="CC155">
            <v>98.534400397075743</v>
          </cell>
          <cell r="CD155">
            <v>99.621063216168707</v>
          </cell>
          <cell r="CF155">
            <v>12.13018186706425</v>
          </cell>
          <cell r="CG155">
            <v>1129.7586742620404</v>
          </cell>
          <cell r="CI155">
            <v>271.40411506928592</v>
          </cell>
          <cell r="CJ155">
            <v>416.7596121913366</v>
          </cell>
          <cell r="CL155">
            <v>0</v>
          </cell>
          <cell r="CM155">
            <v>0</v>
          </cell>
          <cell r="CX155">
            <v>281.33851316338041</v>
          </cell>
          <cell r="CY155">
            <v>-3046.2424903027968</v>
          </cell>
        </row>
        <row r="156">
          <cell r="I156">
            <v>1901.7003311699566</v>
          </cell>
          <cell r="J156">
            <v>1668.4713198524387</v>
          </cell>
          <cell r="L156">
            <v>324.64784090836838</v>
          </cell>
          <cell r="M156">
            <v>292.72963611380794</v>
          </cell>
          <cell r="O156">
            <v>991.6</v>
          </cell>
          <cell r="P156">
            <v>991.61666666666679</v>
          </cell>
          <cell r="R156">
            <v>199.04</v>
          </cell>
          <cell r="S156">
            <v>199.03333333333333</v>
          </cell>
          <cell r="U156">
            <v>130.00964065633656</v>
          </cell>
          <cell r="V156">
            <v>45.569938929811315</v>
          </cell>
          <cell r="X156">
            <v>1492.6457810054089</v>
          </cell>
          <cell r="Y156">
            <v>1842.4080174842395</v>
          </cell>
          <cell r="AA156">
            <v>0</v>
          </cell>
          <cell r="AB156">
            <v>0</v>
          </cell>
          <cell r="AD156">
            <v>2867.8002093199393</v>
          </cell>
          <cell r="AE156">
            <v>3151.612699866444</v>
          </cell>
          <cell r="AJ156">
            <v>6913.0950965152351</v>
          </cell>
          <cell r="AK156">
            <v>6989.3119663893776</v>
          </cell>
          <cell r="AM156">
            <v>0</v>
          </cell>
          <cell r="AN156">
            <v>0</v>
          </cell>
          <cell r="AP156">
            <v>552.42695835462905</v>
          </cell>
          <cell r="AQ156">
            <v>3022.1286148005593</v>
          </cell>
          <cell r="AS156">
            <v>12409.802417133933</v>
          </cell>
          <cell r="AT156">
            <v>151669.00607711385</v>
          </cell>
          <cell r="AV156">
            <v>161.43598939048366</v>
          </cell>
          <cell r="AW156">
            <v>0</v>
          </cell>
          <cell r="AY156">
            <v>216.85252149748126</v>
          </cell>
          <cell r="AZ156">
            <v>0</v>
          </cell>
          <cell r="BB156">
            <v>245.14168481353812</v>
          </cell>
          <cell r="BC156">
            <v>0</v>
          </cell>
          <cell r="BE156">
            <v>99.504095214135731</v>
          </cell>
          <cell r="BF156">
            <v>0</v>
          </cell>
          <cell r="BH156">
            <v>65.961235315382794</v>
          </cell>
          <cell r="BI156">
            <v>0</v>
          </cell>
          <cell r="BK156">
            <v>143.99064936730142</v>
          </cell>
          <cell r="BL156">
            <v>990.29746557913325</v>
          </cell>
          <cell r="BN156">
            <v>65.815575516818669</v>
          </cell>
          <cell r="BO156">
            <v>0</v>
          </cell>
          <cell r="BT156">
            <v>8208.7246994349371</v>
          </cell>
          <cell r="BU156">
            <v>6245.1978736289411</v>
          </cell>
          <cell r="BW156">
            <v>8106.6637301468609</v>
          </cell>
          <cell r="BX156">
            <v>10736.432402032118</v>
          </cell>
          <cell r="BZ156">
            <v>1081.9920435125903</v>
          </cell>
          <cell r="CA156">
            <v>5915.3409675461207</v>
          </cell>
          <cell r="CC156">
            <v>187.90167001094099</v>
          </cell>
          <cell r="CD156">
            <v>189.97389816297249</v>
          </cell>
          <cell r="CF156">
            <v>23.131834376346898</v>
          </cell>
          <cell r="CG156">
            <v>0</v>
          </cell>
          <cell r="CI156">
            <v>1060.6597600408875</v>
          </cell>
          <cell r="CJ156">
            <v>1710.2257764125666</v>
          </cell>
          <cell r="CL156">
            <v>1157.3669734563805</v>
          </cell>
          <cell r="CM156">
            <v>1182.277150478556</v>
          </cell>
          <cell r="CX156">
            <v>1458.507115410539</v>
          </cell>
          <cell r="CY156">
            <v>-176421.96056526911</v>
          </cell>
        </row>
        <row r="157">
          <cell r="I157">
            <v>855.53261713107736</v>
          </cell>
          <cell r="J157">
            <v>946.97150178372885</v>
          </cell>
          <cell r="L157">
            <v>151.89314510575448</v>
          </cell>
          <cell r="M157">
            <v>167.16110296426169</v>
          </cell>
          <cell r="O157">
            <v>355.74</v>
          </cell>
          <cell r="P157">
            <v>355.75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X157">
            <v>501.10049208695614</v>
          </cell>
          <cell r="Y157">
            <v>457.2801939119571</v>
          </cell>
          <cell r="AA157">
            <v>0</v>
          </cell>
          <cell r="AB157">
            <v>0</v>
          </cell>
          <cell r="AD157">
            <v>1058.2683044679961</v>
          </cell>
          <cell r="AE157">
            <v>1163.0000644355823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P157">
            <v>710.2632321702373</v>
          </cell>
          <cell r="AQ157">
            <v>2007.7528888788668</v>
          </cell>
          <cell r="AS157">
            <v>3067.072911326195</v>
          </cell>
          <cell r="AT157">
            <v>1634.4605878017144</v>
          </cell>
          <cell r="AV157">
            <v>142.83996650654154</v>
          </cell>
          <cell r="AW157">
            <v>0</v>
          </cell>
          <cell r="AY157">
            <v>195.76233491122258</v>
          </cell>
          <cell r="AZ157">
            <v>0</v>
          </cell>
          <cell r="BB157">
            <v>185.89456253896032</v>
          </cell>
          <cell r="BC157">
            <v>0</v>
          </cell>
          <cell r="BE157">
            <v>0</v>
          </cell>
          <cell r="BF157">
            <v>0</v>
          </cell>
          <cell r="BH157">
            <v>0</v>
          </cell>
          <cell r="BI157">
            <v>0</v>
          </cell>
          <cell r="BK157">
            <v>58.242111861801746</v>
          </cell>
          <cell r="BL157">
            <v>0</v>
          </cell>
          <cell r="BN157">
            <v>0</v>
          </cell>
          <cell r="BO157">
            <v>0</v>
          </cell>
          <cell r="BT157">
            <v>1729.1826723157401</v>
          </cell>
          <cell r="BU157">
            <v>1863.7935053909828</v>
          </cell>
          <cell r="BW157">
            <v>1345.5072202328861</v>
          </cell>
          <cell r="BX157">
            <v>1314.159832710611</v>
          </cell>
          <cell r="BZ157">
            <v>1030.5202036674464</v>
          </cell>
          <cell r="CA157">
            <v>1637.9115957780514</v>
          </cell>
          <cell r="CC157">
            <v>102.94638847455676</v>
          </cell>
          <cell r="CD157">
            <v>104.0817078377882</v>
          </cell>
          <cell r="CF157">
            <v>12.673324338723843</v>
          </cell>
          <cell r="CG157">
            <v>0</v>
          </cell>
          <cell r="CI157">
            <v>489.77524213652754</v>
          </cell>
          <cell r="CJ157">
            <v>121.40349746733136</v>
          </cell>
          <cell r="CL157">
            <v>0</v>
          </cell>
          <cell r="CM157">
            <v>0</v>
          </cell>
          <cell r="CX157">
            <v>346.88232487285131</v>
          </cell>
          <cell r="CY157">
            <v>610.26822524694762</v>
          </cell>
        </row>
        <row r="158">
          <cell r="I158">
            <v>542.49523897892993</v>
          </cell>
          <cell r="J158">
            <v>592.74132634564069</v>
          </cell>
          <cell r="L158">
            <v>115.89283842765819</v>
          </cell>
          <cell r="M158">
            <v>127.54175063831653</v>
          </cell>
          <cell r="O158">
            <v>169.16</v>
          </cell>
          <cell r="P158">
            <v>169.16666666666669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337.02213023549615</v>
          </cell>
          <cell r="Y158">
            <v>331.88296168908033</v>
          </cell>
          <cell r="AA158">
            <v>0</v>
          </cell>
          <cell r="AB158">
            <v>0</v>
          </cell>
          <cell r="AD158">
            <v>530.63069327061942</v>
          </cell>
          <cell r="AE158">
            <v>583.14467877355855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260.42985179575368</v>
          </cell>
          <cell r="AQ158">
            <v>719.55443209537134</v>
          </cell>
          <cell r="AS158">
            <v>1508.1134669330793</v>
          </cell>
          <cell r="AT158">
            <v>1374.367025578257</v>
          </cell>
          <cell r="AV158">
            <v>95.899640838670678</v>
          </cell>
          <cell r="AW158">
            <v>0</v>
          </cell>
          <cell r="AY158">
            <v>149.39035559607422</v>
          </cell>
          <cell r="AZ158">
            <v>0</v>
          </cell>
          <cell r="BB158">
            <v>75.981484148226926</v>
          </cell>
          <cell r="BC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K158">
            <v>40.779527065714653</v>
          </cell>
          <cell r="BL158">
            <v>0</v>
          </cell>
          <cell r="BN158">
            <v>0</v>
          </cell>
          <cell r="BO158">
            <v>0</v>
          </cell>
          <cell r="BT158">
            <v>1493.6013114539403</v>
          </cell>
          <cell r="BU158">
            <v>1697.5264655382521</v>
          </cell>
          <cell r="BW158">
            <v>836.432635961188</v>
          </cell>
          <cell r="BX158">
            <v>944.60793928483656</v>
          </cell>
          <cell r="BZ158">
            <v>815.63176666774837</v>
          </cell>
          <cell r="CA158">
            <v>1698.8856848268631</v>
          </cell>
          <cell r="CC158">
            <v>51.473194237278378</v>
          </cell>
          <cell r="CD158">
            <v>52.040853918894101</v>
          </cell>
          <cell r="CF158">
            <v>6.3366621693619214</v>
          </cell>
          <cell r="CG158">
            <v>0</v>
          </cell>
          <cell r="CI158">
            <v>140.38143882894101</v>
          </cell>
          <cell r="CJ158">
            <v>69.357611213086287</v>
          </cell>
          <cell r="CL158">
            <v>0</v>
          </cell>
          <cell r="CM158">
            <v>0</v>
          </cell>
          <cell r="CX158">
            <v>-2.2683930415951181E-2</v>
          </cell>
          <cell r="CY158">
            <v>-1429.4208758825844</v>
          </cell>
        </row>
        <row r="159">
          <cell r="I159">
            <v>351.57862051750493</v>
          </cell>
          <cell r="J159">
            <v>382.90119133555851</v>
          </cell>
          <cell r="L159">
            <v>55.924551659938601</v>
          </cell>
          <cell r="M159">
            <v>61.545678818659979</v>
          </cell>
          <cell r="O159">
            <v>94.72</v>
          </cell>
          <cell r="P159">
            <v>94.733333333333348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160.71800817894464</v>
          </cell>
          <cell r="Y159">
            <v>148.19219354024676</v>
          </cell>
          <cell r="AA159">
            <v>0</v>
          </cell>
          <cell r="AB159">
            <v>0</v>
          </cell>
          <cell r="AD159">
            <v>301.37485923199699</v>
          </cell>
          <cell r="AE159">
            <v>331.20048973051024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189.40352857872995</v>
          </cell>
          <cell r="AQ159">
            <v>431.73265925722279</v>
          </cell>
          <cell r="AS159">
            <v>1015.0315248158872</v>
          </cell>
          <cell r="AT159">
            <v>114.46218925325803</v>
          </cell>
          <cell r="AV159">
            <v>59.085306560631935</v>
          </cell>
          <cell r="AW159">
            <v>0</v>
          </cell>
          <cell r="AY159">
            <v>72.08773375891468</v>
          </cell>
          <cell r="AZ159">
            <v>0</v>
          </cell>
          <cell r="BB159">
            <v>44.209091793188861</v>
          </cell>
          <cell r="BC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K159">
            <v>13.131198850039331</v>
          </cell>
          <cell r="BL159">
            <v>0</v>
          </cell>
          <cell r="BN159">
            <v>0</v>
          </cell>
          <cell r="BO159">
            <v>0</v>
          </cell>
          <cell r="BT159">
            <v>1100.0539151582304</v>
          </cell>
          <cell r="BU159">
            <v>1077.3511417303944</v>
          </cell>
          <cell r="BW159">
            <v>546.9711536846462</v>
          </cell>
          <cell r="BX159">
            <v>615.50536943336294</v>
          </cell>
          <cell r="BZ159">
            <v>151.74840017694066</v>
          </cell>
          <cell r="CA159">
            <v>986.16230539079447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124.78350118128091</v>
          </cell>
          <cell r="CJ159">
            <v>175.90235794572129</v>
          </cell>
          <cell r="CL159">
            <v>0</v>
          </cell>
          <cell r="CM159">
            <v>0</v>
          </cell>
          <cell r="CX159">
            <v>-2.5672976250461943E-2</v>
          </cell>
          <cell r="CY159">
            <v>-166.66669172287493</v>
          </cell>
        </row>
        <row r="160">
          <cell r="I160">
            <v>1865.3122688848102</v>
          </cell>
          <cell r="J160">
            <v>2072.9862366348352</v>
          </cell>
          <cell r="L160">
            <v>380.52254474762248</v>
          </cell>
          <cell r="M160">
            <v>418.77112677670232</v>
          </cell>
          <cell r="O160">
            <v>820.52</v>
          </cell>
          <cell r="P160">
            <v>820.5333333333333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>
            <v>1250.9767379709051</v>
          </cell>
          <cell r="Y160">
            <v>1209.2190854134265</v>
          </cell>
          <cell r="AA160">
            <v>0</v>
          </cell>
          <cell r="AB160">
            <v>0</v>
          </cell>
          <cell r="AD160">
            <v>2477.2956417783043</v>
          </cell>
          <cell r="AE160">
            <v>2817.9295770017516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1538.9036697021809</v>
          </cell>
          <cell r="AQ160">
            <v>0</v>
          </cell>
          <cell r="AS160">
            <v>5434.9303082525867</v>
          </cell>
          <cell r="AT160">
            <v>0</v>
          </cell>
          <cell r="AV160">
            <v>309.24744506594914</v>
          </cell>
          <cell r="AW160">
            <v>0</v>
          </cell>
          <cell r="AY160">
            <v>490.42556714245251</v>
          </cell>
          <cell r="AZ160">
            <v>0</v>
          </cell>
          <cell r="BB160">
            <v>430.839921178493</v>
          </cell>
          <cell r="BC160">
            <v>0</v>
          </cell>
          <cell r="BE160">
            <v>0</v>
          </cell>
          <cell r="BF160">
            <v>0</v>
          </cell>
          <cell r="BH160">
            <v>0</v>
          </cell>
          <cell r="BI160">
            <v>0</v>
          </cell>
          <cell r="BK160">
            <v>174.4186197559111</v>
          </cell>
          <cell r="BL160">
            <v>0</v>
          </cell>
          <cell r="BN160">
            <v>0</v>
          </cell>
          <cell r="BO160">
            <v>0</v>
          </cell>
          <cell r="BT160">
            <v>4635.9429891762629</v>
          </cell>
          <cell r="BU160">
            <v>5046.4485869126447</v>
          </cell>
          <cell r="BW160">
            <v>3429.2911878663831</v>
          </cell>
          <cell r="BX160">
            <v>4083.3559415271275</v>
          </cell>
          <cell r="BZ160">
            <v>2525.226801110196</v>
          </cell>
          <cell r="CA160">
            <v>4880.7136828099192</v>
          </cell>
          <cell r="CC160">
            <v>146.57604835186891</v>
          </cell>
          <cell r="CD160">
            <v>148.19252687380322</v>
          </cell>
          <cell r="CF160">
            <v>18.044399891802041</v>
          </cell>
          <cell r="CG160">
            <v>0</v>
          </cell>
          <cell r="CI160">
            <v>807.97317014879377</v>
          </cell>
          <cell r="CJ160">
            <v>394.00851123700238</v>
          </cell>
          <cell r="CL160">
            <v>0</v>
          </cell>
          <cell r="CM160">
            <v>0</v>
          </cell>
          <cell r="CX160">
            <v>1588.3832147705725</v>
          </cell>
          <cell r="CY160">
            <v>7401.5296697753365</v>
          </cell>
        </row>
        <row r="161">
          <cell r="I161">
            <v>139.34490585054729</v>
          </cell>
          <cell r="J161">
            <v>155.82933144195766</v>
          </cell>
          <cell r="L161">
            <v>46.89928558546012</v>
          </cell>
          <cell r="M161">
            <v>51.61370419448469</v>
          </cell>
          <cell r="O161">
            <v>76.86</v>
          </cell>
          <cell r="P161">
            <v>76.850000000000009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>
            <v>80.04788026260654</v>
          </cell>
          <cell r="Y161">
            <v>75.057224161382251</v>
          </cell>
          <cell r="AA161">
            <v>0</v>
          </cell>
          <cell r="AB161">
            <v>0</v>
          </cell>
          <cell r="AD161">
            <v>241.7982732026876</v>
          </cell>
          <cell r="AE161">
            <v>265.72789351043298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94.701764289364974</v>
          </cell>
          <cell r="AQ161">
            <v>0</v>
          </cell>
          <cell r="AS161">
            <v>765.14678073392361</v>
          </cell>
          <cell r="AT161">
            <v>0</v>
          </cell>
          <cell r="AV161">
            <v>47.059309791594281</v>
          </cell>
          <cell r="AW161">
            <v>0</v>
          </cell>
          <cell r="AY161">
            <v>60.404944907288225</v>
          </cell>
          <cell r="AZ161">
            <v>0</v>
          </cell>
          <cell r="BB161">
            <v>29.899082143124652</v>
          </cell>
          <cell r="BC161">
            <v>0</v>
          </cell>
          <cell r="BE161">
            <v>0</v>
          </cell>
          <cell r="BF161">
            <v>0</v>
          </cell>
          <cell r="BH161">
            <v>0</v>
          </cell>
          <cell r="BI161">
            <v>0</v>
          </cell>
          <cell r="BK161">
            <v>9.782104083393186</v>
          </cell>
          <cell r="BL161">
            <v>0</v>
          </cell>
          <cell r="BN161">
            <v>0</v>
          </cell>
          <cell r="BO161">
            <v>0</v>
          </cell>
          <cell r="BT161">
            <v>587.58115212519897</v>
          </cell>
          <cell r="BU161">
            <v>708.40845196749524</v>
          </cell>
          <cell r="BW161">
            <v>419.41787323172497</v>
          </cell>
          <cell r="BX161">
            <v>451.69010952182373</v>
          </cell>
          <cell r="BZ161">
            <v>361.08730275838911</v>
          </cell>
          <cell r="CA161">
            <v>758.25631343906321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3.1195875295320228</v>
          </cell>
          <cell r="CJ161">
            <v>0</v>
          </cell>
          <cell r="CL161">
            <v>0</v>
          </cell>
          <cell r="CM161">
            <v>0</v>
          </cell>
          <cell r="CX161">
            <v>-67.940295793802761</v>
          </cell>
          <cell r="CY161">
            <v>435.72036611603221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84.86</v>
          </cell>
          <cell r="P162">
            <v>84.866666666666674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23.675441072341243</v>
          </cell>
          <cell r="AQ162">
            <v>0</v>
          </cell>
          <cell r="AS162">
            <v>520.50321866540708</v>
          </cell>
          <cell r="AT162">
            <v>2434.1375100879682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37.508628877400184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55.829691759794173</v>
          </cell>
          <cell r="BU162">
            <v>77.906769013239767</v>
          </cell>
          <cell r="BW162">
            <v>0</v>
          </cell>
          <cell r="BX162">
            <v>2.0347390653744855</v>
          </cell>
          <cell r="BZ162">
            <v>0</v>
          </cell>
          <cell r="CA162">
            <v>73.297304685086999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145.84762355006887</v>
          </cell>
          <cell r="CY162">
            <v>-2193.9915874220028</v>
          </cell>
        </row>
        <row r="163">
          <cell r="I163">
            <v>1009.1308553746552</v>
          </cell>
          <cell r="J163">
            <v>1151.143416620554</v>
          </cell>
          <cell r="L163">
            <v>200.42000866537376</v>
          </cell>
          <cell r="M163">
            <v>220.56581897622061</v>
          </cell>
          <cell r="O163">
            <v>675.9</v>
          </cell>
          <cell r="P163">
            <v>675.90000000000009</v>
          </cell>
          <cell r="R163">
            <v>199.6</v>
          </cell>
          <cell r="S163">
            <v>199.60000000000002</v>
          </cell>
          <cell r="U163">
            <v>0</v>
          </cell>
          <cell r="V163">
            <v>0</v>
          </cell>
          <cell r="X163">
            <v>899.10558157150649</v>
          </cell>
          <cell r="Y163">
            <v>863.85393377837954</v>
          </cell>
          <cell r="AA163">
            <v>0</v>
          </cell>
          <cell r="AB163">
            <v>0</v>
          </cell>
          <cell r="AD163">
            <v>2350.4816048893617</v>
          </cell>
          <cell r="AE163">
            <v>2576.5972740685365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284.10529286809492</v>
          </cell>
          <cell r="AQ163">
            <v>143.32759300339319</v>
          </cell>
          <cell r="AS163">
            <v>6661.8589022123697</v>
          </cell>
          <cell r="AT163">
            <v>1260.8226852769128</v>
          </cell>
          <cell r="AV163">
            <v>187.4391067611696</v>
          </cell>
          <cell r="AW163">
            <v>0</v>
          </cell>
          <cell r="AY163">
            <v>258.30373939722529</v>
          </cell>
          <cell r="AZ163">
            <v>0</v>
          </cell>
          <cell r="BB163">
            <v>417.52689610795557</v>
          </cell>
          <cell r="BC163">
            <v>0</v>
          </cell>
          <cell r="BE163">
            <v>234.92107816430971</v>
          </cell>
          <cell r="BF163">
            <v>0</v>
          </cell>
          <cell r="BH163">
            <v>0</v>
          </cell>
          <cell r="BI163">
            <v>0</v>
          </cell>
          <cell r="BK163">
            <v>120.7391811804537</v>
          </cell>
          <cell r="BL163">
            <v>0</v>
          </cell>
          <cell r="BN163">
            <v>0</v>
          </cell>
          <cell r="BO163">
            <v>0</v>
          </cell>
          <cell r="BT163">
            <v>6308.2688282534582</v>
          </cell>
          <cell r="BU163">
            <v>6482.6654517243496</v>
          </cell>
          <cell r="BW163">
            <v>2577.0798472638176</v>
          </cell>
          <cell r="BX163">
            <v>3166.7685127865875</v>
          </cell>
          <cell r="BZ163">
            <v>2752.2272518727541</v>
          </cell>
          <cell r="CA163">
            <v>6166.9066110685308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567.76493037482805</v>
          </cell>
          <cell r="CJ163">
            <v>559.81716150648981</v>
          </cell>
          <cell r="CL163">
            <v>0</v>
          </cell>
          <cell r="CM163">
            <v>0</v>
          </cell>
          <cell r="CX163">
            <v>1419.2322740512027</v>
          </cell>
          <cell r="CY163">
            <v>4103.5178494280553</v>
          </cell>
        </row>
        <row r="164">
          <cell r="I164">
            <v>1316.1161092304196</v>
          </cell>
          <cell r="J164">
            <v>1452.1130671868177</v>
          </cell>
          <cell r="L164">
            <v>242.04325103642387</v>
          </cell>
          <cell r="M164">
            <v>266.37230303525854</v>
          </cell>
          <cell r="O164">
            <v>475.2</v>
          </cell>
          <cell r="P164">
            <v>475.2166666666667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>
            <v>678.7348856284442</v>
          </cell>
          <cell r="Y164">
            <v>2728.2123953492628</v>
          </cell>
          <cell r="AA164">
            <v>0</v>
          </cell>
          <cell r="AB164">
            <v>0</v>
          </cell>
          <cell r="AD164">
            <v>1458.2010805403459</v>
          </cell>
          <cell r="AE164">
            <v>1602.5122773387798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1112.7457304000384</v>
          </cell>
          <cell r="AQ164">
            <v>644.9741685152693</v>
          </cell>
          <cell r="AS164">
            <v>4338.0403342556865</v>
          </cell>
          <cell r="AT164">
            <v>0</v>
          </cell>
          <cell r="AV164">
            <v>209.68610314611877</v>
          </cell>
          <cell r="AW164">
            <v>0</v>
          </cell>
          <cell r="AY164">
            <v>311.97860728969681</v>
          </cell>
          <cell r="AZ164">
            <v>0</v>
          </cell>
          <cell r="BB164">
            <v>235.70928345887529</v>
          </cell>
          <cell r="BC164">
            <v>0</v>
          </cell>
          <cell r="BE164">
            <v>0</v>
          </cell>
          <cell r="BF164">
            <v>0</v>
          </cell>
          <cell r="BH164">
            <v>0</v>
          </cell>
          <cell r="BI164">
            <v>575.62394851667761</v>
          </cell>
          <cell r="BK164">
            <v>86.524571442710084</v>
          </cell>
          <cell r="BL164">
            <v>0</v>
          </cell>
          <cell r="BN164">
            <v>0</v>
          </cell>
          <cell r="BO164">
            <v>0</v>
          </cell>
          <cell r="BT164">
            <v>2123.3113174156992</v>
          </cell>
          <cell r="BU164">
            <v>2403.0990972946338</v>
          </cell>
          <cell r="BW164">
            <v>1851.3847795805198</v>
          </cell>
          <cell r="BX164">
            <v>2166.2952954269917</v>
          </cell>
          <cell r="BZ164">
            <v>1217.2371132488631</v>
          </cell>
          <cell r="CA164">
            <v>2368.0937319956929</v>
          </cell>
          <cell r="CC164">
            <v>334.62478463205923</v>
          </cell>
          <cell r="CD164">
            <v>338.31511319082961</v>
          </cell>
          <cell r="CF164">
            <v>41.194339017204264</v>
          </cell>
          <cell r="CG164">
            <v>0</v>
          </cell>
          <cell r="CI164">
            <v>552.16699272716801</v>
          </cell>
          <cell r="CJ164">
            <v>510.32489618340901</v>
          </cell>
          <cell r="CL164">
            <v>0</v>
          </cell>
          <cell r="CM164">
            <v>0</v>
          </cell>
          <cell r="CX164">
            <v>299.5208603396768</v>
          </cell>
          <cell r="CY164">
            <v>1564.0164471596527</v>
          </cell>
        </row>
        <row r="165">
          <cell r="I165">
            <v>1068.5265618407543</v>
          </cell>
          <cell r="J165">
            <v>1205.7532643817856</v>
          </cell>
          <cell r="L165">
            <v>214.22921161810962</v>
          </cell>
          <cell r="M165">
            <v>235.76228288206258</v>
          </cell>
          <cell r="O165">
            <v>600.14</v>
          </cell>
          <cell r="P165">
            <v>600.15</v>
          </cell>
          <cell r="R165">
            <v>177.32</v>
          </cell>
          <cell r="S165">
            <v>177.31666666666666</v>
          </cell>
          <cell r="U165">
            <v>0</v>
          </cell>
          <cell r="V165">
            <v>0</v>
          </cell>
          <cell r="X165">
            <v>882.13503577038978</v>
          </cell>
          <cell r="Y165">
            <v>850.67043695454743</v>
          </cell>
          <cell r="AA165">
            <v>0</v>
          </cell>
          <cell r="AB165">
            <v>0</v>
          </cell>
          <cell r="AD165">
            <v>2006.840150951643</v>
          </cell>
          <cell r="AE165">
            <v>2209.7549439794652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260.42985179575368</v>
          </cell>
          <cell r="AQ165">
            <v>0</v>
          </cell>
          <cell r="AS165">
            <v>6034.821116901755</v>
          </cell>
          <cell r="AT165">
            <v>34.345116963773862</v>
          </cell>
          <cell r="AV165">
            <v>185.03472901469073</v>
          </cell>
          <cell r="AW165">
            <v>0</v>
          </cell>
          <cell r="AY165">
            <v>276.14354862921226</v>
          </cell>
          <cell r="AZ165">
            <v>0</v>
          </cell>
          <cell r="BB165">
            <v>370.93148431507529</v>
          </cell>
          <cell r="BC165">
            <v>0</v>
          </cell>
          <cell r="BE165">
            <v>213.4689416535854</v>
          </cell>
          <cell r="BF165">
            <v>0</v>
          </cell>
          <cell r="BH165">
            <v>0</v>
          </cell>
          <cell r="BI165">
            <v>0</v>
          </cell>
          <cell r="BK165">
            <v>118.21256501765102</v>
          </cell>
          <cell r="BL165">
            <v>0</v>
          </cell>
          <cell r="BN165">
            <v>0</v>
          </cell>
          <cell r="BO165">
            <v>0</v>
          </cell>
          <cell r="BT165">
            <v>5231.556439532781</v>
          </cell>
          <cell r="BU165">
            <v>5038.9288921006719</v>
          </cell>
          <cell r="BW165">
            <v>3479.5450299323425</v>
          </cell>
          <cell r="BX165">
            <v>4137.3931467064458</v>
          </cell>
          <cell r="BZ165">
            <v>2034.3988130776456</v>
          </cell>
          <cell r="CA165">
            <v>4870.1268268195909</v>
          </cell>
          <cell r="CC165">
            <v>286.28900413876733</v>
          </cell>
          <cell r="CD165">
            <v>289.44627322508717</v>
          </cell>
          <cell r="CF165">
            <v>35.243911494355835</v>
          </cell>
          <cell r="CG165">
            <v>0</v>
          </cell>
          <cell r="CI165">
            <v>96.707213415492689</v>
          </cell>
          <cell r="CJ165">
            <v>86.659271501225561</v>
          </cell>
          <cell r="CL165">
            <v>0</v>
          </cell>
          <cell r="CM165">
            <v>0</v>
          </cell>
          <cell r="CX165">
            <v>1211.6516690799945</v>
          </cell>
          <cell r="CY165">
            <v>5814.4514533824167</v>
          </cell>
        </row>
        <row r="166">
          <cell r="I166">
            <v>4212.8469126046803</v>
          </cell>
          <cell r="J166">
            <v>3642.4634259500117</v>
          </cell>
          <cell r="L166">
            <v>653.74375445418661</v>
          </cell>
          <cell r="M166">
            <v>589.46134837074874</v>
          </cell>
          <cell r="O166">
            <v>1733.54</v>
          </cell>
          <cell r="P166">
            <v>1733.5333333333333</v>
          </cell>
          <cell r="R166">
            <v>364.22</v>
          </cell>
          <cell r="S166">
            <v>364.2166666666667</v>
          </cell>
          <cell r="U166">
            <v>208.3500279500883</v>
          </cell>
          <cell r="V166">
            <v>73.029412937953197</v>
          </cell>
          <cell r="X166">
            <v>1862.1635498189644</v>
          </cell>
          <cell r="Y166">
            <v>1417.0505194511848</v>
          </cell>
          <cell r="AA166">
            <v>0</v>
          </cell>
          <cell r="AB166">
            <v>0</v>
          </cell>
          <cell r="AD166">
            <v>4932.7417844219362</v>
          </cell>
          <cell r="AE166">
            <v>5420.9116808149583</v>
          </cell>
          <cell r="AJ166">
            <v>8931.4013798182496</v>
          </cell>
          <cell r="AK166">
            <v>9029.8766527147764</v>
          </cell>
          <cell r="AM166">
            <v>0</v>
          </cell>
          <cell r="AN166">
            <v>0</v>
          </cell>
          <cell r="AP166">
            <v>931.23401551208894</v>
          </cell>
          <cell r="AQ166">
            <v>0</v>
          </cell>
          <cell r="AS166">
            <v>17154.831197693347</v>
          </cell>
          <cell r="AT166">
            <v>544.06164606119103</v>
          </cell>
          <cell r="AV166">
            <v>327.89594630734996</v>
          </cell>
          <cell r="AW166">
            <v>0</v>
          </cell>
          <cell r="AY166">
            <v>390.07398117832253</v>
          </cell>
          <cell r="AZ166">
            <v>0</v>
          </cell>
          <cell r="BB166">
            <v>422.98261503208329</v>
          </cell>
          <cell r="BC166">
            <v>0</v>
          </cell>
          <cell r="BE166">
            <v>179.97352815066915</v>
          </cell>
          <cell r="BF166">
            <v>0</v>
          </cell>
          <cell r="BH166">
            <v>105.68402349220877</v>
          </cell>
          <cell r="BI166">
            <v>12.8826444</v>
          </cell>
          <cell r="BK166">
            <v>220.07829817605759</v>
          </cell>
          <cell r="BL166">
            <v>2305.3439648891604</v>
          </cell>
          <cell r="BN166">
            <v>118.34437622421669</v>
          </cell>
          <cell r="BO166">
            <v>0</v>
          </cell>
          <cell r="BT166">
            <v>15467.810670251904</v>
          </cell>
          <cell r="BU166">
            <v>12564.545960242847</v>
          </cell>
          <cell r="BW166">
            <v>11472.75782530564</v>
          </cell>
          <cell r="BX166">
            <v>18162.55713212131</v>
          </cell>
          <cell r="BZ166">
            <v>2813.1793131327345</v>
          </cell>
          <cell r="CA166">
            <v>12453.756125920485</v>
          </cell>
          <cell r="CC166">
            <v>262.26818016137076</v>
          </cell>
          <cell r="CD166">
            <v>265.16054139626999</v>
          </cell>
          <cell r="CF166">
            <v>32.286802481986932</v>
          </cell>
          <cell r="CG166">
            <v>0</v>
          </cell>
          <cell r="CI166">
            <v>2043.3298318434745</v>
          </cell>
          <cell r="CJ166">
            <v>2314.1662799415576</v>
          </cell>
          <cell r="CL166">
            <v>3060.3153664709139</v>
          </cell>
          <cell r="CM166">
            <v>3466.293148110537</v>
          </cell>
          <cell r="CX166">
            <v>2371.4159434210451</v>
          </cell>
          <cell r="CY166">
            <v>6622.7074200124043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94.701764289364974</v>
          </cell>
          <cell r="AQ167">
            <v>0</v>
          </cell>
          <cell r="AS167">
            <v>602.23699525329232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135.58639427378586</v>
          </cell>
          <cell r="BU167">
            <v>208.64996985809475</v>
          </cell>
          <cell r="BW167">
            <v>0</v>
          </cell>
          <cell r="BX167">
            <v>1.3045286466343722</v>
          </cell>
          <cell r="BZ167">
            <v>0</v>
          </cell>
          <cell r="CA167">
            <v>196.3118241268532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14.969815420268219</v>
          </cell>
          <cell r="CY167">
            <v>526.48041284210126</v>
          </cell>
        </row>
        <row r="168">
          <cell r="I168">
            <v>4953.5548673331296</v>
          </cell>
          <cell r="J168">
            <v>4355.6065866180179</v>
          </cell>
          <cell r="L168">
            <v>1396.0090565770847</v>
          </cell>
          <cell r="M168">
            <v>1258.7418820406447</v>
          </cell>
          <cell r="O168">
            <v>2897.22</v>
          </cell>
          <cell r="P168">
            <v>2897.2166666666667</v>
          </cell>
          <cell r="R168">
            <v>630.94000000000005</v>
          </cell>
          <cell r="S168">
            <v>630.95000000000005</v>
          </cell>
          <cell r="U168">
            <v>576.24186023756681</v>
          </cell>
          <cell r="V168">
            <v>201.98007061495434</v>
          </cell>
          <cell r="X168">
            <v>3782.2713191717239</v>
          </cell>
          <cell r="Y168">
            <v>2818.1986872930238</v>
          </cell>
          <cell r="AA168">
            <v>0</v>
          </cell>
          <cell r="AB168">
            <v>0</v>
          </cell>
          <cell r="AD168">
            <v>8253.8656528921674</v>
          </cell>
          <cell r="AE168">
            <v>9070.7113173741727</v>
          </cell>
          <cell r="AJ168">
            <v>20705.326351009942</v>
          </cell>
          <cell r="AK168">
            <v>19381.759958780887</v>
          </cell>
          <cell r="AM168">
            <v>1052.2814392472874</v>
          </cell>
          <cell r="AN168">
            <v>931.28884931259404</v>
          </cell>
          <cell r="AP168">
            <v>1688.8481298270087</v>
          </cell>
          <cell r="AQ168">
            <v>1194.3966083616099</v>
          </cell>
          <cell r="AS168">
            <v>35144.668095611945</v>
          </cell>
          <cell r="AT168">
            <v>27448.324949950256</v>
          </cell>
          <cell r="AV168">
            <v>163.40459525333648</v>
          </cell>
          <cell r="AW168">
            <v>0</v>
          </cell>
          <cell r="AY168">
            <v>336.8331617242394</v>
          </cell>
          <cell r="AZ168">
            <v>0</v>
          </cell>
          <cell r="BB168">
            <v>244.72535051333389</v>
          </cell>
          <cell r="BC168">
            <v>0</v>
          </cell>
          <cell r="BE168">
            <v>103.02668463952413</v>
          </cell>
          <cell r="BF168">
            <v>1287.2999011257489</v>
          </cell>
          <cell r="BH168">
            <v>116.92905359372746</v>
          </cell>
          <cell r="BI168">
            <v>1404.9660277373732</v>
          </cell>
          <cell r="BK168">
            <v>166.61389976254213</v>
          </cell>
          <cell r="BL168">
            <v>0</v>
          </cell>
          <cell r="BN168">
            <v>187.49373979063722</v>
          </cell>
          <cell r="BO168">
            <v>0</v>
          </cell>
          <cell r="BT168">
            <v>24082.874176425357</v>
          </cell>
          <cell r="BU168">
            <v>18204.522998724569</v>
          </cell>
          <cell r="BW168">
            <v>14792.293665798035</v>
          </cell>
          <cell r="BX168">
            <v>25295.729563638743</v>
          </cell>
          <cell r="BZ168">
            <v>2596.7809044302167</v>
          </cell>
          <cell r="CA168">
            <v>17033.730413777696</v>
          </cell>
          <cell r="CC168">
            <v>286.77922503626519</v>
          </cell>
          <cell r="CD168">
            <v>289.94190040526723</v>
          </cell>
          <cell r="CF168">
            <v>35.304260657873563</v>
          </cell>
          <cell r="CG168">
            <v>0</v>
          </cell>
          <cell r="CI168">
            <v>1294.6288247557891</v>
          </cell>
          <cell r="CJ168">
            <v>1112.466629083882</v>
          </cell>
          <cell r="CL168">
            <v>4641.9462439436484</v>
          </cell>
          <cell r="CM168">
            <v>5456.3922789288918</v>
          </cell>
          <cell r="CX168">
            <v>2417.2773301211419</v>
          </cell>
          <cell r="CY168">
            <v>-9754.760348522017</v>
          </cell>
        </row>
        <row r="169">
          <cell r="I169">
            <v>1764.9731582526167</v>
          </cell>
          <cell r="J169">
            <v>1520.7076984275463</v>
          </cell>
          <cell r="L169">
            <v>334.70831114493518</v>
          </cell>
          <cell r="M169">
            <v>301.80100870490878</v>
          </cell>
          <cell r="O169">
            <v>737.24</v>
          </cell>
          <cell r="P169">
            <v>737.25000000000011</v>
          </cell>
          <cell r="R169">
            <v>155.72</v>
          </cell>
          <cell r="S169">
            <v>155.7166666666667</v>
          </cell>
          <cell r="U169">
            <v>118.22581795543685</v>
          </cell>
          <cell r="V169">
            <v>41.439785192903869</v>
          </cell>
          <cell r="X169">
            <v>1200.0816683219018</v>
          </cell>
          <cell r="Y169">
            <v>935.42447824782846</v>
          </cell>
          <cell r="AA169">
            <v>0</v>
          </cell>
          <cell r="AB169">
            <v>0</v>
          </cell>
          <cell r="AD169">
            <v>2031.518825284119</v>
          </cell>
          <cell r="AE169">
            <v>2232.5685412030398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465.61700775604447</v>
          </cell>
          <cell r="AQ169">
            <v>0</v>
          </cell>
          <cell r="AS169">
            <v>6284.1279773878887</v>
          </cell>
          <cell r="AT169">
            <v>0</v>
          </cell>
          <cell r="AV169">
            <v>296.40759987889163</v>
          </cell>
          <cell r="AW169">
            <v>0</v>
          </cell>
          <cell r="AY169">
            <v>431.42874836421191</v>
          </cell>
          <cell r="AZ169">
            <v>2890.710092458793</v>
          </cell>
          <cell r="BB169">
            <v>290.03422020352775</v>
          </cell>
          <cell r="BC169">
            <v>0</v>
          </cell>
          <cell r="BE169">
            <v>144.21332472826128</v>
          </cell>
          <cell r="BF169">
            <v>0</v>
          </cell>
          <cell r="BH169">
            <v>119.94714023874553</v>
          </cell>
          <cell r="BI169">
            <v>15.456925</v>
          </cell>
          <cell r="BK169">
            <v>165.91452866121352</v>
          </cell>
          <cell r="BL169">
            <v>1699.0074840144684</v>
          </cell>
          <cell r="BN169">
            <v>232.74222385317006</v>
          </cell>
          <cell r="BO169">
            <v>0</v>
          </cell>
          <cell r="BT169">
            <v>6867.58119902608</v>
          </cell>
          <cell r="BU169">
            <v>8011.9719975539101</v>
          </cell>
          <cell r="BW169">
            <v>2924.6861180462056</v>
          </cell>
          <cell r="BX169">
            <v>5111.1324622559587</v>
          </cell>
          <cell r="BZ169">
            <v>3242.8749864936658</v>
          </cell>
          <cell r="CA169">
            <v>7591.4161301725044</v>
          </cell>
          <cell r="CC169">
            <v>278.44546977880111</v>
          </cell>
          <cell r="CD169">
            <v>281.51623834220811</v>
          </cell>
          <cell r="CF169">
            <v>34.278324878072105</v>
          </cell>
          <cell r="CG169">
            <v>0</v>
          </cell>
          <cell r="CI169">
            <v>1004.5071845093111</v>
          </cell>
          <cell r="CJ169">
            <v>408.84713263029494</v>
          </cell>
          <cell r="CL169">
            <v>0</v>
          </cell>
          <cell r="CM169">
            <v>0</v>
          </cell>
          <cell r="CX169">
            <v>696.81139828427695</v>
          </cell>
          <cell r="CY169">
            <v>-2674.8199690452384</v>
          </cell>
        </row>
        <row r="170">
          <cell r="I170">
            <v>1652.6847824644592</v>
          </cell>
          <cell r="J170">
            <v>1450.8988289937654</v>
          </cell>
          <cell r="L170">
            <v>374.90728797575917</v>
          </cell>
          <cell r="M170">
            <v>338.04203155661071</v>
          </cell>
          <cell r="O170">
            <v>894.22</v>
          </cell>
          <cell r="P170">
            <v>894.23333333333335</v>
          </cell>
          <cell r="R170">
            <v>190.56</v>
          </cell>
          <cell r="S170">
            <v>190.56666666666669</v>
          </cell>
          <cell r="U170">
            <v>121.13538847560967</v>
          </cell>
          <cell r="V170">
            <v>42.459362893646713</v>
          </cell>
          <cell r="X170">
            <v>1121.771732780521</v>
          </cell>
          <cell r="Y170">
            <v>3323.9637444166037</v>
          </cell>
          <cell r="AA170">
            <v>0</v>
          </cell>
          <cell r="AB170">
            <v>0</v>
          </cell>
          <cell r="AD170">
            <v>2687.695058755497</v>
          </cell>
          <cell r="AE170">
            <v>2953.6834027049595</v>
          </cell>
          <cell r="AJ170">
            <v>6139.7493479442464</v>
          </cell>
          <cell r="AK170">
            <v>6207.4600896555166</v>
          </cell>
          <cell r="AM170">
            <v>526.14071962364369</v>
          </cell>
          <cell r="AN170">
            <v>532.00510021686796</v>
          </cell>
          <cell r="AP170">
            <v>568.21058573618984</v>
          </cell>
          <cell r="AQ170">
            <v>2926.18802385451</v>
          </cell>
          <cell r="AS170">
            <v>11411.464666137987</v>
          </cell>
          <cell r="AT170">
            <v>11820.758691118572</v>
          </cell>
          <cell r="AV170">
            <v>137.99555972980002</v>
          </cell>
          <cell r="AW170">
            <v>0</v>
          </cell>
          <cell r="AY170">
            <v>220.85066511954076</v>
          </cell>
          <cell r="AZ170">
            <v>0</v>
          </cell>
          <cell r="BB170">
            <v>177.48698710665167</v>
          </cell>
          <cell r="BC170">
            <v>0</v>
          </cell>
          <cell r="BE170">
            <v>87.157379501975697</v>
          </cell>
          <cell r="BF170">
            <v>0</v>
          </cell>
          <cell r="BH170">
            <v>61.458351225803753</v>
          </cell>
          <cell r="BI170">
            <v>19.323966600000002</v>
          </cell>
          <cell r="BK170">
            <v>128.7899698064362</v>
          </cell>
          <cell r="BL170">
            <v>1098.3672173464092</v>
          </cell>
          <cell r="BN170">
            <v>65.148817906898302</v>
          </cell>
          <cell r="BO170">
            <v>0</v>
          </cell>
          <cell r="BT170">
            <v>8934.8374435718233</v>
          </cell>
          <cell r="BU170">
            <v>7069.4560863290935</v>
          </cell>
          <cell r="BW170">
            <v>4533.9062185831153</v>
          </cell>
          <cell r="BX170">
            <v>8116.5822173117976</v>
          </cell>
          <cell r="BZ170">
            <v>1423.9015292625688</v>
          </cell>
          <cell r="CA170">
            <v>6701.5673498354654</v>
          </cell>
          <cell r="CC170">
            <v>156.87068719932458</v>
          </cell>
          <cell r="CD170">
            <v>158.60069765758203</v>
          </cell>
          <cell r="CF170">
            <v>19.311732325674427</v>
          </cell>
          <cell r="CG170">
            <v>0</v>
          </cell>
          <cell r="CI170">
            <v>1397.575213230346</v>
          </cell>
          <cell r="CJ170">
            <v>703.7000138192027</v>
          </cell>
          <cell r="CL170">
            <v>1522.358714411627</v>
          </cell>
          <cell r="CM170">
            <v>1883.2323146232575</v>
          </cell>
          <cell r="CX170">
            <v>797.73339334940829</v>
          </cell>
          <cell r="CY170">
            <v>-13452.146966720629</v>
          </cell>
        </row>
        <row r="171">
          <cell r="I171">
            <v>1652.5861488015391</v>
          </cell>
          <cell r="J171">
            <v>1450.7319231306251</v>
          </cell>
          <cell r="L171">
            <v>374.90728797575917</v>
          </cell>
          <cell r="M171">
            <v>338.04203155661071</v>
          </cell>
          <cell r="O171">
            <v>798.36</v>
          </cell>
          <cell r="P171">
            <v>798.35</v>
          </cell>
          <cell r="R171">
            <v>196.26</v>
          </cell>
          <cell r="S171">
            <v>196.26666666666668</v>
          </cell>
          <cell r="U171">
            <v>121.13538847560967</v>
          </cell>
          <cell r="V171">
            <v>42.459362893646713</v>
          </cell>
          <cell r="X171">
            <v>1216.3509927181026</v>
          </cell>
          <cell r="Y171">
            <v>3391.3068022988223</v>
          </cell>
          <cell r="AA171">
            <v>0</v>
          </cell>
          <cell r="AB171">
            <v>0</v>
          </cell>
          <cell r="AD171">
            <v>2685.1153070637974</v>
          </cell>
          <cell r="AE171">
            <v>2950.848345308827</v>
          </cell>
          <cell r="AJ171">
            <v>4964.0659391358995</v>
          </cell>
          <cell r="AK171">
            <v>5018.7884120266808</v>
          </cell>
          <cell r="AM171">
            <v>0</v>
          </cell>
          <cell r="AN171">
            <v>0</v>
          </cell>
          <cell r="AP171">
            <v>568.21058573618984</v>
          </cell>
          <cell r="AQ171">
            <v>0</v>
          </cell>
          <cell r="AS171">
            <v>10361.984393040482</v>
          </cell>
          <cell r="AT171">
            <v>253.77157469791868</v>
          </cell>
          <cell r="AV171">
            <v>137.99555972980002</v>
          </cell>
          <cell r="AW171">
            <v>0</v>
          </cell>
          <cell r="AY171">
            <v>220.85066511954076</v>
          </cell>
          <cell r="AZ171">
            <v>0</v>
          </cell>
          <cell r="BB171">
            <v>317.2358755353203</v>
          </cell>
          <cell r="BC171">
            <v>0</v>
          </cell>
          <cell r="BE171">
            <v>109.91849602876229</v>
          </cell>
          <cell r="BF171">
            <v>0</v>
          </cell>
          <cell r="BH171">
            <v>61.458351225803753</v>
          </cell>
          <cell r="BI171">
            <v>19.323966600000002</v>
          </cell>
          <cell r="BK171">
            <v>133.88047942032034</v>
          </cell>
          <cell r="BL171">
            <v>0</v>
          </cell>
          <cell r="BN171">
            <v>63.148545077137236</v>
          </cell>
          <cell r="BO171">
            <v>0</v>
          </cell>
          <cell r="BT171">
            <v>8098.8418938056129</v>
          </cell>
          <cell r="BU171">
            <v>5929.5373086396794</v>
          </cell>
          <cell r="BW171">
            <v>6213.7072475330815</v>
          </cell>
          <cell r="BX171">
            <v>8376.7496784904852</v>
          </cell>
          <cell r="BZ171">
            <v>1255.1107704746041</v>
          </cell>
          <cell r="CA171">
            <v>4854.4706756031555</v>
          </cell>
          <cell r="CC171">
            <v>156.87068719932458</v>
          </cell>
          <cell r="CD171">
            <v>158.60069765758203</v>
          </cell>
          <cell r="CF171">
            <v>19.311732325674427</v>
          </cell>
          <cell r="CG171">
            <v>0</v>
          </cell>
          <cell r="CI171">
            <v>1207.2803739288927</v>
          </cell>
          <cell r="CJ171">
            <v>626.84257454385465</v>
          </cell>
          <cell r="CL171">
            <v>1491.1628391163067</v>
          </cell>
          <cell r="CM171">
            <v>1910.5069065392072</v>
          </cell>
          <cell r="CX171">
            <v>784.98052863893099</v>
          </cell>
          <cell r="CY171">
            <v>8115.9636880154831</v>
          </cell>
        </row>
        <row r="172">
          <cell r="I172">
            <v>2612.839205832151</v>
          </cell>
          <cell r="J172">
            <v>2257.3807790600822</v>
          </cell>
          <cell r="L172">
            <v>407.55257968286838</v>
          </cell>
          <cell r="M172">
            <v>429.53194170057367</v>
          </cell>
          <cell r="O172">
            <v>1010.48</v>
          </cell>
          <cell r="P172">
            <v>1010.4666666666667</v>
          </cell>
          <cell r="R172">
            <v>233.44</v>
          </cell>
          <cell r="S172">
            <v>233.43333333333334</v>
          </cell>
          <cell r="U172">
            <v>130.00964065633656</v>
          </cell>
          <cell r="V172">
            <v>86.938216753535769</v>
          </cell>
          <cell r="X172">
            <v>1127.611659990966</v>
          </cell>
          <cell r="Y172">
            <v>894.16182857315653</v>
          </cell>
          <cell r="AA172">
            <v>0</v>
          </cell>
          <cell r="AB172">
            <v>0</v>
          </cell>
          <cell r="AD172">
            <v>3059.5855063559175</v>
          </cell>
          <cell r="AE172">
            <v>3694.3617265702474</v>
          </cell>
          <cell r="AJ172">
            <v>6913.0950965152351</v>
          </cell>
          <cell r="AK172">
            <v>6989.3119663893776</v>
          </cell>
          <cell r="AM172">
            <v>0</v>
          </cell>
          <cell r="AN172">
            <v>0</v>
          </cell>
          <cell r="AP172">
            <v>552.42695835462905</v>
          </cell>
          <cell r="AQ172">
            <v>0</v>
          </cell>
          <cell r="AS172">
            <v>11046.006216479449</v>
          </cell>
          <cell r="AT172">
            <v>23688.679503661915</v>
          </cell>
          <cell r="AV172">
            <v>206.77985978735606</v>
          </cell>
          <cell r="AW172">
            <v>0</v>
          </cell>
          <cell r="AY172">
            <v>249.72595634349193</v>
          </cell>
          <cell r="AZ172">
            <v>0</v>
          </cell>
          <cell r="BB172">
            <v>261.65200467571259</v>
          </cell>
          <cell r="BC172">
            <v>0</v>
          </cell>
          <cell r="BE172">
            <v>136.18455916075749</v>
          </cell>
          <cell r="BF172">
            <v>0</v>
          </cell>
          <cell r="BH172">
            <v>65.961235315382794</v>
          </cell>
          <cell r="BI172">
            <v>0</v>
          </cell>
          <cell r="BK172">
            <v>127.29001511917984</v>
          </cell>
          <cell r="BL172">
            <v>0</v>
          </cell>
          <cell r="BN172">
            <v>63.815302687057624</v>
          </cell>
          <cell r="BO172">
            <v>0</v>
          </cell>
          <cell r="BT172">
            <v>10007.904790429529</v>
          </cell>
          <cell r="BU172">
            <v>8261.2658903218398</v>
          </cell>
          <cell r="BW172">
            <v>6922.2340613249498</v>
          </cell>
          <cell r="BX172">
            <v>9333.0569376151798</v>
          </cell>
          <cell r="BZ172">
            <v>1731.1872696201444</v>
          </cell>
          <cell r="CA172">
            <v>7615.2568198564732</v>
          </cell>
          <cell r="CC172">
            <v>117.65301539949343</v>
          </cell>
          <cell r="CD172">
            <v>118.95052324318652</v>
          </cell>
          <cell r="CF172">
            <v>14.48379924425582</v>
          </cell>
          <cell r="CG172">
            <v>0</v>
          </cell>
          <cell r="CI172">
            <v>2395.843222680593</v>
          </cell>
          <cell r="CJ172">
            <v>986.30815322879016</v>
          </cell>
          <cell r="CL172">
            <v>1715.7731412426126</v>
          </cell>
          <cell r="CM172">
            <v>2037.078033893079</v>
          </cell>
          <cell r="CX172">
            <v>4928.7378837223223</v>
          </cell>
          <cell r="CY172">
            <v>-14903.238785040918</v>
          </cell>
        </row>
        <row r="173">
          <cell r="I173">
            <v>3105.0042771839958</v>
          </cell>
          <cell r="J173">
            <v>2687.4074614943311</v>
          </cell>
          <cell r="L173">
            <v>515.65801510687027</v>
          </cell>
          <cell r="M173">
            <v>506.32059063034399</v>
          </cell>
          <cell r="O173">
            <v>1293.08</v>
          </cell>
          <cell r="P173">
            <v>1293.0833333333335</v>
          </cell>
          <cell r="R173">
            <v>264.98</v>
          </cell>
          <cell r="S173">
            <v>264.98333333333335</v>
          </cell>
          <cell r="U173">
            <v>138.88381114641354</v>
          </cell>
          <cell r="V173">
            <v>90.048792789700371</v>
          </cell>
          <cell r="X173">
            <v>1186.0641134234106</v>
          </cell>
          <cell r="Y173">
            <v>1229.3091840915693</v>
          </cell>
          <cell r="AA173">
            <v>0</v>
          </cell>
          <cell r="AB173">
            <v>0</v>
          </cell>
          <cell r="AD173">
            <v>3752.3272258220782</v>
          </cell>
          <cell r="AE173">
            <v>4123.6771308276866</v>
          </cell>
          <cell r="AJ173">
            <v>7106.4203922739471</v>
          </cell>
          <cell r="AK173">
            <v>7184.7918319539849</v>
          </cell>
          <cell r="AM173">
            <v>0</v>
          </cell>
          <cell r="AN173">
            <v>0</v>
          </cell>
          <cell r="AP173">
            <v>607.66965419009193</v>
          </cell>
          <cell r="AQ173">
            <v>0</v>
          </cell>
          <cell r="AS173">
            <v>12984.424745619957</v>
          </cell>
          <cell r="AT173">
            <v>15975.960388371292</v>
          </cell>
          <cell r="AV173">
            <v>253.79559344136993</v>
          </cell>
          <cell r="AW173">
            <v>0</v>
          </cell>
          <cell r="AY173">
            <v>299.85918245111566</v>
          </cell>
          <cell r="AZ173">
            <v>3757.3840385024223</v>
          </cell>
          <cell r="BB173">
            <v>314.1999342756028</v>
          </cell>
          <cell r="BC173">
            <v>0</v>
          </cell>
          <cell r="BE173">
            <v>149.09893932882818</v>
          </cell>
          <cell r="BF173">
            <v>0</v>
          </cell>
          <cell r="BH173">
            <v>70.464078559636903</v>
          </cell>
          <cell r="BI173">
            <v>20.605486199999998</v>
          </cell>
          <cell r="BK173">
            <v>139.13578215632674</v>
          </cell>
          <cell r="BL173">
            <v>3949.4650836561086</v>
          </cell>
          <cell r="BN173">
            <v>80.877523551507238</v>
          </cell>
          <cell r="BO173">
            <v>0</v>
          </cell>
          <cell r="BT173">
            <v>12932.82197640883</v>
          </cell>
          <cell r="BU173">
            <v>10540.16107578045</v>
          </cell>
          <cell r="BW173">
            <v>7588.0457957871631</v>
          </cell>
          <cell r="BX173">
            <v>10706.554644353655</v>
          </cell>
          <cell r="BZ173">
            <v>1298.3904522151083</v>
          </cell>
          <cell r="CA173">
            <v>10263.222243169903</v>
          </cell>
          <cell r="CC173">
            <v>98.044179499577865</v>
          </cell>
          <cell r="CD173">
            <v>99.12543603598877</v>
          </cell>
          <cell r="CF173">
            <v>12.069832703546517</v>
          </cell>
          <cell r="CG173">
            <v>0</v>
          </cell>
          <cell r="CI173">
            <v>2002.775193959558</v>
          </cell>
          <cell r="CJ173">
            <v>1320.8112088320936</v>
          </cell>
          <cell r="CL173">
            <v>1690.8164410063562</v>
          </cell>
          <cell r="CM173">
            <v>2510.4070233002763</v>
          </cell>
          <cell r="CX173">
            <v>1772.1114318664477</v>
          </cell>
          <cell r="CY173">
            <v>-20593.981943987776</v>
          </cell>
        </row>
        <row r="174">
          <cell r="I174">
            <v>1928.5014906753588</v>
          </cell>
          <cell r="J174">
            <v>1757.9801158125442</v>
          </cell>
          <cell r="L174">
            <v>643.87058528417276</v>
          </cell>
          <cell r="M174">
            <v>580.56784583045373</v>
          </cell>
          <cell r="O174">
            <v>1683.56</v>
          </cell>
          <cell r="P174">
            <v>1683.5666666666666</v>
          </cell>
          <cell r="R174">
            <v>381.46</v>
          </cell>
          <cell r="S174">
            <v>381.45000000000005</v>
          </cell>
          <cell r="U174">
            <v>375.28698797765099</v>
          </cell>
          <cell r="V174">
            <v>131.54280437380498</v>
          </cell>
          <cell r="X174">
            <v>3048.0559394023562</v>
          </cell>
          <cell r="Y174">
            <v>2342.7742512400046</v>
          </cell>
          <cell r="AA174">
            <v>0</v>
          </cell>
          <cell r="AB174">
            <v>0</v>
          </cell>
          <cell r="AD174">
            <v>5026.1259451071119</v>
          </cell>
          <cell r="AE174">
            <v>5523.537625894849</v>
          </cell>
          <cell r="AJ174">
            <v>10450.68507223648</v>
          </cell>
          <cell r="AK174">
            <v>10565.915398125184</v>
          </cell>
          <cell r="AM174">
            <v>1052.2814392472874</v>
          </cell>
          <cell r="AN174">
            <v>798.01608136018467</v>
          </cell>
          <cell r="AP174">
            <v>1010.152152419893</v>
          </cell>
          <cell r="AQ174">
            <v>0</v>
          </cell>
          <cell r="AS174">
            <v>23490.658100615346</v>
          </cell>
          <cell r="AT174">
            <v>6342.3739300698971</v>
          </cell>
          <cell r="AV174">
            <v>94.43378304313336</v>
          </cell>
          <cell r="AW174">
            <v>0</v>
          </cell>
          <cell r="AY174">
            <v>164.69565160645897</v>
          </cell>
          <cell r="AZ174">
            <v>0</v>
          </cell>
          <cell r="BB174">
            <v>85.522569153203989</v>
          </cell>
          <cell r="BC174">
            <v>0</v>
          </cell>
          <cell r="BE174">
            <v>77.168991502675269</v>
          </cell>
          <cell r="BF174">
            <v>0</v>
          </cell>
          <cell r="BH174">
            <v>114.23216904794364</v>
          </cell>
          <cell r="BI174">
            <v>20.605486199999998</v>
          </cell>
          <cell r="BK174">
            <v>117.81904756011804</v>
          </cell>
          <cell r="BL174">
            <v>0</v>
          </cell>
          <cell r="BN174">
            <v>186.43229164545758</v>
          </cell>
          <cell r="BO174">
            <v>0</v>
          </cell>
          <cell r="BT174">
            <v>17257.130629112617</v>
          </cell>
          <cell r="BU174">
            <v>13288.484716010675</v>
          </cell>
          <cell r="BW174">
            <v>8645.2856067834819</v>
          </cell>
          <cell r="BX174">
            <v>12351.090298554347</v>
          </cell>
          <cell r="BZ174">
            <v>2077.424723544173</v>
          </cell>
          <cell r="CA174">
            <v>13111.513151810301</v>
          </cell>
          <cell r="CC174">
            <v>496.83887961411079</v>
          </cell>
          <cell r="CD174">
            <v>502.31814711237314</v>
          </cell>
          <cell r="CF174">
            <v>61.163877225221974</v>
          </cell>
          <cell r="CG174">
            <v>0</v>
          </cell>
          <cell r="CI174">
            <v>4280.0740905179355</v>
          </cell>
          <cell r="CJ174">
            <v>4202.8681645724137</v>
          </cell>
          <cell r="CL174">
            <v>4342.4658411085748</v>
          </cell>
          <cell r="CM174">
            <v>4056.7940194738067</v>
          </cell>
          <cell r="CX174">
            <v>1611.9889626830845</v>
          </cell>
          <cell r="CY174">
            <v>12951.901556271005</v>
          </cell>
        </row>
        <row r="175">
          <cell r="I175">
            <v>4459.6169808458826</v>
          </cell>
          <cell r="J175">
            <v>3922.0340010023929</v>
          </cell>
          <cell r="L175">
            <v>735.84578158679165</v>
          </cell>
          <cell r="M175">
            <v>663.49975701870403</v>
          </cell>
          <cell r="O175">
            <v>2588.2800000000002</v>
          </cell>
          <cell r="P175">
            <v>2588.2833333333333</v>
          </cell>
          <cell r="R175">
            <v>578.48</v>
          </cell>
          <cell r="S175">
            <v>578.48333333333335</v>
          </cell>
          <cell r="U175">
            <v>768.32239862610584</v>
          </cell>
          <cell r="V175">
            <v>269.30676081993909</v>
          </cell>
          <cell r="X175">
            <v>4134.792460814112</v>
          </cell>
          <cell r="Y175">
            <v>6298.7501915240373</v>
          </cell>
          <cell r="AA175">
            <v>0</v>
          </cell>
          <cell r="AB175">
            <v>0</v>
          </cell>
          <cell r="AD175">
            <v>7398.2931422557067</v>
          </cell>
          <cell r="AE175">
            <v>8137.8677909428516</v>
          </cell>
          <cell r="AJ175">
            <v>15123.381536114088</v>
          </cell>
          <cell r="AK175">
            <v>15290.160473385915</v>
          </cell>
          <cell r="AM175">
            <v>0</v>
          </cell>
          <cell r="AN175">
            <v>398.73233226445865</v>
          </cell>
          <cell r="AP175">
            <v>1262.6901905248662</v>
          </cell>
          <cell r="AQ175">
            <v>0</v>
          </cell>
          <cell r="AS175">
            <v>31894.502917421258</v>
          </cell>
          <cell r="AT175">
            <v>10449.86517302603</v>
          </cell>
          <cell r="AV175">
            <v>218.8366539500102</v>
          </cell>
          <cell r="AW175">
            <v>0</v>
          </cell>
          <cell r="AY175">
            <v>293.70984678688399</v>
          </cell>
          <cell r="AZ175">
            <v>2581.3312186349567</v>
          </cell>
          <cell r="BB175">
            <v>364.69237551859214</v>
          </cell>
          <cell r="BC175">
            <v>0</v>
          </cell>
          <cell r="BE175">
            <v>200.31082217688231</v>
          </cell>
          <cell r="BF175">
            <v>0</v>
          </cell>
          <cell r="BH175">
            <v>233.85323677229661</v>
          </cell>
          <cell r="BI175">
            <v>0</v>
          </cell>
          <cell r="BK175">
            <v>278.72226634903535</v>
          </cell>
          <cell r="BL175">
            <v>715.85011862774854</v>
          </cell>
          <cell r="BN175">
            <v>127.01222515318118</v>
          </cell>
          <cell r="BO175">
            <v>0</v>
          </cell>
          <cell r="BT175">
            <v>19978.405690516272</v>
          </cell>
          <cell r="BU175">
            <v>17580.941019886544</v>
          </cell>
          <cell r="BW175">
            <v>14131.823100860949</v>
          </cell>
          <cell r="BX175">
            <v>19397.058870707042</v>
          </cell>
          <cell r="BZ175">
            <v>3462.3745392402889</v>
          </cell>
          <cell r="CA175">
            <v>16383.363177099047</v>
          </cell>
          <cell r="CC175">
            <v>364.62630355893003</v>
          </cell>
          <cell r="CD175">
            <v>368.64749661784219</v>
          </cell>
          <cell r="CF175">
            <v>44.887707824489496</v>
          </cell>
          <cell r="CG175">
            <v>0</v>
          </cell>
          <cell r="CI175">
            <v>5103.6451983143888</v>
          </cell>
          <cell r="CJ175">
            <v>3816.087735288721</v>
          </cell>
          <cell r="CL175">
            <v>2894.9772274057168</v>
          </cell>
          <cell r="CM175">
            <v>3828.8055165910328</v>
          </cell>
          <cell r="CX175">
            <v>3565.9708768599521</v>
          </cell>
          <cell r="CY175">
            <v>7613.5880398752997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39.45906845390207</v>
          </cell>
          <cell r="AQ176">
            <v>0</v>
          </cell>
          <cell r="AS176">
            <v>442.11606747447229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159.5134050279834</v>
          </cell>
          <cell r="BU176">
            <v>172.4433889262888</v>
          </cell>
          <cell r="BW176">
            <v>0</v>
          </cell>
          <cell r="BX176">
            <v>0.86045976879409136</v>
          </cell>
          <cell r="BZ176">
            <v>0</v>
          </cell>
          <cell r="CA176">
            <v>162.24504492599425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19.213750852370708</v>
          </cell>
          <cell r="CY176">
            <v>385.86132765470734</v>
          </cell>
        </row>
        <row r="177">
          <cell r="I177">
            <v>3437.6021270753272</v>
          </cell>
          <cell r="J177">
            <v>3011.4530852645466</v>
          </cell>
          <cell r="L177">
            <v>587.84829855846283</v>
          </cell>
          <cell r="M177">
            <v>571.58938371704471</v>
          </cell>
          <cell r="O177">
            <v>2095.3200000000002</v>
          </cell>
          <cell r="P177">
            <v>2095.3333333333335</v>
          </cell>
          <cell r="R177">
            <v>390.44</v>
          </cell>
          <cell r="S177">
            <v>390.43333333333334</v>
          </cell>
          <cell r="U177">
            <v>576.24186023756681</v>
          </cell>
          <cell r="V177">
            <v>271.73452379690565</v>
          </cell>
          <cell r="X177">
            <v>2602.6625165641813</v>
          </cell>
          <cell r="Y177">
            <v>1993.5501862589701</v>
          </cell>
          <cell r="AA177">
            <v>0</v>
          </cell>
          <cell r="AB177">
            <v>0</v>
          </cell>
          <cell r="AD177">
            <v>5291.4127861988673</v>
          </cell>
          <cell r="AE177">
            <v>5815.0786386805667</v>
          </cell>
          <cell r="AJ177">
            <v>11827.537311163507</v>
          </cell>
          <cell r="AK177">
            <v>11957.951919185125</v>
          </cell>
          <cell r="AM177">
            <v>0</v>
          </cell>
          <cell r="AN177">
            <v>266.0109811433166</v>
          </cell>
          <cell r="AP177">
            <v>947.01764289364974</v>
          </cell>
          <cell r="AQ177">
            <v>0</v>
          </cell>
          <cell r="AS177">
            <v>21655.570957957854</v>
          </cell>
          <cell r="AT177">
            <v>10452.821558685619</v>
          </cell>
          <cell r="AV177">
            <v>285.60590283188384</v>
          </cell>
          <cell r="AW177">
            <v>14874.732779586999</v>
          </cell>
          <cell r="AY177">
            <v>390.32326750718556</v>
          </cell>
          <cell r="AZ177">
            <v>4919.5950924672561</v>
          </cell>
          <cell r="BB177">
            <v>457.79539128399068</v>
          </cell>
          <cell r="BC177">
            <v>0</v>
          </cell>
          <cell r="BE177">
            <v>190.64462400592069</v>
          </cell>
          <cell r="BF177">
            <v>0</v>
          </cell>
          <cell r="BH177">
            <v>292.3226339843186</v>
          </cell>
          <cell r="BI177">
            <v>0</v>
          </cell>
          <cell r="BK177">
            <v>231.42810175412231</v>
          </cell>
          <cell r="BL177">
            <v>2814.1836428805891</v>
          </cell>
          <cell r="BN177">
            <v>143.02162076665977</v>
          </cell>
          <cell r="BO177">
            <v>0</v>
          </cell>
          <cell r="BT177">
            <v>18249.029775995474</v>
          </cell>
          <cell r="BU177">
            <v>16594.754551365975</v>
          </cell>
          <cell r="BW177">
            <v>7244.1589342153557</v>
          </cell>
          <cell r="BX177">
            <v>9438.3193836881037</v>
          </cell>
          <cell r="BZ177">
            <v>6491.9522610755421</v>
          </cell>
          <cell r="CA177">
            <v>15466.729589125025</v>
          </cell>
          <cell r="CC177">
            <v>367.86176148241611</v>
          </cell>
          <cell r="CD177">
            <v>371.91863600702982</v>
          </cell>
          <cell r="CF177">
            <v>45.286012303706535</v>
          </cell>
          <cell r="CG177">
            <v>0</v>
          </cell>
          <cell r="CI177">
            <v>4329.9874909904465</v>
          </cell>
          <cell r="CJ177">
            <v>2896.9459004871223</v>
          </cell>
          <cell r="CL177">
            <v>1778.164891833253</v>
          </cell>
          <cell r="CM177">
            <v>2654.1087115403539</v>
          </cell>
          <cell r="CX177">
            <v>2689.5565951843746</v>
          </cell>
          <cell r="CY177">
            <v>-17648.054276656665</v>
          </cell>
        </row>
        <row r="178">
          <cell r="I178">
            <v>1684.5663027301821</v>
          </cell>
          <cell r="J178">
            <v>1528.8113197493817</v>
          </cell>
          <cell r="L178">
            <v>469.78543785590898</v>
          </cell>
          <cell r="M178">
            <v>485.90247446744723</v>
          </cell>
          <cell r="O178">
            <v>1585.64</v>
          </cell>
          <cell r="P178">
            <v>1585.65</v>
          </cell>
          <cell r="R178">
            <v>323.06</v>
          </cell>
          <cell r="S178">
            <v>323.05</v>
          </cell>
          <cell r="U178">
            <v>181.72735309855759</v>
          </cell>
          <cell r="V178">
            <v>133.45213801141074</v>
          </cell>
          <cell r="X178">
            <v>2139.1197373635459</v>
          </cell>
          <cell r="Y178">
            <v>1929.0933856863694</v>
          </cell>
          <cell r="AA178">
            <v>0</v>
          </cell>
          <cell r="AB178">
            <v>0</v>
          </cell>
          <cell r="AD178">
            <v>4365.4458357540925</v>
          </cell>
          <cell r="AE178">
            <v>4797.4731614250959</v>
          </cell>
          <cell r="AJ178">
            <v>12380.083110947831</v>
          </cell>
          <cell r="AK178">
            <v>12516.591336772492</v>
          </cell>
          <cell r="AM178">
            <v>0</v>
          </cell>
          <cell r="AN178">
            <v>133.27276795240937</v>
          </cell>
          <cell r="AP178">
            <v>804.96499645960228</v>
          </cell>
          <cell r="AQ178">
            <v>0</v>
          </cell>
          <cell r="AS178">
            <v>19270.077390402439</v>
          </cell>
          <cell r="AT178">
            <v>972.29489844631064</v>
          </cell>
          <cell r="AV178">
            <v>86.443035780007833</v>
          </cell>
          <cell r="AW178">
            <v>0</v>
          </cell>
          <cell r="AY178">
            <v>120.14218698074031</v>
          </cell>
          <cell r="AZ178">
            <v>0</v>
          </cell>
          <cell r="BB178">
            <v>78.018301012424018</v>
          </cell>
          <cell r="BC178">
            <v>0</v>
          </cell>
          <cell r="BE178">
            <v>64.015527193052435</v>
          </cell>
          <cell r="BF178">
            <v>0</v>
          </cell>
          <cell r="BH178">
            <v>55.319784965168807</v>
          </cell>
          <cell r="BI178">
            <v>0</v>
          </cell>
          <cell r="BK178">
            <v>78.644690031445961</v>
          </cell>
          <cell r="BL178">
            <v>0</v>
          </cell>
          <cell r="BN178">
            <v>184.43633026280074</v>
          </cell>
          <cell r="BO178">
            <v>0</v>
          </cell>
          <cell r="BT178">
            <v>14328.406584822418</v>
          </cell>
          <cell r="BU178">
            <v>10991.102599887919</v>
          </cell>
          <cell r="BW178">
            <v>6342.6826259517184</v>
          </cell>
          <cell r="BX178">
            <v>9125.9613921523487</v>
          </cell>
          <cell r="BZ178">
            <v>2168.3120551992306</v>
          </cell>
          <cell r="CA178">
            <v>10356.767024139768</v>
          </cell>
          <cell r="CC178">
            <v>411.78555389822702</v>
          </cell>
          <cell r="CD178">
            <v>416.3268313511528</v>
          </cell>
          <cell r="CF178">
            <v>50.693297354895371</v>
          </cell>
          <cell r="CG178">
            <v>0</v>
          </cell>
          <cell r="CI178">
            <v>1974.6989061937702</v>
          </cell>
          <cell r="CJ178">
            <v>0</v>
          </cell>
          <cell r="CL178">
            <v>1834.3174673648291</v>
          </cell>
          <cell r="CM178">
            <v>2604.4755408274459</v>
          </cell>
          <cell r="CX178">
            <v>1284.4561860525355</v>
          </cell>
          <cell r="CY178">
            <v>16983.050154956538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39.45906845390207</v>
          </cell>
          <cell r="AQ179">
            <v>0</v>
          </cell>
          <cell r="AS179">
            <v>339.44755533208934</v>
          </cell>
          <cell r="AT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E179">
            <v>0</v>
          </cell>
          <cell r="BF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T179">
            <v>183.44041578218088</v>
          </cell>
          <cell r="BU179">
            <v>287.42604032880513</v>
          </cell>
          <cell r="BW179">
            <v>0</v>
          </cell>
          <cell r="BX179">
            <v>0.65083972105097065</v>
          </cell>
          <cell r="BZ179">
            <v>0</v>
          </cell>
          <cell r="CA179">
            <v>270.43085132877513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X179">
            <v>30.363552518193273</v>
          </cell>
          <cell r="CY179">
            <v>34.970722345642571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55.242695835462904</v>
          </cell>
          <cell r="AQ180">
            <v>0</v>
          </cell>
          <cell r="AS180">
            <v>323.23582226545983</v>
          </cell>
          <cell r="AT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E180">
            <v>0</v>
          </cell>
          <cell r="BF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T180">
            <v>159.5134050279834</v>
          </cell>
          <cell r="BU180">
            <v>287.42604032880513</v>
          </cell>
          <cell r="BW180">
            <v>0</v>
          </cell>
          <cell r="BX180">
            <v>0.65694515933475084</v>
          </cell>
          <cell r="BZ180">
            <v>0</v>
          </cell>
          <cell r="CA180">
            <v>270.43085132877513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X180">
            <v>25.829692245312572</v>
          </cell>
          <cell r="CY180">
            <v>1.2033958197019956</v>
          </cell>
        </row>
        <row r="181">
          <cell r="I181">
            <v>2347.6926884600516</v>
          </cell>
          <cell r="J181">
            <v>2077.2270902316777</v>
          </cell>
          <cell r="L181">
            <v>310.69211704762535</v>
          </cell>
          <cell r="M181">
            <v>280.14533001929061</v>
          </cell>
          <cell r="O181">
            <v>1483.54</v>
          </cell>
          <cell r="P181">
            <v>1483.5333333333333</v>
          </cell>
          <cell r="R181">
            <v>311.36</v>
          </cell>
          <cell r="S181">
            <v>311.36666666666667</v>
          </cell>
          <cell r="U181">
            <v>288.12088927345849</v>
          </cell>
          <cell r="V181">
            <v>100.99003530747717</v>
          </cell>
          <cell r="X181">
            <v>2571.6499428926695</v>
          </cell>
          <cell r="Y181">
            <v>2645.1271649556552</v>
          </cell>
          <cell r="AA181">
            <v>0</v>
          </cell>
          <cell r="AB181">
            <v>0</v>
          </cell>
          <cell r="AD181">
            <v>4290.0843049813711</v>
          </cell>
          <cell r="AE181">
            <v>4714.653459866804</v>
          </cell>
          <cell r="AJ181">
            <v>14306.918631331355</v>
          </cell>
          <cell r="AK181">
            <v>14464.676496977951</v>
          </cell>
          <cell r="AM181">
            <v>0</v>
          </cell>
          <cell r="AN181">
            <v>0</v>
          </cell>
          <cell r="AP181">
            <v>844.42406491350437</v>
          </cell>
          <cell r="AQ181">
            <v>0</v>
          </cell>
          <cell r="AS181">
            <v>17637.511541191994</v>
          </cell>
          <cell r="AT181">
            <v>21677.094718186694</v>
          </cell>
          <cell r="AV181">
            <v>169.81309339741193</v>
          </cell>
          <cell r="AW181">
            <v>352.16728040695443</v>
          </cell>
          <cell r="AY181">
            <v>211.69671960875121</v>
          </cell>
          <cell r="AZ181">
            <v>0</v>
          </cell>
          <cell r="BB181">
            <v>351.24098113888738</v>
          </cell>
          <cell r="BC181">
            <v>0</v>
          </cell>
          <cell r="BE181">
            <v>132.75947329872042</v>
          </cell>
          <cell r="BF181">
            <v>0</v>
          </cell>
          <cell r="BH181">
            <v>146.1613169921593</v>
          </cell>
          <cell r="BI181">
            <v>0</v>
          </cell>
          <cell r="BK181">
            <v>232.16032966965076</v>
          </cell>
          <cell r="BL181">
            <v>1706.8474265994539</v>
          </cell>
          <cell r="BN181">
            <v>184.43633026280074</v>
          </cell>
          <cell r="BO181">
            <v>0</v>
          </cell>
          <cell r="BT181">
            <v>13454.166438498833</v>
          </cell>
          <cell r="BU181">
            <v>5440.0622519993012</v>
          </cell>
          <cell r="BW181">
            <v>10236.655456880142</v>
          </cell>
          <cell r="BX181">
            <v>5612.5758807421716</v>
          </cell>
          <cell r="BZ181">
            <v>1558.0685426581299</v>
          </cell>
          <cell r="CA181">
            <v>4340.0455656839067</v>
          </cell>
          <cell r="CC181">
            <v>450.26789435181132</v>
          </cell>
          <cell r="CD181">
            <v>455.23356499527847</v>
          </cell>
          <cell r="CF181">
            <v>55.430706691037372</v>
          </cell>
          <cell r="CG181">
            <v>0</v>
          </cell>
          <cell r="CI181">
            <v>4613.8699561778612</v>
          </cell>
          <cell r="CJ181">
            <v>3437.2399149074731</v>
          </cell>
          <cell r="CL181">
            <v>2021.4927191367506</v>
          </cell>
          <cell r="CM181">
            <v>2926.7841780049384</v>
          </cell>
          <cell r="CX181">
            <v>2334.7630333740381</v>
          </cell>
          <cell r="CY181">
            <v>9756.0955693379728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71.02632321702373</v>
          </cell>
          <cell r="AQ182">
            <v>0</v>
          </cell>
          <cell r="AS182">
            <v>27.075999999999997</v>
          </cell>
          <cell r="AT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E182">
            <v>0</v>
          </cell>
          <cell r="BF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0.44081264408893139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X182">
            <v>-2.7878604284694575E-3</v>
          </cell>
          <cell r="CY182">
            <v>117.19102482709329</v>
          </cell>
        </row>
        <row r="183"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P183">
            <v>47.350882144682487</v>
          </cell>
          <cell r="AQ183">
            <v>0</v>
          </cell>
          <cell r="AS183">
            <v>330.065614280077</v>
          </cell>
          <cell r="AT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E183">
            <v>0</v>
          </cell>
          <cell r="BF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0.55885111757534878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X183">
            <v>11.320204290288643</v>
          </cell>
          <cell r="CY183">
            <v>463.54937865890963</v>
          </cell>
        </row>
        <row r="184">
          <cell r="I184">
            <v>4.9512429948257046E-2</v>
          </cell>
          <cell r="J184">
            <v>5.9756985241327373E-2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63.134509526243313</v>
          </cell>
          <cell r="AQ184">
            <v>0</v>
          </cell>
          <cell r="AS184">
            <v>491.33388269603643</v>
          </cell>
          <cell r="AT184">
            <v>0</v>
          </cell>
          <cell r="AV184">
            <v>2.4740542054058649E-3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0.86127382723192869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X184">
            <v>16.635545552279837</v>
          </cell>
          <cell r="CY184">
            <v>680.95476302503198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39.45906845390207</v>
          </cell>
          <cell r="AQ185">
            <v>0</v>
          </cell>
          <cell r="AS185">
            <v>443.58864013860301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0.73509476936713769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X185">
            <v>14.502749688993845</v>
          </cell>
          <cell r="CY185">
            <v>593.27788627675943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55.242695835462904</v>
          </cell>
          <cell r="AQ186">
            <v>0</v>
          </cell>
          <cell r="AS186">
            <v>286.6016945796448</v>
          </cell>
          <cell r="AT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0.41679792017272921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X186">
            <v>10.266731501870822</v>
          </cell>
          <cell r="CY186">
            <v>419.97984249579275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71.02632321702373</v>
          </cell>
          <cell r="AQ187">
            <v>0</v>
          </cell>
          <cell r="AS187">
            <v>451.18038633558456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0.73354805833524661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X187">
            <v>15.671948536870104</v>
          </cell>
          <cell r="CY187">
            <v>641.43974232999767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63.134509526243313</v>
          </cell>
          <cell r="AQ188">
            <v>0</v>
          </cell>
          <cell r="AS188">
            <v>699.67583544097977</v>
          </cell>
          <cell r="AT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1.3419753347748906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X188">
            <v>24.907586039332386</v>
          </cell>
          <cell r="CY188">
            <v>938.66962959827015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31.567254763121657</v>
          </cell>
          <cell r="AQ189">
            <v>0</v>
          </cell>
          <cell r="AS189">
            <v>293.14970307877951</v>
          </cell>
          <cell r="AT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0.61787035431855752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X189">
            <v>9.7596505897186603</v>
          </cell>
          <cell r="CY189">
            <v>398.67855557481778</v>
          </cell>
        </row>
        <row r="190">
          <cell r="I190">
            <v>2779.3626400322678</v>
          </cell>
          <cell r="J190">
            <v>3073.5806063903879</v>
          </cell>
          <cell r="L190">
            <v>575.46883441949626</v>
          </cell>
          <cell r="M190">
            <v>633.31263327596423</v>
          </cell>
          <cell r="O190">
            <v>996.02</v>
          </cell>
          <cell r="P190">
            <v>996.3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>
            <v>2178.6718581157106</v>
          </cell>
          <cell r="Y190">
            <v>2250.5410235371533</v>
          </cell>
          <cell r="AA190">
            <v>0</v>
          </cell>
          <cell r="AB190">
            <v>0</v>
          </cell>
          <cell r="AD190">
            <v>3227.9891312911577</v>
          </cell>
          <cell r="AE190">
            <v>3547.4477992386173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2343.868666161783</v>
          </cell>
          <cell r="AQ190">
            <v>0</v>
          </cell>
          <cell r="AS190">
            <v>10424.452286655856</v>
          </cell>
          <cell r="AT190">
            <v>0</v>
          </cell>
          <cell r="AV190">
            <v>454.72108416307685</v>
          </cell>
          <cell r="AW190">
            <v>0</v>
          </cell>
          <cell r="AY190">
            <v>741.68851251314095</v>
          </cell>
          <cell r="AZ190">
            <v>0</v>
          </cell>
          <cell r="BB190">
            <v>610.8355127320923</v>
          </cell>
          <cell r="BC190">
            <v>0</v>
          </cell>
          <cell r="BE190">
            <v>0</v>
          </cell>
          <cell r="BF190">
            <v>0</v>
          </cell>
          <cell r="BH190">
            <v>0</v>
          </cell>
          <cell r="BI190">
            <v>0</v>
          </cell>
          <cell r="BK190">
            <v>319.67691085591161</v>
          </cell>
          <cell r="BL190">
            <v>0</v>
          </cell>
          <cell r="BN190">
            <v>0</v>
          </cell>
          <cell r="BO190">
            <v>0</v>
          </cell>
          <cell r="BT190">
            <v>5362.7903577612769</v>
          </cell>
          <cell r="BU190">
            <v>4829.7398239077238</v>
          </cell>
          <cell r="BW190">
            <v>4199.3326514734072</v>
          </cell>
          <cell r="BX190">
            <v>8086.9924182299719</v>
          </cell>
          <cell r="BZ190">
            <v>2120.4943983151925</v>
          </cell>
          <cell r="CA190">
            <v>4078.5421503600915</v>
          </cell>
          <cell r="CC190">
            <v>442.27729372259574</v>
          </cell>
          <cell r="CD190">
            <v>447.1548419583454</v>
          </cell>
          <cell r="CF190">
            <v>54.447015325698345</v>
          </cell>
          <cell r="CG190">
            <v>0</v>
          </cell>
          <cell r="CI190">
            <v>1244.7154242832769</v>
          </cell>
          <cell r="CJ190">
            <v>1424.8023346335642</v>
          </cell>
          <cell r="CL190">
            <v>0</v>
          </cell>
          <cell r="CM190">
            <v>0</v>
          </cell>
          <cell r="CX190">
            <v>1852.1249066136661</v>
          </cell>
          <cell r="CY190">
            <v>12302.20364216181</v>
          </cell>
        </row>
        <row r="191">
          <cell r="I191">
            <v>1207.8164369706947</v>
          </cell>
          <cell r="J191">
            <v>1511.6348572813467</v>
          </cell>
          <cell r="L191">
            <v>225.57175609133998</v>
          </cell>
          <cell r="M191">
            <v>288.11317698235769</v>
          </cell>
          <cell r="O191">
            <v>497.54</v>
          </cell>
          <cell r="P191">
            <v>497.64</v>
          </cell>
          <cell r="R191">
            <v>111.26</v>
          </cell>
          <cell r="S191">
            <v>111.28</v>
          </cell>
          <cell r="U191">
            <v>0</v>
          </cell>
          <cell r="V191">
            <v>0</v>
          </cell>
          <cell r="X191">
            <v>838.61312760300916</v>
          </cell>
          <cell r="Y191">
            <v>995.98957725733135</v>
          </cell>
          <cell r="AA191">
            <v>0</v>
          </cell>
          <cell r="AB191">
            <v>0</v>
          </cell>
          <cell r="AD191">
            <v>1464.8998832756988</v>
          </cell>
          <cell r="AE191">
            <v>1609.874028588406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378.80705715745989</v>
          </cell>
          <cell r="AQ191">
            <v>1966.782114394015</v>
          </cell>
          <cell r="AS191">
            <v>4305.5288912157057</v>
          </cell>
          <cell r="AT191">
            <v>0</v>
          </cell>
          <cell r="AV191">
            <v>190.79061341632988</v>
          </cell>
          <cell r="AW191">
            <v>0</v>
          </cell>
          <cell r="AY191">
            <v>290.74948916515837</v>
          </cell>
          <cell r="AZ191">
            <v>0</v>
          </cell>
          <cell r="BB191">
            <v>204.1555035312102</v>
          </cell>
          <cell r="BC191">
            <v>0</v>
          </cell>
          <cell r="BE191">
            <v>116.04666518546276</v>
          </cell>
          <cell r="BF191">
            <v>0</v>
          </cell>
          <cell r="BH191">
            <v>0</v>
          </cell>
          <cell r="BI191">
            <v>0</v>
          </cell>
          <cell r="BK191">
            <v>186.09129502760808</v>
          </cell>
          <cell r="BL191">
            <v>0</v>
          </cell>
          <cell r="BN191">
            <v>0</v>
          </cell>
          <cell r="BO191">
            <v>0</v>
          </cell>
          <cell r="BT191">
            <v>4403.2198791861747</v>
          </cell>
          <cell r="BU191">
            <v>2384.7977910683499</v>
          </cell>
          <cell r="BW191">
            <v>1808.6188591330028</v>
          </cell>
          <cell r="BX191">
            <v>2853.7151007468647</v>
          </cell>
          <cell r="BZ191">
            <v>760.08957131059344</v>
          </cell>
          <cell r="CA191">
            <v>1758.840951309739</v>
          </cell>
          <cell r="CC191">
            <v>256.15512556957208</v>
          </cell>
          <cell r="CD191">
            <v>258.98007045942603</v>
          </cell>
          <cell r="CF191">
            <v>31.534248412920803</v>
          </cell>
          <cell r="CG191">
            <v>0</v>
          </cell>
          <cell r="CI191">
            <v>736.22265696955719</v>
          </cell>
          <cell r="CJ191">
            <v>166.09046104914191</v>
          </cell>
          <cell r="CL191">
            <v>0</v>
          </cell>
          <cell r="CM191">
            <v>0</v>
          </cell>
          <cell r="CX191">
            <v>324.24672893420575</v>
          </cell>
          <cell r="CY191">
            <v>4656.2142450356268</v>
          </cell>
        </row>
        <row r="192">
          <cell r="I192">
            <v>296.2828483682124</v>
          </cell>
          <cell r="J192">
            <v>368.21004065018678</v>
          </cell>
          <cell r="L192">
            <v>48.083134612452938</v>
          </cell>
          <cell r="M192">
            <v>61.414592819807339</v>
          </cell>
          <cell r="O192">
            <v>110.64</v>
          </cell>
          <cell r="P192">
            <v>110.66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210.05805986574245</v>
          </cell>
          <cell r="Y192">
            <v>230.62892541269071</v>
          </cell>
          <cell r="AA192">
            <v>0</v>
          </cell>
          <cell r="AB192">
            <v>0</v>
          </cell>
          <cell r="AD192">
            <v>266.40568367627674</v>
          </cell>
          <cell r="AE192">
            <v>292.77058187740988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15.783627381560828</v>
          </cell>
          <cell r="AQ192">
            <v>0</v>
          </cell>
          <cell r="AS192">
            <v>839.08823977043005</v>
          </cell>
          <cell r="AT192">
            <v>0</v>
          </cell>
          <cell r="AV192">
            <v>51.220190741760831</v>
          </cell>
          <cell r="AW192">
            <v>0</v>
          </cell>
          <cell r="AY192">
            <v>61.968429542196461</v>
          </cell>
          <cell r="AZ192">
            <v>0</v>
          </cell>
          <cell r="BB192">
            <v>35.432018750601188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38.421864630327121</v>
          </cell>
          <cell r="BL192">
            <v>0</v>
          </cell>
          <cell r="BN192">
            <v>18.119813214430302</v>
          </cell>
          <cell r="BO192">
            <v>0</v>
          </cell>
          <cell r="BT192">
            <v>0</v>
          </cell>
          <cell r="BU192">
            <v>0</v>
          </cell>
          <cell r="BW192">
            <v>34.489455536240278</v>
          </cell>
          <cell r="BX192">
            <v>767.4285292040787</v>
          </cell>
          <cell r="BZ192">
            <v>0</v>
          </cell>
          <cell r="CA192">
            <v>0</v>
          </cell>
          <cell r="CC192">
            <v>14.706626924936678</v>
          </cell>
          <cell r="CD192">
            <v>14.868815405398315</v>
          </cell>
          <cell r="CF192">
            <v>1.8104749055319775</v>
          </cell>
          <cell r="CG192">
            <v>0</v>
          </cell>
          <cell r="CI192">
            <v>215.25153953770956</v>
          </cell>
          <cell r="CJ192">
            <v>170.97628015602768</v>
          </cell>
          <cell r="CL192">
            <v>0</v>
          </cell>
          <cell r="CM192">
            <v>0</v>
          </cell>
          <cell r="CX192">
            <v>62.545591049908126</v>
          </cell>
          <cell r="CY192">
            <v>351.51068136928109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31.567254763121657</v>
          </cell>
          <cell r="AQ193">
            <v>0</v>
          </cell>
          <cell r="AS193">
            <v>349.5063683686804</v>
          </cell>
          <cell r="AT193">
            <v>0</v>
          </cell>
          <cell r="AV193">
            <v>0</v>
          </cell>
          <cell r="AW193">
            <v>0</v>
          </cell>
          <cell r="AY193">
            <v>0</v>
          </cell>
          <cell r="AZ193">
            <v>0</v>
          </cell>
          <cell r="BB193">
            <v>0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T193">
            <v>0</v>
          </cell>
          <cell r="BU193">
            <v>0</v>
          </cell>
          <cell r="BW193">
            <v>0</v>
          </cell>
          <cell r="BX193">
            <v>0.48558585816998623</v>
          </cell>
          <cell r="BZ193">
            <v>0</v>
          </cell>
          <cell r="CA193">
            <v>0</v>
          </cell>
          <cell r="CC193">
            <v>0</v>
          </cell>
          <cell r="CD193">
            <v>0</v>
          </cell>
          <cell r="CF193">
            <v>0</v>
          </cell>
          <cell r="CG193">
            <v>0</v>
          </cell>
          <cell r="CI193">
            <v>0</v>
          </cell>
          <cell r="CJ193">
            <v>0</v>
          </cell>
          <cell r="CL193">
            <v>0</v>
          </cell>
          <cell r="CM193">
            <v>0</v>
          </cell>
          <cell r="CX193">
            <v>6.8716522418375803</v>
          </cell>
          <cell r="CY193">
            <v>463.57729697019602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39.45906845390207</v>
          </cell>
          <cell r="AQ194">
            <v>0</v>
          </cell>
          <cell r="AS194">
            <v>401.31287954890888</v>
          </cell>
          <cell r="AT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B194">
            <v>0</v>
          </cell>
          <cell r="BC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T194">
            <v>39.878351256995849</v>
          </cell>
          <cell r="BU194">
            <v>54.380474686669345</v>
          </cell>
          <cell r="BW194">
            <v>0</v>
          </cell>
          <cell r="BX194">
            <v>0.74404941218334852</v>
          </cell>
          <cell r="BZ194">
            <v>0</v>
          </cell>
          <cell r="CA194">
            <v>51.170640468972302</v>
          </cell>
          <cell r="CC194">
            <v>0</v>
          </cell>
          <cell r="CD194">
            <v>0</v>
          </cell>
          <cell r="CF194">
            <v>0</v>
          </cell>
          <cell r="CG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X194">
            <v>14.439640888231793</v>
          </cell>
          <cell r="CY194">
            <v>463.66580251861001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23.675441072341243</v>
          </cell>
          <cell r="AQ195">
            <v>0</v>
          </cell>
          <cell r="AS195">
            <v>518.93488637135329</v>
          </cell>
          <cell r="AT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T195">
            <v>19.939175628497924</v>
          </cell>
          <cell r="BU195">
            <v>54.380474686669345</v>
          </cell>
          <cell r="BW195">
            <v>0</v>
          </cell>
          <cell r="BX195">
            <v>0.93209691132377914</v>
          </cell>
          <cell r="BZ195">
            <v>0</v>
          </cell>
          <cell r="CA195">
            <v>51.170640468972302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X195">
            <v>16.900596313369078</v>
          </cell>
          <cell r="CY195">
            <v>564.18014551964154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39.45906845390207</v>
          </cell>
          <cell r="AQ196">
            <v>0</v>
          </cell>
          <cell r="AS196">
            <v>391.51070671639127</v>
          </cell>
          <cell r="AT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B196">
            <v>0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O196">
            <v>0</v>
          </cell>
          <cell r="BT196">
            <v>0</v>
          </cell>
          <cell r="BU196">
            <v>0</v>
          </cell>
          <cell r="BW196">
            <v>0</v>
          </cell>
          <cell r="BX196">
            <v>0.58815722133749371</v>
          </cell>
          <cell r="BZ196">
            <v>0</v>
          </cell>
          <cell r="CA196">
            <v>0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X196">
            <v>7.7362697956480133</v>
          </cell>
          <cell r="CY196">
            <v>524.19421133439505</v>
          </cell>
        </row>
        <row r="197">
          <cell r="I197">
            <v>247.89885197944591</v>
          </cell>
          <cell r="J197">
            <v>309.23535979168742</v>
          </cell>
          <cell r="L197">
            <v>37.9243574755655</v>
          </cell>
          <cell r="M197">
            <v>48.438791670186518</v>
          </cell>
          <cell r="O197">
            <v>96.08</v>
          </cell>
          <cell r="P197">
            <v>96.08</v>
          </cell>
          <cell r="R197">
            <v>19.62</v>
          </cell>
          <cell r="S197">
            <v>19.66</v>
          </cell>
          <cell r="U197">
            <v>0</v>
          </cell>
          <cell r="V197">
            <v>0</v>
          </cell>
          <cell r="X197">
            <v>97.742402165657325</v>
          </cell>
          <cell r="Y197">
            <v>107.30531244251651</v>
          </cell>
          <cell r="AA197">
            <v>0</v>
          </cell>
          <cell r="AB197">
            <v>0</v>
          </cell>
          <cell r="AD197">
            <v>280.06696542486361</v>
          </cell>
          <cell r="AE197">
            <v>307.78385543648744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P197">
            <v>63.134509526243313</v>
          </cell>
          <cell r="AQ197">
            <v>0</v>
          </cell>
          <cell r="AS197">
            <v>729.85327260524946</v>
          </cell>
          <cell r="AT197">
            <v>0</v>
          </cell>
          <cell r="AV197">
            <v>46.068659712404099</v>
          </cell>
          <cell r="AW197">
            <v>0</v>
          </cell>
          <cell r="AY197">
            <v>48.925973641158578</v>
          </cell>
          <cell r="AZ197">
            <v>0</v>
          </cell>
          <cell r="BB197">
            <v>22.313697520928265</v>
          </cell>
          <cell r="BC197">
            <v>0</v>
          </cell>
          <cell r="BE197">
            <v>28.65895693375586</v>
          </cell>
          <cell r="BF197">
            <v>0</v>
          </cell>
          <cell r="BH197">
            <v>0</v>
          </cell>
          <cell r="BI197">
            <v>0</v>
          </cell>
          <cell r="BK197">
            <v>13.058040995621697</v>
          </cell>
          <cell r="BL197">
            <v>0</v>
          </cell>
          <cell r="BN197">
            <v>0</v>
          </cell>
          <cell r="BO197">
            <v>0</v>
          </cell>
          <cell r="BT197">
            <v>700.83766086006881</v>
          </cell>
          <cell r="BU197">
            <v>334.27639581308097</v>
          </cell>
          <cell r="BW197">
            <v>432.40571561830296</v>
          </cell>
          <cell r="BX197">
            <v>773.7845444234631</v>
          </cell>
          <cell r="BZ197">
            <v>95.754327999463968</v>
          </cell>
          <cell r="CA197">
            <v>399.03024210424906</v>
          </cell>
          <cell r="CC197">
            <v>0</v>
          </cell>
          <cell r="CD197">
            <v>0</v>
          </cell>
          <cell r="CF197">
            <v>0</v>
          </cell>
          <cell r="CG197">
            <v>0</v>
          </cell>
          <cell r="CI197">
            <v>46.793812942980331</v>
          </cell>
          <cell r="CJ197">
            <v>4.9562718017994385</v>
          </cell>
          <cell r="CL197">
            <v>0</v>
          </cell>
          <cell r="CM197">
            <v>0</v>
          </cell>
          <cell r="CX197">
            <v>54.135353517948261</v>
          </cell>
          <cell r="CY197">
            <v>782.0390718198355</v>
          </cell>
        </row>
        <row r="198">
          <cell r="I198">
            <v>2652.574894035266</v>
          </cell>
          <cell r="J198">
            <v>2942.0346521204083</v>
          </cell>
          <cell r="L198">
            <v>546.91467492135553</v>
          </cell>
          <cell r="M198">
            <v>601.88851684209817</v>
          </cell>
          <cell r="O198">
            <v>1018.72</v>
          </cell>
          <cell r="P198">
            <v>1018.56</v>
          </cell>
          <cell r="R198">
            <v>0</v>
          </cell>
          <cell r="S198">
            <v>0</v>
          </cell>
          <cell r="U198">
            <v>215.74518364026076</v>
          </cell>
          <cell r="V198">
            <v>615.44722828722456</v>
          </cell>
          <cell r="X198">
            <v>1951.8747008543114</v>
          </cell>
          <cell r="Y198">
            <v>1921.0415293528399</v>
          </cell>
          <cell r="AA198">
            <v>0</v>
          </cell>
          <cell r="AB198">
            <v>0</v>
          </cell>
          <cell r="AD198">
            <v>3223.9841024217235</v>
          </cell>
          <cell r="AE198">
            <v>3543.0464117893725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P198">
            <v>3156.7254763121659</v>
          </cell>
          <cell r="AQ198">
            <v>0</v>
          </cell>
          <cell r="AS198">
            <v>9352.3552740010964</v>
          </cell>
          <cell r="AT198">
            <v>1209.1619800349144</v>
          </cell>
          <cell r="AV198">
            <v>430.09161387458335</v>
          </cell>
          <cell r="AW198">
            <v>0</v>
          </cell>
          <cell r="AY198">
            <v>704.86294416155238</v>
          </cell>
          <cell r="AZ198">
            <v>0</v>
          </cell>
          <cell r="BB198">
            <v>609.57690160425739</v>
          </cell>
          <cell r="BC198">
            <v>0</v>
          </cell>
          <cell r="BE198">
            <v>0</v>
          </cell>
          <cell r="BF198">
            <v>0</v>
          </cell>
          <cell r="BH198">
            <v>218.86472282667671</v>
          </cell>
          <cell r="BI198">
            <v>0</v>
          </cell>
          <cell r="BK198">
            <v>286.80844471916237</v>
          </cell>
          <cell r="BL198">
            <v>0</v>
          </cell>
          <cell r="BN198">
            <v>0</v>
          </cell>
          <cell r="BO198">
            <v>0</v>
          </cell>
          <cell r="BT198">
            <v>6689.3798685175752</v>
          </cell>
          <cell r="BU198">
            <v>6567.6553762416315</v>
          </cell>
          <cell r="BW198">
            <v>4151.549923141989</v>
          </cell>
          <cell r="BX198">
            <v>5064.8254741618202</v>
          </cell>
          <cell r="BZ198">
            <v>2597.4389468319587</v>
          </cell>
          <cell r="CA198">
            <v>6313.5922444428716</v>
          </cell>
          <cell r="CC198">
            <v>346.97835124900598</v>
          </cell>
          <cell r="CD198">
            <v>350.80491813136416</v>
          </cell>
          <cell r="CF198">
            <v>42.715137937851118</v>
          </cell>
          <cell r="CG198">
            <v>0</v>
          </cell>
          <cell r="CI198">
            <v>1229.1174866356168</v>
          </cell>
          <cell r="CJ198">
            <v>1176.5358343620046</v>
          </cell>
          <cell r="CL198">
            <v>0</v>
          </cell>
          <cell r="CM198">
            <v>0</v>
          </cell>
          <cell r="CX198">
            <v>2369.3256227763268</v>
          </cell>
          <cell r="CY198">
            <v>12091.347001080139</v>
          </cell>
        </row>
        <row r="199">
          <cell r="I199">
            <v>3697.9904506457724</v>
          </cell>
          <cell r="J199">
            <v>4630.0615516842809</v>
          </cell>
          <cell r="L199">
            <v>688.05838458179949</v>
          </cell>
          <cell r="M199">
            <v>878.82707591995086</v>
          </cell>
          <cell r="O199">
            <v>1358.34</v>
          </cell>
          <cell r="P199">
            <v>1358.5</v>
          </cell>
          <cell r="R199">
            <v>337.34</v>
          </cell>
          <cell r="S199">
            <v>337.26</v>
          </cell>
          <cell r="U199">
            <v>195.03873136964788</v>
          </cell>
          <cell r="V199">
            <v>159.7141139737883</v>
          </cell>
          <cell r="X199">
            <v>2066.5129284296781</v>
          </cell>
          <cell r="Y199">
            <v>2518.2229693722543</v>
          </cell>
          <cell r="AA199">
            <v>0</v>
          </cell>
          <cell r="AB199">
            <v>0</v>
          </cell>
          <cell r="AD199">
            <v>4494.1626176753107</v>
          </cell>
          <cell r="AE199">
            <v>4938.9284285216308</v>
          </cell>
          <cell r="AJ199">
            <v>14402.266595894693</v>
          </cell>
          <cell r="AK199">
            <v>14561.070339958776</v>
          </cell>
          <cell r="AM199">
            <v>0</v>
          </cell>
          <cell r="AN199">
            <v>0</v>
          </cell>
          <cell r="AP199">
            <v>852.31587860428476</v>
          </cell>
          <cell r="AQ199">
            <v>382.20691467571515</v>
          </cell>
          <cell r="AS199">
            <v>27904.38</v>
          </cell>
          <cell r="AT199">
            <v>22.227384164055259</v>
          </cell>
          <cell r="AV199">
            <v>323.77807226747711</v>
          </cell>
          <cell r="AW199">
            <v>0</v>
          </cell>
          <cell r="AY199">
            <v>454.89918193382948</v>
          </cell>
          <cell r="AZ199">
            <v>0</v>
          </cell>
          <cell r="BB199">
            <v>547.50131884064126</v>
          </cell>
          <cell r="BC199">
            <v>0</v>
          </cell>
          <cell r="BE199">
            <v>186.23364705591104</v>
          </cell>
          <cell r="BF199">
            <v>0</v>
          </cell>
          <cell r="BH199">
            <v>98.941812127749259</v>
          </cell>
          <cell r="BI199">
            <v>0</v>
          </cell>
          <cell r="BK199">
            <v>234.91889578159507</v>
          </cell>
          <cell r="BL199">
            <v>0</v>
          </cell>
          <cell r="BN199">
            <v>0</v>
          </cell>
          <cell r="BO199">
            <v>0</v>
          </cell>
          <cell r="BT199">
            <v>6282.48</v>
          </cell>
          <cell r="BU199">
            <v>6105.1430172216415</v>
          </cell>
          <cell r="BW199">
            <v>8470.4</v>
          </cell>
          <cell r="BX199">
            <v>10309.401014408148</v>
          </cell>
          <cell r="BZ199">
            <v>1038.7123617720865</v>
          </cell>
          <cell r="CA199">
            <v>5791.1300119497919</v>
          </cell>
          <cell r="CC199">
            <v>294.1325384987336</v>
          </cell>
          <cell r="CD199">
            <v>297.37630810796628</v>
          </cell>
          <cell r="CF199">
            <v>36.209498110639551</v>
          </cell>
          <cell r="CG199">
            <v>0</v>
          </cell>
          <cell r="CI199">
            <v>6039.5214571739953</v>
          </cell>
          <cell r="CJ199">
            <v>6037.350194077404</v>
          </cell>
          <cell r="CL199">
            <v>1246.5871768009961</v>
          </cell>
          <cell r="CM199">
            <v>1497.2844475806951</v>
          </cell>
          <cell r="CX199">
            <v>1119.0341429222026</v>
          </cell>
          <cell r="CY199">
            <v>26830.255474060679</v>
          </cell>
        </row>
        <row r="200">
          <cell r="I200">
            <v>1778.0570670174257</v>
          </cell>
          <cell r="J200">
            <v>2213.2613583416246</v>
          </cell>
          <cell r="L200">
            <v>444.83095775578329</v>
          </cell>
          <cell r="M200">
            <v>568.16372024067914</v>
          </cell>
          <cell r="O200">
            <v>676.42</v>
          </cell>
          <cell r="P200">
            <v>676.5</v>
          </cell>
          <cell r="R200">
            <v>161.44</v>
          </cell>
          <cell r="S200">
            <v>161.46</v>
          </cell>
          <cell r="U200">
            <v>118.22581795543685</v>
          </cell>
          <cell r="V200">
            <v>96.813560492705875</v>
          </cell>
          <cell r="X200">
            <v>1327.5722267365047</v>
          </cell>
          <cell r="Y200">
            <v>1597.9946278377065</v>
          </cell>
          <cell r="AA200">
            <v>0</v>
          </cell>
          <cell r="AB200">
            <v>0</v>
          </cell>
          <cell r="AD200">
            <v>1955.6940794286343</v>
          </cell>
          <cell r="AE200">
            <v>2149.2397823774872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473.50882144682487</v>
          </cell>
          <cell r="AQ200">
            <v>0</v>
          </cell>
          <cell r="AS200">
            <v>8191.5701476768691</v>
          </cell>
          <cell r="AT200">
            <v>440.57288073581003</v>
          </cell>
          <cell r="AV200">
            <v>297.77636292708985</v>
          </cell>
          <cell r="AW200">
            <v>0</v>
          </cell>
          <cell r="AY200">
            <v>573.36085687710136</v>
          </cell>
          <cell r="AZ200">
            <v>0</v>
          </cell>
          <cell r="BB200">
            <v>247.03479876144331</v>
          </cell>
          <cell r="BC200">
            <v>0</v>
          </cell>
          <cell r="BE200">
            <v>169.24387227042521</v>
          </cell>
          <cell r="BF200">
            <v>1654.7042563260297</v>
          </cell>
          <cell r="BH200">
            <v>119.94714023874553</v>
          </cell>
          <cell r="BI200">
            <v>0</v>
          </cell>
          <cell r="BK200">
            <v>179.8175182931152</v>
          </cell>
          <cell r="BL200">
            <v>0</v>
          </cell>
          <cell r="BN200">
            <v>0</v>
          </cell>
          <cell r="BO200">
            <v>0</v>
          </cell>
          <cell r="BT200">
            <v>4408.3255244416896</v>
          </cell>
          <cell r="BU200">
            <v>4250.3792519782801</v>
          </cell>
          <cell r="BW200">
            <v>3030.6388628691693</v>
          </cell>
          <cell r="BX200">
            <v>3625.3287965451364</v>
          </cell>
          <cell r="BZ200">
            <v>874.84810644422237</v>
          </cell>
          <cell r="CA200">
            <v>4178.0511019515889</v>
          </cell>
          <cell r="CC200">
            <v>269.62149362383911</v>
          </cell>
          <cell r="CD200">
            <v>272.5949490989691</v>
          </cell>
          <cell r="CF200">
            <v>33.19203993475292</v>
          </cell>
          <cell r="CG200">
            <v>0</v>
          </cell>
          <cell r="CI200">
            <v>1428.7710885256663</v>
          </cell>
          <cell r="CJ200">
            <v>768.0912885597877</v>
          </cell>
          <cell r="CL200">
            <v>0</v>
          </cell>
          <cell r="CM200">
            <v>0</v>
          </cell>
          <cell r="CX200">
            <v>1599.5238601303063</v>
          </cell>
          <cell r="CY200">
            <v>6527.6133106170364</v>
          </cell>
        </row>
        <row r="201">
          <cell r="I201">
            <v>3696.2005892890193</v>
          </cell>
          <cell r="J201">
            <v>4622.7616980706516</v>
          </cell>
          <cell r="L201">
            <v>687.71345267885329</v>
          </cell>
          <cell r="M201">
            <v>878.38615063816746</v>
          </cell>
          <cell r="O201">
            <v>1325.06</v>
          </cell>
          <cell r="P201">
            <v>1324.86</v>
          </cell>
          <cell r="R201">
            <v>323.04000000000002</v>
          </cell>
          <cell r="S201">
            <v>323.27999999999997</v>
          </cell>
          <cell r="U201">
            <v>195.03873136964788</v>
          </cell>
          <cell r="V201">
            <v>159.7141139737883</v>
          </cell>
          <cell r="X201">
            <v>2062.2996755049794</v>
          </cell>
          <cell r="Y201">
            <v>2510.4613356498899</v>
          </cell>
          <cell r="AA201">
            <v>0</v>
          </cell>
          <cell r="AB201">
            <v>0</v>
          </cell>
          <cell r="AD201">
            <v>4374.446461131487</v>
          </cell>
          <cell r="AE201">
            <v>4807.3645357104979</v>
          </cell>
          <cell r="AJ201">
            <v>14402.266595894693</v>
          </cell>
          <cell r="AK201">
            <v>14561.070339958776</v>
          </cell>
          <cell r="AM201">
            <v>0</v>
          </cell>
          <cell r="AN201">
            <v>0</v>
          </cell>
          <cell r="AP201">
            <v>852.31587860428476</v>
          </cell>
          <cell r="AQ201">
            <v>238.87932167232196</v>
          </cell>
          <cell r="AS201">
            <v>27193.46</v>
          </cell>
          <cell r="AT201">
            <v>1239.5900829719105</v>
          </cell>
          <cell r="AV201">
            <v>323.58965322690381</v>
          </cell>
          <cell r="AW201">
            <v>0</v>
          </cell>
          <cell r="AY201">
            <v>454.66614417503911</v>
          </cell>
          <cell r="AZ201">
            <v>0</v>
          </cell>
          <cell r="BB201">
            <v>530.89323843394777</v>
          </cell>
          <cell r="BC201">
            <v>0</v>
          </cell>
          <cell r="BE201">
            <v>179.5277080876393</v>
          </cell>
          <cell r="BF201">
            <v>0</v>
          </cell>
          <cell r="BH201">
            <v>98.941812127749259</v>
          </cell>
          <cell r="BI201">
            <v>0</v>
          </cell>
          <cell r="BK201">
            <v>229.74257394823968</v>
          </cell>
          <cell r="BL201">
            <v>0</v>
          </cell>
          <cell r="BN201">
            <v>0</v>
          </cell>
          <cell r="BO201">
            <v>0</v>
          </cell>
          <cell r="BT201">
            <v>3525.42</v>
          </cell>
          <cell r="BU201">
            <v>3991.9441097006584</v>
          </cell>
          <cell r="BW201">
            <v>8419.18</v>
          </cell>
          <cell r="BX201">
            <v>13549.803689415483</v>
          </cell>
          <cell r="BZ201">
            <v>1629.06</v>
          </cell>
          <cell r="CA201">
            <v>3862.6086065015534</v>
          </cell>
          <cell r="CC201">
            <v>294.1325384987336</v>
          </cell>
          <cell r="CD201">
            <v>297.37630810796628</v>
          </cell>
          <cell r="CF201">
            <v>36.209498110639551</v>
          </cell>
          <cell r="CG201">
            <v>0</v>
          </cell>
          <cell r="CI201">
            <v>1965.3401436051738</v>
          </cell>
          <cell r="CJ201">
            <v>2091.1843722140929</v>
          </cell>
          <cell r="CL201">
            <v>2063.6071507854331</v>
          </cell>
          <cell r="CM201">
            <v>3136.7866229918413</v>
          </cell>
          <cell r="CX201">
            <v>975.11778543307446</v>
          </cell>
          <cell r="CY201">
            <v>21694.414454906873</v>
          </cell>
        </row>
        <row r="202">
          <cell r="I202">
            <v>3701.1643116310679</v>
          </cell>
          <cell r="J202">
            <v>4633.7781239120723</v>
          </cell>
          <cell r="L202">
            <v>642.19348625192868</v>
          </cell>
          <cell r="M202">
            <v>820.24700276875001</v>
          </cell>
          <cell r="O202">
            <v>1358.34</v>
          </cell>
          <cell r="P202">
            <v>1358.58</v>
          </cell>
          <cell r="R202">
            <v>337.34</v>
          </cell>
          <cell r="S202">
            <v>337.28</v>
          </cell>
          <cell r="U202">
            <v>195.03873136964788</v>
          </cell>
          <cell r="V202">
            <v>159.7141139737883</v>
          </cell>
          <cell r="X202">
            <v>2079.5286002385078</v>
          </cell>
          <cell r="Y202">
            <v>2526.6076642288681</v>
          </cell>
          <cell r="AA202">
            <v>0</v>
          </cell>
          <cell r="AB202">
            <v>0</v>
          </cell>
          <cell r="AD202">
            <v>4492.5591808503596</v>
          </cell>
          <cell r="AE202">
            <v>4937.1663072118808</v>
          </cell>
          <cell r="AJ202">
            <v>12475.431075511171</v>
          </cell>
          <cell r="AK202">
            <v>12612.99082331749</v>
          </cell>
          <cell r="AM202">
            <v>0</v>
          </cell>
          <cell r="AN202">
            <v>133.27276795240937</v>
          </cell>
          <cell r="AP202">
            <v>852.31587860428476</v>
          </cell>
          <cell r="AQ202">
            <v>382.20691467571515</v>
          </cell>
          <cell r="AS202">
            <v>26782</v>
          </cell>
          <cell r="AT202">
            <v>5065.869839113856</v>
          </cell>
          <cell r="AV202">
            <v>259.31682263898614</v>
          </cell>
          <cell r="AW202">
            <v>0</v>
          </cell>
          <cell r="AY202">
            <v>350.53630385809657</v>
          </cell>
          <cell r="AZ202">
            <v>1285.7224594662948</v>
          </cell>
          <cell r="BB202">
            <v>438.00105507251305</v>
          </cell>
          <cell r="BC202">
            <v>0</v>
          </cell>
          <cell r="BE202">
            <v>148.98691764472883</v>
          </cell>
          <cell r="BF202">
            <v>0</v>
          </cell>
          <cell r="BH202">
            <v>79.153449702199396</v>
          </cell>
          <cell r="BI202">
            <v>0</v>
          </cell>
          <cell r="BK202">
            <v>186.96012202314108</v>
          </cell>
          <cell r="BL202">
            <v>0</v>
          </cell>
          <cell r="BN202">
            <v>0</v>
          </cell>
          <cell r="BO202">
            <v>0</v>
          </cell>
          <cell r="BT202">
            <v>6287.76</v>
          </cell>
          <cell r="BU202">
            <v>6020.1144630192148</v>
          </cell>
          <cell r="BW202">
            <v>8688.68</v>
          </cell>
          <cell r="BX202">
            <v>10575.360408990771</v>
          </cell>
          <cell r="BZ202">
            <v>1629.06</v>
          </cell>
          <cell r="CA202">
            <v>5699.1794152743023</v>
          </cell>
          <cell r="CC202">
            <v>294.1325384987336</v>
          </cell>
          <cell r="CD202">
            <v>297.37630810796628</v>
          </cell>
          <cell r="CF202">
            <v>36.209498110639551</v>
          </cell>
          <cell r="CG202">
            <v>0</v>
          </cell>
          <cell r="CI202">
            <v>3178.8596925931306</v>
          </cell>
          <cell r="CJ202">
            <v>3087.0829995840195</v>
          </cell>
          <cell r="CL202">
            <v>4772.9689201839947</v>
          </cell>
          <cell r="CM202">
            <v>4630.6144347053269</v>
          </cell>
          <cell r="CX202">
            <v>2494.5760982602515</v>
          </cell>
          <cell r="CY202">
            <v>20138.623144436729</v>
          </cell>
        </row>
        <row r="203">
          <cell r="I203">
            <v>2191.4050820489592</v>
          </cell>
          <cell r="J203">
            <v>2756.8291502173815</v>
          </cell>
          <cell r="L203">
            <v>289.83064804141583</v>
          </cell>
          <cell r="M203">
            <v>370.18826872000795</v>
          </cell>
          <cell r="O203">
            <v>910.42</v>
          </cell>
          <cell r="P203">
            <v>910.76</v>
          </cell>
          <cell r="R203">
            <v>219.08</v>
          </cell>
          <cell r="S203">
            <v>219.3</v>
          </cell>
          <cell r="U203">
            <v>130.00964065633656</v>
          </cell>
          <cell r="V203">
            <v>106.46261844006062</v>
          </cell>
          <cell r="X203">
            <v>1009.1417827583608</v>
          </cell>
          <cell r="Y203">
            <v>1195.330425917623</v>
          </cell>
          <cell r="AA203">
            <v>0</v>
          </cell>
          <cell r="AB203">
            <v>0</v>
          </cell>
          <cell r="AD203">
            <v>2986.9533813785579</v>
          </cell>
          <cell r="AE203">
            <v>3282.5578923065987</v>
          </cell>
          <cell r="AJ203">
            <v>2090.1236447864553</v>
          </cell>
          <cell r="AK203">
            <v>584.07503055120287</v>
          </cell>
          <cell r="AM203">
            <v>0</v>
          </cell>
          <cell r="AN203">
            <v>206.17001278817884</v>
          </cell>
          <cell r="AP203">
            <v>1349.5001411234509</v>
          </cell>
          <cell r="AQ203">
            <v>0</v>
          </cell>
          <cell r="AS203">
            <v>9891.6284381155456</v>
          </cell>
          <cell r="AT203">
            <v>21226.986509062575</v>
          </cell>
          <cell r="AV203">
            <v>173.0252149111553</v>
          </cell>
          <cell r="AW203">
            <v>0</v>
          </cell>
          <cell r="AY203">
            <v>190.6065330224925</v>
          </cell>
          <cell r="AZ203">
            <v>1607.5847351996208</v>
          </cell>
          <cell r="BB203">
            <v>347.57607156084669</v>
          </cell>
          <cell r="BC203">
            <v>0</v>
          </cell>
          <cell r="BE203">
            <v>135.57212084364016</v>
          </cell>
          <cell r="BF203">
            <v>0</v>
          </cell>
          <cell r="BH203">
            <v>65.961235315382794</v>
          </cell>
          <cell r="BI203">
            <v>0</v>
          </cell>
          <cell r="BK203">
            <v>162.82689024297548</v>
          </cell>
          <cell r="BL203">
            <v>0</v>
          </cell>
          <cell r="BN203">
            <v>0</v>
          </cell>
          <cell r="BO203">
            <v>0</v>
          </cell>
          <cell r="BT203">
            <v>7416.1887362632224</v>
          </cell>
          <cell r="BU203">
            <v>6178.1948618677598</v>
          </cell>
          <cell r="BW203">
            <v>9290.8720135918593</v>
          </cell>
          <cell r="BX203">
            <v>11237.478502185846</v>
          </cell>
          <cell r="BZ203">
            <v>1111.7173069381831</v>
          </cell>
          <cell r="CA203">
            <v>5715.6855446533045</v>
          </cell>
          <cell r="CC203">
            <v>289.23032952375473</v>
          </cell>
          <cell r="CD203">
            <v>292.42003630616688</v>
          </cell>
          <cell r="CF203">
            <v>35.606006475462223</v>
          </cell>
          <cell r="CG203">
            <v>0</v>
          </cell>
          <cell r="CI203">
            <v>3702.9503975545108</v>
          </cell>
          <cell r="CJ203">
            <v>3541.0470712091783</v>
          </cell>
          <cell r="CL203">
            <v>1406.9339758189421</v>
          </cell>
          <cell r="CM203">
            <v>417.13200500730863</v>
          </cell>
          <cell r="CX203">
            <v>-1373.051509165809</v>
          </cell>
          <cell r="CY203">
            <v>-18714.303197319361</v>
          </cell>
        </row>
        <row r="204">
          <cell r="I204">
            <v>429.89971026334257</v>
          </cell>
          <cell r="J204">
            <v>465.38151017137568</v>
          </cell>
          <cell r="L204">
            <v>93.750112091284052</v>
          </cell>
          <cell r="M204">
            <v>103.17313530359138</v>
          </cell>
          <cell r="O204">
            <v>108.74</v>
          </cell>
          <cell r="P204">
            <v>108.73333333333333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>
            <v>197.78281885877576</v>
          </cell>
          <cell r="Y204">
            <v>185.91953052957783</v>
          </cell>
          <cell r="AA204">
            <v>0</v>
          </cell>
          <cell r="AB204">
            <v>0</v>
          </cell>
          <cell r="AD204">
            <v>341.49641178522808</v>
          </cell>
          <cell r="AE204">
            <v>373.961300180465</v>
          </cell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P204">
            <v>118.37720536170622</v>
          </cell>
          <cell r="AQ204">
            <v>0</v>
          </cell>
          <cell r="AS204">
            <v>1056.515040328379</v>
          </cell>
          <cell r="AT204">
            <v>2862.6301701267284</v>
          </cell>
          <cell r="AV204">
            <v>83.07505612416243</v>
          </cell>
          <cell r="AW204">
            <v>0</v>
          </cell>
          <cell r="AY204">
            <v>120.85834889421265</v>
          </cell>
          <cell r="AZ204">
            <v>0</v>
          </cell>
          <cell r="BB204">
            <v>50.255603364884891</v>
          </cell>
          <cell r="BC204">
            <v>0</v>
          </cell>
          <cell r="BE204">
            <v>0</v>
          </cell>
          <cell r="BF204">
            <v>0</v>
          </cell>
          <cell r="BH204">
            <v>0</v>
          </cell>
          <cell r="BI204">
            <v>0</v>
          </cell>
          <cell r="BK204">
            <v>19.771277081972755</v>
          </cell>
          <cell r="BL204">
            <v>0</v>
          </cell>
          <cell r="BN204">
            <v>0</v>
          </cell>
          <cell r="BO204">
            <v>0</v>
          </cell>
          <cell r="BT204">
            <v>1162.7988093856859</v>
          </cell>
          <cell r="BU204">
            <v>1044.2090408416066</v>
          </cell>
          <cell r="BW204">
            <v>465.45645904822544</v>
          </cell>
          <cell r="BX204">
            <v>1746.4334194167891</v>
          </cell>
          <cell r="BZ204">
            <v>318.44255339917396</v>
          </cell>
          <cell r="CA204">
            <v>1090.0365246939964</v>
          </cell>
          <cell r="CC204">
            <v>0</v>
          </cell>
          <cell r="CD204">
            <v>0</v>
          </cell>
          <cell r="CF204">
            <v>0</v>
          </cell>
          <cell r="CG204">
            <v>0</v>
          </cell>
          <cell r="CI204">
            <v>155.97937647660115</v>
          </cell>
          <cell r="CJ204">
            <v>106.47429403772136</v>
          </cell>
          <cell r="CL204">
            <v>0</v>
          </cell>
          <cell r="CM204">
            <v>0</v>
          </cell>
          <cell r="CX204">
            <v>66.581461043639138</v>
          </cell>
          <cell r="CY204">
            <v>-3969.922710362222</v>
          </cell>
        </row>
        <row r="205"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>
            <v>183.84689632155502</v>
          </cell>
          <cell r="Y205">
            <v>144.23652640051461</v>
          </cell>
          <cell r="AA205">
            <v>0</v>
          </cell>
          <cell r="AB205">
            <v>0</v>
          </cell>
          <cell r="AD205">
            <v>394.2316673614111</v>
          </cell>
          <cell r="AE205">
            <v>433.24689269075026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P205">
            <v>173.61990119716913</v>
          </cell>
          <cell r="AQ205">
            <v>0</v>
          </cell>
          <cell r="AS205">
            <v>840.67548234952994</v>
          </cell>
          <cell r="AT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B205">
            <v>0</v>
          </cell>
          <cell r="BC205">
            <v>0</v>
          </cell>
          <cell r="BE205">
            <v>0</v>
          </cell>
          <cell r="BF205">
            <v>0</v>
          </cell>
          <cell r="BH205">
            <v>0</v>
          </cell>
          <cell r="BI205">
            <v>0</v>
          </cell>
          <cell r="BK205">
            <v>11.79923975269347</v>
          </cell>
          <cell r="BL205">
            <v>0</v>
          </cell>
          <cell r="BN205">
            <v>18.844525374458165</v>
          </cell>
          <cell r="BO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2.2516856390581426</v>
          </cell>
          <cell r="BZ205">
            <v>0</v>
          </cell>
          <cell r="CA205">
            <v>0</v>
          </cell>
          <cell r="CC205">
            <v>0</v>
          </cell>
          <cell r="CD205">
            <v>0</v>
          </cell>
          <cell r="CF205">
            <v>0</v>
          </cell>
          <cell r="CG205">
            <v>0</v>
          </cell>
          <cell r="CI205">
            <v>0</v>
          </cell>
          <cell r="CJ205">
            <v>2.4731035655487452</v>
          </cell>
          <cell r="CL205">
            <v>0</v>
          </cell>
          <cell r="CM205">
            <v>0</v>
          </cell>
          <cell r="CX205">
            <v>48.678745171819855</v>
          </cell>
          <cell r="CY205">
            <v>1297.650150044954</v>
          </cell>
        </row>
        <row r="206">
          <cell r="I206">
            <v>205.02480444573766</v>
          </cell>
          <cell r="J206">
            <v>178.03156936953988</v>
          </cell>
          <cell r="L206">
            <v>40.340596299837237</v>
          </cell>
          <cell r="M206">
            <v>36.374425389806305</v>
          </cell>
          <cell r="O206">
            <v>89.68</v>
          </cell>
          <cell r="P206">
            <v>89.66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>
            <v>146.17925307445458</v>
          </cell>
          <cell r="Y206">
            <v>95.259066557611035</v>
          </cell>
          <cell r="AA206">
            <v>0</v>
          </cell>
          <cell r="AB206">
            <v>0</v>
          </cell>
          <cell r="AD206">
            <v>255.72323122915535</v>
          </cell>
          <cell r="AE206">
            <v>281.03093812933622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P206">
            <v>126.26901905248663</v>
          </cell>
          <cell r="AQ206">
            <v>239.85147736512377</v>
          </cell>
          <cell r="AS206">
            <v>1246.5313505136853</v>
          </cell>
          <cell r="AT206">
            <v>0</v>
          </cell>
          <cell r="AV206">
            <v>39.854034337902583</v>
          </cell>
          <cell r="AW206">
            <v>0</v>
          </cell>
          <cell r="AY206">
            <v>52.004483831338867</v>
          </cell>
          <cell r="AZ206">
            <v>0</v>
          </cell>
          <cell r="BB206">
            <v>40.915006131433771</v>
          </cell>
          <cell r="BC206">
            <v>0</v>
          </cell>
          <cell r="BE206">
            <v>0</v>
          </cell>
          <cell r="BF206">
            <v>0</v>
          </cell>
          <cell r="BH206">
            <v>0</v>
          </cell>
          <cell r="BI206">
            <v>0</v>
          </cell>
          <cell r="BK206">
            <v>36.676348877749327</v>
          </cell>
          <cell r="BL206">
            <v>0</v>
          </cell>
          <cell r="BN206">
            <v>27.907064838681809</v>
          </cell>
          <cell r="BO206">
            <v>0</v>
          </cell>
          <cell r="BT206">
            <v>0</v>
          </cell>
          <cell r="BU206">
            <v>0</v>
          </cell>
          <cell r="BW206">
            <v>35.78822164429954</v>
          </cell>
          <cell r="BX206">
            <v>1.4605836491677944</v>
          </cell>
          <cell r="BZ206">
            <v>0</v>
          </cell>
          <cell r="CA206">
            <v>0</v>
          </cell>
          <cell r="CC206">
            <v>0</v>
          </cell>
          <cell r="CD206">
            <v>0</v>
          </cell>
          <cell r="CF206">
            <v>0</v>
          </cell>
          <cell r="CG206">
            <v>0</v>
          </cell>
          <cell r="CI206">
            <v>143.50102635847304</v>
          </cell>
          <cell r="CJ206">
            <v>111.44063051022275</v>
          </cell>
          <cell r="CL206">
            <v>0</v>
          </cell>
          <cell r="CM206">
            <v>0</v>
          </cell>
          <cell r="CX206">
            <v>74.566671237716946</v>
          </cell>
          <cell r="CY206">
            <v>1818.5095708350304</v>
          </cell>
        </row>
        <row r="207">
          <cell r="I207">
            <v>451.00308958110253</v>
          </cell>
          <cell r="J207">
            <v>487.91451150163795</v>
          </cell>
          <cell r="L207">
            <v>93.750112091284052</v>
          </cell>
          <cell r="M207">
            <v>103.17313530359138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197.78281885877576</v>
          </cell>
          <cell r="Y207">
            <v>185.99891725683375</v>
          </cell>
          <cell r="AA207">
            <v>0</v>
          </cell>
          <cell r="AB207">
            <v>0</v>
          </cell>
          <cell r="AD207">
            <v>348.33774223835456</v>
          </cell>
          <cell r="AE207">
            <v>382.8110649805472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47.350882144682487</v>
          </cell>
          <cell r="AQ207">
            <v>0</v>
          </cell>
          <cell r="AS207">
            <v>1355.5330261552676</v>
          </cell>
          <cell r="AT207">
            <v>36.860989106953532</v>
          </cell>
          <cell r="AV207">
            <v>93.124297043027042</v>
          </cell>
          <cell r="AW207">
            <v>0</v>
          </cell>
          <cell r="AY207">
            <v>120.85834889421265</v>
          </cell>
          <cell r="AZ207">
            <v>0</v>
          </cell>
          <cell r="BB207">
            <v>0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19.771277081972755</v>
          </cell>
          <cell r="BL207">
            <v>0</v>
          </cell>
          <cell r="BN207">
            <v>0</v>
          </cell>
          <cell r="BO207">
            <v>0</v>
          </cell>
          <cell r="BT207">
            <v>1309.3857204389506</v>
          </cell>
          <cell r="BU207">
            <v>457.81780388719199</v>
          </cell>
          <cell r="BW207">
            <v>332.84883019540251</v>
          </cell>
          <cell r="BX207">
            <v>1393.5152700452441</v>
          </cell>
          <cell r="BZ207">
            <v>272.7293734864673</v>
          </cell>
          <cell r="CA207">
            <v>674.75302455570818</v>
          </cell>
          <cell r="CC207">
            <v>0</v>
          </cell>
          <cell r="CD207">
            <v>0</v>
          </cell>
          <cell r="CF207">
            <v>0</v>
          </cell>
          <cell r="CG207">
            <v>0</v>
          </cell>
          <cell r="CI207">
            <v>18.717525177192133</v>
          </cell>
          <cell r="CJ207">
            <v>17.341918970947059</v>
          </cell>
          <cell r="CL207">
            <v>0</v>
          </cell>
          <cell r="CM207">
            <v>0</v>
          </cell>
          <cell r="CX207">
            <v>-1.16520640303861E-2</v>
          </cell>
          <cell r="CY207">
            <v>1105.1960372696137</v>
          </cell>
        </row>
        <row r="208">
          <cell r="I208">
            <v>142.60929764448582</v>
          </cell>
          <cell r="J208">
            <v>158.88847990499096</v>
          </cell>
          <cell r="L208">
            <v>56.713212510051193</v>
          </cell>
          <cell r="M208">
            <v>62.414048184708101</v>
          </cell>
          <cell r="O208">
            <v>82.88</v>
          </cell>
          <cell r="P208">
            <v>82.866666666666674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>
            <v>70.863556614904908</v>
          </cell>
          <cell r="Y208">
            <v>65.150712870039428</v>
          </cell>
          <cell r="AA208">
            <v>0</v>
          </cell>
          <cell r="AB208">
            <v>0</v>
          </cell>
          <cell r="AD208">
            <v>233.67419328959994</v>
          </cell>
          <cell r="AE208">
            <v>301.91011773731782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P208">
            <v>142.05264643404746</v>
          </cell>
          <cell r="AQ208">
            <v>0</v>
          </cell>
          <cell r="AS208">
            <v>663.02809882485838</v>
          </cell>
          <cell r="AT208">
            <v>0</v>
          </cell>
          <cell r="AV208">
            <v>55.317016831563706</v>
          </cell>
          <cell r="AW208">
            <v>0</v>
          </cell>
          <cell r="AY208">
            <v>73.078243450016657</v>
          </cell>
          <cell r="AZ208">
            <v>0</v>
          </cell>
          <cell r="BB208">
            <v>39.334542562527318</v>
          </cell>
          <cell r="BC208">
            <v>0</v>
          </cell>
          <cell r="BE208">
            <v>0</v>
          </cell>
          <cell r="BF208">
            <v>0</v>
          </cell>
          <cell r="BH208">
            <v>0</v>
          </cell>
          <cell r="BI208">
            <v>0</v>
          </cell>
          <cell r="BK208">
            <v>9.8614252960765771</v>
          </cell>
          <cell r="BL208">
            <v>0</v>
          </cell>
          <cell r="BN208">
            <v>0</v>
          </cell>
          <cell r="BO208">
            <v>0</v>
          </cell>
          <cell r="BT208">
            <v>1154.4105908852571</v>
          </cell>
          <cell r="BU208">
            <v>470.16948633802798</v>
          </cell>
          <cell r="BW208">
            <v>599.86955317543266</v>
          </cell>
          <cell r="BX208">
            <v>331.1425434369425</v>
          </cell>
          <cell r="BZ208">
            <v>274.96073609478691</v>
          </cell>
          <cell r="CA208">
            <v>747.04658656412778</v>
          </cell>
          <cell r="CC208">
            <v>29.903474747371249</v>
          </cell>
          <cell r="CD208">
            <v>30.233257990976576</v>
          </cell>
          <cell r="CF208">
            <v>3.6812989745816878</v>
          </cell>
          <cell r="CG208">
            <v>0</v>
          </cell>
          <cell r="CI208">
            <v>18.717525177192133</v>
          </cell>
          <cell r="CJ208">
            <v>12.375582498445674</v>
          </cell>
          <cell r="CL208">
            <v>0</v>
          </cell>
          <cell r="CM208">
            <v>0</v>
          </cell>
          <cell r="CX208">
            <v>761.53350498469626</v>
          </cell>
          <cell r="CY208">
            <v>2428.043021369308</v>
          </cell>
        </row>
        <row r="209">
          <cell r="I209">
            <v>1327.4832038396437</v>
          </cell>
          <cell r="J209">
            <v>1466.8849099591127</v>
          </cell>
          <cell r="L209">
            <v>275.62748227154816</v>
          </cell>
          <cell r="M209">
            <v>303.33227417768137</v>
          </cell>
          <cell r="O209">
            <v>517.36</v>
          </cell>
          <cell r="P209">
            <v>517.36666666666667</v>
          </cell>
          <cell r="R209">
            <v>130.54</v>
          </cell>
          <cell r="S209">
            <v>130.55000000000001</v>
          </cell>
          <cell r="U209">
            <v>88.645113504097054</v>
          </cell>
          <cell r="V209">
            <v>428.61300945045656</v>
          </cell>
          <cell r="X209">
            <v>985.6645116009646</v>
          </cell>
          <cell r="Y209">
            <v>929.98480554343814</v>
          </cell>
          <cell r="AA209">
            <v>0</v>
          </cell>
          <cell r="AB209">
            <v>0</v>
          </cell>
          <cell r="AD209">
            <v>1633.6028164182635</v>
          </cell>
          <cell r="AE209">
            <v>1795.2726853249953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P209">
            <v>291.99710655887532</v>
          </cell>
          <cell r="AQ209">
            <v>0</v>
          </cell>
          <cell r="AS209">
            <v>3738.8353777026609</v>
          </cell>
          <cell r="AT209">
            <v>1258.7001004483097</v>
          </cell>
          <cell r="AV209">
            <v>234.83426435119529</v>
          </cell>
          <cell r="AW209">
            <v>0</v>
          </cell>
          <cell r="AY209">
            <v>355.27199472401503</v>
          </cell>
          <cell r="AZ209">
            <v>0</v>
          </cell>
          <cell r="BB209">
            <v>291.88442736632646</v>
          </cell>
          <cell r="BC209">
            <v>0</v>
          </cell>
          <cell r="BE209">
            <v>148.75500964976717</v>
          </cell>
          <cell r="BF209">
            <v>0</v>
          </cell>
          <cell r="BH209">
            <v>89.960355179059135</v>
          </cell>
          <cell r="BI209">
            <v>0</v>
          </cell>
          <cell r="BK209">
            <v>129.72769086525304</v>
          </cell>
          <cell r="BL209">
            <v>341.30103163853278</v>
          </cell>
          <cell r="BN209">
            <v>0</v>
          </cell>
          <cell r="BO209">
            <v>0</v>
          </cell>
          <cell r="BT209">
            <v>3992.1287333348687</v>
          </cell>
          <cell r="BU209">
            <v>2069.0986541017328</v>
          </cell>
          <cell r="BW209">
            <v>3953.8482913113594</v>
          </cell>
          <cell r="BX209">
            <v>1936.6483095344822</v>
          </cell>
          <cell r="BZ209">
            <v>3106.252592773656</v>
          </cell>
          <cell r="CA209">
            <v>2619.3908742486642</v>
          </cell>
          <cell r="CC209">
            <v>328.44800132358586</v>
          </cell>
          <cell r="CD209">
            <v>332.07021072056239</v>
          </cell>
          <cell r="CF209">
            <v>40.43393955688083</v>
          </cell>
          <cell r="CG209">
            <v>0</v>
          </cell>
          <cell r="CI209">
            <v>698.78760661517299</v>
          </cell>
          <cell r="CJ209">
            <v>153.52364980735919</v>
          </cell>
          <cell r="CL209">
            <v>0</v>
          </cell>
          <cell r="CM209">
            <v>0</v>
          </cell>
          <cell r="CX209">
            <v>-5.8862227366298612</v>
          </cell>
          <cell r="CY209">
            <v>9686.9353820536053</v>
          </cell>
        </row>
        <row r="210">
          <cell r="I210">
            <v>72.971859826195953</v>
          </cell>
          <cell r="J210">
            <v>85.856472231916058</v>
          </cell>
          <cell r="L210">
            <v>40.340596299837237</v>
          </cell>
          <cell r="M210">
            <v>44.395383839209757</v>
          </cell>
          <cell r="O210">
            <v>80.62</v>
          </cell>
          <cell r="P210">
            <v>80.63333333333334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>
            <v>37.053408462048985</v>
          </cell>
          <cell r="Y210">
            <v>18.659806715501148</v>
          </cell>
          <cell r="AA210">
            <v>0</v>
          </cell>
          <cell r="AB210">
            <v>0</v>
          </cell>
          <cell r="AD210">
            <v>252.48785203569767</v>
          </cell>
          <cell r="AE210">
            <v>277.47536890877223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P210">
            <v>386.69887084824029</v>
          </cell>
          <cell r="AQ210">
            <v>0</v>
          </cell>
          <cell r="AS210">
            <v>448.18829791239602</v>
          </cell>
          <cell r="AT210">
            <v>0</v>
          </cell>
          <cell r="AV210">
            <v>50.356859347754401</v>
          </cell>
          <cell r="AW210">
            <v>0</v>
          </cell>
          <cell r="AY210">
            <v>52.004483831338867</v>
          </cell>
          <cell r="AZ210">
            <v>0</v>
          </cell>
          <cell r="BB210">
            <v>41.88574554546431</v>
          </cell>
          <cell r="BC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K210">
            <v>0.28321488959834151</v>
          </cell>
          <cell r="BL210">
            <v>0</v>
          </cell>
          <cell r="BN210">
            <v>0</v>
          </cell>
          <cell r="BO210">
            <v>0</v>
          </cell>
          <cell r="BT210">
            <v>1242.4336902557943</v>
          </cell>
          <cell r="BU210">
            <v>1122.1845784132283</v>
          </cell>
          <cell r="BW210">
            <v>45.47124451660801</v>
          </cell>
          <cell r="BX210">
            <v>1.4421045226288862</v>
          </cell>
          <cell r="BZ210">
            <v>377.93785294754753</v>
          </cell>
          <cell r="CA210">
            <v>1173.5549174758689</v>
          </cell>
          <cell r="CC210">
            <v>0</v>
          </cell>
          <cell r="CD210">
            <v>0</v>
          </cell>
          <cell r="CF210">
            <v>0</v>
          </cell>
          <cell r="CG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X210">
            <v>56.299227937774504</v>
          </cell>
          <cell r="CY210">
            <v>445.73764147144948</v>
          </cell>
        </row>
        <row r="211">
          <cell r="I211">
            <v>403.39185773935259</v>
          </cell>
          <cell r="J211">
            <v>437.79504138703942</v>
          </cell>
          <cell r="L211">
            <v>109.38260822167149</v>
          </cell>
          <cell r="M211">
            <v>120.37770336841962</v>
          </cell>
          <cell r="O211">
            <v>109.34</v>
          </cell>
          <cell r="P211">
            <v>109.33333333333333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201.19626340407379</v>
          </cell>
          <cell r="Y211">
            <v>188.72540886144623</v>
          </cell>
          <cell r="AA211">
            <v>0</v>
          </cell>
          <cell r="AB211">
            <v>0</v>
          </cell>
          <cell r="AD211">
            <v>338.00448269977812</v>
          </cell>
          <cell r="AE211">
            <v>371.45517209548586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165.7280875063887</v>
          </cell>
          <cell r="AQ211">
            <v>0</v>
          </cell>
          <cell r="AS211">
            <v>950.93820110495744</v>
          </cell>
          <cell r="AT211">
            <v>0</v>
          </cell>
          <cell r="AV211">
            <v>68.737885799463683</v>
          </cell>
          <cell r="AW211">
            <v>0</v>
          </cell>
          <cell r="AY211">
            <v>140.94151713113857</v>
          </cell>
          <cell r="AZ211">
            <v>0</v>
          </cell>
          <cell r="BB211">
            <v>50.066584629659644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19.771301113804686</v>
          </cell>
          <cell r="BL211">
            <v>0</v>
          </cell>
          <cell r="BN211">
            <v>0</v>
          </cell>
          <cell r="BO211">
            <v>0</v>
          </cell>
          <cell r="BT211">
            <v>1547.0980408854621</v>
          </cell>
          <cell r="BU211">
            <v>702.90551319329415</v>
          </cell>
          <cell r="BW211">
            <v>400.43647143041733</v>
          </cell>
          <cell r="BX211">
            <v>1488.4193786036699</v>
          </cell>
          <cell r="BZ211">
            <v>420.68883365971362</v>
          </cell>
          <cell r="CA211">
            <v>845.53220698178177</v>
          </cell>
          <cell r="CC211">
            <v>52.453636032274154</v>
          </cell>
          <cell r="CD211">
            <v>53.032108279253997</v>
          </cell>
          <cell r="CF211">
            <v>6.4573604963973867</v>
          </cell>
          <cell r="CG211">
            <v>0</v>
          </cell>
          <cell r="CI211">
            <v>215.25153953770956</v>
          </cell>
          <cell r="CJ211">
            <v>195.70731581151514</v>
          </cell>
          <cell r="CL211">
            <v>0</v>
          </cell>
          <cell r="CM211">
            <v>0</v>
          </cell>
          <cell r="CX211">
            <v>-2.1605670714961889E-2</v>
          </cell>
          <cell r="CY211">
            <v>823.90018170171243</v>
          </cell>
        </row>
        <row r="212">
          <cell r="I212">
            <v>2338.4513727925773</v>
          </cell>
          <cell r="J212">
            <v>2607.4615128407095</v>
          </cell>
          <cell r="L212">
            <v>481.37387211591579</v>
          </cell>
          <cell r="M212">
            <v>529.75958637472672</v>
          </cell>
          <cell r="O212">
            <v>1078.22</v>
          </cell>
          <cell r="P212">
            <v>1078.2166666666667</v>
          </cell>
          <cell r="R212">
            <v>257.04000000000002</v>
          </cell>
          <cell r="S212">
            <v>257.03333333333336</v>
          </cell>
          <cell r="U212">
            <v>147.75798163649051</v>
          </cell>
          <cell r="V212">
            <v>597.24217460502291</v>
          </cell>
          <cell r="X212">
            <v>1777.3195384548037</v>
          </cell>
          <cell r="Y212">
            <v>1736.7583256052412</v>
          </cell>
          <cell r="AA212">
            <v>0</v>
          </cell>
          <cell r="AB212">
            <v>0</v>
          </cell>
          <cell r="AD212">
            <v>3374.3936029880638</v>
          </cell>
          <cell r="AE212">
            <v>3708.3412222942716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623.45328157165284</v>
          </cell>
          <cell r="AQ212">
            <v>0</v>
          </cell>
          <cell r="AS212">
            <v>8763.0691241502554</v>
          </cell>
          <cell r="AT212">
            <v>0</v>
          </cell>
          <cell r="AV212">
            <v>390.33847504504604</v>
          </cell>
          <cell r="AW212">
            <v>0</v>
          </cell>
          <cell r="AY212">
            <v>620.41262887163259</v>
          </cell>
          <cell r="AZ212">
            <v>0</v>
          </cell>
          <cell r="BB212">
            <v>575.45004834420865</v>
          </cell>
          <cell r="BC212">
            <v>0</v>
          </cell>
          <cell r="BE212">
            <v>271.31080726994344</v>
          </cell>
          <cell r="BF212">
            <v>0</v>
          </cell>
          <cell r="BH212">
            <v>149.88538452814583</v>
          </cell>
          <cell r="BI212">
            <v>0</v>
          </cell>
          <cell r="BK212">
            <v>252.38051312156597</v>
          </cell>
          <cell r="BL212">
            <v>0</v>
          </cell>
          <cell r="BN212">
            <v>0</v>
          </cell>
          <cell r="BO212">
            <v>0</v>
          </cell>
          <cell r="BT212">
            <v>11487.492797209252</v>
          </cell>
          <cell r="BU212">
            <v>7926.2904966809792</v>
          </cell>
          <cell r="BW212">
            <v>5122.0058400875741</v>
          </cell>
          <cell r="BX212">
            <v>5337.0257152350332</v>
          </cell>
          <cell r="BZ212">
            <v>2642.6804770956051</v>
          </cell>
          <cell r="CA212">
            <v>8742.8138344596373</v>
          </cell>
          <cell r="CC212">
            <v>452.47388839055179</v>
          </cell>
          <cell r="CD212">
            <v>457.46388730608822</v>
          </cell>
          <cell r="CF212">
            <v>55.702277926867183</v>
          </cell>
          <cell r="CG212">
            <v>0</v>
          </cell>
          <cell r="CI212">
            <v>1466.2061388800507</v>
          </cell>
          <cell r="CJ212">
            <v>951.52366857987658</v>
          </cell>
          <cell r="CL212">
            <v>0</v>
          </cell>
          <cell r="CM212">
            <v>0</v>
          </cell>
          <cell r="CX212">
            <v>1046.7183394237582</v>
          </cell>
          <cell r="CY212">
            <v>11123.703491222092</v>
          </cell>
        </row>
        <row r="213">
          <cell r="I213">
            <v>1099.6846566762104</v>
          </cell>
          <cell r="J213">
            <v>1215.6324934647482</v>
          </cell>
          <cell r="L213">
            <v>156.23343472749542</v>
          </cell>
          <cell r="M213">
            <v>171.93713447752629</v>
          </cell>
          <cell r="O213">
            <v>424.88</v>
          </cell>
          <cell r="P213">
            <v>424.88333333333338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X213">
            <v>770.1690841785512</v>
          </cell>
          <cell r="Y213">
            <v>720.96005618819368</v>
          </cell>
          <cell r="AA213">
            <v>0</v>
          </cell>
          <cell r="AB213">
            <v>0</v>
          </cell>
          <cell r="AD213">
            <v>1411.8581931063029</v>
          </cell>
          <cell r="AE213">
            <v>1551.5830556618466</v>
          </cell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P213">
            <v>852.31587860428476</v>
          </cell>
          <cell r="AQ213">
            <v>0</v>
          </cell>
          <cell r="AS213">
            <v>2988.2570570820485</v>
          </cell>
          <cell r="AT213">
            <v>0</v>
          </cell>
          <cell r="AV213">
            <v>187.94647068857452</v>
          </cell>
          <cell r="AW213">
            <v>0</v>
          </cell>
          <cell r="AY213">
            <v>201.394921118063</v>
          </cell>
          <cell r="AZ213">
            <v>0</v>
          </cell>
          <cell r="BB213">
            <v>261.14611199583754</v>
          </cell>
          <cell r="BC213">
            <v>0</v>
          </cell>
          <cell r="BE213">
            <v>0</v>
          </cell>
          <cell r="BF213">
            <v>0</v>
          </cell>
          <cell r="BH213">
            <v>0</v>
          </cell>
          <cell r="BI213">
            <v>0</v>
          </cell>
          <cell r="BK213">
            <v>98.937810135742524</v>
          </cell>
          <cell r="BL213">
            <v>0</v>
          </cell>
          <cell r="BN213">
            <v>0</v>
          </cell>
          <cell r="BO213">
            <v>0</v>
          </cell>
          <cell r="BT213">
            <v>5290.7080601649777</v>
          </cell>
          <cell r="BU213">
            <v>4584.0883533654142</v>
          </cell>
          <cell r="BW213">
            <v>2447.855812051062</v>
          </cell>
          <cell r="BX213">
            <v>2802.9421607257391</v>
          </cell>
          <cell r="BZ213">
            <v>1549.3373563831337</v>
          </cell>
          <cell r="CA213">
            <v>4546.6250590399086</v>
          </cell>
          <cell r="CC213">
            <v>0</v>
          </cell>
          <cell r="CD213">
            <v>0</v>
          </cell>
          <cell r="CF213">
            <v>0</v>
          </cell>
          <cell r="CG213">
            <v>0</v>
          </cell>
          <cell r="CI213">
            <v>1101.214397924804</v>
          </cell>
          <cell r="CJ213">
            <v>1216.5080782388625</v>
          </cell>
          <cell r="CL213">
            <v>0</v>
          </cell>
          <cell r="CM213">
            <v>0</v>
          </cell>
          <cell r="CX213">
            <v>565.33290619549371</v>
          </cell>
          <cell r="CY213">
            <v>2493.4683306053139</v>
          </cell>
        </row>
        <row r="214">
          <cell r="I214">
            <v>93.269085878945262</v>
          </cell>
          <cell r="J214">
            <v>105.71239783549773</v>
          </cell>
          <cell r="L214">
            <v>46.653150726733912</v>
          </cell>
          <cell r="M214">
            <v>51.342338767594661</v>
          </cell>
          <cell r="O214">
            <v>63.92</v>
          </cell>
          <cell r="P214">
            <v>63.933333333333337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>
            <v>69.599247294264174</v>
          </cell>
          <cell r="Y214">
            <v>63.754660063851155</v>
          </cell>
          <cell r="AA214">
            <v>0</v>
          </cell>
          <cell r="AB214">
            <v>0</v>
          </cell>
          <cell r="AD214">
            <v>203.95716413383198</v>
          </cell>
          <cell r="AE214">
            <v>224.14183060031218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142.05264643404746</v>
          </cell>
          <cell r="AQ214">
            <v>0</v>
          </cell>
          <cell r="AS214">
            <v>751.0658898522405</v>
          </cell>
          <cell r="AT214">
            <v>0</v>
          </cell>
          <cell r="AV214">
            <v>61.08498790277315</v>
          </cell>
          <cell r="AW214">
            <v>0</v>
          </cell>
          <cell r="AY214">
            <v>60.142686975203205</v>
          </cell>
          <cell r="AZ214">
            <v>0</v>
          </cell>
          <cell r="BB214">
            <v>25.856638541695908</v>
          </cell>
          <cell r="BC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K214">
            <v>9.8614099354183207</v>
          </cell>
          <cell r="BL214">
            <v>0</v>
          </cell>
          <cell r="BN214">
            <v>0</v>
          </cell>
          <cell r="BO214">
            <v>0</v>
          </cell>
          <cell r="BT214">
            <v>955.32120006988953</v>
          </cell>
          <cell r="BU214">
            <v>882.03011868007866</v>
          </cell>
          <cell r="BW214">
            <v>190.28264997171078</v>
          </cell>
          <cell r="BX214">
            <v>185.65722167738244</v>
          </cell>
          <cell r="BZ214">
            <v>259.94760452819969</v>
          </cell>
          <cell r="CA214">
            <v>972.33506513812881</v>
          </cell>
          <cell r="CC214">
            <v>0</v>
          </cell>
          <cell r="CD214">
            <v>0</v>
          </cell>
          <cell r="CF214">
            <v>0</v>
          </cell>
          <cell r="CG214">
            <v>0</v>
          </cell>
          <cell r="CI214">
            <v>187.17525177192132</v>
          </cell>
          <cell r="CJ214">
            <v>165.9898143421224</v>
          </cell>
          <cell r="CL214">
            <v>0</v>
          </cell>
          <cell r="CM214">
            <v>0</v>
          </cell>
          <cell r="CX214">
            <v>-9.1475368202504796</v>
          </cell>
          <cell r="CY214">
            <v>477.20386347403814</v>
          </cell>
        </row>
        <row r="215">
          <cell r="I215">
            <v>967.24574842025538</v>
          </cell>
          <cell r="J215">
            <v>890.50502589467271</v>
          </cell>
          <cell r="L215">
            <v>374.11870881629648</v>
          </cell>
          <cell r="M215">
            <v>378.86718366885327</v>
          </cell>
          <cell r="O215">
            <v>883.3</v>
          </cell>
          <cell r="P215">
            <v>883.30000000000007</v>
          </cell>
          <cell r="R215">
            <v>207.38</v>
          </cell>
          <cell r="S215">
            <v>207.38333333333335</v>
          </cell>
          <cell r="U215">
            <v>192.08062007918898</v>
          </cell>
          <cell r="V215">
            <v>116.31282722920301</v>
          </cell>
          <cell r="X215">
            <v>1491.4338275199132</v>
          </cell>
          <cell r="Y215">
            <v>1042.4126615867297</v>
          </cell>
          <cell r="AA215">
            <v>0</v>
          </cell>
          <cell r="AB215">
            <v>0</v>
          </cell>
          <cell r="AD215">
            <v>2717.5047309278179</v>
          </cell>
          <cell r="AE215">
            <v>2986.4431957657953</v>
          </cell>
          <cell r="AJ215">
            <v>4964.0659391358995</v>
          </cell>
          <cell r="AK215">
            <v>5018.7884120266808</v>
          </cell>
          <cell r="AM215">
            <v>0</v>
          </cell>
          <cell r="AN215">
            <v>399.28374909572597</v>
          </cell>
          <cell r="AP215">
            <v>568.21058573618984</v>
          </cell>
          <cell r="AQ215">
            <v>3440.8343877742382</v>
          </cell>
          <cell r="AS215">
            <v>10284.17970223984</v>
          </cell>
          <cell r="AT215">
            <v>0</v>
          </cell>
          <cell r="AV215">
            <v>101.50287500156291</v>
          </cell>
          <cell r="AW215">
            <v>0</v>
          </cell>
          <cell r="AY215">
            <v>220.35536942866483</v>
          </cell>
          <cell r="AZ215">
            <v>0</v>
          </cell>
          <cell r="BB215">
            <v>230.42606906662934</v>
          </cell>
          <cell r="BC215">
            <v>0</v>
          </cell>
          <cell r="BE215">
            <v>112.07757032379568</v>
          </cell>
          <cell r="BF215">
            <v>0</v>
          </cell>
          <cell r="BH215">
            <v>97.432801481500164</v>
          </cell>
          <cell r="BI215">
            <v>0</v>
          </cell>
          <cell r="BK215">
            <v>142.88014072649705</v>
          </cell>
          <cell r="BL215">
            <v>0</v>
          </cell>
          <cell r="BN215">
            <v>96.663229479310985</v>
          </cell>
          <cell r="BO215">
            <v>0</v>
          </cell>
          <cell r="BT215">
            <v>9669.3420490419412</v>
          </cell>
          <cell r="BU215">
            <v>7761.9771490433905</v>
          </cell>
          <cell r="BW215">
            <v>4980.7765172872423</v>
          </cell>
          <cell r="BX215">
            <v>6488.6866155867938</v>
          </cell>
          <cell r="BZ215">
            <v>1817.7466331011517</v>
          </cell>
          <cell r="CA215">
            <v>7402.0731877753624</v>
          </cell>
          <cell r="CC215">
            <v>156.87068719932458</v>
          </cell>
          <cell r="CD215">
            <v>158.60069765758203</v>
          </cell>
          <cell r="CF215">
            <v>19.311732325674427</v>
          </cell>
          <cell r="CG215">
            <v>0</v>
          </cell>
          <cell r="CI215">
            <v>1428.7710885256663</v>
          </cell>
          <cell r="CJ215">
            <v>1110.0841075546509</v>
          </cell>
          <cell r="CL215">
            <v>2239.8638462039921</v>
          </cell>
          <cell r="CM215">
            <v>2906.6672153473846</v>
          </cell>
          <cell r="CX215">
            <v>973.43143351797335</v>
          </cell>
          <cell r="CY215">
            <v>4299.0163007915289</v>
          </cell>
        </row>
        <row r="216">
          <cell r="I216">
            <v>8893.3527177792257</v>
          </cell>
          <cell r="J216">
            <v>7705.6565006674973</v>
          </cell>
          <cell r="L216">
            <v>1383.8738484118967</v>
          </cell>
          <cell r="M216">
            <v>1289.3395062315478</v>
          </cell>
          <cell r="O216">
            <v>3747.56</v>
          </cell>
          <cell r="P216">
            <v>3747.5500000000006</v>
          </cell>
          <cell r="R216">
            <v>835.94</v>
          </cell>
          <cell r="S216">
            <v>835.93333333333339</v>
          </cell>
          <cell r="U216">
            <v>455.10639007130726</v>
          </cell>
          <cell r="V216">
            <v>257.49298176974406</v>
          </cell>
          <cell r="X216">
            <v>5882.661021426873</v>
          </cell>
          <cell r="Y216">
            <v>4731.0177736881669</v>
          </cell>
          <cell r="AA216">
            <v>0</v>
          </cell>
          <cell r="AB216">
            <v>0</v>
          </cell>
          <cell r="AD216">
            <v>10997.702379678632</v>
          </cell>
          <cell r="AE216">
            <v>12090.086602506643</v>
          </cell>
          <cell r="AJ216">
            <v>18941.823520565489</v>
          </cell>
          <cell r="AK216">
            <v>19150.639993259705</v>
          </cell>
          <cell r="AM216">
            <v>0</v>
          </cell>
          <cell r="AN216">
            <v>1862.0262589196689</v>
          </cell>
          <cell r="AP216">
            <v>1933.4943542412018</v>
          </cell>
          <cell r="AQ216">
            <v>0</v>
          </cell>
          <cell r="AS216">
            <v>38335.786223766067</v>
          </cell>
          <cell r="AT216">
            <v>1059.0430259464601</v>
          </cell>
          <cell r="AV216">
            <v>687.5689269980968</v>
          </cell>
          <cell r="AW216">
            <v>2309.4966732716111</v>
          </cell>
          <cell r="AY216">
            <v>852.73376605057626</v>
          </cell>
          <cell r="AZ216">
            <v>3210.1358157077925</v>
          </cell>
          <cell r="BB216">
            <v>818.59852281293365</v>
          </cell>
          <cell r="BC216">
            <v>0</v>
          </cell>
          <cell r="BE216">
            <v>452.47536652234191</v>
          </cell>
          <cell r="BF216">
            <v>0</v>
          </cell>
          <cell r="BH216">
            <v>230.86424191318989</v>
          </cell>
          <cell r="BI216">
            <v>0</v>
          </cell>
          <cell r="BK216">
            <v>728.97575593989166</v>
          </cell>
          <cell r="BL216">
            <v>0</v>
          </cell>
          <cell r="BN216">
            <v>235.73840334135744</v>
          </cell>
          <cell r="BO216">
            <v>0</v>
          </cell>
          <cell r="BT216">
            <v>35932.432701699378</v>
          </cell>
          <cell r="BU216">
            <v>26942.033055525742</v>
          </cell>
          <cell r="BW216">
            <v>21908.491209721928</v>
          </cell>
          <cell r="BX216">
            <v>23821.859657151079</v>
          </cell>
          <cell r="BZ216">
            <v>6924.7490784805777</v>
          </cell>
          <cell r="CA216">
            <v>22931.803133544236</v>
          </cell>
          <cell r="CC216">
            <v>350.01772081349299</v>
          </cell>
          <cell r="CD216">
            <v>353.87780664847992</v>
          </cell>
          <cell r="CF216">
            <v>43.089302751661066</v>
          </cell>
          <cell r="CG216">
            <v>0</v>
          </cell>
          <cell r="CI216">
            <v>4133.4534766299294</v>
          </cell>
          <cell r="CJ216">
            <v>1925.4964979930287</v>
          </cell>
          <cell r="CL216">
            <v>2664.1277502203475</v>
          </cell>
          <cell r="CM216">
            <v>3979.4937346875731</v>
          </cell>
          <cell r="CX216">
            <v>3346.6099841963296</v>
          </cell>
          <cell r="CY216">
            <v>38347.771178977244</v>
          </cell>
        </row>
        <row r="217">
          <cell r="I217">
            <v>403.65464800973967</v>
          </cell>
          <cell r="J217">
            <v>436.68320657486856</v>
          </cell>
          <cell r="L217">
            <v>89.70629529285317</v>
          </cell>
          <cell r="M217">
            <v>98.72274230259481</v>
          </cell>
          <cell r="O217">
            <v>95.86</v>
          </cell>
          <cell r="P217">
            <v>95.866666666666674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197.78281885877576</v>
          </cell>
          <cell r="Y217">
            <v>185.37931353190959</v>
          </cell>
          <cell r="AA217">
            <v>0</v>
          </cell>
          <cell r="AB217">
            <v>0</v>
          </cell>
          <cell r="AD217">
            <v>341.63893950300155</v>
          </cell>
          <cell r="AE217">
            <v>375.44931373092129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142.05264643404746</v>
          </cell>
          <cell r="AQ217">
            <v>0</v>
          </cell>
          <cell r="AS217">
            <v>1177.6042701828499</v>
          </cell>
          <cell r="AT217">
            <v>0</v>
          </cell>
          <cell r="AV217">
            <v>77.254161613420038</v>
          </cell>
          <cell r="AW217">
            <v>0</v>
          </cell>
          <cell r="AY217">
            <v>115.64329743466799</v>
          </cell>
          <cell r="AZ217">
            <v>0</v>
          </cell>
          <cell r="BB217">
            <v>53.682635866982842</v>
          </cell>
          <cell r="BC217">
            <v>5486.1601225794993</v>
          </cell>
          <cell r="BE217">
            <v>0</v>
          </cell>
          <cell r="BF217">
            <v>0</v>
          </cell>
          <cell r="BH217">
            <v>0</v>
          </cell>
          <cell r="BI217">
            <v>0</v>
          </cell>
          <cell r="BK217">
            <v>19.771277081972755</v>
          </cell>
          <cell r="BL217">
            <v>0</v>
          </cell>
          <cell r="BN217">
            <v>0</v>
          </cell>
          <cell r="BO217">
            <v>0</v>
          </cell>
          <cell r="BT217">
            <v>1325.6562383130422</v>
          </cell>
          <cell r="BU217">
            <v>544.82594851709541</v>
          </cell>
          <cell r="BW217">
            <v>360.32658888365421</v>
          </cell>
          <cell r="BX217">
            <v>1467.039767324804</v>
          </cell>
          <cell r="BZ217">
            <v>532.81173505725587</v>
          </cell>
          <cell r="CA217">
            <v>768.61523147788921</v>
          </cell>
          <cell r="CC217">
            <v>0</v>
          </cell>
          <cell r="CD217">
            <v>0</v>
          </cell>
          <cell r="CF217">
            <v>0</v>
          </cell>
          <cell r="CG217">
            <v>0</v>
          </cell>
          <cell r="CI217">
            <v>224.61030212630564</v>
          </cell>
          <cell r="CJ217">
            <v>158.57050364547618</v>
          </cell>
          <cell r="CL217">
            <v>0</v>
          </cell>
          <cell r="CM217">
            <v>0</v>
          </cell>
          <cell r="CX217">
            <v>154.75297440971735</v>
          </cell>
          <cell r="CY217">
            <v>-5196.3553796220704</v>
          </cell>
        </row>
        <row r="218">
          <cell r="I218">
            <v>2233.8642851748746</v>
          </cell>
          <cell r="J218">
            <v>1962.752567541339</v>
          </cell>
          <cell r="L218">
            <v>384.07368337535149</v>
          </cell>
          <cell r="M218">
            <v>346.31298891908494</v>
          </cell>
          <cell r="O218">
            <v>1308.22</v>
          </cell>
          <cell r="P218">
            <v>1308.2333333333336</v>
          </cell>
          <cell r="R218">
            <v>273.18</v>
          </cell>
          <cell r="S218">
            <v>273.18333333333334</v>
          </cell>
          <cell r="U218">
            <v>375.28698797765099</v>
          </cell>
          <cell r="V218">
            <v>131.54280437380498</v>
          </cell>
          <cell r="X218">
            <v>1360.4233611864354</v>
          </cell>
          <cell r="Y218">
            <v>1076.3789574235793</v>
          </cell>
          <cell r="AA218">
            <v>0</v>
          </cell>
          <cell r="AB218">
            <v>0</v>
          </cell>
          <cell r="AD218">
            <v>3661.9290208242569</v>
          </cell>
          <cell r="AE218">
            <v>4024.3326472090648</v>
          </cell>
          <cell r="AJ218">
            <v>6401.0370863106209</v>
          </cell>
          <cell r="AK218">
            <v>6471.6068481832372</v>
          </cell>
          <cell r="AM218">
            <v>0</v>
          </cell>
          <cell r="AN218">
            <v>266.0109811433166</v>
          </cell>
          <cell r="AP218">
            <v>631.34509526243312</v>
          </cell>
          <cell r="AQ218">
            <v>0</v>
          </cell>
          <cell r="AS218">
            <v>14480.956615968795</v>
          </cell>
          <cell r="AT218">
            <v>335.2013214676407</v>
          </cell>
          <cell r="AV218">
            <v>110.3839524567741</v>
          </cell>
          <cell r="AW218">
            <v>352.16728040695443</v>
          </cell>
          <cell r="AY218">
            <v>147.54288771672486</v>
          </cell>
          <cell r="AZ218">
            <v>0</v>
          </cell>
          <cell r="BB218">
            <v>216.4953644508474</v>
          </cell>
          <cell r="BC218">
            <v>0</v>
          </cell>
          <cell r="BE218">
            <v>57.544955533841751</v>
          </cell>
          <cell r="BF218">
            <v>0</v>
          </cell>
          <cell r="BH218">
            <v>114.23216904794364</v>
          </cell>
          <cell r="BI218">
            <v>0</v>
          </cell>
          <cell r="BK218">
            <v>75.197898812150427</v>
          </cell>
          <cell r="BL218">
            <v>4407.1628156041215</v>
          </cell>
          <cell r="BN218">
            <v>98.612223391799574</v>
          </cell>
          <cell r="BO218">
            <v>0</v>
          </cell>
          <cell r="BT218">
            <v>12150.573642261808</v>
          </cell>
          <cell r="BU218">
            <v>9878.8769324922905</v>
          </cell>
          <cell r="BW218">
            <v>6138.0025138061746</v>
          </cell>
          <cell r="BX218">
            <v>8757.5595574088693</v>
          </cell>
          <cell r="BZ218">
            <v>2596.7809044302167</v>
          </cell>
          <cell r="CA218">
            <v>9269.434878493008</v>
          </cell>
          <cell r="CC218">
            <v>300.0151892687083</v>
          </cell>
          <cell r="CD218">
            <v>303.32383427012564</v>
          </cell>
          <cell r="CF218">
            <v>36.933688072852341</v>
          </cell>
          <cell r="CG218">
            <v>0</v>
          </cell>
          <cell r="CI218">
            <v>5761.8781670456456</v>
          </cell>
          <cell r="CJ218">
            <v>4016.7311935606313</v>
          </cell>
          <cell r="CL218">
            <v>1235.3566616946807</v>
          </cell>
          <cell r="CM218">
            <v>1744.6177389041043</v>
          </cell>
          <cell r="CX218">
            <v>1887.5603751152812</v>
          </cell>
          <cell r="CY218">
            <v>8156.8839831185905</v>
          </cell>
        </row>
        <row r="219">
          <cell r="I219">
            <v>239.78116175653739</v>
          </cell>
          <cell r="J219">
            <v>263.17348458150525</v>
          </cell>
          <cell r="L219">
            <v>89.70629529285317</v>
          </cell>
          <cell r="M219">
            <v>98.72274230259481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197.78281885877576</v>
          </cell>
          <cell r="Y219">
            <v>185.18665549869095</v>
          </cell>
          <cell r="AA219">
            <v>0</v>
          </cell>
          <cell r="AB219">
            <v>0</v>
          </cell>
          <cell r="AD219">
            <v>288.26230919683798</v>
          </cell>
          <cell r="AE219">
            <v>316.79025324188081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118.37720536170622</v>
          </cell>
          <cell r="AQ219">
            <v>0</v>
          </cell>
          <cell r="AS219">
            <v>1154.3966077777561</v>
          </cell>
          <cell r="AT219">
            <v>0</v>
          </cell>
          <cell r="AV219">
            <v>53.23428105407536</v>
          </cell>
          <cell r="AW219">
            <v>0</v>
          </cell>
          <cell r="AY219">
            <v>115.64329743466799</v>
          </cell>
          <cell r="AZ219">
            <v>0</v>
          </cell>
          <cell r="BB219">
            <v>0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19.771277081972755</v>
          </cell>
          <cell r="BL219">
            <v>0</v>
          </cell>
          <cell r="BN219">
            <v>0</v>
          </cell>
          <cell r="BO219">
            <v>0</v>
          </cell>
          <cell r="BT219">
            <v>1381.4348106070515</v>
          </cell>
          <cell r="BU219">
            <v>540.75882668901897</v>
          </cell>
          <cell r="BW219">
            <v>358.66164288679494</v>
          </cell>
          <cell r="BX219">
            <v>1444.1312275005125</v>
          </cell>
          <cell r="BZ219">
            <v>272.97036188200735</v>
          </cell>
          <cell r="CA219">
            <v>745.04243009093966</v>
          </cell>
          <cell r="CC219">
            <v>0</v>
          </cell>
          <cell r="CD219">
            <v>0</v>
          </cell>
          <cell r="CF219">
            <v>0</v>
          </cell>
          <cell r="CG219">
            <v>0</v>
          </cell>
          <cell r="CI219">
            <v>68.630925649704494</v>
          </cell>
          <cell r="CJ219">
            <v>94.098711539275698</v>
          </cell>
          <cell r="CL219">
            <v>0</v>
          </cell>
          <cell r="CM219">
            <v>0</v>
          </cell>
          <cell r="CX219">
            <v>-2.3593808889017964E-2</v>
          </cell>
          <cell r="CY219">
            <v>804.87480226669709</v>
          </cell>
        </row>
        <row r="220">
          <cell r="I220">
            <v>3427.9988989078552</v>
          </cell>
          <cell r="J220">
            <v>3004.0880328018038</v>
          </cell>
          <cell r="L220">
            <v>587.84829855846283</v>
          </cell>
          <cell r="M220">
            <v>530.05275140157846</v>
          </cell>
          <cell r="O220">
            <v>2003.2</v>
          </cell>
          <cell r="P220">
            <v>2003.2000000000003</v>
          </cell>
          <cell r="R220">
            <v>390.18</v>
          </cell>
          <cell r="S220">
            <v>390.18333333333339</v>
          </cell>
          <cell r="U220">
            <v>195.03873136964788</v>
          </cell>
          <cell r="V220">
            <v>68.363548883706315</v>
          </cell>
          <cell r="X220">
            <v>2605.4494085979932</v>
          </cell>
          <cell r="Y220">
            <v>2081.1878683847676</v>
          </cell>
          <cell r="AA220">
            <v>0</v>
          </cell>
          <cell r="AB220">
            <v>0</v>
          </cell>
          <cell r="AD220">
            <v>5309.7347243186468</v>
          </cell>
          <cell r="AE220">
            <v>5835.2138115133203</v>
          </cell>
          <cell r="AJ220">
            <v>14116.222702204675</v>
          </cell>
          <cell r="AK220">
            <v>14271.877523887952</v>
          </cell>
          <cell r="AM220">
            <v>0</v>
          </cell>
          <cell r="AN220">
            <v>0</v>
          </cell>
          <cell r="AP220">
            <v>947.01764289364974</v>
          </cell>
          <cell r="AQ220">
            <v>0</v>
          </cell>
          <cell r="AS220">
            <v>19849.94132568179</v>
          </cell>
          <cell r="AT220">
            <v>1161.2353920005005</v>
          </cell>
          <cell r="AV220">
            <v>285.32250723809909</v>
          </cell>
          <cell r="AW220">
            <v>0</v>
          </cell>
          <cell r="AY220">
            <v>390.32326750718556</v>
          </cell>
          <cell r="AZ220">
            <v>0</v>
          </cell>
          <cell r="BB220">
            <v>487.49537740688345</v>
          </cell>
          <cell r="BC220">
            <v>0</v>
          </cell>
          <cell r="BE220">
            <v>200.76067396593027</v>
          </cell>
          <cell r="BF220">
            <v>0</v>
          </cell>
          <cell r="BH220">
            <v>98.941812127749259</v>
          </cell>
          <cell r="BI220">
            <v>0</v>
          </cell>
          <cell r="BK220">
            <v>320.3263120897879</v>
          </cell>
          <cell r="BL220">
            <v>1914.4090683877223</v>
          </cell>
          <cell r="BN220">
            <v>143.02162076665977</v>
          </cell>
          <cell r="BO220">
            <v>0</v>
          </cell>
          <cell r="BT220">
            <v>17471.169404994558</v>
          </cell>
          <cell r="BU220">
            <v>4027.070954615403</v>
          </cell>
          <cell r="BW220">
            <v>9798.5500390698744</v>
          </cell>
          <cell r="BX220">
            <v>3374.2335402205681</v>
          </cell>
          <cell r="BZ220">
            <v>2596.7809044302167</v>
          </cell>
          <cell r="CA220">
            <v>4574.0307771192111</v>
          </cell>
          <cell r="CC220">
            <v>381.58794661235697</v>
          </cell>
          <cell r="CD220">
            <v>385.79619705206829</v>
          </cell>
          <cell r="CF220">
            <v>46.975788882203041</v>
          </cell>
          <cell r="CG220">
            <v>0</v>
          </cell>
          <cell r="CI220">
            <v>4894.6328338357434</v>
          </cell>
          <cell r="CJ220">
            <v>2648.7397882397745</v>
          </cell>
          <cell r="CL220">
            <v>2779.5524888130321</v>
          </cell>
          <cell r="CM220">
            <v>3511.503474568849</v>
          </cell>
          <cell r="CX220">
            <v>2678.1927476724086</v>
          </cell>
          <cell r="CY220">
            <v>50134.456725107346</v>
          </cell>
        </row>
        <row r="221">
          <cell r="I221">
            <v>1684.5663027301821</v>
          </cell>
          <cell r="J221">
            <v>1528.6816255161082</v>
          </cell>
          <cell r="L221">
            <v>469.78543785590898</v>
          </cell>
          <cell r="M221">
            <v>423.59752599424803</v>
          </cell>
          <cell r="O221">
            <v>1636</v>
          </cell>
          <cell r="P221">
            <v>1636</v>
          </cell>
          <cell r="R221">
            <v>301.92</v>
          </cell>
          <cell r="S221">
            <v>301.93333333333334</v>
          </cell>
          <cell r="U221">
            <v>181.72735309855759</v>
          </cell>
          <cell r="V221">
            <v>63.697684829459419</v>
          </cell>
          <cell r="X221">
            <v>2141.9062526719076</v>
          </cell>
          <cell r="Y221">
            <v>1649.4941593333533</v>
          </cell>
          <cell r="AA221">
            <v>0</v>
          </cell>
          <cell r="AB221">
            <v>0</v>
          </cell>
          <cell r="AD221">
            <v>4361.3837957975484</v>
          </cell>
          <cell r="AE221">
            <v>4793.0091207737278</v>
          </cell>
          <cell r="AJ221">
            <v>8948.3808490861302</v>
          </cell>
          <cell r="AK221">
            <v>9047.0433759555563</v>
          </cell>
          <cell r="AM221">
            <v>789.21107943546565</v>
          </cell>
          <cell r="AN221">
            <v>0</v>
          </cell>
          <cell r="AP221">
            <v>804.96499645960228</v>
          </cell>
          <cell r="AQ221">
            <v>0</v>
          </cell>
          <cell r="AS221">
            <v>19449.217537715067</v>
          </cell>
          <cell r="AT221">
            <v>5851.0772496760092</v>
          </cell>
          <cell r="AV221">
            <v>86.443035780007833</v>
          </cell>
          <cell r="AW221">
            <v>0</v>
          </cell>
          <cell r="AY221">
            <v>120.14218698074031</v>
          </cell>
          <cell r="AZ221">
            <v>3221.422943737793</v>
          </cell>
          <cell r="BB221">
            <v>76.741518410294219</v>
          </cell>
          <cell r="BC221">
            <v>0</v>
          </cell>
          <cell r="BE221">
            <v>71.32701187536864</v>
          </cell>
          <cell r="BF221">
            <v>1148.5448070087323</v>
          </cell>
          <cell r="BH221">
            <v>55.319784965168807</v>
          </cell>
          <cell r="BI221">
            <v>0</v>
          </cell>
          <cell r="BK221">
            <v>114.19426926644365</v>
          </cell>
          <cell r="BL221">
            <v>0</v>
          </cell>
          <cell r="BN221">
            <v>180.65516284184937</v>
          </cell>
          <cell r="BO221">
            <v>0</v>
          </cell>
          <cell r="BT221">
            <v>12181.296074819107</v>
          </cell>
          <cell r="BU221">
            <v>9287.3964815239324</v>
          </cell>
          <cell r="BW221">
            <v>8868.0551148426694</v>
          </cell>
          <cell r="BX221">
            <v>12166.25592400767</v>
          </cell>
          <cell r="BZ221">
            <v>1514.7888609176264</v>
          </cell>
          <cell r="CA221">
            <v>8775.5878192227265</v>
          </cell>
          <cell r="CC221">
            <v>303.54477973069311</v>
          </cell>
          <cell r="CD221">
            <v>306.89234996742124</v>
          </cell>
          <cell r="CF221">
            <v>37.368202050180017</v>
          </cell>
          <cell r="CG221">
            <v>0</v>
          </cell>
          <cell r="CI221">
            <v>2263.5727114284355</v>
          </cell>
          <cell r="CJ221">
            <v>3890.894787168002</v>
          </cell>
          <cell r="CL221">
            <v>1506.7607767639668</v>
          </cell>
          <cell r="CM221">
            <v>2177.8939670688283</v>
          </cell>
          <cell r="CX221">
            <v>1984.772285372499</v>
          </cell>
          <cell r="CY221">
            <v>4240.5922138597234</v>
          </cell>
        </row>
        <row r="222">
          <cell r="I222">
            <v>1330.4224455269668</v>
          </cell>
          <cell r="J222">
            <v>1148.572057397113</v>
          </cell>
          <cell r="L222">
            <v>200.32194683700277</v>
          </cell>
          <cell r="M222">
            <v>221.99531441711468</v>
          </cell>
          <cell r="O222">
            <v>526.67999999999995</v>
          </cell>
          <cell r="P222">
            <v>526.68333333333339</v>
          </cell>
          <cell r="R222">
            <v>123.12</v>
          </cell>
          <cell r="S222">
            <v>123.11666666666667</v>
          </cell>
          <cell r="U222">
            <v>65.029090713311319</v>
          </cell>
          <cell r="V222">
            <v>43.477748865757228</v>
          </cell>
          <cell r="X222">
            <v>361.52046946747163</v>
          </cell>
          <cell r="Y222">
            <v>318.14336160734632</v>
          </cell>
          <cell r="AA222">
            <v>0</v>
          </cell>
          <cell r="AB222">
            <v>0</v>
          </cell>
          <cell r="AD222">
            <v>1542.0216313629221</v>
          </cell>
          <cell r="AE222">
            <v>1694.6281477622906</v>
          </cell>
          <cell r="AJ222">
            <v>2873.920011581376</v>
          </cell>
          <cell r="AK222">
            <v>2905.6143438049203</v>
          </cell>
          <cell r="AM222">
            <v>263.07035981182185</v>
          </cell>
          <cell r="AN222">
            <v>266.0109811433166</v>
          </cell>
          <cell r="AP222">
            <v>284.10529286809492</v>
          </cell>
          <cell r="AQ222">
            <v>191.10345733785758</v>
          </cell>
          <cell r="AS222">
            <v>5461.3657630380385</v>
          </cell>
          <cell r="AT222">
            <v>11632.111425868872</v>
          </cell>
          <cell r="AV222">
            <v>106.46004484722503</v>
          </cell>
          <cell r="AW222">
            <v>0</v>
          </cell>
          <cell r="AY222">
            <v>132.91597242587608</v>
          </cell>
          <cell r="AZ222">
            <v>0</v>
          </cell>
          <cell r="BB222">
            <v>96.496044322568451</v>
          </cell>
          <cell r="BC222">
            <v>0</v>
          </cell>
          <cell r="BE222">
            <v>68.311243232300868</v>
          </cell>
          <cell r="BF222">
            <v>0</v>
          </cell>
          <cell r="BH222">
            <v>32.980617657691397</v>
          </cell>
          <cell r="BI222">
            <v>0</v>
          </cell>
          <cell r="BK222">
            <v>43.626293285779226</v>
          </cell>
          <cell r="BL222">
            <v>3382.6449808026209</v>
          </cell>
          <cell r="BN222">
            <v>38.465579168771882</v>
          </cell>
          <cell r="BO222">
            <v>0</v>
          </cell>
          <cell r="BT222">
            <v>5111.3809466259045</v>
          </cell>
          <cell r="BU222">
            <v>1216.8020014460378</v>
          </cell>
          <cell r="BW222">
            <v>3063.4321930426122</v>
          </cell>
          <cell r="BX222">
            <v>2488.9597483452262</v>
          </cell>
          <cell r="BZ222">
            <v>1168.5514069935975</v>
          </cell>
          <cell r="CA222">
            <v>1185.8622672192253</v>
          </cell>
          <cell r="CC222">
            <v>130.15364828568963</v>
          </cell>
          <cell r="CD222">
            <v>131.58901633777509</v>
          </cell>
          <cell r="CF222">
            <v>16.022702913958003</v>
          </cell>
          <cell r="CG222">
            <v>0</v>
          </cell>
          <cell r="CI222">
            <v>739.34224449908925</v>
          </cell>
          <cell r="CJ222">
            <v>1591.1544771209565</v>
          </cell>
          <cell r="CL222">
            <v>658.23296873125662</v>
          </cell>
          <cell r="CM222">
            <v>847.59293080261762</v>
          </cell>
          <cell r="CX222">
            <v>437.64129931281059</v>
          </cell>
          <cell r="CY222">
            <v>-6136.0947123348542</v>
          </cell>
        </row>
        <row r="223">
          <cell r="I223">
            <v>2627.7766471040031</v>
          </cell>
          <cell r="J223">
            <v>2270.2885230876263</v>
          </cell>
          <cell r="L223">
            <v>400.64389367400554</v>
          </cell>
          <cell r="M223">
            <v>402.62235101050487</v>
          </cell>
          <cell r="O223">
            <v>1070.02</v>
          </cell>
          <cell r="P223">
            <v>1070.0166666666667</v>
          </cell>
          <cell r="R223">
            <v>235.44</v>
          </cell>
          <cell r="S223">
            <v>235.45000000000002</v>
          </cell>
          <cell r="U223">
            <v>130.00964065633656</v>
          </cell>
          <cell r="V223">
            <v>97.28028620946688</v>
          </cell>
          <cell r="X223">
            <v>1174.6791043787337</v>
          </cell>
          <cell r="Y223">
            <v>835.93930341812734</v>
          </cell>
          <cell r="AA223">
            <v>0</v>
          </cell>
          <cell r="AB223">
            <v>0</v>
          </cell>
          <cell r="AD223">
            <v>3074.3228723736938</v>
          </cell>
          <cell r="AE223">
            <v>3378.5739245623581</v>
          </cell>
          <cell r="AJ223">
            <v>6139.7493479442464</v>
          </cell>
          <cell r="AK223">
            <v>6207.4600896555166</v>
          </cell>
          <cell r="AM223">
            <v>526.14071962364369</v>
          </cell>
          <cell r="AN223">
            <v>532.00510021686796</v>
          </cell>
          <cell r="AP223">
            <v>568.21058573618984</v>
          </cell>
          <cell r="AQ223">
            <v>238.87932167232196</v>
          </cell>
          <cell r="AS223">
            <v>10155.214744297535</v>
          </cell>
          <cell r="AT223">
            <v>2239.119293365909</v>
          </cell>
          <cell r="AV223">
            <v>165.41116391265822</v>
          </cell>
          <cell r="AW223">
            <v>0</v>
          </cell>
          <cell r="AY223">
            <v>212.66555588140139</v>
          </cell>
          <cell r="AZ223">
            <v>0</v>
          </cell>
          <cell r="BB223">
            <v>158.75959729993374</v>
          </cell>
          <cell r="BC223">
            <v>0</v>
          </cell>
          <cell r="BE223">
            <v>94.310142601773379</v>
          </cell>
          <cell r="BF223">
            <v>0</v>
          </cell>
          <cell r="BH223">
            <v>52.768988252306244</v>
          </cell>
          <cell r="BI223">
            <v>0</v>
          </cell>
          <cell r="BK223">
            <v>78.040883527025315</v>
          </cell>
          <cell r="BL223">
            <v>2821.8978251399649</v>
          </cell>
          <cell r="BN223">
            <v>79.878797055444863</v>
          </cell>
          <cell r="BO223">
            <v>0</v>
          </cell>
          <cell r="BT223">
            <v>9832.0320414307116</v>
          </cell>
          <cell r="BU223">
            <v>8597.7320833596532</v>
          </cell>
          <cell r="BW223">
            <v>6116.0004807725318</v>
          </cell>
          <cell r="BX223">
            <v>10012.391419464177</v>
          </cell>
          <cell r="BZ223">
            <v>2293.8231322466918</v>
          </cell>
          <cell r="CA223">
            <v>8669.1033876971669</v>
          </cell>
          <cell r="CC223">
            <v>242.6593442614552</v>
          </cell>
          <cell r="CD223">
            <v>245.33545418907218</v>
          </cell>
          <cell r="CF223">
            <v>29.872835941277629</v>
          </cell>
          <cell r="CG223">
            <v>0</v>
          </cell>
          <cell r="CI223">
            <v>1469.3257264095823</v>
          </cell>
          <cell r="CJ223">
            <v>3174.8695142038632</v>
          </cell>
          <cell r="CL223">
            <v>1310.2267624034496</v>
          </cell>
          <cell r="CM223">
            <v>1687.756486237887</v>
          </cell>
          <cell r="CX223">
            <v>842.54039065845427</v>
          </cell>
          <cell r="CY223">
            <v>-4531.9452361885742</v>
          </cell>
        </row>
        <row r="224">
          <cell r="I224">
            <v>1330.4224455269668</v>
          </cell>
          <cell r="J224">
            <v>1148.008880636411</v>
          </cell>
          <cell r="L224">
            <v>200.32194683700277</v>
          </cell>
          <cell r="M224">
            <v>222.16366890885635</v>
          </cell>
          <cell r="O224">
            <v>526.22</v>
          </cell>
          <cell r="P224">
            <v>526.2166666666667</v>
          </cell>
          <cell r="R224">
            <v>116.72</v>
          </cell>
          <cell r="S224">
            <v>116.71666666666667</v>
          </cell>
          <cell r="U224">
            <v>65.029090713311319</v>
          </cell>
          <cell r="V224">
            <v>68.054994623737173</v>
          </cell>
          <cell r="X224">
            <v>361.52046946747163</v>
          </cell>
          <cell r="Y224">
            <v>317.90403816266428</v>
          </cell>
          <cell r="AA224">
            <v>0</v>
          </cell>
          <cell r="AB224">
            <v>0</v>
          </cell>
          <cell r="AD224">
            <v>1525.5739327318638</v>
          </cell>
          <cell r="AE224">
            <v>1676.5526989493792</v>
          </cell>
          <cell r="AJ224">
            <v>3265.8293363628704</v>
          </cell>
          <cell r="AK224">
            <v>3301.8457458505959</v>
          </cell>
          <cell r="AM224">
            <v>263.07035981182185</v>
          </cell>
          <cell r="AN224">
            <v>266.0109811433166</v>
          </cell>
          <cell r="AP224">
            <v>284.10529286809492</v>
          </cell>
          <cell r="AQ224">
            <v>0</v>
          </cell>
          <cell r="AS224">
            <v>5865.1706698543385</v>
          </cell>
          <cell r="AT224">
            <v>10765.651001173977</v>
          </cell>
          <cell r="AV224">
            <v>106.46004484722503</v>
          </cell>
          <cell r="AW224">
            <v>0</v>
          </cell>
          <cell r="AY224">
            <v>132.91597242587608</v>
          </cell>
          <cell r="AZ224">
            <v>0</v>
          </cell>
          <cell r="BB224">
            <v>93.124853889192295</v>
          </cell>
          <cell r="BC224">
            <v>0</v>
          </cell>
          <cell r="BE224">
            <v>64.567014438461243</v>
          </cell>
          <cell r="BF224">
            <v>0</v>
          </cell>
          <cell r="BH224">
            <v>32.980617657691397</v>
          </cell>
          <cell r="BI224">
            <v>0</v>
          </cell>
          <cell r="BK224">
            <v>43.626293285779226</v>
          </cell>
          <cell r="BL224">
            <v>0</v>
          </cell>
          <cell r="BN224">
            <v>27.907064838681809</v>
          </cell>
          <cell r="BO224">
            <v>0</v>
          </cell>
          <cell r="BT224">
            <v>5625.827936020507</v>
          </cell>
          <cell r="BU224">
            <v>4519.124338066852</v>
          </cell>
          <cell r="BW224">
            <v>3058.1566772653482</v>
          </cell>
          <cell r="BX224">
            <v>4766.9388625177316</v>
          </cell>
          <cell r="BZ224">
            <v>1168.5514069935975</v>
          </cell>
          <cell r="CA224">
            <v>4235.1060146358313</v>
          </cell>
          <cell r="CC224">
            <v>119.31976645098626</v>
          </cell>
          <cell r="CD224">
            <v>120.63565565579833</v>
          </cell>
          <cell r="CF224">
            <v>14.688986400216113</v>
          </cell>
          <cell r="CG224">
            <v>0</v>
          </cell>
          <cell r="CI224">
            <v>733.10306944002537</v>
          </cell>
          <cell r="CJ224">
            <v>1578.7587652811071</v>
          </cell>
          <cell r="CL224">
            <v>651.99379367219262</v>
          </cell>
          <cell r="CM224">
            <v>840.16355543526925</v>
          </cell>
          <cell r="CX224">
            <v>460.69154984057604</v>
          </cell>
          <cell r="CY224">
            <v>-10090.483041249836</v>
          </cell>
        </row>
        <row r="225">
          <cell r="I225">
            <v>475.15131827153402</v>
          </cell>
          <cell r="J225">
            <v>518.72190536958351</v>
          </cell>
          <cell r="L225">
            <v>118.60538669394019</v>
          </cell>
          <cell r="M225">
            <v>130.52677033410694</v>
          </cell>
          <cell r="O225">
            <v>150.72</v>
          </cell>
          <cell r="P225">
            <v>150.73333333333335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201.19626340407379</v>
          </cell>
          <cell r="Y225">
            <v>191.0024525505425</v>
          </cell>
          <cell r="AA225">
            <v>0</v>
          </cell>
          <cell r="AB225">
            <v>0</v>
          </cell>
          <cell r="AD225">
            <v>429.64980522811771</v>
          </cell>
          <cell r="AE225">
            <v>515.16595446850238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189.40352857872995</v>
          </cell>
          <cell r="AQ225">
            <v>573.31037201357276</v>
          </cell>
          <cell r="AS225">
            <v>1309.0255373683758</v>
          </cell>
          <cell r="AT225">
            <v>0</v>
          </cell>
          <cell r="AV225">
            <v>91.656095609273535</v>
          </cell>
          <cell r="AW225">
            <v>0</v>
          </cell>
          <cell r="AY225">
            <v>152.88656391485003</v>
          </cell>
          <cell r="AZ225">
            <v>0</v>
          </cell>
          <cell r="BB225">
            <v>77.57745813108339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19.771301113804686</v>
          </cell>
          <cell r="BL225">
            <v>0</v>
          </cell>
          <cell r="BN225">
            <v>0</v>
          </cell>
          <cell r="BO225">
            <v>0</v>
          </cell>
          <cell r="BT225">
            <v>961.88578290139924</v>
          </cell>
          <cell r="BU225">
            <v>498.88128009602559</v>
          </cell>
          <cell r="BW225">
            <v>995.29916758668571</v>
          </cell>
          <cell r="BX225">
            <v>1958.0457428760637</v>
          </cell>
          <cell r="BZ225">
            <v>312.66796202606071</v>
          </cell>
          <cell r="CA225">
            <v>701.72585505731217</v>
          </cell>
          <cell r="CC225">
            <v>100.00506308956942</v>
          </cell>
          <cell r="CD225">
            <v>101.10794475670855</v>
          </cell>
          <cell r="CF225">
            <v>12.311229357617446</v>
          </cell>
          <cell r="CG225">
            <v>0</v>
          </cell>
          <cell r="CI225">
            <v>174.69690165379325</v>
          </cell>
          <cell r="CJ225">
            <v>802.54363907553693</v>
          </cell>
          <cell r="CL225">
            <v>0</v>
          </cell>
          <cell r="CM225">
            <v>0</v>
          </cell>
          <cell r="CX225">
            <v>-22.631237914692065</v>
          </cell>
          <cell r="CY225">
            <v>-465.73829991754565</v>
          </cell>
        </row>
        <row r="226">
          <cell r="I226">
            <v>1330.422118764367</v>
          </cell>
          <cell r="J226">
            <v>1147.8812895528663</v>
          </cell>
          <cell r="L226">
            <v>200.32194683700277</v>
          </cell>
          <cell r="M226">
            <v>201.39535275112328</v>
          </cell>
          <cell r="O226">
            <v>517.46</v>
          </cell>
          <cell r="P226">
            <v>517.45000000000005</v>
          </cell>
          <cell r="R226">
            <v>116.24</v>
          </cell>
          <cell r="S226">
            <v>116.23333333333333</v>
          </cell>
          <cell r="U226">
            <v>65.029090713311319</v>
          </cell>
          <cell r="V226">
            <v>68.054994623737173</v>
          </cell>
          <cell r="X226">
            <v>361.52046946747163</v>
          </cell>
          <cell r="Y226">
            <v>317.84981799635864</v>
          </cell>
          <cell r="AA226">
            <v>0</v>
          </cell>
          <cell r="AB226">
            <v>0</v>
          </cell>
          <cell r="AD226">
            <v>1521.5546510906522</v>
          </cell>
          <cell r="AE226">
            <v>1672.1356481996036</v>
          </cell>
          <cell r="AJ226">
            <v>2873.920011581376</v>
          </cell>
          <cell r="AK226">
            <v>2905.6143438049203</v>
          </cell>
          <cell r="AM226">
            <v>263.07035981182185</v>
          </cell>
          <cell r="AN226">
            <v>133.27276795240937</v>
          </cell>
          <cell r="AP226">
            <v>284.10529286809492</v>
          </cell>
          <cell r="AQ226">
            <v>0</v>
          </cell>
          <cell r="AS226">
            <v>5485.2675711898219</v>
          </cell>
          <cell r="AT226">
            <v>695.90451490599798</v>
          </cell>
          <cell r="AV226">
            <v>106.46004484722503</v>
          </cell>
          <cell r="AW226">
            <v>352.16728040695443</v>
          </cell>
          <cell r="AY226">
            <v>132.91597242587608</v>
          </cell>
          <cell r="AZ226">
            <v>0</v>
          </cell>
          <cell r="BB226">
            <v>91.344582835785587</v>
          </cell>
          <cell r="BC226">
            <v>0</v>
          </cell>
          <cell r="BE226">
            <v>59.813520908187947</v>
          </cell>
          <cell r="BF226">
            <v>429.10855592932234</v>
          </cell>
          <cell r="BH226">
            <v>32.980617657691397</v>
          </cell>
          <cell r="BI226">
            <v>0</v>
          </cell>
          <cell r="BK226">
            <v>43.626293285779226</v>
          </cell>
          <cell r="BL226">
            <v>0</v>
          </cell>
          <cell r="BN226">
            <v>51.805042814282956</v>
          </cell>
          <cell r="BO226">
            <v>0</v>
          </cell>
          <cell r="BT226">
            <v>5877.6616319760251</v>
          </cell>
          <cell r="BU226">
            <v>4578.6607527334872</v>
          </cell>
          <cell r="BW226">
            <v>3000.9409824985819</v>
          </cell>
          <cell r="BX226">
            <v>4682.6129683711615</v>
          </cell>
          <cell r="BZ226">
            <v>1168.5514069935975</v>
          </cell>
          <cell r="CA226">
            <v>4269.673599828342</v>
          </cell>
          <cell r="CC226">
            <v>118.19225838674112</v>
          </cell>
          <cell r="CD226">
            <v>119.49571314138447</v>
          </cell>
          <cell r="CF226">
            <v>14.550183324125326</v>
          </cell>
          <cell r="CG226">
            <v>0</v>
          </cell>
          <cell r="CI226">
            <v>46.793812942980331</v>
          </cell>
          <cell r="CJ226">
            <v>832.67379204370945</v>
          </cell>
          <cell r="CL226">
            <v>1254.0741868718731</v>
          </cell>
          <cell r="CM226">
            <v>738.60527451653957</v>
          </cell>
          <cell r="CX226">
            <v>754.11353988880001</v>
          </cell>
          <cell r="CY226">
            <v>2241.9119998904989</v>
          </cell>
        </row>
        <row r="227">
          <cell r="I227">
            <v>2618.1248781662448</v>
          </cell>
          <cell r="J227">
            <v>2263.0940314438858</v>
          </cell>
          <cell r="L227">
            <v>400.64389367400554</v>
          </cell>
          <cell r="M227">
            <v>402.79070550224657</v>
          </cell>
          <cell r="O227">
            <v>1085.26</v>
          </cell>
          <cell r="P227">
            <v>1085.25</v>
          </cell>
          <cell r="R227">
            <v>234.48</v>
          </cell>
          <cell r="S227">
            <v>234.48333333333335</v>
          </cell>
          <cell r="U227">
            <v>130.00964065633656</v>
          </cell>
          <cell r="V227">
            <v>94.556075954029524</v>
          </cell>
          <cell r="X227">
            <v>1551.8619205973914</v>
          </cell>
          <cell r="Y227">
            <v>881.83527017092251</v>
          </cell>
          <cell r="AA227">
            <v>0</v>
          </cell>
          <cell r="AB227">
            <v>0</v>
          </cell>
          <cell r="AD227">
            <v>3099.9065977140308</v>
          </cell>
          <cell r="AE227">
            <v>3406.6895490157162</v>
          </cell>
          <cell r="AJ227">
            <v>5747.840023162752</v>
          </cell>
          <cell r="AK227">
            <v>5811.2286876098406</v>
          </cell>
          <cell r="AM227">
            <v>526.14071962364369</v>
          </cell>
          <cell r="AN227">
            <v>399.28374909572597</v>
          </cell>
          <cell r="AP227">
            <v>560.31877204540945</v>
          </cell>
          <cell r="AQ227">
            <v>0</v>
          </cell>
          <cell r="AS227">
            <v>9864.4201277499997</v>
          </cell>
          <cell r="AT227">
            <v>215215.64865464397</v>
          </cell>
          <cell r="AV227">
            <v>206.48060014236324</v>
          </cell>
          <cell r="AW227">
            <v>0</v>
          </cell>
          <cell r="AY227">
            <v>265.8319448517517</v>
          </cell>
          <cell r="AZ227">
            <v>0</v>
          </cell>
          <cell r="BB227">
            <v>201.92473535792897</v>
          </cell>
          <cell r="BC227">
            <v>0</v>
          </cell>
          <cell r="BE227">
            <v>110.15949442599425</v>
          </cell>
          <cell r="BF227">
            <v>858.1913451964266</v>
          </cell>
          <cell r="BH227">
            <v>65.961235315382794</v>
          </cell>
          <cell r="BI227">
            <v>0</v>
          </cell>
          <cell r="BK227">
            <v>97.681528674260917</v>
          </cell>
          <cell r="BL227">
            <v>0</v>
          </cell>
          <cell r="BN227">
            <v>55.195831147079431</v>
          </cell>
          <cell r="BO227">
            <v>0</v>
          </cell>
          <cell r="BT227">
            <v>8986.7021064876772</v>
          </cell>
          <cell r="BU227">
            <v>8073.628200605699</v>
          </cell>
          <cell r="BW227">
            <v>6001.8365519769541</v>
          </cell>
          <cell r="BX227">
            <v>7818.6874756785382</v>
          </cell>
          <cell r="BZ227">
            <v>2596.7809044302167</v>
          </cell>
          <cell r="CA227">
            <v>8141.0661530798279</v>
          </cell>
          <cell r="CC227">
            <v>234.57069945274003</v>
          </cell>
          <cell r="CD227">
            <v>237.15760571610312</v>
          </cell>
          <cell r="CF227">
            <v>28.877074743235045</v>
          </cell>
          <cell r="CG227">
            <v>0</v>
          </cell>
          <cell r="CI227">
            <v>93.587625885960662</v>
          </cell>
          <cell r="CJ227">
            <v>1635.6099532766225</v>
          </cell>
          <cell r="CL227">
            <v>2551.8225991571944</v>
          </cell>
          <cell r="CM227">
            <v>1449.9560864585335</v>
          </cell>
          <cell r="CX227">
            <v>1468.4465934737345</v>
          </cell>
          <cell r="CY227">
            <v>-251362.83825213768</v>
          </cell>
        </row>
        <row r="228">
          <cell r="I228">
            <v>1330.422118764367</v>
          </cell>
          <cell r="J228">
            <v>1147.7924898976516</v>
          </cell>
          <cell r="L228">
            <v>200.32194683700277</v>
          </cell>
          <cell r="M228">
            <v>180.62703659339024</v>
          </cell>
          <cell r="O228">
            <v>527.55999999999995</v>
          </cell>
          <cell r="P228">
            <v>527.56666666666672</v>
          </cell>
          <cell r="R228">
            <v>116.2</v>
          </cell>
          <cell r="S228">
            <v>116.21666666666668</v>
          </cell>
          <cell r="U228">
            <v>65.029090713311319</v>
          </cell>
          <cell r="V228">
            <v>22.793609953895</v>
          </cell>
          <cell r="X228">
            <v>361.52046946747163</v>
          </cell>
          <cell r="Y228">
            <v>651.68106369855991</v>
          </cell>
          <cell r="AA228">
            <v>0</v>
          </cell>
          <cell r="AB228">
            <v>0</v>
          </cell>
          <cell r="AD228">
            <v>1519.2385756768333</v>
          </cell>
          <cell r="AE228">
            <v>1669.5903618632969</v>
          </cell>
          <cell r="AJ228">
            <v>2873.920011581376</v>
          </cell>
          <cell r="AK228">
            <v>2905.6143438049203</v>
          </cell>
          <cell r="AM228">
            <v>263.07035981182185</v>
          </cell>
          <cell r="AN228">
            <v>0</v>
          </cell>
          <cell r="AP228">
            <v>284.10529286809492</v>
          </cell>
          <cell r="AQ228">
            <v>0</v>
          </cell>
          <cell r="AS228">
            <v>4976.1432389686479</v>
          </cell>
          <cell r="AT228">
            <v>175.71492473795672</v>
          </cell>
          <cell r="AV228">
            <v>42.584017938890014</v>
          </cell>
          <cell r="AW228">
            <v>0</v>
          </cell>
          <cell r="AY228">
            <v>53.16638897035044</v>
          </cell>
          <cell r="AZ228">
            <v>0</v>
          </cell>
          <cell r="BB228">
            <v>44.006444341695001</v>
          </cell>
          <cell r="BC228">
            <v>0</v>
          </cell>
          <cell r="BE228">
            <v>23.588891810124462</v>
          </cell>
          <cell r="BF228">
            <v>429.10855592932234</v>
          </cell>
          <cell r="BH228">
            <v>13.192247063076561</v>
          </cell>
          <cell r="BI228">
            <v>0</v>
          </cell>
          <cell r="BK228">
            <v>17.450517314311693</v>
          </cell>
          <cell r="BL228">
            <v>0</v>
          </cell>
          <cell r="BN228">
            <v>27.907064838681809</v>
          </cell>
          <cell r="BO228">
            <v>0</v>
          </cell>
          <cell r="BT228">
            <v>5863.2433549948337</v>
          </cell>
          <cell r="BU228">
            <v>4568.933274163458</v>
          </cell>
          <cell r="BW228">
            <v>3003.260001538195</v>
          </cell>
          <cell r="BX228">
            <v>3910.217380429362</v>
          </cell>
          <cell r="BZ228">
            <v>1168.5514069935975</v>
          </cell>
          <cell r="CA228">
            <v>4260.9278645473514</v>
          </cell>
          <cell r="CC228">
            <v>123.5356661694681</v>
          </cell>
          <cell r="CD228">
            <v>124.89804940534586</v>
          </cell>
          <cell r="CF228">
            <v>15.207989206468611</v>
          </cell>
          <cell r="CG228">
            <v>0</v>
          </cell>
          <cell r="CI228">
            <v>43.674225413448312</v>
          </cell>
          <cell r="CJ228">
            <v>800.45299299666226</v>
          </cell>
          <cell r="CL228">
            <v>1247.8350118128092</v>
          </cell>
          <cell r="CM228">
            <v>708.86764370574303</v>
          </cell>
          <cell r="CX228">
            <v>723.37880028615109</v>
          </cell>
          <cell r="CY228">
            <v>3127.8564899277007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63.134509526243313</v>
          </cell>
          <cell r="AQ229">
            <v>0</v>
          </cell>
          <cell r="AS229">
            <v>262.85744834382518</v>
          </cell>
          <cell r="AT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N229">
            <v>0</v>
          </cell>
          <cell r="BO229">
            <v>0</v>
          </cell>
          <cell r="BT229">
            <v>28.712412905037006</v>
          </cell>
          <cell r="BU229">
            <v>110.57175963822418</v>
          </cell>
          <cell r="BW229">
            <v>0</v>
          </cell>
          <cell r="BX229">
            <v>0.42738067986461487</v>
          </cell>
          <cell r="BZ229">
            <v>0</v>
          </cell>
          <cell r="CA229">
            <v>104.04008658028289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0</v>
          </cell>
          <cell r="CJ229">
            <v>0</v>
          </cell>
          <cell r="CL229">
            <v>0</v>
          </cell>
          <cell r="CM229">
            <v>0</v>
          </cell>
          <cell r="CX229">
            <v>6.3947550698733835</v>
          </cell>
          <cell r="CY229">
            <v>173.992927721954</v>
          </cell>
        </row>
        <row r="230"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J230">
            <v>0</v>
          </cell>
          <cell r="AK230">
            <v>0</v>
          </cell>
          <cell r="AM230">
            <v>0</v>
          </cell>
          <cell r="AN230">
            <v>0</v>
          </cell>
          <cell r="AP230">
            <v>63.134509526243313</v>
          </cell>
          <cell r="AQ230">
            <v>0</v>
          </cell>
          <cell r="AS230">
            <v>293.07518524158934</v>
          </cell>
          <cell r="AT230">
            <v>0</v>
          </cell>
          <cell r="AV230">
            <v>0</v>
          </cell>
          <cell r="AW230">
            <v>0</v>
          </cell>
          <cell r="AY230">
            <v>0</v>
          </cell>
          <cell r="AZ230">
            <v>0</v>
          </cell>
          <cell r="BB230">
            <v>0</v>
          </cell>
          <cell r="BC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K230">
            <v>0</v>
          </cell>
          <cell r="BL230">
            <v>0</v>
          </cell>
          <cell r="BN230">
            <v>0</v>
          </cell>
          <cell r="BO230">
            <v>0</v>
          </cell>
          <cell r="BT230">
            <v>175.46474553078173</v>
          </cell>
          <cell r="BU230">
            <v>221.16237314442643</v>
          </cell>
          <cell r="BW230">
            <v>0</v>
          </cell>
          <cell r="BX230">
            <v>0.5726901110185838</v>
          </cell>
          <cell r="BZ230">
            <v>0</v>
          </cell>
          <cell r="CA230">
            <v>208.08645778322517</v>
          </cell>
          <cell r="CC230">
            <v>0</v>
          </cell>
          <cell r="CD230">
            <v>0</v>
          </cell>
          <cell r="CF230">
            <v>0</v>
          </cell>
          <cell r="CG230">
            <v>0</v>
          </cell>
          <cell r="CI230">
            <v>0</v>
          </cell>
          <cell r="CJ230">
            <v>0</v>
          </cell>
          <cell r="CL230">
            <v>0</v>
          </cell>
          <cell r="CM230">
            <v>0</v>
          </cell>
          <cell r="CX230">
            <v>9.590671641662766</v>
          </cell>
          <cell r="CY230">
            <v>131.81417475359584</v>
          </cell>
        </row>
        <row r="231">
          <cell r="I231">
            <v>4185.0227164520438</v>
          </cell>
          <cell r="J231">
            <v>3615.0802855890861</v>
          </cell>
          <cell r="L231">
            <v>651.96638794602427</v>
          </cell>
          <cell r="M231">
            <v>587.86051791349564</v>
          </cell>
          <cell r="O231">
            <v>1616.44</v>
          </cell>
          <cell r="P231">
            <v>1616.45</v>
          </cell>
          <cell r="R231">
            <v>351.62</v>
          </cell>
          <cell r="S231">
            <v>351.61666666666667</v>
          </cell>
          <cell r="U231">
            <v>208.3500279500883</v>
          </cell>
          <cell r="V231">
            <v>73.029412937953197</v>
          </cell>
          <cell r="X231">
            <v>1871.6807656904325</v>
          </cell>
          <cell r="Y231">
            <v>1422.3211108880882</v>
          </cell>
          <cell r="AA231">
            <v>0</v>
          </cell>
          <cell r="AB231">
            <v>0</v>
          </cell>
          <cell r="AD231">
            <v>4805.1509714711283</v>
          </cell>
          <cell r="AE231">
            <v>5280.693814460381</v>
          </cell>
          <cell r="AJ231">
            <v>6348.78399519096</v>
          </cell>
          <cell r="AK231">
            <v>6418.7774964776927</v>
          </cell>
          <cell r="AM231">
            <v>789.21107943546565</v>
          </cell>
          <cell r="AN231">
            <v>798.01608136018467</v>
          </cell>
          <cell r="AP231">
            <v>907.55857443974776</v>
          </cell>
          <cell r="AQ231">
            <v>0</v>
          </cell>
          <cell r="AS231">
            <v>17187.464720093318</v>
          </cell>
          <cell r="AT231">
            <v>12374.427099883618</v>
          </cell>
          <cell r="AV231">
            <v>327.04584121664607</v>
          </cell>
          <cell r="AW231">
            <v>0</v>
          </cell>
          <cell r="AY231">
            <v>398.9137894360008</v>
          </cell>
          <cell r="AZ231">
            <v>0</v>
          </cell>
          <cell r="BB231">
            <v>458.67069947314712</v>
          </cell>
          <cell r="BC231">
            <v>0</v>
          </cell>
          <cell r="BE231">
            <v>194.41885365990336</v>
          </cell>
          <cell r="BF231">
            <v>0</v>
          </cell>
          <cell r="BH231">
            <v>105.68402349220877</v>
          </cell>
          <cell r="BI231">
            <v>0</v>
          </cell>
          <cell r="BK231">
            <v>205.26189571466762</v>
          </cell>
          <cell r="BL231">
            <v>0</v>
          </cell>
          <cell r="BN231">
            <v>119.34310272027908</v>
          </cell>
          <cell r="BO231">
            <v>0</v>
          </cell>
          <cell r="BT231">
            <v>14779.544639045822</v>
          </cell>
          <cell r="BU231">
            <v>11568.355603100132</v>
          </cell>
          <cell r="BW231">
            <v>12300.06579802831</v>
          </cell>
          <cell r="BX231">
            <v>15996.77225408057</v>
          </cell>
          <cell r="BZ231">
            <v>2596.7809044302167</v>
          </cell>
          <cell r="CA231">
            <v>10855.77784318565</v>
          </cell>
          <cell r="CC231">
            <v>364.62630355893003</v>
          </cell>
          <cell r="CD231">
            <v>368.64749661784219</v>
          </cell>
          <cell r="CF231">
            <v>44.887707824489496</v>
          </cell>
          <cell r="CG231">
            <v>0</v>
          </cell>
          <cell r="CI231">
            <v>4445.4122295831321</v>
          </cell>
          <cell r="CJ231">
            <v>2505.1387467067161</v>
          </cell>
          <cell r="CL231">
            <v>2012.1339565481544</v>
          </cell>
          <cell r="CM231">
            <v>3077.9655649658744</v>
          </cell>
          <cell r="CX231">
            <v>1450.0132199186628</v>
          </cell>
          <cell r="CY231">
            <v>1888.1440061992544</v>
          </cell>
        </row>
        <row r="232">
          <cell r="I232">
            <v>1880.1776838190253</v>
          </cell>
          <cell r="J232">
            <v>1623.3326094211093</v>
          </cell>
          <cell r="L232">
            <v>390.33638998156368</v>
          </cell>
          <cell r="M232">
            <v>351.96036303217232</v>
          </cell>
          <cell r="O232">
            <v>904.7</v>
          </cell>
          <cell r="P232">
            <v>904.70000000000016</v>
          </cell>
          <cell r="R232">
            <v>177.98</v>
          </cell>
          <cell r="S232">
            <v>177.98333333333335</v>
          </cell>
          <cell r="U232">
            <v>118.22581795543685</v>
          </cell>
          <cell r="V232">
            <v>41.439785192903869</v>
          </cell>
          <cell r="X232">
            <v>1353.4159106571487</v>
          </cell>
          <cell r="Y232">
            <v>1060.6159934870614</v>
          </cell>
          <cell r="AA232">
            <v>0</v>
          </cell>
          <cell r="AB232">
            <v>0</v>
          </cell>
          <cell r="AD232">
            <v>2328.4040614062519</v>
          </cell>
          <cell r="AE232">
            <v>2558.8350912662477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710.2632321702373</v>
          </cell>
          <cell r="AQ232">
            <v>0</v>
          </cell>
          <cell r="AS232">
            <v>7590.045220573912</v>
          </cell>
          <cell r="AT232">
            <v>0</v>
          </cell>
          <cell r="AV232">
            <v>335.49122236556309</v>
          </cell>
          <cell r="AW232">
            <v>0</v>
          </cell>
          <cell r="AY232">
            <v>503.09886568518095</v>
          </cell>
          <cell r="AZ232">
            <v>0</v>
          </cell>
          <cell r="BB232">
            <v>349.5833390983895</v>
          </cell>
          <cell r="BC232">
            <v>0</v>
          </cell>
          <cell r="BE232">
            <v>201.87973305220362</v>
          </cell>
          <cell r="BF232">
            <v>0</v>
          </cell>
          <cell r="BH232">
            <v>119.94714023874553</v>
          </cell>
          <cell r="BI232">
            <v>0</v>
          </cell>
          <cell r="BK232">
            <v>187.174739446508</v>
          </cell>
          <cell r="BL232">
            <v>2530.1391492307534</v>
          </cell>
          <cell r="BN232">
            <v>107.72463185447754</v>
          </cell>
          <cell r="BO232">
            <v>0</v>
          </cell>
          <cell r="BT232">
            <v>6060.8573856186777</v>
          </cell>
          <cell r="BU232">
            <v>3309.0897806097828</v>
          </cell>
          <cell r="BW232">
            <v>3191.7162668114447</v>
          </cell>
          <cell r="BX232">
            <v>2392.0541596273597</v>
          </cell>
          <cell r="BZ232">
            <v>2163.9840870251805</v>
          </cell>
          <cell r="CA232">
            <v>3207.5495532310561</v>
          </cell>
          <cell r="CC232">
            <v>187.4114491134431</v>
          </cell>
          <cell r="CD232">
            <v>189.47827098279254</v>
          </cell>
          <cell r="CF232">
            <v>23.071485212829167</v>
          </cell>
          <cell r="CG232">
            <v>0</v>
          </cell>
          <cell r="CI232">
            <v>1300.8679998148534</v>
          </cell>
          <cell r="CJ232">
            <v>2200.9470081442205</v>
          </cell>
          <cell r="CL232">
            <v>0</v>
          </cell>
          <cell r="CM232">
            <v>0</v>
          </cell>
          <cell r="CX232">
            <v>1807.5520057187168</v>
          </cell>
          <cell r="CY232">
            <v>13373.429882929449</v>
          </cell>
        </row>
        <row r="233">
          <cell r="I233">
            <v>2837.6329023539311</v>
          </cell>
          <cell r="J233">
            <v>2495.1261083140289</v>
          </cell>
          <cell r="L233">
            <v>585.88616339389444</v>
          </cell>
          <cell r="M233">
            <v>528.27405089351953</v>
          </cell>
          <cell r="O233">
            <v>1634.34</v>
          </cell>
          <cell r="P233">
            <v>1634.3500000000001</v>
          </cell>
          <cell r="R233">
            <v>334.14</v>
          </cell>
          <cell r="S233">
            <v>334.13333333333333</v>
          </cell>
          <cell r="U233">
            <v>144.80003372733142</v>
          </cell>
          <cell r="V233">
            <v>50.754232323418968</v>
          </cell>
          <cell r="X233">
            <v>2133.4766130925459</v>
          </cell>
          <cell r="Y233">
            <v>1670.4133074197964</v>
          </cell>
          <cell r="AA233">
            <v>0</v>
          </cell>
          <cell r="AB233">
            <v>0</v>
          </cell>
          <cell r="AD233">
            <v>4714.1042653574368</v>
          </cell>
          <cell r="AE233">
            <v>5180.6366506675931</v>
          </cell>
          <cell r="AJ233">
            <v>14402.266595894693</v>
          </cell>
          <cell r="AK233">
            <v>13009.222225363166</v>
          </cell>
          <cell r="AM233">
            <v>0</v>
          </cell>
          <cell r="AN233">
            <v>266.0109811433166</v>
          </cell>
          <cell r="AP233">
            <v>852.31587860428476</v>
          </cell>
          <cell r="AQ233">
            <v>286.65518600678638</v>
          </cell>
          <cell r="AS233">
            <v>17454.572487647143</v>
          </cell>
          <cell r="AT233">
            <v>2231.943235495381</v>
          </cell>
          <cell r="AV233">
            <v>234.19939836518847</v>
          </cell>
          <cell r="AW233">
            <v>0</v>
          </cell>
          <cell r="AY233">
            <v>340.39419120155407</v>
          </cell>
          <cell r="AZ233">
            <v>0</v>
          </cell>
          <cell r="BB233">
            <v>377.32558295153785</v>
          </cell>
          <cell r="BC233">
            <v>0</v>
          </cell>
          <cell r="BE233">
            <v>175.11975664192488</v>
          </cell>
          <cell r="BF233">
            <v>858.1913451964266</v>
          </cell>
          <cell r="BH233">
            <v>73.457911157641931</v>
          </cell>
          <cell r="BI233">
            <v>16.749686000000001</v>
          </cell>
          <cell r="BK233">
            <v>232.89259241061026</v>
          </cell>
          <cell r="BL233">
            <v>1131.2545234065167</v>
          </cell>
          <cell r="BN233">
            <v>141.02416777453496</v>
          </cell>
          <cell r="BO233">
            <v>0</v>
          </cell>
          <cell r="BT233">
            <v>15113.912714101716</v>
          </cell>
          <cell r="BU233">
            <v>8587.5051060356109</v>
          </cell>
          <cell r="BW233">
            <v>11381.06104685687</v>
          </cell>
          <cell r="BX233">
            <v>11529.617872282841</v>
          </cell>
          <cell r="BZ233">
            <v>1514.7888609176264</v>
          </cell>
          <cell r="CA233">
            <v>8324.861285867586</v>
          </cell>
          <cell r="CC233">
            <v>310.80004901366181</v>
          </cell>
          <cell r="CD233">
            <v>314.22763223408435</v>
          </cell>
          <cell r="CF233">
            <v>38.261369670242459</v>
          </cell>
          <cell r="CG233">
            <v>0</v>
          </cell>
          <cell r="CI233">
            <v>1731.3710788902722</v>
          </cell>
          <cell r="CJ233">
            <v>2857.557407510978</v>
          </cell>
          <cell r="CL233">
            <v>2620.4535248068992</v>
          </cell>
          <cell r="CM233">
            <v>2480.6090044652678</v>
          </cell>
          <cell r="CX233">
            <v>2429.6033782021404</v>
          </cell>
          <cell r="CY233">
            <v>21138.208191248421</v>
          </cell>
        </row>
        <row r="234">
          <cell r="I234">
            <v>4025.0525254893359</v>
          </cell>
          <cell r="J234">
            <v>3540.6265100344126</v>
          </cell>
          <cell r="L234">
            <v>816.83676258570961</v>
          </cell>
          <cell r="M234">
            <v>736.5154128745254</v>
          </cell>
          <cell r="O234">
            <v>2363.7199999999998</v>
          </cell>
          <cell r="P234">
            <v>2363.7166666666667</v>
          </cell>
          <cell r="R234">
            <v>487.7</v>
          </cell>
          <cell r="S234">
            <v>487.7166666666667</v>
          </cell>
          <cell r="U234">
            <v>480.20150935264746</v>
          </cell>
          <cell r="V234">
            <v>168.31672551246197</v>
          </cell>
          <cell r="X234">
            <v>3775.4868641328226</v>
          </cell>
          <cell r="Y234">
            <v>2954.6840080125821</v>
          </cell>
          <cell r="AA234">
            <v>0</v>
          </cell>
          <cell r="AB234">
            <v>0</v>
          </cell>
          <cell r="AD234">
            <v>6693.6717375131266</v>
          </cell>
          <cell r="AE234">
            <v>7356.1124614347045</v>
          </cell>
          <cell r="AJ234">
            <v>22468.851464222462</v>
          </cell>
          <cell r="AK234">
            <v>22716.593084185813</v>
          </cell>
          <cell r="AM234">
            <v>0</v>
          </cell>
          <cell r="AN234">
            <v>798.01608136018467</v>
          </cell>
          <cell r="AP234">
            <v>1412.6346506496943</v>
          </cell>
          <cell r="AQ234">
            <v>0</v>
          </cell>
          <cell r="AS234">
            <v>28446.047949750613</v>
          </cell>
          <cell r="AT234">
            <v>609.59294790522961</v>
          </cell>
          <cell r="AV234">
            <v>131.66111816664187</v>
          </cell>
          <cell r="AW234">
            <v>0</v>
          </cell>
          <cell r="AY234">
            <v>193.84601730458303</v>
          </cell>
          <cell r="AZ234">
            <v>0</v>
          </cell>
          <cell r="BB234">
            <v>215.16401743022467</v>
          </cell>
          <cell r="BC234">
            <v>0</v>
          </cell>
          <cell r="BE234">
            <v>101.39158159948053</v>
          </cell>
          <cell r="BF234">
            <v>0</v>
          </cell>
          <cell r="BH234">
            <v>97.437647389463777</v>
          </cell>
          <cell r="BI234">
            <v>7.7228418000000003</v>
          </cell>
          <cell r="BK234">
            <v>163.8440843954931</v>
          </cell>
          <cell r="BL234">
            <v>0</v>
          </cell>
          <cell r="BN234">
            <v>156.91956282162403</v>
          </cell>
          <cell r="BO234">
            <v>0</v>
          </cell>
          <cell r="BT234">
            <v>20337.119895776657</v>
          </cell>
          <cell r="BU234">
            <v>15236.58607718132</v>
          </cell>
          <cell r="BW234">
            <v>15093.048212070516</v>
          </cell>
          <cell r="BX234">
            <v>19824.662187348811</v>
          </cell>
          <cell r="BZ234">
            <v>1731.1872696201444</v>
          </cell>
          <cell r="CA234">
            <v>14636.309127992641</v>
          </cell>
          <cell r="CC234">
            <v>433.60038383688311</v>
          </cell>
          <cell r="CD234">
            <v>438.38224086916034</v>
          </cell>
          <cell r="CF234">
            <v>53.378835131434471</v>
          </cell>
          <cell r="CG234">
            <v>0</v>
          </cell>
          <cell r="CI234">
            <v>2689.084450456603</v>
          </cell>
          <cell r="CJ234">
            <v>1105.1982884477652</v>
          </cell>
          <cell r="CL234">
            <v>2745.2370259881795</v>
          </cell>
          <cell r="CM234">
            <v>4294.7856479964976</v>
          </cell>
          <cell r="CX234">
            <v>3444.6717211788346</v>
          </cell>
          <cell r="CY234">
            <v>24849.775628452691</v>
          </cell>
        </row>
        <row r="235">
          <cell r="I235">
            <v>4495.5148763879806</v>
          </cell>
          <cell r="J235">
            <v>5081.1964140508217</v>
          </cell>
          <cell r="L235">
            <v>1354.0728398714448</v>
          </cell>
          <cell r="M235">
            <v>1490.1761052239392</v>
          </cell>
          <cell r="O235">
            <v>2639.62</v>
          </cell>
          <cell r="P235">
            <v>2639.8</v>
          </cell>
          <cell r="R235">
            <v>600.52</v>
          </cell>
          <cell r="S235">
            <v>600.9</v>
          </cell>
          <cell r="U235">
            <v>195.03873136964788</v>
          </cell>
          <cell r="V235">
            <v>717.0539856443047</v>
          </cell>
          <cell r="X235">
            <v>4068.6898622916251</v>
          </cell>
          <cell r="Y235">
            <v>4173.5172685746747</v>
          </cell>
          <cell r="AA235">
            <v>0</v>
          </cell>
          <cell r="AB235">
            <v>0</v>
          </cell>
          <cell r="AD235">
            <v>8079.6255179141026</v>
          </cell>
          <cell r="AE235">
            <v>8879.2274683812429</v>
          </cell>
          <cell r="AJ235">
            <v>14892.175534639631</v>
          </cell>
          <cell r="AK235">
            <v>15056.365236080044</v>
          </cell>
          <cell r="AM235">
            <v>1578.4221588709313</v>
          </cell>
          <cell r="AN235">
            <v>1330.0211587028011</v>
          </cell>
          <cell r="AP235">
            <v>1704.6317572085695</v>
          </cell>
          <cell r="AQ235">
            <v>9018.4155489286532</v>
          </cell>
          <cell r="AS235">
            <v>33229.790980690806</v>
          </cell>
          <cell r="AT235">
            <v>1460.0677218731828</v>
          </cell>
          <cell r="AV235">
            <v>355.34403081711207</v>
          </cell>
          <cell r="AW235">
            <v>806.35551955751635</v>
          </cell>
          <cell r="AY235">
            <v>895.58576938451483</v>
          </cell>
          <cell r="AZ235">
            <v>0</v>
          </cell>
          <cell r="BB235">
            <v>745.46315154097363</v>
          </cell>
          <cell r="BC235">
            <v>0</v>
          </cell>
          <cell r="BE235">
            <v>288.12756542741425</v>
          </cell>
          <cell r="BF235">
            <v>0</v>
          </cell>
          <cell r="BH235">
            <v>98.941812127749259</v>
          </cell>
          <cell r="BI235">
            <v>0</v>
          </cell>
          <cell r="BK235">
            <v>518.72018098120952</v>
          </cell>
          <cell r="BL235">
            <v>2534.3339420043221</v>
          </cell>
          <cell r="BN235">
            <v>0</v>
          </cell>
          <cell r="BO235">
            <v>0</v>
          </cell>
          <cell r="BT235">
            <v>20610.245704899979</v>
          </cell>
          <cell r="BU235">
            <v>14494.790103379726</v>
          </cell>
          <cell r="BW235">
            <v>21070.534873087257</v>
          </cell>
          <cell r="BX235">
            <v>24752.445864650443</v>
          </cell>
          <cell r="BZ235">
            <v>1834.7732489009734</v>
          </cell>
          <cell r="CA235">
            <v>12615.500986469226</v>
          </cell>
          <cell r="CC235">
            <v>649.56229802060329</v>
          </cell>
          <cell r="CD235">
            <v>656.72583882563276</v>
          </cell>
          <cell r="CF235">
            <v>79.965055627536373</v>
          </cell>
          <cell r="CG235">
            <v>0</v>
          </cell>
          <cell r="CI235">
            <v>2585.5141444761402</v>
          </cell>
          <cell r="CJ235">
            <v>4465.238565276024</v>
          </cell>
          <cell r="CL235">
            <v>3649.9174095524668</v>
          </cell>
          <cell r="CM235">
            <v>4460.2923581449268</v>
          </cell>
          <cell r="CX235">
            <v>3919.4029950935801</v>
          </cell>
          <cell r="CY235">
            <v>17105.451097079</v>
          </cell>
        </row>
        <row r="236">
          <cell r="I236">
            <v>5631.3437984163129</v>
          </cell>
          <cell r="J236">
            <v>6339.9878947130564</v>
          </cell>
          <cell r="L236">
            <v>1579.6938719489201</v>
          </cell>
          <cell r="M236">
            <v>1738.4754708283215</v>
          </cell>
          <cell r="O236">
            <v>3032.12</v>
          </cell>
          <cell r="P236">
            <v>3033.1</v>
          </cell>
          <cell r="R236">
            <v>658.82</v>
          </cell>
          <cell r="S236">
            <v>658.6</v>
          </cell>
          <cell r="U236">
            <v>227.52892465051059</v>
          </cell>
          <cell r="V236">
            <v>649.06054811369791</v>
          </cell>
          <cell r="X236">
            <v>3794.1316402648622</v>
          </cell>
          <cell r="Y236">
            <v>5128.3763986430786</v>
          </cell>
          <cell r="AA236">
            <v>0</v>
          </cell>
          <cell r="AB236">
            <v>0</v>
          </cell>
          <cell r="AD236">
            <v>9419.8849119969036</v>
          </cell>
          <cell r="AE236">
            <v>10352.125933825013</v>
          </cell>
          <cell r="AJ236">
            <v>28216.713770153285</v>
          </cell>
          <cell r="AK236">
            <v>28527.827392485575</v>
          </cell>
          <cell r="AM236">
            <v>789.21107943546565</v>
          </cell>
          <cell r="AN236">
            <v>532.00510021686796</v>
          </cell>
          <cell r="AP236">
            <v>1980.8452363858842</v>
          </cell>
          <cell r="AQ236">
            <v>0</v>
          </cell>
          <cell r="AS236">
            <v>40646.256181783298</v>
          </cell>
          <cell r="AT236">
            <v>343871.89661545801</v>
          </cell>
          <cell r="AV236">
            <v>459.45289091382273</v>
          </cell>
          <cell r="AW236">
            <v>0</v>
          </cell>
          <cell r="AY236">
            <v>1044.8023367926141</v>
          </cell>
          <cell r="AZ236">
            <v>2346.0783749639054</v>
          </cell>
          <cell r="BB236">
            <v>822.83356848650783</v>
          </cell>
          <cell r="BC236">
            <v>0</v>
          </cell>
          <cell r="BE236">
            <v>312.27663283934402</v>
          </cell>
          <cell r="BF236">
            <v>0</v>
          </cell>
          <cell r="BH236">
            <v>115.42002660934838</v>
          </cell>
          <cell r="BI236">
            <v>0</v>
          </cell>
          <cell r="BK236">
            <v>542.44879755970385</v>
          </cell>
          <cell r="BL236">
            <v>0</v>
          </cell>
          <cell r="BN236">
            <v>0</v>
          </cell>
          <cell r="BO236">
            <v>0</v>
          </cell>
          <cell r="BT236">
            <v>28264.848470784535</v>
          </cell>
          <cell r="BU236">
            <v>20535.886539317227</v>
          </cell>
          <cell r="BW236">
            <v>19233.423492017784</v>
          </cell>
          <cell r="BX236">
            <v>20259.959468764027</v>
          </cell>
          <cell r="BZ236">
            <v>1908.6339647562093</v>
          </cell>
          <cell r="CA236">
            <v>19653.994451921935</v>
          </cell>
          <cell r="CC236">
            <v>750.1360173512702</v>
          </cell>
          <cell r="CD236">
            <v>758.40871111135016</v>
          </cell>
          <cell r="CF236">
            <v>92.346290014834409</v>
          </cell>
          <cell r="CG236">
            <v>0</v>
          </cell>
          <cell r="CI236">
            <v>3331.7194815401999</v>
          </cell>
          <cell r="CJ236">
            <v>4696.5154100512045</v>
          </cell>
          <cell r="CL236">
            <v>4607.6307811187971</v>
          </cell>
          <cell r="CM236">
            <v>6543.9897723945896</v>
          </cell>
          <cell r="CX236">
            <v>2216.6734010155196</v>
          </cell>
          <cell r="CY236">
            <v>-379579.8456993695</v>
          </cell>
        </row>
        <row r="237">
          <cell r="I237">
            <v>2463.0106897655455</v>
          </cell>
          <cell r="J237">
            <v>2769.2192798371957</v>
          </cell>
          <cell r="L237">
            <v>387.47674897272515</v>
          </cell>
          <cell r="M237">
            <v>449.60627981085838</v>
          </cell>
          <cell r="O237">
            <v>1402.1</v>
          </cell>
          <cell r="P237">
            <v>1401.98</v>
          </cell>
          <cell r="R237">
            <v>324.02</v>
          </cell>
          <cell r="S237">
            <v>324.2</v>
          </cell>
          <cell r="U237">
            <v>97.519283994174046</v>
          </cell>
          <cell r="V237">
            <v>278.18889797809197</v>
          </cell>
          <cell r="X237">
            <v>1957.5932903819687</v>
          </cell>
          <cell r="Y237">
            <v>1926.1740759006934</v>
          </cell>
          <cell r="AA237">
            <v>0</v>
          </cell>
          <cell r="AB237">
            <v>0</v>
          </cell>
          <cell r="AD237">
            <v>4054.6855263067127</v>
          </cell>
          <cell r="AE237">
            <v>4455.9583882948446</v>
          </cell>
          <cell r="AJ237">
            <v>14402.266595894693</v>
          </cell>
          <cell r="AK237">
            <v>14561.070339958776</v>
          </cell>
          <cell r="AM237">
            <v>0</v>
          </cell>
          <cell r="AN237">
            <v>0</v>
          </cell>
          <cell r="AP237">
            <v>852.31587860428476</v>
          </cell>
          <cell r="AQ237">
            <v>1098.8448796926812</v>
          </cell>
          <cell r="AS237">
            <v>17529.84731482427</v>
          </cell>
          <cell r="AT237">
            <v>131694.64351676503</v>
          </cell>
          <cell r="AV237">
            <v>203.84207769388419</v>
          </cell>
          <cell r="AW237">
            <v>0</v>
          </cell>
          <cell r="AY237">
            <v>261.17139780857241</v>
          </cell>
          <cell r="AZ237">
            <v>0</v>
          </cell>
          <cell r="BB237">
            <v>343.78808840870335</v>
          </cell>
          <cell r="BC237">
            <v>0</v>
          </cell>
          <cell r="BE237">
            <v>180.56196682523498</v>
          </cell>
          <cell r="BF237">
            <v>0</v>
          </cell>
          <cell r="BH237">
            <v>49.458791293965582</v>
          </cell>
          <cell r="BI237">
            <v>0</v>
          </cell>
          <cell r="BK237">
            <v>252.40009770630149</v>
          </cell>
          <cell r="BL237">
            <v>0</v>
          </cell>
          <cell r="BN237">
            <v>0</v>
          </cell>
          <cell r="BO237">
            <v>0</v>
          </cell>
          <cell r="BT237">
            <v>12376.096120263899</v>
          </cell>
          <cell r="BU237">
            <v>9842.4214882440137</v>
          </cell>
          <cell r="BW237">
            <v>5469.8086639089634</v>
          </cell>
          <cell r="BX237">
            <v>7241.5081758134438</v>
          </cell>
          <cell r="BZ237">
            <v>1886.9941238859574</v>
          </cell>
          <cell r="CA237">
            <v>9464.9800207428634</v>
          </cell>
          <cell r="CC237">
            <v>451.78757913405479</v>
          </cell>
          <cell r="CD237">
            <v>456.77000925383629</v>
          </cell>
          <cell r="CF237">
            <v>55.617789097942342</v>
          </cell>
          <cell r="CG237">
            <v>0</v>
          </cell>
          <cell r="CI237">
            <v>2860.6617645808642</v>
          </cell>
          <cell r="CJ237">
            <v>2789.1358106731723</v>
          </cell>
          <cell r="CL237">
            <v>1590.9896400613316</v>
          </cell>
          <cell r="CM237">
            <v>2069.8221958166273</v>
          </cell>
          <cell r="CX237">
            <v>1237.5038847031392</v>
          </cell>
          <cell r="CY237">
            <v>-144407.10803053854</v>
          </cell>
        </row>
        <row r="238">
          <cell r="I238">
            <v>2601.6863827897873</v>
          </cell>
          <cell r="J238">
            <v>2947.1217969366226</v>
          </cell>
          <cell r="L238">
            <v>396.60015856622454</v>
          </cell>
          <cell r="M238">
            <v>436.46415260993263</v>
          </cell>
          <cell r="O238">
            <v>1656.04</v>
          </cell>
          <cell r="P238">
            <v>1656.14</v>
          </cell>
          <cell r="R238">
            <v>331.12</v>
          </cell>
          <cell r="S238">
            <v>331.68</v>
          </cell>
          <cell r="U238">
            <v>130.00964065633656</v>
          </cell>
          <cell r="V238">
            <v>370.87165013560593</v>
          </cell>
          <cell r="X238">
            <v>1302.4649450734105</v>
          </cell>
          <cell r="Y238">
            <v>1976.2017247855335</v>
          </cell>
          <cell r="AA238">
            <v>0</v>
          </cell>
          <cell r="AB238">
            <v>0</v>
          </cell>
          <cell r="AD238">
            <v>4856.909912180563</v>
          </cell>
          <cell r="AE238">
            <v>5337.5750903391399</v>
          </cell>
          <cell r="AJ238">
            <v>9601.5110639297945</v>
          </cell>
          <cell r="AK238">
            <v>9707.3764795125717</v>
          </cell>
          <cell r="AM238">
            <v>0</v>
          </cell>
          <cell r="AN238">
            <v>0</v>
          </cell>
          <cell r="AP238">
            <v>710.2632321702373</v>
          </cell>
          <cell r="AQ238">
            <v>3405.8909785847577</v>
          </cell>
          <cell r="AS238">
            <v>14873.233913691975</v>
          </cell>
          <cell r="AT238">
            <v>1091.6729216534466</v>
          </cell>
          <cell r="AV238">
            <v>122.31439675540068</v>
          </cell>
          <cell r="AW238">
            <v>0</v>
          </cell>
          <cell r="AY238">
            <v>157.93467598038256</v>
          </cell>
          <cell r="AZ238">
            <v>0</v>
          </cell>
          <cell r="BB238">
            <v>264.37306341340508</v>
          </cell>
          <cell r="BC238">
            <v>790.158006</v>
          </cell>
          <cell r="BE238">
            <v>91.444637194136348</v>
          </cell>
          <cell r="BF238">
            <v>0</v>
          </cell>
          <cell r="BH238">
            <v>39.576741189229679</v>
          </cell>
          <cell r="BI238">
            <v>0</v>
          </cell>
          <cell r="BK238">
            <v>89.250700815318339</v>
          </cell>
          <cell r="BL238">
            <v>0</v>
          </cell>
          <cell r="BN238">
            <v>0</v>
          </cell>
          <cell r="BO238">
            <v>0</v>
          </cell>
          <cell r="BT238">
            <v>13238.358977585085</v>
          </cell>
          <cell r="BU238">
            <v>9156.8974741567254</v>
          </cell>
          <cell r="BW238">
            <v>8258.2763064508417</v>
          </cell>
          <cell r="BX238">
            <v>10750.837948578754</v>
          </cell>
          <cell r="BZ238">
            <v>3587.8856162877496</v>
          </cell>
          <cell r="CA238">
            <v>5507.1747229190769</v>
          </cell>
          <cell r="CC238">
            <v>394.50526726142641</v>
          </cell>
          <cell r="CD238">
            <v>398.85597324980978</v>
          </cell>
          <cell r="CF238">
            <v>48.565989340895293</v>
          </cell>
          <cell r="CG238">
            <v>0</v>
          </cell>
          <cell r="CI238">
            <v>3768.461735674683</v>
          </cell>
          <cell r="CJ238">
            <v>3202.8184390568435</v>
          </cell>
          <cell r="CL238">
            <v>1590.9896400613316</v>
          </cell>
          <cell r="CM238">
            <v>2973.9643744937021</v>
          </cell>
          <cell r="CX238">
            <v>663.46760351814737</v>
          </cell>
          <cell r="CY238">
            <v>10347.557920384977</v>
          </cell>
        </row>
        <row r="239">
          <cell r="I239">
            <v>1439.446373435276</v>
          </cell>
          <cell r="J239">
            <v>1607.1342815645189</v>
          </cell>
          <cell r="L239">
            <v>231.19354811519523</v>
          </cell>
          <cell r="M239">
            <v>254.43222425209697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65.029090713311319</v>
          </cell>
          <cell r="V239">
            <v>185.50614582057798</v>
          </cell>
          <cell r="X239">
            <v>556.80633545066314</v>
          </cell>
          <cell r="Y239">
            <v>1135.4713924395994</v>
          </cell>
          <cell r="AA239">
            <v>0</v>
          </cell>
          <cell r="AB239">
            <v>0</v>
          </cell>
          <cell r="AD239">
            <v>2012.3488472435877</v>
          </cell>
          <cell r="AE239">
            <v>2211.5014019886848</v>
          </cell>
          <cell r="AJ239">
            <v>2496.4053549718647</v>
          </cell>
          <cell r="AK239">
            <v>2523.9363580499839</v>
          </cell>
          <cell r="AM239">
            <v>0</v>
          </cell>
          <cell r="AN239">
            <v>0</v>
          </cell>
          <cell r="AP239">
            <v>284.10529286809492</v>
          </cell>
          <cell r="AQ239">
            <v>0</v>
          </cell>
          <cell r="AS239">
            <v>6066.251384786151</v>
          </cell>
          <cell r="AT239">
            <v>0</v>
          </cell>
          <cell r="AV239">
            <v>71.122629880379705</v>
          </cell>
          <cell r="AW239">
            <v>0</v>
          </cell>
          <cell r="AY239">
            <v>91.67422397349246</v>
          </cell>
          <cell r="AZ239">
            <v>0</v>
          </cell>
          <cell r="BB239">
            <v>0</v>
          </cell>
          <cell r="BC239">
            <v>0</v>
          </cell>
          <cell r="BE239">
            <v>0</v>
          </cell>
          <cell r="BF239">
            <v>0</v>
          </cell>
          <cell r="BH239">
            <v>19.78837059461484</v>
          </cell>
          <cell r="BI239">
            <v>0</v>
          </cell>
          <cell r="BK239">
            <v>47.713523922280622</v>
          </cell>
          <cell r="BL239">
            <v>0</v>
          </cell>
          <cell r="BN239">
            <v>0</v>
          </cell>
          <cell r="BO239">
            <v>0</v>
          </cell>
          <cell r="BT239">
            <v>6423.5254258936084</v>
          </cell>
          <cell r="BU239">
            <v>5975.9034838685839</v>
          </cell>
          <cell r="BW239">
            <v>3835.3996248189073</v>
          </cell>
          <cell r="BX239">
            <v>5056.6221534168235</v>
          </cell>
          <cell r="BZ239">
            <v>1986.5373918891155</v>
          </cell>
          <cell r="CA239">
            <v>5781.2513530456017</v>
          </cell>
          <cell r="CC239">
            <v>174.24901801562476</v>
          </cell>
          <cell r="CD239">
            <v>176.17068119496102</v>
          </cell>
          <cell r="CF239">
            <v>21.451110172378048</v>
          </cell>
          <cell r="CG239">
            <v>0</v>
          </cell>
          <cell r="CI239">
            <v>318.19792801226629</v>
          </cell>
          <cell r="CJ239">
            <v>1276.0638572260714</v>
          </cell>
          <cell r="CL239">
            <v>673.83090637891678</v>
          </cell>
          <cell r="CM239">
            <v>1259.0842664003944</v>
          </cell>
          <cell r="CX239">
            <v>805.62834263713376</v>
          </cell>
          <cell r="CY239">
            <v>52.026880878525844</v>
          </cell>
        </row>
        <row r="240">
          <cell r="I240">
            <v>2021.1215785517211</v>
          </cell>
          <cell r="J240">
            <v>2240.9735261117985</v>
          </cell>
          <cell r="L240">
            <v>382.49505462472791</v>
          </cell>
          <cell r="M240">
            <v>420.94205019182255</v>
          </cell>
          <cell r="O240">
            <v>824.68</v>
          </cell>
          <cell r="P240">
            <v>824.68333333333339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1258.4452621155397</v>
          </cell>
          <cell r="Y240">
            <v>1230.1427071293951</v>
          </cell>
          <cell r="AA240">
            <v>0</v>
          </cell>
          <cell r="AB240">
            <v>0</v>
          </cell>
          <cell r="AD240">
            <v>2498.1545732744512</v>
          </cell>
          <cell r="AE240">
            <v>2745.3850005918744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1894.0352857872995</v>
          </cell>
          <cell r="AQ240">
            <v>501.64657551187616</v>
          </cell>
          <cell r="AS240">
            <v>5576.6969253063198</v>
          </cell>
          <cell r="AT240">
            <v>0</v>
          </cell>
          <cell r="AV240">
            <v>320.62601161897658</v>
          </cell>
          <cell r="AW240">
            <v>0</v>
          </cell>
          <cell r="AY240">
            <v>492.97964315911258</v>
          </cell>
          <cell r="AZ240">
            <v>0</v>
          </cell>
          <cell r="BB240">
            <v>425.24465874824136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601.0903519414104</v>
          </cell>
          <cell r="BK240">
            <v>176.92726331589199</v>
          </cell>
          <cell r="BL240">
            <v>0</v>
          </cell>
          <cell r="BN240">
            <v>0</v>
          </cell>
          <cell r="BO240">
            <v>0</v>
          </cell>
          <cell r="BT240">
            <v>3559.0348874387128</v>
          </cell>
          <cell r="BU240">
            <v>3740.5957816437813</v>
          </cell>
          <cell r="BW240">
            <v>2461.0725475679833</v>
          </cell>
          <cell r="BX240">
            <v>3031.1635292059309</v>
          </cell>
          <cell r="BZ240">
            <v>1692.0255490842067</v>
          </cell>
          <cell r="CA240">
            <v>3579.5024755752429</v>
          </cell>
          <cell r="CC240">
            <v>216.08937161706959</v>
          </cell>
          <cell r="CD240">
            <v>218.47246102331923</v>
          </cell>
          <cell r="CF240">
            <v>26.601911278616519</v>
          </cell>
          <cell r="CG240">
            <v>0</v>
          </cell>
          <cell r="CI240">
            <v>792.37523250113372</v>
          </cell>
          <cell r="CJ240">
            <v>304.86607149952619</v>
          </cell>
          <cell r="CL240">
            <v>0</v>
          </cell>
          <cell r="CM240">
            <v>0</v>
          </cell>
          <cell r="CX240">
            <v>590.73309281199909</v>
          </cell>
          <cell r="CY240">
            <v>6805.7033634888267</v>
          </cell>
        </row>
        <row r="241">
          <cell r="I241">
            <v>2034.7811152672907</v>
          </cell>
          <cell r="J241">
            <v>2256.5800848243912</v>
          </cell>
          <cell r="L241">
            <v>345.21193849411895</v>
          </cell>
          <cell r="M241">
            <v>379.91159764604924</v>
          </cell>
          <cell r="O241">
            <v>806.66</v>
          </cell>
          <cell r="P241">
            <v>806.65000000000009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X241">
            <v>1275.7588742575476</v>
          </cell>
          <cell r="Y241">
            <v>1240.295045813798</v>
          </cell>
          <cell r="AA241">
            <v>0</v>
          </cell>
          <cell r="AB241">
            <v>0</v>
          </cell>
          <cell r="AD241">
            <v>2540.0577222998509</v>
          </cell>
          <cell r="AE241">
            <v>2791.4351041533641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1894.0352857872995</v>
          </cell>
          <cell r="AQ241">
            <v>0</v>
          </cell>
          <cell r="AS241">
            <v>9161.9698506459335</v>
          </cell>
          <cell r="AT241">
            <v>0</v>
          </cell>
          <cell r="AV241">
            <v>323.47537914525492</v>
          </cell>
          <cell r="AW241">
            <v>0</v>
          </cell>
          <cell r="AY241">
            <v>444.88882070319545</v>
          </cell>
          <cell r="AZ241">
            <v>0</v>
          </cell>
          <cell r="BB241">
            <v>431.67565626018109</v>
          </cell>
          <cell r="BC241">
            <v>0</v>
          </cell>
          <cell r="BE241">
            <v>0</v>
          </cell>
          <cell r="BF241">
            <v>0</v>
          </cell>
          <cell r="BH241">
            <v>0</v>
          </cell>
          <cell r="BI241">
            <v>0</v>
          </cell>
          <cell r="BK241">
            <v>179.51810429532154</v>
          </cell>
          <cell r="BL241">
            <v>0</v>
          </cell>
          <cell r="BN241">
            <v>0</v>
          </cell>
          <cell r="BO241">
            <v>0</v>
          </cell>
          <cell r="BT241">
            <v>3024.4355619921371</v>
          </cell>
          <cell r="BU241">
            <v>3071.7181081091471</v>
          </cell>
          <cell r="BW241">
            <v>2512.3115606459678</v>
          </cell>
          <cell r="BX241">
            <v>3042.6342956767735</v>
          </cell>
          <cell r="BZ241">
            <v>1372.1601753322466</v>
          </cell>
          <cell r="CA241">
            <v>2999.104771369869</v>
          </cell>
          <cell r="CC241">
            <v>349.77261036474403</v>
          </cell>
          <cell r="CD241">
            <v>353.62999305838991</v>
          </cell>
          <cell r="CF241">
            <v>43.059128169902195</v>
          </cell>
          <cell r="CG241">
            <v>0</v>
          </cell>
          <cell r="CI241">
            <v>277.64329012834997</v>
          </cell>
          <cell r="CJ241">
            <v>1142.3049066016981</v>
          </cell>
          <cell r="CL241">
            <v>0</v>
          </cell>
          <cell r="CM241">
            <v>0</v>
          </cell>
          <cell r="CX241">
            <v>1625.2719114527863</v>
          </cell>
          <cell r="CY241">
            <v>12345.05331129582</v>
          </cell>
        </row>
        <row r="242">
          <cell r="I242">
            <v>1974.1598408175182</v>
          </cell>
          <cell r="J242">
            <v>2192.1037173558066</v>
          </cell>
          <cell r="L242">
            <v>345.21193849411895</v>
          </cell>
          <cell r="M242">
            <v>379.91159764604924</v>
          </cell>
          <cell r="O242">
            <v>884.08</v>
          </cell>
          <cell r="P242">
            <v>884.06666666666683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>
            <v>1275.7588742575476</v>
          </cell>
          <cell r="Y242">
            <v>1358.8873439186514</v>
          </cell>
          <cell r="AA242">
            <v>0</v>
          </cell>
          <cell r="AB242">
            <v>0</v>
          </cell>
          <cell r="AD242">
            <v>2545.1174562808092</v>
          </cell>
          <cell r="AE242">
            <v>2796.9955758419114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1894.0352857872995</v>
          </cell>
          <cell r="AQ242">
            <v>0</v>
          </cell>
          <cell r="AS242">
            <v>9306.2546949358311</v>
          </cell>
          <cell r="AT242">
            <v>47292.490092995511</v>
          </cell>
          <cell r="AV242">
            <v>309.21091681822662</v>
          </cell>
          <cell r="AW242">
            <v>0</v>
          </cell>
          <cell r="AY242">
            <v>444.88882070319545</v>
          </cell>
          <cell r="AZ242">
            <v>0</v>
          </cell>
          <cell r="BB242">
            <v>470.67431918363008</v>
          </cell>
          <cell r="BC242">
            <v>0</v>
          </cell>
          <cell r="BE242">
            <v>0</v>
          </cell>
          <cell r="BF242">
            <v>0</v>
          </cell>
          <cell r="BH242">
            <v>0</v>
          </cell>
          <cell r="BI242">
            <v>0</v>
          </cell>
          <cell r="BK242">
            <v>179.51810429532154</v>
          </cell>
          <cell r="BL242">
            <v>1792.527108619086</v>
          </cell>
          <cell r="BN242">
            <v>0</v>
          </cell>
          <cell r="BO242">
            <v>0</v>
          </cell>
          <cell r="BT242">
            <v>2458.7614289456974</v>
          </cell>
          <cell r="BU242">
            <v>2831.3520501103244</v>
          </cell>
          <cell r="BW242">
            <v>2956.0565738150385</v>
          </cell>
          <cell r="BX242">
            <v>3670.1477099573185</v>
          </cell>
          <cell r="BZ242">
            <v>1287.6974174169707</v>
          </cell>
          <cell r="CA242">
            <v>2679.9086852307682</v>
          </cell>
          <cell r="CC242">
            <v>356.24352621171619</v>
          </cell>
          <cell r="CD242">
            <v>360.17227183676528</v>
          </cell>
          <cell r="CF242">
            <v>43.855737128336273</v>
          </cell>
          <cell r="CG242">
            <v>0</v>
          </cell>
          <cell r="CI242">
            <v>1472.4453139391144</v>
          </cell>
          <cell r="CJ242">
            <v>2866.9365235673731</v>
          </cell>
          <cell r="CL242">
            <v>0</v>
          </cell>
          <cell r="CM242">
            <v>0</v>
          </cell>
          <cell r="CX242">
            <v>1359.535701163557</v>
          </cell>
          <cell r="CY242">
            <v>-47722.299212495462</v>
          </cell>
        </row>
        <row r="243">
          <cell r="I243">
            <v>1436.498904966975</v>
          </cell>
          <cell r="J243">
            <v>1598.0564505193224</v>
          </cell>
          <cell r="L243">
            <v>300.92648582137065</v>
          </cell>
          <cell r="M243">
            <v>331.17436697659895</v>
          </cell>
          <cell r="O243">
            <v>584.26</v>
          </cell>
          <cell r="P243">
            <v>584.25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X243">
            <v>949.89980205882534</v>
          </cell>
          <cell r="Y243">
            <v>917.47750862132125</v>
          </cell>
          <cell r="AA243">
            <v>0</v>
          </cell>
          <cell r="AB243">
            <v>0</v>
          </cell>
          <cell r="AD243">
            <v>1910.9403760477653</v>
          </cell>
          <cell r="AE243">
            <v>2151.8242269651214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1373.1755821957922</v>
          </cell>
          <cell r="AQ243">
            <v>4159.9999575924885</v>
          </cell>
          <cell r="AS243">
            <v>5075.1058847571803</v>
          </cell>
          <cell r="AT243">
            <v>2518.6320877822127</v>
          </cell>
          <cell r="AV243">
            <v>227.2230240106725</v>
          </cell>
          <cell r="AW243">
            <v>0</v>
          </cell>
          <cell r="AY243">
            <v>387.87318468845865</v>
          </cell>
          <cell r="AZ243">
            <v>0</v>
          </cell>
          <cell r="BB243">
            <v>299.02802678329249</v>
          </cell>
          <cell r="BC243">
            <v>0</v>
          </cell>
          <cell r="BE243">
            <v>0</v>
          </cell>
          <cell r="BF243">
            <v>0</v>
          </cell>
          <cell r="BH243">
            <v>0</v>
          </cell>
          <cell r="BI243">
            <v>1515.502816555887</v>
          </cell>
          <cell r="BK243">
            <v>130.49535443444742</v>
          </cell>
          <cell r="BL243">
            <v>0</v>
          </cell>
          <cell r="BN243">
            <v>0</v>
          </cell>
          <cell r="BO243">
            <v>0</v>
          </cell>
          <cell r="BT243">
            <v>3327.5271503856011</v>
          </cell>
          <cell r="BU243">
            <v>3694.4711441938921</v>
          </cell>
          <cell r="BW243">
            <v>1860.8905842438116</v>
          </cell>
          <cell r="BX243">
            <v>2216.2781192184648</v>
          </cell>
          <cell r="BZ243">
            <v>1397.7237132487819</v>
          </cell>
          <cell r="CA243">
            <v>3414.6934426773023</v>
          </cell>
          <cell r="CC243">
            <v>115.64310971975209</v>
          </cell>
          <cell r="CD243">
            <v>116.91845180444875</v>
          </cell>
          <cell r="CF243">
            <v>14.236367673833119</v>
          </cell>
          <cell r="CG243">
            <v>0</v>
          </cell>
          <cell r="CI243">
            <v>801.73399508972977</v>
          </cell>
          <cell r="CJ243">
            <v>485.73476591774886</v>
          </cell>
          <cell r="CL243">
            <v>0</v>
          </cell>
          <cell r="CM243">
            <v>0</v>
          </cell>
          <cell r="CX243">
            <v>548.80214464845267</v>
          </cell>
          <cell r="CY243">
            <v>-3665.3960065897718</v>
          </cell>
        </row>
        <row r="244">
          <cell r="I244">
            <v>1490.3154577269845</v>
          </cell>
          <cell r="J244">
            <v>1640.9534601199557</v>
          </cell>
          <cell r="L244">
            <v>379.73388389750988</v>
          </cell>
          <cell r="M244">
            <v>417.9027574106542</v>
          </cell>
          <cell r="O244">
            <v>568.74</v>
          </cell>
          <cell r="P244">
            <v>568.75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>
            <v>1543.8325580368994</v>
          </cell>
          <cell r="Y244">
            <v>1521.1696877606764</v>
          </cell>
          <cell r="AA244">
            <v>0</v>
          </cell>
          <cell r="AB244">
            <v>0</v>
          </cell>
          <cell r="AD244">
            <v>1769.6241438753723</v>
          </cell>
          <cell r="AE244">
            <v>1976.8651600325229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781.28955538726109</v>
          </cell>
          <cell r="AQ244">
            <v>501.64657551187616</v>
          </cell>
          <cell r="AS244">
            <v>6894.6143675661087</v>
          </cell>
          <cell r="AT244">
            <v>0</v>
          </cell>
          <cell r="AV244">
            <v>268.63508955986697</v>
          </cell>
          <cell r="AW244">
            <v>0</v>
          </cell>
          <cell r="AY244">
            <v>489.43497576070069</v>
          </cell>
          <cell r="AZ244">
            <v>0</v>
          </cell>
          <cell r="BB244">
            <v>246.53671761751028</v>
          </cell>
          <cell r="BC244">
            <v>0</v>
          </cell>
          <cell r="BE244">
            <v>0</v>
          </cell>
          <cell r="BF244">
            <v>0</v>
          </cell>
          <cell r="BH244">
            <v>0</v>
          </cell>
          <cell r="BI244">
            <v>0</v>
          </cell>
          <cell r="BK244">
            <v>222.83021985135576</v>
          </cell>
          <cell r="BL244">
            <v>0</v>
          </cell>
          <cell r="BN244">
            <v>0</v>
          </cell>
          <cell r="BO244">
            <v>0</v>
          </cell>
          <cell r="BT244">
            <v>2539.3847630448886</v>
          </cell>
          <cell r="BU244">
            <v>2461.9129212323983</v>
          </cell>
          <cell r="BW244">
            <v>2803.8522920308114</v>
          </cell>
          <cell r="BX244">
            <v>3283.9792214884055</v>
          </cell>
          <cell r="BZ244">
            <v>755.70209602084947</v>
          </cell>
          <cell r="CA244">
            <v>2555.5626178906382</v>
          </cell>
          <cell r="CC244">
            <v>144.23279246182901</v>
          </cell>
          <cell r="CD244">
            <v>145.82342895254311</v>
          </cell>
          <cell r="CF244">
            <v>17.755930890187283</v>
          </cell>
          <cell r="CG244">
            <v>0</v>
          </cell>
          <cell r="CI244">
            <v>795.49482003066578</v>
          </cell>
          <cell r="CJ244">
            <v>631.69819963863461</v>
          </cell>
          <cell r="CL244">
            <v>0</v>
          </cell>
          <cell r="CM244">
            <v>0</v>
          </cell>
          <cell r="CX244">
            <v>639.00840348944621</v>
          </cell>
          <cell r="CY244">
            <v>7845.9031639540353</v>
          </cell>
        </row>
        <row r="245">
          <cell r="I245">
            <v>414.24396484887802</v>
          </cell>
          <cell r="J245">
            <v>455.62180339709107</v>
          </cell>
          <cell r="L245">
            <v>70.76838694021346</v>
          </cell>
          <cell r="M245">
            <v>77.881877517440103</v>
          </cell>
          <cell r="O245">
            <v>188.68</v>
          </cell>
          <cell r="P245">
            <v>188.68333333333334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>
            <v>198.89135680411229</v>
          </cell>
          <cell r="Y245">
            <v>186.53926156832267</v>
          </cell>
          <cell r="AA245">
            <v>0</v>
          </cell>
          <cell r="AB245">
            <v>0</v>
          </cell>
          <cell r="AD245">
            <v>543.60784197389376</v>
          </cell>
          <cell r="AE245">
            <v>714.09770286397861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7.8918136907804142</v>
          </cell>
          <cell r="AQ245">
            <v>0</v>
          </cell>
          <cell r="AS245">
            <v>1645.8035773027812</v>
          </cell>
          <cell r="AT245">
            <v>0</v>
          </cell>
          <cell r="AV245">
            <v>82.667714407915298</v>
          </cell>
          <cell r="AW245">
            <v>0</v>
          </cell>
          <cell r="AY245">
            <v>91.180310614088697</v>
          </cell>
          <cell r="AZ245">
            <v>0</v>
          </cell>
          <cell r="BB245">
            <v>83.006215262450169</v>
          </cell>
          <cell r="BC245">
            <v>0</v>
          </cell>
          <cell r="BE245">
            <v>0</v>
          </cell>
          <cell r="BF245">
            <v>0</v>
          </cell>
          <cell r="BH245">
            <v>0</v>
          </cell>
          <cell r="BI245">
            <v>0</v>
          </cell>
          <cell r="BK245">
            <v>14.381053614686898</v>
          </cell>
          <cell r="BL245">
            <v>0</v>
          </cell>
          <cell r="BN245">
            <v>0</v>
          </cell>
          <cell r="BO245">
            <v>0</v>
          </cell>
          <cell r="BT245">
            <v>733.40400365136895</v>
          </cell>
          <cell r="BU245">
            <v>897.78509095981258</v>
          </cell>
          <cell r="BW245">
            <v>34.337932823633373</v>
          </cell>
          <cell r="BX245">
            <v>3.7113331210224234</v>
          </cell>
          <cell r="BZ245">
            <v>316.54808339732688</v>
          </cell>
          <cell r="CA245">
            <v>1058.3682196785294</v>
          </cell>
          <cell r="CC245">
            <v>0</v>
          </cell>
          <cell r="CD245">
            <v>0</v>
          </cell>
          <cell r="CF245">
            <v>0</v>
          </cell>
          <cell r="CG245">
            <v>0</v>
          </cell>
          <cell r="CI245">
            <v>1182.3236736926367</v>
          </cell>
          <cell r="CJ245">
            <v>634.32227326471252</v>
          </cell>
          <cell r="CL245">
            <v>0</v>
          </cell>
          <cell r="CM245">
            <v>0</v>
          </cell>
          <cell r="CX245">
            <v>1034.5968851702796</v>
          </cell>
          <cell r="CY245">
            <v>2703.4669251549089</v>
          </cell>
        </row>
        <row r="246"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47.350882144682487</v>
          </cell>
          <cell r="AQ246">
            <v>0</v>
          </cell>
          <cell r="AS246">
            <v>188.58160580956394</v>
          </cell>
          <cell r="AT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B246">
            <v>0</v>
          </cell>
          <cell r="BC246">
            <v>0</v>
          </cell>
          <cell r="BE246">
            <v>0</v>
          </cell>
          <cell r="BF246">
            <v>0</v>
          </cell>
          <cell r="BH246">
            <v>0</v>
          </cell>
          <cell r="BI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0.25642840791876897</v>
          </cell>
          <cell r="BZ246">
            <v>0</v>
          </cell>
          <cell r="CA246">
            <v>0</v>
          </cell>
          <cell r="CC246">
            <v>0</v>
          </cell>
          <cell r="CD246">
            <v>0</v>
          </cell>
          <cell r="CF246">
            <v>0</v>
          </cell>
          <cell r="CG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X246">
            <v>-1.8985545095688394E-2</v>
          </cell>
          <cell r="CY246">
            <v>282.79228591049753</v>
          </cell>
        </row>
        <row r="247">
          <cell r="I247">
            <v>116.37927869235573</v>
          </cell>
          <cell r="J247">
            <v>128.9965461802328</v>
          </cell>
          <cell r="L247">
            <v>38.7130183256781</v>
          </cell>
          <cell r="M247">
            <v>42.604372021735529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62.594311045124996</v>
          </cell>
          <cell r="Y247">
            <v>62.669076949990853</v>
          </cell>
          <cell r="AA247">
            <v>0</v>
          </cell>
          <cell r="AB247">
            <v>0</v>
          </cell>
          <cell r="AD247">
            <v>180.7964099956435</v>
          </cell>
          <cell r="AE247">
            <v>198.6889672372439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63.134509526243313</v>
          </cell>
          <cell r="AQ247">
            <v>0</v>
          </cell>
          <cell r="AS247">
            <v>600.36541364669756</v>
          </cell>
          <cell r="AT247">
            <v>0</v>
          </cell>
          <cell r="AV247">
            <v>42.947547082987398</v>
          </cell>
          <cell r="AW247">
            <v>0</v>
          </cell>
          <cell r="AY247">
            <v>49.86802425262438</v>
          </cell>
          <cell r="AZ247">
            <v>0</v>
          </cell>
          <cell r="BB247">
            <v>0</v>
          </cell>
          <cell r="BC247">
            <v>0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9.8614077016833726</v>
          </cell>
          <cell r="BL247">
            <v>0</v>
          </cell>
          <cell r="BN247">
            <v>0</v>
          </cell>
          <cell r="BO247">
            <v>0</v>
          </cell>
          <cell r="BT247">
            <v>455.25419053531419</v>
          </cell>
          <cell r="BU247">
            <v>558.54569647061908</v>
          </cell>
          <cell r="BW247">
            <v>366.40386385111339</v>
          </cell>
          <cell r="BX247">
            <v>406.81468188265922</v>
          </cell>
          <cell r="BZ247">
            <v>253.72516635230215</v>
          </cell>
          <cell r="CA247">
            <v>614.81055579320332</v>
          </cell>
          <cell r="CC247">
            <v>0</v>
          </cell>
          <cell r="CD247">
            <v>0</v>
          </cell>
          <cell r="CF247">
            <v>0</v>
          </cell>
          <cell r="CG247">
            <v>0</v>
          </cell>
          <cell r="CI247">
            <v>180.9360767128573</v>
          </cell>
          <cell r="CJ247">
            <v>79.290284158089065</v>
          </cell>
          <cell r="CL247">
            <v>0</v>
          </cell>
          <cell r="CM247">
            <v>0</v>
          </cell>
          <cell r="CX247">
            <v>-1.5061264749874681E-2</v>
          </cell>
          <cell r="CY247">
            <v>394.25578316747124</v>
          </cell>
        </row>
        <row r="248">
          <cell r="I248">
            <v>410.78558730684119</v>
          </cell>
          <cell r="J248">
            <v>450.09453826982963</v>
          </cell>
          <cell r="L248">
            <v>61.497067697658665</v>
          </cell>
          <cell r="M248">
            <v>67.678537466374777</v>
          </cell>
          <cell r="O248">
            <v>149.82</v>
          </cell>
          <cell r="P248">
            <v>149.83333333333334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X248">
            <v>214.56978278589349</v>
          </cell>
          <cell r="Y248">
            <v>169.18366546948698</v>
          </cell>
          <cell r="AA248">
            <v>0</v>
          </cell>
          <cell r="AB248">
            <v>0</v>
          </cell>
          <cell r="AD248">
            <v>428.58084734481673</v>
          </cell>
          <cell r="AE248">
            <v>470.99544697074691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284.10529286809492</v>
          </cell>
          <cell r="AQ248">
            <v>143.32759300339319</v>
          </cell>
          <cell r="AS248">
            <v>1376.2265766356456</v>
          </cell>
          <cell r="AT248">
            <v>116.72791843775435</v>
          </cell>
          <cell r="AV248">
            <v>74.400935727157275</v>
          </cell>
          <cell r="AW248">
            <v>0</v>
          </cell>
          <cell r="AY248">
            <v>79.235345521027114</v>
          </cell>
          <cell r="AZ248">
            <v>0</v>
          </cell>
          <cell r="BB248">
            <v>68.280931052039634</v>
          </cell>
          <cell r="BC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K248">
            <v>14.743558598792214</v>
          </cell>
          <cell r="BL248">
            <v>0</v>
          </cell>
          <cell r="BN248">
            <v>0</v>
          </cell>
          <cell r="BO248">
            <v>0</v>
          </cell>
          <cell r="BT248">
            <v>1089.4554965623192</v>
          </cell>
          <cell r="BU248">
            <v>988.20586407696464</v>
          </cell>
          <cell r="BW248">
            <v>850.07251789900113</v>
          </cell>
          <cell r="BX248">
            <v>983.81225432513168</v>
          </cell>
          <cell r="BZ248">
            <v>272.79675200776171</v>
          </cell>
          <cell r="CA248">
            <v>1022.0863538102192</v>
          </cell>
          <cell r="CC248">
            <v>0</v>
          </cell>
          <cell r="CD248">
            <v>0</v>
          </cell>
          <cell r="CF248">
            <v>0</v>
          </cell>
          <cell r="CG248">
            <v>0</v>
          </cell>
          <cell r="CI248">
            <v>180.9360767128573</v>
          </cell>
          <cell r="CJ248">
            <v>4.9562718017994385</v>
          </cell>
          <cell r="CL248">
            <v>0</v>
          </cell>
          <cell r="CM248">
            <v>0</v>
          </cell>
          <cell r="CX248">
            <v>5.1877536111533118E-2</v>
          </cell>
          <cell r="CY248">
            <v>1186.3778676419588</v>
          </cell>
        </row>
        <row r="249">
          <cell r="I249">
            <v>372.5117198805134</v>
          </cell>
          <cell r="J249">
            <v>404.16219407113476</v>
          </cell>
          <cell r="L249">
            <v>69.437281789364391</v>
          </cell>
          <cell r="M249">
            <v>76.416504212233917</v>
          </cell>
          <cell r="O249">
            <v>102.84</v>
          </cell>
          <cell r="P249">
            <v>102.86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>
            <v>197.78281885877576</v>
          </cell>
          <cell r="Y249">
            <v>185.40158054077403</v>
          </cell>
          <cell r="AA249">
            <v>0</v>
          </cell>
          <cell r="AB249">
            <v>0</v>
          </cell>
          <cell r="AD249">
            <v>304.36794130523981</v>
          </cell>
          <cell r="AE249">
            <v>334.4897828420452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189.40352857872995</v>
          </cell>
          <cell r="AQ249">
            <v>143.32759300339319</v>
          </cell>
          <cell r="AS249">
            <v>824.54031171835345</v>
          </cell>
          <cell r="AT249">
            <v>0</v>
          </cell>
          <cell r="AV249">
            <v>71.960731953791409</v>
          </cell>
          <cell r="AW249">
            <v>0</v>
          </cell>
          <cell r="AY249">
            <v>89.509926552956031</v>
          </cell>
          <cell r="AZ249">
            <v>0</v>
          </cell>
          <cell r="BB249">
            <v>47.277902860351134</v>
          </cell>
          <cell r="BC249">
            <v>0</v>
          </cell>
          <cell r="BE249">
            <v>0</v>
          </cell>
          <cell r="BF249">
            <v>0</v>
          </cell>
          <cell r="BH249">
            <v>0</v>
          </cell>
          <cell r="BI249">
            <v>0</v>
          </cell>
          <cell r="BK249">
            <v>19.771277081972755</v>
          </cell>
          <cell r="BL249">
            <v>0</v>
          </cell>
          <cell r="BN249">
            <v>0</v>
          </cell>
          <cell r="BO249">
            <v>0</v>
          </cell>
          <cell r="BT249">
            <v>1063.1335779721182</v>
          </cell>
          <cell r="BU249">
            <v>943.86197986112074</v>
          </cell>
          <cell r="BW249">
            <v>767.68068062324369</v>
          </cell>
          <cell r="BX249">
            <v>882.51690409198022</v>
          </cell>
          <cell r="BZ249">
            <v>266.91120643833676</v>
          </cell>
          <cell r="CA249">
            <v>979.34174982360571</v>
          </cell>
          <cell r="CC249">
            <v>0</v>
          </cell>
          <cell r="CD249">
            <v>0</v>
          </cell>
          <cell r="CF249">
            <v>0</v>
          </cell>
          <cell r="CG249">
            <v>0</v>
          </cell>
          <cell r="CI249">
            <v>174.69690165379325</v>
          </cell>
          <cell r="CJ249">
            <v>47.079549781743694</v>
          </cell>
          <cell r="CL249">
            <v>0</v>
          </cell>
          <cell r="CM249">
            <v>0</v>
          </cell>
          <cell r="CX249">
            <v>4.9031278950678825E-2</v>
          </cell>
          <cell r="CY249">
            <v>554.89059412636198</v>
          </cell>
        </row>
        <row r="250">
          <cell r="I250">
            <v>778.01751528651096</v>
          </cell>
          <cell r="J250">
            <v>858.59070607046635</v>
          </cell>
          <cell r="L250">
            <v>151.89314510575448</v>
          </cell>
          <cell r="M250">
            <v>167.16110296426169</v>
          </cell>
          <cell r="O250">
            <v>319.72000000000003</v>
          </cell>
          <cell r="P250">
            <v>319.7166666666667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>
            <v>482.97657801160892</v>
          </cell>
          <cell r="Y250">
            <v>445.96370952500627</v>
          </cell>
          <cell r="AA250">
            <v>0</v>
          </cell>
          <cell r="AB250">
            <v>0</v>
          </cell>
          <cell r="AD250">
            <v>913.67393478681322</v>
          </cell>
          <cell r="AE250">
            <v>1004.0958805473804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520.85970359150735</v>
          </cell>
          <cell r="AQ250">
            <v>429.98277901017957</v>
          </cell>
          <cell r="AS250">
            <v>2022.5811832907536</v>
          </cell>
          <cell r="AT250">
            <v>0</v>
          </cell>
          <cell r="AV250">
            <v>138.25758637960135</v>
          </cell>
          <cell r="AW250">
            <v>0</v>
          </cell>
          <cell r="AY250">
            <v>195.76233491122258</v>
          </cell>
          <cell r="AZ250">
            <v>0</v>
          </cell>
          <cell r="BB250">
            <v>144.91736678168084</v>
          </cell>
          <cell r="BC250">
            <v>0</v>
          </cell>
          <cell r="BE250">
            <v>0</v>
          </cell>
          <cell r="BF250">
            <v>0</v>
          </cell>
          <cell r="BH250">
            <v>0</v>
          </cell>
          <cell r="BI250">
            <v>0</v>
          </cell>
          <cell r="BK250">
            <v>58.242082060788206</v>
          </cell>
          <cell r="BL250">
            <v>0</v>
          </cell>
          <cell r="BN250">
            <v>0</v>
          </cell>
          <cell r="BO250">
            <v>0</v>
          </cell>
          <cell r="BT250">
            <v>3277.4590101138278</v>
          </cell>
          <cell r="BU250">
            <v>3249.056908761047</v>
          </cell>
          <cell r="BW250">
            <v>1234.8270535032732</v>
          </cell>
          <cell r="BX250">
            <v>1450.1776878111809</v>
          </cell>
          <cell r="BZ250">
            <v>1309.6820222992956</v>
          </cell>
          <cell r="CA250">
            <v>3170.7540002785936</v>
          </cell>
          <cell r="CC250">
            <v>149.27226328810727</v>
          </cell>
          <cell r="CD250">
            <v>150.91847636479289</v>
          </cell>
          <cell r="CF250">
            <v>18.376320291149575</v>
          </cell>
          <cell r="CG250">
            <v>0</v>
          </cell>
          <cell r="CI250">
            <v>283.88246518741403</v>
          </cell>
          <cell r="CJ250">
            <v>401.46808061645646</v>
          </cell>
          <cell r="CL250">
            <v>0</v>
          </cell>
          <cell r="CM250">
            <v>0</v>
          </cell>
          <cell r="CX250">
            <v>13.539322132828602</v>
          </cell>
          <cell r="CY250">
            <v>436.55680166076399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94.701764289364974</v>
          </cell>
          <cell r="AQ251">
            <v>0</v>
          </cell>
          <cell r="AS251">
            <v>650.57765300888207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127.61072402238671</v>
          </cell>
          <cell r="BU251">
            <v>208.87120665896495</v>
          </cell>
          <cell r="BW251">
            <v>0</v>
          </cell>
          <cell r="BX251">
            <v>1.122586585777722</v>
          </cell>
          <cell r="BZ251">
            <v>0</v>
          </cell>
          <cell r="CA251">
            <v>196.52638144123455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47.151830415239374</v>
          </cell>
          <cell r="CY251">
            <v>606.7957903768272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55.242695835462904</v>
          </cell>
          <cell r="AQ252">
            <v>0</v>
          </cell>
          <cell r="AS252">
            <v>302.1483716781014</v>
          </cell>
          <cell r="AT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67.394413624322965</v>
          </cell>
          <cell r="BU252">
            <v>135.15409260914714</v>
          </cell>
          <cell r="BW252">
            <v>0</v>
          </cell>
          <cell r="BX252">
            <v>0.59466968884019267</v>
          </cell>
          <cell r="BZ252">
            <v>0</v>
          </cell>
          <cell r="CA252">
            <v>127.16023926426422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7.6374226345353122</v>
          </cell>
          <cell r="CY252">
            <v>201.88919812529812</v>
          </cell>
        </row>
        <row r="253">
          <cell r="I253">
            <v>1928.1594161834294</v>
          </cell>
          <cell r="J253">
            <v>1684.1921385171506</v>
          </cell>
          <cell r="L253">
            <v>323.76046470468566</v>
          </cell>
          <cell r="M253">
            <v>333.46585320064759</v>
          </cell>
          <cell r="O253">
            <v>974.86</v>
          </cell>
          <cell r="P253">
            <v>974.86666666666667</v>
          </cell>
          <cell r="R253">
            <v>209.92</v>
          </cell>
          <cell r="S253">
            <v>209.91666666666669</v>
          </cell>
          <cell r="U253">
            <v>130.00964065633656</v>
          </cell>
          <cell r="V253">
            <v>90.831323599653487</v>
          </cell>
          <cell r="X253">
            <v>1385.9851302479817</v>
          </cell>
          <cell r="Y253">
            <v>1038.7569757886206</v>
          </cell>
          <cell r="AA253">
            <v>0</v>
          </cell>
          <cell r="AB253">
            <v>0</v>
          </cell>
          <cell r="AD253">
            <v>2843.9268165928838</v>
          </cell>
          <cell r="AE253">
            <v>3125.3845031270857</v>
          </cell>
          <cell r="AJ253">
            <v>6913.0950965152351</v>
          </cell>
          <cell r="AK253">
            <v>6989.3119663893776</v>
          </cell>
          <cell r="AM253">
            <v>0</v>
          </cell>
          <cell r="AN253">
            <v>0</v>
          </cell>
          <cell r="AP253">
            <v>536.64333097306826</v>
          </cell>
          <cell r="AQ253">
            <v>0</v>
          </cell>
          <cell r="AS253">
            <v>12433.750025904579</v>
          </cell>
          <cell r="AT253">
            <v>863.50286784041509</v>
          </cell>
          <cell r="AV253">
            <v>160.28234453452649</v>
          </cell>
          <cell r="AW253">
            <v>0</v>
          </cell>
          <cell r="AY253">
            <v>216.30381693881802</v>
          </cell>
          <cell r="AZ253">
            <v>0</v>
          </cell>
          <cell r="BB253">
            <v>300.81395588574151</v>
          </cell>
          <cell r="BC253">
            <v>0</v>
          </cell>
          <cell r="BE253">
            <v>109.41598290170468</v>
          </cell>
          <cell r="BF253">
            <v>0</v>
          </cell>
          <cell r="BH253">
            <v>65.961235315382794</v>
          </cell>
          <cell r="BI253">
            <v>0</v>
          </cell>
          <cell r="BK253">
            <v>182.09319879634614</v>
          </cell>
          <cell r="BL253">
            <v>2128.4141765209283</v>
          </cell>
          <cell r="BN253">
            <v>94.161478523291592</v>
          </cell>
          <cell r="BO253">
            <v>0</v>
          </cell>
          <cell r="BT253">
            <v>7355.0518485833745</v>
          </cell>
          <cell r="BU253">
            <v>1706.9632945956751</v>
          </cell>
          <cell r="BW253">
            <v>8062.640992532848</v>
          </cell>
          <cell r="BX253">
            <v>2774.3998374450075</v>
          </cell>
          <cell r="BZ253">
            <v>1081.9920435125903</v>
          </cell>
          <cell r="CA253">
            <v>1766.6212393009639</v>
          </cell>
          <cell r="CC253">
            <v>245.69871382594209</v>
          </cell>
          <cell r="CD253">
            <v>248.40834270618785</v>
          </cell>
          <cell r="CF253">
            <v>30.247000755087576</v>
          </cell>
          <cell r="CG253">
            <v>0</v>
          </cell>
          <cell r="CI253">
            <v>642.63503108359669</v>
          </cell>
          <cell r="CJ253">
            <v>1288.7816385283832</v>
          </cell>
          <cell r="CL253">
            <v>2002.775193959558</v>
          </cell>
          <cell r="CM253">
            <v>1254.1179299278929</v>
          </cell>
          <cell r="CX253">
            <v>1445.7206892875838</v>
          </cell>
          <cell r="CY253">
            <v>27548.417495014408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X254">
            <v>82.785282348368511</v>
          </cell>
          <cell r="Y254">
            <v>52.515958022102943</v>
          </cell>
          <cell r="AA254">
            <v>0</v>
          </cell>
          <cell r="AB254">
            <v>0</v>
          </cell>
          <cell r="AD254">
            <v>217.28350574565118</v>
          </cell>
          <cell r="AE254">
            <v>238.78701659690842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P254">
            <v>0</v>
          </cell>
          <cell r="AQ254">
            <v>0</v>
          </cell>
          <cell r="AS254">
            <v>846.81030710599521</v>
          </cell>
          <cell r="AT254">
            <v>0</v>
          </cell>
          <cell r="AV254">
            <v>0</v>
          </cell>
          <cell r="AW254">
            <v>0</v>
          </cell>
          <cell r="AY254">
            <v>0</v>
          </cell>
          <cell r="AZ254">
            <v>0</v>
          </cell>
          <cell r="BB254">
            <v>0</v>
          </cell>
          <cell r="BC254">
            <v>0</v>
          </cell>
          <cell r="BE254">
            <v>0</v>
          </cell>
          <cell r="BF254">
            <v>0</v>
          </cell>
          <cell r="BH254">
            <v>0</v>
          </cell>
          <cell r="BI254">
            <v>0</v>
          </cell>
          <cell r="BK254">
            <v>23.058508430931262</v>
          </cell>
          <cell r="BL254">
            <v>0</v>
          </cell>
          <cell r="BN254">
            <v>0</v>
          </cell>
          <cell r="BO254">
            <v>0</v>
          </cell>
          <cell r="BT254">
            <v>0</v>
          </cell>
          <cell r="BU254">
            <v>0</v>
          </cell>
          <cell r="BW254">
            <v>38.962983241777721</v>
          </cell>
          <cell r="BX254">
            <v>1.2410320884830579</v>
          </cell>
          <cell r="BZ254">
            <v>0</v>
          </cell>
          <cell r="CA254">
            <v>0</v>
          </cell>
          <cell r="CC254">
            <v>0</v>
          </cell>
          <cell r="CD254">
            <v>0</v>
          </cell>
          <cell r="CF254">
            <v>0</v>
          </cell>
          <cell r="CG254">
            <v>0</v>
          </cell>
          <cell r="CI254">
            <v>15.597937647660114</v>
          </cell>
          <cell r="CJ254">
            <v>61.928235845738108</v>
          </cell>
          <cell r="CL254">
            <v>0</v>
          </cell>
          <cell r="CM254">
            <v>0</v>
          </cell>
          <cell r="CX254">
            <v>108.36177057553937</v>
          </cell>
          <cell r="CY254">
            <v>1152.393308936121</v>
          </cell>
        </row>
        <row r="255">
          <cell r="I255">
            <v>1759.6365152423575</v>
          </cell>
          <cell r="J255">
            <v>2192.3100390819527</v>
          </cell>
          <cell r="L255">
            <v>332.43932844451967</v>
          </cell>
          <cell r="M255">
            <v>424.61104635725263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>
            <v>1181.996657516398</v>
          </cell>
          <cell r="Y255">
            <v>1402.6306039362084</v>
          </cell>
          <cell r="AA255">
            <v>0</v>
          </cell>
          <cell r="AB255">
            <v>0</v>
          </cell>
          <cell r="AD255">
            <v>1968.478815712914</v>
          </cell>
          <cell r="AE255">
            <v>2163.2897629539002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P255">
            <v>473.50882144682487</v>
          </cell>
          <cell r="AQ255">
            <v>0</v>
          </cell>
          <cell r="AS255">
            <v>6187.3527149777783</v>
          </cell>
          <cell r="AT255">
            <v>0</v>
          </cell>
          <cell r="AV255">
            <v>293.68451802447441</v>
          </cell>
          <cell r="AW255">
            <v>719.28487379341368</v>
          </cell>
          <cell r="AY255">
            <v>428.45713760025609</v>
          </cell>
          <cell r="AZ255">
            <v>0</v>
          </cell>
          <cell r="BB255">
            <v>0</v>
          </cell>
          <cell r="BC255">
            <v>0</v>
          </cell>
          <cell r="BE255">
            <v>0</v>
          </cell>
          <cell r="BF255">
            <v>0</v>
          </cell>
          <cell r="BH255">
            <v>0</v>
          </cell>
          <cell r="BI255">
            <v>0</v>
          </cell>
          <cell r="BK255">
            <v>264.95478811646899</v>
          </cell>
          <cell r="BL255">
            <v>0</v>
          </cell>
          <cell r="BN255">
            <v>0</v>
          </cell>
          <cell r="BO255">
            <v>0</v>
          </cell>
          <cell r="BT255">
            <v>7357.6898695921918</v>
          </cell>
          <cell r="BU255">
            <v>5967.431117721304</v>
          </cell>
          <cell r="BW255">
            <v>2980.7044766115614</v>
          </cell>
          <cell r="BX255">
            <v>3556.0043875516949</v>
          </cell>
          <cell r="BZ255">
            <v>1458.6285460751567</v>
          </cell>
          <cell r="CA255">
            <v>5425.3105084899944</v>
          </cell>
          <cell r="CC255">
            <v>287.26944593376311</v>
          </cell>
          <cell r="CD255">
            <v>290.43752758544707</v>
          </cell>
          <cell r="CF255">
            <v>35.364609821391298</v>
          </cell>
          <cell r="CG255">
            <v>0</v>
          </cell>
          <cell r="CI255">
            <v>1113.692748042932</v>
          </cell>
          <cell r="CJ255">
            <v>312.48667561021136</v>
          </cell>
          <cell r="CL255">
            <v>0</v>
          </cell>
          <cell r="CM255">
            <v>0</v>
          </cell>
          <cell r="CX255">
            <v>4.129208209214994</v>
          </cell>
          <cell r="CY255">
            <v>4408.2041483023422</v>
          </cell>
        </row>
        <row r="256">
          <cell r="I256">
            <v>658.30376027673867</v>
          </cell>
          <cell r="J256">
            <v>730.9786683496817</v>
          </cell>
          <cell r="L256">
            <v>117.52041640181733</v>
          </cell>
          <cell r="M256">
            <v>129.33276245579077</v>
          </cell>
          <cell r="O256">
            <v>314.88</v>
          </cell>
          <cell r="P256">
            <v>314.88333333333338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X256">
            <v>488.94306633129565</v>
          </cell>
          <cell r="Y256">
            <v>452.49965650062279</v>
          </cell>
          <cell r="AA256">
            <v>0</v>
          </cell>
          <cell r="AB256">
            <v>0</v>
          </cell>
          <cell r="AD256">
            <v>939.18639626826405</v>
          </cell>
          <cell r="AE256">
            <v>1032.1331884980834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P256">
            <v>426.15793930214238</v>
          </cell>
          <cell r="AQ256">
            <v>0</v>
          </cell>
          <cell r="AS256">
            <v>2609.1057601751249</v>
          </cell>
          <cell r="AT256">
            <v>536.51565274207735</v>
          </cell>
          <cell r="AV256">
            <v>126.78159136424794</v>
          </cell>
          <cell r="AW256">
            <v>0</v>
          </cell>
          <cell r="AY256">
            <v>151.47835609515252</v>
          </cell>
          <cell r="AZ256">
            <v>0</v>
          </cell>
          <cell r="BB256">
            <v>158.77057002037245</v>
          </cell>
          <cell r="BC256">
            <v>0</v>
          </cell>
          <cell r="BE256">
            <v>0</v>
          </cell>
          <cell r="BF256">
            <v>0</v>
          </cell>
          <cell r="BH256">
            <v>0</v>
          </cell>
          <cell r="BI256">
            <v>0</v>
          </cell>
          <cell r="BK256">
            <v>59.149004912770224</v>
          </cell>
          <cell r="BL256">
            <v>0</v>
          </cell>
          <cell r="BN256">
            <v>0</v>
          </cell>
          <cell r="BO256">
            <v>0</v>
          </cell>
          <cell r="BT256">
            <v>1635.5688770838797</v>
          </cell>
          <cell r="BU256">
            <v>1785.5763008667514</v>
          </cell>
          <cell r="BW256">
            <v>1492.5482862868741</v>
          </cell>
          <cell r="BX256">
            <v>1747.0201120228287</v>
          </cell>
          <cell r="BZ256">
            <v>866.40217706560645</v>
          </cell>
          <cell r="CA256">
            <v>1782.9031230699279</v>
          </cell>
          <cell r="CC256">
            <v>234.2275448244915</v>
          </cell>
          <cell r="CD256">
            <v>236.81066668997715</v>
          </cell>
          <cell r="CF256">
            <v>28.834830328772625</v>
          </cell>
          <cell r="CG256">
            <v>0</v>
          </cell>
          <cell r="CI256">
            <v>514.73194237278358</v>
          </cell>
          <cell r="CJ256">
            <v>339.45932740510273</v>
          </cell>
          <cell r="CL256">
            <v>0</v>
          </cell>
          <cell r="CM256">
            <v>0</v>
          </cell>
          <cell r="CX256">
            <v>323.59137706759793</v>
          </cell>
          <cell r="CY256">
            <v>2404.9646496789883</v>
          </cell>
        </row>
        <row r="257">
          <cell r="I257">
            <v>4409.5360282952852</v>
          </cell>
          <cell r="J257">
            <v>5507.4447705922339</v>
          </cell>
          <cell r="L257">
            <v>748.37160325246532</v>
          </cell>
          <cell r="M257">
            <v>955.86302158007834</v>
          </cell>
          <cell r="O257">
            <v>1427.52</v>
          </cell>
          <cell r="P257">
            <v>1427.82</v>
          </cell>
          <cell r="R257">
            <v>362.02</v>
          </cell>
          <cell r="S257">
            <v>362.34</v>
          </cell>
          <cell r="U257">
            <v>208.3500279500883</v>
          </cell>
          <cell r="V257">
            <v>170.61472337038157</v>
          </cell>
          <cell r="X257">
            <v>1680.7795733443816</v>
          </cell>
          <cell r="Y257">
            <v>2036.4740303444</v>
          </cell>
          <cell r="AA257">
            <v>0</v>
          </cell>
          <cell r="AB257">
            <v>0</v>
          </cell>
          <cell r="AD257">
            <v>4824.8126701379779</v>
          </cell>
          <cell r="AE257">
            <v>5277.9449052171694</v>
          </cell>
          <cell r="AJ257">
            <v>8685.8007101718067</v>
          </cell>
          <cell r="AK257">
            <v>8781.5674354446237</v>
          </cell>
          <cell r="AM257">
            <v>263.07035981182185</v>
          </cell>
          <cell r="AN257">
            <v>0</v>
          </cell>
          <cell r="AP257">
            <v>883.88313336740646</v>
          </cell>
          <cell r="AQ257">
            <v>0</v>
          </cell>
          <cell r="AS257">
            <v>23156.959999999999</v>
          </cell>
          <cell r="AT257">
            <v>0</v>
          </cell>
          <cell r="AV257">
            <v>354.5053752788794</v>
          </cell>
          <cell r="AW257">
            <v>0</v>
          </cell>
          <cell r="AY257">
            <v>493.73511237688888</v>
          </cell>
          <cell r="AZ257">
            <v>0</v>
          </cell>
          <cell r="BB257">
            <v>599.00354063093062</v>
          </cell>
          <cell r="BC257">
            <v>881.57618844097578</v>
          </cell>
          <cell r="BE257">
            <v>202.16392511926523</v>
          </cell>
          <cell r="BF257">
            <v>0</v>
          </cell>
          <cell r="BH257">
            <v>105.68402349220877</v>
          </cell>
          <cell r="BI257">
            <v>0</v>
          </cell>
          <cell r="BK257">
            <v>136.87374713977206</v>
          </cell>
          <cell r="BL257">
            <v>0</v>
          </cell>
          <cell r="BN257">
            <v>0</v>
          </cell>
          <cell r="BO257">
            <v>0</v>
          </cell>
          <cell r="BT257">
            <v>7006.66</v>
          </cell>
          <cell r="BU257">
            <v>6465.0626766121659</v>
          </cell>
          <cell r="BW257">
            <v>8956.24</v>
          </cell>
          <cell r="BX257">
            <v>10087.424159175509</v>
          </cell>
          <cell r="BZ257">
            <v>2790.12</v>
          </cell>
          <cell r="CA257">
            <v>6096.207284740407</v>
          </cell>
          <cell r="CC257">
            <v>107.84859744953565</v>
          </cell>
          <cell r="CD257">
            <v>109.03797963958766</v>
          </cell>
          <cell r="CF257">
            <v>13.276815973901169</v>
          </cell>
          <cell r="CG257">
            <v>0</v>
          </cell>
          <cell r="CI257">
            <v>2214.9071459677357</v>
          </cell>
          <cell r="CJ257">
            <v>2281.9958042480202</v>
          </cell>
          <cell r="CL257">
            <v>3322.3607189516042</v>
          </cell>
          <cell r="CM257">
            <v>3424.2302581548047</v>
          </cell>
          <cell r="CX257">
            <v>1900.7202695456508</v>
          </cell>
          <cell r="CY257">
            <v>24807.376114927578</v>
          </cell>
        </row>
        <row r="258">
          <cell r="I258">
            <v>2407.9303413111493</v>
          </cell>
          <cell r="J258">
            <v>3019.6419441658782</v>
          </cell>
          <cell r="L258">
            <v>458.54087352039971</v>
          </cell>
          <cell r="M258">
            <v>585.6747528600705</v>
          </cell>
          <cell r="O258">
            <v>916.84</v>
          </cell>
          <cell r="P258">
            <v>917.06</v>
          </cell>
          <cell r="R258">
            <v>249.28</v>
          </cell>
          <cell r="S258">
            <v>249.34</v>
          </cell>
          <cell r="U258">
            <v>130.00964065633656</v>
          </cell>
          <cell r="V258">
            <v>106.46261844006062</v>
          </cell>
          <cell r="X258">
            <v>1043.277573106724</v>
          </cell>
          <cell r="Y258">
            <v>1225.4569038669347</v>
          </cell>
          <cell r="AA258">
            <v>0</v>
          </cell>
          <cell r="AB258">
            <v>0</v>
          </cell>
          <cell r="AD258">
            <v>2984.9793724873957</v>
          </cell>
          <cell r="AE258">
            <v>3280.3885251830388</v>
          </cell>
          <cell r="AJ258">
            <v>6913.0950965152351</v>
          </cell>
          <cell r="AK258">
            <v>6989.3119663893776</v>
          </cell>
          <cell r="AM258">
            <v>0</v>
          </cell>
          <cell r="AN258">
            <v>0</v>
          </cell>
          <cell r="AP258">
            <v>560.31877204540945</v>
          </cell>
          <cell r="AQ258">
            <v>0</v>
          </cell>
          <cell r="AS258">
            <v>15518.98</v>
          </cell>
          <cell r="AT258">
            <v>2628.2460662203202</v>
          </cell>
          <cell r="AV258">
            <v>180.28000083455336</v>
          </cell>
          <cell r="AW258">
            <v>2403.8535805925976</v>
          </cell>
          <cell r="AY258">
            <v>303.15280889421359</v>
          </cell>
          <cell r="AZ258">
            <v>0</v>
          </cell>
          <cell r="BB258">
            <v>375.12738273257935</v>
          </cell>
          <cell r="BC258">
            <v>0</v>
          </cell>
          <cell r="BE258">
            <v>148.4035862329026</v>
          </cell>
          <cell r="BF258">
            <v>0</v>
          </cell>
          <cell r="BH258">
            <v>65.961235315382794</v>
          </cell>
          <cell r="BI258">
            <v>0</v>
          </cell>
          <cell r="BK258">
            <v>71.693988049612315</v>
          </cell>
          <cell r="BL258">
            <v>2951.9144761069015</v>
          </cell>
          <cell r="BN258">
            <v>0</v>
          </cell>
          <cell r="BO258">
            <v>0</v>
          </cell>
          <cell r="BT258">
            <v>7718.1</v>
          </cell>
          <cell r="BU258">
            <v>6219.1986016374794</v>
          </cell>
          <cell r="BW258">
            <v>5856.88</v>
          </cell>
          <cell r="BX258">
            <v>6580.3366945522557</v>
          </cell>
          <cell r="BZ258">
            <v>1829.88</v>
          </cell>
          <cell r="CA258">
            <v>5618.3981233074128</v>
          </cell>
          <cell r="CC258">
            <v>220.59940387405018</v>
          </cell>
          <cell r="CD258">
            <v>223.03223108097473</v>
          </cell>
          <cell r="CF258">
            <v>27.157123582979661</v>
          </cell>
          <cell r="CG258">
            <v>0</v>
          </cell>
          <cell r="CI258">
            <v>4623.228718766457</v>
          </cell>
          <cell r="CJ258">
            <v>3862.9056036322136</v>
          </cell>
          <cell r="CL258">
            <v>1516.1195393525629</v>
          </cell>
          <cell r="CM258">
            <v>2170.4042036772685</v>
          </cell>
          <cell r="CX258">
            <v>979.01745126648893</v>
          </cell>
          <cell r="CY258">
            <v>7084.8684499446717</v>
          </cell>
        </row>
        <row r="259">
          <cell r="I259">
            <v>1113.5935605671871</v>
          </cell>
          <cell r="J259">
            <v>1234.6259890776164</v>
          </cell>
          <cell r="L259">
            <v>210.77646158135121</v>
          </cell>
          <cell r="M259">
            <v>231.96316690560212</v>
          </cell>
          <cell r="O259">
            <v>460.58</v>
          </cell>
          <cell r="P259">
            <v>460.58333333333337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X259">
            <v>609.27111061101425</v>
          </cell>
          <cell r="Y259">
            <v>583.00136008782397</v>
          </cell>
          <cell r="AA259">
            <v>0</v>
          </cell>
          <cell r="AB259">
            <v>0</v>
          </cell>
          <cell r="AD259">
            <v>1472.6676438943528</v>
          </cell>
          <cell r="AE259">
            <v>1618.4105273778657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852.31587860428476</v>
          </cell>
          <cell r="AQ259">
            <v>2302.5741827051884</v>
          </cell>
          <cell r="AS259">
            <v>2829.2121625546706</v>
          </cell>
          <cell r="AT259">
            <v>0</v>
          </cell>
          <cell r="AV259">
            <v>191.98904251927169</v>
          </cell>
          <cell r="AW259">
            <v>0</v>
          </cell>
          <cell r="AY259">
            <v>271.65683061933453</v>
          </cell>
          <cell r="AZ259">
            <v>0</v>
          </cell>
          <cell r="BB259">
            <v>267.77851529053544</v>
          </cell>
          <cell r="BC259">
            <v>378.07232362048796</v>
          </cell>
          <cell r="BE259">
            <v>0</v>
          </cell>
          <cell r="BF259">
            <v>0</v>
          </cell>
          <cell r="BH259">
            <v>0</v>
          </cell>
          <cell r="BI259">
            <v>0</v>
          </cell>
          <cell r="BK259">
            <v>79.191999924649934</v>
          </cell>
          <cell r="BL259">
            <v>0</v>
          </cell>
          <cell r="BN259">
            <v>0</v>
          </cell>
          <cell r="BO259">
            <v>0</v>
          </cell>
          <cell r="BT259">
            <v>1100.4940473618412</v>
          </cell>
          <cell r="BU259">
            <v>1466.158787498764</v>
          </cell>
          <cell r="BW259">
            <v>1717.1036891768752</v>
          </cell>
          <cell r="BX259">
            <v>2038.3905050064809</v>
          </cell>
          <cell r="BZ259">
            <v>708.76823131924061</v>
          </cell>
          <cell r="CA259">
            <v>1586.4514957185397</v>
          </cell>
          <cell r="CC259">
            <v>122.94740109247064</v>
          </cell>
          <cell r="CD259">
            <v>124.30329678912993</v>
          </cell>
          <cell r="CF259">
            <v>15.135570210247334</v>
          </cell>
          <cell r="CG259">
            <v>0</v>
          </cell>
          <cell r="CI259">
            <v>483.53606707746354</v>
          </cell>
          <cell r="CJ259">
            <v>599.57804729860675</v>
          </cell>
          <cell r="CL259">
            <v>0</v>
          </cell>
          <cell r="CM259">
            <v>0</v>
          </cell>
          <cell r="CX259">
            <v>300.31814511425364</v>
          </cell>
          <cell r="CY259">
            <v>159.80438149667316</v>
          </cell>
        </row>
        <row r="260">
          <cell r="I260">
            <v>2766.3811920269686</v>
          </cell>
          <cell r="J260">
            <v>3496.0904671145213</v>
          </cell>
          <cell r="L260">
            <v>566.29631222116154</v>
          </cell>
          <cell r="M260">
            <v>723.30643010240783</v>
          </cell>
          <cell r="O260">
            <v>1168.56</v>
          </cell>
          <cell r="P260">
            <v>1168.42</v>
          </cell>
          <cell r="R260">
            <v>0</v>
          </cell>
          <cell r="S260">
            <v>0</v>
          </cell>
          <cell r="U260">
            <v>215.74518364026076</v>
          </cell>
          <cell r="V260">
            <v>176.67061747960003</v>
          </cell>
          <cell r="X260">
            <v>2245.766570348344</v>
          </cell>
          <cell r="Y260">
            <v>2709.3204841195356</v>
          </cell>
          <cell r="AA260">
            <v>0</v>
          </cell>
          <cell r="AB260">
            <v>0</v>
          </cell>
          <cell r="AD260">
            <v>4248.2524198148585</v>
          </cell>
          <cell r="AE260">
            <v>4798.5304342109466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2225.4914608000768</v>
          </cell>
          <cell r="AQ260">
            <v>0</v>
          </cell>
          <cell r="AS260">
            <v>11865.297829181649</v>
          </cell>
          <cell r="AT260">
            <v>167.61241105942892</v>
          </cell>
          <cell r="AV260">
            <v>456.80205837427036</v>
          </cell>
          <cell r="AW260">
            <v>0</v>
          </cell>
          <cell r="AY260">
            <v>729.89882423528786</v>
          </cell>
          <cell r="AZ260">
            <v>0</v>
          </cell>
          <cell r="BB260">
            <v>431.56064698254022</v>
          </cell>
          <cell r="BC260">
            <v>0</v>
          </cell>
          <cell r="BE260">
            <v>0</v>
          </cell>
          <cell r="BF260">
            <v>0</v>
          </cell>
          <cell r="BH260">
            <v>218.86472282667671</v>
          </cell>
          <cell r="BI260">
            <v>0</v>
          </cell>
          <cell r="BK260">
            <v>332.1874362013159</v>
          </cell>
          <cell r="BL260">
            <v>0</v>
          </cell>
          <cell r="BN260">
            <v>0</v>
          </cell>
          <cell r="BO260">
            <v>0</v>
          </cell>
          <cell r="BT260">
            <v>7168.1078983121715</v>
          </cell>
          <cell r="BU260">
            <v>6470.0210701686556</v>
          </cell>
          <cell r="BW260">
            <v>4387.1142673102959</v>
          </cell>
          <cell r="BX260">
            <v>4861.6556857761116</v>
          </cell>
          <cell r="BZ260">
            <v>1661.9082932129347</v>
          </cell>
          <cell r="CA260">
            <v>5822.3357231132786</v>
          </cell>
          <cell r="CC260">
            <v>178.9306275867296</v>
          </cell>
          <cell r="CD260">
            <v>180.90392076567949</v>
          </cell>
          <cell r="CF260">
            <v>22.027444683972391</v>
          </cell>
          <cell r="CG260">
            <v>0</v>
          </cell>
          <cell r="CI260">
            <v>184.0556642423893</v>
          </cell>
          <cell r="CJ260">
            <v>661.47608913223894</v>
          </cell>
          <cell r="CL260">
            <v>0</v>
          </cell>
          <cell r="CM260">
            <v>0</v>
          </cell>
          <cell r="CX260">
            <v>3203.3013775977161</v>
          </cell>
          <cell r="CY260">
            <v>15007.588000349111</v>
          </cell>
        </row>
        <row r="261">
          <cell r="I261">
            <v>778.91177143626908</v>
          </cell>
          <cell r="J261">
            <v>863.82507518307068</v>
          </cell>
          <cell r="L261">
            <v>119.14799437597647</v>
          </cell>
          <cell r="M261">
            <v>131.12377427326498</v>
          </cell>
          <cell r="O261">
            <v>345.54</v>
          </cell>
          <cell r="P261">
            <v>345.53333333333336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X261">
            <v>494.95930459311847</v>
          </cell>
          <cell r="Y261">
            <v>459.93882270380465</v>
          </cell>
          <cell r="AA261">
            <v>0</v>
          </cell>
          <cell r="AB261">
            <v>0</v>
          </cell>
          <cell r="AD261">
            <v>1035.3213419064678</v>
          </cell>
          <cell r="AE261">
            <v>1137.7821505804807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757.61411431491979</v>
          </cell>
          <cell r="AQ261">
            <v>0</v>
          </cell>
          <cell r="AS261">
            <v>2733.687474040727</v>
          </cell>
          <cell r="AT261">
            <v>0</v>
          </cell>
          <cell r="AV261">
            <v>124.57062080146615</v>
          </cell>
          <cell r="AW261">
            <v>0</v>
          </cell>
          <cell r="AY261">
            <v>153.61481567386699</v>
          </cell>
          <cell r="AZ261">
            <v>0</v>
          </cell>
          <cell r="BB261">
            <v>172.42294749368233</v>
          </cell>
          <cell r="BC261">
            <v>0</v>
          </cell>
          <cell r="BE261">
            <v>0</v>
          </cell>
          <cell r="BF261">
            <v>0</v>
          </cell>
          <cell r="BH261">
            <v>0</v>
          </cell>
          <cell r="BI261">
            <v>0</v>
          </cell>
          <cell r="BK261">
            <v>60.056140153587386</v>
          </cell>
          <cell r="BL261">
            <v>0</v>
          </cell>
          <cell r="BN261">
            <v>0</v>
          </cell>
          <cell r="BO261">
            <v>0</v>
          </cell>
          <cell r="BT261">
            <v>1576.9685222086114</v>
          </cell>
          <cell r="BU261">
            <v>1701.7356210205508</v>
          </cell>
          <cell r="BW261">
            <v>1593.8418223367955</v>
          </cell>
          <cell r="BX261">
            <v>1872.5193831283386</v>
          </cell>
          <cell r="BZ261">
            <v>798.09798557892361</v>
          </cell>
          <cell r="CA261">
            <v>1694.3571384489119</v>
          </cell>
          <cell r="CC261">
            <v>241.43379201771046</v>
          </cell>
          <cell r="CD261">
            <v>244.09638623862236</v>
          </cell>
          <cell r="CF261">
            <v>29.721963032483295</v>
          </cell>
          <cell r="CG261">
            <v>0</v>
          </cell>
          <cell r="CI261">
            <v>520.9711174318478</v>
          </cell>
          <cell r="CJ261">
            <v>599.67869400562631</v>
          </cell>
          <cell r="CL261">
            <v>0</v>
          </cell>
          <cell r="CM261">
            <v>0</v>
          </cell>
          <cell r="CX261">
            <v>205.86192712425873</v>
          </cell>
          <cell r="CY261">
            <v>3189.4115453007962</v>
          </cell>
        </row>
        <row r="262">
          <cell r="I262">
            <v>2435.3227992771217</v>
          </cell>
          <cell r="J262">
            <v>2700.1793323406837</v>
          </cell>
          <cell r="L262">
            <v>475.16003304258925</v>
          </cell>
          <cell r="M262">
            <v>522.92117761709778</v>
          </cell>
          <cell r="O262">
            <v>921.6</v>
          </cell>
          <cell r="P262">
            <v>921.58333333333348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>
            <v>1732.8550417264596</v>
          </cell>
          <cell r="Y262">
            <v>1699.3882273456825</v>
          </cell>
          <cell r="AA262">
            <v>0</v>
          </cell>
          <cell r="AB262">
            <v>0</v>
          </cell>
          <cell r="AD262">
            <v>3001.7121265540004</v>
          </cell>
          <cell r="AE262">
            <v>3298.5344588483404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2130.789696510712</v>
          </cell>
          <cell r="AQ262">
            <v>0</v>
          </cell>
          <cell r="AS262">
            <v>8823.0796166398486</v>
          </cell>
          <cell r="AT262">
            <v>5455.5351075463523</v>
          </cell>
          <cell r="AV262">
            <v>390.20101697689392</v>
          </cell>
          <cell r="AW262">
            <v>2623.5444295781217</v>
          </cell>
          <cell r="AY262">
            <v>612.42978423362774</v>
          </cell>
          <cell r="AZ262">
            <v>0</v>
          </cell>
          <cell r="BB262">
            <v>498.54465057686645</v>
          </cell>
          <cell r="BC262">
            <v>0</v>
          </cell>
          <cell r="BE262">
            <v>0</v>
          </cell>
          <cell r="BF262">
            <v>0</v>
          </cell>
          <cell r="BH262">
            <v>0</v>
          </cell>
          <cell r="BI262">
            <v>0</v>
          </cell>
          <cell r="BK262">
            <v>242.89648827755306</v>
          </cell>
          <cell r="BL262">
            <v>0</v>
          </cell>
          <cell r="BN262">
            <v>0</v>
          </cell>
          <cell r="BO262">
            <v>0</v>
          </cell>
          <cell r="BT262">
            <v>5446.3230803184488</v>
          </cell>
          <cell r="BU262">
            <v>5473.4611563855342</v>
          </cell>
          <cell r="BW262">
            <v>3565.4750207439934</v>
          </cell>
          <cell r="BX262">
            <v>4223.4997105879484</v>
          </cell>
          <cell r="BZ262">
            <v>2263.10734108937</v>
          </cell>
          <cell r="CA262">
            <v>5275.2577349098938</v>
          </cell>
          <cell r="CC262">
            <v>128.78102977269552</v>
          </cell>
          <cell r="CD262">
            <v>130.20126023327126</v>
          </cell>
          <cell r="CF262">
            <v>15.853725256108348</v>
          </cell>
          <cell r="CG262">
            <v>0</v>
          </cell>
          <cell r="CI262">
            <v>692.54843155610899</v>
          </cell>
          <cell r="CJ262">
            <v>582.31664569327518</v>
          </cell>
          <cell r="CL262">
            <v>0</v>
          </cell>
          <cell r="CM262">
            <v>0</v>
          </cell>
          <cell r="CX262">
            <v>1.1641409371295595</v>
          </cell>
          <cell r="CY262">
            <v>565.47291069656058</v>
          </cell>
        </row>
        <row r="263">
          <cell r="I263">
            <v>2009.5059052545041</v>
          </cell>
          <cell r="J263">
            <v>2221.114962812268</v>
          </cell>
          <cell r="L263">
            <v>380.52254474762248</v>
          </cell>
          <cell r="M263">
            <v>418.77112677670232</v>
          </cell>
          <cell r="O263">
            <v>693.02</v>
          </cell>
          <cell r="P263">
            <v>693.01666666666665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X263">
            <v>1241.9147834079502</v>
          </cell>
          <cell r="Y263">
            <v>1202.0185140102999</v>
          </cell>
          <cell r="AA263">
            <v>0</v>
          </cell>
          <cell r="AB263">
            <v>0</v>
          </cell>
          <cell r="AD263">
            <v>2283.0089832954022</v>
          </cell>
          <cell r="AE263">
            <v>2508.9474790746335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1894.0352857872995</v>
          </cell>
          <cell r="AQ263">
            <v>0</v>
          </cell>
          <cell r="AS263">
            <v>6667.8872003906527</v>
          </cell>
          <cell r="AT263">
            <v>0</v>
          </cell>
          <cell r="AV263">
            <v>317.84533244161025</v>
          </cell>
          <cell r="AW263">
            <v>0</v>
          </cell>
          <cell r="AY263">
            <v>490.42556714245251</v>
          </cell>
          <cell r="AZ263">
            <v>0</v>
          </cell>
          <cell r="BB263">
            <v>435.35818498390751</v>
          </cell>
          <cell r="BC263">
            <v>0</v>
          </cell>
          <cell r="BE263">
            <v>0</v>
          </cell>
          <cell r="BF263">
            <v>0</v>
          </cell>
          <cell r="BH263">
            <v>0</v>
          </cell>
          <cell r="BI263">
            <v>0</v>
          </cell>
          <cell r="BK263">
            <v>174.41860241614506</v>
          </cell>
          <cell r="BL263">
            <v>0</v>
          </cell>
          <cell r="BN263">
            <v>0</v>
          </cell>
          <cell r="BO263">
            <v>0</v>
          </cell>
          <cell r="BT263">
            <v>5498.9202187760247</v>
          </cell>
          <cell r="BU263">
            <v>5080.6617952939405</v>
          </cell>
          <cell r="BW263">
            <v>2916.7450961684772</v>
          </cell>
          <cell r="BX263">
            <v>3566.0622378980479</v>
          </cell>
          <cell r="BZ263">
            <v>1705.338474807229</v>
          </cell>
          <cell r="CA263">
            <v>4900.170175432987</v>
          </cell>
          <cell r="CC263">
            <v>346.58617453100771</v>
          </cell>
          <cell r="CD263">
            <v>350.40841638722026</v>
          </cell>
          <cell r="CF263">
            <v>42.666858607036936</v>
          </cell>
          <cell r="CG263">
            <v>0</v>
          </cell>
          <cell r="CI263">
            <v>467.93812942980344</v>
          </cell>
          <cell r="CJ263">
            <v>468.34252359329207</v>
          </cell>
          <cell r="CL263">
            <v>0</v>
          </cell>
          <cell r="CM263">
            <v>0</v>
          </cell>
          <cell r="CX263">
            <v>-1.3048106245478266</v>
          </cell>
          <cell r="CY263">
            <v>7386.643322464728</v>
          </cell>
        </row>
        <row r="264">
          <cell r="I264">
            <v>832.7926803702386</v>
          </cell>
          <cell r="J264">
            <v>927.17966736883966</v>
          </cell>
          <cell r="L264">
            <v>148.29313894513984</v>
          </cell>
          <cell r="M264">
            <v>163.19916773166716</v>
          </cell>
          <cell r="O264">
            <v>385.62</v>
          </cell>
          <cell r="P264">
            <v>385.61666666666667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X264">
            <v>470.0163864930384</v>
          </cell>
          <cell r="Y264">
            <v>436.03147907403172</v>
          </cell>
          <cell r="AA264">
            <v>0</v>
          </cell>
          <cell r="AB264">
            <v>0</v>
          </cell>
          <cell r="AD264">
            <v>1145.3527400275848</v>
          </cell>
          <cell r="AE264">
            <v>1224.0869365069461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639.23690895321363</v>
          </cell>
          <cell r="AQ264">
            <v>0</v>
          </cell>
          <cell r="AS264">
            <v>2316.5467020425285</v>
          </cell>
          <cell r="AT264">
            <v>779.05775634060751</v>
          </cell>
          <cell r="AV264">
            <v>137.88486578757917</v>
          </cell>
          <cell r="AW264">
            <v>0</v>
          </cell>
          <cell r="AY264">
            <v>191.12025839548414</v>
          </cell>
          <cell r="AZ264">
            <v>0</v>
          </cell>
          <cell r="BB264">
            <v>164.78563296374301</v>
          </cell>
          <cell r="BC264">
            <v>0</v>
          </cell>
          <cell r="BE264">
            <v>0</v>
          </cell>
          <cell r="BF264">
            <v>0</v>
          </cell>
          <cell r="BH264">
            <v>0</v>
          </cell>
          <cell r="BI264">
            <v>1255.0218409575091</v>
          </cell>
          <cell r="BK264">
            <v>56.288526279835082</v>
          </cell>
          <cell r="BL264">
            <v>0</v>
          </cell>
          <cell r="BN264">
            <v>0</v>
          </cell>
          <cell r="BO264">
            <v>0</v>
          </cell>
          <cell r="BT264">
            <v>909.73922671289483</v>
          </cell>
          <cell r="BU264">
            <v>1146.7885456192998</v>
          </cell>
          <cell r="BW264">
            <v>1866.8021391367986</v>
          </cell>
          <cell r="BX264">
            <v>2200.3322856881023</v>
          </cell>
          <cell r="BZ264">
            <v>580.75627757828238</v>
          </cell>
          <cell r="CA264">
            <v>1172.2766261037186</v>
          </cell>
          <cell r="CC264">
            <v>244.96338247969527</v>
          </cell>
          <cell r="CD264">
            <v>247.66490193591795</v>
          </cell>
          <cell r="CF264">
            <v>30.15647700981097</v>
          </cell>
          <cell r="CG264">
            <v>0</v>
          </cell>
          <cell r="CI264">
            <v>140.38143882894101</v>
          </cell>
          <cell r="CJ264">
            <v>210.62645457042322</v>
          </cell>
          <cell r="CL264">
            <v>0</v>
          </cell>
          <cell r="CM264">
            <v>0</v>
          </cell>
          <cell r="CX264">
            <v>23.935861594232847</v>
          </cell>
          <cell r="CY264">
            <v>159.36120572352502</v>
          </cell>
        </row>
        <row r="265">
          <cell r="I265">
            <v>1928.3163278998504</v>
          </cell>
          <cell r="J265">
            <v>2419.6685037138577</v>
          </cell>
          <cell r="L265">
            <v>382.93870188124436</v>
          </cell>
          <cell r="M265">
            <v>489.1121161495426</v>
          </cell>
          <cell r="O265">
            <v>863.78</v>
          </cell>
          <cell r="P265">
            <v>863.88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X265">
            <v>1330.9268406679189</v>
          </cell>
          <cell r="Y265">
            <v>1545.0368155278557</v>
          </cell>
          <cell r="AA265">
            <v>0</v>
          </cell>
          <cell r="AB265">
            <v>0</v>
          </cell>
          <cell r="AD265">
            <v>2643.8464063824895</v>
          </cell>
          <cell r="AE265">
            <v>2905.8868411342501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1562.5791107745222</v>
          </cell>
          <cell r="AQ265">
            <v>4173.4157061531532</v>
          </cell>
          <cell r="AS265">
            <v>6590.1876472866888</v>
          </cell>
          <cell r="AT265">
            <v>466.34878676889542</v>
          </cell>
          <cell r="AV265">
            <v>315.60276808607239</v>
          </cell>
          <cell r="AW265">
            <v>1105.4626722118337</v>
          </cell>
          <cell r="AY265">
            <v>493.55253641226898</v>
          </cell>
          <cell r="AZ265">
            <v>0</v>
          </cell>
          <cell r="BB265">
            <v>328.5099679824072</v>
          </cell>
          <cell r="BC265">
            <v>0</v>
          </cell>
          <cell r="BE265">
            <v>0</v>
          </cell>
          <cell r="BF265">
            <v>0</v>
          </cell>
          <cell r="BH265">
            <v>0</v>
          </cell>
          <cell r="BI265">
            <v>0</v>
          </cell>
          <cell r="BK265">
            <v>230.25583944896033</v>
          </cell>
          <cell r="BL265">
            <v>0</v>
          </cell>
          <cell r="BN265">
            <v>0</v>
          </cell>
          <cell r="BO265">
            <v>0</v>
          </cell>
          <cell r="BT265">
            <v>4319.1874490223454</v>
          </cell>
          <cell r="BU265">
            <v>2639.6618264754843</v>
          </cell>
          <cell r="BW265">
            <v>2861.2059009833047</v>
          </cell>
          <cell r="BX265">
            <v>1508.6622827179724</v>
          </cell>
          <cell r="BZ265">
            <v>886.00491948582101</v>
          </cell>
          <cell r="CA265">
            <v>2082.0776507053088</v>
          </cell>
          <cell r="CC265">
            <v>208.02523785322933</v>
          </cell>
          <cell r="CD265">
            <v>210.31939390935918</v>
          </cell>
          <cell r="CF265">
            <v>25.609167538749819</v>
          </cell>
          <cell r="CG265">
            <v>0</v>
          </cell>
          <cell r="CI265">
            <v>524.09070496137974</v>
          </cell>
          <cell r="CJ265">
            <v>897.9205637939599</v>
          </cell>
          <cell r="CL265">
            <v>0</v>
          </cell>
          <cell r="CM265">
            <v>0</v>
          </cell>
          <cell r="CX265">
            <v>1532.3365679992967</v>
          </cell>
          <cell r="CY265">
            <v>6556.9362088862326</v>
          </cell>
        </row>
        <row r="266">
          <cell r="I266">
            <v>1383.7525259095701</v>
          </cell>
          <cell r="J266">
            <v>1528.9699452752511</v>
          </cell>
          <cell r="L266">
            <v>285.09639560254317</v>
          </cell>
          <cell r="M266">
            <v>313.75270657025874</v>
          </cell>
          <cell r="O266">
            <v>543.29999999999995</v>
          </cell>
          <cell r="P266">
            <v>543.30000000000007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X266">
            <v>1239.5354138387061</v>
          </cell>
          <cell r="Y266">
            <v>1193.5020229184497</v>
          </cell>
          <cell r="AA266">
            <v>0</v>
          </cell>
          <cell r="AB266">
            <v>0</v>
          </cell>
          <cell r="AD266">
            <v>1935.5264073636886</v>
          </cell>
          <cell r="AE266">
            <v>2154.6436210607226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781.28955538726109</v>
          </cell>
          <cell r="AQ266">
            <v>0</v>
          </cell>
          <cell r="AS266">
            <v>5037.6354411843131</v>
          </cell>
          <cell r="AT266">
            <v>0</v>
          </cell>
          <cell r="AV266">
            <v>248.84834163653545</v>
          </cell>
          <cell r="AW266">
            <v>0</v>
          </cell>
          <cell r="AY266">
            <v>367.47921774916153</v>
          </cell>
          <cell r="AZ266">
            <v>0</v>
          </cell>
          <cell r="BB266">
            <v>237.8926264600704</v>
          </cell>
          <cell r="BC266">
            <v>480.39198214586401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K266">
            <v>169.9247496489308</v>
          </cell>
          <cell r="BL266">
            <v>0</v>
          </cell>
          <cell r="BN266">
            <v>0</v>
          </cell>
          <cell r="BO266">
            <v>0</v>
          </cell>
          <cell r="BT266">
            <v>3289.6468412217719</v>
          </cell>
          <cell r="BU266">
            <v>3699.8513998095514</v>
          </cell>
          <cell r="BW266">
            <v>2473.1689425710824</v>
          </cell>
          <cell r="BX266">
            <v>2891.322154878319</v>
          </cell>
          <cell r="BZ266">
            <v>1780.4120040457667</v>
          </cell>
          <cell r="CA266">
            <v>3679.9037514491592</v>
          </cell>
          <cell r="CC266">
            <v>293.98547222948423</v>
          </cell>
          <cell r="CD266">
            <v>297.22761995391232</v>
          </cell>
          <cell r="CF266">
            <v>36.191393361584232</v>
          </cell>
          <cell r="CG266">
            <v>0</v>
          </cell>
          <cell r="CI266">
            <v>733.10306944002537</v>
          </cell>
          <cell r="CJ266">
            <v>356.81131104675171</v>
          </cell>
          <cell r="CL266">
            <v>0</v>
          </cell>
          <cell r="CM266">
            <v>0</v>
          </cell>
          <cell r="CX266">
            <v>851.55392281941022</v>
          </cell>
          <cell r="CY266">
            <v>5288.0881818701146</v>
          </cell>
        </row>
        <row r="267">
          <cell r="I267">
            <v>322.88297423746343</v>
          </cell>
          <cell r="J267">
            <v>393.15876506868733</v>
          </cell>
          <cell r="L267">
            <v>55.726875880848588</v>
          </cell>
          <cell r="M267">
            <v>71.17793834500749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63.034244557186227</v>
          </cell>
          <cell r="Y267">
            <v>75.018583964899847</v>
          </cell>
          <cell r="AA267">
            <v>0</v>
          </cell>
          <cell r="AB267">
            <v>0</v>
          </cell>
          <cell r="AD267">
            <v>214.29042367240837</v>
          </cell>
          <cell r="AE267">
            <v>234.87119146412869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157.83627381560828</v>
          </cell>
          <cell r="AQ267">
            <v>0</v>
          </cell>
          <cell r="AS267">
            <v>585.00448907763837</v>
          </cell>
          <cell r="AT267">
            <v>0</v>
          </cell>
          <cell r="AV267">
            <v>62.42080348743935</v>
          </cell>
          <cell r="AW267">
            <v>0</v>
          </cell>
          <cell r="AY267">
            <v>71.825475826829646</v>
          </cell>
          <cell r="AZ267">
            <v>0</v>
          </cell>
          <cell r="BB267">
            <v>0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9.8614351170038965</v>
          </cell>
          <cell r="BL267">
            <v>0</v>
          </cell>
          <cell r="BN267">
            <v>0</v>
          </cell>
          <cell r="BO267">
            <v>0</v>
          </cell>
          <cell r="BT267">
            <v>631.57591838490885</v>
          </cell>
          <cell r="BU267">
            <v>390.1373208222152</v>
          </cell>
          <cell r="BW267">
            <v>365.5818688913136</v>
          </cell>
          <cell r="BX267">
            <v>181.76806784635312</v>
          </cell>
          <cell r="BZ267">
            <v>62.957674087613753</v>
          </cell>
          <cell r="CA267">
            <v>370.58983232336107</v>
          </cell>
          <cell r="CC267">
            <v>0</v>
          </cell>
          <cell r="CD267">
            <v>0</v>
          </cell>
          <cell r="CF267">
            <v>0</v>
          </cell>
          <cell r="CG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X267">
            <v>71.921851556485308</v>
          </cell>
          <cell r="CY267">
            <v>1135.453960198417</v>
          </cell>
        </row>
        <row r="268">
          <cell r="I268">
            <v>1027.9168494282924</v>
          </cell>
          <cell r="J268">
            <v>1142.8721417325407</v>
          </cell>
          <cell r="L268">
            <v>194.40384537113721</v>
          </cell>
          <cell r="M268">
            <v>213.94450256010376</v>
          </cell>
          <cell r="O268">
            <v>456.46</v>
          </cell>
          <cell r="P268">
            <v>456.4666666666667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X268">
            <v>546.22935805347265</v>
          </cell>
          <cell r="Y268">
            <v>516.88029809332841</v>
          </cell>
          <cell r="AA268">
            <v>0</v>
          </cell>
          <cell r="AB268">
            <v>0</v>
          </cell>
          <cell r="AD268">
            <v>1390.2153591624019</v>
          </cell>
          <cell r="AE268">
            <v>1527.7983338053425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899.66676074896725</v>
          </cell>
          <cell r="AQ268">
            <v>0</v>
          </cell>
          <cell r="AS268">
            <v>2271.9955234672261</v>
          </cell>
          <cell r="AT268">
            <v>0</v>
          </cell>
          <cell r="AV268">
            <v>169.7904243905044</v>
          </cell>
          <cell r="AW268">
            <v>0</v>
          </cell>
          <cell r="AY268">
            <v>250.58315269130659</v>
          </cell>
          <cell r="AZ268">
            <v>0</v>
          </cell>
          <cell r="BB268">
            <v>248.87608838806503</v>
          </cell>
          <cell r="BC268">
            <v>0</v>
          </cell>
          <cell r="BE268">
            <v>0</v>
          </cell>
          <cell r="BF268">
            <v>0</v>
          </cell>
          <cell r="BH268">
            <v>0</v>
          </cell>
          <cell r="BI268">
            <v>0</v>
          </cell>
          <cell r="BK268">
            <v>69.694336541971353</v>
          </cell>
          <cell r="BL268">
            <v>0</v>
          </cell>
          <cell r="BN268">
            <v>0</v>
          </cell>
          <cell r="BO268">
            <v>0</v>
          </cell>
          <cell r="BT268">
            <v>3503.2805051570626</v>
          </cell>
          <cell r="BU268">
            <v>3271.3002691298907</v>
          </cell>
          <cell r="BW268">
            <v>1509.1538510472581</v>
          </cell>
          <cell r="BX268">
            <v>1805.5825400730905</v>
          </cell>
          <cell r="BZ268">
            <v>1131.8905631511575</v>
          </cell>
          <cell r="CA268">
            <v>3182.9157633647992</v>
          </cell>
          <cell r="CC268">
            <v>138.73251399190266</v>
          </cell>
          <cell r="CD268">
            <v>140.2624919909241</v>
          </cell>
          <cell r="CF268">
            <v>17.078813275518321</v>
          </cell>
          <cell r="CG268">
            <v>0</v>
          </cell>
          <cell r="CI268">
            <v>1182.3236736926367</v>
          </cell>
          <cell r="CJ268">
            <v>488.12735211768199</v>
          </cell>
          <cell r="CL268">
            <v>0</v>
          </cell>
          <cell r="CM268">
            <v>0</v>
          </cell>
          <cell r="CX268">
            <v>360.19005772934179</v>
          </cell>
          <cell r="CY268">
            <v>3074.7595685587567</v>
          </cell>
        </row>
        <row r="269">
          <cell r="I269">
            <v>2435.3227992771217</v>
          </cell>
          <cell r="J269">
            <v>2704.8532788048196</v>
          </cell>
          <cell r="L269">
            <v>475.70255903397566</v>
          </cell>
          <cell r="M269">
            <v>523.51818155625585</v>
          </cell>
          <cell r="O269">
            <v>960.84</v>
          </cell>
          <cell r="P269">
            <v>960.85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>
            <v>1687.3388704359256</v>
          </cell>
          <cell r="Y269">
            <v>1655.1293115237809</v>
          </cell>
          <cell r="AA269">
            <v>0</v>
          </cell>
          <cell r="AB269">
            <v>0</v>
          </cell>
          <cell r="AD269">
            <v>3150.3614098058383</v>
          </cell>
          <cell r="AE269">
            <v>3566.4552144331296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2107.1142554383709</v>
          </cell>
          <cell r="AQ269">
            <v>0</v>
          </cell>
          <cell r="AS269">
            <v>7936.3886563973701</v>
          </cell>
          <cell r="AT269">
            <v>0</v>
          </cell>
          <cell r="AV269">
            <v>390.20101697689392</v>
          </cell>
          <cell r="AW269">
            <v>978.53170462048797</v>
          </cell>
          <cell r="AY269">
            <v>613.10965860365957</v>
          </cell>
          <cell r="AZ269">
            <v>0</v>
          </cell>
          <cell r="BB269">
            <v>465.95764131857197</v>
          </cell>
          <cell r="BC269">
            <v>0</v>
          </cell>
          <cell r="BE269">
            <v>0</v>
          </cell>
          <cell r="BF269">
            <v>0</v>
          </cell>
          <cell r="BH269">
            <v>0</v>
          </cell>
          <cell r="BI269">
            <v>0</v>
          </cell>
          <cell r="BK269">
            <v>242.89646399461824</v>
          </cell>
          <cell r="BL269">
            <v>0</v>
          </cell>
          <cell r="BN269">
            <v>0</v>
          </cell>
          <cell r="BO269">
            <v>0</v>
          </cell>
          <cell r="BT269">
            <v>4895.3771267205602</v>
          </cell>
          <cell r="BU269">
            <v>5096.5076879658</v>
          </cell>
          <cell r="BW269">
            <v>3593.4220142755858</v>
          </cell>
          <cell r="BX269">
            <v>4271.7400066111377</v>
          </cell>
          <cell r="BZ269">
            <v>2086.1996741236608</v>
          </cell>
          <cell r="CA269">
            <v>4986.033023563321</v>
          </cell>
          <cell r="CC269">
            <v>337.90926464529508</v>
          </cell>
          <cell r="CD269">
            <v>341.63581529803525</v>
          </cell>
          <cell r="CF269">
            <v>41.598678412773069</v>
          </cell>
          <cell r="CG269">
            <v>0</v>
          </cell>
          <cell r="CI269">
            <v>979.55048427305508</v>
          </cell>
          <cell r="CJ269">
            <v>778.084349529002</v>
          </cell>
          <cell r="CL269">
            <v>0</v>
          </cell>
          <cell r="CM269">
            <v>0</v>
          </cell>
          <cell r="CX269">
            <v>2636.5713115200633</v>
          </cell>
          <cell r="CY269">
            <v>10479.713711313081</v>
          </cell>
        </row>
        <row r="270">
          <cell r="I270">
            <v>1391.3736070871398</v>
          </cell>
          <cell r="J270">
            <v>1545.1208975482477</v>
          </cell>
          <cell r="L270">
            <v>256.24576328109225</v>
          </cell>
          <cell r="M270">
            <v>282.00295162412459</v>
          </cell>
          <cell r="O270">
            <v>581.58000000000004</v>
          </cell>
          <cell r="P270">
            <v>581.74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801.1580031402101</v>
          </cell>
          <cell r="Y270">
            <v>777.70221908660778</v>
          </cell>
          <cell r="AA270">
            <v>0</v>
          </cell>
          <cell r="AB270">
            <v>0</v>
          </cell>
          <cell r="AD270">
            <v>1812.3397008920804</v>
          </cell>
          <cell r="AE270">
            <v>1991.6983056354925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1089.0702893276973</v>
          </cell>
          <cell r="AQ270">
            <v>3156.7068065687367</v>
          </cell>
          <cell r="AS270">
            <v>6146.015088983142</v>
          </cell>
          <cell r="AT270">
            <v>587.15857646757991</v>
          </cell>
          <cell r="AV270">
            <v>234.32748203760042</v>
          </cell>
          <cell r="AW270">
            <v>503.99848642048795</v>
          </cell>
          <cell r="AY270">
            <v>330.23603295962948</v>
          </cell>
          <cell r="AZ270">
            <v>0</v>
          </cell>
          <cell r="BB270">
            <v>294.64577629970915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K270">
            <v>110.74602375906008</v>
          </cell>
          <cell r="BL270">
            <v>0</v>
          </cell>
          <cell r="BN270">
            <v>0</v>
          </cell>
          <cell r="BO270">
            <v>0</v>
          </cell>
          <cell r="BT270">
            <v>3189.5300164076129</v>
          </cell>
          <cell r="BU270">
            <v>3315.7132671740183</v>
          </cell>
          <cell r="BW270">
            <v>1598.8032824644117</v>
          </cell>
          <cell r="BX270">
            <v>1717.89471903308</v>
          </cell>
          <cell r="BZ270">
            <v>1812.1306016169046</v>
          </cell>
          <cell r="CA270">
            <v>2941.2475745469119</v>
          </cell>
          <cell r="CC270">
            <v>0</v>
          </cell>
          <cell r="CD270">
            <v>0</v>
          </cell>
          <cell r="CF270">
            <v>0</v>
          </cell>
          <cell r="CG270">
            <v>0</v>
          </cell>
          <cell r="CI270">
            <v>1035.7030598046313</v>
          </cell>
          <cell r="CJ270">
            <v>768.22212927891292</v>
          </cell>
          <cell r="CL270">
            <v>0</v>
          </cell>
          <cell r="CM270">
            <v>0</v>
          </cell>
          <cell r="CX270">
            <v>1129.2343263268922</v>
          </cell>
          <cell r="CY270">
            <v>4146.8728799389555</v>
          </cell>
        </row>
        <row r="271">
          <cell r="I271">
            <v>1675.5350396727472</v>
          </cell>
          <cell r="J271">
            <v>1863.4025399427985</v>
          </cell>
          <cell r="L271">
            <v>329.38184827529136</v>
          </cell>
          <cell r="M271">
            <v>362.48993723970909</v>
          </cell>
          <cell r="O271">
            <v>608.5</v>
          </cell>
          <cell r="P271">
            <v>608.32000000000005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X271">
            <v>1075.6045586748592</v>
          </cell>
          <cell r="Y271">
            <v>1039.129760904656</v>
          </cell>
          <cell r="AA271">
            <v>0</v>
          </cell>
          <cell r="AB271">
            <v>0</v>
          </cell>
          <cell r="AD271">
            <v>2137.0320947518171</v>
          </cell>
          <cell r="AE271">
            <v>2350.0119685853697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P271">
            <v>1515.2282286298396</v>
          </cell>
          <cell r="AQ271">
            <v>0</v>
          </cell>
          <cell r="AS271">
            <v>5643.5687996202159</v>
          </cell>
          <cell r="AT271">
            <v>58.580582563211053</v>
          </cell>
          <cell r="AV271">
            <v>268.60745020669066</v>
          </cell>
          <cell r="AW271">
            <v>0</v>
          </cell>
          <cell r="AY271">
            <v>424.54339453418447</v>
          </cell>
          <cell r="AZ271">
            <v>0</v>
          </cell>
          <cell r="BB271">
            <v>279.86139543396388</v>
          </cell>
          <cell r="BC271">
            <v>0</v>
          </cell>
          <cell r="BE271">
            <v>0</v>
          </cell>
          <cell r="BF271">
            <v>0</v>
          </cell>
          <cell r="BH271">
            <v>0</v>
          </cell>
          <cell r="BI271">
            <v>0</v>
          </cell>
          <cell r="BK271">
            <v>152.85067587953245</v>
          </cell>
          <cell r="BL271">
            <v>0</v>
          </cell>
          <cell r="BN271">
            <v>0</v>
          </cell>
          <cell r="BO271">
            <v>0</v>
          </cell>
          <cell r="BT271">
            <v>3541.1002959785565</v>
          </cell>
          <cell r="BU271">
            <v>3535.9336357706902</v>
          </cell>
          <cell r="BW271">
            <v>2098.507205764322</v>
          </cell>
          <cell r="BX271">
            <v>2123.9884562601274</v>
          </cell>
          <cell r="BZ271">
            <v>1767.0238283958488</v>
          </cell>
          <cell r="CA271">
            <v>3128.282732170997</v>
          </cell>
          <cell r="CC271">
            <v>0</v>
          </cell>
          <cell r="CD271">
            <v>0</v>
          </cell>
          <cell r="CF271">
            <v>0</v>
          </cell>
          <cell r="CG271">
            <v>0</v>
          </cell>
          <cell r="CI271">
            <v>651.99379367219262</v>
          </cell>
          <cell r="CJ271">
            <v>867.49853537543095</v>
          </cell>
          <cell r="CL271">
            <v>0</v>
          </cell>
          <cell r="CM271">
            <v>0</v>
          </cell>
          <cell r="CX271">
            <v>1211.1936686119225</v>
          </cell>
          <cell r="CY271">
            <v>8689.234221424409</v>
          </cell>
        </row>
        <row r="272">
          <cell r="I272">
            <v>1527.9701902401994</v>
          </cell>
          <cell r="J272">
            <v>1692.478089272684</v>
          </cell>
          <cell r="L272">
            <v>257.97213829947151</v>
          </cell>
          <cell r="M272">
            <v>283.90250961235483</v>
          </cell>
          <cell r="O272">
            <v>591.82000000000005</v>
          </cell>
          <cell r="P272">
            <v>591.88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X272">
            <v>865.48589964102246</v>
          </cell>
          <cell r="Y272">
            <v>830.2571364785706</v>
          </cell>
          <cell r="AA272">
            <v>0</v>
          </cell>
          <cell r="AB272">
            <v>0</v>
          </cell>
          <cell r="AD272">
            <v>1855.7108854105468</v>
          </cell>
          <cell r="AE272">
            <v>2048.9163424756698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P272">
            <v>1396.8510232681333</v>
          </cell>
          <cell r="AQ272">
            <v>0</v>
          </cell>
          <cell r="AS272">
            <v>6453.5226305070473</v>
          </cell>
          <cell r="AT272">
            <v>80.784885331457332</v>
          </cell>
          <cell r="AV272">
            <v>244.26238760946541</v>
          </cell>
          <cell r="AW272">
            <v>0</v>
          </cell>
          <cell r="AY272">
            <v>332.47939196456838</v>
          </cell>
          <cell r="AZ272">
            <v>0</v>
          </cell>
          <cell r="BB272">
            <v>328.85794079324251</v>
          </cell>
          <cell r="BC272">
            <v>0</v>
          </cell>
          <cell r="BE272">
            <v>0</v>
          </cell>
          <cell r="BF272">
            <v>0</v>
          </cell>
          <cell r="BH272">
            <v>0</v>
          </cell>
          <cell r="BI272">
            <v>0</v>
          </cell>
          <cell r="BK272">
            <v>117.73258216618191</v>
          </cell>
          <cell r="BL272">
            <v>0</v>
          </cell>
          <cell r="BN272">
            <v>0</v>
          </cell>
          <cell r="BO272">
            <v>0</v>
          </cell>
          <cell r="BT272">
            <v>5030.6533181889426</v>
          </cell>
          <cell r="BU272">
            <v>4871.1547800639619</v>
          </cell>
          <cell r="BW272">
            <v>2309.3059932151023</v>
          </cell>
          <cell r="BX272">
            <v>2351.7544704660827</v>
          </cell>
          <cell r="BZ272">
            <v>2452.0398704679046</v>
          </cell>
          <cell r="CA272">
            <v>4202.6436916329149</v>
          </cell>
          <cell r="CC272">
            <v>227.31543016977125</v>
          </cell>
          <cell r="CD272">
            <v>229.82232344943998</v>
          </cell>
          <cell r="CF272">
            <v>27.983907123172603</v>
          </cell>
          <cell r="CG272">
            <v>0</v>
          </cell>
          <cell r="CI272">
            <v>461.69895437073933</v>
          </cell>
          <cell r="CJ272">
            <v>247.81359008997191</v>
          </cell>
          <cell r="CL272">
            <v>0</v>
          </cell>
          <cell r="CM272">
            <v>0</v>
          </cell>
          <cell r="CX272">
            <v>436.04494787738804</v>
          </cell>
          <cell r="CY272">
            <v>8896.3506173522746</v>
          </cell>
        </row>
        <row r="273">
          <cell r="I273">
            <v>996.60073422847427</v>
          </cell>
          <cell r="J273">
            <v>1134.9756480332126</v>
          </cell>
          <cell r="L273">
            <v>193.86131937975091</v>
          </cell>
          <cell r="M273">
            <v>213.34749862094569</v>
          </cell>
          <cell r="O273">
            <v>695.34</v>
          </cell>
          <cell r="P273">
            <v>695.26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>
            <v>831.23592650068872</v>
          </cell>
          <cell r="Y273">
            <v>807.16281910012083</v>
          </cell>
          <cell r="AA273">
            <v>0</v>
          </cell>
          <cell r="AB273">
            <v>0</v>
          </cell>
          <cell r="AD273">
            <v>1981.7766517811788</v>
          </cell>
          <cell r="AE273">
            <v>2311.7465253878463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205.18715596029077</v>
          </cell>
          <cell r="AQ273">
            <v>0</v>
          </cell>
          <cell r="AS273">
            <v>4542.4450879451815</v>
          </cell>
          <cell r="AT273">
            <v>645.876931670555</v>
          </cell>
          <cell r="AV273">
            <v>179.91919703832136</v>
          </cell>
          <cell r="AW273">
            <v>0</v>
          </cell>
          <cell r="AY273">
            <v>249.85481924163975</v>
          </cell>
          <cell r="AZ273">
            <v>0</v>
          </cell>
          <cell r="BB273">
            <v>320.43261331890704</v>
          </cell>
          <cell r="BC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K273">
            <v>115.28343760292933</v>
          </cell>
          <cell r="BL273">
            <v>0</v>
          </cell>
          <cell r="BN273">
            <v>0</v>
          </cell>
          <cell r="BO273">
            <v>0</v>
          </cell>
          <cell r="BT273">
            <v>5394.9118923447586</v>
          </cell>
          <cell r="BU273">
            <v>5499.4897649105778</v>
          </cell>
          <cell r="BW273">
            <v>1996.0607229594841</v>
          </cell>
          <cell r="BX273">
            <v>2048.8569769566798</v>
          </cell>
          <cell r="BZ273">
            <v>2762.4250228050273</v>
          </cell>
          <cell r="CA273">
            <v>4748.6227821592583</v>
          </cell>
          <cell r="CC273">
            <v>0</v>
          </cell>
          <cell r="CD273">
            <v>0</v>
          </cell>
          <cell r="CF273">
            <v>0</v>
          </cell>
          <cell r="CG273">
            <v>0</v>
          </cell>
          <cell r="CI273">
            <v>973.31130921399097</v>
          </cell>
          <cell r="CJ273">
            <v>941.84261240242245</v>
          </cell>
          <cell r="CL273">
            <v>0</v>
          </cell>
          <cell r="CM273">
            <v>0</v>
          </cell>
          <cell r="CX273">
            <v>1435.5449316152517</v>
          </cell>
          <cell r="CY273">
            <v>4305.3021289100561</v>
          </cell>
        </row>
        <row r="274">
          <cell r="I274">
            <v>1527.9701902401994</v>
          </cell>
          <cell r="J274">
            <v>1692.3681684480975</v>
          </cell>
          <cell r="L274">
            <v>257.97213829947151</v>
          </cell>
          <cell r="M274">
            <v>283.90250961235483</v>
          </cell>
          <cell r="O274">
            <v>591.1</v>
          </cell>
          <cell r="P274">
            <v>590.91999999999996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>
            <v>851.86913729745174</v>
          </cell>
          <cell r="Y274">
            <v>823.17426398305076</v>
          </cell>
          <cell r="AA274">
            <v>0</v>
          </cell>
          <cell r="AB274">
            <v>0</v>
          </cell>
          <cell r="AD274">
            <v>1849.6677101769517</v>
          </cell>
          <cell r="AE274">
            <v>2032.7204897264933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1420.5264643404746</v>
          </cell>
          <cell r="AQ274">
            <v>0</v>
          </cell>
          <cell r="AS274">
            <v>6643.8248808251838</v>
          </cell>
          <cell r="AT274">
            <v>127841.56001727842</v>
          </cell>
          <cell r="AV274">
            <v>244.26238760946541</v>
          </cell>
          <cell r="AW274">
            <v>0</v>
          </cell>
          <cell r="AY274">
            <v>332.47939196456838</v>
          </cell>
          <cell r="AZ274">
            <v>0</v>
          </cell>
          <cell r="BB274">
            <v>328.55404111072403</v>
          </cell>
          <cell r="BC274">
            <v>0</v>
          </cell>
          <cell r="BE274">
            <v>0</v>
          </cell>
          <cell r="BF274">
            <v>0</v>
          </cell>
          <cell r="BH274">
            <v>0</v>
          </cell>
          <cell r="BI274">
            <v>0</v>
          </cell>
          <cell r="BK274">
            <v>117.7325992495455</v>
          </cell>
          <cell r="BL274">
            <v>6865.929256077703</v>
          </cell>
          <cell r="BN274">
            <v>0</v>
          </cell>
          <cell r="BO274">
            <v>0</v>
          </cell>
          <cell r="BT274">
            <v>4013.7361343205798</v>
          </cell>
          <cell r="BU274">
            <v>4321.2481340121776</v>
          </cell>
          <cell r="BW274">
            <v>2355.6251779567428</v>
          </cell>
          <cell r="BX274">
            <v>2837.6727226431171</v>
          </cell>
          <cell r="BZ274">
            <v>2128.3855567122505</v>
          </cell>
          <cell r="CA274">
            <v>4158.4425384307815</v>
          </cell>
          <cell r="CC274">
            <v>274.46487609111824</v>
          </cell>
          <cell r="CD274">
            <v>277.49174563914698</v>
          </cell>
          <cell r="CF274">
            <v>33.788289670308124</v>
          </cell>
          <cell r="CG274">
            <v>0</v>
          </cell>
          <cell r="CI274">
            <v>745.58141955815336</v>
          </cell>
          <cell r="CJ274">
            <v>552.55888554107469</v>
          </cell>
          <cell r="CL274">
            <v>0</v>
          </cell>
          <cell r="CM274">
            <v>0</v>
          </cell>
          <cell r="CX274">
            <v>568.1915254921696</v>
          </cell>
          <cell r="CY274">
            <v>-153704.34647767089</v>
          </cell>
        </row>
        <row r="275">
          <cell r="I275">
            <v>163.84144553351629</v>
          </cell>
          <cell r="J275">
            <v>208.10440490299706</v>
          </cell>
          <cell r="L275">
            <v>56.910806598491305</v>
          </cell>
          <cell r="M275">
            <v>72.689682168264284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95.007403249296928</v>
          </cell>
          <cell r="Y275">
            <v>112.52014818841366</v>
          </cell>
          <cell r="AA275">
            <v>0</v>
          </cell>
          <cell r="AB275">
            <v>0</v>
          </cell>
          <cell r="AD275">
            <v>266.02798522417709</v>
          </cell>
          <cell r="AE275">
            <v>292.35550441333521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63.134509526243313</v>
          </cell>
          <cell r="AQ275">
            <v>0</v>
          </cell>
          <cell r="AS275">
            <v>788.01840163412226</v>
          </cell>
          <cell r="AT275">
            <v>0</v>
          </cell>
          <cell r="AV275">
            <v>61.456808197748892</v>
          </cell>
          <cell r="AW275">
            <v>0</v>
          </cell>
          <cell r="AY275">
            <v>73.340501382101692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23.056621496874509</v>
          </cell>
          <cell r="BL275">
            <v>0</v>
          </cell>
          <cell r="BN275">
            <v>0</v>
          </cell>
          <cell r="BO275">
            <v>0</v>
          </cell>
          <cell r="BT275">
            <v>526.64910919947442</v>
          </cell>
          <cell r="BU275">
            <v>550.88922153416365</v>
          </cell>
          <cell r="BW275">
            <v>424.17744144478115</v>
          </cell>
          <cell r="BX275">
            <v>206.69633955375542</v>
          </cell>
          <cell r="BZ275">
            <v>228.90279217000659</v>
          </cell>
          <cell r="CA275">
            <v>397.60154504394677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155.97937647660115</v>
          </cell>
          <cell r="CJ275">
            <v>101.6186689429414</v>
          </cell>
          <cell r="CL275">
            <v>0</v>
          </cell>
          <cell r="CM275">
            <v>0</v>
          </cell>
          <cell r="CX275">
            <v>64.176157439877443</v>
          </cell>
          <cell r="CY275">
            <v>1245.0093823026191</v>
          </cell>
        </row>
        <row r="276">
          <cell r="I276">
            <v>1766.5345354470705</v>
          </cell>
          <cell r="J276">
            <v>1964.0505964928409</v>
          </cell>
          <cell r="L276">
            <v>366.66488271525043</v>
          </cell>
          <cell r="M276">
            <v>403.52038978548222</v>
          </cell>
          <cell r="O276">
            <v>638.74</v>
          </cell>
          <cell r="P276">
            <v>638.94000000000005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X276">
            <v>1104.3597692297192</v>
          </cell>
          <cell r="Y276">
            <v>1216.6158312522152</v>
          </cell>
          <cell r="AA276">
            <v>0</v>
          </cell>
          <cell r="AB276">
            <v>0</v>
          </cell>
          <cell r="AD276">
            <v>2305.3858349858365</v>
          </cell>
          <cell r="AE276">
            <v>2826.5208973430708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P276">
            <v>1515.2282286298396</v>
          </cell>
          <cell r="AQ276">
            <v>0</v>
          </cell>
          <cell r="AS276">
            <v>5174.5732964202189</v>
          </cell>
          <cell r="AT276">
            <v>13679.407416019551</v>
          </cell>
          <cell r="AV276">
            <v>288.77331075072891</v>
          </cell>
          <cell r="AW276">
            <v>0</v>
          </cell>
          <cell r="AY276">
            <v>472.58567621981564</v>
          </cell>
          <cell r="AZ276">
            <v>0</v>
          </cell>
          <cell r="BB276">
            <v>315.4105094807349</v>
          </cell>
          <cell r="BC276">
            <v>0</v>
          </cell>
          <cell r="BE276">
            <v>0</v>
          </cell>
          <cell r="BF276">
            <v>0</v>
          </cell>
          <cell r="BH276">
            <v>0</v>
          </cell>
          <cell r="BI276">
            <v>0</v>
          </cell>
          <cell r="BK276">
            <v>156.35955570117008</v>
          </cell>
          <cell r="BL276">
            <v>0</v>
          </cell>
          <cell r="BN276">
            <v>0</v>
          </cell>
          <cell r="BO276">
            <v>0</v>
          </cell>
          <cell r="BT276">
            <v>5860.4790640931706</v>
          </cell>
          <cell r="BU276">
            <v>5886.1419838517868</v>
          </cell>
          <cell r="BW276">
            <v>2169.4588307578529</v>
          </cell>
          <cell r="BX276">
            <v>2607.2636345354958</v>
          </cell>
          <cell r="BZ276">
            <v>2290.632727529046</v>
          </cell>
          <cell r="CA276">
            <v>5800.0722997301873</v>
          </cell>
          <cell r="CC276">
            <v>6.1277612187236166</v>
          </cell>
          <cell r="CD276">
            <v>6.1953397522492981</v>
          </cell>
          <cell r="CF276">
            <v>0.75436454397165731</v>
          </cell>
          <cell r="CG276">
            <v>0</v>
          </cell>
          <cell r="CI276">
            <v>1023.2247096865035</v>
          </cell>
          <cell r="CJ276">
            <v>825.85836158918016</v>
          </cell>
          <cell r="CL276">
            <v>0</v>
          </cell>
          <cell r="CM276">
            <v>0</v>
          </cell>
          <cell r="CX276">
            <v>3231.6683311084198</v>
          </cell>
          <cell r="CY276">
            <v>-9247.4841004224654</v>
          </cell>
        </row>
        <row r="277">
          <cell r="I277">
            <v>1550.2639500612102</v>
          </cell>
          <cell r="J277">
            <v>1712.3179076694041</v>
          </cell>
          <cell r="L277">
            <v>250.57445019915215</v>
          </cell>
          <cell r="M277">
            <v>275.76154680565378</v>
          </cell>
          <cell r="O277">
            <v>574.88</v>
          </cell>
          <cell r="P277">
            <v>574.70000000000005</v>
          </cell>
          <cell r="R277">
            <v>148.44</v>
          </cell>
          <cell r="S277">
            <v>148.46</v>
          </cell>
          <cell r="U277">
            <v>0</v>
          </cell>
          <cell r="V277">
            <v>0</v>
          </cell>
          <cell r="X277">
            <v>981.66943278726808</v>
          </cell>
          <cell r="Y277">
            <v>937.57054359506651</v>
          </cell>
          <cell r="AA277">
            <v>0</v>
          </cell>
          <cell r="AB277">
            <v>0</v>
          </cell>
          <cell r="AD277">
            <v>1773.2871062221504</v>
          </cell>
          <cell r="AE277">
            <v>2111.1309721852749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418.26612561136199</v>
          </cell>
          <cell r="AQ277">
            <v>0</v>
          </cell>
          <cell r="AS277">
            <v>4106.8253622593747</v>
          </cell>
          <cell r="AT277">
            <v>3446.3136264271648</v>
          </cell>
          <cell r="AV277">
            <v>251.19340059985063</v>
          </cell>
          <cell r="AW277">
            <v>0</v>
          </cell>
          <cell r="AY277">
            <v>322.9330626916564</v>
          </cell>
          <cell r="AZ277">
            <v>0</v>
          </cell>
          <cell r="BB277">
            <v>309.58538086016767</v>
          </cell>
          <cell r="BC277">
            <v>0</v>
          </cell>
          <cell r="BE277">
            <v>143.16730422382903</v>
          </cell>
          <cell r="BF277">
            <v>0</v>
          </cell>
          <cell r="BH277">
            <v>0</v>
          </cell>
          <cell r="BI277">
            <v>647.41536177161379</v>
          </cell>
          <cell r="BK277">
            <v>133.71803528478662</v>
          </cell>
          <cell r="BL277">
            <v>0</v>
          </cell>
          <cell r="BN277">
            <v>0</v>
          </cell>
          <cell r="BO277">
            <v>0</v>
          </cell>
          <cell r="BT277">
            <v>5255.6928155417563</v>
          </cell>
          <cell r="BU277">
            <v>4669.13034005808</v>
          </cell>
          <cell r="BW277">
            <v>2350.2401647372367</v>
          </cell>
          <cell r="BX277">
            <v>1781.2641279202853</v>
          </cell>
          <cell r="BZ277">
            <v>2928.132112424646</v>
          </cell>
          <cell r="CA277">
            <v>3123.4710989245805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414.90514142775902</v>
          </cell>
          <cell r="CJ277">
            <v>545.22009221004407</v>
          </cell>
          <cell r="CL277">
            <v>0</v>
          </cell>
          <cell r="CM277">
            <v>0</v>
          </cell>
          <cell r="CX277">
            <v>2189.4113860813522</v>
          </cell>
          <cell r="CY277">
            <v>4518.6332589193989</v>
          </cell>
        </row>
        <row r="278">
          <cell r="I278">
            <v>1619.6324311259314</v>
          </cell>
          <cell r="J278">
            <v>1790.1966498830336</v>
          </cell>
          <cell r="L278">
            <v>251.51224605806865</v>
          </cell>
          <cell r="M278">
            <v>276.79273542783591</v>
          </cell>
          <cell r="O278">
            <v>634.66</v>
          </cell>
          <cell r="P278">
            <v>634.84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>
            <v>979.07870868258465</v>
          </cell>
          <cell r="Y278">
            <v>937.06822048639833</v>
          </cell>
          <cell r="AA278">
            <v>0</v>
          </cell>
          <cell r="AB278">
            <v>0</v>
          </cell>
          <cell r="AD278">
            <v>1839.4627255843714</v>
          </cell>
          <cell r="AE278">
            <v>2021.5055665462119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1515.2282286298396</v>
          </cell>
          <cell r="AQ278">
            <v>0</v>
          </cell>
          <cell r="AS278">
            <v>4724.3770727724414</v>
          </cell>
          <cell r="AT278">
            <v>3258.693717689529</v>
          </cell>
          <cell r="AV278">
            <v>255.6979541345664</v>
          </cell>
          <cell r="AW278">
            <v>0</v>
          </cell>
          <cell r="AY278">
            <v>324.18583031484343</v>
          </cell>
          <cell r="AZ278">
            <v>0</v>
          </cell>
          <cell r="BB278">
            <v>286.47761685119247</v>
          </cell>
          <cell r="BC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906.38731658514666</v>
          </cell>
          <cell r="BK278">
            <v>134.07877525191492</v>
          </cell>
          <cell r="BL278">
            <v>0</v>
          </cell>
          <cell r="BN278">
            <v>0</v>
          </cell>
          <cell r="BO278">
            <v>0</v>
          </cell>
          <cell r="BT278">
            <v>5338.3166517972904</v>
          </cell>
          <cell r="BU278">
            <v>5034.6265061371032</v>
          </cell>
          <cell r="BW278">
            <v>2286.965133285707</v>
          </cell>
          <cell r="BX278">
            <v>2692.5510599483523</v>
          </cell>
          <cell r="BZ278">
            <v>1811.9205946474203</v>
          </cell>
          <cell r="CA278">
            <v>4867.3468930975841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739.34224449908925</v>
          </cell>
          <cell r="CJ278">
            <v>793.00348828791016</v>
          </cell>
          <cell r="CL278">
            <v>0</v>
          </cell>
          <cell r="CM278">
            <v>0</v>
          </cell>
          <cell r="CX278">
            <v>423.19654363768859</v>
          </cell>
          <cell r="CY278">
            <v>-143.29458490692559</v>
          </cell>
        </row>
        <row r="279">
          <cell r="I279">
            <v>2900.6167466167371</v>
          </cell>
          <cell r="J279">
            <v>3194.3734837864636</v>
          </cell>
          <cell r="L279">
            <v>616.54955079915999</v>
          </cell>
          <cell r="M279">
            <v>678.52211339584392</v>
          </cell>
          <cell r="O279">
            <v>987.3</v>
          </cell>
          <cell r="P279">
            <v>987.30000000000007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X279">
            <v>3393.3952839029434</v>
          </cell>
          <cell r="Y279">
            <v>3391.5903986846865</v>
          </cell>
          <cell r="AA279">
            <v>0</v>
          </cell>
          <cell r="AB279">
            <v>0</v>
          </cell>
          <cell r="AD279">
            <v>3534.7586646408809</v>
          </cell>
          <cell r="AE279">
            <v>4383.2963371309834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1751.9826393532521</v>
          </cell>
          <cell r="AQ279">
            <v>4461.2374789913019</v>
          </cell>
          <cell r="AS279">
            <v>14230.204542697285</v>
          </cell>
          <cell r="AT279">
            <v>104.143257890153</v>
          </cell>
          <cell r="AV279">
            <v>510.18365466681013</v>
          </cell>
          <cell r="AW279">
            <v>0</v>
          </cell>
          <cell r="AY279">
            <v>794.68358772623048</v>
          </cell>
          <cell r="AZ279">
            <v>0</v>
          </cell>
          <cell r="BB279">
            <v>490.33909690043743</v>
          </cell>
          <cell r="BC279">
            <v>378.07232362048796</v>
          </cell>
          <cell r="BE279">
            <v>0</v>
          </cell>
          <cell r="BF279">
            <v>0</v>
          </cell>
          <cell r="BH279">
            <v>0</v>
          </cell>
          <cell r="BI279">
            <v>0</v>
          </cell>
          <cell r="BK279">
            <v>503.79300843766771</v>
          </cell>
          <cell r="BL279">
            <v>0</v>
          </cell>
          <cell r="BN279">
            <v>0</v>
          </cell>
          <cell r="BO279">
            <v>0</v>
          </cell>
          <cell r="BT279">
            <v>4114.0271250128562</v>
          </cell>
          <cell r="BU279">
            <v>4131.0368402107433</v>
          </cell>
          <cell r="BW279">
            <v>7802.9519615376666</v>
          </cell>
          <cell r="BX279">
            <v>6557.3027507509933</v>
          </cell>
          <cell r="BZ279">
            <v>2008.835275161111</v>
          </cell>
          <cell r="CA279">
            <v>3273.7741737013962</v>
          </cell>
          <cell r="CC279">
            <v>137.26185129940902</v>
          </cell>
          <cell r="CD279">
            <v>138.77561045038428</v>
          </cell>
          <cell r="CF279">
            <v>16.897765784965124</v>
          </cell>
          <cell r="CG279">
            <v>0</v>
          </cell>
          <cell r="CI279">
            <v>770.53811979440957</v>
          </cell>
          <cell r="CJ279">
            <v>1412.5777221956478</v>
          </cell>
          <cell r="CL279">
            <v>0</v>
          </cell>
          <cell r="CM279">
            <v>0</v>
          </cell>
          <cell r="CX279">
            <v>6572.19735080182</v>
          </cell>
          <cell r="CY279">
            <v>20338.977011029099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63.134509526243313</v>
          </cell>
          <cell r="AQ280">
            <v>0</v>
          </cell>
          <cell r="AS280">
            <v>405.04931561218223</v>
          </cell>
          <cell r="AT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B280">
            <v>0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T280">
            <v>31.902681005596676</v>
          </cell>
          <cell r="BU280">
            <v>36.881322329389512</v>
          </cell>
          <cell r="BW280">
            <v>0</v>
          </cell>
          <cell r="BX280">
            <v>0.81853575924546718</v>
          </cell>
          <cell r="BZ280">
            <v>0</v>
          </cell>
          <cell r="CA280">
            <v>34.698482396317097</v>
          </cell>
          <cell r="CC280">
            <v>0</v>
          </cell>
          <cell r="CD280">
            <v>0</v>
          </cell>
          <cell r="CF280">
            <v>0</v>
          </cell>
          <cell r="CG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X280">
            <v>15.016192627173382</v>
          </cell>
          <cell r="CY280">
            <v>528.24199141805752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J281">
            <v>0</v>
          </cell>
          <cell r="AK281">
            <v>0</v>
          </cell>
          <cell r="AM281">
            <v>0</v>
          </cell>
          <cell r="AN281">
            <v>0</v>
          </cell>
          <cell r="AP281">
            <v>94.701764289364974</v>
          </cell>
          <cell r="AQ281">
            <v>0</v>
          </cell>
          <cell r="AS281">
            <v>492.86698204367883</v>
          </cell>
          <cell r="AT281">
            <v>0</v>
          </cell>
          <cell r="AV281">
            <v>0</v>
          </cell>
          <cell r="AW281">
            <v>0</v>
          </cell>
          <cell r="AY281">
            <v>0</v>
          </cell>
          <cell r="AZ281">
            <v>0</v>
          </cell>
          <cell r="BB281">
            <v>0</v>
          </cell>
          <cell r="BC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N281">
            <v>0</v>
          </cell>
          <cell r="BO281">
            <v>0</v>
          </cell>
          <cell r="BT281">
            <v>19.939175628497924</v>
          </cell>
          <cell r="BU281">
            <v>40.564119214131836</v>
          </cell>
          <cell r="BW281">
            <v>0</v>
          </cell>
          <cell r="BX281">
            <v>0.99038349547293414</v>
          </cell>
          <cell r="BZ281">
            <v>0</v>
          </cell>
          <cell r="CA281">
            <v>38.163423037347911</v>
          </cell>
          <cell r="CC281">
            <v>0</v>
          </cell>
          <cell r="CD281">
            <v>0</v>
          </cell>
          <cell r="CF281">
            <v>0</v>
          </cell>
          <cell r="CG281">
            <v>0</v>
          </cell>
          <cell r="CI281">
            <v>0</v>
          </cell>
          <cell r="CJ281">
            <v>0</v>
          </cell>
          <cell r="CL281">
            <v>0</v>
          </cell>
          <cell r="CM281">
            <v>0</v>
          </cell>
          <cell r="CX281">
            <v>18.230493646149966</v>
          </cell>
          <cell r="CY281">
            <v>651.57848910365681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P282">
            <v>78.91813690780414</v>
          </cell>
          <cell r="AQ282">
            <v>0</v>
          </cell>
          <cell r="AS282">
            <v>641.46266254981379</v>
          </cell>
          <cell r="AT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B282">
            <v>0</v>
          </cell>
          <cell r="BC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0</v>
          </cell>
          <cell r="BT282">
            <v>87.732372765390863</v>
          </cell>
          <cell r="BU282">
            <v>88.493832197748318</v>
          </cell>
          <cell r="BW282">
            <v>0</v>
          </cell>
          <cell r="BX282">
            <v>1.3273222828938183</v>
          </cell>
          <cell r="BZ282">
            <v>0</v>
          </cell>
          <cell r="CA282">
            <v>83.256727356757438</v>
          </cell>
          <cell r="CC282">
            <v>0</v>
          </cell>
          <cell r="CD282">
            <v>0</v>
          </cell>
          <cell r="CF282">
            <v>0</v>
          </cell>
          <cell r="CG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X282">
            <v>20.864193332389391</v>
          </cell>
          <cell r="CY282">
            <v>782.90654179512057</v>
          </cell>
        </row>
        <row r="283"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86.809950598584564</v>
          </cell>
          <cell r="AQ283">
            <v>0</v>
          </cell>
          <cell r="AS283">
            <v>488.70442035541703</v>
          </cell>
          <cell r="AT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B283">
            <v>0</v>
          </cell>
          <cell r="BC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0</v>
          </cell>
          <cell r="BL283">
            <v>0</v>
          </cell>
          <cell r="BN283">
            <v>0</v>
          </cell>
          <cell r="BO283">
            <v>0</v>
          </cell>
          <cell r="BT283">
            <v>19.939175628497924</v>
          </cell>
          <cell r="BU283">
            <v>40.564119214131836</v>
          </cell>
          <cell r="BW283">
            <v>0</v>
          </cell>
          <cell r="BX283">
            <v>0.9825685344696955</v>
          </cell>
          <cell r="BZ283">
            <v>0</v>
          </cell>
          <cell r="CA283">
            <v>38.163423037347911</v>
          </cell>
          <cell r="CC283">
            <v>0</v>
          </cell>
          <cell r="CD283">
            <v>0</v>
          </cell>
          <cell r="CF283">
            <v>0</v>
          </cell>
          <cell r="CG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X283">
            <v>17.855744101000596</v>
          </cell>
          <cell r="CY283">
            <v>636.74786705686063</v>
          </cell>
        </row>
        <row r="284">
          <cell r="I284">
            <v>158.05032189664524</v>
          </cell>
          <cell r="J284">
            <v>192.06614570544264</v>
          </cell>
          <cell r="L284">
            <v>27.271513426927882</v>
          </cell>
          <cell r="M284">
            <v>34.833097260875348</v>
          </cell>
          <cell r="O284">
            <v>41.28</v>
          </cell>
          <cell r="P284">
            <v>41.28</v>
          </cell>
          <cell r="R284">
            <v>12.44</v>
          </cell>
          <cell r="S284">
            <v>12.44</v>
          </cell>
          <cell r="U284">
            <v>0</v>
          </cell>
          <cell r="V284">
            <v>0</v>
          </cell>
          <cell r="X284">
            <v>79.672767514422688</v>
          </cell>
          <cell r="Y284">
            <v>78.137025035840324</v>
          </cell>
          <cell r="AA284">
            <v>0</v>
          </cell>
          <cell r="AB284">
            <v>0</v>
          </cell>
          <cell r="AD284">
            <v>105.75556658791288</v>
          </cell>
          <cell r="AE284">
            <v>116.22168994090264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31.567254763121657</v>
          </cell>
          <cell r="AQ284">
            <v>0</v>
          </cell>
          <cell r="AS284">
            <v>577.40207006763296</v>
          </cell>
          <cell r="AT284">
            <v>0</v>
          </cell>
          <cell r="AV284">
            <v>34.501372213371873</v>
          </cell>
          <cell r="AW284">
            <v>0</v>
          </cell>
          <cell r="AY284">
            <v>35.106725210817658</v>
          </cell>
          <cell r="AZ284">
            <v>0</v>
          </cell>
          <cell r="BB284">
            <v>11.463616105968482</v>
          </cell>
          <cell r="BC284">
            <v>0</v>
          </cell>
          <cell r="BE284">
            <v>17.956827810507491</v>
          </cell>
          <cell r="BF284">
            <v>0</v>
          </cell>
          <cell r="BH284">
            <v>0</v>
          </cell>
          <cell r="BI284">
            <v>0</v>
          </cell>
          <cell r="BK284">
            <v>9.8614204561619534</v>
          </cell>
          <cell r="BL284">
            <v>0</v>
          </cell>
          <cell r="BN284">
            <v>0</v>
          </cell>
          <cell r="BO284">
            <v>0</v>
          </cell>
          <cell r="BT284">
            <v>0</v>
          </cell>
          <cell r="BU284">
            <v>0</v>
          </cell>
          <cell r="BW284">
            <v>30.304542521382679</v>
          </cell>
          <cell r="BX284">
            <v>0.69219987304021713</v>
          </cell>
          <cell r="BZ284">
            <v>0</v>
          </cell>
          <cell r="CA284">
            <v>0</v>
          </cell>
          <cell r="CC284">
            <v>0</v>
          </cell>
          <cell r="CD284">
            <v>0</v>
          </cell>
          <cell r="CF284">
            <v>0</v>
          </cell>
          <cell r="CG284">
            <v>0</v>
          </cell>
          <cell r="CI284">
            <v>18.717525177192133</v>
          </cell>
          <cell r="CJ284">
            <v>61.958429857843953</v>
          </cell>
          <cell r="CL284">
            <v>0</v>
          </cell>
          <cell r="CM284">
            <v>0</v>
          </cell>
          <cell r="CX284">
            <v>2.9181714975213708</v>
          </cell>
          <cell r="CY284">
            <v>787.38569479126579</v>
          </cell>
        </row>
        <row r="285">
          <cell r="I285">
            <v>2777.6280587360443</v>
          </cell>
          <cell r="J285">
            <v>3466.6814567048568</v>
          </cell>
          <cell r="L285">
            <v>566.64124412410786</v>
          </cell>
          <cell r="M285">
            <v>723.74735538419122</v>
          </cell>
          <cell r="O285">
            <v>1106.6199999999999</v>
          </cell>
          <cell r="P285">
            <v>1106.94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>
            <v>2122.1356925593641</v>
          </cell>
          <cell r="Y285">
            <v>2602.4931140583312</v>
          </cell>
          <cell r="AA285">
            <v>0</v>
          </cell>
          <cell r="AB285">
            <v>0</v>
          </cell>
          <cell r="AD285">
            <v>3258.397419878127</v>
          </cell>
          <cell r="AE285">
            <v>3580.8654509217595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2320.193225089442</v>
          </cell>
          <cell r="AQ285">
            <v>0</v>
          </cell>
          <cell r="AS285">
            <v>10039.618184446057</v>
          </cell>
          <cell r="AT285">
            <v>0</v>
          </cell>
          <cell r="AV285">
            <v>453.16429572632046</v>
          </cell>
          <cell r="AW285">
            <v>0</v>
          </cell>
          <cell r="AY285">
            <v>730.31644067323475</v>
          </cell>
          <cell r="AZ285">
            <v>0</v>
          </cell>
          <cell r="BB285">
            <v>413.83434175910082</v>
          </cell>
          <cell r="BC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K285">
            <v>332.67629256086099</v>
          </cell>
          <cell r="BL285">
            <v>0</v>
          </cell>
          <cell r="BN285">
            <v>0</v>
          </cell>
          <cell r="BO285">
            <v>0</v>
          </cell>
          <cell r="BT285">
            <v>7998.952622454618</v>
          </cell>
          <cell r="BU285">
            <v>7838.4509914736509</v>
          </cell>
          <cell r="BW285">
            <v>4218.4013623814062</v>
          </cell>
          <cell r="BX285">
            <v>5023.7489980416758</v>
          </cell>
          <cell r="BZ285">
            <v>1181.1152975767798</v>
          </cell>
          <cell r="CA285">
            <v>7512.9221381050993</v>
          </cell>
          <cell r="CC285">
            <v>98.044179499577865</v>
          </cell>
          <cell r="CD285">
            <v>99.12543603598877</v>
          </cell>
          <cell r="CF285">
            <v>12.069832703546517</v>
          </cell>
          <cell r="CG285">
            <v>0</v>
          </cell>
          <cell r="CI285">
            <v>773.65770732394151</v>
          </cell>
          <cell r="CJ285">
            <v>909.14877383238354</v>
          </cell>
          <cell r="CL285">
            <v>0</v>
          </cell>
          <cell r="CM285">
            <v>0</v>
          </cell>
          <cell r="CX285">
            <v>1537.1605630089689</v>
          </cell>
          <cell r="CY285">
            <v>8184.3715425304727</v>
          </cell>
        </row>
        <row r="286">
          <cell r="I286">
            <v>2778.1929466304364</v>
          </cell>
          <cell r="J286">
            <v>3468.0276949694062</v>
          </cell>
          <cell r="L286">
            <v>566.74004116832782</v>
          </cell>
          <cell r="M286">
            <v>723.87333403612922</v>
          </cell>
          <cell r="O286">
            <v>1142.5999999999999</v>
          </cell>
          <cell r="P286">
            <v>1142.78</v>
          </cell>
          <cell r="R286">
            <v>0</v>
          </cell>
          <cell r="S286">
            <v>0</v>
          </cell>
          <cell r="U286">
            <v>215.74518364026076</v>
          </cell>
          <cell r="V286">
            <v>176.67061747960003</v>
          </cell>
          <cell r="X286">
            <v>2123.4561880117967</v>
          </cell>
          <cell r="Y286">
            <v>2604.5230798390285</v>
          </cell>
          <cell r="AA286">
            <v>0</v>
          </cell>
          <cell r="AB286">
            <v>0</v>
          </cell>
          <cell r="AD286">
            <v>3262.3169321168975</v>
          </cell>
          <cell r="AE286">
            <v>3585.1728585678175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2367.5441072341246</v>
          </cell>
          <cell r="AQ286">
            <v>0</v>
          </cell>
          <cell r="AS286">
            <v>11450.190492822518</v>
          </cell>
          <cell r="AT286">
            <v>1484.4051793062265</v>
          </cell>
          <cell r="AV286">
            <v>453.28676417768395</v>
          </cell>
          <cell r="AW286">
            <v>0</v>
          </cell>
          <cell r="AY286">
            <v>730.47179917909421</v>
          </cell>
          <cell r="AZ286">
            <v>0</v>
          </cell>
          <cell r="BB286">
            <v>411.00574223534153</v>
          </cell>
          <cell r="BC286">
            <v>0</v>
          </cell>
          <cell r="BE286">
            <v>0</v>
          </cell>
          <cell r="BF286">
            <v>0</v>
          </cell>
          <cell r="BH286">
            <v>218.86472282667671</v>
          </cell>
          <cell r="BI286">
            <v>0</v>
          </cell>
          <cell r="BK286">
            <v>332.88205778624234</v>
          </cell>
          <cell r="BL286">
            <v>0</v>
          </cell>
          <cell r="BN286">
            <v>0</v>
          </cell>
          <cell r="BO286">
            <v>0</v>
          </cell>
          <cell r="BT286">
            <v>7863.8055369347612</v>
          </cell>
          <cell r="BU286">
            <v>7488.8807021181383</v>
          </cell>
          <cell r="BW286">
            <v>4213.3130259614436</v>
          </cell>
          <cell r="BX286">
            <v>5018.9894776856454</v>
          </cell>
          <cell r="BZ286">
            <v>1266.3865977475903</v>
          </cell>
          <cell r="CA286">
            <v>7118.1470222129892</v>
          </cell>
          <cell r="CC286">
            <v>98.044179499577865</v>
          </cell>
          <cell r="CD286">
            <v>99.12543603598877</v>
          </cell>
          <cell r="CF286">
            <v>12.069832703546517</v>
          </cell>
          <cell r="CG286">
            <v>0</v>
          </cell>
          <cell r="CI286">
            <v>942.11543391867076</v>
          </cell>
          <cell r="CJ286">
            <v>723.49490701429465</v>
          </cell>
          <cell r="CL286">
            <v>0</v>
          </cell>
          <cell r="CM286">
            <v>0</v>
          </cell>
          <cell r="CX286">
            <v>1947.6820984860169</v>
          </cell>
          <cell r="CY286">
            <v>10125.611628881685</v>
          </cell>
        </row>
        <row r="287">
          <cell r="I287">
            <v>1912.6586571860612</v>
          </cell>
          <cell r="J287">
            <v>2388.8594631176293</v>
          </cell>
          <cell r="L287">
            <v>380.52254474762248</v>
          </cell>
          <cell r="M287">
            <v>486.02563917705993</v>
          </cell>
          <cell r="O287">
            <v>794.46</v>
          </cell>
          <cell r="P287">
            <v>794.22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1238.730472921307</v>
          </cell>
          <cell r="Y287">
            <v>1496.6035089607076</v>
          </cell>
          <cell r="AA287">
            <v>0</v>
          </cell>
          <cell r="AB287">
            <v>0</v>
          </cell>
          <cell r="AD287">
            <v>2286.8073469740652</v>
          </cell>
          <cell r="AE287">
            <v>2513.1217486661772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1657.2808750638872</v>
          </cell>
          <cell r="AQ287">
            <v>0</v>
          </cell>
          <cell r="AS287">
            <v>6845.1072319288323</v>
          </cell>
          <cell r="AT287">
            <v>832.576717611302</v>
          </cell>
          <cell r="AV287">
            <v>312.08107424119544</v>
          </cell>
          <cell r="AW287">
            <v>0</v>
          </cell>
          <cell r="AY287">
            <v>490.42556714245251</v>
          </cell>
          <cell r="AZ287">
            <v>0</v>
          </cell>
          <cell r="BB287">
            <v>295.04809673845114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187.56725379517582</v>
          </cell>
          <cell r="BL287">
            <v>0</v>
          </cell>
          <cell r="BN287">
            <v>0</v>
          </cell>
          <cell r="BO287">
            <v>0</v>
          </cell>
          <cell r="BT287">
            <v>7619.4211272690991</v>
          </cell>
          <cell r="BU287">
            <v>7218.7979604480406</v>
          </cell>
          <cell r="BW287">
            <v>3081.5043764892421</v>
          </cell>
          <cell r="BX287">
            <v>3673.0938648414012</v>
          </cell>
          <cell r="BZ287">
            <v>1007.3227854018201</v>
          </cell>
          <cell r="CA287">
            <v>6807.3681245641073</v>
          </cell>
          <cell r="CC287">
            <v>49.022089749788933</v>
          </cell>
          <cell r="CD287">
            <v>49.562718017994385</v>
          </cell>
          <cell r="CF287">
            <v>6.0349163517732585</v>
          </cell>
          <cell r="CG287">
            <v>0</v>
          </cell>
          <cell r="CI287">
            <v>655.11338120172479</v>
          </cell>
          <cell r="CJ287">
            <v>552.50856218756496</v>
          </cell>
          <cell r="CL287">
            <v>0</v>
          </cell>
          <cell r="CM287">
            <v>0</v>
          </cell>
          <cell r="CX287">
            <v>1724.7306433570047</v>
          </cell>
          <cell r="CY287">
            <v>4132.3740308896249</v>
          </cell>
        </row>
        <row r="288">
          <cell r="I288">
            <v>3637.3261310959024</v>
          </cell>
          <cell r="J288">
            <v>4546.7235360694995</v>
          </cell>
          <cell r="L288">
            <v>756.35994966120768</v>
          </cell>
          <cell r="M288">
            <v>966.0672923870618</v>
          </cell>
          <cell r="O288">
            <v>1458.14</v>
          </cell>
          <cell r="P288">
            <v>1457.94</v>
          </cell>
          <cell r="R288">
            <v>0</v>
          </cell>
          <cell r="S288">
            <v>0</v>
          </cell>
          <cell r="U288">
            <v>333.92254251606141</v>
          </cell>
          <cell r="V288">
            <v>273.44380534491114</v>
          </cell>
          <cell r="X288">
            <v>3364.7305826295478</v>
          </cell>
          <cell r="Y288">
            <v>4133.4158404128339</v>
          </cell>
          <cell r="AA288">
            <v>0</v>
          </cell>
          <cell r="AB288">
            <v>0</v>
          </cell>
          <cell r="AD288">
            <v>4458.694595107384</v>
          </cell>
          <cell r="AE288">
            <v>4897.6791265729298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2533.272194740513</v>
          </cell>
          <cell r="AQ288">
            <v>0</v>
          </cell>
          <cell r="AS288">
            <v>15370.074459256723</v>
          </cell>
          <cell r="AT288">
            <v>3386.6212508136396</v>
          </cell>
          <cell r="AV288">
            <v>597.70861840761279</v>
          </cell>
          <cell r="AW288">
            <v>0</v>
          </cell>
          <cell r="AY288">
            <v>974.84939071975509</v>
          </cell>
          <cell r="AZ288">
            <v>0</v>
          </cell>
          <cell r="BB288">
            <v>567.61626868907615</v>
          </cell>
          <cell r="BC288">
            <v>0</v>
          </cell>
          <cell r="BE288">
            <v>0</v>
          </cell>
          <cell r="BF288">
            <v>0</v>
          </cell>
          <cell r="BH288">
            <v>338.81178137477229</v>
          </cell>
          <cell r="BI288">
            <v>0</v>
          </cell>
          <cell r="BK288">
            <v>521.68679861452631</v>
          </cell>
          <cell r="BL288">
            <v>0</v>
          </cell>
          <cell r="BN288">
            <v>0</v>
          </cell>
          <cell r="BO288">
            <v>0</v>
          </cell>
          <cell r="BT288">
            <v>10004.685608990432</v>
          </cell>
          <cell r="BU288">
            <v>8818.6138902549628</v>
          </cell>
          <cell r="BW288">
            <v>5416.3801571906324</v>
          </cell>
          <cell r="BX288">
            <v>5143.4595095136265</v>
          </cell>
          <cell r="BZ288">
            <v>1897.8656800311755</v>
          </cell>
          <cell r="CA288">
            <v>6680.4116296329303</v>
          </cell>
          <cell r="CC288">
            <v>147.0662692493668</v>
          </cell>
          <cell r="CD288">
            <v>148.68815405398314</v>
          </cell>
          <cell r="CF288">
            <v>18.104749055319775</v>
          </cell>
          <cell r="CG288">
            <v>0</v>
          </cell>
          <cell r="CI288">
            <v>480.41647954793149</v>
          </cell>
          <cell r="CJ288">
            <v>389.01198075239517</v>
          </cell>
          <cell r="CL288">
            <v>0</v>
          </cell>
          <cell r="CM288">
            <v>0</v>
          </cell>
          <cell r="CX288">
            <v>2384.2452917464834</v>
          </cell>
          <cell r="CY288">
            <v>16827.008781029475</v>
          </cell>
        </row>
        <row r="289">
          <cell r="I289">
            <v>1759.3844797938718</v>
          </cell>
          <cell r="J289">
            <v>2192.1358244411567</v>
          </cell>
          <cell r="L289">
            <v>371.69495445223407</v>
          </cell>
          <cell r="M289">
            <v>474.75054982860297</v>
          </cell>
          <cell r="O289">
            <v>681.36</v>
          </cell>
          <cell r="P289">
            <v>681.4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1174.0143956197849</v>
          </cell>
          <cell r="Y289">
            <v>1395.4889154175494</v>
          </cell>
          <cell r="AA289">
            <v>0</v>
          </cell>
          <cell r="AB289">
            <v>0</v>
          </cell>
          <cell r="AD289">
            <v>1972.4410862670168</v>
          </cell>
          <cell r="AE289">
            <v>2167.6441605015516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710.2632321702373</v>
          </cell>
          <cell r="AQ289">
            <v>0</v>
          </cell>
          <cell r="AS289">
            <v>7884.4708332189193</v>
          </cell>
          <cell r="AT289">
            <v>0</v>
          </cell>
          <cell r="AV289">
            <v>293.62362475258334</v>
          </cell>
          <cell r="AW289">
            <v>1260.0019601349411</v>
          </cell>
          <cell r="AY289">
            <v>479.05349530254739</v>
          </cell>
          <cell r="AZ289">
            <v>0</v>
          </cell>
          <cell r="BB289">
            <v>251.78681354995123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176.11396072083613</v>
          </cell>
          <cell r="BL289">
            <v>0</v>
          </cell>
          <cell r="BN289">
            <v>0</v>
          </cell>
          <cell r="BO289">
            <v>0</v>
          </cell>
          <cell r="BT289">
            <v>5925.4262718617965</v>
          </cell>
          <cell r="BU289">
            <v>5047.3709006845629</v>
          </cell>
          <cell r="BW289">
            <v>3079.6104734382711</v>
          </cell>
          <cell r="BX289">
            <v>2898.8503340680618</v>
          </cell>
          <cell r="BZ289">
            <v>820.41161166212044</v>
          </cell>
          <cell r="CA289">
            <v>3730.42839456826</v>
          </cell>
          <cell r="CC289">
            <v>98.044179499577865</v>
          </cell>
          <cell r="CD289">
            <v>99.12543603598877</v>
          </cell>
          <cell r="CF289">
            <v>12.069832703546517</v>
          </cell>
          <cell r="CG289">
            <v>0</v>
          </cell>
          <cell r="CI289">
            <v>1634.6638654747796</v>
          </cell>
          <cell r="CJ289">
            <v>2849.0209183664151</v>
          </cell>
          <cell r="CL289">
            <v>0</v>
          </cell>
          <cell r="CM289">
            <v>0</v>
          </cell>
          <cell r="CX289">
            <v>655.64026741431007</v>
          </cell>
          <cell r="CY289">
            <v>6089.4991271434901</v>
          </cell>
        </row>
        <row r="290">
          <cell r="I290">
            <v>2782.8965038330093</v>
          </cell>
          <cell r="J290">
            <v>3473.6228547542278</v>
          </cell>
          <cell r="L290">
            <v>567.3814458945842</v>
          </cell>
          <cell r="M290">
            <v>724.69219527372661</v>
          </cell>
          <cell r="O290">
            <v>1154.22</v>
          </cell>
          <cell r="P290">
            <v>1154.24</v>
          </cell>
          <cell r="R290">
            <v>0</v>
          </cell>
          <cell r="S290">
            <v>0</v>
          </cell>
          <cell r="U290">
            <v>220.18230973062418</v>
          </cell>
          <cell r="V290">
            <v>180.30415394513108</v>
          </cell>
          <cell r="X290">
            <v>2121.4138921648696</v>
          </cell>
          <cell r="Y290">
            <v>2614.1856050619317</v>
          </cell>
          <cell r="AA290">
            <v>0</v>
          </cell>
          <cell r="AB290">
            <v>0</v>
          </cell>
          <cell r="AD290">
            <v>3264.0985285890656</v>
          </cell>
          <cell r="AE290">
            <v>3587.130771134207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2367.5441072341246</v>
          </cell>
          <cell r="AQ290">
            <v>6619.900775277416</v>
          </cell>
          <cell r="AS290">
            <v>11294.600946759965</v>
          </cell>
          <cell r="AT290">
            <v>357.77390088341679</v>
          </cell>
          <cell r="AV290">
            <v>454.33816644439599</v>
          </cell>
          <cell r="AW290">
            <v>0</v>
          </cell>
          <cell r="AY290">
            <v>731.30703205498548</v>
          </cell>
          <cell r="AZ290">
            <v>0</v>
          </cell>
          <cell r="BB290">
            <v>419.31302136116989</v>
          </cell>
          <cell r="BC290">
            <v>0</v>
          </cell>
          <cell r="BE290">
            <v>0</v>
          </cell>
          <cell r="BF290">
            <v>0</v>
          </cell>
          <cell r="BH290">
            <v>223.34337737643764</v>
          </cell>
          <cell r="BI290">
            <v>0</v>
          </cell>
          <cell r="BK290">
            <v>334.27802161567132</v>
          </cell>
          <cell r="BL290">
            <v>0</v>
          </cell>
          <cell r="BN290">
            <v>0</v>
          </cell>
          <cell r="BO290">
            <v>0</v>
          </cell>
          <cell r="BT290">
            <v>7816.8702094166374</v>
          </cell>
          <cell r="BU290">
            <v>7462.4551122297789</v>
          </cell>
          <cell r="BW290">
            <v>3921.7505948211219</v>
          </cell>
          <cell r="BX290">
            <v>3715.1149888062391</v>
          </cell>
          <cell r="BZ290">
            <v>1395.5518577561559</v>
          </cell>
          <cell r="CA290">
            <v>5799.5873902059902</v>
          </cell>
          <cell r="CC290">
            <v>98.044179499577865</v>
          </cell>
          <cell r="CD290">
            <v>99.12543603598877</v>
          </cell>
          <cell r="CF290">
            <v>12.069832703546517</v>
          </cell>
          <cell r="CG290">
            <v>0</v>
          </cell>
          <cell r="CI290">
            <v>895.32162097569039</v>
          </cell>
          <cell r="CJ290">
            <v>728.16936803643944</v>
          </cell>
          <cell r="CL290">
            <v>0</v>
          </cell>
          <cell r="CM290">
            <v>0</v>
          </cell>
          <cell r="CX290">
            <v>1729.2292221220487</v>
          </cell>
          <cell r="CY290">
            <v>5999.0969380266215</v>
          </cell>
        </row>
        <row r="291">
          <cell r="I291">
            <v>3641.0657773573757</v>
          </cell>
          <cell r="J291">
            <v>4551.3059959915809</v>
          </cell>
          <cell r="L291">
            <v>756.90247565259403</v>
          </cell>
          <cell r="M291">
            <v>966.76017497272119</v>
          </cell>
          <cell r="O291">
            <v>1505.08</v>
          </cell>
          <cell r="P291">
            <v>1505.14</v>
          </cell>
          <cell r="R291">
            <v>0</v>
          </cell>
          <cell r="S291">
            <v>0</v>
          </cell>
          <cell r="U291">
            <v>333.92254251606141</v>
          </cell>
          <cell r="V291">
            <v>273.44380534491114</v>
          </cell>
          <cell r="X291">
            <v>3444.7655272752972</v>
          </cell>
          <cell r="Y291">
            <v>4208.3850670597012</v>
          </cell>
          <cell r="AA291">
            <v>0</v>
          </cell>
          <cell r="AB291">
            <v>0</v>
          </cell>
          <cell r="AD291">
            <v>4426.2695393139193</v>
          </cell>
          <cell r="AE291">
            <v>4864.316296441646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3006.7810161873381</v>
          </cell>
          <cell r="AQ291">
            <v>0</v>
          </cell>
          <cell r="AS291">
            <v>12958.266236529415</v>
          </cell>
          <cell r="AT291">
            <v>8831.3547884335112</v>
          </cell>
          <cell r="AV291">
            <v>598.56467936387094</v>
          </cell>
          <cell r="AW291">
            <v>0</v>
          </cell>
          <cell r="AY291">
            <v>975.5292650897868</v>
          </cell>
          <cell r="AZ291">
            <v>0</v>
          </cell>
          <cell r="BB291">
            <v>568.60575830468986</v>
          </cell>
          <cell r="BC291">
            <v>0</v>
          </cell>
          <cell r="BE291">
            <v>0</v>
          </cell>
          <cell r="BF291">
            <v>0</v>
          </cell>
          <cell r="BH291">
            <v>338.81178137477229</v>
          </cell>
          <cell r="BI291">
            <v>0</v>
          </cell>
          <cell r="BK291">
            <v>542.99350131699373</v>
          </cell>
          <cell r="BL291">
            <v>3661.1014713253667</v>
          </cell>
          <cell r="BN291">
            <v>0</v>
          </cell>
          <cell r="BO291">
            <v>0</v>
          </cell>
          <cell r="BT291">
            <v>12384.606998632191</v>
          </cell>
          <cell r="BU291">
            <v>10247.164880577577</v>
          </cell>
          <cell r="BW291">
            <v>5839.6307177346489</v>
          </cell>
          <cell r="BX291">
            <v>6619.4463056112527</v>
          </cell>
          <cell r="BZ291">
            <v>2069.8153579143809</v>
          </cell>
          <cell r="CA291">
            <v>9840.102056756572</v>
          </cell>
          <cell r="CC291">
            <v>592.28488835694986</v>
          </cell>
          <cell r="CD291">
            <v>598.81675909340811</v>
          </cell>
          <cell r="CF291">
            <v>72.913859362124512</v>
          </cell>
          <cell r="CG291">
            <v>0</v>
          </cell>
          <cell r="CI291">
            <v>3091.5112417662344</v>
          </cell>
          <cell r="CJ291">
            <v>4943.4433091194051</v>
          </cell>
          <cell r="CL291">
            <v>0</v>
          </cell>
          <cell r="CM291">
            <v>0</v>
          </cell>
          <cell r="CX291">
            <v>2737.5946031416388</v>
          </cell>
          <cell r="CY291">
            <v>-2017.3570928731788</v>
          </cell>
        </row>
        <row r="292">
          <cell r="I292">
            <v>2084.2643251384357</v>
          </cell>
          <cell r="J292">
            <v>2593.9450755502703</v>
          </cell>
          <cell r="L292">
            <v>380.42374770340246</v>
          </cell>
          <cell r="M292">
            <v>485.89966052512187</v>
          </cell>
          <cell r="O292">
            <v>774.64</v>
          </cell>
          <cell r="P292">
            <v>774.72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1223.372364506854</v>
          </cell>
          <cell r="Y292">
            <v>1482.7994528509175</v>
          </cell>
          <cell r="AA292">
            <v>0</v>
          </cell>
          <cell r="AB292">
            <v>0</v>
          </cell>
          <cell r="AD292">
            <v>2260.0762735056514</v>
          </cell>
          <cell r="AE292">
            <v>2488.7574846900216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1420.5264643404746</v>
          </cell>
          <cell r="AQ292">
            <v>3957.5493765245424</v>
          </cell>
          <cell r="AS292">
            <v>7842.3553060547802</v>
          </cell>
          <cell r="AT292">
            <v>0</v>
          </cell>
          <cell r="AV292">
            <v>366.08836141794058</v>
          </cell>
          <cell r="AW292">
            <v>0</v>
          </cell>
          <cell r="AY292">
            <v>490.31866771622811</v>
          </cell>
          <cell r="AZ292">
            <v>0</v>
          </cell>
          <cell r="BB292">
            <v>307.91442535873171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200.55401869626783</v>
          </cell>
          <cell r="BL292">
            <v>0</v>
          </cell>
          <cell r="BN292">
            <v>0</v>
          </cell>
          <cell r="BO292">
            <v>0</v>
          </cell>
          <cell r="BT292">
            <v>2681.8480731967179</v>
          </cell>
          <cell r="BU292">
            <v>3046.5139736903707</v>
          </cell>
          <cell r="BW292">
            <v>3532.2579182251634</v>
          </cell>
          <cell r="BX292">
            <v>4002.4570530292672</v>
          </cell>
          <cell r="BZ292">
            <v>1019.1533836563633</v>
          </cell>
          <cell r="CA292">
            <v>3112.1232356205442</v>
          </cell>
          <cell r="CC292">
            <v>323.20263772035838</v>
          </cell>
          <cell r="CD292">
            <v>326.76699989263693</v>
          </cell>
          <cell r="CF292">
            <v>39.788203507241093</v>
          </cell>
          <cell r="CG292">
            <v>0</v>
          </cell>
          <cell r="CI292">
            <v>948.35460897773487</v>
          </cell>
          <cell r="CJ292">
            <v>1233.537992418049</v>
          </cell>
          <cell r="CL292">
            <v>0</v>
          </cell>
          <cell r="CM292">
            <v>0</v>
          </cell>
          <cell r="CX292">
            <v>1611.8334643331837</v>
          </cell>
          <cell r="CY292">
            <v>4479.9156342499118</v>
          </cell>
        </row>
        <row r="293">
          <cell r="I293">
            <v>2046.4175987851995</v>
          </cell>
          <cell r="J293">
            <v>2547.0988392719805</v>
          </cell>
          <cell r="L293">
            <v>380.42374770340246</v>
          </cell>
          <cell r="M293">
            <v>485.89966052512187</v>
          </cell>
          <cell r="O293">
            <v>772.38</v>
          </cell>
          <cell r="P293">
            <v>772.34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1223.8130747547289</v>
          </cell>
          <cell r="Y293">
            <v>1482.7514714044109</v>
          </cell>
          <cell r="AA293">
            <v>0</v>
          </cell>
          <cell r="AB293">
            <v>0</v>
          </cell>
          <cell r="AD293">
            <v>2255.7149253417829</v>
          </cell>
          <cell r="AE293">
            <v>2480.7535381186199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1349.5001411234509</v>
          </cell>
          <cell r="AQ293">
            <v>3669.7276036863936</v>
          </cell>
          <cell r="AS293">
            <v>7164.5218917400261</v>
          </cell>
          <cell r="AT293">
            <v>1883.5573774764557</v>
          </cell>
          <cell r="AV293">
            <v>363.89792516554621</v>
          </cell>
          <cell r="AW293">
            <v>0</v>
          </cell>
          <cell r="AY293">
            <v>490.31866771622811</v>
          </cell>
          <cell r="AZ293">
            <v>0</v>
          </cell>
          <cell r="BB293">
            <v>310.38881940211519</v>
          </cell>
          <cell r="BC293">
            <v>5126.5482284402133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>
            <v>200.62495309533139</v>
          </cell>
          <cell r="BL293">
            <v>0</v>
          </cell>
          <cell r="BN293">
            <v>0</v>
          </cell>
          <cell r="BO293">
            <v>0</v>
          </cell>
          <cell r="BT293">
            <v>4957.321149718061</v>
          </cell>
          <cell r="BU293">
            <v>4218.2693713554254</v>
          </cell>
          <cell r="BW293">
            <v>3488.9701552107817</v>
          </cell>
          <cell r="BX293">
            <v>3952.3154494337932</v>
          </cell>
          <cell r="BZ293">
            <v>1019.1533836563633</v>
          </cell>
          <cell r="CA293">
            <v>4224.5489790454949</v>
          </cell>
          <cell r="CC293">
            <v>313.74137439864916</v>
          </cell>
          <cell r="CD293">
            <v>317.20139531516406</v>
          </cell>
          <cell r="CF293">
            <v>38.623464651348854</v>
          </cell>
          <cell r="CG293">
            <v>0</v>
          </cell>
          <cell r="CI293">
            <v>1094.9752228657399</v>
          </cell>
          <cell r="CJ293">
            <v>1169.58956318835</v>
          </cell>
          <cell r="CL293">
            <v>0</v>
          </cell>
          <cell r="CM293">
            <v>0</v>
          </cell>
          <cell r="CX293">
            <v>1671.4362056054888</v>
          </cell>
          <cell r="CY293">
            <v>-4160.3417727137075</v>
          </cell>
        </row>
        <row r="294">
          <cell r="I294">
            <v>2655.818929614788</v>
          </cell>
          <cell r="J294">
            <v>3317.5337104968867</v>
          </cell>
          <cell r="L294">
            <v>562.59750901632674</v>
          </cell>
          <cell r="M294">
            <v>718.58223065473044</v>
          </cell>
          <cell r="O294">
            <v>1101.06</v>
          </cell>
          <cell r="P294">
            <v>1100.8</v>
          </cell>
          <cell r="R294">
            <v>0</v>
          </cell>
          <cell r="S294">
            <v>0</v>
          </cell>
          <cell r="U294">
            <v>215.74518364026076</v>
          </cell>
          <cell r="V294">
            <v>176.67061747960003</v>
          </cell>
          <cell r="X294">
            <v>2267.2493512317697</v>
          </cell>
          <cell r="Y294">
            <v>2751.6556612151703</v>
          </cell>
          <cell r="AA294">
            <v>0</v>
          </cell>
          <cell r="AB294">
            <v>0</v>
          </cell>
          <cell r="AD294">
            <v>3175.9451351461762</v>
          </cell>
          <cell r="AE294">
            <v>3490.2532573492363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1278.4738179064273</v>
          </cell>
          <cell r="AQ294">
            <v>6166.2946129321526</v>
          </cell>
          <cell r="AS294">
            <v>10249.621393124984</v>
          </cell>
          <cell r="AT294">
            <v>481.83090077367149</v>
          </cell>
          <cell r="AV294">
            <v>441.65315238689044</v>
          </cell>
          <cell r="AW294">
            <v>0</v>
          </cell>
          <cell r="AY294">
            <v>725.10147090433986</v>
          </cell>
          <cell r="AZ294">
            <v>0</v>
          </cell>
          <cell r="BB294">
            <v>412.62285498128728</v>
          </cell>
          <cell r="BC294">
            <v>0</v>
          </cell>
          <cell r="BE294">
            <v>0</v>
          </cell>
          <cell r="BF294">
            <v>0</v>
          </cell>
          <cell r="BH294">
            <v>218.86472282667671</v>
          </cell>
          <cell r="BI294">
            <v>0</v>
          </cell>
          <cell r="BK294">
            <v>324.71868414836467</v>
          </cell>
          <cell r="BL294">
            <v>0</v>
          </cell>
          <cell r="BN294">
            <v>0</v>
          </cell>
          <cell r="BO294">
            <v>0</v>
          </cell>
          <cell r="BT294">
            <v>8113.0470201650342</v>
          </cell>
          <cell r="BU294">
            <v>7024.2984282950292</v>
          </cell>
          <cell r="BW294">
            <v>4332.3585445506205</v>
          </cell>
          <cell r="BX294">
            <v>5180.603681367611</v>
          </cell>
          <cell r="BZ294">
            <v>1277.5434107891886</v>
          </cell>
          <cell r="CA294">
            <v>6651.9751569962555</v>
          </cell>
          <cell r="CC294">
            <v>412.76599569322281</v>
          </cell>
          <cell r="CD294">
            <v>417.31808571151271</v>
          </cell>
          <cell r="CF294">
            <v>50.813995681930848</v>
          </cell>
          <cell r="CG294">
            <v>0</v>
          </cell>
          <cell r="CI294">
            <v>1566.0329398250753</v>
          </cell>
          <cell r="CJ294">
            <v>1875.4708051227449</v>
          </cell>
          <cell r="CL294">
            <v>0</v>
          </cell>
          <cell r="CM294">
            <v>0</v>
          </cell>
          <cell r="CX294">
            <v>2375.3590660399714</v>
          </cell>
          <cell r="CY294">
            <v>2409.8554219264843</v>
          </cell>
        </row>
        <row r="295">
          <cell r="I295">
            <v>1795.381679978763</v>
          </cell>
          <cell r="J295">
            <v>2261.862012602292</v>
          </cell>
          <cell r="L295">
            <v>364.93850769687128</v>
          </cell>
          <cell r="M295">
            <v>466.12101217084546</v>
          </cell>
          <cell r="O295">
            <v>874.22</v>
          </cell>
          <cell r="P295">
            <v>874.1</v>
          </cell>
          <cell r="R295">
            <v>220.74</v>
          </cell>
          <cell r="S295">
            <v>220.82</v>
          </cell>
          <cell r="U295">
            <v>0</v>
          </cell>
          <cell r="V295">
            <v>0</v>
          </cell>
          <cell r="X295">
            <v>757.24664802622283</v>
          </cell>
          <cell r="Y295">
            <v>859.11687815698428</v>
          </cell>
          <cell r="AA295">
            <v>0</v>
          </cell>
          <cell r="AB295">
            <v>0</v>
          </cell>
          <cell r="AD295">
            <v>2615.4548850020151</v>
          </cell>
          <cell r="AE295">
            <v>2874.2939639629831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457.72519406526402</v>
          </cell>
          <cell r="AQ295">
            <v>0</v>
          </cell>
          <cell r="AS295">
            <v>5110.3195709486081</v>
          </cell>
          <cell r="AT295">
            <v>0</v>
          </cell>
          <cell r="AV295">
            <v>304.74829424469891</v>
          </cell>
          <cell r="AW295">
            <v>0</v>
          </cell>
          <cell r="AY295">
            <v>470.34239890552664</v>
          </cell>
          <cell r="AZ295">
            <v>0</v>
          </cell>
          <cell r="BB295">
            <v>376.50712476896177</v>
          </cell>
          <cell r="BC295">
            <v>0</v>
          </cell>
          <cell r="BE295">
            <v>225.85537583994028</v>
          </cell>
          <cell r="BF295">
            <v>0</v>
          </cell>
          <cell r="BH295">
            <v>0</v>
          </cell>
          <cell r="BI295">
            <v>0</v>
          </cell>
          <cell r="BK295">
            <v>188.63842984583084</v>
          </cell>
          <cell r="BL295">
            <v>0</v>
          </cell>
          <cell r="BN295">
            <v>0</v>
          </cell>
          <cell r="BO295">
            <v>0</v>
          </cell>
          <cell r="BT295">
            <v>6868.388963306701</v>
          </cell>
          <cell r="BU295">
            <v>5637.5519611021518</v>
          </cell>
          <cell r="BW295">
            <v>3364.5467045565879</v>
          </cell>
          <cell r="BX295">
            <v>3808.6851278580439</v>
          </cell>
          <cell r="BZ295">
            <v>960.1194066150332</v>
          </cell>
          <cell r="CA295">
            <v>5486.8360633980292</v>
          </cell>
          <cell r="CC295">
            <v>408.64814015424054</v>
          </cell>
          <cell r="CD295">
            <v>413.15481739800123</v>
          </cell>
          <cell r="CF295">
            <v>50.307062708381885</v>
          </cell>
          <cell r="CG295">
            <v>0</v>
          </cell>
          <cell r="CI295">
            <v>2386.4844600919973</v>
          </cell>
          <cell r="CJ295">
            <v>3048.791555714387</v>
          </cell>
          <cell r="CL295">
            <v>0</v>
          </cell>
          <cell r="CM295">
            <v>0</v>
          </cell>
          <cell r="CX295">
            <v>1667.8245838932271</v>
          </cell>
          <cell r="CY295">
            <v>3886.9599291635423</v>
          </cell>
        </row>
        <row r="296">
          <cell r="I296">
            <v>2004.3340630414596</v>
          </cell>
          <cell r="J296">
            <v>2208.6437261142319</v>
          </cell>
          <cell r="L296">
            <v>407.00539732443775</v>
          </cell>
          <cell r="M296">
            <v>447.91577362469206</v>
          </cell>
          <cell r="O296">
            <v>767.24</v>
          </cell>
          <cell r="P296">
            <v>767.23333333333335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>
            <v>1841.1466847069255</v>
          </cell>
          <cell r="Y296">
            <v>1825.1382207832539</v>
          </cell>
          <cell r="AA296">
            <v>0</v>
          </cell>
          <cell r="AB296">
            <v>0</v>
          </cell>
          <cell r="AD296">
            <v>2423.9688961733614</v>
          </cell>
          <cell r="AE296">
            <v>2663.8575213273998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710.2632321702373</v>
          </cell>
          <cell r="AQ296">
            <v>2734.306841962411</v>
          </cell>
          <cell r="AS296">
            <v>6510.7854720027708</v>
          </cell>
          <cell r="AT296">
            <v>8691.8011889928948</v>
          </cell>
          <cell r="AV296">
            <v>362.19421393906958</v>
          </cell>
          <cell r="AW296">
            <v>0</v>
          </cell>
          <cell r="AY296">
            <v>524.59024174180445</v>
          </cell>
          <cell r="AZ296">
            <v>0</v>
          </cell>
          <cell r="BB296">
            <v>380.4641738473648</v>
          </cell>
          <cell r="BC296">
            <v>851.26294267612695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K296">
            <v>267.01036497539843</v>
          </cell>
          <cell r="BL296">
            <v>0</v>
          </cell>
          <cell r="BN296">
            <v>0</v>
          </cell>
          <cell r="BO296">
            <v>0</v>
          </cell>
          <cell r="BT296">
            <v>6010.8189774226976</v>
          </cell>
          <cell r="BU296">
            <v>5997.67002484353</v>
          </cell>
          <cell r="BW296">
            <v>4406.816469451157</v>
          </cell>
          <cell r="BX296">
            <v>5262.1462984849095</v>
          </cell>
          <cell r="BZ296">
            <v>2486.2436019213378</v>
          </cell>
          <cell r="CA296">
            <v>5916.6884772485864</v>
          </cell>
          <cell r="CC296">
            <v>361.55261853161829</v>
          </cell>
          <cell r="CD296">
            <v>365.53991419811405</v>
          </cell>
          <cell r="CF296">
            <v>44.509318569233315</v>
          </cell>
          <cell r="CG296">
            <v>0</v>
          </cell>
          <cell r="CI296">
            <v>1154.2473859268484</v>
          </cell>
          <cell r="CJ296">
            <v>1471.9422724395195</v>
          </cell>
          <cell r="CL296">
            <v>0</v>
          </cell>
          <cell r="CM296">
            <v>0</v>
          </cell>
          <cell r="CX296">
            <v>1885.170665905127</v>
          </cell>
          <cell r="CY296">
            <v>-8363.9758432347953</v>
          </cell>
        </row>
        <row r="297">
          <cell r="I297">
            <v>1279.2848239882026</v>
          </cell>
          <cell r="J297">
            <v>1392.4610647644424</v>
          </cell>
          <cell r="L297">
            <v>311.48053282578826</v>
          </cell>
          <cell r="M297">
            <v>342.78880724749246</v>
          </cell>
          <cell r="O297">
            <v>278.76</v>
          </cell>
          <cell r="P297">
            <v>278.76666666666665</v>
          </cell>
          <cell r="R297">
            <v>67.94</v>
          </cell>
          <cell r="S297">
            <v>67.95</v>
          </cell>
          <cell r="U297">
            <v>0</v>
          </cell>
          <cell r="V297">
            <v>0</v>
          </cell>
          <cell r="X297">
            <v>493.03019413598702</v>
          </cell>
          <cell r="Y297">
            <v>446.31599708010555</v>
          </cell>
          <cell r="AA297">
            <v>0</v>
          </cell>
          <cell r="AB297">
            <v>0</v>
          </cell>
          <cell r="AD297">
            <v>862.57774796502531</v>
          </cell>
          <cell r="AE297">
            <v>976.52847161261116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165.7280875063887</v>
          </cell>
          <cell r="AQ297">
            <v>908.32471577050455</v>
          </cell>
          <cell r="AS297">
            <v>2091.0073168983063</v>
          </cell>
          <cell r="AT297">
            <v>60780.502155805458</v>
          </cell>
          <cell r="AV297">
            <v>242.96787395953822</v>
          </cell>
          <cell r="AW297">
            <v>0</v>
          </cell>
          <cell r="AY297">
            <v>401.48853384265288</v>
          </cell>
          <cell r="AZ297">
            <v>0</v>
          </cell>
          <cell r="BB297">
            <v>162.10302398842919</v>
          </cell>
          <cell r="BC297">
            <v>0</v>
          </cell>
          <cell r="BE297">
            <v>72.616538247391418</v>
          </cell>
          <cell r="BF297">
            <v>0</v>
          </cell>
          <cell r="BH297">
            <v>0</v>
          </cell>
          <cell r="BI297">
            <v>0</v>
          </cell>
          <cell r="BK297">
            <v>56.996604701232371</v>
          </cell>
          <cell r="BL297">
            <v>0</v>
          </cell>
          <cell r="BN297">
            <v>0</v>
          </cell>
          <cell r="BO297">
            <v>0</v>
          </cell>
          <cell r="BT297">
            <v>3121.2606851033652</v>
          </cell>
          <cell r="BU297">
            <v>2953.2500880347793</v>
          </cell>
          <cell r="BW297">
            <v>1332.5065156875817</v>
          </cell>
          <cell r="BX297">
            <v>1554.9979628847827</v>
          </cell>
          <cell r="BZ297">
            <v>893.91182069408126</v>
          </cell>
          <cell r="CA297">
            <v>3031.3442397058834</v>
          </cell>
          <cell r="CC297">
            <v>152.80185375009208</v>
          </cell>
          <cell r="CD297">
            <v>154.48699206208849</v>
          </cell>
          <cell r="CF297">
            <v>18.810834268477251</v>
          </cell>
          <cell r="CG297">
            <v>0</v>
          </cell>
          <cell r="CI297">
            <v>227.72988965583764</v>
          </cell>
          <cell r="CJ297">
            <v>161.02347786962102</v>
          </cell>
          <cell r="CL297">
            <v>0</v>
          </cell>
          <cell r="CM297">
            <v>0</v>
          </cell>
          <cell r="CX297">
            <v>304.41654733794712</v>
          </cell>
          <cell r="CY297">
            <v>-72674.468767405328</v>
          </cell>
        </row>
        <row r="298">
          <cell r="I298">
            <v>2381.2507752590182</v>
          </cell>
          <cell r="J298">
            <v>2637.1018233368882</v>
          </cell>
          <cell r="L298">
            <v>477.57619017621118</v>
          </cell>
          <cell r="M298">
            <v>541.035657464525</v>
          </cell>
          <cell r="O298">
            <v>906.38</v>
          </cell>
          <cell r="P298">
            <v>906.38333333333344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X298">
            <v>2338.7043276189638</v>
          </cell>
          <cell r="Y298">
            <v>2328.3278825786601</v>
          </cell>
          <cell r="AA298">
            <v>0</v>
          </cell>
          <cell r="AB298">
            <v>0</v>
          </cell>
          <cell r="AD298">
            <v>3196.9679735177629</v>
          </cell>
          <cell r="AE298">
            <v>3303.1551325050204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1491.5527875574985</v>
          </cell>
          <cell r="AQ298">
            <v>0</v>
          </cell>
          <cell r="AS298">
            <v>7177.1206678136678</v>
          </cell>
          <cell r="AT298">
            <v>104.143257890153</v>
          </cell>
          <cell r="AV298">
            <v>429.92685568395893</v>
          </cell>
          <cell r="AW298">
            <v>0</v>
          </cell>
          <cell r="AY298">
            <v>615.50829442380814</v>
          </cell>
          <cell r="AZ298">
            <v>0</v>
          </cell>
          <cell r="BB298">
            <v>420.47370380186715</v>
          </cell>
          <cell r="BC298">
            <v>0</v>
          </cell>
          <cell r="BE298">
            <v>0</v>
          </cell>
          <cell r="BF298">
            <v>0</v>
          </cell>
          <cell r="BH298">
            <v>0</v>
          </cell>
          <cell r="BI298">
            <v>0</v>
          </cell>
          <cell r="BK298">
            <v>0</v>
          </cell>
          <cell r="BL298">
            <v>0</v>
          </cell>
          <cell r="BN298">
            <v>0</v>
          </cell>
          <cell r="BO298">
            <v>0</v>
          </cell>
          <cell r="BT298">
            <v>12520.739435895232</v>
          </cell>
          <cell r="BU298">
            <v>9153.8274040370397</v>
          </cell>
          <cell r="BW298">
            <v>5054.2773046667062</v>
          </cell>
          <cell r="BX298">
            <v>4338.4040174729807</v>
          </cell>
          <cell r="BZ298">
            <v>2641.0555211789356</v>
          </cell>
          <cell r="CA298">
            <v>6956.8315238032264</v>
          </cell>
          <cell r="CC298">
            <v>194.86280675541099</v>
          </cell>
          <cell r="CD298">
            <v>197.01180412152769</v>
          </cell>
          <cell r="CF298">
            <v>23.9887924982987</v>
          </cell>
          <cell r="CG298">
            <v>0</v>
          </cell>
          <cell r="CI298">
            <v>346.2742157780545</v>
          </cell>
          <cell r="CJ298">
            <v>2553.5267036797131</v>
          </cell>
          <cell r="CL298">
            <v>0</v>
          </cell>
          <cell r="CM298">
            <v>0</v>
          </cell>
          <cell r="CX298">
            <v>-962.41158315046778</v>
          </cell>
          <cell r="CY298">
            <v>7673.8817517323114</v>
          </cell>
        </row>
        <row r="299">
          <cell r="I299">
            <v>1812.9250872823966</v>
          </cell>
          <cell r="J299">
            <v>2004.1054412173921</v>
          </cell>
          <cell r="L299">
            <v>383.03749892546443</v>
          </cell>
          <cell r="M299">
            <v>448.35547816121789</v>
          </cell>
          <cell r="O299">
            <v>681.68</v>
          </cell>
          <cell r="P299">
            <v>681.66666666666674</v>
          </cell>
          <cell r="R299">
            <v>196.26</v>
          </cell>
          <cell r="S299">
            <v>196.25</v>
          </cell>
          <cell r="U299">
            <v>0</v>
          </cell>
          <cell r="V299">
            <v>0</v>
          </cell>
          <cell r="X299">
            <v>1719.2560424194046</v>
          </cell>
          <cell r="Y299">
            <v>1670.9264365003692</v>
          </cell>
          <cell r="AA299">
            <v>0</v>
          </cell>
          <cell r="AB299">
            <v>0</v>
          </cell>
          <cell r="AD299">
            <v>2368.0267669472755</v>
          </cell>
          <cell r="AE299">
            <v>2566.9016910397741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307.78073394043616</v>
          </cell>
          <cell r="AQ299">
            <v>0</v>
          </cell>
          <cell r="AS299">
            <v>6661.9038663488545</v>
          </cell>
          <cell r="AT299">
            <v>60.588663998592992</v>
          </cell>
          <cell r="AV299">
            <v>333.66454642231821</v>
          </cell>
          <cell r="AW299">
            <v>0</v>
          </cell>
          <cell r="AY299">
            <v>493.65943583849338</v>
          </cell>
          <cell r="AZ299">
            <v>0</v>
          </cell>
          <cell r="BB299">
            <v>405.93418033429435</v>
          </cell>
          <cell r="BC299">
            <v>0</v>
          </cell>
          <cell r="BE299">
            <v>199.58031090607005</v>
          </cell>
          <cell r="BF299">
            <v>0</v>
          </cell>
          <cell r="BH299">
            <v>0</v>
          </cell>
          <cell r="BI299">
            <v>0</v>
          </cell>
          <cell r="BK299">
            <v>240.41378397964613</v>
          </cell>
          <cell r="BL299">
            <v>313.37374749755588</v>
          </cell>
          <cell r="BN299">
            <v>0</v>
          </cell>
          <cell r="BO299">
            <v>0</v>
          </cell>
          <cell r="BT299">
            <v>8161.5306315697508</v>
          </cell>
          <cell r="BU299">
            <v>7675.1006798558647</v>
          </cell>
          <cell r="BW299">
            <v>4678.2140539380944</v>
          </cell>
          <cell r="BX299">
            <v>5497.2374511166154</v>
          </cell>
          <cell r="BZ299">
            <v>3802.0806838752378</v>
          </cell>
          <cell r="CA299">
            <v>7364.3588330642488</v>
          </cell>
          <cell r="CC299">
            <v>181.38173207421906</v>
          </cell>
          <cell r="CD299">
            <v>183.38205666657922</v>
          </cell>
          <cell r="CF299">
            <v>22.329190501561058</v>
          </cell>
          <cell r="CG299">
            <v>0</v>
          </cell>
          <cell r="CI299">
            <v>923.39790874147866</v>
          </cell>
          <cell r="CJ299">
            <v>896.8839027116594</v>
          </cell>
          <cell r="CL299">
            <v>0</v>
          </cell>
          <cell r="CM299">
            <v>0</v>
          </cell>
          <cell r="CX299">
            <v>152.79225514599966</v>
          </cell>
          <cell r="CY299">
            <v>4969.5027418041536</v>
          </cell>
        </row>
        <row r="300">
          <cell r="I300">
            <v>1791.363825525561</v>
          </cell>
          <cell r="J300">
            <v>1994.7863612053297</v>
          </cell>
          <cell r="L300">
            <v>332.88305739168595</v>
          </cell>
          <cell r="M300">
            <v>366.34332630154751</v>
          </cell>
          <cell r="O300">
            <v>767.76</v>
          </cell>
          <cell r="P300">
            <v>767.76666666666677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X300">
            <v>2273.2516362826163</v>
          </cell>
          <cell r="Y300">
            <v>2230.7357696920863</v>
          </cell>
          <cell r="AA300">
            <v>0</v>
          </cell>
          <cell r="AB300">
            <v>0</v>
          </cell>
          <cell r="AD300">
            <v>2831.3558718852642</v>
          </cell>
          <cell r="AE300">
            <v>3122.5259507801566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1231.1229357617447</v>
          </cell>
          <cell r="AQ300">
            <v>3094.0840580100967</v>
          </cell>
          <cell r="AS300">
            <v>7406.1872865321629</v>
          </cell>
          <cell r="AT300">
            <v>269.59464370089279</v>
          </cell>
          <cell r="AV300">
            <v>309.40264000821674</v>
          </cell>
          <cell r="AW300">
            <v>0</v>
          </cell>
          <cell r="AY300">
            <v>429.03011254406238</v>
          </cell>
          <cell r="AZ300">
            <v>0</v>
          </cell>
          <cell r="BB300">
            <v>540.19704455889519</v>
          </cell>
          <cell r="BC300">
            <v>0</v>
          </cell>
          <cell r="BE300">
            <v>0</v>
          </cell>
          <cell r="BF300">
            <v>0</v>
          </cell>
          <cell r="BH300">
            <v>0</v>
          </cell>
          <cell r="BI300">
            <v>0</v>
          </cell>
          <cell r="BK300">
            <v>317.0796259884653</v>
          </cell>
          <cell r="BL300">
            <v>208.92442055244328</v>
          </cell>
          <cell r="BN300">
            <v>0</v>
          </cell>
          <cell r="BO300">
            <v>0</v>
          </cell>
          <cell r="BT300">
            <v>8427.9075633708999</v>
          </cell>
          <cell r="BU300">
            <v>3931.6913373271673</v>
          </cell>
          <cell r="BW300">
            <v>6592.5305520171587</v>
          </cell>
          <cell r="BX300">
            <v>3894.6771953125008</v>
          </cell>
          <cell r="BZ300">
            <v>3311.6289454771645</v>
          </cell>
          <cell r="CA300">
            <v>5319.77370616388</v>
          </cell>
          <cell r="CC300">
            <v>137.26185129940902</v>
          </cell>
          <cell r="CD300">
            <v>138.77561045038428</v>
          </cell>
          <cell r="CF300">
            <v>16.897765784965124</v>
          </cell>
          <cell r="CG300">
            <v>0</v>
          </cell>
          <cell r="CI300">
            <v>489.77524213652754</v>
          </cell>
          <cell r="CJ300">
            <v>931.80929275040023</v>
          </cell>
          <cell r="CL300">
            <v>0</v>
          </cell>
          <cell r="CM300">
            <v>0</v>
          </cell>
          <cell r="CX300">
            <v>1064.0768521222344</v>
          </cell>
          <cell r="CY300">
            <v>14185.053993303731</v>
          </cell>
        </row>
        <row r="301">
          <cell r="I301">
            <v>4624.8339399851884</v>
          </cell>
          <cell r="J301">
            <v>5155.6431189991763</v>
          </cell>
          <cell r="L301">
            <v>953.82127520157314</v>
          </cell>
          <cell r="M301">
            <v>1049.6957442960343</v>
          </cell>
          <cell r="O301">
            <v>2070.1799999999998</v>
          </cell>
          <cell r="P301">
            <v>2070.1833333333334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X301">
            <v>5140.469160362929</v>
          </cell>
          <cell r="Y301">
            <v>5127.9190876995162</v>
          </cell>
          <cell r="AA301">
            <v>0</v>
          </cell>
          <cell r="AB301">
            <v>0</v>
          </cell>
          <cell r="AD301">
            <v>6483.6571453739234</v>
          </cell>
          <cell r="AE301">
            <v>7155.7788476416936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3811.7460126469405</v>
          </cell>
          <cell r="AQ301">
            <v>10433.539265382884</v>
          </cell>
          <cell r="AS301">
            <v>17821.236917758972</v>
          </cell>
          <cell r="AT301">
            <v>0</v>
          </cell>
          <cell r="AV301">
            <v>767.84224561021233</v>
          </cell>
          <cell r="AW301">
            <v>0</v>
          </cell>
          <cell r="AY301">
            <v>1229.3462864771334</v>
          </cell>
          <cell r="AZ301">
            <v>1329.9675561136937</v>
          </cell>
          <cell r="BB301">
            <v>1074.4919495575432</v>
          </cell>
          <cell r="BC301">
            <v>517.71343014586398</v>
          </cell>
          <cell r="BE301">
            <v>0</v>
          </cell>
          <cell r="BF301">
            <v>0</v>
          </cell>
          <cell r="BH301">
            <v>0</v>
          </cell>
          <cell r="BI301">
            <v>0</v>
          </cell>
          <cell r="BK301">
            <v>743.01646728891683</v>
          </cell>
          <cell r="BL301">
            <v>412.12129448439714</v>
          </cell>
          <cell r="BN301">
            <v>0</v>
          </cell>
          <cell r="BO301">
            <v>0</v>
          </cell>
          <cell r="BT301">
            <v>13102.708404765153</v>
          </cell>
          <cell r="BU301">
            <v>10061.302924100328</v>
          </cell>
          <cell r="BW301">
            <v>9083.7556455963822</v>
          </cell>
          <cell r="BX301">
            <v>9373.2177524803592</v>
          </cell>
          <cell r="BZ301">
            <v>4225.2187585183556</v>
          </cell>
          <cell r="CA301">
            <v>10935.553039419645</v>
          </cell>
          <cell r="CC301">
            <v>151.4782573268478</v>
          </cell>
          <cell r="CD301">
            <v>153.14879867560265</v>
          </cell>
          <cell r="CF301">
            <v>18.647891526979368</v>
          </cell>
          <cell r="CG301">
            <v>0</v>
          </cell>
          <cell r="CI301">
            <v>2442.6370356235734</v>
          </cell>
          <cell r="CJ301">
            <v>701.14639288803846</v>
          </cell>
          <cell r="CL301">
            <v>0</v>
          </cell>
          <cell r="CM301">
            <v>0</v>
          </cell>
          <cell r="CX301">
            <v>2374.8751276552357</v>
          </cell>
          <cell r="CY301">
            <v>13496.66329720732</v>
          </cell>
        </row>
        <row r="302">
          <cell r="I302">
            <v>1511.8860500378551</v>
          </cell>
          <cell r="J302">
            <v>1675.3465945724042</v>
          </cell>
          <cell r="L302">
            <v>287.85748463911119</v>
          </cell>
          <cell r="M302">
            <v>316.79199935142708</v>
          </cell>
          <cell r="O302">
            <v>587.36</v>
          </cell>
          <cell r="P302">
            <v>587.36666666666667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X302">
            <v>882.13503577038978</v>
          </cell>
          <cell r="Y302">
            <v>840.51044486062938</v>
          </cell>
          <cell r="AA302">
            <v>0</v>
          </cell>
          <cell r="AB302">
            <v>0</v>
          </cell>
          <cell r="AD302">
            <v>1859.6018921057623</v>
          </cell>
          <cell r="AE302">
            <v>2043.6378101966829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1373.1755821957922</v>
          </cell>
          <cell r="AQ302">
            <v>3944.7169213795582</v>
          </cell>
          <cell r="AS302">
            <v>4665.4019357218185</v>
          </cell>
          <cell r="AT302">
            <v>0</v>
          </cell>
          <cell r="AV302">
            <v>243.81387473835781</v>
          </cell>
          <cell r="AW302">
            <v>0</v>
          </cell>
          <cell r="AY302">
            <v>370.97542606793741</v>
          </cell>
          <cell r="AZ302">
            <v>0</v>
          </cell>
          <cell r="BB302">
            <v>313.66727724597587</v>
          </cell>
          <cell r="BC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0</v>
          </cell>
          <cell r="BK302">
            <v>118.21256501765102</v>
          </cell>
          <cell r="BL302">
            <v>0</v>
          </cell>
          <cell r="BN302">
            <v>0</v>
          </cell>
          <cell r="BO302">
            <v>0</v>
          </cell>
          <cell r="BT302">
            <v>5808.6604039677914</v>
          </cell>
          <cell r="BU302">
            <v>4734.1353204156039</v>
          </cell>
          <cell r="BW302">
            <v>2198.6644359415013</v>
          </cell>
          <cell r="BX302">
            <v>2206.7123734325869</v>
          </cell>
          <cell r="BZ302">
            <v>1439.7153316790893</v>
          </cell>
          <cell r="CA302">
            <v>3953.7631593889478</v>
          </cell>
          <cell r="CC302">
            <v>113.73124821951032</v>
          </cell>
          <cell r="CD302">
            <v>114.98550580174697</v>
          </cell>
          <cell r="CF302">
            <v>14.001005936113961</v>
          </cell>
          <cell r="CG302">
            <v>0</v>
          </cell>
          <cell r="CI302">
            <v>1070.0185226294839</v>
          </cell>
          <cell r="CJ302">
            <v>602.02095685204961</v>
          </cell>
          <cell r="CL302">
            <v>0</v>
          </cell>
          <cell r="CM302">
            <v>0</v>
          </cell>
          <cell r="CX302">
            <v>536.34631370302304</v>
          </cell>
          <cell r="CY302">
            <v>2743.0146964980358</v>
          </cell>
        </row>
        <row r="303">
          <cell r="I303">
            <v>1367.7410361290968</v>
          </cell>
          <cell r="J303">
            <v>1512.09346798245</v>
          </cell>
          <cell r="L303">
            <v>287.85748463911119</v>
          </cell>
          <cell r="M303">
            <v>316.79199935142708</v>
          </cell>
          <cell r="O303">
            <v>532.55999999999995</v>
          </cell>
          <cell r="P303">
            <v>532.54999999999995</v>
          </cell>
          <cell r="R303">
            <v>120.58</v>
          </cell>
          <cell r="S303">
            <v>120.56</v>
          </cell>
          <cell r="U303">
            <v>88.645113504097054</v>
          </cell>
          <cell r="V303">
            <v>252.87342697907445</v>
          </cell>
          <cell r="X303">
            <v>909.36904397144713</v>
          </cell>
          <cell r="Y303">
            <v>851.39500087586748</v>
          </cell>
          <cell r="AA303">
            <v>0</v>
          </cell>
          <cell r="AB303">
            <v>0</v>
          </cell>
          <cell r="AD303">
            <v>1866.6142558202171</v>
          </cell>
          <cell r="AE303">
            <v>1984.6968102980823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315.67254763121656</v>
          </cell>
          <cell r="AQ303">
            <v>0</v>
          </cell>
          <cell r="AS303">
            <v>4936.2947533393517</v>
          </cell>
          <cell r="AT303">
            <v>0</v>
          </cell>
          <cell r="AV303">
            <v>235.2159873626965</v>
          </cell>
          <cell r="AW303">
            <v>0</v>
          </cell>
          <cell r="AY303">
            <v>370.97542606793741</v>
          </cell>
          <cell r="AZ303">
            <v>0</v>
          </cell>
          <cell r="BB303">
            <v>279.88110539235134</v>
          </cell>
          <cell r="BC303">
            <v>0</v>
          </cell>
          <cell r="BE303">
            <v>131.41230815033148</v>
          </cell>
          <cell r="BF303">
            <v>0</v>
          </cell>
          <cell r="BH303">
            <v>89.960355179059135</v>
          </cell>
          <cell r="BI303">
            <v>0</v>
          </cell>
          <cell r="BK303">
            <v>118.21257789507058</v>
          </cell>
          <cell r="BL303">
            <v>0</v>
          </cell>
          <cell r="BN303">
            <v>0</v>
          </cell>
          <cell r="BO303">
            <v>0</v>
          </cell>
          <cell r="BT303">
            <v>7882.1749946396194</v>
          </cell>
          <cell r="BU303">
            <v>6289.7413578150563</v>
          </cell>
          <cell r="BW303">
            <v>2972.8835895816837</v>
          </cell>
          <cell r="BX303">
            <v>2986.162660655847</v>
          </cell>
          <cell r="BZ303">
            <v>2205.630941443414</v>
          </cell>
          <cell r="CA303">
            <v>5291.6682059722853</v>
          </cell>
          <cell r="CC303">
            <v>58.826507699746713</v>
          </cell>
          <cell r="CD303">
            <v>59.475261621593262</v>
          </cell>
          <cell r="CF303">
            <v>7.2418996221279102</v>
          </cell>
          <cell r="CG303">
            <v>0</v>
          </cell>
          <cell r="CI303">
            <v>811.09275767832594</v>
          </cell>
          <cell r="CJ303">
            <v>995.95901539413831</v>
          </cell>
          <cell r="CL303">
            <v>0</v>
          </cell>
          <cell r="CM303">
            <v>0</v>
          </cell>
          <cell r="CX303">
            <v>63.268777103719913</v>
          </cell>
          <cell r="CY303">
            <v>5337.1193516650146</v>
          </cell>
        </row>
        <row r="304">
          <cell r="I304">
            <v>2956.5241919586238</v>
          </cell>
          <cell r="J304">
            <v>2550.340585217672</v>
          </cell>
          <cell r="L304">
            <v>570.78385796675877</v>
          </cell>
          <cell r="M304">
            <v>514.66699200686821</v>
          </cell>
          <cell r="O304">
            <v>1271.4000000000001</v>
          </cell>
          <cell r="P304">
            <v>1271.4000000000001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>
            <v>2366.2425399499689</v>
          </cell>
          <cell r="Y304">
            <v>1833.24710672015</v>
          </cell>
          <cell r="AA304">
            <v>0</v>
          </cell>
          <cell r="AB304">
            <v>0</v>
          </cell>
          <cell r="AD304">
            <v>3582.0778669416718</v>
          </cell>
          <cell r="AE304">
            <v>3936.5790059834708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2178.1405786553946</v>
          </cell>
          <cell r="AQ304">
            <v>644.9741685152693</v>
          </cell>
          <cell r="AS304">
            <v>9233.3596955533867</v>
          </cell>
          <cell r="AT304">
            <v>69966.602597077406</v>
          </cell>
          <cell r="AV304">
            <v>536.98858182502408</v>
          </cell>
          <cell r="AW304">
            <v>0</v>
          </cell>
          <cell r="AY304">
            <v>735.63830986835274</v>
          </cell>
          <cell r="AZ304">
            <v>0</v>
          </cell>
          <cell r="BB304">
            <v>498.87522422955419</v>
          </cell>
          <cell r="BC304">
            <v>0</v>
          </cell>
          <cell r="BE304">
            <v>0</v>
          </cell>
          <cell r="BF304">
            <v>0</v>
          </cell>
          <cell r="BH304">
            <v>0</v>
          </cell>
          <cell r="BI304">
            <v>0</v>
          </cell>
          <cell r="BK304">
            <v>321.34271961888942</v>
          </cell>
          <cell r="BL304">
            <v>0</v>
          </cell>
          <cell r="BN304">
            <v>237.68739725384614</v>
          </cell>
          <cell r="BO304">
            <v>0</v>
          </cell>
          <cell r="BT304">
            <v>7220.6160561497554</v>
          </cell>
          <cell r="BU304">
            <v>7223.0996304456785</v>
          </cell>
          <cell r="BW304">
            <v>4073.6830493193465</v>
          </cell>
          <cell r="BX304">
            <v>5009.586412165394</v>
          </cell>
          <cell r="BZ304">
            <v>3502.2065808600578</v>
          </cell>
          <cell r="CA304">
            <v>6813.7150956052637</v>
          </cell>
          <cell r="CC304">
            <v>15.687068719932457</v>
          </cell>
          <cell r="CD304">
            <v>15.860069765758203</v>
          </cell>
          <cell r="CF304">
            <v>1.9311732325674427</v>
          </cell>
          <cell r="CG304">
            <v>0</v>
          </cell>
          <cell r="CI304">
            <v>1952.8617934870463</v>
          </cell>
          <cell r="CJ304">
            <v>480.7181060917377</v>
          </cell>
          <cell r="CL304">
            <v>0</v>
          </cell>
          <cell r="CM304">
            <v>0</v>
          </cell>
          <cell r="CX304">
            <v>994.94397729178309</v>
          </cell>
          <cell r="CY304">
            <v>-69810.747723513603</v>
          </cell>
        </row>
        <row r="305">
          <cell r="I305">
            <v>1456.9727095287185</v>
          </cell>
          <cell r="J305">
            <v>1265.2867812541429</v>
          </cell>
          <cell r="L305">
            <v>292.74013687093884</v>
          </cell>
          <cell r="M305">
            <v>263.95915539595387</v>
          </cell>
          <cell r="O305">
            <v>776.82</v>
          </cell>
          <cell r="P305">
            <v>776.81666666666661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X305">
            <v>939.7324956333714</v>
          </cell>
          <cell r="Y305">
            <v>717.24031652877864</v>
          </cell>
          <cell r="AA305">
            <v>0</v>
          </cell>
          <cell r="AB305">
            <v>0</v>
          </cell>
          <cell r="AD305">
            <v>2024.2570380635609</v>
          </cell>
          <cell r="AE305">
            <v>2224.5880895824348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1160.096612544721</v>
          </cell>
          <cell r="AQ305">
            <v>501.64657551187616</v>
          </cell>
          <cell r="AS305">
            <v>3775.4779419759097</v>
          </cell>
          <cell r="AT305">
            <v>95.132802864205786</v>
          </cell>
          <cell r="AV305">
            <v>260.74742636054094</v>
          </cell>
          <cell r="AW305">
            <v>0</v>
          </cell>
          <cell r="AY305">
            <v>377.33626403379481</v>
          </cell>
          <cell r="AZ305">
            <v>0</v>
          </cell>
          <cell r="BB305">
            <v>286.46913740690536</v>
          </cell>
          <cell r="BC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K305">
            <v>122.81870137610875</v>
          </cell>
          <cell r="BL305">
            <v>0</v>
          </cell>
          <cell r="BN305">
            <v>119.34310272027908</v>
          </cell>
          <cell r="BO305">
            <v>0</v>
          </cell>
          <cell r="BT305">
            <v>2632.8943698044923</v>
          </cell>
          <cell r="BU305">
            <v>3229.6737096786815</v>
          </cell>
          <cell r="BW305">
            <v>2253.8475109640076</v>
          </cell>
          <cell r="BX305">
            <v>2667.9884324822524</v>
          </cell>
          <cell r="BZ305">
            <v>1789.1117046983588</v>
          </cell>
          <cell r="CA305">
            <v>3059.122695043875</v>
          </cell>
          <cell r="CC305">
            <v>115.201910912004</v>
          </cell>
          <cell r="CD305">
            <v>116.47238734228679</v>
          </cell>
          <cell r="CF305">
            <v>14.182053426667157</v>
          </cell>
          <cell r="CG305">
            <v>0</v>
          </cell>
          <cell r="CI305">
            <v>570.88451790436011</v>
          </cell>
          <cell r="CJ305">
            <v>198.22067805987169</v>
          </cell>
          <cell r="CL305">
            <v>0</v>
          </cell>
          <cell r="CM305">
            <v>0</v>
          </cell>
          <cell r="CX305">
            <v>1130.1796389303126</v>
          </cell>
          <cell r="CY305">
            <v>5753.5220515067667</v>
          </cell>
        </row>
        <row r="306">
          <cell r="I306">
            <v>1865.380218099715</v>
          </cell>
          <cell r="J306">
            <v>1613.1824573465785</v>
          </cell>
          <cell r="L306">
            <v>382.1501227217816</v>
          </cell>
          <cell r="M306">
            <v>375.60496429152084</v>
          </cell>
          <cell r="O306">
            <v>871.48</v>
          </cell>
          <cell r="P306">
            <v>871.48333333333335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1261.2501337003903</v>
          </cell>
          <cell r="Y306">
            <v>994.45863589604005</v>
          </cell>
          <cell r="AA306">
            <v>0</v>
          </cell>
          <cell r="AB306">
            <v>0</v>
          </cell>
          <cell r="AD306">
            <v>2348.4149529816464</v>
          </cell>
          <cell r="AE306">
            <v>2580.8263652119385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1515.2282286298396</v>
          </cell>
          <cell r="AQ306">
            <v>0</v>
          </cell>
          <cell r="AS306">
            <v>4717.2020944824671</v>
          </cell>
          <cell r="AT306">
            <v>2533.6106301055388</v>
          </cell>
          <cell r="AV306">
            <v>326.06781225211932</v>
          </cell>
          <cell r="AW306">
            <v>0</v>
          </cell>
          <cell r="AY306">
            <v>492.56202672116706</v>
          </cell>
          <cell r="AZ306">
            <v>0</v>
          </cell>
          <cell r="BB306">
            <v>300.2074328718092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K306">
            <v>176.52030214061796</v>
          </cell>
          <cell r="BL306">
            <v>361.07703759210381</v>
          </cell>
          <cell r="BN306">
            <v>107.05787424455717</v>
          </cell>
          <cell r="BO306">
            <v>0</v>
          </cell>
          <cell r="BT306">
            <v>6473.3966128912243</v>
          </cell>
          <cell r="BU306">
            <v>7903.6393965333391</v>
          </cell>
          <cell r="BW306">
            <v>2637.0462610794589</v>
          </cell>
          <cell r="BX306">
            <v>3123.063256980462</v>
          </cell>
          <cell r="BZ306">
            <v>4236.2565573285665</v>
          </cell>
          <cell r="CA306">
            <v>7507.1624418330603</v>
          </cell>
          <cell r="CC306">
            <v>196.67662407615319</v>
          </cell>
          <cell r="CD306">
            <v>198.84562468819348</v>
          </cell>
          <cell r="CF306">
            <v>24.212084403314314</v>
          </cell>
          <cell r="CG306">
            <v>0</v>
          </cell>
          <cell r="CI306">
            <v>1441.2494386437945</v>
          </cell>
          <cell r="CJ306">
            <v>993.61675254771501</v>
          </cell>
          <cell r="CL306">
            <v>0</v>
          </cell>
          <cell r="CM306">
            <v>0</v>
          </cell>
          <cell r="CX306">
            <v>-0.61053272234858014</v>
          </cell>
          <cell r="CY306">
            <v>378.33492436820961</v>
          </cell>
        </row>
        <row r="307">
          <cell r="I307">
            <v>3028.4179462609359</v>
          </cell>
          <cell r="J307">
            <v>2626.7067123603974</v>
          </cell>
          <cell r="L307">
            <v>682.83357792912227</v>
          </cell>
          <cell r="M307">
            <v>667.40752814427424</v>
          </cell>
          <cell r="O307">
            <v>1314.82</v>
          </cell>
          <cell r="P307">
            <v>1314.8166666666666</v>
          </cell>
          <cell r="R307">
            <v>298.32</v>
          </cell>
          <cell r="S307">
            <v>298.33199999999999</v>
          </cell>
          <cell r="U307">
            <v>206.87093145953389</v>
          </cell>
          <cell r="V307">
            <v>72.510983598592432</v>
          </cell>
          <cell r="X307">
            <v>2975.9022482921964</v>
          </cell>
          <cell r="Y307">
            <v>2361.4861542478684</v>
          </cell>
          <cell r="AA307">
            <v>0</v>
          </cell>
          <cell r="AB307">
            <v>0</v>
          </cell>
          <cell r="AD307">
            <v>4105.6463117966159</v>
          </cell>
          <cell r="AE307">
            <v>4544.6988174538983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670.80416371633532</v>
          </cell>
          <cell r="AQ307">
            <v>3645.7424559498813</v>
          </cell>
          <cell r="AS307">
            <v>13481.383032372123</v>
          </cell>
          <cell r="AT307">
            <v>1382.1869410379879</v>
          </cell>
          <cell r="AV307">
            <v>542.09011909004789</v>
          </cell>
          <cell r="AW307">
            <v>0</v>
          </cell>
          <cell r="AY307">
            <v>850.60757030285652</v>
          </cell>
          <cell r="AZ307">
            <v>5770.0688737719811</v>
          </cell>
          <cell r="BB307">
            <v>489.80949694715548</v>
          </cell>
          <cell r="BC307">
            <v>0</v>
          </cell>
          <cell r="BE307">
            <v>271.06661852588115</v>
          </cell>
          <cell r="BF307">
            <v>0</v>
          </cell>
          <cell r="BH307">
            <v>209.85895464751857</v>
          </cell>
          <cell r="BI307">
            <v>25.7652888</v>
          </cell>
          <cell r="BK307">
            <v>427.20193121784132</v>
          </cell>
          <cell r="BL307">
            <v>1146.8836008191911</v>
          </cell>
          <cell r="BN307">
            <v>232.06982656797737</v>
          </cell>
          <cell r="BO307">
            <v>0</v>
          </cell>
          <cell r="BT307">
            <v>6664.8470942676622</v>
          </cell>
          <cell r="BU307">
            <v>7379.0786327044207</v>
          </cell>
          <cell r="BW307">
            <v>5651.0940655556651</v>
          </cell>
          <cell r="BX307">
            <v>6777.5848557590107</v>
          </cell>
          <cell r="BZ307">
            <v>3836.4944222981553</v>
          </cell>
          <cell r="CA307">
            <v>7100.6929384262703</v>
          </cell>
          <cell r="CC307">
            <v>431.68852233664131</v>
          </cell>
          <cell r="CD307">
            <v>436.44929486645856</v>
          </cell>
          <cell r="CF307">
            <v>53.143473393715311</v>
          </cell>
          <cell r="CG307">
            <v>0</v>
          </cell>
          <cell r="CI307">
            <v>2439.5174480940414</v>
          </cell>
          <cell r="CJ307">
            <v>1199.6693928030127</v>
          </cell>
          <cell r="CL307">
            <v>0</v>
          </cell>
          <cell r="CM307">
            <v>0</v>
          </cell>
          <cell r="CX307">
            <v>3311.9746939135803</v>
          </cell>
          <cell r="CY307">
            <v>5849.2626351081053</v>
          </cell>
        </row>
        <row r="308">
          <cell r="I308">
            <v>2144.645149117503</v>
          </cell>
          <cell r="J308">
            <v>1845.2163183850021</v>
          </cell>
          <cell r="L308">
            <v>429.59193429862819</v>
          </cell>
          <cell r="M308">
            <v>439.0668504222017</v>
          </cell>
          <cell r="O308">
            <v>823.1</v>
          </cell>
          <cell r="P308">
            <v>823.08333333333337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X308">
            <v>1247.2145862139712</v>
          </cell>
          <cell r="Y308">
            <v>981.73674941569516</v>
          </cell>
          <cell r="AA308">
            <v>0</v>
          </cell>
          <cell r="AB308">
            <v>0</v>
          </cell>
          <cell r="AD308">
            <v>2273.3883623456932</v>
          </cell>
          <cell r="AE308">
            <v>2498.3747512161281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1657.2808750638872</v>
          </cell>
          <cell r="AQ308">
            <v>0</v>
          </cell>
          <cell r="AS308">
            <v>5950.6543204209074</v>
          </cell>
          <cell r="AT308">
            <v>705.7806092044051</v>
          </cell>
          <cell r="AV308">
            <v>356.05503281979952</v>
          </cell>
          <cell r="AW308">
            <v>0</v>
          </cell>
          <cell r="AY308">
            <v>553.69522338747106</v>
          </cell>
          <cell r="AZ308">
            <v>0</v>
          </cell>
          <cell r="BB308">
            <v>316.94103982577809</v>
          </cell>
          <cell r="BC308">
            <v>0</v>
          </cell>
          <cell r="BE308">
            <v>0</v>
          </cell>
          <cell r="BF308">
            <v>0</v>
          </cell>
          <cell r="BH308">
            <v>0</v>
          </cell>
          <cell r="BI308">
            <v>0</v>
          </cell>
          <cell r="BK308">
            <v>174.41860246110207</v>
          </cell>
          <cell r="BL308">
            <v>636.86621478308132</v>
          </cell>
          <cell r="BN308">
            <v>200.88589227223855</v>
          </cell>
          <cell r="BO308">
            <v>0</v>
          </cell>
          <cell r="BT308">
            <v>4364.2065204496175</v>
          </cell>
          <cell r="BU308">
            <v>3681.2261792957261</v>
          </cell>
          <cell r="BW308">
            <v>2856.3341959829895</v>
          </cell>
          <cell r="BX308">
            <v>2406.2052838630057</v>
          </cell>
          <cell r="BZ308">
            <v>1960.9423683501768</v>
          </cell>
          <cell r="CA308">
            <v>2871.4969861087961</v>
          </cell>
          <cell r="CC308">
            <v>144.61516476187737</v>
          </cell>
          <cell r="CD308">
            <v>146.21001815308344</v>
          </cell>
          <cell r="CF308">
            <v>17.803003237731112</v>
          </cell>
          <cell r="CG308">
            <v>0</v>
          </cell>
          <cell r="CI308">
            <v>976.43089674352314</v>
          </cell>
          <cell r="CJ308">
            <v>537.79071684269593</v>
          </cell>
          <cell r="CL308">
            <v>0</v>
          </cell>
          <cell r="CM308">
            <v>0</v>
          </cell>
          <cell r="CX308">
            <v>647.8561986965251</v>
          </cell>
          <cell r="CY308">
            <v>11298.035186772215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47.350882144682487</v>
          </cell>
          <cell r="AQ309">
            <v>0</v>
          </cell>
          <cell r="AS309">
            <v>371.67113217406614</v>
          </cell>
          <cell r="AT309">
            <v>0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B309">
            <v>0</v>
          </cell>
          <cell r="BC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K309">
            <v>0</v>
          </cell>
          <cell r="BL309">
            <v>0</v>
          </cell>
          <cell r="BN309">
            <v>0</v>
          </cell>
          <cell r="BO309">
            <v>0</v>
          </cell>
          <cell r="BT309">
            <v>0</v>
          </cell>
          <cell r="BU309">
            <v>0</v>
          </cell>
          <cell r="BW309">
            <v>0</v>
          </cell>
          <cell r="BX309">
            <v>0.62112658806990695</v>
          </cell>
          <cell r="BZ309">
            <v>0</v>
          </cell>
          <cell r="CA309">
            <v>0</v>
          </cell>
          <cell r="CC309">
            <v>0</v>
          </cell>
          <cell r="CD309">
            <v>0</v>
          </cell>
          <cell r="CF309">
            <v>0</v>
          </cell>
          <cell r="CG309">
            <v>0</v>
          </cell>
          <cell r="CI309">
            <v>0</v>
          </cell>
          <cell r="CJ309">
            <v>0</v>
          </cell>
          <cell r="CL309">
            <v>0</v>
          </cell>
          <cell r="CM309">
            <v>0</v>
          </cell>
          <cell r="CX309">
            <v>12.553582817501649</v>
          </cell>
          <cell r="CY309">
            <v>514.63464809431616</v>
          </cell>
        </row>
        <row r="310">
          <cell r="I310">
            <v>1141.4247850654117</v>
          </cell>
          <cell r="J310">
            <v>1270.8803242504982</v>
          </cell>
          <cell r="L310">
            <v>165.85042108884559</v>
          </cell>
          <cell r="M310">
            <v>182.52038612623767</v>
          </cell>
          <cell r="O310">
            <v>481.08</v>
          </cell>
          <cell r="P310">
            <v>481.08333333333331</v>
          </cell>
          <cell r="R310">
            <v>121.76</v>
          </cell>
          <cell r="S310">
            <v>121.76</v>
          </cell>
          <cell r="U310">
            <v>65.029090713311319</v>
          </cell>
          <cell r="V310">
            <v>185.50614582057798</v>
          </cell>
          <cell r="X310">
            <v>671.15385085154321</v>
          </cell>
          <cell r="Y310">
            <v>646.6577863045776</v>
          </cell>
          <cell r="AA310">
            <v>0</v>
          </cell>
          <cell r="AB310">
            <v>0</v>
          </cell>
          <cell r="AD310">
            <v>1520.2505224730248</v>
          </cell>
          <cell r="AE310">
            <v>1670.7024562010063</v>
          </cell>
          <cell r="AJ310">
            <v>4800.7555319648973</v>
          </cell>
          <cell r="AK310">
            <v>4853.6995040103793</v>
          </cell>
          <cell r="AM310">
            <v>0</v>
          </cell>
          <cell r="AN310">
            <v>0</v>
          </cell>
          <cell r="AP310">
            <v>378.80705715745989</v>
          </cell>
          <cell r="AQ310">
            <v>334.43105034125074</v>
          </cell>
          <cell r="AS310">
            <v>5252.7729232824277</v>
          </cell>
          <cell r="AT310">
            <v>214.06267902198385</v>
          </cell>
          <cell r="AV310">
            <v>72.145296138836983</v>
          </cell>
          <cell r="AW310">
            <v>0</v>
          </cell>
          <cell r="AY310">
            <v>84.872810033977956</v>
          </cell>
          <cell r="AZ310">
            <v>0</v>
          </cell>
          <cell r="BB310">
            <v>109.49441663650556</v>
          </cell>
          <cell r="BC310">
            <v>0</v>
          </cell>
          <cell r="BE310">
            <v>57.686128782423815</v>
          </cell>
          <cell r="BF310">
            <v>0</v>
          </cell>
          <cell r="BH310">
            <v>26.384494126153122</v>
          </cell>
          <cell r="BI310">
            <v>0</v>
          </cell>
          <cell r="BK310">
            <v>53.107231388226225</v>
          </cell>
          <cell r="BL310">
            <v>273.37097428614572</v>
          </cell>
          <cell r="BN310">
            <v>0</v>
          </cell>
          <cell r="BO310">
            <v>0</v>
          </cell>
          <cell r="BT310">
            <v>7045.0923007383235</v>
          </cell>
          <cell r="BU310">
            <v>5452.7545156514461</v>
          </cell>
          <cell r="BW310">
            <v>3217.8033091012931</v>
          </cell>
          <cell r="BX310">
            <v>5522.0899357660201</v>
          </cell>
          <cell r="BZ310">
            <v>887.23347568032386</v>
          </cell>
          <cell r="CA310">
            <v>5273.8170869400074</v>
          </cell>
          <cell r="CC310">
            <v>24.511044874894466</v>
          </cell>
          <cell r="CD310">
            <v>24.781359008997192</v>
          </cell>
          <cell r="CF310">
            <v>3.0174581758866292</v>
          </cell>
          <cell r="CG310">
            <v>0</v>
          </cell>
          <cell r="CI310">
            <v>1587.8700525317995</v>
          </cell>
          <cell r="CJ310">
            <v>1221.7059021375087</v>
          </cell>
          <cell r="CL310">
            <v>330.67627813039439</v>
          </cell>
          <cell r="CM310">
            <v>949.05056501432784</v>
          </cell>
          <cell r="CX310">
            <v>529.9858252768463</v>
          </cell>
          <cell r="CY310">
            <v>-166.12880505715657</v>
          </cell>
        </row>
        <row r="311">
          <cell r="I311">
            <v>3891.675913268823</v>
          </cell>
          <cell r="J311">
            <v>4315.8788749536689</v>
          </cell>
          <cell r="L311">
            <v>600.17717966089572</v>
          </cell>
          <cell r="M311">
            <v>660.50344905034558</v>
          </cell>
          <cell r="O311">
            <v>1592.02</v>
          </cell>
          <cell r="P311">
            <v>1592.0166666666669</v>
          </cell>
          <cell r="R311">
            <v>337.78</v>
          </cell>
          <cell r="S311">
            <v>337.78</v>
          </cell>
          <cell r="U311">
            <v>195.03873136964788</v>
          </cell>
          <cell r="V311">
            <v>556.37779595618395</v>
          </cell>
          <cell r="X311">
            <v>1725.4278623829603</v>
          </cell>
          <cell r="Y311">
            <v>1676.6196022004078</v>
          </cell>
          <cell r="AA311">
            <v>0</v>
          </cell>
          <cell r="AB311">
            <v>0</v>
          </cell>
          <cell r="AD311">
            <v>4575.5887028392926</v>
          </cell>
          <cell r="AE311">
            <v>5028.4128644559132</v>
          </cell>
          <cell r="AJ311">
            <v>14402.266595894693</v>
          </cell>
          <cell r="AK311">
            <v>14561.070339958776</v>
          </cell>
          <cell r="AM311">
            <v>0</v>
          </cell>
          <cell r="AN311">
            <v>0</v>
          </cell>
          <cell r="AP311">
            <v>852.31587860428476</v>
          </cell>
          <cell r="AQ311">
            <v>0</v>
          </cell>
          <cell r="AS311">
            <v>15847.528667418721</v>
          </cell>
          <cell r="AT311">
            <v>4036.6895180841698</v>
          </cell>
          <cell r="AV311">
            <v>121.58007400255997</v>
          </cell>
          <cell r="AW311">
            <v>1286.6908589780044</v>
          </cell>
          <cell r="AY311">
            <v>159.30104863470086</v>
          </cell>
          <cell r="AZ311">
            <v>0</v>
          </cell>
          <cell r="BB311">
            <v>155.80471250959988</v>
          </cell>
          <cell r="BC311">
            <v>0</v>
          </cell>
          <cell r="BE311">
            <v>65.835441136694755</v>
          </cell>
          <cell r="BF311">
            <v>0</v>
          </cell>
          <cell r="BH311">
            <v>39.576724851099698</v>
          </cell>
          <cell r="BI311">
            <v>0</v>
          </cell>
          <cell r="BK311">
            <v>92.643523219730568</v>
          </cell>
          <cell r="BL311">
            <v>0</v>
          </cell>
          <cell r="BN311">
            <v>0</v>
          </cell>
          <cell r="BO311">
            <v>0</v>
          </cell>
          <cell r="BT311">
            <v>11136.08742225672</v>
          </cell>
          <cell r="BU311">
            <v>9710.4279005289536</v>
          </cell>
          <cell r="BW311">
            <v>8699.8429876710579</v>
          </cell>
          <cell r="BX311">
            <v>11562.376355121261</v>
          </cell>
          <cell r="BZ311">
            <v>2657.3724588669211</v>
          </cell>
          <cell r="CA311">
            <v>9350.5955570785882</v>
          </cell>
          <cell r="CC311">
            <v>172.06753502175914</v>
          </cell>
          <cell r="CD311">
            <v>173.96514024316031</v>
          </cell>
          <cell r="CF311">
            <v>21.182556394724138</v>
          </cell>
          <cell r="CG311">
            <v>0</v>
          </cell>
          <cell r="CI311">
            <v>1762.5669541855927</v>
          </cell>
          <cell r="CJ311">
            <v>780.48700039963717</v>
          </cell>
          <cell r="CL311">
            <v>2470.7133233893614</v>
          </cell>
          <cell r="CM311">
            <v>2990.7728659174459</v>
          </cell>
          <cell r="CX311">
            <v>2003.0668477041909</v>
          </cell>
          <cell r="CY311">
            <v>5547.5422524881724</v>
          </cell>
        </row>
        <row r="312">
          <cell r="I312">
            <v>1855.709449170587</v>
          </cell>
          <cell r="J312">
            <v>2060.349609930282</v>
          </cell>
          <cell r="L312">
            <v>380.52254474762248</v>
          </cell>
          <cell r="M312">
            <v>418.77112677670232</v>
          </cell>
          <cell r="O312">
            <v>765.12</v>
          </cell>
          <cell r="P312">
            <v>765.11666666666667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X312">
            <v>1264.5935845780994</v>
          </cell>
          <cell r="Y312">
            <v>1215.3837826390745</v>
          </cell>
          <cell r="AA312">
            <v>0</v>
          </cell>
          <cell r="AB312">
            <v>0</v>
          </cell>
          <cell r="AD312">
            <v>2404.8416764481622</v>
          </cell>
          <cell r="AE312">
            <v>2642.8373720146383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1515.2282286298396</v>
          </cell>
          <cell r="AQ312">
            <v>4306.8273110899681</v>
          </cell>
          <cell r="AS312">
            <v>5412.1138316388606</v>
          </cell>
          <cell r="AT312">
            <v>1908.6160394370359</v>
          </cell>
          <cell r="AV312">
            <v>308.63227648939352</v>
          </cell>
          <cell r="AW312">
            <v>0</v>
          </cell>
          <cell r="AY312">
            <v>490.42556714245251</v>
          </cell>
          <cell r="AZ312">
            <v>0</v>
          </cell>
          <cell r="BB312">
            <v>392.24599536342089</v>
          </cell>
          <cell r="BC312">
            <v>0</v>
          </cell>
          <cell r="BE312">
            <v>0</v>
          </cell>
          <cell r="BF312">
            <v>0</v>
          </cell>
          <cell r="BH312">
            <v>0</v>
          </cell>
          <cell r="BI312">
            <v>0</v>
          </cell>
          <cell r="BK312">
            <v>174.41860683958959</v>
          </cell>
          <cell r="BL312">
            <v>0</v>
          </cell>
          <cell r="BN312">
            <v>0</v>
          </cell>
          <cell r="BO312">
            <v>0</v>
          </cell>
          <cell r="BT312">
            <v>5729.9409402849542</v>
          </cell>
          <cell r="BU312">
            <v>2635.7364219707306</v>
          </cell>
          <cell r="BW312">
            <v>3952.4787555964867</v>
          </cell>
          <cell r="BX312">
            <v>1997.8091982137248</v>
          </cell>
          <cell r="BZ312">
            <v>2369.6142110026649</v>
          </cell>
          <cell r="CA312">
            <v>3228.3618765448659</v>
          </cell>
          <cell r="CC312">
            <v>130.39875873443856</v>
          </cell>
          <cell r="CD312">
            <v>131.83682992786507</v>
          </cell>
          <cell r="CF312">
            <v>16.052877495716867</v>
          </cell>
          <cell r="CG312">
            <v>0</v>
          </cell>
          <cell r="CI312">
            <v>1101.214397924804</v>
          </cell>
          <cell r="CJ312">
            <v>552.51862685826688</v>
          </cell>
          <cell r="CL312">
            <v>0</v>
          </cell>
          <cell r="CM312">
            <v>0</v>
          </cell>
          <cell r="CX312">
            <v>678.33795749548881</v>
          </cell>
          <cell r="CY312">
            <v>8357.6021655162185</v>
          </cell>
        </row>
        <row r="313">
          <cell r="I313">
            <v>3689.4693573970144</v>
          </cell>
          <cell r="J313">
            <v>4077.6605612022177</v>
          </cell>
          <cell r="L313">
            <v>587.5027948209671</v>
          </cell>
          <cell r="M313">
            <v>673.37169013843504</v>
          </cell>
          <cell r="O313">
            <v>1137.76</v>
          </cell>
          <cell r="P313">
            <v>1137.75</v>
          </cell>
          <cell r="R313">
            <v>263.98</v>
          </cell>
          <cell r="S313">
            <v>263.98</v>
          </cell>
          <cell r="U313">
            <v>147.75798163649051</v>
          </cell>
          <cell r="V313">
            <v>421.5025921336408</v>
          </cell>
          <cell r="X313">
            <v>1114.7100315474197</v>
          </cell>
          <cell r="Y313">
            <v>1124.8122869000329</v>
          </cell>
          <cell r="AA313">
            <v>0</v>
          </cell>
          <cell r="AB313">
            <v>0</v>
          </cell>
          <cell r="AD313">
            <v>3745.7566980327219</v>
          </cell>
          <cell r="AE313">
            <v>4126.9507606386906</v>
          </cell>
          <cell r="AJ313">
            <v>7818.3771148173601</v>
          </cell>
          <cell r="AK313">
            <v>7904.600197132595</v>
          </cell>
          <cell r="AM313">
            <v>0</v>
          </cell>
          <cell r="AN313">
            <v>0</v>
          </cell>
          <cell r="AP313">
            <v>710.2632321702373</v>
          </cell>
          <cell r="AQ313">
            <v>0</v>
          </cell>
          <cell r="AS313">
            <v>12773.36424678388</v>
          </cell>
          <cell r="AT313">
            <v>603.84626433482299</v>
          </cell>
          <cell r="AV313">
            <v>299.40314063924632</v>
          </cell>
          <cell r="AW313">
            <v>754.29647901999078</v>
          </cell>
          <cell r="AY313">
            <v>382.22287577264916</v>
          </cell>
          <cell r="AZ313">
            <v>0</v>
          </cell>
          <cell r="BB313">
            <v>393.17290868409344</v>
          </cell>
          <cell r="BC313">
            <v>0</v>
          </cell>
          <cell r="BE313">
            <v>151.25715432493635</v>
          </cell>
          <cell r="BF313">
            <v>616.4757719159312</v>
          </cell>
          <cell r="BH313">
            <v>74.942692264072917</v>
          </cell>
          <cell r="BI313">
            <v>0</v>
          </cell>
          <cell r="BK313">
            <v>322.07430498385054</v>
          </cell>
          <cell r="BL313">
            <v>811.33478098866101</v>
          </cell>
          <cell r="BN313">
            <v>0</v>
          </cell>
          <cell r="BO313">
            <v>0</v>
          </cell>
          <cell r="BT313">
            <v>8675.0093822070376</v>
          </cell>
          <cell r="BU313">
            <v>6977.7121964739545</v>
          </cell>
          <cell r="BW313">
            <v>10475.761450403141</v>
          </cell>
          <cell r="BX313">
            <v>13929.986498440159</v>
          </cell>
          <cell r="BZ313">
            <v>878.5775393322233</v>
          </cell>
          <cell r="CA313">
            <v>6639.0384026460533</v>
          </cell>
          <cell r="CC313">
            <v>135.30096770941745</v>
          </cell>
          <cell r="CD313">
            <v>136.7931017296645</v>
          </cell>
          <cell r="CF313">
            <v>16.656369130894195</v>
          </cell>
          <cell r="CG313">
            <v>0</v>
          </cell>
          <cell r="CI313">
            <v>2517.5071363323418</v>
          </cell>
          <cell r="CJ313">
            <v>3449.132393212225</v>
          </cell>
          <cell r="CL313">
            <v>5920.977131051779</v>
          </cell>
          <cell r="CM313">
            <v>2321.7868840522433</v>
          </cell>
          <cell r="CX313">
            <v>2034.2345879498898</v>
          </cell>
          <cell r="CY313">
            <v>9547.1629668488386</v>
          </cell>
        </row>
        <row r="314">
          <cell r="I314">
            <v>3449.7755903847119</v>
          </cell>
          <cell r="J314">
            <v>3886.95113012615</v>
          </cell>
          <cell r="L314">
            <v>680.02010866172282</v>
          </cell>
          <cell r="M314">
            <v>748.37157427733894</v>
          </cell>
          <cell r="O314">
            <v>2089.56</v>
          </cell>
          <cell r="P314">
            <v>2089.5666666666666</v>
          </cell>
          <cell r="R314">
            <v>492.3</v>
          </cell>
          <cell r="S314">
            <v>492.3</v>
          </cell>
          <cell r="U314">
            <v>260.0677403923093</v>
          </cell>
          <cell r="V314">
            <v>862.39108404285253</v>
          </cell>
          <cell r="X314">
            <v>2453.1927875344977</v>
          </cell>
          <cell r="Y314">
            <v>2384.8843299719397</v>
          </cell>
          <cell r="AA314">
            <v>0</v>
          </cell>
          <cell r="AB314">
            <v>0</v>
          </cell>
          <cell r="AD314">
            <v>6021.5822843523401</v>
          </cell>
          <cell r="AE314">
            <v>6644.763667813937</v>
          </cell>
          <cell r="AJ314">
            <v>11887.589371106998</v>
          </cell>
          <cell r="AK314">
            <v>12018.688777265357</v>
          </cell>
          <cell r="AM314">
            <v>0</v>
          </cell>
          <cell r="AN314">
            <v>798.01608136018467</v>
          </cell>
          <cell r="AP314">
            <v>1120.6375440908189</v>
          </cell>
          <cell r="AQ314">
            <v>6740.0910627921257</v>
          </cell>
          <cell r="AS314">
            <v>19256.164844230105</v>
          </cell>
          <cell r="AT314">
            <v>634.40189152047651</v>
          </cell>
          <cell r="AV314">
            <v>285.95847221364954</v>
          </cell>
          <cell r="AW314">
            <v>0</v>
          </cell>
          <cell r="AY314">
            <v>453.52599414512929</v>
          </cell>
          <cell r="AZ314">
            <v>0</v>
          </cell>
          <cell r="BB314">
            <v>508.91541862213694</v>
          </cell>
          <cell r="BC314">
            <v>0</v>
          </cell>
          <cell r="BE314">
            <v>269.21077308432922</v>
          </cell>
          <cell r="BF314">
            <v>0</v>
          </cell>
          <cell r="BH314">
            <v>131.92242978544064</v>
          </cell>
          <cell r="BI314">
            <v>0</v>
          </cell>
          <cell r="BK314">
            <v>367.24734680686328</v>
          </cell>
          <cell r="BL314">
            <v>0</v>
          </cell>
          <cell r="BN314">
            <v>0</v>
          </cell>
          <cell r="BO314">
            <v>0</v>
          </cell>
          <cell r="BT314">
            <v>23536.621741483654</v>
          </cell>
          <cell r="BU314">
            <v>18170.987747839627</v>
          </cell>
          <cell r="BW314">
            <v>13255.337426447353</v>
          </cell>
          <cell r="BX314">
            <v>17421.52981286966</v>
          </cell>
          <cell r="BZ314">
            <v>2059.2472572131619</v>
          </cell>
          <cell r="CA314">
            <v>17339.592906006244</v>
          </cell>
          <cell r="CC314">
            <v>300.0151892687083</v>
          </cell>
          <cell r="CD314">
            <v>303.32383427012564</v>
          </cell>
          <cell r="CF314">
            <v>36.933688072852341</v>
          </cell>
          <cell r="CG314">
            <v>0</v>
          </cell>
          <cell r="CI314">
            <v>2115.0803450227108</v>
          </cell>
          <cell r="CJ314">
            <v>1023.2235426393863</v>
          </cell>
          <cell r="CL314">
            <v>2707.8019756337953</v>
          </cell>
          <cell r="CM314">
            <v>3825.6379507470497</v>
          </cell>
          <cell r="CX314">
            <v>2772.8100057360425</v>
          </cell>
          <cell r="CY314">
            <v>797.5935277490571</v>
          </cell>
        </row>
        <row r="315">
          <cell r="I315">
            <v>3261.6525169802894</v>
          </cell>
          <cell r="J315">
            <v>3580.3905429377146</v>
          </cell>
          <cell r="L315">
            <v>516.78319372298949</v>
          </cell>
          <cell r="M315">
            <v>568.72766167613577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44.32263844269842</v>
          </cell>
          <cell r="V315">
            <v>126.43671348953723</v>
          </cell>
          <cell r="X315">
            <v>1203.0025609383945</v>
          </cell>
          <cell r="Y315">
            <v>1110.7795375855094</v>
          </cell>
          <cell r="AA315">
            <v>0</v>
          </cell>
          <cell r="AB315">
            <v>0</v>
          </cell>
          <cell r="AD315">
            <v>2506.0648616108788</v>
          </cell>
          <cell r="AE315">
            <v>2754.0781323866454</v>
          </cell>
          <cell r="AJ315">
            <v>1877.1003820555543</v>
          </cell>
          <cell r="AK315">
            <v>2277.3618359104621</v>
          </cell>
          <cell r="AM315">
            <v>278.53460085107349</v>
          </cell>
          <cell r="AN315">
            <v>337.92762284996172</v>
          </cell>
          <cell r="AP315">
            <v>781.28955538726109</v>
          </cell>
          <cell r="AQ315">
            <v>0</v>
          </cell>
          <cell r="AS315">
            <v>6653.4224571358491</v>
          </cell>
          <cell r="AT315">
            <v>3409.254254453931</v>
          </cell>
          <cell r="AV315">
            <v>256.75397524749241</v>
          </cell>
          <cell r="AW315">
            <v>0</v>
          </cell>
          <cell r="AY315">
            <v>333.0523260630502</v>
          </cell>
          <cell r="AZ315">
            <v>0</v>
          </cell>
          <cell r="BB315">
            <v>0</v>
          </cell>
          <cell r="BC315">
            <v>0</v>
          </cell>
          <cell r="BE315">
            <v>0</v>
          </cell>
          <cell r="BF315">
            <v>0</v>
          </cell>
          <cell r="BH315">
            <v>22.490068372102311</v>
          </cell>
          <cell r="BI315">
            <v>0</v>
          </cell>
          <cell r="BK315">
            <v>77.368966108617101</v>
          </cell>
          <cell r="BL315">
            <v>0</v>
          </cell>
          <cell r="BN315">
            <v>0</v>
          </cell>
          <cell r="BO315">
            <v>0</v>
          </cell>
          <cell r="BT315">
            <v>3164.9645781884769</v>
          </cell>
          <cell r="BU315">
            <v>3955.7539669102425</v>
          </cell>
          <cell r="BW315">
            <v>5161.7650497204995</v>
          </cell>
          <cell r="BX315">
            <v>6296.7475389296269</v>
          </cell>
          <cell r="BZ315">
            <v>2282.3810623087134</v>
          </cell>
          <cell r="CA315">
            <v>3837.6108178414329</v>
          </cell>
          <cell r="CC315">
            <v>16.716532604678026</v>
          </cell>
          <cell r="CD315">
            <v>16.900886844136082</v>
          </cell>
          <cell r="CF315">
            <v>2.057906475954681</v>
          </cell>
          <cell r="CG315">
            <v>0</v>
          </cell>
          <cell r="CI315">
            <v>442.98142919354717</v>
          </cell>
          <cell r="CJ315">
            <v>792.80219487387114</v>
          </cell>
          <cell r="CL315">
            <v>1279.0308871081293</v>
          </cell>
          <cell r="CM315">
            <v>1611.0399523523661</v>
          </cell>
          <cell r="CX315">
            <v>1005.39734178051</v>
          </cell>
          <cell r="CY315">
            <v>388.50600915011819</v>
          </cell>
        </row>
        <row r="316">
          <cell r="I316">
            <v>2781.4765038740534</v>
          </cell>
          <cell r="J316">
            <v>3467.5596382572667</v>
          </cell>
          <cell r="L316">
            <v>453.85581537701228</v>
          </cell>
          <cell r="M316">
            <v>600.45908305074522</v>
          </cell>
          <cell r="O316">
            <v>899.12</v>
          </cell>
          <cell r="P316">
            <v>899.32</v>
          </cell>
          <cell r="R316">
            <v>222.48</v>
          </cell>
          <cell r="S316">
            <v>222.24</v>
          </cell>
          <cell r="U316">
            <v>130.00964065633656</v>
          </cell>
          <cell r="V316">
            <v>141.80543907533328</v>
          </cell>
          <cell r="X316">
            <v>974.77311418430293</v>
          </cell>
          <cell r="Y316">
            <v>2459.3371440905303</v>
          </cell>
          <cell r="AA316">
            <v>0</v>
          </cell>
          <cell r="AB316">
            <v>0</v>
          </cell>
          <cell r="AD316">
            <v>2960.2294342960327</v>
          </cell>
          <cell r="AE316">
            <v>3253.1892038107508</v>
          </cell>
          <cell r="AJ316">
            <v>9601.5110639297945</v>
          </cell>
          <cell r="AK316">
            <v>9707.3764795125717</v>
          </cell>
          <cell r="AM316">
            <v>0</v>
          </cell>
          <cell r="AN316">
            <v>0</v>
          </cell>
          <cell r="AP316">
            <v>560.31877204540945</v>
          </cell>
          <cell r="AQ316">
            <v>0</v>
          </cell>
          <cell r="AS316">
            <v>10714.352313839907</v>
          </cell>
          <cell r="AT316">
            <v>223.01641652204219</v>
          </cell>
          <cell r="AV316">
            <v>224.51577674707013</v>
          </cell>
          <cell r="AW316">
            <v>0</v>
          </cell>
          <cell r="AY316">
            <v>300.12770757182062</v>
          </cell>
          <cell r="AZ316">
            <v>0</v>
          </cell>
          <cell r="BB316">
            <v>376.27692534240782</v>
          </cell>
          <cell r="BC316">
            <v>0</v>
          </cell>
          <cell r="BE316">
            <v>125.13234211792332</v>
          </cell>
          <cell r="BF316">
            <v>0</v>
          </cell>
          <cell r="BH316">
            <v>65.961235315382794</v>
          </cell>
          <cell r="BI316">
            <v>0</v>
          </cell>
          <cell r="BK316">
            <v>125.82945550466667</v>
          </cell>
          <cell r="BL316">
            <v>0</v>
          </cell>
          <cell r="BN316">
            <v>0</v>
          </cell>
          <cell r="BO316">
            <v>0</v>
          </cell>
          <cell r="BT316">
            <v>9839.560606017385</v>
          </cell>
          <cell r="BU316">
            <v>8092.9061658505343</v>
          </cell>
          <cell r="BW316">
            <v>6619.2653265028293</v>
          </cell>
          <cell r="BX316">
            <v>10898.972926658145</v>
          </cell>
          <cell r="BZ316">
            <v>863.69129340262396</v>
          </cell>
          <cell r="CA316">
            <v>7585.6076252662124</v>
          </cell>
          <cell r="CC316">
            <v>238.11499654164979</v>
          </cell>
          <cell r="CD316">
            <v>240.74099022880415</v>
          </cell>
          <cell r="CF316">
            <v>29.313399195468254</v>
          </cell>
          <cell r="CG316">
            <v>0</v>
          </cell>
          <cell r="CI316">
            <v>1815.5999421876372</v>
          </cell>
          <cell r="CJ316">
            <v>1731.9301516138983</v>
          </cell>
          <cell r="CL316">
            <v>1179.2040861631044</v>
          </cell>
          <cell r="CM316">
            <v>2021.8066316596028</v>
          </cell>
          <cell r="CX316">
            <v>669.55629902462533</v>
          </cell>
          <cell r="CY316">
            <v>134.8985252842831</v>
          </cell>
        </row>
        <row r="317">
          <cell r="I317">
            <v>1760.045544434277</v>
          </cell>
          <cell r="J317">
            <v>2192.3936223934143</v>
          </cell>
          <cell r="L317">
            <v>332.43932844451967</v>
          </cell>
          <cell r="M317">
            <v>424.61104635725263</v>
          </cell>
          <cell r="O317">
            <v>664.94</v>
          </cell>
          <cell r="P317">
            <v>664.96</v>
          </cell>
          <cell r="R317">
            <v>0</v>
          </cell>
          <cell r="S317">
            <v>0</v>
          </cell>
          <cell r="U317">
            <v>118.22581795543685</v>
          </cell>
          <cell r="V317">
            <v>96.813560492705875</v>
          </cell>
          <cell r="X317">
            <v>1186.201490290071</v>
          </cell>
          <cell r="Y317">
            <v>1398.1698379948698</v>
          </cell>
          <cell r="AA317">
            <v>0</v>
          </cell>
          <cell r="AB317">
            <v>0</v>
          </cell>
          <cell r="AD317">
            <v>1959.1147446551972</v>
          </cell>
          <cell r="AE317">
            <v>2152.9989745049556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852.31587860428476</v>
          </cell>
          <cell r="AQ317">
            <v>3741.6830468959306</v>
          </cell>
          <cell r="AS317">
            <v>8888.2871910180547</v>
          </cell>
          <cell r="AT317">
            <v>127223.06779678595</v>
          </cell>
          <cell r="AV317">
            <v>293.75320637338609</v>
          </cell>
          <cell r="AW317">
            <v>2157.9286421498714</v>
          </cell>
          <cell r="AY317">
            <v>428.45713760025609</v>
          </cell>
          <cell r="AZ317">
            <v>0</v>
          </cell>
          <cell r="BB317">
            <v>270.44394550521525</v>
          </cell>
          <cell r="BC317">
            <v>5996.7069380407793</v>
          </cell>
          <cell r="BE317">
            <v>0</v>
          </cell>
          <cell r="BF317">
            <v>0</v>
          </cell>
          <cell r="BH317">
            <v>119.94714023874553</v>
          </cell>
          <cell r="BI317">
            <v>0</v>
          </cell>
          <cell r="BK317">
            <v>182.75233818840255</v>
          </cell>
          <cell r="BL317">
            <v>0</v>
          </cell>
          <cell r="BN317">
            <v>0</v>
          </cell>
          <cell r="BO317">
            <v>0</v>
          </cell>
          <cell r="BT317">
            <v>5146.4343732686229</v>
          </cell>
          <cell r="BU317">
            <v>1413.3638838910679</v>
          </cell>
          <cell r="BW317">
            <v>2982.6517889647957</v>
          </cell>
          <cell r="BX317">
            <v>3172.3460674491062</v>
          </cell>
          <cell r="BZ317">
            <v>741.69964227367973</v>
          </cell>
          <cell r="CA317">
            <v>1330.0535749536623</v>
          </cell>
          <cell r="CC317">
            <v>290.99512475474711</v>
          </cell>
          <cell r="CD317">
            <v>294.20429415481465</v>
          </cell>
          <cell r="CF317">
            <v>35.823263464126065</v>
          </cell>
          <cell r="CG317">
            <v>0</v>
          </cell>
          <cell r="CI317">
            <v>648.87420614266057</v>
          </cell>
          <cell r="CJ317">
            <v>344.50618124321977</v>
          </cell>
          <cell r="CL317">
            <v>0</v>
          </cell>
          <cell r="CM317">
            <v>0</v>
          </cell>
          <cell r="CX317">
            <v>1613.9974053882324</v>
          </cell>
          <cell r="CY317">
            <v>-149226.48896076903</v>
          </cell>
        </row>
        <row r="318">
          <cell r="I318">
            <v>2453.4871831668916</v>
          </cell>
          <cell r="J318">
            <v>3063.3286116889435</v>
          </cell>
          <cell r="L318">
            <v>566.98617602705406</v>
          </cell>
          <cell r="M318">
            <v>744.95659682370751</v>
          </cell>
          <cell r="O318">
            <v>937.1</v>
          </cell>
          <cell r="P318">
            <v>937.42</v>
          </cell>
          <cell r="R318">
            <v>0</v>
          </cell>
          <cell r="S318">
            <v>0</v>
          </cell>
          <cell r="U318">
            <v>177.29022700819411</v>
          </cell>
          <cell r="V318">
            <v>145.17996811166401</v>
          </cell>
          <cell r="X318">
            <v>2176.6167458896812</v>
          </cell>
          <cell r="Y318">
            <v>2697.6548697793178</v>
          </cell>
          <cell r="AA318">
            <v>0</v>
          </cell>
          <cell r="AB318">
            <v>0</v>
          </cell>
          <cell r="AD318">
            <v>3013.1000912041009</v>
          </cell>
          <cell r="AE318">
            <v>3451.0166895187831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1420.5264643404746</v>
          </cell>
          <cell r="AQ318">
            <v>0</v>
          </cell>
          <cell r="AS318">
            <v>9463.6085460755166</v>
          </cell>
          <cell r="AT318">
            <v>1946.9629621126326</v>
          </cell>
          <cell r="AV318">
            <v>434.16734811129322</v>
          </cell>
          <cell r="AW318">
            <v>0</v>
          </cell>
          <cell r="AY318">
            <v>730.73405711118153</v>
          </cell>
          <cell r="AZ318">
            <v>0</v>
          </cell>
          <cell r="BB318">
            <v>357.3446292239239</v>
          </cell>
          <cell r="BC318">
            <v>0</v>
          </cell>
          <cell r="BE318">
            <v>0</v>
          </cell>
          <cell r="BF318">
            <v>0</v>
          </cell>
          <cell r="BH318">
            <v>179.87216958783222</v>
          </cell>
          <cell r="BI318">
            <v>0</v>
          </cell>
          <cell r="BK318">
            <v>326.88088209596361</v>
          </cell>
          <cell r="BL318">
            <v>0</v>
          </cell>
          <cell r="BN318">
            <v>0</v>
          </cell>
          <cell r="BO318">
            <v>0</v>
          </cell>
          <cell r="BT318">
            <v>6335.3854175917204</v>
          </cell>
          <cell r="BU318">
            <v>5175.0020366777044</v>
          </cell>
          <cell r="BW318">
            <v>4552.6782089307026</v>
          </cell>
          <cell r="BX318">
            <v>8424.7612936121659</v>
          </cell>
          <cell r="BZ318">
            <v>839.41581879628552</v>
          </cell>
          <cell r="CA318">
            <v>4920.8521484733765</v>
          </cell>
          <cell r="CC318">
            <v>400.94676985454868</v>
          </cell>
          <cell r="CD318">
            <v>405.36851439737427</v>
          </cell>
          <cell r="CF318">
            <v>49.358977349518305</v>
          </cell>
          <cell r="CG318">
            <v>0</v>
          </cell>
          <cell r="CI318">
            <v>1734.4906664198047</v>
          </cell>
          <cell r="CJ318">
            <v>662.01958135014411</v>
          </cell>
          <cell r="CL318">
            <v>0</v>
          </cell>
          <cell r="CM318">
            <v>0</v>
          </cell>
          <cell r="CX318">
            <v>3848.7915454583781</v>
          </cell>
          <cell r="CY318">
            <v>8139.3520729450247</v>
          </cell>
        </row>
        <row r="319">
          <cell r="I319">
            <v>1744.3939339937453</v>
          </cell>
          <cell r="J319">
            <v>2174.0890642797331</v>
          </cell>
          <cell r="L319">
            <v>328.83932228390506</v>
          </cell>
          <cell r="M319">
            <v>440.78114171924631</v>
          </cell>
          <cell r="O319">
            <v>660.84</v>
          </cell>
          <cell r="P319">
            <v>660.7</v>
          </cell>
          <cell r="R319">
            <v>0</v>
          </cell>
          <cell r="S319">
            <v>0</v>
          </cell>
          <cell r="U319">
            <v>0</v>
          </cell>
          <cell r="V319">
            <v>22.855347475559377</v>
          </cell>
          <cell r="X319">
            <v>1146.1815444650981</v>
          </cell>
          <cell r="Y319">
            <v>1427.634727335892</v>
          </cell>
          <cell r="AA319">
            <v>0</v>
          </cell>
          <cell r="AB319">
            <v>0</v>
          </cell>
          <cell r="AD319">
            <v>1953.6274275209189</v>
          </cell>
          <cell r="AE319">
            <v>2146.9686038004747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710.2632321702373</v>
          </cell>
          <cell r="AQ319">
            <v>3669.7276036863936</v>
          </cell>
          <cell r="AS319">
            <v>7473.8007231799484</v>
          </cell>
          <cell r="AT319">
            <v>0</v>
          </cell>
          <cell r="AV319">
            <v>290.36266880217647</v>
          </cell>
          <cell r="AW319">
            <v>0</v>
          </cell>
          <cell r="AY319">
            <v>423.81506108451765</v>
          </cell>
          <cell r="AZ319">
            <v>0</v>
          </cell>
          <cell r="BB319">
            <v>261.73110883754254</v>
          </cell>
          <cell r="BC319">
            <v>0</v>
          </cell>
          <cell r="BE319">
            <v>0</v>
          </cell>
          <cell r="BF319">
            <v>0</v>
          </cell>
          <cell r="BH319">
            <v>0</v>
          </cell>
          <cell r="BI319">
            <v>0</v>
          </cell>
          <cell r="BK319">
            <v>178.07764464286564</v>
          </cell>
          <cell r="BL319">
            <v>0</v>
          </cell>
          <cell r="BN319">
            <v>0</v>
          </cell>
          <cell r="BO319">
            <v>0</v>
          </cell>
          <cell r="BT319">
            <v>4605.4460976492683</v>
          </cell>
          <cell r="BU319">
            <v>3904.232466977784</v>
          </cell>
          <cell r="BW319">
            <v>2988.9184716316986</v>
          </cell>
          <cell r="BX319">
            <v>5854.9996140896319</v>
          </cell>
          <cell r="BZ319">
            <v>722.02164992656981</v>
          </cell>
          <cell r="CA319">
            <v>3771.2281807036525</v>
          </cell>
          <cell r="CC319">
            <v>290.00487854180136</v>
          </cell>
          <cell r="CD319">
            <v>293.2031272508512</v>
          </cell>
          <cell r="CF319">
            <v>35.701358153820244</v>
          </cell>
          <cell r="CG319">
            <v>0</v>
          </cell>
          <cell r="CI319">
            <v>1506.7607767639668</v>
          </cell>
          <cell r="CJ319">
            <v>190.87182005813906</v>
          </cell>
          <cell r="CL319">
            <v>0</v>
          </cell>
          <cell r="CM319">
            <v>0</v>
          </cell>
          <cell r="CX319">
            <v>1521.8569204223058</v>
          </cell>
          <cell r="CY319">
            <v>2438.0499631471739</v>
          </cell>
        </row>
        <row r="320">
          <cell r="I320">
            <v>2793.4108792934157</v>
          </cell>
          <cell r="J320">
            <v>3486.3007467515945</v>
          </cell>
          <cell r="L320">
            <v>457.2097683695506</v>
          </cell>
          <cell r="M320">
            <v>583.97404105890655</v>
          </cell>
          <cell r="O320">
            <v>918.12</v>
          </cell>
          <cell r="P320">
            <v>918.4</v>
          </cell>
          <cell r="R320">
            <v>228.82</v>
          </cell>
          <cell r="S320">
            <v>228.88</v>
          </cell>
          <cell r="U320">
            <v>130.00964065633656</v>
          </cell>
          <cell r="V320">
            <v>106.46261844006062</v>
          </cell>
          <cell r="X320">
            <v>988.95184304512236</v>
          </cell>
          <cell r="Y320">
            <v>2453.8564363323735</v>
          </cell>
          <cell r="AA320">
            <v>0</v>
          </cell>
          <cell r="AB320">
            <v>0</v>
          </cell>
          <cell r="AD320">
            <v>3026.6117188490257</v>
          </cell>
          <cell r="AE320">
            <v>3326.1410260344373</v>
          </cell>
          <cell r="AJ320">
            <v>9601.5110639297945</v>
          </cell>
          <cell r="AK320">
            <v>9707.3764795125717</v>
          </cell>
          <cell r="AM320">
            <v>0</v>
          </cell>
          <cell r="AN320">
            <v>0</v>
          </cell>
          <cell r="AP320">
            <v>552.42695835462905</v>
          </cell>
          <cell r="AQ320">
            <v>0</v>
          </cell>
          <cell r="AS320">
            <v>11269.600750747102</v>
          </cell>
          <cell r="AT320">
            <v>0</v>
          </cell>
          <cell r="AV320">
            <v>226.61705446936185</v>
          </cell>
          <cell r="AW320">
            <v>0</v>
          </cell>
          <cell r="AY320">
            <v>302.29338732382973</v>
          </cell>
          <cell r="AZ320">
            <v>0</v>
          </cell>
          <cell r="BB320">
            <v>385.51225731494043</v>
          </cell>
          <cell r="BC320">
            <v>0</v>
          </cell>
          <cell r="BE320">
            <v>128.20842570396613</v>
          </cell>
          <cell r="BF320">
            <v>0</v>
          </cell>
          <cell r="BH320">
            <v>65.961235315382794</v>
          </cell>
          <cell r="BI320">
            <v>0</v>
          </cell>
          <cell r="BK320">
            <v>110.66378371817535</v>
          </cell>
          <cell r="BL320">
            <v>0</v>
          </cell>
          <cell r="BN320">
            <v>0</v>
          </cell>
          <cell r="BO320">
            <v>0</v>
          </cell>
          <cell r="BT320">
            <v>8935.2972637107687</v>
          </cell>
          <cell r="BU320">
            <v>7483.6813148560523</v>
          </cell>
          <cell r="BW320">
            <v>6477.1436647426272</v>
          </cell>
          <cell r="BX320">
            <v>10718.801801938695</v>
          </cell>
          <cell r="BZ320">
            <v>863.69129340262396</v>
          </cell>
          <cell r="CA320">
            <v>7004.8573399354682</v>
          </cell>
          <cell r="CC320">
            <v>306.38806093618081</v>
          </cell>
          <cell r="CD320">
            <v>309.76698761246485</v>
          </cell>
          <cell r="CF320">
            <v>37.718227198582859</v>
          </cell>
          <cell r="CG320">
            <v>0</v>
          </cell>
          <cell r="CI320">
            <v>2545.5834240981303</v>
          </cell>
          <cell r="CJ320">
            <v>2864.7251014400754</v>
          </cell>
          <cell r="CL320">
            <v>1422.531913466602</v>
          </cell>
          <cell r="CM320">
            <v>2177.6423503012793</v>
          </cell>
          <cell r="CX320">
            <v>892.68086242461141</v>
          </cell>
          <cell r="CY320">
            <v>1376.7805069432288</v>
          </cell>
        </row>
        <row r="321">
          <cell r="I321">
            <v>1767.0056145677497</v>
          </cell>
          <cell r="J321">
            <v>2199.5783846157892</v>
          </cell>
          <cell r="L321">
            <v>332.43932844451967</v>
          </cell>
          <cell r="M321">
            <v>424.61104635725263</v>
          </cell>
          <cell r="O321">
            <v>678.94</v>
          </cell>
          <cell r="P321">
            <v>678.94</v>
          </cell>
          <cell r="R321">
            <v>0</v>
          </cell>
          <cell r="S321">
            <v>0</v>
          </cell>
          <cell r="U321">
            <v>0</v>
          </cell>
          <cell r="V321">
            <v>22.855347475559377</v>
          </cell>
          <cell r="X321">
            <v>1179.7864252704626</v>
          </cell>
          <cell r="Y321">
            <v>1394.0913127070355</v>
          </cell>
          <cell r="AA321">
            <v>0</v>
          </cell>
          <cell r="AB321">
            <v>0</v>
          </cell>
          <cell r="AD321">
            <v>1932.7114849376626</v>
          </cell>
          <cell r="AE321">
            <v>2123.9827102710578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710.2632321702373</v>
          </cell>
          <cell r="AQ321">
            <v>358.31898250848297</v>
          </cell>
          <cell r="AS321">
            <v>7432.7519527779668</v>
          </cell>
          <cell r="AT321">
            <v>28.736337782189821</v>
          </cell>
          <cell r="AV321">
            <v>295.42726748454351</v>
          </cell>
          <cell r="AW321">
            <v>0</v>
          </cell>
          <cell r="AY321">
            <v>428.45713760025609</v>
          </cell>
          <cell r="AZ321">
            <v>0</v>
          </cell>
          <cell r="BB321">
            <v>308.57612691882474</v>
          </cell>
          <cell r="BC321">
            <v>0</v>
          </cell>
          <cell r="BE321">
            <v>0</v>
          </cell>
          <cell r="BF321">
            <v>0</v>
          </cell>
          <cell r="BH321">
            <v>0</v>
          </cell>
          <cell r="BI321">
            <v>0</v>
          </cell>
          <cell r="BK321">
            <v>215.60581703809186</v>
          </cell>
          <cell r="BL321">
            <v>0</v>
          </cell>
          <cell r="BN321">
            <v>0</v>
          </cell>
          <cell r="BO321">
            <v>0</v>
          </cell>
          <cell r="BT321">
            <v>5196.4193784783765</v>
          </cell>
          <cell r="BU321">
            <v>4365.3206174230945</v>
          </cell>
          <cell r="BW321">
            <v>3017.3154900401701</v>
          </cell>
          <cell r="BX321">
            <v>5885.49601127605</v>
          </cell>
          <cell r="BZ321">
            <v>843.33951584256852</v>
          </cell>
          <cell r="CA321">
            <v>4193.8117925178203</v>
          </cell>
          <cell r="CC321">
            <v>290.18626027387558</v>
          </cell>
          <cell r="CD321">
            <v>293.38650930751777</v>
          </cell>
          <cell r="CF321">
            <v>35.72368734432181</v>
          </cell>
          <cell r="CG321">
            <v>0</v>
          </cell>
          <cell r="CI321">
            <v>2377.1256975034007</v>
          </cell>
          <cell r="CJ321">
            <v>1258.0000873917145</v>
          </cell>
          <cell r="CL321">
            <v>0</v>
          </cell>
          <cell r="CM321">
            <v>0</v>
          </cell>
          <cell r="CX321">
            <v>1627.6706999683665</v>
          </cell>
          <cell r="CY321">
            <v>6205.6050324397274</v>
          </cell>
        </row>
        <row r="322">
          <cell r="I322">
            <v>323.39899114313721</v>
          </cell>
          <cell r="J322">
            <v>402.43472338196727</v>
          </cell>
          <cell r="L322">
            <v>73.481016897145366</v>
          </cell>
          <cell r="M322">
            <v>114.6224118515925</v>
          </cell>
          <cell r="O322">
            <v>107.22</v>
          </cell>
          <cell r="P322">
            <v>107.24</v>
          </cell>
          <cell r="R322">
            <v>0</v>
          </cell>
          <cell r="S322">
            <v>0</v>
          </cell>
          <cell r="U322">
            <v>0</v>
          </cell>
          <cell r="V322">
            <v>22.855347475559377</v>
          </cell>
          <cell r="X322">
            <v>123.36109996059983</v>
          </cell>
          <cell r="Y322">
            <v>162.03756956664711</v>
          </cell>
          <cell r="AA322">
            <v>0</v>
          </cell>
          <cell r="AB322">
            <v>0</v>
          </cell>
          <cell r="AD322">
            <v>336.43667780427</v>
          </cell>
          <cell r="AE322">
            <v>369.73220903706289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252.53803810497325</v>
          </cell>
          <cell r="AQ322">
            <v>0</v>
          </cell>
          <cell r="AS322">
            <v>1172.2516068596362</v>
          </cell>
          <cell r="AT322">
            <v>0</v>
          </cell>
          <cell r="AV322">
            <v>60.429984657058824</v>
          </cell>
          <cell r="AW322">
            <v>0</v>
          </cell>
          <cell r="AY322">
            <v>94.724978012500713</v>
          </cell>
          <cell r="AZ322">
            <v>0</v>
          </cell>
          <cell r="BB322">
            <v>31.502063628871475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9.8614283025793927</v>
          </cell>
          <cell r="BL322">
            <v>0</v>
          </cell>
          <cell r="BN322">
            <v>0</v>
          </cell>
          <cell r="BO322">
            <v>0</v>
          </cell>
          <cell r="BT322">
            <v>797.16932296984749</v>
          </cell>
          <cell r="BU322">
            <v>680.1872664321063</v>
          </cell>
          <cell r="BW322">
            <v>614.89401467262894</v>
          </cell>
          <cell r="BX322">
            <v>2099.099748552891</v>
          </cell>
          <cell r="BZ322">
            <v>91.15684574023561</v>
          </cell>
          <cell r="CA322">
            <v>684.83647957133951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215.25153953770956</v>
          </cell>
          <cell r="CJ322">
            <v>228.11934360189952</v>
          </cell>
          <cell r="CL322">
            <v>0</v>
          </cell>
          <cell r="CM322">
            <v>0</v>
          </cell>
          <cell r="CX322">
            <v>6.870050568068109E-3</v>
          </cell>
          <cell r="CY322">
            <v>-680.97811936527796</v>
          </cell>
        </row>
        <row r="323">
          <cell r="I323">
            <v>4259.6072769604034</v>
          </cell>
          <cell r="J323">
            <v>5304.9595209980607</v>
          </cell>
          <cell r="L323">
            <v>688.69978930805587</v>
          </cell>
          <cell r="M323">
            <v>879.64593715754825</v>
          </cell>
          <cell r="O323">
            <v>1333.2</v>
          </cell>
          <cell r="P323">
            <v>1333.28</v>
          </cell>
          <cell r="R323">
            <v>326.36</v>
          </cell>
          <cell r="S323">
            <v>326.08</v>
          </cell>
          <cell r="U323">
            <v>195.03873136964788</v>
          </cell>
          <cell r="V323">
            <v>159.7141139737883</v>
          </cell>
          <cell r="X323">
            <v>1632.1620602731828</v>
          </cell>
          <cell r="Y323">
            <v>1969.4761626791928</v>
          </cell>
          <cell r="AA323">
            <v>0</v>
          </cell>
          <cell r="AB323">
            <v>0</v>
          </cell>
          <cell r="AD323">
            <v>4426.9109140439004</v>
          </cell>
          <cell r="AE323">
            <v>4865.0211449655471</v>
          </cell>
          <cell r="AJ323">
            <v>14498.92924377405</v>
          </cell>
          <cell r="AK323">
            <v>14658.804652051158</v>
          </cell>
          <cell r="AM323">
            <v>0</v>
          </cell>
          <cell r="AN323">
            <v>0</v>
          </cell>
          <cell r="AP323">
            <v>883.88313336740646</v>
          </cell>
          <cell r="AQ323">
            <v>0</v>
          </cell>
          <cell r="AS323">
            <v>16723.939383678033</v>
          </cell>
          <cell r="AT323">
            <v>38196.824285970739</v>
          </cell>
          <cell r="AV323">
            <v>340.96883158200427</v>
          </cell>
          <cell r="AW323">
            <v>0</v>
          </cell>
          <cell r="AY323">
            <v>455.31679837177501</v>
          </cell>
          <cell r="AZ323">
            <v>920.53022283516236</v>
          </cell>
          <cell r="BB323">
            <v>555.88466136810791</v>
          </cell>
          <cell r="BC323">
            <v>0</v>
          </cell>
          <cell r="BE323">
            <v>181.65122486457074</v>
          </cell>
          <cell r="BF323">
            <v>0</v>
          </cell>
          <cell r="BH323">
            <v>98.941812127749259</v>
          </cell>
          <cell r="BI323">
            <v>0</v>
          </cell>
          <cell r="BK323">
            <v>140.16379835239022</v>
          </cell>
          <cell r="BL323">
            <v>0</v>
          </cell>
          <cell r="BN323">
            <v>0</v>
          </cell>
          <cell r="BO323">
            <v>0</v>
          </cell>
          <cell r="BT323">
            <v>15985.39400729447</v>
          </cell>
          <cell r="BU323">
            <v>12591.845084950988</v>
          </cell>
          <cell r="BW323">
            <v>8388.5472129932186</v>
          </cell>
          <cell r="BX323">
            <v>14314.781888755533</v>
          </cell>
          <cell r="BZ323">
            <v>800.67411219931682</v>
          </cell>
          <cell r="CA323">
            <v>11615.082336102543</v>
          </cell>
          <cell r="CC323">
            <v>322.56535055361115</v>
          </cell>
          <cell r="CD323">
            <v>326.12268455840308</v>
          </cell>
          <cell r="CF323">
            <v>39.70974959466804</v>
          </cell>
          <cell r="CG323">
            <v>0</v>
          </cell>
          <cell r="CI323">
            <v>5764.9977545751781</v>
          </cell>
          <cell r="CJ323">
            <v>2835.8401622118135</v>
          </cell>
          <cell r="CL323">
            <v>2480.0720859779581</v>
          </cell>
          <cell r="CM323">
            <v>3538.7780664847987</v>
          </cell>
          <cell r="CX323">
            <v>1446.8184808443912</v>
          </cell>
          <cell r="CY323">
            <v>-38528.983516434309</v>
          </cell>
        </row>
        <row r="324">
          <cell r="I324">
            <v>1899.7820676313297</v>
          </cell>
          <cell r="J324">
            <v>2407.0721279118088</v>
          </cell>
          <cell r="L324">
            <v>245.00659052847635</v>
          </cell>
          <cell r="M324">
            <v>312.93097141415683</v>
          </cell>
          <cell r="O324">
            <v>857.58</v>
          </cell>
          <cell r="P324">
            <v>857.66</v>
          </cell>
          <cell r="R324">
            <v>218.1</v>
          </cell>
          <cell r="S324">
            <v>217.86</v>
          </cell>
          <cell r="U324">
            <v>132.96775194679549</v>
          </cell>
          <cell r="V324">
            <v>108.884976083748</v>
          </cell>
          <cell r="X324">
            <v>931.88644126591032</v>
          </cell>
          <cell r="Y324">
            <v>1096.4700961203994</v>
          </cell>
          <cell r="AA324">
            <v>0</v>
          </cell>
          <cell r="AB324">
            <v>0</v>
          </cell>
          <cell r="AD324">
            <v>3105.5435689519722</v>
          </cell>
          <cell r="AE324">
            <v>3412.8843843757741</v>
          </cell>
          <cell r="AJ324">
            <v>6306.9592395271629</v>
          </cell>
          <cell r="AK324">
            <v>6376.5140151132573</v>
          </cell>
          <cell r="AM324">
            <v>0</v>
          </cell>
          <cell r="AN324">
            <v>266.0109811433166</v>
          </cell>
          <cell r="AP324">
            <v>505.07607620994651</v>
          </cell>
          <cell r="AQ324">
            <v>0</v>
          </cell>
          <cell r="AS324">
            <v>11245.874506167012</v>
          </cell>
          <cell r="AT324">
            <v>0</v>
          </cell>
          <cell r="AV324">
            <v>561.048539709024</v>
          </cell>
          <cell r="AW324">
            <v>0</v>
          </cell>
          <cell r="AY324">
            <v>141.51362313451344</v>
          </cell>
          <cell r="AZ324">
            <v>0</v>
          </cell>
          <cell r="BB324">
            <v>356.63179670758154</v>
          </cell>
          <cell r="BC324">
            <v>0</v>
          </cell>
          <cell r="BE324">
            <v>126.89920129436939</v>
          </cell>
          <cell r="BF324">
            <v>0</v>
          </cell>
          <cell r="BH324">
            <v>67.470245961631889</v>
          </cell>
          <cell r="BI324">
            <v>0</v>
          </cell>
          <cell r="BK324">
            <v>112.82000111684427</v>
          </cell>
          <cell r="BL324">
            <v>6866.1972651197229</v>
          </cell>
          <cell r="BN324">
            <v>0</v>
          </cell>
          <cell r="BO324">
            <v>0</v>
          </cell>
          <cell r="BT324">
            <v>7574.3754799325079</v>
          </cell>
          <cell r="BU324">
            <v>6052.4519757044618</v>
          </cell>
          <cell r="BW324">
            <v>5169.1244007651567</v>
          </cell>
          <cell r="BX324">
            <v>8536.1798234333746</v>
          </cell>
          <cell r="BZ324">
            <v>281.31793131327345</v>
          </cell>
          <cell r="CA324">
            <v>5748.7427427634093</v>
          </cell>
          <cell r="CC324">
            <v>192.65681271667049</v>
          </cell>
          <cell r="CD324">
            <v>194.78148181071791</v>
          </cell>
          <cell r="CF324">
            <v>23.717221262468907</v>
          </cell>
          <cell r="CG324">
            <v>0</v>
          </cell>
          <cell r="CI324">
            <v>2345.9298222080811</v>
          </cell>
          <cell r="CJ324">
            <v>2214.104829530288</v>
          </cell>
          <cell r="CL324">
            <v>3518.8947333121214</v>
          </cell>
          <cell r="CM324">
            <v>3318.6791083945318</v>
          </cell>
          <cell r="CX324">
            <v>1383.688738004581</v>
          </cell>
          <cell r="CY324">
            <v>-1095.8097347027651</v>
          </cell>
        </row>
        <row r="325">
          <cell r="I325">
            <v>5741.7901250224586</v>
          </cell>
          <cell r="J325">
            <v>7198.5001670224983</v>
          </cell>
          <cell r="L325">
            <v>997.81319591440774</v>
          </cell>
          <cell r="M325">
            <v>1274.4630323314482</v>
          </cell>
          <cell r="O325">
            <v>1946.96</v>
          </cell>
          <cell r="P325">
            <v>1946.28</v>
          </cell>
          <cell r="R325">
            <v>480.28</v>
          </cell>
          <cell r="S325">
            <v>479.54</v>
          </cell>
          <cell r="U325">
            <v>277.76762229282707</v>
          </cell>
          <cell r="V325">
            <v>227.45938274224557</v>
          </cell>
          <cell r="X325">
            <v>2424.4201211638015</v>
          </cell>
          <cell r="Y325">
            <v>2977.6205720782136</v>
          </cell>
          <cell r="AA325">
            <v>0</v>
          </cell>
          <cell r="AB325">
            <v>0</v>
          </cell>
          <cell r="AD325">
            <v>7094.7447353276639</v>
          </cell>
          <cell r="AE325">
            <v>7968.0776131855218</v>
          </cell>
          <cell r="AJ325">
            <v>13827.504876346487</v>
          </cell>
          <cell r="AK325">
            <v>13979.975643270156</v>
          </cell>
          <cell r="AM325">
            <v>0</v>
          </cell>
          <cell r="AN325">
            <v>0</v>
          </cell>
          <cell r="AP325">
            <v>1041.7194071830147</v>
          </cell>
          <cell r="AQ325">
            <v>0</v>
          </cell>
          <cell r="AS325">
            <v>25571.933646143214</v>
          </cell>
          <cell r="AT325">
            <v>295.54172027850609</v>
          </cell>
          <cell r="AV325">
            <v>476.64650222106394</v>
          </cell>
          <cell r="AW325">
            <v>0</v>
          </cell>
          <cell r="AY325">
            <v>658.33936263838734</v>
          </cell>
          <cell r="AZ325">
            <v>1899.9316313038789</v>
          </cell>
          <cell r="BB325">
            <v>769.26804466027988</v>
          </cell>
          <cell r="BC325">
            <v>0</v>
          </cell>
          <cell r="BE325">
            <v>257.8404877473065</v>
          </cell>
          <cell r="BF325">
            <v>0</v>
          </cell>
          <cell r="BH325">
            <v>140.90392757945571</v>
          </cell>
          <cell r="BI325">
            <v>0</v>
          </cell>
          <cell r="BK325">
            <v>174.71782081390026</v>
          </cell>
          <cell r="BL325">
            <v>0</v>
          </cell>
          <cell r="BN325">
            <v>0</v>
          </cell>
          <cell r="BO325">
            <v>0</v>
          </cell>
          <cell r="BT325">
            <v>20249.561949587325</v>
          </cell>
          <cell r="BU325">
            <v>15674.979103631416</v>
          </cell>
          <cell r="BW325">
            <v>13441.019714522139</v>
          </cell>
          <cell r="BX325">
            <v>25329.232249829474</v>
          </cell>
          <cell r="BZ325">
            <v>757.39443045881319</v>
          </cell>
          <cell r="CA325">
            <v>14519.201666872552</v>
          </cell>
          <cell r="CC325">
            <v>401.39287087127173</v>
          </cell>
          <cell r="CD325">
            <v>405.819535131338</v>
          </cell>
          <cell r="CF325">
            <v>49.413895088319435</v>
          </cell>
          <cell r="CG325">
            <v>0</v>
          </cell>
          <cell r="CI325">
            <v>3203.816392829387</v>
          </cell>
          <cell r="CJ325">
            <v>3158.8835203505487</v>
          </cell>
          <cell r="CL325">
            <v>2870.0205271694608</v>
          </cell>
          <cell r="CM325">
            <v>4375.9350908073166</v>
          </cell>
          <cell r="CX325">
            <v>350.53641330280516</v>
          </cell>
          <cell r="CY325">
            <v>1723.130885397848</v>
          </cell>
        </row>
        <row r="326">
          <cell r="I326">
            <v>1803.7218838157032</v>
          </cell>
          <cell r="J326">
            <v>2273.3505377960528</v>
          </cell>
          <cell r="L326">
            <v>454.39834136839863</v>
          </cell>
          <cell r="M326">
            <v>601.15196563640473</v>
          </cell>
          <cell r="O326">
            <v>772.98</v>
          </cell>
          <cell r="P326">
            <v>772.96</v>
          </cell>
          <cell r="R326">
            <v>190.66</v>
          </cell>
          <cell r="S326">
            <v>190.4</v>
          </cell>
          <cell r="U326">
            <v>130.00964065633656</v>
          </cell>
          <cell r="V326">
            <v>141.59380541883462</v>
          </cell>
          <cell r="X326">
            <v>1536.6765162541769</v>
          </cell>
          <cell r="Y326">
            <v>1897.2849891267588</v>
          </cell>
          <cell r="AA326">
            <v>0</v>
          </cell>
          <cell r="AB326">
            <v>0</v>
          </cell>
          <cell r="AD326">
            <v>2552.1725783105958</v>
          </cell>
          <cell r="AE326">
            <v>2804.7489096048153</v>
          </cell>
          <cell r="AJ326">
            <v>5742.6258554348196</v>
          </cell>
          <cell r="AK326">
            <v>5805.9570166933818</v>
          </cell>
          <cell r="AM326">
            <v>0</v>
          </cell>
          <cell r="AN326">
            <v>266.0109811433166</v>
          </cell>
          <cell r="AP326">
            <v>505.07607620994651</v>
          </cell>
          <cell r="AQ326">
            <v>2590.3959555433366</v>
          </cell>
          <cell r="AS326">
            <v>14514.564715090924</v>
          </cell>
          <cell r="AT326">
            <v>0</v>
          </cell>
          <cell r="AV326">
            <v>145.57624762893238</v>
          </cell>
          <cell r="AW326">
            <v>0</v>
          </cell>
          <cell r="AY326">
            <v>300.46764475683648</v>
          </cell>
          <cell r="AZ326">
            <v>0</v>
          </cell>
          <cell r="BB326">
            <v>314.65407721141514</v>
          </cell>
          <cell r="BC326">
            <v>0</v>
          </cell>
          <cell r="BE326">
            <v>109.3875700743293</v>
          </cell>
          <cell r="BF326">
            <v>0</v>
          </cell>
          <cell r="BH326">
            <v>65.961235315382794</v>
          </cell>
          <cell r="BI326">
            <v>2086.9562993772511</v>
          </cell>
          <cell r="BK326">
            <v>212.42405582180592</v>
          </cell>
          <cell r="BL326">
            <v>0</v>
          </cell>
          <cell r="BN326">
            <v>0</v>
          </cell>
          <cell r="BO326">
            <v>0</v>
          </cell>
          <cell r="BT326">
            <v>3510.143044575304</v>
          </cell>
          <cell r="BU326">
            <v>3595.7322746023192</v>
          </cell>
          <cell r="BW326">
            <v>7068.4787066902873</v>
          </cell>
          <cell r="BX326">
            <v>10761.844140843983</v>
          </cell>
          <cell r="BZ326">
            <v>1267.5208810569352</v>
          </cell>
          <cell r="CA326">
            <v>3453.7350156530802</v>
          </cell>
          <cell r="CC326">
            <v>242.07107918445774</v>
          </cell>
          <cell r="CD326">
            <v>244.74070157285627</v>
          </cell>
          <cell r="CF326">
            <v>29.800416945056352</v>
          </cell>
          <cell r="CG326">
            <v>0</v>
          </cell>
          <cell r="CI326">
            <v>749.01296584063869</v>
          </cell>
          <cell r="CJ326">
            <v>1805.8442532278364</v>
          </cell>
          <cell r="CL326">
            <v>923.39790874147866</v>
          </cell>
          <cell r="CM326">
            <v>1145.1202089711132</v>
          </cell>
          <cell r="CX326">
            <v>1294.0422708194819</v>
          </cell>
          <cell r="CY326">
            <v>4538.7875337463993</v>
          </cell>
        </row>
        <row r="327">
          <cell r="I327">
            <v>1816.9204344069685</v>
          </cell>
          <cell r="J327">
            <v>2304.244754236367</v>
          </cell>
          <cell r="L327">
            <v>260.19217177635136</v>
          </cell>
          <cell r="M327">
            <v>332.33168381261896</v>
          </cell>
          <cell r="O327">
            <v>889.8</v>
          </cell>
          <cell r="P327">
            <v>890.02</v>
          </cell>
          <cell r="R327">
            <v>229.78</v>
          </cell>
          <cell r="S327">
            <v>229.46</v>
          </cell>
          <cell r="U327">
            <v>130.00964065633656</v>
          </cell>
          <cell r="V327">
            <v>285.05745518476795</v>
          </cell>
          <cell r="X327">
            <v>1548.9414336861032</v>
          </cell>
          <cell r="Y327">
            <v>1849.4159060122261</v>
          </cell>
          <cell r="AA327">
            <v>0</v>
          </cell>
          <cell r="AB327">
            <v>0</v>
          </cell>
          <cell r="AD327">
            <v>2903.1470833277594</v>
          </cell>
          <cell r="AE327">
            <v>3190.4576851836191</v>
          </cell>
          <cell r="AJ327">
            <v>6913.0950965152351</v>
          </cell>
          <cell r="AK327">
            <v>6989.3119663893776</v>
          </cell>
          <cell r="AM327">
            <v>0</v>
          </cell>
          <cell r="AN327">
            <v>0</v>
          </cell>
          <cell r="AP327">
            <v>505.07607620994651</v>
          </cell>
          <cell r="AQ327">
            <v>1918.8118189209902</v>
          </cell>
          <cell r="AS327">
            <v>16393.172375090457</v>
          </cell>
          <cell r="AT327">
            <v>0</v>
          </cell>
          <cell r="AV327">
            <v>147.03276510935248</v>
          </cell>
          <cell r="AW327">
            <v>0</v>
          </cell>
          <cell r="AY327">
            <v>175.33142691704413</v>
          </cell>
          <cell r="AZ327">
            <v>1972.0225180314887</v>
          </cell>
          <cell r="BB327">
            <v>356.82220769353341</v>
          </cell>
          <cell r="BC327">
            <v>0</v>
          </cell>
          <cell r="BE327">
            <v>132.02736547955371</v>
          </cell>
          <cell r="BF327">
            <v>0</v>
          </cell>
          <cell r="BH327">
            <v>65.961235315382794</v>
          </cell>
          <cell r="BI327">
            <v>0</v>
          </cell>
          <cell r="BK327">
            <v>180.8957334091144</v>
          </cell>
          <cell r="BL327">
            <v>0</v>
          </cell>
          <cell r="BN327">
            <v>0</v>
          </cell>
          <cell r="BO327">
            <v>0</v>
          </cell>
          <cell r="BT327">
            <v>4884.3773364095077</v>
          </cell>
          <cell r="BU327">
            <v>4959.8554475832334</v>
          </cell>
          <cell r="BW327">
            <v>6516.6679617173531</v>
          </cell>
          <cell r="BX327">
            <v>10401.470996114136</v>
          </cell>
          <cell r="BZ327">
            <v>1705.9918843828418</v>
          </cell>
          <cell r="CA327">
            <v>4695.7914005919502</v>
          </cell>
          <cell r="CC327">
            <v>282.80843576653234</v>
          </cell>
          <cell r="CD327">
            <v>285.9273202458096</v>
          </cell>
          <cell r="CF327">
            <v>34.815432433379925</v>
          </cell>
          <cell r="CG327">
            <v>0</v>
          </cell>
          <cell r="CI327">
            <v>1316.4659374625132</v>
          </cell>
          <cell r="CJ327">
            <v>1461.7781120683719</v>
          </cell>
          <cell r="CL327">
            <v>1310.2267624034496</v>
          </cell>
          <cell r="CM327">
            <v>1677.4514204769121</v>
          </cell>
          <cell r="CX327">
            <v>585.44944459753606</v>
          </cell>
          <cell r="CY327">
            <v>6892.8298181777536</v>
          </cell>
        </row>
        <row r="328">
          <cell r="I328">
            <v>2692.3363433941463</v>
          </cell>
          <cell r="J328">
            <v>3366.8013490806961</v>
          </cell>
          <cell r="L328">
            <v>460.26724853877886</v>
          </cell>
          <cell r="M328">
            <v>608.64769542671957</v>
          </cell>
          <cell r="O328">
            <v>946.34</v>
          </cell>
          <cell r="P328">
            <v>946.2</v>
          </cell>
          <cell r="R328">
            <v>228.14</v>
          </cell>
          <cell r="S328">
            <v>228.14</v>
          </cell>
          <cell r="U328">
            <v>130.00964065633656</v>
          </cell>
          <cell r="V328">
            <v>142.22870638833055</v>
          </cell>
          <cell r="X328">
            <v>1019.6514513166584</v>
          </cell>
          <cell r="Y328">
            <v>1462.2694760641857</v>
          </cell>
          <cell r="AA328">
            <v>0</v>
          </cell>
          <cell r="AB328">
            <v>0</v>
          </cell>
          <cell r="AD328">
            <v>3126.5592809376699</v>
          </cell>
          <cell r="AE328">
            <v>3435.9799210089091</v>
          </cell>
          <cell r="AJ328">
            <v>4544.7265268625906</v>
          </cell>
          <cell r="AK328">
            <v>4594.8469449073091</v>
          </cell>
          <cell r="AM328">
            <v>263.07035981182185</v>
          </cell>
          <cell r="AN328">
            <v>399.28374909572597</v>
          </cell>
          <cell r="AP328">
            <v>591.88602680853114</v>
          </cell>
          <cell r="AQ328">
            <v>0</v>
          </cell>
          <cell r="AS328">
            <v>15950.653981401887</v>
          </cell>
          <cell r="AT328">
            <v>163.22161218961313</v>
          </cell>
          <cell r="AV328">
            <v>212.04421281182931</v>
          </cell>
          <cell r="AW328">
            <v>0</v>
          </cell>
          <cell r="AY328">
            <v>304.27448839668364</v>
          </cell>
          <cell r="AZ328">
            <v>0</v>
          </cell>
          <cell r="BB328">
            <v>398.7972333502222</v>
          </cell>
          <cell r="BC328">
            <v>0</v>
          </cell>
          <cell r="BE328">
            <v>132.606248971273</v>
          </cell>
          <cell r="BF328">
            <v>0</v>
          </cell>
          <cell r="BH328">
            <v>65.961235315382794</v>
          </cell>
          <cell r="BI328">
            <v>0</v>
          </cell>
          <cell r="BK328">
            <v>161.26258263002811</v>
          </cell>
          <cell r="BL328">
            <v>0</v>
          </cell>
          <cell r="BN328">
            <v>0</v>
          </cell>
          <cell r="BO328">
            <v>0</v>
          </cell>
          <cell r="BT328">
            <v>5118.9180965732949</v>
          </cell>
          <cell r="BU328">
            <v>2328.0875077551555</v>
          </cell>
          <cell r="BW328">
            <v>4951.9595500001014</v>
          </cell>
          <cell r="BX328">
            <v>1693.5208308783644</v>
          </cell>
          <cell r="BZ328">
            <v>1717.0729982910796</v>
          </cell>
          <cell r="CA328">
            <v>2341.1077339209387</v>
          </cell>
          <cell r="CC328">
            <v>264.7192846488602</v>
          </cell>
          <cell r="CD328">
            <v>267.63867729716969</v>
          </cell>
          <cell r="CF328">
            <v>32.588548299575592</v>
          </cell>
          <cell r="CG328">
            <v>0</v>
          </cell>
          <cell r="CI328">
            <v>1098.0948103952719</v>
          </cell>
          <cell r="CJ328">
            <v>1845.974726408795</v>
          </cell>
          <cell r="CL328">
            <v>1035.7030598046315</v>
          </cell>
          <cell r="CM328">
            <v>701.07594019312478</v>
          </cell>
          <cell r="CX328">
            <v>833.34814894001465</v>
          </cell>
          <cell r="CY328">
            <v>25940.490155261949</v>
          </cell>
        </row>
        <row r="329">
          <cell r="I329">
            <v>1954.8781143293224</v>
          </cell>
          <cell r="J329">
            <v>2508.5042850607906</v>
          </cell>
          <cell r="L329">
            <v>333.37696092213639</v>
          </cell>
          <cell r="M329">
            <v>446.57615970839731</v>
          </cell>
          <cell r="O329">
            <v>1113.28</v>
          </cell>
          <cell r="P329">
            <v>1113.3399999999999</v>
          </cell>
          <cell r="R329">
            <v>258.66000000000003</v>
          </cell>
          <cell r="S329">
            <v>258.54000000000002</v>
          </cell>
          <cell r="U329">
            <v>132.96775194679549</v>
          </cell>
          <cell r="V329">
            <v>144.01616306252203</v>
          </cell>
          <cell r="X329">
            <v>1270.7215095205236</v>
          </cell>
          <cell r="Y329">
            <v>1658.2419319902826</v>
          </cell>
          <cell r="AA329">
            <v>0</v>
          </cell>
          <cell r="AB329">
            <v>0</v>
          </cell>
          <cell r="AD329">
            <v>3722.0400857952172</v>
          </cell>
          <cell r="AE329">
            <v>4090.3926171990597</v>
          </cell>
          <cell r="AJ329">
            <v>6250.7843812275187</v>
          </cell>
          <cell r="AK329">
            <v>6319.7196459662737</v>
          </cell>
          <cell r="AM329">
            <v>0</v>
          </cell>
          <cell r="AN329">
            <v>0</v>
          </cell>
          <cell r="AP329">
            <v>528.75151728228775</v>
          </cell>
          <cell r="AQ329">
            <v>0</v>
          </cell>
          <cell r="AS329">
            <v>17462.712194377513</v>
          </cell>
          <cell r="AT329">
            <v>7503.2015111441397</v>
          </cell>
          <cell r="AV329">
            <v>183.3946159153254</v>
          </cell>
          <cell r="AW329">
            <v>0</v>
          </cell>
          <cell r="AY329">
            <v>218.36186909299212</v>
          </cell>
          <cell r="AZ329">
            <v>0</v>
          </cell>
          <cell r="BB329">
            <v>522.00363200181357</v>
          </cell>
          <cell r="BC329">
            <v>0</v>
          </cell>
          <cell r="BE329">
            <v>144.54378108389068</v>
          </cell>
          <cell r="BF329">
            <v>0</v>
          </cell>
          <cell r="BH329">
            <v>67.470245961631889</v>
          </cell>
          <cell r="BI329">
            <v>0</v>
          </cell>
          <cell r="BK329">
            <v>142.92069518764279</v>
          </cell>
          <cell r="BL329">
            <v>12966.987803522154</v>
          </cell>
          <cell r="BN329">
            <v>0</v>
          </cell>
          <cell r="BO329">
            <v>0</v>
          </cell>
          <cell r="BT329">
            <v>4277.0390053599167</v>
          </cell>
          <cell r="BU329">
            <v>4089.4160815677351</v>
          </cell>
          <cell r="BW329">
            <v>7910.9019349631017</v>
          </cell>
          <cell r="BX329">
            <v>9663.3414550501038</v>
          </cell>
          <cell r="BZ329">
            <v>1085.2369765347844</v>
          </cell>
          <cell r="CA329">
            <v>3841.7314791953804</v>
          </cell>
          <cell r="CC329">
            <v>211.04009637284133</v>
          </cell>
          <cell r="CD329">
            <v>213.36750106746581</v>
          </cell>
          <cell r="CF329">
            <v>25.980314894383874</v>
          </cell>
          <cell r="CG329">
            <v>0</v>
          </cell>
          <cell r="CI329">
            <v>2087.0040572569228</v>
          </cell>
          <cell r="CJ329">
            <v>2414.0365016094906</v>
          </cell>
          <cell r="CL329">
            <v>2002.775193959558</v>
          </cell>
          <cell r="CM329">
            <v>2473.1997584393239</v>
          </cell>
          <cell r="CX329">
            <v>1537.326079216662</v>
          </cell>
          <cell r="CY329">
            <v>-7819.9954734997336</v>
          </cell>
        </row>
        <row r="330">
          <cell r="I330">
            <v>1769.4820040665747</v>
          </cell>
          <cell r="J330">
            <v>2244.1610967310316</v>
          </cell>
          <cell r="L330">
            <v>453.60976220893593</v>
          </cell>
          <cell r="M330">
            <v>579.37582026316704</v>
          </cell>
          <cell r="O330">
            <v>837.74</v>
          </cell>
          <cell r="P330">
            <v>837.64</v>
          </cell>
          <cell r="R330">
            <v>203.38</v>
          </cell>
          <cell r="S330">
            <v>203.34</v>
          </cell>
          <cell r="U330">
            <v>130.00964065633656</v>
          </cell>
          <cell r="V330">
            <v>106.46261844006062</v>
          </cell>
          <cell r="X330">
            <v>1532.8177559537396</v>
          </cell>
          <cell r="Y330">
            <v>1823.6394729199437</v>
          </cell>
          <cell r="AA330">
            <v>0</v>
          </cell>
          <cell r="AB330">
            <v>0</v>
          </cell>
          <cell r="AD330">
            <v>2805.2020356738326</v>
          </cell>
          <cell r="AE330">
            <v>3082.8194839337702</v>
          </cell>
          <cell r="AJ330">
            <v>6913.0950965152351</v>
          </cell>
          <cell r="AK330">
            <v>6989.3119663893776</v>
          </cell>
          <cell r="AM330">
            <v>0</v>
          </cell>
          <cell r="AN330">
            <v>0</v>
          </cell>
          <cell r="AP330">
            <v>568.21058573618984</v>
          </cell>
          <cell r="AQ330">
            <v>0</v>
          </cell>
          <cell r="AS330">
            <v>18305.855806017549</v>
          </cell>
          <cell r="AT330">
            <v>8201.4053002703604</v>
          </cell>
          <cell r="AV330">
            <v>80.878175024060099</v>
          </cell>
          <cell r="AW330">
            <v>0</v>
          </cell>
          <cell r="AY330">
            <v>179.98343394677127</v>
          </cell>
          <cell r="AZ330">
            <v>0</v>
          </cell>
          <cell r="BB330">
            <v>214.01736783688938</v>
          </cell>
          <cell r="BC330">
            <v>719.28487379341368</v>
          </cell>
          <cell r="BE330">
            <v>71.621259226018381</v>
          </cell>
          <cell r="BF330">
            <v>0</v>
          </cell>
          <cell r="BH330">
            <v>39.576741189229679</v>
          </cell>
          <cell r="BI330">
            <v>0</v>
          </cell>
          <cell r="BK330">
            <v>137.0164525129411</v>
          </cell>
          <cell r="BL330">
            <v>0</v>
          </cell>
          <cell r="BN330">
            <v>0</v>
          </cell>
          <cell r="BO330">
            <v>0</v>
          </cell>
          <cell r="BT330">
            <v>3744.8568701693193</v>
          </cell>
          <cell r="BU330">
            <v>3838.4141306930278</v>
          </cell>
          <cell r="BW330">
            <v>6490.9858547791373</v>
          </cell>
          <cell r="BX330">
            <v>7891.2949407347314</v>
          </cell>
          <cell r="BZ330">
            <v>1298.4922026423383</v>
          </cell>
          <cell r="CA330">
            <v>3686.2807531851454</v>
          </cell>
          <cell r="CC330">
            <v>235.60016333748558</v>
          </cell>
          <cell r="CD330">
            <v>238.19842279448102</v>
          </cell>
          <cell r="CF330">
            <v>29.003807986622277</v>
          </cell>
          <cell r="CG330">
            <v>0</v>
          </cell>
          <cell r="CI330">
            <v>876.60409579849829</v>
          </cell>
          <cell r="CJ330">
            <v>257.76639237637858</v>
          </cell>
          <cell r="CL330">
            <v>1054.4205849818234</v>
          </cell>
          <cell r="CM330">
            <v>2148.6293757810226</v>
          </cell>
          <cell r="CX330">
            <v>869.60836448857299</v>
          </cell>
          <cell r="CY330">
            <v>7018.9304220329068</v>
          </cell>
        </row>
        <row r="331">
          <cell r="I331">
            <v>4229.0729249321193</v>
          </cell>
          <cell r="J331">
            <v>5270.8467375990913</v>
          </cell>
          <cell r="L331">
            <v>689.93201572403495</v>
          </cell>
          <cell r="M331">
            <v>881.22067030677408</v>
          </cell>
          <cell r="O331">
            <v>1369.08</v>
          </cell>
          <cell r="P331">
            <v>1368.86</v>
          </cell>
          <cell r="R331">
            <v>322.48</v>
          </cell>
          <cell r="S331">
            <v>322.76</v>
          </cell>
          <cell r="U331">
            <v>195.03873136964788</v>
          </cell>
          <cell r="V331">
            <v>159.7141139737883</v>
          </cell>
          <cell r="X331">
            <v>1641.1325516528952</v>
          </cell>
          <cell r="Y331">
            <v>1991.0013094190376</v>
          </cell>
          <cell r="AA331">
            <v>0</v>
          </cell>
          <cell r="AB331">
            <v>0</v>
          </cell>
          <cell r="AD331">
            <v>4495.1389325420587</v>
          </cell>
          <cell r="AE331">
            <v>4940.0013646080133</v>
          </cell>
          <cell r="AJ331">
            <v>14402.266595894693</v>
          </cell>
          <cell r="AK331">
            <v>14561.070339958776</v>
          </cell>
          <cell r="AM331">
            <v>0</v>
          </cell>
          <cell r="AN331">
            <v>0</v>
          </cell>
          <cell r="AP331">
            <v>852.31587860428476</v>
          </cell>
          <cell r="AQ331">
            <v>0</v>
          </cell>
          <cell r="AS331">
            <v>19965.106872581044</v>
          </cell>
          <cell r="AT331">
            <v>6315.1500253596778</v>
          </cell>
          <cell r="AV331">
            <v>340.67941004900786</v>
          </cell>
          <cell r="AW331">
            <v>0</v>
          </cell>
          <cell r="AY331">
            <v>456.07431114941113</v>
          </cell>
          <cell r="AZ331">
            <v>0</v>
          </cell>
          <cell r="BB331">
            <v>1150.4514219355508</v>
          </cell>
          <cell r="BC331">
            <v>0</v>
          </cell>
          <cell r="BE331">
            <v>365.27880722162689</v>
          </cell>
          <cell r="BF331">
            <v>0</v>
          </cell>
          <cell r="BH331">
            <v>98.941812127749259</v>
          </cell>
          <cell r="BI331">
            <v>497.05365631992424</v>
          </cell>
          <cell r="BK331">
            <v>393.71141400837746</v>
          </cell>
          <cell r="BL331">
            <v>287.27284892894761</v>
          </cell>
          <cell r="BN331">
            <v>0</v>
          </cell>
          <cell r="BO331">
            <v>0</v>
          </cell>
          <cell r="BT331">
            <v>6367.3819027450727</v>
          </cell>
          <cell r="BU331">
            <v>6480.3382077221331</v>
          </cell>
          <cell r="BW331">
            <v>6003.0422866740437</v>
          </cell>
          <cell r="BX331">
            <v>7322.1642940383463</v>
          </cell>
          <cell r="BZ331">
            <v>1448.026504015116</v>
          </cell>
          <cell r="CA331">
            <v>6226.5070198184885</v>
          </cell>
          <cell r="CC331">
            <v>386.0489567795878</v>
          </cell>
          <cell r="CD331">
            <v>390.30640439170577</v>
          </cell>
          <cell r="CF331">
            <v>47.524966270214406</v>
          </cell>
          <cell r="CG331">
            <v>0</v>
          </cell>
          <cell r="CI331">
            <v>4969.5029345445118</v>
          </cell>
          <cell r="CJ331">
            <v>3069.9222446857075</v>
          </cell>
          <cell r="CL331">
            <v>1927.9050932507898</v>
          </cell>
          <cell r="CM331">
            <v>2901.4291327659307</v>
          </cell>
          <cell r="CX331">
            <v>1318.8588111138088</v>
          </cell>
          <cell r="CY331">
            <v>12275.477956124399</v>
          </cell>
        </row>
        <row r="332">
          <cell r="I332">
            <v>4218.6693447917187</v>
          </cell>
          <cell r="J332">
            <v>5258.2138496434382</v>
          </cell>
          <cell r="L332">
            <v>691.31354053011785</v>
          </cell>
          <cell r="M332">
            <v>882.98437143390697</v>
          </cell>
          <cell r="O332">
            <v>1372.38</v>
          </cell>
          <cell r="P332">
            <v>1372.86</v>
          </cell>
          <cell r="R332">
            <v>322.32</v>
          </cell>
          <cell r="S332">
            <v>322.16000000000003</v>
          </cell>
          <cell r="U332">
            <v>195.03873136964788</v>
          </cell>
          <cell r="V332">
            <v>159.7141139737883</v>
          </cell>
          <cell r="X332">
            <v>1652.3817105886289</v>
          </cell>
          <cell r="Y332">
            <v>2005.3169663708336</v>
          </cell>
          <cell r="AA332">
            <v>0</v>
          </cell>
          <cell r="AB332">
            <v>0</v>
          </cell>
          <cell r="AD332">
            <v>4507.2395357810265</v>
          </cell>
          <cell r="AE332">
            <v>4953.2995067589327</v>
          </cell>
          <cell r="AJ332">
            <v>14402.266595894693</v>
          </cell>
          <cell r="AK332">
            <v>14561.070339958776</v>
          </cell>
          <cell r="AM332">
            <v>0</v>
          </cell>
          <cell r="AN332">
            <v>532.00510021686796</v>
          </cell>
          <cell r="AP332">
            <v>836.53225122272397</v>
          </cell>
          <cell r="AQ332">
            <v>0</v>
          </cell>
          <cell r="AS332">
            <v>19644.542428767843</v>
          </cell>
          <cell r="AT332">
            <v>560.69326699193175</v>
          </cell>
          <cell r="AV332">
            <v>341.10193611683809</v>
          </cell>
          <cell r="AW332">
            <v>0</v>
          </cell>
          <cell r="AY332">
            <v>456.98718243290779</v>
          </cell>
          <cell r="AZ332">
            <v>0</v>
          </cell>
          <cell r="BB332">
            <v>1118.9449665843622</v>
          </cell>
          <cell r="BC332">
            <v>0</v>
          </cell>
          <cell r="BE332">
            <v>365.34992358096986</v>
          </cell>
          <cell r="BF332">
            <v>0</v>
          </cell>
          <cell r="BH332">
            <v>98.941812127749259</v>
          </cell>
          <cell r="BI332">
            <v>0</v>
          </cell>
          <cell r="BK332">
            <v>395.44141636158889</v>
          </cell>
          <cell r="BL332">
            <v>0</v>
          </cell>
          <cell r="BN332">
            <v>0</v>
          </cell>
          <cell r="BO332">
            <v>0</v>
          </cell>
          <cell r="BT332">
            <v>6472.3726902779981</v>
          </cell>
          <cell r="BU332">
            <v>5342.8887528608511</v>
          </cell>
          <cell r="BW332">
            <v>6600.1771265409279</v>
          </cell>
          <cell r="BX332">
            <v>7645.5169380804746</v>
          </cell>
          <cell r="BZ332">
            <v>1444.1028069688332</v>
          </cell>
          <cell r="CA332">
            <v>5316.1834457813557</v>
          </cell>
          <cell r="CC332">
            <v>408.84422851323967</v>
          </cell>
          <cell r="CD332">
            <v>413.35306827007321</v>
          </cell>
          <cell r="CF332">
            <v>50.331202373788983</v>
          </cell>
          <cell r="CG332">
            <v>0</v>
          </cell>
          <cell r="CI332">
            <v>3219.4143304770473</v>
          </cell>
          <cell r="CJ332">
            <v>1934.4126391971349</v>
          </cell>
          <cell r="CL332">
            <v>1815.5999421876372</v>
          </cell>
          <cell r="CM332">
            <v>2614.0861443099866</v>
          </cell>
          <cell r="CX332">
            <v>1270.9475558116392</v>
          </cell>
          <cell r="CY332">
            <v>21377.589795381991</v>
          </cell>
        </row>
        <row r="333">
          <cell r="I333">
            <v>4213.5205224714955</v>
          </cell>
          <cell r="J333">
            <v>5253.5431689407715</v>
          </cell>
          <cell r="L333">
            <v>687.51585859041313</v>
          </cell>
          <cell r="M333">
            <v>878.13419333429147</v>
          </cell>
          <cell r="O333">
            <v>1376.08</v>
          </cell>
          <cell r="P333">
            <v>1375.86</v>
          </cell>
          <cell r="R333">
            <v>333</v>
          </cell>
          <cell r="S333">
            <v>332.62</v>
          </cell>
          <cell r="U333">
            <v>195.03873136964788</v>
          </cell>
          <cell r="V333">
            <v>159.7141139737883</v>
          </cell>
          <cell r="X333">
            <v>1621.4226940991348</v>
          </cell>
          <cell r="Y333">
            <v>1966.6328252148701</v>
          </cell>
          <cell r="AA333">
            <v>0</v>
          </cell>
          <cell r="AB333">
            <v>0</v>
          </cell>
          <cell r="AD333">
            <v>4514.7008618064674</v>
          </cell>
          <cell r="AE333">
            <v>4961.4992445869739</v>
          </cell>
          <cell r="AJ333">
            <v>8621.7600347441276</v>
          </cell>
          <cell r="AK333">
            <v>8716.8374107248401</v>
          </cell>
          <cell r="AM333">
            <v>0</v>
          </cell>
          <cell r="AN333">
            <v>266.0109811433166</v>
          </cell>
          <cell r="AP333">
            <v>852.31587860428476</v>
          </cell>
          <cell r="AQ333">
            <v>0</v>
          </cell>
          <cell r="AS333">
            <v>19561.369038329085</v>
          </cell>
          <cell r="AT333">
            <v>2985.7122656852707</v>
          </cell>
          <cell r="AV333">
            <v>338.94789082903128</v>
          </cell>
          <cell r="AW333">
            <v>0</v>
          </cell>
          <cell r="AY333">
            <v>454.5350152089967</v>
          </cell>
          <cell r="AZ333">
            <v>0</v>
          </cell>
          <cell r="BB333">
            <v>1157.2474197511715</v>
          </cell>
          <cell r="BC333">
            <v>0</v>
          </cell>
          <cell r="BE333">
            <v>368.35609494407032</v>
          </cell>
          <cell r="BF333">
            <v>0</v>
          </cell>
          <cell r="BH333">
            <v>98.941812127749259</v>
          </cell>
          <cell r="BI333">
            <v>0</v>
          </cell>
          <cell r="BK333">
            <v>390.76670427356618</v>
          </cell>
          <cell r="BL333">
            <v>0</v>
          </cell>
          <cell r="BN333">
            <v>0</v>
          </cell>
          <cell r="BO333">
            <v>0</v>
          </cell>
          <cell r="BT333">
            <v>6708.69254836253</v>
          </cell>
          <cell r="BU333">
            <v>5243.3918792894692</v>
          </cell>
          <cell r="BW333">
            <v>6832.3680887851806</v>
          </cell>
          <cell r="BX333">
            <v>7283.4377762006261</v>
          </cell>
          <cell r="BZ333">
            <v>1621.2047380928243</v>
          </cell>
          <cell r="CA333">
            <v>4561.2069113475609</v>
          </cell>
          <cell r="CC333">
            <v>408.74618433374008</v>
          </cell>
          <cell r="CD333">
            <v>413.25394283403716</v>
          </cell>
          <cell r="CF333">
            <v>50.31913254108543</v>
          </cell>
          <cell r="CG333">
            <v>0</v>
          </cell>
          <cell r="CI333">
            <v>2392.723635151061</v>
          </cell>
          <cell r="CJ333">
            <v>1942.4962181601097</v>
          </cell>
          <cell r="CL333">
            <v>3584.4060714322941</v>
          </cell>
          <cell r="CM333">
            <v>2911.2611590039141</v>
          </cell>
          <cell r="CX333">
            <v>1214.3452529824572</v>
          </cell>
          <cell r="CY333">
            <v>21773.185491472199</v>
          </cell>
        </row>
        <row r="334">
          <cell r="I334">
            <v>4194.3142295178504</v>
          </cell>
          <cell r="J334">
            <v>5230.7264509519518</v>
          </cell>
          <cell r="L334">
            <v>688.69978930805587</v>
          </cell>
          <cell r="M334">
            <v>879.64593715754825</v>
          </cell>
          <cell r="O334">
            <v>1376.08</v>
          </cell>
          <cell r="P334">
            <v>1376.3</v>
          </cell>
          <cell r="R334">
            <v>324.64</v>
          </cell>
          <cell r="S334">
            <v>324.76</v>
          </cell>
          <cell r="U334">
            <v>195.03873136964788</v>
          </cell>
          <cell r="V334">
            <v>159.7141139737883</v>
          </cell>
          <cell r="X334">
            <v>1631.253194348172</v>
          </cell>
          <cell r="Y334">
            <v>1979.2121073345272</v>
          </cell>
          <cell r="AA334">
            <v>0</v>
          </cell>
          <cell r="AB334">
            <v>0</v>
          </cell>
          <cell r="AD334">
            <v>4523.3665470470942</v>
          </cell>
          <cell r="AE334">
            <v>4971.0225313098945</v>
          </cell>
          <cell r="AJ334">
            <v>8621.7600347441276</v>
          </cell>
          <cell r="AK334">
            <v>8716.8374107248401</v>
          </cell>
          <cell r="AM334">
            <v>0</v>
          </cell>
          <cell r="AN334">
            <v>532.00510021686796</v>
          </cell>
          <cell r="AP334">
            <v>836.53225122272397</v>
          </cell>
          <cell r="AQ334">
            <v>0</v>
          </cell>
          <cell r="AS334">
            <v>19630.247036745306</v>
          </cell>
          <cell r="AT334">
            <v>2926.975225402432</v>
          </cell>
          <cell r="AV334">
            <v>338.38118133211213</v>
          </cell>
          <cell r="AW334">
            <v>0</v>
          </cell>
          <cell r="AY334">
            <v>455.31679837177501</v>
          </cell>
          <cell r="AZ334">
            <v>0</v>
          </cell>
          <cell r="BB334">
            <v>1157.2474197511715</v>
          </cell>
          <cell r="BC334">
            <v>0</v>
          </cell>
          <cell r="BE334">
            <v>367.35679527182106</v>
          </cell>
          <cell r="BF334">
            <v>0</v>
          </cell>
          <cell r="BH334">
            <v>98.941812127749259</v>
          </cell>
          <cell r="BI334">
            <v>0</v>
          </cell>
          <cell r="BK334">
            <v>392.23794522822857</v>
          </cell>
          <cell r="BL334">
            <v>1665.7227761644594</v>
          </cell>
          <cell r="BN334">
            <v>0</v>
          </cell>
          <cell r="BO334">
            <v>0</v>
          </cell>
          <cell r="BT334">
            <v>6652.5032358327817</v>
          </cell>
          <cell r="BU334">
            <v>5185.6591838240147</v>
          </cell>
          <cell r="BW334">
            <v>5900.6452329334033</v>
          </cell>
          <cell r="BX334">
            <v>6313.4579990671355</v>
          </cell>
          <cell r="BZ334">
            <v>1660.5607227870448</v>
          </cell>
          <cell r="CA334">
            <v>4490.0680577619223</v>
          </cell>
          <cell r="CC334">
            <v>380.16630600961321</v>
          </cell>
          <cell r="CD334">
            <v>384.35887822954646</v>
          </cell>
          <cell r="CF334">
            <v>46.800776308001616</v>
          </cell>
          <cell r="CG334">
            <v>0</v>
          </cell>
          <cell r="CI334">
            <v>3896.3648243854964</v>
          </cell>
          <cell r="CJ334">
            <v>6039.9943970448858</v>
          </cell>
          <cell r="CL334">
            <v>1974.6989061937702</v>
          </cell>
          <cell r="CM334">
            <v>2963.6593087327274</v>
          </cell>
          <cell r="CX334">
            <v>1175.3754749968648</v>
          </cell>
          <cell r="CY334">
            <v>14619.01662652415</v>
          </cell>
        </row>
        <row r="335">
          <cell r="I335">
            <v>3376.1419518062753</v>
          </cell>
          <cell r="J335">
            <v>4228.2821501026847</v>
          </cell>
          <cell r="L335">
            <v>670.00760736089296</v>
          </cell>
          <cell r="M335">
            <v>855.77298261528472</v>
          </cell>
          <cell r="O335">
            <v>1458.8</v>
          </cell>
          <cell r="P335">
            <v>1459.18</v>
          </cell>
          <cell r="R335">
            <v>0</v>
          </cell>
          <cell r="S335">
            <v>0</v>
          </cell>
          <cell r="U335">
            <v>333.92254251606141</v>
          </cell>
          <cell r="V335">
            <v>273.44380534491114</v>
          </cell>
          <cell r="X335">
            <v>3206.0251200719549</v>
          </cell>
          <cell r="Y335">
            <v>3923.7463325185672</v>
          </cell>
          <cell r="AA335">
            <v>0</v>
          </cell>
          <cell r="AB335">
            <v>0</v>
          </cell>
          <cell r="AD335">
            <v>4178.9696962051758</v>
          </cell>
          <cell r="AE335">
            <v>4592.5423689262007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1692.794036672399</v>
          </cell>
          <cell r="AQ335">
            <v>7483.3660937918612</v>
          </cell>
          <cell r="AS335">
            <v>15745.21272555894</v>
          </cell>
          <cell r="AT335">
            <v>103.1507578703665</v>
          </cell>
          <cell r="AV335">
            <v>552.21617909158942</v>
          </cell>
          <cell r="AW335">
            <v>2908.9904224499974</v>
          </cell>
          <cell r="AY335">
            <v>863.53737109845565</v>
          </cell>
          <cell r="AZ335">
            <v>2486.5483076742426</v>
          </cell>
          <cell r="BB335">
            <v>549.74304237231922</v>
          </cell>
          <cell r="BC335">
            <v>0</v>
          </cell>
          <cell r="BE335">
            <v>0</v>
          </cell>
          <cell r="BF335">
            <v>0</v>
          </cell>
          <cell r="BH335">
            <v>338.81178137477229</v>
          </cell>
          <cell r="BI335">
            <v>0</v>
          </cell>
          <cell r="BK335">
            <v>500.05250650715965</v>
          </cell>
          <cell r="BL335">
            <v>0</v>
          </cell>
          <cell r="BN335">
            <v>0</v>
          </cell>
          <cell r="BO335">
            <v>0</v>
          </cell>
          <cell r="BT335">
            <v>8695.4876657257628</v>
          </cell>
          <cell r="BU335">
            <v>3669.4387434053242</v>
          </cell>
          <cell r="BW335">
            <v>5996.2322938981015</v>
          </cell>
          <cell r="BX335">
            <v>4069.9871095890953</v>
          </cell>
          <cell r="BZ335">
            <v>1285.390804881755</v>
          </cell>
          <cell r="CA335">
            <v>5070.9612712544804</v>
          </cell>
          <cell r="CC335">
            <v>436.14953250387214</v>
          </cell>
          <cell r="CD335">
            <v>440.95950220609609</v>
          </cell>
          <cell r="CF335">
            <v>53.692650781726684</v>
          </cell>
          <cell r="CG335">
            <v>0</v>
          </cell>
          <cell r="CI335">
            <v>2155.6349829066276</v>
          </cell>
          <cell r="CJ335">
            <v>1491.7774243174192</v>
          </cell>
          <cell r="CL335">
            <v>0</v>
          </cell>
          <cell r="CM335">
            <v>0</v>
          </cell>
          <cell r="CX335">
            <v>2948.7330103994027</v>
          </cell>
          <cell r="CY335">
            <v>13785.543273520165</v>
          </cell>
        </row>
        <row r="336">
          <cell r="I336">
            <v>2651.8796901393102</v>
          </cell>
          <cell r="J336">
            <v>3313.2696432039124</v>
          </cell>
          <cell r="L336">
            <v>503.07286950512366</v>
          </cell>
          <cell r="M336">
            <v>642.5541142101074</v>
          </cell>
          <cell r="O336">
            <v>1044.6600000000001</v>
          </cell>
          <cell r="P336">
            <v>1044.6400000000001</v>
          </cell>
          <cell r="R336">
            <v>0</v>
          </cell>
          <cell r="S336">
            <v>0</v>
          </cell>
          <cell r="U336">
            <v>159.59026341702642</v>
          </cell>
          <cell r="V336">
            <v>130.68619487693448</v>
          </cell>
          <cell r="X336">
            <v>2068.1835702503245</v>
          </cell>
          <cell r="Y336">
            <v>2524.9378944526206</v>
          </cell>
          <cell r="AA336">
            <v>0</v>
          </cell>
          <cell r="AB336">
            <v>0</v>
          </cell>
          <cell r="AD336">
            <v>3183.7271485366077</v>
          </cell>
          <cell r="AE336">
            <v>3498.8054194392275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1278.4738179064273</v>
          </cell>
          <cell r="AQ336">
            <v>5684.4800135534333</v>
          </cell>
          <cell r="AS336">
            <v>12781.050783656552</v>
          </cell>
          <cell r="AT336">
            <v>70.698315362929662</v>
          </cell>
          <cell r="AV336">
            <v>440.7848845409053</v>
          </cell>
          <cell r="AW336">
            <v>0</v>
          </cell>
          <cell r="AY336">
            <v>648.37174232033783</v>
          </cell>
          <cell r="AZ336">
            <v>0</v>
          </cell>
          <cell r="BB336">
            <v>435.73378950881943</v>
          </cell>
          <cell r="BC336">
            <v>0</v>
          </cell>
          <cell r="BE336">
            <v>0</v>
          </cell>
          <cell r="BF336">
            <v>0</v>
          </cell>
          <cell r="BH336">
            <v>161.90917399980211</v>
          </cell>
          <cell r="BI336">
            <v>0</v>
          </cell>
          <cell r="BK336">
            <v>323.39564104606796</v>
          </cell>
          <cell r="BL336">
            <v>0</v>
          </cell>
          <cell r="BN336">
            <v>0</v>
          </cell>
          <cell r="BO336">
            <v>0</v>
          </cell>
          <cell r="BT336">
            <v>7672.4547710050156</v>
          </cell>
          <cell r="BU336">
            <v>3262.5332468930587</v>
          </cell>
          <cell r="BW336">
            <v>4373.5279355795983</v>
          </cell>
          <cell r="BX336">
            <v>2942.5655563042101</v>
          </cell>
          <cell r="BZ336">
            <v>1205.3907721831185</v>
          </cell>
          <cell r="CA336">
            <v>4525.0756843833942</v>
          </cell>
          <cell r="CC336">
            <v>410.51097956473251</v>
          </cell>
          <cell r="CD336">
            <v>415.03820068268493</v>
          </cell>
          <cell r="CF336">
            <v>50.536389529749272</v>
          </cell>
          <cell r="CG336">
            <v>0</v>
          </cell>
          <cell r="CI336">
            <v>1497.4020141753706</v>
          </cell>
          <cell r="CJ336">
            <v>834.94560219521918</v>
          </cell>
          <cell r="CL336">
            <v>0</v>
          </cell>
          <cell r="CM336">
            <v>0</v>
          </cell>
          <cell r="CX336">
            <v>2447.5325157621337</v>
          </cell>
          <cell r="CY336">
            <v>16848.044137330726</v>
          </cell>
        </row>
        <row r="337">
          <cell r="I337">
            <v>1759.8926155363379</v>
          </cell>
          <cell r="J337">
            <v>2193.1555491496856</v>
          </cell>
          <cell r="L337">
            <v>332.43932844451967</v>
          </cell>
          <cell r="M337">
            <v>424.61104635725263</v>
          </cell>
          <cell r="O337">
            <v>689.06</v>
          </cell>
          <cell r="P337">
            <v>688.88</v>
          </cell>
          <cell r="R337">
            <v>0</v>
          </cell>
          <cell r="S337">
            <v>0</v>
          </cell>
          <cell r="U337">
            <v>159.59026341702642</v>
          </cell>
          <cell r="V337">
            <v>130.68619487693448</v>
          </cell>
          <cell r="X337">
            <v>1185.3985421395907</v>
          </cell>
          <cell r="Y337">
            <v>1397.8697864434705</v>
          </cell>
          <cell r="AA337">
            <v>0</v>
          </cell>
          <cell r="AB337">
            <v>0</v>
          </cell>
          <cell r="AD337">
            <v>1981.007002105202</v>
          </cell>
          <cell r="AE337">
            <v>2177.0578041207546</v>
          </cell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P337">
            <v>852.31587860428476</v>
          </cell>
          <cell r="AQ337">
            <v>429.98277901017957</v>
          </cell>
          <cell r="AS337">
            <v>8433.0743041202404</v>
          </cell>
          <cell r="AT337">
            <v>56.549419732020127</v>
          </cell>
          <cell r="AV337">
            <v>293.7456385988923</v>
          </cell>
          <cell r="AW337">
            <v>0</v>
          </cell>
          <cell r="AY337">
            <v>428.45713760025609</v>
          </cell>
          <cell r="AZ337">
            <v>1993.1811706349574</v>
          </cell>
          <cell r="BB337">
            <v>249.50064667588106</v>
          </cell>
          <cell r="BC337">
            <v>0</v>
          </cell>
          <cell r="BE337">
            <v>0</v>
          </cell>
          <cell r="BF337">
            <v>0</v>
          </cell>
          <cell r="BH337">
            <v>161.90917399980211</v>
          </cell>
          <cell r="BI337">
            <v>0</v>
          </cell>
          <cell r="BK337">
            <v>176.12067478462095</v>
          </cell>
          <cell r="BL337">
            <v>0</v>
          </cell>
          <cell r="BN337">
            <v>0</v>
          </cell>
          <cell r="BO337">
            <v>0</v>
          </cell>
          <cell r="BT337">
            <v>4966.8427556882752</v>
          </cell>
          <cell r="BU337">
            <v>4770.0491650776858</v>
          </cell>
          <cell r="BW337">
            <v>2950.1250237578638</v>
          </cell>
          <cell r="BX337">
            <v>3354.0877718397451</v>
          </cell>
          <cell r="BZ337">
            <v>1185.6532727203141</v>
          </cell>
          <cell r="CA337">
            <v>4661.9605678573225</v>
          </cell>
          <cell r="CC337">
            <v>288.78913071600658</v>
          </cell>
          <cell r="CD337">
            <v>291.97397184400489</v>
          </cell>
          <cell r="CF337">
            <v>35.551692228296268</v>
          </cell>
          <cell r="CG337">
            <v>0</v>
          </cell>
          <cell r="CI337">
            <v>848.52780803271014</v>
          </cell>
          <cell r="CJ337">
            <v>815.42245510907992</v>
          </cell>
          <cell r="CL337">
            <v>0</v>
          </cell>
          <cell r="CM337">
            <v>0</v>
          </cell>
          <cell r="CX337">
            <v>1501.818932995855</v>
          </cell>
          <cell r="CY337">
            <v>5812.858781536288</v>
          </cell>
        </row>
        <row r="338">
          <cell r="I338">
            <v>1759.8926155363379</v>
          </cell>
          <cell r="J338">
            <v>2192.610711436726</v>
          </cell>
          <cell r="L338">
            <v>332.43932844451967</v>
          </cell>
          <cell r="M338">
            <v>424.61104635725263</v>
          </cell>
          <cell r="O338">
            <v>689.06</v>
          </cell>
          <cell r="P338">
            <v>689.2</v>
          </cell>
          <cell r="R338">
            <v>0</v>
          </cell>
          <cell r="S338">
            <v>0</v>
          </cell>
          <cell r="U338">
            <v>159.59026341702642</v>
          </cell>
          <cell r="V338">
            <v>130.68619487693448</v>
          </cell>
          <cell r="X338">
            <v>1185.3985421395907</v>
          </cell>
          <cell r="Y338">
            <v>1397.5798648042764</v>
          </cell>
          <cell r="AA338">
            <v>0</v>
          </cell>
          <cell r="AB338">
            <v>0</v>
          </cell>
          <cell r="AD338">
            <v>1968.5215740282463</v>
          </cell>
          <cell r="AE338">
            <v>2163.3367528554941</v>
          </cell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P338">
            <v>852.31587860428476</v>
          </cell>
          <cell r="AQ338">
            <v>214.99138950508978</v>
          </cell>
          <cell r="AS338">
            <v>8469.3422748413013</v>
          </cell>
          <cell r="AT338">
            <v>38.384361230346727</v>
          </cell>
          <cell r="AV338">
            <v>293.7456385988923</v>
          </cell>
          <cell r="AW338">
            <v>0</v>
          </cell>
          <cell r="AY338">
            <v>428.45713760025609</v>
          </cell>
          <cell r="AZ338">
            <v>0</v>
          </cell>
          <cell r="BB338">
            <v>249.50064667588106</v>
          </cell>
          <cell r="BC338">
            <v>0</v>
          </cell>
          <cell r="BE338">
            <v>0</v>
          </cell>
          <cell r="BF338">
            <v>0</v>
          </cell>
          <cell r="BH338">
            <v>161.90917399980211</v>
          </cell>
          <cell r="BI338">
            <v>0</v>
          </cell>
          <cell r="BK338">
            <v>176.12067478462095</v>
          </cell>
          <cell r="BL338">
            <v>0</v>
          </cell>
          <cell r="BN338">
            <v>0</v>
          </cell>
          <cell r="BO338">
            <v>0</v>
          </cell>
          <cell r="BT338">
            <v>4698.6316660432103</v>
          </cell>
          <cell r="BU338">
            <v>4646.4840137046367</v>
          </cell>
          <cell r="BW338">
            <v>2951.5894533907522</v>
          </cell>
          <cell r="BX338">
            <v>5209.5494331430673</v>
          </cell>
          <cell r="BZ338">
            <v>1155.4922525445513</v>
          </cell>
          <cell r="CA338">
            <v>3944.5807093642143</v>
          </cell>
          <cell r="CC338">
            <v>256.53259566064543</v>
          </cell>
          <cell r="CD338">
            <v>259.36170338816459</v>
          </cell>
          <cell r="CF338">
            <v>31.580717268829464</v>
          </cell>
          <cell r="CG338">
            <v>0</v>
          </cell>
          <cell r="CI338">
            <v>985.78965933211919</v>
          </cell>
          <cell r="CJ338">
            <v>560.2902010294813</v>
          </cell>
          <cell r="CL338">
            <v>0</v>
          </cell>
          <cell r="CM338">
            <v>0</v>
          </cell>
          <cell r="CX338">
            <v>1622.7078885069641</v>
          </cell>
          <cell r="CY338">
            <v>7543.8003419651814</v>
          </cell>
        </row>
        <row r="339">
          <cell r="I339">
            <v>1759.688223476353</v>
          </cell>
          <cell r="J339">
            <v>2191.7771434972074</v>
          </cell>
          <cell r="L339">
            <v>332.43932844451967</v>
          </cell>
          <cell r="M339">
            <v>424.61104635725263</v>
          </cell>
          <cell r="O339">
            <v>689.06</v>
          </cell>
          <cell r="P339">
            <v>689.06</v>
          </cell>
          <cell r="R339">
            <v>0</v>
          </cell>
          <cell r="S339">
            <v>0</v>
          </cell>
          <cell r="U339">
            <v>159.59026341702642</v>
          </cell>
          <cell r="V339">
            <v>130.68619487693448</v>
          </cell>
          <cell r="X339">
            <v>1185.2026995245419</v>
          </cell>
          <cell r="Y339">
            <v>1397.0170688369208</v>
          </cell>
          <cell r="AA339">
            <v>0</v>
          </cell>
          <cell r="AB339">
            <v>0</v>
          </cell>
          <cell r="AD339">
            <v>1955.0527046986535</v>
          </cell>
          <cell r="AE339">
            <v>2148.5349338535871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P339">
            <v>852.31587860428476</v>
          </cell>
          <cell r="AQ339">
            <v>3741.6830468959306</v>
          </cell>
          <cell r="AS339">
            <v>8078.8359921612318</v>
          </cell>
          <cell r="AT339">
            <v>70.698315362929662</v>
          </cell>
          <cell r="AV339">
            <v>293.68706488461845</v>
          </cell>
          <cell r="AW339">
            <v>1959.6145470694528</v>
          </cell>
          <cell r="AY339">
            <v>428.45713760025609</v>
          </cell>
          <cell r="AZ339">
            <v>0</v>
          </cell>
          <cell r="BB339">
            <v>249.50064667588106</v>
          </cell>
          <cell r="BC339">
            <v>0</v>
          </cell>
          <cell r="BE339">
            <v>0</v>
          </cell>
          <cell r="BF339">
            <v>0</v>
          </cell>
          <cell r="BH339">
            <v>161.90917399980211</v>
          </cell>
          <cell r="BI339">
            <v>0</v>
          </cell>
          <cell r="BK339">
            <v>176.11164732070878</v>
          </cell>
          <cell r="BL339">
            <v>0</v>
          </cell>
          <cell r="BN339">
            <v>0</v>
          </cell>
          <cell r="BO339">
            <v>0</v>
          </cell>
          <cell r="BT339">
            <v>6455.092233619318</v>
          </cell>
          <cell r="BU339">
            <v>5212.9809121826702</v>
          </cell>
          <cell r="BW339">
            <v>2904.8118323169128</v>
          </cell>
          <cell r="BX339">
            <v>5421.3249924563188</v>
          </cell>
          <cell r="BZ339">
            <v>1162.0515833269212</v>
          </cell>
          <cell r="CA339">
            <v>5160.5205175327028</v>
          </cell>
          <cell r="CC339">
            <v>256.48357357089571</v>
          </cell>
          <cell r="CD339">
            <v>259.31214067014668</v>
          </cell>
          <cell r="CF339">
            <v>31.574682352477687</v>
          </cell>
          <cell r="CG339">
            <v>0</v>
          </cell>
          <cell r="CI339">
            <v>1038.8226473341635</v>
          </cell>
          <cell r="CJ339">
            <v>879.50172505790454</v>
          </cell>
          <cell r="CL339">
            <v>0</v>
          </cell>
          <cell r="CM339">
            <v>0</v>
          </cell>
          <cell r="CX339">
            <v>699.17522400572489</v>
          </cell>
          <cell r="CY339">
            <v>-1120.7871015799465</v>
          </cell>
        </row>
        <row r="340">
          <cell r="I340">
            <v>3470.3203669484656</v>
          </cell>
          <cell r="J340">
            <v>4336.0843111046433</v>
          </cell>
          <cell r="L340">
            <v>669.76147250216661</v>
          </cell>
          <cell r="M340">
            <v>855.45803598543955</v>
          </cell>
          <cell r="O340">
            <v>1444.46</v>
          </cell>
          <cell r="P340">
            <v>1444.64</v>
          </cell>
          <cell r="R340">
            <v>0</v>
          </cell>
          <cell r="S340">
            <v>0</v>
          </cell>
          <cell r="U340">
            <v>333.92254251606141</v>
          </cell>
          <cell r="V340">
            <v>273.44380534491114</v>
          </cell>
          <cell r="X340">
            <v>3248.7900990067287</v>
          </cell>
          <cell r="Y340">
            <v>3948.9993785603347</v>
          </cell>
          <cell r="AA340">
            <v>0</v>
          </cell>
          <cell r="AB340">
            <v>0</v>
          </cell>
          <cell r="AD340">
            <v>4126.5978863093151</v>
          </cell>
          <cell r="AE340">
            <v>4534.9170862722149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P340">
            <v>1633.6054339915459</v>
          </cell>
          <cell r="AQ340">
            <v>7195.5443209537134</v>
          </cell>
          <cell r="AS340">
            <v>16064.86936771587</v>
          </cell>
          <cell r="AT340">
            <v>18497.376884794554</v>
          </cell>
          <cell r="AV340">
            <v>579.30180808381465</v>
          </cell>
          <cell r="AW340">
            <v>0</v>
          </cell>
          <cell r="AY340">
            <v>863.2751948570193</v>
          </cell>
          <cell r="AZ340">
            <v>0</v>
          </cell>
          <cell r="BB340">
            <v>544.18402662422682</v>
          </cell>
          <cell r="BC340">
            <v>0</v>
          </cell>
          <cell r="BE340">
            <v>0</v>
          </cell>
          <cell r="BF340">
            <v>0</v>
          </cell>
          <cell r="BH340">
            <v>338.81178137477229</v>
          </cell>
          <cell r="BI340">
            <v>0</v>
          </cell>
          <cell r="BK340">
            <v>499.63889281703172</v>
          </cell>
          <cell r="BL340">
            <v>0</v>
          </cell>
          <cell r="BN340">
            <v>0</v>
          </cell>
          <cell r="BO340">
            <v>0</v>
          </cell>
          <cell r="BT340">
            <v>8927.1681324313504</v>
          </cell>
          <cell r="BU340">
            <v>3784.4533858070195</v>
          </cell>
          <cell r="BW340">
            <v>6057.5718917376098</v>
          </cell>
          <cell r="BX340">
            <v>8893.3673583644631</v>
          </cell>
          <cell r="BZ340">
            <v>1246.0348201875349</v>
          </cell>
          <cell r="CA340">
            <v>5334.4733139250429</v>
          </cell>
          <cell r="CC340">
            <v>388.00984036957936</v>
          </cell>
          <cell r="CD340">
            <v>392.28891311242558</v>
          </cell>
          <cell r="CF340">
            <v>47.766362924285339</v>
          </cell>
          <cell r="CG340">
            <v>0</v>
          </cell>
          <cell r="CI340">
            <v>845.40822050317809</v>
          </cell>
          <cell r="CJ340">
            <v>941.65138365908547</v>
          </cell>
          <cell r="CL340">
            <v>0</v>
          </cell>
          <cell r="CM340">
            <v>0</v>
          </cell>
          <cell r="CX340">
            <v>2894.2822309193361</v>
          </cell>
          <cell r="CY340">
            <v>-8029.5578134606185</v>
          </cell>
        </row>
        <row r="341">
          <cell r="I341">
            <v>2656.0751115994181</v>
          </cell>
          <cell r="J341">
            <v>3317.4864668525061</v>
          </cell>
          <cell r="L341">
            <v>503.71427423137993</v>
          </cell>
          <cell r="M341">
            <v>664.1412916054378</v>
          </cell>
          <cell r="O341">
            <v>1080.28</v>
          </cell>
          <cell r="P341">
            <v>1080.3</v>
          </cell>
          <cell r="R341">
            <v>0</v>
          </cell>
          <cell r="S341">
            <v>0</v>
          </cell>
          <cell r="U341">
            <v>215.74518364026076</v>
          </cell>
          <cell r="V341">
            <v>176.67061747960003</v>
          </cell>
          <cell r="X341">
            <v>2077.1344759252106</v>
          </cell>
          <cell r="Y341">
            <v>2610.1768954962904</v>
          </cell>
          <cell r="AA341">
            <v>0</v>
          </cell>
          <cell r="AB341">
            <v>0</v>
          </cell>
          <cell r="AD341">
            <v>3168.0348468097486</v>
          </cell>
          <cell r="AE341">
            <v>3481.5601255544652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P341">
            <v>1278.4738179064273</v>
          </cell>
          <cell r="AQ341">
            <v>5684.4800135534333</v>
          </cell>
          <cell r="AS341">
            <v>11808.278902401395</v>
          </cell>
          <cell r="AT341">
            <v>4609.7833270470983</v>
          </cell>
          <cell r="AV341">
            <v>441.71427296130838</v>
          </cell>
          <cell r="AW341">
            <v>0</v>
          </cell>
          <cell r="AY341">
            <v>649.25535258521438</v>
          </cell>
          <cell r="AZ341">
            <v>0</v>
          </cell>
          <cell r="BB341">
            <v>427.07970210128394</v>
          </cell>
          <cell r="BC341">
            <v>0</v>
          </cell>
          <cell r="BE341">
            <v>0</v>
          </cell>
          <cell r="BF341">
            <v>0</v>
          </cell>
          <cell r="BH341">
            <v>218.86472282667671</v>
          </cell>
          <cell r="BI341">
            <v>0</v>
          </cell>
          <cell r="BK341">
            <v>324.72985377725348</v>
          </cell>
          <cell r="BL341">
            <v>0</v>
          </cell>
          <cell r="BN341">
            <v>0</v>
          </cell>
          <cell r="BO341">
            <v>0</v>
          </cell>
          <cell r="BT341">
            <v>9217.3597269508082</v>
          </cell>
          <cell r="BU341">
            <v>6177.0319243381809</v>
          </cell>
          <cell r="BW341">
            <v>4396.7506250323841</v>
          </cell>
          <cell r="BX341">
            <v>7727.7631738630816</v>
          </cell>
          <cell r="BZ341">
            <v>1133.2976406927414</v>
          </cell>
          <cell r="CA341">
            <v>5782.0575072461397</v>
          </cell>
          <cell r="CC341">
            <v>460.41546693001766</v>
          </cell>
          <cell r="CD341">
            <v>465.49304762500333</v>
          </cell>
          <cell r="CF341">
            <v>56.679934375854444</v>
          </cell>
          <cell r="CG341">
            <v>0</v>
          </cell>
          <cell r="CI341">
            <v>995.14842192071524</v>
          </cell>
          <cell r="CJ341">
            <v>599.89005209036713</v>
          </cell>
          <cell r="CL341">
            <v>0</v>
          </cell>
          <cell r="CM341">
            <v>0</v>
          </cell>
          <cell r="CX341">
            <v>2482.6412007982872</v>
          </cell>
          <cell r="CY341">
            <v>961.27866869807985</v>
          </cell>
        </row>
        <row r="342">
          <cell r="I342">
            <v>2758.9381129065055</v>
          </cell>
          <cell r="J342">
            <v>3445.1408391382288</v>
          </cell>
          <cell r="L342">
            <v>566.74004116832782</v>
          </cell>
          <cell r="M342">
            <v>723.87333403612922</v>
          </cell>
          <cell r="O342">
            <v>1119.26</v>
          </cell>
          <cell r="P342">
            <v>1119.6199999999999</v>
          </cell>
          <cell r="R342">
            <v>0</v>
          </cell>
          <cell r="S342">
            <v>0</v>
          </cell>
          <cell r="U342">
            <v>215.74518364026076</v>
          </cell>
          <cell r="V342">
            <v>176.67061747960003</v>
          </cell>
          <cell r="X342">
            <v>2130.9804885181698</v>
          </cell>
          <cell r="Y342">
            <v>2606.0692516717572</v>
          </cell>
          <cell r="AA342">
            <v>0</v>
          </cell>
          <cell r="AB342">
            <v>0</v>
          </cell>
          <cell r="AD342">
            <v>3271.8662892077195</v>
          </cell>
          <cell r="AE342">
            <v>3595.6672699236665</v>
          </cell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P342">
            <v>2320.193225089442</v>
          </cell>
          <cell r="AQ342">
            <v>5972.301786391582</v>
          </cell>
          <cell r="AS342">
            <v>10493.984625076306</v>
          </cell>
          <cell r="AT342">
            <v>1779.8562267939749</v>
          </cell>
          <cell r="AV342">
            <v>452.10488610420913</v>
          </cell>
          <cell r="AW342">
            <v>0</v>
          </cell>
          <cell r="AY342">
            <v>730.47179917909421</v>
          </cell>
          <cell r="AZ342">
            <v>0</v>
          </cell>
          <cell r="BB342">
            <v>444.77862501958737</v>
          </cell>
          <cell r="BC342">
            <v>0</v>
          </cell>
          <cell r="BE342">
            <v>0</v>
          </cell>
          <cell r="BF342">
            <v>0</v>
          </cell>
          <cell r="BH342">
            <v>218.86472282667671</v>
          </cell>
          <cell r="BI342">
            <v>0</v>
          </cell>
          <cell r="BK342">
            <v>332.88209539186079</v>
          </cell>
          <cell r="BL342">
            <v>0</v>
          </cell>
          <cell r="BN342">
            <v>0</v>
          </cell>
          <cell r="BO342">
            <v>0</v>
          </cell>
          <cell r="BT342">
            <v>7211.6336455395467</v>
          </cell>
          <cell r="BU342">
            <v>5456.4226096923558</v>
          </cell>
          <cell r="BW342">
            <v>4314.4312078981857</v>
          </cell>
          <cell r="BX342">
            <v>7955.3672306534863</v>
          </cell>
          <cell r="BZ342">
            <v>1200.1790118266381</v>
          </cell>
          <cell r="CA342">
            <v>5262.8910610920102</v>
          </cell>
          <cell r="CC342">
            <v>267.95474257234633</v>
          </cell>
          <cell r="CD342">
            <v>270.90981668635732</v>
          </cell>
          <cell r="CF342">
            <v>32.986852778792631</v>
          </cell>
          <cell r="CG342">
            <v>0</v>
          </cell>
          <cell r="CI342">
            <v>1129.2906856905922</v>
          </cell>
          <cell r="CJ342">
            <v>1241.0780791631187</v>
          </cell>
          <cell r="CL342">
            <v>0</v>
          </cell>
          <cell r="CM342">
            <v>0</v>
          </cell>
          <cell r="CX342">
            <v>2267.0765114788956</v>
          </cell>
          <cell r="CY342">
            <v>1795.9782527332682</v>
          </cell>
        </row>
        <row r="343">
          <cell r="I343">
            <v>2777.6280587360443</v>
          </cell>
          <cell r="J343">
            <v>3467.0463595611118</v>
          </cell>
          <cell r="L343">
            <v>566.64124412410786</v>
          </cell>
          <cell r="M343">
            <v>723.74735538419122</v>
          </cell>
          <cell r="O343">
            <v>1100.42</v>
          </cell>
          <cell r="P343">
            <v>1100.6199999999999</v>
          </cell>
          <cell r="R343">
            <v>0</v>
          </cell>
          <cell r="S343">
            <v>0</v>
          </cell>
          <cell r="U343">
            <v>215.74518364026076</v>
          </cell>
          <cell r="V343">
            <v>176.67061747960003</v>
          </cell>
          <cell r="X343">
            <v>2175.2619825671864</v>
          </cell>
          <cell r="Y343">
            <v>2633.0593554087127</v>
          </cell>
          <cell r="AA343">
            <v>0</v>
          </cell>
          <cell r="AB343">
            <v>0</v>
          </cell>
          <cell r="AD343">
            <v>3254.4066437804699</v>
          </cell>
          <cell r="AE343">
            <v>3576.4797267730455</v>
          </cell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P343">
            <v>2367.5441072341246</v>
          </cell>
          <cell r="AQ343">
            <v>6882.0576378255973</v>
          </cell>
          <cell r="AS343">
            <v>10456.835606816183</v>
          </cell>
          <cell r="AT343">
            <v>5574.6110631043339</v>
          </cell>
          <cell r="AV343">
            <v>453.16429572632046</v>
          </cell>
          <cell r="AW343">
            <v>0</v>
          </cell>
          <cell r="AY343">
            <v>730.31644067323475</v>
          </cell>
          <cell r="AZ343">
            <v>0</v>
          </cell>
          <cell r="BB343">
            <v>445.12412098971794</v>
          </cell>
          <cell r="BC343">
            <v>0</v>
          </cell>
          <cell r="BE343">
            <v>0</v>
          </cell>
          <cell r="BF343">
            <v>0</v>
          </cell>
          <cell r="BH343">
            <v>218.86472282667671</v>
          </cell>
          <cell r="BI343">
            <v>0</v>
          </cell>
          <cell r="BK343">
            <v>332.68755310226783</v>
          </cell>
          <cell r="BL343">
            <v>3246.3353175311267</v>
          </cell>
          <cell r="BN343">
            <v>0</v>
          </cell>
          <cell r="BO343">
            <v>0</v>
          </cell>
          <cell r="BT343">
            <v>7037.6439696430089</v>
          </cell>
          <cell r="BU343">
            <v>6017.103620450619</v>
          </cell>
          <cell r="BW343">
            <v>4292.2229936732056</v>
          </cell>
          <cell r="BX343">
            <v>9227.2908308403003</v>
          </cell>
          <cell r="BZ343">
            <v>1000.7634546194498</v>
          </cell>
          <cell r="CA343">
            <v>5812.800833304751</v>
          </cell>
          <cell r="CC343">
            <v>533.36033647770364</v>
          </cell>
          <cell r="CD343">
            <v>539.24237203577889</v>
          </cell>
          <cell r="CF343">
            <v>65.659889907293049</v>
          </cell>
          <cell r="CG343">
            <v>0</v>
          </cell>
          <cell r="CI343">
            <v>1363.2597504054938</v>
          </cell>
          <cell r="CJ343">
            <v>1310.5564664246283</v>
          </cell>
          <cell r="CL343">
            <v>0</v>
          </cell>
          <cell r="CM343">
            <v>0</v>
          </cell>
          <cell r="CX343">
            <v>2374.9595740686927</v>
          </cell>
          <cell r="CY343">
            <v>-10705.125867348561</v>
          </cell>
        </row>
        <row r="344">
          <cell r="I344">
            <v>2778.1929466304364</v>
          </cell>
          <cell r="J344">
            <v>3467.2947435426186</v>
          </cell>
          <cell r="L344">
            <v>566.74004116832782</v>
          </cell>
          <cell r="M344">
            <v>723.87333403612922</v>
          </cell>
          <cell r="O344">
            <v>1107.8</v>
          </cell>
          <cell r="P344">
            <v>1108.1199999999999</v>
          </cell>
          <cell r="R344">
            <v>0</v>
          </cell>
          <cell r="S344">
            <v>0</v>
          </cell>
          <cell r="U344">
            <v>215.74518364026076</v>
          </cell>
          <cell r="V344">
            <v>176.67061747960003</v>
          </cell>
          <cell r="X344">
            <v>2177.022237656608</v>
          </cell>
          <cell r="Y344">
            <v>2635.059585388788</v>
          </cell>
          <cell r="AA344">
            <v>0</v>
          </cell>
          <cell r="AB344">
            <v>0</v>
          </cell>
          <cell r="AD344">
            <v>3245.2136059840814</v>
          </cell>
          <cell r="AE344">
            <v>3566.3768979304741</v>
          </cell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P344">
            <v>2367.5441072341246</v>
          </cell>
          <cell r="AQ344">
            <v>6332.0790024392672</v>
          </cell>
          <cell r="AS344">
            <v>12621.42003831797</v>
          </cell>
          <cell r="AT344">
            <v>5347.8193777082279</v>
          </cell>
          <cell r="AV344">
            <v>453.28676417768395</v>
          </cell>
          <cell r="AW344">
            <v>4437.7833806935578</v>
          </cell>
          <cell r="AY344">
            <v>730.47179917909421</v>
          </cell>
          <cell r="AZ344">
            <v>3372.1614553539398</v>
          </cell>
          <cell r="BB344">
            <v>459.8961907599396</v>
          </cell>
          <cell r="BC344">
            <v>0</v>
          </cell>
          <cell r="BE344">
            <v>0</v>
          </cell>
          <cell r="BF344">
            <v>0</v>
          </cell>
          <cell r="BH344">
            <v>218.86472282667671</v>
          </cell>
          <cell r="BI344">
            <v>0</v>
          </cell>
          <cell r="BK344">
            <v>332.96178169220053</v>
          </cell>
          <cell r="BL344">
            <v>0</v>
          </cell>
          <cell r="BN344">
            <v>0</v>
          </cell>
          <cell r="BO344">
            <v>0</v>
          </cell>
          <cell r="BT344">
            <v>6723.6643196308278</v>
          </cell>
          <cell r="BU344">
            <v>5288.5712224355539</v>
          </cell>
          <cell r="BW344">
            <v>4356.0237914334512</v>
          </cell>
          <cell r="BX344">
            <v>10603.7041581015</v>
          </cell>
          <cell r="BZ344">
            <v>1086.0347547902604</v>
          </cell>
          <cell r="CA344">
            <v>4752.7137482560329</v>
          </cell>
          <cell r="CC344">
            <v>534.04664573420064</v>
          </cell>
          <cell r="CD344">
            <v>539.93625008803087</v>
          </cell>
          <cell r="CF344">
            <v>65.744378736217868</v>
          </cell>
          <cell r="CG344">
            <v>0</v>
          </cell>
          <cell r="CI344">
            <v>1625.3051028861832</v>
          </cell>
          <cell r="CJ344">
            <v>2237.2585173127</v>
          </cell>
          <cell r="CL344">
            <v>0</v>
          </cell>
          <cell r="CM344">
            <v>0</v>
          </cell>
          <cell r="CX344">
            <v>993.98590502575098</v>
          </cell>
          <cell r="CY344">
            <v>-14514.146748919702</v>
          </cell>
        </row>
        <row r="345">
          <cell r="I345">
            <v>3649.6443592769765</v>
          </cell>
          <cell r="J345">
            <v>4560.5344494264173</v>
          </cell>
          <cell r="L345">
            <v>756.80367860837407</v>
          </cell>
          <cell r="M345">
            <v>966.63419632078308</v>
          </cell>
          <cell r="O345">
            <v>1526.52</v>
          </cell>
          <cell r="P345">
            <v>1527</v>
          </cell>
          <cell r="R345">
            <v>0</v>
          </cell>
          <cell r="S345">
            <v>0</v>
          </cell>
          <cell r="U345">
            <v>333.92254251606141</v>
          </cell>
          <cell r="V345">
            <v>273.44380534491114</v>
          </cell>
          <cell r="X345">
            <v>3479.0806454213562</v>
          </cell>
          <cell r="Y345">
            <v>4162.6052156201913</v>
          </cell>
          <cell r="AA345">
            <v>0</v>
          </cell>
          <cell r="AB345">
            <v>0</v>
          </cell>
          <cell r="AD345">
            <v>4399.9945545423816</v>
          </cell>
          <cell r="AE345">
            <v>4835.4410019125289</v>
          </cell>
          <cell r="AJ345">
            <v>0</v>
          </cell>
          <cell r="AK345">
            <v>0</v>
          </cell>
          <cell r="AM345">
            <v>0</v>
          </cell>
          <cell r="AN345">
            <v>0</v>
          </cell>
          <cell r="AP345">
            <v>3030.4564572596792</v>
          </cell>
          <cell r="AQ345">
            <v>8202.9205258872335</v>
          </cell>
          <cell r="AS345">
            <v>11340.274240181296</v>
          </cell>
          <cell r="AT345">
            <v>2948.989866368101</v>
          </cell>
          <cell r="AV345">
            <v>598.88698825376764</v>
          </cell>
          <cell r="AW345">
            <v>0</v>
          </cell>
          <cell r="AY345">
            <v>975.42236566356132</v>
          </cell>
          <cell r="AZ345">
            <v>0</v>
          </cell>
          <cell r="BB345">
            <v>577.63982887433463</v>
          </cell>
          <cell r="BC345">
            <v>0</v>
          </cell>
          <cell r="BE345">
            <v>0</v>
          </cell>
          <cell r="BF345">
            <v>0</v>
          </cell>
          <cell r="BH345">
            <v>338.81178137477229</v>
          </cell>
          <cell r="BI345">
            <v>0</v>
          </cell>
          <cell r="BK345">
            <v>542.52466217651158</v>
          </cell>
          <cell r="BL345">
            <v>0</v>
          </cell>
          <cell r="BN345">
            <v>0</v>
          </cell>
          <cell r="BO345">
            <v>0</v>
          </cell>
          <cell r="BT345">
            <v>9701.4049703898236</v>
          </cell>
          <cell r="BU345">
            <v>5975.1849028094693</v>
          </cell>
          <cell r="BW345">
            <v>5843.3138407786018</v>
          </cell>
          <cell r="BX345">
            <v>10746.839834003407</v>
          </cell>
          <cell r="BZ345">
            <v>1344.4247819230857</v>
          </cell>
          <cell r="CA345">
            <v>5719.4055004685997</v>
          </cell>
          <cell r="CC345">
            <v>628.16905805379542</v>
          </cell>
          <cell r="CD345">
            <v>635.09666868258</v>
          </cell>
          <cell r="CF345">
            <v>77.331418131622542</v>
          </cell>
          <cell r="CG345">
            <v>0</v>
          </cell>
          <cell r="CI345">
            <v>1709.5339661835483</v>
          </cell>
          <cell r="CJ345">
            <v>3923.4275910068095</v>
          </cell>
          <cell r="CL345">
            <v>0</v>
          </cell>
          <cell r="CM345">
            <v>0</v>
          </cell>
          <cell r="CX345">
            <v>3050.1278324685263</v>
          </cell>
          <cell r="CY345">
            <v>-1297.9082694212375</v>
          </cell>
        </row>
        <row r="346">
          <cell r="I346">
            <v>1134.4087391639241</v>
          </cell>
          <cell r="J346">
            <v>1261.1402204729814</v>
          </cell>
          <cell r="L346">
            <v>183.50494815442332</v>
          </cell>
          <cell r="M346">
            <v>201.95015069156415</v>
          </cell>
          <cell r="O346">
            <v>571.86</v>
          </cell>
          <cell r="P346">
            <v>571.86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X346">
            <v>831.78554509951391</v>
          </cell>
          <cell r="Y346">
            <v>787.91083363860366</v>
          </cell>
          <cell r="AA346">
            <v>0</v>
          </cell>
          <cell r="AB346">
            <v>0</v>
          </cell>
          <cell r="AD346">
            <v>1707.8312518346854</v>
          </cell>
          <cell r="AE346">
            <v>1657.5609470553973</v>
          </cell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P346">
            <v>662.91235002555482</v>
          </cell>
          <cell r="AQ346">
            <v>0</v>
          </cell>
          <cell r="AS346">
            <v>3683.3147317466046</v>
          </cell>
          <cell r="AT346">
            <v>8630.4386149147249</v>
          </cell>
          <cell r="AV346">
            <v>206.85511576985931</v>
          </cell>
          <cell r="AW346">
            <v>0</v>
          </cell>
          <cell r="AY346">
            <v>236.50164632888067</v>
          </cell>
          <cell r="AZ346">
            <v>0</v>
          </cell>
          <cell r="BB346">
            <v>321.47611055472277</v>
          </cell>
          <cell r="BC346">
            <v>0</v>
          </cell>
          <cell r="BE346">
            <v>0</v>
          </cell>
          <cell r="BF346">
            <v>0</v>
          </cell>
          <cell r="BH346">
            <v>0</v>
          </cell>
          <cell r="BI346">
            <v>0</v>
          </cell>
          <cell r="BK346">
            <v>107.5901330625987</v>
          </cell>
          <cell r="BL346">
            <v>0</v>
          </cell>
          <cell r="BN346">
            <v>0</v>
          </cell>
          <cell r="BO346">
            <v>0</v>
          </cell>
          <cell r="BT346">
            <v>5522.1722812518246</v>
          </cell>
          <cell r="BU346">
            <v>4636.0072292019177</v>
          </cell>
          <cell r="BW346">
            <v>3838.1286899508691</v>
          </cell>
          <cell r="BX346">
            <v>4545.0077529722857</v>
          </cell>
          <cell r="BZ346">
            <v>1106.941303331874</v>
          </cell>
          <cell r="CA346">
            <v>4524.7341702430513</v>
          </cell>
          <cell r="CC346">
            <v>90.200645139611623</v>
          </cell>
          <cell r="CD346">
            <v>91.195401153109685</v>
          </cell>
          <cell r="CF346">
            <v>11.104246087262796</v>
          </cell>
          <cell r="CG346">
            <v>0</v>
          </cell>
          <cell r="CI346">
            <v>405.54637883916297</v>
          </cell>
          <cell r="CJ346">
            <v>403.85060214568762</v>
          </cell>
          <cell r="CL346">
            <v>0</v>
          </cell>
          <cell r="CM346">
            <v>0</v>
          </cell>
          <cell r="CX346">
            <v>-1888.5009396096521</v>
          </cell>
          <cell r="CY346">
            <v>-9915.9271069871866</v>
          </cell>
        </row>
        <row r="347">
          <cell r="I347">
            <v>2167.9346126913233</v>
          </cell>
          <cell r="J347">
            <v>2427.173227707654</v>
          </cell>
          <cell r="L347">
            <v>401.2352871982776</v>
          </cell>
          <cell r="M347">
            <v>441.56582263546528</v>
          </cell>
          <cell r="O347">
            <v>1093.96</v>
          </cell>
          <cell r="P347">
            <v>1093.96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X347">
            <v>1740.4040463873091</v>
          </cell>
          <cell r="Y347">
            <v>1704.3610381573544</v>
          </cell>
          <cell r="AA347">
            <v>0</v>
          </cell>
          <cell r="AB347">
            <v>0</v>
          </cell>
          <cell r="AD347">
            <v>3202.6904613863671</v>
          </cell>
          <cell r="AE347">
            <v>3579.6358818300669</v>
          </cell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P347">
            <v>1965.0616090043234</v>
          </cell>
          <cell r="AQ347">
            <v>0</v>
          </cell>
          <cell r="AS347">
            <v>7213.2346298301954</v>
          </cell>
          <cell r="AT347">
            <v>456.94226083842443</v>
          </cell>
          <cell r="AV347">
            <v>352.68684170543713</v>
          </cell>
          <cell r="AW347">
            <v>0</v>
          </cell>
          <cell r="AY347">
            <v>517.13191296797083</v>
          </cell>
          <cell r="AZ347">
            <v>0</v>
          </cell>
          <cell r="BB347">
            <v>452.13417831518331</v>
          </cell>
          <cell r="BC347">
            <v>0</v>
          </cell>
          <cell r="BE347">
            <v>0</v>
          </cell>
          <cell r="BF347">
            <v>0</v>
          </cell>
          <cell r="BH347">
            <v>0</v>
          </cell>
          <cell r="BI347">
            <v>0</v>
          </cell>
          <cell r="BK347">
            <v>242.89643245310197</v>
          </cell>
          <cell r="BL347">
            <v>0</v>
          </cell>
          <cell r="BN347">
            <v>0</v>
          </cell>
          <cell r="BO347">
            <v>0</v>
          </cell>
          <cell r="BT347">
            <v>5681.0087383889841</v>
          </cell>
          <cell r="BU347">
            <v>5033.2977587381411</v>
          </cell>
          <cell r="BW347">
            <v>3578.8987052293305</v>
          </cell>
          <cell r="BX347">
            <v>3655.0397424761331</v>
          </cell>
          <cell r="BZ347">
            <v>1821.5198302936435</v>
          </cell>
          <cell r="CA347">
            <v>4214.3869983157592</v>
          </cell>
          <cell r="CC347">
            <v>0</v>
          </cell>
          <cell r="CD347">
            <v>0</v>
          </cell>
          <cell r="CF347">
            <v>0</v>
          </cell>
          <cell r="CG347">
            <v>0</v>
          </cell>
          <cell r="CI347">
            <v>705.0267816742371</v>
          </cell>
          <cell r="CJ347">
            <v>1065.7192134353027</v>
          </cell>
          <cell r="CL347">
            <v>0</v>
          </cell>
          <cell r="CM347">
            <v>0</v>
          </cell>
          <cell r="CX347">
            <v>1089.8811189691805</v>
          </cell>
          <cell r="CY347">
            <v>10046.37166703884</v>
          </cell>
        </row>
        <row r="348">
          <cell r="I348">
            <v>1497.8151295046302</v>
          </cell>
          <cell r="J348">
            <v>1651.6680252145193</v>
          </cell>
          <cell r="L348">
            <v>284.01134361977034</v>
          </cell>
          <cell r="M348">
            <v>312.5586986919426</v>
          </cell>
          <cell r="O348">
            <v>658.1</v>
          </cell>
          <cell r="P348">
            <v>658.08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X348">
            <v>1248.5973688477427</v>
          </cell>
          <cell r="Y348">
            <v>1200.8559462434948</v>
          </cell>
          <cell r="AA348">
            <v>0</v>
          </cell>
          <cell r="AB348">
            <v>0</v>
          </cell>
          <cell r="AD348">
            <v>1942.9022167584653</v>
          </cell>
          <cell r="AE348">
            <v>2135.1819701508075</v>
          </cell>
          <cell r="AJ348">
            <v>0</v>
          </cell>
          <cell r="AK348">
            <v>0</v>
          </cell>
          <cell r="AM348">
            <v>0</v>
          </cell>
          <cell r="AN348">
            <v>0</v>
          </cell>
          <cell r="AP348">
            <v>710.2632321702373</v>
          </cell>
          <cell r="AQ348">
            <v>1870.8415234479653</v>
          </cell>
          <cell r="AS348">
            <v>5078.4463239358784</v>
          </cell>
          <cell r="AT348">
            <v>1469.1972285268441</v>
          </cell>
          <cell r="AV348">
            <v>285.07723534860406</v>
          </cell>
          <cell r="AW348">
            <v>0</v>
          </cell>
          <cell r="AY348">
            <v>366.07109162011398</v>
          </cell>
          <cell r="AZ348">
            <v>0</v>
          </cell>
          <cell r="BB348">
            <v>294.87116698901576</v>
          </cell>
          <cell r="BC348">
            <v>367.97798214586402</v>
          </cell>
          <cell r="BE348">
            <v>0</v>
          </cell>
          <cell r="BF348">
            <v>0</v>
          </cell>
          <cell r="BH348">
            <v>0</v>
          </cell>
          <cell r="BI348">
            <v>0</v>
          </cell>
          <cell r="BK348">
            <v>169.92476655434263</v>
          </cell>
          <cell r="BL348">
            <v>0</v>
          </cell>
          <cell r="BN348">
            <v>0</v>
          </cell>
          <cell r="BO348">
            <v>0</v>
          </cell>
          <cell r="BT348">
            <v>4012.6225971890826</v>
          </cell>
          <cell r="BU348">
            <v>4473.3729550096523</v>
          </cell>
          <cell r="BW348">
            <v>3113.1691619147637</v>
          </cell>
          <cell r="BX348">
            <v>3663.0131227293159</v>
          </cell>
          <cell r="BZ348">
            <v>2250.3334435367028</v>
          </cell>
          <cell r="CA348">
            <v>4342.9278564278748</v>
          </cell>
          <cell r="CC348">
            <v>159.32179168681401</v>
          </cell>
          <cell r="CD348">
            <v>161.07883355848173</v>
          </cell>
          <cell r="CF348">
            <v>19.613478143263091</v>
          </cell>
          <cell r="CG348">
            <v>0</v>
          </cell>
          <cell r="CI348">
            <v>1123.0515106315281</v>
          </cell>
          <cell r="CJ348">
            <v>1312.9490526245615</v>
          </cell>
          <cell r="CL348">
            <v>0</v>
          </cell>
          <cell r="CM348">
            <v>0</v>
          </cell>
          <cell r="CX348">
            <v>470.02976985885471</v>
          </cell>
          <cell r="CY348">
            <v>-16.583833725586373</v>
          </cell>
        </row>
        <row r="349">
          <cell r="I349">
            <v>1141.4247850654117</v>
          </cell>
          <cell r="J349">
            <v>1277.8692854642213</v>
          </cell>
          <cell r="L349">
            <v>165.94921813306564</v>
          </cell>
          <cell r="M349">
            <v>182.6289322969937</v>
          </cell>
          <cell r="O349">
            <v>552.44000000000005</v>
          </cell>
          <cell r="P349">
            <v>552.45000000000005</v>
          </cell>
          <cell r="R349">
            <v>128.08000000000001</v>
          </cell>
          <cell r="S349">
            <v>128.08000000000001</v>
          </cell>
          <cell r="U349">
            <v>65.029090713311319</v>
          </cell>
          <cell r="V349">
            <v>185.50614582057798</v>
          </cell>
          <cell r="X349">
            <v>673.98181878263131</v>
          </cell>
          <cell r="Y349">
            <v>583.18221216392976</v>
          </cell>
          <cell r="AA349">
            <v>0</v>
          </cell>
          <cell r="AB349">
            <v>0</v>
          </cell>
          <cell r="AD349">
            <v>1714.1808616614935</v>
          </cell>
          <cell r="AE349">
            <v>1883.8251548776766</v>
          </cell>
          <cell r="AJ349">
            <v>3265.8293363628704</v>
          </cell>
          <cell r="AK349">
            <v>3301.8457458505959</v>
          </cell>
          <cell r="AM349">
            <v>0</v>
          </cell>
          <cell r="AN349">
            <v>0</v>
          </cell>
          <cell r="AP349">
            <v>378.80705715745989</v>
          </cell>
          <cell r="AQ349">
            <v>2294.2136437470926</v>
          </cell>
          <cell r="AS349">
            <v>5276.0978004397211</v>
          </cell>
          <cell r="AT349">
            <v>876.59696748330668</v>
          </cell>
          <cell r="AV349">
            <v>36.072648069418491</v>
          </cell>
          <cell r="AW349">
            <v>0</v>
          </cell>
          <cell r="AY349">
            <v>44.309609545266404</v>
          </cell>
          <cell r="AZ349">
            <v>0</v>
          </cell>
          <cell r="BB349">
            <v>56.364639436687078</v>
          </cell>
          <cell r="BC349">
            <v>0</v>
          </cell>
          <cell r="BE349">
            <v>28.814221575132017</v>
          </cell>
          <cell r="BF349">
            <v>0</v>
          </cell>
          <cell r="BH349">
            <v>13.192247063076561</v>
          </cell>
          <cell r="BI349">
            <v>0</v>
          </cell>
          <cell r="BK349">
            <v>26.036353088784878</v>
          </cell>
          <cell r="BL349">
            <v>2534.3339420043221</v>
          </cell>
          <cell r="BN349">
            <v>0</v>
          </cell>
          <cell r="BO349">
            <v>0</v>
          </cell>
          <cell r="BT349">
            <v>6439.0844981766213</v>
          </cell>
          <cell r="BU349">
            <v>2064.3171312986201</v>
          </cell>
          <cell r="BW349">
            <v>3947.4267491267537</v>
          </cell>
          <cell r="BX349">
            <v>2132.2160221989593</v>
          </cell>
          <cell r="BZ349">
            <v>1622.9880652688855</v>
          </cell>
          <cell r="CA349">
            <v>2831.5512295750309</v>
          </cell>
          <cell r="CC349">
            <v>0</v>
          </cell>
          <cell r="CD349">
            <v>0</v>
          </cell>
          <cell r="CF349">
            <v>0</v>
          </cell>
          <cell r="CG349">
            <v>0</v>
          </cell>
          <cell r="CI349">
            <v>661.35255626078879</v>
          </cell>
          <cell r="CJ349">
            <v>532.75392767528092</v>
          </cell>
          <cell r="CL349">
            <v>1250.954599342341</v>
          </cell>
          <cell r="CM349">
            <v>1509.0186965813468</v>
          </cell>
          <cell r="CX349">
            <v>824.86061367634102</v>
          </cell>
          <cell r="CY349">
            <v>6366.4931555544517</v>
          </cell>
        </row>
        <row r="350">
          <cell r="I350">
            <v>1446.3854813702051</v>
          </cell>
          <cell r="J350">
            <v>1615.9495883698503</v>
          </cell>
          <cell r="L350">
            <v>291.11264058742955</v>
          </cell>
          <cell r="M350">
            <v>320.37402298637556</v>
          </cell>
          <cell r="O350">
            <v>721.72</v>
          </cell>
          <cell r="P350">
            <v>721.7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X350">
            <v>975.23023642926421</v>
          </cell>
          <cell r="Y350">
            <v>925.93363941196549</v>
          </cell>
          <cell r="AA350">
            <v>0</v>
          </cell>
          <cell r="AB350">
            <v>0</v>
          </cell>
          <cell r="AD350">
            <v>2144.8782456152462</v>
          </cell>
          <cell r="AE350">
            <v>2359.0261980410287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1160.096612544721</v>
          </cell>
          <cell r="AQ350">
            <v>0</v>
          </cell>
          <cell r="AS350">
            <v>5455.7119872444182</v>
          </cell>
          <cell r="AT350">
            <v>79.815466707479843</v>
          </cell>
          <cell r="AV350">
            <v>243.31189059781519</v>
          </cell>
          <cell r="AW350">
            <v>0</v>
          </cell>
          <cell r="AY350">
            <v>375.19980445508031</v>
          </cell>
          <cell r="AZ350">
            <v>0</v>
          </cell>
          <cell r="BB350">
            <v>356.99056120096998</v>
          </cell>
          <cell r="BC350">
            <v>0</v>
          </cell>
          <cell r="BE350">
            <v>0</v>
          </cell>
          <cell r="BF350">
            <v>0</v>
          </cell>
          <cell r="BH350">
            <v>0</v>
          </cell>
          <cell r="BI350">
            <v>0</v>
          </cell>
          <cell r="BK350">
            <v>121.28325832554735</v>
          </cell>
          <cell r="BL350">
            <v>0</v>
          </cell>
          <cell r="BN350">
            <v>0</v>
          </cell>
          <cell r="BO350">
            <v>0</v>
          </cell>
          <cell r="BT350">
            <v>4384.1881519465514</v>
          </cell>
          <cell r="BU350">
            <v>3880.9207517180876</v>
          </cell>
          <cell r="BW350">
            <v>2200.3260089606974</v>
          </cell>
          <cell r="BX350">
            <v>5106.0609278325346</v>
          </cell>
          <cell r="BZ350">
            <v>1548.7230782858821</v>
          </cell>
          <cell r="CA350">
            <v>3351.2823242674713</v>
          </cell>
          <cell r="CC350">
            <v>87.749540652122192</v>
          </cell>
          <cell r="CD350">
            <v>88.717265252209955</v>
          </cell>
          <cell r="CF350">
            <v>10.802500269674134</v>
          </cell>
          <cell r="CG350">
            <v>0</v>
          </cell>
          <cell r="CI350">
            <v>683.18966896751294</v>
          </cell>
          <cell r="CJ350">
            <v>421.20258578733672</v>
          </cell>
          <cell r="CL350">
            <v>0</v>
          </cell>
          <cell r="CM350">
            <v>0</v>
          </cell>
          <cell r="CX350">
            <v>1345.3403990562292</v>
          </cell>
          <cell r="CY350">
            <v>5348.4406755507916</v>
          </cell>
        </row>
        <row r="351">
          <cell r="I351">
            <v>1037.0193128204085</v>
          </cell>
          <cell r="J351">
            <v>1150.3954517294164</v>
          </cell>
          <cell r="L351">
            <v>173.14849523844586</v>
          </cell>
          <cell r="M351">
            <v>190.55280276218269</v>
          </cell>
          <cell r="O351">
            <v>457.82</v>
          </cell>
          <cell r="P351">
            <v>457.81599999999997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X351">
            <v>543.11000195968768</v>
          </cell>
          <cell r="Y351">
            <v>497.09895549257749</v>
          </cell>
          <cell r="AA351">
            <v>0</v>
          </cell>
          <cell r="AB351">
            <v>0</v>
          </cell>
          <cell r="AD351">
            <v>1319.7639082669768</v>
          </cell>
          <cell r="AE351">
            <v>1450.3746392800217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947.01764289364974</v>
          </cell>
          <cell r="AQ351">
            <v>0</v>
          </cell>
          <cell r="AS351">
            <v>3451.4727406228981</v>
          </cell>
          <cell r="AT351">
            <v>4652.7866765078652</v>
          </cell>
          <cell r="AV351">
            <v>168.57610194819171</v>
          </cell>
          <cell r="AW351">
            <v>0</v>
          </cell>
          <cell r="AY351">
            <v>223.14847341612153</v>
          </cell>
          <cell r="AZ351">
            <v>0</v>
          </cell>
          <cell r="BB351">
            <v>199.49280718540049</v>
          </cell>
          <cell r="BC351">
            <v>0</v>
          </cell>
          <cell r="BE351">
            <v>0</v>
          </cell>
          <cell r="BF351">
            <v>0</v>
          </cell>
          <cell r="BH351">
            <v>0</v>
          </cell>
          <cell r="BI351">
            <v>0</v>
          </cell>
          <cell r="BK351">
            <v>64.946753943193258</v>
          </cell>
          <cell r="BL351">
            <v>0</v>
          </cell>
          <cell r="BN351">
            <v>0</v>
          </cell>
          <cell r="BO351">
            <v>0</v>
          </cell>
          <cell r="BT351">
            <v>4078.8596678404492</v>
          </cell>
          <cell r="BU351">
            <v>3504.2892453933828</v>
          </cell>
          <cell r="BW351">
            <v>1346.3838626508095</v>
          </cell>
          <cell r="BX351">
            <v>2850.0682076132734</v>
          </cell>
          <cell r="BZ351">
            <v>993.39558158154591</v>
          </cell>
          <cell r="CA351">
            <v>3413.6662677084005</v>
          </cell>
          <cell r="CC351">
            <v>0</v>
          </cell>
          <cell r="CD351">
            <v>0</v>
          </cell>
          <cell r="CF351">
            <v>0</v>
          </cell>
          <cell r="CG351">
            <v>0</v>
          </cell>
          <cell r="CI351">
            <v>96.707213415492689</v>
          </cell>
          <cell r="CJ351">
            <v>34.673773271192175</v>
          </cell>
          <cell r="CL351">
            <v>0</v>
          </cell>
          <cell r="CM351">
            <v>0</v>
          </cell>
          <cell r="CX351">
            <v>362.84492346007755</v>
          </cell>
          <cell r="CY351">
            <v>-3358.1864237099708</v>
          </cell>
        </row>
        <row r="352">
          <cell r="I352">
            <v>1860.9293534972662</v>
          </cell>
          <cell r="J352">
            <v>2066.4076899213528</v>
          </cell>
          <cell r="L352">
            <v>381.40992095130531</v>
          </cell>
          <cell r="M352">
            <v>419.74804231350646</v>
          </cell>
          <cell r="O352">
            <v>783.78</v>
          </cell>
          <cell r="P352">
            <v>783.78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X352">
            <v>1271.6358269656419</v>
          </cell>
          <cell r="Y352">
            <v>1222.8664994787955</v>
          </cell>
          <cell r="AA352">
            <v>0</v>
          </cell>
          <cell r="AB352">
            <v>0</v>
          </cell>
          <cell r="AD352">
            <v>2423.2206256550508</v>
          </cell>
          <cell r="AE352">
            <v>2659.8633796919648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1515.2282286298396</v>
          </cell>
          <cell r="AQ352">
            <v>0</v>
          </cell>
          <cell r="AS352">
            <v>7242.3613606206154</v>
          </cell>
          <cell r="AT352">
            <v>246.55041654926396</v>
          </cell>
          <cell r="AV352">
            <v>309.80614720746934</v>
          </cell>
          <cell r="AW352">
            <v>0</v>
          </cell>
          <cell r="AY352">
            <v>491.57143533941519</v>
          </cell>
          <cell r="AZ352">
            <v>0</v>
          </cell>
          <cell r="BB352">
            <v>365.94411287080538</v>
          </cell>
          <cell r="BC352">
            <v>0</v>
          </cell>
          <cell r="BE352">
            <v>0</v>
          </cell>
          <cell r="BF352">
            <v>0</v>
          </cell>
          <cell r="BH352">
            <v>0</v>
          </cell>
          <cell r="BI352">
            <v>0</v>
          </cell>
          <cell r="BK352">
            <v>175.46952701896416</v>
          </cell>
          <cell r="BL352">
            <v>0</v>
          </cell>
          <cell r="BN352">
            <v>0</v>
          </cell>
          <cell r="BO352">
            <v>0</v>
          </cell>
          <cell r="BT352">
            <v>2960.1748904102883</v>
          </cell>
          <cell r="BU352">
            <v>3566.8102143494134</v>
          </cell>
          <cell r="BW352">
            <v>3517.5694373738961</v>
          </cell>
          <cell r="BX352">
            <v>8200.3765146793758</v>
          </cell>
          <cell r="BZ352">
            <v>1716.9748089034902</v>
          </cell>
          <cell r="CA352">
            <v>3406.6993109393479</v>
          </cell>
          <cell r="CC352">
            <v>116.67257360449764</v>
          </cell>
          <cell r="CD352">
            <v>117.95926888282665</v>
          </cell>
          <cell r="CF352">
            <v>14.363100917220356</v>
          </cell>
          <cell r="CG352">
            <v>0</v>
          </cell>
          <cell r="CI352">
            <v>851.64739556224197</v>
          </cell>
          <cell r="CJ352">
            <v>1312.9792466366673</v>
          </cell>
          <cell r="CL352">
            <v>0</v>
          </cell>
          <cell r="CM352">
            <v>0</v>
          </cell>
          <cell r="CX352">
            <v>-31.910494633615599</v>
          </cell>
          <cell r="CY352">
            <v>2361.7512998689799</v>
          </cell>
        </row>
        <row r="353">
          <cell r="I353">
            <v>895.71560893201013</v>
          </cell>
          <cell r="J353">
            <v>989.63832807672907</v>
          </cell>
          <cell r="L353">
            <v>155.14830105407276</v>
          </cell>
          <cell r="M353">
            <v>170.74312659921014</v>
          </cell>
          <cell r="O353">
            <v>363.24</v>
          </cell>
          <cell r="P353">
            <v>363.25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X353">
            <v>513.13167791653711</v>
          </cell>
          <cell r="Y353">
            <v>469.74884870685787</v>
          </cell>
          <cell r="AA353">
            <v>0</v>
          </cell>
          <cell r="AB353">
            <v>0</v>
          </cell>
          <cell r="AD353">
            <v>1065.1096349211227</v>
          </cell>
          <cell r="AE353">
            <v>1170.5184486905193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757.61411431491979</v>
          </cell>
          <cell r="AQ353">
            <v>0</v>
          </cell>
          <cell r="AS353">
            <v>3364.7835167501908</v>
          </cell>
          <cell r="AT353">
            <v>4570.7660532452237</v>
          </cell>
          <cell r="AV353">
            <v>148.66895006333297</v>
          </cell>
          <cell r="AW353">
            <v>0</v>
          </cell>
          <cell r="AY353">
            <v>199.98679498901538</v>
          </cell>
          <cell r="AZ353">
            <v>0</v>
          </cell>
          <cell r="BB353">
            <v>151.15206599134754</v>
          </cell>
          <cell r="BC353">
            <v>0</v>
          </cell>
          <cell r="BE353">
            <v>0</v>
          </cell>
          <cell r="BF353">
            <v>0</v>
          </cell>
          <cell r="BH353">
            <v>0</v>
          </cell>
          <cell r="BI353">
            <v>0</v>
          </cell>
          <cell r="BK353">
            <v>60.056169810574971</v>
          </cell>
          <cell r="BL353">
            <v>0</v>
          </cell>
          <cell r="BN353">
            <v>0</v>
          </cell>
          <cell r="BO353">
            <v>0</v>
          </cell>
          <cell r="BT353">
            <v>3350.2279893416048</v>
          </cell>
          <cell r="BU353">
            <v>2740.7681624662955</v>
          </cell>
          <cell r="BW353">
            <v>1582.877048874811</v>
          </cell>
          <cell r="BX353">
            <v>3663.9364820182486</v>
          </cell>
          <cell r="BZ353">
            <v>912.85652071255254</v>
          </cell>
          <cell r="CA353">
            <v>2385.493362723872</v>
          </cell>
          <cell r="CC353">
            <v>41.178555389822705</v>
          </cell>
          <cell r="CD353">
            <v>41.632683135115286</v>
          </cell>
          <cell r="CF353">
            <v>5.0693297354895366</v>
          </cell>
          <cell r="CG353">
            <v>0</v>
          </cell>
          <cell r="CI353">
            <v>280.76287765788203</v>
          </cell>
          <cell r="CJ353">
            <v>391.37437294022254</v>
          </cell>
          <cell r="CL353">
            <v>0</v>
          </cell>
          <cell r="CM353">
            <v>0</v>
          </cell>
          <cell r="CX353">
            <v>416.1450122536553</v>
          </cell>
          <cell r="CY353">
            <v>-3316.2038423227559</v>
          </cell>
        </row>
      </sheetData>
      <sheetData sheetId="4">
        <row r="11"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/>
          <cell r="W11">
            <v>0</v>
          </cell>
          <cell r="X11">
            <v>0</v>
          </cell>
          <cell r="Y11">
            <v>0</v>
          </cell>
          <cell r="Z11"/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65.647448675769112</v>
          </cell>
          <cell r="AF11">
            <v>0</v>
          </cell>
          <cell r="AH11">
            <v>73.651218393822916</v>
          </cell>
          <cell r="AI11">
            <v>0</v>
          </cell>
          <cell r="AK11">
            <v>43.544938300567878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26.345569159282459</v>
          </cell>
          <cell r="AU11">
            <v>0</v>
          </cell>
          <cell r="AW11">
            <v>0</v>
          </cell>
          <cell r="AX11">
            <v>0</v>
          </cell>
        </row>
        <row r="12"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/>
          <cell r="W12">
            <v>0</v>
          </cell>
          <cell r="X12">
            <v>0</v>
          </cell>
          <cell r="Y12">
            <v>0</v>
          </cell>
          <cell r="Z12"/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212.61335910407598</v>
          </cell>
          <cell r="AF12">
            <v>0</v>
          </cell>
          <cell r="AH12">
            <v>357.35999522309328</v>
          </cell>
          <cell r="AI12">
            <v>0</v>
          </cell>
          <cell r="AK12">
            <v>242.54952035302418</v>
          </cell>
          <cell r="AL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T12">
            <v>108.30800270624789</v>
          </cell>
          <cell r="AU12">
            <v>0</v>
          </cell>
          <cell r="AW12">
            <v>67.149090736659304</v>
          </cell>
          <cell r="AX12">
            <v>0</v>
          </cell>
        </row>
        <row r="13"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/>
          <cell r="W13">
            <v>0</v>
          </cell>
          <cell r="X13">
            <v>69.428838593435316</v>
          </cell>
          <cell r="Y13">
            <v>0</v>
          </cell>
          <cell r="Z13"/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289.4167974824482</v>
          </cell>
          <cell r="AF13">
            <v>0</v>
          </cell>
          <cell r="AH13">
            <v>424.54339453418447</v>
          </cell>
          <cell r="AI13">
            <v>0</v>
          </cell>
          <cell r="AK13">
            <v>334.69292906585082</v>
          </cell>
          <cell r="AL13">
            <v>0</v>
          </cell>
          <cell r="AN13">
            <v>0</v>
          </cell>
          <cell r="AO13">
            <v>0</v>
          </cell>
          <cell r="AQ13">
            <v>119.94714023874553</v>
          </cell>
          <cell r="AR13">
            <v>0</v>
          </cell>
          <cell r="AT13">
            <v>159.06063071437234</v>
          </cell>
          <cell r="AU13">
            <v>0</v>
          </cell>
          <cell r="AW13">
            <v>0</v>
          </cell>
          <cell r="AX13">
            <v>0</v>
          </cell>
        </row>
        <row r="14"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/>
          <cell r="W14">
            <v>0</v>
          </cell>
          <cell r="X14">
            <v>0</v>
          </cell>
          <cell r="Y14">
            <v>0</v>
          </cell>
          <cell r="Z14"/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195.1868202376665</v>
          </cell>
          <cell r="AF14">
            <v>0</v>
          </cell>
          <cell r="AH14">
            <v>274.23891701150251</v>
          </cell>
          <cell r="AI14">
            <v>0</v>
          </cell>
          <cell r="AK14">
            <v>331.11315353246988</v>
          </cell>
          <cell r="AL14">
            <v>0</v>
          </cell>
          <cell r="AN14">
            <v>107.70574273720977</v>
          </cell>
          <cell r="AO14">
            <v>0</v>
          </cell>
          <cell r="AQ14">
            <v>59.365087276649547</v>
          </cell>
          <cell r="AR14">
            <v>0</v>
          </cell>
          <cell r="AT14">
            <v>139.77564606445563</v>
          </cell>
          <cell r="AU14">
            <v>0</v>
          </cell>
          <cell r="AW14">
            <v>0</v>
          </cell>
          <cell r="AX14">
            <v>0</v>
          </cell>
        </row>
        <row r="15"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1</v>
          </cell>
          <cell r="S15">
            <v>1361.5749851931</v>
          </cell>
          <cell r="U15">
            <v>0</v>
          </cell>
          <cell r="V15"/>
          <cell r="W15">
            <v>0</v>
          </cell>
          <cell r="X15">
            <v>86.23209474237845</v>
          </cell>
          <cell r="Y15">
            <v>360.46984658335657</v>
          </cell>
          <cell r="Z15"/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191.60637661083345</v>
          </cell>
          <cell r="AF15">
            <v>0</v>
          </cell>
          <cell r="AH15">
            <v>270.99918794267313</v>
          </cell>
          <cell r="AI15">
            <v>0</v>
          </cell>
          <cell r="AK15">
            <v>347.5643962397636</v>
          </cell>
          <cell r="AL15">
            <v>719.28487379341368</v>
          </cell>
          <cell r="AN15">
            <v>108.73858583039781</v>
          </cell>
          <cell r="AO15">
            <v>0</v>
          </cell>
          <cell r="AQ15">
            <v>59.365087276649547</v>
          </cell>
          <cell r="AR15">
            <v>7754.8875732244178</v>
          </cell>
          <cell r="AT15">
            <v>136.28317344284591</v>
          </cell>
          <cell r="AU15">
            <v>0</v>
          </cell>
          <cell r="AW15">
            <v>0</v>
          </cell>
          <cell r="AX15">
            <v>0</v>
          </cell>
        </row>
        <row r="16"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/>
          <cell r="W16">
            <v>0</v>
          </cell>
          <cell r="X16">
            <v>0</v>
          </cell>
          <cell r="Y16">
            <v>0</v>
          </cell>
          <cell r="Z16"/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293.41770088640146</v>
          </cell>
          <cell r="AF16">
            <v>0</v>
          </cell>
          <cell r="AH16">
            <v>479.78182875221421</v>
          </cell>
          <cell r="AI16">
            <v>0</v>
          </cell>
          <cell r="AK16">
            <v>298.87887909621088</v>
          </cell>
          <cell r="AL16">
            <v>0</v>
          </cell>
          <cell r="AN16">
            <v>0</v>
          </cell>
          <cell r="AO16">
            <v>0</v>
          </cell>
          <cell r="AQ16">
            <v>119.94714023874553</v>
          </cell>
          <cell r="AR16">
            <v>0</v>
          </cell>
          <cell r="AT16">
            <v>216.37577436144372</v>
          </cell>
          <cell r="AU16">
            <v>0</v>
          </cell>
          <cell r="AW16">
            <v>0</v>
          </cell>
          <cell r="AX16">
            <v>0</v>
          </cell>
        </row>
        <row r="17"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/>
          <cell r="W17">
            <v>0</v>
          </cell>
          <cell r="X17">
            <v>0</v>
          </cell>
          <cell r="Y17">
            <v>0</v>
          </cell>
          <cell r="Z17"/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228.12681019305984</v>
          </cell>
          <cell r="AF17">
            <v>0</v>
          </cell>
          <cell r="AH17">
            <v>393.03969537771724</v>
          </cell>
          <cell r="AI17">
            <v>0</v>
          </cell>
          <cell r="AK17">
            <v>367.83331737600776</v>
          </cell>
          <cell r="AL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T17">
            <v>159.1131641582902</v>
          </cell>
          <cell r="AU17">
            <v>0</v>
          </cell>
          <cell r="AW17">
            <v>0</v>
          </cell>
          <cell r="AX17">
            <v>0</v>
          </cell>
        </row>
        <row r="18"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/>
          <cell r="W18">
            <v>0</v>
          </cell>
          <cell r="X18">
            <v>87.893955240625573</v>
          </cell>
          <cell r="Y18">
            <v>0</v>
          </cell>
          <cell r="Z18"/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209.63946651249057</v>
          </cell>
          <cell r="AF18">
            <v>0</v>
          </cell>
          <cell r="AH18">
            <v>294.13871636705994</v>
          </cell>
          <cell r="AI18">
            <v>0</v>
          </cell>
          <cell r="AK18">
            <v>215.11532239040895</v>
          </cell>
          <cell r="AL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T18">
            <v>103.19210586326328</v>
          </cell>
          <cell r="AU18">
            <v>0</v>
          </cell>
          <cell r="AW18">
            <v>0</v>
          </cell>
          <cell r="AX18">
            <v>0</v>
          </cell>
        </row>
        <row r="19"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/>
          <cell r="W19">
            <v>0</v>
          </cell>
          <cell r="X19">
            <v>0</v>
          </cell>
          <cell r="Y19">
            <v>0</v>
          </cell>
          <cell r="Z19"/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271.83156836932346</v>
          </cell>
          <cell r="AF19">
            <v>0</v>
          </cell>
          <cell r="AH19">
            <v>389.54356874959132</v>
          </cell>
          <cell r="AI19">
            <v>0</v>
          </cell>
          <cell r="AK19">
            <v>239.64210531342968</v>
          </cell>
          <cell r="AL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T19">
            <v>155.62201221057634</v>
          </cell>
          <cell r="AU19">
            <v>0</v>
          </cell>
          <cell r="AW19">
            <v>0</v>
          </cell>
          <cell r="AX19">
            <v>0</v>
          </cell>
        </row>
        <row r="20">
          <cell r="I20">
            <v>4</v>
          </cell>
          <cell r="J20">
            <v>2223.4341164857042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/>
          <cell r="W20">
            <v>0</v>
          </cell>
          <cell r="X20">
            <v>0</v>
          </cell>
          <cell r="Y20">
            <v>0</v>
          </cell>
          <cell r="Z20"/>
          <cell r="AA20">
            <v>0</v>
          </cell>
          <cell r="AB20">
            <v>0</v>
          </cell>
          <cell r="AC20">
            <v>254.34533433228057</v>
          </cell>
          <cell r="AD20">
            <v>0</v>
          </cell>
          <cell r="AE20">
            <v>323.5364997196728</v>
          </cell>
          <cell r="AF20">
            <v>0</v>
          </cell>
          <cell r="AH20">
            <v>445.04417920905604</v>
          </cell>
          <cell r="AI20">
            <v>0</v>
          </cell>
          <cell r="AK20">
            <v>445.86836908779861</v>
          </cell>
          <cell r="AL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1264.1866671432276</v>
          </cell>
          <cell r="AT20">
            <v>179.58218534787574</v>
          </cell>
          <cell r="AU20">
            <v>0</v>
          </cell>
          <cell r="AW20">
            <v>0</v>
          </cell>
          <cell r="AX20">
            <v>0</v>
          </cell>
        </row>
        <row r="21"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/>
          <cell r="W21">
            <v>0</v>
          </cell>
          <cell r="X21">
            <v>487.87146321457533</v>
          </cell>
          <cell r="Y21">
            <v>0</v>
          </cell>
          <cell r="Z21"/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346.64143553108937</v>
          </cell>
          <cell r="AF21">
            <v>0</v>
          </cell>
          <cell r="AH21">
            <v>494.96074423196654</v>
          </cell>
          <cell r="AI21">
            <v>0</v>
          </cell>
          <cell r="AK21">
            <v>427.90836804502794</v>
          </cell>
          <cell r="AL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T21">
            <v>229.60894525507237</v>
          </cell>
          <cell r="AU21">
            <v>0</v>
          </cell>
          <cell r="AW21">
            <v>0</v>
          </cell>
          <cell r="AX21">
            <v>0</v>
          </cell>
        </row>
        <row r="22">
          <cell r="I22">
            <v>14</v>
          </cell>
          <cell r="J22">
            <v>3206.1835422240815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/>
          <cell r="W22">
            <v>0</v>
          </cell>
          <cell r="X22">
            <v>0</v>
          </cell>
          <cell r="Y22">
            <v>1154.1799146083156</v>
          </cell>
          <cell r="Z22"/>
          <cell r="AA22">
            <v>0</v>
          </cell>
          <cell r="AB22">
            <v>0</v>
          </cell>
          <cell r="AC22">
            <v>257.57356987822641</v>
          </cell>
          <cell r="AD22">
            <v>0</v>
          </cell>
          <cell r="AE22">
            <v>166.96317896061075</v>
          </cell>
          <cell r="AF22">
            <v>0</v>
          </cell>
          <cell r="AH22">
            <v>300.29581843807034</v>
          </cell>
          <cell r="AI22">
            <v>0</v>
          </cell>
          <cell r="AK22">
            <v>160.64986160541216</v>
          </cell>
          <cell r="AL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647.41536177161379</v>
          </cell>
          <cell r="AT22">
            <v>80.014774571099423</v>
          </cell>
          <cell r="AU22">
            <v>0</v>
          </cell>
          <cell r="AW22">
            <v>0</v>
          </cell>
          <cell r="AX22">
            <v>0</v>
          </cell>
        </row>
        <row r="23"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/>
          <cell r="W23">
            <v>0</v>
          </cell>
          <cell r="X23">
            <v>0</v>
          </cell>
          <cell r="Y23">
            <v>0</v>
          </cell>
          <cell r="Z23"/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159.03712164227363</v>
          </cell>
          <cell r="AF23">
            <v>0</v>
          </cell>
          <cell r="AH23">
            <v>233.99602939185672</v>
          </cell>
          <cell r="AI23">
            <v>0</v>
          </cell>
          <cell r="AK23">
            <v>172.71582493274184</v>
          </cell>
          <cell r="AL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T23">
            <v>54.753204443068483</v>
          </cell>
          <cell r="AU23">
            <v>0</v>
          </cell>
          <cell r="AW23">
            <v>0</v>
          </cell>
          <cell r="AX23">
            <v>0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/>
          <cell r="W24">
            <v>0</v>
          </cell>
          <cell r="X24">
            <v>0</v>
          </cell>
          <cell r="Y24">
            <v>0</v>
          </cell>
          <cell r="Z24"/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271.32552484176745</v>
          </cell>
          <cell r="AF24">
            <v>0</v>
          </cell>
          <cell r="AH24">
            <v>338.94721104730002</v>
          </cell>
          <cell r="AI24">
            <v>0</v>
          </cell>
          <cell r="AK24">
            <v>299.40237983729122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148.43420890847807</v>
          </cell>
          <cell r="AU24">
            <v>0</v>
          </cell>
          <cell r="AW24">
            <v>0</v>
          </cell>
          <cell r="AX24">
            <v>0</v>
          </cell>
        </row>
        <row r="25"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/>
          <cell r="W25">
            <v>0</v>
          </cell>
          <cell r="X25">
            <v>0</v>
          </cell>
          <cell r="Y25">
            <v>0</v>
          </cell>
          <cell r="Z25"/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170.22583618592486</v>
          </cell>
          <cell r="AF25">
            <v>0</v>
          </cell>
          <cell r="AH25">
            <v>251.00068743860237</v>
          </cell>
          <cell r="AI25">
            <v>0</v>
          </cell>
          <cell r="AK25">
            <v>220.77882065324417</v>
          </cell>
          <cell r="AL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T25">
            <v>69.900011236879692</v>
          </cell>
          <cell r="AU25">
            <v>0</v>
          </cell>
          <cell r="AW25">
            <v>0</v>
          </cell>
          <cell r="AX25">
            <v>0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/>
          <cell r="W26">
            <v>0</v>
          </cell>
          <cell r="X26">
            <v>0</v>
          </cell>
          <cell r="Y26">
            <v>0</v>
          </cell>
          <cell r="Z26"/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I27">
            <v>2.5</v>
          </cell>
          <cell r="J27">
            <v>1327.812127843695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/>
          <cell r="W27">
            <v>0</v>
          </cell>
          <cell r="X27">
            <v>0</v>
          </cell>
          <cell r="Y27">
            <v>0</v>
          </cell>
          <cell r="Z27"/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196.24790144530206</v>
          </cell>
          <cell r="AF27">
            <v>0</v>
          </cell>
          <cell r="AH27">
            <v>285.79135804273159</v>
          </cell>
          <cell r="AI27">
            <v>0</v>
          </cell>
          <cell r="AK27">
            <v>174.4002952120108</v>
          </cell>
          <cell r="AL27">
            <v>0</v>
          </cell>
          <cell r="AN27">
            <v>106.53832154271349</v>
          </cell>
          <cell r="AO27">
            <v>0</v>
          </cell>
          <cell r="AQ27">
            <v>35.974450255696418</v>
          </cell>
          <cell r="AR27">
            <v>0</v>
          </cell>
          <cell r="AT27">
            <v>92.185307259032186</v>
          </cell>
          <cell r="AU27">
            <v>1329.3338849372135</v>
          </cell>
          <cell r="AW27">
            <v>31.907610498203873</v>
          </cell>
          <cell r="AX27">
            <v>0</v>
          </cell>
        </row>
        <row r="28">
          <cell r="I28">
            <v>0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/>
          <cell r="W28">
            <v>0</v>
          </cell>
          <cell r="X28">
            <v>0</v>
          </cell>
          <cell r="Y28">
            <v>0</v>
          </cell>
          <cell r="Z28"/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91.799711134666694</v>
          </cell>
          <cell r="AF28">
            <v>0</v>
          </cell>
          <cell r="AH28">
            <v>93.161411686942571</v>
          </cell>
          <cell r="AI28">
            <v>0</v>
          </cell>
          <cell r="AK28">
            <v>67.913456968774284</v>
          </cell>
          <cell r="AL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305.83164913890846</v>
          </cell>
          <cell r="AT28">
            <v>44.518397153018292</v>
          </cell>
          <cell r="AU28">
            <v>0</v>
          </cell>
          <cell r="AW28">
            <v>15.287047639181583</v>
          </cell>
          <cell r="AX28">
            <v>0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/>
          <cell r="W29">
            <v>0</v>
          </cell>
          <cell r="X29">
            <v>0</v>
          </cell>
          <cell r="Y29">
            <v>0</v>
          </cell>
          <cell r="Z29"/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/>
          <cell r="W30">
            <v>3</v>
          </cell>
          <cell r="X30">
            <v>307.92434203161162</v>
          </cell>
          <cell r="Y30">
            <v>0</v>
          </cell>
          <cell r="Z30"/>
          <cell r="AA30">
            <v>0</v>
          </cell>
          <cell r="AB30">
            <v>1293.7565825090808</v>
          </cell>
          <cell r="AC30">
            <v>0</v>
          </cell>
          <cell r="AD30">
            <v>1367.4606061582017</v>
          </cell>
          <cell r="AE30">
            <v>206.76395489082276</v>
          </cell>
          <cell r="AF30">
            <v>0</v>
          </cell>
          <cell r="AH30">
            <v>249.72595634349193</v>
          </cell>
          <cell r="AI30">
            <v>0</v>
          </cell>
          <cell r="AK30">
            <v>312.35655427083907</v>
          </cell>
          <cell r="AL30">
            <v>0</v>
          </cell>
          <cell r="AN30">
            <v>115.73902546114914</v>
          </cell>
          <cell r="AO30">
            <v>0</v>
          </cell>
          <cell r="AQ30">
            <v>65.961235315382794</v>
          </cell>
          <cell r="AR30">
            <v>0</v>
          </cell>
          <cell r="AT30">
            <v>127.2900014790072</v>
          </cell>
          <cell r="AU30">
            <v>2356.3432915853305</v>
          </cell>
          <cell r="AW30">
            <v>102.33357069191999</v>
          </cell>
          <cell r="AX30">
            <v>0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/>
          <cell r="W31">
            <v>0</v>
          </cell>
          <cell r="X31">
            <v>0</v>
          </cell>
          <cell r="Y31">
            <v>0</v>
          </cell>
          <cell r="Z31"/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/>
          <cell r="W32">
            <v>0</v>
          </cell>
          <cell r="X32">
            <v>0</v>
          </cell>
          <cell r="Y32">
            <v>0</v>
          </cell>
          <cell r="Z32"/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36.308589429809629</v>
          </cell>
          <cell r="AF32">
            <v>0</v>
          </cell>
          <cell r="AH32">
            <v>48.925973641158578</v>
          </cell>
          <cell r="AI32">
            <v>0</v>
          </cell>
          <cell r="AK32">
            <v>25.314242800838446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9.8614252960765771</v>
          </cell>
          <cell r="AU32">
            <v>0</v>
          </cell>
          <cell r="AW32">
            <v>0</v>
          </cell>
          <cell r="AX32">
            <v>0</v>
          </cell>
        </row>
        <row r="33"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/>
          <cell r="W33">
            <v>0</v>
          </cell>
          <cell r="X33">
            <v>0</v>
          </cell>
          <cell r="Y33">
            <v>0</v>
          </cell>
          <cell r="Z33"/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/>
          <cell r="W34">
            <v>0</v>
          </cell>
          <cell r="X34">
            <v>100.98110666432166</v>
          </cell>
          <cell r="Y34">
            <v>0</v>
          </cell>
          <cell r="Z34"/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338.3518327252624</v>
          </cell>
          <cell r="AF34">
            <v>0</v>
          </cell>
          <cell r="AH34">
            <v>553.69522338747106</v>
          </cell>
          <cell r="AI34">
            <v>0</v>
          </cell>
          <cell r="AK34">
            <v>395.83670735449164</v>
          </cell>
          <cell r="AL34">
            <v>367.97798214586402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T34">
            <v>174.41860241614506</v>
          </cell>
          <cell r="AU34">
            <v>0</v>
          </cell>
          <cell r="AW34">
            <v>200.88589227223855</v>
          </cell>
          <cell r="AX34">
            <v>0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/>
          <cell r="W35">
            <v>0</v>
          </cell>
          <cell r="X35">
            <v>0</v>
          </cell>
          <cell r="Y35">
            <v>0</v>
          </cell>
          <cell r="Z35"/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106.42402557711507</v>
          </cell>
          <cell r="AF35">
            <v>0</v>
          </cell>
          <cell r="AH35">
            <v>132.492596975553</v>
          </cell>
          <cell r="AI35">
            <v>0</v>
          </cell>
          <cell r="AK35">
            <v>66.563181804184708</v>
          </cell>
          <cell r="AL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T35">
            <v>19.771301113804686</v>
          </cell>
          <cell r="AU35">
            <v>0</v>
          </cell>
          <cell r="AW35">
            <v>0</v>
          </cell>
          <cell r="AX35">
            <v>0</v>
          </cell>
        </row>
        <row r="36"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/>
          <cell r="W36">
            <v>0</v>
          </cell>
          <cell r="X36">
            <v>0</v>
          </cell>
          <cell r="Y36">
            <v>0</v>
          </cell>
          <cell r="Z36"/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205.77312815090349</v>
          </cell>
          <cell r="AF36">
            <v>0</v>
          </cell>
          <cell r="AH36">
            <v>262.67571456331655</v>
          </cell>
          <cell r="AI36">
            <v>0</v>
          </cell>
          <cell r="AK36">
            <v>264.85518945278432</v>
          </cell>
          <cell r="AL36">
            <v>0</v>
          </cell>
          <cell r="AN36">
            <v>145.72291312674076</v>
          </cell>
          <cell r="AO36">
            <v>0</v>
          </cell>
          <cell r="AQ36">
            <v>65.961235315382794</v>
          </cell>
          <cell r="AR36">
            <v>0</v>
          </cell>
          <cell r="AT36">
            <v>171.46695994239872</v>
          </cell>
          <cell r="AU36">
            <v>0</v>
          </cell>
          <cell r="AW36">
            <v>0</v>
          </cell>
          <cell r="AX36">
            <v>0</v>
          </cell>
        </row>
        <row r="37"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/>
          <cell r="W37">
            <v>0</v>
          </cell>
          <cell r="X37">
            <v>0</v>
          </cell>
          <cell r="Y37">
            <v>0</v>
          </cell>
          <cell r="Z37"/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/>
          <cell r="W38">
            <v>0</v>
          </cell>
          <cell r="X38">
            <v>0</v>
          </cell>
          <cell r="Y38">
            <v>0</v>
          </cell>
          <cell r="Z38"/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55.047242791802105</v>
          </cell>
          <cell r="AF38">
            <v>0</v>
          </cell>
          <cell r="AH38">
            <v>72.08773375891468</v>
          </cell>
          <cell r="AI38">
            <v>0</v>
          </cell>
          <cell r="AK38">
            <v>47.77744413412605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13.131198850039331</v>
          </cell>
          <cell r="AU38">
            <v>0</v>
          </cell>
          <cell r="AW38">
            <v>0</v>
          </cell>
          <cell r="AX38">
            <v>0</v>
          </cell>
        </row>
        <row r="39"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/>
          <cell r="W39">
            <v>0</v>
          </cell>
          <cell r="X39">
            <v>0</v>
          </cell>
          <cell r="Y39">
            <v>0</v>
          </cell>
          <cell r="Z39"/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58.218883533051603</v>
          </cell>
          <cell r="AF39">
            <v>0</v>
          </cell>
          <cell r="AH39">
            <v>72.08773375891468</v>
          </cell>
          <cell r="AI39">
            <v>0</v>
          </cell>
          <cell r="AK39">
            <v>53.860905364050453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13.131198850039331</v>
          </cell>
          <cell r="AU39">
            <v>0</v>
          </cell>
          <cell r="AW39">
            <v>0</v>
          </cell>
          <cell r="AX39">
            <v>0</v>
          </cell>
        </row>
        <row r="40"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/>
          <cell r="W40">
            <v>0</v>
          </cell>
          <cell r="X40">
            <v>0</v>
          </cell>
          <cell r="Y40">
            <v>0</v>
          </cell>
          <cell r="Z40"/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249.80458999544032</v>
          </cell>
          <cell r="AF40">
            <v>0</v>
          </cell>
          <cell r="AH40">
            <v>385.7367251097441</v>
          </cell>
          <cell r="AI40">
            <v>0</v>
          </cell>
          <cell r="AK40">
            <v>225.03237420717613</v>
          </cell>
          <cell r="AL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T40">
            <v>128.96003314994545</v>
          </cell>
          <cell r="AU40">
            <v>0</v>
          </cell>
          <cell r="AW40">
            <v>0</v>
          </cell>
          <cell r="AX40">
            <v>0</v>
          </cell>
        </row>
        <row r="41"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/>
          <cell r="W41">
            <v>0</v>
          </cell>
          <cell r="X41">
            <v>89.878955280198525</v>
          </cell>
          <cell r="Y41">
            <v>0</v>
          </cell>
          <cell r="Z41"/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276.78672703023619</v>
          </cell>
          <cell r="AF41">
            <v>0</v>
          </cell>
          <cell r="AH41">
            <v>319.0193196255849</v>
          </cell>
          <cell r="AI41">
            <v>0</v>
          </cell>
          <cell r="AK41">
            <v>346.12883444303247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113.23255725526957</v>
          </cell>
          <cell r="AU41">
            <v>0</v>
          </cell>
          <cell r="AW41">
            <v>0</v>
          </cell>
          <cell r="AX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17</v>
          </cell>
          <cell r="P42">
            <v>5584.6823871066745</v>
          </cell>
          <cell r="R42">
            <v>0</v>
          </cell>
          <cell r="S42">
            <v>0</v>
          </cell>
          <cell r="U42">
            <v>0</v>
          </cell>
          <cell r="V42"/>
          <cell r="W42">
            <v>4</v>
          </cell>
          <cell r="X42">
            <v>314.62926953336381</v>
          </cell>
          <cell r="Y42">
            <v>0</v>
          </cell>
          <cell r="Z42"/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323.47028542496639</v>
          </cell>
          <cell r="AF42">
            <v>0</v>
          </cell>
          <cell r="AH42">
            <v>444.88882070319545</v>
          </cell>
          <cell r="AI42">
            <v>0</v>
          </cell>
          <cell r="AK42">
            <v>469.97318737165875</v>
          </cell>
          <cell r="AL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T42">
            <v>179.51138020506116</v>
          </cell>
          <cell r="AU42">
            <v>0</v>
          </cell>
          <cell r="AW42">
            <v>0</v>
          </cell>
          <cell r="AX42">
            <v>0</v>
          </cell>
        </row>
        <row r="43"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/>
          <cell r="W43">
            <v>0</v>
          </cell>
          <cell r="X43">
            <v>1056.2046722192822</v>
          </cell>
          <cell r="Y43">
            <v>0</v>
          </cell>
          <cell r="Z43"/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323.52638508503514</v>
          </cell>
          <cell r="AF43">
            <v>0</v>
          </cell>
          <cell r="AH43">
            <v>444.88882070319545</v>
          </cell>
          <cell r="AI43">
            <v>0</v>
          </cell>
          <cell r="AK43">
            <v>472.79176507359625</v>
          </cell>
          <cell r="AL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T43">
            <v>179.51810429532154</v>
          </cell>
          <cell r="AU43">
            <v>0</v>
          </cell>
          <cell r="AW43">
            <v>0</v>
          </cell>
          <cell r="AX43">
            <v>0</v>
          </cell>
        </row>
        <row r="44">
          <cell r="I44">
            <v>1</v>
          </cell>
          <cell r="J44">
            <v>1221.4913687532407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/>
          <cell r="W44">
            <v>0</v>
          </cell>
          <cell r="X44">
            <v>0</v>
          </cell>
          <cell r="Y44">
            <v>0</v>
          </cell>
          <cell r="Z44"/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323.47537914525492</v>
          </cell>
          <cell r="AF44">
            <v>1294.188597259516</v>
          </cell>
          <cell r="AH44">
            <v>444.88882070319545</v>
          </cell>
          <cell r="AI44">
            <v>0</v>
          </cell>
          <cell r="AK44">
            <v>472.79176507359625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T44">
            <v>179.51810429532154</v>
          </cell>
          <cell r="AU44">
            <v>0</v>
          </cell>
          <cell r="AW44">
            <v>0</v>
          </cell>
          <cell r="AX44">
            <v>0</v>
          </cell>
        </row>
        <row r="45"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/>
          <cell r="W45">
            <v>16</v>
          </cell>
          <cell r="X45">
            <v>15596.175520571929</v>
          </cell>
          <cell r="Y45">
            <v>0</v>
          </cell>
          <cell r="Z45"/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323.47537914525492</v>
          </cell>
          <cell r="AF45">
            <v>0</v>
          </cell>
          <cell r="AH45">
            <v>444.88882070319545</v>
          </cell>
          <cell r="AI45">
            <v>0</v>
          </cell>
          <cell r="AK45">
            <v>469.39987804412397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T45">
            <v>179.51810429532154</v>
          </cell>
          <cell r="AU45">
            <v>0</v>
          </cell>
          <cell r="AW45">
            <v>0</v>
          </cell>
          <cell r="AX45">
            <v>0</v>
          </cell>
        </row>
        <row r="46"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/>
          <cell r="W46">
            <v>0</v>
          </cell>
          <cell r="X46">
            <v>0</v>
          </cell>
          <cell r="Y46">
            <v>0</v>
          </cell>
          <cell r="Z46"/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124.99549231576577</v>
          </cell>
          <cell r="AF46">
            <v>0</v>
          </cell>
          <cell r="AH46">
            <v>153.02341104794502</v>
          </cell>
          <cell r="AI46">
            <v>0</v>
          </cell>
          <cell r="AK46">
            <v>335.89607452838891</v>
          </cell>
          <cell r="AL46">
            <v>0</v>
          </cell>
          <cell r="AN46">
            <v>111.59307533867725</v>
          </cell>
          <cell r="AO46">
            <v>0</v>
          </cell>
          <cell r="AQ46">
            <v>32.980617657691397</v>
          </cell>
          <cell r="AR46">
            <v>0</v>
          </cell>
          <cell r="AT46">
            <v>43.380793390018312</v>
          </cell>
          <cell r="AU46">
            <v>0</v>
          </cell>
          <cell r="AW46">
            <v>0</v>
          </cell>
          <cell r="AX46">
            <v>0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/>
          <cell r="W47">
            <v>3</v>
          </cell>
          <cell r="X47">
            <v>892.54341450816332</v>
          </cell>
          <cell r="Y47">
            <v>0</v>
          </cell>
          <cell r="Z47"/>
          <cell r="AA47">
            <v>0</v>
          </cell>
          <cell r="AB47">
            <v>0</v>
          </cell>
          <cell r="AC47">
            <v>236.32086182054417</v>
          </cell>
          <cell r="AD47">
            <v>0</v>
          </cell>
          <cell r="AE47">
            <v>189.77948309198482</v>
          </cell>
          <cell r="AF47">
            <v>0</v>
          </cell>
          <cell r="AH47">
            <v>228.47399419187306</v>
          </cell>
          <cell r="AI47">
            <v>0</v>
          </cell>
          <cell r="AK47">
            <v>224.81280975438688</v>
          </cell>
          <cell r="AL47">
            <v>0</v>
          </cell>
          <cell r="AN47">
            <v>105.43188534218436</v>
          </cell>
          <cell r="AO47">
            <v>912.29523135982788</v>
          </cell>
          <cell r="AQ47">
            <v>65.961235315382794</v>
          </cell>
          <cell r="AR47">
            <v>0</v>
          </cell>
          <cell r="AT47">
            <v>117.84882201386395</v>
          </cell>
          <cell r="AU47">
            <v>0</v>
          </cell>
          <cell r="AW47">
            <v>53.862315927238761</v>
          </cell>
          <cell r="AX47">
            <v>0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/>
          <cell r="W48">
            <v>0</v>
          </cell>
          <cell r="X48">
            <v>19.342209687931785</v>
          </cell>
          <cell r="Y48">
            <v>0</v>
          </cell>
          <cell r="Z48"/>
          <cell r="AA48">
            <v>0</v>
          </cell>
          <cell r="AB48">
            <v>0</v>
          </cell>
          <cell r="AC48">
            <v>380.11671333253418</v>
          </cell>
          <cell r="AD48">
            <v>0</v>
          </cell>
          <cell r="AE48">
            <v>67.696308299723157</v>
          </cell>
          <cell r="AF48">
            <v>0</v>
          </cell>
          <cell r="AH48">
            <v>91.335669119949301</v>
          </cell>
          <cell r="AI48">
            <v>0</v>
          </cell>
          <cell r="AK48">
            <v>31.502063628871475</v>
          </cell>
          <cell r="AL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T48">
            <v>19.771277081972755</v>
          </cell>
          <cell r="AU48">
            <v>0</v>
          </cell>
          <cell r="AW48">
            <v>27.907064838681809</v>
          </cell>
          <cell r="AX48">
            <v>0</v>
          </cell>
        </row>
        <row r="49"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/>
          <cell r="W49">
            <v>0</v>
          </cell>
          <cell r="X49">
            <v>19.342209687931785</v>
          </cell>
          <cell r="Y49">
            <v>0</v>
          </cell>
          <cell r="Z49"/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67.696308299723157</v>
          </cell>
          <cell r="AF49">
            <v>0</v>
          </cell>
          <cell r="AH49">
            <v>91.335669119949301</v>
          </cell>
          <cell r="AI49">
            <v>0</v>
          </cell>
          <cell r="AK49">
            <v>30.616109573468009</v>
          </cell>
          <cell r="AL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T49">
            <v>19.771277081972755</v>
          </cell>
          <cell r="AU49">
            <v>0</v>
          </cell>
          <cell r="AW49">
            <v>27.240307228761459</v>
          </cell>
          <cell r="AX49">
            <v>0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/>
          <cell r="W50">
            <v>3</v>
          </cell>
          <cell r="X50">
            <v>368.5689749258147</v>
          </cell>
          <cell r="Y50">
            <v>0</v>
          </cell>
          <cell r="Z50"/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472.55756514456755</v>
          </cell>
          <cell r="AF50">
            <v>0</v>
          </cell>
          <cell r="AH50">
            <v>733.55039105992546</v>
          </cell>
          <cell r="AI50">
            <v>0</v>
          </cell>
          <cell r="AK50">
            <v>441.34166583337264</v>
          </cell>
          <cell r="AL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T50">
            <v>331.20826457246949</v>
          </cell>
          <cell r="AU50">
            <v>0</v>
          </cell>
          <cell r="AW50">
            <v>160.2534325618756</v>
          </cell>
          <cell r="AX50">
            <v>0</v>
          </cell>
        </row>
        <row r="51"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/>
          <cell r="W51">
            <v>0</v>
          </cell>
          <cell r="X51">
            <v>0</v>
          </cell>
          <cell r="Y51">
            <v>0</v>
          </cell>
          <cell r="Z51"/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103.78450226731735</v>
          </cell>
          <cell r="AF51">
            <v>0</v>
          </cell>
          <cell r="AH51">
            <v>163.00578644091831</v>
          </cell>
          <cell r="AI51">
            <v>0</v>
          </cell>
          <cell r="AK51">
            <v>71.428492411828188</v>
          </cell>
          <cell r="AL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T51">
            <v>39.526483889459712</v>
          </cell>
          <cell r="AU51">
            <v>0</v>
          </cell>
          <cell r="AW51">
            <v>0</v>
          </cell>
          <cell r="AX51">
            <v>0</v>
          </cell>
        </row>
        <row r="52"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/>
          <cell r="W52">
            <v>0</v>
          </cell>
          <cell r="X52">
            <v>0</v>
          </cell>
          <cell r="Y52">
            <v>0</v>
          </cell>
          <cell r="Z52"/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I53">
            <v>0</v>
          </cell>
          <cell r="J53">
            <v>0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/>
          <cell r="W53">
            <v>0</v>
          </cell>
          <cell r="X53">
            <v>0</v>
          </cell>
          <cell r="Y53">
            <v>0</v>
          </cell>
          <cell r="Z53"/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235.07044024849569</v>
          </cell>
          <cell r="AF53">
            <v>0</v>
          </cell>
          <cell r="AH53">
            <v>364.66296549106636</v>
          </cell>
          <cell r="AI53">
            <v>0</v>
          </cell>
          <cell r="AK53">
            <v>335.41627860193557</v>
          </cell>
          <cell r="AL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T53">
            <v>113.60653295778928</v>
          </cell>
          <cell r="AU53">
            <v>218.46854642875923</v>
          </cell>
          <cell r="AW53">
            <v>0</v>
          </cell>
          <cell r="AX53">
            <v>0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/>
          <cell r="W54">
            <v>0</v>
          </cell>
          <cell r="X54">
            <v>0</v>
          </cell>
          <cell r="Y54">
            <v>0</v>
          </cell>
          <cell r="Z54"/>
          <cell r="AA54">
            <v>0</v>
          </cell>
          <cell r="AB54">
            <v>0</v>
          </cell>
          <cell r="AC54">
            <v>444.12879455214471</v>
          </cell>
          <cell r="AD54">
            <v>0</v>
          </cell>
          <cell r="AE54">
            <v>164.42305467854635</v>
          </cell>
          <cell r="AF54">
            <v>0</v>
          </cell>
          <cell r="AH54">
            <v>254.07927931943252</v>
          </cell>
          <cell r="AI54">
            <v>0</v>
          </cell>
          <cell r="AK54">
            <v>149.22429345480151</v>
          </cell>
          <cell r="AL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T54">
            <v>87.33759704525356</v>
          </cell>
          <cell r="AU54">
            <v>0</v>
          </cell>
          <cell r="AW54">
            <v>0</v>
          </cell>
          <cell r="AX54">
            <v>0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/>
          <cell r="W55">
            <v>0</v>
          </cell>
          <cell r="X55">
            <v>0</v>
          </cell>
          <cell r="Y55">
            <v>0</v>
          </cell>
          <cell r="Z55"/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177.51800880001062</v>
          </cell>
          <cell r="AF55">
            <v>0</v>
          </cell>
          <cell r="AH55">
            <v>200.43331245737406</v>
          </cell>
          <cell r="AI55">
            <v>0</v>
          </cell>
          <cell r="AK55">
            <v>170.68014774308622</v>
          </cell>
          <cell r="AL55">
            <v>0</v>
          </cell>
          <cell r="AN55">
            <v>101.1739894233076</v>
          </cell>
          <cell r="AO55">
            <v>0</v>
          </cell>
          <cell r="AQ55">
            <v>65.961235315382794</v>
          </cell>
          <cell r="AR55">
            <v>0</v>
          </cell>
          <cell r="AT55">
            <v>208.54056051817184</v>
          </cell>
          <cell r="AU55">
            <v>0</v>
          </cell>
          <cell r="AW55">
            <v>0</v>
          </cell>
          <cell r="AX55">
            <v>0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/>
          <cell r="W56">
            <v>0</v>
          </cell>
          <cell r="X56">
            <v>0</v>
          </cell>
          <cell r="Y56">
            <v>0</v>
          </cell>
          <cell r="Z56"/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/>
          <cell r="W57">
            <v>0</v>
          </cell>
          <cell r="X57">
            <v>0</v>
          </cell>
          <cell r="Y57">
            <v>0</v>
          </cell>
          <cell r="Z57"/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/>
          <cell r="W58">
            <v>0</v>
          </cell>
          <cell r="X58">
            <v>0</v>
          </cell>
          <cell r="Y58">
            <v>0</v>
          </cell>
          <cell r="Z58"/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/>
          <cell r="W59">
            <v>0</v>
          </cell>
          <cell r="X59">
            <v>0</v>
          </cell>
          <cell r="Y59">
            <v>0</v>
          </cell>
          <cell r="Z59"/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/>
          <cell r="W60">
            <v>0</v>
          </cell>
          <cell r="X60">
            <v>0</v>
          </cell>
          <cell r="Y60">
            <v>0</v>
          </cell>
          <cell r="Z60"/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/>
          <cell r="W61">
            <v>0</v>
          </cell>
          <cell r="X61">
            <v>0</v>
          </cell>
          <cell r="Y61">
            <v>0</v>
          </cell>
          <cell r="Z61"/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/>
          <cell r="W62">
            <v>0</v>
          </cell>
          <cell r="X62">
            <v>56.549419732020127</v>
          </cell>
          <cell r="Y62">
            <v>0</v>
          </cell>
          <cell r="Z62"/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232.70143930527138</v>
          </cell>
          <cell r="AF62">
            <v>0</v>
          </cell>
          <cell r="AH62">
            <v>295.12930774881175</v>
          </cell>
          <cell r="AI62">
            <v>0</v>
          </cell>
          <cell r="AK62">
            <v>285.7634610185147</v>
          </cell>
          <cell r="AL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T62">
            <v>103.83367027199259</v>
          </cell>
          <cell r="AU62">
            <v>0</v>
          </cell>
          <cell r="AW62">
            <v>0</v>
          </cell>
          <cell r="AX62">
            <v>0</v>
          </cell>
        </row>
        <row r="63">
          <cell r="I63">
            <v>1</v>
          </cell>
          <cell r="J63">
            <v>976.06503571296116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/>
          <cell r="W63">
            <v>0</v>
          </cell>
          <cell r="X63">
            <v>0</v>
          </cell>
          <cell r="Y63">
            <v>0</v>
          </cell>
          <cell r="Z63"/>
          <cell r="AA63">
            <v>0</v>
          </cell>
          <cell r="AB63">
            <v>0</v>
          </cell>
          <cell r="AC63">
            <v>449.61045320942515</v>
          </cell>
          <cell r="AD63">
            <v>0</v>
          </cell>
          <cell r="AE63">
            <v>184.08752228194177</v>
          </cell>
          <cell r="AF63">
            <v>0</v>
          </cell>
          <cell r="AH63">
            <v>202.33697172952878</v>
          </cell>
          <cell r="AI63">
            <v>0</v>
          </cell>
          <cell r="AK63">
            <v>278.42593120908015</v>
          </cell>
          <cell r="AL63">
            <v>0</v>
          </cell>
          <cell r="AN63">
            <v>166.3792122642065</v>
          </cell>
          <cell r="AO63">
            <v>0</v>
          </cell>
          <cell r="AQ63">
            <v>0</v>
          </cell>
          <cell r="AR63">
            <v>0</v>
          </cell>
          <cell r="AT63">
            <v>99.57945223095534</v>
          </cell>
          <cell r="AU63">
            <v>0</v>
          </cell>
          <cell r="AW63">
            <v>0</v>
          </cell>
          <cell r="AX63">
            <v>0</v>
          </cell>
        </row>
        <row r="64"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/>
          <cell r="W64">
            <v>0</v>
          </cell>
          <cell r="X64">
            <v>0</v>
          </cell>
          <cell r="Y64">
            <v>0</v>
          </cell>
          <cell r="Z64"/>
          <cell r="AA64">
            <v>0</v>
          </cell>
          <cell r="AB64">
            <v>0</v>
          </cell>
          <cell r="AC64">
            <v>1009.3704606572395</v>
          </cell>
          <cell r="AD64">
            <v>0</v>
          </cell>
          <cell r="AE64">
            <v>277.79676139153776</v>
          </cell>
          <cell r="AF64">
            <v>0</v>
          </cell>
          <cell r="AH64">
            <v>416.66744932240522</v>
          </cell>
          <cell r="AI64">
            <v>0</v>
          </cell>
          <cell r="AK64">
            <v>404.66261151588901</v>
          </cell>
          <cell r="AL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T64">
            <v>182.40649484309614</v>
          </cell>
          <cell r="AU64">
            <v>0</v>
          </cell>
          <cell r="AW64">
            <v>0</v>
          </cell>
          <cell r="AX64">
            <v>0</v>
          </cell>
        </row>
        <row r="65"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/>
          <cell r="W65">
            <v>0</v>
          </cell>
          <cell r="X65">
            <v>0</v>
          </cell>
          <cell r="Y65">
            <v>0</v>
          </cell>
          <cell r="Z65"/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136.67164351341606</v>
          </cell>
          <cell r="AF65">
            <v>0</v>
          </cell>
          <cell r="AH65">
            <v>178.18470192067068</v>
          </cell>
          <cell r="AI65">
            <v>0</v>
          </cell>
          <cell r="AK65">
            <v>92.228281868088715</v>
          </cell>
          <cell r="AL65">
            <v>0</v>
          </cell>
          <cell r="AN65">
            <v>61.697166401660027</v>
          </cell>
          <cell r="AO65">
            <v>0</v>
          </cell>
          <cell r="AQ65">
            <v>0</v>
          </cell>
          <cell r="AR65">
            <v>0</v>
          </cell>
          <cell r="AT65">
            <v>29.632726397869654</v>
          </cell>
          <cell r="AU65">
            <v>0</v>
          </cell>
          <cell r="AW65">
            <v>59.090917443770564</v>
          </cell>
          <cell r="AX65">
            <v>0</v>
          </cell>
        </row>
        <row r="66"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/>
          <cell r="W66">
            <v>0</v>
          </cell>
          <cell r="X66">
            <v>0</v>
          </cell>
          <cell r="Y66">
            <v>0</v>
          </cell>
          <cell r="Z66"/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134.92297425237206</v>
          </cell>
          <cell r="AF66">
            <v>0</v>
          </cell>
          <cell r="AH66">
            <v>178.18470192067068</v>
          </cell>
          <cell r="AI66">
            <v>0</v>
          </cell>
          <cell r="AK66">
            <v>105.77277688990097</v>
          </cell>
          <cell r="AL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T66">
            <v>29.632726397869654</v>
          </cell>
          <cell r="AU66">
            <v>0</v>
          </cell>
          <cell r="AW66">
            <v>0</v>
          </cell>
          <cell r="AX66">
            <v>0</v>
          </cell>
        </row>
        <row r="67"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/>
          <cell r="W67">
            <v>0</v>
          </cell>
          <cell r="X67">
            <v>0</v>
          </cell>
          <cell r="Y67">
            <v>0</v>
          </cell>
          <cell r="Z67"/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169.22371489358517</v>
          </cell>
          <cell r="AF67">
            <v>0</v>
          </cell>
          <cell r="AH67">
            <v>225.284932994836</v>
          </cell>
          <cell r="AI67">
            <v>0</v>
          </cell>
          <cell r="AK67">
            <v>197.05114053367473</v>
          </cell>
          <cell r="AL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T67">
            <v>65.725572763423372</v>
          </cell>
          <cell r="AU67">
            <v>0</v>
          </cell>
          <cell r="AW67">
            <v>0</v>
          </cell>
          <cell r="AX67">
            <v>0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/>
          <cell r="W68">
            <v>0</v>
          </cell>
          <cell r="X68">
            <v>0</v>
          </cell>
          <cell r="Y68">
            <v>0</v>
          </cell>
          <cell r="Z68"/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134.16117568240614</v>
          </cell>
          <cell r="AF68">
            <v>0</v>
          </cell>
          <cell r="AH68">
            <v>193.62587533250806</v>
          </cell>
          <cell r="AI68">
            <v>0</v>
          </cell>
          <cell r="AK68">
            <v>134.29499378403258</v>
          </cell>
          <cell r="AL68">
            <v>378.07232362048796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T68">
            <v>57.335008608429149</v>
          </cell>
          <cell r="AU68">
            <v>0</v>
          </cell>
          <cell r="AW68">
            <v>0</v>
          </cell>
          <cell r="AX68">
            <v>0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/>
          <cell r="W69">
            <v>0</v>
          </cell>
          <cell r="X69">
            <v>44.431686932301531</v>
          </cell>
          <cell r="Y69">
            <v>0</v>
          </cell>
          <cell r="Z69"/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146.92028080228897</v>
          </cell>
          <cell r="AF69">
            <v>0</v>
          </cell>
          <cell r="AH69">
            <v>199.98679498901538</v>
          </cell>
          <cell r="AI69">
            <v>0</v>
          </cell>
          <cell r="AK69">
            <v>191.36245860498491</v>
          </cell>
          <cell r="AL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T69">
            <v>60.056140153587386</v>
          </cell>
          <cell r="AU69">
            <v>0</v>
          </cell>
          <cell r="AW69">
            <v>0</v>
          </cell>
          <cell r="AX69">
            <v>0</v>
          </cell>
        </row>
        <row r="70"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/>
          <cell r="W70">
            <v>0</v>
          </cell>
          <cell r="X70">
            <v>60.588663998592992</v>
          </cell>
          <cell r="Y70">
            <v>0</v>
          </cell>
          <cell r="Z70"/>
          <cell r="AA70">
            <v>0</v>
          </cell>
          <cell r="AB70">
            <v>0</v>
          </cell>
          <cell r="AC70">
            <v>2218.941134621442</v>
          </cell>
          <cell r="AD70">
            <v>0</v>
          </cell>
          <cell r="AE70">
            <v>169.22371489358517</v>
          </cell>
          <cell r="AF70">
            <v>534.67626702048801</v>
          </cell>
          <cell r="AH70">
            <v>225.284932994836</v>
          </cell>
          <cell r="AI70">
            <v>0</v>
          </cell>
          <cell r="AK70">
            <v>274.70400539597944</v>
          </cell>
          <cell r="AL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T70">
            <v>70.037170653702944</v>
          </cell>
          <cell r="AU70">
            <v>0</v>
          </cell>
          <cell r="AW70">
            <v>0</v>
          </cell>
          <cell r="AX70">
            <v>0</v>
          </cell>
        </row>
        <row r="71"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R71">
            <v>2</v>
          </cell>
          <cell r="S71">
            <v>14058.403926086521</v>
          </cell>
          <cell r="U71">
            <v>0</v>
          </cell>
          <cell r="V71"/>
          <cell r="W71">
            <v>0</v>
          </cell>
          <cell r="X71">
            <v>77.04569921040131</v>
          </cell>
          <cell r="Y71">
            <v>0</v>
          </cell>
          <cell r="Z71"/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44.924807561176856</v>
          </cell>
          <cell r="AF71">
            <v>0</v>
          </cell>
          <cell r="AH71">
            <v>60.844215905779357</v>
          </cell>
          <cell r="AI71">
            <v>0</v>
          </cell>
          <cell r="AK71">
            <v>76.6936654717761</v>
          </cell>
          <cell r="AL71">
            <v>0</v>
          </cell>
          <cell r="AN71">
            <v>30.092783099948647</v>
          </cell>
          <cell r="AO71">
            <v>0</v>
          </cell>
          <cell r="AQ71">
            <v>13.192247063076561</v>
          </cell>
          <cell r="AR71">
            <v>0</v>
          </cell>
          <cell r="AT71">
            <v>34.861306109848641</v>
          </cell>
          <cell r="AU71">
            <v>0</v>
          </cell>
          <cell r="AW71">
            <v>0</v>
          </cell>
          <cell r="AX71">
            <v>0</v>
          </cell>
        </row>
        <row r="72"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/>
          <cell r="W72">
            <v>0</v>
          </cell>
          <cell r="X72">
            <v>150.09831694584773</v>
          </cell>
          <cell r="Y72">
            <v>0</v>
          </cell>
          <cell r="Z72"/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81.224311988646505</v>
          </cell>
          <cell r="AF72">
            <v>0</v>
          </cell>
          <cell r="AH72">
            <v>181.73049913413948</v>
          </cell>
          <cell r="AI72">
            <v>0</v>
          </cell>
          <cell r="AK72">
            <v>211.62743048370936</v>
          </cell>
          <cell r="AL72">
            <v>2461.0811386210121</v>
          </cell>
          <cell r="AN72">
            <v>71.036897363237614</v>
          </cell>
          <cell r="AO72">
            <v>0</v>
          </cell>
          <cell r="AQ72">
            <v>39.576724851099698</v>
          </cell>
          <cell r="AR72">
            <v>0</v>
          </cell>
          <cell r="AT72">
            <v>48.871603317094689</v>
          </cell>
          <cell r="AU72">
            <v>0</v>
          </cell>
          <cell r="AW72">
            <v>0</v>
          </cell>
          <cell r="AX72">
            <v>0</v>
          </cell>
        </row>
        <row r="73"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/>
          <cell r="W73">
            <v>0</v>
          </cell>
          <cell r="X73">
            <v>0</v>
          </cell>
          <cell r="Y73">
            <v>0</v>
          </cell>
          <cell r="Z73"/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53.40841260932612</v>
          </cell>
          <cell r="AF73">
            <v>0</v>
          </cell>
          <cell r="AH73">
            <v>69.151720215382937</v>
          </cell>
          <cell r="AI73">
            <v>0</v>
          </cell>
          <cell r="AK73">
            <v>137.42866535911875</v>
          </cell>
          <cell r="AL73">
            <v>0</v>
          </cell>
          <cell r="AN73">
            <v>51.28841910229302</v>
          </cell>
          <cell r="AO73">
            <v>0</v>
          </cell>
          <cell r="AQ73">
            <v>26.384494126153122</v>
          </cell>
          <cell r="AR73">
            <v>0</v>
          </cell>
          <cell r="AT73">
            <v>44.991929303447613</v>
          </cell>
          <cell r="AU73">
            <v>0</v>
          </cell>
          <cell r="AW73">
            <v>0</v>
          </cell>
          <cell r="AX73">
            <v>0</v>
          </cell>
        </row>
        <row r="74"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/>
          <cell r="W74">
            <v>0</v>
          </cell>
          <cell r="X74">
            <v>0</v>
          </cell>
          <cell r="Y74">
            <v>0</v>
          </cell>
          <cell r="Z74"/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355.3379711336587</v>
          </cell>
          <cell r="AF74">
            <v>1606.1249901208598</v>
          </cell>
          <cell r="AH74">
            <v>469.58280172270531</v>
          </cell>
          <cell r="AI74">
            <v>0</v>
          </cell>
          <cell r="AK74">
            <v>919.72733484503044</v>
          </cell>
          <cell r="AL74">
            <v>790.158006</v>
          </cell>
          <cell r="AN74">
            <v>270.25810971215151</v>
          </cell>
          <cell r="AO74">
            <v>0</v>
          </cell>
          <cell r="AQ74">
            <v>98.941812127749259</v>
          </cell>
          <cell r="AR74">
            <v>0</v>
          </cell>
          <cell r="AT74">
            <v>275.07006865002995</v>
          </cell>
          <cell r="AU74">
            <v>0</v>
          </cell>
          <cell r="AW74">
            <v>0</v>
          </cell>
          <cell r="AX74">
            <v>0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30</v>
          </cell>
          <cell r="P75">
            <v>10965.2446272</v>
          </cell>
          <cell r="R75">
            <v>4</v>
          </cell>
          <cell r="S75">
            <v>72078.147941271673</v>
          </cell>
          <cell r="U75">
            <v>0</v>
          </cell>
          <cell r="V75"/>
          <cell r="W75">
            <v>0</v>
          </cell>
          <cell r="X75">
            <v>31.944651799639125</v>
          </cell>
          <cell r="Y75">
            <v>0</v>
          </cell>
          <cell r="Z75"/>
          <cell r="AA75">
            <v>0</v>
          </cell>
          <cell r="AB75">
            <v>0</v>
          </cell>
          <cell r="AC75">
            <v>257.34941308423663</v>
          </cell>
          <cell r="AD75">
            <v>1352.5369796859495</v>
          </cell>
          <cell r="AE75">
            <v>237.6327308728423</v>
          </cell>
          <cell r="AF75">
            <v>0</v>
          </cell>
          <cell r="AH75">
            <v>313.4952251884107</v>
          </cell>
          <cell r="AI75">
            <v>0</v>
          </cell>
          <cell r="AK75">
            <v>608.83264751210118</v>
          </cell>
          <cell r="AL75">
            <v>0</v>
          </cell>
          <cell r="AN75">
            <v>185.8924655995005</v>
          </cell>
          <cell r="AO75">
            <v>0</v>
          </cell>
          <cell r="AQ75">
            <v>65.961235315382794</v>
          </cell>
          <cell r="AR75">
            <v>0</v>
          </cell>
          <cell r="AT75">
            <v>224.10163676469494</v>
          </cell>
          <cell r="AU75">
            <v>0</v>
          </cell>
          <cell r="AW75">
            <v>0</v>
          </cell>
          <cell r="AX75">
            <v>0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/>
          <cell r="W76">
            <v>0</v>
          </cell>
          <cell r="X76">
            <v>0</v>
          </cell>
          <cell r="Y76">
            <v>0</v>
          </cell>
          <cell r="Z76"/>
          <cell r="AA76">
            <v>0</v>
          </cell>
          <cell r="AB76">
            <v>0</v>
          </cell>
          <cell r="AC76">
            <v>308.86052674384905</v>
          </cell>
          <cell r="AD76">
            <v>900.0826210935428</v>
          </cell>
          <cell r="AE76">
            <v>312.08924497789428</v>
          </cell>
          <cell r="AF76">
            <v>0</v>
          </cell>
          <cell r="AH76">
            <v>438.88707713804558</v>
          </cell>
          <cell r="AI76">
            <v>0</v>
          </cell>
          <cell r="AK76">
            <v>418.3787489409853</v>
          </cell>
          <cell r="AL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T76">
            <v>166.257356798828</v>
          </cell>
          <cell r="AU76">
            <v>0</v>
          </cell>
          <cell r="AW76">
            <v>0</v>
          </cell>
          <cell r="AX76">
            <v>0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/>
          <cell r="W77">
            <v>0</v>
          </cell>
          <cell r="X77">
            <v>0</v>
          </cell>
          <cell r="Y77">
            <v>0</v>
          </cell>
          <cell r="Z77"/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/>
          <cell r="W78">
            <v>0</v>
          </cell>
          <cell r="X78">
            <v>0</v>
          </cell>
          <cell r="Y78">
            <v>0</v>
          </cell>
          <cell r="Z78"/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I79">
            <v>0</v>
          </cell>
          <cell r="J79">
            <v>0</v>
          </cell>
          <cell r="L79">
            <v>0</v>
          </cell>
          <cell r="M79">
            <v>2131.6402572925035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/>
          <cell r="W79">
            <v>0</v>
          </cell>
          <cell r="X79">
            <v>0</v>
          </cell>
          <cell r="Y79">
            <v>0</v>
          </cell>
          <cell r="Z79"/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240.97600204603114</v>
          </cell>
          <cell r="AF79">
            <v>425.98817545704691</v>
          </cell>
          <cell r="AH79">
            <v>351.66292323452029</v>
          </cell>
          <cell r="AI79">
            <v>0</v>
          </cell>
          <cell r="AK79">
            <v>193.26395990750746</v>
          </cell>
          <cell r="AL79">
            <v>0</v>
          </cell>
          <cell r="AN79">
            <v>107.54409784126776</v>
          </cell>
          <cell r="AO79">
            <v>0</v>
          </cell>
          <cell r="AQ79">
            <v>89.960355179059135</v>
          </cell>
          <cell r="AR79">
            <v>7.7228418000000003</v>
          </cell>
          <cell r="AT79">
            <v>130.2465264345808</v>
          </cell>
          <cell r="AU79">
            <v>0</v>
          </cell>
          <cell r="AW79">
            <v>118.34437622421669</v>
          </cell>
          <cell r="AX79">
            <v>0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/>
          <cell r="W80">
            <v>0</v>
          </cell>
          <cell r="X80">
            <v>0</v>
          </cell>
          <cell r="Y80">
            <v>0</v>
          </cell>
          <cell r="Z80"/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135.60864137130488</v>
          </cell>
          <cell r="AF80">
            <v>0</v>
          </cell>
          <cell r="AH80">
            <v>264.84451108914089</v>
          </cell>
          <cell r="AI80">
            <v>0</v>
          </cell>
          <cell r="AK80">
            <v>78.612730666321482</v>
          </cell>
          <cell r="AL80">
            <v>0</v>
          </cell>
          <cell r="AN80">
            <v>80.855039196896257</v>
          </cell>
          <cell r="AO80">
            <v>0</v>
          </cell>
          <cell r="AQ80">
            <v>0</v>
          </cell>
          <cell r="AR80">
            <v>0</v>
          </cell>
          <cell r="AT80">
            <v>63.909261025478145</v>
          </cell>
          <cell r="AU80">
            <v>0</v>
          </cell>
          <cell r="AW80">
            <v>54.529073537159114</v>
          </cell>
          <cell r="AX80">
            <v>0</v>
          </cell>
        </row>
        <row r="81"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/>
          <cell r="W81">
            <v>0</v>
          </cell>
          <cell r="X81">
            <v>0</v>
          </cell>
          <cell r="Y81">
            <v>0</v>
          </cell>
          <cell r="Z81"/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296.97430937581089</v>
          </cell>
          <cell r="AF81">
            <v>951.97722752600112</v>
          </cell>
          <cell r="AH81">
            <v>431.42874836421191</v>
          </cell>
          <cell r="AI81">
            <v>2821.7797941782142</v>
          </cell>
          <cell r="AK81">
            <v>225.25790184519559</v>
          </cell>
          <cell r="AL81">
            <v>0</v>
          </cell>
          <cell r="AN81">
            <v>134.01654655351942</v>
          </cell>
          <cell r="AO81">
            <v>0</v>
          </cell>
          <cell r="AQ81">
            <v>119.94714023874553</v>
          </cell>
          <cell r="AR81">
            <v>7.7228418000000003</v>
          </cell>
          <cell r="AT81">
            <v>185.68589968581432</v>
          </cell>
          <cell r="AU81">
            <v>0</v>
          </cell>
          <cell r="AW81">
            <v>39.854603062339315</v>
          </cell>
          <cell r="AX81">
            <v>0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/>
          <cell r="W82">
            <v>0</v>
          </cell>
          <cell r="X82">
            <v>64.627908265165871</v>
          </cell>
          <cell r="Y82">
            <v>0</v>
          </cell>
          <cell r="Z82"/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199.30110444818735</v>
          </cell>
          <cell r="AF82">
            <v>0</v>
          </cell>
          <cell r="AH82">
            <v>265.86888590663347</v>
          </cell>
          <cell r="AI82">
            <v>0</v>
          </cell>
          <cell r="AK82">
            <v>339.09608183163061</v>
          </cell>
          <cell r="AL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T82">
            <v>122.47344089241105</v>
          </cell>
          <cell r="AU82">
            <v>0</v>
          </cell>
          <cell r="AW82">
            <v>0</v>
          </cell>
          <cell r="AX82">
            <v>0</v>
          </cell>
        </row>
        <row r="83"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/>
          <cell r="W83">
            <v>0</v>
          </cell>
          <cell r="X83">
            <v>0</v>
          </cell>
          <cell r="Y83">
            <v>0</v>
          </cell>
          <cell r="Z83"/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318.0902693443374</v>
          </cell>
          <cell r="AF83">
            <v>2630.8750602537534</v>
          </cell>
          <cell r="AH83">
            <v>490.73628415417375</v>
          </cell>
          <cell r="AI83">
            <v>0</v>
          </cell>
          <cell r="AK83">
            <v>365.88444988692856</v>
          </cell>
          <cell r="AL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2477.1850515697056</v>
          </cell>
          <cell r="AT83">
            <v>174.62873904711446</v>
          </cell>
          <cell r="AU83">
            <v>0</v>
          </cell>
          <cell r="AW83">
            <v>0</v>
          </cell>
          <cell r="AX83">
            <v>0</v>
          </cell>
        </row>
        <row r="84"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/>
          <cell r="W84">
            <v>0</v>
          </cell>
          <cell r="X84">
            <v>0</v>
          </cell>
          <cell r="Y84">
            <v>0</v>
          </cell>
          <cell r="Z84"/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141.19134888296281</v>
          </cell>
          <cell r="AF84">
            <v>0</v>
          </cell>
          <cell r="AH84">
            <v>251.26294537068739</v>
          </cell>
          <cell r="AI84">
            <v>0</v>
          </cell>
          <cell r="AK84">
            <v>238.9164663369109</v>
          </cell>
          <cell r="AL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603.48322308377033</v>
          </cell>
          <cell r="AT84">
            <v>70.039395863319015</v>
          </cell>
          <cell r="AU84">
            <v>0</v>
          </cell>
          <cell r="AW84">
            <v>0</v>
          </cell>
          <cell r="AX84">
            <v>0</v>
          </cell>
        </row>
        <row r="85"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/>
          <cell r="W85">
            <v>0</v>
          </cell>
          <cell r="X85">
            <v>0</v>
          </cell>
          <cell r="Y85">
            <v>12591.943738545542</v>
          </cell>
          <cell r="Z85"/>
          <cell r="AA85">
            <v>0</v>
          </cell>
          <cell r="AB85">
            <v>0</v>
          </cell>
          <cell r="AC85">
            <v>5311.4236627943292</v>
          </cell>
          <cell r="AD85">
            <v>0</v>
          </cell>
          <cell r="AE85">
            <v>254.36667126777695</v>
          </cell>
          <cell r="AF85">
            <v>0</v>
          </cell>
          <cell r="AH85">
            <v>347.50294893846012</v>
          </cell>
          <cell r="AI85">
            <v>0</v>
          </cell>
          <cell r="AK85">
            <v>428.65127600087555</v>
          </cell>
          <cell r="AL85">
            <v>0</v>
          </cell>
          <cell r="AN85">
            <v>164.11543594438629</v>
          </cell>
          <cell r="AO85">
            <v>0</v>
          </cell>
          <cell r="AQ85">
            <v>68.97925660788097</v>
          </cell>
          <cell r="AR85">
            <v>0</v>
          </cell>
          <cell r="AT85">
            <v>73.753166691452407</v>
          </cell>
          <cell r="AU85">
            <v>0</v>
          </cell>
          <cell r="AW85">
            <v>0</v>
          </cell>
          <cell r="AX85">
            <v>0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/>
          <cell r="W86">
            <v>0</v>
          </cell>
          <cell r="X86">
            <v>0</v>
          </cell>
          <cell r="Y86">
            <v>0</v>
          </cell>
          <cell r="Z86"/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124.57062080146615</v>
          </cell>
          <cell r="AF86">
            <v>0</v>
          </cell>
          <cell r="AH86">
            <v>153.61481567386699</v>
          </cell>
          <cell r="AI86">
            <v>0</v>
          </cell>
          <cell r="AK86">
            <v>187.39808963912321</v>
          </cell>
          <cell r="AL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T86">
            <v>60.056140153587386</v>
          </cell>
          <cell r="AU86">
            <v>0</v>
          </cell>
          <cell r="AW86">
            <v>0</v>
          </cell>
          <cell r="AX86">
            <v>0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/>
          <cell r="W87">
            <v>0</v>
          </cell>
          <cell r="X87">
            <v>0</v>
          </cell>
          <cell r="Y87">
            <v>0</v>
          </cell>
          <cell r="Z87"/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51.794461945442009</v>
          </cell>
          <cell r="AF87">
            <v>0</v>
          </cell>
          <cell r="AH87">
            <v>61.550813104250835</v>
          </cell>
          <cell r="AI87">
            <v>0</v>
          </cell>
          <cell r="AK87">
            <v>12.103661341664061</v>
          </cell>
          <cell r="AL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T87">
            <v>13.131198850039331</v>
          </cell>
          <cell r="AU87">
            <v>0</v>
          </cell>
          <cell r="AW87">
            <v>0</v>
          </cell>
          <cell r="AX87">
            <v>0</v>
          </cell>
        </row>
        <row r="88"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/>
          <cell r="W88">
            <v>0</v>
          </cell>
          <cell r="X88">
            <v>0</v>
          </cell>
          <cell r="Y88">
            <v>0</v>
          </cell>
          <cell r="Z88"/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/>
          <cell r="W89">
            <v>0</v>
          </cell>
          <cell r="X89">
            <v>0</v>
          </cell>
          <cell r="Y89">
            <v>0</v>
          </cell>
          <cell r="Z89"/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I90">
            <v>0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/>
          <cell r="W90">
            <v>0</v>
          </cell>
          <cell r="X90">
            <v>37.391861210560251</v>
          </cell>
          <cell r="Y90">
            <v>0</v>
          </cell>
          <cell r="Z90"/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172.97663207927951</v>
          </cell>
          <cell r="AF90">
            <v>0</v>
          </cell>
          <cell r="AH90">
            <v>250.58315269130659</v>
          </cell>
          <cell r="AI90">
            <v>0</v>
          </cell>
          <cell r="AK90">
            <v>245.82574354996487</v>
          </cell>
          <cell r="AL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T90">
            <v>65.725579801306026</v>
          </cell>
          <cell r="AU90">
            <v>0</v>
          </cell>
          <cell r="AW90">
            <v>0</v>
          </cell>
          <cell r="AX90">
            <v>0</v>
          </cell>
        </row>
        <row r="91"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/>
          <cell r="W91">
            <v>0</v>
          </cell>
          <cell r="X91">
            <v>50.548256821683296</v>
          </cell>
          <cell r="Y91">
            <v>0</v>
          </cell>
          <cell r="Z91"/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105.50314275515966</v>
          </cell>
          <cell r="AF91">
            <v>0</v>
          </cell>
          <cell r="AH91">
            <v>171.45470659650391</v>
          </cell>
          <cell r="AI91">
            <v>0</v>
          </cell>
          <cell r="AK91">
            <v>87.527632979009326</v>
          </cell>
          <cell r="AL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T91">
            <v>41.778843913608405</v>
          </cell>
          <cell r="AU91">
            <v>0</v>
          </cell>
          <cell r="AW91">
            <v>0</v>
          </cell>
          <cell r="AX91">
            <v>0</v>
          </cell>
        </row>
        <row r="92">
          <cell r="I92">
            <v>31</v>
          </cell>
          <cell r="J92">
            <v>11714.223899416529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/>
          <cell r="W92">
            <v>0</v>
          </cell>
          <cell r="X92">
            <v>0</v>
          </cell>
          <cell r="Y92">
            <v>0</v>
          </cell>
          <cell r="Z92"/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106.72721825659063</v>
          </cell>
          <cell r="AF92">
            <v>0</v>
          </cell>
          <cell r="AH92">
            <v>142.40885198567582</v>
          </cell>
          <cell r="AI92">
            <v>0</v>
          </cell>
          <cell r="AK92">
            <v>152.44260063250758</v>
          </cell>
          <cell r="AL92">
            <v>0</v>
          </cell>
          <cell r="AN92">
            <v>86.385768771972465</v>
          </cell>
          <cell r="AO92">
            <v>0</v>
          </cell>
          <cell r="AQ92">
            <v>35.219944932571877</v>
          </cell>
          <cell r="AR92">
            <v>0</v>
          </cell>
          <cell r="AT92">
            <v>103.56430512559632</v>
          </cell>
          <cell r="AU92">
            <v>0</v>
          </cell>
          <cell r="AW92">
            <v>0</v>
          </cell>
          <cell r="AX92">
            <v>0</v>
          </cell>
        </row>
        <row r="93"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/>
          <cell r="W93">
            <v>0</v>
          </cell>
          <cell r="X93">
            <v>0</v>
          </cell>
          <cell r="Y93">
            <v>0</v>
          </cell>
          <cell r="Z93"/>
          <cell r="AA93">
            <v>0</v>
          </cell>
          <cell r="AB93">
            <v>0</v>
          </cell>
          <cell r="AC93">
            <v>1115.4073979074426</v>
          </cell>
          <cell r="AD93">
            <v>0</v>
          </cell>
          <cell r="AE93">
            <v>149.96382133002803</v>
          </cell>
          <cell r="AF93">
            <v>0</v>
          </cell>
          <cell r="AH93">
            <v>250.58315269130659</v>
          </cell>
          <cell r="AI93">
            <v>0</v>
          </cell>
          <cell r="AK93">
            <v>189.22455054922412</v>
          </cell>
          <cell r="AL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T93">
            <v>69.694329510959818</v>
          </cell>
          <cell r="AU93">
            <v>0</v>
          </cell>
          <cell r="AW93">
            <v>0</v>
          </cell>
          <cell r="AX93">
            <v>0</v>
          </cell>
        </row>
        <row r="94"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/>
          <cell r="W94">
            <v>0</v>
          </cell>
          <cell r="X94">
            <v>0</v>
          </cell>
          <cell r="Y94">
            <v>0</v>
          </cell>
          <cell r="Z94"/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1</v>
          </cell>
          <cell r="S95">
            <v>3557.21673410224</v>
          </cell>
          <cell r="U95">
            <v>625.73787870407091</v>
          </cell>
          <cell r="V95"/>
          <cell r="W95">
            <v>0</v>
          </cell>
          <cell r="X95">
            <v>75.176106149873306</v>
          </cell>
          <cell r="Y95">
            <v>5714.024802570334</v>
          </cell>
          <cell r="Z95"/>
          <cell r="AA95">
            <v>0</v>
          </cell>
          <cell r="AB95">
            <v>730.99249630931035</v>
          </cell>
          <cell r="AC95">
            <v>0</v>
          </cell>
          <cell r="AD95">
            <v>204.92135549858165</v>
          </cell>
          <cell r="AE95">
            <v>79.668368280872841</v>
          </cell>
          <cell r="AF95">
            <v>352.16728040695443</v>
          </cell>
          <cell r="AH95">
            <v>107.26776403088104</v>
          </cell>
          <cell r="AI95">
            <v>0</v>
          </cell>
          <cell r="AK95">
            <v>219.57380665742699</v>
          </cell>
          <cell r="AL95">
            <v>0</v>
          </cell>
          <cell r="AN95">
            <v>90.336393042483721</v>
          </cell>
          <cell r="AO95">
            <v>858.1913451964266</v>
          </cell>
          <cell r="AQ95">
            <v>77.955933001127377</v>
          </cell>
          <cell r="AR95">
            <v>0</v>
          </cell>
          <cell r="AT95">
            <v>123.81884893767143</v>
          </cell>
          <cell r="AU95">
            <v>0</v>
          </cell>
          <cell r="AW95">
            <v>232.74222385317006</v>
          </cell>
          <cell r="AX95">
            <v>0</v>
          </cell>
        </row>
        <row r="96"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6044.6101309980277</v>
          </cell>
          <cell r="V96"/>
          <cell r="W96">
            <v>0</v>
          </cell>
          <cell r="X96">
            <v>40.392442665728666</v>
          </cell>
          <cell r="Y96">
            <v>0</v>
          </cell>
          <cell r="Z96"/>
          <cell r="AA96">
            <v>0</v>
          </cell>
          <cell r="AB96">
            <v>0</v>
          </cell>
          <cell r="AC96">
            <v>2412.8845761948805</v>
          </cell>
          <cell r="AD96">
            <v>1946.1478604789577</v>
          </cell>
          <cell r="AE96">
            <v>261.46872234701635</v>
          </cell>
          <cell r="AF96">
            <v>0</v>
          </cell>
          <cell r="AH96">
            <v>351.30774901844745</v>
          </cell>
          <cell r="AI96">
            <v>0</v>
          </cell>
          <cell r="AK96">
            <v>483.70917241723362</v>
          </cell>
          <cell r="AL96">
            <v>0</v>
          </cell>
          <cell r="AN96">
            <v>185.6386927230358</v>
          </cell>
          <cell r="AO96">
            <v>1287.2999011257489</v>
          </cell>
          <cell r="AQ96">
            <v>292.3226339843186</v>
          </cell>
          <cell r="AR96">
            <v>0</v>
          </cell>
          <cell r="AT96">
            <v>235.82173208405922</v>
          </cell>
          <cell r="AU96">
            <v>0</v>
          </cell>
          <cell r="AW96">
            <v>142.02289427059736</v>
          </cell>
          <cell r="AX96">
            <v>0</v>
          </cell>
        </row>
        <row r="97"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/>
          <cell r="W97">
            <v>0</v>
          </cell>
          <cell r="X97">
            <v>0</v>
          </cell>
          <cell r="Y97">
            <v>0</v>
          </cell>
          <cell r="Z97"/>
          <cell r="AA97">
            <v>0</v>
          </cell>
          <cell r="AB97">
            <v>0</v>
          </cell>
          <cell r="AC97">
            <v>0</v>
          </cell>
          <cell r="AD97">
            <v>81.783384953212092</v>
          </cell>
          <cell r="AE97">
            <v>242.09477570878985</v>
          </cell>
          <cell r="AF97">
            <v>861.93812120803887</v>
          </cell>
          <cell r="AH97">
            <v>341.29746007718495</v>
          </cell>
          <cell r="AI97">
            <v>2370.3930450573271</v>
          </cell>
          <cell r="AK97">
            <v>97.993438091568279</v>
          </cell>
          <cell r="AL97">
            <v>0</v>
          </cell>
          <cell r="AN97">
            <v>114.75461373279184</v>
          </cell>
          <cell r="AO97">
            <v>0</v>
          </cell>
          <cell r="AQ97">
            <v>89.960355179059135</v>
          </cell>
          <cell r="AR97">
            <v>0</v>
          </cell>
          <cell r="AT97">
            <v>122.56982730821436</v>
          </cell>
          <cell r="AU97">
            <v>2161.3363421519093</v>
          </cell>
          <cell r="AW97">
            <v>122.29074143818023</v>
          </cell>
          <cell r="AX97">
            <v>0</v>
          </cell>
        </row>
        <row r="98"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/>
          <cell r="W98">
            <v>0</v>
          </cell>
          <cell r="X98">
            <v>2.5851163306066347</v>
          </cell>
          <cell r="Y98">
            <v>0</v>
          </cell>
          <cell r="Z98"/>
          <cell r="AA98">
            <v>0</v>
          </cell>
          <cell r="AB98">
            <v>0</v>
          </cell>
          <cell r="AC98">
            <v>0</v>
          </cell>
          <cell r="AD98">
            <v>3017.4507479318445</v>
          </cell>
          <cell r="AE98">
            <v>172.64896221065933</v>
          </cell>
          <cell r="AF98">
            <v>0</v>
          </cell>
          <cell r="AH98">
            <v>236.7462978235489</v>
          </cell>
          <cell r="AI98">
            <v>0</v>
          </cell>
          <cell r="AK98">
            <v>184.64634567058175</v>
          </cell>
          <cell r="AL98">
            <v>0</v>
          </cell>
          <cell r="AN98">
            <v>115.32993121019737</v>
          </cell>
          <cell r="AO98">
            <v>0</v>
          </cell>
          <cell r="AQ98">
            <v>194.87527844079784</v>
          </cell>
          <cell r="AR98">
            <v>0</v>
          </cell>
          <cell r="AT98">
            <v>235.39234830930431</v>
          </cell>
          <cell r="AU98">
            <v>0</v>
          </cell>
          <cell r="AW98">
            <v>228.84431771884292</v>
          </cell>
          <cell r="AX98">
            <v>0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/>
          <cell r="W99">
            <v>0</v>
          </cell>
          <cell r="X99">
            <v>0</v>
          </cell>
          <cell r="Y99">
            <v>0</v>
          </cell>
          <cell r="Z99"/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257.18257003536439</v>
          </cell>
          <cell r="AF99">
            <v>346.84603369889084</v>
          </cell>
          <cell r="AH99">
            <v>341.29746007718495</v>
          </cell>
          <cell r="AI99">
            <v>0</v>
          </cell>
          <cell r="AK99">
            <v>238.21117418178792</v>
          </cell>
          <cell r="AL99">
            <v>0</v>
          </cell>
          <cell r="AN99">
            <v>117.71760222739266</v>
          </cell>
          <cell r="AO99">
            <v>0</v>
          </cell>
          <cell r="AQ99">
            <v>89.960355179059135</v>
          </cell>
          <cell r="AR99">
            <v>0</v>
          </cell>
          <cell r="AT99">
            <v>122.56982730821436</v>
          </cell>
          <cell r="AU99">
            <v>3451.8002312702101</v>
          </cell>
          <cell r="AW99">
            <v>122.29074143818023</v>
          </cell>
          <cell r="AX99">
            <v>0</v>
          </cell>
        </row>
        <row r="100">
          <cell r="I100">
            <v>10</v>
          </cell>
          <cell r="J100">
            <v>9768.4299407834915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1</v>
          </cell>
          <cell r="S100">
            <v>12152.65497689774</v>
          </cell>
          <cell r="U100">
            <v>0</v>
          </cell>
          <cell r="V100"/>
          <cell r="W100">
            <v>0</v>
          </cell>
          <cell r="X100">
            <v>0</v>
          </cell>
          <cell r="Y100">
            <v>0</v>
          </cell>
          <cell r="Z100"/>
          <cell r="AA100">
            <v>0</v>
          </cell>
          <cell r="AB100">
            <v>0</v>
          </cell>
          <cell r="AC100">
            <v>0</v>
          </cell>
          <cell r="AD100">
            <v>2234.22132013382</v>
          </cell>
          <cell r="AE100">
            <v>432.21338540871011</v>
          </cell>
          <cell r="AF100">
            <v>0</v>
          </cell>
          <cell r="AH100">
            <v>591.86574455887205</v>
          </cell>
          <cell r="AI100">
            <v>8106.5454623041142</v>
          </cell>
          <cell r="AK100">
            <v>690.27183197185354</v>
          </cell>
          <cell r="AL100">
            <v>0</v>
          </cell>
          <cell r="AN100">
            <v>289.88286770503936</v>
          </cell>
          <cell r="AO100">
            <v>0</v>
          </cell>
          <cell r="AQ100">
            <v>487.18819610199455</v>
          </cell>
          <cell r="AR100">
            <v>0</v>
          </cell>
          <cell r="AT100">
            <v>588.48087077326079</v>
          </cell>
          <cell r="AU100">
            <v>0</v>
          </cell>
          <cell r="AW100">
            <v>232.74222385317006</v>
          </cell>
          <cell r="AX100">
            <v>0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/>
          <cell r="W101">
            <v>0</v>
          </cell>
          <cell r="X101">
            <v>0</v>
          </cell>
          <cell r="Y101">
            <v>0</v>
          </cell>
          <cell r="Z101"/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/>
          <cell r="W102">
            <v>0</v>
          </cell>
          <cell r="X102">
            <v>0</v>
          </cell>
          <cell r="Y102">
            <v>0</v>
          </cell>
          <cell r="Z102"/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/>
          <cell r="W103">
            <v>0</v>
          </cell>
          <cell r="X103">
            <v>0</v>
          </cell>
          <cell r="Y103">
            <v>0</v>
          </cell>
          <cell r="Z103"/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0</v>
          </cell>
          <cell r="AI103">
            <v>0</v>
          </cell>
          <cell r="AK103">
            <v>16.764476281060535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/>
          <cell r="W104">
            <v>0</v>
          </cell>
          <cell r="X104">
            <v>0</v>
          </cell>
          <cell r="Y104">
            <v>0</v>
          </cell>
          <cell r="Z104"/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W104">
            <v>0</v>
          </cell>
          <cell r="AX104">
            <v>0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/>
          <cell r="W105">
            <v>0</v>
          </cell>
          <cell r="X105">
            <v>0</v>
          </cell>
          <cell r="Y105">
            <v>0</v>
          </cell>
          <cell r="Z105"/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</row>
        <row r="106"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/>
          <cell r="W106">
            <v>0</v>
          </cell>
          <cell r="X106">
            <v>0</v>
          </cell>
          <cell r="Y106">
            <v>0</v>
          </cell>
          <cell r="Z106"/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/>
          <cell r="W107">
            <v>0</v>
          </cell>
          <cell r="X107">
            <v>0</v>
          </cell>
          <cell r="Y107">
            <v>0</v>
          </cell>
          <cell r="Z107"/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/>
          <cell r="W108">
            <v>0</v>
          </cell>
          <cell r="X108">
            <v>22.065814393392344</v>
          </cell>
          <cell r="Y108">
            <v>0</v>
          </cell>
          <cell r="Z108"/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181.86362735840896</v>
          </cell>
          <cell r="AF108">
            <v>0</v>
          </cell>
          <cell r="AH108">
            <v>247.51007217452394</v>
          </cell>
          <cell r="AI108">
            <v>0</v>
          </cell>
          <cell r="AK108">
            <v>186.3722322641847</v>
          </cell>
          <cell r="AL108">
            <v>0</v>
          </cell>
          <cell r="AN108">
            <v>117.22675514518498</v>
          </cell>
          <cell r="AO108">
            <v>0</v>
          </cell>
          <cell r="AQ108">
            <v>52.768988252306244</v>
          </cell>
          <cell r="AR108">
            <v>0</v>
          </cell>
          <cell r="AT108">
            <v>124.71493816741945</v>
          </cell>
          <cell r="AU108">
            <v>0</v>
          </cell>
          <cell r="AW108">
            <v>0</v>
          </cell>
          <cell r="AX108">
            <v>0</v>
          </cell>
        </row>
        <row r="109"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/>
          <cell r="W109">
            <v>0</v>
          </cell>
          <cell r="X109">
            <v>0</v>
          </cell>
          <cell r="Y109">
            <v>0</v>
          </cell>
          <cell r="Z109"/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120.80412032157389</v>
          </cell>
          <cell r="AF109">
            <v>0</v>
          </cell>
          <cell r="AH109">
            <v>167.13409673834016</v>
          </cell>
          <cell r="AI109">
            <v>0</v>
          </cell>
          <cell r="AK109">
            <v>227.91988548368033</v>
          </cell>
          <cell r="AL109">
            <v>0</v>
          </cell>
          <cell r="AN109">
            <v>78.705552175750455</v>
          </cell>
          <cell r="AO109">
            <v>0</v>
          </cell>
          <cell r="AQ109">
            <v>22.490068372102311</v>
          </cell>
          <cell r="AR109">
            <v>0</v>
          </cell>
          <cell r="AT109">
            <v>48.034030076738333</v>
          </cell>
          <cell r="AU109">
            <v>0</v>
          </cell>
          <cell r="AW109">
            <v>0</v>
          </cell>
          <cell r="AX109">
            <v>0</v>
          </cell>
        </row>
        <row r="110"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/>
          <cell r="W110">
            <v>0</v>
          </cell>
          <cell r="X110">
            <v>0</v>
          </cell>
          <cell r="Y110">
            <v>0</v>
          </cell>
          <cell r="Z110"/>
          <cell r="AA110">
            <v>0</v>
          </cell>
          <cell r="AB110">
            <v>0</v>
          </cell>
          <cell r="AC110">
            <v>522.70970284035616</v>
          </cell>
          <cell r="AD110">
            <v>0</v>
          </cell>
          <cell r="AE110">
            <v>205.94082565918421</v>
          </cell>
          <cell r="AF110">
            <v>0</v>
          </cell>
          <cell r="AH110">
            <v>327.66924542790565</v>
          </cell>
          <cell r="AI110">
            <v>0</v>
          </cell>
          <cell r="AK110">
            <v>427.11349242364076</v>
          </cell>
          <cell r="AL110">
            <v>0</v>
          </cell>
          <cell r="AN110">
            <v>142.59912413250379</v>
          </cell>
          <cell r="AO110">
            <v>0</v>
          </cell>
          <cell r="AQ110">
            <v>70.464078559636903</v>
          </cell>
          <cell r="AR110">
            <v>0</v>
          </cell>
          <cell r="AT110">
            <v>133.9978264959357</v>
          </cell>
          <cell r="AU110">
            <v>0</v>
          </cell>
          <cell r="AW110">
            <v>0</v>
          </cell>
          <cell r="AX110">
            <v>0</v>
          </cell>
        </row>
        <row r="111">
          <cell r="I111">
            <v>0</v>
          </cell>
          <cell r="J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/>
          <cell r="W111">
            <v>0</v>
          </cell>
          <cell r="X111">
            <v>0</v>
          </cell>
          <cell r="Y111">
            <v>0</v>
          </cell>
          <cell r="Z111"/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72.267726688588141</v>
          </cell>
          <cell r="AF111">
            <v>352.16728040695443</v>
          </cell>
          <cell r="AH111">
            <v>96.860280139450751</v>
          </cell>
          <cell r="AI111">
            <v>0</v>
          </cell>
          <cell r="AK111">
            <v>78.98502057400087</v>
          </cell>
          <cell r="AL111">
            <v>0</v>
          </cell>
          <cell r="AN111">
            <v>54.362571797023676</v>
          </cell>
          <cell r="AO111">
            <v>0</v>
          </cell>
          <cell r="AQ111">
            <v>26.384494126153122</v>
          </cell>
          <cell r="AR111">
            <v>0</v>
          </cell>
          <cell r="AT111">
            <v>83.05021167631331</v>
          </cell>
          <cell r="AU111">
            <v>0</v>
          </cell>
          <cell r="AW111">
            <v>94.161478523291592</v>
          </cell>
          <cell r="AX111">
            <v>0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/>
          <cell r="W112">
            <v>0</v>
          </cell>
          <cell r="X112">
            <v>0</v>
          </cell>
          <cell r="Y112">
            <v>0</v>
          </cell>
          <cell r="Z112"/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4.1838094870111275</v>
          </cell>
          <cell r="AF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</row>
        <row r="113"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/>
          <cell r="W113">
            <v>3</v>
          </cell>
          <cell r="X113">
            <v>336.63573679185481</v>
          </cell>
          <cell r="Y113">
            <v>0</v>
          </cell>
          <cell r="Z113"/>
          <cell r="AA113">
            <v>0</v>
          </cell>
          <cell r="AB113">
            <v>0</v>
          </cell>
          <cell r="AC113">
            <v>0</v>
          </cell>
          <cell r="AD113">
            <v>1001.2640773887517</v>
          </cell>
          <cell r="AE113">
            <v>202.06990605035185</v>
          </cell>
          <cell r="AF113">
            <v>0</v>
          </cell>
          <cell r="AH113">
            <v>274.72892540618346</v>
          </cell>
          <cell r="AI113">
            <v>0</v>
          </cell>
          <cell r="AK113">
            <v>341.18561558757222</v>
          </cell>
          <cell r="AL113">
            <v>810.4161813659432</v>
          </cell>
          <cell r="AN113">
            <v>142.08269596907468</v>
          </cell>
          <cell r="AO113">
            <v>0</v>
          </cell>
          <cell r="AQ113">
            <v>233.85323677229661</v>
          </cell>
          <cell r="AR113">
            <v>0</v>
          </cell>
          <cell r="AT113">
            <v>267.81638294522492</v>
          </cell>
          <cell r="AU113">
            <v>0</v>
          </cell>
          <cell r="AW113">
            <v>187.38255906188371</v>
          </cell>
          <cell r="AX113">
            <v>0</v>
          </cell>
        </row>
        <row r="114"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/>
          <cell r="W114">
            <v>0</v>
          </cell>
          <cell r="X114">
            <v>0</v>
          </cell>
          <cell r="Y114">
            <v>0</v>
          </cell>
          <cell r="Z114"/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</row>
        <row r="115"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/>
          <cell r="W115">
            <v>0</v>
          </cell>
          <cell r="X115">
            <v>43.023721787953278</v>
          </cell>
          <cell r="Y115">
            <v>0</v>
          </cell>
          <cell r="Z115"/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186.05208943515458</v>
          </cell>
          <cell r="AF115">
            <v>0</v>
          </cell>
          <cell r="AH115">
            <v>251.52520330277241</v>
          </cell>
          <cell r="AI115">
            <v>0</v>
          </cell>
          <cell r="AK115">
            <v>75.295688921806018</v>
          </cell>
          <cell r="AL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T115">
            <v>70.178787536868555</v>
          </cell>
          <cell r="AU115">
            <v>0</v>
          </cell>
          <cell r="AW115">
            <v>78.880070559382432</v>
          </cell>
          <cell r="AX115">
            <v>0</v>
          </cell>
        </row>
        <row r="116">
          <cell r="I116">
            <v>27</v>
          </cell>
          <cell r="J116">
            <v>11233.331417028639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R116">
            <v>1.2</v>
          </cell>
          <cell r="S116">
            <v>131.39411824829114</v>
          </cell>
          <cell r="U116">
            <v>501.46671936717797</v>
          </cell>
          <cell r="V116"/>
          <cell r="W116">
            <v>0</v>
          </cell>
          <cell r="X116">
            <v>0</v>
          </cell>
          <cell r="Y116">
            <v>1461.450710299772</v>
          </cell>
          <cell r="Z116"/>
          <cell r="AA116">
            <v>0</v>
          </cell>
          <cell r="AB116">
            <v>0</v>
          </cell>
          <cell r="AC116">
            <v>0</v>
          </cell>
          <cell r="AD116">
            <v>2309.967804505422</v>
          </cell>
          <cell r="AE116">
            <v>134.13685304925804</v>
          </cell>
          <cell r="AF116">
            <v>0</v>
          </cell>
          <cell r="AH116">
            <v>183.15261693745566</v>
          </cell>
          <cell r="AI116">
            <v>0</v>
          </cell>
          <cell r="AK116">
            <v>212.78673471802713</v>
          </cell>
          <cell r="AL116">
            <v>0</v>
          </cell>
          <cell r="AN116">
            <v>90.737144763417078</v>
          </cell>
          <cell r="AO116">
            <v>429.10855592932234</v>
          </cell>
          <cell r="AQ116">
            <v>155.90215784819776</v>
          </cell>
          <cell r="AR116">
            <v>0</v>
          </cell>
          <cell r="AT116">
            <v>178.54425529681663</v>
          </cell>
          <cell r="AU116">
            <v>0</v>
          </cell>
          <cell r="AW116">
            <v>187.38255906188371</v>
          </cell>
          <cell r="AX116">
            <v>0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20398.153049100831</v>
          </cell>
          <cell r="V117"/>
          <cell r="W117">
            <v>0</v>
          </cell>
          <cell r="X117">
            <v>0</v>
          </cell>
          <cell r="Y117">
            <v>0</v>
          </cell>
          <cell r="Z117"/>
          <cell r="AA117">
            <v>0</v>
          </cell>
          <cell r="AB117">
            <v>0</v>
          </cell>
          <cell r="AC117">
            <v>0</v>
          </cell>
          <cell r="AD117">
            <v>1943.490567970327</v>
          </cell>
          <cell r="AE117">
            <v>137.83775051620293</v>
          </cell>
          <cell r="AF117">
            <v>0</v>
          </cell>
          <cell r="AH117">
            <v>196.28665419193635</v>
          </cell>
          <cell r="AI117">
            <v>0</v>
          </cell>
          <cell r="AK117">
            <v>213.70317684306562</v>
          </cell>
          <cell r="AL117">
            <v>0</v>
          </cell>
          <cell r="AN117">
            <v>94.011752103766042</v>
          </cell>
          <cell r="AO117">
            <v>0</v>
          </cell>
          <cell r="AQ117">
            <v>65.961235315382794</v>
          </cell>
          <cell r="AR117">
            <v>0</v>
          </cell>
          <cell r="AT117">
            <v>143.43543095359502</v>
          </cell>
          <cell r="AU117">
            <v>0</v>
          </cell>
          <cell r="AW117">
            <v>65.148817906898302</v>
          </cell>
          <cell r="AX117">
            <v>0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4</v>
          </cell>
          <cell r="S118">
            <v>9387.2579396086039</v>
          </cell>
          <cell r="U118">
            <v>35495.871010820425</v>
          </cell>
          <cell r="V118"/>
          <cell r="W118">
            <v>1</v>
          </cell>
          <cell r="X118">
            <v>431.07430808814581</v>
          </cell>
          <cell r="Y118">
            <v>750.47111043057976</v>
          </cell>
          <cell r="Z118"/>
          <cell r="AA118">
            <v>0</v>
          </cell>
          <cell r="AB118">
            <v>194.13056640554791</v>
          </cell>
          <cell r="AC118">
            <v>783.2822253366453</v>
          </cell>
          <cell r="AD118">
            <v>761.6982877839622</v>
          </cell>
          <cell r="AE118">
            <v>204.42021713237085</v>
          </cell>
          <cell r="AF118">
            <v>778.1554558640014</v>
          </cell>
          <cell r="AH118">
            <v>247.01192583841049</v>
          </cell>
          <cell r="AI118">
            <v>0</v>
          </cell>
          <cell r="AK118">
            <v>242.23676703378922</v>
          </cell>
          <cell r="AL118">
            <v>0</v>
          </cell>
          <cell r="AN118">
            <v>112.20924174271603</v>
          </cell>
          <cell r="AO118">
            <v>0</v>
          </cell>
          <cell r="AQ118">
            <v>65.961235315382794</v>
          </cell>
          <cell r="AR118">
            <v>0</v>
          </cell>
          <cell r="AT118">
            <v>125.7136219185039</v>
          </cell>
          <cell r="AU118">
            <v>0</v>
          </cell>
          <cell r="AW118">
            <v>65.815575516818669</v>
          </cell>
          <cell r="AX118">
            <v>0</v>
          </cell>
        </row>
        <row r="119"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22206.253498503</v>
          </cell>
          <cell r="V119"/>
          <cell r="W119">
            <v>0</v>
          </cell>
          <cell r="X119">
            <v>19.919244583156484</v>
          </cell>
          <cell r="Y119">
            <v>0</v>
          </cell>
          <cell r="Z119"/>
          <cell r="AA119">
            <v>0</v>
          </cell>
          <cell r="AB119">
            <v>0</v>
          </cell>
          <cell r="AC119">
            <v>1276.028042300406</v>
          </cell>
          <cell r="AD119">
            <v>764.71103616835831</v>
          </cell>
          <cell r="AE119">
            <v>224.64054342263609</v>
          </cell>
          <cell r="AF119">
            <v>425.98817545704691</v>
          </cell>
          <cell r="AH119">
            <v>267.27344362970138</v>
          </cell>
          <cell r="AI119">
            <v>0</v>
          </cell>
          <cell r="AK119">
            <v>249.74705045300354</v>
          </cell>
          <cell r="AL119">
            <v>0</v>
          </cell>
          <cell r="AN119">
            <v>116.76510375432694</v>
          </cell>
          <cell r="AO119">
            <v>0</v>
          </cell>
          <cell r="AQ119">
            <v>70.464078559636903</v>
          </cell>
          <cell r="AR119">
            <v>0</v>
          </cell>
          <cell r="AT119">
            <v>129.27437902784081</v>
          </cell>
          <cell r="AU119">
            <v>0</v>
          </cell>
          <cell r="AW119">
            <v>53.862315927238761</v>
          </cell>
          <cell r="AX119">
            <v>0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625.73787870407091</v>
          </cell>
          <cell r="V120"/>
          <cell r="W120">
            <v>0</v>
          </cell>
          <cell r="X120">
            <v>19.919244583156484</v>
          </cell>
          <cell r="Y120">
            <v>0</v>
          </cell>
          <cell r="Z120"/>
          <cell r="AA120">
            <v>0</v>
          </cell>
          <cell r="AB120">
            <v>0</v>
          </cell>
          <cell r="AC120">
            <v>0</v>
          </cell>
          <cell r="AD120">
            <v>471.222561219412</v>
          </cell>
          <cell r="AE120">
            <v>323.33608540472653</v>
          </cell>
          <cell r="AF120">
            <v>645.13426342048797</v>
          </cell>
          <cell r="AH120">
            <v>445.23247334072875</v>
          </cell>
          <cell r="AI120">
            <v>0</v>
          </cell>
          <cell r="AK120">
            <v>707.69677335411563</v>
          </cell>
          <cell r="AL120">
            <v>0</v>
          </cell>
          <cell r="AN120">
            <v>259.54606438313925</v>
          </cell>
          <cell r="AO120">
            <v>0</v>
          </cell>
          <cell r="AQ120">
            <v>389.75539462049437</v>
          </cell>
          <cell r="AR120">
            <v>0</v>
          </cell>
          <cell r="AT120">
            <v>305.88578314824531</v>
          </cell>
          <cell r="AU120">
            <v>631.08057496383105</v>
          </cell>
          <cell r="AW120">
            <v>186.43229164545758</v>
          </cell>
          <cell r="AX120">
            <v>0</v>
          </cell>
        </row>
        <row r="121"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/>
          <cell r="W121">
            <v>0</v>
          </cell>
          <cell r="X121">
            <v>94.51831583780509</v>
          </cell>
          <cell r="Y121">
            <v>0</v>
          </cell>
          <cell r="Z121"/>
          <cell r="AA121">
            <v>0</v>
          </cell>
          <cell r="AB121">
            <v>0</v>
          </cell>
          <cell r="AC121">
            <v>0</v>
          </cell>
          <cell r="AD121">
            <v>1022.1261315998441</v>
          </cell>
          <cell r="AE121">
            <v>269.67725713302559</v>
          </cell>
          <cell r="AF121">
            <v>3836.817335233668</v>
          </cell>
          <cell r="AH121">
            <v>410.25288405390029</v>
          </cell>
          <cell r="AI121">
            <v>0</v>
          </cell>
          <cell r="AK121">
            <v>461.00414588991288</v>
          </cell>
          <cell r="AL121">
            <v>0</v>
          </cell>
          <cell r="AN121">
            <v>184.90845320217682</v>
          </cell>
          <cell r="AO121">
            <v>0</v>
          </cell>
          <cell r="AQ121">
            <v>194.88983250281842</v>
          </cell>
          <cell r="AR121">
            <v>19.323966600000002</v>
          </cell>
          <cell r="AT121">
            <v>320.53124901133737</v>
          </cell>
          <cell r="AU121">
            <v>620.414238975481</v>
          </cell>
          <cell r="AW121">
            <v>127.01222515318118</v>
          </cell>
          <cell r="AX121">
            <v>0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/>
          <cell r="W122">
            <v>0</v>
          </cell>
          <cell r="X122">
            <v>0</v>
          </cell>
          <cell r="Y122">
            <v>0</v>
          </cell>
          <cell r="Z122"/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65.57164767213348</v>
          </cell>
          <cell r="AF122">
            <v>0</v>
          </cell>
          <cell r="AH122">
            <v>75.166243949094962</v>
          </cell>
          <cell r="AI122">
            <v>0</v>
          </cell>
          <cell r="AK122">
            <v>45.844143371333203</v>
          </cell>
          <cell r="AL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13.268307429658046</v>
          </cell>
          <cell r="AU122">
            <v>0</v>
          </cell>
          <cell r="AW122">
            <v>0</v>
          </cell>
          <cell r="AX122">
            <v>0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/>
          <cell r="W123">
            <v>0</v>
          </cell>
          <cell r="X123">
            <v>0</v>
          </cell>
          <cell r="Y123">
            <v>0</v>
          </cell>
          <cell r="Z123"/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278.28634321365632</v>
          </cell>
          <cell r="AF123">
            <v>0</v>
          </cell>
          <cell r="AH123">
            <v>202.33697172952878</v>
          </cell>
          <cell r="AI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T123">
            <v>121.16066476790479</v>
          </cell>
          <cell r="AU123">
            <v>0</v>
          </cell>
          <cell r="AW123">
            <v>0</v>
          </cell>
          <cell r="AX123">
            <v>0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/>
          <cell r="W124">
            <v>0</v>
          </cell>
          <cell r="X124">
            <v>0</v>
          </cell>
          <cell r="Y124">
            <v>0</v>
          </cell>
          <cell r="Z124"/>
          <cell r="AA124">
            <v>0</v>
          </cell>
          <cell r="AB124">
            <v>0</v>
          </cell>
          <cell r="AC124">
            <v>109.74192315099162</v>
          </cell>
          <cell r="AD124">
            <v>0</v>
          </cell>
          <cell r="AE124">
            <v>61.647099991546234</v>
          </cell>
          <cell r="AF124">
            <v>0</v>
          </cell>
          <cell r="AH124">
            <v>74.22419333762916</v>
          </cell>
          <cell r="AI124">
            <v>0</v>
          </cell>
          <cell r="AK124">
            <v>37.481307210205827</v>
          </cell>
          <cell r="AL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13.206444555034306</v>
          </cell>
          <cell r="AU124">
            <v>0</v>
          </cell>
          <cell r="AW124">
            <v>0</v>
          </cell>
          <cell r="AX124">
            <v>0</v>
          </cell>
        </row>
        <row r="125"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/>
          <cell r="W125">
            <v>0</v>
          </cell>
          <cell r="X125">
            <v>0</v>
          </cell>
          <cell r="Y125">
            <v>0</v>
          </cell>
          <cell r="Z125"/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62.624915751524455</v>
          </cell>
          <cell r="AF125">
            <v>0</v>
          </cell>
          <cell r="AH125">
            <v>87.83954249182338</v>
          </cell>
          <cell r="AI125">
            <v>0</v>
          </cell>
          <cell r="AK125">
            <v>26.929707894682178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9.8614252960765771</v>
          </cell>
          <cell r="AU125">
            <v>0</v>
          </cell>
          <cell r="AW125">
            <v>0</v>
          </cell>
          <cell r="AX125">
            <v>0</v>
          </cell>
        </row>
        <row r="126"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/>
          <cell r="W126">
            <v>0</v>
          </cell>
          <cell r="X126">
            <v>0</v>
          </cell>
          <cell r="Y126">
            <v>0</v>
          </cell>
          <cell r="Z126"/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129.83068955272117</v>
          </cell>
          <cell r="AF126">
            <v>0</v>
          </cell>
          <cell r="AH126">
            <v>158.10153368374478</v>
          </cell>
          <cell r="AI126">
            <v>0</v>
          </cell>
          <cell r="AK126">
            <v>64.119955629500566</v>
          </cell>
          <cell r="AL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29.632723159187076</v>
          </cell>
          <cell r="AU126">
            <v>0</v>
          </cell>
          <cell r="AW126">
            <v>0</v>
          </cell>
          <cell r="AX126">
            <v>0</v>
          </cell>
        </row>
        <row r="127"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/>
          <cell r="W127">
            <v>0</v>
          </cell>
          <cell r="X127">
            <v>0</v>
          </cell>
          <cell r="Y127">
            <v>0</v>
          </cell>
          <cell r="Z127"/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136.87399555182537</v>
          </cell>
          <cell r="AF127">
            <v>0</v>
          </cell>
          <cell r="AH127">
            <v>189.71213226643653</v>
          </cell>
          <cell r="AI127">
            <v>0</v>
          </cell>
          <cell r="AK127">
            <v>102.89263852286297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29.632723159187076</v>
          </cell>
          <cell r="AU127">
            <v>0</v>
          </cell>
          <cell r="AW127">
            <v>0</v>
          </cell>
          <cell r="AX127">
            <v>0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/>
          <cell r="W128">
            <v>0</v>
          </cell>
          <cell r="X128">
            <v>0</v>
          </cell>
          <cell r="Y128">
            <v>0</v>
          </cell>
          <cell r="Z128"/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104.73648131794</v>
          </cell>
          <cell r="AF128">
            <v>0</v>
          </cell>
          <cell r="AH128">
            <v>158.78132636312557</v>
          </cell>
          <cell r="AI128">
            <v>0</v>
          </cell>
          <cell r="AK128">
            <v>39.003700583199688</v>
          </cell>
          <cell r="AL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T128">
            <v>19.771301113804686</v>
          </cell>
          <cell r="AU128">
            <v>0</v>
          </cell>
          <cell r="AW128">
            <v>0</v>
          </cell>
          <cell r="AX128">
            <v>0</v>
          </cell>
        </row>
        <row r="129"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/>
          <cell r="W129">
            <v>0</v>
          </cell>
          <cell r="X129">
            <v>0</v>
          </cell>
          <cell r="Y129">
            <v>0</v>
          </cell>
          <cell r="Z129"/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74.37925463325017</v>
          </cell>
          <cell r="AF129">
            <v>0</v>
          </cell>
          <cell r="AH129">
            <v>152.46894747690439</v>
          </cell>
          <cell r="AI129">
            <v>0</v>
          </cell>
          <cell r="AK129">
            <v>37.303148170468859</v>
          </cell>
          <cell r="AL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T129">
            <v>19.771301113804686</v>
          </cell>
          <cell r="AU129">
            <v>0</v>
          </cell>
          <cell r="AW129">
            <v>0</v>
          </cell>
          <cell r="AX129">
            <v>0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/>
          <cell r="W130">
            <v>0</v>
          </cell>
          <cell r="X130">
            <v>0</v>
          </cell>
          <cell r="Y130">
            <v>0</v>
          </cell>
          <cell r="Z130"/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103.00123221737752</v>
          </cell>
          <cell r="AF130">
            <v>0</v>
          </cell>
          <cell r="AH130">
            <v>127.17072778043382</v>
          </cell>
          <cell r="AI130">
            <v>0</v>
          </cell>
          <cell r="AK130">
            <v>36.881382527661664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19.771277081972755</v>
          </cell>
          <cell r="AU130">
            <v>0</v>
          </cell>
          <cell r="AW130">
            <v>0</v>
          </cell>
          <cell r="AX130">
            <v>0</v>
          </cell>
        </row>
        <row r="131"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/>
          <cell r="W131">
            <v>0</v>
          </cell>
          <cell r="X131">
            <v>0</v>
          </cell>
          <cell r="Y131">
            <v>0</v>
          </cell>
          <cell r="Z131"/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128.09725591400303</v>
          </cell>
          <cell r="AF131">
            <v>0</v>
          </cell>
          <cell r="AH131">
            <v>209.79530050336243</v>
          </cell>
          <cell r="AI131">
            <v>0</v>
          </cell>
          <cell r="AK131">
            <v>132.3516939143727</v>
          </cell>
          <cell r="AL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T131">
            <v>35.916195899513809</v>
          </cell>
          <cell r="AU131">
            <v>0</v>
          </cell>
          <cell r="AW131">
            <v>0</v>
          </cell>
          <cell r="AX131">
            <v>0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/>
          <cell r="W132">
            <v>0</v>
          </cell>
          <cell r="X132">
            <v>0</v>
          </cell>
          <cell r="Y132">
            <v>0</v>
          </cell>
          <cell r="Z132"/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149.27602959383947</v>
          </cell>
          <cell r="AF132">
            <v>0</v>
          </cell>
          <cell r="AH132">
            <v>200.97730468011736</v>
          </cell>
          <cell r="AI132">
            <v>0</v>
          </cell>
          <cell r="AK132">
            <v>166.70191689660794</v>
          </cell>
          <cell r="AL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T132">
            <v>60.485387360254336</v>
          </cell>
          <cell r="AU132">
            <v>0</v>
          </cell>
          <cell r="AW132">
            <v>0</v>
          </cell>
          <cell r="AX132">
            <v>0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/>
          <cell r="W133">
            <v>0</v>
          </cell>
          <cell r="X133">
            <v>0</v>
          </cell>
          <cell r="Y133">
            <v>0</v>
          </cell>
          <cell r="Z133"/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66.793785964930606</v>
          </cell>
          <cell r="AF133">
            <v>0</v>
          </cell>
          <cell r="AH133">
            <v>148.24448739911162</v>
          </cell>
          <cell r="AI133">
            <v>0</v>
          </cell>
          <cell r="AK133">
            <v>27.646517586814632</v>
          </cell>
          <cell r="AL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T133">
            <v>19.771301113804686</v>
          </cell>
          <cell r="AU133">
            <v>0</v>
          </cell>
          <cell r="AW133">
            <v>0</v>
          </cell>
          <cell r="AX133">
            <v>0</v>
          </cell>
        </row>
        <row r="134"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/>
          <cell r="W134">
            <v>0</v>
          </cell>
          <cell r="X134">
            <v>0</v>
          </cell>
          <cell r="Y134">
            <v>0</v>
          </cell>
          <cell r="Z134"/>
          <cell r="AA134">
            <v>0</v>
          </cell>
          <cell r="AB134">
            <v>0</v>
          </cell>
          <cell r="AC134">
            <v>0</v>
          </cell>
          <cell r="AD134">
            <v>1093.9336000106091</v>
          </cell>
          <cell r="AE134">
            <v>146.35357130536974</v>
          </cell>
          <cell r="AF134">
            <v>0</v>
          </cell>
          <cell r="AH134">
            <v>199.98679498901538</v>
          </cell>
          <cell r="AI134">
            <v>0</v>
          </cell>
          <cell r="AK134">
            <v>164.52396800690619</v>
          </cell>
          <cell r="AL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T134">
            <v>60.056147680914883</v>
          </cell>
          <cell r="AU134">
            <v>0</v>
          </cell>
          <cell r="AW134">
            <v>0</v>
          </cell>
          <cell r="AX134">
            <v>0</v>
          </cell>
        </row>
        <row r="135"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/>
          <cell r="W135">
            <v>0</v>
          </cell>
          <cell r="X135">
            <v>0</v>
          </cell>
          <cell r="Y135">
            <v>0</v>
          </cell>
          <cell r="Z135"/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94.800233592295626</v>
          </cell>
          <cell r="AF135">
            <v>0</v>
          </cell>
          <cell r="AH135">
            <v>117.77975701338245</v>
          </cell>
          <cell r="AI135">
            <v>0</v>
          </cell>
          <cell r="AK135">
            <v>49.688136637059898</v>
          </cell>
          <cell r="AL135">
            <v>518.61230642048793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34.837121188239912</v>
          </cell>
          <cell r="AU135">
            <v>0</v>
          </cell>
          <cell r="AW135">
            <v>0</v>
          </cell>
          <cell r="AX135">
            <v>0</v>
          </cell>
        </row>
        <row r="136"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/>
          <cell r="W136">
            <v>0</v>
          </cell>
          <cell r="X136">
            <v>0</v>
          </cell>
          <cell r="Y136">
            <v>1760.5446491460186</v>
          </cell>
          <cell r="Z136"/>
          <cell r="AA136">
            <v>0</v>
          </cell>
          <cell r="AB136">
            <v>0</v>
          </cell>
          <cell r="AC136">
            <v>971.31879646579591</v>
          </cell>
          <cell r="AD136">
            <v>0</v>
          </cell>
          <cell r="AE136">
            <v>244.42904331491323</v>
          </cell>
          <cell r="AF136">
            <v>0</v>
          </cell>
          <cell r="AH136">
            <v>370.97542606793741</v>
          </cell>
          <cell r="AI136">
            <v>0</v>
          </cell>
          <cell r="AK136">
            <v>313.66672284506978</v>
          </cell>
          <cell r="AL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T136">
            <v>108.30269141259552</v>
          </cell>
          <cell r="AU136">
            <v>0</v>
          </cell>
          <cell r="AW136">
            <v>0</v>
          </cell>
          <cell r="AX136">
            <v>0</v>
          </cell>
        </row>
        <row r="137"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/>
          <cell r="W137">
            <v>0</v>
          </cell>
          <cell r="X137">
            <v>24.235465599437198</v>
          </cell>
          <cell r="Y137">
            <v>0</v>
          </cell>
          <cell r="Z137"/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169.7904243905044</v>
          </cell>
          <cell r="AF137">
            <v>0</v>
          </cell>
          <cell r="AH137">
            <v>250.58315269130659</v>
          </cell>
          <cell r="AI137">
            <v>0</v>
          </cell>
          <cell r="AK137">
            <v>240.66409739837528</v>
          </cell>
          <cell r="AL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T137">
            <v>69.694344771707904</v>
          </cell>
          <cell r="AU137">
            <v>0</v>
          </cell>
          <cell r="AW137">
            <v>0</v>
          </cell>
          <cell r="AX137">
            <v>0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/>
          <cell r="W138">
            <v>0</v>
          </cell>
          <cell r="X138">
            <v>0</v>
          </cell>
          <cell r="Y138">
            <v>0</v>
          </cell>
          <cell r="Z138"/>
          <cell r="AA138">
            <v>0</v>
          </cell>
          <cell r="AB138">
            <v>0</v>
          </cell>
          <cell r="AC138">
            <v>0</v>
          </cell>
          <cell r="AD138">
            <v>388.85009456710986</v>
          </cell>
          <cell r="AE138">
            <v>105.27399646775474</v>
          </cell>
          <cell r="AF138">
            <v>0</v>
          </cell>
          <cell r="AH138">
            <v>140.84536735076762</v>
          </cell>
          <cell r="AI138">
            <v>0</v>
          </cell>
          <cell r="AK138">
            <v>172.52999303886682</v>
          </cell>
          <cell r="AL138">
            <v>0</v>
          </cell>
          <cell r="AN138">
            <v>62.030552270349432</v>
          </cell>
          <cell r="AO138">
            <v>0</v>
          </cell>
          <cell r="AQ138">
            <v>35.219944932571877</v>
          </cell>
          <cell r="AR138">
            <v>0</v>
          </cell>
          <cell r="AT138">
            <v>86.679575327637068</v>
          </cell>
          <cell r="AU138">
            <v>0</v>
          </cell>
          <cell r="AW138">
            <v>0</v>
          </cell>
          <cell r="AX138">
            <v>0</v>
          </cell>
        </row>
        <row r="139"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/>
          <cell r="W139">
            <v>0</v>
          </cell>
          <cell r="X139">
            <v>0</v>
          </cell>
          <cell r="Y139">
            <v>0</v>
          </cell>
          <cell r="Z139"/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208.68357540627463</v>
          </cell>
          <cell r="AF139">
            <v>820.68830455751629</v>
          </cell>
          <cell r="AH139">
            <v>265.33664916087628</v>
          </cell>
          <cell r="AI139">
            <v>0</v>
          </cell>
          <cell r="AK139">
            <v>274.04768569408526</v>
          </cell>
          <cell r="AL139">
            <v>0</v>
          </cell>
          <cell r="AN139">
            <v>114.36755956189184</v>
          </cell>
          <cell r="AO139">
            <v>0</v>
          </cell>
          <cell r="AQ139">
            <v>65.961235315382794</v>
          </cell>
          <cell r="AR139">
            <v>0</v>
          </cell>
          <cell r="AT139">
            <v>173.06738905400283</v>
          </cell>
          <cell r="AU139">
            <v>0</v>
          </cell>
          <cell r="AW139">
            <v>0</v>
          </cell>
          <cell r="AX139">
            <v>0</v>
          </cell>
        </row>
        <row r="140"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/>
          <cell r="W140">
            <v>0</v>
          </cell>
          <cell r="X140">
            <v>0</v>
          </cell>
          <cell r="Y140">
            <v>0</v>
          </cell>
          <cell r="Z140"/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/>
          <cell r="W141">
            <v>0</v>
          </cell>
          <cell r="X141">
            <v>0</v>
          </cell>
          <cell r="Y141">
            <v>0</v>
          </cell>
          <cell r="Z141"/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65.283353780054597</v>
          </cell>
          <cell r="AF141">
            <v>0</v>
          </cell>
          <cell r="AH141">
            <v>90.238260002622894</v>
          </cell>
          <cell r="AI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15.221714027152627</v>
          </cell>
          <cell r="AU141">
            <v>0</v>
          </cell>
          <cell r="AW141">
            <v>0</v>
          </cell>
          <cell r="AX141">
            <v>0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/>
          <cell r="W142">
            <v>0</v>
          </cell>
          <cell r="X142">
            <v>0</v>
          </cell>
          <cell r="Y142">
            <v>0</v>
          </cell>
          <cell r="Z142"/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W142">
            <v>0</v>
          </cell>
          <cell r="AX142">
            <v>0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/>
          <cell r="W143">
            <v>0</v>
          </cell>
          <cell r="X143">
            <v>0</v>
          </cell>
          <cell r="Y143">
            <v>0</v>
          </cell>
          <cell r="Z143"/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/>
          <cell r="W144">
            <v>0</v>
          </cell>
          <cell r="X144">
            <v>0</v>
          </cell>
          <cell r="Y144">
            <v>0</v>
          </cell>
          <cell r="Z144"/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T144">
            <v>0</v>
          </cell>
          <cell r="AU144">
            <v>0</v>
          </cell>
          <cell r="AW144">
            <v>0</v>
          </cell>
          <cell r="AX144">
            <v>0</v>
          </cell>
        </row>
        <row r="145"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/>
          <cell r="W145">
            <v>0</v>
          </cell>
          <cell r="X145">
            <v>0</v>
          </cell>
          <cell r="Y145">
            <v>0</v>
          </cell>
          <cell r="Z145"/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T145">
            <v>0</v>
          </cell>
          <cell r="AU145">
            <v>0</v>
          </cell>
          <cell r="AW145">
            <v>0</v>
          </cell>
          <cell r="AX145">
            <v>0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/>
          <cell r="W146">
            <v>0</v>
          </cell>
          <cell r="X146">
            <v>0</v>
          </cell>
          <cell r="Y146">
            <v>0</v>
          </cell>
          <cell r="Z146"/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T146">
            <v>0</v>
          </cell>
          <cell r="AU146">
            <v>0</v>
          </cell>
          <cell r="AW146">
            <v>0</v>
          </cell>
          <cell r="AX146">
            <v>0</v>
          </cell>
        </row>
        <row r="147"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/>
          <cell r="W147">
            <v>0</v>
          </cell>
          <cell r="X147">
            <v>40.392442665728666</v>
          </cell>
          <cell r="Y147">
            <v>0</v>
          </cell>
          <cell r="Z147"/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310.69298550910793</v>
          </cell>
          <cell r="AF147">
            <v>0</v>
          </cell>
          <cell r="AH147">
            <v>490.31866771622811</v>
          </cell>
          <cell r="AI147">
            <v>0</v>
          </cell>
          <cell r="AK147">
            <v>298.96762202027503</v>
          </cell>
          <cell r="AL147">
            <v>0</v>
          </cell>
          <cell r="AN147">
            <v>0</v>
          </cell>
          <cell r="AO147">
            <v>0</v>
          </cell>
          <cell r="AQ147">
            <v>0</v>
          </cell>
          <cell r="AR147">
            <v>0</v>
          </cell>
          <cell r="AT147">
            <v>259.81939144057162</v>
          </cell>
          <cell r="AU147">
            <v>0</v>
          </cell>
          <cell r="AW147">
            <v>0</v>
          </cell>
          <cell r="AX147">
            <v>0</v>
          </cell>
        </row>
        <row r="148">
          <cell r="I148">
            <v>7</v>
          </cell>
          <cell r="J148">
            <v>2833.0986883497731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/>
          <cell r="W148">
            <v>0</v>
          </cell>
          <cell r="X148">
            <v>0</v>
          </cell>
          <cell r="Y148">
            <v>0</v>
          </cell>
          <cell r="Z148"/>
          <cell r="AA148">
            <v>0</v>
          </cell>
          <cell r="AB148">
            <v>0</v>
          </cell>
          <cell r="AC148">
            <v>2708.6776746803898</v>
          </cell>
          <cell r="AD148">
            <v>0</v>
          </cell>
          <cell r="AE148">
            <v>328.46265580426922</v>
          </cell>
          <cell r="AF148">
            <v>0</v>
          </cell>
          <cell r="AH148">
            <v>392.18005276187682</v>
          </cell>
          <cell r="AI148">
            <v>0</v>
          </cell>
          <cell r="AK148">
            <v>372.00327676087647</v>
          </cell>
          <cell r="AL148">
            <v>0</v>
          </cell>
          <cell r="AN148">
            <v>189.47734017193309</v>
          </cell>
          <cell r="AO148">
            <v>0</v>
          </cell>
          <cell r="AQ148">
            <v>105.68402349220877</v>
          </cell>
          <cell r="AR148">
            <v>5465.3785898137121</v>
          </cell>
          <cell r="AT148">
            <v>220.07829963175874</v>
          </cell>
          <cell r="AU148">
            <v>1490.4433143344122</v>
          </cell>
          <cell r="AW148">
            <v>79.769107936159529</v>
          </cell>
          <cell r="AX148">
            <v>0</v>
          </cell>
        </row>
        <row r="149">
          <cell r="I149">
            <v>1</v>
          </cell>
          <cell r="J149">
            <v>2889.7562731489329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2</v>
          </cell>
          <cell r="S149">
            <v>1234.1887945894</v>
          </cell>
          <cell r="U149">
            <v>0</v>
          </cell>
          <cell r="V149"/>
          <cell r="W149">
            <v>0</v>
          </cell>
          <cell r="X149">
            <v>0</v>
          </cell>
          <cell r="Y149">
            <v>0</v>
          </cell>
          <cell r="Z149"/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369.47411731187549</v>
          </cell>
          <cell r="AF149">
            <v>0</v>
          </cell>
          <cell r="AH149">
            <v>475.19115838972868</v>
          </cell>
          <cell r="AI149">
            <v>0</v>
          </cell>
          <cell r="AK149">
            <v>655.87603860784714</v>
          </cell>
          <cell r="AL149">
            <v>0</v>
          </cell>
          <cell r="AN149">
            <v>238.48745367779139</v>
          </cell>
          <cell r="AO149">
            <v>0</v>
          </cell>
          <cell r="AQ149">
            <v>105.68402349220877</v>
          </cell>
          <cell r="AR149">
            <v>294.13123099999996</v>
          </cell>
          <cell r="AT149">
            <v>223.64458815826015</v>
          </cell>
          <cell r="AU149">
            <v>0</v>
          </cell>
          <cell r="AW149">
            <v>81.769380765920587</v>
          </cell>
          <cell r="AX149">
            <v>0</v>
          </cell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/>
          <cell r="W150">
            <v>0</v>
          </cell>
          <cell r="X150">
            <v>0</v>
          </cell>
          <cell r="Y150">
            <v>0</v>
          </cell>
          <cell r="Z150"/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</row>
        <row r="151"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/>
          <cell r="W151">
            <v>0</v>
          </cell>
          <cell r="X151">
            <v>0</v>
          </cell>
          <cell r="Y151">
            <v>0</v>
          </cell>
          <cell r="Z151"/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T151">
            <v>0</v>
          </cell>
          <cell r="AU151">
            <v>0</v>
          </cell>
          <cell r="AW151">
            <v>0</v>
          </cell>
          <cell r="AX151">
            <v>0</v>
          </cell>
        </row>
        <row r="152"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/>
          <cell r="W152">
            <v>0</v>
          </cell>
          <cell r="X152">
            <v>0</v>
          </cell>
          <cell r="Y152">
            <v>0</v>
          </cell>
          <cell r="Z152"/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/>
          <cell r="W153">
            <v>0</v>
          </cell>
          <cell r="X153">
            <v>0</v>
          </cell>
          <cell r="Y153">
            <v>0</v>
          </cell>
          <cell r="Z153"/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214.40752078805031</v>
          </cell>
          <cell r="AF153">
            <v>0</v>
          </cell>
          <cell r="AH153">
            <v>249.06583069279796</v>
          </cell>
          <cell r="AI153">
            <v>0</v>
          </cell>
          <cell r="AK153">
            <v>226.77710403175575</v>
          </cell>
          <cell r="AL153">
            <v>0</v>
          </cell>
          <cell r="AN153">
            <v>128.6876472295032</v>
          </cell>
          <cell r="AO153">
            <v>0</v>
          </cell>
          <cell r="AQ153">
            <v>44.980177589529568</v>
          </cell>
          <cell r="AR153">
            <v>0</v>
          </cell>
          <cell r="AT153">
            <v>133.23107334635267</v>
          </cell>
          <cell r="AU153">
            <v>3855.8818932800623</v>
          </cell>
          <cell r="AW153">
            <v>79.878797055444863</v>
          </cell>
          <cell r="AX153">
            <v>0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/>
          <cell r="W154">
            <v>3</v>
          </cell>
          <cell r="X154">
            <v>246.79153063759497</v>
          </cell>
          <cell r="Y154">
            <v>0</v>
          </cell>
          <cell r="Z154"/>
          <cell r="AA154">
            <v>0</v>
          </cell>
          <cell r="AB154">
            <v>0</v>
          </cell>
          <cell r="AC154">
            <v>0</v>
          </cell>
          <cell r="AD154">
            <v>812.62467406356404</v>
          </cell>
          <cell r="AE154">
            <v>171.52601663044027</v>
          </cell>
          <cell r="AF154">
            <v>0</v>
          </cell>
          <cell r="AH154">
            <v>185.23402568086527</v>
          </cell>
          <cell r="AI154">
            <v>0</v>
          </cell>
          <cell r="AK154">
            <v>229.91088521272141</v>
          </cell>
          <cell r="AL154">
            <v>0</v>
          </cell>
          <cell r="AN154">
            <v>111.16789026792613</v>
          </cell>
          <cell r="AO154">
            <v>0</v>
          </cell>
          <cell r="AQ154">
            <v>56.371262847709524</v>
          </cell>
          <cell r="AR154">
            <v>0</v>
          </cell>
          <cell r="AT154">
            <v>105.1618901772249</v>
          </cell>
          <cell r="AU154">
            <v>0</v>
          </cell>
          <cell r="AW154">
            <v>78.880070559382432</v>
          </cell>
          <cell r="AX154">
            <v>0</v>
          </cell>
        </row>
        <row r="155"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/>
          <cell r="W155">
            <v>0</v>
          </cell>
          <cell r="X155">
            <v>0</v>
          </cell>
          <cell r="Y155">
            <v>0</v>
          </cell>
          <cell r="Z155"/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</row>
        <row r="156"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/>
          <cell r="W156">
            <v>0</v>
          </cell>
          <cell r="X156">
            <v>0</v>
          </cell>
          <cell r="Y156">
            <v>0</v>
          </cell>
          <cell r="Z156"/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H156">
            <v>0</v>
          </cell>
          <cell r="AI156">
            <v>0</v>
          </cell>
          <cell r="AK156">
            <v>10.841388784924442</v>
          </cell>
          <cell r="AL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T156">
            <v>0</v>
          </cell>
          <cell r="AU156">
            <v>0</v>
          </cell>
          <cell r="AW156">
            <v>0</v>
          </cell>
          <cell r="AX156">
            <v>0</v>
          </cell>
        </row>
        <row r="157"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/>
          <cell r="W157">
            <v>0</v>
          </cell>
          <cell r="X157">
            <v>1021.3748459435195</v>
          </cell>
          <cell r="Y157">
            <v>0</v>
          </cell>
          <cell r="Z157"/>
          <cell r="AA157">
            <v>0</v>
          </cell>
          <cell r="AB157">
            <v>0</v>
          </cell>
          <cell r="AC157">
            <v>565.81201394353832</v>
          </cell>
          <cell r="AD157">
            <v>0</v>
          </cell>
          <cell r="AE157">
            <v>143.40667600346097</v>
          </cell>
          <cell r="AF157">
            <v>0</v>
          </cell>
          <cell r="AH157">
            <v>195.76233491122258</v>
          </cell>
          <cell r="AI157">
            <v>0</v>
          </cell>
          <cell r="AK157">
            <v>195.83071739750042</v>
          </cell>
          <cell r="AL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T157">
            <v>58.242111861801746</v>
          </cell>
          <cell r="AU157">
            <v>0</v>
          </cell>
          <cell r="AW157">
            <v>0</v>
          </cell>
          <cell r="AX157">
            <v>0</v>
          </cell>
        </row>
        <row r="158"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5</v>
          </cell>
          <cell r="S158">
            <v>150139.44115863141</v>
          </cell>
          <cell r="U158">
            <v>406.57322985824641</v>
          </cell>
          <cell r="V158"/>
          <cell r="W158">
            <v>0</v>
          </cell>
          <cell r="X158">
            <v>55.856977857750493</v>
          </cell>
          <cell r="Y158">
            <v>0</v>
          </cell>
          <cell r="Z158"/>
          <cell r="AA158">
            <v>0</v>
          </cell>
          <cell r="AB158">
            <v>0</v>
          </cell>
          <cell r="AC158">
            <v>0</v>
          </cell>
          <cell r="AD158">
            <v>1067.134710766461</v>
          </cell>
          <cell r="AE158">
            <v>161.43598939048366</v>
          </cell>
          <cell r="AF158">
            <v>0</v>
          </cell>
          <cell r="AH158">
            <v>216.85252149748126</v>
          </cell>
          <cell r="AI158">
            <v>0</v>
          </cell>
          <cell r="AK158">
            <v>245.14168481353812</v>
          </cell>
          <cell r="AL158">
            <v>0</v>
          </cell>
          <cell r="AN158">
            <v>99.504095214135731</v>
          </cell>
          <cell r="AO158">
            <v>0</v>
          </cell>
          <cell r="AQ158">
            <v>65.961235315382794</v>
          </cell>
          <cell r="AR158">
            <v>0</v>
          </cell>
          <cell r="AT158">
            <v>143.99064936730142</v>
          </cell>
          <cell r="AU158">
            <v>990.29746557913325</v>
          </cell>
          <cell r="AW158">
            <v>65.815575516818669</v>
          </cell>
          <cell r="AX158">
            <v>0</v>
          </cell>
        </row>
        <row r="159"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/>
          <cell r="W159">
            <v>0</v>
          </cell>
          <cell r="X159">
            <v>0</v>
          </cell>
          <cell r="Y159">
            <v>0</v>
          </cell>
          <cell r="Z159"/>
          <cell r="AA159">
            <v>0</v>
          </cell>
          <cell r="AB159">
            <v>1246.6926820617689</v>
          </cell>
          <cell r="AC159">
            <v>387.76790573994549</v>
          </cell>
          <cell r="AD159">
            <v>0</v>
          </cell>
          <cell r="AE159">
            <v>142.83996650654154</v>
          </cell>
          <cell r="AF159">
            <v>0</v>
          </cell>
          <cell r="AH159">
            <v>195.76233491122258</v>
          </cell>
          <cell r="AI159">
            <v>0</v>
          </cell>
          <cell r="AK159">
            <v>185.89456253896032</v>
          </cell>
          <cell r="AL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T159">
            <v>58.242111861801746</v>
          </cell>
          <cell r="AU159">
            <v>0</v>
          </cell>
          <cell r="AW159">
            <v>0</v>
          </cell>
          <cell r="AX159">
            <v>0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/>
          <cell r="W160">
            <v>0</v>
          </cell>
          <cell r="X160">
            <v>0</v>
          </cell>
          <cell r="Y160">
            <v>1284.6019576058593</v>
          </cell>
          <cell r="Z160"/>
          <cell r="AA160">
            <v>0</v>
          </cell>
          <cell r="AB160">
            <v>0</v>
          </cell>
          <cell r="AC160">
            <v>89.765067972397617</v>
          </cell>
          <cell r="AD160">
            <v>0</v>
          </cell>
          <cell r="AE160">
            <v>95.899640838670678</v>
          </cell>
          <cell r="AF160">
            <v>0</v>
          </cell>
          <cell r="AH160">
            <v>149.39035559607422</v>
          </cell>
          <cell r="AI160">
            <v>0</v>
          </cell>
          <cell r="AK160">
            <v>75.981484148226926</v>
          </cell>
          <cell r="AL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T160">
            <v>40.779527065714653</v>
          </cell>
          <cell r="AU160">
            <v>0</v>
          </cell>
          <cell r="AW160">
            <v>0</v>
          </cell>
          <cell r="AX160">
            <v>0</v>
          </cell>
        </row>
        <row r="161"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/>
          <cell r="W161">
            <v>0</v>
          </cell>
          <cell r="X161">
            <v>0</v>
          </cell>
          <cell r="Y161">
            <v>0</v>
          </cell>
          <cell r="Z161"/>
          <cell r="AA161">
            <v>0</v>
          </cell>
          <cell r="AB161">
            <v>0</v>
          </cell>
          <cell r="AC161">
            <v>114.46218925325803</v>
          </cell>
          <cell r="AD161">
            <v>0</v>
          </cell>
          <cell r="AE161">
            <v>59.085306560631935</v>
          </cell>
          <cell r="AF161">
            <v>0</v>
          </cell>
          <cell r="AH161">
            <v>72.08773375891468</v>
          </cell>
          <cell r="AI161">
            <v>0</v>
          </cell>
          <cell r="AK161">
            <v>44.209091793188861</v>
          </cell>
          <cell r="AL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T161">
            <v>13.131198850039331</v>
          </cell>
          <cell r="AU161">
            <v>0</v>
          </cell>
          <cell r="AW161">
            <v>0</v>
          </cell>
          <cell r="AX161">
            <v>0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/>
          <cell r="W162">
            <v>0</v>
          </cell>
          <cell r="X162">
            <v>0</v>
          </cell>
          <cell r="Y162">
            <v>0</v>
          </cell>
          <cell r="Z162"/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309.24744506594914</v>
          </cell>
          <cell r="AF162">
            <v>0</v>
          </cell>
          <cell r="AH162">
            <v>490.42556714245251</v>
          </cell>
          <cell r="AI162">
            <v>0</v>
          </cell>
          <cell r="AK162">
            <v>430.839921178493</v>
          </cell>
          <cell r="AL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T162">
            <v>174.4186197559111</v>
          </cell>
          <cell r="AU162">
            <v>0</v>
          </cell>
          <cell r="AW162">
            <v>0</v>
          </cell>
          <cell r="AX162">
            <v>0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/>
          <cell r="W163">
            <v>0</v>
          </cell>
          <cell r="X163">
            <v>0</v>
          </cell>
          <cell r="Y163">
            <v>0</v>
          </cell>
          <cell r="Z163"/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47.059309791594281</v>
          </cell>
          <cell r="AF163">
            <v>0</v>
          </cell>
          <cell r="AH163">
            <v>60.404944907288225</v>
          </cell>
          <cell r="AI163">
            <v>0</v>
          </cell>
          <cell r="AK163">
            <v>29.899082143124652</v>
          </cell>
          <cell r="AL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T163">
            <v>9.782104083393186</v>
          </cell>
          <cell r="AU163">
            <v>0</v>
          </cell>
          <cell r="AW163">
            <v>0</v>
          </cell>
          <cell r="AX163">
            <v>0</v>
          </cell>
        </row>
        <row r="164"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/>
          <cell r="W164">
            <v>0</v>
          </cell>
          <cell r="X164">
            <v>0</v>
          </cell>
          <cell r="Y164">
            <v>2434.1375100879682</v>
          </cell>
          <cell r="Z164"/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37.508628877400184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/>
          <cell r="W165">
            <v>0</v>
          </cell>
          <cell r="X165">
            <v>0</v>
          </cell>
          <cell r="Y165">
            <v>1260.8226852769128</v>
          </cell>
          <cell r="Z165"/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187.4391067611696</v>
          </cell>
          <cell r="AF165">
            <v>0</v>
          </cell>
          <cell r="AH165">
            <v>258.30373939722529</v>
          </cell>
          <cell r="AI165">
            <v>0</v>
          </cell>
          <cell r="AK165">
            <v>417.52689610795557</v>
          </cell>
          <cell r="AL165">
            <v>0</v>
          </cell>
          <cell r="AN165">
            <v>234.92107816430971</v>
          </cell>
          <cell r="AO165">
            <v>0</v>
          </cell>
          <cell r="AQ165">
            <v>0</v>
          </cell>
          <cell r="AR165">
            <v>0</v>
          </cell>
          <cell r="AT165">
            <v>120.7391811804537</v>
          </cell>
          <cell r="AU165">
            <v>0</v>
          </cell>
          <cell r="AW165">
            <v>0</v>
          </cell>
          <cell r="AX165">
            <v>0</v>
          </cell>
        </row>
        <row r="166"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/>
          <cell r="W166">
            <v>0</v>
          </cell>
          <cell r="X166">
            <v>0</v>
          </cell>
          <cell r="Y166">
            <v>0</v>
          </cell>
          <cell r="Z166"/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209.68610314611877</v>
          </cell>
          <cell r="AF166">
            <v>0</v>
          </cell>
          <cell r="AH166">
            <v>311.97860728969681</v>
          </cell>
          <cell r="AI166">
            <v>0</v>
          </cell>
          <cell r="AK166">
            <v>235.70928345887529</v>
          </cell>
          <cell r="AL166">
            <v>0</v>
          </cell>
          <cell r="AN166">
            <v>0</v>
          </cell>
          <cell r="AO166">
            <v>0</v>
          </cell>
          <cell r="AQ166">
            <v>0</v>
          </cell>
          <cell r="AR166">
            <v>575.62394851667761</v>
          </cell>
          <cell r="AT166">
            <v>86.524571442710084</v>
          </cell>
          <cell r="AU166">
            <v>0</v>
          </cell>
          <cell r="AW166">
            <v>0</v>
          </cell>
          <cell r="AX166">
            <v>0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/>
          <cell r="W167">
            <v>0</v>
          </cell>
          <cell r="X167">
            <v>34.345116963773862</v>
          </cell>
          <cell r="Y167">
            <v>0</v>
          </cell>
          <cell r="Z167"/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185.03472901469073</v>
          </cell>
          <cell r="AF167">
            <v>0</v>
          </cell>
          <cell r="AH167">
            <v>276.14354862921226</v>
          </cell>
          <cell r="AI167">
            <v>0</v>
          </cell>
          <cell r="AK167">
            <v>370.93148431507529</v>
          </cell>
          <cell r="AL167">
            <v>0</v>
          </cell>
          <cell r="AN167">
            <v>213.4689416535854</v>
          </cell>
          <cell r="AO167">
            <v>0</v>
          </cell>
          <cell r="AQ167">
            <v>0</v>
          </cell>
          <cell r="AR167">
            <v>0</v>
          </cell>
          <cell r="AT167">
            <v>118.21256501765102</v>
          </cell>
          <cell r="AU167">
            <v>0</v>
          </cell>
          <cell r="AW167">
            <v>0</v>
          </cell>
          <cell r="AX167">
            <v>0</v>
          </cell>
        </row>
        <row r="168"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/>
          <cell r="W168">
            <v>0</v>
          </cell>
          <cell r="X168">
            <v>0</v>
          </cell>
          <cell r="Y168">
            <v>0</v>
          </cell>
          <cell r="Z168"/>
          <cell r="AA168">
            <v>0</v>
          </cell>
          <cell r="AB168">
            <v>0</v>
          </cell>
          <cell r="AC168">
            <v>0</v>
          </cell>
          <cell r="AD168">
            <v>544.06164606119103</v>
          </cell>
          <cell r="AE168">
            <v>327.89594630734996</v>
          </cell>
          <cell r="AF168">
            <v>0</v>
          </cell>
          <cell r="AH168">
            <v>390.07398117832253</v>
          </cell>
          <cell r="AI168">
            <v>0</v>
          </cell>
          <cell r="AK168">
            <v>422.98261503208329</v>
          </cell>
          <cell r="AL168">
            <v>0</v>
          </cell>
          <cell r="AN168">
            <v>179.97352815066915</v>
          </cell>
          <cell r="AO168">
            <v>0</v>
          </cell>
          <cell r="AQ168">
            <v>105.68402349220877</v>
          </cell>
          <cell r="AR168">
            <v>12.8826444</v>
          </cell>
          <cell r="AT168">
            <v>220.07829817605759</v>
          </cell>
          <cell r="AU168">
            <v>2305.3439648891604</v>
          </cell>
          <cell r="AW168">
            <v>118.34437622421669</v>
          </cell>
          <cell r="AX168">
            <v>0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/>
          <cell r="W169">
            <v>0</v>
          </cell>
          <cell r="X169">
            <v>0</v>
          </cell>
          <cell r="Y169">
            <v>0</v>
          </cell>
          <cell r="Z169"/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3</v>
          </cell>
          <cell r="S170">
            <v>10671.673046566359</v>
          </cell>
          <cell r="U170">
            <v>0</v>
          </cell>
          <cell r="V170"/>
          <cell r="W170">
            <v>0</v>
          </cell>
          <cell r="X170">
            <v>0</v>
          </cell>
          <cell r="Y170">
            <v>1206.0052220678383</v>
          </cell>
          <cell r="Z170"/>
          <cell r="AA170">
            <v>0</v>
          </cell>
          <cell r="AB170">
            <v>0</v>
          </cell>
          <cell r="AC170">
            <v>14408.143722618142</v>
          </cell>
          <cell r="AD170">
            <v>1162.5029586979199</v>
          </cell>
          <cell r="AE170">
            <v>163.40459525333648</v>
          </cell>
          <cell r="AF170">
            <v>0</v>
          </cell>
          <cell r="AH170">
            <v>336.8331617242394</v>
          </cell>
          <cell r="AI170">
            <v>0</v>
          </cell>
          <cell r="AK170">
            <v>244.72535051333389</v>
          </cell>
          <cell r="AL170">
            <v>0</v>
          </cell>
          <cell r="AN170">
            <v>103.02668463952413</v>
          </cell>
          <cell r="AO170">
            <v>1287.2999011257489</v>
          </cell>
          <cell r="AQ170">
            <v>116.92905359372746</v>
          </cell>
          <cell r="AR170">
            <v>1404.9660277373732</v>
          </cell>
          <cell r="AT170">
            <v>166.61389976254213</v>
          </cell>
          <cell r="AU170">
            <v>0</v>
          </cell>
          <cell r="AW170">
            <v>187.49373979063722</v>
          </cell>
          <cell r="AX170">
            <v>0</v>
          </cell>
        </row>
        <row r="171"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/>
          <cell r="W171">
            <v>0</v>
          </cell>
          <cell r="X171">
            <v>0</v>
          </cell>
          <cell r="Y171">
            <v>0</v>
          </cell>
          <cell r="Z171"/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296.40759987889163</v>
          </cell>
          <cell r="AF171">
            <v>0</v>
          </cell>
          <cell r="AH171">
            <v>431.42874836421191</v>
          </cell>
          <cell r="AI171">
            <v>2890.710092458793</v>
          </cell>
          <cell r="AK171">
            <v>290.03422020352775</v>
          </cell>
          <cell r="AL171">
            <v>0</v>
          </cell>
          <cell r="AN171">
            <v>144.21332472826128</v>
          </cell>
          <cell r="AO171">
            <v>0</v>
          </cell>
          <cell r="AQ171">
            <v>119.94714023874553</v>
          </cell>
          <cell r="AR171">
            <v>15.456925</v>
          </cell>
          <cell r="AT171">
            <v>165.91452866121352</v>
          </cell>
          <cell r="AU171">
            <v>1699.0074840144684</v>
          </cell>
          <cell r="AW171">
            <v>232.74222385317006</v>
          </cell>
          <cell r="AX171">
            <v>0</v>
          </cell>
        </row>
        <row r="172"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9906.1218846242973</v>
          </cell>
          <cell r="V172"/>
          <cell r="W172">
            <v>0</v>
          </cell>
          <cell r="X172">
            <v>0</v>
          </cell>
          <cell r="Y172">
            <v>0</v>
          </cell>
          <cell r="Z172"/>
          <cell r="AA172">
            <v>0</v>
          </cell>
          <cell r="AB172">
            <v>0</v>
          </cell>
          <cell r="AC172">
            <v>0</v>
          </cell>
          <cell r="AD172">
            <v>1914.6368064942747</v>
          </cell>
          <cell r="AE172">
            <v>137.99555972980002</v>
          </cell>
          <cell r="AF172">
            <v>0</v>
          </cell>
          <cell r="AH172">
            <v>220.85066511954076</v>
          </cell>
          <cell r="AI172">
            <v>0</v>
          </cell>
          <cell r="AK172">
            <v>177.48698710665167</v>
          </cell>
          <cell r="AL172">
            <v>0</v>
          </cell>
          <cell r="AN172">
            <v>87.157379501975697</v>
          </cell>
          <cell r="AO172">
            <v>0</v>
          </cell>
          <cell r="AQ172">
            <v>61.458351225803753</v>
          </cell>
          <cell r="AR172">
            <v>19.323966600000002</v>
          </cell>
          <cell r="AT172">
            <v>128.7899698064362</v>
          </cell>
          <cell r="AU172">
            <v>1098.3672173464092</v>
          </cell>
          <cell r="AW172">
            <v>65.148817906898302</v>
          </cell>
          <cell r="AX172">
            <v>0</v>
          </cell>
        </row>
        <row r="173"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/>
          <cell r="W173">
            <v>0</v>
          </cell>
          <cell r="X173">
            <v>44.270117161638609</v>
          </cell>
          <cell r="Y173">
            <v>0</v>
          </cell>
          <cell r="Z173"/>
          <cell r="AA173">
            <v>0</v>
          </cell>
          <cell r="AB173">
            <v>0</v>
          </cell>
          <cell r="AC173">
            <v>0</v>
          </cell>
          <cell r="AD173">
            <v>209.50145753628007</v>
          </cell>
          <cell r="AE173">
            <v>137.99555972980002</v>
          </cell>
          <cell r="AF173">
            <v>0</v>
          </cell>
          <cell r="AH173">
            <v>220.85066511954076</v>
          </cell>
          <cell r="AI173">
            <v>0</v>
          </cell>
          <cell r="AK173">
            <v>317.2358755353203</v>
          </cell>
          <cell r="AL173">
            <v>0</v>
          </cell>
          <cell r="AN173">
            <v>109.91849602876229</v>
          </cell>
          <cell r="AO173">
            <v>0</v>
          </cell>
          <cell r="AQ173">
            <v>61.458351225803753</v>
          </cell>
          <cell r="AR173">
            <v>19.323966600000002</v>
          </cell>
          <cell r="AT173">
            <v>133.88047942032034</v>
          </cell>
          <cell r="AU173">
            <v>0</v>
          </cell>
          <cell r="AW173">
            <v>63.148545077137236</v>
          </cell>
          <cell r="AX173">
            <v>0</v>
          </cell>
        </row>
        <row r="174"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21205.872368517652</v>
          </cell>
          <cell r="V174"/>
          <cell r="W174">
            <v>0</v>
          </cell>
          <cell r="X174">
            <v>0</v>
          </cell>
          <cell r="Y174">
            <v>0</v>
          </cell>
          <cell r="Z174"/>
          <cell r="AA174">
            <v>0</v>
          </cell>
          <cell r="AB174">
            <v>0</v>
          </cell>
          <cell r="AC174">
            <v>988.83933341490786</v>
          </cell>
          <cell r="AD174">
            <v>1493.9678017293536</v>
          </cell>
          <cell r="AE174">
            <v>206.77985978735606</v>
          </cell>
          <cell r="AF174">
            <v>0</v>
          </cell>
          <cell r="AH174">
            <v>249.72595634349193</v>
          </cell>
          <cell r="AI174">
            <v>0</v>
          </cell>
          <cell r="AK174">
            <v>261.65200467571259</v>
          </cell>
          <cell r="AL174">
            <v>0</v>
          </cell>
          <cell r="AN174">
            <v>136.18455916075749</v>
          </cell>
          <cell r="AO174">
            <v>0</v>
          </cell>
          <cell r="AQ174">
            <v>65.961235315382794</v>
          </cell>
          <cell r="AR174">
            <v>0</v>
          </cell>
          <cell r="AT174">
            <v>127.29001511917984</v>
          </cell>
          <cell r="AU174">
            <v>0</v>
          </cell>
          <cell r="AW174">
            <v>63.815302687057624</v>
          </cell>
          <cell r="AX174">
            <v>0</v>
          </cell>
        </row>
        <row r="175"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1</v>
          </cell>
          <cell r="S175">
            <v>7392.2310875567</v>
          </cell>
          <cell r="U175">
            <v>312.88391847490385</v>
          </cell>
          <cell r="V175"/>
          <cell r="W175">
            <v>0</v>
          </cell>
          <cell r="X175">
            <v>0</v>
          </cell>
          <cell r="Y175">
            <v>542.4639640286714</v>
          </cell>
          <cell r="Z175"/>
          <cell r="AA175">
            <v>3811.1745766482672</v>
          </cell>
          <cell r="AB175">
            <v>1007.3677414892687</v>
          </cell>
          <cell r="AC175">
            <v>1957.6579866913721</v>
          </cell>
          <cell r="AD175">
            <v>952.18111348210857</v>
          </cell>
          <cell r="AE175">
            <v>253.79559344136993</v>
          </cell>
          <cell r="AF175">
            <v>0</v>
          </cell>
          <cell r="AH175">
            <v>299.85918245111566</v>
          </cell>
          <cell r="AI175">
            <v>3757.3840385024223</v>
          </cell>
          <cell r="AK175">
            <v>314.1999342756028</v>
          </cell>
          <cell r="AL175">
            <v>0</v>
          </cell>
          <cell r="AN175">
            <v>149.09893932882818</v>
          </cell>
          <cell r="AO175">
            <v>0</v>
          </cell>
          <cell r="AQ175">
            <v>70.464078559636903</v>
          </cell>
          <cell r="AR175">
            <v>20.605486199999998</v>
          </cell>
          <cell r="AT175">
            <v>139.13578215632674</v>
          </cell>
          <cell r="AU175">
            <v>3949.4650836561086</v>
          </cell>
          <cell r="AW175">
            <v>80.877523551507238</v>
          </cell>
          <cell r="AX175">
            <v>0</v>
          </cell>
        </row>
        <row r="176">
          <cell r="I176">
            <v>9.9</v>
          </cell>
          <cell r="J176">
            <v>5741.5619417643729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/>
          <cell r="W176">
            <v>0</v>
          </cell>
          <cell r="X176">
            <v>0</v>
          </cell>
          <cell r="Y176">
            <v>0</v>
          </cell>
          <cell r="Z176"/>
          <cell r="AA176">
            <v>0</v>
          </cell>
          <cell r="AB176">
            <v>0</v>
          </cell>
          <cell r="AC176">
            <v>0</v>
          </cell>
          <cell r="AD176">
            <v>600.81198830552398</v>
          </cell>
          <cell r="AE176">
            <v>94.43378304313336</v>
          </cell>
          <cell r="AF176">
            <v>0</v>
          </cell>
          <cell r="AH176">
            <v>164.69565160645897</v>
          </cell>
          <cell r="AI176">
            <v>0</v>
          </cell>
          <cell r="AK176">
            <v>85.522569153203989</v>
          </cell>
          <cell r="AL176">
            <v>0</v>
          </cell>
          <cell r="AN176">
            <v>77.168991502675269</v>
          </cell>
          <cell r="AO176">
            <v>0</v>
          </cell>
          <cell r="AQ176">
            <v>114.23216904794364</v>
          </cell>
          <cell r="AR176">
            <v>20.605486199999998</v>
          </cell>
          <cell r="AT176">
            <v>117.81904756011804</v>
          </cell>
          <cell r="AU176">
            <v>0</v>
          </cell>
          <cell r="AW176">
            <v>186.43229164545758</v>
          </cell>
          <cell r="AX176">
            <v>0</v>
          </cell>
        </row>
        <row r="177">
          <cell r="I177">
            <v>16</v>
          </cell>
          <cell r="J177">
            <v>8584.2906490312089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55.675381971807987</v>
          </cell>
          <cell r="V177"/>
          <cell r="W177">
            <v>0</v>
          </cell>
          <cell r="X177">
            <v>0</v>
          </cell>
          <cell r="Y177">
            <v>0</v>
          </cell>
          <cell r="Z177"/>
          <cell r="AA177">
            <v>0</v>
          </cell>
          <cell r="AB177">
            <v>0</v>
          </cell>
          <cell r="AC177">
            <v>0</v>
          </cell>
          <cell r="AD177">
            <v>1809.8991420230122</v>
          </cell>
          <cell r="AE177">
            <v>218.8366539500102</v>
          </cell>
          <cell r="AF177">
            <v>0</v>
          </cell>
          <cell r="AH177">
            <v>293.70984678688399</v>
          </cell>
          <cell r="AI177">
            <v>2581.3312186349567</v>
          </cell>
          <cell r="AK177">
            <v>364.69237551859214</v>
          </cell>
          <cell r="AL177">
            <v>0</v>
          </cell>
          <cell r="AN177">
            <v>200.31082217688231</v>
          </cell>
          <cell r="AO177">
            <v>0</v>
          </cell>
          <cell r="AQ177">
            <v>233.85323677229661</v>
          </cell>
          <cell r="AR177">
            <v>0</v>
          </cell>
          <cell r="AT177">
            <v>278.72226634903535</v>
          </cell>
          <cell r="AU177">
            <v>715.85011862774854</v>
          </cell>
          <cell r="AW177">
            <v>127.01222515318118</v>
          </cell>
          <cell r="AX177">
            <v>0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/>
          <cell r="W178">
            <v>0</v>
          </cell>
          <cell r="X178">
            <v>0</v>
          </cell>
          <cell r="Y178">
            <v>0</v>
          </cell>
          <cell r="Z178"/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8830.237688871679</v>
          </cell>
          <cell r="V179"/>
          <cell r="W179">
            <v>0</v>
          </cell>
          <cell r="X179">
            <v>0</v>
          </cell>
          <cell r="Y179">
            <v>0</v>
          </cell>
          <cell r="Z179"/>
          <cell r="AA179">
            <v>0</v>
          </cell>
          <cell r="AB179">
            <v>0</v>
          </cell>
          <cell r="AC179">
            <v>0</v>
          </cell>
          <cell r="AD179">
            <v>1622.5838698139401</v>
          </cell>
          <cell r="AE179">
            <v>285.60590283188384</v>
          </cell>
          <cell r="AF179">
            <v>14874.732779586999</v>
          </cell>
          <cell r="AH179">
            <v>390.32326750718556</v>
          </cell>
          <cell r="AI179">
            <v>4919.5950924672561</v>
          </cell>
          <cell r="AK179">
            <v>457.79539128399068</v>
          </cell>
          <cell r="AL179">
            <v>0</v>
          </cell>
          <cell r="AN179">
            <v>190.64462400592069</v>
          </cell>
          <cell r="AO179">
            <v>0</v>
          </cell>
          <cell r="AQ179">
            <v>292.3226339843186</v>
          </cell>
          <cell r="AR179">
            <v>0</v>
          </cell>
          <cell r="AT179">
            <v>231.42810175412231</v>
          </cell>
          <cell r="AU179">
            <v>2814.1836428805891</v>
          </cell>
          <cell r="AW179">
            <v>143.02162076665977</v>
          </cell>
          <cell r="AX179">
            <v>0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6</v>
          </cell>
          <cell r="S180">
            <v>483.31755361831847</v>
          </cell>
          <cell r="U180">
            <v>0</v>
          </cell>
          <cell r="V180"/>
          <cell r="W180">
            <v>0</v>
          </cell>
          <cell r="X180">
            <v>2.1465698102358663</v>
          </cell>
          <cell r="Y180">
            <v>0</v>
          </cell>
          <cell r="Z180"/>
          <cell r="AA180">
            <v>0</v>
          </cell>
          <cell r="AB180">
            <v>0</v>
          </cell>
          <cell r="AC180">
            <v>0</v>
          </cell>
          <cell r="AD180">
            <v>486.83077501775637</v>
          </cell>
          <cell r="AE180">
            <v>86.443035780007833</v>
          </cell>
          <cell r="AF180">
            <v>0</v>
          </cell>
          <cell r="AH180">
            <v>120.14218698074031</v>
          </cell>
          <cell r="AI180">
            <v>0</v>
          </cell>
          <cell r="AK180">
            <v>78.018301012424018</v>
          </cell>
          <cell r="AL180">
            <v>0</v>
          </cell>
          <cell r="AN180">
            <v>64.015527193052435</v>
          </cell>
          <cell r="AO180">
            <v>0</v>
          </cell>
          <cell r="AQ180">
            <v>55.319784965168807</v>
          </cell>
          <cell r="AR180">
            <v>0</v>
          </cell>
          <cell r="AT180">
            <v>78.644690031445961</v>
          </cell>
          <cell r="AU180">
            <v>0</v>
          </cell>
          <cell r="AW180">
            <v>184.43633026280074</v>
          </cell>
          <cell r="AX180">
            <v>0</v>
          </cell>
        </row>
        <row r="181"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/>
          <cell r="W181">
            <v>0</v>
          </cell>
          <cell r="X181">
            <v>0</v>
          </cell>
          <cell r="Y181">
            <v>0</v>
          </cell>
          <cell r="Z181"/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T181">
            <v>0</v>
          </cell>
          <cell r="AU181">
            <v>0</v>
          </cell>
          <cell r="AW181">
            <v>0</v>
          </cell>
          <cell r="AX181">
            <v>0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/>
          <cell r="W182">
            <v>0</v>
          </cell>
          <cell r="X182">
            <v>0</v>
          </cell>
          <cell r="Y182">
            <v>0</v>
          </cell>
          <cell r="Z182"/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</row>
        <row r="183"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1</v>
          </cell>
          <cell r="S183">
            <v>5543.3143099058398</v>
          </cell>
          <cell r="U183">
            <v>13479.914949861221</v>
          </cell>
          <cell r="V183"/>
          <cell r="W183">
            <v>0</v>
          </cell>
          <cell r="X183">
            <v>0</v>
          </cell>
          <cell r="Y183">
            <v>0</v>
          </cell>
          <cell r="Z183"/>
          <cell r="AA183">
            <v>0</v>
          </cell>
          <cell r="AB183">
            <v>0</v>
          </cell>
          <cell r="AC183">
            <v>0</v>
          </cell>
          <cell r="AD183">
            <v>2653.8654584196347</v>
          </cell>
          <cell r="AE183">
            <v>169.81309339741193</v>
          </cell>
          <cell r="AF183">
            <v>352.16728040695443</v>
          </cell>
          <cell r="AH183">
            <v>211.69671960875121</v>
          </cell>
          <cell r="AI183">
            <v>0</v>
          </cell>
          <cell r="AK183">
            <v>351.24098113888738</v>
          </cell>
          <cell r="AL183">
            <v>0</v>
          </cell>
          <cell r="AN183">
            <v>132.75947329872042</v>
          </cell>
          <cell r="AO183">
            <v>0</v>
          </cell>
          <cell r="AQ183">
            <v>146.1613169921593</v>
          </cell>
          <cell r="AR183">
            <v>0</v>
          </cell>
          <cell r="AT183">
            <v>232.16032966965076</v>
          </cell>
          <cell r="AU183">
            <v>1706.8474265994539</v>
          </cell>
          <cell r="AW183">
            <v>184.43633026280074</v>
          </cell>
          <cell r="AX183">
            <v>0</v>
          </cell>
        </row>
        <row r="184"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/>
          <cell r="W184">
            <v>0</v>
          </cell>
          <cell r="X184">
            <v>0</v>
          </cell>
          <cell r="Y184">
            <v>0</v>
          </cell>
          <cell r="Z184"/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/>
          <cell r="W185">
            <v>0</v>
          </cell>
          <cell r="X185">
            <v>0</v>
          </cell>
          <cell r="Y185">
            <v>0</v>
          </cell>
          <cell r="Z185"/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T185">
            <v>0</v>
          </cell>
          <cell r="AU185">
            <v>0</v>
          </cell>
          <cell r="AW185">
            <v>0</v>
          </cell>
          <cell r="AX185">
            <v>0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/>
          <cell r="W186">
            <v>0</v>
          </cell>
          <cell r="X186">
            <v>0</v>
          </cell>
          <cell r="Y186">
            <v>0</v>
          </cell>
          <cell r="Z186"/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2.4740542054058649E-3</v>
          </cell>
          <cell r="AF186">
            <v>0</v>
          </cell>
          <cell r="AH186">
            <v>0</v>
          </cell>
          <cell r="AI186">
            <v>0</v>
          </cell>
          <cell r="AK186">
            <v>0</v>
          </cell>
          <cell r="AL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/>
          <cell r="W187">
            <v>0</v>
          </cell>
          <cell r="X187">
            <v>0</v>
          </cell>
          <cell r="Y187">
            <v>0</v>
          </cell>
          <cell r="Z187"/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T187">
            <v>0</v>
          </cell>
          <cell r="AU187">
            <v>0</v>
          </cell>
          <cell r="AW187">
            <v>0</v>
          </cell>
          <cell r="AX187">
            <v>0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/>
          <cell r="W188">
            <v>0</v>
          </cell>
          <cell r="X188">
            <v>0</v>
          </cell>
          <cell r="Y188">
            <v>0</v>
          </cell>
          <cell r="Z188"/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0</v>
          </cell>
          <cell r="AU188">
            <v>0</v>
          </cell>
          <cell r="AW188">
            <v>0</v>
          </cell>
          <cell r="AX188">
            <v>0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/>
          <cell r="W189">
            <v>0</v>
          </cell>
          <cell r="X189">
            <v>0</v>
          </cell>
          <cell r="Y189">
            <v>0</v>
          </cell>
          <cell r="Z189"/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</row>
        <row r="190"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/>
          <cell r="W190">
            <v>0</v>
          </cell>
          <cell r="X190">
            <v>0</v>
          </cell>
          <cell r="Y190">
            <v>0</v>
          </cell>
          <cell r="Z190"/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</row>
        <row r="191"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/>
          <cell r="W191">
            <v>0</v>
          </cell>
          <cell r="X191">
            <v>0</v>
          </cell>
          <cell r="Y191">
            <v>0</v>
          </cell>
          <cell r="Z191"/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W191">
            <v>0</v>
          </cell>
          <cell r="AX191">
            <v>0</v>
          </cell>
        </row>
        <row r="192"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/>
          <cell r="W192">
            <v>0</v>
          </cell>
          <cell r="X192">
            <v>0</v>
          </cell>
          <cell r="Y192">
            <v>0</v>
          </cell>
          <cell r="Z192"/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454.72108416307685</v>
          </cell>
          <cell r="AF192">
            <v>0</v>
          </cell>
          <cell r="AH192">
            <v>741.68851251314095</v>
          </cell>
          <cell r="AI192">
            <v>0</v>
          </cell>
          <cell r="AK192">
            <v>610.8355127320923</v>
          </cell>
          <cell r="AL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T192">
            <v>319.67691085591161</v>
          </cell>
          <cell r="AU192">
            <v>0</v>
          </cell>
          <cell r="AW192">
            <v>0</v>
          </cell>
          <cell r="AX192">
            <v>0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/>
          <cell r="W193">
            <v>0</v>
          </cell>
          <cell r="X193">
            <v>0</v>
          </cell>
          <cell r="Y193">
            <v>0</v>
          </cell>
          <cell r="Z193"/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190.79061341632988</v>
          </cell>
          <cell r="AF193">
            <v>0</v>
          </cell>
          <cell r="AH193">
            <v>290.74948916515837</v>
          </cell>
          <cell r="AI193">
            <v>0</v>
          </cell>
          <cell r="AK193">
            <v>204.1555035312102</v>
          </cell>
          <cell r="AL193">
            <v>0</v>
          </cell>
          <cell r="AN193">
            <v>116.04666518546276</v>
          </cell>
          <cell r="AO193">
            <v>0</v>
          </cell>
          <cell r="AQ193">
            <v>0</v>
          </cell>
          <cell r="AR193">
            <v>0</v>
          </cell>
          <cell r="AT193">
            <v>186.09129502760808</v>
          </cell>
          <cell r="AU193">
            <v>0</v>
          </cell>
          <cell r="AW193">
            <v>0</v>
          </cell>
          <cell r="AX193">
            <v>0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/>
          <cell r="W194">
            <v>0</v>
          </cell>
          <cell r="X194">
            <v>0</v>
          </cell>
          <cell r="Y194">
            <v>0</v>
          </cell>
          <cell r="Z194"/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51.220190741760831</v>
          </cell>
          <cell r="AF194">
            <v>0</v>
          </cell>
          <cell r="AH194">
            <v>61.968429542196461</v>
          </cell>
          <cell r="AI194">
            <v>0</v>
          </cell>
          <cell r="AK194">
            <v>35.432018750601188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38.421864630327121</v>
          </cell>
          <cell r="AU194">
            <v>0</v>
          </cell>
          <cell r="AW194">
            <v>18.119813214430302</v>
          </cell>
          <cell r="AX194">
            <v>0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/>
          <cell r="W195">
            <v>0</v>
          </cell>
          <cell r="X195">
            <v>0</v>
          </cell>
          <cell r="Y195">
            <v>0</v>
          </cell>
          <cell r="Z195"/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/>
          <cell r="W196">
            <v>0</v>
          </cell>
          <cell r="X196">
            <v>0</v>
          </cell>
          <cell r="Y196">
            <v>0</v>
          </cell>
          <cell r="Z196"/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T196">
            <v>0</v>
          </cell>
          <cell r="AU196">
            <v>0</v>
          </cell>
          <cell r="AW196">
            <v>0</v>
          </cell>
          <cell r="AX196">
            <v>0</v>
          </cell>
        </row>
        <row r="197"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/>
          <cell r="W197">
            <v>0</v>
          </cell>
          <cell r="X197">
            <v>0</v>
          </cell>
          <cell r="Y197">
            <v>0</v>
          </cell>
          <cell r="Z197"/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  <cell r="AW197">
            <v>0</v>
          </cell>
          <cell r="AX197">
            <v>0</v>
          </cell>
        </row>
        <row r="198"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/>
          <cell r="W198">
            <v>0</v>
          </cell>
          <cell r="X198">
            <v>0</v>
          </cell>
          <cell r="Y198">
            <v>0</v>
          </cell>
          <cell r="Z198"/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</row>
        <row r="199">
          <cell r="I199">
            <v>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/>
          <cell r="W199">
            <v>0</v>
          </cell>
          <cell r="X199">
            <v>0</v>
          </cell>
          <cell r="Y199">
            <v>0</v>
          </cell>
          <cell r="Z199"/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46.068659712404099</v>
          </cell>
          <cell r="AF199">
            <v>0</v>
          </cell>
          <cell r="AH199">
            <v>48.925973641158578</v>
          </cell>
          <cell r="AI199">
            <v>0</v>
          </cell>
          <cell r="AK199">
            <v>22.313697520928265</v>
          </cell>
          <cell r="AL199">
            <v>0</v>
          </cell>
          <cell r="AN199">
            <v>28.65895693375586</v>
          </cell>
          <cell r="AO199">
            <v>0</v>
          </cell>
          <cell r="AQ199">
            <v>0</v>
          </cell>
          <cell r="AR199">
            <v>0</v>
          </cell>
          <cell r="AT199">
            <v>13.058040995621697</v>
          </cell>
          <cell r="AU199">
            <v>0</v>
          </cell>
          <cell r="AW199">
            <v>0</v>
          </cell>
          <cell r="AX199">
            <v>0</v>
          </cell>
        </row>
        <row r="200"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/>
          <cell r="W200">
            <v>0</v>
          </cell>
          <cell r="X200">
            <v>153.49128212976893</v>
          </cell>
          <cell r="Y200">
            <v>1055.6706979051455</v>
          </cell>
          <cell r="Z200"/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430.09161387458335</v>
          </cell>
          <cell r="AF200">
            <v>0</v>
          </cell>
          <cell r="AH200">
            <v>704.86294416155238</v>
          </cell>
          <cell r="AI200">
            <v>0</v>
          </cell>
          <cell r="AK200">
            <v>609.57690160425739</v>
          </cell>
          <cell r="AL200">
            <v>0</v>
          </cell>
          <cell r="AN200">
            <v>0</v>
          </cell>
          <cell r="AO200">
            <v>0</v>
          </cell>
          <cell r="AQ200">
            <v>218.86472282667671</v>
          </cell>
          <cell r="AR200">
            <v>0</v>
          </cell>
          <cell r="AT200">
            <v>286.80844471916237</v>
          </cell>
          <cell r="AU200">
            <v>0</v>
          </cell>
          <cell r="AW200">
            <v>0</v>
          </cell>
          <cell r="AX200">
            <v>0</v>
          </cell>
        </row>
        <row r="201"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/>
          <cell r="W201">
            <v>0</v>
          </cell>
          <cell r="X201">
            <v>22.227384164055259</v>
          </cell>
          <cell r="Y201">
            <v>0</v>
          </cell>
          <cell r="Z201"/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323.77807226747711</v>
          </cell>
          <cell r="AF201">
            <v>0</v>
          </cell>
          <cell r="AH201">
            <v>454.89918193382948</v>
          </cell>
          <cell r="AI201">
            <v>0</v>
          </cell>
          <cell r="AK201">
            <v>547.50131884064126</v>
          </cell>
          <cell r="AL201">
            <v>0</v>
          </cell>
          <cell r="AN201">
            <v>186.23364705591104</v>
          </cell>
          <cell r="AO201">
            <v>0</v>
          </cell>
          <cell r="AQ201">
            <v>98.941812127749259</v>
          </cell>
          <cell r="AR201">
            <v>0</v>
          </cell>
          <cell r="AT201">
            <v>234.91889578159507</v>
          </cell>
          <cell r="AU201">
            <v>0</v>
          </cell>
          <cell r="AW201">
            <v>0</v>
          </cell>
          <cell r="AX201">
            <v>0</v>
          </cell>
        </row>
        <row r="202"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/>
          <cell r="W202">
            <v>6</v>
          </cell>
          <cell r="X202">
            <v>440.57288073581003</v>
          </cell>
          <cell r="Y202">
            <v>0</v>
          </cell>
          <cell r="Z202"/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297.77636292708985</v>
          </cell>
          <cell r="AF202">
            <v>0</v>
          </cell>
          <cell r="AH202">
            <v>573.36085687710136</v>
          </cell>
          <cell r="AI202">
            <v>0</v>
          </cell>
          <cell r="AK202">
            <v>247.03479876144331</v>
          </cell>
          <cell r="AL202">
            <v>0</v>
          </cell>
          <cell r="AN202">
            <v>169.24387227042521</v>
          </cell>
          <cell r="AO202">
            <v>1654.7042563260297</v>
          </cell>
          <cell r="AQ202">
            <v>119.94714023874553</v>
          </cell>
          <cell r="AR202">
            <v>0</v>
          </cell>
          <cell r="AT202">
            <v>179.8175182931152</v>
          </cell>
          <cell r="AU202">
            <v>0</v>
          </cell>
          <cell r="AW202">
            <v>0</v>
          </cell>
          <cell r="AX202">
            <v>0</v>
          </cell>
        </row>
        <row r="203"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/>
          <cell r="W203">
            <v>3</v>
          </cell>
          <cell r="X203">
            <v>361.90756491504925</v>
          </cell>
          <cell r="Y203">
            <v>0</v>
          </cell>
          <cell r="Z203"/>
          <cell r="AA203">
            <v>0</v>
          </cell>
          <cell r="AB203">
            <v>0</v>
          </cell>
          <cell r="AC203">
            <v>877.68251805686134</v>
          </cell>
          <cell r="AD203">
            <v>0</v>
          </cell>
          <cell r="AE203">
            <v>323.58965322690381</v>
          </cell>
          <cell r="AF203">
            <v>0</v>
          </cell>
          <cell r="AH203">
            <v>454.66614417503911</v>
          </cell>
          <cell r="AI203">
            <v>0</v>
          </cell>
          <cell r="AK203">
            <v>530.89323843394777</v>
          </cell>
          <cell r="AL203">
            <v>0</v>
          </cell>
          <cell r="AN203">
            <v>179.5277080876393</v>
          </cell>
          <cell r="AO203">
            <v>0</v>
          </cell>
          <cell r="AQ203">
            <v>98.941812127749259</v>
          </cell>
          <cell r="AR203">
            <v>0</v>
          </cell>
          <cell r="AT203">
            <v>229.74257394823968</v>
          </cell>
          <cell r="AU203">
            <v>0</v>
          </cell>
          <cell r="AW203">
            <v>0</v>
          </cell>
          <cell r="AX203">
            <v>0</v>
          </cell>
        </row>
        <row r="204"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R204">
            <v>1</v>
          </cell>
          <cell r="S204">
            <v>3823.5351129853602</v>
          </cell>
          <cell r="U204">
            <v>0</v>
          </cell>
          <cell r="V204"/>
          <cell r="W204">
            <v>0</v>
          </cell>
          <cell r="X204">
            <v>44.708663682009387</v>
          </cell>
          <cell r="Y204">
            <v>0</v>
          </cell>
          <cell r="Z204"/>
          <cell r="AA204">
            <v>0</v>
          </cell>
          <cell r="AB204">
            <v>0</v>
          </cell>
          <cell r="AC204">
            <v>1197.6260624464865</v>
          </cell>
          <cell r="AD204">
            <v>0</v>
          </cell>
          <cell r="AE204">
            <v>259.31682263898614</v>
          </cell>
          <cell r="AF204">
            <v>0</v>
          </cell>
          <cell r="AH204">
            <v>350.53630385809657</v>
          </cell>
          <cell r="AI204">
            <v>1285.7224594662948</v>
          </cell>
          <cell r="AK204">
            <v>438.00105507251305</v>
          </cell>
          <cell r="AL204">
            <v>0</v>
          </cell>
          <cell r="AN204">
            <v>148.98691764472883</v>
          </cell>
          <cell r="AO204">
            <v>0</v>
          </cell>
          <cell r="AQ204">
            <v>79.153449702199396</v>
          </cell>
          <cell r="AR204">
            <v>0</v>
          </cell>
          <cell r="AT204">
            <v>186.96012202314108</v>
          </cell>
          <cell r="AU204">
            <v>0</v>
          </cell>
          <cell r="AW204">
            <v>0</v>
          </cell>
          <cell r="AX204">
            <v>0</v>
          </cell>
        </row>
        <row r="205"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1</v>
          </cell>
          <cell r="S205">
            <v>20435.709391246062</v>
          </cell>
          <cell r="U205">
            <v>0</v>
          </cell>
          <cell r="V205"/>
          <cell r="W205">
            <v>0</v>
          </cell>
          <cell r="X205">
            <v>56.549419732020127</v>
          </cell>
          <cell r="Y205">
            <v>0</v>
          </cell>
          <cell r="Z205"/>
          <cell r="AA205">
            <v>0</v>
          </cell>
          <cell r="AB205">
            <v>0</v>
          </cell>
          <cell r="AC205">
            <v>0</v>
          </cell>
          <cell r="AD205">
            <v>734.72769808449266</v>
          </cell>
          <cell r="AE205">
            <v>173.0252149111553</v>
          </cell>
          <cell r="AF205">
            <v>0</v>
          </cell>
          <cell r="AH205">
            <v>190.6065330224925</v>
          </cell>
          <cell r="AI205">
            <v>1607.5847351996208</v>
          </cell>
          <cell r="AK205">
            <v>347.57607156084669</v>
          </cell>
          <cell r="AL205">
            <v>0</v>
          </cell>
          <cell r="AN205">
            <v>135.57212084364016</v>
          </cell>
          <cell r="AO205">
            <v>0</v>
          </cell>
          <cell r="AQ205">
            <v>65.961235315382794</v>
          </cell>
          <cell r="AR205">
            <v>0</v>
          </cell>
          <cell r="AT205">
            <v>162.82689024297548</v>
          </cell>
          <cell r="AU205">
            <v>0</v>
          </cell>
          <cell r="AW205">
            <v>0</v>
          </cell>
          <cell r="AX205">
            <v>0</v>
          </cell>
        </row>
        <row r="206"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/>
          <cell r="W206">
            <v>0</v>
          </cell>
          <cell r="X206">
            <v>0</v>
          </cell>
          <cell r="Y206">
            <v>0</v>
          </cell>
          <cell r="Z206"/>
          <cell r="AA206">
            <v>0</v>
          </cell>
          <cell r="AB206">
            <v>0</v>
          </cell>
          <cell r="AC206">
            <v>2862.6301701267284</v>
          </cell>
          <cell r="AD206">
            <v>0</v>
          </cell>
          <cell r="AE206">
            <v>83.07505612416243</v>
          </cell>
          <cell r="AF206">
            <v>0</v>
          </cell>
          <cell r="AH206">
            <v>120.85834889421265</v>
          </cell>
          <cell r="AI206">
            <v>0</v>
          </cell>
          <cell r="AK206">
            <v>50.255603364884891</v>
          </cell>
          <cell r="AL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T206">
            <v>19.771277081972755</v>
          </cell>
          <cell r="AU206">
            <v>0</v>
          </cell>
          <cell r="AW206">
            <v>0</v>
          </cell>
          <cell r="AX206">
            <v>0</v>
          </cell>
        </row>
        <row r="207"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/>
          <cell r="W207">
            <v>0</v>
          </cell>
          <cell r="X207">
            <v>0</v>
          </cell>
          <cell r="Y207">
            <v>0</v>
          </cell>
          <cell r="Z207"/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T207">
            <v>11.79923975269347</v>
          </cell>
          <cell r="AU207">
            <v>0</v>
          </cell>
          <cell r="AW207">
            <v>18.844525374458165</v>
          </cell>
          <cell r="AX207">
            <v>0</v>
          </cell>
        </row>
        <row r="208"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/>
          <cell r="W208">
            <v>0</v>
          </cell>
          <cell r="X208">
            <v>0</v>
          </cell>
          <cell r="Y208">
            <v>0</v>
          </cell>
          <cell r="Z208"/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39.854034337902583</v>
          </cell>
          <cell r="AF208">
            <v>0</v>
          </cell>
          <cell r="AH208">
            <v>52.004483831338867</v>
          </cell>
          <cell r="AI208">
            <v>0</v>
          </cell>
          <cell r="AK208">
            <v>40.915006131433771</v>
          </cell>
          <cell r="AL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T208">
            <v>36.676348877749327</v>
          </cell>
          <cell r="AU208">
            <v>0</v>
          </cell>
          <cell r="AW208">
            <v>27.907064838681809</v>
          </cell>
          <cell r="AX208">
            <v>0</v>
          </cell>
        </row>
        <row r="209"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/>
          <cell r="W209">
            <v>0</v>
          </cell>
          <cell r="X209">
            <v>36.860989106953532</v>
          </cell>
          <cell r="Y209">
            <v>0</v>
          </cell>
          <cell r="Z209"/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93.124297043027042</v>
          </cell>
          <cell r="AF209">
            <v>0</v>
          </cell>
          <cell r="AH209">
            <v>120.85834889421265</v>
          </cell>
          <cell r="AI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19.771277081972755</v>
          </cell>
          <cell r="AU209">
            <v>0</v>
          </cell>
          <cell r="AW209">
            <v>0</v>
          </cell>
          <cell r="AX209">
            <v>0</v>
          </cell>
        </row>
        <row r="210"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/>
          <cell r="W210">
            <v>0</v>
          </cell>
          <cell r="X210">
            <v>0</v>
          </cell>
          <cell r="Y210">
            <v>0</v>
          </cell>
          <cell r="Z210"/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55.317016831563706</v>
          </cell>
          <cell r="AF210">
            <v>0</v>
          </cell>
          <cell r="AH210">
            <v>73.078243450016657</v>
          </cell>
          <cell r="AI210">
            <v>0</v>
          </cell>
          <cell r="AK210">
            <v>39.334542562527318</v>
          </cell>
          <cell r="AL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T210">
            <v>9.8614252960765771</v>
          </cell>
          <cell r="AU210">
            <v>0</v>
          </cell>
          <cell r="AW210">
            <v>0</v>
          </cell>
          <cell r="AX210">
            <v>0</v>
          </cell>
        </row>
        <row r="211"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/>
          <cell r="W211">
            <v>0</v>
          </cell>
          <cell r="X211">
            <v>0</v>
          </cell>
          <cell r="Y211">
            <v>1258.7001004483097</v>
          </cell>
          <cell r="Z211"/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234.83426435119529</v>
          </cell>
          <cell r="AF211">
            <v>0</v>
          </cell>
          <cell r="AH211">
            <v>355.27199472401503</v>
          </cell>
          <cell r="AI211">
            <v>0</v>
          </cell>
          <cell r="AK211">
            <v>291.88442736632646</v>
          </cell>
          <cell r="AL211">
            <v>0</v>
          </cell>
          <cell r="AN211">
            <v>148.75500964976717</v>
          </cell>
          <cell r="AO211">
            <v>0</v>
          </cell>
          <cell r="AQ211">
            <v>89.960355179059135</v>
          </cell>
          <cell r="AR211">
            <v>0</v>
          </cell>
          <cell r="AT211">
            <v>129.72769086525304</v>
          </cell>
          <cell r="AU211">
            <v>341.30103163853278</v>
          </cell>
          <cell r="AW211">
            <v>0</v>
          </cell>
          <cell r="AX211">
            <v>0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/>
          <cell r="W212">
            <v>0</v>
          </cell>
          <cell r="X212">
            <v>0</v>
          </cell>
          <cell r="Y212">
            <v>0</v>
          </cell>
          <cell r="Z212"/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50.356859347754401</v>
          </cell>
          <cell r="AF212">
            <v>0</v>
          </cell>
          <cell r="AH212">
            <v>52.004483831338867</v>
          </cell>
          <cell r="AI212">
            <v>0</v>
          </cell>
          <cell r="AK212">
            <v>41.88574554546431</v>
          </cell>
          <cell r="AL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T212">
            <v>0.28321488959834151</v>
          </cell>
          <cell r="AU212">
            <v>0</v>
          </cell>
          <cell r="AW212">
            <v>0</v>
          </cell>
          <cell r="AX212">
            <v>0</v>
          </cell>
        </row>
        <row r="213"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/>
          <cell r="W213">
            <v>0</v>
          </cell>
          <cell r="X213">
            <v>0</v>
          </cell>
          <cell r="Y213">
            <v>0</v>
          </cell>
          <cell r="Z213"/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68.737885799463683</v>
          </cell>
          <cell r="AF213">
            <v>0</v>
          </cell>
          <cell r="AH213">
            <v>140.94151713113857</v>
          </cell>
          <cell r="AI213">
            <v>0</v>
          </cell>
          <cell r="AK213">
            <v>50.066584629659644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19.771301113804686</v>
          </cell>
          <cell r="AU213">
            <v>0</v>
          </cell>
          <cell r="AW213">
            <v>0</v>
          </cell>
          <cell r="AX213">
            <v>0</v>
          </cell>
        </row>
        <row r="214"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/>
          <cell r="W214">
            <v>0</v>
          </cell>
          <cell r="X214">
            <v>0</v>
          </cell>
          <cell r="Y214">
            <v>0</v>
          </cell>
          <cell r="Z214"/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390.33847504504604</v>
          </cell>
          <cell r="AF214">
            <v>0</v>
          </cell>
          <cell r="AH214">
            <v>620.41262887163259</v>
          </cell>
          <cell r="AI214">
            <v>0</v>
          </cell>
          <cell r="AK214">
            <v>575.45004834420865</v>
          </cell>
          <cell r="AL214">
            <v>0</v>
          </cell>
          <cell r="AN214">
            <v>271.31080726994344</v>
          </cell>
          <cell r="AO214">
            <v>0</v>
          </cell>
          <cell r="AQ214">
            <v>149.88538452814583</v>
          </cell>
          <cell r="AR214">
            <v>0</v>
          </cell>
          <cell r="AT214">
            <v>252.38051312156597</v>
          </cell>
          <cell r="AU214">
            <v>0</v>
          </cell>
          <cell r="AW214">
            <v>0</v>
          </cell>
          <cell r="AX214">
            <v>0</v>
          </cell>
        </row>
        <row r="215"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/>
          <cell r="W215">
            <v>0</v>
          </cell>
          <cell r="X215">
            <v>0</v>
          </cell>
          <cell r="Y215">
            <v>0</v>
          </cell>
          <cell r="Z215"/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187.94647068857452</v>
          </cell>
          <cell r="AF215">
            <v>0</v>
          </cell>
          <cell r="AH215">
            <v>201.394921118063</v>
          </cell>
          <cell r="AI215">
            <v>0</v>
          </cell>
          <cell r="AK215">
            <v>261.14611199583754</v>
          </cell>
          <cell r="AL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T215">
            <v>98.937810135742524</v>
          </cell>
          <cell r="AU215">
            <v>0</v>
          </cell>
          <cell r="AW215">
            <v>0</v>
          </cell>
          <cell r="AX215">
            <v>0</v>
          </cell>
        </row>
        <row r="216"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/>
          <cell r="W216">
            <v>0</v>
          </cell>
          <cell r="X216">
            <v>0</v>
          </cell>
          <cell r="Y216">
            <v>0</v>
          </cell>
          <cell r="Z216"/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61.08498790277315</v>
          </cell>
          <cell r="AF216">
            <v>0</v>
          </cell>
          <cell r="AH216">
            <v>60.142686975203205</v>
          </cell>
          <cell r="AI216">
            <v>0</v>
          </cell>
          <cell r="AK216">
            <v>25.856638541695908</v>
          </cell>
          <cell r="AL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T216">
            <v>9.8614099354183207</v>
          </cell>
          <cell r="AU216">
            <v>0</v>
          </cell>
          <cell r="AW216">
            <v>0</v>
          </cell>
          <cell r="AX216">
            <v>0</v>
          </cell>
        </row>
        <row r="217"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/>
          <cell r="W217">
            <v>0</v>
          </cell>
          <cell r="X217">
            <v>0</v>
          </cell>
          <cell r="Y217">
            <v>0</v>
          </cell>
          <cell r="Z217"/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101.50287500156291</v>
          </cell>
          <cell r="AF217">
            <v>0</v>
          </cell>
          <cell r="AH217">
            <v>220.35536942866483</v>
          </cell>
          <cell r="AI217">
            <v>0</v>
          </cell>
          <cell r="AK217">
            <v>230.42606906662934</v>
          </cell>
          <cell r="AL217">
            <v>0</v>
          </cell>
          <cell r="AN217">
            <v>112.07757032379568</v>
          </cell>
          <cell r="AO217">
            <v>0</v>
          </cell>
          <cell r="AQ217">
            <v>97.432801481500164</v>
          </cell>
          <cell r="AR217">
            <v>0</v>
          </cell>
          <cell r="AT217">
            <v>142.88014072649705</v>
          </cell>
          <cell r="AU217">
            <v>0</v>
          </cell>
          <cell r="AW217">
            <v>96.663229479310985</v>
          </cell>
          <cell r="AX217">
            <v>0</v>
          </cell>
        </row>
        <row r="218"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/>
          <cell r="W218">
            <v>0</v>
          </cell>
          <cell r="X218">
            <v>118.61529306238835</v>
          </cell>
          <cell r="Y218">
            <v>288.79677869231773</v>
          </cell>
          <cell r="Z218"/>
          <cell r="AA218">
            <v>0</v>
          </cell>
          <cell r="AB218">
            <v>0</v>
          </cell>
          <cell r="AC218">
            <v>0</v>
          </cell>
          <cell r="AD218">
            <v>651.63095419175409</v>
          </cell>
          <cell r="AE218">
            <v>687.5689269980968</v>
          </cell>
          <cell r="AF218">
            <v>2309.4966732716111</v>
          </cell>
          <cell r="AH218">
            <v>852.73376605057626</v>
          </cell>
          <cell r="AI218">
            <v>3210.1358157077925</v>
          </cell>
          <cell r="AK218">
            <v>818.59852281293365</v>
          </cell>
          <cell r="AL218">
            <v>0</v>
          </cell>
          <cell r="AN218">
            <v>452.47536652234191</v>
          </cell>
          <cell r="AO218">
            <v>0</v>
          </cell>
          <cell r="AQ218">
            <v>230.86424191318989</v>
          </cell>
          <cell r="AR218">
            <v>0</v>
          </cell>
          <cell r="AT218">
            <v>728.97575593989166</v>
          </cell>
          <cell r="AU218">
            <v>0</v>
          </cell>
          <cell r="AW218">
            <v>235.73840334135744</v>
          </cell>
          <cell r="AX218">
            <v>0</v>
          </cell>
        </row>
        <row r="219"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/>
          <cell r="W219">
            <v>0</v>
          </cell>
          <cell r="X219">
            <v>0</v>
          </cell>
          <cell r="Y219">
            <v>0</v>
          </cell>
          <cell r="Z219"/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77.254161613420038</v>
          </cell>
          <cell r="AF219">
            <v>0</v>
          </cell>
          <cell r="AH219">
            <v>115.64329743466799</v>
          </cell>
          <cell r="AI219">
            <v>0</v>
          </cell>
          <cell r="AK219">
            <v>53.682635866982842</v>
          </cell>
          <cell r="AL219">
            <v>5486.1601225794993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T219">
            <v>19.771277081972755</v>
          </cell>
          <cell r="AU219">
            <v>0</v>
          </cell>
          <cell r="AW219">
            <v>0</v>
          </cell>
          <cell r="AX219">
            <v>0</v>
          </cell>
        </row>
        <row r="220">
          <cell r="I220">
            <v>0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/>
          <cell r="W220">
            <v>0</v>
          </cell>
          <cell r="X220">
            <v>0</v>
          </cell>
          <cell r="Y220">
            <v>0</v>
          </cell>
          <cell r="Z220"/>
          <cell r="AA220">
            <v>0</v>
          </cell>
          <cell r="AB220">
            <v>0</v>
          </cell>
          <cell r="AC220">
            <v>0</v>
          </cell>
          <cell r="AD220">
            <v>335.2013214676407</v>
          </cell>
          <cell r="AE220">
            <v>110.3839524567741</v>
          </cell>
          <cell r="AF220">
            <v>352.16728040695443</v>
          </cell>
          <cell r="AH220">
            <v>147.54288771672486</v>
          </cell>
          <cell r="AI220">
            <v>0</v>
          </cell>
          <cell r="AK220">
            <v>216.4953644508474</v>
          </cell>
          <cell r="AL220">
            <v>0</v>
          </cell>
          <cell r="AN220">
            <v>57.544955533841751</v>
          </cell>
          <cell r="AO220">
            <v>0</v>
          </cell>
          <cell r="AQ220">
            <v>114.23216904794364</v>
          </cell>
          <cell r="AR220">
            <v>0</v>
          </cell>
          <cell r="AT220">
            <v>75.197898812150427</v>
          </cell>
          <cell r="AU220">
            <v>4407.1628156041215</v>
          </cell>
          <cell r="AW220">
            <v>98.612223391799574</v>
          </cell>
          <cell r="AX220">
            <v>0</v>
          </cell>
        </row>
        <row r="221"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/>
          <cell r="W221">
            <v>0</v>
          </cell>
          <cell r="X221">
            <v>0</v>
          </cell>
          <cell r="Y221">
            <v>0</v>
          </cell>
          <cell r="Z221"/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53.23428105407536</v>
          </cell>
          <cell r="AF221">
            <v>0</v>
          </cell>
          <cell r="AH221">
            <v>115.64329743466799</v>
          </cell>
          <cell r="AI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19.771277081972755</v>
          </cell>
          <cell r="AU221">
            <v>0</v>
          </cell>
          <cell r="AW221">
            <v>0</v>
          </cell>
          <cell r="AX221">
            <v>0</v>
          </cell>
        </row>
        <row r="222"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U222">
            <v>469.29591946661907</v>
          </cell>
          <cell r="V222"/>
          <cell r="W222">
            <v>0</v>
          </cell>
          <cell r="X222">
            <v>0</v>
          </cell>
          <cell r="Y222">
            <v>0</v>
          </cell>
          <cell r="Z222"/>
          <cell r="AA222">
            <v>0</v>
          </cell>
          <cell r="AB222">
            <v>691.93947253388149</v>
          </cell>
          <cell r="AC222">
            <v>0</v>
          </cell>
          <cell r="AD222">
            <v>0</v>
          </cell>
          <cell r="AE222">
            <v>285.32250723809909</v>
          </cell>
          <cell r="AF222">
            <v>0</v>
          </cell>
          <cell r="AH222">
            <v>390.32326750718556</v>
          </cell>
          <cell r="AI222">
            <v>0</v>
          </cell>
          <cell r="AK222">
            <v>487.49537740688345</v>
          </cell>
          <cell r="AL222">
            <v>0</v>
          </cell>
          <cell r="AN222">
            <v>200.76067396593027</v>
          </cell>
          <cell r="AO222">
            <v>0</v>
          </cell>
          <cell r="AQ222">
            <v>98.941812127749259</v>
          </cell>
          <cell r="AR222">
            <v>0</v>
          </cell>
          <cell r="AT222">
            <v>320.3263120897879</v>
          </cell>
          <cell r="AU222">
            <v>1914.4090683877223</v>
          </cell>
          <cell r="AW222">
            <v>143.02162076665977</v>
          </cell>
          <cell r="AX222">
            <v>0</v>
          </cell>
        </row>
        <row r="223">
          <cell r="I223">
            <v>11.8</v>
          </cell>
          <cell r="J223">
            <v>5677.8891296986358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/>
          <cell r="W223">
            <v>0</v>
          </cell>
          <cell r="X223">
            <v>0</v>
          </cell>
          <cell r="Y223">
            <v>0</v>
          </cell>
          <cell r="Z223"/>
          <cell r="AA223">
            <v>0</v>
          </cell>
          <cell r="AB223">
            <v>0</v>
          </cell>
          <cell r="AC223">
            <v>0</v>
          </cell>
          <cell r="AD223">
            <v>173.18811997737316</v>
          </cell>
          <cell r="AE223">
            <v>86.443035780007833</v>
          </cell>
          <cell r="AF223">
            <v>0</v>
          </cell>
          <cell r="AH223">
            <v>120.14218698074031</v>
          </cell>
          <cell r="AI223">
            <v>3221.422943737793</v>
          </cell>
          <cell r="AK223">
            <v>76.741518410294219</v>
          </cell>
          <cell r="AL223">
            <v>0</v>
          </cell>
          <cell r="AN223">
            <v>71.32701187536864</v>
          </cell>
          <cell r="AO223">
            <v>1148.5448070087323</v>
          </cell>
          <cell r="AQ223">
            <v>55.319784965168807</v>
          </cell>
          <cell r="AR223">
            <v>0</v>
          </cell>
          <cell r="AT223">
            <v>114.19426926644365</v>
          </cell>
          <cell r="AU223">
            <v>0</v>
          </cell>
          <cell r="AW223">
            <v>180.65516284184937</v>
          </cell>
          <cell r="AX223">
            <v>0</v>
          </cell>
        </row>
        <row r="224"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/>
          <cell r="W224">
            <v>0</v>
          </cell>
          <cell r="X224">
            <v>140.61186326835374</v>
          </cell>
          <cell r="Y224">
            <v>0</v>
          </cell>
          <cell r="Z224"/>
          <cell r="AA224">
            <v>0</v>
          </cell>
          <cell r="AB224">
            <v>0</v>
          </cell>
          <cell r="AC224">
            <v>9381.7379423588063</v>
          </cell>
          <cell r="AD224">
            <v>2109.7616202417112</v>
          </cell>
          <cell r="AE224">
            <v>106.46004484722503</v>
          </cell>
          <cell r="AF224">
            <v>0</v>
          </cell>
          <cell r="AH224">
            <v>132.91597242587608</v>
          </cell>
          <cell r="AI224">
            <v>0</v>
          </cell>
          <cell r="AK224">
            <v>96.496044322568451</v>
          </cell>
          <cell r="AL224">
            <v>0</v>
          </cell>
          <cell r="AN224">
            <v>68.311243232300868</v>
          </cell>
          <cell r="AO224">
            <v>0</v>
          </cell>
          <cell r="AQ224">
            <v>32.980617657691397</v>
          </cell>
          <cell r="AR224">
            <v>0</v>
          </cell>
          <cell r="AT224">
            <v>43.626293285779226</v>
          </cell>
          <cell r="AU224">
            <v>3382.6449808026209</v>
          </cell>
          <cell r="AW224">
            <v>38.465579168771882</v>
          </cell>
          <cell r="AX224">
            <v>0</v>
          </cell>
        </row>
        <row r="225">
          <cell r="I225">
            <v>0.5</v>
          </cell>
          <cell r="J225">
            <v>857.33859195696277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/>
          <cell r="W225">
            <v>4</v>
          </cell>
          <cell r="X225">
            <v>728.58236791614559</v>
          </cell>
          <cell r="Y225">
            <v>0</v>
          </cell>
          <cell r="Z225"/>
          <cell r="AA225">
            <v>0</v>
          </cell>
          <cell r="AB225">
            <v>197.19690590536291</v>
          </cell>
          <cell r="AC225">
            <v>400.54383359414265</v>
          </cell>
          <cell r="AD225">
            <v>55.457593993294928</v>
          </cell>
          <cell r="AE225">
            <v>165.41116391265822</v>
          </cell>
          <cell r="AF225">
            <v>0</v>
          </cell>
          <cell r="AH225">
            <v>212.66555588140139</v>
          </cell>
          <cell r="AI225">
            <v>0</v>
          </cell>
          <cell r="AK225">
            <v>158.75959729993374</v>
          </cell>
          <cell r="AL225">
            <v>0</v>
          </cell>
          <cell r="AN225">
            <v>94.310142601773379</v>
          </cell>
          <cell r="AO225">
            <v>0</v>
          </cell>
          <cell r="AQ225">
            <v>52.768988252306244</v>
          </cell>
          <cell r="AR225">
            <v>0</v>
          </cell>
          <cell r="AT225">
            <v>78.040883527025315</v>
          </cell>
          <cell r="AU225">
            <v>2821.8978251399649</v>
          </cell>
          <cell r="AW225">
            <v>79.878797055444863</v>
          </cell>
          <cell r="AX225">
            <v>0</v>
          </cell>
        </row>
        <row r="226"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1</v>
          </cell>
          <cell r="S226">
            <v>7288.7816877292589</v>
          </cell>
          <cell r="U226">
            <v>173.81774176478288</v>
          </cell>
          <cell r="V226"/>
          <cell r="W226">
            <v>0</v>
          </cell>
          <cell r="X226">
            <v>60.588663998592992</v>
          </cell>
          <cell r="Y226">
            <v>0</v>
          </cell>
          <cell r="Z226"/>
          <cell r="AA226">
            <v>0</v>
          </cell>
          <cell r="AB226">
            <v>0</v>
          </cell>
          <cell r="AC226">
            <v>2807.2195824815362</v>
          </cell>
          <cell r="AD226">
            <v>435.24332519980555</v>
          </cell>
          <cell r="AE226">
            <v>106.46004484722503</v>
          </cell>
          <cell r="AF226">
            <v>0</v>
          </cell>
          <cell r="AH226">
            <v>132.91597242587608</v>
          </cell>
          <cell r="AI226">
            <v>0</v>
          </cell>
          <cell r="AK226">
            <v>93.124853889192295</v>
          </cell>
          <cell r="AL226">
            <v>0</v>
          </cell>
          <cell r="AN226">
            <v>64.567014438461243</v>
          </cell>
          <cell r="AO226">
            <v>0</v>
          </cell>
          <cell r="AQ226">
            <v>32.980617657691397</v>
          </cell>
          <cell r="AR226">
            <v>0</v>
          </cell>
          <cell r="AT226">
            <v>43.626293285779226</v>
          </cell>
          <cell r="AU226">
            <v>0</v>
          </cell>
          <cell r="AW226">
            <v>27.907064838681809</v>
          </cell>
          <cell r="AX226">
            <v>0</v>
          </cell>
        </row>
        <row r="227"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/>
          <cell r="W227">
            <v>0</v>
          </cell>
          <cell r="X227">
            <v>0</v>
          </cell>
          <cell r="Y227">
            <v>0</v>
          </cell>
          <cell r="Z227"/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91.656095609273535</v>
          </cell>
          <cell r="AF227">
            <v>0</v>
          </cell>
          <cell r="AH227">
            <v>152.88656391485003</v>
          </cell>
          <cell r="AI227">
            <v>0</v>
          </cell>
          <cell r="AK227">
            <v>77.57745813108339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19.771301113804686</v>
          </cell>
          <cell r="AU227">
            <v>0</v>
          </cell>
          <cell r="AW227">
            <v>0</v>
          </cell>
          <cell r="AX227">
            <v>0</v>
          </cell>
        </row>
        <row r="228"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156.44195923745193</v>
          </cell>
          <cell r="V228"/>
          <cell r="W228">
            <v>0</v>
          </cell>
          <cell r="X228">
            <v>48.470931198874396</v>
          </cell>
          <cell r="Y228">
            <v>0</v>
          </cell>
          <cell r="Z228"/>
          <cell r="AA228">
            <v>0</v>
          </cell>
          <cell r="AB228">
            <v>490.99162446967171</v>
          </cell>
          <cell r="AC228">
            <v>0</v>
          </cell>
          <cell r="AD228">
            <v>0</v>
          </cell>
          <cell r="AE228">
            <v>106.46004484722503</v>
          </cell>
          <cell r="AF228">
            <v>352.16728040695443</v>
          </cell>
          <cell r="AH228">
            <v>132.91597242587608</v>
          </cell>
          <cell r="AI228">
            <v>0</v>
          </cell>
          <cell r="AK228">
            <v>91.344582835785587</v>
          </cell>
          <cell r="AL228">
            <v>0</v>
          </cell>
          <cell r="AN228">
            <v>59.813520908187947</v>
          </cell>
          <cell r="AO228">
            <v>429.10855592932234</v>
          </cell>
          <cell r="AQ228">
            <v>32.980617657691397</v>
          </cell>
          <cell r="AR228">
            <v>0</v>
          </cell>
          <cell r="AT228">
            <v>43.626293285779226</v>
          </cell>
          <cell r="AU228">
            <v>0</v>
          </cell>
          <cell r="AW228">
            <v>51.805042814282956</v>
          </cell>
          <cell r="AX228">
            <v>0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4</v>
          </cell>
          <cell r="S229">
            <v>28636.50264564528</v>
          </cell>
          <cell r="U229">
            <v>0</v>
          </cell>
          <cell r="V229"/>
          <cell r="W229">
            <v>6</v>
          </cell>
          <cell r="X229">
            <v>1270.2575196744779</v>
          </cell>
          <cell r="Y229">
            <v>0</v>
          </cell>
          <cell r="Z229"/>
          <cell r="AA229">
            <v>0</v>
          </cell>
          <cell r="AB229">
            <v>0</v>
          </cell>
          <cell r="AC229">
            <v>182502.79097925118</v>
          </cell>
          <cell r="AD229">
            <v>2806.0975100730093</v>
          </cell>
          <cell r="AE229">
            <v>206.48060014236324</v>
          </cell>
          <cell r="AF229">
            <v>0</v>
          </cell>
          <cell r="AH229">
            <v>265.8319448517517</v>
          </cell>
          <cell r="AI229">
            <v>0</v>
          </cell>
          <cell r="AK229">
            <v>201.92473535792897</v>
          </cell>
          <cell r="AL229">
            <v>0</v>
          </cell>
          <cell r="AN229">
            <v>110.15949442599425</v>
          </cell>
          <cell r="AO229">
            <v>858.1913451964266</v>
          </cell>
          <cell r="AQ229">
            <v>65.961235315382794</v>
          </cell>
          <cell r="AR229">
            <v>0</v>
          </cell>
          <cell r="AT229">
            <v>97.681528674260917</v>
          </cell>
          <cell r="AU229">
            <v>0</v>
          </cell>
          <cell r="AW229">
            <v>55.195831147079431</v>
          </cell>
          <cell r="AX229">
            <v>0</v>
          </cell>
        </row>
        <row r="230"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156.44195923745193</v>
          </cell>
          <cell r="V230"/>
          <cell r="W230">
            <v>0</v>
          </cell>
          <cell r="X230">
            <v>19.272965500504817</v>
          </cell>
          <cell r="Y230">
            <v>0</v>
          </cell>
          <cell r="Z230"/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42.584017938890014</v>
          </cell>
          <cell r="AF230">
            <v>0</v>
          </cell>
          <cell r="AH230">
            <v>53.16638897035044</v>
          </cell>
          <cell r="AI230">
            <v>0</v>
          </cell>
          <cell r="AK230">
            <v>44.006444341695001</v>
          </cell>
          <cell r="AL230">
            <v>0</v>
          </cell>
          <cell r="AN230">
            <v>23.588891810124462</v>
          </cell>
          <cell r="AO230">
            <v>429.10855592932234</v>
          </cell>
          <cell r="AQ230">
            <v>13.192247063076561</v>
          </cell>
          <cell r="AR230">
            <v>0</v>
          </cell>
          <cell r="AT230">
            <v>17.450517314311693</v>
          </cell>
          <cell r="AU230">
            <v>0</v>
          </cell>
          <cell r="AW230">
            <v>27.907064838681809</v>
          </cell>
          <cell r="AX230">
            <v>0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/>
          <cell r="W231">
            <v>0</v>
          </cell>
          <cell r="X231">
            <v>0</v>
          </cell>
          <cell r="Y231">
            <v>0</v>
          </cell>
          <cell r="Z231"/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</row>
        <row r="232"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/>
          <cell r="W232">
            <v>0</v>
          </cell>
          <cell r="X232">
            <v>0</v>
          </cell>
          <cell r="Y232">
            <v>0</v>
          </cell>
          <cell r="Z232"/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Q232">
            <v>0</v>
          </cell>
          <cell r="AR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</row>
        <row r="233"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1</v>
          </cell>
          <cell r="S233">
            <v>11251.26016719068</v>
          </cell>
          <cell r="U233">
            <v>0</v>
          </cell>
          <cell r="V233"/>
          <cell r="W233">
            <v>0</v>
          </cell>
          <cell r="X233">
            <v>0</v>
          </cell>
          <cell r="Y233">
            <v>0</v>
          </cell>
          <cell r="Z233"/>
          <cell r="AA233">
            <v>0</v>
          </cell>
          <cell r="AB233">
            <v>0</v>
          </cell>
          <cell r="AC233">
            <v>451.61317237739581</v>
          </cell>
          <cell r="AD233">
            <v>671.55376031554283</v>
          </cell>
          <cell r="AE233">
            <v>327.04584121664607</v>
          </cell>
          <cell r="AF233">
            <v>0</v>
          </cell>
          <cell r="AH233">
            <v>398.9137894360008</v>
          </cell>
          <cell r="AI233">
            <v>0</v>
          </cell>
          <cell r="AK233">
            <v>458.67069947314712</v>
          </cell>
          <cell r="AL233">
            <v>0</v>
          </cell>
          <cell r="AN233">
            <v>194.41885365990336</v>
          </cell>
          <cell r="AO233">
            <v>0</v>
          </cell>
          <cell r="AQ233">
            <v>105.68402349220877</v>
          </cell>
          <cell r="AR233">
            <v>0</v>
          </cell>
          <cell r="AT233">
            <v>205.26189571466762</v>
          </cell>
          <cell r="AU233">
            <v>0</v>
          </cell>
          <cell r="AW233">
            <v>119.34310272027908</v>
          </cell>
          <cell r="AX233">
            <v>0</v>
          </cell>
        </row>
        <row r="234"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/>
          <cell r="W234">
            <v>0</v>
          </cell>
          <cell r="X234">
            <v>0</v>
          </cell>
          <cell r="Y234">
            <v>0</v>
          </cell>
          <cell r="Z234"/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335.49122236556309</v>
          </cell>
          <cell r="AF234">
            <v>0</v>
          </cell>
          <cell r="AH234">
            <v>503.09886568518095</v>
          </cell>
          <cell r="AI234">
            <v>0</v>
          </cell>
          <cell r="AK234">
            <v>349.5833390983895</v>
          </cell>
          <cell r="AL234">
            <v>0</v>
          </cell>
          <cell r="AN234">
            <v>201.87973305220362</v>
          </cell>
          <cell r="AO234">
            <v>0</v>
          </cell>
          <cell r="AQ234">
            <v>119.94714023874553</v>
          </cell>
          <cell r="AR234">
            <v>0</v>
          </cell>
          <cell r="AT234">
            <v>187.174739446508</v>
          </cell>
          <cell r="AU234">
            <v>2530.1391492307534</v>
          </cell>
          <cell r="AW234">
            <v>107.72463185447754</v>
          </cell>
          <cell r="AX234">
            <v>0</v>
          </cell>
        </row>
        <row r="235"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/>
          <cell r="W235">
            <v>0</v>
          </cell>
          <cell r="X235">
            <v>177.63442214597018</v>
          </cell>
          <cell r="Y235">
            <v>0</v>
          </cell>
          <cell r="Z235"/>
          <cell r="AA235">
            <v>0</v>
          </cell>
          <cell r="AB235">
            <v>0</v>
          </cell>
          <cell r="AC235">
            <v>0</v>
          </cell>
          <cell r="AD235">
            <v>2054.3088133494111</v>
          </cell>
          <cell r="AE235">
            <v>234.19939836518847</v>
          </cell>
          <cell r="AF235">
            <v>0</v>
          </cell>
          <cell r="AH235">
            <v>340.39419120155407</v>
          </cell>
          <cell r="AI235">
            <v>0</v>
          </cell>
          <cell r="AK235">
            <v>377.32558295153785</v>
          </cell>
          <cell r="AL235">
            <v>0</v>
          </cell>
          <cell r="AN235">
            <v>175.11975664192488</v>
          </cell>
          <cell r="AO235">
            <v>858.1913451964266</v>
          </cell>
          <cell r="AQ235">
            <v>73.457911157641931</v>
          </cell>
          <cell r="AR235">
            <v>16.749686000000001</v>
          </cell>
          <cell r="AT235">
            <v>232.89259241061026</v>
          </cell>
          <cell r="AU235">
            <v>1131.2545234065167</v>
          </cell>
          <cell r="AW235">
            <v>141.02416777453496</v>
          </cell>
          <cell r="AX235">
            <v>0</v>
          </cell>
        </row>
        <row r="236"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/>
          <cell r="W236">
            <v>0</v>
          </cell>
          <cell r="X236">
            <v>50.132791697121519</v>
          </cell>
          <cell r="Y236">
            <v>0</v>
          </cell>
          <cell r="Z236"/>
          <cell r="AA236">
            <v>0</v>
          </cell>
          <cell r="AB236">
            <v>0</v>
          </cell>
          <cell r="AC236">
            <v>0</v>
          </cell>
          <cell r="AD236">
            <v>559.46015620810817</v>
          </cell>
          <cell r="AE236">
            <v>131.66111816664187</v>
          </cell>
          <cell r="AF236">
            <v>0</v>
          </cell>
          <cell r="AH236">
            <v>193.84601730458303</v>
          </cell>
          <cell r="AI236">
            <v>0</v>
          </cell>
          <cell r="AK236">
            <v>215.16401743022467</v>
          </cell>
          <cell r="AL236">
            <v>0</v>
          </cell>
          <cell r="AN236">
            <v>101.39158159948053</v>
          </cell>
          <cell r="AO236">
            <v>0</v>
          </cell>
          <cell r="AQ236">
            <v>97.437647389463777</v>
          </cell>
          <cell r="AR236">
            <v>7.7228418000000003</v>
          </cell>
          <cell r="AT236">
            <v>163.8440843954931</v>
          </cell>
          <cell r="AU236">
            <v>0</v>
          </cell>
          <cell r="AW236">
            <v>156.91956282162403</v>
          </cell>
          <cell r="AX236">
            <v>0</v>
          </cell>
        </row>
        <row r="237"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1</v>
          </cell>
          <cell r="S237">
            <v>881.27442626209995</v>
          </cell>
          <cell r="U237">
            <v>0</v>
          </cell>
          <cell r="V237"/>
          <cell r="W237">
            <v>0</v>
          </cell>
          <cell r="X237">
            <v>119.16924656180406</v>
          </cell>
          <cell r="Y237">
            <v>0</v>
          </cell>
          <cell r="Z237"/>
          <cell r="AA237">
            <v>0</v>
          </cell>
          <cell r="AB237">
            <v>0</v>
          </cell>
          <cell r="AC237">
            <v>459.62404904927871</v>
          </cell>
          <cell r="AD237">
            <v>0</v>
          </cell>
          <cell r="AE237">
            <v>355.34403081711207</v>
          </cell>
          <cell r="AF237">
            <v>806.35551955751635</v>
          </cell>
          <cell r="AH237">
            <v>895.58576938451483</v>
          </cell>
          <cell r="AI237">
            <v>0</v>
          </cell>
          <cell r="AK237">
            <v>745.46315154097363</v>
          </cell>
          <cell r="AL237">
            <v>0</v>
          </cell>
          <cell r="AN237">
            <v>288.12756542741425</v>
          </cell>
          <cell r="AO237">
            <v>0</v>
          </cell>
          <cell r="AQ237">
            <v>98.941812127749259</v>
          </cell>
          <cell r="AR237">
            <v>0</v>
          </cell>
          <cell r="AT237">
            <v>518.72018098120952</v>
          </cell>
          <cell r="AU237">
            <v>2534.3339420043221</v>
          </cell>
          <cell r="AW237">
            <v>0</v>
          </cell>
          <cell r="AX237">
            <v>0</v>
          </cell>
        </row>
        <row r="238"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115.5</v>
          </cell>
          <cell r="P238">
            <v>32272.444587862581</v>
          </cell>
          <cell r="R238">
            <v>6</v>
          </cell>
          <cell r="S238">
            <v>297056.79950094369</v>
          </cell>
          <cell r="U238">
            <v>10095.863304253755</v>
          </cell>
          <cell r="V238"/>
          <cell r="W238">
            <v>0</v>
          </cell>
          <cell r="X238">
            <v>0</v>
          </cell>
          <cell r="Y238">
            <v>0</v>
          </cell>
          <cell r="Z238"/>
          <cell r="AA238">
            <v>0</v>
          </cell>
          <cell r="AB238">
            <v>0</v>
          </cell>
          <cell r="AC238">
            <v>734.9979346452518</v>
          </cell>
          <cell r="AD238">
            <v>3711.7912877526996</v>
          </cell>
          <cell r="AE238">
            <v>459.45289091382273</v>
          </cell>
          <cell r="AF238">
            <v>0</v>
          </cell>
          <cell r="AH238">
            <v>1044.8023367926141</v>
          </cell>
          <cell r="AI238">
            <v>2346.0783749639054</v>
          </cell>
          <cell r="AK238">
            <v>822.83356848650783</v>
          </cell>
          <cell r="AL238">
            <v>0</v>
          </cell>
          <cell r="AN238">
            <v>312.27663283934402</v>
          </cell>
          <cell r="AO238">
            <v>0</v>
          </cell>
          <cell r="AQ238">
            <v>115.42002660934838</v>
          </cell>
          <cell r="AR238">
            <v>0</v>
          </cell>
          <cell r="AT238">
            <v>542.44879755970385</v>
          </cell>
          <cell r="AU238">
            <v>0</v>
          </cell>
          <cell r="AW238">
            <v>0</v>
          </cell>
          <cell r="AX238">
            <v>0</v>
          </cell>
        </row>
        <row r="239"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R239">
            <v>2</v>
          </cell>
          <cell r="S239">
            <v>130173.69635990597</v>
          </cell>
          <cell r="U239">
            <v>514.75108498197608</v>
          </cell>
          <cell r="V239"/>
          <cell r="W239">
            <v>0</v>
          </cell>
          <cell r="X239">
            <v>0</v>
          </cell>
          <cell r="Y239">
            <v>0</v>
          </cell>
          <cell r="Z239"/>
          <cell r="AA239">
            <v>0</v>
          </cell>
          <cell r="AB239">
            <v>0</v>
          </cell>
          <cell r="AC239">
            <v>674.91635960613041</v>
          </cell>
          <cell r="AD239">
            <v>331.2797122709589</v>
          </cell>
          <cell r="AE239">
            <v>203.84207769388419</v>
          </cell>
          <cell r="AF239">
            <v>0</v>
          </cell>
          <cell r="AH239">
            <v>261.17139780857241</v>
          </cell>
          <cell r="AI239">
            <v>0</v>
          </cell>
          <cell r="AK239">
            <v>343.78808840870335</v>
          </cell>
          <cell r="AL239">
            <v>0</v>
          </cell>
          <cell r="AN239">
            <v>180.56196682523498</v>
          </cell>
          <cell r="AO239">
            <v>0</v>
          </cell>
          <cell r="AQ239">
            <v>49.458791293965582</v>
          </cell>
          <cell r="AR239">
            <v>0</v>
          </cell>
          <cell r="AT239">
            <v>252.40009770630149</v>
          </cell>
          <cell r="AU239">
            <v>0</v>
          </cell>
          <cell r="AW239">
            <v>0</v>
          </cell>
          <cell r="AX239">
            <v>0</v>
          </cell>
        </row>
        <row r="240"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/>
          <cell r="W240">
            <v>0</v>
          </cell>
          <cell r="X240">
            <v>94.933780962366853</v>
          </cell>
          <cell r="Y240">
            <v>0</v>
          </cell>
          <cell r="Z240"/>
          <cell r="AA240">
            <v>0</v>
          </cell>
          <cell r="AB240">
            <v>0</v>
          </cell>
          <cell r="AC240">
            <v>0</v>
          </cell>
          <cell r="AD240">
            <v>996.73914069107968</v>
          </cell>
          <cell r="AE240">
            <v>122.31439675540068</v>
          </cell>
          <cell r="AF240">
            <v>0</v>
          </cell>
          <cell r="AH240">
            <v>157.93467598038256</v>
          </cell>
          <cell r="AI240">
            <v>0</v>
          </cell>
          <cell r="AK240">
            <v>264.37306341340508</v>
          </cell>
          <cell r="AL240">
            <v>790.158006</v>
          </cell>
          <cell r="AN240">
            <v>91.444637194136348</v>
          </cell>
          <cell r="AO240">
            <v>0</v>
          </cell>
          <cell r="AQ240">
            <v>39.576741189229679</v>
          </cell>
          <cell r="AR240">
            <v>0</v>
          </cell>
          <cell r="AT240">
            <v>89.250700815318339</v>
          </cell>
          <cell r="AU240">
            <v>0</v>
          </cell>
          <cell r="AW240">
            <v>0</v>
          </cell>
          <cell r="AX240">
            <v>0</v>
          </cell>
        </row>
        <row r="241"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/>
          <cell r="W241">
            <v>0</v>
          </cell>
          <cell r="X241">
            <v>0</v>
          </cell>
          <cell r="Y241">
            <v>0</v>
          </cell>
          <cell r="Z241"/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71.122629880379705</v>
          </cell>
          <cell r="AF241">
            <v>0</v>
          </cell>
          <cell r="AH241">
            <v>91.67422397349246</v>
          </cell>
          <cell r="AI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Q241">
            <v>19.78837059461484</v>
          </cell>
          <cell r="AR241">
            <v>0</v>
          </cell>
          <cell r="AT241">
            <v>47.713523922280622</v>
          </cell>
          <cell r="AU241">
            <v>0</v>
          </cell>
          <cell r="AW241">
            <v>0</v>
          </cell>
          <cell r="AX241">
            <v>0</v>
          </cell>
        </row>
        <row r="242"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/>
          <cell r="W242">
            <v>0</v>
          </cell>
          <cell r="X242">
            <v>0</v>
          </cell>
          <cell r="Y242">
            <v>0</v>
          </cell>
          <cell r="Z242"/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320.62601161897658</v>
          </cell>
          <cell r="AF242">
            <v>0</v>
          </cell>
          <cell r="AH242">
            <v>492.97964315911258</v>
          </cell>
          <cell r="AI242">
            <v>0</v>
          </cell>
          <cell r="AK242">
            <v>425.24465874824136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601.0903519414104</v>
          </cell>
          <cell r="AT242">
            <v>176.92726331589199</v>
          </cell>
          <cell r="AU242">
            <v>0</v>
          </cell>
          <cell r="AW242">
            <v>0</v>
          </cell>
          <cell r="AX242">
            <v>0</v>
          </cell>
        </row>
        <row r="243">
          <cell r="I243">
            <v>0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/>
          <cell r="W243">
            <v>0</v>
          </cell>
          <cell r="X243">
            <v>0</v>
          </cell>
          <cell r="Y243">
            <v>0</v>
          </cell>
          <cell r="Z243"/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323.47537914525492</v>
          </cell>
          <cell r="AF243">
            <v>0</v>
          </cell>
          <cell r="AH243">
            <v>444.88882070319545</v>
          </cell>
          <cell r="AI243">
            <v>0</v>
          </cell>
          <cell r="AK243">
            <v>431.67565626018109</v>
          </cell>
          <cell r="AL243">
            <v>0</v>
          </cell>
          <cell r="AN243">
            <v>0</v>
          </cell>
          <cell r="AO243">
            <v>0</v>
          </cell>
          <cell r="AQ243">
            <v>0</v>
          </cell>
          <cell r="AR243">
            <v>0</v>
          </cell>
          <cell r="AT243">
            <v>179.51810429532154</v>
          </cell>
          <cell r="AU243">
            <v>0</v>
          </cell>
          <cell r="AW243">
            <v>0</v>
          </cell>
          <cell r="AX243">
            <v>0</v>
          </cell>
        </row>
        <row r="244">
          <cell r="I244">
            <v>0</v>
          </cell>
          <cell r="J244">
            <v>0</v>
          </cell>
          <cell r="L244">
            <v>1</v>
          </cell>
          <cell r="M244">
            <v>45702.051413091678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/>
          <cell r="W244">
            <v>0</v>
          </cell>
          <cell r="X244">
            <v>0</v>
          </cell>
          <cell r="Y244">
            <v>0</v>
          </cell>
          <cell r="Z244"/>
          <cell r="AA244">
            <v>0</v>
          </cell>
          <cell r="AB244">
            <v>0</v>
          </cell>
          <cell r="AC244">
            <v>557.75728827984369</v>
          </cell>
          <cell r="AD244">
            <v>1032.6813916239926</v>
          </cell>
          <cell r="AE244">
            <v>309.21091681822662</v>
          </cell>
          <cell r="AF244">
            <v>0</v>
          </cell>
          <cell r="AH244">
            <v>444.88882070319545</v>
          </cell>
          <cell r="AI244">
            <v>0</v>
          </cell>
          <cell r="AK244">
            <v>470.67431918363008</v>
          </cell>
          <cell r="AL244">
            <v>0</v>
          </cell>
          <cell r="AN244">
            <v>0</v>
          </cell>
          <cell r="AO244">
            <v>0</v>
          </cell>
          <cell r="AQ244">
            <v>0</v>
          </cell>
          <cell r="AR244">
            <v>0</v>
          </cell>
          <cell r="AT244">
            <v>179.51810429532154</v>
          </cell>
          <cell r="AU244">
            <v>1792.527108619086</v>
          </cell>
          <cell r="AW244">
            <v>0</v>
          </cell>
          <cell r="AX244">
            <v>0</v>
          </cell>
        </row>
        <row r="245">
          <cell r="I245">
            <v>11</v>
          </cell>
          <cell r="J245">
            <v>2518.6320877822127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/>
          <cell r="W245">
            <v>0</v>
          </cell>
          <cell r="X245">
            <v>0</v>
          </cell>
          <cell r="Y245">
            <v>0</v>
          </cell>
          <cell r="Z245"/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227.2230240106725</v>
          </cell>
          <cell r="AF245">
            <v>0</v>
          </cell>
          <cell r="AH245">
            <v>387.87318468845865</v>
          </cell>
          <cell r="AI245">
            <v>0</v>
          </cell>
          <cell r="AK245">
            <v>299.02802678329249</v>
          </cell>
          <cell r="AL245">
            <v>0</v>
          </cell>
          <cell r="AN245">
            <v>0</v>
          </cell>
          <cell r="AO245">
            <v>0</v>
          </cell>
          <cell r="AQ245">
            <v>0</v>
          </cell>
          <cell r="AR245">
            <v>1515.502816555887</v>
          </cell>
          <cell r="AT245">
            <v>130.49535443444742</v>
          </cell>
          <cell r="AU245">
            <v>0</v>
          </cell>
          <cell r="AW245">
            <v>0</v>
          </cell>
          <cell r="AX245">
            <v>0</v>
          </cell>
        </row>
        <row r="246"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/>
          <cell r="W246">
            <v>0</v>
          </cell>
          <cell r="X246">
            <v>0</v>
          </cell>
          <cell r="Y246">
            <v>0</v>
          </cell>
          <cell r="Z246"/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268.63508955986697</v>
          </cell>
          <cell r="AF246">
            <v>0</v>
          </cell>
          <cell r="AH246">
            <v>489.43497576070069</v>
          </cell>
          <cell r="AI246">
            <v>0</v>
          </cell>
          <cell r="AK246">
            <v>246.53671761751028</v>
          </cell>
          <cell r="AL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T246">
            <v>222.83021985135576</v>
          </cell>
          <cell r="AU246">
            <v>0</v>
          </cell>
          <cell r="AW246">
            <v>0</v>
          </cell>
          <cell r="AX246">
            <v>0</v>
          </cell>
        </row>
        <row r="247"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/>
          <cell r="W247">
            <v>0</v>
          </cell>
          <cell r="X247">
            <v>0</v>
          </cell>
          <cell r="Y247">
            <v>0</v>
          </cell>
          <cell r="Z247"/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82.667714407915298</v>
          </cell>
          <cell r="AF247">
            <v>0</v>
          </cell>
          <cell r="AH247">
            <v>91.180310614088697</v>
          </cell>
          <cell r="AI247">
            <v>0</v>
          </cell>
          <cell r="AK247">
            <v>83.006215262450169</v>
          </cell>
          <cell r="AL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T247">
            <v>14.381053614686898</v>
          </cell>
          <cell r="AU247">
            <v>0</v>
          </cell>
          <cell r="AW247">
            <v>0</v>
          </cell>
          <cell r="AX247">
            <v>0</v>
          </cell>
        </row>
        <row r="248"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/>
          <cell r="W248">
            <v>0</v>
          </cell>
          <cell r="X248">
            <v>0</v>
          </cell>
          <cell r="Y248">
            <v>0</v>
          </cell>
          <cell r="Z248"/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T248">
            <v>0</v>
          </cell>
          <cell r="AU248">
            <v>0</v>
          </cell>
          <cell r="AW248">
            <v>0</v>
          </cell>
          <cell r="AX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/>
          <cell r="W249">
            <v>0</v>
          </cell>
          <cell r="X249">
            <v>0</v>
          </cell>
          <cell r="Y249">
            <v>0</v>
          </cell>
          <cell r="Z249"/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42.947547082987398</v>
          </cell>
          <cell r="AF249">
            <v>0</v>
          </cell>
          <cell r="AH249">
            <v>49.86802425262438</v>
          </cell>
          <cell r="AI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9.8614077016833726</v>
          </cell>
          <cell r="AU249">
            <v>0</v>
          </cell>
          <cell r="AW249">
            <v>0</v>
          </cell>
          <cell r="AX249">
            <v>0</v>
          </cell>
        </row>
        <row r="250"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/>
          <cell r="W250">
            <v>0</v>
          </cell>
          <cell r="X250">
            <v>0</v>
          </cell>
          <cell r="Y250">
            <v>0</v>
          </cell>
          <cell r="Z250"/>
          <cell r="AA250">
            <v>0</v>
          </cell>
          <cell r="AB250">
            <v>0</v>
          </cell>
          <cell r="AC250">
            <v>116.72791843775435</v>
          </cell>
          <cell r="AD250">
            <v>0</v>
          </cell>
          <cell r="AE250">
            <v>74.400935727157275</v>
          </cell>
          <cell r="AF250">
            <v>0</v>
          </cell>
          <cell r="AH250">
            <v>79.235345521027114</v>
          </cell>
          <cell r="AI250">
            <v>0</v>
          </cell>
          <cell r="AK250">
            <v>68.280931052039634</v>
          </cell>
          <cell r="AL250">
            <v>0</v>
          </cell>
          <cell r="AN250">
            <v>0</v>
          </cell>
          <cell r="AO250">
            <v>0</v>
          </cell>
          <cell r="AQ250">
            <v>0</v>
          </cell>
          <cell r="AR250">
            <v>0</v>
          </cell>
          <cell r="AT250">
            <v>14.743558598792214</v>
          </cell>
          <cell r="AU250">
            <v>0</v>
          </cell>
          <cell r="AW250">
            <v>0</v>
          </cell>
          <cell r="AX250">
            <v>0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/>
          <cell r="W251">
            <v>0</v>
          </cell>
          <cell r="X251">
            <v>0</v>
          </cell>
          <cell r="Y251">
            <v>0</v>
          </cell>
          <cell r="Z251"/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71.960731953791409</v>
          </cell>
          <cell r="AF251">
            <v>0</v>
          </cell>
          <cell r="AH251">
            <v>89.509926552956031</v>
          </cell>
          <cell r="AI251">
            <v>0</v>
          </cell>
          <cell r="AK251">
            <v>47.277902860351134</v>
          </cell>
          <cell r="AL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T251">
            <v>19.771277081972755</v>
          </cell>
          <cell r="AU251">
            <v>0</v>
          </cell>
          <cell r="AW251">
            <v>0</v>
          </cell>
          <cell r="AX251">
            <v>0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/>
          <cell r="W252">
            <v>0</v>
          </cell>
          <cell r="X252">
            <v>0</v>
          </cell>
          <cell r="Y252">
            <v>0</v>
          </cell>
          <cell r="Z252"/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138.25758637960135</v>
          </cell>
          <cell r="AF252">
            <v>0</v>
          </cell>
          <cell r="AH252">
            <v>195.76233491122258</v>
          </cell>
          <cell r="AI252">
            <v>0</v>
          </cell>
          <cell r="AK252">
            <v>144.91736678168084</v>
          </cell>
          <cell r="AL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T252">
            <v>58.242082060788206</v>
          </cell>
          <cell r="AU252">
            <v>0</v>
          </cell>
          <cell r="AW252">
            <v>0</v>
          </cell>
          <cell r="AX252">
            <v>0</v>
          </cell>
        </row>
        <row r="253"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/>
          <cell r="W253">
            <v>0</v>
          </cell>
          <cell r="X253">
            <v>0</v>
          </cell>
          <cell r="Y253">
            <v>0</v>
          </cell>
          <cell r="Z253"/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H253">
            <v>0</v>
          </cell>
          <cell r="AI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/>
          <cell r="W254">
            <v>0</v>
          </cell>
          <cell r="X254">
            <v>0</v>
          </cell>
          <cell r="Y254">
            <v>0</v>
          </cell>
          <cell r="Z254"/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</row>
        <row r="255"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/>
          <cell r="W255">
            <v>0</v>
          </cell>
          <cell r="X255">
            <v>0</v>
          </cell>
          <cell r="Y255">
            <v>0</v>
          </cell>
          <cell r="Z255"/>
          <cell r="AA255">
            <v>0</v>
          </cell>
          <cell r="AB255">
            <v>0</v>
          </cell>
          <cell r="AC255">
            <v>0</v>
          </cell>
          <cell r="AD255">
            <v>863.50286784041509</v>
          </cell>
          <cell r="AE255">
            <v>160.28234453452649</v>
          </cell>
          <cell r="AF255">
            <v>0</v>
          </cell>
          <cell r="AH255">
            <v>216.30381693881802</v>
          </cell>
          <cell r="AI255">
            <v>0</v>
          </cell>
          <cell r="AK255">
            <v>300.81395588574151</v>
          </cell>
          <cell r="AL255">
            <v>0</v>
          </cell>
          <cell r="AN255">
            <v>109.41598290170468</v>
          </cell>
          <cell r="AO255">
            <v>0</v>
          </cell>
          <cell r="AQ255">
            <v>65.961235315382794</v>
          </cell>
          <cell r="AR255">
            <v>0</v>
          </cell>
          <cell r="AT255">
            <v>182.09319879634614</v>
          </cell>
          <cell r="AU255">
            <v>2128.4141765209283</v>
          </cell>
          <cell r="AW255">
            <v>94.161478523291592</v>
          </cell>
          <cell r="AX255">
            <v>0</v>
          </cell>
        </row>
        <row r="256"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/>
          <cell r="W256">
            <v>0</v>
          </cell>
          <cell r="X256">
            <v>0</v>
          </cell>
          <cell r="Y256">
            <v>0</v>
          </cell>
          <cell r="Z256"/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H256">
            <v>0</v>
          </cell>
          <cell r="AI256">
            <v>0</v>
          </cell>
          <cell r="AK256">
            <v>0</v>
          </cell>
          <cell r="AL256">
            <v>0</v>
          </cell>
          <cell r="AN256">
            <v>0</v>
          </cell>
          <cell r="AO256">
            <v>0</v>
          </cell>
          <cell r="AQ256">
            <v>0</v>
          </cell>
          <cell r="AR256">
            <v>0</v>
          </cell>
          <cell r="AT256">
            <v>23.058508430931262</v>
          </cell>
          <cell r="AU256">
            <v>0</v>
          </cell>
          <cell r="AW256">
            <v>0</v>
          </cell>
          <cell r="AX256">
            <v>0</v>
          </cell>
        </row>
        <row r="257"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/>
          <cell r="W257">
            <v>0</v>
          </cell>
          <cell r="X257">
            <v>0</v>
          </cell>
          <cell r="Y257">
            <v>0</v>
          </cell>
          <cell r="Z257"/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293.68451802447441</v>
          </cell>
          <cell r="AF257">
            <v>719.28487379341368</v>
          </cell>
          <cell r="AH257">
            <v>428.45713760025609</v>
          </cell>
          <cell r="AI257">
            <v>0</v>
          </cell>
          <cell r="AK257">
            <v>0</v>
          </cell>
          <cell r="AL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T257">
            <v>264.95478811646899</v>
          </cell>
          <cell r="AU257">
            <v>0</v>
          </cell>
          <cell r="AW257">
            <v>0</v>
          </cell>
          <cell r="AX257">
            <v>0</v>
          </cell>
        </row>
        <row r="258"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/>
          <cell r="W258">
            <v>0</v>
          </cell>
          <cell r="X258">
            <v>0</v>
          </cell>
          <cell r="Y258">
            <v>0</v>
          </cell>
          <cell r="Z258"/>
          <cell r="AA258">
            <v>0</v>
          </cell>
          <cell r="AB258">
            <v>0</v>
          </cell>
          <cell r="AC258">
            <v>536.51565274207735</v>
          </cell>
          <cell r="AD258">
            <v>0</v>
          </cell>
          <cell r="AE258">
            <v>126.78159136424794</v>
          </cell>
          <cell r="AF258">
            <v>0</v>
          </cell>
          <cell r="AH258">
            <v>151.47835609515252</v>
          </cell>
          <cell r="AI258">
            <v>0</v>
          </cell>
          <cell r="AK258">
            <v>158.77057002037245</v>
          </cell>
          <cell r="AL258">
            <v>0</v>
          </cell>
          <cell r="AN258">
            <v>0</v>
          </cell>
          <cell r="AO258">
            <v>0</v>
          </cell>
          <cell r="AQ258">
            <v>0</v>
          </cell>
          <cell r="AR258">
            <v>0</v>
          </cell>
          <cell r="AT258">
            <v>59.149004912770224</v>
          </cell>
          <cell r="AU258">
            <v>0</v>
          </cell>
          <cell r="AW258">
            <v>0</v>
          </cell>
          <cell r="AX258">
            <v>0</v>
          </cell>
        </row>
        <row r="259"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/>
          <cell r="W259">
            <v>0</v>
          </cell>
          <cell r="X259">
            <v>0</v>
          </cell>
          <cell r="Y259">
            <v>0</v>
          </cell>
          <cell r="Z259"/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354.5053752788794</v>
          </cell>
          <cell r="AF259">
            <v>0</v>
          </cell>
          <cell r="AH259">
            <v>493.73511237688888</v>
          </cell>
          <cell r="AI259">
            <v>0</v>
          </cell>
          <cell r="AK259">
            <v>599.00354063093062</v>
          </cell>
          <cell r="AL259">
            <v>881.57618844097578</v>
          </cell>
          <cell r="AN259">
            <v>202.16392511926523</v>
          </cell>
          <cell r="AO259">
            <v>0</v>
          </cell>
          <cell r="AQ259">
            <v>105.68402349220877</v>
          </cell>
          <cell r="AR259">
            <v>0</v>
          </cell>
          <cell r="AT259">
            <v>136.87374713977206</v>
          </cell>
          <cell r="AU259">
            <v>0</v>
          </cell>
          <cell r="AW259">
            <v>0</v>
          </cell>
          <cell r="AX259">
            <v>0</v>
          </cell>
        </row>
        <row r="260"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1</v>
          </cell>
          <cell r="S260">
            <v>2628.2460662203202</v>
          </cell>
          <cell r="U260">
            <v>0</v>
          </cell>
          <cell r="V260"/>
          <cell r="W260">
            <v>0</v>
          </cell>
          <cell r="X260">
            <v>0</v>
          </cell>
          <cell r="Y260">
            <v>0</v>
          </cell>
          <cell r="Z260"/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180.28000083455336</v>
          </cell>
          <cell r="AF260">
            <v>2403.8535805925976</v>
          </cell>
          <cell r="AH260">
            <v>303.15280889421359</v>
          </cell>
          <cell r="AI260">
            <v>0</v>
          </cell>
          <cell r="AK260">
            <v>375.12738273257935</v>
          </cell>
          <cell r="AL260">
            <v>0</v>
          </cell>
          <cell r="AN260">
            <v>148.4035862329026</v>
          </cell>
          <cell r="AO260">
            <v>0</v>
          </cell>
          <cell r="AQ260">
            <v>65.961235315382794</v>
          </cell>
          <cell r="AR260">
            <v>0</v>
          </cell>
          <cell r="AT260">
            <v>71.693988049612315</v>
          </cell>
          <cell r="AU260">
            <v>2951.9144761069015</v>
          </cell>
          <cell r="AW260">
            <v>0</v>
          </cell>
          <cell r="AX260">
            <v>0</v>
          </cell>
        </row>
        <row r="261"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/>
          <cell r="W261">
            <v>0</v>
          </cell>
          <cell r="X261">
            <v>0</v>
          </cell>
          <cell r="Y261">
            <v>0</v>
          </cell>
          <cell r="Z261"/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191.98904251927169</v>
          </cell>
          <cell r="AF261">
            <v>0</v>
          </cell>
          <cell r="AH261">
            <v>271.65683061933453</v>
          </cell>
          <cell r="AI261">
            <v>0</v>
          </cell>
          <cell r="AK261">
            <v>267.77851529053544</v>
          </cell>
          <cell r="AL261">
            <v>378.07232362048796</v>
          </cell>
          <cell r="AN261">
            <v>0</v>
          </cell>
          <cell r="AO261">
            <v>0</v>
          </cell>
          <cell r="AQ261">
            <v>0</v>
          </cell>
          <cell r="AR261">
            <v>0</v>
          </cell>
          <cell r="AT261">
            <v>79.191999924649934</v>
          </cell>
          <cell r="AU261">
            <v>0</v>
          </cell>
          <cell r="AW261">
            <v>0</v>
          </cell>
          <cell r="AX261">
            <v>0</v>
          </cell>
        </row>
        <row r="262"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/>
          <cell r="W262">
            <v>2</v>
          </cell>
          <cell r="X262">
            <v>167.61241105942892</v>
          </cell>
          <cell r="Y262">
            <v>0</v>
          </cell>
          <cell r="Z262"/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456.80205837427036</v>
          </cell>
          <cell r="AF262">
            <v>0</v>
          </cell>
          <cell r="AH262">
            <v>729.89882423528786</v>
          </cell>
          <cell r="AI262">
            <v>0</v>
          </cell>
          <cell r="AK262">
            <v>431.56064698254022</v>
          </cell>
          <cell r="AL262">
            <v>0</v>
          </cell>
          <cell r="AN262">
            <v>0</v>
          </cell>
          <cell r="AO262">
            <v>0</v>
          </cell>
          <cell r="AQ262">
            <v>218.86472282667671</v>
          </cell>
          <cell r="AR262">
            <v>0</v>
          </cell>
          <cell r="AT262">
            <v>332.1874362013159</v>
          </cell>
          <cell r="AU262">
            <v>0</v>
          </cell>
          <cell r="AW262">
            <v>0</v>
          </cell>
          <cell r="AX262">
            <v>0</v>
          </cell>
        </row>
        <row r="263"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/>
          <cell r="W263">
            <v>0</v>
          </cell>
          <cell r="X263">
            <v>0</v>
          </cell>
          <cell r="Y263">
            <v>0</v>
          </cell>
          <cell r="Z263"/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124.57062080146615</v>
          </cell>
          <cell r="AF263">
            <v>0</v>
          </cell>
          <cell r="AH263">
            <v>153.61481567386699</v>
          </cell>
          <cell r="AI263">
            <v>0</v>
          </cell>
          <cell r="AK263">
            <v>172.42294749368233</v>
          </cell>
          <cell r="AL263">
            <v>0</v>
          </cell>
          <cell r="AN263">
            <v>0</v>
          </cell>
          <cell r="AO263">
            <v>0</v>
          </cell>
          <cell r="AQ263">
            <v>0</v>
          </cell>
          <cell r="AR263">
            <v>0</v>
          </cell>
          <cell r="AT263">
            <v>60.056140153587386</v>
          </cell>
          <cell r="AU263">
            <v>0</v>
          </cell>
          <cell r="AW263">
            <v>0</v>
          </cell>
          <cell r="AX263">
            <v>0</v>
          </cell>
        </row>
        <row r="264"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/>
          <cell r="W264">
            <v>6</v>
          </cell>
          <cell r="X264">
            <v>1426.8622351965337</v>
          </cell>
          <cell r="Y264">
            <v>4028.6728723498186</v>
          </cell>
          <cell r="Z264"/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390.20101697689392</v>
          </cell>
          <cell r="AF264">
            <v>2623.5444295781217</v>
          </cell>
          <cell r="AH264">
            <v>612.42978423362774</v>
          </cell>
          <cell r="AI264">
            <v>0</v>
          </cell>
          <cell r="AK264">
            <v>498.54465057686645</v>
          </cell>
          <cell r="AL264">
            <v>0</v>
          </cell>
          <cell r="AN264">
            <v>0</v>
          </cell>
          <cell r="AO264">
            <v>0</v>
          </cell>
          <cell r="AQ264">
            <v>0</v>
          </cell>
          <cell r="AR264">
            <v>0</v>
          </cell>
          <cell r="AT264">
            <v>242.89648827755306</v>
          </cell>
          <cell r="AU264">
            <v>0</v>
          </cell>
          <cell r="AW264">
            <v>0</v>
          </cell>
          <cell r="AX264">
            <v>0</v>
          </cell>
        </row>
        <row r="265"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/>
          <cell r="W265">
            <v>0</v>
          </cell>
          <cell r="X265">
            <v>0</v>
          </cell>
          <cell r="Y265">
            <v>0</v>
          </cell>
          <cell r="Z265"/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317.84533244161025</v>
          </cell>
          <cell r="AF265">
            <v>0</v>
          </cell>
          <cell r="AH265">
            <v>490.42556714245251</v>
          </cell>
          <cell r="AI265">
            <v>0</v>
          </cell>
          <cell r="AK265">
            <v>435.35818498390751</v>
          </cell>
          <cell r="AL265">
            <v>0</v>
          </cell>
          <cell r="AN265">
            <v>0</v>
          </cell>
          <cell r="AO265">
            <v>0</v>
          </cell>
          <cell r="AQ265">
            <v>0</v>
          </cell>
          <cell r="AR265">
            <v>0</v>
          </cell>
          <cell r="AT265">
            <v>174.41860241614506</v>
          </cell>
          <cell r="AU265">
            <v>0</v>
          </cell>
          <cell r="AW265">
            <v>0</v>
          </cell>
          <cell r="AX265">
            <v>0</v>
          </cell>
        </row>
        <row r="266"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/>
          <cell r="W266">
            <v>0</v>
          </cell>
          <cell r="X266">
            <v>0</v>
          </cell>
          <cell r="Y266">
            <v>0</v>
          </cell>
          <cell r="Z266"/>
          <cell r="AA266">
            <v>0</v>
          </cell>
          <cell r="AB266">
            <v>0</v>
          </cell>
          <cell r="AC266">
            <v>779.05775634060751</v>
          </cell>
          <cell r="AD266">
            <v>0</v>
          </cell>
          <cell r="AE266">
            <v>137.88486578757917</v>
          </cell>
          <cell r="AF266">
            <v>0</v>
          </cell>
          <cell r="AH266">
            <v>191.12025839548414</v>
          </cell>
          <cell r="AI266">
            <v>0</v>
          </cell>
          <cell r="AK266">
            <v>164.78563296374301</v>
          </cell>
          <cell r="AL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1255.0218409575091</v>
          </cell>
          <cell r="AT266">
            <v>56.288526279835082</v>
          </cell>
          <cell r="AU266">
            <v>0</v>
          </cell>
          <cell r="AW266">
            <v>0</v>
          </cell>
          <cell r="AX266">
            <v>0</v>
          </cell>
        </row>
        <row r="267"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/>
          <cell r="W267">
            <v>5</v>
          </cell>
          <cell r="X267">
            <v>466.34878676889542</v>
          </cell>
          <cell r="Y267">
            <v>0</v>
          </cell>
          <cell r="Z267"/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315.60276808607239</v>
          </cell>
          <cell r="AF267">
            <v>1105.4626722118337</v>
          </cell>
          <cell r="AH267">
            <v>493.55253641226898</v>
          </cell>
          <cell r="AI267">
            <v>0</v>
          </cell>
          <cell r="AK267">
            <v>328.5099679824072</v>
          </cell>
          <cell r="AL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T267">
            <v>230.25583944896033</v>
          </cell>
          <cell r="AU267">
            <v>0</v>
          </cell>
          <cell r="AW267">
            <v>0</v>
          </cell>
          <cell r="AX267">
            <v>0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/>
          <cell r="W268">
            <v>0</v>
          </cell>
          <cell r="X268">
            <v>0</v>
          </cell>
          <cell r="Y268">
            <v>0</v>
          </cell>
          <cell r="Z268"/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248.84834163653545</v>
          </cell>
          <cell r="AF268">
            <v>0</v>
          </cell>
          <cell r="AH268">
            <v>367.47921774916153</v>
          </cell>
          <cell r="AI268">
            <v>0</v>
          </cell>
          <cell r="AK268">
            <v>237.8926264600704</v>
          </cell>
          <cell r="AL268">
            <v>480.39198214586401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T268">
            <v>169.9247496489308</v>
          </cell>
          <cell r="AU268">
            <v>0</v>
          </cell>
          <cell r="AW268">
            <v>0</v>
          </cell>
          <cell r="AX268">
            <v>0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/>
          <cell r="W269">
            <v>0</v>
          </cell>
          <cell r="X269">
            <v>0</v>
          </cell>
          <cell r="Y269">
            <v>0</v>
          </cell>
          <cell r="Z269"/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62.42080348743935</v>
          </cell>
          <cell r="AF269">
            <v>0</v>
          </cell>
          <cell r="AH269">
            <v>71.825475826829646</v>
          </cell>
          <cell r="AI269">
            <v>0</v>
          </cell>
          <cell r="AK269">
            <v>0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9.8614351170038965</v>
          </cell>
          <cell r="AU269">
            <v>0</v>
          </cell>
          <cell r="AW269">
            <v>0</v>
          </cell>
          <cell r="AX269">
            <v>0</v>
          </cell>
        </row>
        <row r="270"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/>
          <cell r="W270">
            <v>0</v>
          </cell>
          <cell r="X270">
            <v>0</v>
          </cell>
          <cell r="Y270">
            <v>0</v>
          </cell>
          <cell r="Z270"/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169.7904243905044</v>
          </cell>
          <cell r="AF270">
            <v>0</v>
          </cell>
          <cell r="AH270">
            <v>250.58315269130659</v>
          </cell>
          <cell r="AI270">
            <v>0</v>
          </cell>
          <cell r="AK270">
            <v>248.87608838806503</v>
          </cell>
          <cell r="AL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T270">
            <v>69.694336541971353</v>
          </cell>
          <cell r="AU270">
            <v>0</v>
          </cell>
          <cell r="AW270">
            <v>0</v>
          </cell>
          <cell r="AX270">
            <v>0</v>
          </cell>
        </row>
        <row r="271">
          <cell r="I271">
            <v>0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/>
          <cell r="W271">
            <v>0</v>
          </cell>
          <cell r="X271">
            <v>0</v>
          </cell>
          <cell r="Y271">
            <v>0</v>
          </cell>
          <cell r="Z271"/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390.20101697689392</v>
          </cell>
          <cell r="AF271">
            <v>978.53170462048797</v>
          </cell>
          <cell r="AH271">
            <v>613.10965860365957</v>
          </cell>
          <cell r="AI271">
            <v>0</v>
          </cell>
          <cell r="AK271">
            <v>465.95764131857197</v>
          </cell>
          <cell r="AL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T271">
            <v>242.89646399461824</v>
          </cell>
          <cell r="AU271">
            <v>0</v>
          </cell>
          <cell r="AW271">
            <v>0</v>
          </cell>
          <cell r="AX271">
            <v>0</v>
          </cell>
        </row>
        <row r="272"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/>
          <cell r="W272">
            <v>0</v>
          </cell>
          <cell r="X272">
            <v>0</v>
          </cell>
          <cell r="Y272">
            <v>587.15857646757991</v>
          </cell>
          <cell r="Z272"/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234.32748203760042</v>
          </cell>
          <cell r="AF272">
            <v>503.99848642048795</v>
          </cell>
          <cell r="AH272">
            <v>330.23603295962948</v>
          </cell>
          <cell r="AI272">
            <v>0</v>
          </cell>
          <cell r="AK272">
            <v>294.64577629970915</v>
          </cell>
          <cell r="AL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T272">
            <v>110.74602375906008</v>
          </cell>
          <cell r="AU272">
            <v>0</v>
          </cell>
          <cell r="AW272">
            <v>0</v>
          </cell>
          <cell r="AX272">
            <v>0</v>
          </cell>
        </row>
        <row r="273"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/>
          <cell r="W273">
            <v>0</v>
          </cell>
          <cell r="X273">
            <v>58.580582563211053</v>
          </cell>
          <cell r="Y273">
            <v>0</v>
          </cell>
          <cell r="Z273"/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268.60745020669066</v>
          </cell>
          <cell r="AF273">
            <v>0</v>
          </cell>
          <cell r="AH273">
            <v>424.54339453418447</v>
          </cell>
          <cell r="AI273">
            <v>0</v>
          </cell>
          <cell r="AK273">
            <v>279.86139543396388</v>
          </cell>
          <cell r="AL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T273">
            <v>152.85067587953245</v>
          </cell>
          <cell r="AU273">
            <v>0</v>
          </cell>
          <cell r="AW273">
            <v>0</v>
          </cell>
          <cell r="AX273">
            <v>0</v>
          </cell>
        </row>
        <row r="274">
          <cell r="I274">
            <v>0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/>
          <cell r="W274">
            <v>0</v>
          </cell>
          <cell r="X274">
            <v>80.784885331457332</v>
          </cell>
          <cell r="Y274">
            <v>0</v>
          </cell>
          <cell r="Z274"/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244.26238760946541</v>
          </cell>
          <cell r="AF274">
            <v>0</v>
          </cell>
          <cell r="AH274">
            <v>332.47939196456838</v>
          </cell>
          <cell r="AI274">
            <v>0</v>
          </cell>
          <cell r="AK274">
            <v>328.85794079324251</v>
          </cell>
          <cell r="AL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T274">
            <v>117.73258216618191</v>
          </cell>
          <cell r="AU274">
            <v>0</v>
          </cell>
          <cell r="AW274">
            <v>0</v>
          </cell>
          <cell r="AX274">
            <v>0</v>
          </cell>
        </row>
        <row r="275"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/>
          <cell r="W275">
            <v>0</v>
          </cell>
          <cell r="X275">
            <v>0</v>
          </cell>
          <cell r="Y275">
            <v>0</v>
          </cell>
          <cell r="Z275"/>
          <cell r="AA275">
            <v>0</v>
          </cell>
          <cell r="AB275">
            <v>0</v>
          </cell>
          <cell r="AC275">
            <v>645.876931670555</v>
          </cell>
          <cell r="AD275">
            <v>0</v>
          </cell>
          <cell r="AE275">
            <v>179.91919703832136</v>
          </cell>
          <cell r="AF275">
            <v>0</v>
          </cell>
          <cell r="AH275">
            <v>249.85481924163975</v>
          </cell>
          <cell r="AI275">
            <v>0</v>
          </cell>
          <cell r="AK275">
            <v>320.43261331890704</v>
          </cell>
          <cell r="AL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T275">
            <v>115.28343760292933</v>
          </cell>
          <cell r="AU275">
            <v>0</v>
          </cell>
          <cell r="AW275">
            <v>0</v>
          </cell>
          <cell r="AX275">
            <v>0</v>
          </cell>
        </row>
        <row r="276">
          <cell r="I276">
            <v>0</v>
          </cell>
          <cell r="J276">
            <v>0</v>
          </cell>
          <cell r="L276">
            <v>2</v>
          </cell>
          <cell r="M276">
            <v>126058.60571047867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/>
          <cell r="W276">
            <v>0</v>
          </cell>
          <cell r="X276">
            <v>0</v>
          </cell>
          <cell r="Y276">
            <v>0</v>
          </cell>
          <cell r="Z276"/>
          <cell r="AA276">
            <v>0</v>
          </cell>
          <cell r="AB276">
            <v>0</v>
          </cell>
          <cell r="AC276">
            <v>1782.9543067997406</v>
          </cell>
          <cell r="AD276">
            <v>0</v>
          </cell>
          <cell r="AE276">
            <v>244.26238760946541</v>
          </cell>
          <cell r="AF276">
            <v>0</v>
          </cell>
          <cell r="AH276">
            <v>332.47939196456838</v>
          </cell>
          <cell r="AI276">
            <v>0</v>
          </cell>
          <cell r="AK276">
            <v>328.55404111072403</v>
          </cell>
          <cell r="AL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T276">
            <v>117.7325992495455</v>
          </cell>
          <cell r="AU276">
            <v>6865.929256077703</v>
          </cell>
          <cell r="AW276">
            <v>0</v>
          </cell>
          <cell r="AX276">
            <v>0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/>
          <cell r="W277">
            <v>0</v>
          </cell>
          <cell r="X277">
            <v>0</v>
          </cell>
          <cell r="Y277">
            <v>0</v>
          </cell>
          <cell r="Z277"/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61.456808197748892</v>
          </cell>
          <cell r="AF277">
            <v>0</v>
          </cell>
          <cell r="AH277">
            <v>73.340501382101692</v>
          </cell>
          <cell r="AI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T277">
            <v>23.056621496874509</v>
          </cell>
          <cell r="AU277">
            <v>0</v>
          </cell>
          <cell r="AW277">
            <v>0</v>
          </cell>
          <cell r="AX277">
            <v>0</v>
          </cell>
        </row>
        <row r="278"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/>
          <cell r="W278">
            <v>0</v>
          </cell>
          <cell r="X278">
            <v>36.353198399155801</v>
          </cell>
          <cell r="Y278">
            <v>13643.054217620394</v>
          </cell>
          <cell r="Z278"/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288.77331075072891</v>
          </cell>
          <cell r="AF278">
            <v>0</v>
          </cell>
          <cell r="AH278">
            <v>472.58567621981564</v>
          </cell>
          <cell r="AI278">
            <v>0</v>
          </cell>
          <cell r="AK278">
            <v>315.4105094807349</v>
          </cell>
          <cell r="AL278">
            <v>0</v>
          </cell>
          <cell r="AN278">
            <v>0</v>
          </cell>
          <cell r="AO278">
            <v>0</v>
          </cell>
          <cell r="AQ278">
            <v>0</v>
          </cell>
          <cell r="AR278">
            <v>0</v>
          </cell>
          <cell r="AT278">
            <v>156.35955570117008</v>
          </cell>
          <cell r="AU278">
            <v>0</v>
          </cell>
          <cell r="AW278">
            <v>0</v>
          </cell>
          <cell r="AX278">
            <v>0</v>
          </cell>
        </row>
        <row r="279">
          <cell r="I279">
            <v>15</v>
          </cell>
          <cell r="J279">
            <v>3434.1958936274464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/>
          <cell r="W279">
            <v>0</v>
          </cell>
          <cell r="X279">
            <v>12.117732799718599</v>
          </cell>
          <cell r="Y279">
            <v>0</v>
          </cell>
          <cell r="Z279"/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251.19340059985063</v>
          </cell>
          <cell r="AF279">
            <v>0</v>
          </cell>
          <cell r="AH279">
            <v>322.9330626916564</v>
          </cell>
          <cell r="AI279">
            <v>0</v>
          </cell>
          <cell r="AK279">
            <v>309.58538086016767</v>
          </cell>
          <cell r="AL279">
            <v>0</v>
          </cell>
          <cell r="AN279">
            <v>143.16730422382903</v>
          </cell>
          <cell r="AO279">
            <v>0</v>
          </cell>
          <cell r="AQ279">
            <v>0</v>
          </cell>
          <cell r="AR279">
            <v>647.41536177161379</v>
          </cell>
          <cell r="AT279">
            <v>133.71803528478662</v>
          </cell>
          <cell r="AU279">
            <v>0</v>
          </cell>
          <cell r="AW279">
            <v>0</v>
          </cell>
          <cell r="AX279">
            <v>0</v>
          </cell>
        </row>
        <row r="280">
          <cell r="I280">
            <v>14</v>
          </cell>
          <cell r="J280">
            <v>3206.1835422240815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/>
          <cell r="W280">
            <v>0</v>
          </cell>
          <cell r="X280">
            <v>52.510175465447261</v>
          </cell>
          <cell r="Y280">
            <v>0</v>
          </cell>
          <cell r="Z280"/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255.6979541345664</v>
          </cell>
          <cell r="AF280">
            <v>0</v>
          </cell>
          <cell r="AH280">
            <v>324.18583031484343</v>
          </cell>
          <cell r="AI280">
            <v>0</v>
          </cell>
          <cell r="AK280">
            <v>286.47761685119247</v>
          </cell>
          <cell r="AL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906.38731658514666</v>
          </cell>
          <cell r="AT280">
            <v>134.07877525191492</v>
          </cell>
          <cell r="AU280">
            <v>0</v>
          </cell>
          <cell r="AW280">
            <v>0</v>
          </cell>
          <cell r="AX280">
            <v>0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/>
          <cell r="W281">
            <v>0</v>
          </cell>
          <cell r="X281">
            <v>104.143257890153</v>
          </cell>
          <cell r="Y281">
            <v>0</v>
          </cell>
          <cell r="Z281"/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510.18365466681013</v>
          </cell>
          <cell r="AF281">
            <v>0</v>
          </cell>
          <cell r="AH281">
            <v>794.68358772623048</v>
          </cell>
          <cell r="AI281">
            <v>0</v>
          </cell>
          <cell r="AK281">
            <v>490.33909690043743</v>
          </cell>
          <cell r="AL281">
            <v>378.07232362048796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T281">
            <v>503.79300843766771</v>
          </cell>
          <cell r="AU281">
            <v>0</v>
          </cell>
          <cell r="AW281">
            <v>0</v>
          </cell>
          <cell r="AX281">
            <v>0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/>
          <cell r="W282">
            <v>0</v>
          </cell>
          <cell r="X282">
            <v>0</v>
          </cell>
          <cell r="Y282">
            <v>0</v>
          </cell>
          <cell r="Z282"/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H282">
            <v>0</v>
          </cell>
          <cell r="AI282">
            <v>0</v>
          </cell>
          <cell r="AK282">
            <v>0</v>
          </cell>
          <cell r="AL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</row>
        <row r="283"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/>
          <cell r="W283">
            <v>0</v>
          </cell>
          <cell r="X283">
            <v>0</v>
          </cell>
          <cell r="Y283">
            <v>0</v>
          </cell>
          <cell r="Z283"/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N283">
            <v>0</v>
          </cell>
          <cell r="AO283">
            <v>0</v>
          </cell>
          <cell r="AQ283">
            <v>0</v>
          </cell>
          <cell r="AR283">
            <v>0</v>
          </cell>
          <cell r="AT283">
            <v>0</v>
          </cell>
          <cell r="AU283">
            <v>0</v>
          </cell>
          <cell r="AW283">
            <v>0</v>
          </cell>
          <cell r="AX283">
            <v>0</v>
          </cell>
        </row>
        <row r="284"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/>
          <cell r="W284">
            <v>0</v>
          </cell>
          <cell r="X284">
            <v>0</v>
          </cell>
          <cell r="Y284">
            <v>0</v>
          </cell>
          <cell r="Z284"/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</row>
        <row r="285"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/>
          <cell r="W285">
            <v>0</v>
          </cell>
          <cell r="X285">
            <v>0</v>
          </cell>
          <cell r="Y285">
            <v>0</v>
          </cell>
          <cell r="Z285"/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H285">
            <v>0</v>
          </cell>
          <cell r="AI285">
            <v>0</v>
          </cell>
          <cell r="AK285">
            <v>0</v>
          </cell>
          <cell r="AL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</row>
        <row r="286"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/>
          <cell r="W286">
            <v>0</v>
          </cell>
          <cell r="X286">
            <v>0</v>
          </cell>
          <cell r="Y286">
            <v>0</v>
          </cell>
          <cell r="Z286"/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34.501372213371873</v>
          </cell>
          <cell r="AF286">
            <v>0</v>
          </cell>
          <cell r="AH286">
            <v>35.106725210817658</v>
          </cell>
          <cell r="AI286">
            <v>0</v>
          </cell>
          <cell r="AK286">
            <v>11.463616105968482</v>
          </cell>
          <cell r="AL286">
            <v>0</v>
          </cell>
          <cell r="AN286">
            <v>17.956827810507491</v>
          </cell>
          <cell r="AO286">
            <v>0</v>
          </cell>
          <cell r="AQ286">
            <v>0</v>
          </cell>
          <cell r="AR286">
            <v>0</v>
          </cell>
          <cell r="AT286">
            <v>9.8614204561619534</v>
          </cell>
          <cell r="AU286">
            <v>0</v>
          </cell>
          <cell r="AW286">
            <v>0</v>
          </cell>
          <cell r="AX286">
            <v>0</v>
          </cell>
        </row>
        <row r="287"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/>
          <cell r="W287">
            <v>0</v>
          </cell>
          <cell r="X287">
            <v>0</v>
          </cell>
          <cell r="Y287">
            <v>0</v>
          </cell>
          <cell r="Z287"/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453.16429572632046</v>
          </cell>
          <cell r="AF287">
            <v>0</v>
          </cell>
          <cell r="AH287">
            <v>730.31644067323475</v>
          </cell>
          <cell r="AI287">
            <v>0</v>
          </cell>
          <cell r="AK287">
            <v>413.83434175910082</v>
          </cell>
          <cell r="AL287">
            <v>0</v>
          </cell>
          <cell r="AN287">
            <v>0</v>
          </cell>
          <cell r="AO287">
            <v>0</v>
          </cell>
          <cell r="AQ287">
            <v>0</v>
          </cell>
          <cell r="AR287">
            <v>0</v>
          </cell>
          <cell r="AT287">
            <v>332.67629256086099</v>
          </cell>
          <cell r="AU287">
            <v>0</v>
          </cell>
          <cell r="AW287">
            <v>0</v>
          </cell>
          <cell r="AX287">
            <v>0</v>
          </cell>
        </row>
        <row r="288"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/>
          <cell r="W288">
            <v>6</v>
          </cell>
          <cell r="X288">
            <v>428.73448140108104</v>
          </cell>
          <cell r="Y288">
            <v>1055.6706979051455</v>
          </cell>
          <cell r="Z288"/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453.28676417768395</v>
          </cell>
          <cell r="AF288">
            <v>0</v>
          </cell>
          <cell r="AH288">
            <v>730.47179917909421</v>
          </cell>
          <cell r="AI288">
            <v>0</v>
          </cell>
          <cell r="AK288">
            <v>411.00574223534153</v>
          </cell>
          <cell r="AL288">
            <v>0</v>
          </cell>
          <cell r="AN288">
            <v>0</v>
          </cell>
          <cell r="AO288">
            <v>0</v>
          </cell>
          <cell r="AQ288">
            <v>218.86472282667671</v>
          </cell>
          <cell r="AR288">
            <v>0</v>
          </cell>
          <cell r="AT288">
            <v>332.88205778624234</v>
          </cell>
          <cell r="AU288">
            <v>0</v>
          </cell>
          <cell r="AW288">
            <v>0</v>
          </cell>
          <cell r="AX288">
            <v>0</v>
          </cell>
        </row>
        <row r="289">
          <cell r="I289">
            <v>1.6</v>
          </cell>
          <cell r="J289">
            <v>266.03132216097328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/>
          <cell r="W289">
            <v>8</v>
          </cell>
          <cell r="X289">
            <v>566.54539545032867</v>
          </cell>
          <cell r="Y289">
            <v>0</v>
          </cell>
          <cell r="Z289"/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312.08107424119544</v>
          </cell>
          <cell r="AF289">
            <v>0</v>
          </cell>
          <cell r="AH289">
            <v>490.42556714245251</v>
          </cell>
          <cell r="AI289">
            <v>0</v>
          </cell>
          <cell r="AK289">
            <v>295.04809673845114</v>
          </cell>
          <cell r="AL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T289">
            <v>187.56725379517582</v>
          </cell>
          <cell r="AU289">
            <v>0</v>
          </cell>
          <cell r="AW289">
            <v>0</v>
          </cell>
          <cell r="AX289">
            <v>0</v>
          </cell>
        </row>
        <row r="290"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/>
          <cell r="W290">
            <v>3</v>
          </cell>
          <cell r="X290">
            <v>219.96298683416921</v>
          </cell>
          <cell r="Y290">
            <v>0</v>
          </cell>
          <cell r="Z290"/>
          <cell r="AA290">
            <v>0</v>
          </cell>
          <cell r="AB290">
            <v>0</v>
          </cell>
          <cell r="AC290">
            <v>0</v>
          </cell>
          <cell r="AD290">
            <v>3166.6582639794706</v>
          </cell>
          <cell r="AE290">
            <v>597.70861840761279</v>
          </cell>
          <cell r="AF290">
            <v>0</v>
          </cell>
          <cell r="AH290">
            <v>974.84939071975509</v>
          </cell>
          <cell r="AI290">
            <v>0</v>
          </cell>
          <cell r="AK290">
            <v>567.61626868907615</v>
          </cell>
          <cell r="AL290">
            <v>0</v>
          </cell>
          <cell r="AN290">
            <v>0</v>
          </cell>
          <cell r="AO290">
            <v>0</v>
          </cell>
          <cell r="AQ290">
            <v>338.81178137477229</v>
          </cell>
          <cell r="AR290">
            <v>0</v>
          </cell>
          <cell r="AT290">
            <v>521.68679861452631</v>
          </cell>
          <cell r="AU290">
            <v>0</v>
          </cell>
          <cell r="AW290">
            <v>0</v>
          </cell>
          <cell r="AX290">
            <v>0</v>
          </cell>
        </row>
        <row r="291"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/>
          <cell r="W291">
            <v>0</v>
          </cell>
          <cell r="X291">
            <v>0</v>
          </cell>
          <cell r="Y291">
            <v>0</v>
          </cell>
          <cell r="Z291"/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293.62362475258334</v>
          </cell>
          <cell r="AF291">
            <v>1260.0019601349411</v>
          </cell>
          <cell r="AH291">
            <v>479.05349530254739</v>
          </cell>
          <cell r="AI291">
            <v>0</v>
          </cell>
          <cell r="AK291">
            <v>251.78681354995123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176.11396072083613</v>
          </cell>
          <cell r="AU291">
            <v>0</v>
          </cell>
          <cell r="AW291">
            <v>0</v>
          </cell>
          <cell r="AX291">
            <v>0</v>
          </cell>
        </row>
        <row r="292"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/>
          <cell r="W292">
            <v>5</v>
          </cell>
          <cell r="X292">
            <v>357.77390088341679</v>
          </cell>
          <cell r="Y292">
            <v>0</v>
          </cell>
          <cell r="Z292"/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454.33816644439599</v>
          </cell>
          <cell r="AF292">
            <v>0</v>
          </cell>
          <cell r="AH292">
            <v>731.30703205498548</v>
          </cell>
          <cell r="AI292">
            <v>0</v>
          </cell>
          <cell r="AK292">
            <v>419.31302136116989</v>
          </cell>
          <cell r="AL292">
            <v>0</v>
          </cell>
          <cell r="AN292">
            <v>0</v>
          </cell>
          <cell r="AO292">
            <v>0</v>
          </cell>
          <cell r="AQ292">
            <v>223.34337737643764</v>
          </cell>
          <cell r="AR292">
            <v>0</v>
          </cell>
          <cell r="AT292">
            <v>334.27802161567132</v>
          </cell>
          <cell r="AU292">
            <v>0</v>
          </cell>
          <cell r="AW292">
            <v>0</v>
          </cell>
          <cell r="AX292">
            <v>0</v>
          </cell>
        </row>
        <row r="293"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/>
          <cell r="W293">
            <v>0</v>
          </cell>
          <cell r="X293">
            <v>0</v>
          </cell>
          <cell r="Y293">
            <v>5412.0723346168297</v>
          </cell>
          <cell r="Z293"/>
          <cell r="AA293">
            <v>0</v>
          </cell>
          <cell r="AB293">
            <v>0</v>
          </cell>
          <cell r="AC293">
            <v>2006.4134109018471</v>
          </cell>
          <cell r="AD293">
            <v>1412.8690429148346</v>
          </cell>
          <cell r="AE293">
            <v>598.56467936387094</v>
          </cell>
          <cell r="AF293">
            <v>0</v>
          </cell>
          <cell r="AH293">
            <v>975.5292650897868</v>
          </cell>
          <cell r="AI293">
            <v>0</v>
          </cell>
          <cell r="AK293">
            <v>568.60575830468986</v>
          </cell>
          <cell r="AL293">
            <v>0</v>
          </cell>
          <cell r="AN293">
            <v>0</v>
          </cell>
          <cell r="AO293">
            <v>0</v>
          </cell>
          <cell r="AQ293">
            <v>338.81178137477229</v>
          </cell>
          <cell r="AR293">
            <v>0</v>
          </cell>
          <cell r="AT293">
            <v>542.99350131699373</v>
          </cell>
          <cell r="AU293">
            <v>3661.1014713253667</v>
          </cell>
          <cell r="AW293">
            <v>0</v>
          </cell>
          <cell r="AX293">
            <v>0</v>
          </cell>
        </row>
        <row r="294"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/>
          <cell r="W294">
            <v>0</v>
          </cell>
          <cell r="X294">
            <v>0</v>
          </cell>
          <cell r="Y294">
            <v>0</v>
          </cell>
          <cell r="Z294"/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366.08836141794058</v>
          </cell>
          <cell r="AF294">
            <v>0</v>
          </cell>
          <cell r="AH294">
            <v>490.31866771622811</v>
          </cell>
          <cell r="AI294">
            <v>0</v>
          </cell>
          <cell r="AK294">
            <v>307.91442535873171</v>
          </cell>
          <cell r="AL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T294">
            <v>200.55401869626783</v>
          </cell>
          <cell r="AU294">
            <v>0</v>
          </cell>
          <cell r="AW294">
            <v>0</v>
          </cell>
          <cell r="AX294">
            <v>0</v>
          </cell>
        </row>
        <row r="295"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/>
          <cell r="W295">
            <v>0</v>
          </cell>
          <cell r="X295">
            <v>0</v>
          </cell>
          <cell r="Y295">
            <v>0</v>
          </cell>
          <cell r="Z295"/>
          <cell r="AA295">
            <v>0</v>
          </cell>
          <cell r="AB295">
            <v>0</v>
          </cell>
          <cell r="AC295">
            <v>1883.5573774764557</v>
          </cell>
          <cell r="AD295">
            <v>0</v>
          </cell>
          <cell r="AE295">
            <v>363.89792516554621</v>
          </cell>
          <cell r="AF295">
            <v>0</v>
          </cell>
          <cell r="AH295">
            <v>490.31866771622811</v>
          </cell>
          <cell r="AI295">
            <v>0</v>
          </cell>
          <cell r="AK295">
            <v>310.38881940211519</v>
          </cell>
          <cell r="AL295">
            <v>5126.5482284402133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T295">
            <v>200.62495309533139</v>
          </cell>
          <cell r="AU295">
            <v>0</v>
          </cell>
          <cell r="AW295">
            <v>0</v>
          </cell>
          <cell r="AX295">
            <v>0</v>
          </cell>
        </row>
        <row r="296">
          <cell r="I296">
            <v>0</v>
          </cell>
          <cell r="J296">
            <v>0</v>
          </cell>
          <cell r="L296">
            <v>0</v>
          </cell>
          <cell r="M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/>
          <cell r="W296">
            <v>4</v>
          </cell>
          <cell r="X296">
            <v>481.83090077367149</v>
          </cell>
          <cell r="Y296">
            <v>0</v>
          </cell>
          <cell r="Z296"/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441.65315238689044</v>
          </cell>
          <cell r="AF296">
            <v>0</v>
          </cell>
          <cell r="AH296">
            <v>725.10147090433986</v>
          </cell>
          <cell r="AI296">
            <v>0</v>
          </cell>
          <cell r="AK296">
            <v>412.62285498128728</v>
          </cell>
          <cell r="AL296">
            <v>0</v>
          </cell>
          <cell r="AN296">
            <v>0</v>
          </cell>
          <cell r="AO296">
            <v>0</v>
          </cell>
          <cell r="AQ296">
            <v>218.86472282667671</v>
          </cell>
          <cell r="AR296">
            <v>0</v>
          </cell>
          <cell r="AT296">
            <v>324.71868414836467</v>
          </cell>
          <cell r="AU296">
            <v>0</v>
          </cell>
          <cell r="AW296">
            <v>0</v>
          </cell>
          <cell r="AX296">
            <v>0</v>
          </cell>
        </row>
        <row r="297">
          <cell r="I297">
            <v>0</v>
          </cell>
          <cell r="J297">
            <v>0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/>
          <cell r="W297">
            <v>0</v>
          </cell>
          <cell r="X297">
            <v>0</v>
          </cell>
          <cell r="Y297">
            <v>0</v>
          </cell>
          <cell r="Z297"/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304.74829424469891</v>
          </cell>
          <cell r="AF297">
            <v>0</v>
          </cell>
          <cell r="AH297">
            <v>470.34239890552664</v>
          </cell>
          <cell r="AI297">
            <v>0</v>
          </cell>
          <cell r="AK297">
            <v>376.50712476896177</v>
          </cell>
          <cell r="AL297">
            <v>0</v>
          </cell>
          <cell r="AN297">
            <v>225.85537583994028</v>
          </cell>
          <cell r="AO297">
            <v>0</v>
          </cell>
          <cell r="AQ297">
            <v>0</v>
          </cell>
          <cell r="AR297">
            <v>0</v>
          </cell>
          <cell r="AT297">
            <v>188.63842984583084</v>
          </cell>
          <cell r="AU297">
            <v>0</v>
          </cell>
          <cell r="AW297">
            <v>0</v>
          </cell>
          <cell r="AX297">
            <v>0</v>
          </cell>
        </row>
        <row r="298"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/>
          <cell r="W298">
            <v>0</v>
          </cell>
          <cell r="X298">
            <v>0</v>
          </cell>
          <cell r="Y298">
            <v>0</v>
          </cell>
          <cell r="Z298"/>
          <cell r="AA298">
            <v>0</v>
          </cell>
          <cell r="AB298">
            <v>0</v>
          </cell>
          <cell r="AC298">
            <v>8691.8011889928948</v>
          </cell>
          <cell r="AD298">
            <v>0</v>
          </cell>
          <cell r="AE298">
            <v>362.19421393906958</v>
          </cell>
          <cell r="AF298">
            <v>0</v>
          </cell>
          <cell r="AH298">
            <v>524.59024174180445</v>
          </cell>
          <cell r="AI298">
            <v>0</v>
          </cell>
          <cell r="AK298">
            <v>380.4641738473648</v>
          </cell>
          <cell r="AL298">
            <v>851.26294267612695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T298">
            <v>267.01036497539843</v>
          </cell>
          <cell r="AU298">
            <v>0</v>
          </cell>
          <cell r="AW298">
            <v>0</v>
          </cell>
          <cell r="AX298">
            <v>0</v>
          </cell>
        </row>
        <row r="299">
          <cell r="I299">
            <v>0</v>
          </cell>
          <cell r="J299">
            <v>0</v>
          </cell>
          <cell r="L299">
            <v>0</v>
          </cell>
          <cell r="M299">
            <v>56378.525424605832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/>
          <cell r="W299">
            <v>0</v>
          </cell>
          <cell r="X299">
            <v>0</v>
          </cell>
          <cell r="Y299">
            <v>0</v>
          </cell>
          <cell r="Z299"/>
          <cell r="AA299">
            <v>0</v>
          </cell>
          <cell r="AB299">
            <v>0</v>
          </cell>
          <cell r="AC299">
            <v>4401.9767311996275</v>
          </cell>
          <cell r="AD299">
            <v>0</v>
          </cell>
          <cell r="AE299">
            <v>242.96787395953822</v>
          </cell>
          <cell r="AF299">
            <v>0</v>
          </cell>
          <cell r="AH299">
            <v>401.48853384265288</v>
          </cell>
          <cell r="AI299">
            <v>0</v>
          </cell>
          <cell r="AK299">
            <v>162.10302398842919</v>
          </cell>
          <cell r="AL299">
            <v>0</v>
          </cell>
          <cell r="AN299">
            <v>72.616538247391418</v>
          </cell>
          <cell r="AO299">
            <v>0</v>
          </cell>
          <cell r="AQ299">
            <v>0</v>
          </cell>
          <cell r="AR299">
            <v>0</v>
          </cell>
          <cell r="AT299">
            <v>56.996604701232371</v>
          </cell>
          <cell r="AU299">
            <v>0</v>
          </cell>
          <cell r="AW299">
            <v>0</v>
          </cell>
          <cell r="AX299">
            <v>0</v>
          </cell>
        </row>
        <row r="300"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/>
          <cell r="W300">
            <v>0</v>
          </cell>
          <cell r="X300">
            <v>104.143257890153</v>
          </cell>
          <cell r="Y300">
            <v>0</v>
          </cell>
          <cell r="Z300"/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429.92685568395893</v>
          </cell>
          <cell r="AF300">
            <v>0</v>
          </cell>
          <cell r="AH300">
            <v>615.50829442380814</v>
          </cell>
          <cell r="AI300">
            <v>0</v>
          </cell>
          <cell r="AK300">
            <v>420.47370380186715</v>
          </cell>
          <cell r="AL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T300">
            <v>0</v>
          </cell>
          <cell r="AU300">
            <v>0</v>
          </cell>
          <cell r="AW300">
            <v>0</v>
          </cell>
          <cell r="AX300">
            <v>0</v>
          </cell>
        </row>
        <row r="301"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/>
          <cell r="W301">
            <v>0</v>
          </cell>
          <cell r="X301">
            <v>60.588663998592992</v>
          </cell>
          <cell r="Y301">
            <v>0</v>
          </cell>
          <cell r="Z301"/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333.66454642231821</v>
          </cell>
          <cell r="AF301">
            <v>0</v>
          </cell>
          <cell r="AH301">
            <v>493.65943583849338</v>
          </cell>
          <cell r="AI301">
            <v>0</v>
          </cell>
          <cell r="AK301">
            <v>405.93418033429435</v>
          </cell>
          <cell r="AL301">
            <v>0</v>
          </cell>
          <cell r="AN301">
            <v>199.58031090607005</v>
          </cell>
          <cell r="AO301">
            <v>0</v>
          </cell>
          <cell r="AQ301">
            <v>0</v>
          </cell>
          <cell r="AR301">
            <v>0</v>
          </cell>
          <cell r="AT301">
            <v>240.41378397964613</v>
          </cell>
          <cell r="AU301">
            <v>313.37374749755588</v>
          </cell>
          <cell r="AW301">
            <v>0</v>
          </cell>
          <cell r="AX301">
            <v>0</v>
          </cell>
        </row>
        <row r="302"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/>
          <cell r="W302">
            <v>0</v>
          </cell>
          <cell r="X302">
            <v>46.462849763492457</v>
          </cell>
          <cell r="Y302">
            <v>223.13179393740035</v>
          </cell>
          <cell r="Z302"/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309.40264000821674</v>
          </cell>
          <cell r="AF302">
            <v>0</v>
          </cell>
          <cell r="AH302">
            <v>429.03011254406238</v>
          </cell>
          <cell r="AI302">
            <v>0</v>
          </cell>
          <cell r="AK302">
            <v>540.19704455889519</v>
          </cell>
          <cell r="AL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T302">
            <v>317.0796259884653</v>
          </cell>
          <cell r="AU302">
            <v>208.92442055244328</v>
          </cell>
          <cell r="AW302">
            <v>0</v>
          </cell>
          <cell r="AX302">
            <v>0</v>
          </cell>
        </row>
        <row r="303"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/>
          <cell r="W303">
            <v>0</v>
          </cell>
          <cell r="X303">
            <v>0</v>
          </cell>
          <cell r="Y303">
            <v>0</v>
          </cell>
          <cell r="Z303"/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767.84224561021233</v>
          </cell>
          <cell r="AF303">
            <v>0</v>
          </cell>
          <cell r="AH303">
            <v>1229.3462864771334</v>
          </cell>
          <cell r="AI303">
            <v>1329.9675561136937</v>
          </cell>
          <cell r="AK303">
            <v>1074.4919495575432</v>
          </cell>
          <cell r="AL303">
            <v>517.71343014586398</v>
          </cell>
          <cell r="AN303">
            <v>0</v>
          </cell>
          <cell r="AO303">
            <v>0</v>
          </cell>
          <cell r="AQ303">
            <v>0</v>
          </cell>
          <cell r="AR303">
            <v>0</v>
          </cell>
          <cell r="AT303">
            <v>743.01646728891683</v>
          </cell>
          <cell r="AU303">
            <v>412.12129448439714</v>
          </cell>
          <cell r="AW303">
            <v>0</v>
          </cell>
          <cell r="AX303">
            <v>0</v>
          </cell>
        </row>
        <row r="304"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/>
          <cell r="W304">
            <v>0</v>
          </cell>
          <cell r="X304">
            <v>0</v>
          </cell>
          <cell r="Y304">
            <v>0</v>
          </cell>
          <cell r="Z304"/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243.81387473835781</v>
          </cell>
          <cell r="AF304">
            <v>0</v>
          </cell>
          <cell r="AH304">
            <v>370.97542606793741</v>
          </cell>
          <cell r="AI304">
            <v>0</v>
          </cell>
          <cell r="AK304">
            <v>313.66727724597587</v>
          </cell>
          <cell r="AL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T304">
            <v>118.21256501765102</v>
          </cell>
          <cell r="AU304">
            <v>0</v>
          </cell>
          <cell r="AW304">
            <v>0</v>
          </cell>
          <cell r="AX304">
            <v>0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/>
          <cell r="W305">
            <v>0</v>
          </cell>
          <cell r="X305">
            <v>0</v>
          </cell>
          <cell r="Y305">
            <v>0</v>
          </cell>
          <cell r="Z305"/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235.2159873626965</v>
          </cell>
          <cell r="AF305">
            <v>0</v>
          </cell>
          <cell r="AH305">
            <v>370.97542606793741</v>
          </cell>
          <cell r="AI305">
            <v>0</v>
          </cell>
          <cell r="AK305">
            <v>279.88110539235134</v>
          </cell>
          <cell r="AL305">
            <v>0</v>
          </cell>
          <cell r="AN305">
            <v>131.41230815033148</v>
          </cell>
          <cell r="AO305">
            <v>0</v>
          </cell>
          <cell r="AQ305">
            <v>89.960355179059135</v>
          </cell>
          <cell r="AR305">
            <v>0</v>
          </cell>
          <cell r="AT305">
            <v>118.21257789507058</v>
          </cell>
          <cell r="AU305">
            <v>0</v>
          </cell>
          <cell r="AW305">
            <v>0</v>
          </cell>
          <cell r="AX305">
            <v>0</v>
          </cell>
        </row>
        <row r="306">
          <cell r="I306">
            <v>0</v>
          </cell>
          <cell r="J306">
            <v>0</v>
          </cell>
          <cell r="L306">
            <v>1</v>
          </cell>
          <cell r="M306">
            <v>66208.894333527802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/>
          <cell r="W306">
            <v>0</v>
          </cell>
          <cell r="X306">
            <v>0</v>
          </cell>
          <cell r="Y306">
            <v>0</v>
          </cell>
          <cell r="Z306"/>
          <cell r="AA306">
            <v>0</v>
          </cell>
          <cell r="AB306">
            <v>0</v>
          </cell>
          <cell r="AC306">
            <v>3757.7082635496135</v>
          </cell>
          <cell r="AD306">
            <v>0</v>
          </cell>
          <cell r="AE306">
            <v>536.98858182502408</v>
          </cell>
          <cell r="AF306">
            <v>0</v>
          </cell>
          <cell r="AH306">
            <v>735.63830986835274</v>
          </cell>
          <cell r="AI306">
            <v>0</v>
          </cell>
          <cell r="AK306">
            <v>498.87522422955419</v>
          </cell>
          <cell r="AL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T306">
            <v>321.34271961888942</v>
          </cell>
          <cell r="AU306">
            <v>0</v>
          </cell>
          <cell r="AW306">
            <v>237.68739725384614</v>
          </cell>
          <cell r="AX306">
            <v>0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/>
          <cell r="W307">
            <v>0</v>
          </cell>
          <cell r="X307">
            <v>0</v>
          </cell>
          <cell r="Y307">
            <v>0</v>
          </cell>
          <cell r="Z307"/>
          <cell r="AA307">
            <v>0</v>
          </cell>
          <cell r="AB307">
            <v>0</v>
          </cell>
          <cell r="AC307">
            <v>95.132802864205786</v>
          </cell>
          <cell r="AD307">
            <v>0</v>
          </cell>
          <cell r="AE307">
            <v>260.74742636054094</v>
          </cell>
          <cell r="AF307">
            <v>0</v>
          </cell>
          <cell r="AH307">
            <v>377.33626403379481</v>
          </cell>
          <cell r="AI307">
            <v>0</v>
          </cell>
          <cell r="AK307">
            <v>286.46913740690536</v>
          </cell>
          <cell r="AL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T307">
            <v>122.81870137610875</v>
          </cell>
          <cell r="AU307">
            <v>0</v>
          </cell>
          <cell r="AW307">
            <v>119.34310272027908</v>
          </cell>
          <cell r="AX307">
            <v>0</v>
          </cell>
        </row>
        <row r="308"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/>
          <cell r="W308">
            <v>0</v>
          </cell>
          <cell r="X308">
            <v>45.101047410762177</v>
          </cell>
          <cell r="Y308">
            <v>1317.9202290158948</v>
          </cell>
          <cell r="Z308"/>
          <cell r="AA308">
            <v>0</v>
          </cell>
          <cell r="AB308">
            <v>0</v>
          </cell>
          <cell r="AC308">
            <v>1170.5893536788819</v>
          </cell>
          <cell r="AD308">
            <v>0</v>
          </cell>
          <cell r="AE308">
            <v>326.06781225211932</v>
          </cell>
          <cell r="AF308">
            <v>0</v>
          </cell>
          <cell r="AH308">
            <v>492.56202672116706</v>
          </cell>
          <cell r="AI308">
            <v>0</v>
          </cell>
          <cell r="AK308">
            <v>300.2074328718092</v>
          </cell>
          <cell r="AL308">
            <v>0</v>
          </cell>
          <cell r="AN308">
            <v>0</v>
          </cell>
          <cell r="AO308">
            <v>0</v>
          </cell>
          <cell r="AQ308">
            <v>0</v>
          </cell>
          <cell r="AR308">
            <v>0</v>
          </cell>
          <cell r="AT308">
            <v>176.52030214061796</v>
          </cell>
          <cell r="AU308">
            <v>361.07703759210381</v>
          </cell>
          <cell r="AW308">
            <v>107.05787424455717</v>
          </cell>
          <cell r="AX308">
            <v>0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/>
          <cell r="W309">
            <v>0</v>
          </cell>
          <cell r="X309">
            <v>0</v>
          </cell>
          <cell r="Y309">
            <v>0</v>
          </cell>
          <cell r="Z309"/>
          <cell r="AA309">
            <v>0</v>
          </cell>
          <cell r="AB309">
            <v>0</v>
          </cell>
          <cell r="AC309">
            <v>0</v>
          </cell>
          <cell r="AD309">
            <v>1382.1869410379879</v>
          </cell>
          <cell r="AE309">
            <v>542.09011909004789</v>
          </cell>
          <cell r="AF309">
            <v>0</v>
          </cell>
          <cell r="AH309">
            <v>850.60757030285652</v>
          </cell>
          <cell r="AI309">
            <v>5770.0688737719811</v>
          </cell>
          <cell r="AK309">
            <v>489.80949694715548</v>
          </cell>
          <cell r="AL309">
            <v>0</v>
          </cell>
          <cell r="AN309">
            <v>271.06661852588115</v>
          </cell>
          <cell r="AO309">
            <v>0</v>
          </cell>
          <cell r="AQ309">
            <v>209.85895464751857</v>
          </cell>
          <cell r="AR309">
            <v>25.7652888</v>
          </cell>
          <cell r="AT309">
            <v>427.20193121784132</v>
          </cell>
          <cell r="AU309">
            <v>1146.8836008191911</v>
          </cell>
          <cell r="AW309">
            <v>232.06982656797737</v>
          </cell>
          <cell r="AX309">
            <v>0</v>
          </cell>
        </row>
        <row r="310"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/>
          <cell r="W310">
            <v>0</v>
          </cell>
          <cell r="X310">
            <v>0</v>
          </cell>
          <cell r="Y310">
            <v>0</v>
          </cell>
          <cell r="Z310"/>
          <cell r="AA310">
            <v>0</v>
          </cell>
          <cell r="AB310">
            <v>0</v>
          </cell>
          <cell r="AC310">
            <v>0</v>
          </cell>
          <cell r="AD310">
            <v>705.7806092044051</v>
          </cell>
          <cell r="AE310">
            <v>356.05503281979952</v>
          </cell>
          <cell r="AF310">
            <v>0</v>
          </cell>
          <cell r="AH310">
            <v>553.69522338747106</v>
          </cell>
          <cell r="AI310">
            <v>0</v>
          </cell>
          <cell r="AK310">
            <v>316.94103982577809</v>
          </cell>
          <cell r="AL310">
            <v>0</v>
          </cell>
          <cell r="AN310">
            <v>0</v>
          </cell>
          <cell r="AO310">
            <v>0</v>
          </cell>
          <cell r="AQ310">
            <v>0</v>
          </cell>
          <cell r="AR310">
            <v>0</v>
          </cell>
          <cell r="AT310">
            <v>174.41860246110207</v>
          </cell>
          <cell r="AU310">
            <v>636.86621478308132</v>
          </cell>
          <cell r="AW310">
            <v>200.88589227223855</v>
          </cell>
          <cell r="AX310">
            <v>0</v>
          </cell>
        </row>
        <row r="311"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/>
          <cell r="W311">
            <v>0</v>
          </cell>
          <cell r="X311">
            <v>0</v>
          </cell>
          <cell r="Y311">
            <v>0</v>
          </cell>
          <cell r="Z311"/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H311">
            <v>0</v>
          </cell>
          <cell r="AI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</row>
        <row r="312"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208.56930681944473</v>
          </cell>
          <cell r="V312"/>
          <cell r="W312">
            <v>0</v>
          </cell>
          <cell r="X312">
            <v>5.4933722025390983</v>
          </cell>
          <cell r="Y312">
            <v>0</v>
          </cell>
          <cell r="Z312"/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72.145296138836983</v>
          </cell>
          <cell r="AF312">
            <v>0</v>
          </cell>
          <cell r="AH312">
            <v>84.872810033977956</v>
          </cell>
          <cell r="AI312">
            <v>0</v>
          </cell>
          <cell r="AK312">
            <v>109.49441663650556</v>
          </cell>
          <cell r="AL312">
            <v>0</v>
          </cell>
          <cell r="AN312">
            <v>57.686128782423815</v>
          </cell>
          <cell r="AO312">
            <v>0</v>
          </cell>
          <cell r="AQ312">
            <v>26.384494126153122</v>
          </cell>
          <cell r="AR312">
            <v>0</v>
          </cell>
          <cell r="AT312">
            <v>53.107231388226225</v>
          </cell>
          <cell r="AU312">
            <v>273.37097428614572</v>
          </cell>
          <cell r="AW312">
            <v>0</v>
          </cell>
          <cell r="AX312">
            <v>0</v>
          </cell>
        </row>
        <row r="313"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562.17694020393299</v>
          </cell>
          <cell r="V313"/>
          <cell r="W313">
            <v>0</v>
          </cell>
          <cell r="X313">
            <v>53.225698735525881</v>
          </cell>
          <cell r="Y313">
            <v>0</v>
          </cell>
          <cell r="Z313"/>
          <cell r="AA313">
            <v>0</v>
          </cell>
          <cell r="AB313">
            <v>2594.5226821060592</v>
          </cell>
          <cell r="AC313">
            <v>826.7641970386519</v>
          </cell>
          <cell r="AD313">
            <v>0</v>
          </cell>
          <cell r="AE313">
            <v>121.58007400255997</v>
          </cell>
          <cell r="AF313">
            <v>1286.6908589780044</v>
          </cell>
          <cell r="AH313">
            <v>159.30104863470086</v>
          </cell>
          <cell r="AI313">
            <v>0</v>
          </cell>
          <cell r="AK313">
            <v>155.80471250959988</v>
          </cell>
          <cell r="AL313">
            <v>0</v>
          </cell>
          <cell r="AN313">
            <v>65.835441136694755</v>
          </cell>
          <cell r="AO313">
            <v>0</v>
          </cell>
          <cell r="AQ313">
            <v>39.576724851099698</v>
          </cell>
          <cell r="AR313">
            <v>0</v>
          </cell>
          <cell r="AT313">
            <v>92.643523219730568</v>
          </cell>
          <cell r="AU313">
            <v>0</v>
          </cell>
          <cell r="AW313">
            <v>0</v>
          </cell>
          <cell r="AX313">
            <v>0</v>
          </cell>
        </row>
        <row r="314"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/>
          <cell r="W314">
            <v>0</v>
          </cell>
          <cell r="X314">
            <v>0</v>
          </cell>
          <cell r="Y314">
            <v>0</v>
          </cell>
          <cell r="Z314"/>
          <cell r="AA314">
            <v>0</v>
          </cell>
          <cell r="AB314">
            <v>0</v>
          </cell>
          <cell r="AC314">
            <v>1352.7925119252593</v>
          </cell>
          <cell r="AD314">
            <v>555.82352751177655</v>
          </cell>
          <cell r="AE314">
            <v>308.63227648939352</v>
          </cell>
          <cell r="AF314">
            <v>0</v>
          </cell>
          <cell r="AH314">
            <v>490.42556714245251</v>
          </cell>
          <cell r="AI314">
            <v>0</v>
          </cell>
          <cell r="AK314">
            <v>392.24599536342089</v>
          </cell>
          <cell r="AL314">
            <v>0</v>
          </cell>
          <cell r="AN314">
            <v>0</v>
          </cell>
          <cell r="AO314">
            <v>0</v>
          </cell>
          <cell r="AQ314">
            <v>0</v>
          </cell>
          <cell r="AR314">
            <v>0</v>
          </cell>
          <cell r="AT314">
            <v>174.41860683958959</v>
          </cell>
          <cell r="AU314">
            <v>0</v>
          </cell>
          <cell r="AW314">
            <v>0</v>
          </cell>
          <cell r="AX314">
            <v>0</v>
          </cell>
        </row>
        <row r="315"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/>
          <cell r="W315">
            <v>0</v>
          </cell>
          <cell r="X315">
            <v>0</v>
          </cell>
          <cell r="Y315">
            <v>0</v>
          </cell>
          <cell r="Z315"/>
          <cell r="AA315">
            <v>0</v>
          </cell>
          <cell r="AB315">
            <v>0</v>
          </cell>
          <cell r="AC315">
            <v>603.84626433482299</v>
          </cell>
          <cell r="AD315">
            <v>0</v>
          </cell>
          <cell r="AE315">
            <v>299.40314063924632</v>
          </cell>
          <cell r="AF315">
            <v>754.29647901999078</v>
          </cell>
          <cell r="AH315">
            <v>382.22287577264916</v>
          </cell>
          <cell r="AI315">
            <v>0</v>
          </cell>
          <cell r="AK315">
            <v>393.17290868409344</v>
          </cell>
          <cell r="AL315">
            <v>0</v>
          </cell>
          <cell r="AN315">
            <v>151.25715432493635</v>
          </cell>
          <cell r="AO315">
            <v>616.4757719159312</v>
          </cell>
          <cell r="AQ315">
            <v>74.942692264072917</v>
          </cell>
          <cell r="AR315">
            <v>0</v>
          </cell>
          <cell r="AT315">
            <v>322.07430498385054</v>
          </cell>
          <cell r="AU315">
            <v>811.33478098866101</v>
          </cell>
          <cell r="AW315">
            <v>0</v>
          </cell>
          <cell r="AX315">
            <v>0</v>
          </cell>
        </row>
        <row r="316"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/>
          <cell r="W316">
            <v>0</v>
          </cell>
          <cell r="X316">
            <v>0</v>
          </cell>
          <cell r="Y316">
            <v>0</v>
          </cell>
          <cell r="Z316"/>
          <cell r="AA316">
            <v>0</v>
          </cell>
          <cell r="AB316">
            <v>0</v>
          </cell>
          <cell r="AC316">
            <v>0</v>
          </cell>
          <cell r="AD316">
            <v>634.40189152047651</v>
          </cell>
          <cell r="AE316">
            <v>285.95847221364954</v>
          </cell>
          <cell r="AF316">
            <v>0</v>
          </cell>
          <cell r="AH316">
            <v>453.52599414512929</v>
          </cell>
          <cell r="AI316">
            <v>0</v>
          </cell>
          <cell r="AK316">
            <v>508.91541862213694</v>
          </cell>
          <cell r="AL316">
            <v>0</v>
          </cell>
          <cell r="AN316">
            <v>269.21077308432922</v>
          </cell>
          <cell r="AO316">
            <v>0</v>
          </cell>
          <cell r="AQ316">
            <v>131.92242978544064</v>
          </cell>
          <cell r="AR316">
            <v>0</v>
          </cell>
          <cell r="AT316">
            <v>367.24734680686328</v>
          </cell>
          <cell r="AU316">
            <v>0</v>
          </cell>
          <cell r="AW316">
            <v>0</v>
          </cell>
          <cell r="AX316">
            <v>0</v>
          </cell>
        </row>
        <row r="317">
          <cell r="I317">
            <v>0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/>
          <cell r="W317">
            <v>0</v>
          </cell>
          <cell r="X317">
            <v>0</v>
          </cell>
          <cell r="Y317">
            <v>0</v>
          </cell>
          <cell r="Z317"/>
          <cell r="AA317">
            <v>0</v>
          </cell>
          <cell r="AB317">
            <v>0</v>
          </cell>
          <cell r="AC317">
            <v>0</v>
          </cell>
          <cell r="AD317">
            <v>3409.254254453931</v>
          </cell>
          <cell r="AE317">
            <v>256.75397524749241</v>
          </cell>
          <cell r="AF317">
            <v>0</v>
          </cell>
          <cell r="AH317">
            <v>333.0523260630502</v>
          </cell>
          <cell r="AI317">
            <v>0</v>
          </cell>
          <cell r="AK317">
            <v>0</v>
          </cell>
          <cell r="AL317">
            <v>0</v>
          </cell>
          <cell r="AN317">
            <v>0</v>
          </cell>
          <cell r="AO317">
            <v>0</v>
          </cell>
          <cell r="AQ317">
            <v>22.490068372102311</v>
          </cell>
          <cell r="AR317">
            <v>0</v>
          </cell>
          <cell r="AT317">
            <v>77.368966108617101</v>
          </cell>
          <cell r="AU317">
            <v>0</v>
          </cell>
          <cell r="AW317">
            <v>0</v>
          </cell>
          <cell r="AX317">
            <v>0</v>
          </cell>
        </row>
        <row r="318"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/>
          <cell r="W318">
            <v>0</v>
          </cell>
          <cell r="X318">
            <v>47.778489324604777</v>
          </cell>
          <cell r="Y318">
            <v>0</v>
          </cell>
          <cell r="Z318"/>
          <cell r="AA318">
            <v>0</v>
          </cell>
          <cell r="AB318">
            <v>0</v>
          </cell>
          <cell r="AC318">
            <v>175.23792719743741</v>
          </cell>
          <cell r="AD318">
            <v>0</v>
          </cell>
          <cell r="AE318">
            <v>224.51577674707013</v>
          </cell>
          <cell r="AF318">
            <v>0</v>
          </cell>
          <cell r="AH318">
            <v>300.12770757182062</v>
          </cell>
          <cell r="AI318">
            <v>0</v>
          </cell>
          <cell r="AK318">
            <v>376.27692534240782</v>
          </cell>
          <cell r="AL318">
            <v>0</v>
          </cell>
          <cell r="AN318">
            <v>125.13234211792332</v>
          </cell>
          <cell r="AO318">
            <v>0</v>
          </cell>
          <cell r="AQ318">
            <v>65.961235315382794</v>
          </cell>
          <cell r="AR318">
            <v>0</v>
          </cell>
          <cell r="AT318">
            <v>125.82945550466667</v>
          </cell>
          <cell r="AU318">
            <v>0</v>
          </cell>
          <cell r="AW318">
            <v>0</v>
          </cell>
          <cell r="AX318">
            <v>0</v>
          </cell>
        </row>
        <row r="319"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/>
          <cell r="W319">
            <v>0</v>
          </cell>
          <cell r="X319">
            <v>114.96843252456829</v>
          </cell>
          <cell r="Y319">
            <v>0</v>
          </cell>
          <cell r="Z319"/>
          <cell r="AA319">
            <v>0</v>
          </cell>
          <cell r="AB319">
            <v>0</v>
          </cell>
          <cell r="AC319">
            <v>949.28888561811812</v>
          </cell>
          <cell r="AD319">
            <v>126158.81047864327</v>
          </cell>
          <cell r="AE319">
            <v>293.75320637338609</v>
          </cell>
          <cell r="AF319">
            <v>2157.9286421498714</v>
          </cell>
          <cell r="AH319">
            <v>428.45713760025609</v>
          </cell>
          <cell r="AI319">
            <v>0</v>
          </cell>
          <cell r="AK319">
            <v>270.44394550521525</v>
          </cell>
          <cell r="AL319">
            <v>5996.7069380407793</v>
          </cell>
          <cell r="AN319">
            <v>0</v>
          </cell>
          <cell r="AO319">
            <v>0</v>
          </cell>
          <cell r="AQ319">
            <v>119.94714023874553</v>
          </cell>
          <cell r="AR319">
            <v>0</v>
          </cell>
          <cell r="AT319">
            <v>182.75233818840255</v>
          </cell>
          <cell r="AU319">
            <v>0</v>
          </cell>
          <cell r="AW319">
            <v>0</v>
          </cell>
          <cell r="AX319">
            <v>0</v>
          </cell>
        </row>
        <row r="320"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/>
          <cell r="W320">
            <v>0</v>
          </cell>
          <cell r="X320">
            <v>0</v>
          </cell>
          <cell r="Y320">
            <v>1946.9629621126326</v>
          </cell>
          <cell r="Z320"/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434.16734811129322</v>
          </cell>
          <cell r="AF320">
            <v>0</v>
          </cell>
          <cell r="AH320">
            <v>730.73405711118153</v>
          </cell>
          <cell r="AI320">
            <v>0</v>
          </cell>
          <cell r="AK320">
            <v>357.3446292239239</v>
          </cell>
          <cell r="AL320">
            <v>0</v>
          </cell>
          <cell r="AN320">
            <v>0</v>
          </cell>
          <cell r="AO320">
            <v>0</v>
          </cell>
          <cell r="AQ320">
            <v>179.87216958783222</v>
          </cell>
          <cell r="AR320">
            <v>0</v>
          </cell>
          <cell r="AT320">
            <v>326.88088209596361</v>
          </cell>
          <cell r="AU320">
            <v>0</v>
          </cell>
          <cell r="AW320">
            <v>0</v>
          </cell>
          <cell r="AX320">
            <v>0</v>
          </cell>
        </row>
        <row r="321">
          <cell r="I321">
            <v>0</v>
          </cell>
          <cell r="J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/>
          <cell r="W321">
            <v>0</v>
          </cell>
          <cell r="X321">
            <v>0</v>
          </cell>
          <cell r="Y321">
            <v>0</v>
          </cell>
          <cell r="Z321"/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290.36266880217647</v>
          </cell>
          <cell r="AF321">
            <v>0</v>
          </cell>
          <cell r="AH321">
            <v>423.81506108451765</v>
          </cell>
          <cell r="AI321">
            <v>0</v>
          </cell>
          <cell r="AK321">
            <v>261.73110883754254</v>
          </cell>
          <cell r="AL321">
            <v>0</v>
          </cell>
          <cell r="AN321">
            <v>0</v>
          </cell>
          <cell r="AO321">
            <v>0</v>
          </cell>
          <cell r="AQ321">
            <v>0</v>
          </cell>
          <cell r="AR321">
            <v>0</v>
          </cell>
          <cell r="AT321">
            <v>178.07764464286564</v>
          </cell>
          <cell r="AU321">
            <v>0</v>
          </cell>
          <cell r="AW321">
            <v>0</v>
          </cell>
          <cell r="AX321">
            <v>0</v>
          </cell>
        </row>
        <row r="322"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/>
          <cell r="W322">
            <v>0</v>
          </cell>
          <cell r="X322">
            <v>0</v>
          </cell>
          <cell r="Y322">
            <v>0</v>
          </cell>
          <cell r="Z322"/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226.61705446936185</v>
          </cell>
          <cell r="AF322">
            <v>0</v>
          </cell>
          <cell r="AH322">
            <v>302.29338732382973</v>
          </cell>
          <cell r="AI322">
            <v>0</v>
          </cell>
          <cell r="AK322">
            <v>385.51225731494043</v>
          </cell>
          <cell r="AL322">
            <v>0</v>
          </cell>
          <cell r="AN322">
            <v>128.20842570396613</v>
          </cell>
          <cell r="AO322">
            <v>0</v>
          </cell>
          <cell r="AQ322">
            <v>65.961235315382794</v>
          </cell>
          <cell r="AR322">
            <v>0</v>
          </cell>
          <cell r="AT322">
            <v>110.66378371817535</v>
          </cell>
          <cell r="AU322">
            <v>0</v>
          </cell>
          <cell r="AW322">
            <v>0</v>
          </cell>
          <cell r="AX322">
            <v>0</v>
          </cell>
        </row>
        <row r="323"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/>
          <cell r="W323">
            <v>0</v>
          </cell>
          <cell r="X323">
            <v>28.736337782189821</v>
          </cell>
          <cell r="Y323">
            <v>0</v>
          </cell>
          <cell r="Z323"/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295.42726748454351</v>
          </cell>
          <cell r="AF323">
            <v>0</v>
          </cell>
          <cell r="AH323">
            <v>428.45713760025609</v>
          </cell>
          <cell r="AI323">
            <v>0</v>
          </cell>
          <cell r="AK323">
            <v>308.57612691882474</v>
          </cell>
          <cell r="AL323">
            <v>0</v>
          </cell>
          <cell r="AN323">
            <v>0</v>
          </cell>
          <cell r="AO323">
            <v>0</v>
          </cell>
          <cell r="AQ323">
            <v>0</v>
          </cell>
          <cell r="AR323">
            <v>0</v>
          </cell>
          <cell r="AT323">
            <v>215.60581703809186</v>
          </cell>
          <cell r="AU323">
            <v>0</v>
          </cell>
          <cell r="AW323">
            <v>0</v>
          </cell>
          <cell r="AX323">
            <v>0</v>
          </cell>
        </row>
        <row r="324"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/>
          <cell r="W324">
            <v>0</v>
          </cell>
          <cell r="X324">
            <v>0</v>
          </cell>
          <cell r="Y324">
            <v>0</v>
          </cell>
          <cell r="Z324"/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60.429984657058824</v>
          </cell>
          <cell r="AF324">
            <v>0</v>
          </cell>
          <cell r="AH324">
            <v>94.724978012500713</v>
          </cell>
          <cell r="AI324">
            <v>0</v>
          </cell>
          <cell r="AK324">
            <v>31.502063628871475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9.8614283025793927</v>
          </cell>
          <cell r="AU324">
            <v>0</v>
          </cell>
          <cell r="AW324">
            <v>0</v>
          </cell>
          <cell r="AX324">
            <v>0</v>
          </cell>
        </row>
        <row r="325">
          <cell r="I325">
            <v>0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1</v>
          </cell>
          <cell r="S325">
            <v>38196.824285970739</v>
          </cell>
          <cell r="U325">
            <v>0</v>
          </cell>
          <cell r="V325"/>
          <cell r="W325">
            <v>0</v>
          </cell>
          <cell r="X325">
            <v>0</v>
          </cell>
          <cell r="Y325">
            <v>0</v>
          </cell>
          <cell r="Z325"/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340.96883158200427</v>
          </cell>
          <cell r="AF325">
            <v>0</v>
          </cell>
          <cell r="AH325">
            <v>455.31679837177501</v>
          </cell>
          <cell r="AI325">
            <v>920.53022283516236</v>
          </cell>
          <cell r="AK325">
            <v>555.88466136810791</v>
          </cell>
          <cell r="AL325">
            <v>0</v>
          </cell>
          <cell r="AN325">
            <v>181.65122486457074</v>
          </cell>
          <cell r="AO325">
            <v>0</v>
          </cell>
          <cell r="AQ325">
            <v>98.941812127749259</v>
          </cell>
          <cell r="AR325">
            <v>0</v>
          </cell>
          <cell r="AT325">
            <v>140.16379835239022</v>
          </cell>
          <cell r="AU325">
            <v>0</v>
          </cell>
          <cell r="AW325">
            <v>0</v>
          </cell>
          <cell r="AX325">
            <v>0</v>
          </cell>
        </row>
        <row r="326"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/>
          <cell r="W326">
            <v>0</v>
          </cell>
          <cell r="X326">
            <v>0</v>
          </cell>
          <cell r="Y326">
            <v>0</v>
          </cell>
          <cell r="Z326"/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561.048539709024</v>
          </cell>
          <cell r="AF326">
            <v>0</v>
          </cell>
          <cell r="AH326">
            <v>141.51362313451344</v>
          </cell>
          <cell r="AI326">
            <v>0</v>
          </cell>
          <cell r="AK326">
            <v>356.63179670758154</v>
          </cell>
          <cell r="AL326">
            <v>0</v>
          </cell>
          <cell r="AN326">
            <v>126.89920129436939</v>
          </cell>
          <cell r="AO326">
            <v>0</v>
          </cell>
          <cell r="AQ326">
            <v>67.470245961631889</v>
          </cell>
          <cell r="AR326">
            <v>0</v>
          </cell>
          <cell r="AT326">
            <v>112.82000111684427</v>
          </cell>
          <cell r="AU326">
            <v>6866.1972651197229</v>
          </cell>
          <cell r="AW326">
            <v>0</v>
          </cell>
          <cell r="AX326">
            <v>0</v>
          </cell>
        </row>
        <row r="327"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/>
          <cell r="W327">
            <v>0</v>
          </cell>
          <cell r="X327">
            <v>0</v>
          </cell>
          <cell r="Y327">
            <v>295.54172027850609</v>
          </cell>
          <cell r="Z327"/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476.64650222106394</v>
          </cell>
          <cell r="AF327">
            <v>0</v>
          </cell>
          <cell r="AH327">
            <v>658.33936263838734</v>
          </cell>
          <cell r="AI327">
            <v>1899.9316313038789</v>
          </cell>
          <cell r="AK327">
            <v>769.26804466027988</v>
          </cell>
          <cell r="AL327">
            <v>0</v>
          </cell>
          <cell r="AN327">
            <v>257.8404877473065</v>
          </cell>
          <cell r="AO327">
            <v>0</v>
          </cell>
          <cell r="AQ327">
            <v>140.90392757945571</v>
          </cell>
          <cell r="AR327">
            <v>0</v>
          </cell>
          <cell r="AT327">
            <v>174.71782081390026</v>
          </cell>
          <cell r="AU327">
            <v>0</v>
          </cell>
          <cell r="AW327">
            <v>0</v>
          </cell>
          <cell r="AX327">
            <v>0</v>
          </cell>
        </row>
        <row r="328"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/>
          <cell r="W328">
            <v>0</v>
          </cell>
          <cell r="X328">
            <v>0</v>
          </cell>
          <cell r="Y328">
            <v>0</v>
          </cell>
          <cell r="Z328"/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145.57624762893238</v>
          </cell>
          <cell r="AF328">
            <v>0</v>
          </cell>
          <cell r="AH328">
            <v>300.46764475683648</v>
          </cell>
          <cell r="AI328">
            <v>0</v>
          </cell>
          <cell r="AK328">
            <v>314.65407721141514</v>
          </cell>
          <cell r="AL328">
            <v>0</v>
          </cell>
          <cell r="AN328">
            <v>109.3875700743293</v>
          </cell>
          <cell r="AO328">
            <v>0</v>
          </cell>
          <cell r="AQ328">
            <v>65.961235315382794</v>
          </cell>
          <cell r="AR328">
            <v>2086.9562993772511</v>
          </cell>
          <cell r="AT328">
            <v>212.42405582180592</v>
          </cell>
          <cell r="AU328">
            <v>0</v>
          </cell>
          <cell r="AW328">
            <v>0</v>
          </cell>
          <cell r="AX328">
            <v>0</v>
          </cell>
        </row>
        <row r="329"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/>
          <cell r="W329">
            <v>0</v>
          </cell>
          <cell r="X329">
            <v>0</v>
          </cell>
          <cell r="Y329">
            <v>0</v>
          </cell>
          <cell r="Z329"/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147.03276510935248</v>
          </cell>
          <cell r="AF329">
            <v>0</v>
          </cell>
          <cell r="AH329">
            <v>175.33142691704413</v>
          </cell>
          <cell r="AI329">
            <v>1972.0225180314887</v>
          </cell>
          <cell r="AK329">
            <v>356.82220769353341</v>
          </cell>
          <cell r="AL329">
            <v>0</v>
          </cell>
          <cell r="AN329">
            <v>132.02736547955371</v>
          </cell>
          <cell r="AO329">
            <v>0</v>
          </cell>
          <cell r="AQ329">
            <v>65.961235315382794</v>
          </cell>
          <cell r="AR329">
            <v>0</v>
          </cell>
          <cell r="AT329">
            <v>180.8957334091144</v>
          </cell>
          <cell r="AU329">
            <v>0</v>
          </cell>
          <cell r="AW329">
            <v>0</v>
          </cell>
          <cell r="AX329">
            <v>0</v>
          </cell>
        </row>
        <row r="330"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/>
          <cell r="W330">
            <v>0</v>
          </cell>
          <cell r="X330">
            <v>0</v>
          </cell>
          <cell r="Y330">
            <v>0</v>
          </cell>
          <cell r="Z330"/>
          <cell r="AA330">
            <v>0</v>
          </cell>
          <cell r="AB330">
            <v>0</v>
          </cell>
          <cell r="AC330">
            <v>163.22161218961313</v>
          </cell>
          <cell r="AD330">
            <v>0</v>
          </cell>
          <cell r="AE330">
            <v>212.04421281182931</v>
          </cell>
          <cell r="AF330">
            <v>0</v>
          </cell>
          <cell r="AH330">
            <v>304.27448839668364</v>
          </cell>
          <cell r="AI330">
            <v>0</v>
          </cell>
          <cell r="AK330">
            <v>398.7972333502222</v>
          </cell>
          <cell r="AL330">
            <v>0</v>
          </cell>
          <cell r="AN330">
            <v>132.606248971273</v>
          </cell>
          <cell r="AO330">
            <v>0</v>
          </cell>
          <cell r="AQ330">
            <v>65.961235315382794</v>
          </cell>
          <cell r="AR330">
            <v>0</v>
          </cell>
          <cell r="AT330">
            <v>161.26258263002811</v>
          </cell>
          <cell r="AU330">
            <v>0</v>
          </cell>
          <cell r="AW330">
            <v>0</v>
          </cell>
          <cell r="AX330">
            <v>0</v>
          </cell>
        </row>
        <row r="331"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1</v>
          </cell>
          <cell r="S331">
            <v>4099.3681260085395</v>
          </cell>
          <cell r="U331">
            <v>0</v>
          </cell>
          <cell r="V331"/>
          <cell r="W331">
            <v>0</v>
          </cell>
          <cell r="X331">
            <v>0</v>
          </cell>
          <cell r="Y331">
            <v>0</v>
          </cell>
          <cell r="Z331"/>
          <cell r="AA331">
            <v>0</v>
          </cell>
          <cell r="AB331">
            <v>0</v>
          </cell>
          <cell r="AC331">
            <v>0</v>
          </cell>
          <cell r="AD331">
            <v>3403.8333851355997</v>
          </cell>
          <cell r="AE331">
            <v>183.3946159153254</v>
          </cell>
          <cell r="AF331">
            <v>0</v>
          </cell>
          <cell r="AH331">
            <v>218.36186909299212</v>
          </cell>
          <cell r="AI331">
            <v>0</v>
          </cell>
          <cell r="AK331">
            <v>522.00363200181357</v>
          </cell>
          <cell r="AL331">
            <v>0</v>
          </cell>
          <cell r="AN331">
            <v>144.54378108389068</v>
          </cell>
          <cell r="AO331">
            <v>0</v>
          </cell>
          <cell r="AQ331">
            <v>67.470245961631889</v>
          </cell>
          <cell r="AR331">
            <v>0</v>
          </cell>
          <cell r="AT331">
            <v>142.92069518764279</v>
          </cell>
          <cell r="AU331">
            <v>12966.987803522154</v>
          </cell>
          <cell r="AW331">
            <v>0</v>
          </cell>
          <cell r="AX331">
            <v>0</v>
          </cell>
        </row>
        <row r="332"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/>
          <cell r="W332">
            <v>0</v>
          </cell>
          <cell r="X332">
            <v>0</v>
          </cell>
          <cell r="Y332">
            <v>0</v>
          </cell>
          <cell r="Z332"/>
          <cell r="AA332">
            <v>0</v>
          </cell>
          <cell r="AB332">
            <v>0</v>
          </cell>
          <cell r="AC332">
            <v>0</v>
          </cell>
          <cell r="AD332">
            <v>8201.4053002703604</v>
          </cell>
          <cell r="AE332">
            <v>80.878175024060099</v>
          </cell>
          <cell r="AF332">
            <v>0</v>
          </cell>
          <cell r="AH332">
            <v>179.98343394677127</v>
          </cell>
          <cell r="AI332">
            <v>0</v>
          </cell>
          <cell r="AK332">
            <v>214.01736783688938</v>
          </cell>
          <cell r="AL332">
            <v>719.28487379341368</v>
          </cell>
          <cell r="AN332">
            <v>71.621259226018381</v>
          </cell>
          <cell r="AO332">
            <v>0</v>
          </cell>
          <cell r="AQ332">
            <v>39.576741189229679</v>
          </cell>
          <cell r="AR332">
            <v>0</v>
          </cell>
          <cell r="AT332">
            <v>137.0164525129411</v>
          </cell>
          <cell r="AU332">
            <v>0</v>
          </cell>
          <cell r="AW332">
            <v>0</v>
          </cell>
          <cell r="AX332">
            <v>0</v>
          </cell>
        </row>
        <row r="333"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R333">
            <v>3</v>
          </cell>
          <cell r="S333">
            <v>5654.2373377651202</v>
          </cell>
          <cell r="U333">
            <v>0</v>
          </cell>
          <cell r="V333"/>
          <cell r="W333">
            <v>0</v>
          </cell>
          <cell r="X333">
            <v>660.91268759455693</v>
          </cell>
          <cell r="Y333">
            <v>0</v>
          </cell>
          <cell r="Z333"/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340.67941004900786</v>
          </cell>
          <cell r="AF333">
            <v>0</v>
          </cell>
          <cell r="AH333">
            <v>456.07431114941113</v>
          </cell>
          <cell r="AI333">
            <v>0</v>
          </cell>
          <cell r="AK333">
            <v>1150.4514219355508</v>
          </cell>
          <cell r="AL333">
            <v>0</v>
          </cell>
          <cell r="AN333">
            <v>365.27880722162689</v>
          </cell>
          <cell r="AO333">
            <v>0</v>
          </cell>
          <cell r="AQ333">
            <v>98.941812127749259</v>
          </cell>
          <cell r="AR333">
            <v>497.05365631992424</v>
          </cell>
          <cell r="AT333">
            <v>393.71141400837746</v>
          </cell>
          <cell r="AU333">
            <v>287.27284892894761</v>
          </cell>
          <cell r="AW333">
            <v>0</v>
          </cell>
          <cell r="AX333">
            <v>0</v>
          </cell>
        </row>
        <row r="334"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/>
          <cell r="W334">
            <v>0</v>
          </cell>
          <cell r="X334">
            <v>560.69326699193175</v>
          </cell>
          <cell r="Y334">
            <v>0</v>
          </cell>
          <cell r="Z334"/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341.10193611683809</v>
          </cell>
          <cell r="AF334">
            <v>0</v>
          </cell>
          <cell r="AH334">
            <v>456.98718243290779</v>
          </cell>
          <cell r="AI334">
            <v>0</v>
          </cell>
          <cell r="AK334">
            <v>1118.9449665843622</v>
          </cell>
          <cell r="AL334">
            <v>0</v>
          </cell>
          <cell r="AN334">
            <v>365.34992358096986</v>
          </cell>
          <cell r="AO334">
            <v>0</v>
          </cell>
          <cell r="AQ334">
            <v>98.941812127749259</v>
          </cell>
          <cell r="AR334">
            <v>0</v>
          </cell>
          <cell r="AT334">
            <v>395.44141636158889</v>
          </cell>
          <cell r="AU334">
            <v>0</v>
          </cell>
          <cell r="AW334">
            <v>0</v>
          </cell>
          <cell r="AX334">
            <v>0</v>
          </cell>
        </row>
        <row r="335"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R335">
            <v>1</v>
          </cell>
          <cell r="S335">
            <v>2451.67801085272</v>
          </cell>
          <cell r="U335">
            <v>0</v>
          </cell>
          <cell r="V335"/>
          <cell r="W335">
            <v>0</v>
          </cell>
          <cell r="X335">
            <v>534.03425483255091</v>
          </cell>
          <cell r="Y335">
            <v>0</v>
          </cell>
          <cell r="Z335"/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338.94789082903128</v>
          </cell>
          <cell r="AF335">
            <v>0</v>
          </cell>
          <cell r="AH335">
            <v>454.5350152089967</v>
          </cell>
          <cell r="AI335">
            <v>0</v>
          </cell>
          <cell r="AK335">
            <v>1157.2474197511715</v>
          </cell>
          <cell r="AL335">
            <v>0</v>
          </cell>
          <cell r="AN335">
            <v>368.35609494407032</v>
          </cell>
          <cell r="AO335">
            <v>0</v>
          </cell>
          <cell r="AQ335">
            <v>98.941812127749259</v>
          </cell>
          <cell r="AR335">
            <v>0</v>
          </cell>
          <cell r="AT335">
            <v>390.76670427356618</v>
          </cell>
          <cell r="AU335">
            <v>0</v>
          </cell>
          <cell r="AW335">
            <v>0</v>
          </cell>
          <cell r="AX335">
            <v>0</v>
          </cell>
        </row>
        <row r="336"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R336">
            <v>1</v>
          </cell>
          <cell r="S336">
            <v>1408.9231255413602</v>
          </cell>
          <cell r="U336">
            <v>0</v>
          </cell>
          <cell r="V336"/>
          <cell r="W336">
            <v>0</v>
          </cell>
          <cell r="X336">
            <v>427.02890386208344</v>
          </cell>
          <cell r="Y336">
            <v>668.84329184528985</v>
          </cell>
          <cell r="Z336"/>
          <cell r="AA336">
            <v>0</v>
          </cell>
          <cell r="AB336">
            <v>0</v>
          </cell>
          <cell r="AC336">
            <v>422.17990415369809</v>
          </cell>
          <cell r="AD336">
            <v>0</v>
          </cell>
          <cell r="AE336">
            <v>338.38118133211213</v>
          </cell>
          <cell r="AF336">
            <v>0</v>
          </cell>
          <cell r="AH336">
            <v>455.31679837177501</v>
          </cell>
          <cell r="AI336">
            <v>0</v>
          </cell>
          <cell r="AK336">
            <v>1157.2474197511715</v>
          </cell>
          <cell r="AL336">
            <v>0</v>
          </cell>
          <cell r="AN336">
            <v>367.35679527182106</v>
          </cell>
          <cell r="AO336">
            <v>0</v>
          </cell>
          <cell r="AQ336">
            <v>98.941812127749259</v>
          </cell>
          <cell r="AR336">
            <v>0</v>
          </cell>
          <cell r="AT336">
            <v>392.23794522822857</v>
          </cell>
          <cell r="AU336">
            <v>1665.7227761644594</v>
          </cell>
          <cell r="AW336">
            <v>0</v>
          </cell>
          <cell r="AX336">
            <v>0</v>
          </cell>
        </row>
        <row r="337"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/>
          <cell r="W337">
            <v>0</v>
          </cell>
          <cell r="X337">
            <v>103.1507578703665</v>
          </cell>
          <cell r="Y337">
            <v>0</v>
          </cell>
          <cell r="Z337"/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552.21617909158942</v>
          </cell>
          <cell r="AF337">
            <v>2908.9904224499974</v>
          </cell>
          <cell r="AH337">
            <v>863.53737109845565</v>
          </cell>
          <cell r="AI337">
            <v>2486.5483076742426</v>
          </cell>
          <cell r="AK337">
            <v>549.74304237231922</v>
          </cell>
          <cell r="AL337">
            <v>0</v>
          </cell>
          <cell r="AN337">
            <v>0</v>
          </cell>
          <cell r="AO337">
            <v>0</v>
          </cell>
          <cell r="AQ337">
            <v>338.81178137477229</v>
          </cell>
          <cell r="AR337">
            <v>0</v>
          </cell>
          <cell r="AT337">
            <v>500.05250650715965</v>
          </cell>
          <cell r="AU337">
            <v>0</v>
          </cell>
          <cell r="AW337">
            <v>0</v>
          </cell>
          <cell r="AX337">
            <v>0</v>
          </cell>
        </row>
        <row r="338"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/>
          <cell r="W338">
            <v>0</v>
          </cell>
          <cell r="X338">
            <v>70.698315362929662</v>
          </cell>
          <cell r="Y338">
            <v>0</v>
          </cell>
          <cell r="Z338"/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440.7848845409053</v>
          </cell>
          <cell r="AF338">
            <v>0</v>
          </cell>
          <cell r="AH338">
            <v>648.37174232033783</v>
          </cell>
          <cell r="AI338">
            <v>0</v>
          </cell>
          <cell r="AK338">
            <v>435.73378950881943</v>
          </cell>
          <cell r="AL338">
            <v>0</v>
          </cell>
          <cell r="AN338">
            <v>0</v>
          </cell>
          <cell r="AO338">
            <v>0</v>
          </cell>
          <cell r="AQ338">
            <v>161.90917399980211</v>
          </cell>
          <cell r="AR338">
            <v>0</v>
          </cell>
          <cell r="AT338">
            <v>323.39564104606796</v>
          </cell>
          <cell r="AU338">
            <v>0</v>
          </cell>
          <cell r="AW338">
            <v>0</v>
          </cell>
          <cell r="AX338">
            <v>0</v>
          </cell>
        </row>
        <row r="339"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/>
          <cell r="W339">
            <v>0</v>
          </cell>
          <cell r="X339">
            <v>56.549419732020127</v>
          </cell>
          <cell r="Y339">
            <v>0</v>
          </cell>
          <cell r="Z339"/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293.7456385988923</v>
          </cell>
          <cell r="AF339">
            <v>0</v>
          </cell>
          <cell r="AH339">
            <v>428.45713760025609</v>
          </cell>
          <cell r="AI339">
            <v>1993.1811706349574</v>
          </cell>
          <cell r="AK339">
            <v>249.50064667588106</v>
          </cell>
          <cell r="AL339">
            <v>0</v>
          </cell>
          <cell r="AN339">
            <v>0</v>
          </cell>
          <cell r="AO339">
            <v>0</v>
          </cell>
          <cell r="AQ339">
            <v>161.90917399980211</v>
          </cell>
          <cell r="AR339">
            <v>0</v>
          </cell>
          <cell r="AT339">
            <v>176.12067478462095</v>
          </cell>
          <cell r="AU339">
            <v>0</v>
          </cell>
          <cell r="AW339">
            <v>0</v>
          </cell>
          <cell r="AX339">
            <v>0</v>
          </cell>
        </row>
        <row r="340"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/>
          <cell r="W340">
            <v>0</v>
          </cell>
          <cell r="X340">
            <v>38.384361230346727</v>
          </cell>
          <cell r="Y340">
            <v>0</v>
          </cell>
          <cell r="Z340"/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293.7456385988923</v>
          </cell>
          <cell r="AF340">
            <v>0</v>
          </cell>
          <cell r="AH340">
            <v>428.45713760025609</v>
          </cell>
          <cell r="AI340">
            <v>0</v>
          </cell>
          <cell r="AK340">
            <v>249.50064667588106</v>
          </cell>
          <cell r="AL340">
            <v>0</v>
          </cell>
          <cell r="AN340">
            <v>0</v>
          </cell>
          <cell r="AO340">
            <v>0</v>
          </cell>
          <cell r="AQ340">
            <v>161.90917399980211</v>
          </cell>
          <cell r="AR340">
            <v>0</v>
          </cell>
          <cell r="AT340">
            <v>176.12067478462095</v>
          </cell>
          <cell r="AU340">
            <v>0</v>
          </cell>
          <cell r="AW340">
            <v>0</v>
          </cell>
          <cell r="AX340">
            <v>0</v>
          </cell>
        </row>
        <row r="341"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/>
          <cell r="W341">
            <v>0</v>
          </cell>
          <cell r="X341">
            <v>70.698315362929662</v>
          </cell>
          <cell r="Y341">
            <v>0</v>
          </cell>
          <cell r="Z341"/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293.68706488461845</v>
          </cell>
          <cell r="AF341">
            <v>1959.6145470694528</v>
          </cell>
          <cell r="AH341">
            <v>428.45713760025609</v>
          </cell>
          <cell r="AI341">
            <v>0</v>
          </cell>
          <cell r="AK341">
            <v>249.50064667588106</v>
          </cell>
          <cell r="AL341">
            <v>0</v>
          </cell>
          <cell r="AN341">
            <v>0</v>
          </cell>
          <cell r="AO341">
            <v>0</v>
          </cell>
          <cell r="AQ341">
            <v>161.90917399980211</v>
          </cell>
          <cell r="AR341">
            <v>0</v>
          </cell>
          <cell r="AT341">
            <v>176.11164732070878</v>
          </cell>
          <cell r="AU341">
            <v>0</v>
          </cell>
          <cell r="AW341">
            <v>0</v>
          </cell>
          <cell r="AX341">
            <v>0</v>
          </cell>
        </row>
        <row r="342"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30</v>
          </cell>
          <cell r="P342">
            <v>8493.3232345489687</v>
          </cell>
          <cell r="R342">
            <v>0</v>
          </cell>
          <cell r="S342">
            <v>0</v>
          </cell>
          <cell r="U342">
            <v>0</v>
          </cell>
          <cell r="V342"/>
          <cell r="W342">
            <v>0</v>
          </cell>
          <cell r="X342">
            <v>159.67709620657769</v>
          </cell>
          <cell r="Y342">
            <v>0</v>
          </cell>
          <cell r="Z342"/>
          <cell r="AA342">
            <v>0</v>
          </cell>
          <cell r="AB342">
            <v>0</v>
          </cell>
          <cell r="AC342">
            <v>9758.1460249419761</v>
          </cell>
          <cell r="AD342">
            <v>86.230529097028906</v>
          </cell>
          <cell r="AE342">
            <v>579.30180808381465</v>
          </cell>
          <cell r="AF342">
            <v>0</v>
          </cell>
          <cell r="AH342">
            <v>863.2751948570193</v>
          </cell>
          <cell r="AI342">
            <v>0</v>
          </cell>
          <cell r="AK342">
            <v>544.18402662422682</v>
          </cell>
          <cell r="AL342">
            <v>0</v>
          </cell>
          <cell r="AN342">
            <v>0</v>
          </cell>
          <cell r="AO342">
            <v>0</v>
          </cell>
          <cell r="AQ342">
            <v>338.81178137477229</v>
          </cell>
          <cell r="AR342">
            <v>0</v>
          </cell>
          <cell r="AT342">
            <v>499.63889281703172</v>
          </cell>
          <cell r="AU342">
            <v>0</v>
          </cell>
          <cell r="AW342">
            <v>0</v>
          </cell>
          <cell r="AX342">
            <v>0</v>
          </cell>
        </row>
        <row r="343"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/>
          <cell r="W343">
            <v>4</v>
          </cell>
          <cell r="X343">
            <v>314.62926953336381</v>
          </cell>
          <cell r="Y343">
            <v>0</v>
          </cell>
          <cell r="Z343"/>
          <cell r="AA343">
            <v>0</v>
          </cell>
          <cell r="AB343">
            <v>0</v>
          </cell>
          <cell r="AC343">
            <v>4295.1540575137342</v>
          </cell>
          <cell r="AD343">
            <v>0</v>
          </cell>
          <cell r="AE343">
            <v>441.71427296130838</v>
          </cell>
          <cell r="AF343">
            <v>0</v>
          </cell>
          <cell r="AH343">
            <v>649.25535258521438</v>
          </cell>
          <cell r="AI343">
            <v>0</v>
          </cell>
          <cell r="AK343">
            <v>427.07970210128394</v>
          </cell>
          <cell r="AL343">
            <v>0</v>
          </cell>
          <cell r="AN343">
            <v>0</v>
          </cell>
          <cell r="AO343">
            <v>0</v>
          </cell>
          <cell r="AQ343">
            <v>218.86472282667671</v>
          </cell>
          <cell r="AR343">
            <v>0</v>
          </cell>
          <cell r="AT343">
            <v>324.72985377725348</v>
          </cell>
          <cell r="AU343">
            <v>0</v>
          </cell>
          <cell r="AW343">
            <v>0</v>
          </cell>
          <cell r="AX343">
            <v>0</v>
          </cell>
        </row>
        <row r="344"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/>
          <cell r="W344">
            <v>0</v>
          </cell>
          <cell r="X344">
            <v>108.59796728128765</v>
          </cell>
          <cell r="Y344">
            <v>0</v>
          </cell>
          <cell r="Z344"/>
          <cell r="AA344">
            <v>0</v>
          </cell>
          <cell r="AB344">
            <v>0</v>
          </cell>
          <cell r="AC344">
            <v>0</v>
          </cell>
          <cell r="AD344">
            <v>1671.2582595126873</v>
          </cell>
          <cell r="AE344">
            <v>452.10488610420913</v>
          </cell>
          <cell r="AF344">
            <v>0</v>
          </cell>
          <cell r="AH344">
            <v>730.47179917909421</v>
          </cell>
          <cell r="AI344">
            <v>0</v>
          </cell>
          <cell r="AK344">
            <v>444.77862501958737</v>
          </cell>
          <cell r="AL344">
            <v>0</v>
          </cell>
          <cell r="AN344">
            <v>0</v>
          </cell>
          <cell r="AO344">
            <v>0</v>
          </cell>
          <cell r="AQ344">
            <v>218.86472282667671</v>
          </cell>
          <cell r="AR344">
            <v>0</v>
          </cell>
          <cell r="AT344">
            <v>332.88209539186079</v>
          </cell>
          <cell r="AU344">
            <v>0</v>
          </cell>
          <cell r="AW344">
            <v>0</v>
          </cell>
          <cell r="AX344">
            <v>0</v>
          </cell>
        </row>
        <row r="345"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/>
          <cell r="W345">
            <v>5</v>
          </cell>
          <cell r="X345">
            <v>2094.7232806931956</v>
          </cell>
          <cell r="Y345">
            <v>0</v>
          </cell>
          <cell r="Z345"/>
          <cell r="AA345">
            <v>0</v>
          </cell>
          <cell r="AB345">
            <v>0</v>
          </cell>
          <cell r="AC345">
            <v>2135.6001995328306</v>
          </cell>
          <cell r="AD345">
            <v>1344.2875828783076</v>
          </cell>
          <cell r="AE345">
            <v>453.16429572632046</v>
          </cell>
          <cell r="AF345">
            <v>0</v>
          </cell>
          <cell r="AH345">
            <v>730.31644067323475</v>
          </cell>
          <cell r="AI345">
            <v>0</v>
          </cell>
          <cell r="AK345">
            <v>445.12412098971794</v>
          </cell>
          <cell r="AL345">
            <v>0</v>
          </cell>
          <cell r="AN345">
            <v>0</v>
          </cell>
          <cell r="AO345">
            <v>0</v>
          </cell>
          <cell r="AQ345">
            <v>218.86472282667671</v>
          </cell>
          <cell r="AR345">
            <v>0</v>
          </cell>
          <cell r="AT345">
            <v>332.68755310226783</v>
          </cell>
          <cell r="AU345">
            <v>3246.3353175311267</v>
          </cell>
          <cell r="AW345">
            <v>0</v>
          </cell>
          <cell r="AX345">
            <v>0</v>
          </cell>
        </row>
        <row r="346"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/>
          <cell r="W346">
            <v>0</v>
          </cell>
          <cell r="X346">
            <v>109.05959519746739</v>
          </cell>
          <cell r="Y346">
            <v>0</v>
          </cell>
          <cell r="Z346"/>
          <cell r="AA346">
            <v>0</v>
          </cell>
          <cell r="AB346">
            <v>0</v>
          </cell>
          <cell r="AC346">
            <v>5238.7597825107605</v>
          </cell>
          <cell r="AD346">
            <v>0</v>
          </cell>
          <cell r="AE346">
            <v>453.28676417768395</v>
          </cell>
          <cell r="AF346">
            <v>4437.7833806935578</v>
          </cell>
          <cell r="AH346">
            <v>730.47179917909421</v>
          </cell>
          <cell r="AI346">
            <v>3372.1614553539398</v>
          </cell>
          <cell r="AK346">
            <v>459.8961907599396</v>
          </cell>
          <cell r="AL346">
            <v>0</v>
          </cell>
          <cell r="AN346">
            <v>0</v>
          </cell>
          <cell r="AO346">
            <v>0</v>
          </cell>
          <cell r="AQ346">
            <v>218.86472282667671</v>
          </cell>
          <cell r="AR346">
            <v>0</v>
          </cell>
          <cell r="AT346">
            <v>332.96178169220053</v>
          </cell>
          <cell r="AU346">
            <v>0</v>
          </cell>
          <cell r="AW346">
            <v>0</v>
          </cell>
          <cell r="AX346">
            <v>0</v>
          </cell>
        </row>
        <row r="347">
          <cell r="I347">
            <v>0</v>
          </cell>
          <cell r="J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/>
          <cell r="W347">
            <v>0</v>
          </cell>
          <cell r="X347">
            <v>0</v>
          </cell>
          <cell r="Y347">
            <v>0</v>
          </cell>
          <cell r="Z347"/>
          <cell r="AA347">
            <v>0</v>
          </cell>
          <cell r="AB347">
            <v>0</v>
          </cell>
          <cell r="AC347">
            <v>2948.989866368101</v>
          </cell>
          <cell r="AD347">
            <v>0</v>
          </cell>
          <cell r="AE347">
            <v>598.88698825376764</v>
          </cell>
          <cell r="AF347">
            <v>0</v>
          </cell>
          <cell r="AH347">
            <v>975.42236566356132</v>
          </cell>
          <cell r="AI347">
            <v>0</v>
          </cell>
          <cell r="AK347">
            <v>577.63982887433463</v>
          </cell>
          <cell r="AL347">
            <v>0</v>
          </cell>
          <cell r="AN347">
            <v>0</v>
          </cell>
          <cell r="AO347">
            <v>0</v>
          </cell>
          <cell r="AQ347">
            <v>338.81178137477229</v>
          </cell>
          <cell r="AR347">
            <v>0</v>
          </cell>
          <cell r="AT347">
            <v>542.52466217651158</v>
          </cell>
          <cell r="AU347">
            <v>0</v>
          </cell>
          <cell r="AW347">
            <v>0</v>
          </cell>
          <cell r="AX347">
            <v>0</v>
          </cell>
        </row>
        <row r="348">
          <cell r="I348">
            <v>0</v>
          </cell>
          <cell r="J348">
            <v>0</v>
          </cell>
          <cell r="L348">
            <v>0</v>
          </cell>
          <cell r="M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/>
          <cell r="W348">
            <v>0</v>
          </cell>
          <cell r="X348">
            <v>225.62064403285584</v>
          </cell>
          <cell r="Y348">
            <v>0</v>
          </cell>
          <cell r="Z348"/>
          <cell r="AA348">
            <v>0</v>
          </cell>
          <cell r="AB348">
            <v>0</v>
          </cell>
          <cell r="AC348">
            <v>8156.1958454717515</v>
          </cell>
          <cell r="AD348">
            <v>248.62212541011559</v>
          </cell>
          <cell r="AE348">
            <v>206.85511576985931</v>
          </cell>
          <cell r="AF348">
            <v>0</v>
          </cell>
          <cell r="AH348">
            <v>236.50164632888067</v>
          </cell>
          <cell r="AI348">
            <v>0</v>
          </cell>
          <cell r="AK348">
            <v>321.47611055472277</v>
          </cell>
          <cell r="AL348">
            <v>0</v>
          </cell>
          <cell r="AN348">
            <v>0</v>
          </cell>
          <cell r="AO348">
            <v>0</v>
          </cell>
          <cell r="AQ348">
            <v>0</v>
          </cell>
          <cell r="AR348">
            <v>0</v>
          </cell>
          <cell r="AT348">
            <v>107.5901330625987</v>
          </cell>
          <cell r="AU348">
            <v>0</v>
          </cell>
          <cell r="AW348">
            <v>0</v>
          </cell>
          <cell r="AX348">
            <v>0</v>
          </cell>
        </row>
        <row r="349">
          <cell r="I349">
            <v>2</v>
          </cell>
          <cell r="J349">
            <v>456.94226083842443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/>
          <cell r="W349">
            <v>0</v>
          </cell>
          <cell r="X349">
            <v>0</v>
          </cell>
          <cell r="Y349">
            <v>0</v>
          </cell>
          <cell r="Z349"/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352.68684170543713</v>
          </cell>
          <cell r="AF349">
            <v>0</v>
          </cell>
          <cell r="AH349">
            <v>517.13191296797083</v>
          </cell>
          <cell r="AI349">
            <v>0</v>
          </cell>
          <cell r="AK349">
            <v>452.13417831518331</v>
          </cell>
          <cell r="AL349">
            <v>0</v>
          </cell>
          <cell r="AN349">
            <v>0</v>
          </cell>
          <cell r="AO349">
            <v>0</v>
          </cell>
          <cell r="AQ349">
            <v>0</v>
          </cell>
          <cell r="AR349">
            <v>0</v>
          </cell>
          <cell r="AT349">
            <v>242.89643245310197</v>
          </cell>
          <cell r="AU349">
            <v>0</v>
          </cell>
          <cell r="AW349">
            <v>0</v>
          </cell>
          <cell r="AX349">
            <v>0</v>
          </cell>
        </row>
        <row r="350">
          <cell r="I350">
            <v>0</v>
          </cell>
          <cell r="J350">
            <v>0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/>
          <cell r="W350">
            <v>0</v>
          </cell>
          <cell r="X350">
            <v>90.802211112558041</v>
          </cell>
          <cell r="Y350">
            <v>0</v>
          </cell>
          <cell r="Z350"/>
          <cell r="AA350">
            <v>0</v>
          </cell>
          <cell r="AB350">
            <v>0</v>
          </cell>
          <cell r="AC350">
            <v>1378.395017414286</v>
          </cell>
          <cell r="AD350">
            <v>0</v>
          </cell>
          <cell r="AE350">
            <v>285.07723534860406</v>
          </cell>
          <cell r="AF350">
            <v>0</v>
          </cell>
          <cell r="AH350">
            <v>366.07109162011398</v>
          </cell>
          <cell r="AI350">
            <v>0</v>
          </cell>
          <cell r="AK350">
            <v>294.87116698901576</v>
          </cell>
          <cell r="AL350">
            <v>367.97798214586402</v>
          </cell>
          <cell r="AN350">
            <v>0</v>
          </cell>
          <cell r="AO350">
            <v>0</v>
          </cell>
          <cell r="AQ350">
            <v>0</v>
          </cell>
          <cell r="AR350">
            <v>0</v>
          </cell>
          <cell r="AT350">
            <v>169.92476655434263</v>
          </cell>
          <cell r="AU350">
            <v>0</v>
          </cell>
          <cell r="AW350">
            <v>0</v>
          </cell>
          <cell r="AX350">
            <v>0</v>
          </cell>
        </row>
        <row r="351"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U351">
            <v>208.56930681944473</v>
          </cell>
          <cell r="V351"/>
          <cell r="W351">
            <v>0</v>
          </cell>
          <cell r="X351">
            <v>0</v>
          </cell>
          <cell r="Y351">
            <v>366.14130193897972</v>
          </cell>
          <cell r="Z351"/>
          <cell r="AA351">
            <v>0</v>
          </cell>
          <cell r="AB351">
            <v>0</v>
          </cell>
          <cell r="AC351">
            <v>301.8863587248822</v>
          </cell>
          <cell r="AD351">
            <v>0</v>
          </cell>
          <cell r="AE351">
            <v>36.072648069418491</v>
          </cell>
          <cell r="AF351">
            <v>0</v>
          </cell>
          <cell r="AH351">
            <v>44.309609545266404</v>
          </cell>
          <cell r="AI351">
            <v>0</v>
          </cell>
          <cell r="AK351">
            <v>56.364639436687078</v>
          </cell>
          <cell r="AL351">
            <v>0</v>
          </cell>
          <cell r="AN351">
            <v>28.814221575132017</v>
          </cell>
          <cell r="AO351">
            <v>0</v>
          </cell>
          <cell r="AQ351">
            <v>13.192247063076561</v>
          </cell>
          <cell r="AR351">
            <v>0</v>
          </cell>
          <cell r="AT351">
            <v>26.036353088784878</v>
          </cell>
          <cell r="AU351">
            <v>2534.3339420043221</v>
          </cell>
          <cell r="AW351">
            <v>0</v>
          </cell>
          <cell r="AX351">
            <v>0</v>
          </cell>
        </row>
        <row r="352"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/>
          <cell r="W352">
            <v>0</v>
          </cell>
          <cell r="X352">
            <v>79.815466707479843</v>
          </cell>
          <cell r="Y352">
            <v>0</v>
          </cell>
          <cell r="Z352"/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243.31189059781519</v>
          </cell>
          <cell r="AF352">
            <v>0</v>
          </cell>
          <cell r="AH352">
            <v>375.19980445508031</v>
          </cell>
          <cell r="AI352">
            <v>0</v>
          </cell>
          <cell r="AK352">
            <v>356.99056120096998</v>
          </cell>
          <cell r="AL352">
            <v>0</v>
          </cell>
          <cell r="AN352">
            <v>0</v>
          </cell>
          <cell r="AO352">
            <v>0</v>
          </cell>
          <cell r="AQ352">
            <v>0</v>
          </cell>
          <cell r="AR352">
            <v>0</v>
          </cell>
          <cell r="AT352">
            <v>121.28325832554735</v>
          </cell>
          <cell r="AU352">
            <v>0</v>
          </cell>
          <cell r="AW352">
            <v>0</v>
          </cell>
          <cell r="AX352">
            <v>0</v>
          </cell>
        </row>
        <row r="353"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/>
          <cell r="W353">
            <v>2</v>
          </cell>
          <cell r="X353">
            <v>2146.6012900613878</v>
          </cell>
          <cell r="Y353">
            <v>0</v>
          </cell>
          <cell r="Z353"/>
          <cell r="AA353">
            <v>0</v>
          </cell>
          <cell r="AB353">
            <v>0</v>
          </cell>
          <cell r="AC353">
            <v>2506.185386446477</v>
          </cell>
          <cell r="AD353">
            <v>0</v>
          </cell>
          <cell r="AE353">
            <v>168.57610194819171</v>
          </cell>
          <cell r="AF353">
            <v>0</v>
          </cell>
          <cell r="AH353">
            <v>223.14847341612153</v>
          </cell>
          <cell r="AI353">
            <v>0</v>
          </cell>
          <cell r="AK353">
            <v>199.49280718540049</v>
          </cell>
          <cell r="AL353">
            <v>0</v>
          </cell>
          <cell r="AN353">
            <v>0</v>
          </cell>
          <cell r="AO353">
            <v>0</v>
          </cell>
          <cell r="AQ353">
            <v>0</v>
          </cell>
          <cell r="AR353">
            <v>0</v>
          </cell>
          <cell r="AT353">
            <v>64.946753943193258</v>
          </cell>
          <cell r="AU353">
            <v>0</v>
          </cell>
          <cell r="AW353">
            <v>0</v>
          </cell>
          <cell r="AX353">
            <v>0</v>
          </cell>
        </row>
        <row r="354"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/>
          <cell r="W354">
            <v>0</v>
          </cell>
          <cell r="X354">
            <v>0</v>
          </cell>
          <cell r="Y354">
            <v>0</v>
          </cell>
          <cell r="Z354"/>
          <cell r="AA354">
            <v>0</v>
          </cell>
          <cell r="AB354">
            <v>0</v>
          </cell>
          <cell r="AC354">
            <v>0</v>
          </cell>
          <cell r="AD354">
            <v>246.55041654926396</v>
          </cell>
          <cell r="AE354">
            <v>309.80614720746934</v>
          </cell>
          <cell r="AF354">
            <v>0</v>
          </cell>
          <cell r="AH354">
            <v>491.57143533941519</v>
          </cell>
          <cell r="AI354">
            <v>0</v>
          </cell>
          <cell r="AK354">
            <v>365.94411287080538</v>
          </cell>
          <cell r="AL354">
            <v>0</v>
          </cell>
          <cell r="AN354">
            <v>0</v>
          </cell>
          <cell r="AO354">
            <v>0</v>
          </cell>
          <cell r="AQ354">
            <v>0</v>
          </cell>
          <cell r="AR354">
            <v>0</v>
          </cell>
          <cell r="AT354">
            <v>175.46952701896416</v>
          </cell>
          <cell r="AU354">
            <v>0</v>
          </cell>
          <cell r="AW354">
            <v>0</v>
          </cell>
          <cell r="AX354">
            <v>0</v>
          </cell>
        </row>
        <row r="355"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/>
          <cell r="W355">
            <v>0</v>
          </cell>
          <cell r="X355">
            <v>0</v>
          </cell>
          <cell r="Y355">
            <v>4570.7660532452237</v>
          </cell>
          <cell r="Z355"/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148.66895006333297</v>
          </cell>
          <cell r="AF355">
            <v>0</v>
          </cell>
          <cell r="AH355">
            <v>199.98679498901538</v>
          </cell>
          <cell r="AI355">
            <v>0</v>
          </cell>
          <cell r="AK355">
            <v>151.15206599134754</v>
          </cell>
          <cell r="AL355">
            <v>0</v>
          </cell>
          <cell r="AN355">
            <v>0</v>
          </cell>
          <cell r="AO355">
            <v>0</v>
          </cell>
          <cell r="AQ355">
            <v>0</v>
          </cell>
          <cell r="AR355">
            <v>0</v>
          </cell>
          <cell r="AT355">
            <v>60.056169810574971</v>
          </cell>
          <cell r="AU355">
            <v>0</v>
          </cell>
          <cell r="AW355">
            <v>0</v>
          </cell>
          <cell r="AX355">
            <v>0</v>
          </cell>
        </row>
      </sheetData>
      <sheetData sheetId="5"/>
      <sheetData sheetId="6"/>
      <sheetData sheetId="7"/>
      <sheetData sheetId="8"/>
      <sheetData sheetId="9"/>
      <sheetData sheetId="10">
        <row r="7">
          <cell r="C7">
            <v>989252</v>
          </cell>
          <cell r="D7">
            <v>1044612</v>
          </cell>
          <cell r="F7">
            <v>579946</v>
          </cell>
          <cell r="G7">
            <v>840979</v>
          </cell>
        </row>
        <row r="8">
          <cell r="C8">
            <v>216512</v>
          </cell>
          <cell r="D8">
            <v>225024</v>
          </cell>
          <cell r="F8">
            <v>127588</v>
          </cell>
          <cell r="G8">
            <v>158193</v>
          </cell>
        </row>
        <row r="9">
          <cell r="C9">
            <v>66336</v>
          </cell>
          <cell r="D9">
            <v>70563</v>
          </cell>
          <cell r="F9">
            <v>10834</v>
          </cell>
          <cell r="G9">
            <v>15741</v>
          </cell>
        </row>
        <row r="10">
          <cell r="C10">
            <v>193436</v>
          </cell>
          <cell r="D10">
            <v>276691</v>
          </cell>
          <cell r="F10">
            <v>0</v>
          </cell>
          <cell r="G10">
            <v>0</v>
          </cell>
        </row>
        <row r="11">
          <cell r="C11">
            <v>34090</v>
          </cell>
          <cell r="D11">
            <v>16352</v>
          </cell>
          <cell r="F11">
            <v>0</v>
          </cell>
          <cell r="G11">
            <v>0</v>
          </cell>
        </row>
        <row r="12">
          <cell r="C12">
            <v>247220</v>
          </cell>
          <cell r="D12">
            <v>74138</v>
          </cell>
          <cell r="F12">
            <v>50000</v>
          </cell>
          <cell r="G12">
            <v>28399</v>
          </cell>
        </row>
        <row r="13">
          <cell r="C13">
            <v>4600</v>
          </cell>
          <cell r="D13">
            <v>6250</v>
          </cell>
          <cell r="F13">
            <v>2000</v>
          </cell>
          <cell r="G13">
            <v>0</v>
          </cell>
        </row>
        <row r="14">
          <cell r="C14">
            <v>29692</v>
          </cell>
          <cell r="D14">
            <v>37410</v>
          </cell>
          <cell r="F14">
            <v>0</v>
          </cell>
          <cell r="G14">
            <v>0</v>
          </cell>
        </row>
        <row r="15">
          <cell r="C15">
            <v>99992</v>
          </cell>
          <cell r="D15">
            <v>214291</v>
          </cell>
          <cell r="F15">
            <v>34516</v>
          </cell>
          <cell r="G15">
            <v>124874</v>
          </cell>
        </row>
        <row r="16">
          <cell r="C16">
            <v>11374</v>
          </cell>
          <cell r="D16">
            <v>20590</v>
          </cell>
          <cell r="F16">
            <v>13302</v>
          </cell>
          <cell r="G16">
            <v>31159</v>
          </cell>
        </row>
        <row r="17">
          <cell r="C17">
            <v>87398</v>
          </cell>
          <cell r="D17">
            <v>191894</v>
          </cell>
          <cell r="F17">
            <v>20214</v>
          </cell>
          <cell r="G17">
            <v>92632</v>
          </cell>
        </row>
        <row r="18">
          <cell r="C18">
            <v>1220</v>
          </cell>
          <cell r="D18">
            <v>1807</v>
          </cell>
          <cell r="F18">
            <v>1000</v>
          </cell>
          <cell r="G18">
            <v>1083</v>
          </cell>
        </row>
        <row r="19">
          <cell r="C19">
            <v>2800</v>
          </cell>
          <cell r="D19">
            <v>3437</v>
          </cell>
          <cell r="F19">
            <v>2500</v>
          </cell>
          <cell r="G19">
            <v>6676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F21">
            <v>10000</v>
          </cell>
          <cell r="G21">
            <v>9310</v>
          </cell>
        </row>
        <row r="22">
          <cell r="C22">
            <v>126838</v>
          </cell>
          <cell r="D22">
            <v>109213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F23">
            <v>6000</v>
          </cell>
          <cell r="G23">
            <v>6058</v>
          </cell>
        </row>
        <row r="24">
          <cell r="C24">
            <v>0</v>
          </cell>
          <cell r="D24">
            <v>0</v>
          </cell>
          <cell r="F24">
            <v>1000</v>
          </cell>
          <cell r="G24">
            <v>0</v>
          </cell>
        </row>
        <row r="25">
          <cell r="C25">
            <v>3000</v>
          </cell>
          <cell r="D25">
            <v>0</v>
          </cell>
          <cell r="F25">
            <v>3000</v>
          </cell>
          <cell r="G25">
            <v>6978</v>
          </cell>
        </row>
        <row r="26">
          <cell r="C26">
            <v>6000</v>
          </cell>
          <cell r="D26">
            <v>5000</v>
          </cell>
          <cell r="F26">
            <v>10000</v>
          </cell>
          <cell r="G26">
            <v>2490</v>
          </cell>
        </row>
        <row r="27">
          <cell r="C27">
            <v>150802</v>
          </cell>
          <cell r="D27">
            <v>150032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F28">
            <v>16742</v>
          </cell>
          <cell r="G28">
            <v>16280</v>
          </cell>
        </row>
        <row r="29">
          <cell r="C29">
            <v>0</v>
          </cell>
          <cell r="D29">
            <v>0</v>
          </cell>
          <cell r="F29">
            <v>13782</v>
          </cell>
          <cell r="G29">
            <v>21329</v>
          </cell>
        </row>
        <row r="30">
          <cell r="C30">
            <v>50000</v>
          </cell>
          <cell r="D30">
            <v>50551</v>
          </cell>
          <cell r="F30">
            <v>19000</v>
          </cell>
          <cell r="G30">
            <v>350</v>
          </cell>
        </row>
        <row r="31">
          <cell r="C31">
            <v>53600</v>
          </cell>
          <cell r="D31">
            <v>29648</v>
          </cell>
          <cell r="F31">
            <v>500</v>
          </cell>
          <cell r="G31">
            <v>196</v>
          </cell>
        </row>
        <row r="32">
          <cell r="C32">
            <v>28000</v>
          </cell>
          <cell r="D32">
            <v>17370</v>
          </cell>
          <cell r="F32">
            <v>9712</v>
          </cell>
          <cell r="G32">
            <v>1838</v>
          </cell>
        </row>
        <row r="34">
          <cell r="C34">
            <v>99588</v>
          </cell>
          <cell r="D34">
            <v>151344</v>
          </cell>
          <cell r="F34">
            <v>0</v>
          </cell>
          <cell r="G34">
            <v>16505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кошти 01.03.23"/>
      <sheetName val="поточний ремонт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E9">
            <v>372.8</v>
          </cell>
        </row>
        <row r="10">
          <cell r="E10">
            <v>1840.7</v>
          </cell>
        </row>
        <row r="11">
          <cell r="E11">
            <v>2805.68</v>
          </cell>
        </row>
        <row r="12">
          <cell r="E12">
            <v>6095.61</v>
          </cell>
        </row>
        <row r="13">
          <cell r="E13">
            <v>6316</v>
          </cell>
        </row>
        <row r="14">
          <cell r="E14">
            <v>263.3</v>
          </cell>
        </row>
        <row r="15">
          <cell r="E15">
            <v>4163.4000000000005</v>
          </cell>
        </row>
        <row r="16">
          <cell r="E16">
            <v>409.93</v>
          </cell>
        </row>
        <row r="17">
          <cell r="E17">
            <v>403.93</v>
          </cell>
        </row>
        <row r="18">
          <cell r="E18">
            <v>4890.7</v>
          </cell>
        </row>
        <row r="19">
          <cell r="E19">
            <v>853.2</v>
          </cell>
        </row>
        <row r="20">
          <cell r="E20">
            <v>256.90000000000003</v>
          </cell>
        </row>
        <row r="21">
          <cell r="E21">
            <v>3070.2</v>
          </cell>
        </row>
        <row r="22">
          <cell r="E22">
            <v>1499.03</v>
          </cell>
        </row>
        <row r="23">
          <cell r="E23">
            <v>4082.7</v>
          </cell>
        </row>
        <row r="24">
          <cell r="E24">
            <v>263.39999999999998</v>
          </cell>
        </row>
        <row r="25">
          <cell r="E25">
            <v>298.60000000000002</v>
          </cell>
        </row>
        <row r="26">
          <cell r="E26">
            <v>298.39999999999998</v>
          </cell>
        </row>
        <row r="27">
          <cell r="E27">
            <v>236.7</v>
          </cell>
        </row>
        <row r="28">
          <cell r="E28">
            <v>315.7</v>
          </cell>
        </row>
        <row r="29">
          <cell r="E29">
            <v>239.9</v>
          </cell>
        </row>
        <row r="30">
          <cell r="E30">
            <v>135.6</v>
          </cell>
        </row>
        <row r="31">
          <cell r="E31">
            <v>229.9</v>
          </cell>
        </row>
        <row r="32">
          <cell r="E32">
            <v>2167.6</v>
          </cell>
        </row>
        <row r="33">
          <cell r="E33">
            <v>2330.5700000000002</v>
          </cell>
        </row>
        <row r="34">
          <cell r="E34">
            <v>3253.33</v>
          </cell>
        </row>
        <row r="35">
          <cell r="E35">
            <v>922.6</v>
          </cell>
        </row>
        <row r="36">
          <cell r="E36">
            <v>909.2</v>
          </cell>
        </row>
        <row r="37">
          <cell r="E37">
            <v>1867.1</v>
          </cell>
        </row>
        <row r="38">
          <cell r="E38">
            <v>1172.81</v>
          </cell>
        </row>
        <row r="39">
          <cell r="E39">
            <v>1448.3</v>
          </cell>
        </row>
        <row r="40">
          <cell r="E40">
            <v>2117.4</v>
          </cell>
        </row>
        <row r="41">
          <cell r="E41">
            <v>2214.37</v>
          </cell>
        </row>
        <row r="42">
          <cell r="E42">
            <v>5953.29</v>
          </cell>
        </row>
        <row r="43">
          <cell r="E43">
            <v>3858.65</v>
          </cell>
        </row>
        <row r="44">
          <cell r="E44">
            <v>9788.74</v>
          </cell>
        </row>
        <row r="45">
          <cell r="E45">
            <v>6581.9</v>
          </cell>
        </row>
        <row r="46">
          <cell r="E46">
            <v>3446.77</v>
          </cell>
        </row>
        <row r="47">
          <cell r="E47">
            <v>244.2</v>
          </cell>
        </row>
        <row r="48">
          <cell r="E48">
            <v>323.7</v>
          </cell>
        </row>
        <row r="49">
          <cell r="E49">
            <v>2189.9</v>
          </cell>
        </row>
        <row r="50">
          <cell r="E50">
            <v>1173.1199999999999</v>
          </cell>
        </row>
        <row r="51">
          <cell r="E51">
            <v>2743.1</v>
          </cell>
        </row>
        <row r="52">
          <cell r="E52">
            <v>249.8</v>
          </cell>
        </row>
        <row r="53">
          <cell r="E53">
            <v>2889.0499999999997</v>
          </cell>
        </row>
        <row r="54">
          <cell r="E54">
            <v>3219.5</v>
          </cell>
        </row>
        <row r="55">
          <cell r="E55">
            <v>1871.6999999999998</v>
          </cell>
        </row>
        <row r="56">
          <cell r="E56">
            <v>3630</v>
          </cell>
        </row>
        <row r="57">
          <cell r="E57">
            <v>1469.3</v>
          </cell>
        </row>
        <row r="58">
          <cell r="E58">
            <v>253.5</v>
          </cell>
        </row>
        <row r="59">
          <cell r="E59">
            <v>200.6</v>
          </cell>
        </row>
        <row r="60">
          <cell r="E60">
            <v>83.8</v>
          </cell>
        </row>
        <row r="61">
          <cell r="E61">
            <v>1894.8000000000002</v>
          </cell>
        </row>
        <row r="62">
          <cell r="E62">
            <v>847.5</v>
          </cell>
        </row>
        <row r="63">
          <cell r="E63">
            <v>2696.4</v>
          </cell>
        </row>
        <row r="64">
          <cell r="E64">
            <v>1940</v>
          </cell>
        </row>
        <row r="65">
          <cell r="E65">
            <v>300.7</v>
          </cell>
        </row>
        <row r="66">
          <cell r="E66">
            <v>293.5</v>
          </cell>
        </row>
        <row r="67">
          <cell r="E67">
            <v>8443.0499999999993</v>
          </cell>
        </row>
        <row r="68">
          <cell r="E68">
            <v>174.9</v>
          </cell>
        </row>
        <row r="69">
          <cell r="E69">
            <v>136.9</v>
          </cell>
        </row>
        <row r="70">
          <cell r="E70">
            <v>7614.5</v>
          </cell>
        </row>
        <row r="71">
          <cell r="E71">
            <v>2489.87</v>
          </cell>
        </row>
        <row r="72">
          <cell r="E72">
            <v>11377.55</v>
          </cell>
        </row>
        <row r="73">
          <cell r="E73">
            <v>2481.4</v>
          </cell>
        </row>
        <row r="74">
          <cell r="E74">
            <v>11458.36</v>
          </cell>
        </row>
        <row r="75">
          <cell r="E75">
            <v>216</v>
          </cell>
        </row>
        <row r="76">
          <cell r="E76">
            <v>216.8</v>
          </cell>
        </row>
        <row r="77">
          <cell r="E77">
            <v>214.7</v>
          </cell>
        </row>
        <row r="78">
          <cell r="E78">
            <v>397.8</v>
          </cell>
        </row>
        <row r="79">
          <cell r="E79">
            <v>245.6</v>
          </cell>
        </row>
        <row r="80">
          <cell r="E80">
            <v>282.8</v>
          </cell>
        </row>
        <row r="81">
          <cell r="E81">
            <v>171.6</v>
          </cell>
        </row>
        <row r="82">
          <cell r="E82">
            <v>151.6</v>
          </cell>
        </row>
        <row r="83">
          <cell r="E83">
            <v>5047.8</v>
          </cell>
        </row>
        <row r="84">
          <cell r="E84">
            <v>2605.5</v>
          </cell>
        </row>
        <row r="85">
          <cell r="E85">
            <v>4661.7</v>
          </cell>
        </row>
        <row r="86">
          <cell r="E86">
            <v>4715.25</v>
          </cell>
        </row>
        <row r="87">
          <cell r="E87">
            <v>258.5</v>
          </cell>
        </row>
        <row r="88">
          <cell r="E88">
            <v>9737.7999999999993</v>
          </cell>
        </row>
        <row r="89">
          <cell r="E89">
            <v>250.4</v>
          </cell>
        </row>
        <row r="90">
          <cell r="E90">
            <v>1899.07</v>
          </cell>
        </row>
        <row r="91">
          <cell r="E91">
            <v>9311.5499999999993</v>
          </cell>
        </row>
        <row r="92">
          <cell r="E92">
            <v>3777.3500000000004</v>
          </cell>
        </row>
        <row r="93">
          <cell r="E93">
            <v>4652.96</v>
          </cell>
        </row>
        <row r="94">
          <cell r="E94">
            <v>4850.6500000000005</v>
          </cell>
        </row>
        <row r="95">
          <cell r="E95">
            <v>9553.74</v>
          </cell>
        </row>
        <row r="96">
          <cell r="E96">
            <v>7507.43</v>
          </cell>
        </row>
        <row r="97">
          <cell r="E97">
            <v>507.5</v>
          </cell>
        </row>
        <row r="98">
          <cell r="E98">
            <v>2425.9</v>
          </cell>
        </row>
        <row r="99">
          <cell r="E99">
            <v>452.1</v>
          </cell>
        </row>
        <row r="100">
          <cell r="E100">
            <v>378.8</v>
          </cell>
        </row>
        <row r="101">
          <cell r="E101">
            <v>766.3</v>
          </cell>
        </row>
        <row r="102">
          <cell r="E102">
            <v>994.8</v>
          </cell>
        </row>
        <row r="103">
          <cell r="E103">
            <v>598.30999999999995</v>
          </cell>
        </row>
        <row r="104">
          <cell r="E104">
            <v>465.59999999999997</v>
          </cell>
        </row>
        <row r="105">
          <cell r="E105">
            <v>475.2</v>
          </cell>
        </row>
        <row r="106">
          <cell r="E106">
            <v>1108</v>
          </cell>
        </row>
        <row r="107">
          <cell r="E107">
            <v>1472.6</v>
          </cell>
        </row>
        <row r="108">
          <cell r="E108">
            <v>498.78</v>
          </cell>
        </row>
        <row r="109">
          <cell r="E109">
            <v>1482.2</v>
          </cell>
        </row>
        <row r="110">
          <cell r="E110">
            <v>626.29999999999995</v>
          </cell>
        </row>
        <row r="111">
          <cell r="E111">
            <v>2636.9100000000003</v>
          </cell>
        </row>
        <row r="112">
          <cell r="E112">
            <v>1892.8</v>
          </cell>
        </row>
        <row r="113">
          <cell r="E113">
            <v>2744.2</v>
          </cell>
        </row>
        <row r="114">
          <cell r="E114">
            <v>4254.1000000000004</v>
          </cell>
        </row>
        <row r="115">
          <cell r="E115">
            <v>130.1</v>
          </cell>
        </row>
        <row r="116">
          <cell r="E116">
            <v>373.5</v>
          </cell>
        </row>
        <row r="117">
          <cell r="E117">
            <v>173.75</v>
          </cell>
        </row>
        <row r="118">
          <cell r="E118">
            <v>188.4</v>
          </cell>
        </row>
        <row r="119">
          <cell r="E119">
            <v>195.6</v>
          </cell>
        </row>
        <row r="120">
          <cell r="E120">
            <v>196.35</v>
          </cell>
        </row>
        <row r="121">
          <cell r="E121">
            <v>3175.8</v>
          </cell>
        </row>
        <row r="122">
          <cell r="E122">
            <v>181.9</v>
          </cell>
        </row>
        <row r="123">
          <cell r="E123">
            <v>110.2</v>
          </cell>
        </row>
        <row r="124">
          <cell r="E124">
            <v>100.2</v>
          </cell>
        </row>
        <row r="125">
          <cell r="E125">
            <v>3167.15</v>
          </cell>
        </row>
        <row r="126">
          <cell r="E126">
            <v>7111.44</v>
          </cell>
        </row>
        <row r="127">
          <cell r="E127">
            <v>9469.1</v>
          </cell>
        </row>
        <row r="128">
          <cell r="E128">
            <v>241.1</v>
          </cell>
        </row>
        <row r="129">
          <cell r="E129">
            <v>188.9</v>
          </cell>
        </row>
        <row r="130">
          <cell r="E130">
            <v>142.1</v>
          </cell>
        </row>
        <row r="131">
          <cell r="E131">
            <v>3815</v>
          </cell>
        </row>
        <row r="132">
          <cell r="E132">
            <v>214.9</v>
          </cell>
        </row>
        <row r="133">
          <cell r="E133">
            <v>181.38</v>
          </cell>
        </row>
        <row r="134">
          <cell r="E134">
            <v>1485.1</v>
          </cell>
        </row>
        <row r="135">
          <cell r="E135">
            <v>4024.2</v>
          </cell>
        </row>
        <row r="136">
          <cell r="E136">
            <v>1485</v>
          </cell>
        </row>
        <row r="137">
          <cell r="E137">
            <v>744.59999999999991</v>
          </cell>
        </row>
        <row r="138">
          <cell r="E138">
            <v>422.9</v>
          </cell>
        </row>
        <row r="139">
          <cell r="E139">
            <v>3598.13</v>
          </cell>
        </row>
        <row r="140">
          <cell r="E140">
            <v>339.3</v>
          </cell>
        </row>
        <row r="141">
          <cell r="E141">
            <v>499.90000000000003</v>
          </cell>
        </row>
        <row r="142">
          <cell r="E142">
            <v>3289.98</v>
          </cell>
        </row>
        <row r="143">
          <cell r="E143">
            <v>2046.1999999999998</v>
          </cell>
        </row>
        <row r="144">
          <cell r="E144">
            <v>2821.57</v>
          </cell>
        </row>
        <row r="145">
          <cell r="E145">
            <v>6921.8</v>
          </cell>
        </row>
        <row r="146">
          <cell r="E146">
            <v>320.5</v>
          </cell>
        </row>
        <row r="147">
          <cell r="E147">
            <v>11582.12</v>
          </cell>
        </row>
        <row r="148">
          <cell r="E148">
            <v>2850.7000000000003</v>
          </cell>
        </row>
        <row r="149">
          <cell r="E149">
            <v>3771.47</v>
          </cell>
        </row>
        <row r="150">
          <cell r="E150">
            <v>3767.85</v>
          </cell>
        </row>
        <row r="151">
          <cell r="E151">
            <v>4717.22</v>
          </cell>
        </row>
        <row r="152">
          <cell r="E152">
            <v>5265.4</v>
          </cell>
        </row>
        <row r="153">
          <cell r="E153">
            <v>7052.84</v>
          </cell>
        </row>
        <row r="154">
          <cell r="E154">
            <v>10391</v>
          </cell>
        </row>
        <row r="155">
          <cell r="E155">
            <v>110.7</v>
          </cell>
        </row>
        <row r="156">
          <cell r="E156">
            <v>211.4</v>
          </cell>
        </row>
        <row r="157">
          <cell r="E157">
            <v>7425.1</v>
          </cell>
        </row>
        <row r="158">
          <cell r="E158">
            <v>6125.75</v>
          </cell>
        </row>
        <row r="159">
          <cell r="E159">
            <v>159.9</v>
          </cell>
        </row>
        <row r="160">
          <cell r="E160">
            <v>161.4</v>
          </cell>
        </row>
        <row r="161">
          <cell r="E161">
            <v>6020</v>
          </cell>
        </row>
        <row r="162">
          <cell r="E162">
            <v>108.3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137.30000000000001</v>
          </cell>
        </row>
        <row r="166">
          <cell r="E166">
            <v>211.6</v>
          </cell>
        </row>
        <row r="167">
          <cell r="E167">
            <v>180.6</v>
          </cell>
        </row>
        <row r="168">
          <cell r="E168">
            <v>102.4</v>
          </cell>
        </row>
        <row r="169">
          <cell r="E169">
            <v>180.22</v>
          </cell>
        </row>
        <row r="170">
          <cell r="E170">
            <v>329.7</v>
          </cell>
        </row>
        <row r="171">
          <cell r="E171">
            <v>151.80000000000001</v>
          </cell>
        </row>
        <row r="172">
          <cell r="E172">
            <v>4529.63</v>
          </cell>
        </row>
        <row r="173">
          <cell r="E173">
            <v>2055.6</v>
          </cell>
        </row>
        <row r="174">
          <cell r="E174">
            <v>373.83</v>
          </cell>
        </row>
        <row r="175">
          <cell r="E175">
            <v>119.3</v>
          </cell>
        </row>
        <row r="176">
          <cell r="E176">
            <v>182.8</v>
          </cell>
        </row>
        <row r="177">
          <cell r="E177">
            <v>229</v>
          </cell>
        </row>
        <row r="178">
          <cell r="E178">
            <v>144.5</v>
          </cell>
        </row>
        <row r="179">
          <cell r="E179">
            <v>393</v>
          </cell>
        </row>
        <row r="180">
          <cell r="E180">
            <v>4524.01</v>
          </cell>
        </row>
        <row r="181">
          <cell r="E181">
            <v>6306.37</v>
          </cell>
        </row>
        <row r="182">
          <cell r="E182">
            <v>2744.3</v>
          </cell>
        </row>
        <row r="183">
          <cell r="E183">
            <v>6138.38</v>
          </cell>
        </row>
        <row r="184">
          <cell r="E184">
            <v>6304.12</v>
          </cell>
        </row>
        <row r="185">
          <cell r="E185">
            <v>4191.3999999999996</v>
          </cell>
        </row>
        <row r="186">
          <cell r="E186">
            <v>477.5</v>
          </cell>
        </row>
        <row r="187">
          <cell r="E187">
            <v>553.20000000000005</v>
          </cell>
        </row>
        <row r="188">
          <cell r="E188">
            <v>358.84</v>
          </cell>
        </row>
        <row r="189">
          <cell r="E189">
            <v>488.8</v>
          </cell>
        </row>
        <row r="190">
          <cell r="E190">
            <v>385.5</v>
          </cell>
        </row>
        <row r="191">
          <cell r="E191">
            <v>2292.33</v>
          </cell>
        </row>
        <row r="192">
          <cell r="E192">
            <v>354.3</v>
          </cell>
        </row>
        <row r="193">
          <cell r="E193">
            <v>474.29999999999995</v>
          </cell>
        </row>
        <row r="194">
          <cell r="E194">
            <v>4735.0700000000006</v>
          </cell>
        </row>
        <row r="195">
          <cell r="E195">
            <v>1981.17</v>
          </cell>
        </row>
        <row r="196">
          <cell r="E196">
            <v>286.2</v>
          </cell>
        </row>
        <row r="197">
          <cell r="E197">
            <v>3813.3</v>
          </cell>
        </row>
        <row r="198">
          <cell r="E198">
            <v>15437.47</v>
          </cell>
        </row>
        <row r="199">
          <cell r="E199">
            <v>479.4</v>
          </cell>
        </row>
        <row r="200">
          <cell r="E200">
            <v>5138.55</v>
          </cell>
        </row>
        <row r="201">
          <cell r="E201">
            <v>404.5</v>
          </cell>
        </row>
        <row r="202">
          <cell r="E202">
            <v>7450.81</v>
          </cell>
        </row>
        <row r="203">
          <cell r="E203">
            <v>6120.05</v>
          </cell>
        </row>
        <row r="204">
          <cell r="E204">
            <v>2163.8200000000002</v>
          </cell>
        </row>
        <row r="205">
          <cell r="E205">
            <v>4314</v>
          </cell>
        </row>
        <row r="206">
          <cell r="E206">
            <v>2140.7399999999998</v>
          </cell>
        </row>
        <row r="207">
          <cell r="E207">
            <v>657.8</v>
          </cell>
        </row>
        <row r="208">
          <cell r="E208">
            <v>2135.1</v>
          </cell>
        </row>
        <row r="209">
          <cell r="E209">
            <v>4349.8999999999996</v>
          </cell>
        </row>
        <row r="210">
          <cell r="E210">
            <v>2131.85</v>
          </cell>
        </row>
        <row r="211">
          <cell r="E211">
            <v>105</v>
          </cell>
        </row>
        <row r="212">
          <cell r="E212">
            <v>140.69999999999999</v>
          </cell>
        </row>
        <row r="213">
          <cell r="E213">
            <v>6742.76</v>
          </cell>
        </row>
        <row r="214">
          <cell r="E214">
            <v>3267.3</v>
          </cell>
        </row>
        <row r="215">
          <cell r="E215">
            <v>6615</v>
          </cell>
        </row>
        <row r="216">
          <cell r="E216">
            <v>9392.7999999999993</v>
          </cell>
        </row>
        <row r="217">
          <cell r="E217">
            <v>3505.5</v>
          </cell>
        </row>
        <row r="218">
          <cell r="E218">
            <v>3564.3</v>
          </cell>
        </row>
        <row r="219">
          <cell r="E219">
            <v>3571.4</v>
          </cell>
        </row>
        <row r="220">
          <cell r="E220">
            <v>2747.6</v>
          </cell>
        </row>
        <row r="221">
          <cell r="E221">
            <v>2524.1999999999998</v>
          </cell>
        </row>
        <row r="222">
          <cell r="E222">
            <v>911.81</v>
          </cell>
        </row>
        <row r="223">
          <cell r="E223">
            <v>63</v>
          </cell>
        </row>
        <row r="224">
          <cell r="E224">
            <v>253.7</v>
          </cell>
        </row>
        <row r="225">
          <cell r="E225">
            <v>601.4</v>
          </cell>
        </row>
        <row r="226">
          <cell r="E226">
            <v>427.1</v>
          </cell>
        </row>
        <row r="227">
          <cell r="E227">
            <v>1282.0999999999999</v>
          </cell>
        </row>
        <row r="228">
          <cell r="E228">
            <v>3174.5</v>
          </cell>
        </row>
        <row r="229">
          <cell r="E229">
            <v>603.29999999999995</v>
          </cell>
        </row>
        <row r="230">
          <cell r="E230">
            <v>4198.2</v>
          </cell>
        </row>
        <row r="231">
          <cell r="E231">
            <v>229.7</v>
          </cell>
        </row>
        <row r="232">
          <cell r="E232">
            <v>409.7</v>
          </cell>
        </row>
        <row r="233">
          <cell r="E233">
            <v>450.6</v>
          </cell>
        </row>
        <row r="234">
          <cell r="E234">
            <v>2102.6</v>
          </cell>
        </row>
        <row r="235">
          <cell r="E235">
            <v>2790</v>
          </cell>
        </row>
        <row r="236">
          <cell r="E236">
            <v>3559.5</v>
          </cell>
        </row>
        <row r="237">
          <cell r="E237">
            <v>3575.2</v>
          </cell>
        </row>
        <row r="238">
          <cell r="E238">
            <v>3564.2</v>
          </cell>
        </row>
        <row r="239">
          <cell r="E239">
            <v>3571.96</v>
          </cell>
        </row>
        <row r="240">
          <cell r="E240">
            <v>4572.3</v>
          </cell>
        </row>
        <row r="241">
          <cell r="E241">
            <v>4577.8</v>
          </cell>
        </row>
        <row r="242">
          <cell r="E242">
            <v>3208.93</v>
          </cell>
        </row>
        <row r="243">
          <cell r="E243">
            <v>6253.7</v>
          </cell>
        </row>
        <row r="244">
          <cell r="E244">
            <v>2767.8</v>
          </cell>
        </row>
        <row r="245">
          <cell r="E245">
            <v>4580.3</v>
          </cell>
        </row>
        <row r="246">
          <cell r="E246">
            <v>6211.0999999999995</v>
          </cell>
        </row>
        <row r="247">
          <cell r="E247">
            <v>3177.82</v>
          </cell>
        </row>
        <row r="248">
          <cell r="E248">
            <v>3167.6</v>
          </cell>
        </row>
        <row r="249">
          <cell r="E249">
            <v>4456.6000000000004</v>
          </cell>
        </row>
        <row r="250">
          <cell r="E250">
            <v>3670.1</v>
          </cell>
        </row>
        <row r="251">
          <cell r="E251">
            <v>275.8</v>
          </cell>
        </row>
        <row r="252">
          <cell r="E252">
            <v>146.1</v>
          </cell>
        </row>
        <row r="253">
          <cell r="E253">
            <v>3990.71</v>
          </cell>
        </row>
        <row r="254">
          <cell r="E254">
            <v>11337.62</v>
          </cell>
        </row>
        <row r="255">
          <cell r="E255">
            <v>13218.32</v>
          </cell>
        </row>
        <row r="256">
          <cell r="E256">
            <v>5689.68</v>
          </cell>
        </row>
        <row r="257">
          <cell r="E257">
            <v>6815.39</v>
          </cell>
        </row>
        <row r="258">
          <cell r="E258">
            <v>2823.8</v>
          </cell>
        </row>
        <row r="259">
          <cell r="E259">
            <v>2844.3999999999996</v>
          </cell>
        </row>
        <row r="260">
          <cell r="E260">
            <v>2296.6999999999998</v>
          </cell>
        </row>
        <row r="261">
          <cell r="E261">
            <v>2613.6000000000004</v>
          </cell>
        </row>
        <row r="262">
          <cell r="E262">
            <v>3567.9</v>
          </cell>
        </row>
        <row r="263">
          <cell r="E263">
            <v>3672.7</v>
          </cell>
        </row>
        <row r="264">
          <cell r="E264">
            <v>1366.1</v>
          </cell>
        </row>
        <row r="265">
          <cell r="E265">
            <v>1504.4</v>
          </cell>
        </row>
        <row r="266">
          <cell r="E266">
            <v>2594.3000000000002</v>
          </cell>
        </row>
        <row r="267">
          <cell r="E267">
            <v>1869.5</v>
          </cell>
        </row>
        <row r="268">
          <cell r="E268">
            <v>275.3</v>
          </cell>
        </row>
        <row r="269">
          <cell r="E269">
            <v>304.89999999999998</v>
          </cell>
        </row>
        <row r="270">
          <cell r="E270">
            <v>2762.24</v>
          </cell>
        </row>
        <row r="271">
          <cell r="E271">
            <v>4396.8</v>
          </cell>
        </row>
        <row r="272">
          <cell r="E272">
            <v>4752.1000000000004</v>
          </cell>
        </row>
        <row r="273">
          <cell r="E273">
            <v>1578.7</v>
          </cell>
        </row>
        <row r="274">
          <cell r="E274">
            <v>631.1</v>
          </cell>
        </row>
        <row r="275">
          <cell r="E275">
            <v>128.19999999999999</v>
          </cell>
        </row>
        <row r="276">
          <cell r="E276">
            <v>4216.5600000000004</v>
          </cell>
        </row>
        <row r="277">
          <cell r="E277">
            <v>172.4</v>
          </cell>
        </row>
        <row r="278">
          <cell r="E278">
            <v>261.2</v>
          </cell>
        </row>
        <row r="279">
          <cell r="E279">
            <v>252.8</v>
          </cell>
        </row>
        <row r="280">
          <cell r="E280">
            <v>1317.9</v>
          </cell>
        </row>
        <row r="281">
          <cell r="E281">
            <v>6739.25</v>
          </cell>
        </row>
        <row r="282">
          <cell r="E282">
            <v>4188.63</v>
          </cell>
        </row>
        <row r="283">
          <cell r="E283">
            <v>2066.5</v>
          </cell>
        </row>
        <row r="284">
          <cell r="E284">
            <v>6127.1</v>
          </cell>
        </row>
        <row r="285">
          <cell r="E285">
            <v>1452.8</v>
          </cell>
        </row>
        <row r="286">
          <cell r="E286">
            <v>4211.8</v>
          </cell>
        </row>
        <row r="287">
          <cell r="E287">
            <v>3203.6</v>
          </cell>
        </row>
        <row r="288">
          <cell r="E288">
            <v>1563</v>
          </cell>
        </row>
        <row r="289">
          <cell r="E289">
            <v>3710.4399999999996</v>
          </cell>
        </row>
        <row r="290">
          <cell r="E290">
            <v>2751.2</v>
          </cell>
        </row>
        <row r="291">
          <cell r="E291">
            <v>299.89999999999998</v>
          </cell>
        </row>
        <row r="292">
          <cell r="E292">
            <v>1950.8</v>
          </cell>
        </row>
        <row r="293">
          <cell r="E293">
            <v>4553.8999999999996</v>
          </cell>
        </row>
        <row r="294">
          <cell r="E294">
            <v>2543.14</v>
          </cell>
        </row>
        <row r="295">
          <cell r="E295">
            <v>3000.6600000000003</v>
          </cell>
        </row>
        <row r="296">
          <cell r="E296">
            <v>2616.1999999999998</v>
          </cell>
        </row>
        <row r="297">
          <cell r="E297">
            <v>2951.8</v>
          </cell>
        </row>
        <row r="298">
          <cell r="E298">
            <v>2595.52</v>
          </cell>
        </row>
        <row r="299">
          <cell r="E299">
            <v>373.3</v>
          </cell>
        </row>
        <row r="300">
          <cell r="E300">
            <v>3609.1000000000004</v>
          </cell>
        </row>
        <row r="301">
          <cell r="E301">
            <v>2695.6400000000003</v>
          </cell>
        </row>
        <row r="302">
          <cell r="E302">
            <v>2581.1999999999998</v>
          </cell>
        </row>
        <row r="303">
          <cell r="E303">
            <v>5596.9</v>
          </cell>
        </row>
        <row r="304">
          <cell r="E304">
            <v>201.1</v>
          </cell>
        </row>
        <row r="305">
          <cell r="E305">
            <v>243.32</v>
          </cell>
        </row>
        <row r="306">
          <cell r="E306">
            <v>326.10000000000002</v>
          </cell>
        </row>
        <row r="307">
          <cell r="E307">
            <v>241.4</v>
          </cell>
        </row>
        <row r="308">
          <cell r="E308">
            <v>148.4</v>
          </cell>
        </row>
        <row r="309">
          <cell r="E309">
            <v>3401.3999999999996</v>
          </cell>
        </row>
        <row r="310">
          <cell r="E310">
            <v>1246.9000000000001</v>
          </cell>
        </row>
        <row r="311">
          <cell r="E311">
            <v>4217.7</v>
          </cell>
        </row>
        <row r="312">
          <cell r="E312">
            <v>3277.6</v>
          </cell>
        </row>
        <row r="313">
          <cell r="E313">
            <v>3987.0600000000004</v>
          </cell>
        </row>
        <row r="314">
          <cell r="E314">
            <v>9137</v>
          </cell>
        </row>
        <row r="315">
          <cell r="E315">
            <v>2609.46</v>
          </cell>
        </row>
        <row r="316">
          <cell r="E316">
            <v>2534.1999999999998</v>
          </cell>
        </row>
        <row r="317">
          <cell r="E317">
            <v>5026.5</v>
          </cell>
        </row>
        <row r="318">
          <cell r="E318">
            <v>2840.51</v>
          </cell>
        </row>
        <row r="319">
          <cell r="E319">
            <v>3295.38</v>
          </cell>
        </row>
        <row r="320">
          <cell r="E320">
            <v>5802.99</v>
          </cell>
        </row>
        <row r="321">
          <cell r="E321">
            <v>3190.1</v>
          </cell>
        </row>
        <row r="322">
          <cell r="E322">
            <v>152.6</v>
          </cell>
        </row>
        <row r="323">
          <cell r="E323">
            <v>2133.27</v>
          </cell>
        </row>
        <row r="324">
          <cell r="E324">
            <v>6420.63</v>
          </cell>
        </row>
        <row r="325">
          <cell r="E325">
            <v>3374.5599999999995</v>
          </cell>
        </row>
        <row r="326">
          <cell r="E326">
            <v>5269.58</v>
          </cell>
        </row>
        <row r="327">
          <cell r="E327">
            <v>8484.5</v>
          </cell>
        </row>
        <row r="328">
          <cell r="E328">
            <v>294.26</v>
          </cell>
        </row>
        <row r="329">
          <cell r="E329">
            <v>3516.6</v>
          </cell>
        </row>
        <row r="330">
          <cell r="E330">
            <v>4153.8999999999996</v>
          </cell>
        </row>
        <row r="331">
          <cell r="E331">
            <v>2749.1</v>
          </cell>
        </row>
        <row r="332">
          <cell r="E332">
            <v>4406.5</v>
          </cell>
        </row>
        <row r="333">
          <cell r="E333">
            <v>2741.4</v>
          </cell>
        </row>
        <row r="334">
          <cell r="E334">
            <v>4247.05</v>
          </cell>
        </row>
        <row r="335">
          <cell r="E335">
            <v>2712.05</v>
          </cell>
        </row>
        <row r="336">
          <cell r="E336">
            <v>472.1</v>
          </cell>
        </row>
        <row r="337">
          <cell r="E337">
            <v>6212</v>
          </cell>
        </row>
        <row r="338">
          <cell r="E338">
            <v>4357.8100000000004</v>
          </cell>
        </row>
        <row r="339">
          <cell r="E339">
            <v>10174.199999999999</v>
          </cell>
        </row>
        <row r="340">
          <cell r="E340">
            <v>3581.3</v>
          </cell>
        </row>
        <row r="341">
          <cell r="E341">
            <v>4073.8</v>
          </cell>
        </row>
        <row r="342">
          <cell r="E342">
            <v>4387.3</v>
          </cell>
        </row>
        <row r="343">
          <cell r="E343">
            <v>5222.9000000000005</v>
          </cell>
        </row>
        <row r="344">
          <cell r="E344">
            <v>3936.36</v>
          </cell>
        </row>
        <row r="345">
          <cell r="E345">
            <v>6307.74</v>
          </cell>
        </row>
        <row r="346">
          <cell r="E346">
            <v>6324.72</v>
          </cell>
        </row>
        <row r="347">
          <cell r="E347">
            <v>6335.19</v>
          </cell>
        </row>
        <row r="348">
          <cell r="E348">
            <v>6347.35</v>
          </cell>
        </row>
        <row r="349">
          <cell r="E349">
            <v>5864.08</v>
          </cell>
        </row>
        <row r="350">
          <cell r="E350">
            <v>4467.5200000000004</v>
          </cell>
        </row>
        <row r="351">
          <cell r="E351">
            <v>2779.82</v>
          </cell>
        </row>
        <row r="352">
          <cell r="E352">
            <v>2762.3</v>
          </cell>
        </row>
        <row r="353">
          <cell r="E353">
            <v>2743.4</v>
          </cell>
        </row>
        <row r="354">
          <cell r="E354">
            <v>5790.5</v>
          </cell>
        </row>
        <row r="355">
          <cell r="E355">
            <v>4445.5</v>
          </cell>
        </row>
        <row r="356">
          <cell r="E356">
            <v>4591.2</v>
          </cell>
        </row>
        <row r="357">
          <cell r="E357">
            <v>4566.7</v>
          </cell>
        </row>
        <row r="358">
          <cell r="E358">
            <v>4553.8</v>
          </cell>
        </row>
        <row r="359">
          <cell r="E359">
            <v>6174.2300000000005</v>
          </cell>
        </row>
        <row r="360">
          <cell r="E360">
            <v>2116.4899999999998</v>
          </cell>
        </row>
        <row r="361">
          <cell r="E361">
            <v>4570.7300000000005</v>
          </cell>
        </row>
        <row r="362">
          <cell r="E362">
            <v>2726.35</v>
          </cell>
        </row>
        <row r="363">
          <cell r="E363">
            <v>2405.4</v>
          </cell>
        </row>
        <row r="364">
          <cell r="E364">
            <v>3012.17</v>
          </cell>
        </row>
        <row r="365">
          <cell r="E365">
            <v>1851.94</v>
          </cell>
        </row>
        <row r="366">
          <cell r="E366">
            <v>3396.3</v>
          </cell>
        </row>
        <row r="367">
          <cell r="E367">
            <v>1494.6000000000001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>
    <tabColor rgb="FFFF0066"/>
  </sheetPr>
  <dimension ref="A1:AT411"/>
  <sheetViews>
    <sheetView tabSelected="1" zoomScale="90" zoomScaleNormal="90" workbookViewId="0">
      <selection activeCell="N15" sqref="N15"/>
    </sheetView>
  </sheetViews>
  <sheetFormatPr defaultColWidth="8.88671875" defaultRowHeight="13.8" x14ac:dyDescent="0.3"/>
  <cols>
    <col min="1" max="1" width="4.6640625" style="1" customWidth="1"/>
    <col min="2" max="2" width="54" style="1" customWidth="1"/>
    <col min="3" max="3" width="14.5546875" style="8" customWidth="1"/>
    <col min="4" max="4" width="14.44140625" style="1" customWidth="1"/>
    <col min="5" max="5" width="14.21875" style="1" customWidth="1"/>
    <col min="6" max="6" width="14.109375" style="1" customWidth="1"/>
    <col min="7" max="7" width="16.44140625" style="1" customWidth="1"/>
    <col min="8" max="8" width="13.5546875" style="1" customWidth="1"/>
    <col min="9" max="9" width="13.6640625" style="1" customWidth="1"/>
    <col min="10" max="16384" width="8.88671875" style="1"/>
  </cols>
  <sheetData>
    <row r="1" spans="1:9" ht="20.399999999999999" x14ac:dyDescent="0.3">
      <c r="A1" s="1" t="s">
        <v>0</v>
      </c>
      <c r="C1" s="1029" t="s">
        <v>1824</v>
      </c>
      <c r="E1" s="255"/>
      <c r="H1" s="1030" t="s">
        <v>1107</v>
      </c>
    </row>
    <row r="2" spans="1:9" ht="9.6" customHeight="1" x14ac:dyDescent="0.3"/>
    <row r="3" spans="1:9" ht="17.399999999999999" x14ac:dyDescent="0.3">
      <c r="A3" s="6" t="s">
        <v>1821</v>
      </c>
      <c r="E3" s="1093" t="str">
        <f>місяць!A2</f>
        <v>2024 рік</v>
      </c>
      <c r="F3" s="386"/>
      <c r="I3" s="1031"/>
    </row>
    <row r="4" spans="1:9" ht="8.4" customHeight="1" thickBot="1" x14ac:dyDescent="0.35"/>
    <row r="5" spans="1:9" ht="17.850000000000001" customHeight="1" x14ac:dyDescent="0.3">
      <c r="A5" s="1122" t="s">
        <v>827</v>
      </c>
      <c r="B5" s="1124" t="s">
        <v>828</v>
      </c>
      <c r="C5" s="1126" t="s">
        <v>1051</v>
      </c>
      <c r="D5" s="1126"/>
      <c r="E5" s="1126"/>
      <c r="F5" s="1127"/>
    </row>
    <row r="6" spans="1:9" ht="30.15" customHeight="1" thickBot="1" x14ac:dyDescent="0.35">
      <c r="A6" s="1123"/>
      <c r="B6" s="1125"/>
      <c r="C6" s="1032" t="s">
        <v>870</v>
      </c>
      <c r="D6" s="1033" t="s">
        <v>946</v>
      </c>
      <c r="E6" s="1034" t="s">
        <v>441</v>
      </c>
      <c r="F6" s="1028" t="s">
        <v>871</v>
      </c>
      <c r="H6" s="32"/>
      <c r="I6" s="1031">
        <v>45658</v>
      </c>
    </row>
    <row r="7" spans="1:9" ht="16.649999999999999" customHeight="1" x14ac:dyDescent="0.3">
      <c r="A7" s="256"/>
      <c r="B7" s="1035" t="s">
        <v>829</v>
      </c>
      <c r="C7" s="1036">
        <f>VLOOKUP($C$1,'побудинковий звіт'!$C$9:$DG$359,3,FALSE)</f>
        <v>6095.61</v>
      </c>
      <c r="D7" s="1037"/>
      <c r="E7" s="1037"/>
      <c r="F7" s="130"/>
    </row>
    <row r="8" spans="1:9" ht="15" customHeight="1" x14ac:dyDescent="0.3">
      <c r="A8" s="257" t="s">
        <v>830</v>
      </c>
      <c r="B8" s="7" t="s">
        <v>831</v>
      </c>
      <c r="C8" s="5"/>
      <c r="D8" s="3"/>
      <c r="E8" s="3"/>
      <c r="F8" s="131"/>
    </row>
    <row r="9" spans="1:9" ht="15" customHeight="1" x14ac:dyDescent="0.3">
      <c r="A9" s="258" t="s">
        <v>832</v>
      </c>
      <c r="B9" s="1038" t="s">
        <v>6</v>
      </c>
      <c r="C9" s="9">
        <f>C10+C11+C12+C13+C14+C15+C16+C17</f>
        <v>77663.823165814465</v>
      </c>
      <c r="D9" s="9">
        <f>D10+D11+D12+D13+D14+D15+D16+D17</f>
        <v>78848.217021981472</v>
      </c>
      <c r="E9" s="9">
        <f>D9-C9</f>
        <v>1184.3938561670075</v>
      </c>
      <c r="F9" s="259">
        <f>D9/C9</f>
        <v>1.0152502646391524</v>
      </c>
      <c r="G9" s="32"/>
    </row>
    <row r="10" spans="1:9" ht="15" customHeight="1" x14ac:dyDescent="0.3">
      <c r="A10" s="260" t="s">
        <v>833</v>
      </c>
      <c r="B10" s="1039" t="s">
        <v>23</v>
      </c>
      <c r="C10" s="261">
        <f>VLOOKUP($C$1,'побудинковий звіт'!$C$9:$DG$359,7,FALSE)</f>
        <v>23259.308559405556</v>
      </c>
      <c r="D10" s="261">
        <f>VLOOKUP($C$1,'побудинковий звіт'!$C$9:$DG$359,8,FALSE)</f>
        <v>24157.892143180514</v>
      </c>
      <c r="E10" s="5">
        <f t="shared" ref="E10:E22" si="0">D10-C10</f>
        <v>898.58358377495824</v>
      </c>
      <c r="F10" s="262">
        <f t="shared" ref="F10:F16" si="1">IF(D10=0,0,D10/C10)</f>
        <v>1.0386332887531857</v>
      </c>
      <c r="G10" s="32"/>
    </row>
    <row r="11" spans="1:9" ht="15" customHeight="1" x14ac:dyDescent="0.3">
      <c r="A11" s="260" t="s">
        <v>834</v>
      </c>
      <c r="B11" s="1039" t="s">
        <v>24</v>
      </c>
      <c r="C11" s="261">
        <f>VLOOKUP($C$1,'побудинковий звіт'!$C$9:$DG$359,10,FALSE)</f>
        <v>4356.4523923859797</v>
      </c>
      <c r="D11" s="261">
        <f>VLOOKUP($C$1,'побудинковий звіт'!$C$9:$DG$359,11,FALSE)</f>
        <v>4752.9848342446348</v>
      </c>
      <c r="E11" s="5">
        <f t="shared" si="0"/>
        <v>396.53244185865515</v>
      </c>
      <c r="F11" s="262">
        <f t="shared" si="1"/>
        <v>1.0910218696643392</v>
      </c>
      <c r="G11" s="32"/>
    </row>
    <row r="12" spans="1:9" ht="15" customHeight="1" x14ac:dyDescent="0.3">
      <c r="A12" s="260" t="s">
        <v>835</v>
      </c>
      <c r="B12" s="1039" t="s">
        <v>25</v>
      </c>
      <c r="C12" s="261">
        <f>VLOOKUP($C$1,'побудинковий звіт'!$C$9:$DG$359,13,FALSE)</f>
        <v>8340.2501955819207</v>
      </c>
      <c r="D12" s="261">
        <f>VLOOKUP($C$1,'побудинковий звіт'!$C$9:$DG$359,14,FALSE)</f>
        <v>8364.2896795599154</v>
      </c>
      <c r="E12" s="5">
        <f t="shared" si="0"/>
        <v>24.039483977994678</v>
      </c>
      <c r="F12" s="262">
        <f t="shared" si="1"/>
        <v>1.0028823456628111</v>
      </c>
      <c r="G12" s="32"/>
    </row>
    <row r="13" spans="1:9" ht="15" customHeight="1" x14ac:dyDescent="0.3">
      <c r="A13" s="260" t="s">
        <v>836</v>
      </c>
      <c r="B13" s="1039" t="s">
        <v>26</v>
      </c>
      <c r="C13" s="261">
        <f>VLOOKUP($C$1,'побудинковий звіт'!$C$9:$DG$359,16,FALSE)</f>
        <v>2007.9073457563222</v>
      </c>
      <c r="D13" s="261">
        <f>VLOOKUP($C$1,'побудинковий звіт'!$C$9:$DG$359,17,FALSE)</f>
        <v>2012.6435218487602</v>
      </c>
      <c r="E13" s="5">
        <f t="shared" si="0"/>
        <v>4.7361760924379723</v>
      </c>
      <c r="F13" s="262">
        <f t="shared" si="1"/>
        <v>1.0023587622717989</v>
      </c>
      <c r="G13" s="32"/>
    </row>
    <row r="14" spans="1:9" ht="15" customHeight="1" x14ac:dyDescent="0.3">
      <c r="A14" s="260" t="s">
        <v>837</v>
      </c>
      <c r="B14" s="1039" t="s">
        <v>27</v>
      </c>
      <c r="C14" s="261">
        <f>VLOOKUP($C$1,'побудинковий звіт'!$C$9:$DG$359,19,FALSE)</f>
        <v>1195.4353047003162</v>
      </c>
      <c r="D14" s="261">
        <f>VLOOKUP($C$1,'побудинковий звіт'!$C$9:$DG$359,20,FALSE)</f>
        <v>1095.1521773469262</v>
      </c>
      <c r="E14" s="5">
        <f t="shared" si="0"/>
        <v>-100.28312735339</v>
      </c>
      <c r="F14" s="262">
        <f t="shared" si="1"/>
        <v>0.91611162313921291</v>
      </c>
      <c r="G14" s="32"/>
    </row>
    <row r="15" spans="1:9" ht="15" customHeight="1" x14ac:dyDescent="0.3">
      <c r="A15" s="260" t="s">
        <v>838</v>
      </c>
      <c r="B15" s="1039" t="s">
        <v>28</v>
      </c>
      <c r="C15" s="261">
        <f>VLOOKUP($C$1,'побудинковий звіт'!$C$9:$DG$359,22,FALSE)</f>
        <v>12065.905967993074</v>
      </c>
      <c r="D15" s="261">
        <f>VLOOKUP($C$1,'побудинковий звіт'!$C$9:$DG$359,23,FALSE)</f>
        <v>12129.517986496652</v>
      </c>
      <c r="E15" s="5">
        <f t="shared" si="0"/>
        <v>63.612018503577929</v>
      </c>
      <c r="F15" s="262">
        <f t="shared" si="1"/>
        <v>1.0052720465974392</v>
      </c>
      <c r="G15" s="32"/>
    </row>
    <row r="16" spans="1:9" ht="15" customHeight="1" x14ac:dyDescent="0.3">
      <c r="A16" s="260" t="s">
        <v>839</v>
      </c>
      <c r="B16" s="1039" t="s">
        <v>29</v>
      </c>
      <c r="C16" s="261">
        <f>VLOOKUP($C$1,'побудинковий звіт'!$C$9:$DG$359,25,FALSE)</f>
        <v>0</v>
      </c>
      <c r="D16" s="261">
        <f>VLOOKUP($C$1,'побудинковий звіт'!$C$9:$DG$359,26,FALSE)</f>
        <v>0</v>
      </c>
      <c r="E16" s="5">
        <f t="shared" si="0"/>
        <v>0</v>
      </c>
      <c r="F16" s="262">
        <f t="shared" si="1"/>
        <v>0</v>
      </c>
      <c r="G16" s="32"/>
    </row>
    <row r="17" spans="1:7" ht="15" customHeight="1" x14ac:dyDescent="0.3">
      <c r="A17" s="260" t="s">
        <v>840</v>
      </c>
      <c r="B17" s="1040" t="s">
        <v>30</v>
      </c>
      <c r="C17" s="261">
        <f>VLOOKUP($C$1,'побудинковий звіт'!$C$9:$DG$359,28,FALSE)</f>
        <v>26438.563399991293</v>
      </c>
      <c r="D17" s="261">
        <f>VLOOKUP($C$1,'побудинковий звіт'!$C$9:$DG$359,29,FALSE)</f>
        <v>26335.736679304071</v>
      </c>
      <c r="E17" s="5">
        <f t="shared" si="0"/>
        <v>-102.82672068722241</v>
      </c>
      <c r="F17" s="262">
        <f>D17/C17</f>
        <v>0.99611072965154923</v>
      </c>
      <c r="G17" s="32"/>
    </row>
    <row r="18" spans="1:7" ht="15" customHeight="1" x14ac:dyDescent="0.3">
      <c r="A18" s="257" t="s">
        <v>841</v>
      </c>
      <c r="B18" s="1041" t="s">
        <v>7</v>
      </c>
      <c r="C18" s="1042">
        <f>VLOOKUP($C$1,'побудинковий звіт'!$C$9:$DG$359,34,FALSE)</f>
        <v>61086.61631202689</v>
      </c>
      <c r="D18" s="1042">
        <f>VLOOKUP($C$1,'побудинковий звіт'!$C$9:$DG$359,35,FALSE)</f>
        <v>62209.431730940159</v>
      </c>
      <c r="E18" s="9">
        <f t="shared" si="0"/>
        <v>1122.8154189132692</v>
      </c>
      <c r="F18" s="259">
        <f>IF(D18=0,0,D18/C18)</f>
        <v>1.0183807106482703</v>
      </c>
      <c r="G18" s="32"/>
    </row>
    <row r="19" spans="1:7" ht="15" customHeight="1" x14ac:dyDescent="0.3">
      <c r="A19" s="257" t="s">
        <v>842</v>
      </c>
      <c r="B19" s="1041" t="s">
        <v>8</v>
      </c>
      <c r="C19" s="1042">
        <f>VLOOKUP($C$1,'побудинковий звіт'!$C$9:$DG$359,37,FALSE)</f>
        <v>908.80628444281319</v>
      </c>
      <c r="D19" s="1042">
        <f>VLOOKUP($C$1,'побудинковий звіт'!$C$9:$DG$359,38,FALSE)</f>
        <v>0</v>
      </c>
      <c r="E19" s="9">
        <f t="shared" si="0"/>
        <v>-908.80628444281319</v>
      </c>
      <c r="F19" s="259">
        <f>IF(D19=0,0,D19/C19)</f>
        <v>0</v>
      </c>
      <c r="G19" s="32"/>
    </row>
    <row r="20" spans="1:7" ht="15" customHeight="1" x14ac:dyDescent="0.3">
      <c r="A20" s="257" t="s">
        <v>843</v>
      </c>
      <c r="B20" s="1038" t="s">
        <v>9</v>
      </c>
      <c r="C20" s="1042">
        <f>VLOOKUP($C$1,'побудинковий звіт'!$C$9:$DG$359,40,FALSE)</f>
        <v>5200.6392002523207</v>
      </c>
      <c r="D20" s="1042">
        <f>VLOOKUP($C$1,'побудинковий звіт'!$C$9:$DG$359,41,FALSE)</f>
        <v>4570.2613614201882</v>
      </c>
      <c r="E20" s="9">
        <f t="shared" si="0"/>
        <v>-630.37783883213251</v>
      </c>
      <c r="F20" s="262">
        <f>IF(D20=0,0,D20/C20)</f>
        <v>0.87878839224194816</v>
      </c>
      <c r="G20" s="32"/>
    </row>
    <row r="21" spans="1:7" s="1047" customFormat="1" ht="18" customHeight="1" x14ac:dyDescent="0.3">
      <c r="A21" s="1043" t="s">
        <v>844</v>
      </c>
      <c r="B21" s="1044" t="s">
        <v>1819</v>
      </c>
      <c r="C21" s="1045"/>
      <c r="D21" s="1045"/>
      <c r="E21" s="1045"/>
      <c r="F21" s="1046"/>
      <c r="G21" s="32"/>
    </row>
    <row r="22" spans="1:7" ht="52.2" customHeight="1" x14ac:dyDescent="0.3">
      <c r="A22" s="257" t="s">
        <v>845</v>
      </c>
      <c r="B22" s="1038" t="s">
        <v>1843</v>
      </c>
      <c r="C22" s="1042">
        <f>VLOOKUP($C$1,'побудинковий звіт'!$C$9:$DG$359,43,FALSE)</f>
        <v>152265.78390061657</v>
      </c>
      <c r="D22" s="1042">
        <f>VLOOKUP($C$1,'побудинковий звіт'!$C$9:$DG$359,44,FALSE)</f>
        <v>15071.714659380888</v>
      </c>
      <c r="E22" s="9">
        <f t="shared" si="0"/>
        <v>-137194.06924123567</v>
      </c>
      <c r="F22" s="259">
        <f>D22/C22</f>
        <v>9.8982938078972169E-2</v>
      </c>
      <c r="G22" s="32"/>
    </row>
    <row r="23" spans="1:7" ht="18.75" customHeight="1" x14ac:dyDescent="0.3">
      <c r="A23" s="257" t="s">
        <v>847</v>
      </c>
      <c r="B23" s="1038" t="s">
        <v>12</v>
      </c>
      <c r="C23" s="9">
        <f>C24+C25+C26+C27+C28+C29+C30</f>
        <v>8852.4077843787945</v>
      </c>
      <c r="D23" s="9">
        <f>D24+D25+D26+D27+D28+D29+D30</f>
        <v>3856.3597245478741</v>
      </c>
      <c r="E23" s="9">
        <f t="shared" ref="E23:E42" si="2">D23-C23</f>
        <v>-4996.0480598309205</v>
      </c>
      <c r="F23" s="259">
        <f t="shared" ref="F23:F36" si="3">IF(D23=0,0,D23/C23)</f>
        <v>0.43562834185665439</v>
      </c>
      <c r="G23" s="32"/>
    </row>
    <row r="24" spans="1:7" ht="15" customHeight="1" x14ac:dyDescent="0.3">
      <c r="A24" s="260" t="s">
        <v>848</v>
      </c>
      <c r="B24" s="1039" t="s">
        <v>23</v>
      </c>
      <c r="C24" s="261">
        <f>VLOOKUP($C$1,'побудинковий звіт'!$C$9:$DG$359,46,FALSE)</f>
        <v>1699.452626853044</v>
      </c>
      <c r="D24" s="261">
        <f>VLOOKUP($C$1,'побудинковий звіт'!$C$9:$DG$359,47,FALSE)</f>
        <v>0</v>
      </c>
      <c r="E24" s="5">
        <f t="shared" si="2"/>
        <v>-1699.452626853044</v>
      </c>
      <c r="F24" s="262">
        <f t="shared" si="3"/>
        <v>0</v>
      </c>
      <c r="G24" s="32"/>
    </row>
    <row r="25" spans="1:7" ht="15" customHeight="1" x14ac:dyDescent="0.3">
      <c r="A25" s="260" t="s">
        <v>849</v>
      </c>
      <c r="B25" s="1039" t="s">
        <v>24</v>
      </c>
      <c r="C25" s="261">
        <f>VLOOKUP($C$1,'побудинковий звіт'!$C$9:$DG$359,49,FALSE)</f>
        <v>1997.6993215617631</v>
      </c>
      <c r="D25" s="261">
        <f>VLOOKUP($C$1,'побудинковий звіт'!$C$9:$DG$359,50,FALSE)</f>
        <v>2873.9239916609299</v>
      </c>
      <c r="E25" s="5">
        <f t="shared" si="2"/>
        <v>876.22467009916681</v>
      </c>
      <c r="F25" s="262">
        <f t="shared" si="3"/>
        <v>1.438616893264073</v>
      </c>
      <c r="G25" s="32"/>
    </row>
    <row r="26" spans="1:7" ht="15" customHeight="1" x14ac:dyDescent="0.3">
      <c r="A26" s="260" t="s">
        <v>850</v>
      </c>
      <c r="B26" s="1039" t="s">
        <v>25</v>
      </c>
      <c r="C26" s="261">
        <f>VLOOKUP($C$1,'побудинковий звіт'!$C$9:$DG$359,52,FALSE)</f>
        <v>2507.3773958225452</v>
      </c>
      <c r="D26" s="261">
        <f>VLOOKUP($C$1,'побудинковий звіт'!$C$9:$DG$359,53,FALSE)</f>
        <v>982.43573288694427</v>
      </c>
      <c r="E26" s="5">
        <f t="shared" si="2"/>
        <v>-1524.941662935601</v>
      </c>
      <c r="F26" s="262">
        <f t="shared" si="3"/>
        <v>0.39181805440367551</v>
      </c>
      <c r="G26" s="32"/>
    </row>
    <row r="27" spans="1:7" ht="15" customHeight="1" x14ac:dyDescent="0.3">
      <c r="A27" s="260" t="s">
        <v>851</v>
      </c>
      <c r="B27" s="1039" t="s">
        <v>26</v>
      </c>
      <c r="C27" s="261">
        <f>VLOOKUP($C$1,'побудинковий звіт'!$C$9:$DG$359,55,FALSE)</f>
        <v>652.7200906147491</v>
      </c>
      <c r="D27" s="261">
        <f>VLOOKUP($C$1,'побудинковий звіт'!$C$9:$DG$359,56,FALSE)</f>
        <v>0</v>
      </c>
      <c r="E27" s="5">
        <f t="shared" si="2"/>
        <v>-652.7200906147491</v>
      </c>
      <c r="F27" s="262">
        <f t="shared" si="3"/>
        <v>0</v>
      </c>
      <c r="G27" s="32"/>
    </row>
    <row r="28" spans="1:7" ht="15" customHeight="1" x14ac:dyDescent="0.3">
      <c r="A28" s="260" t="s">
        <v>852</v>
      </c>
      <c r="B28" s="1039" t="s">
        <v>27</v>
      </c>
      <c r="C28" s="261">
        <f>VLOOKUP($C$1,'побудинковий звіт'!$C$9:$DG$359,58,FALSE)</f>
        <v>423.85091471494235</v>
      </c>
      <c r="D28" s="261">
        <f>VLOOKUP($C$1,'побудинковий звіт'!$C$9:$DG$359,59,FALSE)</f>
        <v>0</v>
      </c>
      <c r="E28" s="5">
        <f t="shared" si="2"/>
        <v>-423.85091471494235</v>
      </c>
      <c r="F28" s="262">
        <f t="shared" si="3"/>
        <v>0</v>
      </c>
      <c r="G28" s="32"/>
    </row>
    <row r="29" spans="1:7" ht="15" customHeight="1" x14ac:dyDescent="0.3">
      <c r="A29" s="260" t="s">
        <v>853</v>
      </c>
      <c r="B29" s="1039" t="s">
        <v>28</v>
      </c>
      <c r="C29" s="261">
        <f>VLOOKUP($C$1,'побудинковий звіт'!$C$9:$DG$359,61,FALSE)</f>
        <v>1458.3723077088878</v>
      </c>
      <c r="D29" s="261">
        <f>VLOOKUP($C$1,'побудинковий звіт'!$C$9:$DG$359,62,FALSE)</f>
        <v>0</v>
      </c>
      <c r="E29" s="5">
        <f t="shared" si="2"/>
        <v>-1458.3723077088878</v>
      </c>
      <c r="F29" s="262">
        <f t="shared" si="3"/>
        <v>0</v>
      </c>
      <c r="G29" s="32"/>
    </row>
    <row r="30" spans="1:7" ht="15" customHeight="1" x14ac:dyDescent="0.3">
      <c r="A30" s="260" t="s">
        <v>854</v>
      </c>
      <c r="B30" s="1039" t="s">
        <v>29</v>
      </c>
      <c r="C30" s="261">
        <f>VLOOKUP($C$1,'побудинковий звіт'!$C$9:$DG$359,64,FALSE)</f>
        <v>112.9351271028635</v>
      </c>
      <c r="D30" s="261">
        <f>VLOOKUP($C$1,'побудинковий звіт'!$C$9:$DG$359,65,FALSE)</f>
        <v>0</v>
      </c>
      <c r="E30" s="5">
        <f t="shared" si="2"/>
        <v>-112.9351271028635</v>
      </c>
      <c r="F30" s="262"/>
      <c r="G30" s="1048"/>
    </row>
    <row r="31" spans="1:7" x14ac:dyDescent="0.3">
      <c r="A31" s="257" t="s">
        <v>855</v>
      </c>
      <c r="B31" s="1044" t="s">
        <v>1052</v>
      </c>
      <c r="C31" s="1045"/>
      <c r="D31" s="1045"/>
      <c r="E31" s="905"/>
      <c r="F31" s="262"/>
      <c r="G31" s="32"/>
    </row>
    <row r="32" spans="1:7" ht="15" customHeight="1" x14ac:dyDescent="0.3">
      <c r="A32" s="257" t="s">
        <v>856</v>
      </c>
      <c r="B32" s="1038" t="s">
        <v>14</v>
      </c>
      <c r="C32" s="1042">
        <f>VLOOKUP($C$1,'побудинковий звіт'!$C$9:$DG$359,70,FALSE)</f>
        <v>50451.546880417423</v>
      </c>
      <c r="D32" s="1042">
        <f>VLOOKUP($C$1,'побудинковий звіт'!$C$9:$DG$359,71,FALSE)</f>
        <v>47486.956759366512</v>
      </c>
      <c r="E32" s="9">
        <f t="shared" si="2"/>
        <v>-2964.590121050911</v>
      </c>
      <c r="F32" s="259">
        <f t="shared" si="3"/>
        <v>0.94123886571649196</v>
      </c>
      <c r="G32" s="32"/>
    </row>
    <row r="33" spans="1:9" ht="21.6" customHeight="1" x14ac:dyDescent="0.3">
      <c r="A33" s="257" t="s">
        <v>857</v>
      </c>
      <c r="B33" s="1038" t="s">
        <v>15</v>
      </c>
      <c r="C33" s="1042">
        <f>VLOOKUP($C$1,'побудинковий звіт'!$C$9:$DG$359,73,FALSE)</f>
        <v>56707.285215190903</v>
      </c>
      <c r="D33" s="1042">
        <f>VLOOKUP($C$1,'побудинковий звіт'!$C$9:$DG$359,74,FALSE)</f>
        <v>57318.792110115646</v>
      </c>
      <c r="E33" s="9">
        <f t="shared" si="2"/>
        <v>611.50689492474339</v>
      </c>
      <c r="F33" s="259">
        <f t="shared" si="3"/>
        <v>1.0107835685063078</v>
      </c>
      <c r="G33" s="32"/>
    </row>
    <row r="34" spans="1:9" ht="32.4" customHeight="1" x14ac:dyDescent="0.3">
      <c r="A34" s="257" t="s">
        <v>858</v>
      </c>
      <c r="B34" s="1038" t="s">
        <v>16</v>
      </c>
      <c r="C34" s="1042">
        <f>VLOOKUP($C$1,'побудинковий звіт'!$C$9:$DG$359,76,FALSE)</f>
        <v>8426.4076913654753</v>
      </c>
      <c r="D34" s="1042">
        <f>VLOOKUP($C$1,'побудинковий звіт'!$C$9:$DG$359,77,FALSE)</f>
        <v>4733.2274175402154</v>
      </c>
      <c r="E34" s="9">
        <f t="shared" si="2"/>
        <v>-3693.18027382526</v>
      </c>
      <c r="F34" s="259">
        <f t="shared" si="3"/>
        <v>0.561713554684797</v>
      </c>
      <c r="G34" s="32"/>
    </row>
    <row r="35" spans="1:9" ht="15" customHeight="1" x14ac:dyDescent="0.3">
      <c r="A35" s="257" t="s">
        <v>859</v>
      </c>
      <c r="B35" s="1038" t="s">
        <v>17</v>
      </c>
      <c r="C35" s="1042">
        <f>VLOOKUP($C$1,'побудинковий звіт'!$C$9:$DG$359,79,FALSE)</f>
        <v>2258.7203882405911</v>
      </c>
      <c r="D35" s="1042">
        <f>VLOOKUP($C$1,'побудинковий звіт'!$C$9:$DG$359,80,FALSE)</f>
        <v>2266.3794571311537</v>
      </c>
      <c r="E35" s="9">
        <f t="shared" si="2"/>
        <v>7.6590688905625939</v>
      </c>
      <c r="F35" s="262">
        <f t="shared" si="3"/>
        <v>1.0033908884563301</v>
      </c>
      <c r="G35" s="32"/>
    </row>
    <row r="36" spans="1:9" ht="15" customHeight="1" x14ac:dyDescent="0.3">
      <c r="A36" s="257" t="s">
        <v>860</v>
      </c>
      <c r="B36" s="1038" t="s">
        <v>18</v>
      </c>
      <c r="C36" s="1042">
        <f>VLOOKUP($C$1,'побудинковий звіт'!$C$9:$DG$359,82,FALSE)</f>
        <v>279.84345058585217</v>
      </c>
      <c r="D36" s="1042">
        <f>VLOOKUP($C$1,'побудинковий звіт'!$C$9:$DG$359,83,FALSE)</f>
        <v>0</v>
      </c>
      <c r="E36" s="9">
        <f t="shared" si="2"/>
        <v>-279.84345058585217</v>
      </c>
      <c r="F36" s="262">
        <f t="shared" si="3"/>
        <v>0</v>
      </c>
      <c r="G36" s="32"/>
    </row>
    <row r="37" spans="1:9" ht="45" customHeight="1" x14ac:dyDescent="0.3">
      <c r="A37" s="257" t="s">
        <v>861</v>
      </c>
      <c r="B37" s="1038" t="s">
        <v>862</v>
      </c>
      <c r="C37" s="1042">
        <f>C38+C39</f>
        <v>38888.905852466371</v>
      </c>
      <c r="D37" s="9">
        <f>D38+D39</f>
        <v>46798.792850714381</v>
      </c>
      <c r="E37" s="9">
        <f t="shared" si="2"/>
        <v>7909.8869982480101</v>
      </c>
      <c r="F37" s="259">
        <f>D37/C37</f>
        <v>1.2033970055176124</v>
      </c>
      <c r="G37" s="32"/>
    </row>
    <row r="38" spans="1:9" ht="15" customHeight="1" x14ac:dyDescent="0.3">
      <c r="A38" s="263" t="s">
        <v>863</v>
      </c>
      <c r="B38" s="1049" t="s">
        <v>31</v>
      </c>
      <c r="C38" s="261">
        <f>VLOOKUP($C$1,'побудинковий звіт'!$C$9:$DG$359,85,FALSE)</f>
        <v>15437.615631851371</v>
      </c>
      <c r="D38" s="261">
        <f>VLOOKUP($C$1,'побудинковий звіт'!$C$9:$DG$359,86,FALSE)</f>
        <v>18720.321822357972</v>
      </c>
      <c r="E38" s="5">
        <f t="shared" si="2"/>
        <v>3282.7061905066003</v>
      </c>
      <c r="F38" s="262">
        <f>D38/C38</f>
        <v>1.2126433426502483</v>
      </c>
      <c r="G38" s="32"/>
    </row>
    <row r="39" spans="1:9" ht="15" customHeight="1" x14ac:dyDescent="0.3">
      <c r="A39" s="263" t="s">
        <v>864</v>
      </c>
      <c r="B39" s="1049" t="s">
        <v>32</v>
      </c>
      <c r="C39" s="261">
        <f>VLOOKUP($C$1,'побудинковий звіт'!$C$9:$DG$359,88,FALSE)</f>
        <v>23451.290220614999</v>
      </c>
      <c r="D39" s="261">
        <f>VLOOKUP($C$1,'побудинковий звіт'!$C$9:$DG$359,89,FALSE)</f>
        <v>28078.471028356405</v>
      </c>
      <c r="E39" s="5">
        <f t="shared" si="2"/>
        <v>4627.1808077414062</v>
      </c>
      <c r="F39" s="262">
        <f>IF(D39=0,0,D39/C39)</f>
        <v>1.1973102871616783</v>
      </c>
      <c r="G39" s="32"/>
    </row>
    <row r="40" spans="1:9" ht="15" customHeight="1" x14ac:dyDescent="0.3">
      <c r="A40" s="257" t="s">
        <v>865</v>
      </c>
      <c r="B40" s="1050" t="s">
        <v>20</v>
      </c>
      <c r="C40" s="261">
        <f>VLOOKUP($C$1,'побудинковий звіт'!$C$9:$DX$359,126,FALSE)</f>
        <v>0</v>
      </c>
      <c r="D40" s="5"/>
      <c r="E40" s="5"/>
      <c r="F40" s="262"/>
      <c r="G40" s="32"/>
    </row>
    <row r="41" spans="1:9" ht="15" customHeight="1" thickBot="1" x14ac:dyDescent="0.35">
      <c r="A41" s="1051" t="s">
        <v>866</v>
      </c>
      <c r="B41" s="1052" t="s">
        <v>21</v>
      </c>
      <c r="C41" s="1053">
        <f>C9+C18+C19+C20+C21+C22+C23+C31+C32+C33+C34+C35+C36+C37</f>
        <v>462990.78612579848</v>
      </c>
      <c r="D41" s="1053">
        <f>D9+D18+D19+D20+D21+D22+D23+D31+D32+D33+D34+D35+D36+D37</f>
        <v>323160.13309313846</v>
      </c>
      <c r="E41" s="1053">
        <f t="shared" si="2"/>
        <v>-139830.65303266002</v>
      </c>
      <c r="F41" s="1054">
        <f>D41/C41</f>
        <v>0.69798394002020836</v>
      </c>
      <c r="G41" s="32"/>
    </row>
    <row r="42" spans="1:9" ht="15" customHeight="1" thickBot="1" x14ac:dyDescent="0.35">
      <c r="A42" s="1055" t="s">
        <v>867</v>
      </c>
      <c r="B42" s="1056" t="s">
        <v>22</v>
      </c>
      <c r="C42" s="65">
        <f>C41*1.2+C40</f>
        <v>555588.94335095817</v>
      </c>
      <c r="D42" s="65">
        <f>D41*1.2</f>
        <v>387792.15971176611</v>
      </c>
      <c r="E42" s="65">
        <f t="shared" si="2"/>
        <v>-167796.78363919206</v>
      </c>
      <c r="F42" s="1096">
        <f>D42/C42</f>
        <v>0.69798394002020836</v>
      </c>
      <c r="H42" s="261">
        <f>VLOOKUP($C$1,'побудинковий звіт'!$C$9:$DG$359,97,FALSE)</f>
        <v>555588.94335095817</v>
      </c>
      <c r="I42" s="261">
        <f>VLOOKUP($C$1,'побудинковий звіт'!$C$9:$DG$359,98,FALSE)</f>
        <v>387792.15971176611</v>
      </c>
    </row>
    <row r="43" spans="1:9" ht="14.4" thickBot="1" x14ac:dyDescent="0.35"/>
    <row r="44" spans="1:9" ht="14.4" x14ac:dyDescent="0.3">
      <c r="A44" s="1130" t="s">
        <v>1717</v>
      </c>
      <c r="B44" s="1131"/>
      <c r="C44" s="1097">
        <f>I6</f>
        <v>45658</v>
      </c>
      <c r="D44" s="1098">
        <f>VLOOKUP($C$1,'побудинковий звіт'!$C$9:$DG$359,107,FALSE)</f>
        <v>86470.080000000002</v>
      </c>
      <c r="E44" s="1136">
        <f>D44+D45</f>
        <v>86470.080000000002</v>
      </c>
      <c r="H44" s="261">
        <f>VLOOKUP($C$1,'побудинковий звіт'!$C$9:$DG$359,97,FALSE)</f>
        <v>555588.94335095817</v>
      </c>
      <c r="I44" s="261">
        <f>VLOOKUP($C$1,'побудинковий звіт'!$C$9:$DG$359,98,FALSE)</f>
        <v>387792.15971176611</v>
      </c>
    </row>
    <row r="45" spans="1:9" ht="15" thickBot="1" x14ac:dyDescent="0.35">
      <c r="A45" s="1134" t="s">
        <v>1680</v>
      </c>
      <c r="B45" s="1135"/>
      <c r="C45" s="1099">
        <f>I6</f>
        <v>45658</v>
      </c>
      <c r="D45" s="1100">
        <f>VLOOKUP($C$1,'побудинковий звіт'!$C$9:$DG$359,108,FALSE)</f>
        <v>0</v>
      </c>
      <c r="E45" s="1137"/>
    </row>
    <row r="46" spans="1:9" ht="14.4" x14ac:dyDescent="0.3">
      <c r="A46" s="1117"/>
      <c r="B46" s="1118"/>
      <c r="C46" s="1119"/>
      <c r="D46" s="1120"/>
      <c r="E46" s="1121"/>
    </row>
    <row r="47" spans="1:9" ht="14.4" x14ac:dyDescent="0.3">
      <c r="A47" s="1059"/>
      <c r="B47" s="1061" t="s">
        <v>1839</v>
      </c>
      <c r="C47" s="1102"/>
      <c r="D47" s="1103">
        <f>VLOOKUP($C$1,'побудинковий звіт'!$C$9:$EI$359,137,FALSE)*-1</f>
        <v>-175873.32378159105</v>
      </c>
      <c r="E47" s="1104" t="str">
        <f>IF(D47&lt;0,"кошторис перевиконаний","кошторис недовиконаний")</f>
        <v>кошторис перевиконаний</v>
      </c>
      <c r="F47" s="1105"/>
    </row>
    <row r="48" spans="1:9" ht="14.4" x14ac:dyDescent="0.3">
      <c r="A48" s="1059"/>
      <c r="B48" s="1061" t="s">
        <v>1840</v>
      </c>
      <c r="C48" s="1106" t="str">
        <f>місяць!A2</f>
        <v>2024 рік</v>
      </c>
      <c r="D48" s="1103">
        <f>E42*-1</f>
        <v>167796.78363919206</v>
      </c>
      <c r="E48" s="1104" t="str">
        <f>IF(D48&lt;0,"кошторис перевиконаний","кошторис недовиконаний")</f>
        <v>кошторис недовиконаний</v>
      </c>
      <c r="F48" s="1105"/>
    </row>
    <row r="49" spans="1:6" ht="14.4" x14ac:dyDescent="0.3">
      <c r="A49" s="1059"/>
      <c r="B49" s="1062" t="s">
        <v>1841</v>
      </c>
      <c r="C49" s="1107">
        <f>I6</f>
        <v>45658</v>
      </c>
      <c r="D49" s="863">
        <f>D47+D48</f>
        <v>-8076.540142398997</v>
      </c>
      <c r="E49" s="1108" t="str">
        <f>IF(D49&lt;0,"кошторис перевиконаний","кошторис недовиконаний")</f>
        <v>кошторис перевиконаний</v>
      </c>
      <c r="F49" s="3"/>
    </row>
    <row r="50" spans="1:6" ht="15" thickBot="1" x14ac:dyDescent="0.35">
      <c r="A50" s="1094"/>
      <c r="B50" s="1095"/>
      <c r="C50" s="1099"/>
      <c r="D50" s="1109"/>
      <c r="E50" s="1101"/>
    </row>
    <row r="51" spans="1:6" ht="21.9" hidden="1" customHeight="1" thickBot="1" x14ac:dyDescent="0.35">
      <c r="A51" s="1132" t="s">
        <v>1705</v>
      </c>
      <c r="B51" s="1133"/>
      <c r="C51" s="1110">
        <f>C44</f>
        <v>45658</v>
      </c>
      <c r="D51" s="1111">
        <f>VLOOKUP($C$1,'побудинковий звіт'!$C$9:$DG$359,103,FALSE)*-1+C40</f>
        <v>-8076.5401423990843</v>
      </c>
      <c r="E51" s="1112"/>
      <c r="F51" s="32">
        <f>D49-D51</f>
        <v>8.7311491370201111E-11</v>
      </c>
    </row>
    <row r="52" spans="1:6" ht="29.4" hidden="1" thickBot="1" x14ac:dyDescent="0.35">
      <c r="A52" s="1057"/>
      <c r="B52" s="1058" t="s">
        <v>1706</v>
      </c>
      <c r="C52" s="1110"/>
      <c r="D52" s="1113">
        <f>VLOOKUP($C$1,'побудинковий звіт'!$C$9:$DW$359,125,FALSE)</f>
        <v>1242</v>
      </c>
      <c r="E52" s="1112"/>
    </row>
    <row r="53" spans="1:6" ht="14.4" x14ac:dyDescent="0.3">
      <c r="A53" s="1059"/>
      <c r="B53" s="1060"/>
      <c r="C53" s="1114"/>
      <c r="D53" s="1115"/>
      <c r="E53" s="1116"/>
    </row>
    <row r="54" spans="1:6" x14ac:dyDescent="0.3">
      <c r="B54" s="264" t="s">
        <v>1053</v>
      </c>
      <c r="C54" s="1128" t="s">
        <v>1054</v>
      </c>
      <c r="D54" s="1129"/>
      <c r="E54" s="1004" t="s">
        <v>1815</v>
      </c>
      <c r="F54" s="1004" t="s">
        <v>1816</v>
      </c>
    </row>
    <row r="55" spans="1:6" x14ac:dyDescent="0.3">
      <c r="B55" s="17" t="s">
        <v>1056</v>
      </c>
      <c r="C55" s="17" t="s">
        <v>939</v>
      </c>
      <c r="D55" s="21">
        <f>'ПР будинок'!C6</f>
        <v>18</v>
      </c>
      <c r="E55" s="21">
        <f>'ПР будинок'!D6</f>
        <v>14362.541615109529</v>
      </c>
      <c r="F55" s="21">
        <f t="shared" ref="F55:F65" si="4">E55*1.2</f>
        <v>17235.049938131433</v>
      </c>
    </row>
    <row r="56" spans="1:6" x14ac:dyDescent="0.3">
      <c r="B56" s="17" t="s">
        <v>1057</v>
      </c>
      <c r="C56" s="17" t="s">
        <v>935</v>
      </c>
      <c r="D56" s="21">
        <f>'ПР будинок'!C7</f>
        <v>0</v>
      </c>
      <c r="E56" s="21">
        <f>'ПР будинок'!D7</f>
        <v>0</v>
      </c>
      <c r="F56" s="21">
        <f t="shared" si="4"/>
        <v>0</v>
      </c>
    </row>
    <row r="57" spans="1:6" x14ac:dyDescent="0.3">
      <c r="B57" s="17" t="s">
        <v>1058</v>
      </c>
      <c r="C57" s="17" t="s">
        <v>937</v>
      </c>
      <c r="D57" s="21">
        <f>'ПР будинок'!C8</f>
        <v>0</v>
      </c>
      <c r="E57" s="21">
        <f>'ПР будинок'!D8</f>
        <v>0</v>
      </c>
      <c r="F57" s="21">
        <f t="shared" si="4"/>
        <v>0</v>
      </c>
    </row>
    <row r="58" spans="1:6" x14ac:dyDescent="0.3">
      <c r="B58" s="17" t="s">
        <v>1059</v>
      </c>
      <c r="C58" s="17" t="s">
        <v>935</v>
      </c>
      <c r="D58" s="21">
        <f>'ПР будинок'!C9</f>
        <v>0</v>
      </c>
      <c r="E58" s="21">
        <f>'ПР будинок'!D9</f>
        <v>0</v>
      </c>
      <c r="F58" s="21">
        <f t="shared" si="4"/>
        <v>0</v>
      </c>
    </row>
    <row r="59" spans="1:6" x14ac:dyDescent="0.3">
      <c r="B59" s="17" t="s">
        <v>1060</v>
      </c>
      <c r="C59" s="17"/>
      <c r="D59" s="21"/>
      <c r="E59" s="21">
        <f>'ПР будинок'!D10</f>
        <v>0</v>
      </c>
      <c r="F59" s="21">
        <f t="shared" si="4"/>
        <v>0</v>
      </c>
    </row>
    <row r="60" spans="1:6" x14ac:dyDescent="0.3">
      <c r="B60" s="17" t="s">
        <v>938</v>
      </c>
      <c r="C60" s="17" t="s">
        <v>939</v>
      </c>
      <c r="D60" s="21">
        <f>'ПР будинок'!C11</f>
        <v>0</v>
      </c>
      <c r="E60" s="21">
        <f>'ПР будинок'!D11</f>
        <v>0</v>
      </c>
      <c r="F60" s="21">
        <f t="shared" si="4"/>
        <v>0</v>
      </c>
    </row>
    <row r="61" spans="1:6" x14ac:dyDescent="0.3">
      <c r="B61" s="17" t="s">
        <v>1061</v>
      </c>
      <c r="C61" s="17"/>
      <c r="D61" s="21"/>
      <c r="E61" s="21">
        <f>'ПР будинок'!D12</f>
        <v>0</v>
      </c>
      <c r="F61" s="21">
        <f t="shared" si="4"/>
        <v>0</v>
      </c>
    </row>
    <row r="62" spans="1:6" x14ac:dyDescent="0.3">
      <c r="B62" s="17" t="s">
        <v>928</v>
      </c>
      <c r="C62" s="17"/>
      <c r="D62" s="21"/>
      <c r="E62" s="21">
        <f>'ПР будинок'!D13</f>
        <v>296</v>
      </c>
      <c r="F62" s="21">
        <f t="shared" si="4"/>
        <v>355.2</v>
      </c>
    </row>
    <row r="63" spans="1:6" x14ac:dyDescent="0.3">
      <c r="B63" s="17" t="s">
        <v>1062</v>
      </c>
      <c r="C63" s="17"/>
      <c r="D63" s="21"/>
      <c r="E63" s="21">
        <f>'ПР будинок'!D14</f>
        <v>132.05404403729605</v>
      </c>
      <c r="F63" s="21">
        <f t="shared" si="4"/>
        <v>158.46485284475526</v>
      </c>
    </row>
    <row r="64" spans="1:6" x14ac:dyDescent="0.3">
      <c r="B64" s="906" t="s">
        <v>940</v>
      </c>
      <c r="C64" s="906"/>
      <c r="D64" s="21"/>
      <c r="E64" s="21">
        <f>'ПР будинок'!D15</f>
        <v>0</v>
      </c>
      <c r="F64" s="21">
        <f t="shared" si="4"/>
        <v>0</v>
      </c>
    </row>
    <row r="65" spans="2:8" x14ac:dyDescent="0.3">
      <c r="B65" s="906" t="s">
        <v>968</v>
      </c>
      <c r="C65" s="906"/>
      <c r="D65" s="21"/>
      <c r="E65" s="21">
        <f>'ПР будинок'!D16</f>
        <v>281.11900023406389</v>
      </c>
      <c r="F65" s="21">
        <f t="shared" si="4"/>
        <v>337.34280028087665</v>
      </c>
    </row>
    <row r="66" spans="2:8" x14ac:dyDescent="0.3">
      <c r="B66" s="264" t="s">
        <v>1820</v>
      </c>
      <c r="C66" s="264"/>
      <c r="D66" s="264"/>
      <c r="E66" s="265">
        <f>SUM(E55:E65)</f>
        <v>15071.714659380888</v>
      </c>
      <c r="F66" s="265">
        <f>SUM(F55:F65)</f>
        <v>18086.057591257064</v>
      </c>
    </row>
    <row r="67" spans="2:8" hidden="1" x14ac:dyDescent="0.3">
      <c r="B67" s="264" t="s">
        <v>1817</v>
      </c>
      <c r="C67" s="265"/>
      <c r="D67" s="264"/>
      <c r="E67" s="265">
        <f>D23</f>
        <v>3856.3597245478741</v>
      </c>
      <c r="G67" s="265">
        <f>E67*1.2</f>
        <v>4627.6316694574489</v>
      </c>
    </row>
    <row r="68" spans="2:8" hidden="1" x14ac:dyDescent="0.3">
      <c r="B68" s="264" t="s">
        <v>1818</v>
      </c>
      <c r="C68" s="265"/>
      <c r="D68" s="264"/>
      <c r="E68" s="265">
        <f>E66+E67</f>
        <v>18928.074383928761</v>
      </c>
      <c r="G68" s="265">
        <f>F66+G67</f>
        <v>22713.689260714513</v>
      </c>
      <c r="H68" s="32">
        <f>(D22+D23)*1.2</f>
        <v>22713.689260714513</v>
      </c>
    </row>
    <row r="69" spans="2:8" ht="15" hidden="1" customHeight="1" x14ac:dyDescent="0.3">
      <c r="B69" s="1063" t="s">
        <v>1710</v>
      </c>
      <c r="C69" s="1064"/>
      <c r="D69" s="1063"/>
      <c r="E69" s="6"/>
      <c r="F69" s="6"/>
    </row>
    <row r="70" spans="2:8" ht="15" hidden="1" customHeight="1" x14ac:dyDescent="0.3">
      <c r="B70" s="1065" t="s">
        <v>1711</v>
      </c>
      <c r="C70" s="1042">
        <f>VLOOKUP($C$1,'побудинковий звіт'!$C$9:$EE$359,133,FALSE)</f>
        <v>-65304</v>
      </c>
      <c r="D70" s="1066" t="str">
        <f>IF(C70&gt;0,"перевиконано!!!","недовиконано")</f>
        <v>недовиконано</v>
      </c>
      <c r="E70" s="6"/>
      <c r="F70" s="6"/>
    </row>
    <row r="71" spans="2:8" ht="15" hidden="1" customHeight="1" x14ac:dyDescent="0.3">
      <c r="B71" s="1067" t="s">
        <v>1712</v>
      </c>
      <c r="C71" s="1068"/>
      <c r="D71" s="1067"/>
      <c r="E71" s="6"/>
      <c r="F71" s="6"/>
    </row>
    <row r="72" spans="2:8" ht="15" customHeight="1" x14ac:dyDescent="0.3">
      <c r="B72" s="6"/>
      <c r="C72" s="10"/>
      <c r="D72" s="6"/>
      <c r="E72" s="6"/>
      <c r="F72" s="557">
        <f>D22*1.2</f>
        <v>18086.057591257064</v>
      </c>
    </row>
    <row r="73" spans="2:8" ht="15" customHeight="1" x14ac:dyDescent="0.3">
      <c r="B73" s="6"/>
      <c r="C73" s="10"/>
      <c r="D73" s="6"/>
      <c r="E73" s="6"/>
    </row>
    <row r="74" spans="2:8" ht="15.6" x14ac:dyDescent="0.3">
      <c r="B74" s="6" t="s">
        <v>1842</v>
      </c>
      <c r="C74" s="6" t="s">
        <v>873</v>
      </c>
      <c r="F74" s="6" t="s">
        <v>1822</v>
      </c>
    </row>
    <row r="75" spans="2:8" ht="15.6" x14ac:dyDescent="0.3">
      <c r="B75" s="6" t="s">
        <v>0</v>
      </c>
      <c r="C75" s="6"/>
      <c r="F75" s="6"/>
    </row>
    <row r="76" spans="2:8" ht="15.6" x14ac:dyDescent="0.3">
      <c r="C76" s="6"/>
      <c r="F76" s="6"/>
    </row>
    <row r="77" spans="2:8" ht="15.6" x14ac:dyDescent="0.3">
      <c r="C77" s="6" t="s">
        <v>874</v>
      </c>
      <c r="F77" s="6" t="s">
        <v>1639</v>
      </c>
    </row>
    <row r="78" spans="2:8" ht="15.6" x14ac:dyDescent="0.3">
      <c r="C78" s="1"/>
      <c r="E78" s="6"/>
    </row>
    <row r="79" spans="2:8" ht="15.6" x14ac:dyDescent="0.3">
      <c r="C79" s="1"/>
      <c r="E79" s="6"/>
    </row>
    <row r="80" spans="2:8" ht="15.6" x14ac:dyDescent="0.3">
      <c r="C80" s="1"/>
      <c r="E80" s="6"/>
    </row>
    <row r="81" spans="3:5" ht="15.6" x14ac:dyDescent="0.3">
      <c r="C81" s="1"/>
      <c r="E81" s="6"/>
    </row>
    <row r="411" spans="45:46" x14ac:dyDescent="0.3">
      <c r="AS411" s="1">
        <v>209.13</v>
      </c>
      <c r="AT411" s="1">
        <v>1.99</v>
      </c>
    </row>
  </sheetData>
  <mergeCells count="8">
    <mergeCell ref="A5:A6"/>
    <mergeCell ref="B5:B6"/>
    <mergeCell ref="C5:F5"/>
    <mergeCell ref="C54:D54"/>
    <mergeCell ref="A44:B44"/>
    <mergeCell ref="A51:B51"/>
    <mergeCell ref="A45:B45"/>
    <mergeCell ref="E44:E45"/>
  </mergeCells>
  <pageMargins left="0.70866141732283472" right="0.11811023622047245" top="0.15748031496062992" bottom="0.19685039370078741" header="0.31496062992125984" footer="0.31496062992125984"/>
  <pageSetup paperSize="9" scale="70" orientation="portrait" verticalDpi="4294967295" r:id="rId1"/>
  <drawing r:id="rId2"/>
  <legacyDrawing r:id="rId3"/>
  <controls>
    <mc:AlternateContent xmlns:mc="http://schemas.openxmlformats.org/markup-compatibility/2006">
      <mc:Choice Requires="x14">
        <control shapeId="9217" r:id="rId4" name="ComboBox1">
          <controlPr autoLine="0" autoPict="0" linkedCell="C1" listFillRange="'побудинковий звіт'!C9:DG359" r:id="rId5">
            <anchor moveWithCells="1">
              <from>
                <xdr:col>7</xdr:col>
                <xdr:colOff>38100</xdr:colOff>
                <xdr:row>1</xdr:row>
                <xdr:rowOff>99060</xdr:rowOff>
              </from>
              <to>
                <xdr:col>12</xdr:col>
                <xdr:colOff>480060</xdr:colOff>
                <xdr:row>4</xdr:row>
                <xdr:rowOff>175260</xdr:rowOff>
              </to>
            </anchor>
          </controlPr>
        </control>
      </mc:Choice>
      <mc:Fallback>
        <control shapeId="9217" r:id="rId4" name="Combo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0F998-CC43-4CDA-9229-69C49C61169F}">
  <sheetPr codeName="Лист61">
    <tabColor rgb="FF00B050"/>
  </sheetPr>
  <dimension ref="A1:B368"/>
  <sheetViews>
    <sheetView topLeftCell="A338" workbookViewId="0">
      <selection activeCell="L358" sqref="L358"/>
    </sheetView>
  </sheetViews>
  <sheetFormatPr defaultRowHeight="14.4" x14ac:dyDescent="0.3"/>
  <cols>
    <col min="1" max="1" width="43.33203125" style="1" customWidth="1"/>
    <col min="2" max="2" width="30.109375" style="8" customWidth="1"/>
  </cols>
  <sheetData>
    <row r="1" spans="1:2" x14ac:dyDescent="0.3">
      <c r="B1" s="797"/>
    </row>
    <row r="2" spans="1:2" x14ac:dyDescent="0.3">
      <c r="B2" s="270"/>
    </row>
    <row r="3" spans="1:2" x14ac:dyDescent="0.3">
      <c r="B3" s="270"/>
    </row>
    <row r="5" spans="1:2" ht="18" thickBot="1" x14ac:dyDescent="0.35">
      <c r="B5" s="321"/>
    </row>
    <row r="6" spans="1:2" x14ac:dyDescent="0.3">
      <c r="A6" s="1228" t="s">
        <v>1</v>
      </c>
      <c r="B6" s="1256" t="s">
        <v>1723</v>
      </c>
    </row>
    <row r="7" spans="1:2" x14ac:dyDescent="0.3">
      <c r="A7" s="1229"/>
      <c r="B7" s="1257"/>
    </row>
    <row r="8" spans="1:2" ht="42.6" customHeight="1" thickBot="1" x14ac:dyDescent="0.35">
      <c r="A8" s="1230"/>
      <c r="B8" s="1258"/>
    </row>
    <row r="9" spans="1:2" x14ac:dyDescent="0.3">
      <c r="A9" s="83" t="s">
        <v>146</v>
      </c>
      <c r="B9" s="254">
        <v>18653.739760113393</v>
      </c>
    </row>
    <row r="10" spans="1:2" x14ac:dyDescent="0.3">
      <c r="A10" s="44" t="s">
        <v>239</v>
      </c>
      <c r="B10" s="254">
        <v>38003.874549059285</v>
      </c>
    </row>
    <row r="11" spans="1:2" x14ac:dyDescent="0.3">
      <c r="A11" s="44" t="s">
        <v>240</v>
      </c>
      <c r="B11" s="254">
        <v>53707.6442947701</v>
      </c>
    </row>
    <row r="12" spans="1:2" x14ac:dyDescent="0.3">
      <c r="A12" s="44" t="s">
        <v>338</v>
      </c>
      <c r="B12" s="254">
        <v>-80083.318847997638</v>
      </c>
    </row>
    <row r="13" spans="1:2" x14ac:dyDescent="0.3">
      <c r="A13" s="44" t="s">
        <v>339</v>
      </c>
      <c r="B13" s="254">
        <v>-192392.44459653684</v>
      </c>
    </row>
    <row r="14" spans="1:2" x14ac:dyDescent="0.3">
      <c r="A14" s="44" t="s">
        <v>33</v>
      </c>
      <c r="B14" s="254">
        <v>-9205.1629507728831</v>
      </c>
    </row>
    <row r="15" spans="1:2" x14ac:dyDescent="0.3">
      <c r="A15" s="44" t="s">
        <v>340</v>
      </c>
      <c r="B15" s="254">
        <v>-67368.594597629155</v>
      </c>
    </row>
    <row r="16" spans="1:2" x14ac:dyDescent="0.3">
      <c r="A16" s="44" t="s">
        <v>147</v>
      </c>
      <c r="B16" s="254">
        <v>-3465.1098473404422</v>
      </c>
    </row>
    <row r="17" spans="1:2" x14ac:dyDescent="0.3">
      <c r="A17" s="44" t="s">
        <v>148</v>
      </c>
      <c r="B17" s="254">
        <v>-6606.3346939808735</v>
      </c>
    </row>
    <row r="18" spans="1:2" x14ac:dyDescent="0.3">
      <c r="A18" s="44" t="s">
        <v>241</v>
      </c>
      <c r="B18" s="254">
        <v>130563.10472088867</v>
      </c>
    </row>
    <row r="19" spans="1:2" x14ac:dyDescent="0.3">
      <c r="A19" s="44" t="s">
        <v>192</v>
      </c>
      <c r="B19" s="254">
        <v>-3338.8786893936558</v>
      </c>
    </row>
    <row r="20" spans="1:2" x14ac:dyDescent="0.3">
      <c r="A20" s="44" t="s">
        <v>37</v>
      </c>
      <c r="B20" s="254">
        <v>-3063.0814461793298</v>
      </c>
    </row>
    <row r="21" spans="1:2" x14ac:dyDescent="0.3">
      <c r="A21" s="44" t="s">
        <v>242</v>
      </c>
      <c r="B21" s="254">
        <v>25117.032458931499</v>
      </c>
    </row>
    <row r="22" spans="1:2" x14ac:dyDescent="0.3">
      <c r="A22" s="44" t="s">
        <v>193</v>
      </c>
      <c r="B22" s="254">
        <v>-45317.409498198729</v>
      </c>
    </row>
    <row r="23" spans="1:2" x14ac:dyDescent="0.3">
      <c r="A23" s="44" t="s">
        <v>341</v>
      </c>
      <c r="B23" s="254">
        <v>24404.857217531098</v>
      </c>
    </row>
    <row r="24" spans="1:2" x14ac:dyDescent="0.3">
      <c r="A24" s="44" t="s">
        <v>39</v>
      </c>
      <c r="B24" s="254">
        <v>-3962.4922638592698</v>
      </c>
    </row>
    <row r="25" spans="1:2" x14ac:dyDescent="0.3">
      <c r="A25" s="44" t="s">
        <v>40</v>
      </c>
      <c r="B25" s="254">
        <v>-5471.1722772841667</v>
      </c>
    </row>
    <row r="26" spans="1:2" x14ac:dyDescent="0.3">
      <c r="A26" s="44" t="s">
        <v>41</v>
      </c>
      <c r="B26" s="254">
        <v>-6283.6899857241979</v>
      </c>
    </row>
    <row r="27" spans="1:2" x14ac:dyDescent="0.3">
      <c r="A27" s="44" t="s">
        <v>42</v>
      </c>
      <c r="B27" s="254">
        <v>-5130.7435981579838</v>
      </c>
    </row>
    <row r="28" spans="1:2" x14ac:dyDescent="0.3">
      <c r="A28" s="44" t="s">
        <v>43</v>
      </c>
      <c r="B28" s="254">
        <v>-5127.6689699335639</v>
      </c>
    </row>
    <row r="29" spans="1:2" x14ac:dyDescent="0.3">
      <c r="A29" s="44" t="s">
        <v>44</v>
      </c>
      <c r="B29" s="254">
        <v>-4404.9593934273144</v>
      </c>
    </row>
    <row r="30" spans="1:2" x14ac:dyDescent="0.3">
      <c r="A30" s="44" t="s">
        <v>47</v>
      </c>
      <c r="B30" s="254">
        <v>-4502.4189999519949</v>
      </c>
    </row>
    <row r="31" spans="1:2" x14ac:dyDescent="0.3">
      <c r="A31" s="44" t="s">
        <v>48</v>
      </c>
      <c r="B31" s="254">
        <v>5365.6709716300029</v>
      </c>
    </row>
    <row r="32" spans="1:2" x14ac:dyDescent="0.3">
      <c r="A32" s="44" t="s">
        <v>201</v>
      </c>
      <c r="B32" s="254">
        <v>21609.065324280717</v>
      </c>
    </row>
    <row r="33" spans="1:2" x14ac:dyDescent="0.3">
      <c r="A33" s="44" t="s">
        <v>202</v>
      </c>
      <c r="B33" s="254">
        <v>42930.051765951081</v>
      </c>
    </row>
    <row r="34" spans="1:2" x14ac:dyDescent="0.3">
      <c r="A34" s="44" t="s">
        <v>203</v>
      </c>
      <c r="B34" s="254">
        <v>15510.231740190926</v>
      </c>
    </row>
    <row r="35" spans="1:2" x14ac:dyDescent="0.3">
      <c r="A35" s="44" t="s">
        <v>149</v>
      </c>
      <c r="B35" s="254">
        <v>-38210.811277607492</v>
      </c>
    </row>
    <row r="36" spans="1:2" x14ac:dyDescent="0.3">
      <c r="A36" s="44" t="s">
        <v>150</v>
      </c>
      <c r="B36" s="254">
        <v>-4805.3724661808237</v>
      </c>
    </row>
    <row r="37" spans="1:2" x14ac:dyDescent="0.3">
      <c r="A37" s="44" t="s">
        <v>243</v>
      </c>
      <c r="B37" s="254">
        <v>-11633.036542035508</v>
      </c>
    </row>
    <row r="38" spans="1:2" x14ac:dyDescent="0.3">
      <c r="A38" s="44" t="s">
        <v>204</v>
      </c>
      <c r="B38" s="254">
        <v>-4209.3331629813802</v>
      </c>
    </row>
    <row r="39" spans="1:2" x14ac:dyDescent="0.3">
      <c r="A39" s="44" t="s">
        <v>205</v>
      </c>
      <c r="B39" s="254">
        <v>42900.181819527214</v>
      </c>
    </row>
    <row r="40" spans="1:2" x14ac:dyDescent="0.3">
      <c r="A40" s="44" t="s">
        <v>244</v>
      </c>
      <c r="B40" s="254">
        <v>37534.639435116456</v>
      </c>
    </row>
    <row r="41" spans="1:2" x14ac:dyDescent="0.3">
      <c r="A41" s="44" t="s">
        <v>342</v>
      </c>
      <c r="B41" s="254">
        <v>-6931.3273414837549</v>
      </c>
    </row>
    <row r="42" spans="1:2" x14ac:dyDescent="0.3">
      <c r="A42" s="44" t="s">
        <v>343</v>
      </c>
      <c r="B42" s="254">
        <v>-103993.97385684289</v>
      </c>
    </row>
    <row r="43" spans="1:2" x14ac:dyDescent="0.3">
      <c r="A43" s="44" t="s">
        <v>344</v>
      </c>
      <c r="B43" s="254">
        <v>-44332.988492224846</v>
      </c>
    </row>
    <row r="44" spans="1:2" x14ac:dyDescent="0.3">
      <c r="A44" s="44" t="s">
        <v>345</v>
      </c>
      <c r="B44" s="254">
        <v>-283436.91141545726</v>
      </c>
    </row>
    <row r="45" spans="1:2" x14ac:dyDescent="0.3">
      <c r="A45" s="44" t="s">
        <v>346</v>
      </c>
      <c r="B45" s="254">
        <v>-5240.4227973086381</v>
      </c>
    </row>
    <row r="46" spans="1:2" x14ac:dyDescent="0.3">
      <c r="A46" s="44" t="s">
        <v>245</v>
      </c>
      <c r="B46" s="254">
        <v>5562.8710717784197</v>
      </c>
    </row>
    <row r="47" spans="1:2" x14ac:dyDescent="0.3">
      <c r="A47" s="44" t="s">
        <v>50</v>
      </c>
      <c r="B47" s="254">
        <v>-379.39656602200847</v>
      </c>
    </row>
    <row r="48" spans="1:2" x14ac:dyDescent="0.3">
      <c r="A48" s="44" t="s">
        <v>51</v>
      </c>
      <c r="B48" s="254">
        <v>712.6901873348379</v>
      </c>
    </row>
    <row r="49" spans="1:2" x14ac:dyDescent="0.3">
      <c r="A49" s="44" t="s">
        <v>246</v>
      </c>
      <c r="B49" s="254">
        <v>-14011.702993473693</v>
      </c>
    </row>
    <row r="50" spans="1:2" x14ac:dyDescent="0.3">
      <c r="A50" s="44" t="s">
        <v>206</v>
      </c>
      <c r="B50" s="254">
        <v>58195.412854623632</v>
      </c>
    </row>
    <row r="51" spans="1:2" x14ac:dyDescent="0.3">
      <c r="A51" s="44" t="s">
        <v>247</v>
      </c>
      <c r="B51" s="254">
        <v>66105.415523138538</v>
      </c>
    </row>
    <row r="52" spans="1:2" x14ac:dyDescent="0.3">
      <c r="A52" s="44" t="s">
        <v>52</v>
      </c>
      <c r="B52" s="254">
        <v>6854.8170488409651</v>
      </c>
    </row>
    <row r="53" spans="1:2" x14ac:dyDescent="0.3">
      <c r="A53" s="44" t="s">
        <v>248</v>
      </c>
      <c r="B53" s="254">
        <v>-9339.7995467688706</v>
      </c>
    </row>
    <row r="54" spans="1:2" x14ac:dyDescent="0.3">
      <c r="A54" s="44" t="s">
        <v>249</v>
      </c>
      <c r="B54" s="254">
        <v>49926.935857157107</v>
      </c>
    </row>
    <row r="55" spans="1:2" x14ac:dyDescent="0.3">
      <c r="A55" s="44" t="s">
        <v>250</v>
      </c>
      <c r="B55" s="254">
        <v>12582.260116757532</v>
      </c>
    </row>
    <row r="56" spans="1:2" x14ac:dyDescent="0.3">
      <c r="A56" s="44" t="s">
        <v>333</v>
      </c>
      <c r="B56" s="254">
        <v>-53568.822705524748</v>
      </c>
    </row>
    <row r="57" spans="1:2" x14ac:dyDescent="0.3">
      <c r="A57" s="44" t="s">
        <v>207</v>
      </c>
      <c r="B57" s="254">
        <v>77579.730073287559</v>
      </c>
    </row>
    <row r="58" spans="1:2" x14ac:dyDescent="0.3">
      <c r="A58" s="44" t="s">
        <v>151</v>
      </c>
      <c r="B58" s="254">
        <v>-17348.500523365801</v>
      </c>
    </row>
    <row r="59" spans="1:2" x14ac:dyDescent="0.3">
      <c r="A59" s="44" t="s">
        <v>53</v>
      </c>
      <c r="B59" s="254">
        <v>-3294.4808084891943</v>
      </c>
    </row>
    <row r="60" spans="1:2" x14ac:dyDescent="0.3">
      <c r="A60" s="44" t="s">
        <v>54</v>
      </c>
      <c r="B60" s="254">
        <v>9765.111312205112</v>
      </c>
    </row>
    <row r="61" spans="1:2" x14ac:dyDescent="0.3">
      <c r="A61" s="44" t="s">
        <v>251</v>
      </c>
      <c r="B61" s="254">
        <v>104089.46308054702</v>
      </c>
    </row>
    <row r="62" spans="1:2" x14ac:dyDescent="0.3">
      <c r="A62" s="44" t="s">
        <v>194</v>
      </c>
      <c r="B62" s="254">
        <v>56577.020774244316</v>
      </c>
    </row>
    <row r="63" spans="1:2" x14ac:dyDescent="0.3">
      <c r="A63" s="44" t="s">
        <v>412</v>
      </c>
      <c r="B63" s="254">
        <v>18242.231853711244</v>
      </c>
    </row>
    <row r="64" spans="1:2" x14ac:dyDescent="0.3">
      <c r="A64" s="44" t="s">
        <v>252</v>
      </c>
      <c r="B64" s="254">
        <v>-163.0506232688258</v>
      </c>
    </row>
    <row r="65" spans="1:2" x14ac:dyDescent="0.3">
      <c r="A65" s="44" t="s">
        <v>57</v>
      </c>
      <c r="B65" s="254">
        <v>24475.217521473234</v>
      </c>
    </row>
    <row r="66" spans="1:2" x14ac:dyDescent="0.3">
      <c r="A66" s="44" t="s">
        <v>60</v>
      </c>
      <c r="B66" s="254">
        <v>-1072.0678772855103</v>
      </c>
    </row>
    <row r="67" spans="1:2" x14ac:dyDescent="0.3">
      <c r="A67" s="44" t="s">
        <v>347</v>
      </c>
      <c r="B67" s="254">
        <v>89419.298249325308</v>
      </c>
    </row>
    <row r="68" spans="1:2" x14ac:dyDescent="0.3">
      <c r="A68" s="44" t="s">
        <v>62</v>
      </c>
      <c r="B68" s="254">
        <v>-5643.8499239307976</v>
      </c>
    </row>
    <row r="69" spans="1:2" x14ac:dyDescent="0.3">
      <c r="A69" s="44" t="s">
        <v>64</v>
      </c>
      <c r="B69" s="254">
        <v>-5620.9670616855637</v>
      </c>
    </row>
    <row r="70" spans="1:2" x14ac:dyDescent="0.3">
      <c r="A70" s="44" t="s">
        <v>348</v>
      </c>
      <c r="B70" s="254">
        <v>-33630.698934741944</v>
      </c>
    </row>
    <row r="71" spans="1:2" x14ac:dyDescent="0.3">
      <c r="A71" s="44" t="s">
        <v>253</v>
      </c>
      <c r="B71" s="254">
        <v>-21422.192217958873</v>
      </c>
    </row>
    <row r="72" spans="1:2" x14ac:dyDescent="0.3">
      <c r="A72" s="44" t="s">
        <v>349</v>
      </c>
      <c r="B72" s="254">
        <v>88239.159654294868</v>
      </c>
    </row>
    <row r="73" spans="1:2" x14ac:dyDescent="0.3">
      <c r="A73" s="44" t="s">
        <v>254</v>
      </c>
      <c r="B73" s="254">
        <v>-8748.278023400635</v>
      </c>
    </row>
    <row r="74" spans="1:2" x14ac:dyDescent="0.3">
      <c r="A74" s="44" t="s">
        <v>350</v>
      </c>
      <c r="B74" s="254">
        <v>-1925.399047979954</v>
      </c>
    </row>
    <row r="75" spans="1:2" x14ac:dyDescent="0.3">
      <c r="A75" s="44" t="s">
        <v>65</v>
      </c>
      <c r="B75" s="254">
        <v>-2234.8171269990689</v>
      </c>
    </row>
    <row r="76" spans="1:2" x14ac:dyDescent="0.3">
      <c r="A76" s="44" t="s">
        <v>66</v>
      </c>
      <c r="B76" s="254">
        <v>-6926.2244523711861</v>
      </c>
    </row>
    <row r="77" spans="1:2" x14ac:dyDescent="0.3">
      <c r="A77" s="44" t="s">
        <v>67</v>
      </c>
      <c r="B77" s="254">
        <v>-4412.7073573950893</v>
      </c>
    </row>
    <row r="78" spans="1:2" x14ac:dyDescent="0.3">
      <c r="A78" s="44" t="s">
        <v>68</v>
      </c>
      <c r="B78" s="254">
        <v>-15558.385993095904</v>
      </c>
    </row>
    <row r="79" spans="1:2" x14ac:dyDescent="0.3">
      <c r="A79" s="44" t="s">
        <v>72</v>
      </c>
      <c r="B79" s="254">
        <v>14076.917170407869</v>
      </c>
    </row>
    <row r="80" spans="1:2" x14ac:dyDescent="0.3">
      <c r="A80" s="44" t="s">
        <v>74</v>
      </c>
      <c r="B80" s="254">
        <v>-4316.1104757087942</v>
      </c>
    </row>
    <row r="81" spans="1:2" x14ac:dyDescent="0.3">
      <c r="A81" s="44" t="s">
        <v>152</v>
      </c>
      <c r="B81" s="254">
        <v>-10945.186723459474</v>
      </c>
    </row>
    <row r="82" spans="1:2" x14ac:dyDescent="0.3">
      <c r="A82" s="44" t="s">
        <v>75</v>
      </c>
      <c r="B82" s="254">
        <v>-2393.2409372522193</v>
      </c>
    </row>
    <row r="83" spans="1:2" x14ac:dyDescent="0.3">
      <c r="A83" s="44" t="s">
        <v>351</v>
      </c>
      <c r="B83" s="254">
        <v>92591.417672147421</v>
      </c>
    </row>
    <row r="84" spans="1:2" x14ac:dyDescent="0.3">
      <c r="A84" s="44" t="s">
        <v>413</v>
      </c>
      <c r="B84" s="254">
        <v>4329.7809940488441</v>
      </c>
    </row>
    <row r="85" spans="1:2" x14ac:dyDescent="0.3">
      <c r="A85" s="44" t="s">
        <v>414</v>
      </c>
      <c r="B85" s="254">
        <v>156233.94945008977</v>
      </c>
    </row>
    <row r="86" spans="1:2" x14ac:dyDescent="0.3">
      <c r="A86" s="44" t="s">
        <v>352</v>
      </c>
      <c r="B86" s="254">
        <v>-184418.91511499078</v>
      </c>
    </row>
    <row r="87" spans="1:2" x14ac:dyDescent="0.3">
      <c r="A87" s="44" t="s">
        <v>76</v>
      </c>
      <c r="B87" s="254">
        <v>3942.5010760458335</v>
      </c>
    </row>
    <row r="88" spans="1:2" x14ac:dyDescent="0.3">
      <c r="A88" s="44" t="s">
        <v>353</v>
      </c>
      <c r="B88" s="254">
        <v>-26935.152216281342</v>
      </c>
    </row>
    <row r="89" spans="1:2" x14ac:dyDescent="0.3">
      <c r="A89" s="44" t="s">
        <v>77</v>
      </c>
      <c r="B89" s="254">
        <v>-934.82382388140786</v>
      </c>
    </row>
    <row r="90" spans="1:2" x14ac:dyDescent="0.3">
      <c r="A90" s="44" t="s">
        <v>255</v>
      </c>
      <c r="B90" s="254">
        <v>59070.330779422286</v>
      </c>
    </row>
    <row r="91" spans="1:2" x14ac:dyDescent="0.3">
      <c r="A91" s="44" t="s">
        <v>354</v>
      </c>
      <c r="B91" s="254">
        <v>138868.19945364766</v>
      </c>
    </row>
    <row r="92" spans="1:2" x14ac:dyDescent="0.3">
      <c r="A92" s="44" t="s">
        <v>355</v>
      </c>
      <c r="B92" s="254">
        <v>-19406.631425826417</v>
      </c>
    </row>
    <row r="93" spans="1:2" x14ac:dyDescent="0.3">
      <c r="A93" s="44" t="s">
        <v>356</v>
      </c>
      <c r="B93" s="254">
        <v>-50802.643548856555</v>
      </c>
    </row>
    <row r="94" spans="1:2" x14ac:dyDescent="0.3">
      <c r="A94" s="44" t="s">
        <v>415</v>
      </c>
      <c r="B94" s="254">
        <v>-16130.659757711877</v>
      </c>
    </row>
    <row r="95" spans="1:2" x14ac:dyDescent="0.3">
      <c r="A95" s="44" t="s">
        <v>357</v>
      </c>
      <c r="B95" s="254">
        <v>1053.2901068170613</v>
      </c>
    </row>
    <row r="96" spans="1:2" x14ac:dyDescent="0.3">
      <c r="A96" s="44" t="s">
        <v>358</v>
      </c>
      <c r="B96" s="254">
        <v>-45404.089658116383</v>
      </c>
    </row>
    <row r="97" spans="1:2" x14ac:dyDescent="0.3">
      <c r="A97" s="44" t="s">
        <v>153</v>
      </c>
      <c r="B97" s="254">
        <v>4449.4203253172427</v>
      </c>
    </row>
    <row r="98" spans="1:2" x14ac:dyDescent="0.3">
      <c r="A98" s="44" t="s">
        <v>208</v>
      </c>
      <c r="B98" s="254">
        <v>-160068.12155505898</v>
      </c>
    </row>
    <row r="99" spans="1:2" x14ac:dyDescent="0.3">
      <c r="A99" s="44" t="s">
        <v>154</v>
      </c>
      <c r="B99" s="254">
        <v>49034.005248332302</v>
      </c>
    </row>
    <row r="100" spans="1:2" x14ac:dyDescent="0.3">
      <c r="A100" s="44" t="s">
        <v>155</v>
      </c>
      <c r="B100" s="254">
        <v>16057.38191785299</v>
      </c>
    </row>
    <row r="101" spans="1:2" x14ac:dyDescent="0.3">
      <c r="A101" s="44" t="s">
        <v>156</v>
      </c>
      <c r="B101" s="254">
        <v>-11780.454996097218</v>
      </c>
    </row>
    <row r="102" spans="1:2" x14ac:dyDescent="0.3">
      <c r="A102" s="44" t="s">
        <v>157</v>
      </c>
      <c r="B102" s="254">
        <v>-2113.2242656163107</v>
      </c>
    </row>
    <row r="103" spans="1:2" x14ac:dyDescent="0.3">
      <c r="A103" s="44" t="s">
        <v>158</v>
      </c>
      <c r="B103" s="254">
        <v>-35413.187518995961</v>
      </c>
    </row>
    <row r="104" spans="1:2" x14ac:dyDescent="0.3">
      <c r="A104" s="44" t="s">
        <v>159</v>
      </c>
      <c r="B104" s="254">
        <v>10431.900106350848</v>
      </c>
    </row>
    <row r="105" spans="1:2" x14ac:dyDescent="0.3">
      <c r="A105" s="44" t="s">
        <v>160</v>
      </c>
      <c r="B105" s="254">
        <v>8419.851781016996</v>
      </c>
    </row>
    <row r="106" spans="1:2" x14ac:dyDescent="0.3">
      <c r="A106" s="44" t="s">
        <v>195</v>
      </c>
      <c r="B106" s="254">
        <v>17329.111975629457</v>
      </c>
    </row>
    <row r="107" spans="1:2" x14ac:dyDescent="0.3">
      <c r="A107" s="44" t="s">
        <v>209</v>
      </c>
      <c r="B107" s="254">
        <v>60382.837450871448</v>
      </c>
    </row>
    <row r="108" spans="1:2" x14ac:dyDescent="0.3">
      <c r="A108" s="44" t="s">
        <v>161</v>
      </c>
      <c r="B108" s="254">
        <v>24656.537874926078</v>
      </c>
    </row>
    <row r="109" spans="1:2" x14ac:dyDescent="0.3">
      <c r="A109" s="44" t="s">
        <v>210</v>
      </c>
      <c r="B109" s="254">
        <v>31582.182229924565</v>
      </c>
    </row>
    <row r="110" spans="1:2" x14ac:dyDescent="0.3">
      <c r="A110" s="44" t="s">
        <v>162</v>
      </c>
      <c r="B110" s="254">
        <v>27967.395433550068</v>
      </c>
    </row>
    <row r="111" spans="1:2" x14ac:dyDescent="0.3">
      <c r="A111" s="44" t="s">
        <v>256</v>
      </c>
      <c r="B111" s="254">
        <v>-3843.9994717056252</v>
      </c>
    </row>
    <row r="112" spans="1:2" x14ac:dyDescent="0.3">
      <c r="A112" s="44" t="s">
        <v>257</v>
      </c>
      <c r="B112" s="254">
        <v>11981.466081724222</v>
      </c>
    </row>
    <row r="113" spans="1:2" x14ac:dyDescent="0.3">
      <c r="A113" s="44" t="s">
        <v>416</v>
      </c>
      <c r="B113" s="254">
        <v>-104802.96638740896</v>
      </c>
    </row>
    <row r="114" spans="1:2" x14ac:dyDescent="0.3">
      <c r="A114" s="44" t="s">
        <v>359</v>
      </c>
      <c r="B114" s="254">
        <v>-73090.770979412002</v>
      </c>
    </row>
    <row r="115" spans="1:2" x14ac:dyDescent="0.3">
      <c r="A115" s="44" t="s">
        <v>80</v>
      </c>
      <c r="B115" s="254">
        <v>-4296.0701049633144</v>
      </c>
    </row>
    <row r="116" spans="1:2" x14ac:dyDescent="0.3">
      <c r="A116" s="44" t="s">
        <v>163</v>
      </c>
      <c r="B116" s="254">
        <v>-12284.055693374004</v>
      </c>
    </row>
    <row r="117" spans="1:2" x14ac:dyDescent="0.3">
      <c r="A117" s="44" t="s">
        <v>83</v>
      </c>
      <c r="B117" s="254">
        <v>-5442.2502190568721</v>
      </c>
    </row>
    <row r="118" spans="1:2" x14ac:dyDescent="0.3">
      <c r="A118" s="44" t="s">
        <v>84</v>
      </c>
      <c r="B118" s="254">
        <v>-4019.8110796745459</v>
      </c>
    </row>
    <row r="119" spans="1:2" x14ac:dyDescent="0.3">
      <c r="A119" s="44" t="s">
        <v>85</v>
      </c>
      <c r="B119" s="254">
        <v>-4212.081266114028</v>
      </c>
    </row>
    <row r="120" spans="1:2" x14ac:dyDescent="0.3">
      <c r="A120" s="44" t="s">
        <v>86</v>
      </c>
      <c r="B120" s="254">
        <v>-3412.2433567497528</v>
      </c>
    </row>
    <row r="121" spans="1:2" x14ac:dyDescent="0.3">
      <c r="A121" s="44" t="s">
        <v>258</v>
      </c>
      <c r="B121" s="254">
        <v>-67192.165219158705</v>
      </c>
    </row>
    <row r="122" spans="1:2" x14ac:dyDescent="0.3">
      <c r="A122" s="44" t="s">
        <v>89</v>
      </c>
      <c r="B122" s="254">
        <v>-6422.4510048689426</v>
      </c>
    </row>
    <row r="123" spans="1:2" x14ac:dyDescent="0.3">
      <c r="A123" s="44" t="s">
        <v>90</v>
      </c>
      <c r="B123" s="254">
        <v>-4163.9129668836622</v>
      </c>
    </row>
    <row r="124" spans="1:2" x14ac:dyDescent="0.3">
      <c r="A124" s="44" t="s">
        <v>91</v>
      </c>
      <c r="B124" s="254">
        <v>-4044.3050172347344</v>
      </c>
    </row>
    <row r="125" spans="1:2" x14ac:dyDescent="0.3">
      <c r="A125" s="44" t="s">
        <v>259</v>
      </c>
      <c r="B125" s="254">
        <v>31103.437202029287</v>
      </c>
    </row>
    <row r="126" spans="1:2" x14ac:dyDescent="0.3">
      <c r="A126" s="44" t="s">
        <v>417</v>
      </c>
      <c r="B126" s="254">
        <v>-3659.9594381983916</v>
      </c>
    </row>
    <row r="127" spans="1:2" x14ac:dyDescent="0.3">
      <c r="A127" s="44" t="s">
        <v>418</v>
      </c>
      <c r="B127" s="254">
        <v>-150662.97642728058</v>
      </c>
    </row>
    <row r="128" spans="1:2" x14ac:dyDescent="0.3">
      <c r="A128" s="44" t="s">
        <v>92</v>
      </c>
      <c r="B128" s="254">
        <v>-8128.1373818215325</v>
      </c>
    </row>
    <row r="129" spans="1:2" x14ac:dyDescent="0.3">
      <c r="A129" s="44" t="s">
        <v>93</v>
      </c>
      <c r="B129" s="254">
        <v>-4901.330816374706</v>
      </c>
    </row>
    <row r="130" spans="1:2" x14ac:dyDescent="0.3">
      <c r="A130" s="44" t="s">
        <v>95</v>
      </c>
      <c r="B130" s="254">
        <v>-3889.1520108853724</v>
      </c>
    </row>
    <row r="131" spans="1:2" x14ac:dyDescent="0.3">
      <c r="A131" s="44" t="s">
        <v>361</v>
      </c>
      <c r="B131" s="254">
        <v>-17727.384390169969</v>
      </c>
    </row>
    <row r="132" spans="1:2" x14ac:dyDescent="0.3">
      <c r="A132" s="44" t="s">
        <v>97</v>
      </c>
      <c r="B132" s="254">
        <v>-3540.1888372886115</v>
      </c>
    </row>
    <row r="133" spans="1:2" x14ac:dyDescent="0.3">
      <c r="A133" s="44" t="s">
        <v>98</v>
      </c>
      <c r="B133" s="254">
        <v>-2806.1874389628451</v>
      </c>
    </row>
    <row r="134" spans="1:2" x14ac:dyDescent="0.3">
      <c r="A134" s="44" t="s">
        <v>211</v>
      </c>
      <c r="B134" s="254">
        <v>51368.673397109975</v>
      </c>
    </row>
    <row r="135" spans="1:2" x14ac:dyDescent="0.3">
      <c r="A135" s="44" t="s">
        <v>362</v>
      </c>
      <c r="B135" s="254">
        <v>-75986.91240194792</v>
      </c>
    </row>
    <row r="136" spans="1:2" x14ac:dyDescent="0.3">
      <c r="A136" s="44" t="s">
        <v>212</v>
      </c>
      <c r="B136" s="254">
        <v>-47078.283169387214</v>
      </c>
    </row>
    <row r="137" spans="1:2" x14ac:dyDescent="0.3">
      <c r="A137" s="44" t="s">
        <v>164</v>
      </c>
      <c r="B137" s="254">
        <v>33923.249577028691</v>
      </c>
    </row>
    <row r="138" spans="1:2" x14ac:dyDescent="0.3">
      <c r="A138" s="44" t="s">
        <v>165</v>
      </c>
      <c r="B138" s="254">
        <v>4279.8154989399754</v>
      </c>
    </row>
    <row r="139" spans="1:2" x14ac:dyDescent="0.3">
      <c r="A139" s="44" t="s">
        <v>260</v>
      </c>
      <c r="B139" s="254">
        <v>-38630.954899841236</v>
      </c>
    </row>
    <row r="140" spans="1:2" x14ac:dyDescent="0.3">
      <c r="A140" s="44" t="s">
        <v>166</v>
      </c>
      <c r="B140" s="254">
        <v>-20389.213747493493</v>
      </c>
    </row>
    <row r="141" spans="1:2" x14ac:dyDescent="0.3">
      <c r="A141" s="44" t="s">
        <v>99</v>
      </c>
      <c r="B141" s="254">
        <v>-4437.9374117335219</v>
      </c>
    </row>
    <row r="142" spans="1:2" x14ac:dyDescent="0.3">
      <c r="A142" s="44" t="s">
        <v>261</v>
      </c>
      <c r="B142" s="254">
        <v>-6018.3055562854643</v>
      </c>
    </row>
    <row r="143" spans="1:2" x14ac:dyDescent="0.3">
      <c r="A143" s="44" t="s">
        <v>213</v>
      </c>
      <c r="B143" s="254">
        <v>3624.767792028917</v>
      </c>
    </row>
    <row r="144" spans="1:2" x14ac:dyDescent="0.3">
      <c r="A144" s="46" t="s">
        <v>429</v>
      </c>
      <c r="B144" s="254">
        <v>191672.3138957551</v>
      </c>
    </row>
    <row r="145" spans="1:2" x14ac:dyDescent="0.3">
      <c r="A145" s="44" t="s">
        <v>419</v>
      </c>
      <c r="B145" s="254">
        <v>-6676.0779897596803</v>
      </c>
    </row>
    <row r="146" spans="1:2" x14ac:dyDescent="0.3">
      <c r="A146" s="44" t="s">
        <v>100</v>
      </c>
      <c r="B146" s="254">
        <v>-7636.5007729544486</v>
      </c>
    </row>
    <row r="147" spans="1:2" x14ac:dyDescent="0.3">
      <c r="A147" s="44" t="s">
        <v>363</v>
      </c>
      <c r="B147" s="254">
        <v>-26120.036987825384</v>
      </c>
    </row>
    <row r="148" spans="1:2" x14ac:dyDescent="0.3">
      <c r="A148" s="44" t="s">
        <v>262</v>
      </c>
      <c r="B148" s="254">
        <v>13007.941349044777</v>
      </c>
    </row>
    <row r="149" spans="1:2" x14ac:dyDescent="0.3">
      <c r="A149" s="44" t="s">
        <v>364</v>
      </c>
      <c r="B149" s="254">
        <v>-56493.020801555387</v>
      </c>
    </row>
    <row r="150" spans="1:2" x14ac:dyDescent="0.3">
      <c r="A150" s="44" t="s">
        <v>365</v>
      </c>
      <c r="B150" s="254">
        <v>49528.660379795459</v>
      </c>
    </row>
    <row r="151" spans="1:2" x14ac:dyDescent="0.3">
      <c r="A151" s="44" t="s">
        <v>366</v>
      </c>
      <c r="B151" s="254">
        <v>-31870.936407898211</v>
      </c>
    </row>
    <row r="152" spans="1:2" x14ac:dyDescent="0.3">
      <c r="A152" s="44" t="s">
        <v>420</v>
      </c>
      <c r="B152" s="254">
        <v>-46965.223258866979</v>
      </c>
    </row>
    <row r="153" spans="1:2" x14ac:dyDescent="0.3">
      <c r="A153" s="44" t="s">
        <v>334</v>
      </c>
      <c r="B153" s="254">
        <v>-119612.86367598301</v>
      </c>
    </row>
    <row r="154" spans="1:2" x14ac:dyDescent="0.3">
      <c r="A154" s="44" t="s">
        <v>367</v>
      </c>
      <c r="B154" s="254">
        <v>-57365.708734197106</v>
      </c>
    </row>
    <row r="155" spans="1:2" x14ac:dyDescent="0.3">
      <c r="A155" s="44" t="s">
        <v>101</v>
      </c>
      <c r="B155" s="254">
        <v>-432.37065713013897</v>
      </c>
    </row>
    <row r="156" spans="1:2" x14ac:dyDescent="0.3">
      <c r="A156" s="44" t="s">
        <v>102</v>
      </c>
      <c r="B156" s="254">
        <v>-6162.739910991645</v>
      </c>
    </row>
    <row r="157" spans="1:2" x14ac:dyDescent="0.3">
      <c r="A157" s="44" t="s">
        <v>368</v>
      </c>
      <c r="B157" s="254">
        <v>30549.220052319804</v>
      </c>
    </row>
    <row r="158" spans="1:2" x14ac:dyDescent="0.3">
      <c r="A158" s="44" t="s">
        <v>335</v>
      </c>
      <c r="B158" s="254">
        <v>112284.09446629218</v>
      </c>
    </row>
    <row r="159" spans="1:2" x14ac:dyDescent="0.3">
      <c r="A159" s="44" t="s">
        <v>103</v>
      </c>
      <c r="B159" s="254">
        <v>138.14728976147171</v>
      </c>
    </row>
    <row r="160" spans="1:2" x14ac:dyDescent="0.3">
      <c r="A160" s="44" t="s">
        <v>104</v>
      </c>
      <c r="B160" s="254">
        <v>-4320.2562902736518</v>
      </c>
    </row>
    <row r="161" spans="1:2" x14ac:dyDescent="0.3">
      <c r="A161" s="44" t="s">
        <v>369</v>
      </c>
      <c r="B161" s="254">
        <v>-27970.010296648696</v>
      </c>
    </row>
    <row r="162" spans="1:2" x14ac:dyDescent="0.3">
      <c r="A162" s="44" t="s">
        <v>105</v>
      </c>
      <c r="B162" s="254">
        <v>-1011.1054736414321</v>
      </c>
    </row>
    <row r="163" spans="1:2" x14ac:dyDescent="0.3">
      <c r="A163" s="44" t="s">
        <v>106</v>
      </c>
      <c r="B163" s="254">
        <v>-3231.3656183718058</v>
      </c>
    </row>
    <row r="164" spans="1:2" x14ac:dyDescent="0.3">
      <c r="A164" s="44" t="s">
        <v>107</v>
      </c>
      <c r="B164" s="254">
        <v>-4163.4747009789717</v>
      </c>
    </row>
    <row r="165" spans="1:2" x14ac:dyDescent="0.3">
      <c r="A165" s="44" t="s">
        <v>108</v>
      </c>
      <c r="B165" s="254">
        <v>-4410.0008039373506</v>
      </c>
    </row>
    <row r="166" spans="1:2" x14ac:dyDescent="0.3">
      <c r="A166" s="44" t="s">
        <v>109</v>
      </c>
      <c r="B166" s="254">
        <v>-3173.3263563344262</v>
      </c>
    </row>
    <row r="167" spans="1:2" x14ac:dyDescent="0.3">
      <c r="A167" s="44" t="s">
        <v>110</v>
      </c>
      <c r="B167" s="254">
        <v>-6616.776984453114</v>
      </c>
    </row>
    <row r="168" spans="1:2" x14ac:dyDescent="0.3">
      <c r="A168" s="44" t="s">
        <v>111</v>
      </c>
      <c r="B168" s="254">
        <v>-4923.3297490680125</v>
      </c>
    </row>
    <row r="169" spans="1:2" x14ac:dyDescent="0.3">
      <c r="A169" s="44" t="s">
        <v>112</v>
      </c>
      <c r="B169" s="254">
        <v>-5832.820894194233</v>
      </c>
    </row>
    <row r="170" spans="1:2" x14ac:dyDescent="0.3">
      <c r="A170" s="44" t="s">
        <v>113</v>
      </c>
      <c r="B170" s="254">
        <v>-9276.4663921754636</v>
      </c>
    </row>
    <row r="171" spans="1:2" x14ac:dyDescent="0.3">
      <c r="A171" s="44" t="s">
        <v>114</v>
      </c>
      <c r="B171" s="254">
        <v>-3622.1312196189601</v>
      </c>
    </row>
    <row r="172" spans="1:2" x14ac:dyDescent="0.3">
      <c r="A172" s="44" t="s">
        <v>263</v>
      </c>
      <c r="B172" s="254">
        <v>97863.613379381772</v>
      </c>
    </row>
    <row r="173" spans="1:2" x14ac:dyDescent="0.3">
      <c r="A173" s="44" t="s">
        <v>214</v>
      </c>
      <c r="B173" s="254">
        <v>-40961.74159796429</v>
      </c>
    </row>
    <row r="174" spans="1:2" x14ac:dyDescent="0.3">
      <c r="A174" s="44" t="s">
        <v>167</v>
      </c>
      <c r="B174" s="254">
        <v>1522.221750305378</v>
      </c>
    </row>
    <row r="175" spans="1:2" x14ac:dyDescent="0.3">
      <c r="A175" s="44" t="s">
        <v>116</v>
      </c>
      <c r="B175" s="254">
        <v>2081.1306584531567</v>
      </c>
    </row>
    <row r="176" spans="1:2" x14ac:dyDescent="0.3">
      <c r="A176" s="44" t="s">
        <v>117</v>
      </c>
      <c r="B176" s="254">
        <v>-5626.2283857547181</v>
      </c>
    </row>
    <row r="177" spans="1:2" x14ac:dyDescent="0.3">
      <c r="A177" s="44" t="s">
        <v>118</v>
      </c>
      <c r="B177" s="254">
        <v>-1971.8391265296914</v>
      </c>
    </row>
    <row r="178" spans="1:2" x14ac:dyDescent="0.3">
      <c r="A178" s="44" t="s">
        <v>119</v>
      </c>
      <c r="B178" s="254">
        <v>-6128.7145846594503</v>
      </c>
    </row>
    <row r="179" spans="1:2" x14ac:dyDescent="0.3">
      <c r="A179" s="44" t="s">
        <v>168</v>
      </c>
      <c r="B179" s="254">
        <v>1208.980111648556</v>
      </c>
    </row>
    <row r="180" spans="1:2" x14ac:dyDescent="0.3">
      <c r="A180" s="44" t="s">
        <v>264</v>
      </c>
      <c r="B180" s="254">
        <v>11448.591954878299</v>
      </c>
    </row>
    <row r="181" spans="1:2" x14ac:dyDescent="0.3">
      <c r="A181" s="44" t="s">
        <v>370</v>
      </c>
      <c r="B181" s="254">
        <v>-180057.55906249786</v>
      </c>
    </row>
    <row r="182" spans="1:2" x14ac:dyDescent="0.3">
      <c r="A182" s="44" t="s">
        <v>265</v>
      </c>
      <c r="B182" s="254">
        <v>-70000.550592457235</v>
      </c>
    </row>
    <row r="183" spans="1:2" x14ac:dyDescent="0.3">
      <c r="A183" s="44" t="s">
        <v>371</v>
      </c>
      <c r="B183" s="254">
        <v>87293.397453909216</v>
      </c>
    </row>
    <row r="184" spans="1:2" x14ac:dyDescent="0.3">
      <c r="A184" s="44" t="s">
        <v>372</v>
      </c>
      <c r="B184" s="254">
        <v>38905.461779620644</v>
      </c>
    </row>
    <row r="185" spans="1:2" x14ac:dyDescent="0.3">
      <c r="A185" s="44" t="s">
        <v>373</v>
      </c>
      <c r="B185" s="254">
        <v>118831.39331562913</v>
      </c>
    </row>
    <row r="186" spans="1:2" x14ac:dyDescent="0.3">
      <c r="A186" s="44" t="s">
        <v>169</v>
      </c>
      <c r="B186" s="254">
        <v>-10283.620673079651</v>
      </c>
    </row>
    <row r="187" spans="1:2" x14ac:dyDescent="0.3">
      <c r="A187" s="44" t="s">
        <v>170</v>
      </c>
      <c r="B187" s="254">
        <v>240639.93380551704</v>
      </c>
    </row>
    <row r="188" spans="1:2" x14ac:dyDescent="0.3">
      <c r="A188" s="44" t="s">
        <v>171</v>
      </c>
      <c r="B188" s="254">
        <v>-31706.19338590667</v>
      </c>
    </row>
    <row r="189" spans="1:2" x14ac:dyDescent="0.3">
      <c r="A189" s="44" t="s">
        <v>1094</v>
      </c>
      <c r="B189" s="254">
        <v>14107.959107343584</v>
      </c>
    </row>
    <row r="190" spans="1:2" x14ac:dyDescent="0.3">
      <c r="A190" s="44" t="s">
        <v>172</v>
      </c>
      <c r="B190" s="254">
        <v>11116.736019021137</v>
      </c>
    </row>
    <row r="191" spans="1:2" x14ac:dyDescent="0.3">
      <c r="A191" s="44" t="s">
        <v>266</v>
      </c>
      <c r="B191" s="254">
        <v>48064.970199121373</v>
      </c>
    </row>
    <row r="192" spans="1:2" x14ac:dyDescent="0.3">
      <c r="A192" s="44" t="s">
        <v>173</v>
      </c>
      <c r="B192" s="254">
        <v>-3027.3196412978969</v>
      </c>
    </row>
    <row r="193" spans="1:2" x14ac:dyDescent="0.3">
      <c r="A193" s="44" t="s">
        <v>174</v>
      </c>
      <c r="B193" s="254">
        <v>31371.184976781908</v>
      </c>
    </row>
    <row r="194" spans="1:2" x14ac:dyDescent="0.3">
      <c r="A194" s="44" t="s">
        <v>267</v>
      </c>
      <c r="B194" s="254">
        <v>-743.07998511966071</v>
      </c>
    </row>
    <row r="195" spans="1:2" x14ac:dyDescent="0.3">
      <c r="A195" s="44" t="s">
        <v>215</v>
      </c>
      <c r="B195" s="254">
        <v>-2826.858485631994</v>
      </c>
    </row>
    <row r="196" spans="1:2" x14ac:dyDescent="0.3">
      <c r="A196" s="44" t="s">
        <v>175</v>
      </c>
      <c r="B196" s="254">
        <v>7525.6451169632774</v>
      </c>
    </row>
    <row r="197" spans="1:2" x14ac:dyDescent="0.3">
      <c r="A197" s="44" t="s">
        <v>374</v>
      </c>
      <c r="B197" s="254">
        <v>-52303.727353687733</v>
      </c>
    </row>
    <row r="198" spans="1:2" x14ac:dyDescent="0.3">
      <c r="A198" s="44" t="s">
        <v>375</v>
      </c>
      <c r="B198" s="254">
        <v>172483.00609205285</v>
      </c>
    </row>
    <row r="199" spans="1:2" x14ac:dyDescent="0.3">
      <c r="A199" s="44" t="s">
        <v>176</v>
      </c>
      <c r="B199" s="254">
        <v>-20998.337321622366</v>
      </c>
    </row>
    <row r="200" spans="1:2" x14ac:dyDescent="0.3">
      <c r="A200" s="44" t="s">
        <v>336</v>
      </c>
      <c r="B200" s="254">
        <v>16408.744171014147</v>
      </c>
    </row>
    <row r="201" spans="1:2" x14ac:dyDescent="0.3">
      <c r="A201" s="44" t="s">
        <v>177</v>
      </c>
      <c r="B201" s="254">
        <v>-29420.841511241604</v>
      </c>
    </row>
    <row r="202" spans="1:2" x14ac:dyDescent="0.3">
      <c r="A202" s="44" t="s">
        <v>376</v>
      </c>
      <c r="B202" s="254">
        <v>-107886.13965126351</v>
      </c>
    </row>
    <row r="203" spans="1:2" x14ac:dyDescent="0.3">
      <c r="A203" s="44" t="s">
        <v>337</v>
      </c>
      <c r="B203" s="254">
        <v>177539.28525593318</v>
      </c>
    </row>
    <row r="204" spans="1:2" x14ac:dyDescent="0.3">
      <c r="A204" s="44" t="s">
        <v>377</v>
      </c>
      <c r="B204" s="254">
        <v>-53205.061976962708</v>
      </c>
    </row>
    <row r="205" spans="1:2" x14ac:dyDescent="0.3">
      <c r="A205" s="44" t="s">
        <v>378</v>
      </c>
      <c r="B205" s="254">
        <v>37388.473133075837</v>
      </c>
    </row>
    <row r="206" spans="1:2" x14ac:dyDescent="0.3">
      <c r="A206" s="44" t="s">
        <v>379</v>
      </c>
      <c r="B206" s="254">
        <v>-37821.117728877478</v>
      </c>
    </row>
    <row r="207" spans="1:2" x14ac:dyDescent="0.3">
      <c r="A207" s="44" t="s">
        <v>178</v>
      </c>
      <c r="B207" s="254">
        <v>2366.431814708907</v>
      </c>
    </row>
    <row r="208" spans="1:2" x14ac:dyDescent="0.3">
      <c r="A208" s="44" t="s">
        <v>380</v>
      </c>
      <c r="B208" s="254">
        <v>-74606.580988706264</v>
      </c>
    </row>
    <row r="209" spans="1:2" x14ac:dyDescent="0.3">
      <c r="A209" s="44" t="s">
        <v>381</v>
      </c>
      <c r="B209" s="254">
        <v>-95929.323259541532</v>
      </c>
    </row>
    <row r="210" spans="1:2" x14ac:dyDescent="0.3">
      <c r="A210" s="44" t="s">
        <v>382</v>
      </c>
      <c r="B210" s="254">
        <v>67026.838691688783</v>
      </c>
    </row>
    <row r="211" spans="1:2" x14ac:dyDescent="0.3">
      <c r="A211" s="44" t="s">
        <v>122</v>
      </c>
      <c r="B211" s="254">
        <v>2732.9051081049511</v>
      </c>
    </row>
    <row r="212" spans="1:2" x14ac:dyDescent="0.3">
      <c r="A212" s="44" t="s">
        <v>123</v>
      </c>
      <c r="B212" s="254">
        <v>16705.99239986778</v>
      </c>
    </row>
    <row r="213" spans="1:2" x14ac:dyDescent="0.3">
      <c r="A213" s="44" t="s">
        <v>421</v>
      </c>
      <c r="B213" s="254">
        <v>-94552.485553522245</v>
      </c>
    </row>
    <row r="214" spans="1:2" x14ac:dyDescent="0.3">
      <c r="A214" s="44" t="s">
        <v>268</v>
      </c>
      <c r="B214" s="254">
        <v>-50767.046511761648</v>
      </c>
    </row>
    <row r="215" spans="1:2" x14ac:dyDescent="0.3">
      <c r="A215" s="44" t="s">
        <v>383</v>
      </c>
      <c r="B215" s="254">
        <v>2463.7483625954046</v>
      </c>
    </row>
    <row r="216" spans="1:2" x14ac:dyDescent="0.3">
      <c r="A216" s="44" t="s">
        <v>384</v>
      </c>
      <c r="B216" s="254">
        <v>318937.51890166558</v>
      </c>
    </row>
    <row r="217" spans="1:2" x14ac:dyDescent="0.3">
      <c r="A217" s="44" t="s">
        <v>269</v>
      </c>
      <c r="B217" s="254">
        <v>12981.017876677557</v>
      </c>
    </row>
    <row r="218" spans="1:2" x14ac:dyDescent="0.3">
      <c r="A218" s="44" t="s">
        <v>270</v>
      </c>
      <c r="B218" s="254">
        <v>124391.2869300335</v>
      </c>
    </row>
    <row r="219" spans="1:2" x14ac:dyDescent="0.3">
      <c r="A219" s="44" t="s">
        <v>271</v>
      </c>
      <c r="B219" s="254">
        <v>-14729.242695667563</v>
      </c>
    </row>
    <row r="220" spans="1:2" x14ac:dyDescent="0.3">
      <c r="A220" s="44" t="s">
        <v>272</v>
      </c>
      <c r="B220" s="254">
        <v>38387.092863366946</v>
      </c>
    </row>
    <row r="221" spans="1:2" x14ac:dyDescent="0.3">
      <c r="A221" s="44" t="s">
        <v>216</v>
      </c>
      <c r="B221" s="254">
        <v>11209.117421579576</v>
      </c>
    </row>
    <row r="222" spans="1:2" x14ac:dyDescent="0.3">
      <c r="A222" s="44" t="s">
        <v>179</v>
      </c>
      <c r="B222" s="254">
        <v>113641.24063212595</v>
      </c>
    </row>
    <row r="223" spans="1:2" x14ac:dyDescent="0.3">
      <c r="A223" s="44" t="s">
        <v>125</v>
      </c>
      <c r="B223" s="254">
        <v>-2860.5982898089346</v>
      </c>
    </row>
    <row r="224" spans="1:2" x14ac:dyDescent="0.3">
      <c r="A224" s="44" t="s">
        <v>180</v>
      </c>
      <c r="B224" s="254">
        <v>8234.0860538229299</v>
      </c>
    </row>
    <row r="225" spans="1:2" x14ac:dyDescent="0.3">
      <c r="A225" s="44" t="s">
        <v>196</v>
      </c>
      <c r="B225" s="254">
        <v>-9826.8197113048991</v>
      </c>
    </row>
    <row r="226" spans="1:2" x14ac:dyDescent="0.3">
      <c r="A226" s="44" t="s">
        <v>181</v>
      </c>
      <c r="B226" s="254">
        <v>89090.526635446135</v>
      </c>
    </row>
    <row r="227" spans="1:2" x14ac:dyDescent="0.3">
      <c r="A227" s="44" t="s">
        <v>217</v>
      </c>
      <c r="B227" s="254">
        <v>82697.610987443259</v>
      </c>
    </row>
    <row r="228" spans="1:2" x14ac:dyDescent="0.3">
      <c r="A228" s="46" t="s">
        <v>428</v>
      </c>
      <c r="B228" s="254">
        <v>-17934.00032145864</v>
      </c>
    </row>
    <row r="229" spans="1:2" x14ac:dyDescent="0.3">
      <c r="A229" s="44" t="s">
        <v>182</v>
      </c>
      <c r="B229" s="254">
        <v>9567.7946969173663</v>
      </c>
    </row>
    <row r="230" spans="1:2" x14ac:dyDescent="0.3">
      <c r="A230" s="44" t="s">
        <v>385</v>
      </c>
      <c r="B230" s="254">
        <v>-47364.968044307097</v>
      </c>
    </row>
    <row r="231" spans="1:2" x14ac:dyDescent="0.3">
      <c r="A231" s="44" t="s">
        <v>127</v>
      </c>
      <c r="B231" s="254">
        <v>-8441.0192789291395</v>
      </c>
    </row>
    <row r="232" spans="1:2" x14ac:dyDescent="0.3">
      <c r="A232" s="44" t="s">
        <v>183</v>
      </c>
      <c r="B232" s="254">
        <v>9227.1897013447178</v>
      </c>
    </row>
    <row r="233" spans="1:2" x14ac:dyDescent="0.3">
      <c r="A233" s="44" t="s">
        <v>184</v>
      </c>
      <c r="B233" s="254">
        <v>25987.600853350868</v>
      </c>
    </row>
    <row r="234" spans="1:2" x14ac:dyDescent="0.3">
      <c r="A234" s="44" t="s">
        <v>273</v>
      </c>
      <c r="B234" s="254">
        <v>24347.040713048831</v>
      </c>
    </row>
    <row r="235" spans="1:2" x14ac:dyDescent="0.3">
      <c r="A235" s="44" t="s">
        <v>218</v>
      </c>
      <c r="B235" s="254">
        <v>122847.92971775442</v>
      </c>
    </row>
    <row r="236" spans="1:2" x14ac:dyDescent="0.3">
      <c r="A236" s="44" t="s">
        <v>274</v>
      </c>
      <c r="B236" s="254">
        <v>24073.216356966259</v>
      </c>
    </row>
    <row r="237" spans="1:2" x14ac:dyDescent="0.3">
      <c r="A237" s="44" t="s">
        <v>275</v>
      </c>
      <c r="B237" s="254">
        <v>54322.968974221549</v>
      </c>
    </row>
    <row r="238" spans="1:2" x14ac:dyDescent="0.3">
      <c r="A238" s="44" t="s">
        <v>276</v>
      </c>
      <c r="B238" s="254">
        <v>74572.915765378333</v>
      </c>
    </row>
    <row r="239" spans="1:2" x14ac:dyDescent="0.3">
      <c r="A239" s="44" t="s">
        <v>277</v>
      </c>
      <c r="B239" s="254">
        <v>36183.065588016565</v>
      </c>
    </row>
    <row r="240" spans="1:2" x14ac:dyDescent="0.3">
      <c r="A240" s="44" t="s">
        <v>278</v>
      </c>
      <c r="B240" s="254">
        <v>47505.226713962984</v>
      </c>
    </row>
    <row r="241" spans="1:2" x14ac:dyDescent="0.3">
      <c r="A241" s="44" t="s">
        <v>279</v>
      </c>
      <c r="B241" s="254">
        <v>8577.5277502669196</v>
      </c>
    </row>
    <row r="242" spans="1:2" x14ac:dyDescent="0.3">
      <c r="A242" s="44" t="s">
        <v>280</v>
      </c>
      <c r="B242" s="254">
        <v>75793.943881755054</v>
      </c>
    </row>
    <row r="243" spans="1:2" x14ac:dyDescent="0.3">
      <c r="A243" s="44" t="s">
        <v>281</v>
      </c>
      <c r="B243" s="254">
        <v>78438.650228507366</v>
      </c>
    </row>
    <row r="244" spans="1:2" x14ac:dyDescent="0.3">
      <c r="A244" s="44" t="s">
        <v>282</v>
      </c>
      <c r="B244" s="254">
        <v>41529.681839487908</v>
      </c>
    </row>
    <row r="245" spans="1:2" x14ac:dyDescent="0.3">
      <c r="A245" s="44" t="s">
        <v>283</v>
      </c>
      <c r="B245" s="254">
        <v>55724.293693032509</v>
      </c>
    </row>
    <row r="246" spans="1:2" x14ac:dyDescent="0.3">
      <c r="A246" s="44" t="s">
        <v>284</v>
      </c>
      <c r="B246" s="254">
        <v>67659.573202134532</v>
      </c>
    </row>
    <row r="247" spans="1:2" x14ac:dyDescent="0.3">
      <c r="A247" s="44" t="s">
        <v>285</v>
      </c>
      <c r="B247" s="254">
        <v>-35860.073594274203</v>
      </c>
    </row>
    <row r="248" spans="1:2" x14ac:dyDescent="0.3">
      <c r="A248" s="44" t="s">
        <v>286</v>
      </c>
      <c r="B248" s="254">
        <v>10739.570566876835</v>
      </c>
    </row>
    <row r="249" spans="1:2" x14ac:dyDescent="0.3">
      <c r="A249" s="44" t="s">
        <v>287</v>
      </c>
      <c r="B249" s="254">
        <v>119153.19668841493</v>
      </c>
    </row>
    <row r="250" spans="1:2" x14ac:dyDescent="0.3">
      <c r="A250" s="44" t="s">
        <v>288</v>
      </c>
      <c r="B250" s="254">
        <v>29193.03984301283</v>
      </c>
    </row>
    <row r="251" spans="1:2" x14ac:dyDescent="0.3">
      <c r="A251" s="44" t="s">
        <v>129</v>
      </c>
      <c r="B251" s="254">
        <v>-3865.0494025790426</v>
      </c>
    </row>
    <row r="252" spans="1:2" x14ac:dyDescent="0.3">
      <c r="A252" s="44" t="s">
        <v>130</v>
      </c>
      <c r="B252" s="254">
        <v>1401.8900949620377</v>
      </c>
    </row>
    <row r="253" spans="1:2" x14ac:dyDescent="0.3">
      <c r="A253" s="44" t="s">
        <v>386</v>
      </c>
      <c r="B253" s="254">
        <v>-76801.120760064601</v>
      </c>
    </row>
    <row r="254" spans="1:2" x14ac:dyDescent="0.3">
      <c r="A254" s="44" t="s">
        <v>387</v>
      </c>
      <c r="B254" s="254">
        <v>210033.29067879092</v>
      </c>
    </row>
    <row r="255" spans="1:2" x14ac:dyDescent="0.3">
      <c r="A255" s="44" t="s">
        <v>388</v>
      </c>
      <c r="B255" s="254">
        <v>-5414.2277722142899</v>
      </c>
    </row>
    <row r="256" spans="1:2" x14ac:dyDescent="0.3">
      <c r="A256" s="44" t="s">
        <v>389</v>
      </c>
      <c r="B256" s="254">
        <v>-12301.748009499534</v>
      </c>
    </row>
    <row r="257" spans="1:2" x14ac:dyDescent="0.3">
      <c r="A257" s="44" t="s">
        <v>390</v>
      </c>
      <c r="B257" s="254">
        <v>135053.56135334951</v>
      </c>
    </row>
    <row r="258" spans="1:2" x14ac:dyDescent="0.3">
      <c r="A258" s="44" t="s">
        <v>391</v>
      </c>
      <c r="B258" s="254">
        <v>-76314.541561746635</v>
      </c>
    </row>
    <row r="259" spans="1:2" x14ac:dyDescent="0.3">
      <c r="A259" s="44" t="s">
        <v>219</v>
      </c>
      <c r="B259" s="254">
        <v>93620.284153619461</v>
      </c>
    </row>
    <row r="260" spans="1:2" x14ac:dyDescent="0.3">
      <c r="A260" s="44" t="s">
        <v>220</v>
      </c>
      <c r="B260" s="254">
        <v>5713.9421626418189</v>
      </c>
    </row>
    <row r="261" spans="1:2" x14ac:dyDescent="0.3">
      <c r="A261" s="44" t="s">
        <v>221</v>
      </c>
      <c r="B261" s="254">
        <v>8517.3882457564978</v>
      </c>
    </row>
    <row r="262" spans="1:2" x14ac:dyDescent="0.3">
      <c r="A262" s="44" t="s">
        <v>289</v>
      </c>
      <c r="B262" s="254">
        <v>27126.359105788142</v>
      </c>
    </row>
    <row r="263" spans="1:2" x14ac:dyDescent="0.3">
      <c r="A263" s="44" t="s">
        <v>222</v>
      </c>
      <c r="B263" s="254">
        <v>-236.11459660171386</v>
      </c>
    </row>
    <row r="264" spans="1:2" x14ac:dyDescent="0.3">
      <c r="A264" s="44" t="s">
        <v>197</v>
      </c>
      <c r="B264" s="254">
        <v>30600.454476227071</v>
      </c>
    </row>
    <row r="265" spans="1:2" x14ac:dyDescent="0.3">
      <c r="A265" s="44" t="s">
        <v>223</v>
      </c>
      <c r="B265" s="254">
        <v>-31033.750221757371</v>
      </c>
    </row>
    <row r="266" spans="1:2" x14ac:dyDescent="0.3">
      <c r="A266" s="44" t="s">
        <v>224</v>
      </c>
      <c r="B266" s="254">
        <v>-5300.1988137793996</v>
      </c>
    </row>
    <row r="267" spans="1:2" x14ac:dyDescent="0.3">
      <c r="A267" s="44" t="s">
        <v>290</v>
      </c>
      <c r="B267" s="254">
        <v>-20293.555997125815</v>
      </c>
    </row>
    <row r="268" spans="1:2" x14ac:dyDescent="0.3">
      <c r="A268" s="44" t="s">
        <v>133</v>
      </c>
      <c r="B268" s="254">
        <v>-4847.4402670303189</v>
      </c>
    </row>
    <row r="269" spans="1:2" x14ac:dyDescent="0.3">
      <c r="A269" s="44" t="s">
        <v>185</v>
      </c>
      <c r="B269" s="254">
        <v>-11207.849980993706</v>
      </c>
    </row>
    <row r="270" spans="1:2" x14ac:dyDescent="0.3">
      <c r="A270" s="44" t="s">
        <v>291</v>
      </c>
      <c r="B270" s="254">
        <v>229837.90268425978</v>
      </c>
    </row>
    <row r="271" spans="1:2" x14ac:dyDescent="0.3">
      <c r="A271" s="44" t="s">
        <v>422</v>
      </c>
      <c r="B271" s="254">
        <v>-1386.6120412153396</v>
      </c>
    </row>
    <row r="272" spans="1:2" x14ac:dyDescent="0.3">
      <c r="A272" s="44" t="s">
        <v>392</v>
      </c>
      <c r="B272" s="254">
        <v>500126.89658217254</v>
      </c>
    </row>
    <row r="273" spans="1:2" x14ac:dyDescent="0.3">
      <c r="A273" s="44" t="s">
        <v>198</v>
      </c>
      <c r="B273" s="254">
        <v>15337.75826735891</v>
      </c>
    </row>
    <row r="274" spans="1:2" x14ac:dyDescent="0.3">
      <c r="A274" s="44" t="s">
        <v>199</v>
      </c>
      <c r="B274" s="254">
        <v>18152.321647803758</v>
      </c>
    </row>
    <row r="275" spans="1:2" x14ac:dyDescent="0.3">
      <c r="A275" s="44" t="s">
        <v>135</v>
      </c>
      <c r="B275" s="254">
        <v>-4462.8102604883525</v>
      </c>
    </row>
    <row r="276" spans="1:2" x14ac:dyDescent="0.3">
      <c r="A276" s="44" t="s">
        <v>393</v>
      </c>
      <c r="B276" s="254">
        <v>7350.8404015087945</v>
      </c>
    </row>
    <row r="277" spans="1:2" x14ac:dyDescent="0.3">
      <c r="A277" s="44" t="s">
        <v>136</v>
      </c>
      <c r="B277" s="254">
        <v>-3690.5877301261817</v>
      </c>
    </row>
    <row r="278" spans="1:2" x14ac:dyDescent="0.3">
      <c r="A278" s="44" t="s">
        <v>186</v>
      </c>
      <c r="B278" s="254">
        <v>-18979.939342103768</v>
      </c>
    </row>
    <row r="279" spans="1:2" x14ac:dyDescent="0.3">
      <c r="A279" s="44" t="s">
        <v>138</v>
      </c>
      <c r="B279" s="254">
        <v>-11059.55957499057</v>
      </c>
    </row>
    <row r="280" spans="1:2" x14ac:dyDescent="0.3">
      <c r="A280" s="44" t="s">
        <v>225</v>
      </c>
      <c r="B280" s="254">
        <v>85907.952975026245</v>
      </c>
    </row>
    <row r="281" spans="1:2" x14ac:dyDescent="0.3">
      <c r="A281" s="44" t="s">
        <v>423</v>
      </c>
      <c r="B281" s="254">
        <v>79599.628382698153</v>
      </c>
    </row>
    <row r="282" spans="1:2" x14ac:dyDescent="0.3">
      <c r="A282" s="44" t="s">
        <v>394</v>
      </c>
      <c r="B282" s="254">
        <v>-110709.32275638785</v>
      </c>
    </row>
    <row r="283" spans="1:2" x14ac:dyDescent="0.3">
      <c r="A283" s="44" t="s">
        <v>292</v>
      </c>
      <c r="B283" s="254">
        <v>-8515.5468923725639</v>
      </c>
    </row>
    <row r="284" spans="1:2" x14ac:dyDescent="0.3">
      <c r="A284" s="44" t="s">
        <v>293</v>
      </c>
      <c r="B284" s="254">
        <v>-70921.341357590994</v>
      </c>
    </row>
    <row r="285" spans="1:2" x14ac:dyDescent="0.3">
      <c r="A285" s="44" t="s">
        <v>226</v>
      </c>
      <c r="B285" s="254">
        <v>-43786.629159161886</v>
      </c>
    </row>
    <row r="286" spans="1:2" x14ac:dyDescent="0.3">
      <c r="A286" s="44" t="s">
        <v>294</v>
      </c>
      <c r="B286" s="254">
        <v>125056.10046782269</v>
      </c>
    </row>
    <row r="287" spans="1:2" x14ac:dyDescent="0.3">
      <c r="A287" s="44" t="s">
        <v>295</v>
      </c>
      <c r="B287" s="254">
        <v>12187.165646685666</v>
      </c>
    </row>
    <row r="288" spans="1:2" x14ac:dyDescent="0.3">
      <c r="A288" s="44" t="s">
        <v>227</v>
      </c>
      <c r="B288" s="254">
        <v>49462.816871492338</v>
      </c>
    </row>
    <row r="289" spans="1:2" x14ac:dyDescent="0.3">
      <c r="A289" s="44" t="s">
        <v>296</v>
      </c>
      <c r="B289" s="254">
        <v>-52510.359010934291</v>
      </c>
    </row>
    <row r="290" spans="1:2" x14ac:dyDescent="0.3">
      <c r="A290" s="44" t="s">
        <v>228</v>
      </c>
      <c r="B290" s="254">
        <v>5501.0860621234096</v>
      </c>
    </row>
    <row r="291" spans="1:2" x14ac:dyDescent="0.3">
      <c r="A291" s="44" t="s">
        <v>187</v>
      </c>
      <c r="B291" s="254">
        <v>-17403.272562748196</v>
      </c>
    </row>
    <row r="292" spans="1:2" x14ac:dyDescent="0.3">
      <c r="A292" s="44" t="s">
        <v>297</v>
      </c>
      <c r="B292" s="254">
        <v>2997.051260575905</v>
      </c>
    </row>
    <row r="293" spans="1:2" x14ac:dyDescent="0.3">
      <c r="A293" s="44" t="s">
        <v>298</v>
      </c>
      <c r="B293" s="254">
        <v>-16782.40518385305</v>
      </c>
    </row>
    <row r="294" spans="1:2" x14ac:dyDescent="0.3">
      <c r="A294" s="44" t="s">
        <v>299</v>
      </c>
      <c r="B294" s="254">
        <v>-26931.414497108664</v>
      </c>
    </row>
    <row r="295" spans="1:2" x14ac:dyDescent="0.3">
      <c r="A295" s="44" t="s">
        <v>300</v>
      </c>
      <c r="B295" s="254">
        <v>-24594.647770305506</v>
      </c>
    </row>
    <row r="296" spans="1:2" x14ac:dyDescent="0.3">
      <c r="A296" s="44" t="s">
        <v>301</v>
      </c>
      <c r="B296" s="254">
        <v>49228.494024589956</v>
      </c>
    </row>
    <row r="297" spans="1:2" x14ac:dyDescent="0.3">
      <c r="A297" s="44" t="s">
        <v>302</v>
      </c>
      <c r="B297" s="254">
        <v>36330.082442815517</v>
      </c>
    </row>
    <row r="298" spans="1:2" x14ac:dyDescent="0.3">
      <c r="A298" s="44" t="s">
        <v>303</v>
      </c>
      <c r="B298" s="254">
        <v>-49752.839421503428</v>
      </c>
    </row>
    <row r="299" spans="1:2" x14ac:dyDescent="0.3">
      <c r="A299" s="44" t="s">
        <v>188</v>
      </c>
      <c r="B299" s="254">
        <v>30742.156936915409</v>
      </c>
    </row>
    <row r="300" spans="1:2" x14ac:dyDescent="0.3">
      <c r="A300" s="44" t="s">
        <v>304</v>
      </c>
      <c r="B300" s="254">
        <v>22107.536417903841</v>
      </c>
    </row>
    <row r="301" spans="1:2" x14ac:dyDescent="0.3">
      <c r="A301" s="44" t="s">
        <v>229</v>
      </c>
      <c r="B301" s="254">
        <v>68716.889594625129</v>
      </c>
    </row>
    <row r="302" spans="1:2" x14ac:dyDescent="0.3">
      <c r="A302" s="44" t="s">
        <v>230</v>
      </c>
      <c r="B302" s="254">
        <v>-48150.527000843103</v>
      </c>
    </row>
    <row r="303" spans="1:2" x14ac:dyDescent="0.3">
      <c r="A303" s="44" t="s">
        <v>231</v>
      </c>
      <c r="B303" s="254">
        <v>-14384.474989482478</v>
      </c>
    </row>
    <row r="304" spans="1:2" x14ac:dyDescent="0.3">
      <c r="A304" s="44" t="s">
        <v>142</v>
      </c>
      <c r="B304" s="254">
        <v>-3608.5675937846877</v>
      </c>
    </row>
    <row r="305" spans="1:2" x14ac:dyDescent="0.3">
      <c r="A305" s="44" t="s">
        <v>143</v>
      </c>
      <c r="B305" s="254">
        <v>-6045.2662182104214</v>
      </c>
    </row>
    <row r="306" spans="1:2" x14ac:dyDescent="0.3">
      <c r="A306" s="44" t="s">
        <v>144</v>
      </c>
      <c r="B306" s="254">
        <v>-8313.6228676968531</v>
      </c>
    </row>
    <row r="307" spans="1:2" x14ac:dyDescent="0.3">
      <c r="A307" s="44" t="s">
        <v>145</v>
      </c>
      <c r="B307" s="254">
        <v>-6448.1557698691859</v>
      </c>
    </row>
    <row r="308" spans="1:2" x14ac:dyDescent="0.3">
      <c r="A308" s="44" t="s">
        <v>191</v>
      </c>
      <c r="B308" s="254">
        <v>-8308.8158906428453</v>
      </c>
    </row>
    <row r="309" spans="1:2" x14ac:dyDescent="0.3">
      <c r="A309" s="44" t="s">
        <v>232</v>
      </c>
      <c r="B309" s="254">
        <v>8292.6902464492287</v>
      </c>
    </row>
    <row r="310" spans="1:2" x14ac:dyDescent="0.3">
      <c r="A310" s="44" t="s">
        <v>233</v>
      </c>
      <c r="B310" s="254">
        <v>-3840.4887488085751</v>
      </c>
    </row>
    <row r="311" spans="1:2" x14ac:dyDescent="0.3">
      <c r="A311" s="44" t="s">
        <v>234</v>
      </c>
      <c r="B311" s="254">
        <v>-69444.187036199044</v>
      </c>
    </row>
    <row r="312" spans="1:2" x14ac:dyDescent="0.3">
      <c r="A312" s="44" t="s">
        <v>235</v>
      </c>
      <c r="B312" s="254">
        <v>58777.477228876043</v>
      </c>
    </row>
    <row r="313" spans="1:2" x14ac:dyDescent="0.3">
      <c r="A313" s="44" t="s">
        <v>200</v>
      </c>
      <c r="B313" s="254">
        <v>61676.804260267869</v>
      </c>
    </row>
    <row r="314" spans="1:2" x14ac:dyDescent="0.3">
      <c r="A314" s="44" t="s">
        <v>305</v>
      </c>
      <c r="B314" s="254">
        <v>224570.27647561417</v>
      </c>
    </row>
    <row r="315" spans="1:2" x14ac:dyDescent="0.3">
      <c r="A315" s="44" t="s">
        <v>306</v>
      </c>
      <c r="B315" s="254">
        <v>80694.894715823772</v>
      </c>
    </row>
    <row r="316" spans="1:2" x14ac:dyDescent="0.3">
      <c r="A316" s="44" t="s">
        <v>307</v>
      </c>
      <c r="B316" s="254">
        <v>136751.61286864188</v>
      </c>
    </row>
    <row r="317" spans="1:2" x14ac:dyDescent="0.3">
      <c r="A317" s="44" t="s">
        <v>308</v>
      </c>
      <c r="B317" s="254">
        <v>-249.10537684600968</v>
      </c>
    </row>
    <row r="318" spans="1:2" x14ac:dyDescent="0.3">
      <c r="A318" s="44" t="s">
        <v>309</v>
      </c>
      <c r="B318" s="254">
        <v>-56197.793056898168</v>
      </c>
    </row>
    <row r="319" spans="1:2" x14ac:dyDescent="0.3">
      <c r="A319" s="44" t="s">
        <v>310</v>
      </c>
      <c r="B319" s="254">
        <v>19154.097831392399</v>
      </c>
    </row>
    <row r="320" spans="1:2" x14ac:dyDescent="0.3">
      <c r="A320" s="44" t="s">
        <v>311</v>
      </c>
      <c r="B320" s="254">
        <v>-27388.749982139569</v>
      </c>
    </row>
    <row r="321" spans="1:2" x14ac:dyDescent="0.3">
      <c r="A321" s="44" t="s">
        <v>312</v>
      </c>
      <c r="B321" s="254">
        <v>15230.244711017724</v>
      </c>
    </row>
    <row r="322" spans="1:2" x14ac:dyDescent="0.3">
      <c r="A322" s="44" t="s">
        <v>140</v>
      </c>
      <c r="B322" s="254">
        <v>-4774.7330190204666</v>
      </c>
    </row>
    <row r="323" spans="1:2" x14ac:dyDescent="0.3">
      <c r="A323" s="44" t="s">
        <v>396</v>
      </c>
      <c r="B323" s="254">
        <v>117676.0960183195</v>
      </c>
    </row>
    <row r="324" spans="1:2" x14ac:dyDescent="0.3">
      <c r="A324" s="44" t="s">
        <v>397</v>
      </c>
      <c r="B324" s="254">
        <v>76259.272594517941</v>
      </c>
    </row>
    <row r="325" spans="1:2" x14ac:dyDescent="0.3">
      <c r="A325" s="44" t="s">
        <v>313</v>
      </c>
      <c r="B325" s="254">
        <v>17817.52020772278</v>
      </c>
    </row>
    <row r="326" spans="1:2" x14ac:dyDescent="0.3">
      <c r="A326" s="44" t="s">
        <v>427</v>
      </c>
      <c r="B326" s="254">
        <v>-92817.58467616266</v>
      </c>
    </row>
    <row r="327" spans="1:2" x14ac:dyDescent="0.3">
      <c r="A327" s="44" t="s">
        <v>398</v>
      </c>
      <c r="B327" s="254">
        <v>122792.85295810649</v>
      </c>
    </row>
    <row r="328" spans="1:2" x14ac:dyDescent="0.3">
      <c r="A328" s="44" t="s">
        <v>189</v>
      </c>
      <c r="B328" s="254">
        <v>-14186.517347225748</v>
      </c>
    </row>
    <row r="329" spans="1:2" x14ac:dyDescent="0.3">
      <c r="A329" s="44" t="s">
        <v>399</v>
      </c>
      <c r="B329" s="254">
        <v>-141923.47729852295</v>
      </c>
    </row>
    <row r="330" spans="1:2" x14ac:dyDescent="0.3">
      <c r="A330" s="44" t="s">
        <v>400</v>
      </c>
      <c r="B330" s="254">
        <v>60711.99662033288</v>
      </c>
    </row>
    <row r="331" spans="1:2" x14ac:dyDescent="0.3">
      <c r="A331" s="44" t="s">
        <v>314</v>
      </c>
      <c r="B331" s="254">
        <v>-119174.73563750873</v>
      </c>
    </row>
    <row r="332" spans="1:2" x14ac:dyDescent="0.3">
      <c r="A332" s="44" t="s">
        <v>315</v>
      </c>
      <c r="B332" s="254">
        <v>-60076.900153525312</v>
      </c>
    </row>
    <row r="333" spans="1:2" x14ac:dyDescent="0.3">
      <c r="A333" s="44" t="s">
        <v>316</v>
      </c>
      <c r="B333" s="254">
        <v>-85813.663074946919</v>
      </c>
    </row>
    <row r="334" spans="1:2" x14ac:dyDescent="0.3">
      <c r="A334" s="44" t="s">
        <v>401</v>
      </c>
      <c r="B334" s="254">
        <v>-141030.18256281081</v>
      </c>
    </row>
    <row r="335" spans="1:2" x14ac:dyDescent="0.3">
      <c r="A335" s="44" t="s">
        <v>317</v>
      </c>
      <c r="B335" s="254">
        <v>65748.603627886478</v>
      </c>
    </row>
    <row r="336" spans="1:2" x14ac:dyDescent="0.3">
      <c r="A336" s="44" t="s">
        <v>190</v>
      </c>
      <c r="B336" s="254">
        <v>-24096.828227311067</v>
      </c>
    </row>
    <row r="337" spans="1:2" x14ac:dyDescent="0.3">
      <c r="A337" s="44" t="s">
        <v>402</v>
      </c>
      <c r="B337" s="254">
        <v>-185748.50449745543</v>
      </c>
    </row>
    <row r="338" spans="1:2" x14ac:dyDescent="0.3">
      <c r="A338" s="44" t="s">
        <v>425</v>
      </c>
      <c r="B338" s="254">
        <v>22203.496364204853</v>
      </c>
    </row>
    <row r="339" spans="1:2" x14ac:dyDescent="0.3">
      <c r="A339" s="44" t="s">
        <v>424</v>
      </c>
      <c r="B339" s="254">
        <v>130074.86268615143</v>
      </c>
    </row>
    <row r="340" spans="1:2" x14ac:dyDescent="0.3">
      <c r="A340" s="44" t="s">
        <v>403</v>
      </c>
      <c r="B340" s="254">
        <v>-107415.68047357199</v>
      </c>
    </row>
    <row r="341" spans="1:2" x14ac:dyDescent="0.3">
      <c r="A341" s="44" t="s">
        <v>404</v>
      </c>
      <c r="B341" s="254">
        <v>-175245.42900368694</v>
      </c>
    </row>
    <row r="342" spans="1:2" x14ac:dyDescent="0.3">
      <c r="A342" s="44" t="s">
        <v>405</v>
      </c>
      <c r="B342" s="254">
        <v>-64288.898872674283</v>
      </c>
    </row>
    <row r="343" spans="1:2" x14ac:dyDescent="0.3">
      <c r="A343" s="44" t="s">
        <v>426</v>
      </c>
      <c r="B343" s="254">
        <v>-61120.858878045139</v>
      </c>
    </row>
    <row r="344" spans="1:2" x14ac:dyDescent="0.3">
      <c r="A344" s="44" t="s">
        <v>406</v>
      </c>
      <c r="B344" s="254">
        <v>7286.150284875439</v>
      </c>
    </row>
    <row r="345" spans="1:2" x14ac:dyDescent="0.3">
      <c r="A345" s="44" t="s">
        <v>407</v>
      </c>
      <c r="B345" s="254">
        <v>-18992.483769719922</v>
      </c>
    </row>
    <row r="346" spans="1:2" x14ac:dyDescent="0.3">
      <c r="A346" s="44" t="s">
        <v>408</v>
      </c>
      <c r="B346" s="254">
        <v>166753.84911948023</v>
      </c>
    </row>
    <row r="347" spans="1:2" x14ac:dyDescent="0.3">
      <c r="A347" s="44" t="s">
        <v>409</v>
      </c>
      <c r="B347" s="254">
        <v>45540.932300624503</v>
      </c>
    </row>
    <row r="348" spans="1:2" x14ac:dyDescent="0.3">
      <c r="A348" s="44" t="s">
        <v>410</v>
      </c>
      <c r="B348" s="254">
        <v>-61725.675027022167</v>
      </c>
    </row>
    <row r="349" spans="1:2" x14ac:dyDescent="0.3">
      <c r="A349" s="44" t="s">
        <v>318</v>
      </c>
      <c r="B349" s="254">
        <v>1851.2654784140686</v>
      </c>
    </row>
    <row r="350" spans="1:2" x14ac:dyDescent="0.3">
      <c r="A350" s="44" t="s">
        <v>319</v>
      </c>
      <c r="B350" s="254">
        <v>68366.303031111092</v>
      </c>
    </row>
    <row r="351" spans="1:2" x14ac:dyDescent="0.3">
      <c r="A351" s="44" t="s">
        <v>320</v>
      </c>
      <c r="B351" s="254">
        <v>45723.993412927659</v>
      </c>
    </row>
    <row r="352" spans="1:2" x14ac:dyDescent="0.3">
      <c r="A352" s="44" t="s">
        <v>321</v>
      </c>
      <c r="B352" s="254">
        <v>-2068.8520619917508</v>
      </c>
    </row>
    <row r="353" spans="1:2" x14ac:dyDescent="0.3">
      <c r="A353" s="44" t="s">
        <v>322</v>
      </c>
      <c r="B353" s="254">
        <v>17137.811946616559</v>
      </c>
    </row>
    <row r="354" spans="1:2" x14ac:dyDescent="0.3">
      <c r="A354" s="44" t="s">
        <v>323</v>
      </c>
      <c r="B354" s="254">
        <v>81014.87445947816</v>
      </c>
    </row>
    <row r="355" spans="1:2" x14ac:dyDescent="0.3">
      <c r="A355" s="44" t="s">
        <v>324</v>
      </c>
      <c r="B355" s="254">
        <v>-92397.718904788926</v>
      </c>
    </row>
    <row r="356" spans="1:2" x14ac:dyDescent="0.3">
      <c r="A356" s="44" t="s">
        <v>325</v>
      </c>
      <c r="B356" s="254">
        <v>81988.004660498715</v>
      </c>
    </row>
    <row r="357" spans="1:2" x14ac:dyDescent="0.3">
      <c r="A357" s="44" t="s">
        <v>326</v>
      </c>
      <c r="B357" s="254">
        <v>-35358.454504328445</v>
      </c>
    </row>
    <row r="358" spans="1:2" x14ac:dyDescent="0.3">
      <c r="A358" s="44" t="s">
        <v>327</v>
      </c>
      <c r="B358" s="254">
        <v>-27202.03360669719</v>
      </c>
    </row>
    <row r="359" spans="1:2" x14ac:dyDescent="0.3">
      <c r="A359" s="44" t="s">
        <v>328</v>
      </c>
      <c r="B359" s="254">
        <v>4678.8853245668288</v>
      </c>
    </row>
    <row r="360" spans="1:2" x14ac:dyDescent="0.3">
      <c r="A360" s="44" t="s">
        <v>236</v>
      </c>
      <c r="B360" s="254">
        <v>59225.397221633655</v>
      </c>
    </row>
    <row r="361" spans="1:2" x14ac:dyDescent="0.3">
      <c r="A361" s="44" t="s">
        <v>329</v>
      </c>
      <c r="B361" s="254">
        <v>360540.81979379262</v>
      </c>
    </row>
    <row r="362" spans="1:2" x14ac:dyDescent="0.3">
      <c r="A362" s="44" t="s">
        <v>237</v>
      </c>
      <c r="B362" s="254">
        <v>-83532.763863410262</v>
      </c>
    </row>
    <row r="363" spans="1:2" x14ac:dyDescent="0.3">
      <c r="A363" s="44" t="s">
        <v>411</v>
      </c>
      <c r="B363" s="254">
        <v>-28136.490887376975</v>
      </c>
    </row>
    <row r="364" spans="1:2" x14ac:dyDescent="0.3">
      <c r="A364" s="44" t="s">
        <v>330</v>
      </c>
      <c r="B364" s="254">
        <v>-3424.5198124293802</v>
      </c>
    </row>
    <row r="365" spans="1:2" x14ac:dyDescent="0.3">
      <c r="A365" s="44" t="s">
        <v>331</v>
      </c>
      <c r="B365" s="254">
        <v>36701.128831912705</v>
      </c>
    </row>
    <row r="366" spans="1:2" x14ac:dyDescent="0.3">
      <c r="A366" s="44" t="s">
        <v>332</v>
      </c>
      <c r="B366" s="254">
        <v>3846.9263859946259</v>
      </c>
    </row>
    <row r="367" spans="1:2" ht="15" thickBot="1" x14ac:dyDescent="0.35">
      <c r="A367" s="48" t="s">
        <v>238</v>
      </c>
      <c r="B367" s="254">
        <v>-27526.684765904767</v>
      </c>
    </row>
    <row r="368" spans="1:2" ht="15" thickBot="1" x14ac:dyDescent="0.35">
      <c r="A368" s="51" t="s">
        <v>824</v>
      </c>
      <c r="B368" s="78">
        <f>SUM(B9:B367)</f>
        <v>2775220.6974070175</v>
      </c>
    </row>
  </sheetData>
  <autoFilter ref="A8:B368" xr:uid="{9B60F998-CC43-4CDA-9229-69C49C61169F}"/>
  <mergeCells count="2">
    <mergeCell ref="A6:A8"/>
    <mergeCell ref="B6:B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2">
    <tabColor rgb="FFFF0066"/>
  </sheetPr>
  <dimension ref="A1:D17"/>
  <sheetViews>
    <sheetView workbookViewId="0">
      <selection activeCell="D7" sqref="D7"/>
    </sheetView>
  </sheetViews>
  <sheetFormatPr defaultColWidth="8.88671875" defaultRowHeight="13.8" x14ac:dyDescent="0.25"/>
  <cols>
    <col min="1" max="1" width="42.6640625" style="152" customWidth="1"/>
    <col min="2" max="2" width="11.109375" style="152" customWidth="1"/>
    <col min="3" max="3" width="15.33203125" style="152" customWidth="1"/>
    <col min="4" max="4" width="18.109375" style="152" customWidth="1"/>
    <col min="5" max="16384" width="8.88671875" style="152"/>
  </cols>
  <sheetData>
    <row r="1" spans="1:4" ht="17.399999999999999" x14ac:dyDescent="0.3">
      <c r="A1" s="152" t="s">
        <v>0</v>
      </c>
      <c r="D1" s="266" t="str">
        <f>'Звіт-будинок'!C1</f>
        <v>вул.ТРОЛЕЙБУСНА,  15</v>
      </c>
    </row>
    <row r="3" spans="1:4" ht="17.399999999999999" x14ac:dyDescent="0.3">
      <c r="A3" s="267" t="s">
        <v>1084</v>
      </c>
      <c r="C3" s="152" t="str">
        <f>місяць!A2</f>
        <v>2024 рік</v>
      </c>
      <c r="D3" s="794" t="s">
        <v>1789</v>
      </c>
    </row>
    <row r="5" spans="1:4" x14ac:dyDescent="0.25">
      <c r="A5" s="268" t="s">
        <v>930</v>
      </c>
      <c r="B5" s="1310" t="s">
        <v>1054</v>
      </c>
      <c r="C5" s="1310"/>
      <c r="D5" s="233" t="s">
        <v>1055</v>
      </c>
    </row>
    <row r="6" spans="1:4" x14ac:dyDescent="0.25">
      <c r="A6" s="236" t="s">
        <v>1056</v>
      </c>
      <c r="B6" s="236" t="s">
        <v>939</v>
      </c>
      <c r="C6" s="261">
        <f>VLOOKUP($D$1,'поточний ремонт'!$B$11:$AD$364,8,FALSE)</f>
        <v>18</v>
      </c>
      <c r="D6" s="261">
        <f>VLOOKUP($D$1,'поточний ремонт'!$B$11:$AD$364,9,FALSE)</f>
        <v>14362.541615109529</v>
      </c>
    </row>
    <row r="7" spans="1:4" x14ac:dyDescent="0.25">
      <c r="A7" s="236" t="s">
        <v>1057</v>
      </c>
      <c r="B7" s="236" t="s">
        <v>935</v>
      </c>
      <c r="C7" s="261">
        <f>VLOOKUP($D$1,'поточний ремонт'!$B$11:$AD$364,11,FALSE)</f>
        <v>0</v>
      </c>
      <c r="D7" s="261">
        <f>VLOOKUP($D$1,'поточний ремонт'!$B$11:$AD$364,12,FALSE)</f>
        <v>0</v>
      </c>
    </row>
    <row r="8" spans="1:4" x14ac:dyDescent="0.25">
      <c r="A8" s="236" t="s">
        <v>1058</v>
      </c>
      <c r="B8" s="236" t="s">
        <v>937</v>
      </c>
      <c r="C8" s="261">
        <f>VLOOKUP($D$1,'поточний ремонт'!$B$11:$AD$364,14,FALSE)</f>
        <v>0</v>
      </c>
      <c r="D8" s="261">
        <f>VLOOKUP($D$1,'поточний ремонт'!$B$11:$AD$364,15,FALSE)</f>
        <v>0</v>
      </c>
    </row>
    <row r="9" spans="1:4" x14ac:dyDescent="0.25">
      <c r="A9" s="236" t="s">
        <v>1059</v>
      </c>
      <c r="B9" s="236" t="s">
        <v>935</v>
      </c>
      <c r="C9" s="261">
        <f>VLOOKUP($D$1,'поточний ремонт'!$B$11:$AD$364,17,FALSE)</f>
        <v>0</v>
      </c>
      <c r="D9" s="261">
        <f>VLOOKUP($D$1,'поточний ремонт'!$B$11:$AD$364,18,FALSE)</f>
        <v>0</v>
      </c>
    </row>
    <row r="10" spans="1:4" x14ac:dyDescent="0.25">
      <c r="A10" s="236" t="s">
        <v>1060</v>
      </c>
      <c r="B10" s="236"/>
      <c r="C10" s="261"/>
      <c r="D10" s="261">
        <f>VLOOKUP($D$1,'поточний ремонт'!$B$11:$AD$364,20,FALSE)</f>
        <v>0</v>
      </c>
    </row>
    <row r="11" spans="1:4" x14ac:dyDescent="0.25">
      <c r="A11" s="236" t="s">
        <v>938</v>
      </c>
      <c r="B11" s="236" t="s">
        <v>939</v>
      </c>
      <c r="C11" s="261">
        <f>VLOOKUP($D$1,'поточний ремонт'!$B$11:$AD$364,22,FALSE)</f>
        <v>0</v>
      </c>
      <c r="D11" s="261">
        <f>VLOOKUP($D$1,'поточний ремонт'!$B$11:$AD$364,23,FALSE)</f>
        <v>0</v>
      </c>
    </row>
    <row r="12" spans="1:4" x14ac:dyDescent="0.25">
      <c r="A12" s="236" t="s">
        <v>1061</v>
      </c>
      <c r="B12" s="236"/>
      <c r="C12" s="261"/>
      <c r="D12" s="261">
        <f>VLOOKUP($D$1,'поточний ремонт'!$B$11:$AD$364,24,FALSE)</f>
        <v>0</v>
      </c>
    </row>
    <row r="13" spans="1:4" x14ac:dyDescent="0.25">
      <c r="A13" s="236" t="s">
        <v>928</v>
      </c>
      <c r="B13" s="236"/>
      <c r="C13" s="261"/>
      <c r="D13" s="261">
        <f>VLOOKUP($D$1,'поточний ремонт'!$B$11:$AD$364,26,FALSE)</f>
        <v>296</v>
      </c>
    </row>
    <row r="14" spans="1:4" x14ac:dyDescent="0.25">
      <c r="A14" s="236" t="s">
        <v>1062</v>
      </c>
      <c r="B14" s="236"/>
      <c r="C14" s="261"/>
      <c r="D14" s="261">
        <f>VLOOKUP($D$1,'поточний ремонт'!$B$11:$AD$364,27,FALSE)</f>
        <v>132.05404403729605</v>
      </c>
    </row>
    <row r="15" spans="1:4" x14ac:dyDescent="0.25">
      <c r="A15" s="236" t="s">
        <v>940</v>
      </c>
      <c r="B15" s="236"/>
      <c r="C15" s="261"/>
      <c r="D15" s="261">
        <f>VLOOKUP($D$1,'поточний ремонт'!$B$11:$AD$364,28,FALSE)</f>
        <v>0</v>
      </c>
    </row>
    <row r="16" spans="1:4" x14ac:dyDescent="0.25">
      <c r="A16" s="236" t="s">
        <v>968</v>
      </c>
      <c r="B16" s="236"/>
      <c r="C16" s="261"/>
      <c r="D16" s="261">
        <f>VLOOKUP($D$1,'поточний ремонт'!$B$11:$AD$364,29,FALSE)</f>
        <v>281.11900023406389</v>
      </c>
    </row>
    <row r="17" spans="1:4" s="153" customFormat="1" x14ac:dyDescent="0.25">
      <c r="A17" s="268" t="s">
        <v>1063</v>
      </c>
      <c r="B17" s="268"/>
      <c r="C17" s="268"/>
      <c r="D17" s="269">
        <f>SUM(D6:D16)</f>
        <v>15071.714659380888</v>
      </c>
    </row>
  </sheetData>
  <mergeCells count="1">
    <mergeCell ref="B5:C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51">
    <tabColor rgb="FF9900FF"/>
  </sheetPr>
  <dimension ref="A1:K53"/>
  <sheetViews>
    <sheetView zoomScaleNormal="100" workbookViewId="0">
      <selection activeCell="N16" sqref="N16"/>
    </sheetView>
  </sheetViews>
  <sheetFormatPr defaultColWidth="9.6640625" defaultRowHeight="13.2" x14ac:dyDescent="0.3"/>
  <cols>
    <col min="1" max="1" width="6.44140625" style="11" customWidth="1"/>
    <col min="2" max="2" width="38.44140625" style="11" customWidth="1"/>
    <col min="3" max="3" width="13.6640625" style="12" customWidth="1"/>
    <col min="4" max="4" width="13.33203125" style="12" customWidth="1"/>
    <col min="5" max="5" width="11.5546875" style="12" customWidth="1"/>
    <col min="6" max="7" width="13.6640625" style="12" customWidth="1"/>
    <col min="8" max="8" width="11.88671875" style="12" customWidth="1"/>
    <col min="9" max="9" width="14.109375" style="12" customWidth="1"/>
    <col min="10" max="10" width="10.88671875" style="11" customWidth="1"/>
    <col min="11" max="11" width="13.6640625" style="11" customWidth="1"/>
    <col min="12" max="16384" width="9.6640625" style="11"/>
  </cols>
  <sheetData>
    <row r="1" spans="1:11" ht="14.7" customHeight="1" x14ac:dyDescent="0.3">
      <c r="A1" s="11" t="s">
        <v>0</v>
      </c>
      <c r="F1" s="13"/>
      <c r="G1" s="13"/>
      <c r="H1" s="13"/>
    </row>
    <row r="2" spans="1:11" ht="12.6" customHeight="1" x14ac:dyDescent="0.3">
      <c r="F2" s="13"/>
      <c r="G2" s="13"/>
      <c r="H2" s="13"/>
      <c r="I2" s="14"/>
    </row>
    <row r="3" spans="1:11" ht="17.399999999999999" x14ac:dyDescent="0.3">
      <c r="A3" s="23" t="s">
        <v>1085</v>
      </c>
      <c r="F3" s="1017" t="str">
        <f>місяць!A2</f>
        <v>2024 рік</v>
      </c>
      <c r="G3" s="794"/>
    </row>
    <row r="4" spans="1:11" ht="6.45" customHeight="1" thickBot="1" x14ac:dyDescent="0.35"/>
    <row r="5" spans="1:11" ht="21.45" customHeight="1" x14ac:dyDescent="0.3">
      <c r="A5" s="1319" t="s">
        <v>456</v>
      </c>
      <c r="B5" s="1317" t="s">
        <v>875</v>
      </c>
      <c r="C5" s="1311" t="s">
        <v>876</v>
      </c>
      <c r="D5" s="1312"/>
      <c r="E5" s="1313"/>
      <c r="F5" s="1311" t="s">
        <v>877</v>
      </c>
      <c r="G5" s="1312"/>
      <c r="H5" s="1313"/>
      <c r="I5" s="1314" t="s">
        <v>878</v>
      </c>
      <c r="J5" s="1315"/>
      <c r="K5" s="1316"/>
    </row>
    <row r="6" spans="1:11" ht="27" thickBot="1" x14ac:dyDescent="0.35">
      <c r="A6" s="1320"/>
      <c r="B6" s="1318"/>
      <c r="C6" s="177" t="s">
        <v>870</v>
      </c>
      <c r="D6" s="178" t="s">
        <v>440</v>
      </c>
      <c r="E6" s="179" t="s">
        <v>441</v>
      </c>
      <c r="F6" s="177" t="s">
        <v>870</v>
      </c>
      <c r="G6" s="178" t="s">
        <v>440</v>
      </c>
      <c r="H6" s="179" t="s">
        <v>441</v>
      </c>
      <c r="I6" s="180" t="s">
        <v>870</v>
      </c>
      <c r="J6" s="178" t="s">
        <v>440</v>
      </c>
      <c r="K6" s="179" t="s">
        <v>441</v>
      </c>
    </row>
    <row r="7" spans="1:11" ht="15" customHeight="1" x14ac:dyDescent="0.3">
      <c r="A7" s="172" t="s">
        <v>830</v>
      </c>
      <c r="B7" s="173" t="s">
        <v>879</v>
      </c>
      <c r="C7" s="1018">
        <f>'[2]накладні витрати'!C7+'[1]накладні витрати'!C7</f>
        <v>5901208</v>
      </c>
      <c r="D7" s="1021">
        <f>'[2]накладні витрати'!D7+'[1]накладні витрати'!D7</f>
        <v>6135248</v>
      </c>
      <c r="E7" s="175">
        <f>D7-C7</f>
        <v>234040</v>
      </c>
      <c r="F7" s="1018">
        <f>'[2]накладні витрати'!F7+'[1]накладні витрати'!F7</f>
        <v>3693922</v>
      </c>
      <c r="G7" s="1021">
        <f>'[2]накладні витрати'!G7+'[1]накладні витрати'!G7</f>
        <v>4478267</v>
      </c>
      <c r="H7" s="175">
        <f>G7-F7</f>
        <v>784345</v>
      </c>
      <c r="I7" s="176">
        <f>C7+F7</f>
        <v>9595130</v>
      </c>
      <c r="J7" s="176">
        <f t="shared" ref="I7:J31" si="0">D7+G7</f>
        <v>10613515</v>
      </c>
      <c r="K7" s="175">
        <f>J7-I7</f>
        <v>1018385</v>
      </c>
    </row>
    <row r="8" spans="1:11" ht="15" customHeight="1" x14ac:dyDescent="0.3">
      <c r="A8" s="169" t="s">
        <v>865</v>
      </c>
      <c r="B8" s="160" t="s">
        <v>880</v>
      </c>
      <c r="C8" s="1018">
        <f>'[2]накладні витрати'!C8+'[1]накладні витрати'!C8</f>
        <v>1292648</v>
      </c>
      <c r="D8" s="21">
        <f>'[2]накладні витрати'!D8+'[1]накладні витрати'!D8</f>
        <v>1321642</v>
      </c>
      <c r="E8" s="165">
        <f t="shared" ref="E8:E35" si="1">D8-C8</f>
        <v>28994</v>
      </c>
      <c r="F8" s="1018">
        <f>'[2]накладні витрати'!F8+'[1]накладні витрати'!F8</f>
        <v>796778</v>
      </c>
      <c r="G8" s="174">
        <f>'[2]накладні витрати'!G8+'[1]накладні витрати'!G8</f>
        <v>855838</v>
      </c>
      <c r="H8" s="165">
        <f t="shared" ref="H8:H35" si="2">G8-F8</f>
        <v>59060</v>
      </c>
      <c r="I8" s="163">
        <f t="shared" si="0"/>
        <v>2089426</v>
      </c>
      <c r="J8" s="163">
        <f t="shared" si="0"/>
        <v>2177480</v>
      </c>
      <c r="K8" s="165">
        <f t="shared" ref="K8:K35" si="3">J8-I8</f>
        <v>88054</v>
      </c>
    </row>
    <row r="9" spans="1:11" ht="15" customHeight="1" x14ac:dyDescent="0.3">
      <c r="A9" s="169" t="s">
        <v>866</v>
      </c>
      <c r="B9" s="160" t="s">
        <v>881</v>
      </c>
      <c r="C9" s="1018">
        <f>'[2]накладні витрати'!C9+'[1]накладні витрати'!C9</f>
        <v>381680</v>
      </c>
      <c r="D9" s="174">
        <f>'[2]накладні витрати'!D9+'[1]накладні витрати'!D9</f>
        <v>404977</v>
      </c>
      <c r="E9" s="165">
        <f t="shared" si="1"/>
        <v>23297</v>
      </c>
      <c r="F9" s="1018">
        <f>'[2]накладні витрати'!F9+'[1]накладні витрати'!F9</f>
        <v>65836</v>
      </c>
      <c r="G9" s="174">
        <f>'[2]накладні витрати'!G9+'[1]накладні витрати'!G9</f>
        <v>74357</v>
      </c>
      <c r="H9" s="165">
        <f t="shared" si="2"/>
        <v>8521</v>
      </c>
      <c r="I9" s="163">
        <f t="shared" si="0"/>
        <v>447516</v>
      </c>
      <c r="J9" s="163">
        <f t="shared" si="0"/>
        <v>479334</v>
      </c>
      <c r="K9" s="165">
        <f t="shared" si="3"/>
        <v>31818</v>
      </c>
    </row>
    <row r="10" spans="1:11" ht="15" customHeight="1" x14ac:dyDescent="0.3">
      <c r="A10" s="169" t="s">
        <v>867</v>
      </c>
      <c r="B10" s="160" t="s">
        <v>882</v>
      </c>
      <c r="C10" s="1018">
        <f>'[2]накладні витрати'!C10+'[1]накладні витрати'!C10</f>
        <v>1124826</v>
      </c>
      <c r="D10" s="174">
        <f>'[2]накладні витрати'!D10+'[1]накладні витрати'!D10</f>
        <v>1641109</v>
      </c>
      <c r="E10" s="165">
        <f t="shared" si="1"/>
        <v>516283</v>
      </c>
      <c r="F10" s="1018">
        <f>'[2]накладні витрати'!F10+'[1]накладні витрати'!F10</f>
        <v>0</v>
      </c>
      <c r="G10" s="174">
        <f>'[2]накладні витрати'!G10+'[1]накладні витрати'!G10</f>
        <v>0</v>
      </c>
      <c r="H10" s="165">
        <f t="shared" si="2"/>
        <v>0</v>
      </c>
      <c r="I10" s="163">
        <f t="shared" si="0"/>
        <v>1124826</v>
      </c>
      <c r="J10" s="163">
        <f t="shared" si="0"/>
        <v>1641109</v>
      </c>
      <c r="K10" s="165">
        <f t="shared" si="3"/>
        <v>516283</v>
      </c>
    </row>
    <row r="11" spans="1:11" ht="15" customHeight="1" x14ac:dyDescent="0.3">
      <c r="A11" s="169" t="s">
        <v>868</v>
      </c>
      <c r="B11" s="160" t="s">
        <v>883</v>
      </c>
      <c r="C11" s="1018">
        <f>'[2]накладні витрати'!C11+'[1]накладні витрати'!C11</f>
        <v>191278</v>
      </c>
      <c r="D11" s="174">
        <f>'[2]накладні витрати'!D11+'[1]накладні витрати'!D11</f>
        <v>225891</v>
      </c>
      <c r="E11" s="165">
        <f t="shared" si="1"/>
        <v>34613</v>
      </c>
      <c r="F11" s="1018">
        <f>'[2]накладні витрати'!F11+'[1]накладні витрати'!F11</f>
        <v>0</v>
      </c>
      <c r="G11" s="174">
        <f>'[2]накладні витрати'!G11+'[1]накладні витрати'!G11</f>
        <v>0</v>
      </c>
      <c r="H11" s="165">
        <f t="shared" si="2"/>
        <v>0</v>
      </c>
      <c r="I11" s="163">
        <f t="shared" si="0"/>
        <v>191278</v>
      </c>
      <c r="J11" s="163">
        <f t="shared" si="0"/>
        <v>225891</v>
      </c>
      <c r="K11" s="165">
        <f t="shared" si="3"/>
        <v>34613</v>
      </c>
    </row>
    <row r="12" spans="1:11" ht="15" customHeight="1" x14ac:dyDescent="0.3">
      <c r="A12" s="169" t="s">
        <v>869</v>
      </c>
      <c r="B12" s="160" t="s">
        <v>884</v>
      </c>
      <c r="C12" s="1018">
        <f>'[2]накладні витрати'!C12+'[1]накладні витрати'!C12</f>
        <v>1318266</v>
      </c>
      <c r="D12" s="174">
        <f>'[2]накладні витрати'!D12+'[1]накладні витрати'!D12</f>
        <v>512927</v>
      </c>
      <c r="E12" s="165">
        <f t="shared" si="1"/>
        <v>-805339</v>
      </c>
      <c r="F12" s="1018">
        <f>'[2]накладні витрати'!F12+'[1]накладні витрати'!F12</f>
        <v>293500</v>
      </c>
      <c r="G12" s="174">
        <f>'[2]накладні витрати'!G12+'[1]накладні витрати'!G12</f>
        <v>240728</v>
      </c>
      <c r="H12" s="165">
        <f t="shared" si="2"/>
        <v>-52772</v>
      </c>
      <c r="I12" s="163">
        <f t="shared" si="0"/>
        <v>1611766</v>
      </c>
      <c r="J12" s="163">
        <f t="shared" si="0"/>
        <v>753655</v>
      </c>
      <c r="K12" s="165">
        <f t="shared" si="3"/>
        <v>-858111</v>
      </c>
    </row>
    <row r="13" spans="1:11" ht="15" customHeight="1" x14ac:dyDescent="0.3">
      <c r="A13" s="169" t="s">
        <v>885</v>
      </c>
      <c r="B13" s="160" t="s">
        <v>886</v>
      </c>
      <c r="C13" s="1018">
        <f>'[2]накладні витрати'!C13+'[1]накладні витрати'!C13</f>
        <v>31166</v>
      </c>
      <c r="D13" s="174">
        <f>'[2]накладні витрати'!D13+'[1]накладні витрати'!D13</f>
        <v>24195</v>
      </c>
      <c r="E13" s="165">
        <f t="shared" si="1"/>
        <v>-6971</v>
      </c>
      <c r="F13" s="1018">
        <f>'[2]накладні витрати'!F13+'[1]накладні витрати'!F13</f>
        <v>12000</v>
      </c>
      <c r="G13" s="174">
        <f>'[2]накладні витрати'!G13+'[1]накладні витрати'!G13</f>
        <v>3675</v>
      </c>
      <c r="H13" s="165">
        <f t="shared" si="2"/>
        <v>-8325</v>
      </c>
      <c r="I13" s="163">
        <f t="shared" si="0"/>
        <v>43166</v>
      </c>
      <c r="J13" s="163">
        <f t="shared" si="0"/>
        <v>27870</v>
      </c>
      <c r="K13" s="165">
        <f t="shared" si="3"/>
        <v>-15296</v>
      </c>
    </row>
    <row r="14" spans="1:11" ht="15" customHeight="1" x14ac:dyDescent="0.3">
      <c r="A14" s="169" t="s">
        <v>887</v>
      </c>
      <c r="B14" s="160" t="s">
        <v>888</v>
      </c>
      <c r="C14" s="1018">
        <f>'[2]накладні витрати'!C14+'[1]накладні витрати'!C14</f>
        <v>191482</v>
      </c>
      <c r="D14" s="174">
        <f>'[2]накладні витрати'!D14+'[1]накладні витрати'!D14</f>
        <v>224460</v>
      </c>
      <c r="E14" s="165">
        <f t="shared" si="1"/>
        <v>32978</v>
      </c>
      <c r="F14" s="1018">
        <f>'[2]накладні витрати'!F14+'[1]накладні витрати'!F14</f>
        <v>0</v>
      </c>
      <c r="G14" s="174">
        <f>'[2]накладні витрати'!G14+'[1]накладні витрати'!G14</f>
        <v>0</v>
      </c>
      <c r="H14" s="165">
        <f t="shared" si="2"/>
        <v>0</v>
      </c>
      <c r="I14" s="163">
        <f t="shared" si="0"/>
        <v>191482</v>
      </c>
      <c r="J14" s="163">
        <f t="shared" si="0"/>
        <v>224460</v>
      </c>
      <c r="K14" s="165">
        <f t="shared" si="3"/>
        <v>32978</v>
      </c>
    </row>
    <row r="15" spans="1:11" ht="15" customHeight="1" x14ac:dyDescent="0.3">
      <c r="A15" s="169" t="s">
        <v>889</v>
      </c>
      <c r="B15" s="160" t="s">
        <v>890</v>
      </c>
      <c r="C15" s="1018">
        <f>'[2]накладні витрати'!C15+'[1]накладні витрати'!C15</f>
        <v>551959</v>
      </c>
      <c r="D15" s="174">
        <f>'[2]накладні витрати'!D15+'[1]накладні витрати'!D15</f>
        <v>478370</v>
      </c>
      <c r="E15" s="165">
        <f t="shared" si="1"/>
        <v>-73589</v>
      </c>
      <c r="F15" s="1018">
        <f>'[2]накладні витрати'!F15+'[1]накладні витрати'!F15</f>
        <v>212178</v>
      </c>
      <c r="G15" s="174">
        <f>'[2]накладні витрати'!G15+'[1]накладні витрати'!G15</f>
        <v>317617</v>
      </c>
      <c r="H15" s="165">
        <f t="shared" si="2"/>
        <v>105439</v>
      </c>
      <c r="I15" s="163">
        <f t="shared" si="0"/>
        <v>764137</v>
      </c>
      <c r="J15" s="163">
        <f t="shared" si="0"/>
        <v>795987</v>
      </c>
      <c r="K15" s="165">
        <f t="shared" si="3"/>
        <v>31850</v>
      </c>
    </row>
    <row r="16" spans="1:11" s="24" customFormat="1" ht="15" customHeight="1" x14ac:dyDescent="0.3">
      <c r="A16" s="170" t="s">
        <v>891</v>
      </c>
      <c r="B16" s="161" t="s">
        <v>892</v>
      </c>
      <c r="C16" s="1018">
        <f>'[2]накладні витрати'!C16+'[1]накладні витрати'!C16</f>
        <v>76870</v>
      </c>
      <c r="D16" s="174">
        <f>'[2]накладні витрати'!D16+'[1]накладні витрати'!D16</f>
        <v>107057</v>
      </c>
      <c r="E16" s="166">
        <f t="shared" si="1"/>
        <v>30187</v>
      </c>
      <c r="F16" s="1018">
        <f>'[2]накладні витрати'!F16+'[1]накладні витрати'!F16</f>
        <v>105576</v>
      </c>
      <c r="G16" s="174">
        <f>'[2]накладні витрати'!G16+'[1]накладні витрати'!G16</f>
        <v>154118</v>
      </c>
      <c r="H16" s="166">
        <f t="shared" si="2"/>
        <v>48542</v>
      </c>
      <c r="I16" s="168">
        <f t="shared" si="0"/>
        <v>182446</v>
      </c>
      <c r="J16" s="168">
        <f t="shared" si="0"/>
        <v>261175</v>
      </c>
      <c r="K16" s="166">
        <f t="shared" si="3"/>
        <v>78729</v>
      </c>
    </row>
    <row r="17" spans="1:11" s="24" customFormat="1" ht="15" customHeight="1" x14ac:dyDescent="0.3">
      <c r="A17" s="170" t="s">
        <v>893</v>
      </c>
      <c r="B17" s="161" t="s">
        <v>894</v>
      </c>
      <c r="C17" s="1018">
        <f>'[2]накладні витрати'!C17+'[1]накладні витрати'!C17</f>
        <v>516322</v>
      </c>
      <c r="D17" s="174">
        <f>'[2]накладні витрати'!D17+'[1]накладні витрати'!D17</f>
        <v>447299</v>
      </c>
      <c r="E17" s="166">
        <f t="shared" si="1"/>
        <v>-69023</v>
      </c>
      <c r="F17" s="1018">
        <f>'[2]накладні витрати'!F17+'[1]накладні витрати'!F17</f>
        <v>140000</v>
      </c>
      <c r="G17" s="174">
        <f>'[2]накладні витрати'!G17+'[1]накладні витрати'!G17</f>
        <v>210338</v>
      </c>
      <c r="H17" s="166">
        <f t="shared" si="2"/>
        <v>70338</v>
      </c>
      <c r="I17" s="168">
        <f t="shared" si="0"/>
        <v>656322</v>
      </c>
      <c r="J17" s="168">
        <f t="shared" si="0"/>
        <v>657637</v>
      </c>
      <c r="K17" s="166">
        <f t="shared" si="3"/>
        <v>1315</v>
      </c>
    </row>
    <row r="18" spans="1:11" s="24" customFormat="1" ht="15" customHeight="1" x14ac:dyDescent="0.3">
      <c r="A18" s="170" t="s">
        <v>895</v>
      </c>
      <c r="B18" s="161" t="s">
        <v>896</v>
      </c>
      <c r="C18" s="1018">
        <f>'[2]накладні витрати'!C18+'[1]накладні витрати'!C18</f>
        <v>10766</v>
      </c>
      <c r="D18" s="174">
        <f>'[2]накладні витрати'!D18+'[1]накладні витрати'!D18</f>
        <v>18258</v>
      </c>
      <c r="E18" s="166">
        <f t="shared" si="1"/>
        <v>7492</v>
      </c>
      <c r="F18" s="1018">
        <f>'[2]накладні витрати'!F18+'[1]накладні витрати'!F18</f>
        <v>6200</v>
      </c>
      <c r="G18" s="174">
        <f>'[2]накладні витрати'!G18+'[1]накладні витрати'!G18</f>
        <v>3708</v>
      </c>
      <c r="H18" s="166">
        <f t="shared" si="2"/>
        <v>-2492</v>
      </c>
      <c r="I18" s="168">
        <f t="shared" si="0"/>
        <v>16966</v>
      </c>
      <c r="J18" s="168">
        <f t="shared" si="0"/>
        <v>21966</v>
      </c>
      <c r="K18" s="166">
        <f t="shared" si="3"/>
        <v>5000</v>
      </c>
    </row>
    <row r="19" spans="1:11" ht="15" customHeight="1" x14ac:dyDescent="0.3">
      <c r="A19" s="169" t="s">
        <v>897</v>
      </c>
      <c r="B19" s="160" t="s">
        <v>898</v>
      </c>
      <c r="C19" s="1018">
        <f>'[2]накладні витрати'!C19+'[1]накладні витрати'!C19</f>
        <v>18870</v>
      </c>
      <c r="D19" s="174">
        <f>'[2]накладні витрати'!D19+'[1]накладні витрати'!D19</f>
        <v>24270</v>
      </c>
      <c r="E19" s="165">
        <f t="shared" si="1"/>
        <v>5400</v>
      </c>
      <c r="F19" s="1018">
        <f>'[2]накладні витрати'!F19+'[1]накладні витрати'!F19</f>
        <v>20500</v>
      </c>
      <c r="G19" s="174">
        <f>'[2]накладні витрати'!G19+'[1]накладні витрати'!G19</f>
        <v>43305</v>
      </c>
      <c r="H19" s="165">
        <f t="shared" si="2"/>
        <v>22805</v>
      </c>
      <c r="I19" s="163">
        <f t="shared" si="0"/>
        <v>39370</v>
      </c>
      <c r="J19" s="163">
        <f t="shared" si="0"/>
        <v>67575</v>
      </c>
      <c r="K19" s="165">
        <f t="shared" si="3"/>
        <v>28205</v>
      </c>
    </row>
    <row r="20" spans="1:11" ht="15" customHeight="1" x14ac:dyDescent="0.3">
      <c r="A20" s="169" t="s">
        <v>899</v>
      </c>
      <c r="B20" s="160" t="s">
        <v>900</v>
      </c>
      <c r="C20" s="1018">
        <f>'[2]накладні витрати'!C20+'[1]накладні витрати'!C20</f>
        <v>0</v>
      </c>
      <c r="D20" s="174">
        <f>'[2]накладні витрати'!D20+'[1]накладні витрати'!D20</f>
        <v>0</v>
      </c>
      <c r="E20" s="165">
        <f t="shared" si="1"/>
        <v>0</v>
      </c>
      <c r="F20" s="1018">
        <f>'[2]накладні витрати'!F20+'[1]накладні витрати'!F20</f>
        <v>0</v>
      </c>
      <c r="G20" s="174">
        <f>'[2]накладні витрати'!G20+'[1]накладні витрати'!G20</f>
        <v>0</v>
      </c>
      <c r="H20" s="165">
        <f t="shared" si="2"/>
        <v>0</v>
      </c>
      <c r="I20" s="163">
        <f t="shared" si="0"/>
        <v>0</v>
      </c>
      <c r="J20" s="163">
        <f t="shared" si="0"/>
        <v>0</v>
      </c>
      <c r="K20" s="165">
        <f t="shared" si="3"/>
        <v>0</v>
      </c>
    </row>
    <row r="21" spans="1:11" ht="15" customHeight="1" x14ac:dyDescent="0.3">
      <c r="A21" s="169" t="s">
        <v>901</v>
      </c>
      <c r="B21" s="160" t="s">
        <v>902</v>
      </c>
      <c r="C21" s="1018">
        <f>'[2]накладні витрати'!C21+'[1]накладні витрати'!C21</f>
        <v>0</v>
      </c>
      <c r="D21" s="174">
        <f>'[2]накладні витрати'!D21+'[1]накладні витрати'!D21</f>
        <v>0</v>
      </c>
      <c r="E21" s="165">
        <f t="shared" si="1"/>
        <v>0</v>
      </c>
      <c r="F21" s="1018">
        <f>'[2]накладні витрати'!F21+'[1]накладні витрати'!F21</f>
        <v>68000</v>
      </c>
      <c r="G21" s="174">
        <f>'[2]накладні витрати'!G21+'[1]накладні витрати'!G21</f>
        <v>100599</v>
      </c>
      <c r="H21" s="165">
        <f t="shared" si="2"/>
        <v>32599</v>
      </c>
      <c r="I21" s="163">
        <f t="shared" si="0"/>
        <v>68000</v>
      </c>
      <c r="J21" s="163">
        <f t="shared" si="0"/>
        <v>100599</v>
      </c>
      <c r="K21" s="165">
        <f t="shared" si="3"/>
        <v>32599</v>
      </c>
    </row>
    <row r="22" spans="1:11" ht="15" customHeight="1" x14ac:dyDescent="0.3">
      <c r="A22" s="169" t="s">
        <v>903</v>
      </c>
      <c r="B22" s="160" t="s">
        <v>904</v>
      </c>
      <c r="C22" s="1018">
        <f>'[2]накладні витрати'!C22+'[1]накладні витрати'!C22</f>
        <v>773814</v>
      </c>
      <c r="D22" s="174">
        <f>'[2]накладні витрати'!D22+'[1]накладні витрати'!D22</f>
        <v>668072</v>
      </c>
      <c r="E22" s="165">
        <f t="shared" si="1"/>
        <v>-105742</v>
      </c>
      <c r="F22" s="1018">
        <f>'[2]накладні витрати'!F22+'[1]накладні витрати'!F22</f>
        <v>0</v>
      </c>
      <c r="G22" s="174">
        <f>'[2]накладні витрати'!G22+'[1]накладні витрати'!G22</f>
        <v>0</v>
      </c>
      <c r="H22" s="165">
        <f t="shared" si="2"/>
        <v>0</v>
      </c>
      <c r="I22" s="163">
        <f t="shared" si="0"/>
        <v>773814</v>
      </c>
      <c r="J22" s="163">
        <f t="shared" si="0"/>
        <v>668072</v>
      </c>
      <c r="K22" s="165">
        <f t="shared" si="3"/>
        <v>-105742</v>
      </c>
    </row>
    <row r="23" spans="1:11" ht="15" customHeight="1" x14ac:dyDescent="0.3">
      <c r="A23" s="169" t="s">
        <v>903</v>
      </c>
      <c r="B23" s="160" t="s">
        <v>905</v>
      </c>
      <c r="C23" s="1018">
        <f>'[2]накладні витрати'!C23+'[1]накладні витрати'!C23</f>
        <v>0</v>
      </c>
      <c r="D23" s="174">
        <f>'[2]накладні витрати'!D23+'[1]накладні витрати'!D23</f>
        <v>0</v>
      </c>
      <c r="E23" s="165">
        <f t="shared" si="1"/>
        <v>0</v>
      </c>
      <c r="F23" s="1018">
        <f>'[2]накладні витрати'!F23+'[1]накладні витрати'!F23</f>
        <v>38000</v>
      </c>
      <c r="G23" s="174">
        <f>'[2]накладні витрати'!G23+'[1]накладні витрати'!G23</f>
        <v>36348</v>
      </c>
      <c r="H23" s="165">
        <f t="shared" si="2"/>
        <v>-1652</v>
      </c>
      <c r="I23" s="163">
        <f t="shared" si="0"/>
        <v>38000</v>
      </c>
      <c r="J23" s="163">
        <f t="shared" si="0"/>
        <v>36348</v>
      </c>
      <c r="K23" s="165">
        <f t="shared" si="3"/>
        <v>-1652</v>
      </c>
    </row>
    <row r="24" spans="1:11" ht="15" customHeight="1" x14ac:dyDescent="0.3">
      <c r="A24" s="169" t="s">
        <v>906</v>
      </c>
      <c r="B24" s="160" t="s">
        <v>907</v>
      </c>
      <c r="C24" s="1018">
        <f>'[2]накладні витрати'!C24+'[1]накладні витрати'!C24</f>
        <v>0</v>
      </c>
      <c r="D24" s="174">
        <f>'[2]накладні витрати'!D24+'[1]накладні витрати'!D24</f>
        <v>0</v>
      </c>
      <c r="E24" s="165">
        <f t="shared" si="1"/>
        <v>0</v>
      </c>
      <c r="F24" s="1018">
        <f>'[2]накладні витрати'!F24+'[1]накладні витрати'!F24</f>
        <v>7000</v>
      </c>
      <c r="G24" s="174">
        <f>'[2]накладні витрати'!G24+'[1]накладні витрати'!G24</f>
        <v>0</v>
      </c>
      <c r="H24" s="165">
        <f t="shared" si="2"/>
        <v>-7000</v>
      </c>
      <c r="I24" s="163">
        <f t="shared" si="0"/>
        <v>7000</v>
      </c>
      <c r="J24" s="163">
        <f t="shared" si="0"/>
        <v>0</v>
      </c>
      <c r="K24" s="165">
        <f t="shared" si="3"/>
        <v>-7000</v>
      </c>
    </row>
    <row r="25" spans="1:11" ht="15" customHeight="1" x14ac:dyDescent="0.3">
      <c r="A25" s="169" t="s">
        <v>908</v>
      </c>
      <c r="B25" s="160" t="s">
        <v>909</v>
      </c>
      <c r="C25" s="1018">
        <f>'[2]накладні витрати'!C25+'[1]накладні витрати'!C25</f>
        <v>15600</v>
      </c>
      <c r="D25" s="174">
        <f>'[2]накладні витрати'!D25+'[1]накладні витрати'!D25</f>
        <v>0</v>
      </c>
      <c r="E25" s="165">
        <f t="shared" si="1"/>
        <v>-15600</v>
      </c>
      <c r="F25" s="1018">
        <f>'[2]накладні витрати'!F25+'[1]накладні витрати'!F25</f>
        <v>17400</v>
      </c>
      <c r="G25" s="174">
        <f>'[2]накладні витрати'!G25+'[1]накладні витрати'!G25</f>
        <v>19456</v>
      </c>
      <c r="H25" s="165">
        <f t="shared" si="2"/>
        <v>2056</v>
      </c>
      <c r="I25" s="163">
        <f t="shared" si="0"/>
        <v>33000</v>
      </c>
      <c r="J25" s="163">
        <f t="shared" si="0"/>
        <v>19456</v>
      </c>
      <c r="K25" s="165">
        <f t="shared" si="3"/>
        <v>-13544</v>
      </c>
    </row>
    <row r="26" spans="1:11" ht="15" customHeight="1" x14ac:dyDescent="0.3">
      <c r="A26" s="169" t="s">
        <v>910</v>
      </c>
      <c r="B26" s="160" t="s">
        <v>929</v>
      </c>
      <c r="C26" s="1018">
        <f>'[2]накладні витрати'!C26+'[1]накладні витрати'!C26</f>
        <v>36800</v>
      </c>
      <c r="D26" s="174">
        <f>'[2]накладні витрати'!D26+'[1]накладні витрати'!D26</f>
        <v>30000</v>
      </c>
      <c r="E26" s="165">
        <f t="shared" si="1"/>
        <v>-6800</v>
      </c>
      <c r="F26" s="1018">
        <f>'[2]накладні витрати'!F26+'[1]накладні витрати'!F26</f>
        <v>66000</v>
      </c>
      <c r="G26" s="174">
        <f>'[2]накладні витрати'!G26+'[1]накладні витрати'!G26</f>
        <v>62920</v>
      </c>
      <c r="H26" s="165">
        <f t="shared" si="2"/>
        <v>-3080</v>
      </c>
      <c r="I26" s="163">
        <f t="shared" si="0"/>
        <v>102800</v>
      </c>
      <c r="J26" s="163">
        <f t="shared" si="0"/>
        <v>92920</v>
      </c>
      <c r="K26" s="165">
        <f t="shared" si="3"/>
        <v>-9880</v>
      </c>
    </row>
    <row r="27" spans="1:11" ht="15" customHeight="1" x14ac:dyDescent="0.3">
      <c r="A27" s="169" t="s">
        <v>911</v>
      </c>
      <c r="B27" s="160" t="s">
        <v>912</v>
      </c>
      <c r="C27" s="1018">
        <f>'[2]накладні витрати'!C27+'[1]накладні витрати'!C27</f>
        <v>949636</v>
      </c>
      <c r="D27" s="174">
        <f>'[2]накладні витрати'!D27+'[1]накладні витрати'!D27</f>
        <v>938524</v>
      </c>
      <c r="E27" s="165">
        <f t="shared" si="1"/>
        <v>-11112</v>
      </c>
      <c r="F27" s="1018">
        <f>'[2]накладні витрати'!F27+'[1]накладні витрати'!F27</f>
        <v>0</v>
      </c>
      <c r="G27" s="174">
        <f>'[2]накладні витрати'!G27+'[1]накладні витрати'!G27</f>
        <v>0</v>
      </c>
      <c r="H27" s="165">
        <f t="shared" si="2"/>
        <v>0</v>
      </c>
      <c r="I27" s="163">
        <f t="shared" si="0"/>
        <v>949636</v>
      </c>
      <c r="J27" s="163">
        <f t="shared" si="0"/>
        <v>938524</v>
      </c>
      <c r="K27" s="165">
        <f t="shared" si="3"/>
        <v>-11112</v>
      </c>
    </row>
    <row r="28" spans="1:11" ht="15" customHeight="1" x14ac:dyDescent="0.3">
      <c r="A28" s="169" t="s">
        <v>913</v>
      </c>
      <c r="B28" s="160" t="s">
        <v>914</v>
      </c>
      <c r="C28" s="1018">
        <f>'[2]накладні витрати'!C28+'[1]накладні витрати'!C28</f>
        <v>0</v>
      </c>
      <c r="D28" s="174">
        <f>'[2]накладні витрати'!D28+'[1]накладні витрати'!D28</f>
        <v>0</v>
      </c>
      <c r="E28" s="165">
        <f t="shared" si="1"/>
        <v>0</v>
      </c>
      <c r="F28" s="1018">
        <f>'[2]накладні витрати'!F28+'[1]накладні витрати'!F28</f>
        <v>104230</v>
      </c>
      <c r="G28" s="174">
        <f>'[2]накладні витрати'!G28+'[1]накладні витрати'!G28</f>
        <v>105618</v>
      </c>
      <c r="H28" s="165">
        <f t="shared" si="2"/>
        <v>1388</v>
      </c>
      <c r="I28" s="163">
        <f t="shared" si="0"/>
        <v>104230</v>
      </c>
      <c r="J28" s="163">
        <f t="shared" si="0"/>
        <v>105618</v>
      </c>
      <c r="K28" s="165">
        <f t="shared" si="3"/>
        <v>1388</v>
      </c>
    </row>
    <row r="29" spans="1:11" ht="15" customHeight="1" x14ac:dyDescent="0.3">
      <c r="A29" s="169" t="s">
        <v>915</v>
      </c>
      <c r="B29" s="160" t="s">
        <v>916</v>
      </c>
      <c r="C29" s="1018">
        <f>'[2]накладні витрати'!C29+'[1]накладні витрати'!C29</f>
        <v>0</v>
      </c>
      <c r="D29" s="174">
        <f>'[2]накладні витрати'!D29+'[1]накладні витрати'!D29</f>
        <v>0</v>
      </c>
      <c r="E29" s="165">
        <f t="shared" si="1"/>
        <v>0</v>
      </c>
      <c r="F29" s="1018">
        <f>'[2]накладні витрати'!F29+'[1]накладні витрати'!F29</f>
        <v>118910</v>
      </c>
      <c r="G29" s="174">
        <f>'[2]накладні витрати'!G29+'[1]накладні витрати'!G29</f>
        <v>185383</v>
      </c>
      <c r="H29" s="165">
        <f t="shared" si="2"/>
        <v>66473</v>
      </c>
      <c r="I29" s="163">
        <f t="shared" si="0"/>
        <v>118910</v>
      </c>
      <c r="J29" s="163">
        <f t="shared" si="0"/>
        <v>185383</v>
      </c>
      <c r="K29" s="165">
        <f t="shared" si="3"/>
        <v>66473</v>
      </c>
    </row>
    <row r="30" spans="1:11" ht="15" customHeight="1" x14ac:dyDescent="0.3">
      <c r="A30" s="169" t="s">
        <v>917</v>
      </c>
      <c r="B30" s="160" t="s">
        <v>1788</v>
      </c>
      <c r="C30" s="1018">
        <f>'[2]накладні витрати'!C30+'[1]накладні витрати'!C30</f>
        <v>281934</v>
      </c>
      <c r="D30" s="174">
        <f>'[2]накладні витрати'!D30+'[1]накладні витрати'!D30</f>
        <v>274416</v>
      </c>
      <c r="E30" s="165">
        <f t="shared" si="1"/>
        <v>-7518</v>
      </c>
      <c r="F30" s="1018">
        <f>'[2]накладні витрати'!F30+'[1]накладні витрати'!F30</f>
        <v>99000</v>
      </c>
      <c r="G30" s="174">
        <f>'[2]накладні витрати'!G30+'[1]накладні витрати'!G30</f>
        <v>1618</v>
      </c>
      <c r="H30" s="165">
        <f t="shared" si="2"/>
        <v>-97382</v>
      </c>
      <c r="I30" s="163">
        <f t="shared" si="0"/>
        <v>380934</v>
      </c>
      <c r="J30" s="163">
        <f t="shared" si="0"/>
        <v>276034</v>
      </c>
      <c r="K30" s="165">
        <f t="shared" si="3"/>
        <v>-104900</v>
      </c>
    </row>
    <row r="31" spans="1:11" ht="15" customHeight="1" x14ac:dyDescent="0.3">
      <c r="A31" s="169" t="s">
        <v>918</v>
      </c>
      <c r="B31" s="160" t="s">
        <v>919</v>
      </c>
      <c r="C31" s="1018">
        <f>'[2]накладні витрати'!C31+'[1]накладні витрати'!C31</f>
        <v>295400</v>
      </c>
      <c r="D31" s="174">
        <f>'[2]накладні витрати'!D31+'[1]накладні витрати'!D31</f>
        <v>169413</v>
      </c>
      <c r="E31" s="165">
        <f t="shared" si="1"/>
        <v>-125987</v>
      </c>
      <c r="F31" s="1018">
        <f>'[2]накладні витрати'!F31+'[1]накладні витрати'!F31</f>
        <v>2500</v>
      </c>
      <c r="G31" s="174">
        <f>'[2]накладні витрати'!G31+'[1]накладні витрати'!G31</f>
        <v>6861</v>
      </c>
      <c r="H31" s="165">
        <f t="shared" si="2"/>
        <v>4361</v>
      </c>
      <c r="I31" s="163">
        <f t="shared" si="0"/>
        <v>297900</v>
      </c>
      <c r="J31" s="163">
        <f t="shared" si="0"/>
        <v>176274</v>
      </c>
      <c r="K31" s="165">
        <f t="shared" si="3"/>
        <v>-121626</v>
      </c>
    </row>
    <row r="32" spans="1:11" ht="15" customHeight="1" x14ac:dyDescent="0.3">
      <c r="A32" s="169" t="s">
        <v>920</v>
      </c>
      <c r="B32" s="160" t="s">
        <v>921</v>
      </c>
      <c r="C32" s="1018">
        <f>'[2]накладні витрати'!C32+'[1]накладні витрати'!C32</f>
        <v>146000</v>
      </c>
      <c r="D32" s="174">
        <f>'[2]накладні витрати'!D32+'[1]накладні витрати'!D32</f>
        <v>83646</v>
      </c>
      <c r="E32" s="165">
        <f t="shared" si="1"/>
        <v>-62354</v>
      </c>
      <c r="F32" s="1018">
        <f>'[2]накладні витрати'!F32+'[1]накладні витрати'!F32</f>
        <v>56760</v>
      </c>
      <c r="G32" s="174">
        <f>'[2]накладні витрати'!G32+'[1]накладні витрати'!G32</f>
        <v>11895</v>
      </c>
      <c r="H32" s="165">
        <f t="shared" si="2"/>
        <v>-44865</v>
      </c>
      <c r="I32" s="163">
        <f>C32+F32</f>
        <v>202760</v>
      </c>
      <c r="J32" s="163">
        <f>D32+G32</f>
        <v>95541</v>
      </c>
      <c r="K32" s="165">
        <f t="shared" si="3"/>
        <v>-107219</v>
      </c>
    </row>
    <row r="33" spans="1:11" s="15" customFormat="1" ht="15" customHeight="1" x14ac:dyDescent="0.3">
      <c r="A33" s="171"/>
      <c r="B33" s="162" t="s">
        <v>922</v>
      </c>
      <c r="C33" s="1019">
        <f>C7+C8+C9+C10+C11+C12+C13+C14+C15+C19+C20+C21+C22+C23+C24+C25+C26+C27+C28+C29+C30+C31+C32</f>
        <v>13502567</v>
      </c>
      <c r="D33" s="22">
        <f>D7+D8+D9+D10+D11+D12+D13+D14+D15+D19+D20+D21+D22+D23+D24+D25+D26+D27+D28+D29+D30+D31+D32</f>
        <v>13157160</v>
      </c>
      <c r="E33" s="167">
        <f t="shared" si="1"/>
        <v>-345407</v>
      </c>
      <c r="F33" s="1019">
        <f>F7+F8+F9+F10+F11+F12+F13+F14+F15+F19+F20+F21+F22+F23+F24+F25+F26+F27+F28+F29+F30+F31+F32</f>
        <v>5672514</v>
      </c>
      <c r="G33" s="22">
        <f>G7+G8+G9+G10+G11+G12+G13+G14+G15+G19+G20+G21+G22+G23+G24+G25+G26+G27+G28+G29+G30+G31+G32</f>
        <v>6544485</v>
      </c>
      <c r="H33" s="167">
        <f t="shared" si="2"/>
        <v>871971</v>
      </c>
      <c r="I33" s="164">
        <f>I7+I8+I9+I10+I11+I12+I13+I14+I15+I19+I20+I21+I22+I23+I24+I25+I26+I27+I28+I29+I30+I31+I32</f>
        <v>19175081</v>
      </c>
      <c r="J33" s="164">
        <f>J7+J8+J9+J10+J11+J12+J13+J14+J15+J19+J20+J21+J22+J23+J24+J25+J26+J27+J28+J29+J30+J31+J32</f>
        <v>19701645</v>
      </c>
      <c r="K33" s="167">
        <f t="shared" si="3"/>
        <v>526564</v>
      </c>
    </row>
    <row r="34" spans="1:11" s="16" customFormat="1" ht="25.95" customHeight="1" thickBot="1" x14ac:dyDescent="0.35">
      <c r="A34" s="181"/>
      <c r="B34" s="182" t="s">
        <v>923</v>
      </c>
      <c r="C34" s="1018">
        <f>'[2]накладні витрати'!C34+'[1]накладні витрати'!C34</f>
        <v>577940</v>
      </c>
      <c r="D34" s="174">
        <f>'[2]накладні витрати'!D34+'[1]накладні витрати'!D34</f>
        <v>1125213</v>
      </c>
      <c r="E34" s="183">
        <f t="shared" si="1"/>
        <v>547273</v>
      </c>
      <c r="F34" s="1018">
        <f>'[2]накладні витрати'!F34+'[1]накладні витрати'!F34</f>
        <v>6000</v>
      </c>
      <c r="G34" s="174">
        <f>'[2]накладні витрати'!G34+'[1]накладні витрати'!G34</f>
        <v>55785</v>
      </c>
      <c r="H34" s="183">
        <f t="shared" si="2"/>
        <v>49785</v>
      </c>
      <c r="I34" s="184">
        <f>C34+F34</f>
        <v>583940</v>
      </c>
      <c r="J34" s="184">
        <f>D34+G34</f>
        <v>1180998</v>
      </c>
      <c r="K34" s="183">
        <f t="shared" si="3"/>
        <v>597058</v>
      </c>
    </row>
    <row r="35" spans="1:11" ht="20.100000000000001" customHeight="1" thickBot="1" x14ac:dyDescent="0.35">
      <c r="A35" s="185"/>
      <c r="B35" s="186" t="s">
        <v>924</v>
      </c>
      <c r="C35" s="1020">
        <f>C33-C34</f>
        <v>12924627</v>
      </c>
      <c r="D35" s="187">
        <f>D33-D34</f>
        <v>12031947</v>
      </c>
      <c r="E35" s="188">
        <f t="shared" si="1"/>
        <v>-892680</v>
      </c>
      <c r="F35" s="1020">
        <f>F33-F34</f>
        <v>5666514</v>
      </c>
      <c r="G35" s="187">
        <f>G33-G34</f>
        <v>6488700</v>
      </c>
      <c r="H35" s="188">
        <f t="shared" si="2"/>
        <v>822186</v>
      </c>
      <c r="I35" s="189">
        <f>I33-I34</f>
        <v>18591141</v>
      </c>
      <c r="J35" s="189">
        <f>J33-J34</f>
        <v>18520647</v>
      </c>
      <c r="K35" s="188">
        <f t="shared" si="3"/>
        <v>-70494</v>
      </c>
    </row>
    <row r="36" spans="1:11" x14ac:dyDescent="0.3">
      <c r="C36" s="18"/>
      <c r="D36" s="18"/>
      <c r="E36" s="793">
        <f>D35/C35</f>
        <v>0.93093185590578353</v>
      </c>
      <c r="H36" s="793">
        <f>G35/F35</f>
        <v>1.1450955561038056</v>
      </c>
      <c r="J36" s="400">
        <f>J35/I35</f>
        <v>0.99620819399949689</v>
      </c>
    </row>
    <row r="39" spans="1:11" x14ac:dyDescent="0.3">
      <c r="B39" s="15" t="s">
        <v>873</v>
      </c>
      <c r="C39" s="15"/>
      <c r="D39" s="15"/>
      <c r="E39" s="15"/>
      <c r="F39" s="15" t="s">
        <v>825</v>
      </c>
    </row>
    <row r="40" spans="1:11" x14ac:dyDescent="0.3">
      <c r="B40" s="15"/>
      <c r="C40" s="15"/>
      <c r="D40" s="15"/>
      <c r="E40" s="15"/>
      <c r="F40" s="15"/>
      <c r="J40" s="237"/>
    </row>
    <row r="41" spans="1:11" x14ac:dyDescent="0.3">
      <c r="B41" s="15" t="s">
        <v>874</v>
      </c>
      <c r="C41" s="19"/>
      <c r="D41" s="19"/>
      <c r="E41" s="19"/>
      <c r="F41" s="25" t="s">
        <v>826</v>
      </c>
      <c r="G41" s="25"/>
      <c r="H41" s="25"/>
    </row>
    <row r="42" spans="1:11" x14ac:dyDescent="0.3">
      <c r="G42" s="15"/>
      <c r="H42" s="15"/>
    </row>
    <row r="43" spans="1:11" x14ac:dyDescent="0.3">
      <c r="G43" s="26"/>
      <c r="H43" s="26"/>
    </row>
    <row r="44" spans="1:11" x14ac:dyDescent="0.3">
      <c r="C44" s="19"/>
      <c r="D44" s="19"/>
      <c r="E44" s="19"/>
    </row>
    <row r="46" spans="1:11" x14ac:dyDescent="0.3">
      <c r="B46" s="17" t="s">
        <v>1029</v>
      </c>
      <c r="C46" s="20"/>
      <c r="D46" s="20"/>
      <c r="E46" s="20"/>
      <c r="F46" s="20"/>
      <c r="G46" s="20"/>
      <c r="H46" s="20"/>
      <c r="I46" s="21">
        <f>'зведена таблиця'!C41-'накладні витрати'!I35</f>
        <v>45130786.096581742</v>
      </c>
      <c r="J46" s="21">
        <f>'зведена таблиця'!D41-'накладні витрати'!J35</f>
        <v>43657698.899170034</v>
      </c>
      <c r="K46" s="21">
        <f>J46-I46</f>
        <v>-1473087.1974117085</v>
      </c>
    </row>
    <row r="47" spans="1:11" x14ac:dyDescent="0.3">
      <c r="B47" s="17" t="s">
        <v>1030</v>
      </c>
      <c r="C47" s="20"/>
      <c r="D47" s="20"/>
      <c r="E47" s="20"/>
      <c r="F47" s="20"/>
      <c r="G47" s="20"/>
      <c r="H47" s="20"/>
      <c r="I47" s="21">
        <f>I35</f>
        <v>18591141</v>
      </c>
      <c r="J47" s="21">
        <f>J35</f>
        <v>18520647</v>
      </c>
      <c r="K47" s="21">
        <f>J47-I47</f>
        <v>-70494</v>
      </c>
    </row>
    <row r="48" spans="1:11" x14ac:dyDescent="0.3">
      <c r="B48" s="17"/>
      <c r="C48" s="20"/>
      <c r="D48" s="20"/>
      <c r="E48" s="20"/>
      <c r="F48" s="20"/>
      <c r="G48" s="20"/>
      <c r="H48" s="20"/>
      <c r="I48" s="22">
        <f>SUM(I46:I47)</f>
        <v>63721927.096581742</v>
      </c>
      <c r="J48" s="22">
        <f>SUM(J46:J47)</f>
        <v>62178345.899170034</v>
      </c>
      <c r="K48" s="22">
        <f>J48-I48</f>
        <v>-1543581.1974117085</v>
      </c>
    </row>
    <row r="50" spans="8:10" x14ac:dyDescent="0.3">
      <c r="H50" s="12" t="s">
        <v>1031</v>
      </c>
      <c r="I50" s="240">
        <f>I46/I48</f>
        <v>0.70824578214933975</v>
      </c>
      <c r="J50" s="240">
        <f>J46/J48</f>
        <v>0.702136704793763</v>
      </c>
    </row>
    <row r="51" spans="8:10" x14ac:dyDescent="0.3">
      <c r="H51" s="12" t="s">
        <v>1032</v>
      </c>
      <c r="I51" s="240">
        <f>I47/I48</f>
        <v>0.29175421785066025</v>
      </c>
      <c r="J51" s="240">
        <f>J47/J48</f>
        <v>0.297863295206237</v>
      </c>
    </row>
    <row r="53" spans="8:10" x14ac:dyDescent="0.3">
      <c r="I53" s="271">
        <f>'зведена таблиця'!C41</f>
        <v>63721927.096581742</v>
      </c>
      <c r="J53" s="271">
        <f>'зведена таблиця'!D41</f>
        <v>62178345.899170034</v>
      </c>
    </row>
  </sheetData>
  <mergeCells count="5">
    <mergeCell ref="C5:E5"/>
    <mergeCell ref="F5:H5"/>
    <mergeCell ref="I5:K5"/>
    <mergeCell ref="B5:B6"/>
    <mergeCell ref="A5:A6"/>
  </mergeCells>
  <pageMargins left="0.31496062992125984" right="0.31496062992125984" top="0.15748031496062992" bottom="0.15748031496062992" header="0.31496062992125984" footer="0.31496062992125984"/>
  <pageSetup paperSize="9" scale="85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611">
    <pageSetUpPr fitToPage="1"/>
  </sheetPr>
  <dimension ref="A1:BZ395"/>
  <sheetViews>
    <sheetView zoomScale="80" zoomScaleNormal="80" workbookViewId="0">
      <pane xSplit="1" ySplit="8" topLeftCell="BN363" activePane="bottomRight" state="frozen"/>
      <selection pane="topRight" activeCell="B1" sqref="B1"/>
      <selection pane="bottomLeft" activeCell="A8" sqref="A8"/>
      <selection pane="bottomRight" activeCell="BS368" sqref="BS368:BS369"/>
    </sheetView>
  </sheetViews>
  <sheetFormatPr defaultColWidth="8.6640625" defaultRowHeight="14.4" x14ac:dyDescent="0.3"/>
  <cols>
    <col min="1" max="1" width="38.5546875" style="1" customWidth="1"/>
    <col min="2" max="2" width="8.109375" style="1" customWidth="1"/>
    <col min="3" max="3" width="16.44140625" style="2" customWidth="1"/>
    <col min="4" max="4" width="12.109375" style="100" customWidth="1"/>
    <col min="5" max="5" width="14.33203125" style="2" customWidth="1"/>
    <col min="6" max="9" width="12.109375" style="2" customWidth="1"/>
    <col min="10" max="10" width="11.44140625" style="671" customWidth="1"/>
    <col min="11" max="11" width="13.33203125" style="2" customWidth="1"/>
    <col min="12" max="13" width="12.109375" style="1" customWidth="1"/>
    <col min="14" max="14" width="12.109375" style="101" customWidth="1"/>
    <col min="15" max="24" width="12.109375" style="1" customWidth="1"/>
    <col min="25" max="25" width="14.109375" style="1" customWidth="1"/>
    <col min="26" max="26" width="12.109375" style="101" customWidth="1"/>
    <col min="27" max="34" width="12.109375" style="1" customWidth="1"/>
    <col min="35" max="35" width="11.88671875" style="1" customWidth="1"/>
    <col min="36" max="40" width="12.109375" style="1" customWidth="1"/>
    <col min="41" max="41" width="11.5546875" style="1" customWidth="1"/>
    <col min="42" max="42" width="17.33203125" style="1" customWidth="1"/>
    <col min="43" max="43" width="15.88671875" style="406" customWidth="1"/>
    <col min="44" max="46" width="15.88671875" style="1" customWidth="1"/>
    <col min="47" max="47" width="14.88671875" style="1" customWidth="1"/>
    <col min="48" max="48" width="17.6640625" style="252" customWidth="1"/>
    <col min="49" max="49" width="15.6640625" style="243" customWidth="1"/>
    <col min="50" max="53" width="15.88671875" style="1" customWidth="1"/>
    <col min="54" max="54" width="19.88671875" style="4" customWidth="1"/>
    <col min="55" max="59" width="13" style="1" customWidth="1"/>
    <col min="60" max="60" width="16.44140625" style="241" customWidth="1"/>
    <col min="61" max="61" width="15.88671875" style="101" customWidth="1"/>
    <col min="62" max="62" width="15.88671875" style="1" customWidth="1"/>
    <col min="63" max="63" width="8.6640625" style="1" customWidth="1"/>
    <col min="64" max="64" width="25.5546875" style="1" customWidth="1"/>
    <col min="65" max="65" width="23.6640625" style="101" customWidth="1"/>
    <col min="66" max="66" width="8.6640625" style="1"/>
    <col min="67" max="67" width="29" style="1" customWidth="1"/>
    <col min="68" max="70" width="8.6640625" style="1"/>
    <col min="71" max="71" width="40.88671875" style="1" customWidth="1"/>
    <col min="72" max="72" width="8.6640625" style="1"/>
    <col min="73" max="73" width="10.33203125" style="1" customWidth="1"/>
    <col min="74" max="74" width="8.6640625" style="1"/>
    <col min="75" max="75" width="11.33203125" style="1" customWidth="1"/>
    <col min="76" max="76" width="8.6640625" style="1"/>
    <col min="77" max="78" width="18.88671875" style="2" customWidth="1"/>
    <col min="79" max="16384" width="8.6640625" style="1"/>
  </cols>
  <sheetData>
    <row r="1" spans="1:78" x14ac:dyDescent="0.3">
      <c r="A1" s="1" t="s">
        <v>0</v>
      </c>
      <c r="S1" s="2"/>
      <c r="V1" s="2"/>
      <c r="AF1" s="4"/>
      <c r="AI1" s="422"/>
      <c r="AL1" s="119"/>
      <c r="AQ1" s="403"/>
      <c r="AV1" s="251"/>
      <c r="AX1" s="1" t="s">
        <v>1588</v>
      </c>
    </row>
    <row r="2" spans="1:78" ht="22.2" customHeight="1" x14ac:dyDescent="0.3">
      <c r="A2" s="27" t="s">
        <v>1086</v>
      </c>
      <c r="J2" s="102" t="str">
        <f>місяць!A2</f>
        <v>2024 рік</v>
      </c>
      <c r="K2" s="794" t="s">
        <v>1789</v>
      </c>
      <c r="S2" s="2"/>
      <c r="V2" s="2"/>
      <c r="AF2" s="4"/>
      <c r="AI2" s="422"/>
      <c r="AL2" s="119"/>
      <c r="AQ2" s="404"/>
      <c r="AR2" s="779"/>
      <c r="AS2" s="396"/>
      <c r="AT2" s="396"/>
      <c r="AU2" s="437"/>
      <c r="AV2" s="437"/>
      <c r="AX2" s="395"/>
      <c r="BE2" s="385"/>
      <c r="BF2" s="385"/>
      <c r="BM2" s="245"/>
    </row>
    <row r="3" spans="1:78" s="4" customFormat="1" ht="15.6" x14ac:dyDescent="0.3">
      <c r="C3" s="119"/>
      <c r="D3" s="304"/>
      <c r="E3" s="119"/>
      <c r="F3" s="119"/>
      <c r="G3" s="119"/>
      <c r="H3" s="119"/>
      <c r="I3" s="119"/>
      <c r="J3" s="102"/>
      <c r="K3" s="119"/>
      <c r="N3" s="134"/>
      <c r="S3" s="136"/>
      <c r="V3" s="120"/>
      <c r="Y3" s="120"/>
      <c r="Z3" s="134"/>
      <c r="AC3" s="120"/>
      <c r="AF3" s="409"/>
      <c r="AI3" s="120"/>
      <c r="AL3" s="428"/>
      <c r="AQ3" s="405"/>
      <c r="AR3" s="428"/>
      <c r="AS3" s="397"/>
      <c r="AT3" s="397"/>
      <c r="AU3" s="437"/>
      <c r="AV3" s="666"/>
      <c r="AW3" s="437"/>
      <c r="AX3" s="394"/>
      <c r="AY3" s="120"/>
      <c r="BA3" s="120"/>
      <c r="BC3" s="790" t="s">
        <v>1791</v>
      </c>
      <c r="BD3" s="120"/>
      <c r="BE3" s="790"/>
      <c r="BF3" s="120"/>
      <c r="BH3" s="242"/>
      <c r="BI3" s="134"/>
      <c r="BK3" s="790"/>
      <c r="BM3" s="134"/>
      <c r="BY3" s="119"/>
      <c r="BZ3" s="119"/>
    </row>
    <row r="4" spans="1:78" ht="13.8" x14ac:dyDescent="0.3">
      <c r="A4" s="79" t="s">
        <v>966</v>
      </c>
      <c r="B4" s="117">
        <f>1045696/1251619</f>
        <v>0.83547469317739664</v>
      </c>
      <c r="C4" s="438"/>
      <c r="D4" s="101"/>
      <c r="E4" s="1"/>
      <c r="S4" s="2"/>
      <c r="V4" s="2"/>
      <c r="AF4" s="662" t="s">
        <v>1642</v>
      </c>
      <c r="AG4" s="663"/>
      <c r="AH4" s="664"/>
      <c r="AI4" s="422"/>
      <c r="AL4" s="304"/>
      <c r="AQ4" s="687"/>
      <c r="AR4" s="887" t="s">
        <v>1793</v>
      </c>
      <c r="AS4" s="775"/>
      <c r="AT4" s="775"/>
      <c r="AU4" s="775"/>
      <c r="AV4" s="560"/>
      <c r="AW4" s="244"/>
      <c r="BC4" s="115" t="s">
        <v>1792</v>
      </c>
      <c r="BH4" s="421"/>
      <c r="BK4" s="791"/>
    </row>
    <row r="5" spans="1:78" ht="21" customHeight="1" thickBot="1" x14ac:dyDescent="0.35">
      <c r="A5" s="79" t="s">
        <v>967</v>
      </c>
      <c r="B5" s="117">
        <f>661065/5135968</f>
        <v>0.12871283465940597</v>
      </c>
      <c r="C5" s="149">
        <f>B5</f>
        <v>0.12871283465940597</v>
      </c>
      <c r="D5" s="765" t="s">
        <v>1009</v>
      </c>
      <c r="E5" s="1"/>
      <c r="S5" s="2"/>
      <c r="V5" s="2"/>
      <c r="AF5" s="1323"/>
      <c r="AG5" s="1323"/>
      <c r="AH5" s="1323"/>
      <c r="AI5" s="1323"/>
      <c r="AJ5" s="1323"/>
      <c r="AK5" s="1323"/>
      <c r="AL5" s="155"/>
      <c r="AQ5" s="403"/>
      <c r="AR5" s="133"/>
      <c r="AS5" s="133"/>
      <c r="AT5" s="133"/>
      <c r="AU5" s="133"/>
      <c r="AV5" s="1356"/>
      <c r="AW5" s="1356"/>
      <c r="AX5" s="728"/>
      <c r="BB5" s="402"/>
      <c r="BE5" s="133"/>
      <c r="BH5" s="421"/>
      <c r="BK5" s="791"/>
    </row>
    <row r="6" spans="1:78" ht="14.7" customHeight="1" thickBot="1" x14ac:dyDescent="0.35">
      <c r="D6" s="101"/>
      <c r="F6" s="280" t="s">
        <v>1080</v>
      </c>
      <c r="H6" s="283">
        <v>1</v>
      </c>
      <c r="J6" s="447"/>
      <c r="M6" s="2"/>
      <c r="O6" s="2"/>
      <c r="Q6" s="2"/>
      <c r="S6" s="2"/>
      <c r="U6" s="2"/>
      <c r="W6" s="2"/>
      <c r="Y6" s="2"/>
      <c r="Z6" s="1"/>
      <c r="AA6" s="2"/>
      <c r="AC6" s="2"/>
      <c r="AE6" s="2"/>
      <c r="AF6" s="1324"/>
      <c r="AG6" s="1324"/>
      <c r="AH6" s="1324"/>
      <c r="AI6" s="1324"/>
      <c r="AJ6" s="1324"/>
      <c r="AK6" s="1324"/>
      <c r="AM6" s="2"/>
      <c r="AO6" s="2"/>
      <c r="AQ6" s="755"/>
      <c r="AR6" s="1328" t="s">
        <v>987</v>
      </c>
      <c r="AS6" s="1329"/>
      <c r="AT6" s="1329"/>
      <c r="AU6" s="1329"/>
      <c r="AV6" s="1330"/>
      <c r="AW6" s="1331"/>
      <c r="AX6" s="1336" t="s">
        <v>988</v>
      </c>
      <c r="AY6" s="1336"/>
      <c r="AZ6" s="756" t="s">
        <v>989</v>
      </c>
      <c r="BA6" s="757"/>
      <c r="BC6" s="1335" t="s">
        <v>990</v>
      </c>
      <c r="BD6" s="1336"/>
      <c r="BE6" s="1336"/>
      <c r="BF6" s="1336"/>
      <c r="BG6" s="1337"/>
      <c r="BH6" s="1337"/>
      <c r="BJ6" s="1326" t="s">
        <v>991</v>
      </c>
      <c r="BK6" s="791"/>
      <c r="BL6" s="280" t="s">
        <v>1785</v>
      </c>
      <c r="BM6" s="671" t="s">
        <v>1682</v>
      </c>
    </row>
    <row r="7" spans="1:78" ht="43.5" customHeight="1" thickBot="1" x14ac:dyDescent="0.35">
      <c r="A7" s="1365" t="s">
        <v>1</v>
      </c>
      <c r="B7" s="1367" t="s">
        <v>2</v>
      </c>
      <c r="C7" s="1375" t="s">
        <v>970</v>
      </c>
      <c r="D7" s="1369" t="s">
        <v>14</v>
      </c>
      <c r="E7" s="1370"/>
      <c r="F7" s="1370"/>
      <c r="G7" s="1370"/>
      <c r="H7" s="1370"/>
      <c r="I7" s="1370"/>
      <c r="J7" s="1370"/>
      <c r="K7" s="1371"/>
      <c r="L7" s="1369" t="s">
        <v>974</v>
      </c>
      <c r="M7" s="1370"/>
      <c r="N7" s="1370"/>
      <c r="O7" s="1370"/>
      <c r="P7" s="1370"/>
      <c r="Q7" s="1370"/>
      <c r="R7" s="1372"/>
      <c r="S7" s="1362" t="s">
        <v>959</v>
      </c>
      <c r="T7" s="1363"/>
      <c r="U7" s="1364"/>
      <c r="V7" s="1377" t="s">
        <v>962</v>
      </c>
      <c r="W7" s="1370"/>
      <c r="X7" s="1371"/>
      <c r="Y7" s="1362" t="s">
        <v>926</v>
      </c>
      <c r="Z7" s="1373"/>
      <c r="AA7" s="1363"/>
      <c r="AB7" s="1374"/>
      <c r="AC7" s="1362" t="s">
        <v>927</v>
      </c>
      <c r="AD7" s="1363"/>
      <c r="AE7" s="1364"/>
      <c r="AF7" s="1362" t="s">
        <v>964</v>
      </c>
      <c r="AG7" s="1363"/>
      <c r="AH7" s="1364"/>
      <c r="AI7" s="1373" t="s">
        <v>965</v>
      </c>
      <c r="AJ7" s="1363"/>
      <c r="AK7" s="1374"/>
      <c r="AL7" s="1362" t="s">
        <v>928</v>
      </c>
      <c r="AM7" s="1378"/>
      <c r="AN7" s="1363"/>
      <c r="AO7" s="1364"/>
      <c r="AQ7" s="1379" t="s">
        <v>992</v>
      </c>
      <c r="AR7" s="1340" t="s">
        <v>993</v>
      </c>
      <c r="AS7" s="1342" t="s">
        <v>994</v>
      </c>
      <c r="AT7" s="1344" t="s">
        <v>995</v>
      </c>
      <c r="AU7" s="1345"/>
      <c r="AV7" s="1347" t="s">
        <v>1794</v>
      </c>
      <c r="AW7" s="1332" t="s">
        <v>1783</v>
      </c>
      <c r="AX7" s="1350" t="s">
        <v>996</v>
      </c>
      <c r="AY7" s="1352" t="s">
        <v>997</v>
      </c>
      <c r="AZ7" s="1360" t="s">
        <v>994</v>
      </c>
      <c r="BA7" s="1354" t="s">
        <v>998</v>
      </c>
      <c r="BB7" s="1326"/>
      <c r="BC7" s="1325" t="s">
        <v>999</v>
      </c>
      <c r="BD7" s="1325" t="s">
        <v>1000</v>
      </c>
      <c r="BE7" s="1325" t="s">
        <v>1001</v>
      </c>
      <c r="BF7" s="1325" t="s">
        <v>1123</v>
      </c>
      <c r="BG7" s="1349" t="s">
        <v>1002</v>
      </c>
      <c r="BH7" s="1338" t="s">
        <v>1786</v>
      </c>
      <c r="BJ7" s="1327"/>
      <c r="BL7" s="300" t="s">
        <v>1784</v>
      </c>
      <c r="BM7" s="909" t="s">
        <v>1714</v>
      </c>
      <c r="BO7" s="1326" t="s">
        <v>1591</v>
      </c>
      <c r="BS7" s="1321" t="s">
        <v>1777</v>
      </c>
    </row>
    <row r="8" spans="1:78" ht="31.5" customHeight="1" thickBot="1" x14ac:dyDescent="0.35">
      <c r="A8" s="1366"/>
      <c r="B8" s="1368"/>
      <c r="C8" s="1376"/>
      <c r="D8" s="205" t="s">
        <v>951</v>
      </c>
      <c r="E8" s="28" t="s">
        <v>952</v>
      </c>
      <c r="F8" s="28" t="s">
        <v>953</v>
      </c>
      <c r="G8" s="28" t="s">
        <v>954</v>
      </c>
      <c r="H8" s="28" t="s">
        <v>955</v>
      </c>
      <c r="I8" s="28" t="s">
        <v>956</v>
      </c>
      <c r="J8" s="672" t="s">
        <v>963</v>
      </c>
      <c r="K8" s="121" t="s">
        <v>957</v>
      </c>
      <c r="L8" s="33" t="s">
        <v>951</v>
      </c>
      <c r="M8" s="28" t="s">
        <v>952</v>
      </c>
      <c r="N8" s="29" t="s">
        <v>953</v>
      </c>
      <c r="O8" s="28" t="s">
        <v>958</v>
      </c>
      <c r="P8" s="28" t="s">
        <v>955</v>
      </c>
      <c r="Q8" s="28" t="s">
        <v>956</v>
      </c>
      <c r="R8" s="910" t="s">
        <v>957</v>
      </c>
      <c r="S8" s="33" t="s">
        <v>960</v>
      </c>
      <c r="T8" s="28" t="s">
        <v>961</v>
      </c>
      <c r="U8" s="121" t="s">
        <v>957</v>
      </c>
      <c r="V8" s="799" t="s">
        <v>960</v>
      </c>
      <c r="W8" s="28" t="s">
        <v>961</v>
      </c>
      <c r="X8" s="121" t="s">
        <v>957</v>
      </c>
      <c r="Y8" s="33" t="s">
        <v>960</v>
      </c>
      <c r="Z8" s="135" t="s">
        <v>1008</v>
      </c>
      <c r="AA8" s="28" t="s">
        <v>961</v>
      </c>
      <c r="AB8" s="910" t="s">
        <v>957</v>
      </c>
      <c r="AC8" s="33" t="s">
        <v>960</v>
      </c>
      <c r="AD8" s="28" t="s">
        <v>961</v>
      </c>
      <c r="AE8" s="121" t="s">
        <v>957</v>
      </c>
      <c r="AF8" s="137" t="s">
        <v>960</v>
      </c>
      <c r="AG8" s="28" t="s">
        <v>961</v>
      </c>
      <c r="AH8" s="121" t="s">
        <v>957</v>
      </c>
      <c r="AI8" s="788" t="s">
        <v>960</v>
      </c>
      <c r="AJ8" s="28" t="s">
        <v>961</v>
      </c>
      <c r="AK8" s="910" t="s">
        <v>957</v>
      </c>
      <c r="AL8" s="137" t="s">
        <v>960</v>
      </c>
      <c r="AM8" s="28" t="s">
        <v>968</v>
      </c>
      <c r="AN8" s="28" t="s">
        <v>961</v>
      </c>
      <c r="AO8" s="121" t="s">
        <v>957</v>
      </c>
      <c r="AQ8" s="1380"/>
      <c r="AR8" s="1341"/>
      <c r="AS8" s="1343"/>
      <c r="AT8" s="912" t="s">
        <v>1003</v>
      </c>
      <c r="AU8" s="912" t="s">
        <v>1004</v>
      </c>
      <c r="AV8" s="1348"/>
      <c r="AW8" s="1333"/>
      <c r="AX8" s="1351"/>
      <c r="AY8" s="1353"/>
      <c r="AZ8" s="1361"/>
      <c r="BA8" s="1355"/>
      <c r="BB8" s="1334"/>
      <c r="BC8" s="1325"/>
      <c r="BD8" s="1325"/>
      <c r="BE8" s="1325"/>
      <c r="BF8" s="1325"/>
      <c r="BG8" s="1349"/>
      <c r="BH8" s="1339"/>
      <c r="BJ8" s="1334"/>
      <c r="BL8" s="28"/>
      <c r="BM8" s="672"/>
      <c r="BO8" s="1327"/>
      <c r="BS8" s="1322"/>
    </row>
    <row r="9" spans="1:78" ht="15" thickBot="1" x14ac:dyDescent="0.35">
      <c r="A9" s="250" t="s">
        <v>146</v>
      </c>
      <c r="B9" s="227">
        <v>2</v>
      </c>
      <c r="C9" s="39">
        <f>'[3]побудинковий звіт'!E9</f>
        <v>372.8</v>
      </c>
      <c r="D9" s="205">
        <f>(AQ9+AR9+AV9)*$AR$376</f>
        <v>229.02043535924227</v>
      </c>
      <c r="E9" s="104">
        <f>D9*$AR$379</f>
        <v>50.384537855560801</v>
      </c>
      <c r="F9" s="104">
        <f>AX9*$F$375+BM9+BK9</f>
        <v>280.84467298178083</v>
      </c>
      <c r="G9" s="104">
        <f>BL9</f>
        <v>0</v>
      </c>
      <c r="H9" s="104">
        <f>D9*$B$4</f>
        <v>191.34077796311675</v>
      </c>
      <c r="I9" s="104">
        <f>(D9+E9+F9+G9+H9)*$B$5</f>
        <v>96.73933399646036</v>
      </c>
      <c r="J9" s="672">
        <f t="shared" ref="J9:J72" si="0">F9*$J$376*-1</f>
        <v>0</v>
      </c>
      <c r="K9" s="139">
        <f>D9+E9+F9+G9+H9+I9-J9</f>
        <v>848.32975815616101</v>
      </c>
      <c r="L9" s="138">
        <f t="shared" ref="L9:L72" si="1">(AS9+AT9+AU9)*$AS$376</f>
        <v>74.675774608153276</v>
      </c>
      <c r="M9" s="104">
        <f t="shared" ref="M9:M72" si="2">L9*$AS$379</f>
        <v>16.428593087783838</v>
      </c>
      <c r="N9" s="29">
        <f>AY9+BA9</f>
        <v>7.2606504638278082</v>
      </c>
      <c r="O9" s="104">
        <f t="shared" ref="O9:O72" si="3">$O$369/$C$368*C9</f>
        <v>0.67115535238176849</v>
      </c>
      <c r="P9" s="104">
        <f>L9*$B$4</f>
        <v>62.389719878531288</v>
      </c>
      <c r="Q9" s="104">
        <f>(L9+M9+N9+O9+P9)*$B$5</f>
        <v>20.777584325741234</v>
      </c>
      <c r="R9" s="140">
        <f>SUM(L9:Q9)</f>
        <v>182.20347771641923</v>
      </c>
      <c r="S9" s="138">
        <f>BJ9*2.64/12</f>
        <v>0</v>
      </c>
      <c r="T9" s="104">
        <f t="shared" ref="T9:T72" si="4">S9*$B$5</f>
        <v>0</v>
      </c>
      <c r="U9" s="139">
        <f>T9+T9</f>
        <v>0</v>
      </c>
      <c r="V9" s="104"/>
      <c r="W9" s="104">
        <f>V9*$B$5</f>
        <v>0</v>
      </c>
      <c r="X9" s="139">
        <f>V9+W9</f>
        <v>0</v>
      </c>
      <c r="Y9" s="138">
        <v>0</v>
      </c>
      <c r="Z9" s="141">
        <v>0</v>
      </c>
      <c r="AA9" s="104">
        <f t="shared" ref="AA9:AA72" si="5">(Y9+Z9)*$B$5</f>
        <v>0</v>
      </c>
      <c r="AB9" s="139">
        <f t="shared" ref="AB9:AB72" si="6">Y9+Z9+AA9</f>
        <v>0</v>
      </c>
      <c r="AC9" s="138">
        <v>0</v>
      </c>
      <c r="AD9" s="104">
        <f>AC9*$B$5</f>
        <v>0</v>
      </c>
      <c r="AE9" s="139">
        <f>AC9+AD9</f>
        <v>0</v>
      </c>
      <c r="AF9" s="142">
        <v>0</v>
      </c>
      <c r="AG9" s="104">
        <f>AF9*$B$5</f>
        <v>0</v>
      </c>
      <c r="AH9" s="139">
        <f>AF9+AG9</f>
        <v>0</v>
      </c>
      <c r="AI9" s="142">
        <v>0</v>
      </c>
      <c r="AJ9" s="104">
        <f>AI9*$B$5</f>
        <v>0</v>
      </c>
      <c r="AK9" s="139">
        <f>AI9+AJ9</f>
        <v>0</v>
      </c>
      <c r="AL9" s="143"/>
      <c r="AM9" s="391"/>
      <c r="AN9" s="104">
        <f>AL9*$C$5</f>
        <v>0</v>
      </c>
      <c r="AO9" s="148">
        <f>AL9+AM9+AN9</f>
        <v>0</v>
      </c>
      <c r="AP9" s="559">
        <f>AR9+AS9+AT9</f>
        <v>249.3037693631052</v>
      </c>
      <c r="AQ9" s="669">
        <v>21.64</v>
      </c>
      <c r="AR9" s="401">
        <v>180.33417669235374</v>
      </c>
      <c r="AS9" s="401">
        <v>68.969592670751467</v>
      </c>
      <c r="AT9" s="401">
        <v>0</v>
      </c>
      <c r="AU9" s="401">
        <v>0</v>
      </c>
      <c r="AV9" s="727">
        <v>9.3896553210452502</v>
      </c>
      <c r="AW9" s="246"/>
      <c r="AX9" s="713">
        <f>BC9+BD9+BE9+BF9+BG9</f>
        <v>46.824672981780822</v>
      </c>
      <c r="AY9" s="714">
        <v>7.2606504638278082</v>
      </c>
      <c r="AZ9" s="715"/>
      <c r="BA9" s="716">
        <v>0</v>
      </c>
      <c r="BB9" s="727"/>
      <c r="BC9" s="712">
        <v>26.362500000000001</v>
      </c>
      <c r="BD9" s="712">
        <v>20.462172981780821</v>
      </c>
      <c r="BE9" s="712"/>
      <c r="BF9" s="712"/>
      <c r="BG9" s="712">
        <v>0</v>
      </c>
      <c r="BH9" s="712">
        <v>38.04296875</v>
      </c>
      <c r="BI9" s="134">
        <f>BC9+BD9+BE9+BG9</f>
        <v>46.824672981780822</v>
      </c>
      <c r="BJ9" s="122"/>
      <c r="BK9" s="792"/>
      <c r="BL9" s="104"/>
      <c r="BM9" s="672">
        <v>234.02</v>
      </c>
      <c r="BO9" s="562"/>
      <c r="BS9" s="879"/>
      <c r="BT9" s="774"/>
      <c r="BU9" s="774">
        <v>164.24113791428653</v>
      </c>
      <c r="BV9" s="774">
        <v>0</v>
      </c>
      <c r="BW9" s="774">
        <f>BU9+BV9</f>
        <v>164.24113791428653</v>
      </c>
    </row>
    <row r="10" spans="1:78" ht="15" thickBot="1" x14ac:dyDescent="0.35">
      <c r="A10" s="209" t="s">
        <v>239</v>
      </c>
      <c r="B10" s="227">
        <v>5</v>
      </c>
      <c r="C10" s="39">
        <f>'[3]побудинковий звіт'!E10</f>
        <v>1840.7</v>
      </c>
      <c r="D10" s="205">
        <f t="shared" ref="D10:D73" si="7">(AQ10+AR10+AV10)*$AR$376</f>
        <v>1067.6254814102276</v>
      </c>
      <c r="E10" s="104">
        <f t="shared" ref="E10:E73" si="8">D10*$AR$379</f>
        <v>234.87780205856697</v>
      </c>
      <c r="F10" s="104">
        <f t="shared" ref="F10:F73" si="9">AX10*$F$375+BM10+BK10</f>
        <v>56.279080443336802</v>
      </c>
      <c r="G10" s="104">
        <f t="shared" ref="G10:G73" si="10">BL10</f>
        <v>0</v>
      </c>
      <c r="H10" s="104">
        <f t="shared" ref="H10:H73" si="11">D10*$B$4</f>
        <v>891.97407150958031</v>
      </c>
      <c r="I10" s="104">
        <f t="shared" ref="I10:I73" si="12">(D10+E10+F10+G10+H10)*$B$5</f>
        <v>289.70124093102874</v>
      </c>
      <c r="J10" s="672">
        <f t="shared" si="0"/>
        <v>0</v>
      </c>
      <c r="K10" s="139">
        <f t="shared" ref="K10:K73" si="13">D10+E10+F10+G10+H10+I10-J10</f>
        <v>2540.4576763527402</v>
      </c>
      <c r="L10" s="138">
        <f t="shared" si="1"/>
        <v>588.96337036737577</v>
      </c>
      <c r="M10" s="104">
        <f t="shared" si="2"/>
        <v>129.57133161520514</v>
      </c>
      <c r="N10" s="29">
        <f t="shared" ref="N10:N73" si="14">AY10+BA10</f>
        <v>37.813438906123523</v>
      </c>
      <c r="O10" s="104">
        <f t="shared" si="3"/>
        <v>3.3138295523849819</v>
      </c>
      <c r="P10" s="104">
        <f t="shared" ref="P10:P73" si="15">L10*$B$4</f>
        <v>492.0639911504087</v>
      </c>
      <c r="Q10" s="104">
        <f t="shared" ref="Q10:Q73" si="16">(L10+M10+N10+O10+P10)*$B$5</f>
        <v>161.11319673321245</v>
      </c>
      <c r="R10" s="140">
        <f t="shared" ref="R10:R73" si="17">SUM(L10:Q10)</f>
        <v>1412.8391583247105</v>
      </c>
      <c r="S10" s="138">
        <f t="shared" ref="S10:S73" si="18">BJ10*2.64/12</f>
        <v>86.152000000000001</v>
      </c>
      <c r="T10" s="104">
        <f t="shared" si="4"/>
        <v>11.088868131577144</v>
      </c>
      <c r="U10" s="139">
        <f t="shared" ref="U10:U73" si="19">S10+T10</f>
        <v>97.240868131577145</v>
      </c>
      <c r="V10" s="104"/>
      <c r="W10" s="104">
        <f t="shared" ref="W10:W73" si="20">V10*$B$5</f>
        <v>0</v>
      </c>
      <c r="X10" s="139">
        <f t="shared" ref="X10:X73" si="21">V10+W10</f>
        <v>0</v>
      </c>
      <c r="Y10" s="138">
        <v>0</v>
      </c>
      <c r="Z10" s="141">
        <v>0</v>
      </c>
      <c r="AA10" s="104">
        <f t="shared" si="5"/>
        <v>0</v>
      </c>
      <c r="AB10" s="139">
        <f t="shared" si="6"/>
        <v>0</v>
      </c>
      <c r="AC10" s="138">
        <v>0</v>
      </c>
      <c r="AD10" s="104">
        <f t="shared" ref="AD10:AD73" si="22">AC10*$B$5</f>
        <v>0</v>
      </c>
      <c r="AE10" s="139">
        <f t="shared" ref="AE10:AE73" si="23">AC10+AD10</f>
        <v>0</v>
      </c>
      <c r="AF10" s="142">
        <v>99</v>
      </c>
      <c r="AG10" s="104">
        <f t="shared" ref="AG10:AG73" si="24">AF10*$B$5</f>
        <v>12.742570631281191</v>
      </c>
      <c r="AH10" s="139">
        <f t="shared" ref="AH10:AH73" si="25">AF10+AG10</f>
        <v>111.7425706312812</v>
      </c>
      <c r="AI10" s="142">
        <v>0</v>
      </c>
      <c r="AJ10" s="104">
        <f t="shared" ref="AJ10:AJ73" si="26">AI10*$B$5</f>
        <v>0</v>
      </c>
      <c r="AK10" s="139">
        <f t="shared" ref="AK10:AK73" si="27">AI10+AJ10</f>
        <v>0</v>
      </c>
      <c r="AL10" s="143">
        <f>318.75</f>
        <v>318.75</v>
      </c>
      <c r="AM10" s="143"/>
      <c r="AN10" s="104">
        <f t="shared" ref="AN10:AN73" si="28">AL10*$C$5</f>
        <v>41.027216047685656</v>
      </c>
      <c r="AO10" s="148">
        <f t="shared" ref="AO10:AO73" si="29">AL10+AM10+AN10</f>
        <v>359.77721604768567</v>
      </c>
      <c r="AP10" s="272">
        <f t="shared" ref="AP10:AP73" si="30">AR10+AS10+AT10</f>
        <v>1249.7146773577508</v>
      </c>
      <c r="AQ10" s="669">
        <v>279.56</v>
      </c>
      <c r="AR10" s="725">
        <v>705.75562282662042</v>
      </c>
      <c r="AS10" s="725">
        <v>530.14838172335328</v>
      </c>
      <c r="AT10" s="725">
        <v>13.81067280777703</v>
      </c>
      <c r="AU10" s="401">
        <v>0</v>
      </c>
      <c r="AV10" s="786"/>
      <c r="AW10" s="246"/>
      <c r="AX10" s="713">
        <f t="shared" ref="AX10:AX73" si="31">BC10+BD10+BE10+BF10+BG10</f>
        <v>56.279080443336802</v>
      </c>
      <c r="AY10" s="714">
        <v>37.813438906123523</v>
      </c>
      <c r="AZ10" s="715"/>
      <c r="BA10" s="716">
        <v>0</v>
      </c>
      <c r="BC10" s="712">
        <v>0</v>
      </c>
      <c r="BD10" s="712">
        <v>56.279080443336802</v>
      </c>
      <c r="BE10" s="712"/>
      <c r="BF10" s="712"/>
      <c r="BG10" s="712">
        <v>0</v>
      </c>
      <c r="BH10" s="712">
        <v>0</v>
      </c>
      <c r="BI10" s="134">
        <f>BC10+BD10+BE10+BG10</f>
        <v>56.279080443336802</v>
      </c>
      <c r="BJ10" s="123">
        <v>391.6</v>
      </c>
      <c r="BK10" s="792"/>
      <c r="BL10" s="104"/>
      <c r="BM10" s="672"/>
      <c r="BO10" s="562"/>
      <c r="BS10" s="879"/>
      <c r="BT10" s="774"/>
      <c r="BU10" s="774">
        <v>692.67337600729297</v>
      </c>
      <c r="BV10" s="774">
        <v>0</v>
      </c>
      <c r="BW10" s="774">
        <f t="shared" ref="BW10:BW73" si="32">BU10+BV10</f>
        <v>692.67337600729297</v>
      </c>
    </row>
    <row r="11" spans="1:78" ht="15" thickBot="1" x14ac:dyDescent="0.35">
      <c r="A11" s="209" t="s">
        <v>240</v>
      </c>
      <c r="B11" s="227">
        <v>5</v>
      </c>
      <c r="C11" s="39">
        <f>'[3]побудинковий звіт'!E11</f>
        <v>2805.68</v>
      </c>
      <c r="D11" s="205">
        <f t="shared" si="7"/>
        <v>1759.7424885109322</v>
      </c>
      <c r="E11" s="104">
        <f t="shared" si="8"/>
        <v>387.14367077915762</v>
      </c>
      <c r="F11" s="104">
        <f t="shared" si="9"/>
        <v>319.89795706396239</v>
      </c>
      <c r="G11" s="104">
        <f t="shared" si="10"/>
        <v>0</v>
      </c>
      <c r="H11" s="104">
        <f t="shared" si="11"/>
        <v>1470.2203156598996</v>
      </c>
      <c r="I11" s="104">
        <f t="shared" si="12"/>
        <v>506.74300051116035</v>
      </c>
      <c r="J11" s="672">
        <f t="shared" si="0"/>
        <v>0</v>
      </c>
      <c r="K11" s="139">
        <f t="shared" si="13"/>
        <v>4443.7474325251123</v>
      </c>
      <c r="L11" s="138">
        <f t="shared" si="1"/>
        <v>674.02251686983993</v>
      </c>
      <c r="M11" s="104">
        <f t="shared" si="2"/>
        <v>148.28425576786071</v>
      </c>
      <c r="N11" s="29">
        <f t="shared" si="14"/>
        <v>57.700674162406486</v>
      </c>
      <c r="O11" s="104">
        <f t="shared" si="3"/>
        <v>5.0510921380645923</v>
      </c>
      <c r="P11" s="104">
        <f t="shared" si="15"/>
        <v>563.12875547648616</v>
      </c>
      <c r="Q11" s="104">
        <f t="shared" si="16"/>
        <v>186.40029178184636</v>
      </c>
      <c r="R11" s="140">
        <f t="shared" si="17"/>
        <v>1634.5875861965044</v>
      </c>
      <c r="S11" s="138">
        <f t="shared" si="18"/>
        <v>126.39</v>
      </c>
      <c r="T11" s="104">
        <f t="shared" si="4"/>
        <v>16.268015172602322</v>
      </c>
      <c r="U11" s="139">
        <f t="shared" si="19"/>
        <v>142.65801517260232</v>
      </c>
      <c r="V11" s="104"/>
      <c r="W11" s="104">
        <f t="shared" si="20"/>
        <v>0</v>
      </c>
      <c r="X11" s="139">
        <f t="shared" si="21"/>
        <v>0</v>
      </c>
      <c r="Y11" s="138">
        <v>0</v>
      </c>
      <c r="Z11" s="141">
        <v>0</v>
      </c>
      <c r="AA11" s="104">
        <f t="shared" si="5"/>
        <v>0</v>
      </c>
      <c r="AB11" s="139">
        <f t="shared" si="6"/>
        <v>0</v>
      </c>
      <c r="AC11" s="138">
        <v>0</v>
      </c>
      <c r="AD11" s="104">
        <f t="shared" si="22"/>
        <v>0</v>
      </c>
      <c r="AE11" s="139">
        <f t="shared" si="23"/>
        <v>0</v>
      </c>
      <c r="AF11" s="142">
        <v>473</v>
      </c>
      <c r="AG11" s="104">
        <f t="shared" si="24"/>
        <v>60.881170793899024</v>
      </c>
      <c r="AH11" s="139">
        <f t="shared" si="25"/>
        <v>533.88117079389906</v>
      </c>
      <c r="AI11" s="142">
        <v>0</v>
      </c>
      <c r="AJ11" s="104">
        <f t="shared" si="26"/>
        <v>0</v>
      </c>
      <c r="AK11" s="139">
        <f t="shared" si="27"/>
        <v>0</v>
      </c>
      <c r="AL11" s="143">
        <v>3442.5</v>
      </c>
      <c r="AM11" s="143"/>
      <c r="AN11" s="104">
        <f t="shared" si="28"/>
        <v>443.09393331500507</v>
      </c>
      <c r="AO11" s="148">
        <f t="shared" si="29"/>
        <v>3885.593933315005</v>
      </c>
      <c r="AP11" s="272">
        <f t="shared" si="30"/>
        <v>1870.7816416017909</v>
      </c>
      <c r="AQ11" s="669">
        <v>375.81</v>
      </c>
      <c r="AR11" s="725">
        <v>1248.2630445954733</v>
      </c>
      <c r="AS11" s="725">
        <v>602.26630381593509</v>
      </c>
      <c r="AT11" s="725">
        <v>20.25229319038252</v>
      </c>
      <c r="AU11" s="401">
        <v>0</v>
      </c>
      <c r="AV11" s="786"/>
      <c r="AW11" s="246"/>
      <c r="AX11" s="713">
        <f t="shared" si="31"/>
        <v>85.877957063962384</v>
      </c>
      <c r="AY11" s="714">
        <v>57.700674162406486</v>
      </c>
      <c r="AZ11" s="715"/>
      <c r="BA11" s="716">
        <v>0</v>
      </c>
      <c r="BC11" s="712">
        <v>0</v>
      </c>
      <c r="BD11" s="712">
        <v>85.877957063962384</v>
      </c>
      <c r="BE11" s="712"/>
      <c r="BF11" s="712"/>
      <c r="BG11" s="712">
        <v>0</v>
      </c>
      <c r="BH11" s="712">
        <v>0</v>
      </c>
      <c r="BI11" s="134">
        <f>BC11+BD11+BE11+BG11</f>
        <v>85.877957063962384</v>
      </c>
      <c r="BJ11" s="123">
        <v>574.5</v>
      </c>
      <c r="BK11" s="792"/>
      <c r="BL11" s="104"/>
      <c r="BM11" s="672">
        <v>234.02</v>
      </c>
      <c r="BO11" s="562"/>
      <c r="BS11" s="879"/>
      <c r="BT11" s="774"/>
      <c r="BU11" s="774">
        <v>1069.1307965657356</v>
      </c>
      <c r="BV11" s="774">
        <v>0</v>
      </c>
      <c r="BW11" s="774">
        <f t="shared" si="32"/>
        <v>1069.1307965657356</v>
      </c>
    </row>
    <row r="12" spans="1:78" ht="15" thickBot="1" x14ac:dyDescent="0.35">
      <c r="A12" s="250" t="s">
        <v>338</v>
      </c>
      <c r="B12" s="227">
        <v>9</v>
      </c>
      <c r="C12" s="39">
        <f>'[3]побудинковий звіт'!E12</f>
        <v>6095.61</v>
      </c>
      <c r="D12" s="205">
        <f t="shared" si="7"/>
        <v>1138.842152802607</v>
      </c>
      <c r="E12" s="104">
        <f t="shared" si="8"/>
        <v>250.54548284909504</v>
      </c>
      <c r="F12" s="104">
        <f t="shared" si="9"/>
        <v>181.62877971506887</v>
      </c>
      <c r="G12" s="104">
        <f t="shared" si="10"/>
        <v>0</v>
      </c>
      <c r="H12" s="104">
        <f t="shared" si="11"/>
        <v>951.47379819024388</v>
      </c>
      <c r="I12" s="104">
        <f t="shared" si="12"/>
        <v>324.67686578753376</v>
      </c>
      <c r="J12" s="672">
        <f t="shared" si="0"/>
        <v>0</v>
      </c>
      <c r="K12" s="139">
        <f t="shared" si="13"/>
        <v>2847.1670793445487</v>
      </c>
      <c r="L12" s="138">
        <f t="shared" si="1"/>
        <v>1161.3450416595886</v>
      </c>
      <c r="M12" s="104">
        <f t="shared" si="2"/>
        <v>255.4947066040562</v>
      </c>
      <c r="N12" s="29">
        <f t="shared" si="14"/>
        <v>118.71572504226867</v>
      </c>
      <c r="O12" s="104">
        <f t="shared" si="3"/>
        <v>10.973984113551051</v>
      </c>
      <c r="P12" s="104">
        <f t="shared" si="15"/>
        <v>970.27439235363568</v>
      </c>
      <c r="Q12" s="104">
        <f t="shared" si="16"/>
        <v>323.94495778600151</v>
      </c>
      <c r="R12" s="140">
        <f t="shared" si="17"/>
        <v>2840.7488075591018</v>
      </c>
      <c r="S12" s="138">
        <f t="shared" si="18"/>
        <v>162.73400000000001</v>
      </c>
      <c r="T12" s="104">
        <f t="shared" si="4"/>
        <v>20.945954435463772</v>
      </c>
      <c r="U12" s="139">
        <f t="shared" si="19"/>
        <v>183.67995443546377</v>
      </c>
      <c r="V12" s="104"/>
      <c r="W12" s="104">
        <f t="shared" si="20"/>
        <v>0</v>
      </c>
      <c r="X12" s="139">
        <f t="shared" si="21"/>
        <v>0</v>
      </c>
      <c r="Y12" s="138">
        <v>4653.6499999999996</v>
      </c>
      <c r="Z12" s="141">
        <v>0</v>
      </c>
      <c r="AA12" s="104">
        <f t="shared" si="5"/>
        <v>598.98448301274459</v>
      </c>
      <c r="AB12" s="139">
        <f t="shared" si="6"/>
        <v>5252.6344830127446</v>
      </c>
      <c r="AC12" s="138">
        <v>0</v>
      </c>
      <c r="AD12" s="104">
        <f t="shared" si="22"/>
        <v>0</v>
      </c>
      <c r="AE12" s="139">
        <f t="shared" si="23"/>
        <v>0</v>
      </c>
      <c r="AF12" s="142">
        <v>1018.6</v>
      </c>
      <c r="AG12" s="104">
        <f t="shared" si="24"/>
        <v>131.10689338407093</v>
      </c>
      <c r="AH12" s="139">
        <f t="shared" si="25"/>
        <v>1149.706893384071</v>
      </c>
      <c r="AI12" s="142">
        <v>1529</v>
      </c>
      <c r="AJ12" s="104">
        <f t="shared" si="26"/>
        <v>196.80192419423173</v>
      </c>
      <c r="AK12" s="139">
        <f t="shared" si="27"/>
        <v>1725.8019241942318</v>
      </c>
      <c r="AL12" s="143"/>
      <c r="AM12" s="391"/>
      <c r="AN12" s="104">
        <f t="shared" si="28"/>
        <v>0</v>
      </c>
      <c r="AO12" s="148">
        <f t="shared" si="29"/>
        <v>0</v>
      </c>
      <c r="AP12" s="272">
        <f t="shared" si="30"/>
        <v>1802.4628428991603</v>
      </c>
      <c r="AQ12" s="669">
        <v>283.18</v>
      </c>
      <c r="AR12" s="401">
        <v>729.85937954367603</v>
      </c>
      <c r="AS12" s="401">
        <v>1041.1319742370436</v>
      </c>
      <c r="AT12" s="401">
        <v>31.47148911844053</v>
      </c>
      <c r="AU12" s="401">
        <v>0</v>
      </c>
      <c r="AV12" s="727">
        <v>38.002380538428675</v>
      </c>
      <c r="AW12" s="246"/>
      <c r="AX12" s="713">
        <f t="shared" si="31"/>
        <v>181.62877971506887</v>
      </c>
      <c r="AY12" s="714">
        <v>118.71572504226867</v>
      </c>
      <c r="AZ12" s="715"/>
      <c r="BA12" s="716">
        <v>0</v>
      </c>
      <c r="BB12" s="727"/>
      <c r="BC12" s="712">
        <v>26.362500000000001</v>
      </c>
      <c r="BD12" s="712">
        <v>155.26627971506886</v>
      </c>
      <c r="BE12" s="712"/>
      <c r="BF12" s="712"/>
      <c r="BG12" s="712">
        <v>0</v>
      </c>
      <c r="BH12" s="712">
        <v>38.04296875</v>
      </c>
      <c r="BI12" s="134">
        <f>BC12+BD12+BE12+BG12</f>
        <v>181.62877971506887</v>
      </c>
      <c r="BJ12" s="123">
        <v>739.7</v>
      </c>
      <c r="BK12" s="792"/>
      <c r="BL12" s="104"/>
      <c r="BM12" s="672"/>
      <c r="BO12" s="562"/>
      <c r="BS12" s="879"/>
      <c r="BT12" s="774"/>
      <c r="BU12" s="774">
        <v>1234.9814771371459</v>
      </c>
      <c r="BV12" s="774">
        <v>0</v>
      </c>
      <c r="BW12" s="774">
        <f t="shared" si="32"/>
        <v>1234.9814771371459</v>
      </c>
    </row>
    <row r="13" spans="1:78" ht="15" thickBot="1" x14ac:dyDescent="0.35">
      <c r="A13" s="250" t="s">
        <v>339</v>
      </c>
      <c r="B13" s="227">
        <v>9</v>
      </c>
      <c r="C13" s="39">
        <f>'[3]побудинковий звіт'!E13</f>
        <v>6316</v>
      </c>
      <c r="D13" s="205">
        <f t="shared" si="7"/>
        <v>2011.8240886707945</v>
      </c>
      <c r="E13" s="104">
        <f t="shared" si="8"/>
        <v>442.60166912774196</v>
      </c>
      <c r="F13" s="104">
        <f t="shared" si="9"/>
        <v>654.8672631450288</v>
      </c>
      <c r="G13" s="104">
        <f t="shared" si="10"/>
        <v>0</v>
      </c>
      <c r="H13" s="104">
        <f t="shared" si="11"/>
        <v>1680.8281132091277</v>
      </c>
      <c r="I13" s="104">
        <f t="shared" si="12"/>
        <v>616.5500695387218</v>
      </c>
      <c r="J13" s="672">
        <f t="shared" si="0"/>
        <v>0</v>
      </c>
      <c r="K13" s="139">
        <f t="shared" si="13"/>
        <v>5406.671203691415</v>
      </c>
      <c r="L13" s="138">
        <f t="shared" si="1"/>
        <v>2231.8134757307089</v>
      </c>
      <c r="M13" s="104">
        <f t="shared" si="2"/>
        <v>490.99665364045808</v>
      </c>
      <c r="N13" s="29">
        <f t="shared" si="14"/>
        <v>136.32206201667043</v>
      </c>
      <c r="O13" s="104">
        <f t="shared" si="3"/>
        <v>11.370754306982967</v>
      </c>
      <c r="P13" s="104">
        <f t="shared" si="15"/>
        <v>1864.6236788652932</v>
      </c>
      <c r="Q13" s="104">
        <f t="shared" si="16"/>
        <v>609.47157031835707</v>
      </c>
      <c r="R13" s="140">
        <f t="shared" si="17"/>
        <v>5344.5981948784711</v>
      </c>
      <c r="S13" s="138">
        <f t="shared" si="18"/>
        <v>200.398</v>
      </c>
      <c r="T13" s="104">
        <f t="shared" si="4"/>
        <v>25.793794640075639</v>
      </c>
      <c r="U13" s="139">
        <f t="shared" si="19"/>
        <v>226.19179464007564</v>
      </c>
      <c r="V13" s="104"/>
      <c r="W13" s="104">
        <f t="shared" si="20"/>
        <v>0</v>
      </c>
      <c r="X13" s="139">
        <f t="shared" si="21"/>
        <v>0</v>
      </c>
      <c r="Y13" s="138">
        <v>4653.6499999999996</v>
      </c>
      <c r="Z13" s="141">
        <v>0</v>
      </c>
      <c r="AA13" s="104">
        <f t="shared" si="5"/>
        <v>598.98448301274459</v>
      </c>
      <c r="AB13" s="139">
        <f t="shared" si="6"/>
        <v>5252.6344830127446</v>
      </c>
      <c r="AC13" s="138">
        <v>0</v>
      </c>
      <c r="AD13" s="104">
        <f t="shared" si="22"/>
        <v>0</v>
      </c>
      <c r="AE13" s="139">
        <f t="shared" si="23"/>
        <v>0</v>
      </c>
      <c r="AF13" s="142">
        <v>814</v>
      </c>
      <c r="AG13" s="104">
        <f t="shared" si="24"/>
        <v>104.77224741275646</v>
      </c>
      <c r="AH13" s="139">
        <f t="shared" si="25"/>
        <v>918.77224741275643</v>
      </c>
      <c r="AI13" s="142">
        <v>1221</v>
      </c>
      <c r="AJ13" s="104">
        <f t="shared" si="26"/>
        <v>157.1583711191347</v>
      </c>
      <c r="AK13" s="139">
        <f t="shared" si="27"/>
        <v>1378.1583711191347</v>
      </c>
      <c r="AL13" s="143"/>
      <c r="AM13" s="391"/>
      <c r="AN13" s="104">
        <f t="shared" si="28"/>
        <v>0</v>
      </c>
      <c r="AO13" s="148">
        <f t="shared" si="29"/>
        <v>0</v>
      </c>
      <c r="AP13" s="272">
        <f t="shared" si="30"/>
        <v>3511.6464706047072</v>
      </c>
      <c r="AQ13" s="669">
        <v>330.83</v>
      </c>
      <c r="AR13" s="401">
        <v>1450.3720192053793</v>
      </c>
      <c r="AS13" s="401">
        <v>1990.720170224912</v>
      </c>
      <c r="AT13" s="401">
        <v>70.554281174416403</v>
      </c>
      <c r="AU13" s="401">
        <v>0</v>
      </c>
      <c r="AV13" s="727">
        <v>75.518094226031224</v>
      </c>
      <c r="AW13" s="246"/>
      <c r="AX13" s="713">
        <f t="shared" si="31"/>
        <v>186.8372631450288</v>
      </c>
      <c r="AY13" s="714">
        <v>123.02206201667042</v>
      </c>
      <c r="AZ13" s="715"/>
      <c r="BA13" s="716">
        <v>13.3</v>
      </c>
      <c r="BB13" s="727"/>
      <c r="BC13" s="712">
        <v>26.362500000000001</v>
      </c>
      <c r="BD13" s="712">
        <v>160.47476314502879</v>
      </c>
      <c r="BE13" s="712"/>
      <c r="BF13" s="712"/>
      <c r="BG13" s="712">
        <v>0</v>
      </c>
      <c r="BH13" s="712">
        <v>38.04296875</v>
      </c>
      <c r="BI13" s="134">
        <f>BC13+BD13+BE13+BG13</f>
        <v>186.8372631450288</v>
      </c>
      <c r="BJ13" s="123">
        <v>910.9</v>
      </c>
      <c r="BK13" s="792"/>
      <c r="BL13" s="104"/>
      <c r="BM13" s="672">
        <v>468.03</v>
      </c>
      <c r="BO13" s="562"/>
      <c r="BS13" s="879"/>
      <c r="BT13" s="774"/>
      <c r="BU13" s="774">
        <v>910.29280794589476</v>
      </c>
      <c r="BV13" s="774">
        <v>178.33984000000001</v>
      </c>
      <c r="BW13" s="774">
        <f t="shared" si="32"/>
        <v>1088.6326479458949</v>
      </c>
    </row>
    <row r="14" spans="1:78" ht="15" thickBot="1" x14ac:dyDescent="0.35">
      <c r="A14" s="210" t="s">
        <v>33</v>
      </c>
      <c r="B14" s="228">
        <v>1</v>
      </c>
      <c r="C14" s="39">
        <f>'[3]побудинковий звіт'!E14</f>
        <v>263.3</v>
      </c>
      <c r="D14" s="205">
        <f t="shared" si="7"/>
        <v>0</v>
      </c>
      <c r="E14" s="104">
        <f t="shared" si="8"/>
        <v>0</v>
      </c>
      <c r="F14" s="104">
        <f t="shared" si="9"/>
        <v>0</v>
      </c>
      <c r="G14" s="104">
        <f t="shared" si="10"/>
        <v>0</v>
      </c>
      <c r="H14" s="104">
        <f t="shared" si="11"/>
        <v>0</v>
      </c>
      <c r="I14" s="104">
        <f t="shared" si="12"/>
        <v>0</v>
      </c>
      <c r="J14" s="672">
        <f t="shared" si="0"/>
        <v>0</v>
      </c>
      <c r="K14" s="139">
        <f t="shared" si="13"/>
        <v>0</v>
      </c>
      <c r="L14" s="138">
        <f t="shared" si="1"/>
        <v>0</v>
      </c>
      <c r="M14" s="104">
        <f t="shared" si="2"/>
        <v>0</v>
      </c>
      <c r="N14" s="29">
        <f t="shared" si="14"/>
        <v>0</v>
      </c>
      <c r="O14" s="104">
        <f t="shared" si="3"/>
        <v>0.47402147071384026</v>
      </c>
      <c r="P14" s="104">
        <f t="shared" si="15"/>
        <v>0</v>
      </c>
      <c r="Q14" s="104">
        <f t="shared" si="16"/>
        <v>6.1012647184998971E-2</v>
      </c>
      <c r="R14" s="140">
        <f t="shared" si="17"/>
        <v>0.53503411789883926</v>
      </c>
      <c r="S14" s="138">
        <f t="shared" si="18"/>
        <v>0</v>
      </c>
      <c r="T14" s="104">
        <f t="shared" si="4"/>
        <v>0</v>
      </c>
      <c r="U14" s="139">
        <f t="shared" si="19"/>
        <v>0</v>
      </c>
      <c r="V14" s="104"/>
      <c r="W14" s="104">
        <f t="shared" si="20"/>
        <v>0</v>
      </c>
      <c r="X14" s="139">
        <f t="shared" si="21"/>
        <v>0</v>
      </c>
      <c r="Y14" s="138">
        <v>0</v>
      </c>
      <c r="Z14" s="141">
        <v>0</v>
      </c>
      <c r="AA14" s="104">
        <f t="shared" si="5"/>
        <v>0</v>
      </c>
      <c r="AB14" s="139">
        <f t="shared" si="6"/>
        <v>0</v>
      </c>
      <c r="AC14" s="138">
        <v>0</v>
      </c>
      <c r="AD14" s="104">
        <f t="shared" si="22"/>
        <v>0</v>
      </c>
      <c r="AE14" s="139">
        <f t="shared" si="23"/>
        <v>0</v>
      </c>
      <c r="AF14" s="142">
        <v>0</v>
      </c>
      <c r="AG14" s="104">
        <f t="shared" si="24"/>
        <v>0</v>
      </c>
      <c r="AH14" s="139">
        <f t="shared" si="25"/>
        <v>0</v>
      </c>
      <c r="AI14" s="142">
        <v>0</v>
      </c>
      <c r="AJ14" s="104">
        <f t="shared" si="26"/>
        <v>0</v>
      </c>
      <c r="AK14" s="139">
        <f t="shared" si="27"/>
        <v>0</v>
      </c>
      <c r="AL14" s="143"/>
      <c r="AM14" s="205"/>
      <c r="AN14" s="104">
        <f t="shared" si="28"/>
        <v>0</v>
      </c>
      <c r="AO14" s="148">
        <f t="shared" si="29"/>
        <v>0</v>
      </c>
      <c r="AP14" s="272">
        <f t="shared" si="30"/>
        <v>0</v>
      </c>
      <c r="AQ14" s="669">
        <v>0</v>
      </c>
      <c r="AR14" s="401">
        <v>0</v>
      </c>
      <c r="AS14" s="401">
        <v>0</v>
      </c>
      <c r="AT14" s="401">
        <v>0</v>
      </c>
      <c r="AU14" s="401">
        <v>0</v>
      </c>
      <c r="AV14" s="727">
        <v>0</v>
      </c>
      <c r="AW14" s="246"/>
      <c r="AX14" s="713">
        <f t="shared" si="31"/>
        <v>0</v>
      </c>
      <c r="AY14" s="714">
        <v>0</v>
      </c>
      <c r="AZ14" s="715"/>
      <c r="BA14" s="716">
        <v>0</v>
      </c>
      <c r="BB14" s="727"/>
      <c r="BC14" s="712">
        <v>0</v>
      </c>
      <c r="BD14" s="712">
        <v>0</v>
      </c>
      <c r="BE14" s="712"/>
      <c r="BF14" s="712"/>
      <c r="BG14" s="712">
        <v>0</v>
      </c>
      <c r="BH14" s="712">
        <v>0</v>
      </c>
      <c r="BI14" s="134">
        <f>BC14+BD14+BE14+BG14+BH14</f>
        <v>0</v>
      </c>
      <c r="BJ14" s="123"/>
      <c r="BK14" s="792"/>
      <c r="BL14" s="104"/>
      <c r="BM14" s="672"/>
      <c r="BO14" s="562"/>
      <c r="BS14" s="879"/>
      <c r="BT14" s="774"/>
      <c r="BU14" s="774">
        <v>0</v>
      </c>
      <c r="BV14" s="774">
        <v>0</v>
      </c>
      <c r="BW14" s="774">
        <f t="shared" si="32"/>
        <v>0</v>
      </c>
    </row>
    <row r="15" spans="1:78" ht="15" thickBot="1" x14ac:dyDescent="0.35">
      <c r="A15" s="209" t="s">
        <v>340</v>
      </c>
      <c r="B15" s="227">
        <v>9</v>
      </c>
      <c r="C15" s="39">
        <f>'[3]побудинковий звіт'!E15</f>
        <v>4163.4000000000005</v>
      </c>
      <c r="D15" s="205">
        <f t="shared" si="7"/>
        <v>4101.7877403439725</v>
      </c>
      <c r="E15" s="104">
        <f t="shared" si="8"/>
        <v>902.39405647211345</v>
      </c>
      <c r="F15" s="104">
        <f t="shared" si="9"/>
        <v>125.96198523654091</v>
      </c>
      <c r="G15" s="104">
        <f t="shared" si="10"/>
        <v>0</v>
      </c>
      <c r="H15" s="104">
        <f t="shared" si="11"/>
        <v>3426.9398538426876</v>
      </c>
      <c r="I15" s="104">
        <f t="shared" si="12"/>
        <v>1101.4064911937021</v>
      </c>
      <c r="J15" s="672">
        <f t="shared" si="0"/>
        <v>0</v>
      </c>
      <c r="K15" s="139">
        <f t="shared" si="13"/>
        <v>9658.4901270890168</v>
      </c>
      <c r="L15" s="138">
        <f t="shared" si="1"/>
        <v>2114.5017941683391</v>
      </c>
      <c r="M15" s="104">
        <f t="shared" si="2"/>
        <v>465.18820517179739</v>
      </c>
      <c r="N15" s="29">
        <f t="shared" si="14"/>
        <v>68.441667073664291</v>
      </c>
      <c r="O15" s="104">
        <f t="shared" si="3"/>
        <v>7.4954082459931737</v>
      </c>
      <c r="P15" s="104">
        <f t="shared" si="15"/>
        <v>1766.6127377058478</v>
      </c>
      <c r="Q15" s="104">
        <f t="shared" si="16"/>
        <v>569.19902179326141</v>
      </c>
      <c r="R15" s="140">
        <f t="shared" si="17"/>
        <v>4991.4388341589038</v>
      </c>
      <c r="S15" s="138">
        <f t="shared" si="18"/>
        <v>127.16000000000001</v>
      </c>
      <c r="T15" s="104">
        <f t="shared" si="4"/>
        <v>16.367124055290066</v>
      </c>
      <c r="U15" s="139">
        <f t="shared" si="19"/>
        <v>143.52712405529007</v>
      </c>
      <c r="V15" s="104"/>
      <c r="W15" s="104">
        <f t="shared" si="20"/>
        <v>0</v>
      </c>
      <c r="X15" s="139">
        <f t="shared" si="21"/>
        <v>0</v>
      </c>
      <c r="Y15" s="138">
        <v>4308.93</v>
      </c>
      <c r="Z15" s="141">
        <v>0</v>
      </c>
      <c r="AA15" s="104">
        <f t="shared" si="5"/>
        <v>554.61459464895427</v>
      </c>
      <c r="AB15" s="139">
        <f t="shared" si="6"/>
        <v>4863.5445946489544</v>
      </c>
      <c r="AC15" s="138">
        <v>0</v>
      </c>
      <c r="AD15" s="104">
        <f t="shared" si="22"/>
        <v>0</v>
      </c>
      <c r="AE15" s="139">
        <f t="shared" si="23"/>
        <v>0</v>
      </c>
      <c r="AF15" s="142">
        <v>937.2</v>
      </c>
      <c r="AG15" s="104">
        <f t="shared" si="24"/>
        <v>120.62966864279528</v>
      </c>
      <c r="AH15" s="139">
        <f t="shared" si="25"/>
        <v>1057.8296686427952</v>
      </c>
      <c r="AI15" s="142">
        <v>1403.6</v>
      </c>
      <c r="AJ15" s="104">
        <f t="shared" si="26"/>
        <v>180.6613347279422</v>
      </c>
      <c r="AK15" s="139">
        <f t="shared" si="27"/>
        <v>1584.2613347279421</v>
      </c>
      <c r="AL15" s="143"/>
      <c r="AM15" s="143"/>
      <c r="AN15" s="104">
        <f t="shared" si="28"/>
        <v>0</v>
      </c>
      <c r="AO15" s="148">
        <f t="shared" si="29"/>
        <v>0</v>
      </c>
      <c r="AP15" s="272">
        <f t="shared" si="30"/>
        <v>5738.4824061904656</v>
      </c>
      <c r="AQ15" s="669">
        <v>0</v>
      </c>
      <c r="AR15" s="726">
        <v>3785.5555271508911</v>
      </c>
      <c r="AS15" s="726">
        <v>1892.3442465494757</v>
      </c>
      <c r="AT15" s="726">
        <v>60.582632490099016</v>
      </c>
      <c r="AU15" s="401">
        <v>0</v>
      </c>
      <c r="AV15" s="786"/>
      <c r="AW15" s="246"/>
      <c r="AX15" s="713">
        <f t="shared" si="31"/>
        <v>125.96198523654091</v>
      </c>
      <c r="AY15" s="714">
        <v>68.441667073664291</v>
      </c>
      <c r="AZ15" s="715"/>
      <c r="BA15" s="716">
        <v>0</v>
      </c>
      <c r="BC15" s="712">
        <v>0</v>
      </c>
      <c r="BD15" s="712">
        <v>125.96198523654091</v>
      </c>
      <c r="BE15" s="712"/>
      <c r="BF15" s="712"/>
      <c r="BG15" s="712">
        <v>0</v>
      </c>
      <c r="BH15" s="712">
        <v>12.268058515095651</v>
      </c>
      <c r="BI15" s="134">
        <f>BC15+BD15+BE15+BG15</f>
        <v>125.96198523654091</v>
      </c>
      <c r="BJ15" s="123">
        <v>578</v>
      </c>
      <c r="BK15" s="792"/>
      <c r="BL15" s="104"/>
      <c r="BM15" s="672"/>
      <c r="BO15" s="562"/>
      <c r="BS15" s="879"/>
      <c r="BT15" s="774"/>
      <c r="BU15" s="774">
        <v>3184.3886415131274</v>
      </c>
      <c r="BV15" s="774">
        <v>0</v>
      </c>
      <c r="BW15" s="774">
        <f t="shared" si="32"/>
        <v>3184.3886415131274</v>
      </c>
    </row>
    <row r="16" spans="1:78" ht="15" thickBot="1" x14ac:dyDescent="0.35">
      <c r="A16" s="209" t="s">
        <v>147</v>
      </c>
      <c r="B16" s="227">
        <v>2</v>
      </c>
      <c r="C16" s="39">
        <f>'[3]побудинковий звіт'!E16</f>
        <v>409.93</v>
      </c>
      <c r="D16" s="205">
        <f t="shared" si="7"/>
        <v>443.35570922520299</v>
      </c>
      <c r="E16" s="104">
        <f t="shared" si="8"/>
        <v>97.538337484584531</v>
      </c>
      <c r="F16" s="104">
        <f t="shared" si="9"/>
        <v>13.706118610767973</v>
      </c>
      <c r="G16" s="104">
        <f t="shared" si="10"/>
        <v>0</v>
      </c>
      <c r="H16" s="104">
        <f t="shared" si="11"/>
        <v>370.41247513337356</v>
      </c>
      <c r="I16" s="104">
        <f t="shared" si="12"/>
        <v>119.0609990486071</v>
      </c>
      <c r="J16" s="672">
        <f t="shared" si="0"/>
        <v>0</v>
      </c>
      <c r="K16" s="139">
        <f t="shared" si="13"/>
        <v>1044.073639502536</v>
      </c>
      <c r="L16" s="138">
        <f t="shared" si="1"/>
        <v>165.02028842669262</v>
      </c>
      <c r="M16" s="104">
        <f t="shared" si="2"/>
        <v>36.304292577031518</v>
      </c>
      <c r="N16" s="29">
        <f t="shared" si="14"/>
        <v>6.7586701141017063</v>
      </c>
      <c r="O16" s="104">
        <f t="shared" si="3"/>
        <v>0.73800084120670162</v>
      </c>
      <c r="P16" s="104">
        <f t="shared" si="15"/>
        <v>137.87027484133651</v>
      </c>
      <c r="Q16" s="104">
        <f t="shared" si="16"/>
        <v>44.623649166872916</v>
      </c>
      <c r="R16" s="140">
        <f t="shared" si="17"/>
        <v>391.31517596724194</v>
      </c>
      <c r="S16" s="138">
        <f t="shared" si="18"/>
        <v>0</v>
      </c>
      <c r="T16" s="104">
        <f t="shared" si="4"/>
        <v>0</v>
      </c>
      <c r="U16" s="139">
        <f t="shared" si="19"/>
        <v>0</v>
      </c>
      <c r="V16" s="104"/>
      <c r="W16" s="104">
        <f t="shared" si="20"/>
        <v>0</v>
      </c>
      <c r="X16" s="139">
        <f t="shared" si="21"/>
        <v>0</v>
      </c>
      <c r="Y16" s="138">
        <v>0</v>
      </c>
      <c r="Z16" s="141">
        <v>0</v>
      </c>
      <c r="AA16" s="104">
        <f t="shared" si="5"/>
        <v>0</v>
      </c>
      <c r="AB16" s="139">
        <f t="shared" si="6"/>
        <v>0</v>
      </c>
      <c r="AC16" s="138">
        <v>0</v>
      </c>
      <c r="AD16" s="104">
        <f t="shared" si="22"/>
        <v>0</v>
      </c>
      <c r="AE16" s="139">
        <f t="shared" si="23"/>
        <v>0</v>
      </c>
      <c r="AF16" s="142">
        <v>101.2</v>
      </c>
      <c r="AG16" s="104">
        <f t="shared" si="24"/>
        <v>13.025738867531885</v>
      </c>
      <c r="AH16" s="139">
        <f t="shared" si="25"/>
        <v>114.22573886753189</v>
      </c>
      <c r="AI16" s="142">
        <v>0</v>
      </c>
      <c r="AJ16" s="104">
        <f t="shared" si="26"/>
        <v>0</v>
      </c>
      <c r="AK16" s="139">
        <f t="shared" si="27"/>
        <v>0</v>
      </c>
      <c r="AL16" s="143">
        <v>446.25</v>
      </c>
      <c r="AM16" s="143"/>
      <c r="AN16" s="104">
        <f t="shared" si="28"/>
        <v>57.438102466759915</v>
      </c>
      <c r="AO16" s="148">
        <f t="shared" si="29"/>
        <v>503.68810246675991</v>
      </c>
      <c r="AP16" s="272">
        <f t="shared" si="30"/>
        <v>459.25530552171472</v>
      </c>
      <c r="AQ16" s="669">
        <v>102.33</v>
      </c>
      <c r="AR16" s="726">
        <v>306.8446725564657</v>
      </c>
      <c r="AS16" s="726">
        <v>152.41063296524902</v>
      </c>
      <c r="AT16" s="726">
        <v>0</v>
      </c>
      <c r="AU16" s="401">
        <v>0</v>
      </c>
      <c r="AV16" s="786"/>
      <c r="AW16" s="246"/>
      <c r="AX16" s="713">
        <f t="shared" si="31"/>
        <v>13.706118610767973</v>
      </c>
      <c r="AY16" s="714">
        <v>6.7586701141017063</v>
      </c>
      <c r="AZ16" s="715"/>
      <c r="BA16" s="716">
        <v>0</v>
      </c>
      <c r="BC16" s="712">
        <v>0</v>
      </c>
      <c r="BD16" s="712">
        <v>13.706118610767973</v>
      </c>
      <c r="BE16" s="712"/>
      <c r="BF16" s="712"/>
      <c r="BG16" s="712">
        <v>0</v>
      </c>
      <c r="BH16" s="712">
        <v>2.478751167189408</v>
      </c>
      <c r="BI16" s="134">
        <f>BC16+BD16+BE16+BG16</f>
        <v>13.706118610767973</v>
      </c>
      <c r="BJ16" s="123"/>
      <c r="BK16" s="792"/>
      <c r="BL16" s="104"/>
      <c r="BM16" s="672"/>
      <c r="BO16" s="562"/>
      <c r="BS16" s="879"/>
      <c r="BT16" s="774"/>
      <c r="BU16" s="774">
        <v>258.11348241456142</v>
      </c>
      <c r="BV16" s="774">
        <v>0</v>
      </c>
      <c r="BW16" s="774">
        <f t="shared" si="32"/>
        <v>258.11348241456142</v>
      </c>
    </row>
    <row r="17" spans="1:75" ht="15" thickBot="1" x14ac:dyDescent="0.35">
      <c r="A17" s="209" t="s">
        <v>148</v>
      </c>
      <c r="B17" s="227">
        <v>2</v>
      </c>
      <c r="C17" s="39">
        <f>'[3]побудинковий звіт'!E17</f>
        <v>403.93</v>
      </c>
      <c r="D17" s="205">
        <f t="shared" si="7"/>
        <v>431.50601879761211</v>
      </c>
      <c r="E17" s="104">
        <f t="shared" si="8"/>
        <v>94.931403413443192</v>
      </c>
      <c r="F17" s="104">
        <f t="shared" si="9"/>
        <v>12.641281586637714</v>
      </c>
      <c r="G17" s="104">
        <f t="shared" si="10"/>
        <v>0</v>
      </c>
      <c r="H17" s="104">
        <f t="shared" si="11"/>
        <v>360.51235865913492</v>
      </c>
      <c r="I17" s="104">
        <f t="shared" si="12"/>
        <v>115.78891568308502</v>
      </c>
      <c r="J17" s="672">
        <f t="shared" si="0"/>
        <v>0</v>
      </c>
      <c r="K17" s="139">
        <f t="shared" si="13"/>
        <v>1015.3799781399129</v>
      </c>
      <c r="L17" s="138">
        <f t="shared" si="1"/>
        <v>168.50901455835964</v>
      </c>
      <c r="M17" s="104">
        <f t="shared" si="2"/>
        <v>37.071808713457614</v>
      </c>
      <c r="N17" s="29">
        <f t="shared" si="14"/>
        <v>6.6412767148882246</v>
      </c>
      <c r="O17" s="104">
        <f t="shared" si="3"/>
        <v>0.7271989846769521</v>
      </c>
      <c r="P17" s="104">
        <f t="shared" si="15"/>
        <v>140.78501723577099</v>
      </c>
      <c r="Q17" s="104">
        <f t="shared" si="16"/>
        <v>45.530146555329367</v>
      </c>
      <c r="R17" s="140">
        <f t="shared" si="17"/>
        <v>399.26446276248282</v>
      </c>
      <c r="S17" s="138">
        <f t="shared" si="18"/>
        <v>0</v>
      </c>
      <c r="T17" s="104">
        <f t="shared" si="4"/>
        <v>0</v>
      </c>
      <c r="U17" s="139">
        <f t="shared" si="19"/>
        <v>0</v>
      </c>
      <c r="V17" s="104"/>
      <c r="W17" s="104">
        <f t="shared" si="20"/>
        <v>0</v>
      </c>
      <c r="X17" s="139">
        <f t="shared" si="21"/>
        <v>0</v>
      </c>
      <c r="Y17" s="138">
        <v>0</v>
      </c>
      <c r="Z17" s="141">
        <v>0</v>
      </c>
      <c r="AA17" s="104">
        <f t="shared" si="5"/>
        <v>0</v>
      </c>
      <c r="AB17" s="139">
        <f t="shared" si="6"/>
        <v>0</v>
      </c>
      <c r="AC17" s="138">
        <v>0</v>
      </c>
      <c r="AD17" s="104">
        <f t="shared" si="22"/>
        <v>0</v>
      </c>
      <c r="AE17" s="139">
        <f t="shared" si="23"/>
        <v>0</v>
      </c>
      <c r="AF17" s="142">
        <v>105.6</v>
      </c>
      <c r="AG17" s="104">
        <f t="shared" si="24"/>
        <v>13.59207534003327</v>
      </c>
      <c r="AH17" s="139">
        <f t="shared" si="25"/>
        <v>119.19207534003327</v>
      </c>
      <c r="AI17" s="142">
        <v>0</v>
      </c>
      <c r="AJ17" s="104">
        <f t="shared" si="26"/>
        <v>0</v>
      </c>
      <c r="AK17" s="139">
        <f t="shared" si="27"/>
        <v>0</v>
      </c>
      <c r="AL17" s="143">
        <v>510</v>
      </c>
      <c r="AM17" s="143"/>
      <c r="AN17" s="104">
        <f t="shared" si="28"/>
        <v>65.643545676297052</v>
      </c>
      <c r="AO17" s="148">
        <f t="shared" si="29"/>
        <v>575.64354567629709</v>
      </c>
      <c r="AP17" s="272">
        <f t="shared" si="30"/>
        <v>404.3113240407439</v>
      </c>
      <c r="AQ17" s="669">
        <v>149.56</v>
      </c>
      <c r="AR17" s="726">
        <v>248.67854813150174</v>
      </c>
      <c r="AS17" s="726">
        <v>155.63277590924213</v>
      </c>
      <c r="AT17" s="726">
        <v>0</v>
      </c>
      <c r="AU17" s="401">
        <v>0</v>
      </c>
      <c r="AV17" s="786"/>
      <c r="AW17" s="246"/>
      <c r="AX17" s="713">
        <f t="shared" si="31"/>
        <v>12.641281586637714</v>
      </c>
      <c r="AY17" s="714">
        <v>6.6412767148882246</v>
      </c>
      <c r="AZ17" s="715"/>
      <c r="BA17" s="716">
        <v>0</v>
      </c>
      <c r="BC17" s="712">
        <v>0</v>
      </c>
      <c r="BD17" s="712">
        <v>12.641281586637714</v>
      </c>
      <c r="BE17" s="712"/>
      <c r="BF17" s="712"/>
      <c r="BG17" s="712">
        <v>0</v>
      </c>
      <c r="BH17" s="712">
        <v>1.6089257068977902</v>
      </c>
      <c r="BI17" s="134">
        <f>BC17+BD17+BE17+BG17</f>
        <v>12.641281586637714</v>
      </c>
      <c r="BJ17" s="123"/>
      <c r="BK17" s="792"/>
      <c r="BL17" s="104"/>
      <c r="BM17" s="672"/>
      <c r="BO17" s="562"/>
      <c r="BS17" s="879"/>
      <c r="BT17" s="774"/>
      <c r="BU17" s="774">
        <v>209.18431665279931</v>
      </c>
      <c r="BV17" s="774">
        <v>0</v>
      </c>
      <c r="BW17" s="774">
        <f t="shared" si="32"/>
        <v>209.18431665279931</v>
      </c>
    </row>
    <row r="18" spans="1:75" ht="15" thickBot="1" x14ac:dyDescent="0.35">
      <c r="A18" s="209" t="s">
        <v>241</v>
      </c>
      <c r="B18" s="227">
        <v>5</v>
      </c>
      <c r="C18" s="39">
        <f>'[3]побудинковий звіт'!E18</f>
        <v>4890.7</v>
      </c>
      <c r="D18" s="205">
        <f t="shared" si="7"/>
        <v>5585.7465676834499</v>
      </c>
      <c r="E18" s="104">
        <f t="shared" si="8"/>
        <v>1228.8652711255013</v>
      </c>
      <c r="F18" s="104">
        <f t="shared" si="9"/>
        <v>143.41996374997098</v>
      </c>
      <c r="G18" s="104">
        <f t="shared" si="10"/>
        <v>0</v>
      </c>
      <c r="H18" s="104">
        <f t="shared" si="11"/>
        <v>4666.7498998020264</v>
      </c>
      <c r="I18" s="104">
        <f t="shared" si="12"/>
        <v>1496.2586052076729</v>
      </c>
      <c r="J18" s="672">
        <f t="shared" si="0"/>
        <v>0</v>
      </c>
      <c r="K18" s="139">
        <f t="shared" si="13"/>
        <v>13121.040307568623</v>
      </c>
      <c r="L18" s="138">
        <f t="shared" si="1"/>
        <v>1206.2119243197396</v>
      </c>
      <c r="M18" s="104">
        <f t="shared" si="2"/>
        <v>265.3653743300859</v>
      </c>
      <c r="N18" s="29">
        <f t="shared" si="14"/>
        <v>150.4522942621025</v>
      </c>
      <c r="O18" s="104">
        <f t="shared" si="3"/>
        <v>8.8047732883409733</v>
      </c>
      <c r="P18" s="104">
        <f t="shared" si="15"/>
        <v>1007.7595373779517</v>
      </c>
      <c r="Q18" s="104">
        <f t="shared" si="16"/>
        <v>339.62090084458009</v>
      </c>
      <c r="R18" s="140">
        <f t="shared" si="17"/>
        <v>2978.2148044228006</v>
      </c>
      <c r="S18" s="138">
        <f t="shared" si="18"/>
        <v>135.41</v>
      </c>
      <c r="T18" s="104">
        <f t="shared" si="4"/>
        <v>17.429004941230161</v>
      </c>
      <c r="U18" s="139">
        <f t="shared" si="19"/>
        <v>152.83900494123014</v>
      </c>
      <c r="V18" s="104"/>
      <c r="W18" s="104">
        <f t="shared" si="20"/>
        <v>0</v>
      </c>
      <c r="X18" s="139">
        <f t="shared" si="21"/>
        <v>0</v>
      </c>
      <c r="Y18" s="138">
        <v>0</v>
      </c>
      <c r="Z18" s="141">
        <v>0</v>
      </c>
      <c r="AA18" s="104">
        <f t="shared" si="5"/>
        <v>0</v>
      </c>
      <c r="AB18" s="139">
        <f t="shared" si="6"/>
        <v>0</v>
      </c>
      <c r="AC18" s="138">
        <v>0</v>
      </c>
      <c r="AD18" s="104">
        <f t="shared" si="22"/>
        <v>0</v>
      </c>
      <c r="AE18" s="139">
        <f t="shared" si="23"/>
        <v>0</v>
      </c>
      <c r="AF18" s="142">
        <v>869</v>
      </c>
      <c r="AG18" s="104">
        <f t="shared" si="24"/>
        <v>111.85145331902379</v>
      </c>
      <c r="AH18" s="139">
        <f t="shared" si="25"/>
        <v>980.85145331902379</v>
      </c>
      <c r="AI18" s="142">
        <v>0</v>
      </c>
      <c r="AJ18" s="104">
        <f t="shared" si="26"/>
        <v>0</v>
      </c>
      <c r="AK18" s="139">
        <f t="shared" si="27"/>
        <v>0</v>
      </c>
      <c r="AL18" s="143">
        <v>6502.5</v>
      </c>
      <c r="AM18" s="143"/>
      <c r="AN18" s="104">
        <f t="shared" si="28"/>
        <v>836.9552073727873</v>
      </c>
      <c r="AO18" s="148">
        <f t="shared" si="29"/>
        <v>7339.4552073727873</v>
      </c>
      <c r="AP18" s="272">
        <f t="shared" si="30"/>
        <v>4631.8487242763304</v>
      </c>
      <c r="AQ18" s="669">
        <v>1637.3</v>
      </c>
      <c r="AR18" s="726">
        <v>3517.8067805339401</v>
      </c>
      <c r="AS18" s="726">
        <v>1063.5564166673082</v>
      </c>
      <c r="AT18" s="726">
        <v>50.485527075082516</v>
      </c>
      <c r="AU18" s="401">
        <v>0</v>
      </c>
      <c r="AV18" s="786"/>
      <c r="AW18" s="246"/>
      <c r="AX18" s="713">
        <f t="shared" si="31"/>
        <v>143.41996374997098</v>
      </c>
      <c r="AY18" s="714">
        <v>150.4522942621025</v>
      </c>
      <c r="AZ18" s="715"/>
      <c r="BA18" s="716">
        <v>0</v>
      </c>
      <c r="BC18" s="712">
        <v>0</v>
      </c>
      <c r="BD18" s="712">
        <v>143.41996374997098</v>
      </c>
      <c r="BE18" s="712"/>
      <c r="BF18" s="712"/>
      <c r="BG18" s="712">
        <v>0</v>
      </c>
      <c r="BH18" s="712">
        <v>9.7742236694040763</v>
      </c>
      <c r="BI18" s="134">
        <f>BC18+BD18+BE18+BG18</f>
        <v>143.41996374997098</v>
      </c>
      <c r="BJ18" s="123">
        <v>615.5</v>
      </c>
      <c r="BK18" s="792"/>
      <c r="BL18" s="104"/>
      <c r="BM18" s="672"/>
      <c r="BO18" s="562"/>
      <c r="BS18" s="879"/>
      <c r="BT18" s="774"/>
      <c r="BU18" s="774">
        <v>2959.1666767499582</v>
      </c>
      <c r="BV18" s="774">
        <v>0</v>
      </c>
      <c r="BW18" s="774">
        <f t="shared" si="32"/>
        <v>2959.1666767499582</v>
      </c>
    </row>
    <row r="19" spans="1:75" ht="15" thickBot="1" x14ac:dyDescent="0.35">
      <c r="A19" s="209" t="s">
        <v>192</v>
      </c>
      <c r="B19" s="227">
        <v>3</v>
      </c>
      <c r="C19" s="39">
        <f>'[3]побудинковий звіт'!E19</f>
        <v>853.2</v>
      </c>
      <c r="D19" s="205">
        <f t="shared" si="7"/>
        <v>581.53625250304435</v>
      </c>
      <c r="E19" s="104">
        <f t="shared" si="8"/>
        <v>127.9380823927779</v>
      </c>
      <c r="F19" s="104">
        <f t="shared" si="9"/>
        <v>22.992268426896981</v>
      </c>
      <c r="G19" s="104">
        <f t="shared" si="10"/>
        <v>0</v>
      </c>
      <c r="H19" s="104">
        <f t="shared" si="11"/>
        <v>485.85882213151405</v>
      </c>
      <c r="I19" s="104">
        <f t="shared" si="12"/>
        <v>156.81411904784116</v>
      </c>
      <c r="J19" s="672">
        <f t="shared" si="0"/>
        <v>0</v>
      </c>
      <c r="K19" s="139">
        <f t="shared" si="13"/>
        <v>1375.1395445020744</v>
      </c>
      <c r="L19" s="138">
        <f t="shared" si="1"/>
        <v>667.28264683361544</v>
      </c>
      <c r="M19" s="104">
        <f t="shared" si="2"/>
        <v>146.80149133895861</v>
      </c>
      <c r="N19" s="29">
        <f t="shared" si="14"/>
        <v>15.448310999839672</v>
      </c>
      <c r="O19" s="104">
        <f t="shared" si="3"/>
        <v>1.5360239985303779</v>
      </c>
      <c r="P19" s="104">
        <f t="shared" si="15"/>
        <v>557.49776462591603</v>
      </c>
      <c r="Q19" s="104">
        <f t="shared" si="16"/>
        <v>178.72629657918066</v>
      </c>
      <c r="R19" s="140">
        <f t="shared" si="17"/>
        <v>1567.2925343760407</v>
      </c>
      <c r="S19" s="138">
        <f t="shared" si="18"/>
        <v>34.1</v>
      </c>
      <c r="T19" s="104">
        <f t="shared" si="4"/>
        <v>4.3891076618857436</v>
      </c>
      <c r="U19" s="139">
        <f t="shared" si="19"/>
        <v>38.489107661885747</v>
      </c>
      <c r="V19" s="104"/>
      <c r="W19" s="104">
        <f t="shared" si="20"/>
        <v>0</v>
      </c>
      <c r="X19" s="139">
        <f t="shared" si="21"/>
        <v>0</v>
      </c>
      <c r="Y19" s="138">
        <v>0</v>
      </c>
      <c r="Z19" s="141">
        <v>0</v>
      </c>
      <c r="AA19" s="104">
        <f t="shared" si="5"/>
        <v>0</v>
      </c>
      <c r="AB19" s="139">
        <f t="shared" si="6"/>
        <v>0</v>
      </c>
      <c r="AC19" s="138">
        <v>0</v>
      </c>
      <c r="AD19" s="104">
        <f t="shared" si="22"/>
        <v>0</v>
      </c>
      <c r="AE19" s="139">
        <f t="shared" si="23"/>
        <v>0</v>
      </c>
      <c r="AF19" s="142">
        <v>110</v>
      </c>
      <c r="AG19" s="104">
        <f t="shared" si="24"/>
        <v>14.158411812534657</v>
      </c>
      <c r="AH19" s="139">
        <f t="shared" si="25"/>
        <v>124.15841181253465</v>
      </c>
      <c r="AI19" s="142">
        <v>0</v>
      </c>
      <c r="AJ19" s="104">
        <f t="shared" si="26"/>
        <v>0</v>
      </c>
      <c r="AK19" s="139">
        <f t="shared" si="27"/>
        <v>0</v>
      </c>
      <c r="AL19" s="143"/>
      <c r="AM19" s="391"/>
      <c r="AN19" s="104">
        <f t="shared" si="28"/>
        <v>0</v>
      </c>
      <c r="AO19" s="148">
        <f t="shared" si="29"/>
        <v>0</v>
      </c>
      <c r="AP19" s="272">
        <f t="shared" si="30"/>
        <v>631.92396761190582</v>
      </c>
      <c r="AQ19" s="669">
        <v>105.93</v>
      </c>
      <c r="AR19" s="725">
        <v>430.77202220578698</v>
      </c>
      <c r="AS19" s="725">
        <v>195.68816098143634</v>
      </c>
      <c r="AT19" s="725">
        <v>5.4637844246825935</v>
      </c>
      <c r="AU19" s="401">
        <v>415.14179362595729</v>
      </c>
      <c r="AV19" s="786"/>
      <c r="AW19" s="246"/>
      <c r="AX19" s="713">
        <f t="shared" si="31"/>
        <v>22.992268426896981</v>
      </c>
      <c r="AY19" s="714">
        <v>15.448310999839672</v>
      </c>
      <c r="AZ19" s="715"/>
      <c r="BA19" s="716">
        <v>0</v>
      </c>
      <c r="BC19" s="712">
        <v>0</v>
      </c>
      <c r="BD19" s="712">
        <v>22.992268426896981</v>
      </c>
      <c r="BE19" s="712"/>
      <c r="BF19" s="712"/>
      <c r="BG19" s="712">
        <v>0</v>
      </c>
      <c r="BH19" s="712">
        <v>0</v>
      </c>
      <c r="BI19" s="134">
        <f>BC19+BD19+BE19+BG19</f>
        <v>22.992268426896981</v>
      </c>
      <c r="BJ19" s="123">
        <v>155</v>
      </c>
      <c r="BK19" s="792"/>
      <c r="BL19" s="104"/>
      <c r="BM19" s="672"/>
      <c r="BO19" s="562"/>
      <c r="BS19" s="879"/>
      <c r="BT19" s="774"/>
      <c r="BU19" s="774">
        <v>252.12126865412648</v>
      </c>
      <c r="BV19" s="774">
        <v>0</v>
      </c>
      <c r="BW19" s="774">
        <f t="shared" si="32"/>
        <v>252.12126865412648</v>
      </c>
    </row>
    <row r="20" spans="1:75" ht="15" thickBot="1" x14ac:dyDescent="0.35">
      <c r="A20" s="210" t="s">
        <v>37</v>
      </c>
      <c r="B20" s="228">
        <v>1</v>
      </c>
      <c r="C20" s="39">
        <f>'[3]побудинковий звіт'!E20</f>
        <v>256.90000000000003</v>
      </c>
      <c r="D20" s="205">
        <f t="shared" si="7"/>
        <v>14.757767683712038</v>
      </c>
      <c r="E20" s="104">
        <f t="shared" si="8"/>
        <v>3.2467116017712785</v>
      </c>
      <c r="F20" s="104">
        <f t="shared" si="9"/>
        <v>0</v>
      </c>
      <c r="G20" s="104">
        <f t="shared" si="10"/>
        <v>0</v>
      </c>
      <c r="H20" s="104">
        <f t="shared" si="11"/>
        <v>12.329741427532614</v>
      </c>
      <c r="I20" s="104">
        <f t="shared" si="12"/>
        <v>3.9044035351563475</v>
      </c>
      <c r="J20" s="672">
        <f t="shared" si="0"/>
        <v>0</v>
      </c>
      <c r="K20" s="139">
        <f t="shared" si="13"/>
        <v>34.238624248172279</v>
      </c>
      <c r="L20" s="138">
        <f t="shared" si="1"/>
        <v>0</v>
      </c>
      <c r="M20" s="104">
        <f t="shared" si="2"/>
        <v>0</v>
      </c>
      <c r="N20" s="29">
        <f t="shared" si="14"/>
        <v>0</v>
      </c>
      <c r="O20" s="104">
        <f t="shared" si="3"/>
        <v>0.46249949041544086</v>
      </c>
      <c r="P20" s="104">
        <f t="shared" si="15"/>
        <v>0</v>
      </c>
      <c r="Q20" s="104">
        <f t="shared" si="16"/>
        <v>5.9529620439902155E-2</v>
      </c>
      <c r="R20" s="140">
        <f t="shared" si="17"/>
        <v>0.52202911085534298</v>
      </c>
      <c r="S20" s="138">
        <f t="shared" si="18"/>
        <v>0</v>
      </c>
      <c r="T20" s="104">
        <f t="shared" si="4"/>
        <v>0</v>
      </c>
      <c r="U20" s="139">
        <f t="shared" si="19"/>
        <v>0</v>
      </c>
      <c r="V20" s="104"/>
      <c r="W20" s="104">
        <f t="shared" si="20"/>
        <v>0</v>
      </c>
      <c r="X20" s="139">
        <f t="shared" si="21"/>
        <v>0</v>
      </c>
      <c r="Y20" s="138">
        <v>0</v>
      </c>
      <c r="Z20" s="141">
        <v>0</v>
      </c>
      <c r="AA20" s="104">
        <f t="shared" si="5"/>
        <v>0</v>
      </c>
      <c r="AB20" s="139">
        <f t="shared" si="6"/>
        <v>0</v>
      </c>
      <c r="AC20" s="138">
        <v>0</v>
      </c>
      <c r="AD20" s="104">
        <f t="shared" si="22"/>
        <v>0</v>
      </c>
      <c r="AE20" s="139">
        <f t="shared" si="23"/>
        <v>0</v>
      </c>
      <c r="AF20" s="142">
        <v>0</v>
      </c>
      <c r="AG20" s="104">
        <f t="shared" si="24"/>
        <v>0</v>
      </c>
      <c r="AH20" s="139">
        <f t="shared" si="25"/>
        <v>0</v>
      </c>
      <c r="AI20" s="142">
        <v>0</v>
      </c>
      <c r="AJ20" s="104">
        <f t="shared" si="26"/>
        <v>0</v>
      </c>
      <c r="AK20" s="139">
        <f t="shared" si="27"/>
        <v>0</v>
      </c>
      <c r="AL20" s="143"/>
      <c r="AM20" s="205"/>
      <c r="AN20" s="104">
        <f t="shared" si="28"/>
        <v>0</v>
      </c>
      <c r="AO20" s="148">
        <f t="shared" si="29"/>
        <v>0</v>
      </c>
      <c r="AP20" s="272">
        <f t="shared" si="30"/>
        <v>0</v>
      </c>
      <c r="AQ20" s="669">
        <v>13.62</v>
      </c>
      <c r="AR20" s="401">
        <v>0</v>
      </c>
      <c r="AS20" s="401">
        <v>0</v>
      </c>
      <c r="AT20" s="401">
        <v>0</v>
      </c>
      <c r="AU20" s="401">
        <v>0</v>
      </c>
      <c r="AV20" s="727">
        <v>0</v>
      </c>
      <c r="AW20" s="246"/>
      <c r="AX20" s="713">
        <f t="shared" si="31"/>
        <v>0</v>
      </c>
      <c r="AY20" s="714">
        <v>0</v>
      </c>
      <c r="AZ20" s="715"/>
      <c r="BA20" s="716">
        <v>0</v>
      </c>
      <c r="BB20" s="727"/>
      <c r="BC20" s="712">
        <v>0</v>
      </c>
      <c r="BD20" s="712">
        <v>0</v>
      </c>
      <c r="BE20" s="712"/>
      <c r="BF20" s="712"/>
      <c r="BG20" s="712">
        <v>0</v>
      </c>
      <c r="BH20" s="712">
        <v>0</v>
      </c>
      <c r="BI20" s="134">
        <f>BC20+BD20+BE20+BG20+BH20</f>
        <v>0</v>
      </c>
      <c r="BJ20" s="123"/>
      <c r="BK20" s="792"/>
      <c r="BL20" s="104"/>
      <c r="BM20" s="672"/>
      <c r="BO20" s="562"/>
      <c r="BS20" s="879"/>
      <c r="BT20" s="774"/>
      <c r="BU20" s="774">
        <v>0</v>
      </c>
      <c r="BV20" s="774">
        <v>0</v>
      </c>
      <c r="BW20" s="774">
        <f t="shared" si="32"/>
        <v>0</v>
      </c>
    </row>
    <row r="21" spans="1:75" ht="15" thickBot="1" x14ac:dyDescent="0.35">
      <c r="A21" s="209" t="s">
        <v>242</v>
      </c>
      <c r="B21" s="227">
        <v>5</v>
      </c>
      <c r="C21" s="39">
        <f>'[3]побудинковий звіт'!E21</f>
        <v>3070.2</v>
      </c>
      <c r="D21" s="205">
        <f t="shared" si="7"/>
        <v>1613.5230519047684</v>
      </c>
      <c r="E21" s="104">
        <f t="shared" si="8"/>
        <v>354.97536786179643</v>
      </c>
      <c r="F21" s="104">
        <f t="shared" si="9"/>
        <v>90.107066862909704</v>
      </c>
      <c r="G21" s="104">
        <f t="shared" si="10"/>
        <v>0</v>
      </c>
      <c r="H21" s="104">
        <f t="shared" si="11"/>
        <v>1348.0576767247931</v>
      </c>
      <c r="I21" s="104">
        <f t="shared" si="12"/>
        <v>438.48127248510673</v>
      </c>
      <c r="J21" s="672">
        <f t="shared" si="0"/>
        <v>0</v>
      </c>
      <c r="K21" s="139">
        <f t="shared" si="13"/>
        <v>3845.1444358393742</v>
      </c>
      <c r="L21" s="138">
        <f t="shared" si="1"/>
        <v>1428.3830227990752</v>
      </c>
      <c r="M21" s="104">
        <f t="shared" si="2"/>
        <v>314.24278593961265</v>
      </c>
      <c r="N21" s="29">
        <f t="shared" si="14"/>
        <v>60.542177323972737</v>
      </c>
      <c r="O21" s="104">
        <f t="shared" si="3"/>
        <v>5.5273099862728152</v>
      </c>
      <c r="P21" s="104">
        <f t="shared" si="15"/>
        <v>1193.3778677128598</v>
      </c>
      <c r="Q21" s="104">
        <f t="shared" si="16"/>
        <v>386.40534676271142</v>
      </c>
      <c r="R21" s="140">
        <f t="shared" si="17"/>
        <v>3388.4785105245041</v>
      </c>
      <c r="S21" s="138">
        <f t="shared" si="18"/>
        <v>103.99400000000001</v>
      </c>
      <c r="T21" s="104">
        <f t="shared" si="4"/>
        <v>13.385362527570267</v>
      </c>
      <c r="U21" s="139">
        <f t="shared" si="19"/>
        <v>117.37936252757028</v>
      </c>
      <c r="V21" s="104"/>
      <c r="W21" s="104">
        <f t="shared" si="20"/>
        <v>0</v>
      </c>
      <c r="X21" s="139">
        <f t="shared" si="21"/>
        <v>0</v>
      </c>
      <c r="Y21" s="138">
        <v>0</v>
      </c>
      <c r="Z21" s="141">
        <v>0</v>
      </c>
      <c r="AA21" s="104">
        <f t="shared" si="5"/>
        <v>0</v>
      </c>
      <c r="AB21" s="139">
        <f t="shared" si="6"/>
        <v>0</v>
      </c>
      <c r="AC21" s="138">
        <v>0</v>
      </c>
      <c r="AD21" s="104">
        <f t="shared" si="22"/>
        <v>0</v>
      </c>
      <c r="AE21" s="139">
        <f t="shared" si="23"/>
        <v>0</v>
      </c>
      <c r="AF21" s="142">
        <v>864.6</v>
      </c>
      <c r="AG21" s="104">
        <f t="shared" si="24"/>
        <v>111.28511684652241</v>
      </c>
      <c r="AH21" s="139">
        <f t="shared" si="25"/>
        <v>975.88511684652246</v>
      </c>
      <c r="AI21" s="142">
        <v>0</v>
      </c>
      <c r="AJ21" s="104">
        <f t="shared" si="26"/>
        <v>0</v>
      </c>
      <c r="AK21" s="139">
        <f t="shared" si="27"/>
        <v>0</v>
      </c>
      <c r="AL21" s="143"/>
      <c r="AM21" s="391"/>
      <c r="AN21" s="104">
        <f t="shared" si="28"/>
        <v>0</v>
      </c>
      <c r="AO21" s="148">
        <f t="shared" si="29"/>
        <v>0</v>
      </c>
      <c r="AP21" s="272">
        <f t="shared" si="30"/>
        <v>1849.2793313105585</v>
      </c>
      <c r="AQ21" s="669">
        <v>65.72</v>
      </c>
      <c r="AR21" s="725">
        <v>1423.4065696774576</v>
      </c>
      <c r="AS21" s="725">
        <v>409.20922721612624</v>
      </c>
      <c r="AT21" s="725">
        <v>16.663534416974766</v>
      </c>
      <c r="AU21" s="401">
        <v>893.3635740755991</v>
      </c>
      <c r="AV21" s="786"/>
      <c r="AW21" s="246"/>
      <c r="AX21" s="713">
        <f t="shared" si="31"/>
        <v>90.107066862909704</v>
      </c>
      <c r="AY21" s="714">
        <v>60.542177323972737</v>
      </c>
      <c r="AZ21" s="715"/>
      <c r="BA21" s="716">
        <v>0</v>
      </c>
      <c r="BC21" s="712">
        <v>0</v>
      </c>
      <c r="BD21" s="712">
        <v>90.107066862909704</v>
      </c>
      <c r="BE21" s="712"/>
      <c r="BF21" s="712"/>
      <c r="BG21" s="712">
        <v>0</v>
      </c>
      <c r="BH21" s="712">
        <v>0</v>
      </c>
      <c r="BI21" s="134">
        <f>BC21+BD21+BE21+BG21</f>
        <v>90.107066862909704</v>
      </c>
      <c r="BJ21" s="123">
        <v>472.7</v>
      </c>
      <c r="BK21" s="792"/>
      <c r="BL21" s="104"/>
      <c r="BM21" s="672"/>
      <c r="BO21" s="562"/>
      <c r="BS21" s="879"/>
      <c r="BT21" s="774"/>
      <c r="BU21" s="774">
        <v>1397.01276102888</v>
      </c>
      <c r="BV21" s="774">
        <v>0</v>
      </c>
      <c r="BW21" s="774">
        <f t="shared" si="32"/>
        <v>1397.01276102888</v>
      </c>
    </row>
    <row r="22" spans="1:75" ht="15" thickBot="1" x14ac:dyDescent="0.35">
      <c r="A22" s="209" t="s">
        <v>193</v>
      </c>
      <c r="B22" s="227">
        <v>3</v>
      </c>
      <c r="C22" s="39">
        <f>'[3]побудинковий звіт'!E22</f>
        <v>1499.03</v>
      </c>
      <c r="D22" s="205">
        <f t="shared" si="7"/>
        <v>838.79944542208523</v>
      </c>
      <c r="E22" s="104">
        <f t="shared" si="8"/>
        <v>184.53603210036397</v>
      </c>
      <c r="F22" s="104">
        <f t="shared" si="9"/>
        <v>43.206202502793801</v>
      </c>
      <c r="G22" s="104">
        <f t="shared" si="10"/>
        <v>0</v>
      </c>
      <c r="H22" s="104">
        <f t="shared" si="11"/>
        <v>700.79570930138709</v>
      </c>
      <c r="I22" s="104">
        <f t="shared" si="12"/>
        <v>227.47900517978476</v>
      </c>
      <c r="J22" s="672">
        <f t="shared" si="0"/>
        <v>0</v>
      </c>
      <c r="K22" s="139">
        <f t="shared" si="13"/>
        <v>1994.816394506415</v>
      </c>
      <c r="L22" s="138">
        <f t="shared" si="1"/>
        <v>1358.4642782954577</v>
      </c>
      <c r="M22" s="104">
        <f t="shared" si="2"/>
        <v>298.86073454897013</v>
      </c>
      <c r="N22" s="29">
        <f t="shared" si="14"/>
        <v>29.029882610642872</v>
      </c>
      <c r="O22" s="104">
        <f t="shared" si="3"/>
        <v>2.6987178322983971</v>
      </c>
      <c r="P22" s="104">
        <f t="shared" si="15"/>
        <v>1134.9625261013512</v>
      </c>
      <c r="Q22" s="104">
        <f t="shared" si="16"/>
        <v>363.48712242463432</v>
      </c>
      <c r="R22" s="140">
        <f t="shared" si="17"/>
        <v>3187.5032618133546</v>
      </c>
      <c r="S22" s="138">
        <f t="shared" si="18"/>
        <v>147.18</v>
      </c>
      <c r="T22" s="104">
        <f t="shared" si="4"/>
        <v>18.943955005171372</v>
      </c>
      <c r="U22" s="139">
        <f t="shared" si="19"/>
        <v>166.12395500517138</v>
      </c>
      <c r="V22" s="104"/>
      <c r="W22" s="104">
        <f t="shared" si="20"/>
        <v>0</v>
      </c>
      <c r="X22" s="139">
        <f t="shared" si="21"/>
        <v>0</v>
      </c>
      <c r="Y22" s="138">
        <v>0</v>
      </c>
      <c r="Z22" s="141">
        <v>0</v>
      </c>
      <c r="AA22" s="104">
        <f t="shared" si="5"/>
        <v>0</v>
      </c>
      <c r="AB22" s="139">
        <f t="shared" si="6"/>
        <v>0</v>
      </c>
      <c r="AC22" s="138">
        <v>0</v>
      </c>
      <c r="AD22" s="104">
        <f t="shared" si="22"/>
        <v>0</v>
      </c>
      <c r="AE22" s="139">
        <f t="shared" si="23"/>
        <v>0</v>
      </c>
      <c r="AF22" s="142">
        <v>231</v>
      </c>
      <c r="AG22" s="104">
        <f t="shared" si="24"/>
        <v>29.732664806322781</v>
      </c>
      <c r="AH22" s="139">
        <f t="shared" si="25"/>
        <v>260.73266480632276</v>
      </c>
      <c r="AI22" s="142">
        <v>0</v>
      </c>
      <c r="AJ22" s="104">
        <f t="shared" si="26"/>
        <v>0</v>
      </c>
      <c r="AK22" s="139">
        <f t="shared" si="27"/>
        <v>0</v>
      </c>
      <c r="AL22" s="143"/>
      <c r="AM22" s="391"/>
      <c r="AN22" s="104">
        <f t="shared" si="28"/>
        <v>0</v>
      </c>
      <c r="AO22" s="148">
        <f t="shared" si="29"/>
        <v>0</v>
      </c>
      <c r="AP22" s="272">
        <f t="shared" si="30"/>
        <v>1170.4696416337106</v>
      </c>
      <c r="AQ22" s="669">
        <v>102.62</v>
      </c>
      <c r="AR22" s="725">
        <v>671.51120273317622</v>
      </c>
      <c r="AS22" s="725">
        <v>475.3694065135283</v>
      </c>
      <c r="AT22" s="725">
        <v>23.589032387006021</v>
      </c>
      <c r="AU22" s="401">
        <v>755.70183644898293</v>
      </c>
      <c r="AV22" s="786"/>
      <c r="AW22" s="246"/>
      <c r="AX22" s="713">
        <f t="shared" si="31"/>
        <v>43.206202502793801</v>
      </c>
      <c r="AY22" s="714">
        <v>29.029882610642872</v>
      </c>
      <c r="AZ22" s="715"/>
      <c r="BA22" s="716">
        <v>0</v>
      </c>
      <c r="BC22" s="712">
        <v>0</v>
      </c>
      <c r="BD22" s="712">
        <v>43.206202502793801</v>
      </c>
      <c r="BE22" s="712"/>
      <c r="BF22" s="712"/>
      <c r="BG22" s="712">
        <v>0</v>
      </c>
      <c r="BH22" s="712">
        <v>0</v>
      </c>
      <c r="BI22" s="134">
        <f>BC22+BD22+BE22+BG22</f>
        <v>43.206202502793801</v>
      </c>
      <c r="BJ22" s="123">
        <v>669</v>
      </c>
      <c r="BK22" s="792"/>
      <c r="BL22" s="104"/>
      <c r="BM22" s="672"/>
      <c r="BO22" s="562"/>
      <c r="BS22" s="879"/>
      <c r="BT22" s="774"/>
      <c r="BU22" s="774">
        <v>659.06332555301037</v>
      </c>
      <c r="BV22" s="774">
        <v>0</v>
      </c>
      <c r="BW22" s="774">
        <f t="shared" si="32"/>
        <v>659.06332555301037</v>
      </c>
    </row>
    <row r="23" spans="1:75" ht="15" thickBot="1" x14ac:dyDescent="0.35">
      <c r="A23" s="250" t="s">
        <v>341</v>
      </c>
      <c r="B23" s="227">
        <v>9</v>
      </c>
      <c r="C23" s="39">
        <f>'[3]побудинковий звіт'!E23</f>
        <v>4082.7</v>
      </c>
      <c r="D23" s="205">
        <f t="shared" si="7"/>
        <v>1426.6059227394026</v>
      </c>
      <c r="E23" s="104">
        <f t="shared" si="8"/>
        <v>313.85356510427209</v>
      </c>
      <c r="F23" s="104">
        <f t="shared" si="9"/>
        <v>655.9131045374553</v>
      </c>
      <c r="G23" s="104">
        <f t="shared" si="10"/>
        <v>0</v>
      </c>
      <c r="H23" s="104">
        <f t="shared" si="11"/>
        <v>1191.8931455857592</v>
      </c>
      <c r="I23" s="104">
        <f t="shared" si="12"/>
        <v>461.85585464494352</v>
      </c>
      <c r="J23" s="672">
        <f t="shared" si="0"/>
        <v>0</v>
      </c>
      <c r="K23" s="139">
        <f t="shared" si="13"/>
        <v>4050.1215926118325</v>
      </c>
      <c r="L23" s="138">
        <f t="shared" si="1"/>
        <v>700.59173030800889</v>
      </c>
      <c r="M23" s="104">
        <f t="shared" si="2"/>
        <v>154.12945521210588</v>
      </c>
      <c r="N23" s="29">
        <f t="shared" si="14"/>
        <v>39.725184418105094</v>
      </c>
      <c r="O23" s="104">
        <f t="shared" si="3"/>
        <v>7.3501232756680421</v>
      </c>
      <c r="P23" s="104">
        <f t="shared" si="15"/>
        <v>585.32666092170518</v>
      </c>
      <c r="Q23" s="104">
        <f t="shared" si="16"/>
        <v>191.4118366564289</v>
      </c>
      <c r="R23" s="140">
        <f t="shared" si="17"/>
        <v>1678.534990792022</v>
      </c>
      <c r="S23" s="138">
        <f t="shared" si="18"/>
        <v>134.20000000000002</v>
      </c>
      <c r="T23" s="104">
        <f t="shared" si="4"/>
        <v>17.273262411292283</v>
      </c>
      <c r="U23" s="139">
        <f t="shared" si="19"/>
        <v>151.4732624112923</v>
      </c>
      <c r="V23" s="104"/>
      <c r="W23" s="104">
        <f t="shared" si="20"/>
        <v>0</v>
      </c>
      <c r="X23" s="139">
        <f t="shared" si="21"/>
        <v>0</v>
      </c>
      <c r="Y23" s="138">
        <v>3095.4</v>
      </c>
      <c r="Z23" s="141">
        <v>0</v>
      </c>
      <c r="AA23" s="104">
        <f t="shared" si="5"/>
        <v>398.41770840472526</v>
      </c>
      <c r="AB23" s="139">
        <f t="shared" si="6"/>
        <v>3493.8177084047252</v>
      </c>
      <c r="AC23" s="138">
        <v>291.65800000000002</v>
      </c>
      <c r="AD23" s="104">
        <f t="shared" si="22"/>
        <v>37.540127931093032</v>
      </c>
      <c r="AE23" s="139">
        <f t="shared" si="23"/>
        <v>329.19812793109304</v>
      </c>
      <c r="AF23" s="142">
        <v>1086.8</v>
      </c>
      <c r="AG23" s="104">
        <f t="shared" si="24"/>
        <v>139.88510870784239</v>
      </c>
      <c r="AH23" s="139">
        <f t="shared" si="25"/>
        <v>1226.6851087078423</v>
      </c>
      <c r="AI23" s="142">
        <v>1023</v>
      </c>
      <c r="AJ23" s="104">
        <f t="shared" si="26"/>
        <v>131.67322985657231</v>
      </c>
      <c r="AK23" s="139">
        <f t="shared" si="27"/>
        <v>1154.6732298565723</v>
      </c>
      <c r="AL23" s="143"/>
      <c r="AM23" s="143"/>
      <c r="AN23" s="104">
        <f t="shared" si="28"/>
        <v>0</v>
      </c>
      <c r="AO23" s="148">
        <f t="shared" si="29"/>
        <v>0</v>
      </c>
      <c r="AP23" s="272">
        <f t="shared" si="30"/>
        <v>1312.2141917414151</v>
      </c>
      <c r="AQ23" s="669">
        <v>616.83000000000004</v>
      </c>
      <c r="AR23" s="401">
        <v>665.15660818921583</v>
      </c>
      <c r="AS23" s="401">
        <v>623.83345874154202</v>
      </c>
      <c r="AT23" s="401">
        <v>23.224124810657219</v>
      </c>
      <c r="AU23" s="401">
        <v>0</v>
      </c>
      <c r="AV23" s="727">
        <v>34.633431110882142</v>
      </c>
      <c r="AW23" s="246"/>
      <c r="AX23" s="713">
        <f t="shared" si="31"/>
        <v>70.873104537455305</v>
      </c>
      <c r="AY23" s="714">
        <v>39.725184418105094</v>
      </c>
      <c r="AZ23" s="715"/>
      <c r="BA23" s="716">
        <v>0</v>
      </c>
      <c r="BB23" s="727"/>
      <c r="BC23" s="712">
        <v>15.817499999999999</v>
      </c>
      <c r="BD23" s="712">
        <v>55.055604537455309</v>
      </c>
      <c r="BE23" s="712"/>
      <c r="BF23" s="712"/>
      <c r="BG23" s="712">
        <v>0</v>
      </c>
      <c r="BH23" s="712">
        <v>22.825781249999999</v>
      </c>
      <c r="BI23" s="134">
        <f>BC23+BD23+BE23+BG23</f>
        <v>70.873104537455305</v>
      </c>
      <c r="BJ23" s="427">
        <v>610</v>
      </c>
      <c r="BK23" s="792"/>
      <c r="BL23" s="104"/>
      <c r="BM23" s="672">
        <v>585.04</v>
      </c>
      <c r="BO23" s="562"/>
      <c r="BS23" s="879"/>
      <c r="BT23" s="774"/>
      <c r="BU23" s="774">
        <v>1125.4947380978442</v>
      </c>
      <c r="BV23" s="774">
        <v>0</v>
      </c>
      <c r="BW23" s="774">
        <f t="shared" si="32"/>
        <v>1125.4947380978442</v>
      </c>
    </row>
    <row r="24" spans="1:75" ht="15" thickBot="1" x14ac:dyDescent="0.35">
      <c r="A24" s="210" t="s">
        <v>39</v>
      </c>
      <c r="B24" s="228">
        <v>1</v>
      </c>
      <c r="C24" s="39">
        <f>'[3]побудинковий звіт'!E24</f>
        <v>263.39999999999998</v>
      </c>
      <c r="D24" s="205">
        <f t="shared" si="7"/>
        <v>37.002772863345527</v>
      </c>
      <c r="E24" s="104">
        <f t="shared" si="8"/>
        <v>8.1406168282297475</v>
      </c>
      <c r="F24" s="104">
        <f t="shared" si="9"/>
        <v>0</v>
      </c>
      <c r="G24" s="104">
        <f t="shared" si="10"/>
        <v>0</v>
      </c>
      <c r="H24" s="104">
        <f t="shared" si="11"/>
        <v>30.914880304716501</v>
      </c>
      <c r="I24" s="104">
        <f t="shared" si="12"/>
        <v>9.7896755305131613</v>
      </c>
      <c r="J24" s="672">
        <f t="shared" si="0"/>
        <v>0</v>
      </c>
      <c r="K24" s="139">
        <f t="shared" si="13"/>
        <v>85.847945526804935</v>
      </c>
      <c r="L24" s="138">
        <f t="shared" si="1"/>
        <v>0</v>
      </c>
      <c r="M24" s="104">
        <f t="shared" si="2"/>
        <v>0</v>
      </c>
      <c r="N24" s="29">
        <f t="shared" si="14"/>
        <v>0</v>
      </c>
      <c r="O24" s="104">
        <f t="shared" si="3"/>
        <v>0.47420150165600272</v>
      </c>
      <c r="P24" s="104">
        <f t="shared" si="15"/>
        <v>0</v>
      </c>
      <c r="Q24" s="104">
        <f t="shared" si="16"/>
        <v>6.1035819477891107E-2</v>
      </c>
      <c r="R24" s="140">
        <f t="shared" si="17"/>
        <v>0.53523732113389388</v>
      </c>
      <c r="S24" s="138">
        <f t="shared" si="18"/>
        <v>0</v>
      </c>
      <c r="T24" s="104">
        <f t="shared" si="4"/>
        <v>0</v>
      </c>
      <c r="U24" s="139">
        <f t="shared" si="19"/>
        <v>0</v>
      </c>
      <c r="V24" s="104"/>
      <c r="W24" s="104">
        <f t="shared" si="20"/>
        <v>0</v>
      </c>
      <c r="X24" s="139">
        <f t="shared" si="21"/>
        <v>0</v>
      </c>
      <c r="Y24" s="138">
        <v>0</v>
      </c>
      <c r="Z24" s="141">
        <v>0</v>
      </c>
      <c r="AA24" s="104">
        <f t="shared" si="5"/>
        <v>0</v>
      </c>
      <c r="AB24" s="139">
        <f t="shared" si="6"/>
        <v>0</v>
      </c>
      <c r="AC24" s="138">
        <v>0</v>
      </c>
      <c r="AD24" s="104">
        <f t="shared" si="22"/>
        <v>0</v>
      </c>
      <c r="AE24" s="139">
        <f t="shared" si="23"/>
        <v>0</v>
      </c>
      <c r="AF24" s="142">
        <v>0</v>
      </c>
      <c r="AG24" s="104">
        <f t="shared" si="24"/>
        <v>0</v>
      </c>
      <c r="AH24" s="139">
        <f t="shared" si="25"/>
        <v>0</v>
      </c>
      <c r="AI24" s="142">
        <v>0</v>
      </c>
      <c r="AJ24" s="104">
        <f t="shared" si="26"/>
        <v>0</v>
      </c>
      <c r="AK24" s="139">
        <f t="shared" si="27"/>
        <v>0</v>
      </c>
      <c r="AL24" s="143"/>
      <c r="AM24" s="205"/>
      <c r="AN24" s="104">
        <f t="shared" si="28"/>
        <v>0</v>
      </c>
      <c r="AO24" s="148">
        <f t="shared" si="29"/>
        <v>0</v>
      </c>
      <c r="AP24" s="272">
        <f t="shared" si="30"/>
        <v>0</v>
      </c>
      <c r="AQ24" s="669">
        <v>34.15</v>
      </c>
      <c r="AR24" s="401">
        <v>0</v>
      </c>
      <c r="AS24" s="401">
        <v>0</v>
      </c>
      <c r="AT24" s="401">
        <v>0</v>
      </c>
      <c r="AU24" s="401">
        <v>0</v>
      </c>
      <c r="AV24" s="727">
        <v>0</v>
      </c>
      <c r="AW24" s="246"/>
      <c r="AX24" s="713">
        <f t="shared" si="31"/>
        <v>0</v>
      </c>
      <c r="AY24" s="714">
        <v>0</v>
      </c>
      <c r="AZ24" s="715"/>
      <c r="BA24" s="716">
        <v>0</v>
      </c>
      <c r="BB24" s="727"/>
      <c r="BC24" s="712">
        <v>0</v>
      </c>
      <c r="BD24" s="712">
        <v>0</v>
      </c>
      <c r="BE24" s="712"/>
      <c r="BF24" s="712"/>
      <c r="BG24" s="712">
        <v>0</v>
      </c>
      <c r="BH24" s="712">
        <v>0</v>
      </c>
      <c r="BI24" s="134">
        <f t="shared" ref="BI24:BI34" si="33">BC24+BD24+BE24+BG24+BH24</f>
        <v>0</v>
      </c>
      <c r="BJ24" s="123"/>
      <c r="BK24" s="792"/>
      <c r="BL24" s="104"/>
      <c r="BM24" s="672"/>
      <c r="BO24" s="562"/>
      <c r="BS24" s="879"/>
      <c r="BT24" s="774"/>
      <c r="BU24" s="774">
        <v>0</v>
      </c>
      <c r="BV24" s="774">
        <v>0</v>
      </c>
      <c r="BW24" s="774">
        <f t="shared" si="32"/>
        <v>0</v>
      </c>
    </row>
    <row r="25" spans="1:75" ht="15" thickBot="1" x14ac:dyDescent="0.35">
      <c r="A25" s="210" t="s">
        <v>40</v>
      </c>
      <c r="B25" s="228">
        <v>1</v>
      </c>
      <c r="C25" s="39">
        <f>'[3]побудинковий звіт'!E25</f>
        <v>298.60000000000002</v>
      </c>
      <c r="D25" s="205">
        <f t="shared" si="7"/>
        <v>46.256174920533546</v>
      </c>
      <c r="E25" s="104">
        <f t="shared" si="8"/>
        <v>10.176366980882223</v>
      </c>
      <c r="F25" s="104">
        <f t="shared" si="9"/>
        <v>0</v>
      </c>
      <c r="G25" s="104">
        <f t="shared" si="10"/>
        <v>0</v>
      </c>
      <c r="H25" s="104">
        <f t="shared" si="11"/>
        <v>38.645863549292756</v>
      </c>
      <c r="I25" s="104">
        <f t="shared" si="12"/>
        <v>12.237811080457009</v>
      </c>
      <c r="J25" s="672">
        <f t="shared" si="0"/>
        <v>0</v>
      </c>
      <c r="K25" s="139">
        <f t="shared" si="13"/>
        <v>107.31621653116552</v>
      </c>
      <c r="L25" s="138">
        <f t="shared" si="1"/>
        <v>0</v>
      </c>
      <c r="M25" s="104">
        <f t="shared" si="2"/>
        <v>0</v>
      </c>
      <c r="N25" s="29">
        <f t="shared" si="14"/>
        <v>0</v>
      </c>
      <c r="O25" s="104">
        <f t="shared" si="3"/>
        <v>0.53757239329719975</v>
      </c>
      <c r="P25" s="104">
        <f t="shared" si="15"/>
        <v>0</v>
      </c>
      <c r="Q25" s="104">
        <f t="shared" si="16"/>
        <v>6.9192466575923636E-2</v>
      </c>
      <c r="R25" s="140">
        <f t="shared" si="17"/>
        <v>0.60676485987312334</v>
      </c>
      <c r="S25" s="138">
        <f t="shared" si="18"/>
        <v>0</v>
      </c>
      <c r="T25" s="104">
        <f t="shared" si="4"/>
        <v>0</v>
      </c>
      <c r="U25" s="139">
        <f t="shared" si="19"/>
        <v>0</v>
      </c>
      <c r="V25" s="104"/>
      <c r="W25" s="104">
        <f t="shared" si="20"/>
        <v>0</v>
      </c>
      <c r="X25" s="139">
        <f t="shared" si="21"/>
        <v>0</v>
      </c>
      <c r="Y25" s="138">
        <v>0</v>
      </c>
      <c r="Z25" s="141">
        <v>0</v>
      </c>
      <c r="AA25" s="104">
        <f t="shared" si="5"/>
        <v>0</v>
      </c>
      <c r="AB25" s="139">
        <f t="shared" si="6"/>
        <v>0</v>
      </c>
      <c r="AC25" s="138">
        <v>0</v>
      </c>
      <c r="AD25" s="104">
        <f t="shared" si="22"/>
        <v>0</v>
      </c>
      <c r="AE25" s="139">
        <f t="shared" si="23"/>
        <v>0</v>
      </c>
      <c r="AF25" s="142">
        <v>0</v>
      </c>
      <c r="AG25" s="104">
        <f t="shared" si="24"/>
        <v>0</v>
      </c>
      <c r="AH25" s="139">
        <f t="shared" si="25"/>
        <v>0</v>
      </c>
      <c r="AI25" s="142">
        <v>0</v>
      </c>
      <c r="AJ25" s="104">
        <f t="shared" si="26"/>
        <v>0</v>
      </c>
      <c r="AK25" s="139">
        <f t="shared" si="27"/>
        <v>0</v>
      </c>
      <c r="AL25" s="143"/>
      <c r="AM25" s="205"/>
      <c r="AN25" s="104">
        <f t="shared" si="28"/>
        <v>0</v>
      </c>
      <c r="AO25" s="148">
        <f t="shared" si="29"/>
        <v>0</v>
      </c>
      <c r="AP25" s="272">
        <f t="shared" si="30"/>
        <v>0</v>
      </c>
      <c r="AQ25" s="669">
        <v>42.69</v>
      </c>
      <c r="AR25" s="401">
        <v>0</v>
      </c>
      <c r="AS25" s="401">
        <v>0</v>
      </c>
      <c r="AT25" s="401">
        <v>0</v>
      </c>
      <c r="AU25" s="401">
        <v>0</v>
      </c>
      <c r="AV25" s="727">
        <v>0</v>
      </c>
      <c r="AW25" s="246"/>
      <c r="AX25" s="713">
        <f t="shared" si="31"/>
        <v>0</v>
      </c>
      <c r="AY25" s="714">
        <v>0</v>
      </c>
      <c r="AZ25" s="715"/>
      <c r="BA25" s="716">
        <v>0</v>
      </c>
      <c r="BB25" s="727"/>
      <c r="BC25" s="712">
        <v>0</v>
      </c>
      <c r="BD25" s="712">
        <v>0</v>
      </c>
      <c r="BE25" s="712"/>
      <c r="BF25" s="712"/>
      <c r="BG25" s="712">
        <v>0</v>
      </c>
      <c r="BH25" s="712">
        <v>0</v>
      </c>
      <c r="BI25" s="134">
        <f t="shared" si="33"/>
        <v>0</v>
      </c>
      <c r="BJ25" s="123"/>
      <c r="BK25" s="792"/>
      <c r="BL25" s="104"/>
      <c r="BM25" s="672"/>
      <c r="BO25" s="562"/>
      <c r="BS25" s="879"/>
      <c r="BT25" s="774"/>
      <c r="BU25" s="774">
        <v>0</v>
      </c>
      <c r="BV25" s="774">
        <v>0</v>
      </c>
      <c r="BW25" s="774">
        <f t="shared" si="32"/>
        <v>0</v>
      </c>
    </row>
    <row r="26" spans="1:75" ht="15" thickBot="1" x14ac:dyDescent="0.35">
      <c r="A26" s="210" t="s">
        <v>41</v>
      </c>
      <c r="B26" s="228">
        <v>1</v>
      </c>
      <c r="C26" s="39">
        <f>'[3]побудинковий звіт'!E26</f>
        <v>298.39999999999998</v>
      </c>
      <c r="D26" s="205">
        <f t="shared" si="7"/>
        <v>39.321541060345808</v>
      </c>
      <c r="E26" s="104">
        <f t="shared" si="8"/>
        <v>8.650746257582945</v>
      </c>
      <c r="F26" s="104">
        <f t="shared" si="9"/>
        <v>0</v>
      </c>
      <c r="G26" s="104">
        <f t="shared" si="10"/>
        <v>0</v>
      </c>
      <c r="H26" s="104">
        <f t="shared" si="11"/>
        <v>32.852152452654821</v>
      </c>
      <c r="I26" s="104">
        <f t="shared" si="12"/>
        <v>10.403142752630242</v>
      </c>
      <c r="J26" s="672">
        <f t="shared" si="0"/>
        <v>0</v>
      </c>
      <c r="K26" s="139">
        <f t="shared" si="13"/>
        <v>91.227582523213826</v>
      </c>
      <c r="L26" s="138">
        <f t="shared" si="1"/>
        <v>0</v>
      </c>
      <c r="M26" s="104">
        <f t="shared" si="2"/>
        <v>0</v>
      </c>
      <c r="N26" s="29">
        <f t="shared" si="14"/>
        <v>0</v>
      </c>
      <c r="O26" s="104">
        <f t="shared" si="3"/>
        <v>0.53721233141287472</v>
      </c>
      <c r="P26" s="104">
        <f t="shared" si="15"/>
        <v>0</v>
      </c>
      <c r="Q26" s="104">
        <f t="shared" si="16"/>
        <v>6.914612199013935E-2</v>
      </c>
      <c r="R26" s="140">
        <f t="shared" si="17"/>
        <v>0.60635845340301409</v>
      </c>
      <c r="S26" s="138">
        <f t="shared" si="18"/>
        <v>0</v>
      </c>
      <c r="T26" s="104">
        <f t="shared" si="4"/>
        <v>0</v>
      </c>
      <c r="U26" s="139">
        <f t="shared" si="19"/>
        <v>0</v>
      </c>
      <c r="V26" s="104"/>
      <c r="W26" s="104">
        <f t="shared" si="20"/>
        <v>0</v>
      </c>
      <c r="X26" s="139">
        <f t="shared" si="21"/>
        <v>0</v>
      </c>
      <c r="Y26" s="138">
        <v>0</v>
      </c>
      <c r="Z26" s="141">
        <v>0</v>
      </c>
      <c r="AA26" s="104">
        <f t="shared" si="5"/>
        <v>0</v>
      </c>
      <c r="AB26" s="139">
        <f t="shared" si="6"/>
        <v>0</v>
      </c>
      <c r="AC26" s="138">
        <v>0</v>
      </c>
      <c r="AD26" s="104">
        <f t="shared" si="22"/>
        <v>0</v>
      </c>
      <c r="AE26" s="139">
        <f t="shared" si="23"/>
        <v>0</v>
      </c>
      <c r="AF26" s="142">
        <v>0</v>
      </c>
      <c r="AG26" s="104">
        <f t="shared" si="24"/>
        <v>0</v>
      </c>
      <c r="AH26" s="139">
        <f t="shared" si="25"/>
        <v>0</v>
      </c>
      <c r="AI26" s="142">
        <v>0</v>
      </c>
      <c r="AJ26" s="104">
        <f t="shared" si="26"/>
        <v>0</v>
      </c>
      <c r="AK26" s="139">
        <f t="shared" si="27"/>
        <v>0</v>
      </c>
      <c r="AL26" s="143"/>
      <c r="AM26" s="205"/>
      <c r="AN26" s="104">
        <f t="shared" si="28"/>
        <v>0</v>
      </c>
      <c r="AO26" s="148">
        <f t="shared" si="29"/>
        <v>0</v>
      </c>
      <c r="AP26" s="272">
        <f t="shared" si="30"/>
        <v>0</v>
      </c>
      <c r="AQ26" s="669">
        <v>36.29</v>
      </c>
      <c r="AR26" s="401">
        <v>0</v>
      </c>
      <c r="AS26" s="401">
        <v>0</v>
      </c>
      <c r="AT26" s="401">
        <v>0</v>
      </c>
      <c r="AU26" s="401">
        <v>0</v>
      </c>
      <c r="AV26" s="727">
        <v>0</v>
      </c>
      <c r="AW26" s="246"/>
      <c r="AX26" s="713">
        <f t="shared" si="31"/>
        <v>0</v>
      </c>
      <c r="AY26" s="714">
        <v>0</v>
      </c>
      <c r="AZ26" s="715"/>
      <c r="BA26" s="716">
        <v>0</v>
      </c>
      <c r="BB26" s="727"/>
      <c r="BC26" s="712">
        <v>0</v>
      </c>
      <c r="BD26" s="712">
        <v>0</v>
      </c>
      <c r="BE26" s="712"/>
      <c r="BF26" s="712"/>
      <c r="BG26" s="712">
        <v>0</v>
      </c>
      <c r="BH26" s="712">
        <v>0</v>
      </c>
      <c r="BI26" s="134">
        <f t="shared" si="33"/>
        <v>0</v>
      </c>
      <c r="BJ26" s="123"/>
      <c r="BK26" s="792"/>
      <c r="BL26" s="104"/>
      <c r="BM26" s="672"/>
      <c r="BO26" s="562"/>
      <c r="BS26" s="879"/>
      <c r="BT26" s="774"/>
      <c r="BU26" s="774">
        <v>0</v>
      </c>
      <c r="BV26" s="774">
        <v>0</v>
      </c>
      <c r="BW26" s="774">
        <f t="shared" si="32"/>
        <v>0</v>
      </c>
    </row>
    <row r="27" spans="1:75" ht="15" thickBot="1" x14ac:dyDescent="0.35">
      <c r="A27" s="210" t="s">
        <v>42</v>
      </c>
      <c r="B27" s="228">
        <v>1</v>
      </c>
      <c r="C27" s="39">
        <f>'[3]побудинковий звіт'!E27</f>
        <v>236.7</v>
      </c>
      <c r="D27" s="205">
        <f t="shared" si="7"/>
        <v>23.122669777563502</v>
      </c>
      <c r="E27" s="104">
        <f t="shared" si="8"/>
        <v>5.0869915992510339</v>
      </c>
      <c r="F27" s="104">
        <f t="shared" si="9"/>
        <v>0</v>
      </c>
      <c r="G27" s="104">
        <f t="shared" si="10"/>
        <v>0</v>
      </c>
      <c r="H27" s="104">
        <f t="shared" si="11"/>
        <v>19.318405437852128</v>
      </c>
      <c r="I27" s="104">
        <f t="shared" si="12"/>
        <v>6.11747220559739</v>
      </c>
      <c r="J27" s="672">
        <f t="shared" si="0"/>
        <v>0</v>
      </c>
      <c r="K27" s="139">
        <f t="shared" si="13"/>
        <v>53.645539020264053</v>
      </c>
      <c r="L27" s="138">
        <f t="shared" si="1"/>
        <v>0</v>
      </c>
      <c r="M27" s="104">
        <f t="shared" si="2"/>
        <v>0</v>
      </c>
      <c r="N27" s="29">
        <f t="shared" si="14"/>
        <v>0</v>
      </c>
      <c r="O27" s="104">
        <f t="shared" si="3"/>
        <v>0.42613324009861747</v>
      </c>
      <c r="P27" s="104">
        <f t="shared" si="15"/>
        <v>0</v>
      </c>
      <c r="Q27" s="104">
        <f t="shared" si="16"/>
        <v>5.4848817275690298E-2</v>
      </c>
      <c r="R27" s="140">
        <f t="shared" si="17"/>
        <v>0.48098205737430777</v>
      </c>
      <c r="S27" s="138">
        <f t="shared" si="18"/>
        <v>0</v>
      </c>
      <c r="T27" s="104">
        <f t="shared" si="4"/>
        <v>0</v>
      </c>
      <c r="U27" s="139">
        <f t="shared" si="19"/>
        <v>0</v>
      </c>
      <c r="V27" s="104"/>
      <c r="W27" s="104">
        <f t="shared" si="20"/>
        <v>0</v>
      </c>
      <c r="X27" s="139">
        <f t="shared" si="21"/>
        <v>0</v>
      </c>
      <c r="Y27" s="138">
        <v>0</v>
      </c>
      <c r="Z27" s="141">
        <v>0</v>
      </c>
      <c r="AA27" s="104">
        <f t="shared" si="5"/>
        <v>0</v>
      </c>
      <c r="AB27" s="139">
        <f t="shared" si="6"/>
        <v>0</v>
      </c>
      <c r="AC27" s="138">
        <v>0</v>
      </c>
      <c r="AD27" s="104">
        <f t="shared" si="22"/>
        <v>0</v>
      </c>
      <c r="AE27" s="139">
        <f t="shared" si="23"/>
        <v>0</v>
      </c>
      <c r="AF27" s="142">
        <v>55</v>
      </c>
      <c r="AG27" s="104">
        <f t="shared" si="24"/>
        <v>7.0792059062673287</v>
      </c>
      <c r="AH27" s="139">
        <f t="shared" si="25"/>
        <v>62.079205906267326</v>
      </c>
      <c r="AI27" s="142">
        <v>0</v>
      </c>
      <c r="AJ27" s="104">
        <f t="shared" si="26"/>
        <v>0</v>
      </c>
      <c r="AK27" s="139">
        <f t="shared" si="27"/>
        <v>0</v>
      </c>
      <c r="AL27" s="143"/>
      <c r="AM27" s="205"/>
      <c r="AN27" s="104">
        <f t="shared" si="28"/>
        <v>0</v>
      </c>
      <c r="AO27" s="148">
        <f t="shared" si="29"/>
        <v>0</v>
      </c>
      <c r="AP27" s="272">
        <f t="shared" si="30"/>
        <v>0</v>
      </c>
      <c r="AQ27" s="669">
        <v>21.34</v>
      </c>
      <c r="AR27" s="401">
        <v>0</v>
      </c>
      <c r="AS27" s="401">
        <v>0</v>
      </c>
      <c r="AT27" s="401">
        <v>0</v>
      </c>
      <c r="AU27" s="401">
        <v>0</v>
      </c>
      <c r="AV27" s="727">
        <v>0</v>
      </c>
      <c r="AW27" s="246"/>
      <c r="AX27" s="713">
        <f t="shared" si="31"/>
        <v>0</v>
      </c>
      <c r="AY27" s="714">
        <v>0</v>
      </c>
      <c r="AZ27" s="715"/>
      <c r="BA27" s="716">
        <v>0</v>
      </c>
      <c r="BB27" s="727"/>
      <c r="BC27" s="712">
        <v>0</v>
      </c>
      <c r="BD27" s="712">
        <v>0</v>
      </c>
      <c r="BE27" s="712"/>
      <c r="BF27" s="712"/>
      <c r="BG27" s="712">
        <v>0</v>
      </c>
      <c r="BH27" s="712">
        <v>0</v>
      </c>
      <c r="BI27" s="134">
        <f t="shared" si="33"/>
        <v>0</v>
      </c>
      <c r="BJ27" s="123"/>
      <c r="BK27" s="792"/>
      <c r="BL27" s="104"/>
      <c r="BM27" s="672"/>
      <c r="BO27" s="562"/>
      <c r="BS27" s="879"/>
      <c r="BT27" s="774"/>
      <c r="BU27" s="774">
        <v>0</v>
      </c>
      <c r="BV27" s="774">
        <v>0</v>
      </c>
      <c r="BW27" s="774">
        <f t="shared" si="32"/>
        <v>0</v>
      </c>
    </row>
    <row r="28" spans="1:75" ht="15" thickBot="1" x14ac:dyDescent="0.35">
      <c r="A28" s="210" t="s">
        <v>43</v>
      </c>
      <c r="B28" s="228">
        <v>1</v>
      </c>
      <c r="C28" s="39">
        <f>'[3]побудинковий звіт'!E28</f>
        <v>315.7</v>
      </c>
      <c r="D28" s="205">
        <f t="shared" si="7"/>
        <v>30.068139003157789</v>
      </c>
      <c r="E28" s="104">
        <f t="shared" si="8"/>
        <v>6.6149961049304693</v>
      </c>
      <c r="F28" s="104">
        <f t="shared" si="9"/>
        <v>0</v>
      </c>
      <c r="G28" s="104">
        <f t="shared" si="10"/>
        <v>0</v>
      </c>
      <c r="H28" s="104">
        <f t="shared" si="11"/>
        <v>25.121169208078566</v>
      </c>
      <c r="I28" s="104">
        <f t="shared" si="12"/>
        <v>7.9550072026863905</v>
      </c>
      <c r="J28" s="672">
        <f t="shared" si="0"/>
        <v>0</v>
      </c>
      <c r="K28" s="139">
        <f t="shared" si="13"/>
        <v>69.75931151885321</v>
      </c>
      <c r="L28" s="138">
        <f t="shared" si="1"/>
        <v>0</v>
      </c>
      <c r="M28" s="104">
        <f t="shared" si="2"/>
        <v>0</v>
      </c>
      <c r="N28" s="29">
        <f t="shared" si="14"/>
        <v>0</v>
      </c>
      <c r="O28" s="104">
        <f t="shared" si="3"/>
        <v>0.56835768440698575</v>
      </c>
      <c r="P28" s="104">
        <f t="shared" si="15"/>
        <v>0</v>
      </c>
      <c r="Q28" s="104">
        <f t="shared" si="16"/>
        <v>7.3154928660479193E-2</v>
      </c>
      <c r="R28" s="140">
        <f t="shared" si="17"/>
        <v>0.64151261306746499</v>
      </c>
      <c r="S28" s="138">
        <f t="shared" si="18"/>
        <v>0</v>
      </c>
      <c r="T28" s="104">
        <f t="shared" si="4"/>
        <v>0</v>
      </c>
      <c r="U28" s="139">
        <f t="shared" si="19"/>
        <v>0</v>
      </c>
      <c r="V28" s="104"/>
      <c r="W28" s="104">
        <f t="shared" si="20"/>
        <v>0</v>
      </c>
      <c r="X28" s="139">
        <f t="shared" si="21"/>
        <v>0</v>
      </c>
      <c r="Y28" s="138">
        <v>0</v>
      </c>
      <c r="Z28" s="141">
        <v>0</v>
      </c>
      <c r="AA28" s="104">
        <f t="shared" si="5"/>
        <v>0</v>
      </c>
      <c r="AB28" s="139">
        <f t="shared" si="6"/>
        <v>0</v>
      </c>
      <c r="AC28" s="138">
        <v>0</v>
      </c>
      <c r="AD28" s="104">
        <f t="shared" si="22"/>
        <v>0</v>
      </c>
      <c r="AE28" s="139">
        <f t="shared" si="23"/>
        <v>0</v>
      </c>
      <c r="AF28" s="142">
        <v>0</v>
      </c>
      <c r="AG28" s="104">
        <f t="shared" si="24"/>
        <v>0</v>
      </c>
      <c r="AH28" s="139">
        <f t="shared" si="25"/>
        <v>0</v>
      </c>
      <c r="AI28" s="142">
        <v>0</v>
      </c>
      <c r="AJ28" s="104">
        <f t="shared" si="26"/>
        <v>0</v>
      </c>
      <c r="AK28" s="139">
        <f t="shared" si="27"/>
        <v>0</v>
      </c>
      <c r="AL28" s="143"/>
      <c r="AM28" s="205"/>
      <c r="AN28" s="104">
        <f t="shared" si="28"/>
        <v>0</v>
      </c>
      <c r="AO28" s="148">
        <f t="shared" si="29"/>
        <v>0</v>
      </c>
      <c r="AP28" s="272">
        <f t="shared" si="30"/>
        <v>0</v>
      </c>
      <c r="AQ28" s="669">
        <v>27.75</v>
      </c>
      <c r="AR28" s="401">
        <v>0</v>
      </c>
      <c r="AS28" s="401">
        <v>0</v>
      </c>
      <c r="AT28" s="401">
        <v>0</v>
      </c>
      <c r="AU28" s="401">
        <v>0</v>
      </c>
      <c r="AV28" s="727">
        <v>0</v>
      </c>
      <c r="AW28" s="246"/>
      <c r="AX28" s="713">
        <f t="shared" si="31"/>
        <v>0</v>
      </c>
      <c r="AY28" s="714">
        <v>0</v>
      </c>
      <c r="AZ28" s="715"/>
      <c r="BA28" s="716">
        <v>0</v>
      </c>
      <c r="BB28" s="727"/>
      <c r="BC28" s="712">
        <v>0</v>
      </c>
      <c r="BD28" s="712">
        <v>0</v>
      </c>
      <c r="BE28" s="712"/>
      <c r="BF28" s="712"/>
      <c r="BG28" s="712">
        <v>0</v>
      </c>
      <c r="BH28" s="712">
        <v>0</v>
      </c>
      <c r="BI28" s="134">
        <f t="shared" si="33"/>
        <v>0</v>
      </c>
      <c r="BJ28" s="123"/>
      <c r="BK28" s="792"/>
      <c r="BL28" s="104"/>
      <c r="BM28" s="672"/>
      <c r="BO28" s="562"/>
      <c r="BS28" s="879"/>
      <c r="BT28" s="774"/>
      <c r="BU28" s="774">
        <v>0</v>
      </c>
      <c r="BV28" s="774">
        <v>0</v>
      </c>
      <c r="BW28" s="774">
        <f t="shared" si="32"/>
        <v>0</v>
      </c>
    </row>
    <row r="29" spans="1:75" ht="15" thickBot="1" x14ac:dyDescent="0.35">
      <c r="A29" s="210" t="s">
        <v>44</v>
      </c>
      <c r="B29" s="228">
        <v>1</v>
      </c>
      <c r="C29" s="39">
        <f>'[3]побудинковий звіт'!E29</f>
        <v>239.9</v>
      </c>
      <c r="D29" s="205">
        <f t="shared" si="7"/>
        <v>22.461712487764359</v>
      </c>
      <c r="E29" s="104">
        <f t="shared" si="8"/>
        <v>4.9415808740615716</v>
      </c>
      <c r="F29" s="104">
        <f t="shared" si="9"/>
        <v>0</v>
      </c>
      <c r="G29" s="104">
        <f t="shared" si="10"/>
        <v>0</v>
      </c>
      <c r="H29" s="104">
        <f t="shared" si="11"/>
        <v>18.766192348953826</v>
      </c>
      <c r="I29" s="104">
        <f t="shared" si="12"/>
        <v>5.9426053806014014</v>
      </c>
      <c r="J29" s="672">
        <f t="shared" si="0"/>
        <v>0</v>
      </c>
      <c r="K29" s="139">
        <f t="shared" si="13"/>
        <v>52.112091091381153</v>
      </c>
      <c r="L29" s="138">
        <f t="shared" si="1"/>
        <v>0</v>
      </c>
      <c r="M29" s="104">
        <f t="shared" si="2"/>
        <v>0</v>
      </c>
      <c r="N29" s="29">
        <f t="shared" si="14"/>
        <v>0</v>
      </c>
      <c r="O29" s="104">
        <f t="shared" si="3"/>
        <v>0.43189423024781726</v>
      </c>
      <c r="P29" s="104">
        <f t="shared" si="15"/>
        <v>0</v>
      </c>
      <c r="Q29" s="104">
        <f t="shared" si="16"/>
        <v>5.5590330648238713E-2</v>
      </c>
      <c r="R29" s="140">
        <f t="shared" si="17"/>
        <v>0.48748456089605596</v>
      </c>
      <c r="S29" s="138">
        <f t="shared" si="18"/>
        <v>0</v>
      </c>
      <c r="T29" s="104">
        <f t="shared" si="4"/>
        <v>0</v>
      </c>
      <c r="U29" s="139">
        <f t="shared" si="19"/>
        <v>0</v>
      </c>
      <c r="V29" s="104"/>
      <c r="W29" s="104">
        <f t="shared" si="20"/>
        <v>0</v>
      </c>
      <c r="X29" s="139">
        <f t="shared" si="21"/>
        <v>0</v>
      </c>
      <c r="Y29" s="138">
        <v>0</v>
      </c>
      <c r="Z29" s="141">
        <v>0</v>
      </c>
      <c r="AA29" s="104">
        <f t="shared" si="5"/>
        <v>0</v>
      </c>
      <c r="AB29" s="139">
        <f t="shared" si="6"/>
        <v>0</v>
      </c>
      <c r="AC29" s="138">
        <v>0</v>
      </c>
      <c r="AD29" s="104">
        <f t="shared" si="22"/>
        <v>0</v>
      </c>
      <c r="AE29" s="139">
        <f t="shared" si="23"/>
        <v>0</v>
      </c>
      <c r="AF29" s="142">
        <v>61.6</v>
      </c>
      <c r="AG29" s="104">
        <f t="shared" si="24"/>
        <v>7.9287106150194084</v>
      </c>
      <c r="AH29" s="139">
        <f t="shared" si="25"/>
        <v>69.528710615019406</v>
      </c>
      <c r="AI29" s="142">
        <v>0</v>
      </c>
      <c r="AJ29" s="104">
        <f t="shared" si="26"/>
        <v>0</v>
      </c>
      <c r="AK29" s="139">
        <f t="shared" si="27"/>
        <v>0</v>
      </c>
      <c r="AL29" s="143"/>
      <c r="AM29" s="205"/>
      <c r="AN29" s="104">
        <f t="shared" si="28"/>
        <v>0</v>
      </c>
      <c r="AO29" s="148">
        <f t="shared" si="29"/>
        <v>0</v>
      </c>
      <c r="AP29" s="272">
        <f t="shared" si="30"/>
        <v>0</v>
      </c>
      <c r="AQ29" s="669">
        <v>20.73</v>
      </c>
      <c r="AR29" s="401">
        <v>0</v>
      </c>
      <c r="AS29" s="401">
        <v>0</v>
      </c>
      <c r="AT29" s="401">
        <v>0</v>
      </c>
      <c r="AU29" s="401">
        <v>0</v>
      </c>
      <c r="AV29" s="727">
        <v>0</v>
      </c>
      <c r="AW29" s="246"/>
      <c r="AX29" s="713">
        <f t="shared" si="31"/>
        <v>0</v>
      </c>
      <c r="AY29" s="714">
        <v>0</v>
      </c>
      <c r="AZ29" s="715"/>
      <c r="BA29" s="716">
        <v>0</v>
      </c>
      <c r="BB29" s="727"/>
      <c r="BC29" s="712">
        <v>0</v>
      </c>
      <c r="BD29" s="712">
        <v>0</v>
      </c>
      <c r="BE29" s="712"/>
      <c r="BF29" s="712"/>
      <c r="BG29" s="712">
        <v>0</v>
      </c>
      <c r="BH29" s="712">
        <v>0</v>
      </c>
      <c r="BI29" s="134">
        <f t="shared" si="33"/>
        <v>0</v>
      </c>
      <c r="BJ29" s="123"/>
      <c r="BK29" s="792"/>
      <c r="BL29" s="104"/>
      <c r="BM29" s="672"/>
      <c r="BO29" s="562"/>
      <c r="BS29" s="879"/>
      <c r="BT29" s="774"/>
      <c r="BU29" s="774">
        <v>0</v>
      </c>
      <c r="BV29" s="774">
        <v>0</v>
      </c>
      <c r="BW29" s="774">
        <f t="shared" si="32"/>
        <v>0</v>
      </c>
    </row>
    <row r="30" spans="1:75" ht="15" thickBot="1" x14ac:dyDescent="0.35">
      <c r="A30" s="210" t="s">
        <v>47</v>
      </c>
      <c r="B30" s="228">
        <v>1</v>
      </c>
      <c r="C30" s="39">
        <f>'[3]побудинковий звіт'!E30</f>
        <v>135.6</v>
      </c>
      <c r="D30" s="205">
        <f t="shared" si="7"/>
        <v>14.974474991842905</v>
      </c>
      <c r="E30" s="104">
        <f t="shared" si="8"/>
        <v>3.2943872493743811</v>
      </c>
      <c r="F30" s="104">
        <f t="shared" si="9"/>
        <v>0</v>
      </c>
      <c r="G30" s="104">
        <f t="shared" si="10"/>
        <v>0</v>
      </c>
      <c r="H30" s="104">
        <f t="shared" si="11"/>
        <v>12.510794899302551</v>
      </c>
      <c r="I30" s="104">
        <f t="shared" si="12"/>
        <v>3.9617369204009343</v>
      </c>
      <c r="J30" s="672">
        <f t="shared" si="0"/>
        <v>0</v>
      </c>
      <c r="K30" s="139">
        <f t="shared" si="13"/>
        <v>34.741394060920769</v>
      </c>
      <c r="L30" s="138">
        <f t="shared" si="1"/>
        <v>0</v>
      </c>
      <c r="M30" s="104">
        <f t="shared" si="2"/>
        <v>0</v>
      </c>
      <c r="N30" s="29">
        <f t="shared" si="14"/>
        <v>0</v>
      </c>
      <c r="O30" s="104">
        <f t="shared" si="3"/>
        <v>0.24412195757233854</v>
      </c>
      <c r="P30" s="104">
        <f t="shared" si="15"/>
        <v>0</v>
      </c>
      <c r="Q30" s="104">
        <f t="shared" si="16"/>
        <v>3.1421629161738927E-2</v>
      </c>
      <c r="R30" s="140">
        <f t="shared" si="17"/>
        <v>0.27554358673407747</v>
      </c>
      <c r="S30" s="138">
        <f t="shared" si="18"/>
        <v>0</v>
      </c>
      <c r="T30" s="104">
        <f t="shared" si="4"/>
        <v>0</v>
      </c>
      <c r="U30" s="139">
        <f t="shared" si="19"/>
        <v>0</v>
      </c>
      <c r="V30" s="104"/>
      <c r="W30" s="104">
        <f t="shared" si="20"/>
        <v>0</v>
      </c>
      <c r="X30" s="139">
        <f t="shared" si="21"/>
        <v>0</v>
      </c>
      <c r="Y30" s="138">
        <v>0</v>
      </c>
      <c r="Z30" s="141">
        <v>0</v>
      </c>
      <c r="AA30" s="104">
        <f t="shared" si="5"/>
        <v>0</v>
      </c>
      <c r="AB30" s="139">
        <f t="shared" si="6"/>
        <v>0</v>
      </c>
      <c r="AC30" s="138">
        <v>0</v>
      </c>
      <c r="AD30" s="104">
        <f t="shared" si="22"/>
        <v>0</v>
      </c>
      <c r="AE30" s="139">
        <f t="shared" si="23"/>
        <v>0</v>
      </c>
      <c r="AF30" s="142">
        <v>0</v>
      </c>
      <c r="AG30" s="104">
        <f t="shared" si="24"/>
        <v>0</v>
      </c>
      <c r="AH30" s="139">
        <f t="shared" si="25"/>
        <v>0</v>
      </c>
      <c r="AI30" s="142">
        <v>0</v>
      </c>
      <c r="AJ30" s="104">
        <f t="shared" si="26"/>
        <v>0</v>
      </c>
      <c r="AK30" s="139">
        <f t="shared" si="27"/>
        <v>0</v>
      </c>
      <c r="AL30" s="143"/>
      <c r="AM30" s="205"/>
      <c r="AN30" s="104">
        <f t="shared" si="28"/>
        <v>0</v>
      </c>
      <c r="AO30" s="148">
        <f t="shared" si="29"/>
        <v>0</v>
      </c>
      <c r="AP30" s="272">
        <f t="shared" si="30"/>
        <v>0</v>
      </c>
      <c r="AQ30" s="669">
        <v>13.82</v>
      </c>
      <c r="AR30" s="401">
        <v>0</v>
      </c>
      <c r="AS30" s="401">
        <v>0</v>
      </c>
      <c r="AT30" s="401">
        <v>0</v>
      </c>
      <c r="AU30" s="401">
        <v>0</v>
      </c>
      <c r="AV30" s="727">
        <v>0</v>
      </c>
      <c r="AW30" s="246"/>
      <c r="AX30" s="713">
        <f t="shared" si="31"/>
        <v>0</v>
      </c>
      <c r="AY30" s="714">
        <v>0</v>
      </c>
      <c r="AZ30" s="715"/>
      <c r="BA30" s="716">
        <v>0</v>
      </c>
      <c r="BB30" s="727"/>
      <c r="BC30" s="712">
        <v>0</v>
      </c>
      <c r="BD30" s="712">
        <v>0</v>
      </c>
      <c r="BE30" s="712"/>
      <c r="BF30" s="712"/>
      <c r="BG30" s="712">
        <v>0</v>
      </c>
      <c r="BH30" s="712">
        <v>0</v>
      </c>
      <c r="BI30" s="134">
        <f t="shared" si="33"/>
        <v>0</v>
      </c>
      <c r="BJ30" s="123"/>
      <c r="BK30" s="792"/>
      <c r="BL30" s="104"/>
      <c r="BM30" s="672"/>
      <c r="BO30" s="562"/>
      <c r="BS30" s="879"/>
      <c r="BT30" s="774"/>
      <c r="BU30" s="774">
        <v>0</v>
      </c>
      <c r="BV30" s="774">
        <v>0</v>
      </c>
      <c r="BW30" s="774">
        <f t="shared" si="32"/>
        <v>0</v>
      </c>
    </row>
    <row r="31" spans="1:75" ht="15" thickBot="1" x14ac:dyDescent="0.35">
      <c r="A31" s="210" t="s">
        <v>48</v>
      </c>
      <c r="B31" s="228">
        <v>1</v>
      </c>
      <c r="C31" s="39">
        <f>'[3]побудинковий звіт'!E31</f>
        <v>229.9</v>
      </c>
      <c r="D31" s="205">
        <f t="shared" si="7"/>
        <v>29.948949983685811</v>
      </c>
      <c r="E31" s="104">
        <f t="shared" si="8"/>
        <v>6.5887744987487622</v>
      </c>
      <c r="F31" s="104">
        <f t="shared" si="9"/>
        <v>0</v>
      </c>
      <c r="G31" s="104">
        <f t="shared" si="10"/>
        <v>0</v>
      </c>
      <c r="H31" s="104">
        <f t="shared" si="11"/>
        <v>25.021589798605103</v>
      </c>
      <c r="I31" s="104">
        <f t="shared" si="12"/>
        <v>7.9234738408018686</v>
      </c>
      <c r="J31" s="672">
        <f t="shared" si="0"/>
        <v>0</v>
      </c>
      <c r="K31" s="139">
        <f t="shared" si="13"/>
        <v>69.482788121841537</v>
      </c>
      <c r="L31" s="138">
        <f t="shared" si="1"/>
        <v>0</v>
      </c>
      <c r="M31" s="104">
        <f t="shared" si="2"/>
        <v>0</v>
      </c>
      <c r="N31" s="29">
        <f t="shared" si="14"/>
        <v>0</v>
      </c>
      <c r="O31" s="104">
        <f t="shared" si="3"/>
        <v>0.41389113603156807</v>
      </c>
      <c r="P31" s="104">
        <f t="shared" si="15"/>
        <v>0</v>
      </c>
      <c r="Q31" s="104">
        <f t="shared" si="16"/>
        <v>5.3273101359024924E-2</v>
      </c>
      <c r="R31" s="140">
        <f t="shared" si="17"/>
        <v>0.46716423739059298</v>
      </c>
      <c r="S31" s="138">
        <f t="shared" si="18"/>
        <v>0</v>
      </c>
      <c r="T31" s="104">
        <f t="shared" si="4"/>
        <v>0</v>
      </c>
      <c r="U31" s="139">
        <f t="shared" si="19"/>
        <v>0</v>
      </c>
      <c r="V31" s="104"/>
      <c r="W31" s="104">
        <f t="shared" si="20"/>
        <v>0</v>
      </c>
      <c r="X31" s="139">
        <f t="shared" si="21"/>
        <v>0</v>
      </c>
      <c r="Y31" s="138">
        <v>0</v>
      </c>
      <c r="Z31" s="141">
        <v>0</v>
      </c>
      <c r="AA31" s="104">
        <f t="shared" si="5"/>
        <v>0</v>
      </c>
      <c r="AB31" s="139">
        <f t="shared" si="6"/>
        <v>0</v>
      </c>
      <c r="AC31" s="138">
        <v>0</v>
      </c>
      <c r="AD31" s="104">
        <f t="shared" si="22"/>
        <v>0</v>
      </c>
      <c r="AE31" s="139">
        <f t="shared" si="23"/>
        <v>0</v>
      </c>
      <c r="AF31" s="142">
        <v>22</v>
      </c>
      <c r="AG31" s="104">
        <f t="shared" si="24"/>
        <v>2.8316823625069314</v>
      </c>
      <c r="AH31" s="139">
        <f t="shared" si="25"/>
        <v>24.831682362506932</v>
      </c>
      <c r="AI31" s="142">
        <v>0</v>
      </c>
      <c r="AJ31" s="104">
        <f t="shared" si="26"/>
        <v>0</v>
      </c>
      <c r="AK31" s="139">
        <f t="shared" si="27"/>
        <v>0</v>
      </c>
      <c r="AL31" s="143"/>
      <c r="AM31" s="205"/>
      <c r="AN31" s="104">
        <f t="shared" si="28"/>
        <v>0</v>
      </c>
      <c r="AO31" s="148">
        <f t="shared" si="29"/>
        <v>0</v>
      </c>
      <c r="AP31" s="272">
        <f t="shared" si="30"/>
        <v>0</v>
      </c>
      <c r="AQ31" s="669">
        <v>27.64</v>
      </c>
      <c r="AR31" s="401">
        <v>0</v>
      </c>
      <c r="AS31" s="401">
        <v>0</v>
      </c>
      <c r="AT31" s="401">
        <v>0</v>
      </c>
      <c r="AU31" s="401">
        <v>0</v>
      </c>
      <c r="AV31" s="727">
        <v>0</v>
      </c>
      <c r="AW31" s="246"/>
      <c r="AX31" s="713">
        <f t="shared" si="31"/>
        <v>0</v>
      </c>
      <c r="AY31" s="714">
        <v>0</v>
      </c>
      <c r="AZ31" s="715"/>
      <c r="BA31" s="716">
        <v>0</v>
      </c>
      <c r="BB31" s="727"/>
      <c r="BC31" s="712">
        <v>0</v>
      </c>
      <c r="BD31" s="712">
        <v>0</v>
      </c>
      <c r="BE31" s="712"/>
      <c r="BF31" s="712"/>
      <c r="BG31" s="712">
        <v>0</v>
      </c>
      <c r="BH31" s="712">
        <v>0</v>
      </c>
      <c r="BI31" s="134">
        <f t="shared" si="33"/>
        <v>0</v>
      </c>
      <c r="BJ31" s="123"/>
      <c r="BK31" s="792"/>
      <c r="BL31" s="104"/>
      <c r="BM31" s="672"/>
      <c r="BO31" s="562"/>
      <c r="BS31" s="879"/>
      <c r="BT31" s="774"/>
      <c r="BU31" s="774">
        <v>0</v>
      </c>
      <c r="BV31" s="774">
        <v>0</v>
      </c>
      <c r="BW31" s="774">
        <f t="shared" si="32"/>
        <v>0</v>
      </c>
    </row>
    <row r="32" spans="1:75" ht="15" thickBot="1" x14ac:dyDescent="0.35">
      <c r="A32" s="209" t="s">
        <v>201</v>
      </c>
      <c r="B32" s="227">
        <v>4</v>
      </c>
      <c r="C32" s="39">
        <f>'[3]побудинковий звіт'!E32</f>
        <v>2167.6</v>
      </c>
      <c r="D32" s="205">
        <f t="shared" si="7"/>
        <v>1466.3316223017675</v>
      </c>
      <c r="E32" s="104">
        <f t="shared" si="8"/>
        <v>322.59322630655282</v>
      </c>
      <c r="F32" s="104">
        <f t="shared" si="9"/>
        <v>70.300695204739682</v>
      </c>
      <c r="G32" s="104">
        <f t="shared" si="10"/>
        <v>0</v>
      </c>
      <c r="H32" s="104">
        <f t="shared" si="11"/>
        <v>1225.0829622388835</v>
      </c>
      <c r="I32" s="104">
        <f t="shared" si="12"/>
        <v>396.99009077806323</v>
      </c>
      <c r="J32" s="672">
        <f t="shared" si="0"/>
        <v>0</v>
      </c>
      <c r="K32" s="139">
        <f t="shared" si="13"/>
        <v>3481.2985968300068</v>
      </c>
      <c r="L32" s="138">
        <f t="shared" si="1"/>
        <v>1406.5831262432218</v>
      </c>
      <c r="M32" s="104">
        <f t="shared" si="2"/>
        <v>309.44683127089752</v>
      </c>
      <c r="N32" s="29">
        <f t="shared" si="14"/>
        <v>47.234443460015108</v>
      </c>
      <c r="O32" s="104">
        <f t="shared" si="3"/>
        <v>3.9023507023141666</v>
      </c>
      <c r="P32" s="104">
        <f t="shared" si="15"/>
        <v>1175.1646058265592</v>
      </c>
      <c r="Q32" s="104">
        <f t="shared" si="16"/>
        <v>378.7158095314702</v>
      </c>
      <c r="R32" s="140">
        <f t="shared" si="17"/>
        <v>3321.0471670344782</v>
      </c>
      <c r="S32" s="138">
        <f t="shared" si="18"/>
        <v>100.10000000000001</v>
      </c>
      <c r="T32" s="104">
        <f t="shared" si="4"/>
        <v>12.884154749406539</v>
      </c>
      <c r="U32" s="139">
        <f t="shared" si="19"/>
        <v>112.98415474940654</v>
      </c>
      <c r="V32" s="104"/>
      <c r="W32" s="104">
        <f t="shared" si="20"/>
        <v>0</v>
      </c>
      <c r="X32" s="139">
        <f t="shared" si="21"/>
        <v>0</v>
      </c>
      <c r="Y32" s="138">
        <v>0</v>
      </c>
      <c r="Z32" s="141">
        <v>0</v>
      </c>
      <c r="AA32" s="104">
        <f t="shared" si="5"/>
        <v>0</v>
      </c>
      <c r="AB32" s="139">
        <f t="shared" si="6"/>
        <v>0</v>
      </c>
      <c r="AC32" s="138">
        <v>0</v>
      </c>
      <c r="AD32" s="104">
        <f t="shared" si="22"/>
        <v>0</v>
      </c>
      <c r="AE32" s="139">
        <f t="shared" si="23"/>
        <v>0</v>
      </c>
      <c r="AF32" s="142">
        <v>136.4</v>
      </c>
      <c r="AG32" s="104">
        <f t="shared" si="24"/>
        <v>17.556430647542975</v>
      </c>
      <c r="AH32" s="139">
        <f t="shared" si="25"/>
        <v>153.95643064754299</v>
      </c>
      <c r="AI32" s="142">
        <v>0</v>
      </c>
      <c r="AJ32" s="104">
        <f t="shared" si="26"/>
        <v>0</v>
      </c>
      <c r="AK32" s="139">
        <f t="shared" si="27"/>
        <v>0</v>
      </c>
      <c r="AL32" s="143"/>
      <c r="AM32" s="391"/>
      <c r="AN32" s="104">
        <f t="shared" si="28"/>
        <v>0</v>
      </c>
      <c r="AO32" s="148">
        <f t="shared" si="29"/>
        <v>0</v>
      </c>
      <c r="AP32" s="272">
        <f t="shared" si="30"/>
        <v>1785.5385399502857</v>
      </c>
      <c r="AQ32" s="669">
        <v>70.08</v>
      </c>
      <c r="AR32" s="725">
        <v>1283.2030387208424</v>
      </c>
      <c r="AS32" s="725">
        <v>477.97024854594173</v>
      </c>
      <c r="AT32" s="725">
        <v>24.365252683501524</v>
      </c>
      <c r="AU32" s="401">
        <v>796.76672815613927</v>
      </c>
      <c r="AV32" s="786"/>
      <c r="AW32" s="246"/>
      <c r="AX32" s="713">
        <f t="shared" si="31"/>
        <v>70.300695204739682</v>
      </c>
      <c r="AY32" s="714">
        <v>47.234443460015108</v>
      </c>
      <c r="AZ32" s="715"/>
      <c r="BA32" s="716">
        <v>0</v>
      </c>
      <c r="BC32" s="712">
        <v>0</v>
      </c>
      <c r="BD32" s="712">
        <v>70.300695204739682</v>
      </c>
      <c r="BE32" s="712"/>
      <c r="BF32" s="712"/>
      <c r="BG32" s="712">
        <v>0</v>
      </c>
      <c r="BH32" s="712">
        <v>0</v>
      </c>
      <c r="BI32" s="134">
        <f t="shared" si="33"/>
        <v>70.300695204739682</v>
      </c>
      <c r="BJ32" s="123">
        <v>455</v>
      </c>
      <c r="BK32" s="792"/>
      <c r="BL32" s="104"/>
      <c r="BM32" s="672"/>
      <c r="BO32" s="562"/>
      <c r="BS32" s="879"/>
      <c r="BT32" s="774"/>
      <c r="BU32" s="774">
        <v>1259.4001148143236</v>
      </c>
      <c r="BV32" s="774">
        <v>0</v>
      </c>
      <c r="BW32" s="774">
        <f t="shared" si="32"/>
        <v>1259.4001148143236</v>
      </c>
    </row>
    <row r="33" spans="1:75" ht="15" thickBot="1" x14ac:dyDescent="0.35">
      <c r="A33" s="209" t="s">
        <v>202</v>
      </c>
      <c r="B33" s="227">
        <v>4</v>
      </c>
      <c r="C33" s="39">
        <f>'[3]побудинковий звіт'!E33</f>
        <v>2330.5700000000002</v>
      </c>
      <c r="D33" s="205">
        <f t="shared" si="7"/>
        <v>2533.803635805622</v>
      </c>
      <c r="E33" s="104">
        <f t="shared" si="8"/>
        <v>557.43726539752197</v>
      </c>
      <c r="F33" s="104">
        <f t="shared" si="9"/>
        <v>70.798147608071602</v>
      </c>
      <c r="G33" s="104">
        <f t="shared" si="10"/>
        <v>0</v>
      </c>
      <c r="H33" s="104">
        <f t="shared" si="11"/>
        <v>2116.9288151964743</v>
      </c>
      <c r="I33" s="104">
        <f t="shared" si="12"/>
        <v>679.47091785233931</v>
      </c>
      <c r="J33" s="672">
        <f t="shared" si="0"/>
        <v>0</v>
      </c>
      <c r="K33" s="139">
        <f t="shared" si="13"/>
        <v>5958.4387818600289</v>
      </c>
      <c r="L33" s="138">
        <f t="shared" si="1"/>
        <v>1859.2394309522156</v>
      </c>
      <c r="M33" s="104">
        <f t="shared" si="2"/>
        <v>409.03074958584745</v>
      </c>
      <c r="N33" s="29">
        <f t="shared" si="14"/>
        <v>47.568677529120677</v>
      </c>
      <c r="O33" s="104">
        <f t="shared" si="3"/>
        <v>4.1957471287563797</v>
      </c>
      <c r="P33" s="104">
        <f t="shared" si="15"/>
        <v>1553.3474931181199</v>
      </c>
      <c r="Q33" s="104">
        <f t="shared" si="16"/>
        <v>498.55398959300055</v>
      </c>
      <c r="R33" s="140">
        <f t="shared" si="17"/>
        <v>4371.9360879070609</v>
      </c>
      <c r="S33" s="138">
        <f t="shared" si="18"/>
        <v>0</v>
      </c>
      <c r="T33" s="104">
        <f t="shared" si="4"/>
        <v>0</v>
      </c>
      <c r="U33" s="139">
        <f t="shared" si="19"/>
        <v>0</v>
      </c>
      <c r="V33" s="104"/>
      <c r="W33" s="104">
        <f t="shared" si="20"/>
        <v>0</v>
      </c>
      <c r="X33" s="139">
        <f t="shared" si="21"/>
        <v>0</v>
      </c>
      <c r="Y33" s="138">
        <v>0</v>
      </c>
      <c r="Z33" s="141">
        <v>0</v>
      </c>
      <c r="AA33" s="104">
        <f t="shared" si="5"/>
        <v>0</v>
      </c>
      <c r="AB33" s="139">
        <f t="shared" si="6"/>
        <v>0</v>
      </c>
      <c r="AC33" s="138">
        <v>0</v>
      </c>
      <c r="AD33" s="104">
        <f t="shared" si="22"/>
        <v>0</v>
      </c>
      <c r="AE33" s="139">
        <f t="shared" si="23"/>
        <v>0</v>
      </c>
      <c r="AF33" s="142">
        <v>325.60000000000002</v>
      </c>
      <c r="AG33" s="104">
        <f t="shared" si="24"/>
        <v>41.908898965102587</v>
      </c>
      <c r="AH33" s="139">
        <f t="shared" si="25"/>
        <v>367.50889896510262</v>
      </c>
      <c r="AI33" s="142">
        <v>0</v>
      </c>
      <c r="AJ33" s="104">
        <f t="shared" si="26"/>
        <v>0</v>
      </c>
      <c r="AK33" s="139">
        <f t="shared" si="27"/>
        <v>0</v>
      </c>
      <c r="AL33" s="143"/>
      <c r="AM33" s="205"/>
      <c r="AN33" s="104">
        <f t="shared" si="28"/>
        <v>0</v>
      </c>
      <c r="AO33" s="148">
        <f t="shared" si="29"/>
        <v>0</v>
      </c>
      <c r="AP33" s="272">
        <f t="shared" si="30"/>
        <v>3130.2545169726282</v>
      </c>
      <c r="AQ33" s="669">
        <v>56.45</v>
      </c>
      <c r="AR33" s="725">
        <v>2282.0070254321913</v>
      </c>
      <c r="AS33" s="725">
        <v>848.24749154043695</v>
      </c>
      <c r="AT33" s="725">
        <v>0</v>
      </c>
      <c r="AU33" s="401">
        <v>868.92232561969854</v>
      </c>
      <c r="AV33" s="786"/>
      <c r="AW33" s="246"/>
      <c r="AX33" s="713">
        <f t="shared" si="31"/>
        <v>70.798147608071602</v>
      </c>
      <c r="AY33" s="714">
        <v>47.568677529120677</v>
      </c>
      <c r="AZ33" s="715"/>
      <c r="BA33" s="716">
        <v>0</v>
      </c>
      <c r="BC33" s="712">
        <v>0</v>
      </c>
      <c r="BD33" s="712">
        <v>70.798147608071602</v>
      </c>
      <c r="BE33" s="712"/>
      <c r="BF33" s="712"/>
      <c r="BG33" s="712">
        <v>0</v>
      </c>
      <c r="BH33" s="712">
        <v>0</v>
      </c>
      <c r="BI33" s="134">
        <f t="shared" si="33"/>
        <v>70.798147608071602</v>
      </c>
      <c r="BJ33" s="123"/>
      <c r="BK33" s="792"/>
      <c r="BL33" s="104"/>
      <c r="BM33" s="672"/>
      <c r="BO33" s="562"/>
      <c r="BS33" s="879"/>
      <c r="BT33" s="774"/>
      <c r="BU33" s="774">
        <v>1335.6023953874917</v>
      </c>
      <c r="BV33" s="774">
        <v>0</v>
      </c>
      <c r="BW33" s="774">
        <f t="shared" si="32"/>
        <v>1335.6023953874917</v>
      </c>
    </row>
    <row r="34" spans="1:75" ht="15" thickBot="1" x14ac:dyDescent="0.35">
      <c r="A34" s="209" t="s">
        <v>203</v>
      </c>
      <c r="B34" s="227">
        <v>4</v>
      </c>
      <c r="C34" s="39">
        <f>'[3]побудинковий звіт'!E34</f>
        <v>3253.33</v>
      </c>
      <c r="D34" s="205">
        <f t="shared" si="7"/>
        <v>2646.2975895375107</v>
      </c>
      <c r="E34" s="104">
        <f t="shared" si="8"/>
        <v>582.18595588636538</v>
      </c>
      <c r="F34" s="104">
        <f t="shared" si="9"/>
        <v>99.479167981123453</v>
      </c>
      <c r="G34" s="104">
        <f t="shared" si="10"/>
        <v>0</v>
      </c>
      <c r="H34" s="104">
        <f t="shared" si="11"/>
        <v>2210.9146666749361</v>
      </c>
      <c r="I34" s="104">
        <f t="shared" si="12"/>
        <v>712.9246084209525</v>
      </c>
      <c r="J34" s="672">
        <f t="shared" si="0"/>
        <v>0</v>
      </c>
      <c r="K34" s="139">
        <f t="shared" si="13"/>
        <v>6251.801988500888</v>
      </c>
      <c r="L34" s="138">
        <f t="shared" si="1"/>
        <v>2481.5269743749195</v>
      </c>
      <c r="M34" s="104">
        <f t="shared" si="2"/>
        <v>545.93336476638035</v>
      </c>
      <c r="N34" s="29">
        <f t="shared" si="14"/>
        <v>66.839212923415374</v>
      </c>
      <c r="O34" s="104">
        <f t="shared" si="3"/>
        <v>5.8570006506549861</v>
      </c>
      <c r="P34" s="104">
        <f t="shared" si="15"/>
        <v>2073.2529875273194</v>
      </c>
      <c r="Q34" s="104">
        <f t="shared" si="16"/>
        <v>665.88420677865088</v>
      </c>
      <c r="R34" s="140">
        <f t="shared" si="17"/>
        <v>5839.293747021341</v>
      </c>
      <c r="S34" s="138">
        <f t="shared" si="18"/>
        <v>75.900000000000006</v>
      </c>
      <c r="T34" s="104">
        <f t="shared" si="4"/>
        <v>9.7693041506489138</v>
      </c>
      <c r="U34" s="139">
        <f t="shared" si="19"/>
        <v>85.669304150648912</v>
      </c>
      <c r="V34" s="104"/>
      <c r="W34" s="104">
        <f t="shared" si="20"/>
        <v>0</v>
      </c>
      <c r="X34" s="139">
        <f t="shared" si="21"/>
        <v>0</v>
      </c>
      <c r="Y34" s="138">
        <v>0</v>
      </c>
      <c r="Z34" s="141">
        <v>0</v>
      </c>
      <c r="AA34" s="104">
        <f t="shared" si="5"/>
        <v>0</v>
      </c>
      <c r="AB34" s="139">
        <f t="shared" si="6"/>
        <v>0</v>
      </c>
      <c r="AC34" s="138">
        <v>0</v>
      </c>
      <c r="AD34" s="104">
        <f t="shared" si="22"/>
        <v>0</v>
      </c>
      <c r="AE34" s="139">
        <f t="shared" si="23"/>
        <v>0</v>
      </c>
      <c r="AF34" s="142">
        <v>198</v>
      </c>
      <c r="AG34" s="104">
        <f t="shared" si="24"/>
        <v>25.485141262562383</v>
      </c>
      <c r="AH34" s="139">
        <f t="shared" si="25"/>
        <v>223.48514126256239</v>
      </c>
      <c r="AI34" s="142">
        <v>0</v>
      </c>
      <c r="AJ34" s="104">
        <f t="shared" si="26"/>
        <v>0</v>
      </c>
      <c r="AK34" s="139">
        <f t="shared" si="27"/>
        <v>0</v>
      </c>
      <c r="AL34" s="143">
        <v>573.75</v>
      </c>
      <c r="AM34" s="143"/>
      <c r="AN34" s="104">
        <f t="shared" si="28"/>
        <v>73.848988885834174</v>
      </c>
      <c r="AO34" s="148">
        <f t="shared" si="29"/>
        <v>647.59898888583416</v>
      </c>
      <c r="AP34" s="272">
        <f t="shared" si="30"/>
        <v>2952.2077263660894</v>
      </c>
      <c r="AQ34" s="669">
        <v>480.84</v>
      </c>
      <c r="AR34" s="725">
        <v>1961.4381237626224</v>
      </c>
      <c r="AS34" s="725">
        <v>978.60209743632356</v>
      </c>
      <c r="AT34" s="725">
        <v>12.167505167143707</v>
      </c>
      <c r="AU34" s="401">
        <v>1301.1370501523511</v>
      </c>
      <c r="AV34" s="786"/>
      <c r="AW34" s="246"/>
      <c r="AX34" s="713">
        <f t="shared" si="31"/>
        <v>99.479167981123453</v>
      </c>
      <c r="AY34" s="714">
        <v>66.839212923415374</v>
      </c>
      <c r="AZ34" s="715"/>
      <c r="BA34" s="716">
        <v>0</v>
      </c>
      <c r="BC34" s="712">
        <v>0</v>
      </c>
      <c r="BD34" s="712">
        <v>99.479167981123453</v>
      </c>
      <c r="BE34" s="712"/>
      <c r="BF34" s="712"/>
      <c r="BG34" s="712">
        <v>0</v>
      </c>
      <c r="BH34" s="712">
        <v>0</v>
      </c>
      <c r="BI34" s="134">
        <f t="shared" si="33"/>
        <v>99.479167981123453</v>
      </c>
      <c r="BJ34" s="123">
        <v>345</v>
      </c>
      <c r="BK34" s="792"/>
      <c r="BL34" s="104"/>
      <c r="BM34" s="672"/>
      <c r="BO34" s="562"/>
      <c r="BS34" s="879"/>
      <c r="BT34" s="774"/>
      <c r="BU34" s="774">
        <v>1147.9782119344168</v>
      </c>
      <c r="BV34" s="774">
        <v>0</v>
      </c>
      <c r="BW34" s="774">
        <f t="shared" si="32"/>
        <v>1147.9782119344168</v>
      </c>
    </row>
    <row r="35" spans="1:75" ht="15" thickBot="1" x14ac:dyDescent="0.35">
      <c r="A35" s="209" t="s">
        <v>149</v>
      </c>
      <c r="B35" s="227">
        <v>2</v>
      </c>
      <c r="C35" s="39">
        <f>'[3]побудинковий звіт'!E35</f>
        <v>922.6</v>
      </c>
      <c r="D35" s="205">
        <f t="shared" si="7"/>
        <v>813.2671268823641</v>
      </c>
      <c r="E35" s="104">
        <f t="shared" si="8"/>
        <v>178.91891733072816</v>
      </c>
      <c r="F35" s="104">
        <f t="shared" si="9"/>
        <v>90.484324469916146</v>
      </c>
      <c r="G35" s="104">
        <f t="shared" si="10"/>
        <v>0</v>
      </c>
      <c r="H35" s="104">
        <f t="shared" si="11"/>
        <v>679.46410330330605</v>
      </c>
      <c r="I35" s="104">
        <f t="shared" si="12"/>
        <v>226.80932294041412</v>
      </c>
      <c r="J35" s="672">
        <f t="shared" si="0"/>
        <v>0</v>
      </c>
      <c r="K35" s="139">
        <f t="shared" si="13"/>
        <v>1988.9437949267285</v>
      </c>
      <c r="L35" s="138">
        <f t="shared" si="1"/>
        <v>1088.1593194265442</v>
      </c>
      <c r="M35" s="104">
        <f t="shared" si="2"/>
        <v>239.39392349586217</v>
      </c>
      <c r="N35" s="29">
        <f t="shared" si="14"/>
        <v>21.489997522516333</v>
      </c>
      <c r="O35" s="104">
        <f t="shared" si="3"/>
        <v>1.6609654723911471</v>
      </c>
      <c r="P35" s="104">
        <f t="shared" si="15"/>
        <v>909.12957352601677</v>
      </c>
      <c r="Q35" s="104">
        <f t="shared" si="16"/>
        <v>290.86961161122991</v>
      </c>
      <c r="R35" s="140">
        <f t="shared" si="17"/>
        <v>2550.7033910545606</v>
      </c>
      <c r="S35" s="138">
        <f t="shared" si="18"/>
        <v>0</v>
      </c>
      <c r="T35" s="104">
        <f t="shared" si="4"/>
        <v>0</v>
      </c>
      <c r="U35" s="139">
        <f t="shared" si="19"/>
        <v>0</v>
      </c>
      <c r="V35" s="104"/>
      <c r="W35" s="104">
        <f t="shared" si="20"/>
        <v>0</v>
      </c>
      <c r="X35" s="139">
        <f t="shared" si="21"/>
        <v>0</v>
      </c>
      <c r="Y35" s="138">
        <v>0</v>
      </c>
      <c r="Z35" s="141">
        <v>0</v>
      </c>
      <c r="AA35" s="104">
        <f t="shared" si="5"/>
        <v>0</v>
      </c>
      <c r="AB35" s="139">
        <f t="shared" si="6"/>
        <v>0</v>
      </c>
      <c r="AC35" s="138">
        <v>0</v>
      </c>
      <c r="AD35" s="104">
        <f t="shared" si="22"/>
        <v>0</v>
      </c>
      <c r="AE35" s="139">
        <f t="shared" si="23"/>
        <v>0</v>
      </c>
      <c r="AF35" s="142">
        <v>145.19999999999999</v>
      </c>
      <c r="AG35" s="104">
        <f t="shared" si="24"/>
        <v>18.689103592545745</v>
      </c>
      <c r="AH35" s="139">
        <f t="shared" si="25"/>
        <v>163.88910359254572</v>
      </c>
      <c r="AI35" s="142">
        <v>0</v>
      </c>
      <c r="AJ35" s="104">
        <f t="shared" si="26"/>
        <v>0</v>
      </c>
      <c r="AK35" s="139">
        <f t="shared" si="27"/>
        <v>0</v>
      </c>
      <c r="AL35" s="205"/>
      <c r="AM35" s="205"/>
      <c r="AN35" s="104">
        <f t="shared" si="28"/>
        <v>0</v>
      </c>
      <c r="AO35" s="148">
        <f t="shared" si="29"/>
        <v>0</v>
      </c>
      <c r="AP35" s="272">
        <f t="shared" si="30"/>
        <v>974.04558348806438</v>
      </c>
      <c r="AQ35" s="669">
        <v>32.119999999999997</v>
      </c>
      <c r="AR35" s="725">
        <v>718.44732871347549</v>
      </c>
      <c r="AS35" s="725">
        <v>237.4730068122654</v>
      </c>
      <c r="AT35" s="725">
        <v>18.125247962323435</v>
      </c>
      <c r="AU35" s="401">
        <v>749.41180927283199</v>
      </c>
      <c r="AV35" s="786"/>
      <c r="AW35" s="246"/>
      <c r="AX35" s="713">
        <f t="shared" si="31"/>
        <v>31.984324469916139</v>
      </c>
      <c r="AY35" s="714">
        <v>21.489997522516333</v>
      </c>
      <c r="AZ35" s="715"/>
      <c r="BA35" s="716">
        <v>0</v>
      </c>
      <c r="BC35" s="712">
        <v>0</v>
      </c>
      <c r="BD35" s="712">
        <v>31.984324469916139</v>
      </c>
      <c r="BE35" s="712"/>
      <c r="BF35" s="712"/>
      <c r="BG35" s="712">
        <v>0</v>
      </c>
      <c r="BH35" s="712">
        <v>0</v>
      </c>
      <c r="BI35" s="134">
        <f t="shared" ref="BI35:BI46" si="34">BC35+BD35+BE35+BG35</f>
        <v>31.984324469916139</v>
      </c>
      <c r="BJ35" s="123"/>
      <c r="BK35" s="792"/>
      <c r="BL35" s="104"/>
      <c r="BM35" s="672">
        <v>58.5</v>
      </c>
      <c r="BO35" s="562"/>
      <c r="BS35" s="879"/>
      <c r="BT35" s="774"/>
      <c r="BU35" s="774">
        <v>420.48567942822075</v>
      </c>
      <c r="BV35" s="774">
        <v>0</v>
      </c>
      <c r="BW35" s="774">
        <f t="shared" si="32"/>
        <v>420.48567942822075</v>
      </c>
    </row>
    <row r="36" spans="1:75" ht="15" thickBot="1" x14ac:dyDescent="0.35">
      <c r="A36" s="209" t="s">
        <v>150</v>
      </c>
      <c r="B36" s="227">
        <v>2</v>
      </c>
      <c r="C36" s="39">
        <f>'[3]побудинковий звіт'!E36</f>
        <v>909.2</v>
      </c>
      <c r="D36" s="205">
        <f t="shared" si="7"/>
        <v>842.22416081657389</v>
      </c>
      <c r="E36" s="104">
        <f t="shared" si="8"/>
        <v>185.28947011635353</v>
      </c>
      <c r="F36" s="104">
        <f t="shared" si="9"/>
        <v>27.679389104880105</v>
      </c>
      <c r="G36" s="104">
        <f t="shared" si="10"/>
        <v>0</v>
      </c>
      <c r="H36" s="104">
        <f t="shared" si="11"/>
        <v>703.6569723448174</v>
      </c>
      <c r="I36" s="104">
        <f t="shared" si="12"/>
        <v>226.38656826024223</v>
      </c>
      <c r="J36" s="672">
        <f t="shared" si="0"/>
        <v>0</v>
      </c>
      <c r="K36" s="139">
        <f t="shared" si="13"/>
        <v>1985.2365606428671</v>
      </c>
      <c r="L36" s="138">
        <f t="shared" si="1"/>
        <v>1054.9136216323257</v>
      </c>
      <c r="M36" s="104">
        <f t="shared" si="2"/>
        <v>232.07990440671813</v>
      </c>
      <c r="N36" s="29">
        <f t="shared" si="14"/>
        <v>18.597547803397415</v>
      </c>
      <c r="O36" s="104">
        <f t="shared" si="3"/>
        <v>1.6368413261413732</v>
      </c>
      <c r="P36" s="104">
        <f t="shared" si="15"/>
        <v>881.35363436192358</v>
      </c>
      <c r="Q36" s="104">
        <f t="shared" si="16"/>
        <v>281.69853512334657</v>
      </c>
      <c r="R36" s="140">
        <f t="shared" si="17"/>
        <v>2470.280084653853</v>
      </c>
      <c r="S36" s="138">
        <f t="shared" si="18"/>
        <v>0</v>
      </c>
      <c r="T36" s="104">
        <f t="shared" si="4"/>
        <v>0</v>
      </c>
      <c r="U36" s="139">
        <f t="shared" si="19"/>
        <v>0</v>
      </c>
      <c r="V36" s="104"/>
      <c r="W36" s="104">
        <f t="shared" si="20"/>
        <v>0</v>
      </c>
      <c r="X36" s="139">
        <f t="shared" si="21"/>
        <v>0</v>
      </c>
      <c r="Y36" s="138">
        <v>0</v>
      </c>
      <c r="Z36" s="141">
        <v>0</v>
      </c>
      <c r="AA36" s="104">
        <f t="shared" si="5"/>
        <v>0</v>
      </c>
      <c r="AB36" s="139">
        <f t="shared" si="6"/>
        <v>0</v>
      </c>
      <c r="AC36" s="138">
        <v>0</v>
      </c>
      <c r="AD36" s="104">
        <f t="shared" si="22"/>
        <v>0</v>
      </c>
      <c r="AE36" s="139">
        <f t="shared" si="23"/>
        <v>0</v>
      </c>
      <c r="AF36" s="142">
        <v>125.4</v>
      </c>
      <c r="AG36" s="104">
        <f t="shared" si="24"/>
        <v>16.140589466289509</v>
      </c>
      <c r="AH36" s="139">
        <f t="shared" si="25"/>
        <v>141.5405894662895</v>
      </c>
      <c r="AI36" s="142">
        <v>0</v>
      </c>
      <c r="AJ36" s="104">
        <f t="shared" si="26"/>
        <v>0</v>
      </c>
      <c r="AK36" s="139">
        <f t="shared" si="27"/>
        <v>0</v>
      </c>
      <c r="AL36" s="143"/>
      <c r="AM36" s="143"/>
      <c r="AN36" s="104">
        <f t="shared" si="28"/>
        <v>0</v>
      </c>
      <c r="AO36" s="148">
        <f t="shared" si="29"/>
        <v>0</v>
      </c>
      <c r="AP36" s="272">
        <f t="shared" si="30"/>
        <v>1000.1648924259844</v>
      </c>
      <c r="AQ36" s="669">
        <v>14.6</v>
      </c>
      <c r="AR36" s="725">
        <v>762.69188561371891</v>
      </c>
      <c r="AS36" s="725">
        <v>237.4730068122654</v>
      </c>
      <c r="AT36" s="725">
        <v>0</v>
      </c>
      <c r="AU36" s="401">
        <v>736.83175492053033</v>
      </c>
      <c r="AV36" s="786"/>
      <c r="AW36" s="246"/>
      <c r="AX36" s="713">
        <f t="shared" si="31"/>
        <v>27.679389104880105</v>
      </c>
      <c r="AY36" s="714">
        <v>18.597547803397415</v>
      </c>
      <c r="AZ36" s="715"/>
      <c r="BA36" s="716">
        <v>0</v>
      </c>
      <c r="BC36" s="712">
        <v>0</v>
      </c>
      <c r="BD36" s="712">
        <v>27.679389104880105</v>
      </c>
      <c r="BE36" s="712"/>
      <c r="BF36" s="712"/>
      <c r="BG36" s="712">
        <v>0</v>
      </c>
      <c r="BH36" s="712">
        <v>0</v>
      </c>
      <c r="BI36" s="134">
        <f t="shared" si="34"/>
        <v>27.679389104880105</v>
      </c>
      <c r="BJ36" s="123"/>
      <c r="BK36" s="792"/>
      <c r="BL36" s="104"/>
      <c r="BM36" s="672"/>
      <c r="BO36" s="562"/>
      <c r="BS36" s="879"/>
      <c r="BT36" s="774"/>
      <c r="BU36" s="774">
        <v>446.38361434741688</v>
      </c>
      <c r="BV36" s="774">
        <v>0</v>
      </c>
      <c r="BW36" s="774">
        <f t="shared" si="32"/>
        <v>446.38361434741688</v>
      </c>
    </row>
    <row r="37" spans="1:75" ht="15" thickBot="1" x14ac:dyDescent="0.35">
      <c r="A37" s="209" t="s">
        <v>243</v>
      </c>
      <c r="B37" s="227">
        <v>5</v>
      </c>
      <c r="C37" s="39">
        <f>'[3]побудинковий звіт'!E37</f>
        <v>1867.1</v>
      </c>
      <c r="D37" s="205">
        <f t="shared" si="7"/>
        <v>995.61787455268257</v>
      </c>
      <c r="E37" s="104">
        <f t="shared" si="8"/>
        <v>219.03611532038872</v>
      </c>
      <c r="F37" s="104">
        <f t="shared" si="9"/>
        <v>57.086255824281054</v>
      </c>
      <c r="G37" s="104">
        <f t="shared" si="10"/>
        <v>0</v>
      </c>
      <c r="H37" s="104">
        <f t="shared" si="11"/>
        <v>831.81353826383429</v>
      </c>
      <c r="I37" s="104">
        <f t="shared" si="12"/>
        <v>270.75437039216399</v>
      </c>
      <c r="J37" s="672">
        <f t="shared" si="0"/>
        <v>0</v>
      </c>
      <c r="K37" s="139">
        <f t="shared" si="13"/>
        <v>2374.3081543533508</v>
      </c>
      <c r="L37" s="138">
        <f t="shared" si="1"/>
        <v>337.66068987555855</v>
      </c>
      <c r="M37" s="104">
        <f t="shared" si="2"/>
        <v>74.285002128391142</v>
      </c>
      <c r="N37" s="29">
        <f t="shared" si="14"/>
        <v>38.355773228458311</v>
      </c>
      <c r="O37" s="104">
        <f t="shared" si="3"/>
        <v>3.3613577211158794</v>
      </c>
      <c r="P37" s="104">
        <f t="shared" si="15"/>
        <v>282.10696127185037</v>
      </c>
      <c r="Q37" s="104">
        <f t="shared" si="16"/>
        <v>94.703014584387404</v>
      </c>
      <c r="R37" s="140">
        <f t="shared" si="17"/>
        <v>830.47279880976157</v>
      </c>
      <c r="S37" s="138">
        <f t="shared" si="18"/>
        <v>0</v>
      </c>
      <c r="T37" s="104">
        <f t="shared" si="4"/>
        <v>0</v>
      </c>
      <c r="U37" s="139">
        <f t="shared" si="19"/>
        <v>0</v>
      </c>
      <c r="V37" s="104"/>
      <c r="W37" s="104">
        <f t="shared" si="20"/>
        <v>0</v>
      </c>
      <c r="X37" s="139">
        <f t="shared" si="21"/>
        <v>0</v>
      </c>
      <c r="Y37" s="138">
        <v>0</v>
      </c>
      <c r="Z37" s="141">
        <v>0</v>
      </c>
      <c r="AA37" s="104">
        <f t="shared" si="5"/>
        <v>0</v>
      </c>
      <c r="AB37" s="139">
        <f t="shared" si="6"/>
        <v>0</v>
      </c>
      <c r="AC37" s="138">
        <v>0</v>
      </c>
      <c r="AD37" s="104">
        <f t="shared" si="22"/>
        <v>0</v>
      </c>
      <c r="AE37" s="139">
        <f t="shared" si="23"/>
        <v>0</v>
      </c>
      <c r="AF37" s="142">
        <v>63.8</v>
      </c>
      <c r="AG37" s="104">
        <f t="shared" si="24"/>
        <v>8.2118788512701002</v>
      </c>
      <c r="AH37" s="139">
        <f t="shared" si="25"/>
        <v>72.011878851270097</v>
      </c>
      <c r="AI37" s="142">
        <v>0</v>
      </c>
      <c r="AJ37" s="104">
        <f t="shared" si="26"/>
        <v>0</v>
      </c>
      <c r="AK37" s="139">
        <f t="shared" si="27"/>
        <v>0</v>
      </c>
      <c r="AL37" s="143"/>
      <c r="AM37" s="143"/>
      <c r="AN37" s="104">
        <f t="shared" si="28"/>
        <v>0</v>
      </c>
      <c r="AO37" s="148">
        <f t="shared" si="29"/>
        <v>0</v>
      </c>
      <c r="AP37" s="272">
        <f t="shared" si="30"/>
        <v>1161.608633313976</v>
      </c>
      <c r="AQ37" s="669">
        <v>69.11</v>
      </c>
      <c r="AR37" s="725">
        <v>849.74952821807085</v>
      </c>
      <c r="AS37" s="725">
        <v>311.85910509590525</v>
      </c>
      <c r="AT37" s="725">
        <v>0</v>
      </c>
      <c r="AU37" s="401">
        <v>0</v>
      </c>
      <c r="AV37" s="786"/>
      <c r="AW37" s="246"/>
      <c r="AX37" s="713">
        <f t="shared" si="31"/>
        <v>57.086255824281054</v>
      </c>
      <c r="AY37" s="714">
        <v>38.355773228458311</v>
      </c>
      <c r="AZ37" s="715"/>
      <c r="BA37" s="716">
        <v>0</v>
      </c>
      <c r="BC37" s="712">
        <v>0</v>
      </c>
      <c r="BD37" s="712">
        <v>57.086255824281054</v>
      </c>
      <c r="BE37" s="712"/>
      <c r="BF37" s="712"/>
      <c r="BG37" s="712">
        <v>0</v>
      </c>
      <c r="BH37" s="712">
        <v>0</v>
      </c>
      <c r="BI37" s="134">
        <f t="shared" si="34"/>
        <v>57.086255824281054</v>
      </c>
      <c r="BJ37" s="123"/>
      <c r="BK37" s="792"/>
      <c r="BL37" s="104"/>
      <c r="BM37" s="672"/>
      <c r="BO37" s="562"/>
      <c r="BS37" s="879"/>
      <c r="BT37" s="774"/>
      <c r="BU37" s="774">
        <v>833.99265219415508</v>
      </c>
      <c r="BV37" s="774">
        <v>0</v>
      </c>
      <c r="BW37" s="774">
        <f t="shared" si="32"/>
        <v>833.99265219415508</v>
      </c>
    </row>
    <row r="38" spans="1:75" ht="15" thickBot="1" x14ac:dyDescent="0.35">
      <c r="A38" s="209" t="s">
        <v>204</v>
      </c>
      <c r="B38" s="227">
        <v>4</v>
      </c>
      <c r="C38" s="39">
        <f>'[3]побудинковий звіт'!E38</f>
        <v>1172.81</v>
      </c>
      <c r="D38" s="205">
        <f t="shared" si="7"/>
        <v>1227.239142327476</v>
      </c>
      <c r="E38" s="104">
        <f t="shared" si="8"/>
        <v>269.99283678520584</v>
      </c>
      <c r="F38" s="104">
        <f t="shared" si="9"/>
        <v>211.51521971036988</v>
      </c>
      <c r="G38" s="104">
        <f t="shared" si="10"/>
        <v>0</v>
      </c>
      <c r="H38" s="104">
        <f t="shared" si="11"/>
        <v>1025.3272458913393</v>
      </c>
      <c r="I38" s="104">
        <f t="shared" si="12"/>
        <v>351.91047194903058</v>
      </c>
      <c r="J38" s="672">
        <f t="shared" si="0"/>
        <v>0</v>
      </c>
      <c r="K38" s="139">
        <f t="shared" si="13"/>
        <v>3085.9849166634212</v>
      </c>
      <c r="L38" s="138">
        <f t="shared" si="1"/>
        <v>900.58345220861861</v>
      </c>
      <c r="M38" s="104">
        <f t="shared" si="2"/>
        <v>198.12742694083326</v>
      </c>
      <c r="N38" s="29">
        <f t="shared" si="14"/>
        <v>24.191603080480313</v>
      </c>
      <c r="O38" s="104">
        <f t="shared" si="3"/>
        <v>2.111420892775917</v>
      </c>
      <c r="P38" s="104">
        <f t="shared" si="15"/>
        <v>752.41468341463633</v>
      </c>
      <c r="Q38" s="104">
        <f t="shared" si="16"/>
        <v>241.64915524382346</v>
      </c>
      <c r="R38" s="140">
        <f t="shared" si="17"/>
        <v>2119.0777417811678</v>
      </c>
      <c r="S38" s="138">
        <f t="shared" si="18"/>
        <v>21.560000000000002</v>
      </c>
      <c r="T38" s="104">
        <f t="shared" si="4"/>
        <v>2.7750487152567929</v>
      </c>
      <c r="U38" s="139">
        <f t="shared" si="19"/>
        <v>24.335048715256796</v>
      </c>
      <c r="V38" s="104"/>
      <c r="W38" s="104">
        <f t="shared" si="20"/>
        <v>0</v>
      </c>
      <c r="X38" s="139">
        <f t="shared" si="21"/>
        <v>0</v>
      </c>
      <c r="Y38" s="138">
        <v>0</v>
      </c>
      <c r="Z38" s="141">
        <v>0</v>
      </c>
      <c r="AA38" s="104">
        <f t="shared" si="5"/>
        <v>0</v>
      </c>
      <c r="AB38" s="139">
        <f t="shared" si="6"/>
        <v>0</v>
      </c>
      <c r="AC38" s="138">
        <v>0</v>
      </c>
      <c r="AD38" s="104">
        <f t="shared" si="22"/>
        <v>0</v>
      </c>
      <c r="AE38" s="139">
        <f t="shared" si="23"/>
        <v>0</v>
      </c>
      <c r="AF38" s="142">
        <v>68.2</v>
      </c>
      <c r="AG38" s="104">
        <f t="shared" si="24"/>
        <v>8.7782153237714873</v>
      </c>
      <c r="AH38" s="139">
        <f t="shared" si="25"/>
        <v>76.978215323771494</v>
      </c>
      <c r="AI38" s="142">
        <v>0</v>
      </c>
      <c r="AJ38" s="104">
        <f t="shared" si="26"/>
        <v>0</v>
      </c>
      <c r="AK38" s="139">
        <f t="shared" si="27"/>
        <v>0</v>
      </c>
      <c r="AL38" s="143"/>
      <c r="AM38" s="391"/>
      <c r="AN38" s="104">
        <f t="shared" si="28"/>
        <v>0</v>
      </c>
      <c r="AO38" s="148">
        <f t="shared" si="29"/>
        <v>0</v>
      </c>
      <c r="AP38" s="272">
        <f t="shared" si="30"/>
        <v>1376.793028755442</v>
      </c>
      <c r="AQ38" s="669">
        <v>50.25</v>
      </c>
      <c r="AR38" s="725">
        <v>1082.3736783730071</v>
      </c>
      <c r="AS38" s="725">
        <v>290.96164178895503</v>
      </c>
      <c r="AT38" s="725">
        <v>3.4577085934799427</v>
      </c>
      <c r="AU38" s="401">
        <v>537.34803590545994</v>
      </c>
      <c r="AV38" s="786"/>
      <c r="AW38" s="246"/>
      <c r="AX38" s="713">
        <f t="shared" si="31"/>
        <v>36.005219710369886</v>
      </c>
      <c r="AY38" s="714">
        <v>24.191603080480313</v>
      </c>
      <c r="AZ38" s="715"/>
      <c r="BA38" s="716">
        <v>0</v>
      </c>
      <c r="BC38" s="712">
        <v>0</v>
      </c>
      <c r="BD38" s="712">
        <v>36.005219710369886</v>
      </c>
      <c r="BE38" s="712"/>
      <c r="BF38" s="712"/>
      <c r="BG38" s="712">
        <v>0</v>
      </c>
      <c r="BH38" s="712">
        <v>0</v>
      </c>
      <c r="BI38" s="134">
        <f t="shared" si="34"/>
        <v>36.005219710369886</v>
      </c>
      <c r="BJ38" s="123">
        <v>98</v>
      </c>
      <c r="BK38" s="792"/>
      <c r="BL38" s="104"/>
      <c r="BM38" s="672">
        <v>175.51</v>
      </c>
      <c r="BO38" s="562"/>
      <c r="BS38" s="879"/>
      <c r="BT38" s="774"/>
      <c r="BU38" s="774">
        <v>1062.3239961454276</v>
      </c>
      <c r="BV38" s="774">
        <v>0</v>
      </c>
      <c r="BW38" s="774">
        <f t="shared" si="32"/>
        <v>1062.3239961454276</v>
      </c>
    </row>
    <row r="39" spans="1:75" ht="15" thickBot="1" x14ac:dyDescent="0.35">
      <c r="A39" s="209" t="s">
        <v>205</v>
      </c>
      <c r="B39" s="227">
        <v>4</v>
      </c>
      <c r="C39" s="39">
        <f>'[3]побудинковий звіт'!E39</f>
        <v>1448.3</v>
      </c>
      <c r="D39" s="205">
        <f t="shared" si="7"/>
        <v>1757.3770732373475</v>
      </c>
      <c r="E39" s="104">
        <f t="shared" si="8"/>
        <v>386.62327898438565</v>
      </c>
      <c r="F39" s="104">
        <f t="shared" si="9"/>
        <v>45.684903568443445</v>
      </c>
      <c r="G39" s="104">
        <f t="shared" si="10"/>
        <v>0</v>
      </c>
      <c r="H39" s="104">
        <f t="shared" si="11"/>
        <v>1468.2440710599642</v>
      </c>
      <c r="I39" s="104">
        <f t="shared" si="12"/>
        <v>470.82245264265435</v>
      </c>
      <c r="J39" s="672">
        <f t="shared" si="0"/>
        <v>0</v>
      </c>
      <c r="K39" s="139">
        <f t="shared" si="13"/>
        <v>4128.7517794927953</v>
      </c>
      <c r="L39" s="138">
        <f t="shared" si="1"/>
        <v>937.08900469931405</v>
      </c>
      <c r="M39" s="104">
        <f t="shared" si="2"/>
        <v>206.1586106876556</v>
      </c>
      <c r="N39" s="29">
        <f t="shared" si="14"/>
        <v>30.695300925479309</v>
      </c>
      <c r="O39" s="104">
        <f t="shared" si="3"/>
        <v>2.6073881353393649</v>
      </c>
      <c r="P39" s="104">
        <f t="shared" si="15"/>
        <v>782.91414868107142</v>
      </c>
      <c r="Q39" s="104">
        <f t="shared" si="16"/>
        <v>252.2082241765583</v>
      </c>
      <c r="R39" s="140">
        <f t="shared" si="17"/>
        <v>2211.6726773054183</v>
      </c>
      <c r="S39" s="138">
        <f t="shared" si="18"/>
        <v>67.760000000000005</v>
      </c>
      <c r="T39" s="104">
        <f t="shared" si="4"/>
        <v>8.7215816765213496</v>
      </c>
      <c r="U39" s="139">
        <f t="shared" si="19"/>
        <v>76.481581676521358</v>
      </c>
      <c r="V39" s="104"/>
      <c r="W39" s="104">
        <f t="shared" si="20"/>
        <v>0</v>
      </c>
      <c r="X39" s="139">
        <f t="shared" si="21"/>
        <v>0</v>
      </c>
      <c r="Y39" s="138">
        <v>0</v>
      </c>
      <c r="Z39" s="141">
        <v>0</v>
      </c>
      <c r="AA39" s="104">
        <f t="shared" si="5"/>
        <v>0</v>
      </c>
      <c r="AB39" s="139">
        <f t="shared" si="6"/>
        <v>0</v>
      </c>
      <c r="AC39" s="138">
        <v>0</v>
      </c>
      <c r="AD39" s="104">
        <f t="shared" si="22"/>
        <v>0</v>
      </c>
      <c r="AE39" s="139">
        <f t="shared" si="23"/>
        <v>0</v>
      </c>
      <c r="AF39" s="142">
        <v>48.4</v>
      </c>
      <c r="AG39" s="104">
        <f t="shared" si="24"/>
        <v>6.229701197515249</v>
      </c>
      <c r="AH39" s="139">
        <f t="shared" si="25"/>
        <v>54.629701197515246</v>
      </c>
      <c r="AI39" s="142">
        <v>0</v>
      </c>
      <c r="AJ39" s="104">
        <f t="shared" si="26"/>
        <v>0</v>
      </c>
      <c r="AK39" s="139">
        <f t="shared" si="27"/>
        <v>0</v>
      </c>
      <c r="AL39" s="143">
        <v>255</v>
      </c>
      <c r="AM39" s="143"/>
      <c r="AN39" s="104">
        <f t="shared" si="28"/>
        <v>32.821772838148526</v>
      </c>
      <c r="AO39" s="148">
        <f t="shared" si="29"/>
        <v>287.82177283814855</v>
      </c>
      <c r="AP39" s="272">
        <f t="shared" si="30"/>
        <v>1774.631132667063</v>
      </c>
      <c r="AQ39" s="669">
        <v>178.09</v>
      </c>
      <c r="AR39" s="725">
        <v>1443.7999938308392</v>
      </c>
      <c r="AS39" s="725">
        <v>316.44586139337866</v>
      </c>
      <c r="AT39" s="725">
        <v>14.385277442845126</v>
      </c>
      <c r="AU39" s="401">
        <v>534.65230997282379</v>
      </c>
      <c r="AV39" s="786"/>
      <c r="AW39" s="246"/>
      <c r="AX39" s="713">
        <f t="shared" si="31"/>
        <v>45.684903568443445</v>
      </c>
      <c r="AY39" s="714">
        <v>30.695300925479309</v>
      </c>
      <c r="AZ39" s="715"/>
      <c r="BA39" s="716">
        <v>0</v>
      </c>
      <c r="BC39" s="712">
        <v>0</v>
      </c>
      <c r="BD39" s="712">
        <v>45.684903568443445</v>
      </c>
      <c r="BE39" s="712"/>
      <c r="BF39" s="712"/>
      <c r="BG39" s="712">
        <v>0</v>
      </c>
      <c r="BH39" s="712">
        <v>0</v>
      </c>
      <c r="BI39" s="134">
        <f t="shared" si="34"/>
        <v>45.684903568443445</v>
      </c>
      <c r="BJ39" s="123">
        <v>308</v>
      </c>
      <c r="BK39" s="792"/>
      <c r="BL39" s="104"/>
      <c r="BM39" s="672"/>
      <c r="BO39" s="562"/>
      <c r="BS39" s="879"/>
      <c r="BT39" s="774"/>
      <c r="BU39" s="774">
        <v>1417.0273344683631</v>
      </c>
      <c r="BV39" s="774">
        <v>0</v>
      </c>
      <c r="BW39" s="774">
        <f t="shared" si="32"/>
        <v>1417.0273344683631</v>
      </c>
    </row>
    <row r="40" spans="1:75" ht="15" thickBot="1" x14ac:dyDescent="0.35">
      <c r="A40" s="209" t="s">
        <v>244</v>
      </c>
      <c r="B40" s="227">
        <v>5</v>
      </c>
      <c r="C40" s="39">
        <f>'[3]побудинковий звіт'!E40</f>
        <v>2117.4</v>
      </c>
      <c r="D40" s="205">
        <f t="shared" si="7"/>
        <v>1517.3300535759226</v>
      </c>
      <c r="E40" s="104">
        <f t="shared" si="8"/>
        <v>333.81289055649762</v>
      </c>
      <c r="F40" s="104">
        <f t="shared" si="9"/>
        <v>70.257890449689597</v>
      </c>
      <c r="G40" s="104">
        <f t="shared" si="10"/>
        <v>0</v>
      </c>
      <c r="H40" s="104">
        <f t="shared" si="11"/>
        <v>1267.6908609601867</v>
      </c>
      <c r="I40" s="104">
        <f t="shared" si="12"/>
        <v>410.47703212202026</v>
      </c>
      <c r="J40" s="672">
        <f t="shared" si="0"/>
        <v>0</v>
      </c>
      <c r="K40" s="139">
        <f t="shared" si="13"/>
        <v>3599.5687276643166</v>
      </c>
      <c r="L40" s="138">
        <f t="shared" si="1"/>
        <v>1026.2537309398915</v>
      </c>
      <c r="M40" s="104">
        <f t="shared" si="2"/>
        <v>225.77475813140978</v>
      </c>
      <c r="N40" s="29">
        <f t="shared" si="14"/>
        <v>47.205683306557958</v>
      </c>
      <c r="O40" s="104">
        <f t="shared" si="3"/>
        <v>3.8119751693485964</v>
      </c>
      <c r="P40" s="104">
        <f t="shared" si="15"/>
        <v>857.40902097916444</v>
      </c>
      <c r="Q40" s="104">
        <f t="shared" si="16"/>
        <v>278.07830889559403</v>
      </c>
      <c r="R40" s="140">
        <f t="shared" si="17"/>
        <v>2438.5334774219664</v>
      </c>
      <c r="S40" s="138">
        <f t="shared" si="18"/>
        <v>0</v>
      </c>
      <c r="T40" s="104">
        <f t="shared" si="4"/>
        <v>0</v>
      </c>
      <c r="U40" s="139">
        <f t="shared" si="19"/>
        <v>0</v>
      </c>
      <c r="V40" s="104"/>
      <c r="W40" s="104">
        <f t="shared" si="20"/>
        <v>0</v>
      </c>
      <c r="X40" s="139">
        <f t="shared" si="21"/>
        <v>0</v>
      </c>
      <c r="Y40" s="138">
        <v>0</v>
      </c>
      <c r="Z40" s="141">
        <v>0</v>
      </c>
      <c r="AA40" s="104">
        <f t="shared" si="5"/>
        <v>0</v>
      </c>
      <c r="AB40" s="139">
        <f t="shared" si="6"/>
        <v>0</v>
      </c>
      <c r="AC40" s="138">
        <v>0</v>
      </c>
      <c r="AD40" s="104">
        <f t="shared" si="22"/>
        <v>0</v>
      </c>
      <c r="AE40" s="139">
        <f t="shared" si="23"/>
        <v>0</v>
      </c>
      <c r="AF40" s="142">
        <v>314.60000000000002</v>
      </c>
      <c r="AG40" s="104">
        <f t="shared" si="24"/>
        <v>40.493057783849125</v>
      </c>
      <c r="AH40" s="139">
        <f t="shared" si="25"/>
        <v>355.09305778384913</v>
      </c>
      <c r="AI40" s="142">
        <v>0</v>
      </c>
      <c r="AJ40" s="104">
        <f t="shared" si="26"/>
        <v>0</v>
      </c>
      <c r="AK40" s="139">
        <f t="shared" si="27"/>
        <v>0</v>
      </c>
      <c r="AL40" s="143"/>
      <c r="AM40" s="391"/>
      <c r="AN40" s="104">
        <f t="shared" si="28"/>
        <v>0</v>
      </c>
      <c r="AO40" s="148">
        <f t="shared" si="29"/>
        <v>0</v>
      </c>
      <c r="AP40" s="272">
        <f t="shared" si="30"/>
        <v>1380.9463113808465</v>
      </c>
      <c r="AQ40" s="669">
        <v>385.86</v>
      </c>
      <c r="AR40" s="725">
        <v>1014.4896851704008</v>
      </c>
      <c r="AS40" s="725">
        <v>366.45662621044562</v>
      </c>
      <c r="AT40" s="725">
        <v>0</v>
      </c>
      <c r="AU40" s="401">
        <v>581.37822613851597</v>
      </c>
      <c r="AV40" s="786"/>
      <c r="AW40" s="246"/>
      <c r="AX40" s="713">
        <f t="shared" si="31"/>
        <v>70.257890449689597</v>
      </c>
      <c r="AY40" s="714">
        <v>47.205683306557958</v>
      </c>
      <c r="AZ40" s="715"/>
      <c r="BA40" s="716">
        <v>0</v>
      </c>
      <c r="BC40" s="712">
        <v>0</v>
      </c>
      <c r="BD40" s="712">
        <v>70.257890449689597</v>
      </c>
      <c r="BE40" s="712"/>
      <c r="BF40" s="712"/>
      <c r="BG40" s="712">
        <v>0</v>
      </c>
      <c r="BH40" s="712">
        <v>0</v>
      </c>
      <c r="BI40" s="134">
        <f t="shared" si="34"/>
        <v>70.257890449689597</v>
      </c>
      <c r="BJ40" s="123"/>
      <c r="BK40" s="792"/>
      <c r="BL40" s="104"/>
      <c r="BM40" s="672"/>
      <c r="BO40" s="562"/>
      <c r="BS40" s="879"/>
      <c r="BT40" s="774"/>
      <c r="BU40" s="774">
        <v>995.67200618047775</v>
      </c>
      <c r="BV40" s="774">
        <v>0</v>
      </c>
      <c r="BW40" s="774">
        <f t="shared" si="32"/>
        <v>995.67200618047775</v>
      </c>
    </row>
    <row r="41" spans="1:75" ht="15" thickBot="1" x14ac:dyDescent="0.35">
      <c r="A41" s="250" t="s">
        <v>342</v>
      </c>
      <c r="B41" s="227">
        <v>9</v>
      </c>
      <c r="C41" s="39">
        <f>'[3]побудинковий звіт'!E41</f>
        <v>2214.37</v>
      </c>
      <c r="D41" s="205">
        <f t="shared" si="7"/>
        <v>539.05599683522871</v>
      </c>
      <c r="E41" s="104">
        <f t="shared" si="8"/>
        <v>118.59241834122022</v>
      </c>
      <c r="F41" s="104">
        <f t="shared" si="9"/>
        <v>133.48764391021592</v>
      </c>
      <c r="G41" s="104">
        <f t="shared" si="10"/>
        <v>0</v>
      </c>
      <c r="H41" s="104">
        <f t="shared" si="11"/>
        <v>450.36764356134842</v>
      </c>
      <c r="I41" s="104">
        <f t="shared" si="12"/>
        <v>159.79746080797403</v>
      </c>
      <c r="J41" s="672">
        <f t="shared" si="0"/>
        <v>0</v>
      </c>
      <c r="K41" s="139">
        <f t="shared" si="13"/>
        <v>1401.3011634559871</v>
      </c>
      <c r="L41" s="138">
        <f t="shared" si="1"/>
        <v>196.05698546793661</v>
      </c>
      <c r="M41" s="104">
        <f t="shared" si="2"/>
        <v>43.132333787919094</v>
      </c>
      <c r="N41" s="29">
        <f t="shared" si="14"/>
        <v>43.127056243525701</v>
      </c>
      <c r="O41" s="104">
        <f t="shared" si="3"/>
        <v>3.986551173963564</v>
      </c>
      <c r="P41" s="104">
        <f t="shared" si="15"/>
        <v>163.80064977910965</v>
      </c>
      <c r="Q41" s="104">
        <f t="shared" si="16"/>
        <v>57.934107215532087</v>
      </c>
      <c r="R41" s="140">
        <f t="shared" si="17"/>
        <v>508.0376836679867</v>
      </c>
      <c r="S41" s="138">
        <f t="shared" si="18"/>
        <v>54.846000000000004</v>
      </c>
      <c r="T41" s="104">
        <f t="shared" si="4"/>
        <v>7.0593841297297804</v>
      </c>
      <c r="U41" s="139">
        <f t="shared" si="19"/>
        <v>61.905384129729782</v>
      </c>
      <c r="V41" s="104"/>
      <c r="W41" s="104">
        <f t="shared" si="20"/>
        <v>0</v>
      </c>
      <c r="X41" s="139">
        <f t="shared" si="21"/>
        <v>0</v>
      </c>
      <c r="Y41" s="138">
        <v>1551.22</v>
      </c>
      <c r="Z41" s="141">
        <v>0</v>
      </c>
      <c r="AA41" s="104">
        <f t="shared" si="5"/>
        <v>199.66192338036373</v>
      </c>
      <c r="AB41" s="139">
        <f t="shared" si="6"/>
        <v>1750.8819233803638</v>
      </c>
      <c r="AC41" s="138">
        <v>0</v>
      </c>
      <c r="AD41" s="104">
        <f t="shared" si="22"/>
        <v>0</v>
      </c>
      <c r="AE41" s="139">
        <f t="shared" si="23"/>
        <v>0</v>
      </c>
      <c r="AF41" s="142">
        <v>1564.2</v>
      </c>
      <c r="AG41" s="104">
        <f t="shared" si="24"/>
        <v>201.33261597424283</v>
      </c>
      <c r="AH41" s="139">
        <f t="shared" si="25"/>
        <v>1765.5326159742428</v>
      </c>
      <c r="AI41" s="142">
        <v>374</v>
      </c>
      <c r="AJ41" s="104">
        <f t="shared" si="26"/>
        <v>48.138600162617834</v>
      </c>
      <c r="AK41" s="139">
        <f t="shared" si="27"/>
        <v>422.13860016261782</v>
      </c>
      <c r="AL41" s="143"/>
      <c r="AM41" s="143"/>
      <c r="AN41" s="104">
        <f t="shared" si="28"/>
        <v>0</v>
      </c>
      <c r="AO41" s="148">
        <f t="shared" si="29"/>
        <v>0</v>
      </c>
      <c r="AP41" s="272">
        <f t="shared" si="30"/>
        <v>385.22300508885291</v>
      </c>
      <c r="AQ41" s="669">
        <v>282.72000000000003</v>
      </c>
      <c r="AR41" s="401">
        <v>204.14727472069859</v>
      </c>
      <c r="AS41" s="401">
        <v>175.81841215836164</v>
      </c>
      <c r="AT41" s="401">
        <v>5.2573182097926958</v>
      </c>
      <c r="AU41" s="401">
        <v>0</v>
      </c>
      <c r="AV41" s="727">
        <v>10.629557743944664</v>
      </c>
      <c r="AW41" s="246"/>
      <c r="AX41" s="713">
        <f t="shared" si="31"/>
        <v>74.987643910215908</v>
      </c>
      <c r="AY41" s="714">
        <v>43.127056243525701</v>
      </c>
      <c r="AZ41" s="715"/>
      <c r="BA41" s="716">
        <v>0</v>
      </c>
      <c r="BB41" s="727"/>
      <c r="BC41" s="712">
        <v>15.817499999999999</v>
      </c>
      <c r="BD41" s="712">
        <v>59.170143910215913</v>
      </c>
      <c r="BE41" s="712"/>
      <c r="BF41" s="712"/>
      <c r="BG41" s="712">
        <v>0</v>
      </c>
      <c r="BH41" s="712">
        <v>22.825781249999999</v>
      </c>
      <c r="BI41" s="134">
        <f t="shared" si="34"/>
        <v>74.987643910215908</v>
      </c>
      <c r="BJ41" s="123">
        <v>249.3</v>
      </c>
      <c r="BK41" s="792"/>
      <c r="BL41" s="104"/>
      <c r="BM41" s="672">
        <v>58.5</v>
      </c>
      <c r="BO41" s="562"/>
      <c r="BS41" s="879"/>
      <c r="BT41" s="774"/>
      <c r="BU41" s="774">
        <v>180.73751502119455</v>
      </c>
      <c r="BV41" s="774">
        <v>0</v>
      </c>
      <c r="BW41" s="774">
        <f t="shared" si="32"/>
        <v>180.73751502119455</v>
      </c>
    </row>
    <row r="42" spans="1:75" ht="15" thickBot="1" x14ac:dyDescent="0.35">
      <c r="A42" s="250" t="s">
        <v>343</v>
      </c>
      <c r="B42" s="227">
        <v>9</v>
      </c>
      <c r="C42" s="39">
        <f>'[3]побудинковий звіт'!E42</f>
        <v>5953.29</v>
      </c>
      <c r="D42" s="205">
        <f t="shared" si="7"/>
        <v>489.27646136795613</v>
      </c>
      <c r="E42" s="104">
        <f t="shared" si="8"/>
        <v>107.64091139272988</v>
      </c>
      <c r="F42" s="104">
        <f t="shared" si="9"/>
        <v>178.26355904298677</v>
      </c>
      <c r="G42" s="104">
        <f t="shared" si="10"/>
        <v>0</v>
      </c>
      <c r="H42" s="104">
        <f t="shared" si="11"/>
        <v>408.77810144031554</v>
      </c>
      <c r="I42" s="104">
        <f t="shared" si="12"/>
        <v>152.39072328944363</v>
      </c>
      <c r="J42" s="672">
        <f t="shared" si="0"/>
        <v>0</v>
      </c>
      <c r="K42" s="139">
        <f t="shared" si="13"/>
        <v>1336.3497565334321</v>
      </c>
      <c r="L42" s="138">
        <f t="shared" si="1"/>
        <v>601.61945574810034</v>
      </c>
      <c r="M42" s="104">
        <f t="shared" si="2"/>
        <v>132.35565729371604</v>
      </c>
      <c r="N42" s="29">
        <f t="shared" si="14"/>
        <v>115.93338457750892</v>
      </c>
      <c r="O42" s="104">
        <f t="shared" si="3"/>
        <v>10.717764076665393</v>
      </c>
      <c r="P42" s="104">
        <f t="shared" si="15"/>
        <v>502.6378302006965</v>
      </c>
      <c r="Q42" s="104">
        <f t="shared" si="16"/>
        <v>175.46958565740354</v>
      </c>
      <c r="R42" s="140">
        <f t="shared" si="17"/>
        <v>1538.7336775540907</v>
      </c>
      <c r="S42" s="138">
        <f t="shared" si="18"/>
        <v>164.54680000000002</v>
      </c>
      <c r="T42" s="104">
        <f t="shared" si="4"/>
        <v>21.179285062134344</v>
      </c>
      <c r="U42" s="139">
        <f t="shared" si="19"/>
        <v>185.72608506213436</v>
      </c>
      <c r="V42" s="104"/>
      <c r="W42" s="104">
        <f t="shared" si="20"/>
        <v>0</v>
      </c>
      <c r="X42" s="139">
        <f t="shared" si="21"/>
        <v>0</v>
      </c>
      <c r="Y42" s="138">
        <v>6463.3950000000004</v>
      </c>
      <c r="Z42" s="141">
        <v>0</v>
      </c>
      <c r="AA42" s="104">
        <f t="shared" si="5"/>
        <v>831.92189197343134</v>
      </c>
      <c r="AB42" s="139">
        <f t="shared" si="6"/>
        <v>7295.3168919734317</v>
      </c>
      <c r="AC42" s="138">
        <v>0</v>
      </c>
      <c r="AD42" s="104">
        <f t="shared" si="22"/>
        <v>0</v>
      </c>
      <c r="AE42" s="139">
        <f t="shared" si="23"/>
        <v>0</v>
      </c>
      <c r="AF42" s="142">
        <v>1117.5999999999999</v>
      </c>
      <c r="AG42" s="104">
        <f t="shared" si="24"/>
        <v>143.84946401535211</v>
      </c>
      <c r="AH42" s="139">
        <f t="shared" si="25"/>
        <v>1261.4494640153521</v>
      </c>
      <c r="AI42" s="142">
        <v>1328.8</v>
      </c>
      <c r="AJ42" s="104">
        <f t="shared" si="26"/>
        <v>171.03361469541866</v>
      </c>
      <c r="AK42" s="139">
        <f t="shared" si="27"/>
        <v>1499.8336146954186</v>
      </c>
      <c r="AL42" s="143"/>
      <c r="AM42" s="143"/>
      <c r="AN42" s="104">
        <f t="shared" si="28"/>
        <v>0</v>
      </c>
      <c r="AO42" s="148">
        <f t="shared" si="29"/>
        <v>0</v>
      </c>
      <c r="AP42" s="272">
        <f t="shared" si="30"/>
        <v>817.63215265272845</v>
      </c>
      <c r="AQ42" s="669">
        <v>175.93</v>
      </c>
      <c r="AR42" s="401">
        <v>261.98409913772264</v>
      </c>
      <c r="AS42" s="401">
        <v>543.9185562302481</v>
      </c>
      <c r="AT42" s="401">
        <v>11.729497284757743</v>
      </c>
      <c r="AU42" s="401">
        <v>0</v>
      </c>
      <c r="AV42" s="727">
        <v>13.6410104596777</v>
      </c>
      <c r="AW42" s="246"/>
      <c r="AX42" s="713">
        <f t="shared" si="31"/>
        <v>178.26355904298677</v>
      </c>
      <c r="AY42" s="714">
        <v>115.93338457750892</v>
      </c>
      <c r="AZ42" s="715"/>
      <c r="BA42" s="716">
        <v>0</v>
      </c>
      <c r="BB42" s="727"/>
      <c r="BC42" s="712">
        <v>26.362500000000001</v>
      </c>
      <c r="BD42" s="712">
        <v>151.90105904298676</v>
      </c>
      <c r="BE42" s="712"/>
      <c r="BF42" s="712"/>
      <c r="BG42" s="712">
        <v>0</v>
      </c>
      <c r="BH42" s="712">
        <v>38.04296875</v>
      </c>
      <c r="BI42" s="134">
        <f t="shared" si="34"/>
        <v>178.26355904298677</v>
      </c>
      <c r="BJ42" s="123">
        <v>747.94</v>
      </c>
      <c r="BK42" s="792"/>
      <c r="BL42" s="104"/>
      <c r="BM42" s="672"/>
      <c r="BO42" s="562"/>
      <c r="BS42" s="879"/>
      <c r="BT42" s="774"/>
      <c r="BU42" s="774">
        <v>231.93762771031683</v>
      </c>
      <c r="BV42" s="774">
        <v>0</v>
      </c>
      <c r="BW42" s="774">
        <f t="shared" si="32"/>
        <v>231.93762771031683</v>
      </c>
    </row>
    <row r="43" spans="1:75" ht="15" thickBot="1" x14ac:dyDescent="0.35">
      <c r="A43" s="250" t="s">
        <v>344</v>
      </c>
      <c r="B43" s="227">
        <v>9</v>
      </c>
      <c r="C43" s="39">
        <f>'[3]побудинковий звіт'!E43</f>
        <v>3858.65</v>
      </c>
      <c r="D43" s="205">
        <f t="shared" si="7"/>
        <v>299.32102219671611</v>
      </c>
      <c r="E43" s="104">
        <f t="shared" si="8"/>
        <v>65.850679875703023</v>
      </c>
      <c r="F43" s="104">
        <f t="shared" si="9"/>
        <v>128.93172306304484</v>
      </c>
      <c r="G43" s="104">
        <f t="shared" si="10"/>
        <v>0</v>
      </c>
      <c r="H43" s="104">
        <f t="shared" si="11"/>
        <v>250.07513918134612</v>
      </c>
      <c r="I43" s="104">
        <f t="shared" si="12"/>
        <v>95.785332505983689</v>
      </c>
      <c r="J43" s="672">
        <f t="shared" si="0"/>
        <v>0</v>
      </c>
      <c r="K43" s="139">
        <f t="shared" si="13"/>
        <v>839.96389682279369</v>
      </c>
      <c r="L43" s="138">
        <f t="shared" si="1"/>
        <v>415.01983992115095</v>
      </c>
      <c r="M43" s="104">
        <f t="shared" si="2"/>
        <v>91.303935033803455</v>
      </c>
      <c r="N43" s="29">
        <f t="shared" si="14"/>
        <v>95.096174221119142</v>
      </c>
      <c r="O43" s="104">
        <f t="shared" si="3"/>
        <v>6.9467639497529801</v>
      </c>
      <c r="P43" s="104">
        <f t="shared" si="15"/>
        <v>346.73857342065588</v>
      </c>
      <c r="Q43" s="104">
        <f t="shared" si="16"/>
        <v>122.93430882958195</v>
      </c>
      <c r="R43" s="140">
        <f t="shared" si="17"/>
        <v>1078.0395953760644</v>
      </c>
      <c r="S43" s="138">
        <f t="shared" si="18"/>
        <v>88.858000000000004</v>
      </c>
      <c r="T43" s="104">
        <f t="shared" si="4"/>
        <v>11.437165062165496</v>
      </c>
      <c r="U43" s="139">
        <f t="shared" si="19"/>
        <v>100.29516506216549</v>
      </c>
      <c r="V43" s="104"/>
      <c r="W43" s="104">
        <f t="shared" si="20"/>
        <v>0</v>
      </c>
      <c r="X43" s="139">
        <f t="shared" si="21"/>
        <v>0</v>
      </c>
      <c r="Y43" s="138">
        <v>4308.93</v>
      </c>
      <c r="Z43" s="141">
        <v>0</v>
      </c>
      <c r="AA43" s="104">
        <f t="shared" si="5"/>
        <v>554.61459464895427</v>
      </c>
      <c r="AB43" s="139">
        <f t="shared" si="6"/>
        <v>4863.5445946489544</v>
      </c>
      <c r="AC43" s="138">
        <v>0</v>
      </c>
      <c r="AD43" s="104">
        <f t="shared" si="22"/>
        <v>0</v>
      </c>
      <c r="AE43" s="139">
        <f t="shared" si="23"/>
        <v>0</v>
      </c>
      <c r="AF43" s="142">
        <v>92.4</v>
      </c>
      <c r="AG43" s="104">
        <f t="shared" si="24"/>
        <v>11.893065922529113</v>
      </c>
      <c r="AH43" s="139">
        <f t="shared" si="25"/>
        <v>104.29306592252912</v>
      </c>
      <c r="AI43" s="142">
        <v>855.8</v>
      </c>
      <c r="AJ43" s="104">
        <f t="shared" si="26"/>
        <v>110.15244390151963</v>
      </c>
      <c r="AK43" s="139">
        <f t="shared" si="27"/>
        <v>965.95244390151959</v>
      </c>
      <c r="AL43" s="143"/>
      <c r="AM43" s="143"/>
      <c r="AN43" s="104">
        <f t="shared" si="28"/>
        <v>0</v>
      </c>
      <c r="AO43" s="148">
        <f t="shared" si="29"/>
        <v>0</v>
      </c>
      <c r="AP43" s="272">
        <f t="shared" si="30"/>
        <v>523.73949100219784</v>
      </c>
      <c r="AQ43" s="669">
        <v>128.5</v>
      </c>
      <c r="AR43" s="401">
        <v>140.43246191760025</v>
      </c>
      <c r="AS43" s="401">
        <v>376.78248919371322</v>
      </c>
      <c r="AT43" s="401">
        <v>6.524539890884351</v>
      </c>
      <c r="AU43" s="401">
        <v>0</v>
      </c>
      <c r="AV43" s="727">
        <v>7.3120494266686027</v>
      </c>
      <c r="AW43" s="246"/>
      <c r="AX43" s="713">
        <f t="shared" si="31"/>
        <v>128.93172306304484</v>
      </c>
      <c r="AY43" s="714">
        <v>75.146174221119139</v>
      </c>
      <c r="AZ43" s="715"/>
      <c r="BA43" s="716">
        <v>19.950000000000003</v>
      </c>
      <c r="BB43" s="727"/>
      <c r="BC43" s="712">
        <v>26.362500000000001</v>
      </c>
      <c r="BD43" s="712">
        <v>102.56922306304484</v>
      </c>
      <c r="BE43" s="712"/>
      <c r="BF43" s="712"/>
      <c r="BG43" s="712">
        <v>0</v>
      </c>
      <c r="BH43" s="712">
        <v>38.04296875</v>
      </c>
      <c r="BI43" s="134">
        <f t="shared" si="34"/>
        <v>128.93172306304484</v>
      </c>
      <c r="BJ43" s="123">
        <v>403.9</v>
      </c>
      <c r="BK43" s="792"/>
      <c r="BL43" s="104"/>
      <c r="BM43" s="672"/>
      <c r="BO43" s="562"/>
      <c r="BS43" s="879"/>
      <c r="BT43" s="774"/>
      <c r="BU43" s="774">
        <v>124.32201936869424</v>
      </c>
      <c r="BV43" s="774">
        <v>0</v>
      </c>
      <c r="BW43" s="774">
        <f t="shared" si="32"/>
        <v>124.32201936869424</v>
      </c>
    </row>
    <row r="44" spans="1:75" ht="15" thickBot="1" x14ac:dyDescent="0.35">
      <c r="A44" s="250" t="s">
        <v>345</v>
      </c>
      <c r="B44" s="227">
        <v>9</v>
      </c>
      <c r="C44" s="39">
        <f>'[3]побудинковий звіт'!E44</f>
        <v>9788.74</v>
      </c>
      <c r="D44" s="205">
        <f t="shared" si="7"/>
        <v>3279.7463414486501</v>
      </c>
      <c r="E44" s="104">
        <f t="shared" si="8"/>
        <v>721.54479768649105</v>
      </c>
      <c r="F44" s="104">
        <f t="shared" si="9"/>
        <v>327.12724847586423</v>
      </c>
      <c r="G44" s="104">
        <f t="shared" si="10"/>
        <v>0</v>
      </c>
      <c r="H44" s="104">
        <f t="shared" si="11"/>
        <v>2740.1450683215003</v>
      </c>
      <c r="I44" s="104">
        <f t="shared" si="12"/>
        <v>909.81483938295992</v>
      </c>
      <c r="J44" s="672">
        <f t="shared" si="0"/>
        <v>0</v>
      </c>
      <c r="K44" s="139">
        <f t="shared" si="13"/>
        <v>7978.3782953154659</v>
      </c>
      <c r="L44" s="138">
        <f t="shared" si="1"/>
        <v>2609.9825043660867</v>
      </c>
      <c r="M44" s="104">
        <f t="shared" si="2"/>
        <v>574.19344835003415</v>
      </c>
      <c r="N44" s="29">
        <f t="shared" si="14"/>
        <v>190.64543889830958</v>
      </c>
      <c r="O44" s="104">
        <f t="shared" si="3"/>
        <v>17.622760847836673</v>
      </c>
      <c r="P44" s="104">
        <f t="shared" si="15"/>
        <v>2180.5743320336296</v>
      </c>
      <c r="Q44" s="104">
        <f t="shared" si="16"/>
        <v>717.31900674873361</v>
      </c>
      <c r="R44" s="140">
        <f t="shared" si="17"/>
        <v>6290.3374912446307</v>
      </c>
      <c r="S44" s="138">
        <f t="shared" si="18"/>
        <v>174.0266</v>
      </c>
      <c r="T44" s="104">
        <f t="shared" si="4"/>
        <v>22.399456992138578</v>
      </c>
      <c r="U44" s="139">
        <f t="shared" si="19"/>
        <v>196.42605699213857</v>
      </c>
      <c r="V44" s="104"/>
      <c r="W44" s="104">
        <f t="shared" si="20"/>
        <v>0</v>
      </c>
      <c r="X44" s="139">
        <f t="shared" si="21"/>
        <v>0</v>
      </c>
      <c r="Y44" s="138">
        <v>4157.68</v>
      </c>
      <c r="Z44" s="141">
        <v>0</v>
      </c>
      <c r="AA44" s="104">
        <f t="shared" si="5"/>
        <v>535.14677840671902</v>
      </c>
      <c r="AB44" s="139">
        <f t="shared" si="6"/>
        <v>4692.8267784067193</v>
      </c>
      <c r="AC44" s="138">
        <v>236.15</v>
      </c>
      <c r="AD44" s="104">
        <f t="shared" si="22"/>
        <v>30.395535904818722</v>
      </c>
      <c r="AE44" s="139">
        <f t="shared" si="23"/>
        <v>266.54553590481873</v>
      </c>
      <c r="AF44" s="142">
        <v>3902.8</v>
      </c>
      <c r="AG44" s="104">
        <f t="shared" si="24"/>
        <v>502.34045110872967</v>
      </c>
      <c r="AH44" s="139">
        <f t="shared" si="25"/>
        <v>4405.1404511087294</v>
      </c>
      <c r="AI44" s="142">
        <v>2961.2</v>
      </c>
      <c r="AJ44" s="104">
        <f t="shared" si="26"/>
        <v>381.14444599343295</v>
      </c>
      <c r="AK44" s="139">
        <f t="shared" si="27"/>
        <v>3342.3444459934326</v>
      </c>
      <c r="AL44" s="143">
        <v>722.5</v>
      </c>
      <c r="AM44" s="143"/>
      <c r="AN44" s="104">
        <f t="shared" si="28"/>
        <v>92.995023041420822</v>
      </c>
      <c r="AO44" s="148">
        <f t="shared" si="29"/>
        <v>815.49502304142084</v>
      </c>
      <c r="AP44" s="272">
        <f t="shared" si="30"/>
        <v>5022.8588312019174</v>
      </c>
      <c r="AQ44" s="669">
        <v>278.56</v>
      </c>
      <c r="AR44" s="401">
        <v>2612.3122898572633</v>
      </c>
      <c r="AS44" s="401">
        <v>2359.5971025518434</v>
      </c>
      <c r="AT44" s="401">
        <v>50.949438792810533</v>
      </c>
      <c r="AU44" s="401">
        <v>0</v>
      </c>
      <c r="AV44" s="727">
        <v>136.01809952273004</v>
      </c>
      <c r="AW44" s="246"/>
      <c r="AX44" s="713">
        <f t="shared" si="31"/>
        <v>268.62724847586423</v>
      </c>
      <c r="AY44" s="714">
        <v>190.64543889830958</v>
      </c>
      <c r="AZ44" s="715"/>
      <c r="BA44" s="716">
        <v>0</v>
      </c>
      <c r="BB44" s="727"/>
      <c r="BC44" s="712">
        <v>26.362500000000001</v>
      </c>
      <c r="BD44" s="712">
        <v>242.26474847586422</v>
      </c>
      <c r="BE44" s="712"/>
      <c r="BF44" s="712"/>
      <c r="BG44" s="712">
        <v>0</v>
      </c>
      <c r="BH44" s="712">
        <v>38.04296875</v>
      </c>
      <c r="BI44" s="134">
        <f t="shared" si="34"/>
        <v>268.62724847586423</v>
      </c>
      <c r="BJ44" s="123">
        <v>791.03</v>
      </c>
      <c r="BK44" s="792"/>
      <c r="BL44" s="104"/>
      <c r="BM44" s="672">
        <v>58.5</v>
      </c>
      <c r="BO44" s="562"/>
      <c r="BS44" s="879"/>
      <c r="BT44" s="774"/>
      <c r="BU44" s="774">
        <v>2421.3728185904934</v>
      </c>
      <c r="BV44" s="774">
        <v>0</v>
      </c>
      <c r="BW44" s="774">
        <f t="shared" si="32"/>
        <v>2421.3728185904934</v>
      </c>
    </row>
    <row r="45" spans="1:75" ht="15" thickBot="1" x14ac:dyDescent="0.35">
      <c r="A45" s="250" t="s">
        <v>346</v>
      </c>
      <c r="B45" s="227">
        <v>9</v>
      </c>
      <c r="C45" s="39">
        <f>'[3]побудинковий звіт'!E45</f>
        <v>6581.9</v>
      </c>
      <c r="D45" s="205">
        <f t="shared" si="7"/>
        <v>3488.7952063202529</v>
      </c>
      <c r="E45" s="104">
        <f t="shared" si="8"/>
        <v>767.53558636551634</v>
      </c>
      <c r="F45" s="104">
        <f t="shared" si="9"/>
        <v>251.65264647265872</v>
      </c>
      <c r="G45" s="104">
        <f t="shared" si="10"/>
        <v>0</v>
      </c>
      <c r="H45" s="104">
        <f t="shared" si="11"/>
        <v>2914.8001045591855</v>
      </c>
      <c r="I45" s="104">
        <f t="shared" si="12"/>
        <v>955.40751097508462</v>
      </c>
      <c r="J45" s="672">
        <f t="shared" si="0"/>
        <v>0</v>
      </c>
      <c r="K45" s="139">
        <f t="shared" si="13"/>
        <v>8378.1910546926974</v>
      </c>
      <c r="L45" s="138">
        <f t="shared" si="1"/>
        <v>1671.1703262875933</v>
      </c>
      <c r="M45" s="104">
        <f t="shared" si="2"/>
        <v>367.65574130328764</v>
      </c>
      <c r="N45" s="29">
        <f t="shared" si="14"/>
        <v>128.24357593660665</v>
      </c>
      <c r="O45" s="104">
        <f t="shared" si="3"/>
        <v>11.84945658219303</v>
      </c>
      <c r="P45" s="104">
        <f t="shared" si="15"/>
        <v>1396.2205156022969</v>
      </c>
      <c r="Q45" s="104">
        <f t="shared" si="16"/>
        <v>460.166354241428</v>
      </c>
      <c r="R45" s="140">
        <f t="shared" si="17"/>
        <v>4035.3059699534056</v>
      </c>
      <c r="S45" s="138">
        <f t="shared" si="18"/>
        <v>168.5266</v>
      </c>
      <c r="T45" s="104">
        <f t="shared" si="4"/>
        <v>21.691536401511847</v>
      </c>
      <c r="U45" s="139">
        <f t="shared" si="19"/>
        <v>190.21813640151186</v>
      </c>
      <c r="V45" s="104"/>
      <c r="W45" s="104">
        <f t="shared" si="20"/>
        <v>0</v>
      </c>
      <c r="X45" s="139">
        <f t="shared" si="21"/>
        <v>0</v>
      </c>
      <c r="Y45" s="138">
        <v>2110.5</v>
      </c>
      <c r="Z45" s="141">
        <v>0</v>
      </c>
      <c r="AA45" s="104">
        <f t="shared" si="5"/>
        <v>271.64843754867633</v>
      </c>
      <c r="AB45" s="139">
        <f t="shared" si="6"/>
        <v>2382.1484375486762</v>
      </c>
      <c r="AC45" s="138">
        <v>118.075</v>
      </c>
      <c r="AD45" s="104">
        <f t="shared" si="22"/>
        <v>15.197767952409361</v>
      </c>
      <c r="AE45" s="139">
        <f t="shared" si="23"/>
        <v>133.27276795240937</v>
      </c>
      <c r="AF45" s="142">
        <v>1023</v>
      </c>
      <c r="AG45" s="104">
        <f t="shared" si="24"/>
        <v>131.67322985657231</v>
      </c>
      <c r="AH45" s="139">
        <f t="shared" si="25"/>
        <v>1154.6732298565723</v>
      </c>
      <c r="AI45" s="142">
        <v>561</v>
      </c>
      <c r="AJ45" s="104">
        <f t="shared" si="26"/>
        <v>72.207900243926744</v>
      </c>
      <c r="AK45" s="139">
        <f t="shared" si="27"/>
        <v>633.2079002439267</v>
      </c>
      <c r="AL45" s="143"/>
      <c r="AM45" s="143"/>
      <c r="AN45" s="104">
        <f t="shared" si="28"/>
        <v>0</v>
      </c>
      <c r="AO45" s="148">
        <f t="shared" si="29"/>
        <v>0</v>
      </c>
      <c r="AP45" s="272">
        <f t="shared" si="30"/>
        <v>3937.5014246082715</v>
      </c>
      <c r="AQ45" s="669">
        <v>701.14</v>
      </c>
      <c r="AR45" s="401">
        <v>2394.0298330204182</v>
      </c>
      <c r="AS45" s="401">
        <v>1496.7107219039176</v>
      </c>
      <c r="AT45" s="401">
        <v>46.760869683935766</v>
      </c>
      <c r="AU45" s="401">
        <v>0</v>
      </c>
      <c r="AV45" s="727">
        <v>124.6525499085519</v>
      </c>
      <c r="AW45" s="246"/>
      <c r="AX45" s="713">
        <f t="shared" si="31"/>
        <v>193.15264647265872</v>
      </c>
      <c r="AY45" s="714">
        <v>128.24357593660665</v>
      </c>
      <c r="AZ45" s="715"/>
      <c r="BA45" s="716">
        <v>0</v>
      </c>
      <c r="BB45" s="727"/>
      <c r="BC45" s="712">
        <v>26.362500000000001</v>
      </c>
      <c r="BD45" s="712">
        <v>166.79014647265871</v>
      </c>
      <c r="BE45" s="712"/>
      <c r="BF45" s="712"/>
      <c r="BG45" s="712">
        <v>0</v>
      </c>
      <c r="BH45" s="712">
        <v>38.04296875</v>
      </c>
      <c r="BI45" s="134">
        <f t="shared" si="34"/>
        <v>193.15264647265872</v>
      </c>
      <c r="BJ45" s="123">
        <v>766.03</v>
      </c>
      <c r="BK45" s="792"/>
      <c r="BL45" s="104"/>
      <c r="BM45" s="672">
        <v>58.5</v>
      </c>
      <c r="BO45" s="562"/>
      <c r="BS45" s="879"/>
      <c r="BT45" s="774"/>
      <c r="BU45" s="774">
        <v>2219.0426785420113</v>
      </c>
      <c r="BV45" s="774">
        <v>0</v>
      </c>
      <c r="BW45" s="774">
        <f t="shared" si="32"/>
        <v>2219.0426785420113</v>
      </c>
    </row>
    <row r="46" spans="1:75" ht="15" thickBot="1" x14ac:dyDescent="0.35">
      <c r="A46" s="209" t="s">
        <v>245</v>
      </c>
      <c r="B46" s="227">
        <v>5</v>
      </c>
      <c r="C46" s="39">
        <f>'[3]побудинковий звіт'!E46</f>
        <v>3446.77</v>
      </c>
      <c r="D46" s="205">
        <f t="shared" si="7"/>
        <v>2699.6048067730358</v>
      </c>
      <c r="E46" s="104">
        <f t="shared" si="8"/>
        <v>593.91355347199067</v>
      </c>
      <c r="F46" s="104">
        <f t="shared" si="9"/>
        <v>397.90133220602797</v>
      </c>
      <c r="G46" s="104">
        <f t="shared" si="10"/>
        <v>0</v>
      </c>
      <c r="H46" s="104">
        <f t="shared" si="11"/>
        <v>2255.4514976389273</v>
      </c>
      <c r="I46" s="104">
        <f t="shared" si="12"/>
        <v>765.43864823083663</v>
      </c>
      <c r="J46" s="672">
        <f t="shared" si="0"/>
        <v>0</v>
      </c>
      <c r="K46" s="139">
        <f t="shared" si="13"/>
        <v>6712.309838320818</v>
      </c>
      <c r="L46" s="138">
        <f t="shared" si="1"/>
        <v>2143.2628265621429</v>
      </c>
      <c r="M46" s="104">
        <f t="shared" si="2"/>
        <v>471.51560251667587</v>
      </c>
      <c r="N46" s="29">
        <f t="shared" si="14"/>
        <v>70.804827225821015</v>
      </c>
      <c r="O46" s="104">
        <f t="shared" si="3"/>
        <v>6.2052525051741103</v>
      </c>
      <c r="P46" s="104">
        <f t="shared" si="15"/>
        <v>1790.6418524205262</v>
      </c>
      <c r="Q46" s="104">
        <f t="shared" si="16"/>
        <v>576.94631795734222</v>
      </c>
      <c r="R46" s="140">
        <f t="shared" si="17"/>
        <v>5059.3766791876824</v>
      </c>
      <c r="S46" s="138">
        <f t="shared" si="18"/>
        <v>0</v>
      </c>
      <c r="T46" s="104">
        <f t="shared" si="4"/>
        <v>0</v>
      </c>
      <c r="U46" s="139">
        <f t="shared" si="19"/>
        <v>0</v>
      </c>
      <c r="V46" s="104"/>
      <c r="W46" s="104">
        <f t="shared" si="20"/>
        <v>0</v>
      </c>
      <c r="X46" s="139">
        <f t="shared" si="21"/>
        <v>0</v>
      </c>
      <c r="Y46" s="138">
        <v>0</v>
      </c>
      <c r="Z46" s="141">
        <v>0</v>
      </c>
      <c r="AA46" s="104">
        <f t="shared" si="5"/>
        <v>0</v>
      </c>
      <c r="AB46" s="139">
        <f t="shared" si="6"/>
        <v>0</v>
      </c>
      <c r="AC46" s="138">
        <v>0</v>
      </c>
      <c r="AD46" s="104">
        <f t="shared" si="22"/>
        <v>0</v>
      </c>
      <c r="AE46" s="139">
        <f t="shared" si="23"/>
        <v>0</v>
      </c>
      <c r="AF46" s="142">
        <v>261.8</v>
      </c>
      <c r="AG46" s="104">
        <f t="shared" si="24"/>
        <v>33.697020113832487</v>
      </c>
      <c r="AH46" s="139">
        <f t="shared" si="25"/>
        <v>295.49702011383249</v>
      </c>
      <c r="AI46" s="142">
        <v>0</v>
      </c>
      <c r="AJ46" s="104">
        <f t="shared" si="26"/>
        <v>0</v>
      </c>
      <c r="AK46" s="139">
        <f t="shared" si="27"/>
        <v>0</v>
      </c>
      <c r="AL46" s="143"/>
      <c r="AM46" s="143"/>
      <c r="AN46" s="104">
        <f t="shared" si="28"/>
        <v>0</v>
      </c>
      <c r="AO46" s="148">
        <f t="shared" si="29"/>
        <v>0</v>
      </c>
      <c r="AP46" s="272">
        <f t="shared" si="30"/>
        <v>3502.1557542361506</v>
      </c>
      <c r="AQ46" s="669">
        <v>174.11</v>
      </c>
      <c r="AR46" s="725">
        <v>2317.3655575688999</v>
      </c>
      <c r="AS46" s="725">
        <v>1157.9774491705448</v>
      </c>
      <c r="AT46" s="725">
        <v>26.812747496705889</v>
      </c>
      <c r="AU46" s="401">
        <v>794.70000494111821</v>
      </c>
      <c r="AV46" s="786"/>
      <c r="AW46" s="246"/>
      <c r="AX46" s="713">
        <f t="shared" si="31"/>
        <v>105.38133220602796</v>
      </c>
      <c r="AY46" s="714">
        <v>70.804827225821015</v>
      </c>
      <c r="AZ46" s="715"/>
      <c r="BA46" s="716">
        <v>0</v>
      </c>
      <c r="BC46" s="712">
        <v>0</v>
      </c>
      <c r="BD46" s="712">
        <v>105.38133220602796</v>
      </c>
      <c r="BE46" s="712"/>
      <c r="BF46" s="712"/>
      <c r="BG46" s="712">
        <v>0</v>
      </c>
      <c r="BH46" s="712">
        <v>0</v>
      </c>
      <c r="BI46" s="134">
        <f t="shared" si="34"/>
        <v>105.38133220602796</v>
      </c>
      <c r="BJ46" s="123"/>
      <c r="BK46" s="792"/>
      <c r="BL46" s="104"/>
      <c r="BM46" s="672">
        <v>292.52</v>
      </c>
      <c r="BO46" s="562"/>
      <c r="BS46" s="879"/>
      <c r="BT46" s="774"/>
      <c r="BU46" s="774">
        <v>2267.0027894439536</v>
      </c>
      <c r="BV46" s="774">
        <v>0</v>
      </c>
      <c r="BW46" s="774">
        <f t="shared" si="32"/>
        <v>2267.0027894439536</v>
      </c>
    </row>
    <row r="47" spans="1:75" ht="15" thickBot="1" x14ac:dyDescent="0.35">
      <c r="A47" s="210" t="s">
        <v>50</v>
      </c>
      <c r="B47" s="228">
        <v>1</v>
      </c>
      <c r="C47" s="39">
        <f>'[3]побудинковий звіт'!E47</f>
        <v>244.2</v>
      </c>
      <c r="D47" s="205">
        <f t="shared" si="7"/>
        <v>25.083870916147845</v>
      </c>
      <c r="E47" s="104">
        <f t="shared" si="8"/>
        <v>5.518456210059111</v>
      </c>
      <c r="F47" s="104">
        <f t="shared" si="9"/>
        <v>0</v>
      </c>
      <c r="G47" s="104">
        <f t="shared" si="10"/>
        <v>0</v>
      </c>
      <c r="H47" s="104">
        <f t="shared" si="11"/>
        <v>20.956939357370043</v>
      </c>
      <c r="I47" s="104">
        <f t="shared" si="12"/>
        <v>6.6363393420608983</v>
      </c>
      <c r="J47" s="672">
        <f t="shared" si="0"/>
        <v>0</v>
      </c>
      <c r="K47" s="139">
        <f t="shared" si="13"/>
        <v>58.195605825637898</v>
      </c>
      <c r="L47" s="138">
        <f t="shared" si="1"/>
        <v>0</v>
      </c>
      <c r="M47" s="104">
        <f t="shared" si="2"/>
        <v>0</v>
      </c>
      <c r="N47" s="29">
        <f t="shared" si="14"/>
        <v>0</v>
      </c>
      <c r="O47" s="104">
        <f t="shared" si="3"/>
        <v>0.43963556076080434</v>
      </c>
      <c r="P47" s="104">
        <f t="shared" si="15"/>
        <v>0</v>
      </c>
      <c r="Q47" s="104">
        <f t="shared" si="16"/>
        <v>5.6586739242600638E-2</v>
      </c>
      <c r="R47" s="140">
        <f t="shared" si="17"/>
        <v>0.496222300003405</v>
      </c>
      <c r="S47" s="138">
        <f t="shared" si="18"/>
        <v>0</v>
      </c>
      <c r="T47" s="104">
        <f t="shared" si="4"/>
        <v>0</v>
      </c>
      <c r="U47" s="139">
        <f t="shared" si="19"/>
        <v>0</v>
      </c>
      <c r="V47" s="104"/>
      <c r="W47" s="104">
        <f t="shared" si="20"/>
        <v>0</v>
      </c>
      <c r="X47" s="139">
        <f t="shared" si="21"/>
        <v>0</v>
      </c>
      <c r="Y47" s="138">
        <v>0</v>
      </c>
      <c r="Z47" s="141">
        <v>0</v>
      </c>
      <c r="AA47" s="104">
        <f t="shared" si="5"/>
        <v>0</v>
      </c>
      <c r="AB47" s="139">
        <f t="shared" si="6"/>
        <v>0</v>
      </c>
      <c r="AC47" s="138">
        <v>0</v>
      </c>
      <c r="AD47" s="104">
        <f t="shared" si="22"/>
        <v>0</v>
      </c>
      <c r="AE47" s="139">
        <f t="shared" si="23"/>
        <v>0</v>
      </c>
      <c r="AF47" s="142">
        <v>0</v>
      </c>
      <c r="AG47" s="104">
        <f t="shared" si="24"/>
        <v>0</v>
      </c>
      <c r="AH47" s="139">
        <f t="shared" si="25"/>
        <v>0</v>
      </c>
      <c r="AI47" s="142">
        <v>0</v>
      </c>
      <c r="AJ47" s="104">
        <f t="shared" si="26"/>
        <v>0</v>
      </c>
      <c r="AK47" s="139">
        <f t="shared" si="27"/>
        <v>0</v>
      </c>
      <c r="AL47" s="143"/>
      <c r="AM47" s="205"/>
      <c r="AN47" s="104">
        <f t="shared" si="28"/>
        <v>0</v>
      </c>
      <c r="AO47" s="148">
        <f t="shared" si="29"/>
        <v>0</v>
      </c>
      <c r="AP47" s="272">
        <f t="shared" si="30"/>
        <v>0</v>
      </c>
      <c r="AQ47" s="669">
        <v>23.15</v>
      </c>
      <c r="AR47" s="401">
        <v>0</v>
      </c>
      <c r="AS47" s="401">
        <v>0</v>
      </c>
      <c r="AT47" s="401">
        <v>0</v>
      </c>
      <c r="AU47" s="401">
        <v>0</v>
      </c>
      <c r="AV47" s="727">
        <v>0</v>
      </c>
      <c r="AW47" s="246"/>
      <c r="AX47" s="713">
        <f t="shared" si="31"/>
        <v>0</v>
      </c>
      <c r="AY47" s="714">
        <v>0</v>
      </c>
      <c r="AZ47" s="715"/>
      <c r="BA47" s="716">
        <v>0</v>
      </c>
      <c r="BB47" s="727"/>
      <c r="BC47" s="712">
        <v>0</v>
      </c>
      <c r="BD47" s="712">
        <v>0</v>
      </c>
      <c r="BE47" s="712"/>
      <c r="BF47" s="712"/>
      <c r="BG47" s="712">
        <v>0</v>
      </c>
      <c r="BH47" s="712">
        <v>0</v>
      </c>
      <c r="BI47" s="134">
        <f>BC47+BD47+BE47+BG47+BH47</f>
        <v>0</v>
      </c>
      <c r="BJ47" s="123"/>
      <c r="BK47" s="792"/>
      <c r="BL47" s="104"/>
      <c r="BM47" s="672"/>
      <c r="BO47" s="562"/>
      <c r="BS47" s="879"/>
      <c r="BT47" s="774"/>
      <c r="BU47" s="774">
        <v>0</v>
      </c>
      <c r="BV47" s="774">
        <v>0</v>
      </c>
      <c r="BW47" s="774">
        <f t="shared" si="32"/>
        <v>0</v>
      </c>
    </row>
    <row r="48" spans="1:75" ht="15" thickBot="1" x14ac:dyDescent="0.35">
      <c r="A48" s="210" t="s">
        <v>51</v>
      </c>
      <c r="B48" s="228">
        <v>1</v>
      </c>
      <c r="C48" s="39">
        <f>'[3]побудинковий звіт'!E48</f>
        <v>323.7</v>
      </c>
      <c r="D48" s="205">
        <f t="shared" si="7"/>
        <v>13.2733226230156</v>
      </c>
      <c r="E48" s="104">
        <f t="shared" si="8"/>
        <v>2.9201334156900267</v>
      </c>
      <c r="F48" s="104">
        <f t="shared" si="9"/>
        <v>0</v>
      </c>
      <c r="G48" s="104">
        <f t="shared" si="10"/>
        <v>0</v>
      </c>
      <c r="H48" s="104">
        <f t="shared" si="11"/>
        <v>11.089525145908556</v>
      </c>
      <c r="I48" s="104">
        <f t="shared" si="12"/>
        <v>3.5116698462309293</v>
      </c>
      <c r="J48" s="672">
        <f t="shared" si="0"/>
        <v>0</v>
      </c>
      <c r="K48" s="139">
        <f t="shared" si="13"/>
        <v>30.794651030845113</v>
      </c>
      <c r="L48" s="138">
        <f t="shared" si="1"/>
        <v>0</v>
      </c>
      <c r="M48" s="104">
        <f t="shared" si="2"/>
        <v>0</v>
      </c>
      <c r="N48" s="29">
        <f t="shared" si="14"/>
        <v>0</v>
      </c>
      <c r="O48" s="104">
        <f t="shared" si="3"/>
        <v>0.58276015977998508</v>
      </c>
      <c r="P48" s="104">
        <f t="shared" si="15"/>
        <v>0</v>
      </c>
      <c r="Q48" s="104">
        <f t="shared" si="16"/>
        <v>7.5008712091850227E-2</v>
      </c>
      <c r="R48" s="140">
        <f t="shared" si="17"/>
        <v>0.6577688718718353</v>
      </c>
      <c r="S48" s="138">
        <f t="shared" si="18"/>
        <v>0</v>
      </c>
      <c r="T48" s="104">
        <f t="shared" si="4"/>
        <v>0</v>
      </c>
      <c r="U48" s="139">
        <f t="shared" si="19"/>
        <v>0</v>
      </c>
      <c r="V48" s="104"/>
      <c r="W48" s="104">
        <f t="shared" si="20"/>
        <v>0</v>
      </c>
      <c r="X48" s="139">
        <f t="shared" si="21"/>
        <v>0</v>
      </c>
      <c r="Y48" s="138">
        <v>0</v>
      </c>
      <c r="Z48" s="141">
        <v>0</v>
      </c>
      <c r="AA48" s="104">
        <f t="shared" si="5"/>
        <v>0</v>
      </c>
      <c r="AB48" s="139">
        <f t="shared" si="6"/>
        <v>0</v>
      </c>
      <c r="AC48" s="138">
        <v>0</v>
      </c>
      <c r="AD48" s="104">
        <f t="shared" si="22"/>
        <v>0</v>
      </c>
      <c r="AE48" s="139">
        <f t="shared" si="23"/>
        <v>0</v>
      </c>
      <c r="AF48" s="142">
        <v>0</v>
      </c>
      <c r="AG48" s="104">
        <f t="shared" si="24"/>
        <v>0</v>
      </c>
      <c r="AH48" s="139">
        <f t="shared" si="25"/>
        <v>0</v>
      </c>
      <c r="AI48" s="142">
        <v>0</v>
      </c>
      <c r="AJ48" s="104">
        <f t="shared" si="26"/>
        <v>0</v>
      </c>
      <c r="AK48" s="139">
        <f t="shared" si="27"/>
        <v>0</v>
      </c>
      <c r="AL48" s="143"/>
      <c r="AM48" s="205"/>
      <c r="AN48" s="104">
        <f t="shared" si="28"/>
        <v>0</v>
      </c>
      <c r="AO48" s="148">
        <f t="shared" si="29"/>
        <v>0</v>
      </c>
      <c r="AP48" s="272">
        <f t="shared" si="30"/>
        <v>0</v>
      </c>
      <c r="AQ48" s="669">
        <v>12.25</v>
      </c>
      <c r="AR48" s="401">
        <v>0</v>
      </c>
      <c r="AS48" s="401">
        <v>0</v>
      </c>
      <c r="AT48" s="401">
        <v>0</v>
      </c>
      <c r="AU48" s="401">
        <v>0</v>
      </c>
      <c r="AV48" s="727">
        <v>0</v>
      </c>
      <c r="AW48" s="246"/>
      <c r="AX48" s="713">
        <f t="shared" si="31"/>
        <v>0</v>
      </c>
      <c r="AY48" s="714">
        <v>0</v>
      </c>
      <c r="AZ48" s="715"/>
      <c r="BA48" s="716">
        <v>0</v>
      </c>
      <c r="BB48" s="727"/>
      <c r="BC48" s="712">
        <v>0</v>
      </c>
      <c r="BD48" s="712">
        <v>0</v>
      </c>
      <c r="BE48" s="712"/>
      <c r="BF48" s="712"/>
      <c r="BG48" s="712">
        <v>0</v>
      </c>
      <c r="BH48" s="712">
        <v>0</v>
      </c>
      <c r="BI48" s="134">
        <f>BC48+BD48+BE48+BG48+BH48</f>
        <v>0</v>
      </c>
      <c r="BJ48" s="123"/>
      <c r="BK48" s="792"/>
      <c r="BL48" s="104"/>
      <c r="BM48" s="672"/>
      <c r="BO48" s="562"/>
      <c r="BS48" s="879"/>
      <c r="BT48" s="774"/>
      <c r="BU48" s="774">
        <v>0</v>
      </c>
      <c r="BV48" s="774">
        <v>0</v>
      </c>
      <c r="BW48" s="774">
        <f t="shared" si="32"/>
        <v>0</v>
      </c>
    </row>
    <row r="49" spans="1:75" ht="15" thickBot="1" x14ac:dyDescent="0.35">
      <c r="A49" s="209" t="s">
        <v>246</v>
      </c>
      <c r="B49" s="227">
        <v>5</v>
      </c>
      <c r="C49" s="39">
        <f>'[3]побудинковий звіт'!E49</f>
        <v>2189.9</v>
      </c>
      <c r="D49" s="205">
        <f t="shared" si="7"/>
        <v>1838.6050252763355</v>
      </c>
      <c r="E49" s="104">
        <f t="shared" si="8"/>
        <v>404.49344335647913</v>
      </c>
      <c r="F49" s="104">
        <f t="shared" si="9"/>
        <v>66.557310167857992</v>
      </c>
      <c r="G49" s="104">
        <f t="shared" si="10"/>
        <v>0</v>
      </c>
      <c r="H49" s="104">
        <f t="shared" si="11"/>
        <v>1536.1079693671659</v>
      </c>
      <c r="I49" s="104">
        <f t="shared" si="12"/>
        <v>494.99915345706438</v>
      </c>
      <c r="J49" s="672">
        <f t="shared" si="0"/>
        <v>0</v>
      </c>
      <c r="K49" s="139">
        <f t="shared" si="13"/>
        <v>4340.762901624903</v>
      </c>
      <c r="L49" s="138">
        <f t="shared" si="1"/>
        <v>779.52720059932665</v>
      </c>
      <c r="M49" s="104">
        <f t="shared" si="2"/>
        <v>171.49517693931409</v>
      </c>
      <c r="N49" s="29">
        <f t="shared" si="14"/>
        <v>106.01050741699845</v>
      </c>
      <c r="O49" s="104">
        <f t="shared" si="3"/>
        <v>3.9424976024164025</v>
      </c>
      <c r="P49" s="104">
        <f t="shared" si="15"/>
        <v>651.27524874415735</v>
      </c>
      <c r="Q49" s="104">
        <f t="shared" si="16"/>
        <v>220.38863240226522</v>
      </c>
      <c r="R49" s="140">
        <f t="shared" si="17"/>
        <v>1932.6392637044783</v>
      </c>
      <c r="S49" s="138">
        <f t="shared" si="18"/>
        <v>45.408000000000008</v>
      </c>
      <c r="T49" s="104">
        <f t="shared" si="4"/>
        <v>5.8445923962143072</v>
      </c>
      <c r="U49" s="139">
        <f t="shared" si="19"/>
        <v>51.252592396214318</v>
      </c>
      <c r="V49" s="104"/>
      <c r="W49" s="104">
        <f t="shared" si="20"/>
        <v>0</v>
      </c>
      <c r="X49" s="139">
        <f t="shared" si="21"/>
        <v>0</v>
      </c>
      <c r="Y49" s="138">
        <v>0</v>
      </c>
      <c r="Z49" s="141">
        <v>0</v>
      </c>
      <c r="AA49" s="104">
        <f t="shared" si="5"/>
        <v>0</v>
      </c>
      <c r="AB49" s="139">
        <f t="shared" si="6"/>
        <v>0</v>
      </c>
      <c r="AC49" s="138">
        <v>0</v>
      </c>
      <c r="AD49" s="104">
        <f t="shared" si="22"/>
        <v>0</v>
      </c>
      <c r="AE49" s="139">
        <f t="shared" si="23"/>
        <v>0</v>
      </c>
      <c r="AF49" s="142">
        <v>204.6</v>
      </c>
      <c r="AG49" s="104">
        <f t="shared" si="24"/>
        <v>26.334645971314462</v>
      </c>
      <c r="AH49" s="139">
        <f t="shared" si="25"/>
        <v>230.93464597131447</v>
      </c>
      <c r="AI49" s="142">
        <v>0</v>
      </c>
      <c r="AJ49" s="104">
        <f t="shared" si="26"/>
        <v>0</v>
      </c>
      <c r="AK49" s="139">
        <f t="shared" si="27"/>
        <v>0</v>
      </c>
      <c r="AL49" s="143"/>
      <c r="AM49" s="143"/>
      <c r="AN49" s="104">
        <f t="shared" si="28"/>
        <v>0</v>
      </c>
      <c r="AO49" s="148">
        <f t="shared" si="29"/>
        <v>0</v>
      </c>
      <c r="AP49" s="272">
        <f t="shared" si="30"/>
        <v>2416.8169569310921</v>
      </c>
      <c r="AQ49" s="669">
        <v>0</v>
      </c>
      <c r="AR49" s="726">
        <v>1696.855580122867</v>
      </c>
      <c r="AS49" s="726">
        <v>709.32494328575797</v>
      </c>
      <c r="AT49" s="726">
        <v>10.636433522467058</v>
      </c>
      <c r="AU49" s="401">
        <v>0</v>
      </c>
      <c r="AV49" s="786"/>
      <c r="AW49" s="246"/>
      <c r="AX49" s="713">
        <f t="shared" si="31"/>
        <v>66.557310167857992</v>
      </c>
      <c r="AY49" s="714">
        <v>106.01050741699845</v>
      </c>
      <c r="AZ49" s="715"/>
      <c r="BA49" s="716">
        <v>0</v>
      </c>
      <c r="BC49" s="712">
        <v>0</v>
      </c>
      <c r="BD49" s="712">
        <v>66.557310167857992</v>
      </c>
      <c r="BE49" s="712"/>
      <c r="BF49" s="712"/>
      <c r="BG49" s="712">
        <v>0</v>
      </c>
      <c r="BH49" s="712">
        <v>6.7373763976344963</v>
      </c>
      <c r="BI49" s="134">
        <f>BC49+BD49+BE49+BG49</f>
        <v>66.557310167857992</v>
      </c>
      <c r="BJ49" s="123">
        <v>206.4</v>
      </c>
      <c r="BK49" s="792"/>
      <c r="BL49" s="104"/>
      <c r="BM49" s="672"/>
      <c r="BO49" s="562"/>
      <c r="BS49" s="879"/>
      <c r="BT49" s="774"/>
      <c r="BU49" s="774">
        <v>1508.3358383016937</v>
      </c>
      <c r="BV49" s="774">
        <v>0</v>
      </c>
      <c r="BW49" s="774">
        <f t="shared" si="32"/>
        <v>1508.3358383016937</v>
      </c>
    </row>
    <row r="50" spans="1:75" ht="15" thickBot="1" x14ac:dyDescent="0.35">
      <c r="A50" s="209" t="s">
        <v>206</v>
      </c>
      <c r="B50" s="227">
        <v>4</v>
      </c>
      <c r="C50" s="39">
        <f>'[3]побудинковий звіт'!E50</f>
        <v>1173.1199999999999</v>
      </c>
      <c r="D50" s="205">
        <f t="shared" si="7"/>
        <v>300.78997546993673</v>
      </c>
      <c r="E50" s="104">
        <f t="shared" si="8"/>
        <v>66.17384986569337</v>
      </c>
      <c r="F50" s="104">
        <f t="shared" si="9"/>
        <v>36.766600348808439</v>
      </c>
      <c r="G50" s="104">
        <f t="shared" si="10"/>
        <v>0</v>
      </c>
      <c r="H50" s="104">
        <f t="shared" si="11"/>
        <v>251.30241246658207</v>
      </c>
      <c r="I50" s="104">
        <f t="shared" si="12"/>
        <v>84.311133393413741</v>
      </c>
      <c r="J50" s="672">
        <f t="shared" si="0"/>
        <v>0</v>
      </c>
      <c r="K50" s="139">
        <f t="shared" si="13"/>
        <v>739.34397154443423</v>
      </c>
      <c r="L50" s="138">
        <f t="shared" si="1"/>
        <v>582.73127706530897</v>
      </c>
      <c r="M50" s="104">
        <f t="shared" si="2"/>
        <v>128.20027754202007</v>
      </c>
      <c r="N50" s="29">
        <f t="shared" si="14"/>
        <v>19.24232364642954</v>
      </c>
      <c r="O50" s="104">
        <f t="shared" si="3"/>
        <v>2.1119789886966207</v>
      </c>
      <c r="P50" s="104">
        <f t="shared" si="15"/>
        <v>486.85723491101152</v>
      </c>
      <c r="Q50" s="104">
        <f t="shared" si="16"/>
        <v>156.91936324650612</v>
      </c>
      <c r="R50" s="140">
        <f t="shared" si="17"/>
        <v>1376.0624553999728</v>
      </c>
      <c r="S50" s="138">
        <f t="shared" si="18"/>
        <v>44.77</v>
      </c>
      <c r="T50" s="104">
        <f t="shared" si="4"/>
        <v>5.7624736077016054</v>
      </c>
      <c r="U50" s="139">
        <f t="shared" si="19"/>
        <v>50.532473607701611</v>
      </c>
      <c r="V50" s="104"/>
      <c r="W50" s="104">
        <f t="shared" si="20"/>
        <v>0</v>
      </c>
      <c r="X50" s="139">
        <f t="shared" si="21"/>
        <v>0</v>
      </c>
      <c r="Y50" s="138">
        <v>0</v>
      </c>
      <c r="Z50" s="141">
        <v>0</v>
      </c>
      <c r="AA50" s="104">
        <f t="shared" si="5"/>
        <v>0</v>
      </c>
      <c r="AB50" s="139">
        <f t="shared" si="6"/>
        <v>0</v>
      </c>
      <c r="AC50" s="138">
        <v>0</v>
      </c>
      <c r="AD50" s="104">
        <f t="shared" si="22"/>
        <v>0</v>
      </c>
      <c r="AE50" s="139">
        <f t="shared" si="23"/>
        <v>0</v>
      </c>
      <c r="AF50" s="142">
        <v>77</v>
      </c>
      <c r="AG50" s="104">
        <f t="shared" si="24"/>
        <v>9.9108882687742597</v>
      </c>
      <c r="AH50" s="139">
        <f t="shared" si="25"/>
        <v>86.910888268774258</v>
      </c>
      <c r="AI50" s="142">
        <v>0</v>
      </c>
      <c r="AJ50" s="104">
        <f t="shared" si="26"/>
        <v>0</v>
      </c>
      <c r="AK50" s="139">
        <f t="shared" si="27"/>
        <v>0</v>
      </c>
      <c r="AL50" s="143">
        <v>127.5</v>
      </c>
      <c r="AM50" s="143"/>
      <c r="AN50" s="104">
        <f t="shared" si="28"/>
        <v>16.410886419074263</v>
      </c>
      <c r="AO50" s="148">
        <f t="shared" si="29"/>
        <v>143.91088641907427</v>
      </c>
      <c r="AP50" s="272">
        <f t="shared" si="30"/>
        <v>375.50148425409003</v>
      </c>
      <c r="AQ50" s="669">
        <v>0</v>
      </c>
      <c r="AR50" s="726">
        <v>277.60021391460714</v>
      </c>
      <c r="AS50" s="726">
        <v>95.171253732304336</v>
      </c>
      <c r="AT50" s="726">
        <v>2.7300166071785625</v>
      </c>
      <c r="AU50" s="401">
        <v>440.30190233056078</v>
      </c>
      <c r="AV50" s="786"/>
      <c r="AW50" s="246"/>
      <c r="AX50" s="713">
        <f t="shared" si="31"/>
        <v>36.766600348808439</v>
      </c>
      <c r="AY50" s="714">
        <v>19.24232364642954</v>
      </c>
      <c r="AZ50" s="715"/>
      <c r="BA50" s="716">
        <v>0</v>
      </c>
      <c r="BC50" s="712">
        <v>0</v>
      </c>
      <c r="BD50" s="712">
        <v>36.766600348808439</v>
      </c>
      <c r="BE50" s="712"/>
      <c r="BF50" s="712"/>
      <c r="BG50" s="712">
        <v>0</v>
      </c>
      <c r="BH50" s="712">
        <v>4.8016376565230932</v>
      </c>
      <c r="BI50" s="134">
        <f>BC50+BD50+BE50+BG50</f>
        <v>36.766600348808439</v>
      </c>
      <c r="BJ50" s="123">
        <v>203.5</v>
      </c>
      <c r="BK50" s="792"/>
      <c r="BL50" s="104"/>
      <c r="BM50" s="672"/>
      <c r="BO50" s="562"/>
      <c r="BS50" s="879"/>
      <c r="BT50" s="774"/>
      <c r="BU50" s="774">
        <v>861.64549888786632</v>
      </c>
      <c r="BV50" s="774">
        <v>0</v>
      </c>
      <c r="BW50" s="774">
        <f t="shared" si="32"/>
        <v>861.64549888786632</v>
      </c>
    </row>
    <row r="51" spans="1:75" ht="15" thickBot="1" x14ac:dyDescent="0.35">
      <c r="A51" s="209" t="s">
        <v>247</v>
      </c>
      <c r="B51" s="227">
        <v>5</v>
      </c>
      <c r="C51" s="39">
        <f>'[3]побудинковий звіт'!E51</f>
        <v>2743.1</v>
      </c>
      <c r="D51" s="205">
        <f t="shared" si="7"/>
        <v>1032.4941619966917</v>
      </c>
      <c r="E51" s="104">
        <f t="shared" si="8"/>
        <v>227.14890533312607</v>
      </c>
      <c r="F51" s="104">
        <f t="shared" si="9"/>
        <v>77.055597138973653</v>
      </c>
      <c r="G51" s="104">
        <f t="shared" si="10"/>
        <v>0</v>
      </c>
      <c r="H51" s="104">
        <f t="shared" si="11"/>
        <v>862.6227432016392</v>
      </c>
      <c r="I51" s="104">
        <f t="shared" si="12"/>
        <v>283.08089270837615</v>
      </c>
      <c r="J51" s="672">
        <f t="shared" si="0"/>
        <v>0</v>
      </c>
      <c r="K51" s="139">
        <f t="shared" si="13"/>
        <v>2482.402300378807</v>
      </c>
      <c r="L51" s="138">
        <f t="shared" si="1"/>
        <v>721.6072227010676</v>
      </c>
      <c r="M51" s="104">
        <f t="shared" si="2"/>
        <v>158.75284177724882</v>
      </c>
      <c r="N51" s="29">
        <f t="shared" si="14"/>
        <v>45.102741277650523</v>
      </c>
      <c r="O51" s="104">
        <f t="shared" si="3"/>
        <v>4.9384287744593056</v>
      </c>
      <c r="P51" s="104">
        <f t="shared" si="15"/>
        <v>602.88457298076776</v>
      </c>
      <c r="Q51" s="104">
        <f t="shared" si="16"/>
        <v>197.35356262780209</v>
      </c>
      <c r="R51" s="140">
        <f t="shared" si="17"/>
        <v>1730.6393701389961</v>
      </c>
      <c r="S51" s="138">
        <f t="shared" si="18"/>
        <v>109.23</v>
      </c>
      <c r="T51" s="104">
        <f t="shared" si="4"/>
        <v>14.059302929846915</v>
      </c>
      <c r="U51" s="139">
        <f t="shared" si="19"/>
        <v>123.28930292984691</v>
      </c>
      <c r="V51" s="104"/>
      <c r="W51" s="104">
        <f t="shared" si="20"/>
        <v>0</v>
      </c>
      <c r="X51" s="139">
        <f t="shared" si="21"/>
        <v>0</v>
      </c>
      <c r="Y51" s="138">
        <v>0</v>
      </c>
      <c r="Z51" s="141">
        <v>0</v>
      </c>
      <c r="AA51" s="104">
        <f t="shared" si="5"/>
        <v>0</v>
      </c>
      <c r="AB51" s="139">
        <f t="shared" si="6"/>
        <v>0</v>
      </c>
      <c r="AC51" s="138">
        <v>0</v>
      </c>
      <c r="AD51" s="104">
        <f t="shared" si="22"/>
        <v>0</v>
      </c>
      <c r="AE51" s="139">
        <f t="shared" si="23"/>
        <v>0</v>
      </c>
      <c r="AF51" s="142">
        <v>239.8</v>
      </c>
      <c r="AG51" s="104">
        <f t="shared" si="24"/>
        <v>30.865337751325555</v>
      </c>
      <c r="AH51" s="139">
        <f t="shared" si="25"/>
        <v>270.66533775132558</v>
      </c>
      <c r="AI51" s="142">
        <v>0</v>
      </c>
      <c r="AJ51" s="104">
        <f t="shared" si="26"/>
        <v>0</v>
      </c>
      <c r="AK51" s="139">
        <f t="shared" si="27"/>
        <v>0</v>
      </c>
      <c r="AL51" s="205"/>
      <c r="AM51" s="205"/>
      <c r="AN51" s="104">
        <f t="shared" si="28"/>
        <v>0</v>
      </c>
      <c r="AO51" s="148">
        <f t="shared" si="29"/>
        <v>0</v>
      </c>
      <c r="AP51" s="272">
        <f t="shared" si="30"/>
        <v>1619.3600185412959</v>
      </c>
      <c r="AQ51" s="669">
        <v>0</v>
      </c>
      <c r="AR51" s="726">
        <v>952.89279434284776</v>
      </c>
      <c r="AS51" s="726">
        <v>642.7552485148401</v>
      </c>
      <c r="AT51" s="726">
        <v>23.711975683608088</v>
      </c>
      <c r="AU51" s="401">
        <v>0</v>
      </c>
      <c r="AV51" s="786"/>
      <c r="AW51" s="246"/>
      <c r="AX51" s="713">
        <f t="shared" si="31"/>
        <v>77.055597138973653</v>
      </c>
      <c r="AY51" s="714">
        <v>45.102741277650523</v>
      </c>
      <c r="AZ51" s="715"/>
      <c r="BA51" s="716">
        <v>0</v>
      </c>
      <c r="BC51" s="712">
        <v>0</v>
      </c>
      <c r="BD51" s="712">
        <v>77.055597138973653</v>
      </c>
      <c r="BE51" s="712"/>
      <c r="BF51" s="712"/>
      <c r="BG51" s="712">
        <v>0</v>
      </c>
      <c r="BH51" s="712">
        <v>2.131826561639572</v>
      </c>
      <c r="BI51" s="134">
        <f>BC51+BD51+BE51+BG51</f>
        <v>77.055597138973653</v>
      </c>
      <c r="BJ51" s="123">
        <v>496.5</v>
      </c>
      <c r="BK51" s="792"/>
      <c r="BL51" s="104"/>
      <c r="BM51" s="672"/>
      <c r="BO51" s="562"/>
      <c r="BS51" s="879"/>
      <c r="BT51" s="774"/>
      <c r="BU51" s="774">
        <v>925.46250731719999</v>
      </c>
      <c r="BV51" s="774">
        <v>0</v>
      </c>
      <c r="BW51" s="774">
        <f t="shared" si="32"/>
        <v>925.46250731719999</v>
      </c>
    </row>
    <row r="52" spans="1:75" ht="15" thickBot="1" x14ac:dyDescent="0.35">
      <c r="A52" s="210" t="s">
        <v>52</v>
      </c>
      <c r="B52" s="228">
        <v>1</v>
      </c>
      <c r="C52" s="39">
        <f>'[3]побудинковий звіт'!E52</f>
        <v>249.8</v>
      </c>
      <c r="D52" s="205">
        <f t="shared" si="7"/>
        <v>0</v>
      </c>
      <c r="E52" s="104">
        <f t="shared" si="8"/>
        <v>0</v>
      </c>
      <c r="F52" s="104">
        <f t="shared" si="9"/>
        <v>0</v>
      </c>
      <c r="G52" s="104">
        <f t="shared" si="10"/>
        <v>0</v>
      </c>
      <c r="H52" s="104">
        <f t="shared" si="11"/>
        <v>0</v>
      </c>
      <c r="I52" s="104">
        <f t="shared" si="12"/>
        <v>0</v>
      </c>
      <c r="J52" s="672">
        <f t="shared" si="0"/>
        <v>0</v>
      </c>
      <c r="K52" s="139">
        <f t="shared" si="13"/>
        <v>0</v>
      </c>
      <c r="L52" s="138">
        <f t="shared" si="1"/>
        <v>0</v>
      </c>
      <c r="M52" s="104">
        <f t="shared" si="2"/>
        <v>0</v>
      </c>
      <c r="N52" s="29">
        <f t="shared" si="14"/>
        <v>0</v>
      </c>
      <c r="O52" s="104">
        <f t="shared" si="3"/>
        <v>0.44971729352190393</v>
      </c>
      <c r="P52" s="104">
        <f t="shared" si="15"/>
        <v>0</v>
      </c>
      <c r="Q52" s="104">
        <f t="shared" si="16"/>
        <v>5.7884387644560366E-2</v>
      </c>
      <c r="R52" s="140">
        <f t="shared" si="17"/>
        <v>0.50760168116646431</v>
      </c>
      <c r="S52" s="138">
        <f t="shared" si="18"/>
        <v>0</v>
      </c>
      <c r="T52" s="104">
        <f t="shared" si="4"/>
        <v>0</v>
      </c>
      <c r="U52" s="139">
        <f t="shared" si="19"/>
        <v>0</v>
      </c>
      <c r="V52" s="104"/>
      <c r="W52" s="104">
        <f t="shared" si="20"/>
        <v>0</v>
      </c>
      <c r="X52" s="139">
        <f t="shared" si="21"/>
        <v>0</v>
      </c>
      <c r="Y52" s="138">
        <v>0</v>
      </c>
      <c r="Z52" s="141">
        <v>0</v>
      </c>
      <c r="AA52" s="104">
        <f t="shared" si="5"/>
        <v>0</v>
      </c>
      <c r="AB52" s="139">
        <f t="shared" si="6"/>
        <v>0</v>
      </c>
      <c r="AC52" s="138">
        <v>0</v>
      </c>
      <c r="AD52" s="104">
        <f t="shared" si="22"/>
        <v>0</v>
      </c>
      <c r="AE52" s="139">
        <f t="shared" si="23"/>
        <v>0</v>
      </c>
      <c r="AF52" s="142">
        <v>0</v>
      </c>
      <c r="AG52" s="104">
        <f t="shared" si="24"/>
        <v>0</v>
      </c>
      <c r="AH52" s="139">
        <f t="shared" si="25"/>
        <v>0</v>
      </c>
      <c r="AI52" s="142">
        <v>0</v>
      </c>
      <c r="AJ52" s="104">
        <f t="shared" si="26"/>
        <v>0</v>
      </c>
      <c r="AK52" s="139">
        <f t="shared" si="27"/>
        <v>0</v>
      </c>
      <c r="AL52" s="143"/>
      <c r="AM52" s="205"/>
      <c r="AN52" s="104">
        <f t="shared" si="28"/>
        <v>0</v>
      </c>
      <c r="AO52" s="148">
        <f t="shared" si="29"/>
        <v>0</v>
      </c>
      <c r="AP52" s="272">
        <f t="shared" si="30"/>
        <v>0</v>
      </c>
      <c r="AQ52" s="669">
        <v>0</v>
      </c>
      <c r="AR52" s="725">
        <v>0</v>
      </c>
      <c r="AS52" s="725">
        <v>0</v>
      </c>
      <c r="AT52" s="725">
        <v>0</v>
      </c>
      <c r="AU52" s="401">
        <v>0</v>
      </c>
      <c r="AV52" s="786"/>
      <c r="AW52" s="246"/>
      <c r="AX52" s="713">
        <f t="shared" si="31"/>
        <v>0</v>
      </c>
      <c r="AY52" s="714">
        <v>0</v>
      </c>
      <c r="AZ52" s="715"/>
      <c r="BA52" s="716">
        <v>0</v>
      </c>
      <c r="BC52" s="712">
        <v>0</v>
      </c>
      <c r="BD52" s="712">
        <v>0</v>
      </c>
      <c r="BE52" s="712"/>
      <c r="BF52" s="712"/>
      <c r="BG52" s="712">
        <v>0</v>
      </c>
      <c r="BH52" s="712">
        <v>0</v>
      </c>
      <c r="BI52" s="134">
        <f>BC52+BD52+BE52+BG52+BH52</f>
        <v>0</v>
      </c>
      <c r="BJ52" s="123"/>
      <c r="BK52" s="792"/>
      <c r="BL52" s="104"/>
      <c r="BM52" s="672"/>
      <c r="BO52" s="562"/>
      <c r="BS52" s="879"/>
      <c r="BT52" s="774"/>
      <c r="BU52" s="774">
        <v>0</v>
      </c>
      <c r="BV52" s="774">
        <v>0</v>
      </c>
      <c r="BW52" s="774">
        <f t="shared" si="32"/>
        <v>0</v>
      </c>
    </row>
    <row r="53" spans="1:75" ht="15" thickBot="1" x14ac:dyDescent="0.35">
      <c r="A53" s="209" t="s">
        <v>248</v>
      </c>
      <c r="B53" s="227">
        <v>5</v>
      </c>
      <c r="C53" s="39">
        <f>'[3]побудинковий звіт'!E53</f>
        <v>2889.0499999999997</v>
      </c>
      <c r="D53" s="205">
        <f t="shared" si="7"/>
        <v>1892.4814195560352</v>
      </c>
      <c r="E53" s="104">
        <f t="shared" si="8"/>
        <v>416.34625999639434</v>
      </c>
      <c r="F53" s="104">
        <f t="shared" si="9"/>
        <v>263.87430183587094</v>
      </c>
      <c r="G53" s="104">
        <f t="shared" si="10"/>
        <v>0</v>
      </c>
      <c r="H53" s="104">
        <f t="shared" si="11"/>
        <v>1581.1203333475025</v>
      </c>
      <c r="I53" s="104">
        <f t="shared" si="12"/>
        <v>534.65024480114039</v>
      </c>
      <c r="J53" s="672">
        <f t="shared" si="0"/>
        <v>0</v>
      </c>
      <c r="K53" s="139">
        <f t="shared" si="13"/>
        <v>4688.4725595369437</v>
      </c>
      <c r="L53" s="138">
        <f t="shared" si="1"/>
        <v>672.06202916831887</v>
      </c>
      <c r="M53" s="104">
        <f t="shared" si="2"/>
        <v>147.85295050359127</v>
      </c>
      <c r="N53" s="29">
        <f t="shared" si="14"/>
        <v>59.371228218931705</v>
      </c>
      <c r="O53" s="104">
        <f t="shared" si="3"/>
        <v>5.2011839345454618</v>
      </c>
      <c r="P53" s="104">
        <f t="shared" si="15"/>
        <v>561.49081761557977</v>
      </c>
      <c r="Q53" s="104">
        <f t="shared" si="16"/>
        <v>186.11595419287909</v>
      </c>
      <c r="R53" s="140">
        <f t="shared" si="17"/>
        <v>1632.0941636338462</v>
      </c>
      <c r="S53" s="138">
        <f t="shared" si="18"/>
        <v>0</v>
      </c>
      <c r="T53" s="104">
        <f t="shared" si="4"/>
        <v>0</v>
      </c>
      <c r="U53" s="139">
        <f t="shared" si="19"/>
        <v>0</v>
      </c>
      <c r="V53" s="104"/>
      <c r="W53" s="104">
        <f t="shared" si="20"/>
        <v>0</v>
      </c>
      <c r="X53" s="139">
        <f t="shared" si="21"/>
        <v>0</v>
      </c>
      <c r="Y53" s="138">
        <v>0</v>
      </c>
      <c r="Z53" s="141">
        <v>0</v>
      </c>
      <c r="AA53" s="104">
        <f t="shared" si="5"/>
        <v>0</v>
      </c>
      <c r="AB53" s="139">
        <f t="shared" si="6"/>
        <v>0</v>
      </c>
      <c r="AC53" s="138">
        <v>0</v>
      </c>
      <c r="AD53" s="104">
        <f t="shared" si="22"/>
        <v>0</v>
      </c>
      <c r="AE53" s="139">
        <f t="shared" si="23"/>
        <v>0</v>
      </c>
      <c r="AF53" s="142">
        <v>308</v>
      </c>
      <c r="AG53" s="104">
        <f t="shared" si="24"/>
        <v>39.643553075097039</v>
      </c>
      <c r="AH53" s="139">
        <f t="shared" si="25"/>
        <v>347.64355307509703</v>
      </c>
      <c r="AI53" s="142">
        <v>0</v>
      </c>
      <c r="AJ53" s="104">
        <f t="shared" si="26"/>
        <v>0</v>
      </c>
      <c r="AK53" s="139">
        <f t="shared" si="27"/>
        <v>0</v>
      </c>
      <c r="AL53" s="143"/>
      <c r="AM53" s="143"/>
      <c r="AN53" s="104">
        <f t="shared" si="28"/>
        <v>0</v>
      </c>
      <c r="AO53" s="148">
        <f t="shared" si="29"/>
        <v>0</v>
      </c>
      <c r="AP53" s="272">
        <f t="shared" si="30"/>
        <v>2192.6762251691598</v>
      </c>
      <c r="AQ53" s="669">
        <v>174.61</v>
      </c>
      <c r="AR53" s="725">
        <v>1571.9683095909147</v>
      </c>
      <c r="AS53" s="725">
        <v>620.70791557824487</v>
      </c>
      <c r="AT53" s="725">
        <v>0</v>
      </c>
      <c r="AU53" s="401">
        <v>0</v>
      </c>
      <c r="AV53" s="786"/>
      <c r="AW53" s="246"/>
      <c r="AX53" s="713">
        <f t="shared" si="31"/>
        <v>88.364301835870961</v>
      </c>
      <c r="AY53" s="714">
        <v>59.371228218931705</v>
      </c>
      <c r="AZ53" s="715"/>
      <c r="BA53" s="716">
        <v>0</v>
      </c>
      <c r="BC53" s="712">
        <v>0</v>
      </c>
      <c r="BD53" s="712">
        <v>88.364301835870961</v>
      </c>
      <c r="BE53" s="712"/>
      <c r="BF53" s="712"/>
      <c r="BG53" s="712">
        <v>0</v>
      </c>
      <c r="BH53" s="712">
        <v>0</v>
      </c>
      <c r="BI53" s="134">
        <f t="shared" ref="BI53:BI58" si="35">BC53+BD53+BE53+BG53</f>
        <v>88.364301835870961</v>
      </c>
      <c r="BJ53" s="123"/>
      <c r="BK53" s="792"/>
      <c r="BL53" s="104"/>
      <c r="BM53" s="672">
        <v>175.51</v>
      </c>
      <c r="BO53" s="562"/>
      <c r="BS53" s="879"/>
      <c r="BT53" s="774"/>
      <c r="BU53" s="774">
        <v>1539.2242978608292</v>
      </c>
      <c r="BV53" s="774">
        <v>0</v>
      </c>
      <c r="BW53" s="774">
        <f t="shared" si="32"/>
        <v>1539.2242978608292</v>
      </c>
    </row>
    <row r="54" spans="1:75" ht="15" thickBot="1" x14ac:dyDescent="0.35">
      <c r="A54" s="209" t="s">
        <v>249</v>
      </c>
      <c r="B54" s="227">
        <v>5</v>
      </c>
      <c r="C54" s="39">
        <f>'[3]побудинковий звіт'!E54</f>
        <v>3219.5</v>
      </c>
      <c r="D54" s="205">
        <f t="shared" si="7"/>
        <v>2393.1993619801156</v>
      </c>
      <c r="E54" s="104">
        <f t="shared" si="8"/>
        <v>526.50429932354507</v>
      </c>
      <c r="F54" s="104">
        <f t="shared" si="9"/>
        <v>449.46564920265268</v>
      </c>
      <c r="G54" s="104">
        <f t="shared" si="10"/>
        <v>0</v>
      </c>
      <c r="H54" s="104">
        <f t="shared" si="11"/>
        <v>1999.4575026626785</v>
      </c>
      <c r="I54" s="104">
        <f t="shared" si="12"/>
        <v>691.01117535147409</v>
      </c>
      <c r="J54" s="672">
        <f t="shared" si="0"/>
        <v>0</v>
      </c>
      <c r="K54" s="139">
        <f t="shared" si="13"/>
        <v>6059.637988520466</v>
      </c>
      <c r="L54" s="138">
        <f t="shared" si="1"/>
        <v>771.83747611630963</v>
      </c>
      <c r="M54" s="104">
        <f t="shared" si="2"/>
        <v>169.80344551568234</v>
      </c>
      <c r="N54" s="29">
        <f t="shared" si="14"/>
        <v>66.138081468063604</v>
      </c>
      <c r="O54" s="104">
        <f t="shared" si="3"/>
        <v>5.7960961829214153</v>
      </c>
      <c r="P54" s="104">
        <f t="shared" si="15"/>
        <v>644.85067854109002</v>
      </c>
      <c r="Q54" s="104">
        <f t="shared" si="16"/>
        <v>213.46068293596591</v>
      </c>
      <c r="R54" s="140">
        <f t="shared" si="17"/>
        <v>1871.8864607600331</v>
      </c>
      <c r="S54" s="138">
        <f t="shared" si="18"/>
        <v>147.46599999999998</v>
      </c>
      <c r="T54" s="104">
        <f t="shared" si="4"/>
        <v>18.980766875883958</v>
      </c>
      <c r="U54" s="139">
        <f t="shared" si="19"/>
        <v>166.44676687588395</v>
      </c>
      <c r="V54" s="104"/>
      <c r="W54" s="104">
        <f t="shared" si="20"/>
        <v>0</v>
      </c>
      <c r="X54" s="139">
        <f t="shared" si="21"/>
        <v>0</v>
      </c>
      <c r="Y54" s="138">
        <v>0</v>
      </c>
      <c r="Z54" s="141">
        <v>0</v>
      </c>
      <c r="AA54" s="104">
        <f t="shared" si="5"/>
        <v>0</v>
      </c>
      <c r="AB54" s="139">
        <f t="shared" si="6"/>
        <v>0</v>
      </c>
      <c r="AC54" s="138">
        <v>0</v>
      </c>
      <c r="AD54" s="104">
        <f t="shared" si="22"/>
        <v>0</v>
      </c>
      <c r="AE54" s="139">
        <f t="shared" si="23"/>
        <v>0</v>
      </c>
      <c r="AF54" s="142">
        <v>129.80000000000001</v>
      </c>
      <c r="AG54" s="104">
        <f t="shared" si="24"/>
        <v>16.706925938790896</v>
      </c>
      <c r="AH54" s="139">
        <f t="shared" si="25"/>
        <v>146.50692593879091</v>
      </c>
      <c r="AI54" s="142">
        <v>0</v>
      </c>
      <c r="AJ54" s="104">
        <f t="shared" si="26"/>
        <v>0</v>
      </c>
      <c r="AK54" s="139">
        <f t="shared" si="27"/>
        <v>0</v>
      </c>
      <c r="AL54" s="143">
        <v>1593.75</v>
      </c>
      <c r="AM54" s="143"/>
      <c r="AN54" s="104">
        <f t="shared" si="28"/>
        <v>205.13608023842826</v>
      </c>
      <c r="AO54" s="148">
        <f t="shared" si="29"/>
        <v>1798.8860802384283</v>
      </c>
      <c r="AP54" s="272">
        <f t="shared" si="30"/>
        <v>2625.2620510154206</v>
      </c>
      <c r="AQ54" s="669">
        <v>296.29000000000002</v>
      </c>
      <c r="AR54" s="725">
        <v>1912.4028056296943</v>
      </c>
      <c r="AS54" s="725">
        <v>689.17473693520708</v>
      </c>
      <c r="AT54" s="725">
        <v>23.684508450519395</v>
      </c>
      <c r="AU54" s="401">
        <v>0</v>
      </c>
      <c r="AV54" s="786"/>
      <c r="AW54" s="246"/>
      <c r="AX54" s="713">
        <f t="shared" si="31"/>
        <v>98.435649202652712</v>
      </c>
      <c r="AY54" s="714">
        <v>66.138081468063604</v>
      </c>
      <c r="AZ54" s="715"/>
      <c r="BA54" s="716">
        <v>0</v>
      </c>
      <c r="BC54" s="712">
        <v>0</v>
      </c>
      <c r="BD54" s="712">
        <v>98.435649202652712</v>
      </c>
      <c r="BE54" s="712"/>
      <c r="BF54" s="712"/>
      <c r="BG54" s="712">
        <v>0</v>
      </c>
      <c r="BH54" s="712">
        <v>0</v>
      </c>
      <c r="BI54" s="134">
        <f t="shared" si="35"/>
        <v>98.435649202652712</v>
      </c>
      <c r="BJ54" s="123">
        <v>670.3</v>
      </c>
      <c r="BK54" s="792"/>
      <c r="BL54" s="104"/>
      <c r="BM54" s="672">
        <v>351.03</v>
      </c>
      <c r="BO54" s="562"/>
      <c r="BS54" s="879"/>
      <c r="BT54" s="774"/>
      <c r="BU54" s="774">
        <v>1872.5735027184194</v>
      </c>
      <c r="BV54" s="774">
        <v>0</v>
      </c>
      <c r="BW54" s="774">
        <f t="shared" si="32"/>
        <v>1872.5735027184194</v>
      </c>
    </row>
    <row r="55" spans="1:75" ht="15" thickBot="1" x14ac:dyDescent="0.35">
      <c r="A55" s="209" t="s">
        <v>250</v>
      </c>
      <c r="B55" s="227">
        <v>5</v>
      </c>
      <c r="C55" s="39">
        <f>'[3]побудинковий звіт'!E55</f>
        <v>1871.6999999999998</v>
      </c>
      <c r="D55" s="205">
        <f t="shared" si="7"/>
        <v>813.68485572970644</v>
      </c>
      <c r="E55" s="104">
        <f t="shared" si="8"/>
        <v>179.01081775389028</v>
      </c>
      <c r="F55" s="104">
        <f t="shared" si="9"/>
        <v>55.899952612893287</v>
      </c>
      <c r="G55" s="104">
        <f t="shared" si="10"/>
        <v>0</v>
      </c>
      <c r="H55" s="104">
        <f t="shared" si="11"/>
        <v>679.81310518387079</v>
      </c>
      <c r="I55" s="104">
        <f t="shared" si="12"/>
        <v>222.46838725316272</v>
      </c>
      <c r="J55" s="672">
        <f t="shared" si="0"/>
        <v>0</v>
      </c>
      <c r="K55" s="139">
        <f t="shared" si="13"/>
        <v>1950.8771185335236</v>
      </c>
      <c r="L55" s="138">
        <f t="shared" si="1"/>
        <v>318.07864008605702</v>
      </c>
      <c r="M55" s="104">
        <f t="shared" si="2"/>
        <v>69.976971451715457</v>
      </c>
      <c r="N55" s="29">
        <f t="shared" si="14"/>
        <v>37.558706118360206</v>
      </c>
      <c r="O55" s="104">
        <f t="shared" si="3"/>
        <v>3.3696391444553542</v>
      </c>
      <c r="P55" s="104">
        <f t="shared" si="15"/>
        <v>265.74665423218204</v>
      </c>
      <c r="Q55" s="104">
        <f t="shared" si="16"/>
        <v>89.420746270689023</v>
      </c>
      <c r="R55" s="140">
        <f t="shared" si="17"/>
        <v>784.15135730345912</v>
      </c>
      <c r="S55" s="138">
        <f t="shared" si="18"/>
        <v>39.027999999999999</v>
      </c>
      <c r="T55" s="104">
        <f t="shared" si="4"/>
        <v>5.0234045110872962</v>
      </c>
      <c r="U55" s="139">
        <f t="shared" si="19"/>
        <v>44.051404511087298</v>
      </c>
      <c r="V55" s="104"/>
      <c r="W55" s="104">
        <f t="shared" si="20"/>
        <v>0</v>
      </c>
      <c r="X55" s="139">
        <f t="shared" si="21"/>
        <v>0</v>
      </c>
      <c r="Y55" s="138">
        <v>0</v>
      </c>
      <c r="Z55" s="141">
        <v>0</v>
      </c>
      <c r="AA55" s="104">
        <f t="shared" si="5"/>
        <v>0</v>
      </c>
      <c r="AB55" s="139">
        <f t="shared" si="6"/>
        <v>0</v>
      </c>
      <c r="AC55" s="138">
        <v>0</v>
      </c>
      <c r="AD55" s="104">
        <f t="shared" si="22"/>
        <v>0</v>
      </c>
      <c r="AE55" s="139">
        <f t="shared" si="23"/>
        <v>0</v>
      </c>
      <c r="AF55" s="142">
        <v>352</v>
      </c>
      <c r="AG55" s="104">
        <f t="shared" si="24"/>
        <v>45.306917800110902</v>
      </c>
      <c r="AH55" s="139">
        <f t="shared" si="25"/>
        <v>397.30691780011091</v>
      </c>
      <c r="AI55" s="142">
        <v>0</v>
      </c>
      <c r="AJ55" s="104">
        <f t="shared" si="26"/>
        <v>0</v>
      </c>
      <c r="AK55" s="139">
        <f t="shared" si="27"/>
        <v>0</v>
      </c>
      <c r="AL55" s="885">
        <v>1657.5</v>
      </c>
      <c r="AM55" s="143"/>
      <c r="AN55" s="104">
        <f>AL55*$C$5</f>
        <v>213.34152344796539</v>
      </c>
      <c r="AO55" s="148">
        <f t="shared" si="29"/>
        <v>1870.8415234479653</v>
      </c>
      <c r="AP55" s="272">
        <f t="shared" si="30"/>
        <v>892.84622600720093</v>
      </c>
      <c r="AQ55" s="669">
        <v>151.88</v>
      </c>
      <c r="AR55" s="725">
        <v>599.07285225760074</v>
      </c>
      <c r="AS55" s="725">
        <v>287.47162335259111</v>
      </c>
      <c r="AT55" s="725">
        <v>6.3017503970090338</v>
      </c>
      <c r="AU55" s="401">
        <v>0</v>
      </c>
      <c r="AV55" s="786"/>
      <c r="AW55" s="246"/>
      <c r="AX55" s="713">
        <f t="shared" si="31"/>
        <v>55.899952612893287</v>
      </c>
      <c r="AY55" s="714">
        <v>37.558706118360206</v>
      </c>
      <c r="AZ55" s="715"/>
      <c r="BA55" s="716">
        <v>0</v>
      </c>
      <c r="BC55" s="712">
        <v>0</v>
      </c>
      <c r="BD55" s="712">
        <v>55.899952612893287</v>
      </c>
      <c r="BE55" s="712"/>
      <c r="BF55" s="712"/>
      <c r="BG55" s="712">
        <v>0</v>
      </c>
      <c r="BH55" s="712">
        <v>0</v>
      </c>
      <c r="BI55" s="134">
        <f t="shared" si="35"/>
        <v>55.899952612893287</v>
      </c>
      <c r="BJ55" s="123">
        <v>177.4</v>
      </c>
      <c r="BK55" s="792"/>
      <c r="BL55" s="104"/>
      <c r="BM55" s="672"/>
      <c r="BO55" s="562"/>
      <c r="BS55" s="879"/>
      <c r="BT55" s="774"/>
      <c r="BU55" s="774">
        <v>614.42839221776467</v>
      </c>
      <c r="BV55" s="774">
        <v>0</v>
      </c>
      <c r="BW55" s="774">
        <f t="shared" si="32"/>
        <v>614.42839221776467</v>
      </c>
    </row>
    <row r="56" spans="1:75" ht="15" thickBot="1" x14ac:dyDescent="0.35">
      <c r="A56" s="209" t="s">
        <v>333</v>
      </c>
      <c r="B56" s="227">
        <v>6</v>
      </c>
      <c r="C56" s="39">
        <f>'[3]побудинковий звіт'!E56</f>
        <v>3630</v>
      </c>
      <c r="D56" s="205">
        <f t="shared" si="7"/>
        <v>1026.3180969613863</v>
      </c>
      <c r="E56" s="104">
        <f t="shared" si="8"/>
        <v>225.79016989066812</v>
      </c>
      <c r="F56" s="104">
        <f t="shared" si="9"/>
        <v>109.92872593359762</v>
      </c>
      <c r="G56" s="104">
        <f t="shared" si="10"/>
        <v>0</v>
      </c>
      <c r="H56" s="104">
        <f t="shared" si="11"/>
        <v>857.46279716122388</v>
      </c>
      <c r="I56" s="104">
        <f t="shared" si="12"/>
        <v>285.67810949001853</v>
      </c>
      <c r="J56" s="672">
        <f t="shared" si="0"/>
        <v>0</v>
      </c>
      <c r="K56" s="139">
        <f t="shared" si="13"/>
        <v>2505.1778994368942</v>
      </c>
      <c r="L56" s="138">
        <f t="shared" si="1"/>
        <v>638.66943390801737</v>
      </c>
      <c r="M56" s="104">
        <f t="shared" si="2"/>
        <v>140.50661412401985</v>
      </c>
      <c r="N56" s="29">
        <f t="shared" si="14"/>
        <v>73.860182671307925</v>
      </c>
      <c r="O56" s="104">
        <f t="shared" si="3"/>
        <v>6.5351232004984432</v>
      </c>
      <c r="P56" s="104">
        <f t="shared" si="15"/>
        <v>533.59214933608246</v>
      </c>
      <c r="Q56" s="104">
        <f t="shared" si="16"/>
        <v>179.31802364603939</v>
      </c>
      <c r="R56" s="140">
        <f t="shared" si="17"/>
        <v>1572.4815268859654</v>
      </c>
      <c r="S56" s="138">
        <f t="shared" si="18"/>
        <v>0</v>
      </c>
      <c r="T56" s="104">
        <f t="shared" si="4"/>
        <v>0</v>
      </c>
      <c r="U56" s="139">
        <f t="shared" si="19"/>
        <v>0</v>
      </c>
      <c r="V56" s="104"/>
      <c r="W56" s="104">
        <f t="shared" si="20"/>
        <v>0</v>
      </c>
      <c r="X56" s="139">
        <f t="shared" si="21"/>
        <v>0</v>
      </c>
      <c r="Y56" s="138">
        <v>0</v>
      </c>
      <c r="Z56" s="141">
        <v>0</v>
      </c>
      <c r="AA56" s="104">
        <f t="shared" si="5"/>
        <v>0</v>
      </c>
      <c r="AB56" s="139">
        <f t="shared" si="6"/>
        <v>0</v>
      </c>
      <c r="AC56" s="138">
        <v>0</v>
      </c>
      <c r="AD56" s="104">
        <f t="shared" si="22"/>
        <v>0</v>
      </c>
      <c r="AE56" s="139">
        <f t="shared" si="23"/>
        <v>0</v>
      </c>
      <c r="AF56" s="142">
        <v>437.8</v>
      </c>
      <c r="AG56" s="104">
        <f t="shared" si="24"/>
        <v>56.350479013887934</v>
      </c>
      <c r="AH56" s="139">
        <f t="shared" si="25"/>
        <v>494.15047901388795</v>
      </c>
      <c r="AI56" s="142">
        <v>0</v>
      </c>
      <c r="AJ56" s="104">
        <f t="shared" si="26"/>
        <v>0</v>
      </c>
      <c r="AK56" s="139">
        <f t="shared" si="27"/>
        <v>0</v>
      </c>
      <c r="AL56" s="143"/>
      <c r="AM56" s="143"/>
      <c r="AN56" s="104">
        <f>AL56*$C$5</f>
        <v>0</v>
      </c>
      <c r="AO56" s="148">
        <f t="shared" si="29"/>
        <v>0</v>
      </c>
      <c r="AP56" s="272">
        <f t="shared" si="30"/>
        <v>1407.5898210384776</v>
      </c>
      <c r="AQ56" s="669">
        <v>129.47</v>
      </c>
      <c r="AR56" s="725">
        <v>817.72288040032788</v>
      </c>
      <c r="AS56" s="725">
        <v>589.86694063814957</v>
      </c>
      <c r="AT56" s="725">
        <v>0</v>
      </c>
      <c r="AU56" s="401">
        <v>0</v>
      </c>
      <c r="AV56" s="786"/>
      <c r="AW56" s="246"/>
      <c r="AX56" s="713">
        <f t="shared" si="31"/>
        <v>109.92872593359762</v>
      </c>
      <c r="AY56" s="714">
        <v>73.860182671307925</v>
      </c>
      <c r="AZ56" s="715"/>
      <c r="BA56" s="716">
        <v>0</v>
      </c>
      <c r="BC56" s="712">
        <v>0</v>
      </c>
      <c r="BD56" s="712">
        <v>109.92872593359762</v>
      </c>
      <c r="BE56" s="712"/>
      <c r="BF56" s="712"/>
      <c r="BG56" s="712">
        <v>0</v>
      </c>
      <c r="BH56" s="712">
        <v>0</v>
      </c>
      <c r="BI56" s="134">
        <f t="shared" si="35"/>
        <v>109.92872593359762</v>
      </c>
      <c r="BJ56" s="123"/>
      <c r="BK56" s="792"/>
      <c r="BL56" s="104"/>
      <c r="BM56" s="672"/>
      <c r="BO56" s="562"/>
      <c r="BS56" s="879"/>
      <c r="BT56" s="774"/>
      <c r="BU56" s="774">
        <v>802.55790816639842</v>
      </c>
      <c r="BV56" s="774">
        <v>0</v>
      </c>
      <c r="BW56" s="774">
        <f t="shared" si="32"/>
        <v>802.55790816639842</v>
      </c>
    </row>
    <row r="57" spans="1:75" ht="15" thickBot="1" x14ac:dyDescent="0.35">
      <c r="A57" s="209" t="s">
        <v>207</v>
      </c>
      <c r="B57" s="227">
        <v>4</v>
      </c>
      <c r="C57" s="39">
        <f>'[3]побудинковий звіт'!E57</f>
        <v>1469.3</v>
      </c>
      <c r="D57" s="205">
        <f t="shared" si="7"/>
        <v>1230.478415607276</v>
      </c>
      <c r="E57" s="104">
        <f t="shared" si="8"/>
        <v>270.70547750189377</v>
      </c>
      <c r="F57" s="104">
        <f t="shared" si="9"/>
        <v>220.43359042505284</v>
      </c>
      <c r="G57" s="104">
        <f t="shared" si="10"/>
        <v>0</v>
      </c>
      <c r="H57" s="104">
        <f t="shared" si="11"/>
        <v>1028.0335767408981</v>
      </c>
      <c r="I57" s="104">
        <f t="shared" si="12"/>
        <v>353.91538229225193</v>
      </c>
      <c r="J57" s="672">
        <f t="shared" si="0"/>
        <v>0</v>
      </c>
      <c r="K57" s="139">
        <f t="shared" si="13"/>
        <v>3103.5664425673722</v>
      </c>
      <c r="L57" s="138">
        <f t="shared" si="1"/>
        <v>286.6885078960247</v>
      </c>
      <c r="M57" s="104">
        <f t="shared" si="2"/>
        <v>63.07117487407298</v>
      </c>
      <c r="N57" s="29">
        <f t="shared" si="14"/>
        <v>30.183781053277169</v>
      </c>
      <c r="O57" s="104">
        <f t="shared" si="3"/>
        <v>2.6451946331934884</v>
      </c>
      <c r="P57" s="104">
        <f t="shared" si="15"/>
        <v>239.5209931719169</v>
      </c>
      <c r="Q57" s="104">
        <f t="shared" si="16"/>
        <v>80.073496730077878</v>
      </c>
      <c r="R57" s="140">
        <f t="shared" si="17"/>
        <v>702.18314835856313</v>
      </c>
      <c r="S57" s="138">
        <f t="shared" si="18"/>
        <v>73.128</v>
      </c>
      <c r="T57" s="104">
        <f t="shared" si="4"/>
        <v>9.4125121729730399</v>
      </c>
      <c r="U57" s="139">
        <f t="shared" si="19"/>
        <v>82.540512172973038</v>
      </c>
      <c r="V57" s="104"/>
      <c r="W57" s="104">
        <f t="shared" si="20"/>
        <v>0</v>
      </c>
      <c r="X57" s="139">
        <f t="shared" si="21"/>
        <v>0</v>
      </c>
      <c r="Y57" s="138">
        <v>0</v>
      </c>
      <c r="Z57" s="141">
        <v>0</v>
      </c>
      <c r="AA57" s="104">
        <f t="shared" si="5"/>
        <v>0</v>
      </c>
      <c r="AB57" s="139">
        <f t="shared" si="6"/>
        <v>0</v>
      </c>
      <c r="AC57" s="138">
        <v>0</v>
      </c>
      <c r="AD57" s="104">
        <f t="shared" si="22"/>
        <v>0</v>
      </c>
      <c r="AE57" s="139">
        <f t="shared" si="23"/>
        <v>0</v>
      </c>
      <c r="AF57" s="142">
        <v>292.60000000000002</v>
      </c>
      <c r="AG57" s="104">
        <f t="shared" si="24"/>
        <v>37.661375421342193</v>
      </c>
      <c r="AH57" s="139">
        <f t="shared" si="25"/>
        <v>330.26137542134222</v>
      </c>
      <c r="AI57" s="142">
        <v>0</v>
      </c>
      <c r="AJ57" s="104">
        <f t="shared" si="26"/>
        <v>0</v>
      </c>
      <c r="AK57" s="139">
        <f t="shared" si="27"/>
        <v>0</v>
      </c>
      <c r="AL57" s="143"/>
      <c r="AM57" s="205"/>
      <c r="AN57" s="104">
        <f>AL57*$C$5</f>
        <v>0</v>
      </c>
      <c r="AO57" s="148">
        <f t="shared" si="29"/>
        <v>0</v>
      </c>
      <c r="AP57" s="272">
        <f t="shared" si="30"/>
        <v>1248.5150641722576</v>
      </c>
      <c r="AQ57" s="669">
        <v>151.88</v>
      </c>
      <c r="AR57" s="725">
        <v>983.73321601965063</v>
      </c>
      <c r="AS57" s="725">
        <v>253.05789744060348</v>
      </c>
      <c r="AT57" s="725">
        <v>11.723950712003418</v>
      </c>
      <c r="AU57" s="401">
        <v>0</v>
      </c>
      <c r="AV57" s="786"/>
      <c r="AW57" s="246"/>
      <c r="AX57" s="713">
        <f t="shared" si="31"/>
        <v>44.923590425052836</v>
      </c>
      <c r="AY57" s="714">
        <v>30.183781053277169</v>
      </c>
      <c r="AZ57" s="715"/>
      <c r="BA57" s="716">
        <v>0</v>
      </c>
      <c r="BC57" s="712">
        <v>0</v>
      </c>
      <c r="BD57" s="712">
        <v>44.923590425052836</v>
      </c>
      <c r="BE57" s="712"/>
      <c r="BF57" s="712"/>
      <c r="BG57" s="712">
        <v>0</v>
      </c>
      <c r="BH57" s="712">
        <v>0</v>
      </c>
      <c r="BI57" s="134">
        <f t="shared" si="35"/>
        <v>44.923590425052836</v>
      </c>
      <c r="BJ57" s="123">
        <v>332.4</v>
      </c>
      <c r="BK57" s="792"/>
      <c r="BL57" s="104"/>
      <c r="BM57" s="672">
        <v>175.51</v>
      </c>
      <c r="BO57" s="562"/>
      <c r="BS57" s="879"/>
      <c r="BT57" s="774"/>
      <c r="BU57" s="774">
        <v>965.48731033334207</v>
      </c>
      <c r="BV57" s="774">
        <v>0</v>
      </c>
      <c r="BW57" s="774">
        <f t="shared" si="32"/>
        <v>965.48731033334207</v>
      </c>
    </row>
    <row r="58" spans="1:75" ht="15" thickBot="1" x14ac:dyDescent="0.35">
      <c r="A58" s="209" t="s">
        <v>151</v>
      </c>
      <c r="B58" s="227">
        <v>2</v>
      </c>
      <c r="C58" s="39">
        <f>'[3]побудинковий звіт'!E58</f>
        <v>253.5</v>
      </c>
      <c r="D58" s="205">
        <f t="shared" si="7"/>
        <v>0</v>
      </c>
      <c r="E58" s="104">
        <f t="shared" si="8"/>
        <v>0</v>
      </c>
      <c r="F58" s="104">
        <f t="shared" si="9"/>
        <v>0</v>
      </c>
      <c r="G58" s="104">
        <f t="shared" si="10"/>
        <v>0</v>
      </c>
      <c r="H58" s="104">
        <f t="shared" si="11"/>
        <v>0</v>
      </c>
      <c r="I58" s="104">
        <f t="shared" si="12"/>
        <v>0</v>
      </c>
      <c r="J58" s="672">
        <f t="shared" si="0"/>
        <v>0</v>
      </c>
      <c r="K58" s="139">
        <f t="shared" si="13"/>
        <v>0</v>
      </c>
      <c r="L58" s="138">
        <f t="shared" si="1"/>
        <v>0</v>
      </c>
      <c r="M58" s="104">
        <f t="shared" si="2"/>
        <v>0</v>
      </c>
      <c r="N58" s="29">
        <f t="shared" si="14"/>
        <v>0</v>
      </c>
      <c r="O58" s="104">
        <f t="shared" si="3"/>
        <v>0.45637843838191605</v>
      </c>
      <c r="P58" s="104">
        <f t="shared" si="15"/>
        <v>0</v>
      </c>
      <c r="Q58" s="104">
        <f t="shared" si="16"/>
        <v>5.8741762481569454E-2</v>
      </c>
      <c r="R58" s="140">
        <f t="shared" si="17"/>
        <v>0.51512020086348553</v>
      </c>
      <c r="S58" s="138">
        <f t="shared" si="18"/>
        <v>0</v>
      </c>
      <c r="T58" s="104">
        <f t="shared" si="4"/>
        <v>0</v>
      </c>
      <c r="U58" s="139">
        <f t="shared" si="19"/>
        <v>0</v>
      </c>
      <c r="V58" s="104"/>
      <c r="W58" s="104">
        <f t="shared" si="20"/>
        <v>0</v>
      </c>
      <c r="X58" s="139">
        <f t="shared" si="21"/>
        <v>0</v>
      </c>
      <c r="Y58" s="138">
        <v>0</v>
      </c>
      <c r="Z58" s="141">
        <v>0</v>
      </c>
      <c r="AA58" s="104">
        <f t="shared" si="5"/>
        <v>0</v>
      </c>
      <c r="AB58" s="139">
        <f t="shared" si="6"/>
        <v>0</v>
      </c>
      <c r="AC58" s="138">
        <v>0</v>
      </c>
      <c r="AD58" s="104">
        <f t="shared" si="22"/>
        <v>0</v>
      </c>
      <c r="AE58" s="139">
        <f t="shared" si="23"/>
        <v>0</v>
      </c>
      <c r="AF58" s="142">
        <v>6.6</v>
      </c>
      <c r="AG58" s="104">
        <f t="shared" si="24"/>
        <v>0.8495047087520794</v>
      </c>
      <c r="AH58" s="139">
        <f t="shared" si="25"/>
        <v>7.4495047087520794</v>
      </c>
      <c r="AI58" s="142">
        <v>0</v>
      </c>
      <c r="AJ58" s="104">
        <f t="shared" si="26"/>
        <v>0</v>
      </c>
      <c r="AK58" s="139">
        <f t="shared" si="27"/>
        <v>0</v>
      </c>
      <c r="AL58" s="143">
        <v>255</v>
      </c>
      <c r="AM58" s="143"/>
      <c r="AN58" s="104">
        <f>AL58*$C$5</f>
        <v>32.821772838148526</v>
      </c>
      <c r="AO58" s="148">
        <f t="shared" si="29"/>
        <v>287.82177283814855</v>
      </c>
      <c r="AP58" s="272">
        <f t="shared" si="30"/>
        <v>0</v>
      </c>
      <c r="AQ58" s="669">
        <v>0</v>
      </c>
      <c r="AR58" s="725">
        <v>0</v>
      </c>
      <c r="AS58" s="725">
        <v>0</v>
      </c>
      <c r="AT58" s="725">
        <v>0</v>
      </c>
      <c r="AU58" s="401">
        <v>0</v>
      </c>
      <c r="AV58" s="786"/>
      <c r="AW58" s="246"/>
      <c r="AX58" s="713">
        <f t="shared" si="31"/>
        <v>0</v>
      </c>
      <c r="AY58" s="714">
        <v>0</v>
      </c>
      <c r="AZ58" s="715"/>
      <c r="BA58" s="716">
        <v>0</v>
      </c>
      <c r="BC58" s="712">
        <v>0</v>
      </c>
      <c r="BD58" s="712">
        <v>0</v>
      </c>
      <c r="BE58" s="712"/>
      <c r="BF58" s="712"/>
      <c r="BG58" s="712">
        <v>0</v>
      </c>
      <c r="BH58" s="712">
        <v>0</v>
      </c>
      <c r="BI58" s="134">
        <f t="shared" si="35"/>
        <v>0</v>
      </c>
      <c r="BJ58" s="123"/>
      <c r="BK58" s="792"/>
      <c r="BL58" s="104"/>
      <c r="BM58" s="672"/>
      <c r="BO58" s="562"/>
      <c r="BS58" s="879"/>
      <c r="BT58" s="774"/>
      <c r="BU58" s="774">
        <v>0</v>
      </c>
      <c r="BV58" s="774">
        <v>0</v>
      </c>
      <c r="BW58" s="774">
        <f t="shared" si="32"/>
        <v>0</v>
      </c>
    </row>
    <row r="59" spans="1:75" ht="15" thickBot="1" x14ac:dyDescent="0.35">
      <c r="A59" s="210" t="s">
        <v>53</v>
      </c>
      <c r="B59" s="228">
        <v>1</v>
      </c>
      <c r="C59" s="39">
        <f>'[3]побудинковий звіт'!E59</f>
        <v>200.6</v>
      </c>
      <c r="D59" s="205">
        <f t="shared" si="7"/>
        <v>30.609907273484954</v>
      </c>
      <c r="E59" s="104">
        <f t="shared" si="8"/>
        <v>6.7341852239382245</v>
      </c>
      <c r="F59" s="104">
        <f t="shared" si="9"/>
        <v>0</v>
      </c>
      <c r="G59" s="104">
        <f t="shared" si="10"/>
        <v>0</v>
      </c>
      <c r="H59" s="104">
        <f t="shared" si="11"/>
        <v>25.573802887503405</v>
      </c>
      <c r="I59" s="104">
        <f t="shared" si="12"/>
        <v>8.0983406657978563</v>
      </c>
      <c r="J59" s="672">
        <f t="shared" si="0"/>
        <v>0</v>
      </c>
      <c r="K59" s="139">
        <f t="shared" si="13"/>
        <v>71.016236050724444</v>
      </c>
      <c r="L59" s="138">
        <f t="shared" si="1"/>
        <v>0</v>
      </c>
      <c r="M59" s="104">
        <f t="shared" si="2"/>
        <v>0</v>
      </c>
      <c r="N59" s="29">
        <f t="shared" si="14"/>
        <v>0</v>
      </c>
      <c r="O59" s="104">
        <f t="shared" si="3"/>
        <v>0.36114206997795806</v>
      </c>
      <c r="P59" s="104">
        <f t="shared" si="15"/>
        <v>0</v>
      </c>
      <c r="Q59" s="104">
        <f t="shared" si="16"/>
        <v>4.6483619541628537E-2</v>
      </c>
      <c r="R59" s="140">
        <f t="shared" si="17"/>
        <v>0.40762568951958661</v>
      </c>
      <c r="S59" s="138">
        <f t="shared" si="18"/>
        <v>0</v>
      </c>
      <c r="T59" s="104">
        <f t="shared" si="4"/>
        <v>0</v>
      </c>
      <c r="U59" s="139">
        <f t="shared" si="19"/>
        <v>0</v>
      </c>
      <c r="V59" s="104"/>
      <c r="W59" s="104">
        <f t="shared" si="20"/>
        <v>0</v>
      </c>
      <c r="X59" s="139">
        <f t="shared" si="21"/>
        <v>0</v>
      </c>
      <c r="Y59" s="138">
        <v>0</v>
      </c>
      <c r="Z59" s="141">
        <v>0</v>
      </c>
      <c r="AA59" s="104">
        <f t="shared" si="5"/>
        <v>0</v>
      </c>
      <c r="AB59" s="139">
        <f t="shared" si="6"/>
        <v>0</v>
      </c>
      <c r="AC59" s="138">
        <v>0</v>
      </c>
      <c r="AD59" s="104">
        <f t="shared" si="22"/>
        <v>0</v>
      </c>
      <c r="AE59" s="139">
        <f t="shared" si="23"/>
        <v>0</v>
      </c>
      <c r="AF59" s="142">
        <v>0</v>
      </c>
      <c r="AG59" s="104">
        <f t="shared" si="24"/>
        <v>0</v>
      </c>
      <c r="AH59" s="139">
        <f t="shared" si="25"/>
        <v>0</v>
      </c>
      <c r="AI59" s="142">
        <v>0</v>
      </c>
      <c r="AJ59" s="104">
        <f t="shared" si="26"/>
        <v>0</v>
      </c>
      <c r="AK59" s="139">
        <f t="shared" si="27"/>
        <v>0</v>
      </c>
      <c r="AL59" s="143"/>
      <c r="AM59" s="205"/>
      <c r="AN59" s="104">
        <f>AL59*$C$5</f>
        <v>0</v>
      </c>
      <c r="AO59" s="148">
        <f t="shared" si="29"/>
        <v>0</v>
      </c>
      <c r="AP59" s="272">
        <f t="shared" si="30"/>
        <v>0</v>
      </c>
      <c r="AQ59" s="669">
        <v>28.25</v>
      </c>
      <c r="AR59" s="725">
        <v>0</v>
      </c>
      <c r="AS59" s="725">
        <v>0</v>
      </c>
      <c r="AT59" s="725">
        <v>0</v>
      </c>
      <c r="AU59" s="401">
        <v>0</v>
      </c>
      <c r="AV59" s="786"/>
      <c r="AW59" s="246"/>
      <c r="AX59" s="713">
        <f t="shared" si="31"/>
        <v>0</v>
      </c>
      <c r="AY59" s="714">
        <v>0</v>
      </c>
      <c r="AZ59" s="715"/>
      <c r="BA59" s="716">
        <v>0</v>
      </c>
      <c r="BC59" s="712">
        <v>0</v>
      </c>
      <c r="BD59" s="712">
        <v>0</v>
      </c>
      <c r="BE59" s="712"/>
      <c r="BF59" s="712"/>
      <c r="BG59" s="712">
        <v>0</v>
      </c>
      <c r="BH59" s="712">
        <v>0</v>
      </c>
      <c r="BI59" s="134">
        <f>BC59+BD59+BE59+BG59+BH59</f>
        <v>0</v>
      </c>
      <c r="BJ59" s="123"/>
      <c r="BK59" s="792"/>
      <c r="BL59" s="104"/>
      <c r="BM59" s="672"/>
      <c r="BO59" s="562"/>
      <c r="BS59" s="879"/>
      <c r="BT59" s="774"/>
      <c r="BU59" s="774">
        <v>0</v>
      </c>
      <c r="BV59" s="774">
        <v>0</v>
      </c>
      <c r="BW59" s="774">
        <f t="shared" si="32"/>
        <v>0</v>
      </c>
    </row>
    <row r="60" spans="1:75" ht="15" thickBot="1" x14ac:dyDescent="0.35">
      <c r="A60" s="210" t="s">
        <v>54</v>
      </c>
      <c r="B60" s="228">
        <v>1</v>
      </c>
      <c r="C60" s="39">
        <f>'[3]побудинковий звіт'!E60</f>
        <v>83.8</v>
      </c>
      <c r="D60" s="205">
        <f t="shared" si="7"/>
        <v>15.299535954039206</v>
      </c>
      <c r="E60" s="104">
        <f t="shared" si="8"/>
        <v>3.365900720779035</v>
      </c>
      <c r="F60" s="104">
        <f t="shared" si="9"/>
        <v>0</v>
      </c>
      <c r="G60" s="104">
        <f t="shared" si="10"/>
        <v>0</v>
      </c>
      <c r="H60" s="104">
        <f t="shared" si="11"/>
        <v>12.782375106957454</v>
      </c>
      <c r="I60" s="104">
        <f t="shared" si="12"/>
        <v>4.0477369982678146</v>
      </c>
      <c r="J60" s="672">
        <f t="shared" si="0"/>
        <v>0</v>
      </c>
      <c r="K60" s="139">
        <f t="shared" si="13"/>
        <v>35.495548780043514</v>
      </c>
      <c r="L60" s="138">
        <f t="shared" si="1"/>
        <v>0</v>
      </c>
      <c r="M60" s="104">
        <f t="shared" si="2"/>
        <v>0</v>
      </c>
      <c r="N60" s="29">
        <f t="shared" si="14"/>
        <v>0</v>
      </c>
      <c r="O60" s="104">
        <f t="shared" si="3"/>
        <v>0.1508659295321679</v>
      </c>
      <c r="P60" s="104">
        <f t="shared" si="15"/>
        <v>0</v>
      </c>
      <c r="Q60" s="104">
        <f t="shared" si="16"/>
        <v>1.9418381443611521E-2</v>
      </c>
      <c r="R60" s="140">
        <f t="shared" si="17"/>
        <v>0.17028431097577942</v>
      </c>
      <c r="S60" s="138">
        <f t="shared" si="18"/>
        <v>0</v>
      </c>
      <c r="T60" s="104">
        <f t="shared" si="4"/>
        <v>0</v>
      </c>
      <c r="U60" s="139">
        <f t="shared" si="19"/>
        <v>0</v>
      </c>
      <c r="V60" s="104"/>
      <c r="W60" s="104">
        <f t="shared" si="20"/>
        <v>0</v>
      </c>
      <c r="X60" s="139">
        <f t="shared" si="21"/>
        <v>0</v>
      </c>
      <c r="Y60" s="138">
        <v>0</v>
      </c>
      <c r="Z60" s="141">
        <v>0</v>
      </c>
      <c r="AA60" s="104">
        <f t="shared" si="5"/>
        <v>0</v>
      </c>
      <c r="AB60" s="139">
        <f t="shared" si="6"/>
        <v>0</v>
      </c>
      <c r="AC60" s="138">
        <v>0</v>
      </c>
      <c r="AD60" s="104">
        <f t="shared" si="22"/>
        <v>0</v>
      </c>
      <c r="AE60" s="139">
        <f t="shared" si="23"/>
        <v>0</v>
      </c>
      <c r="AF60" s="142">
        <v>0</v>
      </c>
      <c r="AG60" s="104">
        <f t="shared" si="24"/>
        <v>0</v>
      </c>
      <c r="AH60" s="139">
        <f t="shared" si="25"/>
        <v>0</v>
      </c>
      <c r="AI60" s="142">
        <v>0</v>
      </c>
      <c r="AJ60" s="104">
        <f t="shared" si="26"/>
        <v>0</v>
      </c>
      <c r="AK60" s="139">
        <f t="shared" si="27"/>
        <v>0</v>
      </c>
      <c r="AL60" s="143"/>
      <c r="AM60" s="205"/>
      <c r="AN60" s="104">
        <f t="shared" si="28"/>
        <v>0</v>
      </c>
      <c r="AO60" s="148">
        <f t="shared" si="29"/>
        <v>0</v>
      </c>
      <c r="AP60" s="272">
        <f t="shared" si="30"/>
        <v>0</v>
      </c>
      <c r="AQ60" s="669">
        <v>14.12</v>
      </c>
      <c r="AR60" s="725">
        <v>0</v>
      </c>
      <c r="AS60" s="725">
        <v>0</v>
      </c>
      <c r="AT60" s="725">
        <v>0</v>
      </c>
      <c r="AU60" s="401">
        <v>0</v>
      </c>
      <c r="AV60" s="786"/>
      <c r="AW60" s="246"/>
      <c r="AX60" s="713">
        <f t="shared" si="31"/>
        <v>0</v>
      </c>
      <c r="AY60" s="714">
        <v>0</v>
      </c>
      <c r="AZ60" s="715"/>
      <c r="BA60" s="716">
        <v>0</v>
      </c>
      <c r="BC60" s="712">
        <v>0</v>
      </c>
      <c r="BD60" s="712">
        <v>0</v>
      </c>
      <c r="BE60" s="712"/>
      <c r="BF60" s="712"/>
      <c r="BG60" s="712">
        <v>0</v>
      </c>
      <c r="BH60" s="712">
        <v>0</v>
      </c>
      <c r="BI60" s="134">
        <f>BC60+BD60+BE60+BG60+BH60</f>
        <v>0</v>
      </c>
      <c r="BJ60" s="123"/>
      <c r="BK60" s="792"/>
      <c r="BL60" s="104"/>
      <c r="BM60" s="672"/>
      <c r="BO60" s="562"/>
      <c r="BS60" s="879"/>
      <c r="BT60" s="774"/>
      <c r="BU60" s="774">
        <v>0</v>
      </c>
      <c r="BV60" s="774">
        <v>0</v>
      </c>
      <c r="BW60" s="774">
        <f t="shared" si="32"/>
        <v>0</v>
      </c>
    </row>
    <row r="61" spans="1:75" ht="15" thickBot="1" x14ac:dyDescent="0.35">
      <c r="A61" s="209" t="s">
        <v>251</v>
      </c>
      <c r="B61" s="227">
        <v>5</v>
      </c>
      <c r="C61" s="39">
        <f>'[3]побудинковий звіт'!E61</f>
        <v>1894.8000000000002</v>
      </c>
      <c r="D61" s="205">
        <f t="shared" si="7"/>
        <v>686.17357630796062</v>
      </c>
      <c r="E61" s="104">
        <f t="shared" si="8"/>
        <v>150.95831285423668</v>
      </c>
      <c r="F61" s="104">
        <f t="shared" si="9"/>
        <v>58.752583788730377</v>
      </c>
      <c r="G61" s="104">
        <f t="shared" si="10"/>
        <v>0</v>
      </c>
      <c r="H61" s="104">
        <f t="shared" si="11"/>
        <v>573.28065813233036</v>
      </c>
      <c r="I61" s="104">
        <f t="shared" si="12"/>
        <v>189.1004086044839</v>
      </c>
      <c r="J61" s="672">
        <f t="shared" si="0"/>
        <v>0</v>
      </c>
      <c r="K61" s="139">
        <f t="shared" si="13"/>
        <v>1658.2655396877419</v>
      </c>
      <c r="L61" s="138">
        <f t="shared" si="1"/>
        <v>306.56438442380437</v>
      </c>
      <c r="M61" s="104">
        <f t="shared" si="2"/>
        <v>67.443847128915237</v>
      </c>
      <c r="N61" s="29">
        <f t="shared" si="14"/>
        <v>39.475364916611589</v>
      </c>
      <c r="O61" s="104">
        <f t="shared" si="3"/>
        <v>3.4112262920948901</v>
      </c>
      <c r="P61" s="104">
        <f t="shared" si="15"/>
        <v>256.12678501559543</v>
      </c>
      <c r="Q61" s="104">
        <f t="shared" si="16"/>
        <v>86.626518924011336</v>
      </c>
      <c r="R61" s="140">
        <f t="shared" si="17"/>
        <v>759.64812670103277</v>
      </c>
      <c r="S61" s="138">
        <f t="shared" si="18"/>
        <v>0</v>
      </c>
      <c r="T61" s="104">
        <f t="shared" si="4"/>
        <v>0</v>
      </c>
      <c r="U61" s="139">
        <f t="shared" si="19"/>
        <v>0</v>
      </c>
      <c r="V61" s="104"/>
      <c r="W61" s="104">
        <f t="shared" si="20"/>
        <v>0</v>
      </c>
      <c r="X61" s="139">
        <f t="shared" si="21"/>
        <v>0</v>
      </c>
      <c r="Y61" s="138">
        <v>0</v>
      </c>
      <c r="Z61" s="141">
        <v>0</v>
      </c>
      <c r="AA61" s="104">
        <f t="shared" si="5"/>
        <v>0</v>
      </c>
      <c r="AB61" s="139">
        <f t="shared" si="6"/>
        <v>0</v>
      </c>
      <c r="AC61" s="138">
        <v>0</v>
      </c>
      <c r="AD61" s="104">
        <f t="shared" si="22"/>
        <v>0</v>
      </c>
      <c r="AE61" s="139">
        <f t="shared" si="23"/>
        <v>0</v>
      </c>
      <c r="AF61" s="142">
        <v>281.60000000000002</v>
      </c>
      <c r="AG61" s="104">
        <f t="shared" si="24"/>
        <v>36.245534240088723</v>
      </c>
      <c r="AH61" s="139">
        <f t="shared" si="25"/>
        <v>317.84553424008874</v>
      </c>
      <c r="AI61" s="142">
        <v>0</v>
      </c>
      <c r="AJ61" s="104">
        <f t="shared" si="26"/>
        <v>0</v>
      </c>
      <c r="AK61" s="139">
        <f t="shared" si="27"/>
        <v>0</v>
      </c>
      <c r="AL61" s="143">
        <v>510</v>
      </c>
      <c r="AM61" s="143"/>
      <c r="AN61" s="104">
        <f t="shared" si="28"/>
        <v>65.643545676297052</v>
      </c>
      <c r="AO61" s="148">
        <f t="shared" si="29"/>
        <v>575.64354567629709</v>
      </c>
      <c r="AP61" s="272">
        <f t="shared" si="30"/>
        <v>851.20116098034805</v>
      </c>
      <c r="AQ61" s="669">
        <v>65.209999999999994</v>
      </c>
      <c r="AR61" s="725">
        <v>568.06220685477626</v>
      </c>
      <c r="AS61" s="725">
        <v>283.13895412557184</v>
      </c>
      <c r="AT61" s="725">
        <v>0</v>
      </c>
      <c r="AU61" s="401">
        <v>0</v>
      </c>
      <c r="AV61" s="786"/>
      <c r="AW61" s="246"/>
      <c r="AX61" s="713">
        <f t="shared" si="31"/>
        <v>58.752583788730377</v>
      </c>
      <c r="AY61" s="714">
        <v>39.475364916611589</v>
      </c>
      <c r="AZ61" s="715"/>
      <c r="BA61" s="716">
        <v>0</v>
      </c>
      <c r="BC61" s="712">
        <v>0</v>
      </c>
      <c r="BD61" s="712">
        <v>58.752583788730377</v>
      </c>
      <c r="BE61" s="712"/>
      <c r="BF61" s="712"/>
      <c r="BG61" s="712">
        <v>0</v>
      </c>
      <c r="BH61" s="712">
        <v>0</v>
      </c>
      <c r="BI61" s="134">
        <f>BC61+BD61+BE61+BG61</f>
        <v>58.752583788730377</v>
      </c>
      <c r="BJ61" s="123"/>
      <c r="BK61" s="792"/>
      <c r="BL61" s="104"/>
      <c r="BM61" s="672"/>
      <c r="BO61" s="562"/>
      <c r="BS61" s="879"/>
      <c r="BT61" s="774"/>
      <c r="BU61" s="774">
        <v>557.52810095283655</v>
      </c>
      <c r="BV61" s="774">
        <v>0</v>
      </c>
      <c r="BW61" s="774">
        <f t="shared" si="32"/>
        <v>557.52810095283655</v>
      </c>
    </row>
    <row r="62" spans="1:75" ht="15" thickBot="1" x14ac:dyDescent="0.35">
      <c r="A62" s="209" t="s">
        <v>194</v>
      </c>
      <c r="B62" s="227">
        <v>3</v>
      </c>
      <c r="C62" s="39">
        <f>'[3]побудинковий звіт'!E62</f>
        <v>847.5</v>
      </c>
      <c r="D62" s="205">
        <f t="shared" si="7"/>
        <v>828.3545511524826</v>
      </c>
      <c r="E62" s="104">
        <f t="shared" si="8"/>
        <v>182.23815344207466</v>
      </c>
      <c r="F62" s="104">
        <f t="shared" si="9"/>
        <v>25.912164217812755</v>
      </c>
      <c r="G62" s="104">
        <f t="shared" si="10"/>
        <v>0</v>
      </c>
      <c r="H62" s="104">
        <f t="shared" si="11"/>
        <v>692.06926446622049</v>
      </c>
      <c r="I62" s="104">
        <f t="shared" si="12"/>
        <v>222.48967661321322</v>
      </c>
      <c r="J62" s="672">
        <f t="shared" si="0"/>
        <v>0</v>
      </c>
      <c r="K62" s="139">
        <f t="shared" si="13"/>
        <v>1951.0638098918039</v>
      </c>
      <c r="L62" s="138">
        <f t="shared" si="1"/>
        <v>254.24968030647995</v>
      </c>
      <c r="M62" s="104">
        <f t="shared" si="2"/>
        <v>55.934666394451256</v>
      </c>
      <c r="N62" s="29">
        <f t="shared" si="14"/>
        <v>17.410164324952291</v>
      </c>
      <c r="O62" s="104">
        <f t="shared" si="3"/>
        <v>1.5257622348271158</v>
      </c>
      <c r="P62" s="104">
        <f t="shared" si="15"/>
        <v>212.41917364450751</v>
      </c>
      <c r="Q62" s="104">
        <f t="shared" si="16"/>
        <v>69.703077291057497</v>
      </c>
      <c r="R62" s="140">
        <f t="shared" si="17"/>
        <v>611.24252419627567</v>
      </c>
      <c r="S62" s="138">
        <f t="shared" si="18"/>
        <v>61.160000000000004</v>
      </c>
      <c r="T62" s="104">
        <f t="shared" si="4"/>
        <v>7.8720769677692699</v>
      </c>
      <c r="U62" s="139">
        <f t="shared" si="19"/>
        <v>69.032076967769271</v>
      </c>
      <c r="V62" s="104"/>
      <c r="W62" s="104">
        <f t="shared" si="20"/>
        <v>0</v>
      </c>
      <c r="X62" s="139">
        <f t="shared" si="21"/>
        <v>0</v>
      </c>
      <c r="Y62" s="138">
        <v>0</v>
      </c>
      <c r="Z62" s="141">
        <v>0</v>
      </c>
      <c r="AA62" s="104">
        <f t="shared" si="5"/>
        <v>0</v>
      </c>
      <c r="AB62" s="139">
        <f t="shared" si="6"/>
        <v>0</v>
      </c>
      <c r="AC62" s="138">
        <v>0</v>
      </c>
      <c r="AD62" s="104">
        <f t="shared" si="22"/>
        <v>0</v>
      </c>
      <c r="AE62" s="139">
        <f t="shared" si="23"/>
        <v>0</v>
      </c>
      <c r="AF62" s="142">
        <v>99</v>
      </c>
      <c r="AG62" s="104">
        <f t="shared" si="24"/>
        <v>12.742570631281191</v>
      </c>
      <c r="AH62" s="139">
        <f t="shared" si="25"/>
        <v>111.7425706312812</v>
      </c>
      <c r="AI62" s="142">
        <v>0</v>
      </c>
      <c r="AJ62" s="104">
        <f t="shared" si="26"/>
        <v>0</v>
      </c>
      <c r="AK62" s="139">
        <f t="shared" si="27"/>
        <v>0</v>
      </c>
      <c r="AL62" s="143"/>
      <c r="AM62" s="143"/>
      <c r="AN62" s="104">
        <f t="shared" si="28"/>
        <v>0</v>
      </c>
      <c r="AO62" s="148">
        <f t="shared" si="29"/>
        <v>0</v>
      </c>
      <c r="AP62" s="272">
        <f t="shared" si="30"/>
        <v>815.28333089705654</v>
      </c>
      <c r="AQ62" s="669">
        <v>184.03</v>
      </c>
      <c r="AR62" s="725">
        <v>580.46157003256144</v>
      </c>
      <c r="AS62" s="725">
        <v>224.5292813486262</v>
      </c>
      <c r="AT62" s="725">
        <v>10.29247951586887</v>
      </c>
      <c r="AU62" s="401">
        <v>0</v>
      </c>
      <c r="AV62" s="786"/>
      <c r="AW62" s="246"/>
      <c r="AX62" s="713">
        <f t="shared" si="31"/>
        <v>25.912164217812755</v>
      </c>
      <c r="AY62" s="714">
        <v>17.410164324952291</v>
      </c>
      <c r="AZ62" s="715"/>
      <c r="BA62" s="716">
        <v>0</v>
      </c>
      <c r="BC62" s="712">
        <v>0</v>
      </c>
      <c r="BD62" s="712">
        <v>25.912164217812755</v>
      </c>
      <c r="BE62" s="712"/>
      <c r="BF62" s="712"/>
      <c r="BG62" s="712">
        <v>0</v>
      </c>
      <c r="BH62" s="712">
        <v>0</v>
      </c>
      <c r="BI62" s="134">
        <f>BC62+BD62+BE62+BG62</f>
        <v>25.912164217812755</v>
      </c>
      <c r="BJ62" s="123">
        <v>278</v>
      </c>
      <c r="BK62" s="792"/>
      <c r="BL62" s="104"/>
      <c r="BM62" s="672"/>
      <c r="BO62" s="562"/>
      <c r="BS62" s="879"/>
      <c r="BT62" s="774"/>
      <c r="BU62" s="774">
        <v>339.72822275992075</v>
      </c>
      <c r="BV62" s="774">
        <v>0</v>
      </c>
      <c r="BW62" s="774">
        <f t="shared" si="32"/>
        <v>339.72822275992075</v>
      </c>
    </row>
    <row r="63" spans="1:75" ht="15" thickBot="1" x14ac:dyDescent="0.35">
      <c r="A63" s="209" t="s">
        <v>412</v>
      </c>
      <c r="B63" s="227">
        <v>10</v>
      </c>
      <c r="C63" s="39">
        <f>'[3]побудинковий звіт'!E63</f>
        <v>2696.4</v>
      </c>
      <c r="D63" s="205">
        <f t="shared" si="7"/>
        <v>451.16667275282123</v>
      </c>
      <c r="E63" s="104">
        <f t="shared" si="8"/>
        <v>99.256750895721211</v>
      </c>
      <c r="F63" s="104">
        <f t="shared" si="9"/>
        <v>82.469475568975042</v>
      </c>
      <c r="G63" s="104">
        <f t="shared" si="10"/>
        <v>0</v>
      </c>
      <c r="H63" s="104">
        <f t="shared" si="11"/>
        <v>376.93833749003022</v>
      </c>
      <c r="I63" s="104">
        <f t="shared" si="12"/>
        <v>129.97824100424202</v>
      </c>
      <c r="J63" s="672">
        <f t="shared" si="0"/>
        <v>0</v>
      </c>
      <c r="K63" s="139">
        <f t="shared" si="13"/>
        <v>1139.8094777117897</v>
      </c>
      <c r="L63" s="138">
        <f t="shared" si="1"/>
        <v>296.83083327231003</v>
      </c>
      <c r="M63" s="104">
        <f t="shared" si="2"/>
        <v>65.302475954580331</v>
      </c>
      <c r="N63" s="29">
        <f t="shared" si="14"/>
        <v>55.41054422854728</v>
      </c>
      <c r="O63" s="104">
        <f t="shared" si="3"/>
        <v>4.8543543244694218</v>
      </c>
      <c r="P63" s="104">
        <f t="shared" si="15"/>
        <v>247.99464935377421</v>
      </c>
      <c r="Q63" s="104">
        <f t="shared" si="16"/>
        <v>86.288164977094283</v>
      </c>
      <c r="R63" s="140">
        <f t="shared" si="17"/>
        <v>756.68102211077553</v>
      </c>
      <c r="S63" s="138">
        <f t="shared" si="18"/>
        <v>63.140000000000008</v>
      </c>
      <c r="T63" s="104">
        <f t="shared" si="4"/>
        <v>8.1269283803948937</v>
      </c>
      <c r="U63" s="139">
        <f t="shared" si="19"/>
        <v>71.266928380394901</v>
      </c>
      <c r="V63" s="104"/>
      <c r="W63" s="104">
        <f t="shared" si="20"/>
        <v>0</v>
      </c>
      <c r="X63" s="139">
        <f t="shared" si="21"/>
        <v>0</v>
      </c>
      <c r="Y63" s="138">
        <v>1594.6</v>
      </c>
      <c r="Z63" s="141">
        <v>0</v>
      </c>
      <c r="AA63" s="104">
        <f t="shared" si="5"/>
        <v>205.24548614788876</v>
      </c>
      <c r="AB63" s="139">
        <f t="shared" si="6"/>
        <v>1799.8454861478886</v>
      </c>
      <c r="AC63" s="138">
        <v>0</v>
      </c>
      <c r="AD63" s="104">
        <f t="shared" si="22"/>
        <v>0</v>
      </c>
      <c r="AE63" s="139">
        <f t="shared" si="23"/>
        <v>0</v>
      </c>
      <c r="AF63" s="142">
        <v>550</v>
      </c>
      <c r="AG63" s="104">
        <f t="shared" si="24"/>
        <v>70.792059062673289</v>
      </c>
      <c r="AH63" s="139">
        <f t="shared" si="25"/>
        <v>620.79205906267327</v>
      </c>
      <c r="AI63" s="142">
        <v>1991</v>
      </c>
      <c r="AJ63" s="104">
        <f t="shared" si="26"/>
        <v>256.26725380687731</v>
      </c>
      <c r="AK63" s="139">
        <f t="shared" si="27"/>
        <v>2247.2672538068773</v>
      </c>
      <c r="AL63" s="143"/>
      <c r="AM63" s="143"/>
      <c r="AN63" s="104">
        <f t="shared" si="28"/>
        <v>0</v>
      </c>
      <c r="AO63" s="148">
        <f t="shared" si="29"/>
        <v>0</v>
      </c>
      <c r="AP63" s="272">
        <f t="shared" si="30"/>
        <v>690.53261101243083</v>
      </c>
      <c r="AQ63" s="669">
        <v>0</v>
      </c>
      <c r="AR63" s="725">
        <v>416.38344054402364</v>
      </c>
      <c r="AS63" s="725">
        <v>268.56579289639706</v>
      </c>
      <c r="AT63" s="725">
        <v>5.5833775720101171</v>
      </c>
      <c r="AU63" s="401">
        <v>0</v>
      </c>
      <c r="AV63" s="786"/>
      <c r="AW63" s="246"/>
      <c r="AX63" s="713">
        <f t="shared" si="31"/>
        <v>82.469475568975042</v>
      </c>
      <c r="AY63" s="714">
        <v>55.41054422854728</v>
      </c>
      <c r="AZ63" s="715"/>
      <c r="BA63" s="716">
        <v>0</v>
      </c>
      <c r="BC63" s="712">
        <v>0</v>
      </c>
      <c r="BD63" s="712">
        <v>82.469475568975042</v>
      </c>
      <c r="BE63" s="712"/>
      <c r="BF63" s="712"/>
      <c r="BG63" s="712">
        <v>0</v>
      </c>
      <c r="BH63" s="712">
        <v>0</v>
      </c>
      <c r="BI63" s="134">
        <f>BC63+BD63+BE63+BG63</f>
        <v>82.469475568975042</v>
      </c>
      <c r="BJ63" s="123">
        <v>287</v>
      </c>
      <c r="BK63" s="792"/>
      <c r="BL63" s="104"/>
      <c r="BM63" s="672"/>
      <c r="BO63" s="562"/>
      <c r="BS63" s="879"/>
      <c r="BT63" s="774"/>
      <c r="BU63" s="774">
        <v>1675.8779826308485</v>
      </c>
      <c r="BV63" s="774">
        <v>0</v>
      </c>
      <c r="BW63" s="774">
        <f t="shared" si="32"/>
        <v>1675.8779826308485</v>
      </c>
    </row>
    <row r="64" spans="1:75" ht="15" thickBot="1" x14ac:dyDescent="0.35">
      <c r="A64" s="209" t="s">
        <v>252</v>
      </c>
      <c r="B64" s="227">
        <v>5</v>
      </c>
      <c r="C64" s="39">
        <f>'[3]побудинковий звіт'!E64</f>
        <v>1940</v>
      </c>
      <c r="D64" s="205">
        <f t="shared" si="7"/>
        <v>1412.236358006998</v>
      </c>
      <c r="E64" s="104">
        <f t="shared" si="8"/>
        <v>310.69225822311057</v>
      </c>
      <c r="F64" s="104">
        <f t="shared" si="9"/>
        <v>57.687356884484245</v>
      </c>
      <c r="G64" s="104">
        <f t="shared" si="10"/>
        <v>0</v>
      </c>
      <c r="H64" s="104">
        <f t="shared" si="11"/>
        <v>1179.8877378998607</v>
      </c>
      <c r="I64" s="104">
        <f t="shared" si="12"/>
        <v>381.05482466436115</v>
      </c>
      <c r="J64" s="672">
        <f t="shared" si="0"/>
        <v>0</v>
      </c>
      <c r="K64" s="139">
        <f t="shared" si="13"/>
        <v>3341.5585356788147</v>
      </c>
      <c r="L64" s="138">
        <f t="shared" si="1"/>
        <v>920.28398891535767</v>
      </c>
      <c r="M64" s="104">
        <f t="shared" si="2"/>
        <v>202.46152461660921</v>
      </c>
      <c r="N64" s="29">
        <f t="shared" si="14"/>
        <v>38.759647954863695</v>
      </c>
      <c r="O64" s="104">
        <f t="shared" si="3"/>
        <v>3.4926002779523362</v>
      </c>
      <c r="P64" s="104">
        <f t="shared" si="15"/>
        <v>768.87398327512915</v>
      </c>
      <c r="Q64" s="104">
        <f t="shared" si="16"/>
        <v>248.91411417181911</v>
      </c>
      <c r="R64" s="140">
        <f t="shared" si="17"/>
        <v>2182.7858592117313</v>
      </c>
      <c r="S64" s="138">
        <f t="shared" si="18"/>
        <v>59.180000000000007</v>
      </c>
      <c r="T64" s="104">
        <f t="shared" si="4"/>
        <v>7.6172255551436461</v>
      </c>
      <c r="U64" s="139">
        <f t="shared" si="19"/>
        <v>66.797225555143655</v>
      </c>
      <c r="V64" s="104"/>
      <c r="W64" s="104">
        <f t="shared" si="20"/>
        <v>0</v>
      </c>
      <c r="X64" s="139">
        <f t="shared" si="21"/>
        <v>0</v>
      </c>
      <c r="Y64" s="138">
        <v>0</v>
      </c>
      <c r="Z64" s="141">
        <v>0</v>
      </c>
      <c r="AA64" s="104">
        <f t="shared" si="5"/>
        <v>0</v>
      </c>
      <c r="AB64" s="139">
        <f t="shared" si="6"/>
        <v>0</v>
      </c>
      <c r="AC64" s="138">
        <v>0</v>
      </c>
      <c r="AD64" s="104">
        <f t="shared" si="22"/>
        <v>0</v>
      </c>
      <c r="AE64" s="139">
        <f t="shared" si="23"/>
        <v>0</v>
      </c>
      <c r="AF64" s="142">
        <v>264</v>
      </c>
      <c r="AG64" s="104">
        <f t="shared" si="24"/>
        <v>33.980188350083175</v>
      </c>
      <c r="AH64" s="139">
        <f t="shared" si="25"/>
        <v>297.98018835008315</v>
      </c>
      <c r="AI64" s="142">
        <v>0</v>
      </c>
      <c r="AJ64" s="104">
        <f t="shared" si="26"/>
        <v>0</v>
      </c>
      <c r="AK64" s="139">
        <f t="shared" si="27"/>
        <v>0</v>
      </c>
      <c r="AL64" s="143"/>
      <c r="AM64" s="143"/>
      <c r="AN64" s="104">
        <f t="shared" si="28"/>
        <v>0</v>
      </c>
      <c r="AO64" s="148">
        <f t="shared" si="29"/>
        <v>0</v>
      </c>
      <c r="AP64" s="272">
        <f t="shared" si="30"/>
        <v>1514.4688182985662</v>
      </c>
      <c r="AQ64" s="669">
        <v>66.19</v>
      </c>
      <c r="AR64" s="725">
        <v>1237.1683132823239</v>
      </c>
      <c r="AS64" s="725">
        <v>267.84273860738841</v>
      </c>
      <c r="AT64" s="725">
        <v>9.4577664088540825</v>
      </c>
      <c r="AU64" s="401">
        <v>572.66204562299254</v>
      </c>
      <c r="AV64" s="786"/>
      <c r="AW64" s="246"/>
      <c r="AX64" s="713">
        <f t="shared" si="31"/>
        <v>57.687356884484245</v>
      </c>
      <c r="AY64" s="714">
        <v>38.759647954863695</v>
      </c>
      <c r="AZ64" s="715"/>
      <c r="BA64" s="716">
        <v>0</v>
      </c>
      <c r="BC64" s="712">
        <v>0</v>
      </c>
      <c r="BD64" s="712">
        <v>57.687356884484245</v>
      </c>
      <c r="BE64" s="712"/>
      <c r="BF64" s="712"/>
      <c r="BG64" s="712">
        <v>0</v>
      </c>
      <c r="BH64" s="712">
        <v>0</v>
      </c>
      <c r="BI64" s="134">
        <f>BC64+BD64+BE64+BG64</f>
        <v>57.687356884484245</v>
      </c>
      <c r="BJ64" s="123">
        <v>269</v>
      </c>
      <c r="BK64" s="792"/>
      <c r="BL64" s="104"/>
      <c r="BM64" s="672"/>
      <c r="BO64" s="562"/>
      <c r="BS64" s="879"/>
      <c r="BT64" s="774"/>
      <c r="BU64" s="774">
        <v>1217.8527593939414</v>
      </c>
      <c r="BV64" s="774">
        <v>0</v>
      </c>
      <c r="BW64" s="774">
        <f t="shared" si="32"/>
        <v>1217.8527593939414</v>
      </c>
    </row>
    <row r="65" spans="1:75" ht="15" thickBot="1" x14ac:dyDescent="0.35">
      <c r="A65" s="210" t="s">
        <v>57</v>
      </c>
      <c r="B65" s="228">
        <v>1</v>
      </c>
      <c r="C65" s="39">
        <f>'[3]побудинковий звіт'!E65</f>
        <v>300.7</v>
      </c>
      <c r="D65" s="205">
        <f t="shared" si="7"/>
        <v>0</v>
      </c>
      <c r="E65" s="104">
        <f t="shared" si="8"/>
        <v>0</v>
      </c>
      <c r="F65" s="104">
        <f t="shared" si="9"/>
        <v>0</v>
      </c>
      <c r="G65" s="104">
        <f t="shared" si="10"/>
        <v>0</v>
      </c>
      <c r="H65" s="104">
        <f t="shared" si="11"/>
        <v>0</v>
      </c>
      <c r="I65" s="104">
        <f t="shared" si="12"/>
        <v>0</v>
      </c>
      <c r="J65" s="672">
        <f t="shared" si="0"/>
        <v>0</v>
      </c>
      <c r="K65" s="139">
        <f t="shared" si="13"/>
        <v>0</v>
      </c>
      <c r="L65" s="138">
        <f t="shared" si="1"/>
        <v>0</v>
      </c>
      <c r="M65" s="104">
        <f t="shared" si="2"/>
        <v>0</v>
      </c>
      <c r="N65" s="29">
        <f t="shared" si="14"/>
        <v>0</v>
      </c>
      <c r="O65" s="104">
        <f t="shared" si="3"/>
        <v>0.54135304308261212</v>
      </c>
      <c r="P65" s="104">
        <f t="shared" si="15"/>
        <v>0</v>
      </c>
      <c r="Q65" s="104">
        <f t="shared" si="16"/>
        <v>6.9679084726658527E-2</v>
      </c>
      <c r="R65" s="140">
        <f t="shared" si="17"/>
        <v>0.61103212780927063</v>
      </c>
      <c r="S65" s="138">
        <f t="shared" si="18"/>
        <v>0</v>
      </c>
      <c r="T65" s="104">
        <f t="shared" si="4"/>
        <v>0</v>
      </c>
      <c r="U65" s="139">
        <f t="shared" si="19"/>
        <v>0</v>
      </c>
      <c r="V65" s="104"/>
      <c r="W65" s="104">
        <f t="shared" si="20"/>
        <v>0</v>
      </c>
      <c r="X65" s="139">
        <f t="shared" si="21"/>
        <v>0</v>
      </c>
      <c r="Y65" s="138">
        <v>0</v>
      </c>
      <c r="Z65" s="141">
        <v>0</v>
      </c>
      <c r="AA65" s="104">
        <f t="shared" si="5"/>
        <v>0</v>
      </c>
      <c r="AB65" s="139">
        <f t="shared" si="6"/>
        <v>0</v>
      </c>
      <c r="AC65" s="138">
        <v>0</v>
      </c>
      <c r="AD65" s="104">
        <f t="shared" si="22"/>
        <v>0</v>
      </c>
      <c r="AE65" s="139">
        <f t="shared" si="23"/>
        <v>0</v>
      </c>
      <c r="AF65" s="142">
        <v>0</v>
      </c>
      <c r="AG65" s="104">
        <f t="shared" si="24"/>
        <v>0</v>
      </c>
      <c r="AH65" s="139">
        <f t="shared" si="25"/>
        <v>0</v>
      </c>
      <c r="AI65" s="142">
        <v>0</v>
      </c>
      <c r="AJ65" s="104">
        <f t="shared" si="26"/>
        <v>0</v>
      </c>
      <c r="AK65" s="139">
        <f t="shared" si="27"/>
        <v>0</v>
      </c>
      <c r="AL65" s="143"/>
      <c r="AM65" s="143"/>
      <c r="AN65" s="104">
        <f t="shared" si="28"/>
        <v>0</v>
      </c>
      <c r="AO65" s="148">
        <f t="shared" si="29"/>
        <v>0</v>
      </c>
      <c r="AP65" s="272">
        <f t="shared" si="30"/>
        <v>0</v>
      </c>
      <c r="AQ65" s="669">
        <v>0</v>
      </c>
      <c r="AR65" s="726">
        <v>0</v>
      </c>
      <c r="AS65" s="726">
        <v>0</v>
      </c>
      <c r="AT65" s="726">
        <v>0</v>
      </c>
      <c r="AU65" s="401">
        <v>0</v>
      </c>
      <c r="AV65" s="786"/>
      <c r="AW65" s="246"/>
      <c r="AX65" s="713">
        <f t="shared" si="31"/>
        <v>0</v>
      </c>
      <c r="AY65" s="714">
        <v>0</v>
      </c>
      <c r="AZ65" s="715"/>
      <c r="BA65" s="716">
        <v>0</v>
      </c>
      <c r="BC65" s="712">
        <v>0</v>
      </c>
      <c r="BD65" s="712">
        <v>0</v>
      </c>
      <c r="BE65" s="712"/>
      <c r="BF65" s="712"/>
      <c r="BG65" s="712">
        <v>0</v>
      </c>
      <c r="BH65" s="712">
        <v>0</v>
      </c>
      <c r="BI65" s="134">
        <f t="shared" ref="BI65:BI89" si="36">BC65+BD65+BE65+BG65+BH65</f>
        <v>0</v>
      </c>
      <c r="BJ65" s="123"/>
      <c r="BK65" s="792"/>
      <c r="BL65" s="104"/>
      <c r="BM65" s="672"/>
      <c r="BO65" s="562"/>
      <c r="BS65" s="879"/>
      <c r="BT65" s="774"/>
      <c r="BU65" s="774">
        <v>0</v>
      </c>
      <c r="BV65" s="774">
        <v>0</v>
      </c>
      <c r="BW65" s="774">
        <f t="shared" si="32"/>
        <v>0</v>
      </c>
    </row>
    <row r="66" spans="1:75" ht="15" thickBot="1" x14ac:dyDescent="0.35">
      <c r="A66" s="210" t="s">
        <v>60</v>
      </c>
      <c r="B66" s="228">
        <v>1</v>
      </c>
      <c r="C66" s="39">
        <f>'[3]побудинковий звіт'!E66</f>
        <v>293.5</v>
      </c>
      <c r="D66" s="205">
        <f t="shared" si="7"/>
        <v>0</v>
      </c>
      <c r="E66" s="104">
        <f t="shared" si="8"/>
        <v>0</v>
      </c>
      <c r="F66" s="104">
        <f t="shared" si="9"/>
        <v>0</v>
      </c>
      <c r="G66" s="104">
        <f t="shared" si="10"/>
        <v>0</v>
      </c>
      <c r="H66" s="104">
        <f t="shared" si="11"/>
        <v>0</v>
      </c>
      <c r="I66" s="104">
        <f t="shared" si="12"/>
        <v>0</v>
      </c>
      <c r="J66" s="672">
        <f t="shared" si="0"/>
        <v>0</v>
      </c>
      <c r="K66" s="139">
        <f t="shared" si="13"/>
        <v>0</v>
      </c>
      <c r="L66" s="138">
        <f t="shared" si="1"/>
        <v>0</v>
      </c>
      <c r="M66" s="104">
        <f t="shared" si="2"/>
        <v>0</v>
      </c>
      <c r="N66" s="29">
        <f t="shared" si="14"/>
        <v>0</v>
      </c>
      <c r="O66" s="104">
        <f t="shared" si="3"/>
        <v>0.52839081524691267</v>
      </c>
      <c r="P66" s="104">
        <f t="shared" si="15"/>
        <v>0</v>
      </c>
      <c r="Q66" s="104">
        <f t="shared" si="16"/>
        <v>6.8010679638424595E-2</v>
      </c>
      <c r="R66" s="140">
        <f t="shared" si="17"/>
        <v>0.59640149488533722</v>
      </c>
      <c r="S66" s="138">
        <f t="shared" si="18"/>
        <v>0</v>
      </c>
      <c r="T66" s="104">
        <f t="shared" si="4"/>
        <v>0</v>
      </c>
      <c r="U66" s="139">
        <f t="shared" si="19"/>
        <v>0</v>
      </c>
      <c r="V66" s="104"/>
      <c r="W66" s="104">
        <f t="shared" si="20"/>
        <v>0</v>
      </c>
      <c r="X66" s="139">
        <f t="shared" si="21"/>
        <v>0</v>
      </c>
      <c r="Y66" s="138">
        <v>0</v>
      </c>
      <c r="Z66" s="141">
        <v>0</v>
      </c>
      <c r="AA66" s="104">
        <f t="shared" si="5"/>
        <v>0</v>
      </c>
      <c r="AB66" s="139">
        <f t="shared" si="6"/>
        <v>0</v>
      </c>
      <c r="AC66" s="138">
        <v>0</v>
      </c>
      <c r="AD66" s="104">
        <f t="shared" si="22"/>
        <v>0</v>
      </c>
      <c r="AE66" s="139">
        <f t="shared" si="23"/>
        <v>0</v>
      </c>
      <c r="AF66" s="142">
        <v>0</v>
      </c>
      <c r="AG66" s="104">
        <f t="shared" si="24"/>
        <v>0</v>
      </c>
      <c r="AH66" s="139">
        <f t="shared" si="25"/>
        <v>0</v>
      </c>
      <c r="AI66" s="142">
        <v>0</v>
      </c>
      <c r="AJ66" s="104">
        <f t="shared" si="26"/>
        <v>0</v>
      </c>
      <c r="AK66" s="139">
        <f t="shared" si="27"/>
        <v>0</v>
      </c>
      <c r="AL66" s="143"/>
      <c r="AM66" s="143"/>
      <c r="AN66" s="104">
        <f t="shared" si="28"/>
        <v>0</v>
      </c>
      <c r="AO66" s="148">
        <f t="shared" si="29"/>
        <v>0</v>
      </c>
      <c r="AP66" s="272">
        <f t="shared" si="30"/>
        <v>0</v>
      </c>
      <c r="AQ66" s="669">
        <v>0</v>
      </c>
      <c r="AR66" s="726">
        <v>0</v>
      </c>
      <c r="AS66" s="726">
        <v>0</v>
      </c>
      <c r="AT66" s="726">
        <v>0</v>
      </c>
      <c r="AU66" s="401">
        <v>0</v>
      </c>
      <c r="AV66" s="786"/>
      <c r="AW66" s="246"/>
      <c r="AX66" s="713">
        <f t="shared" si="31"/>
        <v>0</v>
      </c>
      <c r="AY66" s="714">
        <v>0</v>
      </c>
      <c r="AZ66" s="715"/>
      <c r="BA66" s="716">
        <v>0</v>
      </c>
      <c r="BC66" s="712">
        <v>0</v>
      </c>
      <c r="BD66" s="712">
        <v>0</v>
      </c>
      <c r="BE66" s="712"/>
      <c r="BF66" s="712"/>
      <c r="BG66" s="712">
        <v>0</v>
      </c>
      <c r="BH66" s="712">
        <v>0</v>
      </c>
      <c r="BI66" s="134">
        <f t="shared" si="36"/>
        <v>0</v>
      </c>
      <c r="BJ66" s="123"/>
      <c r="BK66" s="792"/>
      <c r="BL66" s="104"/>
      <c r="BM66" s="672"/>
      <c r="BO66" s="562"/>
      <c r="BS66" s="879"/>
      <c r="BT66" s="774"/>
      <c r="BU66" s="774">
        <v>0</v>
      </c>
      <c r="BV66" s="774">
        <v>0</v>
      </c>
      <c r="BW66" s="774">
        <f t="shared" si="32"/>
        <v>0</v>
      </c>
    </row>
    <row r="67" spans="1:75" ht="15" thickBot="1" x14ac:dyDescent="0.35">
      <c r="A67" s="209" t="s">
        <v>347</v>
      </c>
      <c r="B67" s="227">
        <v>9</v>
      </c>
      <c r="C67" s="39">
        <f>'[3]побудинковий звіт'!E67</f>
        <v>8443.0499999999993</v>
      </c>
      <c r="D67" s="205">
        <f t="shared" si="7"/>
        <v>1397.7475185170092</v>
      </c>
      <c r="E67" s="104">
        <f t="shared" si="8"/>
        <v>307.50471087336695</v>
      </c>
      <c r="F67" s="104">
        <f t="shared" si="9"/>
        <v>242.28494261564583</v>
      </c>
      <c r="G67" s="104">
        <f t="shared" si="10"/>
        <v>0</v>
      </c>
      <c r="H67" s="104">
        <f t="shared" si="11"/>
        <v>1167.7826791724658</v>
      </c>
      <c r="I67" s="104">
        <f t="shared" si="12"/>
        <v>400.98164891590187</v>
      </c>
      <c r="J67" s="672">
        <f t="shared" si="0"/>
        <v>0</v>
      </c>
      <c r="K67" s="139">
        <f t="shared" si="13"/>
        <v>3516.3015000943897</v>
      </c>
      <c r="L67" s="138">
        <f t="shared" si="1"/>
        <v>964.14655645322011</v>
      </c>
      <c r="M67" s="104">
        <f t="shared" si="2"/>
        <v>212.11124405569356</v>
      </c>
      <c r="N67" s="29">
        <f t="shared" si="14"/>
        <v>238.83824663563149</v>
      </c>
      <c r="O67" s="104">
        <f t="shared" si="3"/>
        <v>15.200102462250241</v>
      </c>
      <c r="P67" s="104">
        <f t="shared" si="15"/>
        <v>805.5200484307976</v>
      </c>
      <c r="Q67" s="104">
        <f t="shared" si="16"/>
        <v>287.77824062683442</v>
      </c>
      <c r="R67" s="140">
        <f t="shared" si="17"/>
        <v>2523.5944386644273</v>
      </c>
      <c r="S67" s="138">
        <f t="shared" si="18"/>
        <v>318.01000000000005</v>
      </c>
      <c r="T67" s="104">
        <f t="shared" si="4"/>
        <v>40.931968550037702</v>
      </c>
      <c r="U67" s="139">
        <f t="shared" si="19"/>
        <v>358.94196855003776</v>
      </c>
      <c r="V67" s="104"/>
      <c r="W67" s="104">
        <f t="shared" si="20"/>
        <v>0</v>
      </c>
      <c r="X67" s="139">
        <f t="shared" si="21"/>
        <v>0</v>
      </c>
      <c r="Y67" s="138">
        <v>7856.93</v>
      </c>
      <c r="Z67" s="141">
        <v>0</v>
      </c>
      <c r="AA67" s="104">
        <f t="shared" si="5"/>
        <v>1011.2877320205266</v>
      </c>
      <c r="AB67" s="139">
        <f t="shared" si="6"/>
        <v>8868.2177320205265</v>
      </c>
      <c r="AC67" s="138">
        <v>0</v>
      </c>
      <c r="AD67" s="104">
        <f t="shared" si="22"/>
        <v>0</v>
      </c>
      <c r="AE67" s="139">
        <f t="shared" si="23"/>
        <v>0</v>
      </c>
      <c r="AF67" s="142">
        <v>917.4</v>
      </c>
      <c r="AG67" s="104">
        <f t="shared" si="24"/>
        <v>118.08115451653903</v>
      </c>
      <c r="AH67" s="139">
        <f t="shared" si="25"/>
        <v>1035.4811545165389</v>
      </c>
      <c r="AI67" s="142">
        <v>1757.8</v>
      </c>
      <c r="AJ67" s="104">
        <f t="shared" si="26"/>
        <v>226.25142076430382</v>
      </c>
      <c r="AK67" s="139">
        <f t="shared" si="27"/>
        <v>1984.0514207643037</v>
      </c>
      <c r="AL67" s="143">
        <v>5567.5</v>
      </c>
      <c r="AM67" s="143"/>
      <c r="AN67" s="104">
        <f t="shared" si="28"/>
        <v>716.60870696624272</v>
      </c>
      <c r="AO67" s="148">
        <f t="shared" si="29"/>
        <v>6284.1087069662426</v>
      </c>
      <c r="AP67" s="272">
        <f t="shared" si="30"/>
        <v>2180.4599665293572</v>
      </c>
      <c r="AQ67" s="669">
        <v>0</v>
      </c>
      <c r="AR67" s="726">
        <v>1289.9865081365197</v>
      </c>
      <c r="AS67" s="726">
        <v>858.46851680605846</v>
      </c>
      <c r="AT67" s="726">
        <v>32.004941586778855</v>
      </c>
      <c r="AU67" s="401">
        <v>0</v>
      </c>
      <c r="AV67" s="786"/>
      <c r="AW67" s="246"/>
      <c r="AX67" s="713">
        <f t="shared" si="31"/>
        <v>242.28494261564583</v>
      </c>
      <c r="AY67" s="714">
        <v>238.83824663563149</v>
      </c>
      <c r="AZ67" s="715"/>
      <c r="BA67" s="716">
        <v>0</v>
      </c>
      <c r="BC67" s="712">
        <v>0</v>
      </c>
      <c r="BD67" s="712">
        <v>242.28494261564583</v>
      </c>
      <c r="BE67" s="712"/>
      <c r="BF67" s="712"/>
      <c r="BG67" s="712">
        <v>0</v>
      </c>
      <c r="BH67" s="712">
        <v>11.649627696506812</v>
      </c>
      <c r="BI67" s="134">
        <f>BC67+BD67+BE67+BG67</f>
        <v>242.28494261564583</v>
      </c>
      <c r="BJ67" s="123">
        <v>1445.5</v>
      </c>
      <c r="BK67" s="792"/>
      <c r="BL67" s="104"/>
      <c r="BM67" s="672"/>
      <c r="BO67" s="562"/>
      <c r="BS67" s="879"/>
      <c r="BT67" s="774"/>
      <c r="BU67" s="774">
        <v>5156.2963915628661</v>
      </c>
      <c r="BV67" s="774">
        <v>0</v>
      </c>
      <c r="BW67" s="774">
        <f t="shared" si="32"/>
        <v>5156.2963915628661</v>
      </c>
    </row>
    <row r="68" spans="1:75" ht="15" thickBot="1" x14ac:dyDescent="0.35">
      <c r="A68" s="210" t="s">
        <v>62</v>
      </c>
      <c r="B68" s="228">
        <v>1</v>
      </c>
      <c r="C68" s="39">
        <f>'[3]побудинковий звіт'!E68</f>
        <v>174.9</v>
      </c>
      <c r="D68" s="205">
        <f t="shared" si="7"/>
        <v>0</v>
      </c>
      <c r="E68" s="104">
        <f t="shared" si="8"/>
        <v>0</v>
      </c>
      <c r="F68" s="104">
        <f t="shared" si="9"/>
        <v>0</v>
      </c>
      <c r="G68" s="104">
        <f t="shared" si="10"/>
        <v>0</v>
      </c>
      <c r="H68" s="104">
        <f t="shared" si="11"/>
        <v>0</v>
      </c>
      <c r="I68" s="104">
        <f t="shared" si="12"/>
        <v>0</v>
      </c>
      <c r="J68" s="672">
        <f t="shared" si="0"/>
        <v>0</v>
      </c>
      <c r="K68" s="139">
        <f t="shared" si="13"/>
        <v>0</v>
      </c>
      <c r="L68" s="138">
        <f t="shared" si="1"/>
        <v>0</v>
      </c>
      <c r="M68" s="104">
        <f t="shared" si="2"/>
        <v>0</v>
      </c>
      <c r="N68" s="29">
        <f t="shared" si="14"/>
        <v>0</v>
      </c>
      <c r="O68" s="104">
        <f t="shared" si="3"/>
        <v>0.31487411784219771</v>
      </c>
      <c r="P68" s="104">
        <f t="shared" si="15"/>
        <v>0</v>
      </c>
      <c r="Q68" s="104">
        <f t="shared" si="16"/>
        <v>4.0528340268349103E-2</v>
      </c>
      <c r="R68" s="140">
        <f t="shared" si="17"/>
        <v>0.35540245811054683</v>
      </c>
      <c r="S68" s="138">
        <f t="shared" si="18"/>
        <v>0</v>
      </c>
      <c r="T68" s="104">
        <f t="shared" si="4"/>
        <v>0</v>
      </c>
      <c r="U68" s="139">
        <f t="shared" si="19"/>
        <v>0</v>
      </c>
      <c r="V68" s="104"/>
      <c r="W68" s="104">
        <f t="shared" si="20"/>
        <v>0</v>
      </c>
      <c r="X68" s="139">
        <f t="shared" si="21"/>
        <v>0</v>
      </c>
      <c r="Y68" s="138">
        <v>0</v>
      </c>
      <c r="Z68" s="141">
        <v>0</v>
      </c>
      <c r="AA68" s="104">
        <f t="shared" si="5"/>
        <v>0</v>
      </c>
      <c r="AB68" s="139">
        <f t="shared" si="6"/>
        <v>0</v>
      </c>
      <c r="AC68" s="138">
        <v>0</v>
      </c>
      <c r="AD68" s="104">
        <f t="shared" si="22"/>
        <v>0</v>
      </c>
      <c r="AE68" s="139">
        <f t="shared" si="23"/>
        <v>0</v>
      </c>
      <c r="AF68" s="142">
        <v>0</v>
      </c>
      <c r="AG68" s="104">
        <f t="shared" si="24"/>
        <v>0</v>
      </c>
      <c r="AH68" s="139">
        <f t="shared" si="25"/>
        <v>0</v>
      </c>
      <c r="AI68" s="142">
        <v>0</v>
      </c>
      <c r="AJ68" s="104">
        <f t="shared" si="26"/>
        <v>0</v>
      </c>
      <c r="AK68" s="139">
        <f t="shared" si="27"/>
        <v>0</v>
      </c>
      <c r="AL68" s="143"/>
      <c r="AM68" s="143"/>
      <c r="AN68" s="104">
        <f t="shared" si="28"/>
        <v>0</v>
      </c>
      <c r="AO68" s="148">
        <f t="shared" si="29"/>
        <v>0</v>
      </c>
      <c r="AP68" s="272">
        <f t="shared" si="30"/>
        <v>0</v>
      </c>
      <c r="AQ68" s="669">
        <v>0</v>
      </c>
      <c r="AR68" s="726">
        <v>0</v>
      </c>
      <c r="AS68" s="726">
        <v>0</v>
      </c>
      <c r="AT68" s="726">
        <v>0</v>
      </c>
      <c r="AU68" s="401">
        <v>0</v>
      </c>
      <c r="AV68" s="786"/>
      <c r="AW68" s="246"/>
      <c r="AX68" s="713">
        <f t="shared" si="31"/>
        <v>0</v>
      </c>
      <c r="AY68" s="714">
        <v>0</v>
      </c>
      <c r="AZ68" s="715"/>
      <c r="BA68" s="716">
        <v>0</v>
      </c>
      <c r="BC68" s="712">
        <v>0</v>
      </c>
      <c r="BD68" s="712">
        <v>0</v>
      </c>
      <c r="BE68" s="712"/>
      <c r="BF68" s="712"/>
      <c r="BG68" s="712">
        <v>0</v>
      </c>
      <c r="BH68" s="712">
        <v>0</v>
      </c>
      <c r="BI68" s="134">
        <f t="shared" si="36"/>
        <v>0</v>
      </c>
      <c r="BJ68" s="123"/>
      <c r="BK68" s="792"/>
      <c r="BL68" s="104"/>
      <c r="BM68" s="672"/>
      <c r="BO68" s="562"/>
      <c r="BS68" s="879"/>
      <c r="BT68" s="774"/>
      <c r="BU68" s="774">
        <v>0</v>
      </c>
      <c r="BV68" s="774">
        <v>0</v>
      </c>
      <c r="BW68" s="774">
        <f t="shared" si="32"/>
        <v>0</v>
      </c>
    </row>
    <row r="69" spans="1:75" ht="15" thickBot="1" x14ac:dyDescent="0.35">
      <c r="A69" s="210" t="s">
        <v>64</v>
      </c>
      <c r="B69" s="228">
        <v>1</v>
      </c>
      <c r="C69" s="39">
        <f>'[3]побудинковий звіт'!E69</f>
        <v>136.9</v>
      </c>
      <c r="D69" s="205">
        <f t="shared" si="7"/>
        <v>0</v>
      </c>
      <c r="E69" s="104">
        <f t="shared" si="8"/>
        <v>0</v>
      </c>
      <c r="F69" s="104">
        <f t="shared" si="9"/>
        <v>0</v>
      </c>
      <c r="G69" s="104">
        <f t="shared" si="10"/>
        <v>0</v>
      </c>
      <c r="H69" s="104">
        <f t="shared" si="11"/>
        <v>0</v>
      </c>
      <c r="I69" s="104">
        <f t="shared" si="12"/>
        <v>0</v>
      </c>
      <c r="J69" s="672">
        <f t="shared" si="0"/>
        <v>0</v>
      </c>
      <c r="K69" s="139">
        <f t="shared" si="13"/>
        <v>0</v>
      </c>
      <c r="L69" s="138">
        <f t="shared" si="1"/>
        <v>0</v>
      </c>
      <c r="M69" s="104">
        <f t="shared" si="2"/>
        <v>0</v>
      </c>
      <c r="N69" s="29">
        <f t="shared" si="14"/>
        <v>0</v>
      </c>
      <c r="O69" s="104">
        <f t="shared" si="3"/>
        <v>0.24646235982045095</v>
      </c>
      <c r="P69" s="104">
        <f t="shared" si="15"/>
        <v>0</v>
      </c>
      <c r="Q69" s="104">
        <f t="shared" si="16"/>
        <v>3.1722868969336723E-2</v>
      </c>
      <c r="R69" s="140">
        <f t="shared" si="17"/>
        <v>0.27818522878978769</v>
      </c>
      <c r="S69" s="138">
        <f t="shared" si="18"/>
        <v>0</v>
      </c>
      <c r="T69" s="104">
        <f t="shared" si="4"/>
        <v>0</v>
      </c>
      <c r="U69" s="139">
        <f t="shared" si="19"/>
        <v>0</v>
      </c>
      <c r="V69" s="104"/>
      <c r="W69" s="104">
        <f t="shared" si="20"/>
        <v>0</v>
      </c>
      <c r="X69" s="139">
        <f t="shared" si="21"/>
        <v>0</v>
      </c>
      <c r="Y69" s="138">
        <v>0</v>
      </c>
      <c r="Z69" s="141">
        <v>0</v>
      </c>
      <c r="AA69" s="104">
        <f t="shared" si="5"/>
        <v>0</v>
      </c>
      <c r="AB69" s="139">
        <f t="shared" si="6"/>
        <v>0</v>
      </c>
      <c r="AC69" s="138">
        <v>0</v>
      </c>
      <c r="AD69" s="104">
        <f t="shared" si="22"/>
        <v>0</v>
      </c>
      <c r="AE69" s="139">
        <f t="shared" si="23"/>
        <v>0</v>
      </c>
      <c r="AF69" s="142">
        <v>0</v>
      </c>
      <c r="AG69" s="104">
        <f t="shared" si="24"/>
        <v>0</v>
      </c>
      <c r="AH69" s="139">
        <f t="shared" si="25"/>
        <v>0</v>
      </c>
      <c r="AI69" s="142">
        <v>0</v>
      </c>
      <c r="AJ69" s="104">
        <f t="shared" si="26"/>
        <v>0</v>
      </c>
      <c r="AK69" s="139">
        <f t="shared" si="27"/>
        <v>0</v>
      </c>
      <c r="AL69" s="143"/>
      <c r="AM69" s="143"/>
      <c r="AN69" s="104">
        <f t="shared" si="28"/>
        <v>0</v>
      </c>
      <c r="AO69" s="148">
        <f t="shared" si="29"/>
        <v>0</v>
      </c>
      <c r="AP69" s="272">
        <f t="shared" si="30"/>
        <v>0</v>
      </c>
      <c r="AQ69" s="669">
        <v>0</v>
      </c>
      <c r="AR69" s="726">
        <v>0</v>
      </c>
      <c r="AS69" s="726">
        <v>0</v>
      </c>
      <c r="AT69" s="726">
        <v>0</v>
      </c>
      <c r="AU69" s="401">
        <v>0</v>
      </c>
      <c r="AV69" s="786"/>
      <c r="AW69" s="246"/>
      <c r="AX69" s="713">
        <f t="shared" si="31"/>
        <v>0</v>
      </c>
      <c r="AY69" s="714">
        <v>0</v>
      </c>
      <c r="AZ69" s="715"/>
      <c r="BA69" s="716">
        <v>0</v>
      </c>
      <c r="BC69" s="712">
        <v>0</v>
      </c>
      <c r="BD69" s="712">
        <v>0</v>
      </c>
      <c r="BE69" s="712"/>
      <c r="BF69" s="712"/>
      <c r="BG69" s="712">
        <v>0</v>
      </c>
      <c r="BH69" s="712">
        <v>0</v>
      </c>
      <c r="BI69" s="134">
        <f t="shared" si="36"/>
        <v>0</v>
      </c>
      <c r="BJ69" s="123"/>
      <c r="BK69" s="792"/>
      <c r="BL69" s="104"/>
      <c r="BM69" s="672"/>
      <c r="BO69" s="562"/>
      <c r="BS69" s="879"/>
      <c r="BT69" s="774"/>
      <c r="BU69" s="774">
        <v>0</v>
      </c>
      <c r="BV69" s="774">
        <v>0</v>
      </c>
      <c r="BW69" s="774">
        <f t="shared" si="32"/>
        <v>0</v>
      </c>
    </row>
    <row r="70" spans="1:75" ht="15" thickBot="1" x14ac:dyDescent="0.35">
      <c r="A70" s="209" t="s">
        <v>348</v>
      </c>
      <c r="B70" s="227">
        <v>9</v>
      </c>
      <c r="C70" s="39">
        <f>'[3]побудинковий звіт'!E70</f>
        <v>7614.5</v>
      </c>
      <c r="D70" s="205">
        <f t="shared" si="7"/>
        <v>3970.3918503284922</v>
      </c>
      <c r="E70" s="104">
        <f t="shared" si="8"/>
        <v>873.48693652814245</v>
      </c>
      <c r="F70" s="104">
        <f t="shared" si="9"/>
        <v>223.15305854838834</v>
      </c>
      <c r="G70" s="104">
        <f t="shared" si="10"/>
        <v>0</v>
      </c>
      <c r="H70" s="104">
        <f t="shared" si="11"/>
        <v>3317.1619129472333</v>
      </c>
      <c r="I70" s="104">
        <f t="shared" si="12"/>
        <v>1079.1533449712174</v>
      </c>
      <c r="J70" s="672">
        <f t="shared" si="0"/>
        <v>0</v>
      </c>
      <c r="K70" s="139">
        <f t="shared" si="13"/>
        <v>9463.3471033234728</v>
      </c>
      <c r="L70" s="138">
        <f t="shared" si="1"/>
        <v>2830.1319665096034</v>
      </c>
      <c r="M70" s="104">
        <f t="shared" si="2"/>
        <v>622.62610205906469</v>
      </c>
      <c r="N70" s="29">
        <f t="shared" si="14"/>
        <v>125.23277914975523</v>
      </c>
      <c r="O70" s="104">
        <f t="shared" si="3"/>
        <v>13.708456090962919</v>
      </c>
      <c r="P70" s="104">
        <f t="shared" si="15"/>
        <v>2364.5036363711533</v>
      </c>
      <c r="Q70" s="104">
        <f t="shared" si="16"/>
        <v>766.63976423732549</v>
      </c>
      <c r="R70" s="140">
        <f t="shared" si="17"/>
        <v>6722.8427044178652</v>
      </c>
      <c r="S70" s="138">
        <f t="shared" si="18"/>
        <v>205.17200000000003</v>
      </c>
      <c r="T70" s="104">
        <f t="shared" si="4"/>
        <v>26.408269712739646</v>
      </c>
      <c r="U70" s="139">
        <f t="shared" si="19"/>
        <v>231.58026971273966</v>
      </c>
      <c r="V70" s="104"/>
      <c r="W70" s="104">
        <f t="shared" si="20"/>
        <v>0</v>
      </c>
      <c r="X70" s="139">
        <f t="shared" si="21"/>
        <v>0</v>
      </c>
      <c r="Y70" s="138">
        <v>4909.84</v>
      </c>
      <c r="Z70" s="141">
        <v>0</v>
      </c>
      <c r="AA70" s="104">
        <f t="shared" si="5"/>
        <v>631.95942412413785</v>
      </c>
      <c r="AB70" s="139">
        <f t="shared" si="6"/>
        <v>5541.7994241241377</v>
      </c>
      <c r="AC70" s="138">
        <v>236.15</v>
      </c>
      <c r="AD70" s="104">
        <f t="shared" si="22"/>
        <v>30.395535904818722</v>
      </c>
      <c r="AE70" s="139">
        <f t="shared" si="23"/>
        <v>266.54553590481873</v>
      </c>
      <c r="AF70" s="142">
        <v>1133</v>
      </c>
      <c r="AG70" s="104">
        <f t="shared" si="24"/>
        <v>145.83164166910697</v>
      </c>
      <c r="AH70" s="139">
        <f t="shared" si="25"/>
        <v>1278.8316416691071</v>
      </c>
      <c r="AI70" s="142">
        <v>1700.6</v>
      </c>
      <c r="AJ70" s="104">
        <f t="shared" si="26"/>
        <v>218.88904662178578</v>
      </c>
      <c r="AK70" s="139">
        <f t="shared" si="27"/>
        <v>1919.4890466217857</v>
      </c>
      <c r="AL70" s="143">
        <v>4462.5</v>
      </c>
      <c r="AM70" s="143"/>
      <c r="AN70" s="104">
        <f t="shared" si="28"/>
        <v>574.38102466759915</v>
      </c>
      <c r="AO70" s="148">
        <f t="shared" si="29"/>
        <v>5036.8810246675994</v>
      </c>
      <c r="AP70" s="272">
        <f t="shared" si="30"/>
        <v>6278.16353562106</v>
      </c>
      <c r="AQ70" s="669">
        <v>0</v>
      </c>
      <c r="AR70" s="726">
        <v>3664.2897598366367</v>
      </c>
      <c r="AS70" s="726">
        <v>2531.022265948674</v>
      </c>
      <c r="AT70" s="726">
        <v>82.851509835749283</v>
      </c>
      <c r="AU70" s="401">
        <v>0</v>
      </c>
      <c r="AV70" s="786"/>
      <c r="AW70" s="246"/>
      <c r="AX70" s="713">
        <f t="shared" si="31"/>
        <v>223.15305854838834</v>
      </c>
      <c r="AY70" s="714">
        <v>125.23277914975523</v>
      </c>
      <c r="AZ70" s="715"/>
      <c r="BA70" s="716">
        <v>0</v>
      </c>
      <c r="BC70" s="712">
        <v>0</v>
      </c>
      <c r="BD70" s="712">
        <v>223.15305854838834</v>
      </c>
      <c r="BE70" s="712"/>
      <c r="BF70" s="712"/>
      <c r="BG70" s="712">
        <v>0</v>
      </c>
      <c r="BH70" s="712">
        <v>15.118873752005173</v>
      </c>
      <c r="BI70" s="134">
        <f>BC70+BD70+BE70+BG70</f>
        <v>223.15305854838834</v>
      </c>
      <c r="BJ70" s="123">
        <v>932.6</v>
      </c>
      <c r="BK70" s="792"/>
      <c r="BL70" s="104"/>
      <c r="BM70" s="672"/>
      <c r="BO70" s="562"/>
      <c r="BS70" s="879"/>
      <c r="BT70" s="774"/>
      <c r="BU70" s="774">
        <v>3580.4375193880783</v>
      </c>
      <c r="BV70" s="774">
        <v>0</v>
      </c>
      <c r="BW70" s="774">
        <f t="shared" si="32"/>
        <v>3580.4375193880783</v>
      </c>
    </row>
    <row r="71" spans="1:75" ht="15" thickBot="1" x14ac:dyDescent="0.35">
      <c r="A71" s="209" t="s">
        <v>253</v>
      </c>
      <c r="B71" s="227">
        <v>5</v>
      </c>
      <c r="C71" s="39">
        <f>'[3]побудинковий звіт'!E71</f>
        <v>2489.87</v>
      </c>
      <c r="D71" s="205">
        <f t="shared" si="7"/>
        <v>2824.4179061319746</v>
      </c>
      <c r="E71" s="104">
        <f t="shared" si="8"/>
        <v>621.37245826210665</v>
      </c>
      <c r="F71" s="104">
        <f t="shared" si="9"/>
        <v>74.022016969685851</v>
      </c>
      <c r="G71" s="104">
        <f t="shared" si="10"/>
        <v>0</v>
      </c>
      <c r="H71" s="104">
        <f t="shared" si="11"/>
        <v>2359.7296835303564</v>
      </c>
      <c r="I71" s="104">
        <f t="shared" si="12"/>
        <v>756.77252567173969</v>
      </c>
      <c r="J71" s="672">
        <f t="shared" si="0"/>
        <v>0</v>
      </c>
      <c r="K71" s="139">
        <f t="shared" si="13"/>
        <v>6636.314590565863</v>
      </c>
      <c r="L71" s="138">
        <f t="shared" si="1"/>
        <v>1006.9940664995586</v>
      </c>
      <c r="M71" s="104">
        <f t="shared" si="2"/>
        <v>221.5376518977244</v>
      </c>
      <c r="N71" s="29">
        <f t="shared" si="14"/>
        <v>40.958129502617666</v>
      </c>
      <c r="O71" s="104">
        <f t="shared" si="3"/>
        <v>4.4825364196212281</v>
      </c>
      <c r="P71" s="104">
        <f t="shared" si="15"/>
        <v>841.31805874017766</v>
      </c>
      <c r="Q71" s="104">
        <f t="shared" si="16"/>
        <v>272.2650290541647</v>
      </c>
      <c r="R71" s="140">
        <f t="shared" si="17"/>
        <v>2387.5554721138642</v>
      </c>
      <c r="S71" s="138">
        <f t="shared" si="18"/>
        <v>111.23200000000001</v>
      </c>
      <c r="T71" s="104">
        <f t="shared" si="4"/>
        <v>14.316986024835046</v>
      </c>
      <c r="U71" s="139">
        <f t="shared" si="19"/>
        <v>125.54898602483506</v>
      </c>
      <c r="V71" s="104"/>
      <c r="W71" s="104">
        <f t="shared" si="20"/>
        <v>0</v>
      </c>
      <c r="X71" s="139">
        <f t="shared" si="21"/>
        <v>0</v>
      </c>
      <c r="Y71" s="138">
        <v>0</v>
      </c>
      <c r="Z71" s="141">
        <v>0</v>
      </c>
      <c r="AA71" s="104">
        <f t="shared" si="5"/>
        <v>0</v>
      </c>
      <c r="AB71" s="139">
        <f t="shared" si="6"/>
        <v>0</v>
      </c>
      <c r="AC71" s="138">
        <v>0</v>
      </c>
      <c r="AD71" s="104">
        <f t="shared" si="22"/>
        <v>0</v>
      </c>
      <c r="AE71" s="139">
        <f t="shared" si="23"/>
        <v>0</v>
      </c>
      <c r="AF71" s="142">
        <v>272.8</v>
      </c>
      <c r="AG71" s="104">
        <f t="shared" si="24"/>
        <v>35.112861295085949</v>
      </c>
      <c r="AH71" s="139">
        <f t="shared" si="25"/>
        <v>307.91286129508597</v>
      </c>
      <c r="AI71" s="142">
        <v>0</v>
      </c>
      <c r="AJ71" s="104">
        <f t="shared" si="26"/>
        <v>0</v>
      </c>
      <c r="AK71" s="139">
        <f t="shared" si="27"/>
        <v>0</v>
      </c>
      <c r="AL71" s="143"/>
      <c r="AM71" s="143"/>
      <c r="AN71" s="104">
        <f t="shared" si="28"/>
        <v>0</v>
      </c>
      <c r="AO71" s="148">
        <f t="shared" si="29"/>
        <v>0</v>
      </c>
      <c r="AP71" s="272">
        <f t="shared" si="30"/>
        <v>3536.7129143137549</v>
      </c>
      <c r="AQ71" s="669">
        <v>0</v>
      </c>
      <c r="AR71" s="726">
        <v>2606.6660423157882</v>
      </c>
      <c r="AS71" s="726">
        <v>908.96928462665176</v>
      </c>
      <c r="AT71" s="726">
        <v>21.077587371315285</v>
      </c>
      <c r="AU71" s="401">
        <v>0</v>
      </c>
      <c r="AV71" s="786"/>
      <c r="AW71" s="246"/>
      <c r="AX71" s="713">
        <f t="shared" si="31"/>
        <v>74.022016969685851</v>
      </c>
      <c r="AY71" s="714">
        <v>40.958129502617666</v>
      </c>
      <c r="AZ71" s="715"/>
      <c r="BA71" s="716">
        <v>0</v>
      </c>
      <c r="BC71" s="712">
        <v>0</v>
      </c>
      <c r="BD71" s="712">
        <v>74.022016969685851</v>
      </c>
      <c r="BE71" s="712"/>
      <c r="BF71" s="712"/>
      <c r="BG71" s="712">
        <v>0</v>
      </c>
      <c r="BH71" s="712">
        <v>5.9831924725261576</v>
      </c>
      <c r="BI71" s="134">
        <f>BC71+BD71+BE71+BG71</f>
        <v>74.022016969685851</v>
      </c>
      <c r="BJ71" s="123">
        <v>505.6</v>
      </c>
      <c r="BK71" s="792"/>
      <c r="BL71" s="104"/>
      <c r="BM71" s="672"/>
      <c r="BO71" s="562"/>
      <c r="BS71" s="879"/>
      <c r="BT71" s="774"/>
      <c r="BU71" s="774">
        <v>2394.7749642166027</v>
      </c>
      <c r="BV71" s="774">
        <v>0</v>
      </c>
      <c r="BW71" s="774">
        <f t="shared" si="32"/>
        <v>2394.7749642166027</v>
      </c>
    </row>
    <row r="72" spans="1:75" ht="15" thickBot="1" x14ac:dyDescent="0.35">
      <c r="A72" s="209" t="s">
        <v>349</v>
      </c>
      <c r="B72" s="227">
        <v>9</v>
      </c>
      <c r="C72" s="39">
        <f>'[3]побудинковий звіт'!E72</f>
        <v>11377.55</v>
      </c>
      <c r="D72" s="205">
        <f t="shared" si="7"/>
        <v>8680.6887885449796</v>
      </c>
      <c r="E72" s="104">
        <f t="shared" si="8"/>
        <v>1909.7531283298922</v>
      </c>
      <c r="F72" s="104">
        <f t="shared" si="9"/>
        <v>430.71911807778935</v>
      </c>
      <c r="G72" s="104">
        <f t="shared" si="10"/>
        <v>0</v>
      </c>
      <c r="H72" s="104">
        <f t="shared" si="11"/>
        <v>7252.495802178084</v>
      </c>
      <c r="I72" s="104">
        <f t="shared" si="12"/>
        <v>2352.054171100333</v>
      </c>
      <c r="J72" s="672">
        <f t="shared" si="0"/>
        <v>0</v>
      </c>
      <c r="K72" s="139">
        <f t="shared" si="13"/>
        <v>20625.711008231076</v>
      </c>
      <c r="L72" s="138">
        <f t="shared" si="1"/>
        <v>4716.9773292084228</v>
      </c>
      <c r="M72" s="104">
        <f t="shared" si="2"/>
        <v>1037.7301280435017</v>
      </c>
      <c r="N72" s="29">
        <f t="shared" si="14"/>
        <v>337.08874229415335</v>
      </c>
      <c r="O72" s="104">
        <f t="shared" si="3"/>
        <v>20.483110460008557</v>
      </c>
      <c r="P72" s="104">
        <f t="shared" si="15"/>
        <v>3940.9151868451431</v>
      </c>
      <c r="Q72" s="104">
        <f t="shared" si="16"/>
        <v>1293.9751610720625</v>
      </c>
      <c r="R72" s="140">
        <f t="shared" si="17"/>
        <v>11347.169657923294</v>
      </c>
      <c r="S72" s="138">
        <f t="shared" si="18"/>
        <v>237.072</v>
      </c>
      <c r="T72" s="104">
        <f t="shared" si="4"/>
        <v>30.514209138374692</v>
      </c>
      <c r="U72" s="139">
        <f t="shared" si="19"/>
        <v>267.58620913837467</v>
      </c>
      <c r="V72" s="104"/>
      <c r="W72" s="104">
        <f t="shared" si="20"/>
        <v>0</v>
      </c>
      <c r="X72" s="139">
        <f t="shared" si="21"/>
        <v>0</v>
      </c>
      <c r="Y72" s="138">
        <v>9480.8250000000007</v>
      </c>
      <c r="Z72" s="141">
        <v>0</v>
      </c>
      <c r="AA72" s="104">
        <f t="shared" si="5"/>
        <v>1220.3038606597627</v>
      </c>
      <c r="AB72" s="139">
        <f t="shared" si="6"/>
        <v>10701.128860659763</v>
      </c>
      <c r="AC72" s="138">
        <v>0</v>
      </c>
      <c r="AD72" s="104">
        <f t="shared" si="22"/>
        <v>0</v>
      </c>
      <c r="AE72" s="139">
        <f t="shared" si="23"/>
        <v>0</v>
      </c>
      <c r="AF72" s="142">
        <v>2329.8000000000002</v>
      </c>
      <c r="AG72" s="104">
        <f t="shared" si="24"/>
        <v>299.87516218948406</v>
      </c>
      <c r="AH72" s="139">
        <f t="shared" si="25"/>
        <v>2629.6751621894841</v>
      </c>
      <c r="AI72" s="142">
        <v>2175.8000000000002</v>
      </c>
      <c r="AJ72" s="104">
        <f t="shared" si="26"/>
        <v>280.05338565193551</v>
      </c>
      <c r="AK72" s="139">
        <f t="shared" si="27"/>
        <v>2455.8533856519357</v>
      </c>
      <c r="AL72" s="143">
        <v>552.5</v>
      </c>
      <c r="AM72" s="143"/>
      <c r="AN72" s="104">
        <f t="shared" si="28"/>
        <v>71.1138411493218</v>
      </c>
      <c r="AO72" s="148">
        <f t="shared" si="29"/>
        <v>623.61384114932184</v>
      </c>
      <c r="AP72" s="272">
        <f t="shared" si="30"/>
        <v>12367.980822493844</v>
      </c>
      <c r="AQ72" s="669">
        <v>0</v>
      </c>
      <c r="AR72" s="726">
        <v>8011.4407432007929</v>
      </c>
      <c r="AS72" s="726">
        <v>4225.9690790751074</v>
      </c>
      <c r="AT72" s="726">
        <v>130.57100021794318</v>
      </c>
      <c r="AU72" s="401">
        <v>0</v>
      </c>
      <c r="AV72" s="786"/>
      <c r="AW72" s="246"/>
      <c r="AX72" s="713">
        <f t="shared" si="31"/>
        <v>430.71911807778935</v>
      </c>
      <c r="AY72" s="714">
        <v>337.08874229415335</v>
      </c>
      <c r="AZ72" s="715"/>
      <c r="BA72" s="716">
        <v>0</v>
      </c>
      <c r="BC72" s="712">
        <v>90</v>
      </c>
      <c r="BD72" s="712">
        <v>340.71911807778935</v>
      </c>
      <c r="BE72" s="712"/>
      <c r="BF72" s="712"/>
      <c r="BG72" s="712">
        <v>0</v>
      </c>
      <c r="BH72" s="712">
        <v>29.931046041132955</v>
      </c>
      <c r="BI72" s="134">
        <f>BC72+BD72+BE72+BG72</f>
        <v>430.71911807778935</v>
      </c>
      <c r="BJ72" s="123">
        <v>1077.5999999999999</v>
      </c>
      <c r="BK72" s="792"/>
      <c r="BL72" s="104"/>
      <c r="BM72" s="672"/>
      <c r="BO72" s="562"/>
      <c r="BS72" s="879"/>
      <c r="BT72" s="774"/>
      <c r="BU72" s="774">
        <v>7918.8759772437143</v>
      </c>
      <c r="BV72" s="774">
        <v>0</v>
      </c>
      <c r="BW72" s="774">
        <f t="shared" si="32"/>
        <v>7918.8759772437143</v>
      </c>
    </row>
    <row r="73" spans="1:75" ht="15" thickBot="1" x14ac:dyDescent="0.35">
      <c r="A73" s="209" t="s">
        <v>254</v>
      </c>
      <c r="B73" s="227">
        <v>5</v>
      </c>
      <c r="C73" s="39">
        <f>'[3]побудинковий звіт'!E73</f>
        <v>2481.4</v>
      </c>
      <c r="D73" s="205">
        <f t="shared" si="7"/>
        <v>2160.9751654430675</v>
      </c>
      <c r="E73" s="104">
        <f t="shared" si="8"/>
        <v>475.41493342025944</v>
      </c>
      <c r="F73" s="104">
        <f t="shared" si="9"/>
        <v>72.903982264170281</v>
      </c>
      <c r="G73" s="104">
        <f t="shared" si="10"/>
        <v>0</v>
      </c>
      <c r="H73" s="104">
        <f t="shared" si="11"/>
        <v>1805.4400633125208</v>
      </c>
      <c r="I73" s="104">
        <f t="shared" si="12"/>
        <v>581.10422946448273</v>
      </c>
      <c r="J73" s="672">
        <f t="shared" ref="J73:J136" si="37">F73*$J$376*-1</f>
        <v>0</v>
      </c>
      <c r="K73" s="139">
        <f t="shared" si="13"/>
        <v>5095.8383739045012</v>
      </c>
      <c r="L73" s="138">
        <f t="shared" ref="L73:L136" si="38">(AS73+AT73+AU73)*$AS$376</f>
        <v>971.25807396132052</v>
      </c>
      <c r="M73" s="104">
        <f t="shared" ref="M73:M136" si="39">L73*$AS$379</f>
        <v>213.67577054357113</v>
      </c>
      <c r="N73" s="29">
        <f t="shared" si="14"/>
        <v>40.799631972026916</v>
      </c>
      <c r="O73" s="104">
        <f t="shared" ref="O73:O136" si="40">$O$369/$C$368*C73</f>
        <v>4.467287798820065</v>
      </c>
      <c r="P73" s="104">
        <f t="shared" si="15"/>
        <v>811.46154133890343</v>
      </c>
      <c r="Q73" s="104">
        <f t="shared" si="16"/>
        <v>262.788142772919</v>
      </c>
      <c r="R73" s="140">
        <f t="shared" si="17"/>
        <v>2304.4504483875608</v>
      </c>
      <c r="S73" s="138">
        <f t="shared" si="18"/>
        <v>118.866</v>
      </c>
      <c r="T73" s="104">
        <f t="shared" ref="T73:T136" si="41">S73*$B$5</f>
        <v>15.299579804624951</v>
      </c>
      <c r="U73" s="139">
        <f t="shared" si="19"/>
        <v>134.16557980462494</v>
      </c>
      <c r="V73" s="104"/>
      <c r="W73" s="104">
        <f t="shared" si="20"/>
        <v>0</v>
      </c>
      <c r="X73" s="139">
        <f t="shared" si="21"/>
        <v>0</v>
      </c>
      <c r="Y73" s="138">
        <v>0</v>
      </c>
      <c r="Z73" s="141">
        <v>0</v>
      </c>
      <c r="AA73" s="104">
        <f t="shared" ref="AA73:AA136" si="42">(Y73+Z73)*$B$5</f>
        <v>0</v>
      </c>
      <c r="AB73" s="139">
        <f t="shared" ref="AB73:AB136" si="43">Y73+Z73+AA73</f>
        <v>0</v>
      </c>
      <c r="AC73" s="138">
        <v>0</v>
      </c>
      <c r="AD73" s="104">
        <f t="shared" si="22"/>
        <v>0</v>
      </c>
      <c r="AE73" s="139">
        <f t="shared" si="23"/>
        <v>0</v>
      </c>
      <c r="AF73" s="142">
        <v>184.8</v>
      </c>
      <c r="AG73" s="104">
        <f t="shared" si="24"/>
        <v>23.786131845058225</v>
      </c>
      <c r="AH73" s="139">
        <f t="shared" si="25"/>
        <v>208.58613184505825</v>
      </c>
      <c r="AI73" s="142">
        <v>0</v>
      </c>
      <c r="AJ73" s="104">
        <f t="shared" si="26"/>
        <v>0</v>
      </c>
      <c r="AK73" s="139">
        <f t="shared" si="27"/>
        <v>0</v>
      </c>
      <c r="AL73" s="143"/>
      <c r="AM73" s="143"/>
      <c r="AN73" s="104">
        <f t="shared" si="28"/>
        <v>0</v>
      </c>
      <c r="AO73" s="148">
        <f t="shared" si="29"/>
        <v>0</v>
      </c>
      <c r="AP73" s="272">
        <f t="shared" si="30"/>
        <v>2891.4137754542362</v>
      </c>
      <c r="AQ73" s="669">
        <v>0</v>
      </c>
      <c r="AR73" s="726">
        <v>1994.3722102238294</v>
      </c>
      <c r="AS73" s="726">
        <v>875.84029782937455</v>
      </c>
      <c r="AT73" s="726">
        <v>21.20126740103219</v>
      </c>
      <c r="AU73" s="401">
        <v>0</v>
      </c>
      <c r="AV73" s="786"/>
      <c r="AW73" s="246"/>
      <c r="AX73" s="713">
        <f t="shared" si="31"/>
        <v>72.903982264170281</v>
      </c>
      <c r="AY73" s="714">
        <v>40.799631972026916</v>
      </c>
      <c r="AZ73" s="715"/>
      <c r="BA73" s="716">
        <v>0</v>
      </c>
      <c r="BC73" s="712">
        <v>0</v>
      </c>
      <c r="BD73" s="712">
        <v>72.903982264170281</v>
      </c>
      <c r="BE73" s="712"/>
      <c r="BF73" s="712"/>
      <c r="BG73" s="712">
        <v>0</v>
      </c>
      <c r="BH73" s="712">
        <v>5.128450690736706</v>
      </c>
      <c r="BI73" s="134">
        <f>BC73+BD73+BE73+BG73</f>
        <v>72.903982264170281</v>
      </c>
      <c r="BJ73" s="123">
        <v>540.29999999999995</v>
      </c>
      <c r="BK73" s="792"/>
      <c r="BL73" s="104"/>
      <c r="BM73" s="672"/>
      <c r="BO73" s="562"/>
      <c r="BS73" s="879"/>
      <c r="BT73" s="774"/>
      <c r="BU73" s="774">
        <v>1799.0236170215405</v>
      </c>
      <c r="BV73" s="774">
        <v>0</v>
      </c>
      <c r="BW73" s="774">
        <f t="shared" si="32"/>
        <v>1799.0236170215405</v>
      </c>
    </row>
    <row r="74" spans="1:75" ht="15" thickBot="1" x14ac:dyDescent="0.35">
      <c r="A74" s="209" t="s">
        <v>350</v>
      </c>
      <c r="B74" s="227">
        <v>9</v>
      </c>
      <c r="C74" s="39">
        <f>'[3]побудинковий звіт'!E74</f>
        <v>11458.36</v>
      </c>
      <c r="D74" s="205">
        <f t="shared" ref="D74:D137" si="44">(AQ74+AR74+AV74)*$AR$376</f>
        <v>1819.7584841248026</v>
      </c>
      <c r="E74" s="104">
        <f t="shared" ref="E74:E137" si="45">D74*$AR$379</f>
        <v>400.34720084058188</v>
      </c>
      <c r="F74" s="104">
        <f t="shared" ref="F74:F137" si="46">AX74*$F$375+BM74+BK74</f>
        <v>420.48193470439656</v>
      </c>
      <c r="G74" s="104">
        <f t="shared" ref="G74:G137" si="47">BL74</f>
        <v>0</v>
      </c>
      <c r="H74" s="104">
        <f t="shared" ref="H74:H137" si="48">D74*$B$4</f>
        <v>1520.3621611811338</v>
      </c>
      <c r="I74" s="104">
        <f t="shared" ref="I74:I137" si="49">(D74+E74+F74+G74+H74)*$B$5</f>
        <v>535.56764116875536</v>
      </c>
      <c r="J74" s="672">
        <f t="shared" si="37"/>
        <v>0</v>
      </c>
      <c r="K74" s="139">
        <f t="shared" ref="K74:K137" si="50">D74+E74+F74+G74+H74+I74-J74</f>
        <v>4696.5174220196704</v>
      </c>
      <c r="L74" s="138">
        <f t="shared" si="38"/>
        <v>3055.8883837119743</v>
      </c>
      <c r="M74" s="104">
        <f t="shared" si="39"/>
        <v>672.29228007509789</v>
      </c>
      <c r="N74" s="29">
        <f t="shared" ref="N74:N137" si="51">AY74+BA74</f>
        <v>188.35063912743556</v>
      </c>
      <c r="O74" s="104">
        <f t="shared" si="40"/>
        <v>20.628593464370066</v>
      </c>
      <c r="P74" s="104">
        <f t="shared" ref="P74:P137" si="52">L74*$B$4</f>
        <v>2553.1174097661324</v>
      </c>
      <c r="Q74" s="104">
        <f t="shared" ref="Q74:Q137" si="53">(L74+M74+N74+O74+P74)*$B$5</f>
        <v>835.38198979953745</v>
      </c>
      <c r="R74" s="140">
        <f t="shared" ref="R74:R137" si="54">SUM(L74:Q74)</f>
        <v>7325.659295944547</v>
      </c>
      <c r="S74" s="138">
        <f t="shared" ref="S74:S137" si="55">BJ74*2.64/12</f>
        <v>169.97200000000001</v>
      </c>
      <c r="T74" s="104">
        <f t="shared" si="41"/>
        <v>21.877577932728553</v>
      </c>
      <c r="U74" s="139">
        <f t="shared" ref="U74:U137" si="56">S74+T74</f>
        <v>191.84957793272855</v>
      </c>
      <c r="V74" s="104"/>
      <c r="W74" s="104">
        <f t="shared" ref="W74:W137" si="57">V74*$B$5</f>
        <v>0</v>
      </c>
      <c r="X74" s="139">
        <f t="shared" ref="X74:X137" si="58">V74+W74</f>
        <v>0</v>
      </c>
      <c r="Y74" s="138">
        <v>10729.54</v>
      </c>
      <c r="Z74" s="141">
        <v>0</v>
      </c>
      <c r="AA74" s="104">
        <f t="shared" si="42"/>
        <v>1381.0295079914829</v>
      </c>
      <c r="AB74" s="139">
        <f t="shared" si="43"/>
        <v>12110.569507991484</v>
      </c>
      <c r="AC74" s="138">
        <v>0</v>
      </c>
      <c r="AD74" s="104">
        <f t="shared" ref="AD74:AD137" si="59">AC74*$B$5</f>
        <v>0</v>
      </c>
      <c r="AE74" s="139">
        <f t="shared" ref="AE74:AE137" si="60">AC74+AD74</f>
        <v>0</v>
      </c>
      <c r="AF74" s="142">
        <v>1628</v>
      </c>
      <c r="AG74" s="104">
        <f t="shared" ref="AG74:AG137" si="61">AF74*$B$5</f>
        <v>209.54449482551291</v>
      </c>
      <c r="AH74" s="139">
        <f t="shared" ref="AH74:AH137" si="62">AF74+AG74</f>
        <v>1837.5444948255129</v>
      </c>
      <c r="AI74" s="142">
        <v>1771</v>
      </c>
      <c r="AJ74" s="104">
        <f t="shared" ref="AJ74:AJ137" si="63">AI74*$B$5</f>
        <v>227.95043018180797</v>
      </c>
      <c r="AK74" s="139">
        <f t="shared" ref="AK74:AK137" si="64">AI74+AJ74</f>
        <v>1998.9504301818079</v>
      </c>
      <c r="AL74" s="143"/>
      <c r="AM74" s="143"/>
      <c r="AN74" s="104">
        <f t="shared" ref="AN74:AN137" si="65">AL74*$C$5</f>
        <v>0</v>
      </c>
      <c r="AO74" s="148">
        <f t="shared" ref="AO74:AO137" si="66">AL74+AM74+AN74</f>
        <v>0</v>
      </c>
      <c r="AP74" s="272">
        <f t="shared" ref="AP74:AP137" si="67">AR74+AS74+AT74</f>
        <v>2690.1340161034955</v>
      </c>
      <c r="AQ74" s="669">
        <v>0</v>
      </c>
      <c r="AR74" s="726">
        <v>1679.4620355173922</v>
      </c>
      <c r="AS74" s="726">
        <v>995.31595082186277</v>
      </c>
      <c r="AT74" s="726">
        <v>15.356029764240274</v>
      </c>
      <c r="AU74" s="401">
        <v>1811.7075417936258</v>
      </c>
      <c r="AV74" s="786"/>
      <c r="AW74" s="246"/>
      <c r="AX74" s="713">
        <f t="shared" ref="AX74:AX137" si="68">BC74+BD74+BE74+BF74+BG74</f>
        <v>420.48193470439656</v>
      </c>
      <c r="AY74" s="714">
        <v>188.35063912743556</v>
      </c>
      <c r="AZ74" s="715"/>
      <c r="BA74" s="716">
        <v>0</v>
      </c>
      <c r="BC74" s="712">
        <v>90</v>
      </c>
      <c r="BD74" s="712">
        <v>330.48193470439656</v>
      </c>
      <c r="BE74" s="712"/>
      <c r="BF74" s="712"/>
      <c r="BG74" s="712">
        <v>0</v>
      </c>
      <c r="BH74" s="712">
        <v>17.59762491919458</v>
      </c>
      <c r="BI74" s="134">
        <f>BC74+BD74+BE74+BG74</f>
        <v>420.48193470439656</v>
      </c>
      <c r="BJ74" s="123">
        <v>772.6</v>
      </c>
      <c r="BK74" s="792"/>
      <c r="BL74" s="104"/>
      <c r="BM74" s="672"/>
      <c r="BO74" s="562"/>
      <c r="BS74" s="879"/>
      <c r="BT74" s="774"/>
      <c r="BU74" s="774">
        <v>6281.5547230288821</v>
      </c>
      <c r="BV74" s="774">
        <v>0</v>
      </c>
      <c r="BW74" s="774">
        <f t="shared" ref="BW74:BW137" si="69">BU74+BV74</f>
        <v>6281.5547230288821</v>
      </c>
    </row>
    <row r="75" spans="1:75" ht="15" thickBot="1" x14ac:dyDescent="0.35">
      <c r="A75" s="210" t="s">
        <v>65</v>
      </c>
      <c r="B75" s="228">
        <v>1</v>
      </c>
      <c r="C75" s="39">
        <f>'[3]побудинковий звіт'!E75</f>
        <v>216</v>
      </c>
      <c r="D75" s="205">
        <f t="shared" si="44"/>
        <v>0</v>
      </c>
      <c r="E75" s="104">
        <f t="shared" si="45"/>
        <v>0</v>
      </c>
      <c r="F75" s="104">
        <f t="shared" si="46"/>
        <v>0</v>
      </c>
      <c r="G75" s="104">
        <f t="shared" si="47"/>
        <v>0</v>
      </c>
      <c r="H75" s="104">
        <f t="shared" si="48"/>
        <v>0</v>
      </c>
      <c r="I75" s="104">
        <f t="shared" si="49"/>
        <v>0</v>
      </c>
      <c r="J75" s="672">
        <f t="shared" si="37"/>
        <v>0</v>
      </c>
      <c r="K75" s="139">
        <f t="shared" si="50"/>
        <v>0</v>
      </c>
      <c r="L75" s="138">
        <f t="shared" si="38"/>
        <v>0</v>
      </c>
      <c r="M75" s="104">
        <f t="shared" si="39"/>
        <v>0</v>
      </c>
      <c r="N75" s="29">
        <f t="shared" si="51"/>
        <v>0</v>
      </c>
      <c r="O75" s="104">
        <f t="shared" si="40"/>
        <v>0.38886683507098174</v>
      </c>
      <c r="P75" s="104">
        <f t="shared" si="52"/>
        <v>0</v>
      </c>
      <c r="Q75" s="104">
        <f t="shared" si="53"/>
        <v>5.0052152647017761E-2</v>
      </c>
      <c r="R75" s="140">
        <f t="shared" si="54"/>
        <v>0.43891898771799953</v>
      </c>
      <c r="S75" s="138">
        <f t="shared" si="55"/>
        <v>0</v>
      </c>
      <c r="T75" s="104">
        <f t="shared" si="41"/>
        <v>0</v>
      </c>
      <c r="U75" s="139">
        <f t="shared" si="56"/>
        <v>0</v>
      </c>
      <c r="V75" s="104"/>
      <c r="W75" s="104">
        <f t="shared" si="57"/>
        <v>0</v>
      </c>
      <c r="X75" s="139">
        <f t="shared" si="58"/>
        <v>0</v>
      </c>
      <c r="Y75" s="138">
        <v>0</v>
      </c>
      <c r="Z75" s="141">
        <v>0</v>
      </c>
      <c r="AA75" s="104">
        <f t="shared" si="42"/>
        <v>0</v>
      </c>
      <c r="AB75" s="139">
        <f t="shared" si="43"/>
        <v>0</v>
      </c>
      <c r="AC75" s="138">
        <v>0</v>
      </c>
      <c r="AD75" s="104">
        <f t="shared" si="59"/>
        <v>0</v>
      </c>
      <c r="AE75" s="139">
        <f t="shared" si="60"/>
        <v>0</v>
      </c>
      <c r="AF75" s="142">
        <v>0</v>
      </c>
      <c r="AG75" s="104">
        <f t="shared" si="61"/>
        <v>0</v>
      </c>
      <c r="AH75" s="139">
        <f t="shared" si="62"/>
        <v>0</v>
      </c>
      <c r="AI75" s="142">
        <v>0</v>
      </c>
      <c r="AJ75" s="104">
        <f t="shared" si="63"/>
        <v>0</v>
      </c>
      <c r="AK75" s="139">
        <f t="shared" si="64"/>
        <v>0</v>
      </c>
      <c r="AL75" s="143"/>
      <c r="AM75" s="205"/>
      <c r="AN75" s="104">
        <f t="shared" si="65"/>
        <v>0</v>
      </c>
      <c r="AO75" s="148">
        <f t="shared" si="66"/>
        <v>0</v>
      </c>
      <c r="AP75" s="272">
        <f t="shared" si="67"/>
        <v>0</v>
      </c>
      <c r="AQ75" s="669">
        <v>0</v>
      </c>
      <c r="AR75" s="401">
        <v>0</v>
      </c>
      <c r="AS75" s="401">
        <v>0</v>
      </c>
      <c r="AT75" s="401">
        <v>0</v>
      </c>
      <c r="AU75" s="401">
        <v>0</v>
      </c>
      <c r="AV75" s="727">
        <v>0</v>
      </c>
      <c r="AW75" s="246"/>
      <c r="AX75" s="713">
        <f t="shared" si="68"/>
        <v>0</v>
      </c>
      <c r="AY75" s="714">
        <v>0</v>
      </c>
      <c r="AZ75" s="715"/>
      <c r="BA75" s="716">
        <v>0</v>
      </c>
      <c r="BB75" s="727"/>
      <c r="BC75" s="712">
        <v>0</v>
      </c>
      <c r="BD75" s="712">
        <v>0</v>
      </c>
      <c r="BE75" s="712"/>
      <c r="BF75" s="712"/>
      <c r="BG75" s="712">
        <v>0</v>
      </c>
      <c r="BH75" s="712">
        <v>0</v>
      </c>
      <c r="BI75" s="134">
        <f t="shared" si="36"/>
        <v>0</v>
      </c>
      <c r="BJ75" s="123"/>
      <c r="BK75" s="792"/>
      <c r="BL75" s="104"/>
      <c r="BM75" s="672"/>
      <c r="BO75" s="562"/>
      <c r="BS75" s="879"/>
      <c r="BT75" s="774"/>
      <c r="BU75" s="774">
        <v>0</v>
      </c>
      <c r="BV75" s="774">
        <v>0</v>
      </c>
      <c r="BW75" s="774">
        <f t="shared" si="69"/>
        <v>0</v>
      </c>
    </row>
    <row r="76" spans="1:75" ht="15" thickBot="1" x14ac:dyDescent="0.35">
      <c r="A76" s="210" t="s">
        <v>66</v>
      </c>
      <c r="B76" s="228">
        <v>1</v>
      </c>
      <c r="C76" s="39">
        <f>'[3]побудинковий звіт'!E76</f>
        <v>216.8</v>
      </c>
      <c r="D76" s="205">
        <f t="shared" si="44"/>
        <v>0</v>
      </c>
      <c r="E76" s="104">
        <f t="shared" si="45"/>
        <v>0</v>
      </c>
      <c r="F76" s="104">
        <f t="shared" si="46"/>
        <v>0</v>
      </c>
      <c r="G76" s="104">
        <f t="shared" si="47"/>
        <v>0</v>
      </c>
      <c r="H76" s="104">
        <f t="shared" si="48"/>
        <v>0</v>
      </c>
      <c r="I76" s="104">
        <f t="shared" si="49"/>
        <v>0</v>
      </c>
      <c r="J76" s="672">
        <f t="shared" si="37"/>
        <v>0</v>
      </c>
      <c r="K76" s="139">
        <f t="shared" si="50"/>
        <v>0</v>
      </c>
      <c r="L76" s="138">
        <f t="shared" si="38"/>
        <v>0</v>
      </c>
      <c r="M76" s="104">
        <f t="shared" si="39"/>
        <v>0</v>
      </c>
      <c r="N76" s="29">
        <f t="shared" si="51"/>
        <v>0</v>
      </c>
      <c r="O76" s="104">
        <f t="shared" si="40"/>
        <v>0.39030708260828167</v>
      </c>
      <c r="P76" s="104">
        <f t="shared" si="52"/>
        <v>0</v>
      </c>
      <c r="Q76" s="104">
        <f t="shared" si="53"/>
        <v>5.023753099015487E-2</v>
      </c>
      <c r="R76" s="140">
        <f t="shared" si="54"/>
        <v>0.44054461359843655</v>
      </c>
      <c r="S76" s="138">
        <f t="shared" si="55"/>
        <v>0</v>
      </c>
      <c r="T76" s="104">
        <f t="shared" si="41"/>
        <v>0</v>
      </c>
      <c r="U76" s="139">
        <f t="shared" si="56"/>
        <v>0</v>
      </c>
      <c r="V76" s="104"/>
      <c r="W76" s="104">
        <f t="shared" si="57"/>
        <v>0</v>
      </c>
      <c r="X76" s="139">
        <f t="shared" si="58"/>
        <v>0</v>
      </c>
      <c r="Y76" s="138">
        <v>0</v>
      </c>
      <c r="Z76" s="141">
        <v>0</v>
      </c>
      <c r="AA76" s="104">
        <f t="shared" si="42"/>
        <v>0</v>
      </c>
      <c r="AB76" s="139">
        <f t="shared" si="43"/>
        <v>0</v>
      </c>
      <c r="AC76" s="138">
        <v>0</v>
      </c>
      <c r="AD76" s="104">
        <f t="shared" si="59"/>
        <v>0</v>
      </c>
      <c r="AE76" s="139">
        <f t="shared" si="60"/>
        <v>0</v>
      </c>
      <c r="AF76" s="142">
        <v>0</v>
      </c>
      <c r="AG76" s="104">
        <f t="shared" si="61"/>
        <v>0</v>
      </c>
      <c r="AH76" s="139">
        <f t="shared" si="62"/>
        <v>0</v>
      </c>
      <c r="AI76" s="142">
        <v>0</v>
      </c>
      <c r="AJ76" s="104">
        <f t="shared" si="63"/>
        <v>0</v>
      </c>
      <c r="AK76" s="139">
        <f t="shared" si="64"/>
        <v>0</v>
      </c>
      <c r="AL76" s="143"/>
      <c r="AM76" s="205"/>
      <c r="AN76" s="104">
        <f t="shared" si="65"/>
        <v>0</v>
      </c>
      <c r="AO76" s="148">
        <f t="shared" si="66"/>
        <v>0</v>
      </c>
      <c r="AP76" s="272">
        <f t="shared" si="67"/>
        <v>0</v>
      </c>
      <c r="AQ76" s="669">
        <v>0</v>
      </c>
      <c r="AR76" s="401">
        <v>0</v>
      </c>
      <c r="AS76" s="401">
        <v>0</v>
      </c>
      <c r="AT76" s="401">
        <v>0</v>
      </c>
      <c r="AU76" s="401">
        <v>0</v>
      </c>
      <c r="AV76" s="727">
        <v>0</v>
      </c>
      <c r="AW76" s="246"/>
      <c r="AX76" s="713">
        <f t="shared" si="68"/>
        <v>0</v>
      </c>
      <c r="AY76" s="714">
        <v>0</v>
      </c>
      <c r="AZ76" s="715"/>
      <c r="BA76" s="716">
        <v>0</v>
      </c>
      <c r="BB76" s="727"/>
      <c r="BC76" s="712">
        <v>0</v>
      </c>
      <c r="BD76" s="712">
        <v>0</v>
      </c>
      <c r="BE76" s="712"/>
      <c r="BF76" s="712"/>
      <c r="BG76" s="712">
        <v>0</v>
      </c>
      <c r="BH76" s="712">
        <v>0</v>
      </c>
      <c r="BI76" s="134">
        <f t="shared" si="36"/>
        <v>0</v>
      </c>
      <c r="BJ76" s="123"/>
      <c r="BK76" s="792"/>
      <c r="BL76" s="104"/>
      <c r="BM76" s="672"/>
      <c r="BO76" s="562"/>
      <c r="BS76" s="879"/>
      <c r="BT76" s="774"/>
      <c r="BU76" s="774">
        <v>0</v>
      </c>
      <c r="BV76" s="774">
        <v>0</v>
      </c>
      <c r="BW76" s="774">
        <f t="shared" si="69"/>
        <v>0</v>
      </c>
    </row>
    <row r="77" spans="1:75" ht="15" thickBot="1" x14ac:dyDescent="0.35">
      <c r="A77" s="210" t="s">
        <v>67</v>
      </c>
      <c r="B77" s="228">
        <v>1</v>
      </c>
      <c r="C77" s="39">
        <f>'[3]побудинковий звіт'!E77</f>
        <v>214.7</v>
      </c>
      <c r="D77" s="205">
        <f t="shared" si="44"/>
        <v>0</v>
      </c>
      <c r="E77" s="104">
        <f t="shared" si="45"/>
        <v>0</v>
      </c>
      <c r="F77" s="104">
        <f t="shared" si="46"/>
        <v>0</v>
      </c>
      <c r="G77" s="104">
        <f t="shared" si="47"/>
        <v>0</v>
      </c>
      <c r="H77" s="104">
        <f t="shared" si="48"/>
        <v>0</v>
      </c>
      <c r="I77" s="104">
        <f t="shared" si="49"/>
        <v>0</v>
      </c>
      <c r="J77" s="672">
        <f t="shared" si="37"/>
        <v>0</v>
      </c>
      <c r="K77" s="139">
        <f t="shared" si="50"/>
        <v>0</v>
      </c>
      <c r="L77" s="138">
        <f t="shared" si="38"/>
        <v>0</v>
      </c>
      <c r="M77" s="104">
        <f t="shared" si="39"/>
        <v>0</v>
      </c>
      <c r="N77" s="29">
        <f t="shared" si="51"/>
        <v>0</v>
      </c>
      <c r="O77" s="104">
        <f t="shared" si="40"/>
        <v>0.38652643282286936</v>
      </c>
      <c r="P77" s="104">
        <f t="shared" si="52"/>
        <v>0</v>
      </c>
      <c r="Q77" s="104">
        <f t="shared" si="53"/>
        <v>4.9750912839419972E-2</v>
      </c>
      <c r="R77" s="140">
        <f t="shared" si="54"/>
        <v>0.43627734566228932</v>
      </c>
      <c r="S77" s="138">
        <f t="shared" si="55"/>
        <v>0</v>
      </c>
      <c r="T77" s="104">
        <f t="shared" si="41"/>
        <v>0</v>
      </c>
      <c r="U77" s="139">
        <f t="shared" si="56"/>
        <v>0</v>
      </c>
      <c r="V77" s="104"/>
      <c r="W77" s="104">
        <f t="shared" si="57"/>
        <v>0</v>
      </c>
      <c r="X77" s="139">
        <f t="shared" si="58"/>
        <v>0</v>
      </c>
      <c r="Y77" s="138">
        <v>0</v>
      </c>
      <c r="Z77" s="141">
        <v>0</v>
      </c>
      <c r="AA77" s="104">
        <f t="shared" si="42"/>
        <v>0</v>
      </c>
      <c r="AB77" s="139">
        <f t="shared" si="43"/>
        <v>0</v>
      </c>
      <c r="AC77" s="138">
        <v>0</v>
      </c>
      <c r="AD77" s="104">
        <f t="shared" si="59"/>
        <v>0</v>
      </c>
      <c r="AE77" s="139">
        <f t="shared" si="60"/>
        <v>0</v>
      </c>
      <c r="AF77" s="142">
        <v>0</v>
      </c>
      <c r="AG77" s="104">
        <f t="shared" si="61"/>
        <v>0</v>
      </c>
      <c r="AH77" s="139">
        <f t="shared" si="62"/>
        <v>0</v>
      </c>
      <c r="AI77" s="142">
        <v>0</v>
      </c>
      <c r="AJ77" s="104">
        <f t="shared" si="63"/>
        <v>0</v>
      </c>
      <c r="AK77" s="139">
        <f t="shared" si="64"/>
        <v>0</v>
      </c>
      <c r="AL77" s="143"/>
      <c r="AM77" s="205"/>
      <c r="AN77" s="104">
        <f t="shared" si="65"/>
        <v>0</v>
      </c>
      <c r="AO77" s="148">
        <f t="shared" si="66"/>
        <v>0</v>
      </c>
      <c r="AP77" s="272">
        <f t="shared" si="67"/>
        <v>0</v>
      </c>
      <c r="AQ77" s="669">
        <v>0</v>
      </c>
      <c r="AR77" s="401">
        <v>0</v>
      </c>
      <c r="AS77" s="401">
        <v>0</v>
      </c>
      <c r="AT77" s="401">
        <v>0</v>
      </c>
      <c r="AU77" s="401">
        <v>0</v>
      </c>
      <c r="AV77" s="727">
        <v>0</v>
      </c>
      <c r="AW77" s="246"/>
      <c r="AX77" s="713">
        <f t="shared" si="68"/>
        <v>0</v>
      </c>
      <c r="AY77" s="714">
        <v>0</v>
      </c>
      <c r="AZ77" s="715"/>
      <c r="BA77" s="716">
        <v>0</v>
      </c>
      <c r="BB77" s="727"/>
      <c r="BC77" s="712">
        <v>0</v>
      </c>
      <c r="BD77" s="712">
        <v>0</v>
      </c>
      <c r="BE77" s="712"/>
      <c r="BF77" s="712"/>
      <c r="BG77" s="712">
        <v>0</v>
      </c>
      <c r="BH77" s="712">
        <v>0</v>
      </c>
      <c r="BI77" s="134">
        <f t="shared" si="36"/>
        <v>0</v>
      </c>
      <c r="BJ77" s="123"/>
      <c r="BK77" s="792"/>
      <c r="BL77" s="104"/>
      <c r="BM77" s="672"/>
      <c r="BO77" s="562"/>
      <c r="BS77" s="879"/>
      <c r="BT77" s="774"/>
      <c r="BU77" s="774">
        <v>0</v>
      </c>
      <c r="BV77" s="774">
        <v>0</v>
      </c>
      <c r="BW77" s="774">
        <f t="shared" si="69"/>
        <v>0</v>
      </c>
    </row>
    <row r="78" spans="1:75" ht="15" thickBot="1" x14ac:dyDescent="0.35">
      <c r="A78" s="210" t="s">
        <v>68</v>
      </c>
      <c r="B78" s="228">
        <v>1</v>
      </c>
      <c r="C78" s="39">
        <f>'[3]побудинковий звіт'!E78</f>
        <v>397.8</v>
      </c>
      <c r="D78" s="205">
        <f t="shared" si="44"/>
        <v>0</v>
      </c>
      <c r="E78" s="104">
        <f t="shared" si="45"/>
        <v>0</v>
      </c>
      <c r="F78" s="104">
        <f t="shared" si="46"/>
        <v>0</v>
      </c>
      <c r="G78" s="104">
        <f t="shared" si="47"/>
        <v>0</v>
      </c>
      <c r="H78" s="104">
        <f t="shared" si="48"/>
        <v>0</v>
      </c>
      <c r="I78" s="104">
        <f t="shared" si="49"/>
        <v>0</v>
      </c>
      <c r="J78" s="672">
        <f t="shared" si="37"/>
        <v>0</v>
      </c>
      <c r="K78" s="139">
        <f t="shared" si="50"/>
        <v>0</v>
      </c>
      <c r="L78" s="138">
        <f t="shared" si="38"/>
        <v>0</v>
      </c>
      <c r="M78" s="104">
        <f t="shared" si="39"/>
        <v>0</v>
      </c>
      <c r="N78" s="29">
        <f t="shared" si="51"/>
        <v>0</v>
      </c>
      <c r="O78" s="104">
        <f t="shared" si="40"/>
        <v>0.71616308792239136</v>
      </c>
      <c r="P78" s="104">
        <f t="shared" si="52"/>
        <v>0</v>
      </c>
      <c r="Q78" s="104">
        <f t="shared" si="53"/>
        <v>9.2179381124924381E-2</v>
      </c>
      <c r="R78" s="140">
        <f t="shared" si="54"/>
        <v>0.80834246904731577</v>
      </c>
      <c r="S78" s="138">
        <f t="shared" si="55"/>
        <v>0</v>
      </c>
      <c r="T78" s="104">
        <f t="shared" si="41"/>
        <v>0</v>
      </c>
      <c r="U78" s="139">
        <f t="shared" si="56"/>
        <v>0</v>
      </c>
      <c r="V78" s="104"/>
      <c r="W78" s="104">
        <f t="shared" si="57"/>
        <v>0</v>
      </c>
      <c r="X78" s="139">
        <f t="shared" si="58"/>
        <v>0</v>
      </c>
      <c r="Y78" s="138">
        <v>0</v>
      </c>
      <c r="Z78" s="141">
        <v>0</v>
      </c>
      <c r="AA78" s="104">
        <f t="shared" si="42"/>
        <v>0</v>
      </c>
      <c r="AB78" s="139">
        <f t="shared" si="43"/>
        <v>0</v>
      </c>
      <c r="AC78" s="138">
        <v>0</v>
      </c>
      <c r="AD78" s="104">
        <f t="shared" si="59"/>
        <v>0</v>
      </c>
      <c r="AE78" s="139">
        <f t="shared" si="60"/>
        <v>0</v>
      </c>
      <c r="AF78" s="142">
        <v>0</v>
      </c>
      <c r="AG78" s="104">
        <f t="shared" si="61"/>
        <v>0</v>
      </c>
      <c r="AH78" s="139">
        <f t="shared" si="62"/>
        <v>0</v>
      </c>
      <c r="AI78" s="142">
        <v>0</v>
      </c>
      <c r="AJ78" s="104">
        <f t="shared" si="63"/>
        <v>0</v>
      </c>
      <c r="AK78" s="139">
        <f t="shared" si="64"/>
        <v>0</v>
      </c>
      <c r="AL78" s="143"/>
      <c r="AM78" s="205"/>
      <c r="AN78" s="104">
        <f t="shared" si="65"/>
        <v>0</v>
      </c>
      <c r="AO78" s="148">
        <f t="shared" si="66"/>
        <v>0</v>
      </c>
      <c r="AP78" s="272">
        <f t="shared" si="67"/>
        <v>0</v>
      </c>
      <c r="AQ78" s="669">
        <v>0</v>
      </c>
      <c r="AR78" s="726">
        <v>0</v>
      </c>
      <c r="AS78" s="726">
        <v>0</v>
      </c>
      <c r="AT78" s="726">
        <v>0</v>
      </c>
      <c r="AU78" s="401">
        <v>0</v>
      </c>
      <c r="AV78" s="786"/>
      <c r="AW78" s="246"/>
      <c r="AX78" s="713">
        <f t="shared" si="68"/>
        <v>0</v>
      </c>
      <c r="AY78" s="714">
        <v>0</v>
      </c>
      <c r="AZ78" s="715"/>
      <c r="BA78" s="716">
        <v>0</v>
      </c>
      <c r="BC78" s="712">
        <v>0</v>
      </c>
      <c r="BD78" s="712">
        <v>0</v>
      </c>
      <c r="BE78" s="712"/>
      <c r="BF78" s="712"/>
      <c r="BG78" s="712">
        <v>0</v>
      </c>
      <c r="BH78" s="712">
        <v>0</v>
      </c>
      <c r="BI78" s="134">
        <f t="shared" si="36"/>
        <v>0</v>
      </c>
      <c r="BJ78" s="123"/>
      <c r="BK78" s="792"/>
      <c r="BL78" s="104"/>
      <c r="BM78" s="672"/>
      <c r="BO78" s="562"/>
      <c r="BS78" s="879"/>
      <c r="BT78" s="774"/>
      <c r="BU78" s="774">
        <v>0</v>
      </c>
      <c r="BV78" s="774">
        <v>0</v>
      </c>
      <c r="BW78" s="774">
        <f t="shared" si="69"/>
        <v>0</v>
      </c>
    </row>
    <row r="79" spans="1:75" ht="15" thickBot="1" x14ac:dyDescent="0.35">
      <c r="A79" s="210" t="s">
        <v>72</v>
      </c>
      <c r="B79" s="228">
        <v>1</v>
      </c>
      <c r="C79" s="39">
        <f>'[3]побудинковий звіт'!E79</f>
        <v>245.6</v>
      </c>
      <c r="D79" s="205">
        <f t="shared" si="44"/>
        <v>53.667564858609197</v>
      </c>
      <c r="E79" s="104">
        <f t="shared" si="45"/>
        <v>11.806874128908328</v>
      </c>
      <c r="F79" s="104">
        <f t="shared" si="46"/>
        <v>0</v>
      </c>
      <c r="G79" s="104">
        <f t="shared" si="47"/>
        <v>0</v>
      </c>
      <c r="H79" s="104">
        <f t="shared" si="48"/>
        <v>44.837892283824551</v>
      </c>
      <c r="I79" s="104">
        <f t="shared" si="49"/>
        <v>14.198612855821873</v>
      </c>
      <c r="J79" s="672">
        <f t="shared" si="37"/>
        <v>0</v>
      </c>
      <c r="K79" s="139">
        <f t="shared" si="50"/>
        <v>124.51094412716397</v>
      </c>
      <c r="L79" s="138">
        <f t="shared" si="38"/>
        <v>0</v>
      </c>
      <c r="M79" s="104">
        <f t="shared" si="39"/>
        <v>0</v>
      </c>
      <c r="N79" s="29">
        <f t="shared" si="51"/>
        <v>0</v>
      </c>
      <c r="O79" s="104">
        <f t="shared" si="40"/>
        <v>0.44215599395107924</v>
      </c>
      <c r="P79" s="104">
        <f t="shared" si="52"/>
        <v>0</v>
      </c>
      <c r="Q79" s="104">
        <f t="shared" si="53"/>
        <v>5.691115134309057E-2</v>
      </c>
      <c r="R79" s="140">
        <f t="shared" si="54"/>
        <v>0.49906714529416979</v>
      </c>
      <c r="S79" s="138">
        <f t="shared" si="55"/>
        <v>0</v>
      </c>
      <c r="T79" s="104">
        <f t="shared" si="41"/>
        <v>0</v>
      </c>
      <c r="U79" s="139">
        <f t="shared" si="56"/>
        <v>0</v>
      </c>
      <c r="V79" s="104"/>
      <c r="W79" s="104">
        <f t="shared" si="57"/>
        <v>0</v>
      </c>
      <c r="X79" s="139">
        <f t="shared" si="58"/>
        <v>0</v>
      </c>
      <c r="Y79" s="138">
        <v>0</v>
      </c>
      <c r="Z79" s="141">
        <v>0</v>
      </c>
      <c r="AA79" s="104">
        <f t="shared" si="42"/>
        <v>0</v>
      </c>
      <c r="AB79" s="139">
        <f t="shared" si="43"/>
        <v>0</v>
      </c>
      <c r="AC79" s="138">
        <v>0</v>
      </c>
      <c r="AD79" s="104">
        <f t="shared" si="59"/>
        <v>0</v>
      </c>
      <c r="AE79" s="139">
        <f t="shared" si="60"/>
        <v>0</v>
      </c>
      <c r="AF79" s="142">
        <v>0</v>
      </c>
      <c r="AG79" s="104">
        <f t="shared" si="61"/>
        <v>0</v>
      </c>
      <c r="AH79" s="139">
        <f t="shared" si="62"/>
        <v>0</v>
      </c>
      <c r="AI79" s="142">
        <v>0</v>
      </c>
      <c r="AJ79" s="104">
        <f t="shared" si="63"/>
        <v>0</v>
      </c>
      <c r="AK79" s="139">
        <f t="shared" si="64"/>
        <v>0</v>
      </c>
      <c r="AL79" s="143"/>
      <c r="AM79" s="205"/>
      <c r="AN79" s="104">
        <f t="shared" si="65"/>
        <v>0</v>
      </c>
      <c r="AO79" s="148">
        <f t="shared" si="66"/>
        <v>0</v>
      </c>
      <c r="AP79" s="272">
        <f t="shared" si="67"/>
        <v>0</v>
      </c>
      <c r="AQ79" s="669">
        <v>49.53</v>
      </c>
      <c r="AR79" s="726">
        <v>0</v>
      </c>
      <c r="AS79" s="726">
        <v>0</v>
      </c>
      <c r="AT79" s="726">
        <v>0</v>
      </c>
      <c r="AU79" s="401">
        <v>0</v>
      </c>
      <c r="AV79" s="786"/>
      <c r="AW79" s="246"/>
      <c r="AX79" s="713">
        <f t="shared" si="68"/>
        <v>0</v>
      </c>
      <c r="AY79" s="714">
        <v>0</v>
      </c>
      <c r="AZ79" s="715"/>
      <c r="BA79" s="716">
        <v>0</v>
      </c>
      <c r="BC79" s="712">
        <v>0</v>
      </c>
      <c r="BD79" s="712">
        <v>0</v>
      </c>
      <c r="BE79" s="712"/>
      <c r="BF79" s="712"/>
      <c r="BG79" s="712">
        <v>0</v>
      </c>
      <c r="BH79" s="712">
        <v>0</v>
      </c>
      <c r="BI79" s="134">
        <f t="shared" si="36"/>
        <v>0</v>
      </c>
      <c r="BJ79" s="123"/>
      <c r="BK79" s="792"/>
      <c r="BL79" s="104"/>
      <c r="BM79" s="672"/>
      <c r="BO79" s="562"/>
      <c r="BS79" s="879"/>
      <c r="BT79" s="774"/>
      <c r="BU79" s="774">
        <v>0</v>
      </c>
      <c r="BV79" s="774">
        <v>0</v>
      </c>
      <c r="BW79" s="774">
        <f t="shared" si="69"/>
        <v>0</v>
      </c>
    </row>
    <row r="80" spans="1:75" ht="15" thickBot="1" x14ac:dyDescent="0.35">
      <c r="A80" s="210" t="s">
        <v>74</v>
      </c>
      <c r="B80" s="228">
        <v>1</v>
      </c>
      <c r="C80" s="39">
        <f>'[3]побудинковий звіт'!E80</f>
        <v>282.8</v>
      </c>
      <c r="D80" s="205">
        <f t="shared" si="44"/>
        <v>122.66717176747723</v>
      </c>
      <c r="E80" s="104">
        <f t="shared" si="45"/>
        <v>26.986800325736155</v>
      </c>
      <c r="F80" s="104">
        <f t="shared" si="46"/>
        <v>0</v>
      </c>
      <c r="G80" s="104">
        <f t="shared" si="47"/>
        <v>0</v>
      </c>
      <c r="H80" s="104">
        <f t="shared" si="48"/>
        <v>102.48531769537205</v>
      </c>
      <c r="I80" s="104">
        <f t="shared" si="49"/>
        <v>32.45356271769824</v>
      </c>
      <c r="J80" s="672">
        <f t="shared" si="37"/>
        <v>0</v>
      </c>
      <c r="K80" s="139">
        <f t="shared" si="50"/>
        <v>284.59285250628363</v>
      </c>
      <c r="L80" s="138">
        <f t="shared" si="38"/>
        <v>0</v>
      </c>
      <c r="M80" s="104">
        <f t="shared" si="39"/>
        <v>0</v>
      </c>
      <c r="N80" s="29">
        <f t="shared" si="51"/>
        <v>0</v>
      </c>
      <c r="O80" s="104">
        <f t="shared" si="40"/>
        <v>0.50912750443552612</v>
      </c>
      <c r="P80" s="104">
        <f t="shared" si="52"/>
        <v>0</v>
      </c>
      <c r="Q80" s="104">
        <f t="shared" si="53"/>
        <v>6.5531244298965854E-2</v>
      </c>
      <c r="R80" s="140">
        <f t="shared" si="54"/>
        <v>0.57465874873449196</v>
      </c>
      <c r="S80" s="138">
        <f t="shared" si="55"/>
        <v>0</v>
      </c>
      <c r="T80" s="104">
        <f t="shared" si="41"/>
        <v>0</v>
      </c>
      <c r="U80" s="139">
        <f t="shared" si="56"/>
        <v>0</v>
      </c>
      <c r="V80" s="104"/>
      <c r="W80" s="104">
        <f t="shared" si="57"/>
        <v>0</v>
      </c>
      <c r="X80" s="139">
        <f t="shared" si="58"/>
        <v>0</v>
      </c>
      <c r="Y80" s="138">
        <v>0</v>
      </c>
      <c r="Z80" s="141">
        <v>0</v>
      </c>
      <c r="AA80" s="104">
        <f t="shared" si="42"/>
        <v>0</v>
      </c>
      <c r="AB80" s="139">
        <f t="shared" si="43"/>
        <v>0</v>
      </c>
      <c r="AC80" s="138">
        <v>0</v>
      </c>
      <c r="AD80" s="104">
        <f t="shared" si="59"/>
        <v>0</v>
      </c>
      <c r="AE80" s="139">
        <f t="shared" si="60"/>
        <v>0</v>
      </c>
      <c r="AF80" s="142">
        <v>0</v>
      </c>
      <c r="AG80" s="104">
        <f t="shared" si="61"/>
        <v>0</v>
      </c>
      <c r="AH80" s="139">
        <f t="shared" si="62"/>
        <v>0</v>
      </c>
      <c r="AI80" s="142">
        <v>0</v>
      </c>
      <c r="AJ80" s="104">
        <f t="shared" si="63"/>
        <v>0</v>
      </c>
      <c r="AK80" s="139">
        <f t="shared" si="64"/>
        <v>0</v>
      </c>
      <c r="AL80" s="143"/>
      <c r="AM80" s="205"/>
      <c r="AN80" s="104">
        <f t="shared" si="65"/>
        <v>0</v>
      </c>
      <c r="AO80" s="148">
        <f t="shared" si="66"/>
        <v>0</v>
      </c>
      <c r="AP80" s="272">
        <f t="shared" si="67"/>
        <v>0</v>
      </c>
      <c r="AQ80" s="669">
        <v>113.21</v>
      </c>
      <c r="AR80" s="726">
        <v>0</v>
      </c>
      <c r="AS80" s="726">
        <v>0</v>
      </c>
      <c r="AT80" s="726">
        <v>0</v>
      </c>
      <c r="AU80" s="401">
        <v>0</v>
      </c>
      <c r="AV80" s="786"/>
      <c r="AW80" s="246"/>
      <c r="AX80" s="713">
        <f t="shared" si="68"/>
        <v>0</v>
      </c>
      <c r="AY80" s="714">
        <v>0</v>
      </c>
      <c r="AZ80" s="715"/>
      <c r="BA80" s="716">
        <v>0</v>
      </c>
      <c r="BC80" s="712">
        <v>0</v>
      </c>
      <c r="BD80" s="712">
        <v>0</v>
      </c>
      <c r="BE80" s="712"/>
      <c r="BF80" s="712"/>
      <c r="BG80" s="712">
        <v>0</v>
      </c>
      <c r="BH80" s="712">
        <v>0</v>
      </c>
      <c r="BI80" s="134">
        <f t="shared" si="36"/>
        <v>0</v>
      </c>
      <c r="BJ80" s="123"/>
      <c r="BK80" s="792"/>
      <c r="BL80" s="104"/>
      <c r="BM80" s="672"/>
      <c r="BO80" s="562"/>
      <c r="BS80" s="879"/>
      <c r="BT80" s="774"/>
      <c r="BU80" s="774">
        <v>0</v>
      </c>
      <c r="BV80" s="774">
        <v>0</v>
      </c>
      <c r="BW80" s="774">
        <f t="shared" si="69"/>
        <v>0</v>
      </c>
    </row>
    <row r="81" spans="1:75" ht="15" thickBot="1" x14ac:dyDescent="0.35">
      <c r="A81" s="209" t="s">
        <v>152</v>
      </c>
      <c r="B81" s="227">
        <v>2</v>
      </c>
      <c r="C81" s="39">
        <f>'[3]побудинковий звіт'!E81</f>
        <v>171.6</v>
      </c>
      <c r="D81" s="205">
        <f t="shared" si="44"/>
        <v>92.003087666959559</v>
      </c>
      <c r="E81" s="104">
        <f t="shared" si="45"/>
        <v>20.240696189897157</v>
      </c>
      <c r="F81" s="104">
        <f t="shared" si="46"/>
        <v>0</v>
      </c>
      <c r="G81" s="104">
        <f t="shared" si="47"/>
        <v>0</v>
      </c>
      <c r="H81" s="104">
        <f t="shared" si="48"/>
        <v>76.86625143992616</v>
      </c>
      <c r="I81" s="104">
        <f t="shared" si="49"/>
        <v>24.340888705589244</v>
      </c>
      <c r="J81" s="672">
        <f t="shared" si="37"/>
        <v>0</v>
      </c>
      <c r="K81" s="139">
        <f t="shared" si="50"/>
        <v>213.45092400237212</v>
      </c>
      <c r="L81" s="138">
        <f t="shared" si="38"/>
        <v>159.55866904201636</v>
      </c>
      <c r="M81" s="104">
        <f t="shared" si="39"/>
        <v>35.102741967854421</v>
      </c>
      <c r="N81" s="29">
        <f t="shared" si="51"/>
        <v>0</v>
      </c>
      <c r="O81" s="104">
        <f t="shared" si="40"/>
        <v>0.30893309675083547</v>
      </c>
      <c r="P81" s="104">
        <f t="shared" si="52"/>
        <v>133.30723006167239</v>
      </c>
      <c r="Q81" s="104">
        <f t="shared" si="53"/>
        <v>42.253537126314505</v>
      </c>
      <c r="R81" s="140">
        <f t="shared" si="54"/>
        <v>370.53111129460848</v>
      </c>
      <c r="S81" s="138">
        <f t="shared" si="55"/>
        <v>0</v>
      </c>
      <c r="T81" s="104">
        <f t="shared" si="41"/>
        <v>0</v>
      </c>
      <c r="U81" s="139">
        <f t="shared" si="56"/>
        <v>0</v>
      </c>
      <c r="V81" s="104"/>
      <c r="W81" s="104">
        <f t="shared" si="57"/>
        <v>0</v>
      </c>
      <c r="X81" s="139">
        <f t="shared" si="58"/>
        <v>0</v>
      </c>
      <c r="Y81" s="138">
        <v>0</v>
      </c>
      <c r="Z81" s="141">
        <v>0</v>
      </c>
      <c r="AA81" s="104">
        <f t="shared" si="42"/>
        <v>0</v>
      </c>
      <c r="AB81" s="139">
        <f t="shared" si="43"/>
        <v>0</v>
      </c>
      <c r="AC81" s="138">
        <v>0</v>
      </c>
      <c r="AD81" s="104">
        <f t="shared" si="59"/>
        <v>0</v>
      </c>
      <c r="AE81" s="139">
        <f t="shared" si="60"/>
        <v>0</v>
      </c>
      <c r="AF81" s="142">
        <v>0</v>
      </c>
      <c r="AG81" s="104">
        <f t="shared" si="61"/>
        <v>0</v>
      </c>
      <c r="AH81" s="139">
        <f t="shared" si="62"/>
        <v>0</v>
      </c>
      <c r="AI81" s="142">
        <v>0</v>
      </c>
      <c r="AJ81" s="104">
        <f t="shared" si="63"/>
        <v>0</v>
      </c>
      <c r="AK81" s="139">
        <f t="shared" si="64"/>
        <v>0</v>
      </c>
      <c r="AL81" s="143"/>
      <c r="AM81" s="205"/>
      <c r="AN81" s="104">
        <f t="shared" si="65"/>
        <v>0</v>
      </c>
      <c r="AO81" s="148">
        <f t="shared" si="66"/>
        <v>0</v>
      </c>
      <c r="AP81" s="272">
        <f t="shared" si="67"/>
        <v>0</v>
      </c>
      <c r="AQ81" s="669">
        <v>84.91</v>
      </c>
      <c r="AR81" s="726">
        <v>0</v>
      </c>
      <c r="AS81" s="726">
        <v>0</v>
      </c>
      <c r="AT81" s="726">
        <v>0</v>
      </c>
      <c r="AU81" s="401">
        <v>147.36635098410605</v>
      </c>
      <c r="AV81" s="786"/>
      <c r="AW81" s="246"/>
      <c r="AX81" s="713">
        <f t="shared" si="68"/>
        <v>0</v>
      </c>
      <c r="AY81" s="714">
        <v>0</v>
      </c>
      <c r="AZ81" s="715"/>
      <c r="BA81" s="716">
        <v>0</v>
      </c>
      <c r="BC81" s="712">
        <v>0</v>
      </c>
      <c r="BD81" s="712">
        <v>0</v>
      </c>
      <c r="BE81" s="712"/>
      <c r="BF81" s="712"/>
      <c r="BG81" s="712">
        <v>0</v>
      </c>
      <c r="BH81" s="712">
        <v>0</v>
      </c>
      <c r="BI81" s="134">
        <f>BC81+BD81+BE81+BG81</f>
        <v>0</v>
      </c>
      <c r="BJ81" s="123"/>
      <c r="BK81" s="792"/>
      <c r="BL81" s="104"/>
      <c r="BM81" s="672"/>
      <c r="BO81" s="562"/>
      <c r="BS81" s="879"/>
      <c r="BT81" s="774"/>
      <c r="BU81" s="774">
        <v>0</v>
      </c>
      <c r="BV81" s="774">
        <v>0</v>
      </c>
      <c r="BW81" s="774">
        <f t="shared" si="69"/>
        <v>0</v>
      </c>
    </row>
    <row r="82" spans="1:75" ht="15" thickBot="1" x14ac:dyDescent="0.35">
      <c r="A82" s="210" t="s">
        <v>75</v>
      </c>
      <c r="B82" s="228">
        <v>1</v>
      </c>
      <c r="C82" s="39">
        <f>'[3]побудинковий звіт'!E82</f>
        <v>151.6</v>
      </c>
      <c r="D82" s="205">
        <f t="shared" si="44"/>
        <v>99.674526374792237</v>
      </c>
      <c r="E82" s="104">
        <f t="shared" si="45"/>
        <v>21.92841411504698</v>
      </c>
      <c r="F82" s="104">
        <f t="shared" si="46"/>
        <v>0</v>
      </c>
      <c r="G82" s="104">
        <f t="shared" si="47"/>
        <v>0</v>
      </c>
      <c r="H82" s="104">
        <f t="shared" si="48"/>
        <v>83.275544340581874</v>
      </c>
      <c r="I82" s="104">
        <f t="shared" si="49"/>
        <v>26.370490543247605</v>
      </c>
      <c r="J82" s="672">
        <f t="shared" si="37"/>
        <v>0</v>
      </c>
      <c r="K82" s="139">
        <f t="shared" si="50"/>
        <v>231.24897537366869</v>
      </c>
      <c r="L82" s="138">
        <f t="shared" si="38"/>
        <v>0</v>
      </c>
      <c r="M82" s="104">
        <f t="shared" si="39"/>
        <v>0</v>
      </c>
      <c r="N82" s="29">
        <f t="shared" si="51"/>
        <v>0</v>
      </c>
      <c r="O82" s="104">
        <f t="shared" si="40"/>
        <v>0.27292690831833716</v>
      </c>
      <c r="P82" s="104">
        <f t="shared" si="52"/>
        <v>0</v>
      </c>
      <c r="Q82" s="104">
        <f t="shared" si="53"/>
        <v>3.5129196024480981E-2</v>
      </c>
      <c r="R82" s="140">
        <f t="shared" si="54"/>
        <v>0.30805610434281816</v>
      </c>
      <c r="S82" s="138">
        <f t="shared" si="55"/>
        <v>0</v>
      </c>
      <c r="T82" s="104">
        <f t="shared" si="41"/>
        <v>0</v>
      </c>
      <c r="U82" s="139">
        <f t="shared" si="56"/>
        <v>0</v>
      </c>
      <c r="V82" s="104"/>
      <c r="W82" s="104">
        <f t="shared" si="57"/>
        <v>0</v>
      </c>
      <c r="X82" s="139">
        <f t="shared" si="58"/>
        <v>0</v>
      </c>
      <c r="Y82" s="138">
        <v>0</v>
      </c>
      <c r="Z82" s="141">
        <v>0</v>
      </c>
      <c r="AA82" s="104">
        <f t="shared" si="42"/>
        <v>0</v>
      </c>
      <c r="AB82" s="139">
        <f t="shared" si="43"/>
        <v>0</v>
      </c>
      <c r="AC82" s="138">
        <v>0</v>
      </c>
      <c r="AD82" s="104">
        <f t="shared" si="59"/>
        <v>0</v>
      </c>
      <c r="AE82" s="139">
        <f t="shared" si="60"/>
        <v>0</v>
      </c>
      <c r="AF82" s="142">
        <v>0</v>
      </c>
      <c r="AG82" s="104">
        <f t="shared" si="61"/>
        <v>0</v>
      </c>
      <c r="AH82" s="139">
        <f t="shared" si="62"/>
        <v>0</v>
      </c>
      <c r="AI82" s="142">
        <v>0</v>
      </c>
      <c r="AJ82" s="104">
        <f t="shared" si="63"/>
        <v>0</v>
      </c>
      <c r="AK82" s="139">
        <f t="shared" si="64"/>
        <v>0</v>
      </c>
      <c r="AL82" s="143"/>
      <c r="AM82" s="205"/>
      <c r="AN82" s="104">
        <f t="shared" si="65"/>
        <v>0</v>
      </c>
      <c r="AO82" s="148">
        <f t="shared" si="66"/>
        <v>0</v>
      </c>
      <c r="AP82" s="272">
        <f t="shared" si="67"/>
        <v>0</v>
      </c>
      <c r="AQ82" s="669">
        <v>91.99</v>
      </c>
      <c r="AR82" s="726">
        <v>0</v>
      </c>
      <c r="AS82" s="726">
        <v>0</v>
      </c>
      <c r="AT82" s="726">
        <v>0</v>
      </c>
      <c r="AU82" s="401">
        <v>0</v>
      </c>
      <c r="AV82" s="786"/>
      <c r="AW82" s="246"/>
      <c r="AX82" s="713">
        <f t="shared" si="68"/>
        <v>0</v>
      </c>
      <c r="AY82" s="714">
        <v>0</v>
      </c>
      <c r="AZ82" s="715"/>
      <c r="BA82" s="716">
        <v>0</v>
      </c>
      <c r="BC82" s="712">
        <v>0</v>
      </c>
      <c r="BD82" s="712">
        <v>0</v>
      </c>
      <c r="BE82" s="712"/>
      <c r="BF82" s="712"/>
      <c r="BG82" s="712">
        <v>0</v>
      </c>
      <c r="BH82" s="712">
        <v>0</v>
      </c>
      <c r="BI82" s="134">
        <f t="shared" si="36"/>
        <v>0</v>
      </c>
      <c r="BJ82" s="123"/>
      <c r="BK82" s="792"/>
      <c r="BL82" s="104"/>
      <c r="BM82" s="672"/>
      <c r="BO82" s="562"/>
      <c r="BS82" s="879"/>
      <c r="BT82" s="774"/>
      <c r="BU82" s="774">
        <v>0</v>
      </c>
      <c r="BV82" s="774">
        <v>0</v>
      </c>
      <c r="BW82" s="774">
        <f t="shared" si="69"/>
        <v>0</v>
      </c>
    </row>
    <row r="83" spans="1:75" ht="15" thickBot="1" x14ac:dyDescent="0.35">
      <c r="A83" s="250" t="s">
        <v>351</v>
      </c>
      <c r="B83" s="227">
        <v>9</v>
      </c>
      <c r="C83" s="39">
        <f>'[3]побудинковий звіт'!E83</f>
        <v>5047.8</v>
      </c>
      <c r="D83" s="205">
        <f t="shared" si="44"/>
        <v>894.66787441048064</v>
      </c>
      <c r="E83" s="104">
        <f t="shared" si="45"/>
        <v>196.82709674217659</v>
      </c>
      <c r="F83" s="104">
        <f t="shared" si="46"/>
        <v>273.95931698278764</v>
      </c>
      <c r="G83" s="104">
        <f t="shared" si="47"/>
        <v>0</v>
      </c>
      <c r="H83" s="104">
        <f t="shared" si="48"/>
        <v>747.47236786876999</v>
      </c>
      <c r="I83" s="104">
        <f t="shared" si="49"/>
        <v>271.96077932172204</v>
      </c>
      <c r="J83" s="672">
        <f t="shared" si="37"/>
        <v>0</v>
      </c>
      <c r="K83" s="139">
        <f t="shared" si="50"/>
        <v>2384.8874353259366</v>
      </c>
      <c r="L83" s="138">
        <f t="shared" si="38"/>
        <v>918.37186287818736</v>
      </c>
      <c r="M83" s="104">
        <f t="shared" si="39"/>
        <v>202.04085886841892</v>
      </c>
      <c r="N83" s="29">
        <f t="shared" si="51"/>
        <v>98.310921167677066</v>
      </c>
      <c r="O83" s="104">
        <f t="shared" si="40"/>
        <v>9.0876018984782494</v>
      </c>
      <c r="P83" s="104">
        <f t="shared" si="52"/>
        <v>767.2764503609078</v>
      </c>
      <c r="Q83" s="104">
        <f t="shared" si="53"/>
        <v>256.7933926399038</v>
      </c>
      <c r="R83" s="140">
        <f t="shared" si="54"/>
        <v>2251.8810878135728</v>
      </c>
      <c r="S83" s="138">
        <f t="shared" si="55"/>
        <v>142.69200000000001</v>
      </c>
      <c r="T83" s="104">
        <f t="shared" si="41"/>
        <v>18.366291803219958</v>
      </c>
      <c r="U83" s="139">
        <f t="shared" si="56"/>
        <v>161.05829180321996</v>
      </c>
      <c r="V83" s="104"/>
      <c r="W83" s="104">
        <f t="shared" si="57"/>
        <v>0</v>
      </c>
      <c r="X83" s="139">
        <f t="shared" si="58"/>
        <v>0</v>
      </c>
      <c r="Y83" s="138">
        <v>3102.43</v>
      </c>
      <c r="Z83" s="141">
        <v>0</v>
      </c>
      <c r="AA83" s="104">
        <f t="shared" si="42"/>
        <v>399.32255963238083</v>
      </c>
      <c r="AB83" s="139">
        <f t="shared" si="43"/>
        <v>3501.7525596323808</v>
      </c>
      <c r="AC83" s="138">
        <v>236.15</v>
      </c>
      <c r="AD83" s="104">
        <f t="shared" si="59"/>
        <v>30.395535904818722</v>
      </c>
      <c r="AE83" s="139">
        <f t="shared" si="60"/>
        <v>266.54553590481873</v>
      </c>
      <c r="AF83" s="142">
        <v>959.2</v>
      </c>
      <c r="AG83" s="104">
        <f t="shared" si="61"/>
        <v>123.46135100530222</v>
      </c>
      <c r="AH83" s="139">
        <f t="shared" si="62"/>
        <v>1082.6613510053023</v>
      </c>
      <c r="AI83" s="142">
        <v>519.20000000000005</v>
      </c>
      <c r="AJ83" s="104">
        <f t="shared" si="63"/>
        <v>66.827703755163583</v>
      </c>
      <c r="AK83" s="139">
        <f t="shared" si="64"/>
        <v>586.02770375516366</v>
      </c>
      <c r="AL83" s="143"/>
      <c r="AM83" s="143"/>
      <c r="AN83" s="104">
        <f t="shared" si="65"/>
        <v>0</v>
      </c>
      <c r="AO83" s="148">
        <f t="shared" si="66"/>
        <v>0</v>
      </c>
      <c r="AP83" s="272">
        <f t="shared" si="67"/>
        <v>1365.1520406305806</v>
      </c>
      <c r="AQ83" s="669">
        <v>281.82</v>
      </c>
      <c r="AR83" s="401">
        <v>516.9555052032506</v>
      </c>
      <c r="AS83" s="401">
        <v>817.64433323783783</v>
      </c>
      <c r="AT83" s="401">
        <v>30.55220218949227</v>
      </c>
      <c r="AU83" s="401">
        <v>0</v>
      </c>
      <c r="AV83" s="727">
        <v>26.916883417258262</v>
      </c>
      <c r="AW83" s="246"/>
      <c r="AX83" s="713">
        <f t="shared" si="68"/>
        <v>156.94931698278762</v>
      </c>
      <c r="AY83" s="714">
        <v>98.310921167677066</v>
      </c>
      <c r="AZ83" s="715"/>
      <c r="BA83" s="716">
        <v>0</v>
      </c>
      <c r="BB83" s="727"/>
      <c r="BC83" s="712">
        <v>26.362500000000001</v>
      </c>
      <c r="BD83" s="712">
        <v>130.58681698278761</v>
      </c>
      <c r="BE83" s="712"/>
      <c r="BF83" s="712"/>
      <c r="BG83" s="712">
        <v>0</v>
      </c>
      <c r="BH83" s="712">
        <v>38.04296875</v>
      </c>
      <c r="BI83" s="134">
        <f>BC83+BD83+BE83+BG83</f>
        <v>156.94931698278762</v>
      </c>
      <c r="BJ83" s="123">
        <v>648.6</v>
      </c>
      <c r="BK83" s="792"/>
      <c r="BL83" s="104"/>
      <c r="BM83" s="672">
        <v>117.01</v>
      </c>
      <c r="BO83" s="562"/>
      <c r="BS83" s="879"/>
      <c r="BT83" s="774"/>
      <c r="BU83" s="774">
        <v>874.72099670796581</v>
      </c>
      <c r="BV83" s="774">
        <v>200.63232000000002</v>
      </c>
      <c r="BW83" s="774">
        <f t="shared" si="69"/>
        <v>1075.3533167079659</v>
      </c>
    </row>
    <row r="84" spans="1:75" ht="15" thickBot="1" x14ac:dyDescent="0.35">
      <c r="A84" s="250" t="s">
        <v>413</v>
      </c>
      <c r="B84" s="227">
        <v>10</v>
      </c>
      <c r="C84" s="39">
        <f>'[3]побудинковий звіт'!E84</f>
        <v>2605.5</v>
      </c>
      <c r="D84" s="205">
        <f t="shared" si="44"/>
        <v>647.37491520120034</v>
      </c>
      <c r="E84" s="104">
        <f t="shared" si="45"/>
        <v>142.42260028250809</v>
      </c>
      <c r="F84" s="104">
        <f t="shared" si="46"/>
        <v>201.22526461492487</v>
      </c>
      <c r="G84" s="104">
        <f t="shared" si="47"/>
        <v>0</v>
      </c>
      <c r="H84" s="104">
        <f t="shared" si="48"/>
        <v>540.86535864846599</v>
      </c>
      <c r="I84" s="104">
        <f t="shared" si="49"/>
        <v>197.17366471926053</v>
      </c>
      <c r="J84" s="672">
        <f t="shared" si="37"/>
        <v>0</v>
      </c>
      <c r="K84" s="139">
        <f t="shared" si="50"/>
        <v>1729.0618034663598</v>
      </c>
      <c r="L84" s="138">
        <f t="shared" si="38"/>
        <v>797.28514428777476</v>
      </c>
      <c r="M84" s="104">
        <f t="shared" si="39"/>
        <v>175.40190616260145</v>
      </c>
      <c r="N84" s="29">
        <f t="shared" si="51"/>
        <v>50.7563872687276</v>
      </c>
      <c r="O84" s="104">
        <f t="shared" si="40"/>
        <v>4.690706198043717</v>
      </c>
      <c r="P84" s="104">
        <f t="shared" si="52"/>
        <v>666.11156129872506</v>
      </c>
      <c r="Q84" s="104">
        <f t="shared" si="53"/>
        <v>218.07116732785929</v>
      </c>
      <c r="R84" s="140">
        <f t="shared" si="54"/>
        <v>1912.316872543732</v>
      </c>
      <c r="S84" s="138">
        <f t="shared" si="55"/>
        <v>67.254000000000005</v>
      </c>
      <c r="T84" s="104">
        <f t="shared" si="41"/>
        <v>8.6564529821836906</v>
      </c>
      <c r="U84" s="139">
        <f t="shared" si="56"/>
        <v>75.910452982183699</v>
      </c>
      <c r="V84" s="104"/>
      <c r="W84" s="104">
        <f t="shared" si="57"/>
        <v>0</v>
      </c>
      <c r="X84" s="139">
        <f t="shared" si="58"/>
        <v>0</v>
      </c>
      <c r="Y84" s="138">
        <v>1551.22</v>
      </c>
      <c r="Z84" s="141">
        <v>0</v>
      </c>
      <c r="AA84" s="104">
        <f t="shared" si="42"/>
        <v>199.66192338036373</v>
      </c>
      <c r="AB84" s="139">
        <f t="shared" si="43"/>
        <v>1750.8819233803638</v>
      </c>
      <c r="AC84" s="138">
        <v>0</v>
      </c>
      <c r="AD84" s="104">
        <f t="shared" si="59"/>
        <v>0</v>
      </c>
      <c r="AE84" s="139">
        <f t="shared" si="60"/>
        <v>0</v>
      </c>
      <c r="AF84" s="142">
        <v>402.6</v>
      </c>
      <c r="AG84" s="104">
        <f t="shared" si="61"/>
        <v>51.819787233876845</v>
      </c>
      <c r="AH84" s="139">
        <f t="shared" si="62"/>
        <v>454.41978723387689</v>
      </c>
      <c r="AI84" s="142">
        <v>393.8</v>
      </c>
      <c r="AJ84" s="104">
        <f t="shared" si="63"/>
        <v>50.687114288874071</v>
      </c>
      <c r="AK84" s="139">
        <f t="shared" si="64"/>
        <v>444.48711428887407</v>
      </c>
      <c r="AL84" s="143"/>
      <c r="AM84" s="143"/>
      <c r="AN84" s="104">
        <f t="shared" si="65"/>
        <v>0</v>
      </c>
      <c r="AO84" s="148">
        <f t="shared" si="66"/>
        <v>0</v>
      </c>
      <c r="AP84" s="272">
        <f t="shared" si="67"/>
        <v>1187.7920818641001</v>
      </c>
      <c r="AQ84" s="669">
        <v>122.53</v>
      </c>
      <c r="AR84" s="401">
        <v>451.42969483148721</v>
      </c>
      <c r="AS84" s="401">
        <v>708.88393903225904</v>
      </c>
      <c r="AT84" s="401">
        <v>27.478448000353943</v>
      </c>
      <c r="AU84" s="401">
        <v>0</v>
      </c>
      <c r="AV84" s="727">
        <v>23.505079923832504</v>
      </c>
      <c r="AW84" s="246"/>
      <c r="AX84" s="713">
        <f t="shared" si="68"/>
        <v>84.215264614924877</v>
      </c>
      <c r="AY84" s="714">
        <v>50.7563872687276</v>
      </c>
      <c r="AZ84" s="715"/>
      <c r="BA84" s="716">
        <v>0</v>
      </c>
      <c r="BB84" s="727"/>
      <c r="BC84" s="712">
        <v>15.817499999999999</v>
      </c>
      <c r="BD84" s="712">
        <v>68.397764614924881</v>
      </c>
      <c r="BE84" s="712"/>
      <c r="BF84" s="712"/>
      <c r="BG84" s="712">
        <v>0</v>
      </c>
      <c r="BH84" s="712">
        <v>22.825781249999999</v>
      </c>
      <c r="BI84" s="134">
        <f>BC84+BD84+BE84+BG84</f>
        <v>84.215264614924877</v>
      </c>
      <c r="BJ84" s="123">
        <v>305.7</v>
      </c>
      <c r="BK84" s="792"/>
      <c r="BL84" s="104"/>
      <c r="BM84" s="672">
        <v>117.01</v>
      </c>
      <c r="BO84" s="562"/>
      <c r="BS84" s="879"/>
      <c r="BT84" s="774"/>
      <c r="BU84" s="774">
        <v>283.32811093056597</v>
      </c>
      <c r="BV84" s="774">
        <v>200.63232000000002</v>
      </c>
      <c r="BW84" s="774">
        <f t="shared" si="69"/>
        <v>483.96043093056596</v>
      </c>
    </row>
    <row r="85" spans="1:75" ht="15" thickBot="1" x14ac:dyDescent="0.35">
      <c r="A85" s="250" t="s">
        <v>414</v>
      </c>
      <c r="B85" s="227">
        <v>10</v>
      </c>
      <c r="C85" s="39">
        <f>'[3]побудинковий звіт'!E85</f>
        <v>4661.7</v>
      </c>
      <c r="D85" s="205">
        <f t="shared" si="44"/>
        <v>1353.2918168696392</v>
      </c>
      <c r="E85" s="104">
        <f t="shared" si="45"/>
        <v>297.72444834337068</v>
      </c>
      <c r="F85" s="104">
        <f t="shared" si="46"/>
        <v>155.46291072235152</v>
      </c>
      <c r="G85" s="104">
        <f t="shared" si="47"/>
        <v>0</v>
      </c>
      <c r="H85" s="104">
        <f t="shared" si="48"/>
        <v>1130.6410654786434</v>
      </c>
      <c r="I85" s="104">
        <f t="shared" si="49"/>
        <v>378.04507200791534</v>
      </c>
      <c r="J85" s="672">
        <f t="shared" si="37"/>
        <v>0</v>
      </c>
      <c r="K85" s="139">
        <f t="shared" si="50"/>
        <v>3315.16531342192</v>
      </c>
      <c r="L85" s="138">
        <f t="shared" si="38"/>
        <v>1670.579095645018</v>
      </c>
      <c r="M85" s="104">
        <f t="shared" si="39"/>
        <v>367.52567117413446</v>
      </c>
      <c r="N85" s="29">
        <f t="shared" si="51"/>
        <v>90.791239987194444</v>
      </c>
      <c r="O85" s="104">
        <f t="shared" si="40"/>
        <v>8.392502430788868</v>
      </c>
      <c r="P85" s="104">
        <f t="shared" si="52"/>
        <v>1395.7265573625941</v>
      </c>
      <c r="Q85" s="104">
        <f t="shared" si="53"/>
        <v>454.74438411644121</v>
      </c>
      <c r="R85" s="140">
        <f t="shared" si="54"/>
        <v>3987.7594507161712</v>
      </c>
      <c r="S85" s="138">
        <f t="shared" si="55"/>
        <v>116.64400000000002</v>
      </c>
      <c r="T85" s="104">
        <f t="shared" si="41"/>
        <v>15.013579886011753</v>
      </c>
      <c r="U85" s="139">
        <f t="shared" si="56"/>
        <v>131.65757988601177</v>
      </c>
      <c r="V85" s="104"/>
      <c r="W85" s="104">
        <f t="shared" si="57"/>
        <v>0</v>
      </c>
      <c r="X85" s="139">
        <f t="shared" si="58"/>
        <v>0</v>
      </c>
      <c r="Y85" s="138">
        <v>2672.13</v>
      </c>
      <c r="Z85" s="141">
        <v>0</v>
      </c>
      <c r="AA85" s="104">
        <f t="shared" si="42"/>
        <v>343.93742687843849</v>
      </c>
      <c r="AB85" s="139">
        <f t="shared" si="43"/>
        <v>3016.0674268784387</v>
      </c>
      <c r="AC85" s="138">
        <v>0</v>
      </c>
      <c r="AD85" s="104">
        <f t="shared" si="59"/>
        <v>0</v>
      </c>
      <c r="AE85" s="139">
        <f t="shared" si="60"/>
        <v>0</v>
      </c>
      <c r="AF85" s="142">
        <v>470.8</v>
      </c>
      <c r="AG85" s="104">
        <f t="shared" si="61"/>
        <v>60.598002557648336</v>
      </c>
      <c r="AH85" s="139">
        <f t="shared" si="62"/>
        <v>531.3980025576484</v>
      </c>
      <c r="AI85" s="142">
        <v>616</v>
      </c>
      <c r="AJ85" s="104">
        <f t="shared" si="63"/>
        <v>79.287106150194077</v>
      </c>
      <c r="AK85" s="139">
        <f t="shared" si="64"/>
        <v>695.28710615019406</v>
      </c>
      <c r="AL85" s="143"/>
      <c r="AM85" s="143"/>
      <c r="AN85" s="104">
        <f t="shared" si="65"/>
        <v>0</v>
      </c>
      <c r="AO85" s="148">
        <f t="shared" si="66"/>
        <v>0</v>
      </c>
      <c r="AP85" s="272">
        <f t="shared" si="67"/>
        <v>2484.2031853423264</v>
      </c>
      <c r="AQ85" s="669">
        <v>258.67</v>
      </c>
      <c r="AR85" s="401">
        <v>941.27764683268822</v>
      </c>
      <c r="AS85" s="401">
        <v>1498.7901866104958</v>
      </c>
      <c r="AT85" s="401">
        <v>44.135351899142194</v>
      </c>
      <c r="AU85" s="401">
        <v>0</v>
      </c>
      <c r="AV85" s="727">
        <v>49.010524944705338</v>
      </c>
      <c r="AW85" s="246"/>
      <c r="AX85" s="713">
        <f t="shared" si="68"/>
        <v>155.46291072235152</v>
      </c>
      <c r="AY85" s="714">
        <v>90.791239987194444</v>
      </c>
      <c r="AZ85" s="715"/>
      <c r="BA85" s="716">
        <v>0</v>
      </c>
      <c r="BB85" s="727"/>
      <c r="BC85" s="712">
        <v>31.634999999999998</v>
      </c>
      <c r="BD85" s="712">
        <v>123.82791072235152</v>
      </c>
      <c r="BE85" s="712"/>
      <c r="BF85" s="712"/>
      <c r="BG85" s="712">
        <v>0</v>
      </c>
      <c r="BH85" s="712">
        <v>45.651562499999997</v>
      </c>
      <c r="BI85" s="134">
        <f>BC85+BD85+BE85+BG85</f>
        <v>155.46291072235152</v>
      </c>
      <c r="BJ85" s="123">
        <v>530.20000000000005</v>
      </c>
      <c r="BK85" s="792"/>
      <c r="BL85" s="104"/>
      <c r="BM85" s="672"/>
      <c r="BO85" s="562"/>
      <c r="BS85" s="879"/>
      <c r="BT85" s="774"/>
      <c r="BU85" s="774">
        <v>590.77817183284355</v>
      </c>
      <c r="BV85" s="774">
        <v>200.63232000000002</v>
      </c>
      <c r="BW85" s="774">
        <f t="shared" si="69"/>
        <v>791.4104918328436</v>
      </c>
    </row>
    <row r="86" spans="1:75" ht="15" thickBot="1" x14ac:dyDescent="0.35">
      <c r="A86" s="209" t="s">
        <v>352</v>
      </c>
      <c r="B86" s="227">
        <v>9</v>
      </c>
      <c r="C86" s="39">
        <f>'[3]побудинковий звіт'!E86</f>
        <v>4715.25</v>
      </c>
      <c r="D86" s="205">
        <f t="shared" si="44"/>
        <v>2666.934121655866</v>
      </c>
      <c r="E86" s="104">
        <f t="shared" si="45"/>
        <v>586.72599674382764</v>
      </c>
      <c r="F86" s="104">
        <f t="shared" si="46"/>
        <v>135.36257666465849</v>
      </c>
      <c r="G86" s="104">
        <f t="shared" si="47"/>
        <v>0</v>
      </c>
      <c r="H86" s="104">
        <f t="shared" si="48"/>
        <v>2228.1559670147644</v>
      </c>
      <c r="I86" s="104">
        <f t="shared" si="49"/>
        <v>723.0029883845325</v>
      </c>
      <c r="J86" s="672">
        <f t="shared" si="37"/>
        <v>0</v>
      </c>
      <c r="K86" s="139">
        <f t="shared" si="50"/>
        <v>6340.181650463649</v>
      </c>
      <c r="L86" s="138">
        <f t="shared" si="38"/>
        <v>1275.0449260070861</v>
      </c>
      <c r="M86" s="104">
        <f t="shared" si="39"/>
        <v>280.50856342542454</v>
      </c>
      <c r="N86" s="29">
        <f t="shared" si="51"/>
        <v>277.50266179446965</v>
      </c>
      <c r="O86" s="104">
        <f t="shared" si="40"/>
        <v>8.4889090003168821</v>
      </c>
      <c r="P86" s="104">
        <f t="shared" si="52"/>
        <v>1065.2677683431666</v>
      </c>
      <c r="Q86" s="104">
        <f t="shared" si="53"/>
        <v>374.14411898963027</v>
      </c>
      <c r="R86" s="140">
        <f t="shared" si="54"/>
        <v>3280.9569475600938</v>
      </c>
      <c r="S86" s="138">
        <f t="shared" si="55"/>
        <v>148.10400000000001</v>
      </c>
      <c r="T86" s="104">
        <f t="shared" si="41"/>
        <v>19.062885664396664</v>
      </c>
      <c r="U86" s="139">
        <f t="shared" si="56"/>
        <v>167.16688566439669</v>
      </c>
      <c r="V86" s="104"/>
      <c r="W86" s="104">
        <f t="shared" si="57"/>
        <v>0</v>
      </c>
      <c r="X86" s="139">
        <f t="shared" si="58"/>
        <v>0</v>
      </c>
      <c r="Y86" s="138">
        <v>4266.1400000000003</v>
      </c>
      <c r="Z86" s="141">
        <v>0</v>
      </c>
      <c r="AA86" s="104">
        <f t="shared" si="42"/>
        <v>549.10697245387826</v>
      </c>
      <c r="AB86" s="139">
        <f t="shared" si="43"/>
        <v>4815.2469724538787</v>
      </c>
      <c r="AC86" s="138">
        <v>236.15</v>
      </c>
      <c r="AD86" s="104">
        <f t="shared" si="59"/>
        <v>30.395535904818722</v>
      </c>
      <c r="AE86" s="139">
        <f t="shared" si="60"/>
        <v>266.54553590481873</v>
      </c>
      <c r="AF86" s="142">
        <v>1278.2</v>
      </c>
      <c r="AG86" s="104">
        <f t="shared" si="61"/>
        <v>164.52074526165271</v>
      </c>
      <c r="AH86" s="139">
        <f t="shared" si="62"/>
        <v>1442.7207452616528</v>
      </c>
      <c r="AI86" s="142">
        <v>990</v>
      </c>
      <c r="AJ86" s="104">
        <f t="shared" si="63"/>
        <v>127.42570631281191</v>
      </c>
      <c r="AK86" s="139">
        <f t="shared" si="64"/>
        <v>1117.4257063128118</v>
      </c>
      <c r="AL86" s="143"/>
      <c r="AM86" s="143"/>
      <c r="AN86" s="104">
        <f t="shared" si="65"/>
        <v>0</v>
      </c>
      <c r="AO86" s="148">
        <f t="shared" si="66"/>
        <v>0</v>
      </c>
      <c r="AP86" s="272">
        <f t="shared" si="67"/>
        <v>3638.9388837375363</v>
      </c>
      <c r="AQ86" s="669">
        <v>0</v>
      </c>
      <c r="AR86" s="726">
        <v>2461.3236578485266</v>
      </c>
      <c r="AS86" s="726">
        <v>1143.855344717105</v>
      </c>
      <c r="AT86" s="726">
        <v>33.75988117190456</v>
      </c>
      <c r="AU86" s="401">
        <v>0</v>
      </c>
      <c r="AV86" s="786"/>
      <c r="AW86" s="246"/>
      <c r="AX86" s="713">
        <f t="shared" si="68"/>
        <v>135.36257666465849</v>
      </c>
      <c r="AY86" s="714">
        <v>277.50266179446965</v>
      </c>
      <c r="AZ86" s="715"/>
      <c r="BA86" s="716">
        <v>0</v>
      </c>
      <c r="BC86" s="712">
        <v>0</v>
      </c>
      <c r="BD86" s="712">
        <v>135.36257666465849</v>
      </c>
      <c r="BE86" s="712"/>
      <c r="BF86" s="712"/>
      <c r="BG86" s="712">
        <v>0</v>
      </c>
      <c r="BH86" s="712">
        <v>6.6167069696171623</v>
      </c>
      <c r="BI86" s="134">
        <f>BC86+BD86+BE86+BG86</f>
        <v>135.36257666465849</v>
      </c>
      <c r="BJ86" s="123">
        <v>673.2</v>
      </c>
      <c r="BK86" s="792"/>
      <c r="BL86" s="104"/>
      <c r="BM86" s="672"/>
      <c r="BO86" s="562"/>
      <c r="BS86" s="879"/>
      <c r="BT86" s="774"/>
      <c r="BU86" s="774">
        <v>3513.5665557422371</v>
      </c>
      <c r="BV86" s="774">
        <v>0</v>
      </c>
      <c r="BW86" s="774">
        <f t="shared" si="69"/>
        <v>3513.5665557422371</v>
      </c>
    </row>
    <row r="87" spans="1:75" ht="15" thickBot="1" x14ac:dyDescent="0.35">
      <c r="A87" s="210" t="s">
        <v>76</v>
      </c>
      <c r="B87" s="228">
        <v>1</v>
      </c>
      <c r="C87" s="39">
        <f>'[3]побудинковий звіт'!E87</f>
        <v>258.5</v>
      </c>
      <c r="D87" s="205">
        <f t="shared" si="44"/>
        <v>53.667564858609197</v>
      </c>
      <c r="E87" s="104">
        <f t="shared" si="45"/>
        <v>11.806874128908328</v>
      </c>
      <c r="F87" s="104">
        <f t="shared" si="46"/>
        <v>0</v>
      </c>
      <c r="G87" s="104">
        <f t="shared" si="47"/>
        <v>0</v>
      </c>
      <c r="H87" s="104">
        <f t="shared" si="48"/>
        <v>44.837892283824551</v>
      </c>
      <c r="I87" s="104">
        <f t="shared" si="49"/>
        <v>14.198612855821873</v>
      </c>
      <c r="J87" s="672">
        <f t="shared" si="37"/>
        <v>0</v>
      </c>
      <c r="K87" s="139">
        <f t="shared" si="50"/>
        <v>124.51094412716397</v>
      </c>
      <c r="L87" s="138">
        <f t="shared" si="38"/>
        <v>0</v>
      </c>
      <c r="M87" s="104">
        <f t="shared" si="39"/>
        <v>0</v>
      </c>
      <c r="N87" s="29">
        <f t="shared" si="51"/>
        <v>0</v>
      </c>
      <c r="O87" s="104">
        <f t="shared" si="40"/>
        <v>0.46537998549004067</v>
      </c>
      <c r="P87" s="104">
        <f t="shared" si="52"/>
        <v>0</v>
      </c>
      <c r="Q87" s="104">
        <f t="shared" si="53"/>
        <v>5.9900377126176359E-2</v>
      </c>
      <c r="R87" s="140">
        <f t="shared" si="54"/>
        <v>0.52528036261621702</v>
      </c>
      <c r="S87" s="138">
        <f t="shared" si="55"/>
        <v>0</v>
      </c>
      <c r="T87" s="104">
        <f t="shared" si="41"/>
        <v>0</v>
      </c>
      <c r="U87" s="139">
        <f t="shared" si="56"/>
        <v>0</v>
      </c>
      <c r="V87" s="104"/>
      <c r="W87" s="104">
        <f t="shared" si="57"/>
        <v>0</v>
      </c>
      <c r="X87" s="139">
        <f t="shared" si="58"/>
        <v>0</v>
      </c>
      <c r="Y87" s="138">
        <v>0</v>
      </c>
      <c r="Z87" s="141">
        <v>0</v>
      </c>
      <c r="AA87" s="104">
        <f t="shared" si="42"/>
        <v>0</v>
      </c>
      <c r="AB87" s="139">
        <f t="shared" si="43"/>
        <v>0</v>
      </c>
      <c r="AC87" s="138">
        <v>0</v>
      </c>
      <c r="AD87" s="104">
        <f t="shared" si="59"/>
        <v>0</v>
      </c>
      <c r="AE87" s="139">
        <f t="shared" si="60"/>
        <v>0</v>
      </c>
      <c r="AF87" s="142">
        <v>0</v>
      </c>
      <c r="AG87" s="104">
        <f t="shared" si="61"/>
        <v>0</v>
      </c>
      <c r="AH87" s="139">
        <f t="shared" si="62"/>
        <v>0</v>
      </c>
      <c r="AI87" s="142">
        <v>0</v>
      </c>
      <c r="AJ87" s="104">
        <f t="shared" si="63"/>
        <v>0</v>
      </c>
      <c r="AK87" s="139">
        <f t="shared" si="64"/>
        <v>0</v>
      </c>
      <c r="AL87" s="143"/>
      <c r="AM87" s="143"/>
      <c r="AN87" s="104">
        <f t="shared" si="65"/>
        <v>0</v>
      </c>
      <c r="AO87" s="148">
        <f t="shared" si="66"/>
        <v>0</v>
      </c>
      <c r="AP87" s="272">
        <f t="shared" si="67"/>
        <v>0</v>
      </c>
      <c r="AQ87" s="669">
        <v>49.53</v>
      </c>
      <c r="AR87" s="726">
        <v>0</v>
      </c>
      <c r="AS87" s="726">
        <v>0</v>
      </c>
      <c r="AT87" s="726">
        <v>0</v>
      </c>
      <c r="AU87" s="401">
        <v>0</v>
      </c>
      <c r="AV87" s="786"/>
      <c r="AW87" s="246"/>
      <c r="AX87" s="713">
        <f t="shared" si="68"/>
        <v>0</v>
      </c>
      <c r="AY87" s="714">
        <v>0</v>
      </c>
      <c r="AZ87" s="715"/>
      <c r="BA87" s="716">
        <v>0</v>
      </c>
      <c r="BC87" s="712">
        <v>0</v>
      </c>
      <c r="BD87" s="712">
        <v>0</v>
      </c>
      <c r="BE87" s="712"/>
      <c r="BF87" s="712"/>
      <c r="BG87" s="712">
        <v>0</v>
      </c>
      <c r="BH87" s="712">
        <v>0</v>
      </c>
      <c r="BI87" s="134">
        <f t="shared" si="36"/>
        <v>0</v>
      </c>
      <c r="BJ87" s="123"/>
      <c r="BK87" s="792"/>
      <c r="BL87" s="104"/>
      <c r="BM87" s="672"/>
      <c r="BO87" s="562"/>
      <c r="BS87" s="879"/>
      <c r="BT87" s="774"/>
      <c r="BU87" s="774">
        <v>0</v>
      </c>
      <c r="BV87" s="774">
        <v>0</v>
      </c>
      <c r="BW87" s="774">
        <f t="shared" si="69"/>
        <v>0</v>
      </c>
    </row>
    <row r="88" spans="1:75" ht="15" thickBot="1" x14ac:dyDescent="0.35">
      <c r="A88" s="209" t="s">
        <v>353</v>
      </c>
      <c r="B88" s="227">
        <v>9</v>
      </c>
      <c r="C88" s="39">
        <f>'[3]побудинковий звіт'!E88</f>
        <v>9737.7999999999993</v>
      </c>
      <c r="D88" s="205">
        <f t="shared" si="44"/>
        <v>7228.2836699499649</v>
      </c>
      <c r="E88" s="104">
        <f t="shared" si="45"/>
        <v>1590.2237353974565</v>
      </c>
      <c r="F88" s="104">
        <f t="shared" si="46"/>
        <v>375.86312689558395</v>
      </c>
      <c r="G88" s="104">
        <f t="shared" si="47"/>
        <v>0</v>
      </c>
      <c r="H88" s="104">
        <f t="shared" si="48"/>
        <v>6039.0480813506338</v>
      </c>
      <c r="I88" s="104">
        <f t="shared" si="49"/>
        <v>1960.7364913089955</v>
      </c>
      <c r="J88" s="672">
        <f t="shared" si="37"/>
        <v>0</v>
      </c>
      <c r="K88" s="139">
        <f t="shared" si="50"/>
        <v>17194.155104902635</v>
      </c>
      <c r="L88" s="138">
        <f t="shared" si="38"/>
        <v>3919.7815940895584</v>
      </c>
      <c r="M88" s="104">
        <f t="shared" si="39"/>
        <v>862.34789180547818</v>
      </c>
      <c r="N88" s="29">
        <f t="shared" si="51"/>
        <v>160.17129082043448</v>
      </c>
      <c r="O88" s="104">
        <f t="shared" si="40"/>
        <v>17.531053085899099</v>
      </c>
      <c r="P88" s="104">
        <f t="shared" si="52"/>
        <v>3274.8783246443804</v>
      </c>
      <c r="Q88" s="104">
        <f t="shared" si="53"/>
        <v>1059.9128865773073</v>
      </c>
      <c r="R88" s="140">
        <f t="shared" si="54"/>
        <v>9294.6230410230582</v>
      </c>
      <c r="S88" s="138">
        <f t="shared" si="55"/>
        <v>223.08</v>
      </c>
      <c r="T88" s="104">
        <f t="shared" si="41"/>
        <v>28.713259155820285</v>
      </c>
      <c r="U88" s="139">
        <f t="shared" si="56"/>
        <v>251.79325915582029</v>
      </c>
      <c r="V88" s="104"/>
      <c r="W88" s="104">
        <f t="shared" si="57"/>
        <v>0</v>
      </c>
      <c r="X88" s="139">
        <f t="shared" si="58"/>
        <v>0</v>
      </c>
      <c r="Y88" s="138">
        <v>5657.32</v>
      </c>
      <c r="Z88" s="141">
        <v>0</v>
      </c>
      <c r="AA88" s="104">
        <f t="shared" si="42"/>
        <v>728.16969377535054</v>
      </c>
      <c r="AB88" s="139">
        <f t="shared" si="43"/>
        <v>6385.4896937753501</v>
      </c>
      <c r="AC88" s="138">
        <v>354.22500000000002</v>
      </c>
      <c r="AD88" s="104">
        <f t="shared" si="59"/>
        <v>45.593303857228086</v>
      </c>
      <c r="AE88" s="139">
        <f t="shared" si="60"/>
        <v>399.8183038572281</v>
      </c>
      <c r="AF88" s="142">
        <v>1641.2</v>
      </c>
      <c r="AG88" s="104">
        <f t="shared" si="61"/>
        <v>211.2435042430171</v>
      </c>
      <c r="AH88" s="139">
        <f t="shared" si="62"/>
        <v>1852.4435042430171</v>
      </c>
      <c r="AI88" s="142">
        <v>2464</v>
      </c>
      <c r="AJ88" s="104">
        <f t="shared" si="63"/>
        <v>317.14842460077631</v>
      </c>
      <c r="AK88" s="139">
        <f t="shared" si="64"/>
        <v>2781.1484246007763</v>
      </c>
      <c r="AL88" s="143"/>
      <c r="AM88" s="205"/>
      <c r="AN88" s="104">
        <f t="shared" si="65"/>
        <v>0</v>
      </c>
      <c r="AO88" s="148">
        <f t="shared" si="66"/>
        <v>0</v>
      </c>
      <c r="AP88" s="272">
        <f t="shared" si="67"/>
        <v>10291.270797217869</v>
      </c>
      <c r="AQ88" s="669">
        <v>0</v>
      </c>
      <c r="AR88" s="726">
        <v>6671.010527789761</v>
      </c>
      <c r="AS88" s="726">
        <v>3530.8376672221416</v>
      </c>
      <c r="AT88" s="726">
        <v>89.422602205967266</v>
      </c>
      <c r="AU88" s="401">
        <v>0</v>
      </c>
      <c r="AV88" s="786"/>
      <c r="AW88" s="246"/>
      <c r="AX88" s="713">
        <f t="shared" si="68"/>
        <v>375.86312689558395</v>
      </c>
      <c r="AY88" s="714">
        <v>160.17129082043448</v>
      </c>
      <c r="AZ88" s="715"/>
      <c r="BA88" s="716">
        <v>0</v>
      </c>
      <c r="BC88" s="712">
        <v>90</v>
      </c>
      <c r="BD88" s="712">
        <v>285.86312689558395</v>
      </c>
      <c r="BE88" s="712"/>
      <c r="BF88" s="712"/>
      <c r="BG88" s="712">
        <v>0</v>
      </c>
      <c r="BH88" s="712">
        <v>19.789786194842819</v>
      </c>
      <c r="BI88" s="134">
        <f>BC88+BD88+BE88+BG88</f>
        <v>375.86312689558395</v>
      </c>
      <c r="BJ88" s="123">
        <v>1014</v>
      </c>
      <c r="BK88" s="792"/>
      <c r="BL88" s="104"/>
      <c r="BM88" s="672"/>
      <c r="BO88" s="562"/>
      <c r="BS88" s="879"/>
      <c r="BT88" s="774"/>
      <c r="BU88" s="774">
        <v>7467.2948551934069</v>
      </c>
      <c r="BV88" s="774">
        <v>0</v>
      </c>
      <c r="BW88" s="774">
        <f t="shared" si="69"/>
        <v>7467.2948551934069</v>
      </c>
    </row>
    <row r="89" spans="1:75" ht="15" thickBot="1" x14ac:dyDescent="0.35">
      <c r="A89" s="210" t="s">
        <v>77</v>
      </c>
      <c r="B89" s="228">
        <v>1</v>
      </c>
      <c r="C89" s="39">
        <f>'[3]побудинковий звіт'!E89</f>
        <v>250.4</v>
      </c>
      <c r="D89" s="205">
        <f t="shared" si="44"/>
        <v>168.66329791825373</v>
      </c>
      <c r="E89" s="104">
        <f t="shared" si="45"/>
        <v>37.105956529494655</v>
      </c>
      <c r="F89" s="104">
        <f t="shared" si="46"/>
        <v>0</v>
      </c>
      <c r="G89" s="104">
        <f t="shared" si="47"/>
        <v>0</v>
      </c>
      <c r="H89" s="104">
        <f t="shared" si="48"/>
        <v>140.91391707854089</v>
      </c>
      <c r="I89" s="104">
        <f t="shared" si="49"/>
        <v>44.622573735861749</v>
      </c>
      <c r="J89" s="672">
        <f t="shared" si="37"/>
        <v>0</v>
      </c>
      <c r="K89" s="139">
        <f t="shared" si="50"/>
        <v>391.30574526215099</v>
      </c>
      <c r="L89" s="138">
        <f t="shared" si="38"/>
        <v>0</v>
      </c>
      <c r="M89" s="104">
        <f t="shared" si="39"/>
        <v>0</v>
      </c>
      <c r="N89" s="29">
        <f t="shared" si="51"/>
        <v>0</v>
      </c>
      <c r="O89" s="104">
        <f t="shared" si="40"/>
        <v>0.45079747917487883</v>
      </c>
      <c r="P89" s="104">
        <f t="shared" si="52"/>
        <v>0</v>
      </c>
      <c r="Q89" s="104">
        <f t="shared" si="53"/>
        <v>5.8023421401913189E-2</v>
      </c>
      <c r="R89" s="140">
        <f t="shared" si="54"/>
        <v>0.50882090057679208</v>
      </c>
      <c r="S89" s="138">
        <f t="shared" si="55"/>
        <v>0</v>
      </c>
      <c r="T89" s="104">
        <f t="shared" si="41"/>
        <v>0</v>
      </c>
      <c r="U89" s="139">
        <f t="shared" si="56"/>
        <v>0</v>
      </c>
      <c r="V89" s="104"/>
      <c r="W89" s="104">
        <f t="shared" si="57"/>
        <v>0</v>
      </c>
      <c r="X89" s="139">
        <f t="shared" si="58"/>
        <v>0</v>
      </c>
      <c r="Y89" s="138">
        <v>0</v>
      </c>
      <c r="Z89" s="141">
        <v>0</v>
      </c>
      <c r="AA89" s="104">
        <f t="shared" si="42"/>
        <v>0</v>
      </c>
      <c r="AB89" s="139">
        <f t="shared" si="43"/>
        <v>0</v>
      </c>
      <c r="AC89" s="138">
        <v>0</v>
      </c>
      <c r="AD89" s="104">
        <f t="shared" si="59"/>
        <v>0</v>
      </c>
      <c r="AE89" s="139">
        <f t="shared" si="60"/>
        <v>0</v>
      </c>
      <c r="AF89" s="142">
        <v>0</v>
      </c>
      <c r="AG89" s="104">
        <f t="shared" si="61"/>
        <v>0</v>
      </c>
      <c r="AH89" s="139">
        <f t="shared" si="62"/>
        <v>0</v>
      </c>
      <c r="AI89" s="142">
        <v>0</v>
      </c>
      <c r="AJ89" s="104">
        <f t="shared" si="63"/>
        <v>0</v>
      </c>
      <c r="AK89" s="139">
        <f t="shared" si="64"/>
        <v>0</v>
      </c>
      <c r="AL89" s="143"/>
      <c r="AM89" s="143"/>
      <c r="AN89" s="104">
        <f t="shared" si="65"/>
        <v>0</v>
      </c>
      <c r="AO89" s="148">
        <f t="shared" si="66"/>
        <v>0</v>
      </c>
      <c r="AP89" s="272">
        <f t="shared" si="67"/>
        <v>0</v>
      </c>
      <c r="AQ89" s="669">
        <v>155.66</v>
      </c>
      <c r="AR89" s="726">
        <v>0</v>
      </c>
      <c r="AS89" s="726">
        <v>0</v>
      </c>
      <c r="AT89" s="726">
        <v>0</v>
      </c>
      <c r="AU89" s="401">
        <v>0</v>
      </c>
      <c r="AV89" s="786"/>
      <c r="AW89" s="246"/>
      <c r="AX89" s="713">
        <f t="shared" si="68"/>
        <v>0</v>
      </c>
      <c r="AY89" s="714">
        <v>0</v>
      </c>
      <c r="AZ89" s="715"/>
      <c r="BA89" s="716">
        <v>0</v>
      </c>
      <c r="BC89" s="712">
        <v>0</v>
      </c>
      <c r="BD89" s="712">
        <v>0</v>
      </c>
      <c r="BE89" s="712"/>
      <c r="BF89" s="712"/>
      <c r="BG89" s="712">
        <v>0</v>
      </c>
      <c r="BH89" s="712">
        <v>0</v>
      </c>
      <c r="BI89" s="134">
        <f t="shared" si="36"/>
        <v>0</v>
      </c>
      <c r="BJ89" s="123"/>
      <c r="BK89" s="792"/>
      <c r="BL89" s="104"/>
      <c r="BM89" s="672"/>
      <c r="BO89" s="562"/>
      <c r="BS89" s="879"/>
      <c r="BT89" s="774"/>
      <c r="BU89" s="774">
        <v>0</v>
      </c>
      <c r="BV89" s="774">
        <v>0</v>
      </c>
      <c r="BW89" s="774">
        <f t="shared" si="69"/>
        <v>0</v>
      </c>
    </row>
    <row r="90" spans="1:75" ht="15" thickBot="1" x14ac:dyDescent="0.35">
      <c r="A90" s="209" t="s">
        <v>255</v>
      </c>
      <c r="B90" s="227">
        <v>5</v>
      </c>
      <c r="C90" s="39">
        <f>'[3]побудинковий звіт'!E90</f>
        <v>1899.07</v>
      </c>
      <c r="D90" s="205">
        <f t="shared" si="44"/>
        <v>1098.798675412713</v>
      </c>
      <c r="E90" s="104">
        <f t="shared" si="45"/>
        <v>241.73591046637452</v>
      </c>
      <c r="F90" s="104">
        <f t="shared" si="46"/>
        <v>56.235921333841532</v>
      </c>
      <c r="G90" s="104">
        <f t="shared" si="47"/>
        <v>0</v>
      </c>
      <c r="H90" s="104">
        <f t="shared" si="48"/>
        <v>918.01848620416627</v>
      </c>
      <c r="I90" s="104">
        <f t="shared" si="49"/>
        <v>297.94305298110737</v>
      </c>
      <c r="J90" s="672">
        <f t="shared" si="37"/>
        <v>0</v>
      </c>
      <c r="K90" s="139">
        <f t="shared" si="50"/>
        <v>2612.7320463982028</v>
      </c>
      <c r="L90" s="138">
        <f t="shared" si="38"/>
        <v>318.3740761974633</v>
      </c>
      <c r="M90" s="104">
        <f t="shared" si="39"/>
        <v>70.041967090303729</v>
      </c>
      <c r="N90" s="29">
        <f t="shared" si="51"/>
        <v>31.225822108158759</v>
      </c>
      <c r="O90" s="104">
        <f t="shared" si="40"/>
        <v>3.4189136133252283</v>
      </c>
      <c r="P90" s="104">
        <f t="shared" si="52"/>
        <v>265.99348362671276</v>
      </c>
      <c r="Q90" s="104">
        <f t="shared" si="53"/>
        <v>88.690127378021714</v>
      </c>
      <c r="R90" s="140">
        <f t="shared" si="54"/>
        <v>777.74439001398559</v>
      </c>
      <c r="S90" s="138">
        <f t="shared" si="55"/>
        <v>52.360000000000007</v>
      </c>
      <c r="T90" s="104">
        <f t="shared" si="41"/>
        <v>6.7394040227664975</v>
      </c>
      <c r="U90" s="139">
        <f t="shared" si="56"/>
        <v>59.099404022766507</v>
      </c>
      <c r="V90" s="104"/>
      <c r="W90" s="104">
        <f t="shared" si="57"/>
        <v>0</v>
      </c>
      <c r="X90" s="139">
        <f t="shared" si="58"/>
        <v>0</v>
      </c>
      <c r="Y90" s="138">
        <v>0</v>
      </c>
      <c r="Z90" s="141">
        <v>0</v>
      </c>
      <c r="AA90" s="104">
        <f t="shared" si="42"/>
        <v>0</v>
      </c>
      <c r="AB90" s="139">
        <f t="shared" si="43"/>
        <v>0</v>
      </c>
      <c r="AC90" s="138">
        <v>0</v>
      </c>
      <c r="AD90" s="104">
        <f t="shared" si="59"/>
        <v>0</v>
      </c>
      <c r="AE90" s="139">
        <f t="shared" si="60"/>
        <v>0</v>
      </c>
      <c r="AF90" s="142">
        <v>94.6</v>
      </c>
      <c r="AG90" s="104">
        <f t="shared" si="61"/>
        <v>12.176234158779804</v>
      </c>
      <c r="AH90" s="139">
        <f t="shared" si="62"/>
        <v>106.7762341587798</v>
      </c>
      <c r="AI90" s="142">
        <v>0</v>
      </c>
      <c r="AJ90" s="104">
        <f t="shared" si="63"/>
        <v>0</v>
      </c>
      <c r="AK90" s="139">
        <f t="shared" si="64"/>
        <v>0</v>
      </c>
      <c r="AL90" s="143">
        <v>2167.5</v>
      </c>
      <c r="AM90" s="143"/>
      <c r="AN90" s="104">
        <f t="shared" si="65"/>
        <v>278.98506912426245</v>
      </c>
      <c r="AO90" s="148">
        <f t="shared" si="66"/>
        <v>2446.4850691242623</v>
      </c>
      <c r="AP90" s="272">
        <f t="shared" si="67"/>
        <v>926.55171706683052</v>
      </c>
      <c r="AQ90" s="669">
        <v>381.58</v>
      </c>
      <c r="AR90" s="726">
        <v>632.50548229408275</v>
      </c>
      <c r="AS90" s="726">
        <v>285.60331880153177</v>
      </c>
      <c r="AT90" s="726">
        <v>8.4429159712159905</v>
      </c>
      <c r="AU90" s="401">
        <v>0</v>
      </c>
      <c r="AV90" s="786"/>
      <c r="AW90" s="246"/>
      <c r="AX90" s="713">
        <f t="shared" si="68"/>
        <v>56.235921333841532</v>
      </c>
      <c r="AY90" s="714">
        <v>31.225822108158759</v>
      </c>
      <c r="AZ90" s="715"/>
      <c r="BA90" s="716">
        <v>0</v>
      </c>
      <c r="BC90" s="712">
        <v>0</v>
      </c>
      <c r="BD90" s="712">
        <v>56.235921333841532</v>
      </c>
      <c r="BE90" s="712"/>
      <c r="BF90" s="712"/>
      <c r="BG90" s="712">
        <v>0</v>
      </c>
      <c r="BH90" s="712">
        <v>4.364210979960256</v>
      </c>
      <c r="BI90" s="134">
        <f>BC90+BD90+BE90+BG90</f>
        <v>56.235921333841532</v>
      </c>
      <c r="BJ90" s="123">
        <v>238</v>
      </c>
      <c r="BK90" s="792"/>
      <c r="BL90" s="104"/>
      <c r="BM90" s="672"/>
      <c r="BO90" s="562"/>
      <c r="BS90" s="879"/>
      <c r="BT90" s="774"/>
      <c r="BU90" s="774">
        <v>708.00790359033545</v>
      </c>
      <c r="BV90" s="774">
        <v>0</v>
      </c>
      <c r="BW90" s="774">
        <f t="shared" si="69"/>
        <v>708.00790359033545</v>
      </c>
    </row>
    <row r="91" spans="1:75" ht="15" thickBot="1" x14ac:dyDescent="0.35">
      <c r="A91" s="209" t="s">
        <v>354</v>
      </c>
      <c r="B91" s="227">
        <v>9</v>
      </c>
      <c r="C91" s="39">
        <f>'[3]побудинковий звіт'!E91</f>
        <v>9311.5499999999993</v>
      </c>
      <c r="D91" s="205">
        <f t="shared" si="44"/>
        <v>1527.8454600238319</v>
      </c>
      <c r="E91" s="104">
        <f t="shared" si="45"/>
        <v>336.12628190696915</v>
      </c>
      <c r="F91" s="104">
        <f t="shared" si="46"/>
        <v>358.1299989489454</v>
      </c>
      <c r="G91" s="104">
        <f t="shared" si="47"/>
        <v>0</v>
      </c>
      <c r="H91" s="104">
        <f t="shared" si="48"/>
        <v>1276.4762169358894</v>
      </c>
      <c r="I91" s="104">
        <f t="shared" si="49"/>
        <v>450.31188622736619</v>
      </c>
      <c r="J91" s="672">
        <f t="shared" si="37"/>
        <v>0</v>
      </c>
      <c r="K91" s="139">
        <f t="shared" si="50"/>
        <v>3948.8898440430025</v>
      </c>
      <c r="L91" s="138">
        <f t="shared" si="38"/>
        <v>836.84080045732139</v>
      </c>
      <c r="M91" s="104">
        <f t="shared" si="39"/>
        <v>184.10410956041952</v>
      </c>
      <c r="N91" s="29">
        <f t="shared" si="51"/>
        <v>152.57442525928752</v>
      </c>
      <c r="O91" s="104">
        <f t="shared" si="40"/>
        <v>16.763671194931479</v>
      </c>
      <c r="P91" s="104">
        <f t="shared" si="52"/>
        <v>699.15931100040757</v>
      </c>
      <c r="Q91" s="104">
        <f t="shared" si="53"/>
        <v>243.19547660730569</v>
      </c>
      <c r="R91" s="140">
        <f t="shared" si="54"/>
        <v>2132.6377940796733</v>
      </c>
      <c r="S91" s="138">
        <f t="shared" si="55"/>
        <v>193.77599999999998</v>
      </c>
      <c r="T91" s="104">
        <f t="shared" si="41"/>
        <v>24.941458248961048</v>
      </c>
      <c r="U91" s="139">
        <f t="shared" si="56"/>
        <v>218.71745824896104</v>
      </c>
      <c r="V91" s="104"/>
      <c r="W91" s="104">
        <f t="shared" si="57"/>
        <v>0</v>
      </c>
      <c r="X91" s="139">
        <f t="shared" si="58"/>
        <v>0</v>
      </c>
      <c r="Y91" s="138">
        <v>6784.83</v>
      </c>
      <c r="Z91" s="141">
        <v>0</v>
      </c>
      <c r="AA91" s="104">
        <f t="shared" si="42"/>
        <v>873.29470198217746</v>
      </c>
      <c r="AB91" s="139">
        <f t="shared" si="43"/>
        <v>7658.1247019821776</v>
      </c>
      <c r="AC91" s="138">
        <v>236.15</v>
      </c>
      <c r="AD91" s="104">
        <f t="shared" si="59"/>
        <v>30.395535904818722</v>
      </c>
      <c r="AE91" s="139">
        <f t="shared" si="60"/>
        <v>266.54553590481873</v>
      </c>
      <c r="AF91" s="142">
        <v>2439.8000000000002</v>
      </c>
      <c r="AG91" s="104">
        <f t="shared" si="61"/>
        <v>314.03357400201872</v>
      </c>
      <c r="AH91" s="139">
        <f t="shared" si="62"/>
        <v>2753.8335740020188</v>
      </c>
      <c r="AI91" s="142">
        <v>1623.6</v>
      </c>
      <c r="AJ91" s="104">
        <f t="shared" si="63"/>
        <v>208.97815835301154</v>
      </c>
      <c r="AK91" s="139">
        <f t="shared" si="64"/>
        <v>1832.5781583530115</v>
      </c>
      <c r="AL91" s="143"/>
      <c r="AM91" s="205"/>
      <c r="AN91" s="104">
        <f t="shared" si="65"/>
        <v>0</v>
      </c>
      <c r="AO91" s="148">
        <f t="shared" si="66"/>
        <v>0</v>
      </c>
      <c r="AP91" s="272">
        <f t="shared" si="67"/>
        <v>2182.9498802254598</v>
      </c>
      <c r="AQ91" s="669">
        <v>0</v>
      </c>
      <c r="AR91" s="726">
        <v>1410.0543938289193</v>
      </c>
      <c r="AS91" s="726">
        <v>753.53392749539773</v>
      </c>
      <c r="AT91" s="726">
        <v>19.361558901142846</v>
      </c>
      <c r="AU91" s="401">
        <v>0</v>
      </c>
      <c r="AV91" s="786"/>
      <c r="AW91" s="246"/>
      <c r="AX91" s="713">
        <f t="shared" si="68"/>
        <v>358.1299989489454</v>
      </c>
      <c r="AY91" s="714">
        <v>152.57442525928752</v>
      </c>
      <c r="AZ91" s="715"/>
      <c r="BA91" s="716">
        <v>0</v>
      </c>
      <c r="BC91" s="712">
        <v>90</v>
      </c>
      <c r="BD91" s="712">
        <v>268.1299989489454</v>
      </c>
      <c r="BE91" s="712"/>
      <c r="BF91" s="712"/>
      <c r="BG91" s="712">
        <v>0</v>
      </c>
      <c r="BH91" s="712">
        <v>14.67641918260828</v>
      </c>
      <c r="BI91" s="134">
        <f>BC91+BD91+BE91+BG91</f>
        <v>358.1299989489454</v>
      </c>
      <c r="BJ91" s="123">
        <v>880.8</v>
      </c>
      <c r="BK91" s="792"/>
      <c r="BL91" s="104"/>
      <c r="BM91" s="672"/>
      <c r="BO91" s="562"/>
      <c r="BS91" s="879"/>
      <c r="BT91" s="774"/>
      <c r="BU91" s="774">
        <v>1314.2370699331741</v>
      </c>
      <c r="BV91" s="774">
        <v>0</v>
      </c>
      <c r="BW91" s="774">
        <f t="shared" si="69"/>
        <v>1314.2370699331741</v>
      </c>
    </row>
    <row r="92" spans="1:75" ht="15" thickBot="1" x14ac:dyDescent="0.35">
      <c r="A92" s="209" t="s">
        <v>355</v>
      </c>
      <c r="B92" s="227">
        <v>9</v>
      </c>
      <c r="C92" s="39">
        <f>'[3]побудинковий звіт'!E92</f>
        <v>3777.3500000000004</v>
      </c>
      <c r="D92" s="205">
        <f t="shared" si="44"/>
        <v>524.72811874474098</v>
      </c>
      <c r="E92" s="104">
        <f t="shared" si="45"/>
        <v>115.44028252893929</v>
      </c>
      <c r="F92" s="104">
        <f t="shared" si="46"/>
        <v>108.73803129044583</v>
      </c>
      <c r="G92" s="104">
        <f t="shared" si="47"/>
        <v>0</v>
      </c>
      <c r="H92" s="104">
        <f t="shared" si="48"/>
        <v>438.39706400981504</v>
      </c>
      <c r="I92" s="104">
        <f t="shared" si="49"/>
        <v>152.82119864505628</v>
      </c>
      <c r="J92" s="672">
        <f t="shared" si="37"/>
        <v>0</v>
      </c>
      <c r="K92" s="139">
        <f t="shared" si="50"/>
        <v>1340.1246952189974</v>
      </c>
      <c r="L92" s="138">
        <f t="shared" si="38"/>
        <v>450.09902420629459</v>
      </c>
      <c r="M92" s="104">
        <f t="shared" si="39"/>
        <v>99.021319252394264</v>
      </c>
      <c r="N92" s="29">
        <f t="shared" si="51"/>
        <v>62.104725347493357</v>
      </c>
      <c r="O92" s="104">
        <f t="shared" si="40"/>
        <v>6.8003987937748755</v>
      </c>
      <c r="P92" s="104">
        <f t="shared" si="52"/>
        <v>376.04634414819958</v>
      </c>
      <c r="Q92" s="104">
        <f t="shared" si="53"/>
        <v>127.94980074511663</v>
      </c>
      <c r="R92" s="140">
        <f t="shared" si="54"/>
        <v>1122.0216124932733</v>
      </c>
      <c r="S92" s="138">
        <f t="shared" si="55"/>
        <v>90.816000000000017</v>
      </c>
      <c r="T92" s="104">
        <f t="shared" si="41"/>
        <v>11.689184792428614</v>
      </c>
      <c r="U92" s="139">
        <f t="shared" si="56"/>
        <v>102.50518479242864</v>
      </c>
      <c r="V92" s="104"/>
      <c r="W92" s="104">
        <f t="shared" si="57"/>
        <v>0</v>
      </c>
      <c r="X92" s="139">
        <f t="shared" si="58"/>
        <v>0</v>
      </c>
      <c r="Y92" s="138">
        <v>4308.93</v>
      </c>
      <c r="Z92" s="141">
        <v>0</v>
      </c>
      <c r="AA92" s="104">
        <f t="shared" si="42"/>
        <v>554.61459464895427</v>
      </c>
      <c r="AB92" s="139">
        <f t="shared" si="43"/>
        <v>4863.5445946489544</v>
      </c>
      <c r="AC92" s="138">
        <v>0</v>
      </c>
      <c r="AD92" s="104">
        <f t="shared" si="59"/>
        <v>0</v>
      </c>
      <c r="AE92" s="139">
        <f t="shared" si="60"/>
        <v>0</v>
      </c>
      <c r="AF92" s="142">
        <v>411.4</v>
      </c>
      <c r="AG92" s="104">
        <f t="shared" si="61"/>
        <v>52.952460178879612</v>
      </c>
      <c r="AH92" s="139">
        <f t="shared" si="62"/>
        <v>464.3524601788796</v>
      </c>
      <c r="AI92" s="142">
        <v>739.2</v>
      </c>
      <c r="AJ92" s="104">
        <f t="shared" si="63"/>
        <v>95.144527380232901</v>
      </c>
      <c r="AK92" s="139">
        <f t="shared" si="64"/>
        <v>834.34452738023299</v>
      </c>
      <c r="AL92" s="205"/>
      <c r="AM92" s="205"/>
      <c r="AN92" s="104">
        <f t="shared" si="65"/>
        <v>0</v>
      </c>
      <c r="AO92" s="148">
        <f t="shared" si="66"/>
        <v>0</v>
      </c>
      <c r="AP92" s="272">
        <f t="shared" si="67"/>
        <v>899.97929533700187</v>
      </c>
      <c r="AQ92" s="669">
        <v>0</v>
      </c>
      <c r="AR92" s="726">
        <v>484.27357920745703</v>
      </c>
      <c r="AS92" s="726">
        <v>406.81715713006997</v>
      </c>
      <c r="AT92" s="726">
        <v>8.8885589994749132</v>
      </c>
      <c r="AU92" s="401">
        <v>0</v>
      </c>
      <c r="AV92" s="786"/>
      <c r="AW92" s="246"/>
      <c r="AX92" s="713">
        <f t="shared" si="68"/>
        <v>108.73803129044583</v>
      </c>
      <c r="AY92" s="714">
        <v>62.104725347493357</v>
      </c>
      <c r="AZ92" s="715"/>
      <c r="BA92" s="716">
        <v>0</v>
      </c>
      <c r="BC92" s="712">
        <v>0</v>
      </c>
      <c r="BD92" s="712">
        <v>108.73803129044583</v>
      </c>
      <c r="BE92" s="712"/>
      <c r="BF92" s="712"/>
      <c r="BG92" s="712">
        <v>0</v>
      </c>
      <c r="BH92" s="712">
        <v>5.5709052601335989</v>
      </c>
      <c r="BI92" s="134">
        <f t="shared" ref="BI92:BI114" si="70">BC92+BD92+BE92+BG92</f>
        <v>108.73803129044583</v>
      </c>
      <c r="BJ92" s="123">
        <v>412.8</v>
      </c>
      <c r="BK92" s="792"/>
      <c r="BL92" s="104"/>
      <c r="BM92" s="672"/>
      <c r="BO92" s="562"/>
      <c r="BS92" s="879"/>
      <c r="BT92" s="774"/>
      <c r="BU92" s="774">
        <v>467.13394653246019</v>
      </c>
      <c r="BV92" s="774">
        <v>0</v>
      </c>
      <c r="BW92" s="774">
        <f t="shared" si="69"/>
        <v>467.13394653246019</v>
      </c>
    </row>
    <row r="93" spans="1:75" ht="15" thickBot="1" x14ac:dyDescent="0.35">
      <c r="A93" s="209" t="s">
        <v>356</v>
      </c>
      <c r="B93" s="227">
        <v>9</v>
      </c>
      <c r="C93" s="39">
        <f>'[3]побудинковий звіт'!E93</f>
        <v>4652.96</v>
      </c>
      <c r="D93" s="205">
        <f t="shared" si="44"/>
        <v>648.34949475766462</v>
      </c>
      <c r="E93" s="104">
        <f t="shared" si="45"/>
        <v>142.63700796398379</v>
      </c>
      <c r="F93" s="104">
        <f t="shared" si="46"/>
        <v>224.79785520763815</v>
      </c>
      <c r="G93" s="104">
        <f t="shared" si="47"/>
        <v>0</v>
      </c>
      <c r="H93" s="104">
        <f t="shared" si="48"/>
        <v>541.67959520438001</v>
      </c>
      <c r="I93" s="104">
        <f t="shared" si="49"/>
        <v>200.46560028767843</v>
      </c>
      <c r="J93" s="672">
        <f t="shared" si="37"/>
        <v>0</v>
      </c>
      <c r="K93" s="139">
        <f t="shared" si="50"/>
        <v>1757.929553421345</v>
      </c>
      <c r="L93" s="138">
        <f t="shared" si="38"/>
        <v>453.0733257392485</v>
      </c>
      <c r="M93" s="104">
        <f t="shared" si="39"/>
        <v>99.675662509784942</v>
      </c>
      <c r="N93" s="29">
        <f t="shared" si="51"/>
        <v>176.47867567359907</v>
      </c>
      <c r="O93" s="104">
        <f t="shared" si="40"/>
        <v>8.376767726443866</v>
      </c>
      <c r="P93" s="104">
        <f t="shared" si="52"/>
        <v>378.53129780886132</v>
      </c>
      <c r="Q93" s="104">
        <f t="shared" si="53"/>
        <v>143.660993603175</v>
      </c>
      <c r="R93" s="140">
        <f t="shared" si="54"/>
        <v>1259.7967230611127</v>
      </c>
      <c r="S93" s="138">
        <f t="shared" si="55"/>
        <v>78.474000000000004</v>
      </c>
      <c r="T93" s="104">
        <f t="shared" si="41"/>
        <v>10.100610987062225</v>
      </c>
      <c r="U93" s="139">
        <f t="shared" si="56"/>
        <v>88.574610987062229</v>
      </c>
      <c r="V93" s="104"/>
      <c r="W93" s="104">
        <f t="shared" si="57"/>
        <v>0</v>
      </c>
      <c r="X93" s="139">
        <f t="shared" si="58"/>
        <v>0</v>
      </c>
      <c r="Y93" s="138">
        <v>3102.43</v>
      </c>
      <c r="Z93" s="141">
        <v>0</v>
      </c>
      <c r="AA93" s="104">
        <f t="shared" si="42"/>
        <v>399.32255963238083</v>
      </c>
      <c r="AB93" s="139">
        <f t="shared" si="43"/>
        <v>3501.7525596323808</v>
      </c>
      <c r="AC93" s="138">
        <v>0</v>
      </c>
      <c r="AD93" s="104">
        <f t="shared" si="59"/>
        <v>0</v>
      </c>
      <c r="AE93" s="139">
        <f t="shared" si="60"/>
        <v>0</v>
      </c>
      <c r="AF93" s="142">
        <v>710.6</v>
      </c>
      <c r="AG93" s="104">
        <f t="shared" si="61"/>
        <v>91.463340308973883</v>
      </c>
      <c r="AH93" s="139">
        <f t="shared" si="62"/>
        <v>802.06334030897392</v>
      </c>
      <c r="AI93" s="142">
        <v>1067</v>
      </c>
      <c r="AJ93" s="104">
        <f t="shared" si="63"/>
        <v>137.33659458158618</v>
      </c>
      <c r="AK93" s="139">
        <f t="shared" si="64"/>
        <v>1204.3365945815863</v>
      </c>
      <c r="AL93" s="143">
        <v>297.5</v>
      </c>
      <c r="AM93" s="143"/>
      <c r="AN93" s="104">
        <f t="shared" si="65"/>
        <v>38.292068311173274</v>
      </c>
      <c r="AO93" s="148">
        <f t="shared" si="66"/>
        <v>335.7920683111733</v>
      </c>
      <c r="AP93" s="272">
        <f t="shared" si="67"/>
        <v>1016.8169610171473</v>
      </c>
      <c r="AQ93" s="669">
        <v>0</v>
      </c>
      <c r="AR93" s="726">
        <v>598.36421793964985</v>
      </c>
      <c r="AS93" s="726">
        <v>411.12784984820047</v>
      </c>
      <c r="AT93" s="726">
        <v>7.3248932292968876</v>
      </c>
      <c r="AU93" s="401">
        <v>0</v>
      </c>
      <c r="AV93" s="786"/>
      <c r="AW93" s="246"/>
      <c r="AX93" s="713">
        <f t="shared" si="68"/>
        <v>224.79785520763815</v>
      </c>
      <c r="AY93" s="714">
        <v>176.47867567359907</v>
      </c>
      <c r="AZ93" s="715"/>
      <c r="BA93" s="716">
        <v>0</v>
      </c>
      <c r="BC93" s="712">
        <v>90</v>
      </c>
      <c r="BD93" s="712">
        <v>134.79785520763815</v>
      </c>
      <c r="BE93" s="712"/>
      <c r="BF93" s="712"/>
      <c r="BG93" s="712">
        <v>0</v>
      </c>
      <c r="BH93" s="712">
        <v>7.7530107501137264</v>
      </c>
      <c r="BI93" s="134">
        <f t="shared" si="70"/>
        <v>224.79785520763815</v>
      </c>
      <c r="BJ93" s="123">
        <v>356.7</v>
      </c>
      <c r="BK93" s="792"/>
      <c r="BL93" s="104"/>
      <c r="BM93" s="672"/>
      <c r="BO93" s="562"/>
      <c r="BS93" s="879"/>
      <c r="BT93" s="774"/>
      <c r="BU93" s="774">
        <v>838.49792457175499</v>
      </c>
      <c r="BV93" s="774">
        <v>0</v>
      </c>
      <c r="BW93" s="774">
        <f t="shared" si="69"/>
        <v>838.49792457175499</v>
      </c>
    </row>
    <row r="94" spans="1:75" ht="15" thickBot="1" x14ac:dyDescent="0.35">
      <c r="A94" s="209" t="s">
        <v>415</v>
      </c>
      <c r="B94" s="227">
        <v>10</v>
      </c>
      <c r="C94" s="39">
        <f>'[3]побудинковий звіт'!E94</f>
        <v>4850.6500000000005</v>
      </c>
      <c r="D94" s="205">
        <f t="shared" si="44"/>
        <v>949.01054118102263</v>
      </c>
      <c r="E94" s="104">
        <f t="shared" si="45"/>
        <v>208.78249341574249</v>
      </c>
      <c r="F94" s="104">
        <f t="shared" si="46"/>
        <v>139.88464958701184</v>
      </c>
      <c r="G94" s="104">
        <f t="shared" si="47"/>
        <v>0</v>
      </c>
      <c r="H94" s="104">
        <f t="shared" si="48"/>
        <v>792.87429071533006</v>
      </c>
      <c r="I94" s="104">
        <f t="shared" si="49"/>
        <v>269.08087069208341</v>
      </c>
      <c r="J94" s="672">
        <f t="shared" si="37"/>
        <v>0</v>
      </c>
      <c r="K94" s="139">
        <f t="shared" si="50"/>
        <v>2359.6328455911907</v>
      </c>
      <c r="L94" s="138">
        <f t="shared" si="38"/>
        <v>530.47271199640647</v>
      </c>
      <c r="M94" s="104">
        <f t="shared" si="39"/>
        <v>116.70344734007747</v>
      </c>
      <c r="N94" s="29">
        <f t="shared" si="51"/>
        <v>79.752701946061364</v>
      </c>
      <c r="O94" s="104">
        <f t="shared" si="40"/>
        <v>8.7326708960048975</v>
      </c>
      <c r="P94" s="104">
        <f t="shared" si="52"/>
        <v>443.19652629417919</v>
      </c>
      <c r="Q94" s="104">
        <f t="shared" si="53"/>
        <v>151.73416236710875</v>
      </c>
      <c r="R94" s="140">
        <f t="shared" si="54"/>
        <v>1330.5922208398383</v>
      </c>
      <c r="S94" s="138">
        <f t="shared" si="55"/>
        <v>57.816000000000003</v>
      </c>
      <c r="T94" s="104">
        <f t="shared" si="41"/>
        <v>7.4416612486682157</v>
      </c>
      <c r="U94" s="139">
        <f t="shared" si="56"/>
        <v>65.257661248668214</v>
      </c>
      <c r="V94" s="104"/>
      <c r="W94" s="104">
        <f t="shared" si="57"/>
        <v>0</v>
      </c>
      <c r="X94" s="139">
        <f t="shared" si="58"/>
        <v>0</v>
      </c>
      <c r="Y94" s="138">
        <v>2679.17</v>
      </c>
      <c r="Z94" s="141">
        <v>0</v>
      </c>
      <c r="AA94" s="104">
        <f t="shared" si="42"/>
        <v>344.84356523444069</v>
      </c>
      <c r="AB94" s="139">
        <f t="shared" si="43"/>
        <v>3024.0135652344406</v>
      </c>
      <c r="AC94" s="138">
        <v>118.075</v>
      </c>
      <c r="AD94" s="104">
        <f t="shared" si="59"/>
        <v>15.197767952409361</v>
      </c>
      <c r="AE94" s="139">
        <f t="shared" si="60"/>
        <v>133.27276795240937</v>
      </c>
      <c r="AF94" s="142">
        <v>1102.2</v>
      </c>
      <c r="AG94" s="104">
        <f t="shared" si="61"/>
        <v>141.86728636159728</v>
      </c>
      <c r="AH94" s="139">
        <f t="shared" si="62"/>
        <v>1244.0672863615973</v>
      </c>
      <c r="AI94" s="142">
        <v>1267.2</v>
      </c>
      <c r="AJ94" s="104">
        <f t="shared" si="63"/>
        <v>163.10490408039925</v>
      </c>
      <c r="AK94" s="139">
        <f t="shared" si="64"/>
        <v>1430.3049040803994</v>
      </c>
      <c r="AL94" s="143"/>
      <c r="AM94" s="143"/>
      <c r="AN94" s="104">
        <f t="shared" si="65"/>
        <v>0</v>
      </c>
      <c r="AO94" s="148">
        <f t="shared" si="66"/>
        <v>0</v>
      </c>
      <c r="AP94" s="272">
        <f t="shared" si="67"/>
        <v>1365.7832714639801</v>
      </c>
      <c r="AQ94" s="669">
        <v>0</v>
      </c>
      <c r="AR94" s="726">
        <v>875.84544274614552</v>
      </c>
      <c r="AS94" s="726">
        <v>482.79774051002397</v>
      </c>
      <c r="AT94" s="726">
        <v>7.1400882078104928</v>
      </c>
      <c r="AU94" s="401">
        <v>0</v>
      </c>
      <c r="AV94" s="786"/>
      <c r="AW94" s="246"/>
      <c r="AX94" s="713">
        <f t="shared" si="68"/>
        <v>139.88464958701184</v>
      </c>
      <c r="AY94" s="714">
        <v>79.752701946061364</v>
      </c>
      <c r="AZ94" s="715"/>
      <c r="BA94" s="716">
        <v>0</v>
      </c>
      <c r="BC94" s="712">
        <v>0</v>
      </c>
      <c r="BD94" s="712">
        <v>139.88464958701184</v>
      </c>
      <c r="BE94" s="712"/>
      <c r="BF94" s="712"/>
      <c r="BG94" s="712">
        <v>0</v>
      </c>
      <c r="BH94" s="712">
        <v>7.4010582517298351</v>
      </c>
      <c r="BI94" s="134">
        <f t="shared" si="70"/>
        <v>139.88464958701184</v>
      </c>
      <c r="BJ94" s="123">
        <v>262.8</v>
      </c>
      <c r="BK94" s="792"/>
      <c r="BL94" s="104"/>
      <c r="BM94" s="672"/>
      <c r="BO94" s="562"/>
      <c r="BS94" s="879"/>
      <c r="BT94" s="774"/>
      <c r="BU94" s="774">
        <v>1168.7560143786845</v>
      </c>
      <c r="BV94" s="774">
        <v>0</v>
      </c>
      <c r="BW94" s="774">
        <f t="shared" si="69"/>
        <v>1168.7560143786845</v>
      </c>
    </row>
    <row r="95" spans="1:75" ht="15" thickBot="1" x14ac:dyDescent="0.35">
      <c r="A95" s="209" t="s">
        <v>357</v>
      </c>
      <c r="B95" s="227">
        <v>9</v>
      </c>
      <c r="C95" s="39">
        <f>'[3]побудинковий звіт'!E95</f>
        <v>9553.74</v>
      </c>
      <c r="D95" s="205">
        <f t="shared" si="44"/>
        <v>7231.3275648448052</v>
      </c>
      <c r="E95" s="104">
        <f t="shared" si="45"/>
        <v>1590.8933928335575</v>
      </c>
      <c r="F95" s="104">
        <f t="shared" si="46"/>
        <v>284.72593795854459</v>
      </c>
      <c r="G95" s="104">
        <f t="shared" si="47"/>
        <v>0</v>
      </c>
      <c r="H95" s="104">
        <f t="shared" si="48"/>
        <v>6041.5911785039643</v>
      </c>
      <c r="I95" s="104">
        <f t="shared" si="49"/>
        <v>1949.8112764686102</v>
      </c>
      <c r="J95" s="672">
        <f t="shared" si="37"/>
        <v>0</v>
      </c>
      <c r="K95" s="139">
        <f t="shared" si="50"/>
        <v>17098.349350609482</v>
      </c>
      <c r="L95" s="138">
        <f t="shared" si="38"/>
        <v>4458.6812992806454</v>
      </c>
      <c r="M95" s="104">
        <f t="shared" si="39"/>
        <v>980.90526892231912</v>
      </c>
      <c r="N95" s="29">
        <f t="shared" si="51"/>
        <v>206.99575004675216</v>
      </c>
      <c r="O95" s="104">
        <f t="shared" si="40"/>
        <v>17.199688133754819</v>
      </c>
      <c r="P95" s="104">
        <f t="shared" si="52"/>
        <v>3725.1153904922935</v>
      </c>
      <c r="Q95" s="104">
        <f t="shared" si="53"/>
        <v>1208.4715982781975</v>
      </c>
      <c r="R95" s="140">
        <f t="shared" si="54"/>
        <v>10597.368995153964</v>
      </c>
      <c r="S95" s="138">
        <f t="shared" si="55"/>
        <v>144.76000000000002</v>
      </c>
      <c r="T95" s="104">
        <f t="shared" si="41"/>
        <v>18.632469945295611</v>
      </c>
      <c r="U95" s="139">
        <f t="shared" si="56"/>
        <v>163.39246994529563</v>
      </c>
      <c r="V95" s="104"/>
      <c r="W95" s="104">
        <f t="shared" si="57"/>
        <v>0</v>
      </c>
      <c r="X95" s="139">
        <f t="shared" si="58"/>
        <v>0</v>
      </c>
      <c r="Y95" s="138">
        <v>6204.87</v>
      </c>
      <c r="Z95" s="141">
        <v>0</v>
      </c>
      <c r="AA95" s="104">
        <f t="shared" si="42"/>
        <v>798.64640639310835</v>
      </c>
      <c r="AB95" s="139">
        <f t="shared" si="43"/>
        <v>7003.5164063931079</v>
      </c>
      <c r="AC95" s="138">
        <v>0</v>
      </c>
      <c r="AD95" s="104">
        <f t="shared" si="59"/>
        <v>0</v>
      </c>
      <c r="AE95" s="139">
        <f t="shared" si="60"/>
        <v>0</v>
      </c>
      <c r="AF95" s="142">
        <v>1575.2</v>
      </c>
      <c r="AG95" s="104">
        <f t="shared" si="61"/>
        <v>202.74845715549628</v>
      </c>
      <c r="AH95" s="139">
        <f t="shared" si="62"/>
        <v>1777.9484571554963</v>
      </c>
      <c r="AI95" s="142">
        <v>2360.6</v>
      </c>
      <c r="AJ95" s="104">
        <f t="shared" si="63"/>
        <v>303.83951749699372</v>
      </c>
      <c r="AK95" s="139">
        <f t="shared" si="64"/>
        <v>2664.4395174969936</v>
      </c>
      <c r="AL95" s="143">
        <v>467.5</v>
      </c>
      <c r="AM95" s="143"/>
      <c r="AN95" s="104">
        <f t="shared" si="65"/>
        <v>60.173250203272289</v>
      </c>
      <c r="AO95" s="148">
        <f t="shared" si="66"/>
        <v>527.67325020327235</v>
      </c>
      <c r="AP95" s="272">
        <f t="shared" si="67"/>
        <v>10791.800911524857</v>
      </c>
      <c r="AQ95" s="669">
        <v>0</v>
      </c>
      <c r="AR95" s="726">
        <v>6673.8197499808302</v>
      </c>
      <c r="AS95" s="726">
        <v>4026.6359209431721</v>
      </c>
      <c r="AT95" s="726">
        <v>91.345240600855433</v>
      </c>
      <c r="AU95" s="401">
        <v>0</v>
      </c>
      <c r="AV95" s="786"/>
      <c r="AW95" s="246"/>
      <c r="AX95" s="713">
        <f t="shared" si="68"/>
        <v>284.72593795854459</v>
      </c>
      <c r="AY95" s="714">
        <v>206.99575004675216</v>
      </c>
      <c r="AZ95" s="715"/>
      <c r="BA95" s="716">
        <v>0</v>
      </c>
      <c r="BC95" s="712">
        <v>0</v>
      </c>
      <c r="BD95" s="712">
        <v>284.72593795854459</v>
      </c>
      <c r="BE95" s="712"/>
      <c r="BF95" s="712"/>
      <c r="BG95" s="712">
        <v>0</v>
      </c>
      <c r="BH95" s="712">
        <v>23.927741997270573</v>
      </c>
      <c r="BI95" s="134">
        <f t="shared" si="70"/>
        <v>284.72593795854459</v>
      </c>
      <c r="BJ95" s="123">
        <v>658</v>
      </c>
      <c r="BK95" s="792"/>
      <c r="BL95" s="104"/>
      <c r="BM95" s="672"/>
      <c r="BO95" s="562"/>
      <c r="BS95" s="879"/>
      <c r="BT95" s="774"/>
      <c r="BU95" s="774">
        <v>6467.5836852266084</v>
      </c>
      <c r="BV95" s="774">
        <v>0</v>
      </c>
      <c r="BW95" s="774">
        <f t="shared" si="69"/>
        <v>6467.5836852266084</v>
      </c>
    </row>
    <row r="96" spans="1:75" ht="15" thickBot="1" x14ac:dyDescent="0.35">
      <c r="A96" s="209" t="s">
        <v>358</v>
      </c>
      <c r="B96" s="227">
        <v>9</v>
      </c>
      <c r="C96" s="39">
        <f>'[3]побудинковий звіт'!E96</f>
        <v>7507.43</v>
      </c>
      <c r="D96" s="205">
        <f t="shared" si="44"/>
        <v>5220.381224423405</v>
      </c>
      <c r="E96" s="104">
        <f t="shared" si="45"/>
        <v>1148.4848284819457</v>
      </c>
      <c r="F96" s="104">
        <f t="shared" si="46"/>
        <v>220.53967622584702</v>
      </c>
      <c r="G96" s="104">
        <f t="shared" si="47"/>
        <v>0</v>
      </c>
      <c r="H96" s="104">
        <f t="shared" si="48"/>
        <v>4361.4964017441862</v>
      </c>
      <c r="I96" s="104">
        <f t="shared" si="49"/>
        <v>1409.5216553426999</v>
      </c>
      <c r="J96" s="672">
        <f t="shared" si="37"/>
        <v>0</v>
      </c>
      <c r="K96" s="139">
        <f t="shared" si="50"/>
        <v>12360.423786218083</v>
      </c>
      <c r="L96" s="138">
        <f t="shared" si="38"/>
        <v>3215.1507230990924</v>
      </c>
      <c r="M96" s="104">
        <f t="shared" si="39"/>
        <v>707.32982982572116</v>
      </c>
      <c r="N96" s="29">
        <f t="shared" si="51"/>
        <v>173.46283525265</v>
      </c>
      <c r="O96" s="104">
        <f t="shared" si="40"/>
        <v>13.515696961189541</v>
      </c>
      <c r="P96" s="104">
        <f t="shared" si="52"/>
        <v>2686.1770639002993</v>
      </c>
      <c r="Q96" s="104">
        <f t="shared" si="53"/>
        <v>874.68559205673296</v>
      </c>
      <c r="R96" s="140">
        <f t="shared" si="54"/>
        <v>7670.321741095685</v>
      </c>
      <c r="S96" s="138">
        <f t="shared" si="55"/>
        <v>148.72</v>
      </c>
      <c r="T96" s="104">
        <f t="shared" si="41"/>
        <v>19.142172770546857</v>
      </c>
      <c r="U96" s="139">
        <f t="shared" si="56"/>
        <v>167.86217277054686</v>
      </c>
      <c r="V96" s="104"/>
      <c r="W96" s="104">
        <f t="shared" si="57"/>
        <v>0</v>
      </c>
      <c r="X96" s="139">
        <f t="shared" si="58"/>
        <v>0</v>
      </c>
      <c r="Y96" s="138">
        <v>4455.5</v>
      </c>
      <c r="Z96" s="141">
        <v>0</v>
      </c>
      <c r="AA96" s="104">
        <f t="shared" si="42"/>
        <v>573.48003482498336</v>
      </c>
      <c r="AB96" s="139">
        <f t="shared" si="43"/>
        <v>5028.9800348249837</v>
      </c>
      <c r="AC96" s="138">
        <v>354.22500000000002</v>
      </c>
      <c r="AD96" s="104">
        <f t="shared" si="59"/>
        <v>45.593303857228086</v>
      </c>
      <c r="AE96" s="139">
        <f t="shared" si="60"/>
        <v>399.8183038572281</v>
      </c>
      <c r="AF96" s="142">
        <v>589.6</v>
      </c>
      <c r="AG96" s="104">
        <f t="shared" si="61"/>
        <v>75.889087315185762</v>
      </c>
      <c r="AH96" s="139">
        <f t="shared" si="62"/>
        <v>665.48908731518577</v>
      </c>
      <c r="AI96" s="142">
        <v>1548.8</v>
      </c>
      <c r="AJ96" s="104">
        <f t="shared" si="63"/>
        <v>199.35043832048797</v>
      </c>
      <c r="AK96" s="139">
        <f t="shared" si="64"/>
        <v>1748.1504383204879</v>
      </c>
      <c r="AL96" s="143"/>
      <c r="AM96" s="143"/>
      <c r="AN96" s="104">
        <f t="shared" si="65"/>
        <v>0</v>
      </c>
      <c r="AO96" s="148">
        <f t="shared" si="66"/>
        <v>0</v>
      </c>
      <c r="AP96" s="272">
        <f t="shared" si="67"/>
        <v>7787.3819008269929</v>
      </c>
      <c r="AQ96" s="669">
        <v>0</v>
      </c>
      <c r="AR96" s="726">
        <v>4817.9097137516746</v>
      </c>
      <c r="AS96" s="726">
        <v>2908.2023260212004</v>
      </c>
      <c r="AT96" s="726">
        <v>61.269861054117797</v>
      </c>
      <c r="AU96" s="401">
        <v>0</v>
      </c>
      <c r="AV96" s="786"/>
      <c r="AW96" s="246"/>
      <c r="AX96" s="713">
        <f t="shared" si="68"/>
        <v>220.53967622584702</v>
      </c>
      <c r="AY96" s="714">
        <v>173.46283525265</v>
      </c>
      <c r="AZ96" s="715"/>
      <c r="BA96" s="716">
        <v>0</v>
      </c>
      <c r="BC96" s="712">
        <v>0</v>
      </c>
      <c r="BD96" s="712">
        <v>220.53967622584702</v>
      </c>
      <c r="BE96" s="712"/>
      <c r="BF96" s="712"/>
      <c r="BG96" s="712">
        <v>0</v>
      </c>
      <c r="BH96" s="712">
        <v>15.445686786218786</v>
      </c>
      <c r="BI96" s="134">
        <f t="shared" si="70"/>
        <v>220.53967622584702</v>
      </c>
      <c r="BJ96" s="123">
        <v>676</v>
      </c>
      <c r="BK96" s="792"/>
      <c r="BL96" s="104"/>
      <c r="BM96" s="672"/>
      <c r="BO96" s="562"/>
      <c r="BS96" s="879"/>
      <c r="BT96" s="774"/>
      <c r="BU96" s="774">
        <v>2457.5067229877741</v>
      </c>
      <c r="BV96" s="774">
        <v>0</v>
      </c>
      <c r="BW96" s="774">
        <f t="shared" si="69"/>
        <v>2457.5067229877741</v>
      </c>
    </row>
    <row r="97" spans="1:75" ht="15" thickBot="1" x14ac:dyDescent="0.35">
      <c r="A97" s="209" t="s">
        <v>153</v>
      </c>
      <c r="B97" s="227">
        <v>2</v>
      </c>
      <c r="C97" s="39">
        <f>'[3]побудинковий звіт'!E97</f>
        <v>507.5</v>
      </c>
      <c r="D97" s="205">
        <f t="shared" si="44"/>
        <v>116.72397697397722</v>
      </c>
      <c r="E97" s="104">
        <f t="shared" si="45"/>
        <v>25.679296379259231</v>
      </c>
      <c r="F97" s="104">
        <f t="shared" si="46"/>
        <v>15.498378810630427</v>
      </c>
      <c r="G97" s="104">
        <f t="shared" si="47"/>
        <v>0</v>
      </c>
      <c r="H97" s="104">
        <f t="shared" si="48"/>
        <v>97.519928848779131</v>
      </c>
      <c r="I97" s="104">
        <f t="shared" si="49"/>
        <v>32.876035725324769</v>
      </c>
      <c r="J97" s="672">
        <f t="shared" si="37"/>
        <v>0</v>
      </c>
      <c r="K97" s="139">
        <f t="shared" si="50"/>
        <v>288.29761673797077</v>
      </c>
      <c r="L97" s="138">
        <f t="shared" si="38"/>
        <v>33.249767826469075</v>
      </c>
      <c r="M97" s="104">
        <f t="shared" si="39"/>
        <v>7.3149144920246574</v>
      </c>
      <c r="N97" s="29">
        <f t="shared" si="51"/>
        <v>10.413229848163205</v>
      </c>
      <c r="O97" s="104">
        <f t="shared" si="40"/>
        <v>0.91365703147464461</v>
      </c>
      <c r="P97" s="104">
        <f t="shared" si="52"/>
        <v>27.779339573038925</v>
      </c>
      <c r="Q97" s="104">
        <f t="shared" si="53"/>
        <v>10.254668507828287</v>
      </c>
      <c r="R97" s="140">
        <f t="shared" si="54"/>
        <v>89.925577278998787</v>
      </c>
      <c r="S97" s="138">
        <f t="shared" si="55"/>
        <v>0</v>
      </c>
      <c r="T97" s="104">
        <f t="shared" si="41"/>
        <v>0</v>
      </c>
      <c r="U97" s="139">
        <f t="shared" si="56"/>
        <v>0</v>
      </c>
      <c r="V97" s="104"/>
      <c r="W97" s="104">
        <f t="shared" si="57"/>
        <v>0</v>
      </c>
      <c r="X97" s="139">
        <f t="shared" si="58"/>
        <v>0</v>
      </c>
      <c r="Y97" s="138">
        <v>0</v>
      </c>
      <c r="Z97" s="141">
        <v>0</v>
      </c>
      <c r="AA97" s="104">
        <f t="shared" si="42"/>
        <v>0</v>
      </c>
      <c r="AB97" s="139">
        <f t="shared" si="43"/>
        <v>0</v>
      </c>
      <c r="AC97" s="138">
        <v>0</v>
      </c>
      <c r="AD97" s="104">
        <f t="shared" si="59"/>
        <v>0</v>
      </c>
      <c r="AE97" s="139">
        <f t="shared" si="60"/>
        <v>0</v>
      </c>
      <c r="AF97" s="142">
        <v>30.8</v>
      </c>
      <c r="AG97" s="104">
        <f t="shared" si="61"/>
        <v>3.9643553075097042</v>
      </c>
      <c r="AH97" s="139">
        <f t="shared" si="62"/>
        <v>34.764355307509703</v>
      </c>
      <c r="AI97" s="142">
        <v>0</v>
      </c>
      <c r="AJ97" s="104">
        <f t="shared" si="63"/>
        <v>0</v>
      </c>
      <c r="AK97" s="139">
        <f t="shared" si="64"/>
        <v>0</v>
      </c>
      <c r="AL97" s="143"/>
      <c r="AM97" s="391"/>
      <c r="AN97" s="104">
        <f t="shared" si="65"/>
        <v>0</v>
      </c>
      <c r="AO97" s="148">
        <f t="shared" si="66"/>
        <v>0</v>
      </c>
      <c r="AP97" s="272">
        <f t="shared" si="67"/>
        <v>122.75406423500846</v>
      </c>
      <c r="AQ97" s="669">
        <v>15.68</v>
      </c>
      <c r="AR97" s="725">
        <v>92.0450028905246</v>
      </c>
      <c r="AS97" s="725">
        <v>30.709061344483864</v>
      </c>
      <c r="AT97" s="725">
        <v>0</v>
      </c>
      <c r="AU97" s="401">
        <v>0</v>
      </c>
      <c r="AV97" s="786"/>
      <c r="AW97" s="246"/>
      <c r="AX97" s="713">
        <f t="shared" si="68"/>
        <v>15.498378810630427</v>
      </c>
      <c r="AY97" s="714">
        <v>10.413229848163205</v>
      </c>
      <c r="AZ97" s="715"/>
      <c r="BA97" s="716">
        <v>0</v>
      </c>
      <c r="BC97" s="712">
        <v>0</v>
      </c>
      <c r="BD97" s="712">
        <v>15.498378810630427</v>
      </c>
      <c r="BE97" s="712"/>
      <c r="BF97" s="712"/>
      <c r="BG97" s="712">
        <v>0</v>
      </c>
      <c r="BH97" s="712">
        <v>0</v>
      </c>
      <c r="BI97" s="134">
        <f t="shared" si="70"/>
        <v>15.498378810630427</v>
      </c>
      <c r="BJ97" s="123"/>
      <c r="BK97" s="792"/>
      <c r="BL97" s="104"/>
      <c r="BM97" s="672"/>
      <c r="BO97" s="562"/>
      <c r="BS97" s="879"/>
      <c r="BT97" s="774"/>
      <c r="BU97" s="774">
        <v>370.47627347442085</v>
      </c>
      <c r="BV97" s="774">
        <v>0</v>
      </c>
      <c r="BW97" s="774">
        <f t="shared" si="69"/>
        <v>370.47627347442085</v>
      </c>
    </row>
    <row r="98" spans="1:75" ht="15" thickBot="1" x14ac:dyDescent="0.35">
      <c r="A98" s="209" t="s">
        <v>208</v>
      </c>
      <c r="B98" s="227">
        <v>4</v>
      </c>
      <c r="C98" s="39">
        <f>'[3]побудинковий звіт'!E98</f>
        <v>2425.9</v>
      </c>
      <c r="D98" s="205">
        <f t="shared" si="44"/>
        <v>1515.4069244963841</v>
      </c>
      <c r="E98" s="104">
        <f t="shared" si="45"/>
        <v>333.38980180567438</v>
      </c>
      <c r="F98" s="104">
        <f t="shared" si="46"/>
        <v>74.449698962093294</v>
      </c>
      <c r="G98" s="104">
        <f t="shared" si="47"/>
        <v>0</v>
      </c>
      <c r="H98" s="104">
        <f t="shared" si="48"/>
        <v>1266.0841352825189</v>
      </c>
      <c r="I98" s="104">
        <f t="shared" si="49"/>
        <v>410.50777711383415</v>
      </c>
      <c r="J98" s="672">
        <f t="shared" si="37"/>
        <v>0</v>
      </c>
      <c r="K98" s="139">
        <f t="shared" si="50"/>
        <v>3599.8383376605043</v>
      </c>
      <c r="L98" s="138">
        <f t="shared" si="38"/>
        <v>365.90808369169889</v>
      </c>
      <c r="M98" s="104">
        <f t="shared" si="39"/>
        <v>80.49939951805122</v>
      </c>
      <c r="N98" s="29">
        <f t="shared" si="51"/>
        <v>50.022124048682983</v>
      </c>
      <c r="O98" s="104">
        <f t="shared" si="40"/>
        <v>4.3673706259198823</v>
      </c>
      <c r="P98" s="104">
        <f t="shared" si="52"/>
        <v>305.70694395345129</v>
      </c>
      <c r="Q98" s="104">
        <f t="shared" si="53"/>
        <v>103.80740594367177</v>
      </c>
      <c r="R98" s="140">
        <f t="shared" si="54"/>
        <v>910.31132778147594</v>
      </c>
      <c r="S98" s="138">
        <f t="shared" si="55"/>
        <v>6.6220000000000008</v>
      </c>
      <c r="T98" s="104">
        <f t="shared" si="41"/>
        <v>0.85233639111458648</v>
      </c>
      <c r="U98" s="139">
        <f t="shared" si="56"/>
        <v>7.474336391114587</v>
      </c>
      <c r="V98" s="104"/>
      <c r="W98" s="104">
        <f t="shared" si="57"/>
        <v>0</v>
      </c>
      <c r="X98" s="139">
        <f t="shared" si="58"/>
        <v>0</v>
      </c>
      <c r="Y98" s="138">
        <v>0</v>
      </c>
      <c r="Z98" s="141">
        <v>0</v>
      </c>
      <c r="AA98" s="104">
        <f t="shared" si="42"/>
        <v>0</v>
      </c>
      <c r="AB98" s="139">
        <f t="shared" si="43"/>
        <v>0</v>
      </c>
      <c r="AC98" s="138">
        <v>0</v>
      </c>
      <c r="AD98" s="104">
        <f t="shared" si="59"/>
        <v>0</v>
      </c>
      <c r="AE98" s="139">
        <f t="shared" si="60"/>
        <v>0</v>
      </c>
      <c r="AF98" s="142">
        <v>0</v>
      </c>
      <c r="AG98" s="104">
        <f t="shared" si="61"/>
        <v>0</v>
      </c>
      <c r="AH98" s="139">
        <f t="shared" si="62"/>
        <v>0</v>
      </c>
      <c r="AI98" s="142">
        <v>0</v>
      </c>
      <c r="AJ98" s="104">
        <f t="shared" si="63"/>
        <v>0</v>
      </c>
      <c r="AK98" s="139">
        <f t="shared" si="64"/>
        <v>0</v>
      </c>
      <c r="AL98" s="205"/>
      <c r="AM98" s="205"/>
      <c r="AN98" s="104">
        <f t="shared" si="65"/>
        <v>0</v>
      </c>
      <c r="AO98" s="148">
        <f t="shared" si="66"/>
        <v>0</v>
      </c>
      <c r="AP98" s="272">
        <f t="shared" si="67"/>
        <v>1502.8128596463625</v>
      </c>
      <c r="AQ98" s="669">
        <v>233.71</v>
      </c>
      <c r="AR98" s="725">
        <v>1164.8648220186908</v>
      </c>
      <c r="AS98" s="725">
        <v>337.94803762767162</v>
      </c>
      <c r="AT98" s="725">
        <v>0</v>
      </c>
      <c r="AU98" s="401">
        <v>0</v>
      </c>
      <c r="AV98" s="786"/>
      <c r="AW98" s="246"/>
      <c r="AX98" s="713">
        <f t="shared" si="68"/>
        <v>74.449698962093294</v>
      </c>
      <c r="AY98" s="714">
        <v>50.022124048682983</v>
      </c>
      <c r="AZ98" s="715"/>
      <c r="BA98" s="716">
        <v>0</v>
      </c>
      <c r="BC98" s="712">
        <v>0</v>
      </c>
      <c r="BD98" s="712">
        <v>74.449698962093294</v>
      </c>
      <c r="BE98" s="712"/>
      <c r="BF98" s="712"/>
      <c r="BG98" s="712">
        <v>0</v>
      </c>
      <c r="BH98" s="712">
        <v>0</v>
      </c>
      <c r="BI98" s="134">
        <f t="shared" si="70"/>
        <v>74.449698962093294</v>
      </c>
      <c r="BJ98" s="123">
        <v>30.1</v>
      </c>
      <c r="BK98" s="792"/>
      <c r="BL98" s="104"/>
      <c r="BM98" s="672"/>
      <c r="BO98" s="562"/>
      <c r="BS98" s="879"/>
      <c r="BT98" s="774"/>
      <c r="BU98" s="774">
        <v>1214.6168926355958</v>
      </c>
      <c r="BV98" s="774">
        <v>0</v>
      </c>
      <c r="BW98" s="774">
        <f t="shared" si="69"/>
        <v>1214.6168926355958</v>
      </c>
    </row>
    <row r="99" spans="1:75" ht="15" thickBot="1" x14ac:dyDescent="0.35">
      <c r="A99" s="209" t="s">
        <v>154</v>
      </c>
      <c r="B99" s="227">
        <v>2</v>
      </c>
      <c r="C99" s="39">
        <f>'[3]побудинковий звіт'!E99</f>
        <v>452.1</v>
      </c>
      <c r="D99" s="205">
        <f t="shared" si="44"/>
        <v>124.44368573003258</v>
      </c>
      <c r="E99" s="104">
        <f t="shared" si="45"/>
        <v>27.377633723886408</v>
      </c>
      <c r="F99" s="104">
        <f t="shared" si="46"/>
        <v>13.822878398670381</v>
      </c>
      <c r="G99" s="104">
        <f t="shared" si="47"/>
        <v>0</v>
      </c>
      <c r="H99" s="104">
        <f t="shared" si="48"/>
        <v>103.96955015316334</v>
      </c>
      <c r="I99" s="104">
        <f t="shared" si="49"/>
        <v>34.702749768967195</v>
      </c>
      <c r="J99" s="672">
        <f t="shared" si="37"/>
        <v>0</v>
      </c>
      <c r="K99" s="139">
        <f t="shared" si="50"/>
        <v>304.31649777471989</v>
      </c>
      <c r="L99" s="138">
        <f t="shared" si="38"/>
        <v>39.899703898435192</v>
      </c>
      <c r="M99" s="104">
        <f t="shared" si="39"/>
        <v>8.7778935419156099</v>
      </c>
      <c r="N99" s="29">
        <f t="shared" si="51"/>
        <v>9.2874752699833998</v>
      </c>
      <c r="O99" s="104">
        <f t="shared" si="40"/>
        <v>0.81391988951662431</v>
      </c>
      <c r="P99" s="104">
        <f t="shared" si="52"/>
        <v>33.335192872414119</v>
      </c>
      <c r="Q99" s="104">
        <f t="shared" si="53"/>
        <v>11.856277924477494</v>
      </c>
      <c r="R99" s="140">
        <f t="shared" si="54"/>
        <v>103.97046339674245</v>
      </c>
      <c r="S99" s="138">
        <f t="shared" si="55"/>
        <v>0</v>
      </c>
      <c r="T99" s="104">
        <f t="shared" si="41"/>
        <v>0</v>
      </c>
      <c r="U99" s="139">
        <f t="shared" si="56"/>
        <v>0</v>
      </c>
      <c r="V99" s="104"/>
      <c r="W99" s="104">
        <f t="shared" si="57"/>
        <v>0</v>
      </c>
      <c r="X99" s="139">
        <f t="shared" si="58"/>
        <v>0</v>
      </c>
      <c r="Y99" s="138">
        <v>0</v>
      </c>
      <c r="Z99" s="141">
        <v>0</v>
      </c>
      <c r="AA99" s="104">
        <f t="shared" si="42"/>
        <v>0</v>
      </c>
      <c r="AB99" s="139">
        <f t="shared" si="43"/>
        <v>0</v>
      </c>
      <c r="AC99" s="138">
        <v>0</v>
      </c>
      <c r="AD99" s="104">
        <f t="shared" si="59"/>
        <v>0</v>
      </c>
      <c r="AE99" s="139">
        <f t="shared" si="60"/>
        <v>0</v>
      </c>
      <c r="AF99" s="142">
        <v>0</v>
      </c>
      <c r="AG99" s="104">
        <f t="shared" si="61"/>
        <v>0</v>
      </c>
      <c r="AH99" s="139">
        <f t="shared" si="62"/>
        <v>0</v>
      </c>
      <c r="AI99" s="142">
        <v>0</v>
      </c>
      <c r="AJ99" s="104">
        <f t="shared" si="63"/>
        <v>0</v>
      </c>
      <c r="AK99" s="139">
        <f t="shared" si="64"/>
        <v>0</v>
      </c>
      <c r="AL99" s="143"/>
      <c r="AM99" s="391"/>
      <c r="AN99" s="104">
        <f t="shared" si="65"/>
        <v>0</v>
      </c>
      <c r="AO99" s="148">
        <f t="shared" si="66"/>
        <v>0</v>
      </c>
      <c r="AP99" s="272">
        <f t="shared" si="67"/>
        <v>126.60040895863129</v>
      </c>
      <c r="AQ99" s="669">
        <v>25.1</v>
      </c>
      <c r="AR99" s="725">
        <v>89.749551501864929</v>
      </c>
      <c r="AS99" s="725">
        <v>36.850857456766363</v>
      </c>
      <c r="AT99" s="725">
        <v>0</v>
      </c>
      <c r="AU99" s="401">
        <v>0</v>
      </c>
      <c r="AV99" s="786"/>
      <c r="AW99" s="246"/>
      <c r="AX99" s="713">
        <f t="shared" si="68"/>
        <v>13.822878398670381</v>
      </c>
      <c r="AY99" s="714">
        <v>9.2874752699833998</v>
      </c>
      <c r="AZ99" s="715"/>
      <c r="BA99" s="716">
        <v>0</v>
      </c>
      <c r="BC99" s="712">
        <v>0</v>
      </c>
      <c r="BD99" s="712">
        <v>13.822878398670381</v>
      </c>
      <c r="BE99" s="712"/>
      <c r="BF99" s="712"/>
      <c r="BG99" s="712">
        <v>0</v>
      </c>
      <c r="BH99" s="712">
        <v>0</v>
      </c>
      <c r="BI99" s="134">
        <f t="shared" si="70"/>
        <v>13.822878398670381</v>
      </c>
      <c r="BJ99" s="123"/>
      <c r="BK99" s="792"/>
      <c r="BL99" s="104"/>
      <c r="BM99" s="672"/>
      <c r="BO99" s="562"/>
      <c r="BS99" s="879"/>
      <c r="BT99" s="774"/>
      <c r="BU99" s="774">
        <v>361.24478478348885</v>
      </c>
      <c r="BV99" s="774">
        <v>0</v>
      </c>
      <c r="BW99" s="774">
        <f t="shared" si="69"/>
        <v>361.24478478348885</v>
      </c>
    </row>
    <row r="100" spans="1:75" ht="15" thickBot="1" x14ac:dyDescent="0.35">
      <c r="A100" s="209" t="s">
        <v>155</v>
      </c>
      <c r="B100" s="227">
        <v>2</v>
      </c>
      <c r="C100" s="39">
        <f>'[3]побудинковий звіт'!E100</f>
        <v>378.8</v>
      </c>
      <c r="D100" s="205">
        <f t="shared" si="44"/>
        <v>91.882142453321947</v>
      </c>
      <c r="E100" s="104">
        <f t="shared" si="45"/>
        <v>20.214088220676356</v>
      </c>
      <c r="F100" s="104">
        <f t="shared" si="46"/>
        <v>11.587858688555793</v>
      </c>
      <c r="G100" s="104">
        <f t="shared" si="47"/>
        <v>0</v>
      </c>
      <c r="H100" s="104">
        <f t="shared" si="48"/>
        <v>76.765204774671005</v>
      </c>
      <c r="I100" s="104">
        <f t="shared" si="49"/>
        <v>25.800396853879292</v>
      </c>
      <c r="J100" s="672">
        <f t="shared" si="37"/>
        <v>0</v>
      </c>
      <c r="K100" s="139">
        <f t="shared" si="50"/>
        <v>226.24969099110439</v>
      </c>
      <c r="L100" s="138">
        <f t="shared" si="38"/>
        <v>31.850254471743643</v>
      </c>
      <c r="M100" s="104">
        <f t="shared" si="39"/>
        <v>7.0070230031669967</v>
      </c>
      <c r="N100" s="29">
        <f t="shared" si="51"/>
        <v>7.7857844001851539</v>
      </c>
      <c r="O100" s="104">
        <f t="shared" si="40"/>
        <v>0.68195720891151801</v>
      </c>
      <c r="P100" s="104">
        <f t="shared" si="52"/>
        <v>26.610081582402024</v>
      </c>
      <c r="Q100" s="104">
        <f t="shared" si="53"/>
        <v>9.5163963876020823</v>
      </c>
      <c r="R100" s="140">
        <f t="shared" si="54"/>
        <v>83.451497054011426</v>
      </c>
      <c r="S100" s="138">
        <f t="shared" si="55"/>
        <v>22.88</v>
      </c>
      <c r="T100" s="104">
        <f t="shared" si="41"/>
        <v>2.9449496570072085</v>
      </c>
      <c r="U100" s="139">
        <f t="shared" si="56"/>
        <v>25.824949657007206</v>
      </c>
      <c r="V100" s="104"/>
      <c r="W100" s="104">
        <f t="shared" si="57"/>
        <v>0</v>
      </c>
      <c r="X100" s="139">
        <f t="shared" si="58"/>
        <v>0</v>
      </c>
      <c r="Y100" s="138">
        <v>0</v>
      </c>
      <c r="Z100" s="141">
        <v>0</v>
      </c>
      <c r="AA100" s="104">
        <f t="shared" si="42"/>
        <v>0</v>
      </c>
      <c r="AB100" s="139">
        <f t="shared" si="43"/>
        <v>0</v>
      </c>
      <c r="AC100" s="138">
        <v>0</v>
      </c>
      <c r="AD100" s="104">
        <f t="shared" si="59"/>
        <v>0</v>
      </c>
      <c r="AE100" s="139">
        <f t="shared" si="60"/>
        <v>0</v>
      </c>
      <c r="AF100" s="142">
        <v>15.4</v>
      </c>
      <c r="AG100" s="104">
        <f t="shared" si="61"/>
        <v>1.9821776537548521</v>
      </c>
      <c r="AH100" s="139">
        <f t="shared" si="62"/>
        <v>17.382177653754852</v>
      </c>
      <c r="AI100" s="142">
        <v>0</v>
      </c>
      <c r="AJ100" s="104">
        <f t="shared" si="63"/>
        <v>0</v>
      </c>
      <c r="AK100" s="139">
        <f t="shared" si="64"/>
        <v>0</v>
      </c>
      <c r="AL100" s="143"/>
      <c r="AM100" s="391"/>
      <c r="AN100" s="104">
        <f t="shared" si="65"/>
        <v>0</v>
      </c>
      <c r="AO100" s="148">
        <f t="shared" si="66"/>
        <v>0</v>
      </c>
      <c r="AP100" s="272">
        <f t="shared" si="67"/>
        <v>95.394867867587919</v>
      </c>
      <c r="AQ100" s="669">
        <v>18.82</v>
      </c>
      <c r="AR100" s="725">
        <v>65.978379201716109</v>
      </c>
      <c r="AS100" s="725">
        <v>28.517083627893108</v>
      </c>
      <c r="AT100" s="725">
        <v>0.89940503797871485</v>
      </c>
      <c r="AU100" s="401">
        <v>0</v>
      </c>
      <c r="AV100" s="786"/>
      <c r="AW100" s="246"/>
      <c r="AX100" s="713">
        <f t="shared" si="68"/>
        <v>11.587858688555793</v>
      </c>
      <c r="AY100" s="714">
        <v>7.7857844001851539</v>
      </c>
      <c r="AZ100" s="715"/>
      <c r="BA100" s="716">
        <v>0</v>
      </c>
      <c r="BC100" s="712">
        <v>0</v>
      </c>
      <c r="BD100" s="712">
        <v>11.587858688555793</v>
      </c>
      <c r="BE100" s="712"/>
      <c r="BF100" s="712"/>
      <c r="BG100" s="712">
        <v>0</v>
      </c>
      <c r="BH100" s="712">
        <v>0</v>
      </c>
      <c r="BI100" s="134">
        <f t="shared" si="70"/>
        <v>11.587858688555793</v>
      </c>
      <c r="BJ100" s="123">
        <v>104</v>
      </c>
      <c r="BK100" s="792"/>
      <c r="BL100" s="104"/>
      <c r="BM100" s="672"/>
      <c r="BO100" s="562"/>
      <c r="BS100" s="879"/>
      <c r="BT100" s="774"/>
      <c r="BU100" s="774">
        <v>265.56994854409436</v>
      </c>
      <c r="BV100" s="774">
        <v>0</v>
      </c>
      <c r="BW100" s="774">
        <f t="shared" si="69"/>
        <v>265.56994854409436</v>
      </c>
    </row>
    <row r="101" spans="1:75" ht="15" thickBot="1" x14ac:dyDescent="0.35">
      <c r="A101" s="209" t="s">
        <v>156</v>
      </c>
      <c r="B101" s="227">
        <v>2</v>
      </c>
      <c r="C101" s="39">
        <f>'[3]побудинковий звіт'!E101</f>
        <v>766.3</v>
      </c>
      <c r="D101" s="205">
        <f t="shared" si="44"/>
        <v>674.77068088591454</v>
      </c>
      <c r="E101" s="104">
        <f t="shared" si="45"/>
        <v>148.44967376640213</v>
      </c>
      <c r="F101" s="104">
        <f t="shared" si="46"/>
        <v>23.414201012390571</v>
      </c>
      <c r="G101" s="104">
        <f t="shared" si="47"/>
        <v>0</v>
      </c>
      <c r="H101" s="104">
        <f t="shared" si="48"/>
        <v>563.75382757826253</v>
      </c>
      <c r="I101" s="104">
        <f t="shared" si="49"/>
        <v>181.53508677789927</v>
      </c>
      <c r="J101" s="672">
        <f t="shared" si="37"/>
        <v>0</v>
      </c>
      <c r="K101" s="139">
        <f t="shared" si="50"/>
        <v>1591.923470020869</v>
      </c>
      <c r="L101" s="138">
        <f t="shared" si="38"/>
        <v>278.58971581276694</v>
      </c>
      <c r="M101" s="104">
        <f t="shared" si="39"/>
        <v>61.289449001973622</v>
      </c>
      <c r="N101" s="29">
        <f t="shared" si="51"/>
        <v>15.731803941060132</v>
      </c>
      <c r="O101" s="104">
        <f t="shared" si="40"/>
        <v>1.3795771097911727</v>
      </c>
      <c r="P101" s="104">
        <f t="shared" si="52"/>
        <v>232.75465734104958</v>
      </c>
      <c r="Q101" s="104">
        <f t="shared" si="53"/>
        <v>75.907776831514227</v>
      </c>
      <c r="R101" s="140">
        <f t="shared" si="54"/>
        <v>665.65298003815565</v>
      </c>
      <c r="S101" s="138">
        <f t="shared" si="55"/>
        <v>0</v>
      </c>
      <c r="T101" s="104">
        <f t="shared" si="41"/>
        <v>0</v>
      </c>
      <c r="U101" s="139">
        <f t="shared" si="56"/>
        <v>0</v>
      </c>
      <c r="V101" s="104"/>
      <c r="W101" s="104">
        <f t="shared" si="57"/>
        <v>0</v>
      </c>
      <c r="X101" s="139">
        <f t="shared" si="58"/>
        <v>0</v>
      </c>
      <c r="Y101" s="138">
        <v>0</v>
      </c>
      <c r="Z101" s="141">
        <v>0</v>
      </c>
      <c r="AA101" s="104">
        <f t="shared" si="42"/>
        <v>0</v>
      </c>
      <c r="AB101" s="139">
        <f t="shared" si="43"/>
        <v>0</v>
      </c>
      <c r="AC101" s="138">
        <v>0</v>
      </c>
      <c r="AD101" s="104">
        <f t="shared" si="59"/>
        <v>0</v>
      </c>
      <c r="AE101" s="139">
        <f t="shared" si="60"/>
        <v>0</v>
      </c>
      <c r="AF101" s="142">
        <v>26.4</v>
      </c>
      <c r="AG101" s="104">
        <f t="shared" si="61"/>
        <v>3.3980188350083176</v>
      </c>
      <c r="AH101" s="139">
        <f t="shared" si="62"/>
        <v>29.798018835008317</v>
      </c>
      <c r="AI101" s="142">
        <v>0</v>
      </c>
      <c r="AJ101" s="104">
        <f t="shared" si="63"/>
        <v>0</v>
      </c>
      <c r="AK101" s="139">
        <f t="shared" si="64"/>
        <v>0</v>
      </c>
      <c r="AL101" s="143">
        <v>828.75</v>
      </c>
      <c r="AM101" s="143"/>
      <c r="AN101" s="104">
        <f t="shared" si="65"/>
        <v>106.67076172398269</v>
      </c>
      <c r="AO101" s="148">
        <f t="shared" si="66"/>
        <v>935.42076172398265</v>
      </c>
      <c r="AP101" s="272">
        <f t="shared" si="67"/>
        <v>767.49033835569082</v>
      </c>
      <c r="AQ101" s="669">
        <v>112.56</v>
      </c>
      <c r="AR101" s="725">
        <v>510.18843124204056</v>
      </c>
      <c r="AS101" s="725">
        <v>253.63250207567165</v>
      </c>
      <c r="AT101" s="725">
        <v>3.6694050379787151</v>
      </c>
      <c r="AU101" s="401">
        <v>0</v>
      </c>
      <c r="AV101" s="786"/>
      <c r="AW101" s="246"/>
      <c r="AX101" s="713">
        <f t="shared" si="68"/>
        <v>23.414201012390571</v>
      </c>
      <c r="AY101" s="714">
        <v>15.731803941060132</v>
      </c>
      <c r="AZ101" s="715"/>
      <c r="BA101" s="716">
        <v>0</v>
      </c>
      <c r="BC101" s="712">
        <v>0</v>
      </c>
      <c r="BD101" s="712">
        <v>23.414201012390571</v>
      </c>
      <c r="BE101" s="712"/>
      <c r="BF101" s="712"/>
      <c r="BG101" s="712">
        <v>0</v>
      </c>
      <c r="BH101" s="712">
        <v>0</v>
      </c>
      <c r="BI101" s="134">
        <f t="shared" si="70"/>
        <v>23.414201012390571</v>
      </c>
      <c r="BJ101" s="123"/>
      <c r="BK101" s="792"/>
      <c r="BL101" s="104"/>
      <c r="BM101" s="672"/>
      <c r="BO101" s="562"/>
      <c r="BS101" s="879"/>
      <c r="BT101" s="774"/>
      <c r="BU101" s="774">
        <v>500.73274376980686</v>
      </c>
      <c r="BV101" s="774">
        <v>0</v>
      </c>
      <c r="BW101" s="774">
        <f t="shared" si="69"/>
        <v>500.73274376980686</v>
      </c>
    </row>
    <row r="102" spans="1:75" ht="15" thickBot="1" x14ac:dyDescent="0.35">
      <c r="A102" s="209" t="s">
        <v>157</v>
      </c>
      <c r="B102" s="227">
        <v>2</v>
      </c>
      <c r="C102" s="39">
        <f>'[3]побудинковий звіт'!E102</f>
        <v>994.8</v>
      </c>
      <c r="D102" s="205">
        <f t="shared" si="44"/>
        <v>270.33195760255228</v>
      </c>
      <c r="E102" s="104">
        <f t="shared" si="45"/>
        <v>59.473080339002976</v>
      </c>
      <c r="F102" s="104">
        <f t="shared" si="46"/>
        <v>30.415835945581271</v>
      </c>
      <c r="G102" s="104">
        <f t="shared" si="47"/>
        <v>0</v>
      </c>
      <c r="H102" s="104">
        <f t="shared" si="48"/>
        <v>225.85550933403735</v>
      </c>
      <c r="I102" s="104">
        <f t="shared" si="49"/>
        <v>75.435552611329598</v>
      </c>
      <c r="J102" s="672">
        <f t="shared" si="37"/>
        <v>0</v>
      </c>
      <c r="K102" s="139">
        <f t="shared" si="50"/>
        <v>661.51193583250347</v>
      </c>
      <c r="L102" s="138">
        <f t="shared" si="38"/>
        <v>69.522456509820756</v>
      </c>
      <c r="M102" s="104">
        <f t="shared" si="39"/>
        <v>15.294868442359492</v>
      </c>
      <c r="N102" s="29">
        <f t="shared" si="51"/>
        <v>20.436143327979394</v>
      </c>
      <c r="O102" s="104">
        <f t="shared" si="40"/>
        <v>1.7909478126324658</v>
      </c>
      <c r="P102" s="104">
        <f t="shared" si="52"/>
        <v>58.084253021481395</v>
      </c>
      <c r="Q102" s="104">
        <f t="shared" si="53"/>
        <v>21.254179085233243</v>
      </c>
      <c r="R102" s="140">
        <f t="shared" si="54"/>
        <v>186.38284819950672</v>
      </c>
      <c r="S102" s="138">
        <f t="shared" si="55"/>
        <v>42.900000000000006</v>
      </c>
      <c r="T102" s="104">
        <f t="shared" si="41"/>
        <v>5.5217806068885169</v>
      </c>
      <c r="U102" s="139">
        <f t="shared" si="56"/>
        <v>48.421780606888525</v>
      </c>
      <c r="V102" s="104"/>
      <c r="W102" s="104">
        <f t="shared" si="57"/>
        <v>0</v>
      </c>
      <c r="X102" s="139">
        <f t="shared" si="58"/>
        <v>0</v>
      </c>
      <c r="Y102" s="138">
        <v>0</v>
      </c>
      <c r="Z102" s="141">
        <v>0</v>
      </c>
      <c r="AA102" s="104">
        <f t="shared" si="42"/>
        <v>0</v>
      </c>
      <c r="AB102" s="139">
        <f t="shared" si="43"/>
        <v>0</v>
      </c>
      <c r="AC102" s="138">
        <v>0</v>
      </c>
      <c r="AD102" s="104">
        <f t="shared" si="59"/>
        <v>0</v>
      </c>
      <c r="AE102" s="139">
        <f t="shared" si="60"/>
        <v>0</v>
      </c>
      <c r="AF102" s="142">
        <v>33</v>
      </c>
      <c r="AG102" s="104">
        <f t="shared" si="61"/>
        <v>4.2475235437603969</v>
      </c>
      <c r="AH102" s="139">
        <f t="shared" si="62"/>
        <v>37.247523543760394</v>
      </c>
      <c r="AI102" s="142">
        <v>0</v>
      </c>
      <c r="AJ102" s="104">
        <f t="shared" si="63"/>
        <v>0</v>
      </c>
      <c r="AK102" s="139">
        <f t="shared" si="64"/>
        <v>0</v>
      </c>
      <c r="AL102" s="143"/>
      <c r="AM102" s="391"/>
      <c r="AN102" s="104">
        <f t="shared" si="65"/>
        <v>0</v>
      </c>
      <c r="AO102" s="148">
        <f t="shared" si="66"/>
        <v>0</v>
      </c>
      <c r="AP102" s="272">
        <f t="shared" si="67"/>
        <v>263.84044705015236</v>
      </c>
      <c r="AQ102" s="669">
        <v>49.86</v>
      </c>
      <c r="AR102" s="725">
        <v>199.63039322596546</v>
      </c>
      <c r="AS102" s="725">
        <v>62.53495976951249</v>
      </c>
      <c r="AT102" s="725">
        <v>1.6750940546744053</v>
      </c>
      <c r="AU102" s="401">
        <v>0</v>
      </c>
      <c r="AV102" s="786"/>
      <c r="AW102" s="246"/>
      <c r="AX102" s="713">
        <f t="shared" si="68"/>
        <v>30.415835945581271</v>
      </c>
      <c r="AY102" s="714">
        <v>20.436143327979394</v>
      </c>
      <c r="AZ102" s="715"/>
      <c r="BA102" s="716">
        <v>0</v>
      </c>
      <c r="BC102" s="712">
        <v>0</v>
      </c>
      <c r="BD102" s="712">
        <v>30.415835945581271</v>
      </c>
      <c r="BE102" s="712"/>
      <c r="BF102" s="712"/>
      <c r="BG102" s="712">
        <v>0</v>
      </c>
      <c r="BH102" s="712">
        <v>0</v>
      </c>
      <c r="BI102" s="134">
        <f t="shared" si="70"/>
        <v>30.415835945581271</v>
      </c>
      <c r="BJ102" s="123">
        <v>195</v>
      </c>
      <c r="BK102" s="792"/>
      <c r="BL102" s="104"/>
      <c r="BM102" s="672"/>
      <c r="BO102" s="562"/>
      <c r="BS102" s="879"/>
      <c r="BT102" s="774"/>
      <c r="BU102" s="774">
        <v>803.4743947818655</v>
      </c>
      <c r="BV102" s="774">
        <v>0</v>
      </c>
      <c r="BW102" s="774">
        <f t="shared" si="69"/>
        <v>803.4743947818655</v>
      </c>
    </row>
    <row r="103" spans="1:75" ht="15" thickBot="1" x14ac:dyDescent="0.35">
      <c r="A103" s="209" t="s">
        <v>158</v>
      </c>
      <c r="B103" s="227">
        <v>2</v>
      </c>
      <c r="C103" s="39">
        <f>'[3]побудинковий звіт'!E103</f>
        <v>598.30999999999995</v>
      </c>
      <c r="D103" s="205">
        <f t="shared" si="44"/>
        <v>530.53327554678651</v>
      </c>
      <c r="E103" s="104">
        <f t="shared" si="45"/>
        <v>116.71741809193536</v>
      </c>
      <c r="F103" s="104">
        <f t="shared" si="46"/>
        <v>17.969130421770778</v>
      </c>
      <c r="G103" s="104">
        <f t="shared" si="47"/>
        <v>0</v>
      </c>
      <c r="H103" s="104">
        <f t="shared" si="48"/>
        <v>443.24712560785071</v>
      </c>
      <c r="I103" s="104">
        <f t="shared" si="49"/>
        <v>142.67392321807753</v>
      </c>
      <c r="J103" s="672">
        <f t="shared" si="37"/>
        <v>0</v>
      </c>
      <c r="K103" s="139">
        <f t="shared" si="50"/>
        <v>1251.1408728864208</v>
      </c>
      <c r="L103" s="138">
        <f t="shared" si="38"/>
        <v>203.4807944857977</v>
      </c>
      <c r="M103" s="104">
        <f t="shared" si="39"/>
        <v>44.76556408456932</v>
      </c>
      <c r="N103" s="29">
        <f t="shared" si="51"/>
        <v>12.073306991643317</v>
      </c>
      <c r="O103" s="104">
        <f t="shared" si="40"/>
        <v>1.077143130052403</v>
      </c>
      <c r="P103" s="104">
        <f t="shared" si="52"/>
        <v>170.00305434051475</v>
      </c>
      <c r="Q103" s="104">
        <f t="shared" si="53"/>
        <v>55.526699242602533</v>
      </c>
      <c r="R103" s="140">
        <f t="shared" si="54"/>
        <v>486.92656227518006</v>
      </c>
      <c r="S103" s="138">
        <f t="shared" si="55"/>
        <v>35.200000000000003</v>
      </c>
      <c r="T103" s="104">
        <f t="shared" si="41"/>
        <v>4.5306917800110904</v>
      </c>
      <c r="U103" s="139">
        <f t="shared" si="56"/>
        <v>39.730691780011092</v>
      </c>
      <c r="V103" s="104"/>
      <c r="W103" s="104">
        <f t="shared" si="57"/>
        <v>0</v>
      </c>
      <c r="X103" s="139">
        <f t="shared" si="58"/>
        <v>0</v>
      </c>
      <c r="Y103" s="138">
        <v>0</v>
      </c>
      <c r="Z103" s="141">
        <v>0</v>
      </c>
      <c r="AA103" s="104">
        <f t="shared" si="42"/>
        <v>0</v>
      </c>
      <c r="AB103" s="139">
        <f t="shared" si="43"/>
        <v>0</v>
      </c>
      <c r="AC103" s="138">
        <v>0</v>
      </c>
      <c r="AD103" s="104">
        <f t="shared" si="59"/>
        <v>0</v>
      </c>
      <c r="AE103" s="139">
        <f t="shared" si="60"/>
        <v>0</v>
      </c>
      <c r="AF103" s="142">
        <v>248.6</v>
      </c>
      <c r="AG103" s="104">
        <f t="shared" si="61"/>
        <v>31.998010696328326</v>
      </c>
      <c r="AH103" s="139">
        <f t="shared" si="62"/>
        <v>280.59801069632834</v>
      </c>
      <c r="AI103" s="142">
        <v>0</v>
      </c>
      <c r="AJ103" s="104">
        <f t="shared" si="63"/>
        <v>0</v>
      </c>
      <c r="AK103" s="139">
        <f t="shared" si="64"/>
        <v>0</v>
      </c>
      <c r="AL103" s="143"/>
      <c r="AM103" s="391"/>
      <c r="AN103" s="104">
        <f t="shared" si="65"/>
        <v>0</v>
      </c>
      <c r="AO103" s="148">
        <f t="shared" si="66"/>
        <v>0</v>
      </c>
      <c r="AP103" s="272">
        <f t="shared" si="67"/>
        <v>650.55344618864422</v>
      </c>
      <c r="AQ103" s="669">
        <v>27.01</v>
      </c>
      <c r="AR103" s="725">
        <v>462.62118052890384</v>
      </c>
      <c r="AS103" s="725">
        <v>182.2658644984065</v>
      </c>
      <c r="AT103" s="725">
        <v>5.6664011613339049</v>
      </c>
      <c r="AU103" s="401">
        <v>0</v>
      </c>
      <c r="AV103" s="786"/>
      <c r="AW103" s="246"/>
      <c r="AX103" s="713">
        <f t="shared" si="68"/>
        <v>17.969130421770778</v>
      </c>
      <c r="AY103" s="714">
        <v>12.073306991643317</v>
      </c>
      <c r="AZ103" s="715"/>
      <c r="BA103" s="716">
        <v>0</v>
      </c>
      <c r="BC103" s="712">
        <v>0</v>
      </c>
      <c r="BD103" s="712">
        <v>17.969130421770778</v>
      </c>
      <c r="BE103" s="712"/>
      <c r="BF103" s="712"/>
      <c r="BG103" s="712">
        <v>0</v>
      </c>
      <c r="BH103" s="712">
        <v>0</v>
      </c>
      <c r="BI103" s="134">
        <f t="shared" si="70"/>
        <v>17.969130421770778</v>
      </c>
      <c r="BJ103" s="123">
        <v>160</v>
      </c>
      <c r="BK103" s="792"/>
      <c r="BL103" s="104"/>
      <c r="BM103" s="672"/>
      <c r="BO103" s="562"/>
      <c r="BS103" s="879"/>
      <c r="BT103" s="774"/>
      <c r="BU103" s="774">
        <v>452.34314619833276</v>
      </c>
      <c r="BV103" s="774">
        <v>0</v>
      </c>
      <c r="BW103" s="774">
        <f t="shared" si="69"/>
        <v>452.34314619833276</v>
      </c>
    </row>
    <row r="104" spans="1:75" ht="15" thickBot="1" x14ac:dyDescent="0.35">
      <c r="A104" s="209" t="s">
        <v>159</v>
      </c>
      <c r="B104" s="227">
        <v>2</v>
      </c>
      <c r="C104" s="39">
        <f>'[3]побудинковий звіт'!E104</f>
        <v>465.59999999999997</v>
      </c>
      <c r="D104" s="205">
        <f t="shared" si="44"/>
        <v>423.97742917026733</v>
      </c>
      <c r="E104" s="104">
        <f t="shared" si="45"/>
        <v>93.275112312245497</v>
      </c>
      <c r="F104" s="104">
        <f t="shared" si="46"/>
        <v>14.206592452869259</v>
      </c>
      <c r="G104" s="104">
        <f t="shared" si="47"/>
        <v>0</v>
      </c>
      <c r="H104" s="104">
        <f t="shared" si="48"/>
        <v>354.22241255017053</v>
      </c>
      <c r="I104" s="104">
        <f t="shared" si="49"/>
        <v>113.99858245368192</v>
      </c>
      <c r="J104" s="672">
        <f t="shared" si="37"/>
        <v>0</v>
      </c>
      <c r="K104" s="139">
        <f t="shared" si="50"/>
        <v>999.68012893923458</v>
      </c>
      <c r="L104" s="138">
        <f t="shared" si="38"/>
        <v>77.571584010395497</v>
      </c>
      <c r="M104" s="104">
        <f t="shared" si="39"/>
        <v>17.065668157695761</v>
      </c>
      <c r="N104" s="29">
        <f t="shared" si="51"/>
        <v>9.545289502759978</v>
      </c>
      <c r="O104" s="104">
        <f t="shared" si="40"/>
        <v>0.83822406670856053</v>
      </c>
      <c r="P104" s="104">
        <f t="shared" si="52"/>
        <v>64.80909535036983</v>
      </c>
      <c r="Q104" s="104">
        <f t="shared" si="53"/>
        <v>21.85928283044057</v>
      </c>
      <c r="R104" s="140">
        <f t="shared" si="54"/>
        <v>191.68914391837021</v>
      </c>
      <c r="S104" s="138">
        <f t="shared" si="55"/>
        <v>13.64</v>
      </c>
      <c r="T104" s="104">
        <f t="shared" si="41"/>
        <v>1.7556430647542975</v>
      </c>
      <c r="U104" s="139">
        <f t="shared" si="56"/>
        <v>15.395643064754298</v>
      </c>
      <c r="V104" s="104"/>
      <c r="W104" s="104">
        <f t="shared" si="57"/>
        <v>0</v>
      </c>
      <c r="X104" s="139">
        <f t="shared" si="58"/>
        <v>0</v>
      </c>
      <c r="Y104" s="138">
        <v>0</v>
      </c>
      <c r="Z104" s="141">
        <v>0</v>
      </c>
      <c r="AA104" s="104">
        <f t="shared" si="42"/>
        <v>0</v>
      </c>
      <c r="AB104" s="139">
        <f t="shared" si="43"/>
        <v>0</v>
      </c>
      <c r="AC104" s="138">
        <v>0</v>
      </c>
      <c r="AD104" s="104">
        <f t="shared" si="59"/>
        <v>0</v>
      </c>
      <c r="AE104" s="139">
        <f t="shared" si="60"/>
        <v>0</v>
      </c>
      <c r="AF104" s="142">
        <v>63.8</v>
      </c>
      <c r="AG104" s="104">
        <f t="shared" si="61"/>
        <v>8.2118788512701002</v>
      </c>
      <c r="AH104" s="139">
        <f t="shared" si="62"/>
        <v>72.011878851270097</v>
      </c>
      <c r="AI104" s="142">
        <v>0</v>
      </c>
      <c r="AJ104" s="104">
        <f t="shared" si="63"/>
        <v>0</v>
      </c>
      <c r="AK104" s="139">
        <f t="shared" si="64"/>
        <v>0</v>
      </c>
      <c r="AL104" s="143">
        <v>255</v>
      </c>
      <c r="AM104" s="143"/>
      <c r="AN104" s="104">
        <f t="shared" si="65"/>
        <v>32.821772838148526</v>
      </c>
      <c r="AO104" s="148">
        <f t="shared" si="66"/>
        <v>287.82177283814855</v>
      </c>
      <c r="AP104" s="272">
        <f t="shared" si="67"/>
        <v>429.83450938014948</v>
      </c>
      <c r="AQ104" s="669">
        <v>33.1</v>
      </c>
      <c r="AR104" s="725">
        <v>358.19038409192223</v>
      </c>
      <c r="AS104" s="725">
        <v>69.456595361739971</v>
      </c>
      <c r="AT104" s="725">
        <v>2.1875299264873105</v>
      </c>
      <c r="AU104" s="401">
        <v>0</v>
      </c>
      <c r="AV104" s="786"/>
      <c r="AW104" s="246"/>
      <c r="AX104" s="713">
        <f t="shared" si="68"/>
        <v>14.206592452869259</v>
      </c>
      <c r="AY104" s="714">
        <v>9.545289502759978</v>
      </c>
      <c r="AZ104" s="715"/>
      <c r="BA104" s="716">
        <v>0</v>
      </c>
      <c r="BC104" s="712">
        <v>0</v>
      </c>
      <c r="BD104" s="712">
        <v>14.206592452869259</v>
      </c>
      <c r="BE104" s="712"/>
      <c r="BF104" s="712"/>
      <c r="BG104" s="712">
        <v>0</v>
      </c>
      <c r="BH104" s="712">
        <v>0</v>
      </c>
      <c r="BI104" s="134">
        <f t="shared" si="70"/>
        <v>14.206592452869259</v>
      </c>
      <c r="BJ104" s="123">
        <v>62</v>
      </c>
      <c r="BK104" s="792"/>
      <c r="BL104" s="104"/>
      <c r="BM104" s="672"/>
      <c r="BO104" s="562"/>
      <c r="BS104" s="879"/>
      <c r="BT104" s="774"/>
      <c r="BU104" s="774">
        <v>351.55550921321282</v>
      </c>
      <c r="BV104" s="774">
        <v>0</v>
      </c>
      <c r="BW104" s="774">
        <f t="shared" si="69"/>
        <v>351.55550921321282</v>
      </c>
    </row>
    <row r="105" spans="1:75" ht="15" thickBot="1" x14ac:dyDescent="0.35">
      <c r="A105" s="209" t="s">
        <v>160</v>
      </c>
      <c r="B105" s="227">
        <v>2</v>
      </c>
      <c r="C105" s="39">
        <f>'[3]побудинковий звіт'!E105</f>
        <v>475.2</v>
      </c>
      <c r="D105" s="205">
        <f t="shared" si="44"/>
        <v>459.96955201927915</v>
      </c>
      <c r="E105" s="104">
        <f t="shared" si="45"/>
        <v>101.19338595164128</v>
      </c>
      <c r="F105" s="104">
        <f t="shared" si="46"/>
        <v>14.529156856996604</v>
      </c>
      <c r="G105" s="104">
        <f t="shared" si="47"/>
        <v>0</v>
      </c>
      <c r="H105" s="104">
        <f t="shared" si="48"/>
        <v>384.29292034425185</v>
      </c>
      <c r="I105" s="104">
        <f t="shared" si="49"/>
        <v>123.56239253336271</v>
      </c>
      <c r="J105" s="672">
        <f t="shared" si="37"/>
        <v>0</v>
      </c>
      <c r="K105" s="139">
        <f t="shared" si="50"/>
        <v>1083.5474077055317</v>
      </c>
      <c r="L105" s="138">
        <f t="shared" si="38"/>
        <v>105.47082369648277</v>
      </c>
      <c r="M105" s="104">
        <f t="shared" si="39"/>
        <v>23.203471999254234</v>
      </c>
      <c r="N105" s="29">
        <f t="shared" si="51"/>
        <v>9.7620178020263459</v>
      </c>
      <c r="O105" s="104">
        <f t="shared" si="40"/>
        <v>0.85550703715615983</v>
      </c>
      <c r="P105" s="104">
        <f t="shared" si="52"/>
        <v>88.118204066986237</v>
      </c>
      <c r="Q105" s="104">
        <f t="shared" si="53"/>
        <v>29.270588896476539</v>
      </c>
      <c r="R105" s="140">
        <f t="shared" si="54"/>
        <v>256.68061349838229</v>
      </c>
      <c r="S105" s="138">
        <f t="shared" si="55"/>
        <v>0</v>
      </c>
      <c r="T105" s="104">
        <f t="shared" si="41"/>
        <v>0</v>
      </c>
      <c r="U105" s="139">
        <f t="shared" si="56"/>
        <v>0</v>
      </c>
      <c r="V105" s="104"/>
      <c r="W105" s="104">
        <f t="shared" si="57"/>
        <v>0</v>
      </c>
      <c r="X105" s="139">
        <f t="shared" si="58"/>
        <v>0</v>
      </c>
      <c r="Y105" s="138">
        <v>0</v>
      </c>
      <c r="Z105" s="141">
        <v>0</v>
      </c>
      <c r="AA105" s="104">
        <f t="shared" si="42"/>
        <v>0</v>
      </c>
      <c r="AB105" s="139">
        <f t="shared" si="43"/>
        <v>0</v>
      </c>
      <c r="AC105" s="138">
        <v>0</v>
      </c>
      <c r="AD105" s="104">
        <f t="shared" si="59"/>
        <v>0</v>
      </c>
      <c r="AE105" s="139">
        <f t="shared" si="60"/>
        <v>0</v>
      </c>
      <c r="AF105" s="142">
        <v>11</v>
      </c>
      <c r="AG105" s="104">
        <f t="shared" si="61"/>
        <v>1.4158411812534657</v>
      </c>
      <c r="AH105" s="139">
        <f t="shared" si="62"/>
        <v>12.415841181253466</v>
      </c>
      <c r="AI105" s="142">
        <v>0</v>
      </c>
      <c r="AJ105" s="104">
        <f t="shared" si="63"/>
        <v>0</v>
      </c>
      <c r="AK105" s="139">
        <f t="shared" si="64"/>
        <v>0</v>
      </c>
      <c r="AL105" s="143"/>
      <c r="AM105" s="391"/>
      <c r="AN105" s="104">
        <f t="shared" si="65"/>
        <v>0</v>
      </c>
      <c r="AO105" s="148">
        <f t="shared" si="66"/>
        <v>0</v>
      </c>
      <c r="AP105" s="272">
        <f t="shared" si="67"/>
        <v>480.36915845208182</v>
      </c>
      <c r="AQ105" s="669">
        <v>41.55</v>
      </c>
      <c r="AR105" s="725">
        <v>382.95765134465057</v>
      </c>
      <c r="AS105" s="725">
        <v>97.411507107431262</v>
      </c>
      <c r="AT105" s="725">
        <v>0</v>
      </c>
      <c r="AU105" s="401">
        <v>0</v>
      </c>
      <c r="AV105" s="786"/>
      <c r="AW105" s="246"/>
      <c r="AX105" s="713">
        <f t="shared" si="68"/>
        <v>14.529156856996604</v>
      </c>
      <c r="AY105" s="714">
        <v>9.7620178020263459</v>
      </c>
      <c r="AZ105" s="715"/>
      <c r="BA105" s="716">
        <v>0</v>
      </c>
      <c r="BC105" s="712">
        <v>0</v>
      </c>
      <c r="BD105" s="712">
        <v>14.529156856996604</v>
      </c>
      <c r="BE105" s="712"/>
      <c r="BF105" s="712"/>
      <c r="BG105" s="712">
        <v>0</v>
      </c>
      <c r="BH105" s="712">
        <v>0</v>
      </c>
      <c r="BI105" s="134">
        <f t="shared" si="70"/>
        <v>14.529156856996604</v>
      </c>
      <c r="BJ105" s="123"/>
      <c r="BK105" s="792"/>
      <c r="BL105" s="104"/>
      <c r="BM105" s="672"/>
      <c r="BO105" s="562"/>
      <c r="BS105" s="879"/>
      <c r="BT105" s="774"/>
      <c r="BU105" s="774">
        <v>374.45033287819439</v>
      </c>
      <c r="BV105" s="774">
        <v>0</v>
      </c>
      <c r="BW105" s="774">
        <f t="shared" si="69"/>
        <v>374.45033287819439</v>
      </c>
    </row>
    <row r="106" spans="1:75" ht="15" thickBot="1" x14ac:dyDescent="0.35">
      <c r="A106" s="209" t="s">
        <v>195</v>
      </c>
      <c r="B106" s="227">
        <v>3</v>
      </c>
      <c r="C106" s="39">
        <f>'[3]побудинковий звіт'!E106</f>
        <v>1108</v>
      </c>
      <c r="D106" s="205">
        <f t="shared" si="44"/>
        <v>1027.2497107666604</v>
      </c>
      <c r="E106" s="104">
        <f t="shared" si="45"/>
        <v>225.99512509898815</v>
      </c>
      <c r="F106" s="104">
        <f t="shared" si="46"/>
        <v>33.87690613963013</v>
      </c>
      <c r="G106" s="104">
        <f t="shared" si="47"/>
        <v>0</v>
      </c>
      <c r="H106" s="104">
        <f t="shared" si="48"/>
        <v>858.24113691934508</v>
      </c>
      <c r="I106" s="104">
        <f t="shared" si="49"/>
        <v>276.13573751945233</v>
      </c>
      <c r="J106" s="672">
        <f t="shared" si="37"/>
        <v>0</v>
      </c>
      <c r="K106" s="139">
        <f t="shared" si="50"/>
        <v>2421.4986164440766</v>
      </c>
      <c r="L106" s="138">
        <f t="shared" si="38"/>
        <v>296.52002443652293</v>
      </c>
      <c r="M106" s="104">
        <f t="shared" si="39"/>
        <v>65.23409833254658</v>
      </c>
      <c r="N106" s="29">
        <f t="shared" si="51"/>
        <v>22.761607164657391</v>
      </c>
      <c r="O106" s="104">
        <f t="shared" si="40"/>
        <v>1.9947428391604063</v>
      </c>
      <c r="P106" s="104">
        <f t="shared" si="52"/>
        <v>247.73497643705815</v>
      </c>
      <c r="Q106" s="104">
        <f t="shared" si="53"/>
        <v>81.635529637640389</v>
      </c>
      <c r="R106" s="140">
        <f t="shared" si="54"/>
        <v>715.88097884758588</v>
      </c>
      <c r="S106" s="138">
        <f t="shared" si="55"/>
        <v>19.360000000000003</v>
      </c>
      <c r="T106" s="104">
        <f t="shared" si="41"/>
        <v>2.4918804790061002</v>
      </c>
      <c r="U106" s="139">
        <f t="shared" si="56"/>
        <v>21.851880479006102</v>
      </c>
      <c r="V106" s="104"/>
      <c r="W106" s="104">
        <f t="shared" si="57"/>
        <v>0</v>
      </c>
      <c r="X106" s="139">
        <f t="shared" si="58"/>
        <v>0</v>
      </c>
      <c r="Y106" s="138">
        <v>0</v>
      </c>
      <c r="Z106" s="141">
        <v>0</v>
      </c>
      <c r="AA106" s="104">
        <f t="shared" si="42"/>
        <v>0</v>
      </c>
      <c r="AB106" s="139">
        <f t="shared" si="43"/>
        <v>0</v>
      </c>
      <c r="AC106" s="138">
        <v>0</v>
      </c>
      <c r="AD106" s="104">
        <f t="shared" si="59"/>
        <v>0</v>
      </c>
      <c r="AE106" s="139">
        <f t="shared" si="60"/>
        <v>0</v>
      </c>
      <c r="AF106" s="142">
        <v>96.8</v>
      </c>
      <c r="AG106" s="104">
        <f t="shared" si="61"/>
        <v>12.459402395030498</v>
      </c>
      <c r="AH106" s="139">
        <f t="shared" si="62"/>
        <v>109.25940239503049</v>
      </c>
      <c r="AI106" s="142">
        <v>0</v>
      </c>
      <c r="AJ106" s="104">
        <f t="shared" si="63"/>
        <v>0</v>
      </c>
      <c r="AK106" s="139">
        <f t="shared" si="64"/>
        <v>0</v>
      </c>
      <c r="AL106" s="143"/>
      <c r="AM106" s="205"/>
      <c r="AN106" s="104">
        <f t="shared" si="65"/>
        <v>0</v>
      </c>
      <c r="AO106" s="148">
        <f t="shared" si="66"/>
        <v>0</v>
      </c>
      <c r="AP106" s="272">
        <f t="shared" si="67"/>
        <v>1115.9847817224061</v>
      </c>
      <c r="AQ106" s="669">
        <v>105.93</v>
      </c>
      <c r="AR106" s="725">
        <v>842.12267032925058</v>
      </c>
      <c r="AS106" s="725">
        <v>270.71368355137702</v>
      </c>
      <c r="AT106" s="725">
        <v>3.1484278417786555</v>
      </c>
      <c r="AU106" s="401">
        <v>0</v>
      </c>
      <c r="AV106" s="786"/>
      <c r="AW106" s="246"/>
      <c r="AX106" s="713">
        <f t="shared" si="68"/>
        <v>33.87690613963013</v>
      </c>
      <c r="AY106" s="714">
        <v>22.761607164657391</v>
      </c>
      <c r="AZ106" s="715"/>
      <c r="BA106" s="716">
        <v>0</v>
      </c>
      <c r="BC106" s="712">
        <v>0</v>
      </c>
      <c r="BD106" s="712">
        <v>33.87690613963013</v>
      </c>
      <c r="BE106" s="712"/>
      <c r="BF106" s="712"/>
      <c r="BG106" s="712">
        <v>0</v>
      </c>
      <c r="BH106" s="712">
        <v>0</v>
      </c>
      <c r="BI106" s="134">
        <f t="shared" si="70"/>
        <v>33.87690613963013</v>
      </c>
      <c r="BJ106" s="123">
        <v>88</v>
      </c>
      <c r="BK106" s="792"/>
      <c r="BL106" s="104"/>
      <c r="BM106" s="672"/>
      <c r="BO106" s="562"/>
      <c r="BS106" s="879"/>
      <c r="BT106" s="774"/>
      <c r="BU106" s="774">
        <v>823.81694236197438</v>
      </c>
      <c r="BV106" s="774">
        <v>0</v>
      </c>
      <c r="BW106" s="774">
        <f t="shared" si="69"/>
        <v>823.81694236197438</v>
      </c>
    </row>
    <row r="107" spans="1:75" ht="15" thickBot="1" x14ac:dyDescent="0.35">
      <c r="A107" s="209" t="s">
        <v>209</v>
      </c>
      <c r="B107" s="227">
        <v>4</v>
      </c>
      <c r="C107" s="39">
        <f>'[3]побудинковий звіт'!E107</f>
        <v>1472.6</v>
      </c>
      <c r="D107" s="205">
        <f t="shared" si="44"/>
        <v>1169.6450617113724</v>
      </c>
      <c r="E107" s="104">
        <f t="shared" si="45"/>
        <v>257.32212846825394</v>
      </c>
      <c r="F107" s="104">
        <f t="shared" si="46"/>
        <v>44.9816825926208</v>
      </c>
      <c r="G107" s="104">
        <f t="shared" si="47"/>
        <v>0</v>
      </c>
      <c r="H107" s="104">
        <f t="shared" si="48"/>
        <v>977.20884905976595</v>
      </c>
      <c r="I107" s="104">
        <f t="shared" si="49"/>
        <v>315.23803290497131</v>
      </c>
      <c r="J107" s="672">
        <f t="shared" si="37"/>
        <v>0</v>
      </c>
      <c r="K107" s="139">
        <f t="shared" si="50"/>
        <v>2764.3957547369846</v>
      </c>
      <c r="L107" s="138">
        <f t="shared" si="38"/>
        <v>357.13889546928903</v>
      </c>
      <c r="M107" s="104">
        <f t="shared" si="39"/>
        <v>78.57018718952682</v>
      </c>
      <c r="N107" s="29">
        <f t="shared" si="51"/>
        <v>30.222812690111869</v>
      </c>
      <c r="O107" s="104">
        <f t="shared" si="40"/>
        <v>2.6511356542848503</v>
      </c>
      <c r="P107" s="104">
        <f t="shared" si="52"/>
        <v>298.38050911391861</v>
      </c>
      <c r="Q107" s="104">
        <f t="shared" si="53"/>
        <v>98.718051328889004</v>
      </c>
      <c r="R107" s="140">
        <f t="shared" si="54"/>
        <v>865.68159144602032</v>
      </c>
      <c r="S107" s="138">
        <f t="shared" si="55"/>
        <v>27.5</v>
      </c>
      <c r="T107" s="104">
        <f t="shared" si="41"/>
        <v>3.5396029531336644</v>
      </c>
      <c r="U107" s="139">
        <f t="shared" si="56"/>
        <v>31.039602953133663</v>
      </c>
      <c r="V107" s="104"/>
      <c r="W107" s="104">
        <f t="shared" si="57"/>
        <v>0</v>
      </c>
      <c r="X107" s="139">
        <f t="shared" si="58"/>
        <v>0</v>
      </c>
      <c r="Y107" s="138">
        <v>0</v>
      </c>
      <c r="Z107" s="141">
        <v>0</v>
      </c>
      <c r="AA107" s="104">
        <f t="shared" si="42"/>
        <v>0</v>
      </c>
      <c r="AB107" s="139">
        <f t="shared" si="43"/>
        <v>0</v>
      </c>
      <c r="AC107" s="138">
        <v>0</v>
      </c>
      <c r="AD107" s="104">
        <f t="shared" si="59"/>
        <v>0</v>
      </c>
      <c r="AE107" s="139">
        <f t="shared" si="60"/>
        <v>0</v>
      </c>
      <c r="AF107" s="142">
        <v>149.6</v>
      </c>
      <c r="AG107" s="104">
        <f t="shared" si="61"/>
        <v>19.255440065047132</v>
      </c>
      <c r="AH107" s="139">
        <f t="shared" si="62"/>
        <v>168.85544006504713</v>
      </c>
      <c r="AI107" s="142">
        <v>0</v>
      </c>
      <c r="AJ107" s="104">
        <f t="shared" si="63"/>
        <v>0</v>
      </c>
      <c r="AK107" s="139">
        <f t="shared" si="64"/>
        <v>0</v>
      </c>
      <c r="AL107" s="143"/>
      <c r="AM107" s="205"/>
      <c r="AN107" s="104">
        <f t="shared" si="65"/>
        <v>0</v>
      </c>
      <c r="AO107" s="148">
        <f t="shared" si="66"/>
        <v>0</v>
      </c>
      <c r="AP107" s="272">
        <f t="shared" si="67"/>
        <v>1237.17880929425</v>
      </c>
      <c r="AQ107" s="669">
        <v>172.14</v>
      </c>
      <c r="AR107" s="725">
        <v>907.32988202634829</v>
      </c>
      <c r="AS107" s="725">
        <v>325.38183971317005</v>
      </c>
      <c r="AT107" s="725">
        <v>4.4670875547314042</v>
      </c>
      <c r="AU107" s="401">
        <v>0</v>
      </c>
      <c r="AV107" s="786"/>
      <c r="AW107" s="246"/>
      <c r="AX107" s="713">
        <f t="shared" si="68"/>
        <v>44.9816825926208</v>
      </c>
      <c r="AY107" s="714">
        <v>30.222812690111869</v>
      </c>
      <c r="AZ107" s="715"/>
      <c r="BA107" s="716">
        <v>0</v>
      </c>
      <c r="BC107" s="712">
        <v>0</v>
      </c>
      <c r="BD107" s="712">
        <v>44.9816825926208</v>
      </c>
      <c r="BE107" s="712"/>
      <c r="BF107" s="712"/>
      <c r="BG107" s="712">
        <v>0</v>
      </c>
      <c r="BH107" s="712">
        <v>0</v>
      </c>
      <c r="BI107" s="134">
        <f t="shared" si="70"/>
        <v>44.9816825926208</v>
      </c>
      <c r="BJ107" s="123">
        <v>125</v>
      </c>
      <c r="BK107" s="792"/>
      <c r="BL107" s="104"/>
      <c r="BM107" s="672"/>
      <c r="BO107" s="562"/>
      <c r="BS107" s="879"/>
      <c r="BT107" s="774"/>
      <c r="BU107" s="774">
        <v>887.60752813691488</v>
      </c>
      <c r="BV107" s="774">
        <v>0</v>
      </c>
      <c r="BW107" s="774">
        <f t="shared" si="69"/>
        <v>887.60752813691488</v>
      </c>
    </row>
    <row r="108" spans="1:75" ht="15" thickBot="1" x14ac:dyDescent="0.35">
      <c r="A108" s="209" t="s">
        <v>161</v>
      </c>
      <c r="B108" s="227">
        <v>2</v>
      </c>
      <c r="C108" s="39">
        <f>'[3]побудинковий звіт'!E108</f>
        <v>498.78</v>
      </c>
      <c r="D108" s="205">
        <f t="shared" si="44"/>
        <v>411.70903583915549</v>
      </c>
      <c r="E108" s="104">
        <f t="shared" si="45"/>
        <v>90.576063525403825</v>
      </c>
      <c r="F108" s="104">
        <f t="shared" si="46"/>
        <v>15.250111231339995</v>
      </c>
      <c r="G108" s="104">
        <f t="shared" si="47"/>
        <v>0</v>
      </c>
      <c r="H108" s="104">
        <f t="shared" si="48"/>
        <v>343.97248039608024</v>
      </c>
      <c r="I108" s="104">
        <f t="shared" si="49"/>
        <v>110.88709698845729</v>
      </c>
      <c r="J108" s="672">
        <f t="shared" si="37"/>
        <v>0</v>
      </c>
      <c r="K108" s="139">
        <f t="shared" si="50"/>
        <v>972.39478798043694</v>
      </c>
      <c r="L108" s="138">
        <f t="shared" si="38"/>
        <v>109.67023257551867</v>
      </c>
      <c r="M108" s="104">
        <f t="shared" si="39"/>
        <v>24.127337604196679</v>
      </c>
      <c r="N108" s="29">
        <f t="shared" si="51"/>
        <v>10.246420958111745</v>
      </c>
      <c r="O108" s="104">
        <f t="shared" si="40"/>
        <v>0.89795833331807529</v>
      </c>
      <c r="P108" s="104">
        <f t="shared" si="52"/>
        <v>91.626703911725187</v>
      </c>
      <c r="Q108" s="104">
        <f t="shared" si="53"/>
        <v>30.449421968467714</v>
      </c>
      <c r="R108" s="140">
        <f t="shared" si="54"/>
        <v>267.0180753513381</v>
      </c>
      <c r="S108" s="138">
        <f t="shared" si="55"/>
        <v>27.94</v>
      </c>
      <c r="T108" s="104">
        <f t="shared" si="41"/>
        <v>3.5962366003838029</v>
      </c>
      <c r="U108" s="139">
        <f t="shared" si="56"/>
        <v>31.536236600383805</v>
      </c>
      <c r="V108" s="104"/>
      <c r="W108" s="104">
        <f t="shared" si="57"/>
        <v>0</v>
      </c>
      <c r="X108" s="139">
        <f t="shared" si="58"/>
        <v>0</v>
      </c>
      <c r="Y108" s="138">
        <v>0</v>
      </c>
      <c r="Z108" s="141">
        <v>0</v>
      </c>
      <c r="AA108" s="104">
        <f t="shared" si="42"/>
        <v>0</v>
      </c>
      <c r="AB108" s="139">
        <f t="shared" si="43"/>
        <v>0</v>
      </c>
      <c r="AC108" s="138">
        <v>0</v>
      </c>
      <c r="AD108" s="104">
        <f t="shared" si="59"/>
        <v>0</v>
      </c>
      <c r="AE108" s="139">
        <f t="shared" si="60"/>
        <v>0</v>
      </c>
      <c r="AF108" s="142">
        <v>0</v>
      </c>
      <c r="AG108" s="104">
        <f t="shared" si="61"/>
        <v>0</v>
      </c>
      <c r="AH108" s="139">
        <f t="shared" si="62"/>
        <v>0</v>
      </c>
      <c r="AI108" s="142">
        <v>0</v>
      </c>
      <c r="AJ108" s="104">
        <f t="shared" si="63"/>
        <v>0</v>
      </c>
      <c r="AK108" s="139">
        <f t="shared" si="64"/>
        <v>0</v>
      </c>
      <c r="AL108" s="143"/>
      <c r="AM108" s="391"/>
      <c r="AN108" s="104">
        <f t="shared" si="65"/>
        <v>0</v>
      </c>
      <c r="AO108" s="148">
        <f t="shared" si="66"/>
        <v>0</v>
      </c>
      <c r="AP108" s="272">
        <f t="shared" si="67"/>
        <v>464.30786473226289</v>
      </c>
      <c r="AQ108" s="669">
        <v>16.95</v>
      </c>
      <c r="AR108" s="725">
        <v>363.01783716267602</v>
      </c>
      <c r="AS108" s="725">
        <v>96.832864810330534</v>
      </c>
      <c r="AT108" s="725">
        <v>4.4571627592563514</v>
      </c>
      <c r="AU108" s="401">
        <v>0</v>
      </c>
      <c r="AV108" s="786"/>
      <c r="AW108" s="246"/>
      <c r="AX108" s="713">
        <f t="shared" si="68"/>
        <v>15.250111231339995</v>
      </c>
      <c r="AY108" s="714">
        <v>10.246420958111745</v>
      </c>
      <c r="AZ108" s="715"/>
      <c r="BA108" s="716">
        <v>0</v>
      </c>
      <c r="BC108" s="712">
        <v>0</v>
      </c>
      <c r="BD108" s="712">
        <v>15.250111231339995</v>
      </c>
      <c r="BE108" s="712"/>
      <c r="BF108" s="712"/>
      <c r="BG108" s="712">
        <v>0</v>
      </c>
      <c r="BH108" s="712">
        <v>0</v>
      </c>
      <c r="BI108" s="134">
        <f t="shared" si="70"/>
        <v>15.250111231339995</v>
      </c>
      <c r="BJ108" s="123">
        <v>127</v>
      </c>
      <c r="BK108" s="792"/>
      <c r="BL108" s="104"/>
      <c r="BM108" s="672"/>
      <c r="BO108" s="562"/>
      <c r="BS108" s="879"/>
      <c r="BT108" s="774"/>
      <c r="BU108" s="774">
        <v>357.78472699316291</v>
      </c>
      <c r="BV108" s="774">
        <v>0</v>
      </c>
      <c r="BW108" s="774">
        <f t="shared" si="69"/>
        <v>357.78472699316291</v>
      </c>
    </row>
    <row r="109" spans="1:75" ht="15" thickBot="1" x14ac:dyDescent="0.35">
      <c r="A109" s="209" t="s">
        <v>210</v>
      </c>
      <c r="B109" s="227">
        <v>4</v>
      </c>
      <c r="C109" s="39">
        <f>'[3]побудинковий звіт'!E109</f>
        <v>1482.2</v>
      </c>
      <c r="D109" s="205">
        <f t="shared" si="44"/>
        <v>1431.064220409909</v>
      </c>
      <c r="E109" s="104">
        <f t="shared" si="45"/>
        <v>314.83439141087933</v>
      </c>
      <c r="F109" s="104">
        <f t="shared" si="46"/>
        <v>45.317394171513527</v>
      </c>
      <c r="G109" s="104">
        <f t="shared" si="47"/>
        <v>0</v>
      </c>
      <c r="H109" s="104">
        <f t="shared" si="48"/>
        <v>1195.6179404641191</v>
      </c>
      <c r="I109" s="104">
        <f t="shared" si="49"/>
        <v>384.44386390534635</v>
      </c>
      <c r="J109" s="672">
        <f t="shared" si="37"/>
        <v>0</v>
      </c>
      <c r="K109" s="139">
        <f t="shared" si="50"/>
        <v>3371.2778103617675</v>
      </c>
      <c r="L109" s="138">
        <f t="shared" si="38"/>
        <v>381.4550648428488</v>
      </c>
      <c r="M109" s="104">
        <f t="shared" si="39"/>
        <v>83.919719272562347</v>
      </c>
      <c r="N109" s="29">
        <f t="shared" si="51"/>
        <v>30.448374465082935</v>
      </c>
      <c r="O109" s="104">
        <f t="shared" si="40"/>
        <v>2.6684186247324497</v>
      </c>
      <c r="P109" s="104">
        <f t="shared" si="52"/>
        <v>318.69605326054307</v>
      </c>
      <c r="Q109" s="104">
        <f t="shared" si="53"/>
        <v>105.18253636585236</v>
      </c>
      <c r="R109" s="140">
        <f t="shared" si="54"/>
        <v>922.37016683162199</v>
      </c>
      <c r="S109" s="138">
        <f t="shared" si="55"/>
        <v>24.86</v>
      </c>
      <c r="T109" s="104">
        <f t="shared" si="41"/>
        <v>3.1998010696328323</v>
      </c>
      <c r="U109" s="139">
        <f t="shared" si="56"/>
        <v>28.059801069632833</v>
      </c>
      <c r="V109" s="104"/>
      <c r="W109" s="104">
        <f t="shared" si="57"/>
        <v>0</v>
      </c>
      <c r="X109" s="139">
        <f t="shared" si="58"/>
        <v>0</v>
      </c>
      <c r="Y109" s="138">
        <v>0</v>
      </c>
      <c r="Z109" s="141">
        <v>0</v>
      </c>
      <c r="AA109" s="104">
        <f t="shared" si="42"/>
        <v>0</v>
      </c>
      <c r="AB109" s="139">
        <f t="shared" si="43"/>
        <v>0</v>
      </c>
      <c r="AC109" s="138">
        <v>0</v>
      </c>
      <c r="AD109" s="104">
        <f t="shared" si="59"/>
        <v>0</v>
      </c>
      <c r="AE109" s="139">
        <f t="shared" si="60"/>
        <v>0</v>
      </c>
      <c r="AF109" s="142">
        <v>63.8</v>
      </c>
      <c r="AG109" s="104">
        <f t="shared" si="61"/>
        <v>8.2118788512701002</v>
      </c>
      <c r="AH109" s="139">
        <f t="shared" si="62"/>
        <v>72.011878851270097</v>
      </c>
      <c r="AI109" s="142">
        <v>0</v>
      </c>
      <c r="AJ109" s="104">
        <f t="shared" si="63"/>
        <v>0</v>
      </c>
      <c r="AK109" s="139">
        <f t="shared" si="64"/>
        <v>0</v>
      </c>
      <c r="AL109" s="143"/>
      <c r="AM109" s="391"/>
      <c r="AN109" s="104">
        <f t="shared" si="65"/>
        <v>0</v>
      </c>
      <c r="AO109" s="148">
        <f t="shared" si="66"/>
        <v>0</v>
      </c>
      <c r="AP109" s="272">
        <f t="shared" si="67"/>
        <v>1499.1116502609259</v>
      </c>
      <c r="AQ109" s="669">
        <v>173.93</v>
      </c>
      <c r="AR109" s="725">
        <v>1146.8046191995579</v>
      </c>
      <c r="AS109" s="725">
        <v>348.26927457597003</v>
      </c>
      <c r="AT109" s="725">
        <v>4.0377564853979511</v>
      </c>
      <c r="AU109" s="401">
        <v>0</v>
      </c>
      <c r="AV109" s="786"/>
      <c r="AW109" s="246"/>
      <c r="AX109" s="713">
        <f t="shared" si="68"/>
        <v>45.317394171513527</v>
      </c>
      <c r="AY109" s="714">
        <v>30.448374465082935</v>
      </c>
      <c r="AZ109" s="715"/>
      <c r="BA109" s="716">
        <v>0</v>
      </c>
      <c r="BC109" s="712">
        <v>0</v>
      </c>
      <c r="BD109" s="712">
        <v>45.317394171513527</v>
      </c>
      <c r="BE109" s="712"/>
      <c r="BF109" s="712"/>
      <c r="BG109" s="712">
        <v>0</v>
      </c>
      <c r="BH109" s="712">
        <v>0</v>
      </c>
      <c r="BI109" s="134">
        <f t="shared" si="70"/>
        <v>45.317394171513527</v>
      </c>
      <c r="BJ109" s="123">
        <v>113</v>
      </c>
      <c r="BK109" s="792"/>
      <c r="BL109" s="104"/>
      <c r="BM109" s="672"/>
      <c r="BO109" s="562"/>
      <c r="BS109" s="879"/>
      <c r="BT109" s="774"/>
      <c r="BU109" s="774">
        <v>1121.886182826805</v>
      </c>
      <c r="BV109" s="774">
        <v>0</v>
      </c>
      <c r="BW109" s="774">
        <f t="shared" si="69"/>
        <v>1121.886182826805</v>
      </c>
    </row>
    <row r="110" spans="1:75" ht="15" thickBot="1" x14ac:dyDescent="0.35">
      <c r="A110" s="209" t="s">
        <v>162</v>
      </c>
      <c r="B110" s="227">
        <v>2</v>
      </c>
      <c r="C110" s="39">
        <f>'[3]побудинковий звіт'!E110</f>
        <v>626.29999999999995</v>
      </c>
      <c r="D110" s="205">
        <f t="shared" si="44"/>
        <v>450.69446204875271</v>
      </c>
      <c r="E110" s="104">
        <f t="shared" si="45"/>
        <v>99.152864454069757</v>
      </c>
      <c r="F110" s="104">
        <f t="shared" si="46"/>
        <v>19.149012919901036</v>
      </c>
      <c r="G110" s="104">
        <f t="shared" si="47"/>
        <v>0</v>
      </c>
      <c r="H110" s="104">
        <f t="shared" si="48"/>
        <v>376.54381739693349</v>
      </c>
      <c r="I110" s="104">
        <f t="shared" si="49"/>
        <v>121.70315386855731</v>
      </c>
      <c r="J110" s="672">
        <f t="shared" si="37"/>
        <v>0</v>
      </c>
      <c r="K110" s="139">
        <f t="shared" si="50"/>
        <v>1067.2433106882143</v>
      </c>
      <c r="L110" s="138">
        <f t="shared" si="38"/>
        <v>163.56715591480886</v>
      </c>
      <c r="M110" s="104">
        <f t="shared" si="39"/>
        <v>35.984604929121126</v>
      </c>
      <c r="N110" s="29">
        <f t="shared" si="51"/>
        <v>12.866060078722853</v>
      </c>
      <c r="O110" s="104">
        <f t="shared" si="40"/>
        <v>1.1275337907636844</v>
      </c>
      <c r="P110" s="104">
        <f t="shared" si="52"/>
        <v>136.65621940182433</v>
      </c>
      <c r="Q110" s="104">
        <f t="shared" si="53"/>
        <v>45.075437306558705</v>
      </c>
      <c r="R110" s="140">
        <f t="shared" si="54"/>
        <v>395.27701142179956</v>
      </c>
      <c r="S110" s="138">
        <f t="shared" si="55"/>
        <v>0</v>
      </c>
      <c r="T110" s="104">
        <f t="shared" si="41"/>
        <v>0</v>
      </c>
      <c r="U110" s="139">
        <f t="shared" si="56"/>
        <v>0</v>
      </c>
      <c r="V110" s="104"/>
      <c r="W110" s="104">
        <f t="shared" si="57"/>
        <v>0</v>
      </c>
      <c r="X110" s="139">
        <f t="shared" si="58"/>
        <v>0</v>
      </c>
      <c r="Y110" s="138">
        <v>0</v>
      </c>
      <c r="Z110" s="141">
        <v>0</v>
      </c>
      <c r="AA110" s="104">
        <f t="shared" si="42"/>
        <v>0</v>
      </c>
      <c r="AB110" s="139">
        <f t="shared" si="43"/>
        <v>0</v>
      </c>
      <c r="AC110" s="138">
        <v>0</v>
      </c>
      <c r="AD110" s="104">
        <f t="shared" si="59"/>
        <v>0</v>
      </c>
      <c r="AE110" s="139">
        <f t="shared" si="60"/>
        <v>0</v>
      </c>
      <c r="AF110" s="142">
        <v>132</v>
      </c>
      <c r="AG110" s="104">
        <f t="shared" si="61"/>
        <v>16.990094175041587</v>
      </c>
      <c r="AH110" s="139">
        <f t="shared" si="62"/>
        <v>148.99009417504158</v>
      </c>
      <c r="AI110" s="142">
        <v>0</v>
      </c>
      <c r="AJ110" s="104">
        <f t="shared" si="63"/>
        <v>0</v>
      </c>
      <c r="AK110" s="139">
        <f t="shared" si="64"/>
        <v>0</v>
      </c>
      <c r="AL110" s="143"/>
      <c r="AM110" s="205"/>
      <c r="AN110" s="104">
        <f t="shared" si="65"/>
        <v>0</v>
      </c>
      <c r="AO110" s="148">
        <f t="shared" si="66"/>
        <v>0</v>
      </c>
      <c r="AP110" s="272">
        <f t="shared" si="67"/>
        <v>520.66617380402272</v>
      </c>
      <c r="AQ110" s="669">
        <v>46.35</v>
      </c>
      <c r="AR110" s="725">
        <v>369.59763548683253</v>
      </c>
      <c r="AS110" s="725">
        <v>151.06853831719022</v>
      </c>
      <c r="AT110" s="725">
        <v>0</v>
      </c>
      <c r="AU110" s="401">
        <v>0</v>
      </c>
      <c r="AV110" s="786"/>
      <c r="AW110" s="246"/>
      <c r="AX110" s="713">
        <f t="shared" si="68"/>
        <v>19.149012919901036</v>
      </c>
      <c r="AY110" s="714">
        <v>12.866060078722853</v>
      </c>
      <c r="AZ110" s="715"/>
      <c r="BA110" s="716">
        <v>0</v>
      </c>
      <c r="BC110" s="712">
        <v>0</v>
      </c>
      <c r="BD110" s="712">
        <v>19.149012919901036</v>
      </c>
      <c r="BE110" s="712"/>
      <c r="BF110" s="712"/>
      <c r="BG110" s="712">
        <v>0</v>
      </c>
      <c r="BH110" s="712">
        <v>0</v>
      </c>
      <c r="BI110" s="134">
        <f t="shared" si="70"/>
        <v>19.149012919901036</v>
      </c>
      <c r="BJ110" s="123"/>
      <c r="BK110" s="792"/>
      <c r="BL110" s="104"/>
      <c r="BM110" s="672"/>
      <c r="BO110" s="562"/>
      <c r="BS110" s="879"/>
      <c r="BT110" s="774"/>
      <c r="BU110" s="774">
        <v>363.00829708819339</v>
      </c>
      <c r="BV110" s="774">
        <v>0</v>
      </c>
      <c r="BW110" s="774">
        <f t="shared" si="69"/>
        <v>363.00829708819339</v>
      </c>
    </row>
    <row r="111" spans="1:75" ht="15" thickBot="1" x14ac:dyDescent="0.35">
      <c r="A111" s="209" t="s">
        <v>256</v>
      </c>
      <c r="B111" s="227">
        <v>5</v>
      </c>
      <c r="C111" s="39">
        <f>'[3]побудинковий звіт'!E111</f>
        <v>2636.9100000000003</v>
      </c>
      <c r="D111" s="205">
        <f t="shared" si="44"/>
        <v>3823.0940859730158</v>
      </c>
      <c r="E111" s="104">
        <f t="shared" si="45"/>
        <v>841.08140130781806</v>
      </c>
      <c r="F111" s="104">
        <f t="shared" si="46"/>
        <v>80.629176850072213</v>
      </c>
      <c r="G111" s="104">
        <f t="shared" si="47"/>
        <v>0</v>
      </c>
      <c r="H111" s="104">
        <f t="shared" si="48"/>
        <v>3194.0983584666251</v>
      </c>
      <c r="I111" s="104">
        <f t="shared" si="49"/>
        <v>1021.8387121246543</v>
      </c>
      <c r="J111" s="672">
        <f t="shared" si="37"/>
        <v>0</v>
      </c>
      <c r="K111" s="139">
        <f t="shared" si="50"/>
        <v>8960.7417347221854</v>
      </c>
      <c r="L111" s="138">
        <f t="shared" si="38"/>
        <v>504.59196153174281</v>
      </c>
      <c r="M111" s="104">
        <f t="shared" si="39"/>
        <v>111.00970903710702</v>
      </c>
      <c r="N111" s="29">
        <f t="shared" si="51"/>
        <v>54.174063059557447</v>
      </c>
      <c r="O111" s="104">
        <f t="shared" si="40"/>
        <v>4.7472539169769563</v>
      </c>
      <c r="P111" s="104">
        <f t="shared" si="52"/>
        <v>421.57381424051357</v>
      </c>
      <c r="Q111" s="104">
        <f t="shared" si="53"/>
        <v>141.08172641897193</v>
      </c>
      <c r="R111" s="140">
        <f t="shared" si="54"/>
        <v>1237.1785282048695</v>
      </c>
      <c r="S111" s="138">
        <f t="shared" si="55"/>
        <v>57.420000000000009</v>
      </c>
      <c r="T111" s="104">
        <f t="shared" si="41"/>
        <v>7.390690966143092</v>
      </c>
      <c r="U111" s="139">
        <f t="shared" si="56"/>
        <v>64.810690966143099</v>
      </c>
      <c r="V111" s="104"/>
      <c r="W111" s="104">
        <f t="shared" si="57"/>
        <v>0</v>
      </c>
      <c r="X111" s="139">
        <f t="shared" si="58"/>
        <v>0</v>
      </c>
      <c r="Y111" s="138">
        <v>0</v>
      </c>
      <c r="Z111" s="141">
        <v>0</v>
      </c>
      <c r="AA111" s="104">
        <f t="shared" si="42"/>
        <v>0</v>
      </c>
      <c r="AB111" s="139">
        <f t="shared" si="43"/>
        <v>0</v>
      </c>
      <c r="AC111" s="138">
        <v>0</v>
      </c>
      <c r="AD111" s="104">
        <f t="shared" si="59"/>
        <v>0</v>
      </c>
      <c r="AE111" s="139">
        <f t="shared" si="60"/>
        <v>0</v>
      </c>
      <c r="AF111" s="142">
        <v>110</v>
      </c>
      <c r="AG111" s="104">
        <f t="shared" si="61"/>
        <v>14.158411812534657</v>
      </c>
      <c r="AH111" s="139">
        <f t="shared" si="62"/>
        <v>124.15841181253465</v>
      </c>
      <c r="AI111" s="142">
        <v>0</v>
      </c>
      <c r="AJ111" s="104">
        <f t="shared" si="63"/>
        <v>0</v>
      </c>
      <c r="AK111" s="139">
        <f t="shared" si="64"/>
        <v>0</v>
      </c>
      <c r="AL111" s="143"/>
      <c r="AM111" s="391"/>
      <c r="AN111" s="104">
        <f t="shared" si="65"/>
        <v>0</v>
      </c>
      <c r="AO111" s="148">
        <f t="shared" si="66"/>
        <v>0</v>
      </c>
      <c r="AP111" s="272">
        <f t="shared" si="67"/>
        <v>3650.3127899224555</v>
      </c>
      <c r="AQ111" s="669">
        <v>344.07</v>
      </c>
      <c r="AR111" s="725">
        <v>3184.2780921319877</v>
      </c>
      <c r="AS111" s="725">
        <v>456.83094094247514</v>
      </c>
      <c r="AT111" s="725">
        <v>9.2037568479925813</v>
      </c>
      <c r="AU111" s="401">
        <v>0</v>
      </c>
      <c r="AV111" s="786"/>
      <c r="AW111" s="246"/>
      <c r="AX111" s="713">
        <f t="shared" si="68"/>
        <v>80.629176850072213</v>
      </c>
      <c r="AY111" s="714">
        <v>54.174063059557447</v>
      </c>
      <c r="AZ111" s="715"/>
      <c r="BA111" s="716">
        <v>0</v>
      </c>
      <c r="BC111" s="712">
        <v>0</v>
      </c>
      <c r="BD111" s="712">
        <v>80.629176850072213</v>
      </c>
      <c r="BE111" s="712"/>
      <c r="BF111" s="712"/>
      <c r="BG111" s="712">
        <v>0</v>
      </c>
      <c r="BH111" s="712">
        <v>0</v>
      </c>
      <c r="BI111" s="134">
        <f t="shared" si="70"/>
        <v>80.629176850072213</v>
      </c>
      <c r="BJ111" s="123">
        <v>261</v>
      </c>
      <c r="BK111" s="792"/>
      <c r="BL111" s="104"/>
      <c r="BM111" s="672"/>
      <c r="BO111" s="562"/>
      <c r="BS111" s="879"/>
      <c r="BT111" s="774"/>
      <c r="BU111" s="774">
        <v>3125.2351190005638</v>
      </c>
      <c r="BV111" s="774">
        <v>0</v>
      </c>
      <c r="BW111" s="774">
        <f t="shared" si="69"/>
        <v>3125.2351190005638</v>
      </c>
    </row>
    <row r="112" spans="1:75" ht="15" thickBot="1" x14ac:dyDescent="0.35">
      <c r="A112" s="209" t="s">
        <v>257</v>
      </c>
      <c r="B112" s="227">
        <v>5</v>
      </c>
      <c r="C112" s="39">
        <f>'[3]побудинковий звіт'!E112</f>
        <v>1892.8</v>
      </c>
      <c r="D112" s="205">
        <f t="shared" si="44"/>
        <v>370.06658497910877</v>
      </c>
      <c r="E112" s="104">
        <f t="shared" si="45"/>
        <v>81.414716685480087</v>
      </c>
      <c r="F112" s="104">
        <f t="shared" si="46"/>
        <v>57.872028827700277</v>
      </c>
      <c r="G112" s="104">
        <f t="shared" si="47"/>
        <v>0</v>
      </c>
      <c r="H112" s="104">
        <f t="shared" si="48"/>
        <v>309.18126654062786</v>
      </c>
      <c r="I112" s="104">
        <f t="shared" si="49"/>
        <v>105.35590825090134</v>
      </c>
      <c r="J112" s="672">
        <f t="shared" si="37"/>
        <v>0</v>
      </c>
      <c r="K112" s="139">
        <f t="shared" si="50"/>
        <v>923.89050528381836</v>
      </c>
      <c r="L112" s="138">
        <f t="shared" si="38"/>
        <v>78.781231719214645</v>
      </c>
      <c r="M112" s="104">
        <f t="shared" si="39"/>
        <v>17.331789401057996</v>
      </c>
      <c r="N112" s="29">
        <f t="shared" si="51"/>
        <v>38.883727474064536</v>
      </c>
      <c r="O112" s="104">
        <f t="shared" si="40"/>
        <v>3.4076256732516401</v>
      </c>
      <c r="P112" s="104">
        <f t="shared" si="52"/>
        <v>65.819725398748247</v>
      </c>
      <c r="Q112" s="104">
        <f t="shared" si="53"/>
        <v>26.286262773819288</v>
      </c>
      <c r="R112" s="140">
        <f t="shared" si="54"/>
        <v>230.51036244015634</v>
      </c>
      <c r="S112" s="138">
        <f t="shared" si="55"/>
        <v>46.199999999999996</v>
      </c>
      <c r="T112" s="104">
        <f t="shared" si="41"/>
        <v>5.9465329612645554</v>
      </c>
      <c r="U112" s="139">
        <f t="shared" si="56"/>
        <v>52.146532961264555</v>
      </c>
      <c r="V112" s="104"/>
      <c r="W112" s="104">
        <f t="shared" si="57"/>
        <v>0</v>
      </c>
      <c r="X112" s="139">
        <f t="shared" si="58"/>
        <v>0</v>
      </c>
      <c r="Y112" s="138">
        <v>0</v>
      </c>
      <c r="Z112" s="141">
        <v>0</v>
      </c>
      <c r="AA112" s="104">
        <f t="shared" si="42"/>
        <v>0</v>
      </c>
      <c r="AB112" s="139">
        <f t="shared" si="43"/>
        <v>0</v>
      </c>
      <c r="AC112" s="138">
        <v>0</v>
      </c>
      <c r="AD112" s="104">
        <f t="shared" si="59"/>
        <v>0</v>
      </c>
      <c r="AE112" s="139">
        <f t="shared" si="60"/>
        <v>0</v>
      </c>
      <c r="AF112" s="142">
        <v>55</v>
      </c>
      <c r="AG112" s="104">
        <f t="shared" si="61"/>
        <v>7.0792059062673287</v>
      </c>
      <c r="AH112" s="139">
        <f t="shared" si="62"/>
        <v>62.079205906267326</v>
      </c>
      <c r="AI112" s="142">
        <v>0</v>
      </c>
      <c r="AJ112" s="104">
        <f t="shared" si="63"/>
        <v>0</v>
      </c>
      <c r="AK112" s="139">
        <f t="shared" si="64"/>
        <v>0</v>
      </c>
      <c r="AL112" s="143"/>
      <c r="AM112" s="391"/>
      <c r="AN112" s="104">
        <f t="shared" si="65"/>
        <v>0</v>
      </c>
      <c r="AO112" s="148">
        <f t="shared" si="66"/>
        <v>0</v>
      </c>
      <c r="AP112" s="272">
        <f t="shared" si="67"/>
        <v>326.72720114808487</v>
      </c>
      <c r="AQ112" s="669">
        <v>87.57</v>
      </c>
      <c r="AR112" s="725">
        <v>253.96586066938733</v>
      </c>
      <c r="AS112" s="725">
        <v>70.951803355097809</v>
      </c>
      <c r="AT112" s="725">
        <v>1.8095371235997604</v>
      </c>
      <c r="AU112" s="401">
        <v>0</v>
      </c>
      <c r="AV112" s="786"/>
      <c r="AW112" s="246"/>
      <c r="AX112" s="713">
        <f t="shared" si="68"/>
        <v>57.872028827700277</v>
      </c>
      <c r="AY112" s="714">
        <v>38.883727474064536</v>
      </c>
      <c r="AZ112" s="715"/>
      <c r="BA112" s="716">
        <v>0</v>
      </c>
      <c r="BC112" s="712">
        <v>0</v>
      </c>
      <c r="BD112" s="712">
        <v>57.872028827700277</v>
      </c>
      <c r="BE112" s="712"/>
      <c r="BF112" s="712"/>
      <c r="BG112" s="712">
        <v>0</v>
      </c>
      <c r="BH112" s="712">
        <v>0</v>
      </c>
      <c r="BI112" s="134">
        <f t="shared" si="70"/>
        <v>57.872028827700277</v>
      </c>
      <c r="BJ112" s="123">
        <v>210</v>
      </c>
      <c r="BK112" s="792"/>
      <c r="BL112" s="104"/>
      <c r="BM112" s="672"/>
      <c r="BO112" s="562"/>
      <c r="BS112" s="879"/>
      <c r="BT112" s="774"/>
      <c r="BU112" s="774">
        <v>1022.1501667956024</v>
      </c>
      <c r="BV112" s="774">
        <v>0</v>
      </c>
      <c r="BW112" s="774">
        <f t="shared" si="69"/>
        <v>1022.1501667956024</v>
      </c>
    </row>
    <row r="113" spans="1:75" ht="15" thickBot="1" x14ac:dyDescent="0.35">
      <c r="A113" s="209" t="s">
        <v>416</v>
      </c>
      <c r="B113" s="227">
        <v>10</v>
      </c>
      <c r="C113" s="39">
        <f>'[3]побудинковий звіт'!E113</f>
        <v>2744.2</v>
      </c>
      <c r="D113" s="205">
        <f t="shared" si="44"/>
        <v>1903.1805196295313</v>
      </c>
      <c r="E113" s="104">
        <f t="shared" si="45"/>
        <v>418.70006397824386</v>
      </c>
      <c r="F113" s="104">
        <f t="shared" si="46"/>
        <v>83.903434863152526</v>
      </c>
      <c r="G113" s="104">
        <f t="shared" si="47"/>
        <v>0</v>
      </c>
      <c r="H113" s="104">
        <f t="shared" si="48"/>
        <v>1590.0591606986809</v>
      </c>
      <c r="I113" s="104">
        <f t="shared" si="49"/>
        <v>514.31630244537303</v>
      </c>
      <c r="J113" s="672">
        <f t="shared" si="37"/>
        <v>0</v>
      </c>
      <c r="K113" s="139">
        <f t="shared" si="50"/>
        <v>4510.1594816149818</v>
      </c>
      <c r="L113" s="138">
        <f t="shared" si="38"/>
        <v>1371.2723463930845</v>
      </c>
      <c r="M113" s="104">
        <f t="shared" si="39"/>
        <v>301.67849626782294</v>
      </c>
      <c r="N113" s="29">
        <f t="shared" si="51"/>
        <v>140.37400936936174</v>
      </c>
      <c r="O113" s="104">
        <f t="shared" si="40"/>
        <v>4.9404091148230931</v>
      </c>
      <c r="P113" s="104">
        <f t="shared" si="52"/>
        <v>1145.6633428654111</v>
      </c>
      <c r="Q113" s="104">
        <f t="shared" si="53"/>
        <v>381.49565235028791</v>
      </c>
      <c r="R113" s="140">
        <f t="shared" si="54"/>
        <v>3345.4242563607913</v>
      </c>
      <c r="S113" s="138">
        <f t="shared" si="55"/>
        <v>47.52</v>
      </c>
      <c r="T113" s="104">
        <f t="shared" si="41"/>
        <v>6.1164339030149719</v>
      </c>
      <c r="U113" s="139">
        <f t="shared" si="56"/>
        <v>53.636433903014975</v>
      </c>
      <c r="V113" s="104"/>
      <c r="W113" s="104">
        <f t="shared" si="57"/>
        <v>0</v>
      </c>
      <c r="X113" s="139">
        <f t="shared" si="58"/>
        <v>0</v>
      </c>
      <c r="Y113" s="138">
        <v>1336.07</v>
      </c>
      <c r="Z113" s="141">
        <v>0</v>
      </c>
      <c r="AA113" s="104">
        <f t="shared" si="42"/>
        <v>171.96935700339253</v>
      </c>
      <c r="AB113" s="139">
        <f t="shared" si="43"/>
        <v>1508.0393570033925</v>
      </c>
      <c r="AC113" s="138">
        <v>0</v>
      </c>
      <c r="AD113" s="104">
        <f t="shared" si="59"/>
        <v>0</v>
      </c>
      <c r="AE113" s="139">
        <f t="shared" si="60"/>
        <v>0</v>
      </c>
      <c r="AF113" s="142">
        <v>341</v>
      </c>
      <c r="AG113" s="104">
        <f t="shared" si="61"/>
        <v>43.89107661885744</v>
      </c>
      <c r="AH113" s="139">
        <f t="shared" si="62"/>
        <v>384.89107661885743</v>
      </c>
      <c r="AI113" s="142">
        <v>539</v>
      </c>
      <c r="AJ113" s="104">
        <f t="shared" si="63"/>
        <v>69.376217881419819</v>
      </c>
      <c r="AK113" s="139">
        <f t="shared" si="64"/>
        <v>608.37621788141985</v>
      </c>
      <c r="AL113" s="143"/>
      <c r="AM113" s="205"/>
      <c r="AN113" s="104">
        <f t="shared" si="65"/>
        <v>0</v>
      </c>
      <c r="AO113" s="148">
        <f t="shared" si="66"/>
        <v>0</v>
      </c>
      <c r="AP113" s="272">
        <f t="shared" si="67"/>
        <v>3022.9421934277207</v>
      </c>
      <c r="AQ113" s="669">
        <v>0</v>
      </c>
      <c r="AR113" s="725">
        <v>1756.4525497960813</v>
      </c>
      <c r="AS113" s="725">
        <v>1246.3229960547228</v>
      </c>
      <c r="AT113" s="725">
        <v>20.166647576916375</v>
      </c>
      <c r="AU113" s="401">
        <v>0</v>
      </c>
      <c r="AV113" s="786"/>
      <c r="AW113" s="246"/>
      <c r="AX113" s="713">
        <f t="shared" si="68"/>
        <v>83.903434863152526</v>
      </c>
      <c r="AY113" s="714">
        <v>56.374009369361737</v>
      </c>
      <c r="AZ113" s="715"/>
      <c r="BA113" s="716">
        <v>84</v>
      </c>
      <c r="BC113" s="712">
        <v>0</v>
      </c>
      <c r="BD113" s="712">
        <v>83.903434863152526</v>
      </c>
      <c r="BE113" s="712"/>
      <c r="BF113" s="712"/>
      <c r="BG113" s="712">
        <v>0</v>
      </c>
      <c r="BH113" s="712">
        <v>0</v>
      </c>
      <c r="BI113" s="134">
        <f t="shared" si="70"/>
        <v>83.903434863152526</v>
      </c>
      <c r="BJ113" s="123">
        <v>216</v>
      </c>
      <c r="BK113" s="792"/>
      <c r="BL113" s="104"/>
      <c r="BM113" s="672"/>
      <c r="BO113" s="562"/>
      <c r="BS113" s="879"/>
      <c r="BT113" s="774"/>
      <c r="BU113" s="774">
        <v>1725.1712578930872</v>
      </c>
      <c r="BV113" s="774">
        <v>0</v>
      </c>
      <c r="BW113" s="774">
        <f t="shared" si="69"/>
        <v>1725.1712578930872</v>
      </c>
    </row>
    <row r="114" spans="1:75" ht="15" thickBot="1" x14ac:dyDescent="0.35">
      <c r="A114" s="209" t="s">
        <v>359</v>
      </c>
      <c r="B114" s="227">
        <v>9</v>
      </c>
      <c r="C114" s="39">
        <f>'[3]побудинковий звіт'!E114</f>
        <v>4254.1000000000004</v>
      </c>
      <c r="D114" s="205">
        <f t="shared" si="44"/>
        <v>2644.7057888451618</v>
      </c>
      <c r="E114" s="104">
        <f t="shared" si="45"/>
        <v>581.83575944159679</v>
      </c>
      <c r="F114" s="104">
        <f t="shared" si="46"/>
        <v>305.58142066716107</v>
      </c>
      <c r="G114" s="104">
        <f t="shared" si="47"/>
        <v>0</v>
      </c>
      <c r="H114" s="104">
        <f t="shared" si="48"/>
        <v>2209.5847574798963</v>
      </c>
      <c r="I114" s="104">
        <f t="shared" si="49"/>
        <v>739.03147725510951</v>
      </c>
      <c r="J114" s="672">
        <f t="shared" si="37"/>
        <v>0</v>
      </c>
      <c r="K114" s="139">
        <f t="shared" si="50"/>
        <v>6480.739203688925</v>
      </c>
      <c r="L114" s="138">
        <f t="shared" si="38"/>
        <v>1712.7489140090579</v>
      </c>
      <c r="M114" s="104">
        <f t="shared" si="39"/>
        <v>376.8029875478025</v>
      </c>
      <c r="N114" s="29">
        <f t="shared" si="51"/>
        <v>171.39388916957171</v>
      </c>
      <c r="O114" s="104">
        <f t="shared" si="40"/>
        <v>7.6586963105345536</v>
      </c>
      <c r="P114" s="104">
        <f t="shared" si="52"/>
        <v>1430.9583734216369</v>
      </c>
      <c r="Q114" s="104">
        <f t="shared" si="53"/>
        <v>476.18122277028726</v>
      </c>
      <c r="R114" s="140">
        <f t="shared" si="54"/>
        <v>4175.7440832288912</v>
      </c>
      <c r="S114" s="138">
        <f t="shared" si="55"/>
        <v>61.6</v>
      </c>
      <c r="T114" s="104">
        <f t="shared" si="41"/>
        <v>7.9287106150194084</v>
      </c>
      <c r="U114" s="139">
        <f t="shared" si="56"/>
        <v>69.528710615019406</v>
      </c>
      <c r="V114" s="104"/>
      <c r="W114" s="104">
        <f t="shared" si="57"/>
        <v>0</v>
      </c>
      <c r="X114" s="139">
        <f t="shared" si="58"/>
        <v>0</v>
      </c>
      <c r="Y114" s="138">
        <v>2755.38</v>
      </c>
      <c r="Z114" s="141">
        <v>0</v>
      </c>
      <c r="AA114" s="104">
        <f t="shared" si="42"/>
        <v>354.65277036383407</v>
      </c>
      <c r="AB114" s="139">
        <f t="shared" si="43"/>
        <v>3110.0327703638341</v>
      </c>
      <c r="AC114" s="138">
        <v>118.075</v>
      </c>
      <c r="AD114" s="104">
        <f t="shared" si="59"/>
        <v>15.197767952409361</v>
      </c>
      <c r="AE114" s="139">
        <f t="shared" si="60"/>
        <v>133.27276795240937</v>
      </c>
      <c r="AF114" s="142">
        <v>321.2</v>
      </c>
      <c r="AG114" s="104">
        <f t="shared" si="61"/>
        <v>41.342562492601196</v>
      </c>
      <c r="AH114" s="139">
        <f t="shared" si="62"/>
        <v>362.54256249260118</v>
      </c>
      <c r="AI114" s="142">
        <v>759</v>
      </c>
      <c r="AJ114" s="104">
        <f t="shared" si="63"/>
        <v>97.693041506489138</v>
      </c>
      <c r="AK114" s="139">
        <f t="shared" si="64"/>
        <v>856.69304150648918</v>
      </c>
      <c r="AL114" s="143"/>
      <c r="AM114" s="391"/>
      <c r="AN114" s="104">
        <f t="shared" si="65"/>
        <v>0</v>
      </c>
      <c r="AO114" s="148">
        <f t="shared" si="66"/>
        <v>0</v>
      </c>
      <c r="AP114" s="272">
        <f t="shared" si="67"/>
        <v>4022.6820895646929</v>
      </c>
      <c r="AQ114" s="669">
        <v>0</v>
      </c>
      <c r="AR114" s="725">
        <v>2440.8090448413082</v>
      </c>
      <c r="AS114" s="725">
        <v>1547.3217953783183</v>
      </c>
      <c r="AT114" s="725">
        <v>34.551249345066516</v>
      </c>
      <c r="AU114" s="401">
        <v>0</v>
      </c>
      <c r="AV114" s="786"/>
      <c r="AW114" s="246"/>
      <c r="AX114" s="713">
        <f t="shared" si="68"/>
        <v>130.07142066716108</v>
      </c>
      <c r="AY114" s="714">
        <v>87.393889169571722</v>
      </c>
      <c r="AZ114" s="715"/>
      <c r="BA114" s="716">
        <v>84</v>
      </c>
      <c r="BC114" s="712">
        <v>0</v>
      </c>
      <c r="BD114" s="712">
        <v>130.07142066716108</v>
      </c>
      <c r="BE114" s="712"/>
      <c r="BF114" s="712"/>
      <c r="BG114" s="712">
        <v>0</v>
      </c>
      <c r="BH114" s="712">
        <v>0</v>
      </c>
      <c r="BI114" s="134">
        <f t="shared" si="70"/>
        <v>130.07142066716108</v>
      </c>
      <c r="BJ114" s="123">
        <v>280</v>
      </c>
      <c r="BK114" s="792"/>
      <c r="BL114" s="104"/>
      <c r="BM114" s="672">
        <v>175.51</v>
      </c>
      <c r="BO114" s="562"/>
      <c r="BS114" s="879"/>
      <c r="BT114" s="774"/>
      <c r="BU114" s="774">
        <v>2397.3393888113728</v>
      </c>
      <c r="BV114" s="774">
        <v>0</v>
      </c>
      <c r="BW114" s="774">
        <f t="shared" si="69"/>
        <v>2397.3393888113728</v>
      </c>
    </row>
    <row r="115" spans="1:75" ht="15" thickBot="1" x14ac:dyDescent="0.35">
      <c r="A115" s="210" t="s">
        <v>80</v>
      </c>
      <c r="B115" s="228">
        <v>1</v>
      </c>
      <c r="C115" s="39">
        <f>'[3]побудинковий звіт'!E115</f>
        <v>130.1</v>
      </c>
      <c r="D115" s="205">
        <f t="shared" si="44"/>
        <v>16.38307249469354</v>
      </c>
      <c r="E115" s="104">
        <f t="shared" si="45"/>
        <v>3.6042789587945472</v>
      </c>
      <c r="F115" s="104">
        <f t="shared" si="46"/>
        <v>0</v>
      </c>
      <c r="G115" s="104">
        <f t="shared" si="47"/>
        <v>0</v>
      </c>
      <c r="H115" s="104">
        <f t="shared" si="48"/>
        <v>13.687642465807132</v>
      </c>
      <c r="I115" s="104">
        <f t="shared" si="49"/>
        <v>4.3344039244907471</v>
      </c>
      <c r="J115" s="672">
        <f t="shared" si="37"/>
        <v>0</v>
      </c>
      <c r="K115" s="139">
        <f t="shared" si="50"/>
        <v>38.009397843785962</v>
      </c>
      <c r="L115" s="138">
        <f t="shared" si="38"/>
        <v>0</v>
      </c>
      <c r="M115" s="104">
        <f t="shared" si="39"/>
        <v>0</v>
      </c>
      <c r="N115" s="29">
        <f t="shared" si="51"/>
        <v>0</v>
      </c>
      <c r="O115" s="104">
        <f t="shared" si="40"/>
        <v>0.2342202557534015</v>
      </c>
      <c r="P115" s="104">
        <f t="shared" si="52"/>
        <v>0</v>
      </c>
      <c r="Q115" s="104">
        <f t="shared" si="53"/>
        <v>3.0147153052671346E-2</v>
      </c>
      <c r="R115" s="140">
        <f t="shared" si="54"/>
        <v>0.26436740880607285</v>
      </c>
      <c r="S115" s="138">
        <f t="shared" si="55"/>
        <v>0</v>
      </c>
      <c r="T115" s="104">
        <f t="shared" si="41"/>
        <v>0</v>
      </c>
      <c r="U115" s="139">
        <f t="shared" si="56"/>
        <v>0</v>
      </c>
      <c r="V115" s="104"/>
      <c r="W115" s="104">
        <f t="shared" si="57"/>
        <v>0</v>
      </c>
      <c r="X115" s="139">
        <f t="shared" si="58"/>
        <v>0</v>
      </c>
      <c r="Y115" s="138">
        <v>0</v>
      </c>
      <c r="Z115" s="141">
        <v>0</v>
      </c>
      <c r="AA115" s="104">
        <f t="shared" si="42"/>
        <v>0</v>
      </c>
      <c r="AB115" s="139">
        <f t="shared" si="43"/>
        <v>0</v>
      </c>
      <c r="AC115" s="138">
        <v>0</v>
      </c>
      <c r="AD115" s="104">
        <f t="shared" si="59"/>
        <v>0</v>
      </c>
      <c r="AE115" s="139">
        <f t="shared" si="60"/>
        <v>0</v>
      </c>
      <c r="AF115" s="142">
        <v>0</v>
      </c>
      <c r="AG115" s="104">
        <f t="shared" si="61"/>
        <v>0</v>
      </c>
      <c r="AH115" s="139">
        <f t="shared" si="62"/>
        <v>0</v>
      </c>
      <c r="AI115" s="142">
        <v>0</v>
      </c>
      <c r="AJ115" s="104">
        <f t="shared" si="63"/>
        <v>0</v>
      </c>
      <c r="AK115" s="139">
        <f t="shared" si="64"/>
        <v>0</v>
      </c>
      <c r="AL115" s="143"/>
      <c r="AM115" s="205"/>
      <c r="AN115" s="104">
        <f t="shared" si="65"/>
        <v>0</v>
      </c>
      <c r="AO115" s="148">
        <f t="shared" si="66"/>
        <v>0</v>
      </c>
      <c r="AP115" s="272">
        <f t="shared" si="67"/>
        <v>0</v>
      </c>
      <c r="AQ115" s="669">
        <v>15.12</v>
      </c>
      <c r="AR115" s="725">
        <v>0</v>
      </c>
      <c r="AS115" s="725">
        <v>0</v>
      </c>
      <c r="AT115" s="725">
        <v>0</v>
      </c>
      <c r="AU115" s="401">
        <v>0</v>
      </c>
      <c r="AV115" s="786"/>
      <c r="AW115" s="246"/>
      <c r="AX115" s="713">
        <f t="shared" si="68"/>
        <v>0</v>
      </c>
      <c r="AY115" s="714">
        <v>0</v>
      </c>
      <c r="AZ115" s="715"/>
      <c r="BA115" s="716">
        <v>0</v>
      </c>
      <c r="BC115" s="712">
        <v>0</v>
      </c>
      <c r="BD115" s="712">
        <v>0</v>
      </c>
      <c r="BE115" s="712"/>
      <c r="BF115" s="712"/>
      <c r="BG115" s="712">
        <v>0</v>
      </c>
      <c r="BH115" s="712">
        <v>0</v>
      </c>
      <c r="BI115" s="134">
        <f>BC115+BD115+BE115+BG115+BH115</f>
        <v>0</v>
      </c>
      <c r="BJ115" s="123"/>
      <c r="BK115" s="792"/>
      <c r="BL115" s="104"/>
      <c r="BM115" s="672"/>
      <c r="BO115" s="562"/>
      <c r="BS115" s="879"/>
      <c r="BT115" s="774"/>
      <c r="BU115" s="774">
        <v>0</v>
      </c>
      <c r="BV115" s="774">
        <v>0</v>
      </c>
      <c r="BW115" s="774">
        <f t="shared" si="69"/>
        <v>0</v>
      </c>
    </row>
    <row r="116" spans="1:75" ht="15" thickBot="1" x14ac:dyDescent="0.35">
      <c r="A116" s="250" t="s">
        <v>163</v>
      </c>
      <c r="B116" s="227">
        <v>2</v>
      </c>
      <c r="C116" s="39">
        <f>'[3]побудинковий звіт'!E116</f>
        <v>373.5</v>
      </c>
      <c r="D116" s="205">
        <f t="shared" si="44"/>
        <v>44.923424975528718</v>
      </c>
      <c r="E116" s="104">
        <f t="shared" si="45"/>
        <v>9.8831617481231433</v>
      </c>
      <c r="F116" s="104">
        <f t="shared" si="46"/>
        <v>0</v>
      </c>
      <c r="G116" s="104">
        <f t="shared" si="47"/>
        <v>0</v>
      </c>
      <c r="H116" s="104">
        <f t="shared" si="48"/>
        <v>37.532384697907652</v>
      </c>
      <c r="I116" s="104">
        <f t="shared" si="49"/>
        <v>11.885210761202803</v>
      </c>
      <c r="J116" s="672">
        <f t="shared" si="37"/>
        <v>0</v>
      </c>
      <c r="K116" s="139">
        <f t="shared" si="50"/>
        <v>104.22418218276231</v>
      </c>
      <c r="L116" s="138">
        <f t="shared" si="38"/>
        <v>0</v>
      </c>
      <c r="M116" s="104">
        <f t="shared" si="39"/>
        <v>0</v>
      </c>
      <c r="N116" s="29">
        <f t="shared" si="51"/>
        <v>0</v>
      </c>
      <c r="O116" s="104">
        <f t="shared" si="40"/>
        <v>0.67241556897690591</v>
      </c>
      <c r="P116" s="104">
        <f t="shared" si="52"/>
        <v>0</v>
      </c>
      <c r="Q116" s="104">
        <f t="shared" si="53"/>
        <v>8.6548513952134878E-2</v>
      </c>
      <c r="R116" s="140">
        <f t="shared" si="54"/>
        <v>0.75896408292904083</v>
      </c>
      <c r="S116" s="138">
        <f t="shared" si="55"/>
        <v>22.77</v>
      </c>
      <c r="T116" s="104">
        <f t="shared" si="41"/>
        <v>2.930791245194674</v>
      </c>
      <c r="U116" s="139">
        <f t="shared" si="56"/>
        <v>25.700791245194672</v>
      </c>
      <c r="V116" s="104"/>
      <c r="W116" s="104">
        <f t="shared" si="57"/>
        <v>0</v>
      </c>
      <c r="X116" s="139">
        <f t="shared" si="58"/>
        <v>0</v>
      </c>
      <c r="Y116" s="138">
        <v>0</v>
      </c>
      <c r="Z116" s="141">
        <v>0</v>
      </c>
      <c r="AA116" s="104">
        <f t="shared" si="42"/>
        <v>0</v>
      </c>
      <c r="AB116" s="139">
        <f t="shared" si="43"/>
        <v>0</v>
      </c>
      <c r="AC116" s="138">
        <v>0</v>
      </c>
      <c r="AD116" s="104">
        <f t="shared" si="59"/>
        <v>0</v>
      </c>
      <c r="AE116" s="139">
        <f t="shared" si="60"/>
        <v>0</v>
      </c>
      <c r="AF116" s="142">
        <v>0</v>
      </c>
      <c r="AG116" s="104">
        <f t="shared" si="61"/>
        <v>0</v>
      </c>
      <c r="AH116" s="139">
        <f t="shared" si="62"/>
        <v>0</v>
      </c>
      <c r="AI116" s="142">
        <v>0</v>
      </c>
      <c r="AJ116" s="104">
        <f t="shared" si="63"/>
        <v>0</v>
      </c>
      <c r="AK116" s="139">
        <f t="shared" si="64"/>
        <v>0</v>
      </c>
      <c r="AL116" s="143"/>
      <c r="AM116" s="205"/>
      <c r="AN116" s="104">
        <f t="shared" si="65"/>
        <v>0</v>
      </c>
      <c r="AO116" s="148">
        <f t="shared" si="66"/>
        <v>0</v>
      </c>
      <c r="AP116" s="272">
        <f t="shared" si="67"/>
        <v>0</v>
      </c>
      <c r="AQ116" s="669">
        <v>41.46</v>
      </c>
      <c r="AR116" s="401">
        <v>0</v>
      </c>
      <c r="AS116" s="401">
        <v>0</v>
      </c>
      <c r="AT116" s="401">
        <v>0</v>
      </c>
      <c r="AU116" s="401">
        <v>0</v>
      </c>
      <c r="AV116" s="727">
        <v>0</v>
      </c>
      <c r="AW116" s="246"/>
      <c r="AX116" s="713">
        <f t="shared" si="68"/>
        <v>0</v>
      </c>
      <c r="AY116" s="714">
        <v>0</v>
      </c>
      <c r="AZ116" s="715"/>
      <c r="BA116" s="716">
        <v>0</v>
      </c>
      <c r="BB116" s="727"/>
      <c r="BC116" s="712">
        <v>0</v>
      </c>
      <c r="BD116" s="712">
        <v>0</v>
      </c>
      <c r="BE116" s="712"/>
      <c r="BF116" s="712"/>
      <c r="BG116" s="712">
        <v>0</v>
      </c>
      <c r="BH116" s="712">
        <v>0</v>
      </c>
      <c r="BI116" s="134">
        <f>BC116+BD116+BE116+BG116</f>
        <v>0</v>
      </c>
      <c r="BJ116" s="123">
        <v>103.5</v>
      </c>
      <c r="BK116" s="792"/>
      <c r="BL116" s="104"/>
      <c r="BM116" s="672"/>
      <c r="BO116" s="562"/>
      <c r="BS116" s="879"/>
      <c r="BT116" s="774"/>
      <c r="BU116" s="774">
        <v>0</v>
      </c>
      <c r="BV116" s="774">
        <v>0</v>
      </c>
      <c r="BW116" s="774">
        <f t="shared" si="69"/>
        <v>0</v>
      </c>
    </row>
    <row r="117" spans="1:75" ht="15" thickBot="1" x14ac:dyDescent="0.35">
      <c r="A117" s="210" t="s">
        <v>83</v>
      </c>
      <c r="B117" s="228">
        <v>1</v>
      </c>
      <c r="C117" s="39">
        <f>'[3]побудинковий звіт'!E117</f>
        <v>173.75</v>
      </c>
      <c r="D117" s="205">
        <f t="shared" si="44"/>
        <v>22.461712487764359</v>
      </c>
      <c r="E117" s="104">
        <f t="shared" si="45"/>
        <v>4.9415808740615716</v>
      </c>
      <c r="F117" s="104">
        <f t="shared" si="46"/>
        <v>0</v>
      </c>
      <c r="G117" s="104">
        <f t="shared" si="47"/>
        <v>0</v>
      </c>
      <c r="H117" s="104">
        <f t="shared" si="48"/>
        <v>18.766192348953826</v>
      </c>
      <c r="I117" s="104">
        <f t="shared" si="49"/>
        <v>5.9426053806014014</v>
      </c>
      <c r="J117" s="672">
        <f t="shared" si="37"/>
        <v>0</v>
      </c>
      <c r="K117" s="139">
        <f t="shared" si="50"/>
        <v>52.112091091381153</v>
      </c>
      <c r="L117" s="138">
        <f t="shared" si="38"/>
        <v>0</v>
      </c>
      <c r="M117" s="104">
        <f t="shared" si="39"/>
        <v>0</v>
      </c>
      <c r="N117" s="29">
        <f t="shared" si="51"/>
        <v>0</v>
      </c>
      <c r="O117" s="104">
        <f t="shared" si="40"/>
        <v>0.31280376200732907</v>
      </c>
      <c r="P117" s="104">
        <f t="shared" si="52"/>
        <v>0</v>
      </c>
      <c r="Q117" s="104">
        <f t="shared" si="53"/>
        <v>4.0261858900089521E-2</v>
      </c>
      <c r="R117" s="140">
        <f t="shared" si="54"/>
        <v>0.35306562090741861</v>
      </c>
      <c r="S117" s="138">
        <f t="shared" si="55"/>
        <v>0</v>
      </c>
      <c r="T117" s="104">
        <f t="shared" si="41"/>
        <v>0</v>
      </c>
      <c r="U117" s="139">
        <f t="shared" si="56"/>
        <v>0</v>
      </c>
      <c r="V117" s="104"/>
      <c r="W117" s="104">
        <f t="shared" si="57"/>
        <v>0</v>
      </c>
      <c r="X117" s="139">
        <f t="shared" si="58"/>
        <v>0</v>
      </c>
      <c r="Y117" s="138">
        <v>0</v>
      </c>
      <c r="Z117" s="141">
        <v>0</v>
      </c>
      <c r="AA117" s="104">
        <f t="shared" si="42"/>
        <v>0</v>
      </c>
      <c r="AB117" s="139">
        <f t="shared" si="43"/>
        <v>0</v>
      </c>
      <c r="AC117" s="138">
        <v>0</v>
      </c>
      <c r="AD117" s="104">
        <f t="shared" si="59"/>
        <v>0</v>
      </c>
      <c r="AE117" s="139">
        <f t="shared" si="60"/>
        <v>0</v>
      </c>
      <c r="AF117" s="142">
        <v>0</v>
      </c>
      <c r="AG117" s="104">
        <f t="shared" si="61"/>
        <v>0</v>
      </c>
      <c r="AH117" s="139">
        <f t="shared" si="62"/>
        <v>0</v>
      </c>
      <c r="AI117" s="142">
        <v>0</v>
      </c>
      <c r="AJ117" s="104">
        <f t="shared" si="63"/>
        <v>0</v>
      </c>
      <c r="AK117" s="139">
        <f t="shared" si="64"/>
        <v>0</v>
      </c>
      <c r="AL117" s="143"/>
      <c r="AM117" s="205"/>
      <c r="AN117" s="104">
        <f t="shared" si="65"/>
        <v>0</v>
      </c>
      <c r="AO117" s="148">
        <f t="shared" si="66"/>
        <v>0</v>
      </c>
      <c r="AP117" s="272">
        <f t="shared" si="67"/>
        <v>0</v>
      </c>
      <c r="AQ117" s="669">
        <v>20.73</v>
      </c>
      <c r="AR117" s="401">
        <v>0</v>
      </c>
      <c r="AS117" s="401">
        <v>0</v>
      </c>
      <c r="AT117" s="401">
        <v>0</v>
      </c>
      <c r="AU117" s="401">
        <v>0</v>
      </c>
      <c r="AV117" s="727">
        <v>0</v>
      </c>
      <c r="AW117" s="246"/>
      <c r="AX117" s="713">
        <f t="shared" si="68"/>
        <v>0</v>
      </c>
      <c r="AY117" s="714">
        <v>0</v>
      </c>
      <c r="AZ117" s="715"/>
      <c r="BA117" s="716">
        <v>0</v>
      </c>
      <c r="BB117" s="727"/>
      <c r="BC117" s="712">
        <v>0</v>
      </c>
      <c r="BD117" s="712">
        <v>0</v>
      </c>
      <c r="BE117" s="712"/>
      <c r="BF117" s="712"/>
      <c r="BG117" s="712">
        <v>0</v>
      </c>
      <c r="BH117" s="712">
        <v>0</v>
      </c>
      <c r="BI117" s="134">
        <f>BC117+BD117+BE117+BG117+BH117</f>
        <v>0</v>
      </c>
      <c r="BJ117" s="123"/>
      <c r="BK117" s="792"/>
      <c r="BL117" s="104"/>
      <c r="BM117" s="672"/>
      <c r="BO117" s="562"/>
      <c r="BS117" s="879"/>
      <c r="BT117" s="774"/>
      <c r="BU117" s="774">
        <v>0</v>
      </c>
      <c r="BV117" s="774">
        <v>0</v>
      </c>
      <c r="BW117" s="774">
        <f t="shared" si="69"/>
        <v>0</v>
      </c>
    </row>
    <row r="118" spans="1:75" ht="15" thickBot="1" x14ac:dyDescent="0.35">
      <c r="A118" s="210" t="s">
        <v>84</v>
      </c>
      <c r="B118" s="228">
        <v>1</v>
      </c>
      <c r="C118" s="39">
        <f>'[3]побудинковий звіт'!E118</f>
        <v>188.4</v>
      </c>
      <c r="D118" s="205">
        <f t="shared" si="44"/>
        <v>19.969578444259387</v>
      </c>
      <c r="E118" s="104">
        <f t="shared" si="45"/>
        <v>4.393310926625893</v>
      </c>
      <c r="F118" s="104">
        <f t="shared" si="46"/>
        <v>0</v>
      </c>
      <c r="G118" s="104">
        <f t="shared" si="47"/>
        <v>0</v>
      </c>
      <c r="H118" s="104">
        <f t="shared" si="48"/>
        <v>16.684077423599565</v>
      </c>
      <c r="I118" s="104">
        <f t="shared" si="49"/>
        <v>5.2832714502886553</v>
      </c>
      <c r="J118" s="672">
        <f t="shared" si="37"/>
        <v>0</v>
      </c>
      <c r="K118" s="139">
        <f t="shared" si="50"/>
        <v>46.330238244773497</v>
      </c>
      <c r="L118" s="138">
        <f t="shared" si="38"/>
        <v>0</v>
      </c>
      <c r="M118" s="104">
        <f t="shared" si="39"/>
        <v>0</v>
      </c>
      <c r="N118" s="29">
        <f t="shared" si="51"/>
        <v>0</v>
      </c>
      <c r="O118" s="104">
        <f t="shared" si="40"/>
        <v>0.3391782950341341</v>
      </c>
      <c r="P118" s="104">
        <f t="shared" si="52"/>
        <v>0</v>
      </c>
      <c r="Q118" s="104">
        <f t="shared" si="53"/>
        <v>4.3656599808787722E-2</v>
      </c>
      <c r="R118" s="140">
        <f t="shared" si="54"/>
        <v>0.38283489484292182</v>
      </c>
      <c r="S118" s="138">
        <f t="shared" si="55"/>
        <v>0</v>
      </c>
      <c r="T118" s="104">
        <f t="shared" si="41"/>
        <v>0</v>
      </c>
      <c r="U118" s="139">
        <f t="shared" si="56"/>
        <v>0</v>
      </c>
      <c r="V118" s="104"/>
      <c r="W118" s="104">
        <f t="shared" si="57"/>
        <v>0</v>
      </c>
      <c r="X118" s="139">
        <f t="shared" si="58"/>
        <v>0</v>
      </c>
      <c r="Y118" s="138">
        <v>0</v>
      </c>
      <c r="Z118" s="141">
        <v>0</v>
      </c>
      <c r="AA118" s="104">
        <f t="shared" si="42"/>
        <v>0</v>
      </c>
      <c r="AB118" s="139">
        <f t="shared" si="43"/>
        <v>0</v>
      </c>
      <c r="AC118" s="138">
        <v>0</v>
      </c>
      <c r="AD118" s="104">
        <f t="shared" si="59"/>
        <v>0</v>
      </c>
      <c r="AE118" s="139">
        <f t="shared" si="60"/>
        <v>0</v>
      </c>
      <c r="AF118" s="142">
        <v>0</v>
      </c>
      <c r="AG118" s="104">
        <f t="shared" si="61"/>
        <v>0</v>
      </c>
      <c r="AH118" s="139">
        <f t="shared" si="62"/>
        <v>0</v>
      </c>
      <c r="AI118" s="142">
        <v>0</v>
      </c>
      <c r="AJ118" s="104">
        <f t="shared" si="63"/>
        <v>0</v>
      </c>
      <c r="AK118" s="139">
        <f t="shared" si="64"/>
        <v>0</v>
      </c>
      <c r="AL118" s="143"/>
      <c r="AM118" s="205"/>
      <c r="AN118" s="104">
        <f t="shared" si="65"/>
        <v>0</v>
      </c>
      <c r="AO118" s="148">
        <f t="shared" si="66"/>
        <v>0</v>
      </c>
      <c r="AP118" s="272">
        <f t="shared" si="67"/>
        <v>0</v>
      </c>
      <c r="AQ118" s="669">
        <v>18.43</v>
      </c>
      <c r="AR118" s="401">
        <v>0</v>
      </c>
      <c r="AS118" s="401">
        <v>0</v>
      </c>
      <c r="AT118" s="401">
        <v>0</v>
      </c>
      <c r="AU118" s="401">
        <v>0</v>
      </c>
      <c r="AV118" s="727">
        <v>0</v>
      </c>
      <c r="AW118" s="246"/>
      <c r="AX118" s="713">
        <f t="shared" si="68"/>
        <v>0</v>
      </c>
      <c r="AY118" s="714">
        <v>0</v>
      </c>
      <c r="AZ118" s="715"/>
      <c r="BA118" s="716">
        <v>0</v>
      </c>
      <c r="BB118" s="727"/>
      <c r="BC118" s="712">
        <v>0</v>
      </c>
      <c r="BD118" s="712">
        <v>0</v>
      </c>
      <c r="BE118" s="712"/>
      <c r="BF118" s="712"/>
      <c r="BG118" s="712">
        <v>0</v>
      </c>
      <c r="BH118" s="712">
        <v>0</v>
      </c>
      <c r="BI118" s="134">
        <f>BC118+BD118+BE118+BG118+BH118</f>
        <v>0</v>
      </c>
      <c r="BJ118" s="123"/>
      <c r="BK118" s="792"/>
      <c r="BL118" s="104"/>
      <c r="BM118" s="672"/>
      <c r="BO118" s="562"/>
      <c r="BS118" s="879"/>
      <c r="BT118" s="774"/>
      <c r="BU118" s="774">
        <v>0</v>
      </c>
      <c r="BV118" s="774">
        <v>0</v>
      </c>
      <c r="BW118" s="774">
        <f t="shared" si="69"/>
        <v>0</v>
      </c>
    </row>
    <row r="119" spans="1:75" ht="15" thickBot="1" x14ac:dyDescent="0.35">
      <c r="A119" s="210" t="s">
        <v>85</v>
      </c>
      <c r="B119" s="228">
        <v>1</v>
      </c>
      <c r="C119" s="39">
        <f>'[3]побудинковий звіт'!E119</f>
        <v>195.6</v>
      </c>
      <c r="D119" s="205">
        <f t="shared" si="44"/>
        <v>15.63543228164205</v>
      </c>
      <c r="E119" s="104">
        <f t="shared" si="45"/>
        <v>3.4397979745638438</v>
      </c>
      <c r="F119" s="104">
        <f t="shared" si="46"/>
        <v>0</v>
      </c>
      <c r="G119" s="104">
        <f t="shared" si="47"/>
        <v>0</v>
      </c>
      <c r="H119" s="104">
        <f t="shared" si="48"/>
        <v>13.063007988200855</v>
      </c>
      <c r="I119" s="104">
        <f t="shared" si="49"/>
        <v>4.1366037453969238</v>
      </c>
      <c r="J119" s="672">
        <f t="shared" si="37"/>
        <v>0</v>
      </c>
      <c r="K119" s="139">
        <f t="shared" si="50"/>
        <v>36.274841989803676</v>
      </c>
      <c r="L119" s="138">
        <f t="shared" si="38"/>
        <v>0</v>
      </c>
      <c r="M119" s="104">
        <f t="shared" si="39"/>
        <v>0</v>
      </c>
      <c r="N119" s="29">
        <f t="shared" si="51"/>
        <v>0</v>
      </c>
      <c r="O119" s="104">
        <f t="shared" si="40"/>
        <v>0.35214052286983344</v>
      </c>
      <c r="P119" s="104">
        <f t="shared" si="52"/>
        <v>0</v>
      </c>
      <c r="Q119" s="104">
        <f t="shared" si="53"/>
        <v>4.532500489702164E-2</v>
      </c>
      <c r="R119" s="140">
        <f t="shared" si="54"/>
        <v>0.39746552776685506</v>
      </c>
      <c r="S119" s="138">
        <f t="shared" si="55"/>
        <v>0</v>
      </c>
      <c r="T119" s="104">
        <f t="shared" si="41"/>
        <v>0</v>
      </c>
      <c r="U119" s="139">
        <f t="shared" si="56"/>
        <v>0</v>
      </c>
      <c r="V119" s="104"/>
      <c r="W119" s="104">
        <f t="shared" si="57"/>
        <v>0</v>
      </c>
      <c r="X119" s="139">
        <f t="shared" si="58"/>
        <v>0</v>
      </c>
      <c r="Y119" s="138">
        <v>0</v>
      </c>
      <c r="Z119" s="141">
        <v>0</v>
      </c>
      <c r="AA119" s="104">
        <f t="shared" si="42"/>
        <v>0</v>
      </c>
      <c r="AB119" s="139">
        <f t="shared" si="43"/>
        <v>0</v>
      </c>
      <c r="AC119" s="138">
        <v>0</v>
      </c>
      <c r="AD119" s="104">
        <f t="shared" si="59"/>
        <v>0</v>
      </c>
      <c r="AE119" s="139">
        <f t="shared" si="60"/>
        <v>0</v>
      </c>
      <c r="AF119" s="142">
        <v>0</v>
      </c>
      <c r="AG119" s="104">
        <f t="shared" si="61"/>
        <v>0</v>
      </c>
      <c r="AH119" s="139">
        <f t="shared" si="62"/>
        <v>0</v>
      </c>
      <c r="AI119" s="142">
        <v>0</v>
      </c>
      <c r="AJ119" s="104">
        <f t="shared" si="63"/>
        <v>0</v>
      </c>
      <c r="AK119" s="139">
        <f t="shared" si="64"/>
        <v>0</v>
      </c>
      <c r="AL119" s="143"/>
      <c r="AM119" s="392"/>
      <c r="AN119" s="104">
        <f t="shared" si="65"/>
        <v>0</v>
      </c>
      <c r="AO119" s="148">
        <f t="shared" si="66"/>
        <v>0</v>
      </c>
      <c r="AP119" s="272">
        <f t="shared" si="67"/>
        <v>0</v>
      </c>
      <c r="AQ119" s="669">
        <v>14.43</v>
      </c>
      <c r="AR119" s="401">
        <v>0</v>
      </c>
      <c r="AS119" s="401">
        <v>0</v>
      </c>
      <c r="AT119" s="401">
        <v>0</v>
      </c>
      <c r="AU119" s="401">
        <v>0</v>
      </c>
      <c r="AV119" s="727">
        <v>0</v>
      </c>
      <c r="AW119" s="246"/>
      <c r="AX119" s="713">
        <f t="shared" si="68"/>
        <v>0</v>
      </c>
      <c r="AY119" s="714">
        <v>0</v>
      </c>
      <c r="AZ119" s="715"/>
      <c r="BA119" s="716">
        <v>0</v>
      </c>
      <c r="BB119" s="727"/>
      <c r="BC119" s="712">
        <v>0</v>
      </c>
      <c r="BD119" s="712">
        <v>0</v>
      </c>
      <c r="BE119" s="712"/>
      <c r="BF119" s="712"/>
      <c r="BG119" s="712">
        <v>0</v>
      </c>
      <c r="BH119" s="712">
        <v>0</v>
      </c>
      <c r="BI119" s="134">
        <f>BC119+BD119+BE119+BG119+BH119</f>
        <v>0</v>
      </c>
      <c r="BJ119" s="123"/>
      <c r="BK119" s="792"/>
      <c r="BL119" s="104"/>
      <c r="BM119" s="672"/>
      <c r="BO119" s="562"/>
      <c r="BS119" s="879"/>
      <c r="BT119" s="774"/>
      <c r="BU119" s="774">
        <v>0</v>
      </c>
      <c r="BV119" s="774">
        <v>0</v>
      </c>
      <c r="BW119" s="774">
        <f t="shared" si="69"/>
        <v>0</v>
      </c>
    </row>
    <row r="120" spans="1:75" ht="15" thickBot="1" x14ac:dyDescent="0.35">
      <c r="A120" s="210" t="s">
        <v>86</v>
      </c>
      <c r="B120" s="228">
        <v>1</v>
      </c>
      <c r="C120" s="39">
        <f>'[3]побудинковий звіт'!E120</f>
        <v>196.35</v>
      </c>
      <c r="D120" s="205">
        <f t="shared" si="44"/>
        <v>23.740285605736474</v>
      </c>
      <c r="E120" s="104">
        <f t="shared" si="45"/>
        <v>5.2228671949198766</v>
      </c>
      <c r="F120" s="104">
        <f t="shared" si="46"/>
        <v>0</v>
      </c>
      <c r="G120" s="104">
        <f t="shared" si="47"/>
        <v>0</v>
      </c>
      <c r="H120" s="104">
        <f t="shared" si="48"/>
        <v>19.834407832396447</v>
      </c>
      <c r="I120" s="104">
        <f t="shared" si="49"/>
        <v>6.2808723535444626</v>
      </c>
      <c r="J120" s="672">
        <f t="shared" si="37"/>
        <v>0</v>
      </c>
      <c r="K120" s="139">
        <f t="shared" si="50"/>
        <v>55.078432986597257</v>
      </c>
      <c r="L120" s="138">
        <f t="shared" si="38"/>
        <v>0</v>
      </c>
      <c r="M120" s="104">
        <f t="shared" si="39"/>
        <v>0</v>
      </c>
      <c r="N120" s="29">
        <f t="shared" si="51"/>
        <v>0</v>
      </c>
      <c r="O120" s="104">
        <f t="shared" si="40"/>
        <v>0.35349075493605214</v>
      </c>
      <c r="P120" s="104">
        <f t="shared" si="52"/>
        <v>0</v>
      </c>
      <c r="Q120" s="104">
        <f t="shared" si="53"/>
        <v>4.5498797093712677E-2</v>
      </c>
      <c r="R120" s="140">
        <f t="shared" si="54"/>
        <v>0.39898955202976483</v>
      </c>
      <c r="S120" s="138">
        <f t="shared" si="55"/>
        <v>0</v>
      </c>
      <c r="T120" s="104">
        <f t="shared" si="41"/>
        <v>0</v>
      </c>
      <c r="U120" s="139">
        <f t="shared" si="56"/>
        <v>0</v>
      </c>
      <c r="V120" s="104"/>
      <c r="W120" s="104">
        <f t="shared" si="57"/>
        <v>0</v>
      </c>
      <c r="X120" s="139">
        <f t="shared" si="58"/>
        <v>0</v>
      </c>
      <c r="Y120" s="138">
        <v>0</v>
      </c>
      <c r="Z120" s="141">
        <v>0</v>
      </c>
      <c r="AA120" s="104">
        <f t="shared" si="42"/>
        <v>0</v>
      </c>
      <c r="AB120" s="139">
        <f t="shared" si="43"/>
        <v>0</v>
      </c>
      <c r="AC120" s="138">
        <v>0</v>
      </c>
      <c r="AD120" s="104">
        <f t="shared" si="59"/>
        <v>0</v>
      </c>
      <c r="AE120" s="139">
        <f t="shared" si="60"/>
        <v>0</v>
      </c>
      <c r="AF120" s="142">
        <v>0</v>
      </c>
      <c r="AG120" s="104">
        <f t="shared" si="61"/>
        <v>0</v>
      </c>
      <c r="AH120" s="139">
        <f t="shared" si="62"/>
        <v>0</v>
      </c>
      <c r="AI120" s="142">
        <v>0</v>
      </c>
      <c r="AJ120" s="104">
        <f t="shared" si="63"/>
        <v>0</v>
      </c>
      <c r="AK120" s="139">
        <f t="shared" si="64"/>
        <v>0</v>
      </c>
      <c r="AL120" s="143"/>
      <c r="AM120" s="205"/>
      <c r="AN120" s="104">
        <f t="shared" si="65"/>
        <v>0</v>
      </c>
      <c r="AO120" s="148">
        <f t="shared" si="66"/>
        <v>0</v>
      </c>
      <c r="AP120" s="272">
        <f t="shared" si="67"/>
        <v>0</v>
      </c>
      <c r="AQ120" s="669">
        <v>21.91</v>
      </c>
      <c r="AR120" s="401">
        <v>0</v>
      </c>
      <c r="AS120" s="401">
        <v>0</v>
      </c>
      <c r="AT120" s="401">
        <v>0</v>
      </c>
      <c r="AU120" s="401">
        <v>0</v>
      </c>
      <c r="AV120" s="727">
        <v>0</v>
      </c>
      <c r="AW120" s="246"/>
      <c r="AX120" s="713">
        <f t="shared" si="68"/>
        <v>0</v>
      </c>
      <c r="AY120" s="714">
        <v>0</v>
      </c>
      <c r="AZ120" s="715"/>
      <c r="BA120" s="716">
        <v>0</v>
      </c>
      <c r="BB120" s="727"/>
      <c r="BC120" s="712">
        <v>0</v>
      </c>
      <c r="BD120" s="712">
        <v>0</v>
      </c>
      <c r="BE120" s="712"/>
      <c r="BF120" s="712"/>
      <c r="BG120" s="712">
        <v>0</v>
      </c>
      <c r="BH120" s="712">
        <v>0</v>
      </c>
      <c r="BI120" s="134">
        <f>BC120+BD120+BE120+BG120+BH120</f>
        <v>0</v>
      </c>
      <c r="BJ120" s="123"/>
      <c r="BK120" s="792"/>
      <c r="BL120" s="104"/>
      <c r="BM120" s="672"/>
      <c r="BO120" s="562"/>
      <c r="BS120" s="879"/>
      <c r="BT120" s="774"/>
      <c r="BU120" s="774">
        <v>0</v>
      </c>
      <c r="BV120" s="774">
        <v>0</v>
      </c>
      <c r="BW120" s="774">
        <f t="shared" si="69"/>
        <v>0</v>
      </c>
    </row>
    <row r="121" spans="1:75" ht="15" thickBot="1" x14ac:dyDescent="0.3">
      <c r="A121" s="250" t="s">
        <v>258</v>
      </c>
      <c r="B121" s="227">
        <v>5</v>
      </c>
      <c r="C121" s="39">
        <f>'[3]побудинковий звіт'!E121</f>
        <v>3175.8</v>
      </c>
      <c r="D121" s="205">
        <f t="shared" si="44"/>
        <v>1410.4803831994338</v>
      </c>
      <c r="E121" s="104">
        <f t="shared" si="45"/>
        <v>310.30594344283196</v>
      </c>
      <c r="F121" s="104">
        <f t="shared" si="46"/>
        <v>448.66445305301119</v>
      </c>
      <c r="G121" s="104">
        <f t="shared" si="47"/>
        <v>0</v>
      </c>
      <c r="H121" s="104">
        <f t="shared" si="48"/>
        <v>1178.4206653862839</v>
      </c>
      <c r="I121" s="104">
        <f t="shared" si="49"/>
        <v>430.91402377172949</v>
      </c>
      <c r="J121" s="672">
        <f t="shared" si="37"/>
        <v>0</v>
      </c>
      <c r="K121" s="139">
        <f t="shared" si="50"/>
        <v>3778.7854688532907</v>
      </c>
      <c r="L121" s="138">
        <f t="shared" si="38"/>
        <v>1615.3443405102018</v>
      </c>
      <c r="M121" s="104">
        <f t="shared" si="39"/>
        <v>355.37408223950558</v>
      </c>
      <c r="N121" s="29">
        <f t="shared" si="51"/>
        <v>79.088335442387873</v>
      </c>
      <c r="O121" s="104">
        <f t="shared" si="40"/>
        <v>5.717422661196407</v>
      </c>
      <c r="P121" s="104">
        <f t="shared" si="52"/>
        <v>1349.5793172636049</v>
      </c>
      <c r="Q121" s="104">
        <f t="shared" si="53"/>
        <v>438.280523551285</v>
      </c>
      <c r="R121" s="140">
        <f t="shared" si="54"/>
        <v>3843.3840216681815</v>
      </c>
      <c r="S121" s="138">
        <f t="shared" si="55"/>
        <v>138.732</v>
      </c>
      <c r="T121" s="104">
        <f t="shared" si="41"/>
        <v>17.856588977968709</v>
      </c>
      <c r="U121" s="139">
        <f t="shared" si="56"/>
        <v>156.5885889779687</v>
      </c>
      <c r="V121" s="104"/>
      <c r="W121" s="104">
        <f t="shared" si="57"/>
        <v>0</v>
      </c>
      <c r="X121" s="139">
        <f t="shared" si="58"/>
        <v>0</v>
      </c>
      <c r="Y121" s="138">
        <v>0</v>
      </c>
      <c r="Z121" s="141">
        <v>0</v>
      </c>
      <c r="AA121" s="104">
        <f t="shared" si="42"/>
        <v>0</v>
      </c>
      <c r="AB121" s="139">
        <f t="shared" si="43"/>
        <v>0</v>
      </c>
      <c r="AC121" s="138">
        <v>0</v>
      </c>
      <c r="AD121" s="104">
        <f t="shared" si="59"/>
        <v>0</v>
      </c>
      <c r="AE121" s="139">
        <f t="shared" si="60"/>
        <v>0</v>
      </c>
      <c r="AF121" s="142">
        <v>182.6</v>
      </c>
      <c r="AG121" s="104">
        <f t="shared" si="61"/>
        <v>23.50296360880753</v>
      </c>
      <c r="AH121" s="139">
        <f t="shared" si="62"/>
        <v>206.10296360880753</v>
      </c>
      <c r="AI121" s="142">
        <v>0</v>
      </c>
      <c r="AJ121" s="104">
        <f t="shared" si="63"/>
        <v>0</v>
      </c>
      <c r="AK121" s="139">
        <f t="shared" si="64"/>
        <v>0</v>
      </c>
      <c r="AL121" s="143"/>
      <c r="AM121" s="391"/>
      <c r="AN121" s="104">
        <f t="shared" si="65"/>
        <v>0</v>
      </c>
      <c r="AO121" s="148">
        <f t="shared" si="66"/>
        <v>0</v>
      </c>
      <c r="AP121" s="272">
        <f t="shared" si="67"/>
        <v>1416.7509608919158</v>
      </c>
      <c r="AQ121" s="669">
        <v>228.23</v>
      </c>
      <c r="AR121" s="401">
        <v>1020.378559424354</v>
      </c>
      <c r="AS121" s="401">
        <v>383.30428571398056</v>
      </c>
      <c r="AT121" s="401">
        <v>13.068115753581491</v>
      </c>
      <c r="AU121" s="911">
        <v>1095.5390219169678</v>
      </c>
      <c r="AV121" s="727">
        <v>53.129158020469738</v>
      </c>
      <c r="AW121" s="246"/>
      <c r="AX121" s="713">
        <f t="shared" si="68"/>
        <v>97.6344530530112</v>
      </c>
      <c r="AY121" s="714">
        <v>61.851276618858464</v>
      </c>
      <c r="AZ121" s="715"/>
      <c r="BA121" s="716">
        <v>17.237058823529413</v>
      </c>
      <c r="BB121" s="727"/>
      <c r="BC121" s="712">
        <v>15.817499999999999</v>
      </c>
      <c r="BD121" s="712">
        <v>81.816953053011204</v>
      </c>
      <c r="BE121" s="712"/>
      <c r="BF121" s="712"/>
      <c r="BG121" s="712">
        <v>0</v>
      </c>
      <c r="BH121" s="712">
        <v>22.825781249999999</v>
      </c>
      <c r="BI121" s="134">
        <f>BC121+BD121+BE121+BG121</f>
        <v>97.6344530530112</v>
      </c>
      <c r="BJ121" s="123">
        <v>630.6</v>
      </c>
      <c r="BK121" s="792"/>
      <c r="BL121" s="104"/>
      <c r="BM121" s="672">
        <v>351.03</v>
      </c>
      <c r="BO121" s="562"/>
      <c r="BS121" s="879"/>
      <c r="BT121" s="774"/>
      <c r="BU121" s="774">
        <v>1377.9824158490719</v>
      </c>
      <c r="BV121" s="774">
        <v>0</v>
      </c>
      <c r="BW121" s="774">
        <f t="shared" si="69"/>
        <v>1377.9824158490719</v>
      </c>
    </row>
    <row r="122" spans="1:75" ht="15" thickBot="1" x14ac:dyDescent="0.35">
      <c r="A122" s="210" t="s">
        <v>89</v>
      </c>
      <c r="B122" s="228">
        <v>1</v>
      </c>
      <c r="C122" s="39">
        <f>'[3]побудинковий звіт'!E122</f>
        <v>181.9</v>
      </c>
      <c r="D122" s="205">
        <f t="shared" si="44"/>
        <v>0</v>
      </c>
      <c r="E122" s="104">
        <f t="shared" si="45"/>
        <v>0</v>
      </c>
      <c r="F122" s="104">
        <f t="shared" si="46"/>
        <v>0</v>
      </c>
      <c r="G122" s="104">
        <f t="shared" si="47"/>
        <v>0</v>
      </c>
      <c r="H122" s="104">
        <f t="shared" si="48"/>
        <v>0</v>
      </c>
      <c r="I122" s="104">
        <f t="shared" si="49"/>
        <v>0</v>
      </c>
      <c r="J122" s="672">
        <f t="shared" si="37"/>
        <v>0</v>
      </c>
      <c r="K122" s="139">
        <f t="shared" si="50"/>
        <v>0</v>
      </c>
      <c r="L122" s="138">
        <f t="shared" si="38"/>
        <v>0</v>
      </c>
      <c r="M122" s="104">
        <f t="shared" si="39"/>
        <v>0</v>
      </c>
      <c r="N122" s="29">
        <f t="shared" si="51"/>
        <v>0</v>
      </c>
      <c r="O122" s="104">
        <f t="shared" si="40"/>
        <v>0.32747628379357213</v>
      </c>
      <c r="P122" s="104">
        <f t="shared" si="52"/>
        <v>0</v>
      </c>
      <c r="Q122" s="104">
        <f t="shared" si="53"/>
        <v>4.2150400770798756E-2</v>
      </c>
      <c r="R122" s="140">
        <f t="shared" si="54"/>
        <v>0.36962668456437087</v>
      </c>
      <c r="S122" s="138">
        <f t="shared" si="55"/>
        <v>0</v>
      </c>
      <c r="T122" s="104">
        <f t="shared" si="41"/>
        <v>0</v>
      </c>
      <c r="U122" s="139">
        <f t="shared" si="56"/>
        <v>0</v>
      </c>
      <c r="V122" s="104"/>
      <c r="W122" s="104">
        <f t="shared" si="57"/>
        <v>0</v>
      </c>
      <c r="X122" s="139">
        <f t="shared" si="58"/>
        <v>0</v>
      </c>
      <c r="Y122" s="138">
        <v>0</v>
      </c>
      <c r="Z122" s="141">
        <v>0</v>
      </c>
      <c r="AA122" s="104">
        <f t="shared" si="42"/>
        <v>0</v>
      </c>
      <c r="AB122" s="139">
        <f t="shared" si="43"/>
        <v>0</v>
      </c>
      <c r="AC122" s="138">
        <v>0</v>
      </c>
      <c r="AD122" s="104">
        <f t="shared" si="59"/>
        <v>0</v>
      </c>
      <c r="AE122" s="139">
        <f t="shared" si="60"/>
        <v>0</v>
      </c>
      <c r="AF122" s="142">
        <v>0</v>
      </c>
      <c r="AG122" s="104">
        <f t="shared" si="61"/>
        <v>0</v>
      </c>
      <c r="AH122" s="139">
        <f t="shared" si="62"/>
        <v>0</v>
      </c>
      <c r="AI122" s="142">
        <v>0</v>
      </c>
      <c r="AJ122" s="104">
        <f t="shared" si="63"/>
        <v>0</v>
      </c>
      <c r="AK122" s="139">
        <f t="shared" si="64"/>
        <v>0</v>
      </c>
      <c r="AL122" s="143"/>
      <c r="AM122" s="205"/>
      <c r="AN122" s="104">
        <f t="shared" si="65"/>
        <v>0</v>
      </c>
      <c r="AO122" s="148">
        <f t="shared" si="66"/>
        <v>0</v>
      </c>
      <c r="AP122" s="272">
        <f t="shared" si="67"/>
        <v>0</v>
      </c>
      <c r="AQ122" s="669">
        <v>0</v>
      </c>
      <c r="AR122" s="401">
        <v>0</v>
      </c>
      <c r="AS122" s="401">
        <v>0</v>
      </c>
      <c r="AT122" s="401">
        <v>0</v>
      </c>
      <c r="AU122" s="401">
        <v>0</v>
      </c>
      <c r="AV122" s="727">
        <v>0</v>
      </c>
      <c r="AW122" s="246"/>
      <c r="AX122" s="713">
        <f t="shared" si="68"/>
        <v>0</v>
      </c>
      <c r="AY122" s="714">
        <v>0</v>
      </c>
      <c r="AZ122" s="715"/>
      <c r="BA122" s="716">
        <v>0</v>
      </c>
      <c r="BB122" s="727"/>
      <c r="BC122" s="712">
        <v>0</v>
      </c>
      <c r="BD122" s="712">
        <v>0</v>
      </c>
      <c r="BE122" s="712"/>
      <c r="BF122" s="712"/>
      <c r="BG122" s="712">
        <v>0</v>
      </c>
      <c r="BH122" s="712">
        <v>0</v>
      </c>
      <c r="BI122" s="134">
        <f>BC122+BD122+BE122+BG122+BH122</f>
        <v>0</v>
      </c>
      <c r="BJ122" s="123"/>
      <c r="BK122" s="792"/>
      <c r="BL122" s="104"/>
      <c r="BM122" s="672"/>
      <c r="BO122" s="562"/>
      <c r="BS122" s="879"/>
      <c r="BT122" s="774"/>
      <c r="BU122" s="774">
        <v>0</v>
      </c>
      <c r="BV122" s="774">
        <v>0</v>
      </c>
      <c r="BW122" s="774">
        <f t="shared" si="69"/>
        <v>0</v>
      </c>
    </row>
    <row r="123" spans="1:75" ht="15" thickBot="1" x14ac:dyDescent="0.35">
      <c r="A123" s="210" t="s">
        <v>90</v>
      </c>
      <c r="B123" s="228">
        <v>1</v>
      </c>
      <c r="C123" s="39">
        <f>'[3]побудинковий звіт'!E123</f>
        <v>110.2</v>
      </c>
      <c r="D123" s="205">
        <f t="shared" si="44"/>
        <v>0</v>
      </c>
      <c r="E123" s="104">
        <f t="shared" si="45"/>
        <v>0</v>
      </c>
      <c r="F123" s="104">
        <f t="shared" si="46"/>
        <v>0</v>
      </c>
      <c r="G123" s="104">
        <f t="shared" si="47"/>
        <v>0</v>
      </c>
      <c r="H123" s="104">
        <f t="shared" si="48"/>
        <v>0</v>
      </c>
      <c r="I123" s="104">
        <f t="shared" si="49"/>
        <v>0</v>
      </c>
      <c r="J123" s="672">
        <f t="shared" si="37"/>
        <v>0</v>
      </c>
      <c r="K123" s="139">
        <f t="shared" si="50"/>
        <v>0</v>
      </c>
      <c r="L123" s="138">
        <f t="shared" si="38"/>
        <v>0</v>
      </c>
      <c r="M123" s="104">
        <f t="shared" si="39"/>
        <v>0</v>
      </c>
      <c r="N123" s="29">
        <f t="shared" si="51"/>
        <v>0</v>
      </c>
      <c r="O123" s="104">
        <f t="shared" si="40"/>
        <v>0.1983940982630657</v>
      </c>
      <c r="P123" s="104">
        <f t="shared" si="52"/>
        <v>0</v>
      </c>
      <c r="Q123" s="104">
        <f t="shared" si="53"/>
        <v>2.5535866767135918E-2</v>
      </c>
      <c r="R123" s="140">
        <f t="shared" si="54"/>
        <v>0.22392996503020163</v>
      </c>
      <c r="S123" s="138">
        <f t="shared" si="55"/>
        <v>0</v>
      </c>
      <c r="T123" s="104">
        <f t="shared" si="41"/>
        <v>0</v>
      </c>
      <c r="U123" s="139">
        <f t="shared" si="56"/>
        <v>0</v>
      </c>
      <c r="V123" s="104"/>
      <c r="W123" s="104">
        <f t="shared" si="57"/>
        <v>0</v>
      </c>
      <c r="X123" s="139">
        <f t="shared" si="58"/>
        <v>0</v>
      </c>
      <c r="Y123" s="138">
        <v>0</v>
      </c>
      <c r="Z123" s="141">
        <v>0</v>
      </c>
      <c r="AA123" s="104">
        <f t="shared" si="42"/>
        <v>0</v>
      </c>
      <c r="AB123" s="139">
        <f t="shared" si="43"/>
        <v>0</v>
      </c>
      <c r="AC123" s="138">
        <v>0</v>
      </c>
      <c r="AD123" s="104">
        <f t="shared" si="59"/>
        <v>0</v>
      </c>
      <c r="AE123" s="139">
        <f t="shared" si="60"/>
        <v>0</v>
      </c>
      <c r="AF123" s="142">
        <v>0</v>
      </c>
      <c r="AG123" s="104">
        <f t="shared" si="61"/>
        <v>0</v>
      </c>
      <c r="AH123" s="139">
        <f t="shared" si="62"/>
        <v>0</v>
      </c>
      <c r="AI123" s="142">
        <v>0</v>
      </c>
      <c r="AJ123" s="104">
        <f t="shared" si="63"/>
        <v>0</v>
      </c>
      <c r="AK123" s="139">
        <f t="shared" si="64"/>
        <v>0</v>
      </c>
      <c r="AL123" s="143"/>
      <c r="AM123" s="205"/>
      <c r="AN123" s="104">
        <f t="shared" si="65"/>
        <v>0</v>
      </c>
      <c r="AO123" s="148">
        <f t="shared" si="66"/>
        <v>0</v>
      </c>
      <c r="AP123" s="272">
        <f t="shared" si="67"/>
        <v>0</v>
      </c>
      <c r="AQ123" s="669">
        <v>0</v>
      </c>
      <c r="AR123" s="401">
        <v>0</v>
      </c>
      <c r="AS123" s="401">
        <v>0</v>
      </c>
      <c r="AT123" s="401">
        <v>0</v>
      </c>
      <c r="AU123" s="401">
        <v>0</v>
      </c>
      <c r="AV123" s="727">
        <v>0</v>
      </c>
      <c r="AW123" s="246"/>
      <c r="AX123" s="713">
        <f t="shared" si="68"/>
        <v>0</v>
      </c>
      <c r="AY123" s="714">
        <v>0</v>
      </c>
      <c r="AZ123" s="715"/>
      <c r="BA123" s="716">
        <v>0</v>
      </c>
      <c r="BB123" s="727"/>
      <c r="BC123" s="712">
        <v>0</v>
      </c>
      <c r="BD123" s="712">
        <v>0</v>
      </c>
      <c r="BE123" s="712"/>
      <c r="BF123" s="712"/>
      <c r="BG123" s="712">
        <v>0</v>
      </c>
      <c r="BH123" s="712">
        <v>0</v>
      </c>
      <c r="BI123" s="134">
        <f>BC123+BD123+BE123+BG123+BH123</f>
        <v>0</v>
      </c>
      <c r="BJ123" s="123"/>
      <c r="BK123" s="792"/>
      <c r="BL123" s="104"/>
      <c r="BM123" s="672"/>
      <c r="BO123" s="562"/>
      <c r="BS123" s="879"/>
      <c r="BT123" s="774"/>
      <c r="BU123" s="774">
        <v>0</v>
      </c>
      <c r="BV123" s="774">
        <v>0</v>
      </c>
      <c r="BW123" s="774">
        <f t="shared" si="69"/>
        <v>0</v>
      </c>
    </row>
    <row r="124" spans="1:75" ht="15" thickBot="1" x14ac:dyDescent="0.35">
      <c r="A124" s="210" t="s">
        <v>91</v>
      </c>
      <c r="B124" s="228">
        <v>1</v>
      </c>
      <c r="C124" s="39">
        <f>'[3]побудинковий звіт'!E124</f>
        <v>100.2</v>
      </c>
      <c r="D124" s="205">
        <f t="shared" si="44"/>
        <v>0</v>
      </c>
      <c r="E124" s="104">
        <f t="shared" si="45"/>
        <v>0</v>
      </c>
      <c r="F124" s="104">
        <f t="shared" si="46"/>
        <v>0</v>
      </c>
      <c r="G124" s="104">
        <f t="shared" si="47"/>
        <v>0</v>
      </c>
      <c r="H124" s="104">
        <f t="shared" si="48"/>
        <v>0</v>
      </c>
      <c r="I124" s="104">
        <f t="shared" si="49"/>
        <v>0</v>
      </c>
      <c r="J124" s="672">
        <f t="shared" si="37"/>
        <v>0</v>
      </c>
      <c r="K124" s="139">
        <f t="shared" si="50"/>
        <v>0</v>
      </c>
      <c r="L124" s="138">
        <f t="shared" si="38"/>
        <v>0</v>
      </c>
      <c r="M124" s="104">
        <f t="shared" si="39"/>
        <v>0</v>
      </c>
      <c r="N124" s="29">
        <f t="shared" si="51"/>
        <v>0</v>
      </c>
      <c r="O124" s="104">
        <f t="shared" si="40"/>
        <v>0.18039100404681654</v>
      </c>
      <c r="P124" s="104">
        <f t="shared" si="52"/>
        <v>0</v>
      </c>
      <c r="Q124" s="104">
        <f t="shared" si="53"/>
        <v>2.3218637477922133E-2</v>
      </c>
      <c r="R124" s="140">
        <f t="shared" si="54"/>
        <v>0.20360964152473868</v>
      </c>
      <c r="S124" s="138">
        <f t="shared" si="55"/>
        <v>0</v>
      </c>
      <c r="T124" s="104">
        <f t="shared" si="41"/>
        <v>0</v>
      </c>
      <c r="U124" s="139">
        <f t="shared" si="56"/>
        <v>0</v>
      </c>
      <c r="V124" s="104"/>
      <c r="W124" s="104">
        <f t="shared" si="57"/>
        <v>0</v>
      </c>
      <c r="X124" s="139">
        <f t="shared" si="58"/>
        <v>0</v>
      </c>
      <c r="Y124" s="138">
        <v>0</v>
      </c>
      <c r="Z124" s="141">
        <v>0</v>
      </c>
      <c r="AA124" s="104">
        <f t="shared" si="42"/>
        <v>0</v>
      </c>
      <c r="AB124" s="139">
        <f t="shared" si="43"/>
        <v>0</v>
      </c>
      <c r="AC124" s="138">
        <v>0</v>
      </c>
      <c r="AD124" s="104">
        <f t="shared" si="59"/>
        <v>0</v>
      </c>
      <c r="AE124" s="139">
        <f t="shared" si="60"/>
        <v>0</v>
      </c>
      <c r="AF124" s="142">
        <v>0</v>
      </c>
      <c r="AG124" s="104">
        <f t="shared" si="61"/>
        <v>0</v>
      </c>
      <c r="AH124" s="139">
        <f t="shared" si="62"/>
        <v>0</v>
      </c>
      <c r="AI124" s="142">
        <v>0</v>
      </c>
      <c r="AJ124" s="104">
        <f t="shared" si="63"/>
        <v>0</v>
      </c>
      <c r="AK124" s="139">
        <f t="shared" si="64"/>
        <v>0</v>
      </c>
      <c r="AL124" s="143"/>
      <c r="AM124" s="205"/>
      <c r="AN124" s="104">
        <f t="shared" si="65"/>
        <v>0</v>
      </c>
      <c r="AO124" s="148">
        <f t="shared" si="66"/>
        <v>0</v>
      </c>
      <c r="AP124" s="272">
        <f t="shared" si="67"/>
        <v>0</v>
      </c>
      <c r="AQ124" s="669">
        <v>0</v>
      </c>
      <c r="AR124" s="401">
        <v>0</v>
      </c>
      <c r="AS124" s="401">
        <v>0</v>
      </c>
      <c r="AT124" s="401">
        <v>0</v>
      </c>
      <c r="AU124" s="401">
        <v>0</v>
      </c>
      <c r="AV124" s="727">
        <v>0</v>
      </c>
      <c r="AW124" s="246"/>
      <c r="AX124" s="713">
        <f t="shared" si="68"/>
        <v>0</v>
      </c>
      <c r="AY124" s="714">
        <v>0</v>
      </c>
      <c r="AZ124" s="715"/>
      <c r="BA124" s="716">
        <v>0</v>
      </c>
      <c r="BB124" s="727"/>
      <c r="BC124" s="712">
        <v>0</v>
      </c>
      <c r="BD124" s="712">
        <v>0</v>
      </c>
      <c r="BE124" s="712"/>
      <c r="BF124" s="712"/>
      <c r="BG124" s="712">
        <v>0</v>
      </c>
      <c r="BH124" s="712">
        <v>0</v>
      </c>
      <c r="BI124" s="134">
        <f>BC124+BD124+BE124+BG124+BH124</f>
        <v>0</v>
      </c>
      <c r="BJ124" s="123"/>
      <c r="BK124" s="792"/>
      <c r="BL124" s="104"/>
      <c r="BM124" s="672"/>
      <c r="BO124" s="562"/>
      <c r="BS124" s="879"/>
      <c r="BT124" s="774"/>
      <c r="BU124" s="774">
        <v>0</v>
      </c>
      <c r="BV124" s="774">
        <v>0</v>
      </c>
      <c r="BW124" s="774">
        <f t="shared" si="69"/>
        <v>0</v>
      </c>
    </row>
    <row r="125" spans="1:75" ht="15" thickBot="1" x14ac:dyDescent="0.35">
      <c r="A125" s="250" t="s">
        <v>259</v>
      </c>
      <c r="B125" s="227">
        <v>5</v>
      </c>
      <c r="C125" s="39">
        <f>'[3]побудинковий звіт'!E125</f>
        <v>3167.15</v>
      </c>
      <c r="D125" s="205">
        <f t="shared" si="44"/>
        <v>1557.0656811870595</v>
      </c>
      <c r="E125" s="104">
        <f t="shared" si="45"/>
        <v>342.55473593133217</v>
      </c>
      <c r="F125" s="104">
        <f t="shared" si="46"/>
        <v>104.73731592052425</v>
      </c>
      <c r="G125" s="104">
        <f t="shared" si="47"/>
        <v>0</v>
      </c>
      <c r="H125" s="104">
        <f t="shared" si="48"/>
        <v>1300.8889722468125</v>
      </c>
      <c r="I125" s="104">
        <f t="shared" si="49"/>
        <v>425.42767268598828</v>
      </c>
      <c r="J125" s="672">
        <f t="shared" si="37"/>
        <v>0</v>
      </c>
      <c r="K125" s="139">
        <f t="shared" si="50"/>
        <v>3730.6743779717167</v>
      </c>
      <c r="L125" s="138">
        <f t="shared" si="38"/>
        <v>1891.6672901441432</v>
      </c>
      <c r="M125" s="104">
        <f t="shared" si="39"/>
        <v>416.16484502935106</v>
      </c>
      <c r="N125" s="29">
        <f t="shared" si="51"/>
        <v>71.660931832833143</v>
      </c>
      <c r="O125" s="104">
        <f t="shared" si="40"/>
        <v>5.7018499846993516</v>
      </c>
      <c r="P125" s="104">
        <f t="shared" si="52"/>
        <v>1580.4401488268954</v>
      </c>
      <c r="Q125" s="104">
        <f t="shared" si="53"/>
        <v>510.42813054616482</v>
      </c>
      <c r="R125" s="140">
        <f t="shared" si="54"/>
        <v>4476.0631963640872</v>
      </c>
      <c r="S125" s="138">
        <f t="shared" si="55"/>
        <v>127.93</v>
      </c>
      <c r="T125" s="104">
        <f t="shared" si="41"/>
        <v>16.466232937977807</v>
      </c>
      <c r="U125" s="139">
        <f t="shared" si="56"/>
        <v>144.3962329379778</v>
      </c>
      <c r="V125" s="104"/>
      <c r="W125" s="104">
        <f t="shared" si="57"/>
        <v>0</v>
      </c>
      <c r="X125" s="139">
        <f t="shared" si="58"/>
        <v>0</v>
      </c>
      <c r="Y125" s="138">
        <v>0</v>
      </c>
      <c r="Z125" s="141">
        <v>0</v>
      </c>
      <c r="AA125" s="104">
        <f t="shared" si="42"/>
        <v>0</v>
      </c>
      <c r="AB125" s="139">
        <f t="shared" si="43"/>
        <v>0</v>
      </c>
      <c r="AC125" s="138">
        <v>0</v>
      </c>
      <c r="AD125" s="104">
        <f t="shared" si="59"/>
        <v>0</v>
      </c>
      <c r="AE125" s="139">
        <f t="shared" si="60"/>
        <v>0</v>
      </c>
      <c r="AF125" s="142">
        <v>413.6</v>
      </c>
      <c r="AG125" s="104">
        <f t="shared" si="61"/>
        <v>53.235628415130314</v>
      </c>
      <c r="AH125" s="139">
        <f t="shared" si="62"/>
        <v>466.83562841513032</v>
      </c>
      <c r="AI125" s="142">
        <v>0</v>
      </c>
      <c r="AJ125" s="104">
        <f t="shared" si="63"/>
        <v>0</v>
      </c>
      <c r="AK125" s="139">
        <f t="shared" si="64"/>
        <v>0</v>
      </c>
      <c r="AL125" s="143"/>
      <c r="AM125" s="391"/>
      <c r="AN125" s="104">
        <f t="shared" si="65"/>
        <v>0</v>
      </c>
      <c r="AO125" s="148">
        <f t="shared" si="66"/>
        <v>0</v>
      </c>
      <c r="AP125" s="272">
        <f t="shared" si="67"/>
        <v>1906.7798268661963</v>
      </c>
      <c r="AQ125" s="669">
        <v>112.71</v>
      </c>
      <c r="AR125" s="401">
        <v>1258.7700981941712</v>
      </c>
      <c r="AS125" s="401">
        <v>627.44269068082758</v>
      </c>
      <c r="AT125" s="401">
        <v>20.567037991197544</v>
      </c>
      <c r="AU125" s="401">
        <v>1099.1100455041242</v>
      </c>
      <c r="AV125" s="727">
        <v>65.541749030996087</v>
      </c>
      <c r="AW125" s="246"/>
      <c r="AX125" s="713">
        <f t="shared" si="68"/>
        <v>104.73731592052425</v>
      </c>
      <c r="AY125" s="714">
        <v>67.72387300930373</v>
      </c>
      <c r="AZ125" s="715"/>
      <c r="BA125" s="716">
        <v>3.9370588235294122</v>
      </c>
      <c r="BB125" s="727"/>
      <c r="BC125" s="712">
        <v>15.817499999999999</v>
      </c>
      <c r="BD125" s="712">
        <v>88.919815920524258</v>
      </c>
      <c r="BE125" s="712"/>
      <c r="BF125" s="712"/>
      <c r="BG125" s="712">
        <v>0</v>
      </c>
      <c r="BH125" s="712">
        <v>22.825781249999999</v>
      </c>
      <c r="BI125" s="134">
        <f>BC125+BD125+BE125+BG125</f>
        <v>104.73731592052425</v>
      </c>
      <c r="BJ125" s="123">
        <v>581.5</v>
      </c>
      <c r="BK125" s="792"/>
      <c r="BL125" s="104"/>
      <c r="BM125" s="672"/>
      <c r="BO125" s="562"/>
      <c r="BS125" s="879"/>
      <c r="BT125" s="774"/>
      <c r="BU125" s="774">
        <v>1158.9648706382297</v>
      </c>
      <c r="BV125" s="774">
        <v>0</v>
      </c>
      <c r="BW125" s="774">
        <f t="shared" si="69"/>
        <v>1158.9648706382297</v>
      </c>
    </row>
    <row r="126" spans="1:75" ht="15" thickBot="1" x14ac:dyDescent="0.35">
      <c r="A126" s="209" t="s">
        <v>417</v>
      </c>
      <c r="B126" s="227">
        <v>10</v>
      </c>
      <c r="C126" s="39">
        <f>'[3]побудинковий звіт'!E126</f>
        <v>7111.44</v>
      </c>
      <c r="D126" s="205">
        <f t="shared" si="44"/>
        <v>5264.9687988224623</v>
      </c>
      <c r="E126" s="104">
        <f t="shared" si="45"/>
        <v>1158.2941030415413</v>
      </c>
      <c r="F126" s="104">
        <f t="shared" si="46"/>
        <v>294.28730325139952</v>
      </c>
      <c r="G126" s="104">
        <f t="shared" si="47"/>
        <v>0</v>
      </c>
      <c r="H126" s="104">
        <f t="shared" si="48"/>
        <v>4398.7481917847635</v>
      </c>
      <c r="I126" s="104">
        <f t="shared" si="49"/>
        <v>1430.8102775848308</v>
      </c>
      <c r="J126" s="672">
        <f t="shared" si="37"/>
        <v>0</v>
      </c>
      <c r="K126" s="139">
        <f t="shared" si="50"/>
        <v>12547.108674484998</v>
      </c>
      <c r="L126" s="138">
        <f t="shared" si="38"/>
        <v>4532.8552156253145</v>
      </c>
      <c r="M126" s="104">
        <f t="shared" si="39"/>
        <v>997.22345371180563</v>
      </c>
      <c r="N126" s="29">
        <f t="shared" si="51"/>
        <v>393.7238256166284</v>
      </c>
      <c r="O126" s="104">
        <f t="shared" si="40"/>
        <v>12.802792433320288</v>
      </c>
      <c r="P126" s="104">
        <f t="shared" si="52"/>
        <v>3787.0858204921219</v>
      </c>
      <c r="Q126" s="104">
        <f t="shared" si="53"/>
        <v>1251.5638458475903</v>
      </c>
      <c r="R126" s="140">
        <f t="shared" si="54"/>
        <v>10975.254953726781</v>
      </c>
      <c r="S126" s="138">
        <f t="shared" si="55"/>
        <v>133.14400000000003</v>
      </c>
      <c r="T126" s="104">
        <f t="shared" si="41"/>
        <v>17.137341657891952</v>
      </c>
      <c r="U126" s="139">
        <f t="shared" si="56"/>
        <v>150.28134165789197</v>
      </c>
      <c r="V126" s="104"/>
      <c r="W126" s="104">
        <f t="shared" si="57"/>
        <v>0</v>
      </c>
      <c r="X126" s="139">
        <f t="shared" si="58"/>
        <v>0</v>
      </c>
      <c r="Y126" s="138">
        <v>4273.7700000000004</v>
      </c>
      <c r="Z126" s="141">
        <v>0</v>
      </c>
      <c r="AA126" s="104">
        <f t="shared" si="42"/>
        <v>550.08905138232956</v>
      </c>
      <c r="AB126" s="139">
        <f t="shared" si="43"/>
        <v>4823.8590513823301</v>
      </c>
      <c r="AC126" s="138">
        <v>118.075</v>
      </c>
      <c r="AD126" s="104">
        <f t="shared" si="59"/>
        <v>15.197767952409361</v>
      </c>
      <c r="AE126" s="139">
        <f t="shared" si="60"/>
        <v>133.27276795240937</v>
      </c>
      <c r="AF126" s="142">
        <v>1441</v>
      </c>
      <c r="AG126" s="104">
        <f t="shared" si="61"/>
        <v>185.475194744204</v>
      </c>
      <c r="AH126" s="139">
        <f t="shared" si="62"/>
        <v>1626.4751947442039</v>
      </c>
      <c r="AI126" s="142">
        <v>1449.8</v>
      </c>
      <c r="AJ126" s="104">
        <f t="shared" si="63"/>
        <v>186.60786768920678</v>
      </c>
      <c r="AK126" s="139">
        <f t="shared" si="64"/>
        <v>1636.4078676892068</v>
      </c>
      <c r="AL126" s="143"/>
      <c r="AM126" s="143"/>
      <c r="AN126" s="104">
        <f t="shared" si="65"/>
        <v>0</v>
      </c>
      <c r="AO126" s="148">
        <f t="shared" si="66"/>
        <v>0</v>
      </c>
      <c r="AP126" s="272">
        <f t="shared" si="67"/>
        <v>8035.5483508735406</v>
      </c>
      <c r="AQ126" s="669">
        <v>0</v>
      </c>
      <c r="AR126" s="726">
        <v>4859.0597559755679</v>
      </c>
      <c r="AS126" s="726">
        <v>3112.9862894112725</v>
      </c>
      <c r="AT126" s="726">
        <v>63.502305486700571</v>
      </c>
      <c r="AU126" s="401">
        <v>1009.9986494276537</v>
      </c>
      <c r="AV126" s="786"/>
      <c r="AW126" s="246"/>
      <c r="AX126" s="713">
        <f t="shared" si="68"/>
        <v>294.28730325139952</v>
      </c>
      <c r="AY126" s="714">
        <v>166.92382561662839</v>
      </c>
      <c r="AZ126" s="715"/>
      <c r="BA126" s="716">
        <v>226.8</v>
      </c>
      <c r="BC126" s="712">
        <v>90</v>
      </c>
      <c r="BD126" s="712">
        <v>204.28730325139955</v>
      </c>
      <c r="BE126" s="712"/>
      <c r="BF126" s="712"/>
      <c r="BG126" s="712">
        <v>0</v>
      </c>
      <c r="BH126" s="712">
        <v>10.05578566811119</v>
      </c>
      <c r="BI126" s="134">
        <f>BC126+BD126+BE126+BG126</f>
        <v>294.28730325139952</v>
      </c>
      <c r="BJ126" s="123">
        <v>605.20000000000005</v>
      </c>
      <c r="BK126" s="792"/>
      <c r="BL126" s="104"/>
      <c r="BM126" s="672"/>
      <c r="BO126" s="562"/>
      <c r="BS126" s="879"/>
      <c r="BT126" s="774"/>
      <c r="BU126" s="774">
        <v>4687.8820425531903</v>
      </c>
      <c r="BV126" s="774">
        <v>0</v>
      </c>
      <c r="BW126" s="774">
        <f t="shared" si="69"/>
        <v>4687.8820425531903</v>
      </c>
    </row>
    <row r="127" spans="1:75" ht="15" thickBot="1" x14ac:dyDescent="0.35">
      <c r="A127" s="209" t="s">
        <v>418</v>
      </c>
      <c r="B127" s="227">
        <v>10</v>
      </c>
      <c r="C127" s="39">
        <f>'[3]побудинковий звіт'!E127</f>
        <v>9469.1</v>
      </c>
      <c r="D127" s="205">
        <f t="shared" si="44"/>
        <v>5866.4268395358058</v>
      </c>
      <c r="E127" s="104">
        <f t="shared" si="45"/>
        <v>1290.6149825006937</v>
      </c>
      <c r="F127" s="104">
        <f t="shared" si="46"/>
        <v>354.6043033944793</v>
      </c>
      <c r="G127" s="104">
        <f t="shared" si="47"/>
        <v>0</v>
      </c>
      <c r="H127" s="104">
        <f t="shared" si="48"/>
        <v>4901.2511638088217</v>
      </c>
      <c r="I127" s="104">
        <f t="shared" si="49"/>
        <v>1597.6991964341109</v>
      </c>
      <c r="J127" s="672">
        <f t="shared" si="37"/>
        <v>0</v>
      </c>
      <c r="K127" s="139">
        <f t="shared" si="50"/>
        <v>14010.59648567391</v>
      </c>
      <c r="L127" s="138">
        <f t="shared" si="38"/>
        <v>5078.6326993122675</v>
      </c>
      <c r="M127" s="104">
        <f t="shared" si="39"/>
        <v>1117.2939349758669</v>
      </c>
      <c r="N127" s="29">
        <f t="shared" si="51"/>
        <v>205.6185972290881</v>
      </c>
      <c r="O127" s="104">
        <f t="shared" si="40"/>
        <v>17.047309944308488</v>
      </c>
      <c r="P127" s="104">
        <f t="shared" si="52"/>
        <v>4243.06909621861</v>
      </c>
      <c r="Q127" s="104">
        <f t="shared" si="53"/>
        <v>1372.2926915652556</v>
      </c>
      <c r="R127" s="140">
        <f t="shared" si="54"/>
        <v>12033.954329245396</v>
      </c>
      <c r="S127" s="138">
        <f t="shared" si="55"/>
        <v>96.096000000000004</v>
      </c>
      <c r="T127" s="104">
        <f t="shared" si="41"/>
        <v>12.368788559430277</v>
      </c>
      <c r="U127" s="139">
        <f t="shared" si="56"/>
        <v>108.46478855943027</v>
      </c>
      <c r="V127" s="104"/>
      <c r="W127" s="104">
        <f t="shared" si="57"/>
        <v>0</v>
      </c>
      <c r="X127" s="139">
        <f t="shared" si="58"/>
        <v>0</v>
      </c>
      <c r="Y127" s="138">
        <v>3542.72</v>
      </c>
      <c r="Z127" s="141">
        <v>0</v>
      </c>
      <c r="AA127" s="104">
        <f t="shared" si="42"/>
        <v>455.9935336045707</v>
      </c>
      <c r="AB127" s="139">
        <f t="shared" si="43"/>
        <v>3998.7135336045703</v>
      </c>
      <c r="AC127" s="138">
        <v>118.075</v>
      </c>
      <c r="AD127" s="104">
        <f t="shared" si="59"/>
        <v>15.197767952409361</v>
      </c>
      <c r="AE127" s="139">
        <f t="shared" si="60"/>
        <v>133.27276795240937</v>
      </c>
      <c r="AF127" s="142">
        <v>1036.2</v>
      </c>
      <c r="AG127" s="104">
        <f t="shared" si="61"/>
        <v>133.37223927407646</v>
      </c>
      <c r="AH127" s="139">
        <f t="shared" si="62"/>
        <v>1169.5722392740765</v>
      </c>
      <c r="AI127" s="142">
        <v>2076.8000000000002</v>
      </c>
      <c r="AJ127" s="104">
        <f t="shared" si="63"/>
        <v>267.31081502065433</v>
      </c>
      <c r="AK127" s="139">
        <f t="shared" si="64"/>
        <v>2344.1108150206546</v>
      </c>
      <c r="AL127" s="143"/>
      <c r="AM127" s="143"/>
      <c r="AN127" s="104">
        <f t="shared" si="65"/>
        <v>0</v>
      </c>
      <c r="AO127" s="148">
        <f t="shared" si="66"/>
        <v>0</v>
      </c>
      <c r="AP127" s="272">
        <f t="shared" si="67"/>
        <v>8735.9082662405017</v>
      </c>
      <c r="AQ127" s="669">
        <v>0</v>
      </c>
      <c r="AR127" s="726">
        <v>5414.1476723924243</v>
      </c>
      <c r="AS127" s="726">
        <v>3289.8135507549819</v>
      </c>
      <c r="AT127" s="726">
        <v>31.947043093096205</v>
      </c>
      <c r="AU127" s="401">
        <v>1368.7997710615168</v>
      </c>
      <c r="AV127" s="786"/>
      <c r="AW127" s="246"/>
      <c r="AX127" s="713">
        <f t="shared" si="68"/>
        <v>354.6043033944793</v>
      </c>
      <c r="AY127" s="714">
        <v>205.6185972290881</v>
      </c>
      <c r="AZ127" s="715"/>
      <c r="BA127" s="716">
        <v>0</v>
      </c>
      <c r="BC127" s="712">
        <v>90</v>
      </c>
      <c r="BD127" s="712">
        <v>264.6043033944793</v>
      </c>
      <c r="BE127" s="712"/>
      <c r="BF127" s="712"/>
      <c r="BG127" s="712">
        <v>0</v>
      </c>
      <c r="BH127" s="712">
        <v>6.0938061148753802</v>
      </c>
      <c r="BI127" s="134">
        <f>BC127+BD127+BE127+BG127</f>
        <v>354.6043033944793</v>
      </c>
      <c r="BJ127" s="123">
        <v>436.8</v>
      </c>
      <c r="BK127" s="792"/>
      <c r="BL127" s="104"/>
      <c r="BM127" s="672"/>
      <c r="BO127" s="562"/>
      <c r="BS127" s="879"/>
      <c r="BT127" s="774"/>
      <c r="BU127" s="774">
        <v>4297.4318648144126</v>
      </c>
      <c r="BV127" s="774">
        <v>0</v>
      </c>
      <c r="BW127" s="774">
        <f t="shared" si="69"/>
        <v>4297.4318648144126</v>
      </c>
    </row>
    <row r="128" spans="1:75" ht="15" thickBot="1" x14ac:dyDescent="0.35">
      <c r="A128" s="210" t="s">
        <v>92</v>
      </c>
      <c r="B128" s="228">
        <v>1</v>
      </c>
      <c r="C128" s="39">
        <f>'[3]побудинковий звіт'!E128</f>
        <v>241.1</v>
      </c>
      <c r="D128" s="205">
        <f t="shared" si="44"/>
        <v>36.287638746513672</v>
      </c>
      <c r="E128" s="104">
        <f t="shared" si="45"/>
        <v>7.9832871911395102</v>
      </c>
      <c r="F128" s="104">
        <f t="shared" si="46"/>
        <v>0</v>
      </c>
      <c r="G128" s="104">
        <f t="shared" si="47"/>
        <v>0</v>
      </c>
      <c r="H128" s="104">
        <f t="shared" si="48"/>
        <v>30.31740384787572</v>
      </c>
      <c r="I128" s="104">
        <f t="shared" si="49"/>
        <v>9.6004753592060261</v>
      </c>
      <c r="J128" s="672">
        <f t="shared" si="37"/>
        <v>0</v>
      </c>
      <c r="K128" s="139">
        <f t="shared" si="50"/>
        <v>84.188805144734928</v>
      </c>
      <c r="L128" s="138">
        <f t="shared" si="38"/>
        <v>0</v>
      </c>
      <c r="M128" s="104">
        <f t="shared" si="39"/>
        <v>0</v>
      </c>
      <c r="N128" s="29">
        <f t="shared" si="51"/>
        <v>0</v>
      </c>
      <c r="O128" s="104">
        <f t="shared" si="40"/>
        <v>0.43405460155376713</v>
      </c>
      <c r="P128" s="104">
        <f t="shared" si="52"/>
        <v>0</v>
      </c>
      <c r="Q128" s="104">
        <f t="shared" si="53"/>
        <v>5.5868398162944366E-2</v>
      </c>
      <c r="R128" s="140">
        <f t="shared" si="54"/>
        <v>0.48992299971671149</v>
      </c>
      <c r="S128" s="138">
        <f t="shared" si="55"/>
        <v>0</v>
      </c>
      <c r="T128" s="104">
        <f t="shared" si="41"/>
        <v>0</v>
      </c>
      <c r="U128" s="139">
        <f t="shared" si="56"/>
        <v>0</v>
      </c>
      <c r="V128" s="104"/>
      <c r="W128" s="104">
        <f t="shared" si="57"/>
        <v>0</v>
      </c>
      <c r="X128" s="139">
        <f t="shared" si="58"/>
        <v>0</v>
      </c>
      <c r="Y128" s="138">
        <v>0</v>
      </c>
      <c r="Z128" s="141">
        <v>0</v>
      </c>
      <c r="AA128" s="104">
        <f t="shared" si="42"/>
        <v>0</v>
      </c>
      <c r="AB128" s="139">
        <f t="shared" si="43"/>
        <v>0</v>
      </c>
      <c r="AC128" s="138">
        <v>0</v>
      </c>
      <c r="AD128" s="104">
        <f t="shared" si="59"/>
        <v>0</v>
      </c>
      <c r="AE128" s="139">
        <f t="shared" si="60"/>
        <v>0</v>
      </c>
      <c r="AF128" s="142">
        <v>0</v>
      </c>
      <c r="AG128" s="104">
        <f t="shared" si="61"/>
        <v>0</v>
      </c>
      <c r="AH128" s="139">
        <f t="shared" si="62"/>
        <v>0</v>
      </c>
      <c r="AI128" s="142">
        <v>0</v>
      </c>
      <c r="AJ128" s="104">
        <f t="shared" si="63"/>
        <v>0</v>
      </c>
      <c r="AK128" s="139">
        <f t="shared" si="64"/>
        <v>0</v>
      </c>
      <c r="AL128" s="143"/>
      <c r="AM128" s="205"/>
      <c r="AN128" s="104">
        <f t="shared" si="65"/>
        <v>0</v>
      </c>
      <c r="AO128" s="148">
        <f t="shared" si="66"/>
        <v>0</v>
      </c>
      <c r="AP128" s="272">
        <f t="shared" si="67"/>
        <v>0</v>
      </c>
      <c r="AQ128" s="669">
        <v>33.49</v>
      </c>
      <c r="AR128" s="401">
        <v>0</v>
      </c>
      <c r="AS128" s="401">
        <v>0</v>
      </c>
      <c r="AT128" s="401">
        <v>0</v>
      </c>
      <c r="AU128" s="401">
        <v>0</v>
      </c>
      <c r="AV128" s="727">
        <v>0</v>
      </c>
      <c r="AW128" s="246"/>
      <c r="AX128" s="713">
        <f t="shared" si="68"/>
        <v>0</v>
      </c>
      <c r="AY128" s="714">
        <v>0</v>
      </c>
      <c r="AZ128" s="715"/>
      <c r="BA128" s="716">
        <v>0</v>
      </c>
      <c r="BB128" s="727"/>
      <c r="BC128" s="712">
        <v>0</v>
      </c>
      <c r="BD128" s="712">
        <v>0</v>
      </c>
      <c r="BE128" s="712"/>
      <c r="BF128" s="712"/>
      <c r="BG128" s="712">
        <v>0</v>
      </c>
      <c r="BH128" s="712">
        <v>0</v>
      </c>
      <c r="BI128" s="134">
        <f>BC128+BD128+BE128+BG128+BH128</f>
        <v>0</v>
      </c>
      <c r="BJ128" s="123"/>
      <c r="BK128" s="792"/>
      <c r="BL128" s="104"/>
      <c r="BM128" s="672"/>
      <c r="BO128" s="562"/>
      <c r="BS128" s="879"/>
      <c r="BT128" s="774"/>
      <c r="BU128" s="774">
        <v>0</v>
      </c>
      <c r="BV128" s="774">
        <v>0</v>
      </c>
      <c r="BW128" s="774">
        <f t="shared" si="69"/>
        <v>0</v>
      </c>
    </row>
    <row r="129" spans="1:75" ht="15" thickBot="1" x14ac:dyDescent="0.35">
      <c r="A129" s="210" t="s">
        <v>93</v>
      </c>
      <c r="B129" s="228">
        <v>1</v>
      </c>
      <c r="C129" s="39">
        <f>'[3]побудинковий звіт'!E129</f>
        <v>188.9</v>
      </c>
      <c r="D129" s="205">
        <f t="shared" si="44"/>
        <v>15.548749358389703</v>
      </c>
      <c r="E129" s="104">
        <f t="shared" si="45"/>
        <v>3.4207277155226028</v>
      </c>
      <c r="F129" s="104">
        <f t="shared" si="46"/>
        <v>0</v>
      </c>
      <c r="G129" s="104">
        <f t="shared" si="47"/>
        <v>0</v>
      </c>
      <c r="H129" s="104">
        <f t="shared" si="48"/>
        <v>12.990586599492881</v>
      </c>
      <c r="I129" s="104">
        <f t="shared" si="49"/>
        <v>4.1136703912990891</v>
      </c>
      <c r="J129" s="672">
        <f t="shared" si="37"/>
        <v>0</v>
      </c>
      <c r="K129" s="139">
        <f t="shared" si="50"/>
        <v>36.073734064704276</v>
      </c>
      <c r="L129" s="138">
        <f t="shared" si="38"/>
        <v>0</v>
      </c>
      <c r="M129" s="104">
        <f t="shared" si="39"/>
        <v>0</v>
      </c>
      <c r="N129" s="29">
        <f t="shared" si="51"/>
        <v>0</v>
      </c>
      <c r="O129" s="104">
        <f t="shared" si="40"/>
        <v>0.34007844974494655</v>
      </c>
      <c r="P129" s="104">
        <f t="shared" si="52"/>
        <v>0</v>
      </c>
      <c r="Q129" s="104">
        <f t="shared" si="53"/>
        <v>4.3772461273248409E-2</v>
      </c>
      <c r="R129" s="140">
        <f t="shared" si="54"/>
        <v>0.38385091101819496</v>
      </c>
      <c r="S129" s="138">
        <f t="shared" si="55"/>
        <v>0</v>
      </c>
      <c r="T129" s="104">
        <f t="shared" si="41"/>
        <v>0</v>
      </c>
      <c r="U129" s="139">
        <f t="shared" si="56"/>
        <v>0</v>
      </c>
      <c r="V129" s="104"/>
      <c r="W129" s="104">
        <f t="shared" si="57"/>
        <v>0</v>
      </c>
      <c r="X129" s="139">
        <f t="shared" si="58"/>
        <v>0</v>
      </c>
      <c r="Y129" s="138">
        <v>0</v>
      </c>
      <c r="Z129" s="141">
        <v>0</v>
      </c>
      <c r="AA129" s="104">
        <f t="shared" si="42"/>
        <v>0</v>
      </c>
      <c r="AB129" s="139">
        <f t="shared" si="43"/>
        <v>0</v>
      </c>
      <c r="AC129" s="138">
        <v>0</v>
      </c>
      <c r="AD129" s="104">
        <f t="shared" si="59"/>
        <v>0</v>
      </c>
      <c r="AE129" s="139">
        <f t="shared" si="60"/>
        <v>0</v>
      </c>
      <c r="AF129" s="142">
        <v>0</v>
      </c>
      <c r="AG129" s="104">
        <f t="shared" si="61"/>
        <v>0</v>
      </c>
      <c r="AH129" s="139">
        <f t="shared" si="62"/>
        <v>0</v>
      </c>
      <c r="AI129" s="142">
        <v>0</v>
      </c>
      <c r="AJ129" s="104">
        <f t="shared" si="63"/>
        <v>0</v>
      </c>
      <c r="AK129" s="139">
        <f t="shared" si="64"/>
        <v>0</v>
      </c>
      <c r="AL129" s="143"/>
      <c r="AM129" s="205"/>
      <c r="AN129" s="104">
        <f t="shared" si="65"/>
        <v>0</v>
      </c>
      <c r="AO129" s="148">
        <f t="shared" si="66"/>
        <v>0</v>
      </c>
      <c r="AP129" s="272">
        <f t="shared" si="67"/>
        <v>0</v>
      </c>
      <c r="AQ129" s="669">
        <v>14.35</v>
      </c>
      <c r="AR129" s="401">
        <v>0</v>
      </c>
      <c r="AS129" s="401">
        <v>0</v>
      </c>
      <c r="AT129" s="401">
        <v>0</v>
      </c>
      <c r="AU129" s="401">
        <v>0</v>
      </c>
      <c r="AV129" s="727">
        <v>0</v>
      </c>
      <c r="AW129" s="246"/>
      <c r="AX129" s="713">
        <f t="shared" si="68"/>
        <v>0</v>
      </c>
      <c r="AY129" s="714">
        <v>0</v>
      </c>
      <c r="AZ129" s="715"/>
      <c r="BA129" s="716">
        <v>0</v>
      </c>
      <c r="BB129" s="727"/>
      <c r="BC129" s="712">
        <v>0</v>
      </c>
      <c r="BD129" s="712">
        <v>0</v>
      </c>
      <c r="BE129" s="712"/>
      <c r="BF129" s="712"/>
      <c r="BG129" s="712">
        <v>0</v>
      </c>
      <c r="BH129" s="712">
        <v>0</v>
      </c>
      <c r="BI129" s="134">
        <f>BC129+BD129+BE129+BG129+BH129</f>
        <v>0</v>
      </c>
      <c r="BJ129" s="123"/>
      <c r="BK129" s="792"/>
      <c r="BL129" s="104"/>
      <c r="BM129" s="672"/>
      <c r="BO129" s="562"/>
      <c r="BS129" s="879"/>
      <c r="BT129" s="774"/>
      <c r="BU129" s="774">
        <v>0</v>
      </c>
      <c r="BV129" s="774">
        <v>0</v>
      </c>
      <c r="BW129" s="774">
        <f t="shared" si="69"/>
        <v>0</v>
      </c>
    </row>
    <row r="130" spans="1:75" ht="15" thickBot="1" x14ac:dyDescent="0.35">
      <c r="A130" s="210" t="s">
        <v>95</v>
      </c>
      <c r="B130" s="228">
        <v>1</v>
      </c>
      <c r="C130" s="39">
        <f>'[3]побудинковий звіт'!E130</f>
        <v>142.1</v>
      </c>
      <c r="D130" s="205">
        <f t="shared" si="44"/>
        <v>0</v>
      </c>
      <c r="E130" s="104">
        <f t="shared" si="45"/>
        <v>0</v>
      </c>
      <c r="F130" s="104">
        <f t="shared" si="46"/>
        <v>0</v>
      </c>
      <c r="G130" s="104">
        <f t="shared" si="47"/>
        <v>0</v>
      </c>
      <c r="H130" s="104">
        <f t="shared" si="48"/>
        <v>0</v>
      </c>
      <c r="I130" s="104">
        <f t="shared" si="49"/>
        <v>0</v>
      </c>
      <c r="J130" s="672">
        <f t="shared" si="37"/>
        <v>0</v>
      </c>
      <c r="K130" s="139">
        <f t="shared" si="50"/>
        <v>0</v>
      </c>
      <c r="L130" s="138">
        <f t="shared" si="38"/>
        <v>0</v>
      </c>
      <c r="M130" s="104">
        <f t="shared" si="39"/>
        <v>0</v>
      </c>
      <c r="N130" s="29">
        <f t="shared" si="51"/>
        <v>0</v>
      </c>
      <c r="O130" s="104">
        <f t="shared" si="40"/>
        <v>0.25582396881290048</v>
      </c>
      <c r="P130" s="104">
        <f t="shared" si="52"/>
        <v>0</v>
      </c>
      <c r="Q130" s="104">
        <f t="shared" si="53"/>
        <v>3.2927828199727886E-2</v>
      </c>
      <c r="R130" s="140">
        <f t="shared" si="54"/>
        <v>0.28875179701262838</v>
      </c>
      <c r="S130" s="138">
        <f t="shared" si="55"/>
        <v>0</v>
      </c>
      <c r="T130" s="104">
        <f t="shared" si="41"/>
        <v>0</v>
      </c>
      <c r="U130" s="139">
        <f t="shared" si="56"/>
        <v>0</v>
      </c>
      <c r="V130" s="104"/>
      <c r="W130" s="104">
        <f t="shared" si="57"/>
        <v>0</v>
      </c>
      <c r="X130" s="139">
        <f t="shared" si="58"/>
        <v>0</v>
      </c>
      <c r="Y130" s="138">
        <v>0</v>
      </c>
      <c r="Z130" s="141">
        <v>0</v>
      </c>
      <c r="AA130" s="104">
        <f t="shared" si="42"/>
        <v>0</v>
      </c>
      <c r="AB130" s="139">
        <f t="shared" si="43"/>
        <v>0</v>
      </c>
      <c r="AC130" s="138">
        <v>0</v>
      </c>
      <c r="AD130" s="104">
        <f t="shared" si="59"/>
        <v>0</v>
      </c>
      <c r="AE130" s="139">
        <f t="shared" si="60"/>
        <v>0</v>
      </c>
      <c r="AF130" s="142">
        <v>0</v>
      </c>
      <c r="AG130" s="104">
        <f t="shared" si="61"/>
        <v>0</v>
      </c>
      <c r="AH130" s="139">
        <f t="shared" si="62"/>
        <v>0</v>
      </c>
      <c r="AI130" s="142">
        <v>0</v>
      </c>
      <c r="AJ130" s="104">
        <f t="shared" si="63"/>
        <v>0</v>
      </c>
      <c r="AK130" s="139">
        <f t="shared" si="64"/>
        <v>0</v>
      </c>
      <c r="AL130" s="143"/>
      <c r="AM130" s="205"/>
      <c r="AN130" s="104">
        <f t="shared" si="65"/>
        <v>0</v>
      </c>
      <c r="AO130" s="148">
        <f t="shared" si="66"/>
        <v>0</v>
      </c>
      <c r="AP130" s="272">
        <f t="shared" si="67"/>
        <v>0</v>
      </c>
      <c r="AQ130" s="669">
        <v>0</v>
      </c>
      <c r="AR130" s="401">
        <v>0</v>
      </c>
      <c r="AS130" s="401">
        <v>0</v>
      </c>
      <c r="AT130" s="401">
        <v>0</v>
      </c>
      <c r="AU130" s="401">
        <v>0</v>
      </c>
      <c r="AV130" s="727">
        <v>0</v>
      </c>
      <c r="AW130" s="246"/>
      <c r="AX130" s="713">
        <f t="shared" si="68"/>
        <v>0</v>
      </c>
      <c r="AY130" s="714">
        <v>0</v>
      </c>
      <c r="AZ130" s="715"/>
      <c r="BA130" s="716">
        <v>0</v>
      </c>
      <c r="BB130" s="727"/>
      <c r="BC130" s="712">
        <v>0</v>
      </c>
      <c r="BD130" s="712">
        <v>0</v>
      </c>
      <c r="BE130" s="712"/>
      <c r="BF130" s="712"/>
      <c r="BG130" s="712">
        <v>0</v>
      </c>
      <c r="BH130" s="712">
        <v>0</v>
      </c>
      <c r="BI130" s="134">
        <f>BC130+BD130+BE130+BG130+BH130</f>
        <v>0</v>
      </c>
      <c r="BJ130" s="123"/>
      <c r="BK130" s="792"/>
      <c r="BL130" s="104"/>
      <c r="BM130" s="672"/>
      <c r="BO130" s="562"/>
      <c r="BS130" s="879"/>
      <c r="BT130" s="774"/>
      <c r="BU130" s="774">
        <v>0</v>
      </c>
      <c r="BV130" s="774">
        <v>0</v>
      </c>
      <c r="BW130" s="774">
        <f t="shared" si="69"/>
        <v>0</v>
      </c>
    </row>
    <row r="131" spans="1:75" ht="15" thickBot="1" x14ac:dyDescent="0.35">
      <c r="A131" s="250" t="s">
        <v>361</v>
      </c>
      <c r="B131" s="227">
        <v>9</v>
      </c>
      <c r="C131" s="39">
        <f>'[3]побудинковий звіт'!E131</f>
        <v>3815</v>
      </c>
      <c r="D131" s="205">
        <f t="shared" si="44"/>
        <v>815.04198156228574</v>
      </c>
      <c r="E131" s="104">
        <f t="shared" si="45"/>
        <v>179.30938568639417</v>
      </c>
      <c r="F131" s="104">
        <f t="shared" si="46"/>
        <v>127.90938946953817</v>
      </c>
      <c r="G131" s="104">
        <f t="shared" si="47"/>
        <v>0</v>
      </c>
      <c r="H131" s="104">
        <f t="shared" si="48"/>
        <v>680.94694947244807</v>
      </c>
      <c r="I131" s="104">
        <f t="shared" si="49"/>
        <v>232.09597534348592</v>
      </c>
      <c r="J131" s="672">
        <f t="shared" si="37"/>
        <v>0</v>
      </c>
      <c r="K131" s="139">
        <f t="shared" si="50"/>
        <v>2035.303681534152</v>
      </c>
      <c r="L131" s="138">
        <f t="shared" si="38"/>
        <v>1382.7658716262197</v>
      </c>
      <c r="M131" s="104">
        <f t="shared" si="39"/>
        <v>304.20705991768347</v>
      </c>
      <c r="N131" s="29">
        <f t="shared" si="51"/>
        <v>78.237974916617091</v>
      </c>
      <c r="O131" s="104">
        <f t="shared" si="40"/>
        <v>6.8681804434990523</v>
      </c>
      <c r="P131" s="104">
        <f t="shared" si="52"/>
        <v>1155.2658923330914</v>
      </c>
      <c r="Q131" s="104">
        <f t="shared" si="53"/>
        <v>376.78687030358844</v>
      </c>
      <c r="R131" s="140">
        <f t="shared" si="54"/>
        <v>3304.131849540699</v>
      </c>
      <c r="S131" s="138">
        <f t="shared" si="55"/>
        <v>100.87</v>
      </c>
      <c r="T131" s="104">
        <f t="shared" si="41"/>
        <v>12.983263632094282</v>
      </c>
      <c r="U131" s="139">
        <f t="shared" si="56"/>
        <v>113.85326363209428</v>
      </c>
      <c r="V131" s="104"/>
      <c r="W131" s="104">
        <f t="shared" si="57"/>
        <v>0</v>
      </c>
      <c r="X131" s="139">
        <f t="shared" si="58"/>
        <v>0</v>
      </c>
      <c r="Y131" s="138">
        <v>1120.33</v>
      </c>
      <c r="Z131" s="141">
        <v>0</v>
      </c>
      <c r="AA131" s="104">
        <f t="shared" si="42"/>
        <v>144.20085005397229</v>
      </c>
      <c r="AB131" s="139">
        <f t="shared" si="43"/>
        <v>1264.5308500539722</v>
      </c>
      <c r="AC131" s="138">
        <v>0</v>
      </c>
      <c r="AD131" s="104">
        <f t="shared" si="59"/>
        <v>0</v>
      </c>
      <c r="AE131" s="139">
        <f t="shared" si="60"/>
        <v>0</v>
      </c>
      <c r="AF131" s="142">
        <v>37.4</v>
      </c>
      <c r="AG131" s="104">
        <f t="shared" si="61"/>
        <v>4.8138600162617831</v>
      </c>
      <c r="AH131" s="139">
        <f t="shared" si="62"/>
        <v>42.213860016261783</v>
      </c>
      <c r="AI131" s="142">
        <v>1115.4000000000001</v>
      </c>
      <c r="AJ131" s="104">
        <f t="shared" si="63"/>
        <v>143.56629577910144</v>
      </c>
      <c r="AK131" s="139">
        <f t="shared" si="64"/>
        <v>1258.9662957791015</v>
      </c>
      <c r="AL131" s="143"/>
      <c r="AM131" s="391"/>
      <c r="AN131" s="104">
        <f>AL131*$C$5</f>
        <v>0</v>
      </c>
      <c r="AO131" s="148">
        <f t="shared" si="66"/>
        <v>0</v>
      </c>
      <c r="AP131" s="272">
        <f t="shared" si="67"/>
        <v>1034.8632059741319</v>
      </c>
      <c r="AQ131" s="669">
        <v>311.62</v>
      </c>
      <c r="AR131" s="401">
        <v>418.78026237232785</v>
      </c>
      <c r="AS131" s="401">
        <v>598.90651932628282</v>
      </c>
      <c r="AT131" s="401">
        <v>17.176424275521242</v>
      </c>
      <c r="AU131" s="401">
        <v>661.02197329402134</v>
      </c>
      <c r="AV131" s="727">
        <v>21.805086484750518</v>
      </c>
      <c r="AW131" s="246"/>
      <c r="AX131" s="713">
        <f t="shared" si="68"/>
        <v>127.90938946953817</v>
      </c>
      <c r="AY131" s="714">
        <v>74.300916093087679</v>
      </c>
      <c r="AZ131" s="715"/>
      <c r="BA131" s="716">
        <v>3.9370588235294122</v>
      </c>
      <c r="BB131" s="727"/>
      <c r="BC131" s="712">
        <v>26.362500000000001</v>
      </c>
      <c r="BD131" s="712">
        <v>101.54688946953817</v>
      </c>
      <c r="BE131" s="712"/>
      <c r="BF131" s="712"/>
      <c r="BG131" s="712">
        <v>0</v>
      </c>
      <c r="BH131" s="712">
        <v>38.04296875</v>
      </c>
      <c r="BI131" s="134">
        <f>BC131+BD131+BE131+BG131</f>
        <v>127.90938946953817</v>
      </c>
      <c r="BJ131" s="123">
        <v>458.5</v>
      </c>
      <c r="BK131" s="792"/>
      <c r="BL131" s="104"/>
      <c r="BM131" s="672"/>
      <c r="BO131" s="562"/>
      <c r="BS131" s="879"/>
      <c r="BT131" s="774"/>
      <c r="BU131" s="774">
        <v>565.56120095584026</v>
      </c>
      <c r="BV131" s="774">
        <v>0</v>
      </c>
      <c r="BW131" s="774">
        <f t="shared" si="69"/>
        <v>565.56120095584026</v>
      </c>
    </row>
    <row r="132" spans="1:75" ht="15" thickBot="1" x14ac:dyDescent="0.35">
      <c r="A132" s="210" t="s">
        <v>97</v>
      </c>
      <c r="B132" s="228">
        <v>1</v>
      </c>
      <c r="C132" s="39">
        <f>'[3]побудинковий звіт'!E132</f>
        <v>214.9</v>
      </c>
      <c r="D132" s="205">
        <f t="shared" si="44"/>
        <v>0</v>
      </c>
      <c r="E132" s="104">
        <f t="shared" si="45"/>
        <v>0</v>
      </c>
      <c r="F132" s="104">
        <f t="shared" si="46"/>
        <v>0</v>
      </c>
      <c r="G132" s="104">
        <f t="shared" si="47"/>
        <v>0</v>
      </c>
      <c r="H132" s="104">
        <f t="shared" si="48"/>
        <v>0</v>
      </c>
      <c r="I132" s="104">
        <f t="shared" si="49"/>
        <v>0</v>
      </c>
      <c r="J132" s="672">
        <f t="shared" si="37"/>
        <v>0</v>
      </c>
      <c r="K132" s="139">
        <f t="shared" si="50"/>
        <v>0</v>
      </c>
      <c r="L132" s="138">
        <f t="shared" si="38"/>
        <v>0</v>
      </c>
      <c r="M132" s="104">
        <f t="shared" si="39"/>
        <v>0</v>
      </c>
      <c r="N132" s="29">
        <f t="shared" si="51"/>
        <v>0</v>
      </c>
      <c r="O132" s="104">
        <f t="shared" si="40"/>
        <v>0.38688649470719433</v>
      </c>
      <c r="P132" s="104">
        <f t="shared" si="52"/>
        <v>0</v>
      </c>
      <c r="Q132" s="104">
        <f t="shared" si="53"/>
        <v>4.9797257425204244E-2</v>
      </c>
      <c r="R132" s="140">
        <f t="shared" si="54"/>
        <v>0.43668375213239857</v>
      </c>
      <c r="S132" s="138">
        <f t="shared" si="55"/>
        <v>0</v>
      </c>
      <c r="T132" s="104">
        <f t="shared" si="41"/>
        <v>0</v>
      </c>
      <c r="U132" s="139">
        <f t="shared" si="56"/>
        <v>0</v>
      </c>
      <c r="V132" s="104"/>
      <c r="W132" s="104">
        <f t="shared" si="57"/>
        <v>0</v>
      </c>
      <c r="X132" s="139">
        <f t="shared" si="58"/>
        <v>0</v>
      </c>
      <c r="Y132" s="138">
        <v>0</v>
      </c>
      <c r="Z132" s="141">
        <v>0</v>
      </c>
      <c r="AA132" s="104">
        <f t="shared" si="42"/>
        <v>0</v>
      </c>
      <c r="AB132" s="139">
        <f t="shared" si="43"/>
        <v>0</v>
      </c>
      <c r="AC132" s="138">
        <v>0</v>
      </c>
      <c r="AD132" s="104">
        <f t="shared" si="59"/>
        <v>0</v>
      </c>
      <c r="AE132" s="139">
        <f t="shared" si="60"/>
        <v>0</v>
      </c>
      <c r="AF132" s="142">
        <v>0</v>
      </c>
      <c r="AG132" s="104">
        <f t="shared" si="61"/>
        <v>0</v>
      </c>
      <c r="AH132" s="139">
        <f t="shared" si="62"/>
        <v>0</v>
      </c>
      <c r="AI132" s="142">
        <v>0</v>
      </c>
      <c r="AJ132" s="104">
        <f t="shared" si="63"/>
        <v>0</v>
      </c>
      <c r="AK132" s="139">
        <f t="shared" si="64"/>
        <v>0</v>
      </c>
      <c r="AL132" s="143"/>
      <c r="AM132" s="391"/>
      <c r="AN132" s="104">
        <f t="shared" si="65"/>
        <v>0</v>
      </c>
      <c r="AO132" s="148">
        <f t="shared" si="66"/>
        <v>0</v>
      </c>
      <c r="AP132" s="272">
        <f t="shared" si="67"/>
        <v>0</v>
      </c>
      <c r="AQ132" s="669">
        <v>0</v>
      </c>
      <c r="AR132" s="401">
        <v>0</v>
      </c>
      <c r="AS132" s="401">
        <v>0</v>
      </c>
      <c r="AT132" s="401">
        <v>0</v>
      </c>
      <c r="AU132" s="401">
        <v>0</v>
      </c>
      <c r="AV132" s="727">
        <v>0</v>
      </c>
      <c r="AW132" s="246"/>
      <c r="AX132" s="713">
        <f t="shared" si="68"/>
        <v>0</v>
      </c>
      <c r="AY132" s="714">
        <v>0</v>
      </c>
      <c r="AZ132" s="715"/>
      <c r="BA132" s="716">
        <v>0</v>
      </c>
      <c r="BB132" s="727"/>
      <c r="BC132" s="712">
        <v>0</v>
      </c>
      <c r="BD132" s="712">
        <v>0</v>
      </c>
      <c r="BE132" s="712"/>
      <c r="BF132" s="712"/>
      <c r="BG132" s="712">
        <v>0</v>
      </c>
      <c r="BH132" s="712">
        <v>0</v>
      </c>
      <c r="BI132" s="134">
        <f>BC132+BD132+BE132+BG132+BH132</f>
        <v>0</v>
      </c>
      <c r="BJ132" s="123"/>
      <c r="BK132" s="792"/>
      <c r="BL132" s="104"/>
      <c r="BM132" s="672"/>
      <c r="BO132" s="562"/>
      <c r="BS132" s="879"/>
      <c r="BT132" s="774"/>
      <c r="BU132" s="774">
        <v>0</v>
      </c>
      <c r="BV132" s="774">
        <v>0</v>
      </c>
      <c r="BW132" s="774">
        <f t="shared" si="69"/>
        <v>0</v>
      </c>
    </row>
    <row r="133" spans="1:75" ht="15" thickBot="1" x14ac:dyDescent="0.35">
      <c r="A133" s="210" t="s">
        <v>98</v>
      </c>
      <c r="B133" s="228">
        <v>1</v>
      </c>
      <c r="C133" s="39">
        <f>'[3]побудинковий звіт'!E133</f>
        <v>181.38</v>
      </c>
      <c r="D133" s="205">
        <f t="shared" si="44"/>
        <v>0</v>
      </c>
      <c r="E133" s="104">
        <f t="shared" si="45"/>
        <v>0</v>
      </c>
      <c r="F133" s="104">
        <f t="shared" si="46"/>
        <v>0</v>
      </c>
      <c r="G133" s="104">
        <f t="shared" si="47"/>
        <v>0</v>
      </c>
      <c r="H133" s="104">
        <f t="shared" si="48"/>
        <v>0</v>
      </c>
      <c r="I133" s="104">
        <f t="shared" si="49"/>
        <v>0</v>
      </c>
      <c r="J133" s="672">
        <f t="shared" si="37"/>
        <v>0</v>
      </c>
      <c r="K133" s="139">
        <f t="shared" si="50"/>
        <v>0</v>
      </c>
      <c r="L133" s="138">
        <f t="shared" si="38"/>
        <v>0</v>
      </c>
      <c r="M133" s="104">
        <f t="shared" si="39"/>
        <v>0</v>
      </c>
      <c r="N133" s="29">
        <f t="shared" si="51"/>
        <v>0</v>
      </c>
      <c r="O133" s="104">
        <f t="shared" si="40"/>
        <v>0.32654012289432716</v>
      </c>
      <c r="P133" s="104">
        <f t="shared" si="52"/>
        <v>0</v>
      </c>
      <c r="Q133" s="104">
        <f t="shared" si="53"/>
        <v>4.202990484775964E-2</v>
      </c>
      <c r="R133" s="140">
        <f t="shared" si="54"/>
        <v>0.3685700277420868</v>
      </c>
      <c r="S133" s="138">
        <f t="shared" si="55"/>
        <v>0</v>
      </c>
      <c r="T133" s="104">
        <f t="shared" si="41"/>
        <v>0</v>
      </c>
      <c r="U133" s="139">
        <f t="shared" si="56"/>
        <v>0</v>
      </c>
      <c r="V133" s="104"/>
      <c r="W133" s="104">
        <f t="shared" si="57"/>
        <v>0</v>
      </c>
      <c r="X133" s="139">
        <f t="shared" si="58"/>
        <v>0</v>
      </c>
      <c r="Y133" s="138">
        <v>0</v>
      </c>
      <c r="Z133" s="141">
        <v>0</v>
      </c>
      <c r="AA133" s="104">
        <f t="shared" si="42"/>
        <v>0</v>
      </c>
      <c r="AB133" s="139">
        <f t="shared" si="43"/>
        <v>0</v>
      </c>
      <c r="AC133" s="138">
        <v>0</v>
      </c>
      <c r="AD133" s="104">
        <f t="shared" si="59"/>
        <v>0</v>
      </c>
      <c r="AE133" s="139">
        <f t="shared" si="60"/>
        <v>0</v>
      </c>
      <c r="AF133" s="142">
        <v>0</v>
      </c>
      <c r="AG133" s="104">
        <f t="shared" si="61"/>
        <v>0</v>
      </c>
      <c r="AH133" s="139">
        <f t="shared" si="62"/>
        <v>0</v>
      </c>
      <c r="AI133" s="142">
        <v>0</v>
      </c>
      <c r="AJ133" s="104">
        <f t="shared" si="63"/>
        <v>0</v>
      </c>
      <c r="AK133" s="139">
        <f t="shared" si="64"/>
        <v>0</v>
      </c>
      <c r="AL133" s="143"/>
      <c r="AM133" s="143"/>
      <c r="AN133" s="104">
        <f t="shared" si="65"/>
        <v>0</v>
      </c>
      <c r="AO133" s="148">
        <f t="shared" si="66"/>
        <v>0</v>
      </c>
      <c r="AP133" s="272">
        <f t="shared" si="67"/>
        <v>0</v>
      </c>
      <c r="AQ133" s="669">
        <v>0</v>
      </c>
      <c r="AR133" s="401">
        <v>0</v>
      </c>
      <c r="AS133" s="401">
        <v>0</v>
      </c>
      <c r="AT133" s="401">
        <v>0</v>
      </c>
      <c r="AU133" s="401">
        <v>0</v>
      </c>
      <c r="AV133" s="727">
        <v>0</v>
      </c>
      <c r="AW133" s="246"/>
      <c r="AX133" s="713">
        <f t="shared" si="68"/>
        <v>0</v>
      </c>
      <c r="AY133" s="714">
        <v>0</v>
      </c>
      <c r="AZ133" s="715"/>
      <c r="BA133" s="716">
        <v>0</v>
      </c>
      <c r="BB133" s="727"/>
      <c r="BC133" s="712">
        <v>0</v>
      </c>
      <c r="BD133" s="712">
        <v>0</v>
      </c>
      <c r="BE133" s="712"/>
      <c r="BF133" s="712"/>
      <c r="BG133" s="712">
        <v>0</v>
      </c>
      <c r="BH133" s="712">
        <v>0</v>
      </c>
      <c r="BI133" s="134">
        <f>BC133+BD133+BE133+BG133+BH133</f>
        <v>0</v>
      </c>
      <c r="BJ133" s="123"/>
      <c r="BK133" s="792"/>
      <c r="BL133" s="104"/>
      <c r="BM133" s="672"/>
      <c r="BO133" s="562"/>
      <c r="BS133" s="879"/>
      <c r="BT133" s="774"/>
      <c r="BU133" s="774">
        <v>0</v>
      </c>
      <c r="BV133" s="774">
        <v>0</v>
      </c>
      <c r="BW133" s="774">
        <f t="shared" si="69"/>
        <v>0</v>
      </c>
    </row>
    <row r="134" spans="1:75" ht="15" thickBot="1" x14ac:dyDescent="0.35">
      <c r="A134" s="209" t="s">
        <v>211</v>
      </c>
      <c r="B134" s="227">
        <v>4</v>
      </c>
      <c r="C134" s="39">
        <f>'[3]побудинковий звіт'!E134</f>
        <v>1485.1</v>
      </c>
      <c r="D134" s="205">
        <f t="shared" si="44"/>
        <v>1622.1834726885004</v>
      </c>
      <c r="E134" s="104">
        <f t="shared" si="45"/>
        <v>356.88066202534378</v>
      </c>
      <c r="F134" s="104">
        <f t="shared" si="46"/>
        <v>45.421960073135843</v>
      </c>
      <c r="G134" s="104">
        <f t="shared" si="47"/>
        <v>0</v>
      </c>
      <c r="H134" s="104">
        <f t="shared" si="48"/>
        <v>1355.2932391218687</v>
      </c>
      <c r="I134" s="104">
        <f t="shared" si="49"/>
        <v>435.02097859068687</v>
      </c>
      <c r="J134" s="672">
        <f t="shared" si="37"/>
        <v>0</v>
      </c>
      <c r="K134" s="139">
        <f t="shared" si="50"/>
        <v>3814.8003124995353</v>
      </c>
      <c r="L134" s="138">
        <f t="shared" si="38"/>
        <v>385.55018667635687</v>
      </c>
      <c r="M134" s="104">
        <f t="shared" si="39"/>
        <v>84.820641835476849</v>
      </c>
      <c r="N134" s="29">
        <f t="shared" si="51"/>
        <v>30.518631411385396</v>
      </c>
      <c r="O134" s="104">
        <f t="shared" si="40"/>
        <v>2.6736395220551619</v>
      </c>
      <c r="P134" s="104">
        <f t="shared" si="52"/>
        <v>322.11742391791728</v>
      </c>
      <c r="Q134" s="104">
        <f t="shared" si="53"/>
        <v>106.27568068513827</v>
      </c>
      <c r="R134" s="140">
        <f t="shared" si="54"/>
        <v>931.95620404832982</v>
      </c>
      <c r="S134" s="138">
        <f t="shared" si="55"/>
        <v>44.22</v>
      </c>
      <c r="T134" s="104">
        <f t="shared" si="41"/>
        <v>5.6916815486389316</v>
      </c>
      <c r="U134" s="139">
        <f t="shared" si="56"/>
        <v>49.911681548638931</v>
      </c>
      <c r="V134" s="104"/>
      <c r="W134" s="104">
        <f t="shared" si="57"/>
        <v>0</v>
      </c>
      <c r="X134" s="139">
        <f t="shared" si="58"/>
        <v>0</v>
      </c>
      <c r="Y134" s="138">
        <v>0</v>
      </c>
      <c r="Z134" s="141">
        <v>0</v>
      </c>
      <c r="AA134" s="104">
        <f t="shared" si="42"/>
        <v>0</v>
      </c>
      <c r="AB134" s="139">
        <f t="shared" si="43"/>
        <v>0</v>
      </c>
      <c r="AC134" s="138">
        <v>0</v>
      </c>
      <c r="AD134" s="104">
        <f t="shared" si="59"/>
        <v>0</v>
      </c>
      <c r="AE134" s="139">
        <f t="shared" si="60"/>
        <v>0</v>
      </c>
      <c r="AF134" s="142">
        <v>279.39999999999998</v>
      </c>
      <c r="AG134" s="104">
        <f t="shared" si="61"/>
        <v>35.962366003838028</v>
      </c>
      <c r="AH134" s="139">
        <f t="shared" si="62"/>
        <v>315.36236600383802</v>
      </c>
      <c r="AI134" s="142">
        <v>0</v>
      </c>
      <c r="AJ134" s="104">
        <f t="shared" si="63"/>
        <v>0</v>
      </c>
      <c r="AK134" s="139">
        <f t="shared" si="64"/>
        <v>0</v>
      </c>
      <c r="AL134" s="143">
        <v>382.5</v>
      </c>
      <c r="AM134" s="143"/>
      <c r="AN134" s="104">
        <f t="shared" si="65"/>
        <v>49.232659257222785</v>
      </c>
      <c r="AO134" s="148">
        <f t="shared" si="66"/>
        <v>431.73265925722279</v>
      </c>
      <c r="AP134" s="272">
        <f t="shared" si="67"/>
        <v>1667.8285383406553</v>
      </c>
      <c r="AQ134" s="669">
        <v>185.38</v>
      </c>
      <c r="AR134" s="725">
        <v>1311.7393050018261</v>
      </c>
      <c r="AS134" s="725">
        <v>348.9030490116528</v>
      </c>
      <c r="AT134" s="725">
        <v>7.1861843271766066</v>
      </c>
      <c r="AU134" s="401">
        <v>0</v>
      </c>
      <c r="AV134" s="786"/>
      <c r="AW134" s="246"/>
      <c r="AX134" s="713">
        <f t="shared" si="68"/>
        <v>45.421960073135843</v>
      </c>
      <c r="AY134" s="714">
        <v>30.518631411385396</v>
      </c>
      <c r="AZ134" s="715"/>
      <c r="BA134" s="716">
        <v>0</v>
      </c>
      <c r="BC134" s="712">
        <v>0</v>
      </c>
      <c r="BD134" s="712">
        <v>45.421960073135843</v>
      </c>
      <c r="BE134" s="712"/>
      <c r="BF134" s="712"/>
      <c r="BG134" s="712">
        <v>0</v>
      </c>
      <c r="BH134" s="712">
        <v>0</v>
      </c>
      <c r="BI134" s="134">
        <f t="shared" ref="BI134:BI140" si="71">BC134+BD134+BE134+BG134</f>
        <v>45.421960073135843</v>
      </c>
      <c r="BJ134" s="123">
        <v>201</v>
      </c>
      <c r="BK134" s="792"/>
      <c r="BL134" s="104"/>
      <c r="BM134" s="672"/>
      <c r="BO134" s="562"/>
      <c r="BS134" s="879"/>
      <c r="BT134" s="774"/>
      <c r="BU134" s="774">
        <v>1283.2355226158788</v>
      </c>
      <c r="BV134" s="774">
        <v>0</v>
      </c>
      <c r="BW134" s="774">
        <f t="shared" si="69"/>
        <v>1283.2355226158788</v>
      </c>
    </row>
    <row r="135" spans="1:75" ht="15" thickBot="1" x14ac:dyDescent="0.35">
      <c r="A135" s="209" t="s">
        <v>362</v>
      </c>
      <c r="B135" s="227">
        <v>9</v>
      </c>
      <c r="C135" s="39">
        <f>'[3]побудинковий звіт'!E135</f>
        <v>4024.2</v>
      </c>
      <c r="D135" s="205">
        <f t="shared" si="44"/>
        <v>2431.263149782756</v>
      </c>
      <c r="E135" s="104">
        <f t="shared" si="45"/>
        <v>534.87833963335345</v>
      </c>
      <c r="F135" s="104">
        <f t="shared" si="46"/>
        <v>115.67310457150656</v>
      </c>
      <c r="G135" s="104">
        <f t="shared" si="47"/>
        <v>0</v>
      </c>
      <c r="H135" s="104">
        <f t="shared" si="48"/>
        <v>2031.2588340982591</v>
      </c>
      <c r="I135" s="104">
        <f t="shared" si="49"/>
        <v>658.11817475061935</v>
      </c>
      <c r="J135" s="672">
        <f t="shared" si="37"/>
        <v>0</v>
      </c>
      <c r="K135" s="139">
        <f t="shared" si="50"/>
        <v>5771.191602836494</v>
      </c>
      <c r="L135" s="138">
        <f t="shared" si="38"/>
        <v>2210.8941760507037</v>
      </c>
      <c r="M135" s="104">
        <f t="shared" si="39"/>
        <v>486.39442937258036</v>
      </c>
      <c r="N135" s="29">
        <f t="shared" si="51"/>
        <v>66.164498195363535</v>
      </c>
      <c r="O135" s="104">
        <f t="shared" si="40"/>
        <v>7.2448051745029849</v>
      </c>
      <c r="P135" s="104">
        <f t="shared" si="52"/>
        <v>1847.1461333836548</v>
      </c>
      <c r="Q135" s="104">
        <f t="shared" si="53"/>
        <v>594.37579668362605</v>
      </c>
      <c r="R135" s="140">
        <f t="shared" si="54"/>
        <v>5212.219838860432</v>
      </c>
      <c r="S135" s="138">
        <f t="shared" si="55"/>
        <v>84.326000000000008</v>
      </c>
      <c r="T135" s="104">
        <f t="shared" si="41"/>
        <v>10.85383849548907</v>
      </c>
      <c r="U135" s="139">
        <f t="shared" si="56"/>
        <v>95.179838495489079</v>
      </c>
      <c r="V135" s="104"/>
      <c r="W135" s="104">
        <f t="shared" si="57"/>
        <v>0</v>
      </c>
      <c r="X135" s="139">
        <f t="shared" si="58"/>
        <v>0</v>
      </c>
      <c r="Y135" s="138">
        <v>3102.43</v>
      </c>
      <c r="Z135" s="141">
        <v>0</v>
      </c>
      <c r="AA135" s="104">
        <f t="shared" si="42"/>
        <v>399.32255963238083</v>
      </c>
      <c r="AB135" s="139">
        <f t="shared" si="43"/>
        <v>3501.7525596323808</v>
      </c>
      <c r="AC135" s="138">
        <v>0</v>
      </c>
      <c r="AD135" s="104">
        <f t="shared" si="59"/>
        <v>0</v>
      </c>
      <c r="AE135" s="139">
        <f t="shared" si="60"/>
        <v>0</v>
      </c>
      <c r="AF135" s="142">
        <v>827.2</v>
      </c>
      <c r="AG135" s="104">
        <f t="shared" si="61"/>
        <v>106.47125683026063</v>
      </c>
      <c r="AH135" s="139">
        <f t="shared" si="62"/>
        <v>933.67125683026063</v>
      </c>
      <c r="AI135" s="142">
        <v>569.79999999999995</v>
      </c>
      <c r="AJ135" s="104">
        <f t="shared" si="63"/>
        <v>73.340573188929511</v>
      </c>
      <c r="AK135" s="139">
        <f t="shared" si="64"/>
        <v>643.14057318892947</v>
      </c>
      <c r="AL135" s="143">
        <v>2677.5</v>
      </c>
      <c r="AM135" s="143"/>
      <c r="AN135" s="104">
        <f t="shared" si="65"/>
        <v>344.62861480055949</v>
      </c>
      <c r="AO135" s="148">
        <f t="shared" si="66"/>
        <v>3022.1286148005593</v>
      </c>
      <c r="AP135" s="272">
        <f t="shared" si="67"/>
        <v>4285.7756734735995</v>
      </c>
      <c r="AQ135" s="669">
        <v>0</v>
      </c>
      <c r="AR135" s="726">
        <v>2243.8220203580263</v>
      </c>
      <c r="AS135" s="726">
        <v>2007.3823454285791</v>
      </c>
      <c r="AT135" s="726">
        <v>34.57130768699389</v>
      </c>
      <c r="AU135" s="401">
        <v>0</v>
      </c>
      <c r="AV135" s="786"/>
      <c r="AW135" s="246"/>
      <c r="AX135" s="713">
        <f t="shared" si="68"/>
        <v>115.67310457150656</v>
      </c>
      <c r="AY135" s="714">
        <v>66.164498195363535</v>
      </c>
      <c r="AZ135" s="715"/>
      <c r="BA135" s="716">
        <v>0</v>
      </c>
      <c r="BC135" s="712">
        <v>0</v>
      </c>
      <c r="BD135" s="712">
        <v>115.67310457150656</v>
      </c>
      <c r="BE135" s="712"/>
      <c r="BF135" s="712"/>
      <c r="BG135" s="712">
        <v>0</v>
      </c>
      <c r="BH135" s="712">
        <v>5.7619651878277116</v>
      </c>
      <c r="BI135" s="134">
        <f t="shared" si="71"/>
        <v>115.67310457150656</v>
      </c>
      <c r="BJ135" s="123">
        <v>383.3</v>
      </c>
      <c r="BK135" s="792"/>
      <c r="BL135" s="104"/>
      <c r="BM135" s="672"/>
      <c r="BO135" s="562"/>
      <c r="BS135" s="879"/>
      <c r="BT135" s="774"/>
      <c r="BU135" s="774">
        <v>2178.7282945459742</v>
      </c>
      <c r="BV135" s="774">
        <v>0</v>
      </c>
      <c r="BW135" s="774">
        <f t="shared" si="69"/>
        <v>2178.7282945459742</v>
      </c>
    </row>
    <row r="136" spans="1:75" ht="15" thickBot="1" x14ac:dyDescent="0.35">
      <c r="A136" s="209" t="s">
        <v>212</v>
      </c>
      <c r="B136" s="227">
        <v>4</v>
      </c>
      <c r="C136" s="39">
        <f>'[3]побудинковий звіт'!E136</f>
        <v>1485</v>
      </c>
      <c r="D136" s="205">
        <f t="shared" si="44"/>
        <v>756.90734880997593</v>
      </c>
      <c r="E136" s="104">
        <f t="shared" si="45"/>
        <v>166.51975580016457</v>
      </c>
      <c r="F136" s="104">
        <f t="shared" si="46"/>
        <v>45.39444273060365</v>
      </c>
      <c r="G136" s="104">
        <f t="shared" si="47"/>
        <v>0</v>
      </c>
      <c r="H136" s="104">
        <f t="shared" si="48"/>
        <v>632.37693501073136</v>
      </c>
      <c r="I136" s="104">
        <f t="shared" si="49"/>
        <v>206.09479551579722</v>
      </c>
      <c r="J136" s="672">
        <f t="shared" si="37"/>
        <v>0</v>
      </c>
      <c r="K136" s="139">
        <f t="shared" si="50"/>
        <v>1807.2932778672725</v>
      </c>
      <c r="L136" s="138">
        <f t="shared" si="38"/>
        <v>322.6956004804324</v>
      </c>
      <c r="M136" s="104">
        <f t="shared" si="39"/>
        <v>70.992697957662216</v>
      </c>
      <c r="N136" s="29">
        <f t="shared" si="51"/>
        <v>30.500142741305794</v>
      </c>
      <c r="O136" s="104">
        <f t="shared" si="40"/>
        <v>2.6734594911129994</v>
      </c>
      <c r="P136" s="104">
        <f t="shared" si="52"/>
        <v>269.604007801085</v>
      </c>
      <c r="Q136" s="104">
        <f t="shared" si="53"/>
        <v>89.644101323017836</v>
      </c>
      <c r="R136" s="140">
        <f t="shared" si="54"/>
        <v>786.1100097946163</v>
      </c>
      <c r="S136" s="138">
        <f t="shared" si="55"/>
        <v>46.199999999999996</v>
      </c>
      <c r="T136" s="104">
        <f t="shared" si="41"/>
        <v>5.9465329612645554</v>
      </c>
      <c r="U136" s="139">
        <f t="shared" si="56"/>
        <v>52.146532961264555</v>
      </c>
      <c r="V136" s="104"/>
      <c r="W136" s="104">
        <f t="shared" si="57"/>
        <v>0</v>
      </c>
      <c r="X136" s="139">
        <f t="shared" si="58"/>
        <v>0</v>
      </c>
      <c r="Y136" s="138">
        <v>0</v>
      </c>
      <c r="Z136" s="141">
        <v>0</v>
      </c>
      <c r="AA136" s="104">
        <f t="shared" si="42"/>
        <v>0</v>
      </c>
      <c r="AB136" s="139">
        <f t="shared" si="43"/>
        <v>0</v>
      </c>
      <c r="AC136" s="138">
        <v>0</v>
      </c>
      <c r="AD136" s="104">
        <f t="shared" si="59"/>
        <v>0</v>
      </c>
      <c r="AE136" s="139">
        <f t="shared" si="60"/>
        <v>0</v>
      </c>
      <c r="AF136" s="142">
        <v>48.4</v>
      </c>
      <c r="AG136" s="104">
        <f t="shared" si="61"/>
        <v>6.229701197515249</v>
      </c>
      <c r="AH136" s="139">
        <f t="shared" si="62"/>
        <v>54.629701197515246</v>
      </c>
      <c r="AI136" s="142">
        <v>0</v>
      </c>
      <c r="AJ136" s="104">
        <f t="shared" si="63"/>
        <v>0</v>
      </c>
      <c r="AK136" s="139">
        <f t="shared" si="64"/>
        <v>0</v>
      </c>
      <c r="AL136" s="143">
        <v>255</v>
      </c>
      <c r="AM136" s="143"/>
      <c r="AN136" s="104">
        <f t="shared" si="65"/>
        <v>32.821772838148526</v>
      </c>
      <c r="AO136" s="148">
        <f t="shared" si="66"/>
        <v>287.82177283814855</v>
      </c>
      <c r="AP136" s="272">
        <f t="shared" si="67"/>
        <v>844.31021434918773</v>
      </c>
      <c r="AQ136" s="669">
        <v>152.28</v>
      </c>
      <c r="AR136" s="725">
        <v>546.27267488523159</v>
      </c>
      <c r="AS136" s="725">
        <v>290.53446791893816</v>
      </c>
      <c r="AT136" s="725">
        <v>7.5030715450179644</v>
      </c>
      <c r="AU136" s="401">
        <v>0</v>
      </c>
      <c r="AV136" s="786"/>
      <c r="AW136" s="246"/>
      <c r="AX136" s="713">
        <f t="shared" si="68"/>
        <v>45.39444273060365</v>
      </c>
      <c r="AY136" s="714">
        <v>30.500142741305794</v>
      </c>
      <c r="AZ136" s="715"/>
      <c r="BA136" s="716">
        <v>0</v>
      </c>
      <c r="BC136" s="712">
        <v>0</v>
      </c>
      <c r="BD136" s="712">
        <v>45.39444273060365</v>
      </c>
      <c r="BE136" s="712"/>
      <c r="BF136" s="712"/>
      <c r="BG136" s="712">
        <v>0</v>
      </c>
      <c r="BH136" s="712">
        <v>0</v>
      </c>
      <c r="BI136" s="134">
        <f t="shared" si="71"/>
        <v>45.39444273060365</v>
      </c>
      <c r="BJ136" s="123">
        <v>210</v>
      </c>
      <c r="BK136" s="792"/>
      <c r="BL136" s="104"/>
      <c r="BM136" s="672"/>
      <c r="BO136" s="562"/>
      <c r="BS136" s="879"/>
      <c r="BT136" s="774"/>
      <c r="BU136" s="774">
        <v>534.40128861263361</v>
      </c>
      <c r="BV136" s="774">
        <v>0</v>
      </c>
      <c r="BW136" s="774">
        <f t="shared" si="69"/>
        <v>534.40128861263361</v>
      </c>
    </row>
    <row r="137" spans="1:75" ht="15" thickBot="1" x14ac:dyDescent="0.35">
      <c r="A137" s="209" t="s">
        <v>164</v>
      </c>
      <c r="B137" s="227">
        <v>2</v>
      </c>
      <c r="C137" s="39">
        <f>'[3]побудинковий звіт'!E137</f>
        <v>744.59999999999991</v>
      </c>
      <c r="D137" s="205">
        <f t="shared" si="44"/>
        <v>638.58523540175656</v>
      </c>
      <c r="E137" s="104">
        <f t="shared" si="45"/>
        <v>140.4888691117562</v>
      </c>
      <c r="F137" s="104">
        <f t="shared" si="46"/>
        <v>23.444775837426338</v>
      </c>
      <c r="G137" s="104">
        <f t="shared" si="47"/>
        <v>0</v>
      </c>
      <c r="H137" s="104">
        <f t="shared" si="48"/>
        <v>533.5218036148982</v>
      </c>
      <c r="I137" s="104">
        <f t="shared" si="49"/>
        <v>171.96558365353451</v>
      </c>
      <c r="J137" s="672">
        <f t="shared" ref="J137:J200" si="72">F137*$J$376*-1</f>
        <v>0</v>
      </c>
      <c r="K137" s="139">
        <f t="shared" si="50"/>
        <v>1508.006267619372</v>
      </c>
      <c r="L137" s="138">
        <f t="shared" ref="L137:L200" si="73">(AS137+AT137+AU137)*$AS$376</f>
        <v>192.53732122462031</v>
      </c>
      <c r="M137" s="104">
        <f t="shared" ref="M137:M200" si="74">L137*$AS$379</f>
        <v>42.358011298966261</v>
      </c>
      <c r="N137" s="29">
        <f t="shared" si="51"/>
        <v>15.752346907815241</v>
      </c>
      <c r="O137" s="104">
        <f t="shared" ref="O137:O200" si="75">$O$369/$C$368*C137</f>
        <v>1.340510395341912</v>
      </c>
      <c r="P137" s="104">
        <f t="shared" si="52"/>
        <v>160.86005937533753</v>
      </c>
      <c r="Q137" s="104">
        <f t="shared" si="53"/>
        <v>53.138868438972722</v>
      </c>
      <c r="R137" s="140">
        <f t="shared" si="54"/>
        <v>465.987117641054</v>
      </c>
      <c r="S137" s="138">
        <f t="shared" si="55"/>
        <v>23.099999999999998</v>
      </c>
      <c r="T137" s="104">
        <f t="shared" ref="T137:T200" si="76">S137*$B$5</f>
        <v>2.9732664806322777</v>
      </c>
      <c r="U137" s="139">
        <f t="shared" si="56"/>
        <v>26.073266480632277</v>
      </c>
      <c r="V137" s="720"/>
      <c r="W137" s="104">
        <f t="shared" si="57"/>
        <v>0</v>
      </c>
      <c r="X137" s="139">
        <f t="shared" si="58"/>
        <v>0</v>
      </c>
      <c r="Y137" s="138">
        <v>0</v>
      </c>
      <c r="Z137" s="141">
        <v>0</v>
      </c>
      <c r="AA137" s="104">
        <f t="shared" ref="AA137:AA200" si="77">(Y137+Z137)*$B$5</f>
        <v>0</v>
      </c>
      <c r="AB137" s="139">
        <f t="shared" ref="AB137:AB200" si="78">Y137+Z137+AA137</f>
        <v>0</v>
      </c>
      <c r="AC137" s="138">
        <v>0</v>
      </c>
      <c r="AD137" s="104">
        <f t="shared" si="59"/>
        <v>0</v>
      </c>
      <c r="AE137" s="139">
        <f t="shared" si="60"/>
        <v>0</v>
      </c>
      <c r="AF137" s="142">
        <v>24.2</v>
      </c>
      <c r="AG137" s="104">
        <f t="shared" si="61"/>
        <v>3.1148505987576245</v>
      </c>
      <c r="AH137" s="139">
        <f t="shared" si="62"/>
        <v>27.314850598757623</v>
      </c>
      <c r="AI137" s="142">
        <v>0</v>
      </c>
      <c r="AJ137" s="104">
        <f t="shared" si="63"/>
        <v>0</v>
      </c>
      <c r="AK137" s="139">
        <f t="shared" si="64"/>
        <v>0</v>
      </c>
      <c r="AL137" s="143">
        <v>637.5</v>
      </c>
      <c r="AM137" s="143"/>
      <c r="AN137" s="104">
        <f t="shared" si="65"/>
        <v>82.054432095371311</v>
      </c>
      <c r="AO137" s="148">
        <f t="shared" si="66"/>
        <v>719.55443209537134</v>
      </c>
      <c r="AP137" s="272">
        <f t="shared" si="67"/>
        <v>732.22775917203842</v>
      </c>
      <c r="AQ137" s="669">
        <v>34.950000000000003</v>
      </c>
      <c r="AR137" s="725">
        <v>554.40274579306993</v>
      </c>
      <c r="AS137" s="725">
        <v>177.82501337896852</v>
      </c>
      <c r="AT137" s="725">
        <v>0</v>
      </c>
      <c r="AU137" s="401">
        <v>0</v>
      </c>
      <c r="AV137" s="786"/>
      <c r="AW137" s="246"/>
      <c r="AX137" s="713">
        <f t="shared" si="68"/>
        <v>23.444775837426338</v>
      </c>
      <c r="AY137" s="714">
        <v>15.752346907815241</v>
      </c>
      <c r="AZ137" s="715"/>
      <c r="BA137" s="716">
        <v>0</v>
      </c>
      <c r="BC137" s="712">
        <v>0</v>
      </c>
      <c r="BD137" s="712">
        <v>23.444775837426338</v>
      </c>
      <c r="BE137" s="712"/>
      <c r="BF137" s="712"/>
      <c r="BG137" s="712">
        <v>0</v>
      </c>
      <c r="BH137" s="712">
        <v>0</v>
      </c>
      <c r="BI137" s="134">
        <f t="shared" si="71"/>
        <v>23.444775837426338</v>
      </c>
      <c r="BJ137" s="123">
        <v>105</v>
      </c>
      <c r="BK137" s="792"/>
      <c r="BL137" s="104"/>
      <c r="BM137" s="672"/>
      <c r="BO137" s="562"/>
      <c r="BS137" s="879"/>
      <c r="BT137" s="774"/>
      <c r="BU137" s="774">
        <v>544.12184214764898</v>
      </c>
      <c r="BV137" s="774">
        <v>0</v>
      </c>
      <c r="BW137" s="774">
        <f t="shared" si="69"/>
        <v>544.12184214764898</v>
      </c>
    </row>
    <row r="138" spans="1:75" ht="15" thickBot="1" x14ac:dyDescent="0.35">
      <c r="A138" s="209" t="s">
        <v>165</v>
      </c>
      <c r="B138" s="227">
        <v>2</v>
      </c>
      <c r="C138" s="39">
        <f>'[3]побудинковий звіт'!E138</f>
        <v>422.9</v>
      </c>
      <c r="D138" s="205">
        <f t="shared" ref="D138:D201" si="79">(AQ138+AR138+AV138)*$AR$376</f>
        <v>318.83157095324617</v>
      </c>
      <c r="E138" s="104">
        <f t="shared" ref="E138:E201" si="80">D138*$AR$379</f>
        <v>70.14300418669373</v>
      </c>
      <c r="F138" s="104">
        <f t="shared" ref="F138:F201" si="81">AX138*$F$375+BM138+BK138</f>
        <v>246.95009350762598</v>
      </c>
      <c r="G138" s="104">
        <f t="shared" ref="G138:G201" si="82">BL138</f>
        <v>0</v>
      </c>
      <c r="H138" s="104">
        <f t="shared" ref="H138:H201" si="83">D138*$B$4</f>
        <v>266.3757089174307</v>
      </c>
      <c r="I138" s="104">
        <f t="shared" ref="I138:I201" si="84">(D138+E138+F138+G138+H138)*$B$5</f>
        <v>116.13763931064298</v>
      </c>
      <c r="J138" s="672">
        <f t="shared" si="72"/>
        <v>0</v>
      </c>
      <c r="K138" s="139">
        <f t="shared" ref="K138:K201" si="85">D138+E138+F138+G138+H138+I138-J138</f>
        <v>1018.4380168756395</v>
      </c>
      <c r="L138" s="138">
        <f t="shared" si="73"/>
        <v>126.29531427948307</v>
      </c>
      <c r="M138" s="104">
        <f t="shared" si="74"/>
        <v>27.784838363964766</v>
      </c>
      <c r="N138" s="29">
        <f t="shared" ref="N138:N201" si="86">AY138+BA138</f>
        <v>8.6876206407343055</v>
      </c>
      <c r="O138" s="104">
        <f t="shared" si="75"/>
        <v>0.76135085440517669</v>
      </c>
      <c r="P138" s="104">
        <f t="shared" ref="P138:P201" si="87">L138*$B$4</f>
        <v>105.516538947394</v>
      </c>
      <c r="Q138" s="104">
        <f t="shared" ref="Q138:Q201" si="88">(L138+M138+N138+O138+P138)*$B$5</f>
        <v>34.629629948616163</v>
      </c>
      <c r="R138" s="140">
        <f t="shared" ref="R138:R201" si="89">SUM(L138:Q138)</f>
        <v>303.67529303459753</v>
      </c>
      <c r="S138" s="138">
        <f t="shared" ref="S138:S201" si="90">BJ138*2.64/12</f>
        <v>0</v>
      </c>
      <c r="T138" s="104">
        <f t="shared" si="76"/>
        <v>0</v>
      </c>
      <c r="U138" s="139">
        <f t="shared" ref="U138:U201" si="91">S138+T138</f>
        <v>0</v>
      </c>
      <c r="V138" s="104"/>
      <c r="W138" s="104">
        <f t="shared" ref="W138:W201" si="92">V138*$B$5</f>
        <v>0</v>
      </c>
      <c r="X138" s="139">
        <f t="shared" ref="X138:X201" si="93">V138+W138</f>
        <v>0</v>
      </c>
      <c r="Y138" s="138">
        <v>0</v>
      </c>
      <c r="Z138" s="141">
        <v>0</v>
      </c>
      <c r="AA138" s="104">
        <f t="shared" si="77"/>
        <v>0</v>
      </c>
      <c r="AB138" s="139">
        <f t="shared" si="78"/>
        <v>0</v>
      </c>
      <c r="AC138" s="138">
        <v>0</v>
      </c>
      <c r="AD138" s="104">
        <f t="shared" ref="AD138:AD201" si="94">AC138*$B$5</f>
        <v>0</v>
      </c>
      <c r="AE138" s="139">
        <f t="shared" ref="AE138:AE201" si="95">AC138+AD138</f>
        <v>0</v>
      </c>
      <c r="AF138" s="142">
        <v>68.2</v>
      </c>
      <c r="AG138" s="104">
        <f t="shared" ref="AG138:AG201" si="96">AF138*$B$5</f>
        <v>8.7782153237714873</v>
      </c>
      <c r="AH138" s="139">
        <f t="shared" ref="AH138:AH201" si="97">AF138+AG138</f>
        <v>76.978215323771494</v>
      </c>
      <c r="AI138" s="142">
        <v>0</v>
      </c>
      <c r="AJ138" s="104">
        <f t="shared" ref="AJ138:AJ201" si="98">AI138*$B$5</f>
        <v>0</v>
      </c>
      <c r="AK138" s="139">
        <f t="shared" ref="AK138:AK201" si="99">AI138+AJ138</f>
        <v>0</v>
      </c>
      <c r="AL138" s="143">
        <v>382.5</v>
      </c>
      <c r="AM138" s="143"/>
      <c r="AN138" s="104">
        <f t="shared" ref="AN138:AN201" si="100">AL138*$C$5</f>
        <v>49.232659257222785</v>
      </c>
      <c r="AO138" s="148">
        <f t="shared" ref="AO138:AO201" si="101">AL138+AM138+AN138</f>
        <v>431.73265925722279</v>
      </c>
      <c r="AP138" s="272">
        <f t="shared" ref="AP138:AP201" si="102">AR138+AS138+AT138</f>
        <v>392.53561201608011</v>
      </c>
      <c r="AQ138" s="669">
        <v>18.36</v>
      </c>
      <c r="AR138" s="725">
        <v>275.89087109725676</v>
      </c>
      <c r="AS138" s="725">
        <v>116.64474091882337</v>
      </c>
      <c r="AT138" s="725">
        <v>0</v>
      </c>
      <c r="AU138" s="401">
        <v>0</v>
      </c>
      <c r="AV138" s="786"/>
      <c r="AW138" s="246"/>
      <c r="AX138" s="713">
        <f t="shared" ref="AX138:AX201" si="103">BC138+BD138+BE138+BF138+BG138</f>
        <v>12.930093507625974</v>
      </c>
      <c r="AY138" s="714">
        <v>8.6876206407343055</v>
      </c>
      <c r="AZ138" s="715"/>
      <c r="BA138" s="716">
        <v>0</v>
      </c>
      <c r="BC138" s="712">
        <v>0</v>
      </c>
      <c r="BD138" s="712">
        <v>12.930093507625974</v>
      </c>
      <c r="BE138" s="712"/>
      <c r="BF138" s="712"/>
      <c r="BG138" s="712">
        <v>0</v>
      </c>
      <c r="BH138" s="712">
        <v>0</v>
      </c>
      <c r="BI138" s="134">
        <f t="shared" si="71"/>
        <v>12.930093507625974</v>
      </c>
      <c r="BJ138" s="123"/>
      <c r="BK138" s="792"/>
      <c r="BL138" s="104"/>
      <c r="BM138" s="672">
        <v>234.02</v>
      </c>
      <c r="BO138" s="562"/>
      <c r="BS138" s="879"/>
      <c r="BT138" s="774"/>
      <c r="BU138" s="774">
        <v>270.77163862910089</v>
      </c>
      <c r="BV138" s="774">
        <v>0</v>
      </c>
      <c r="BW138" s="774">
        <f t="shared" ref="BW138:BW201" si="104">BU138+BV138</f>
        <v>270.77163862910089</v>
      </c>
    </row>
    <row r="139" spans="1:75" ht="15" thickBot="1" x14ac:dyDescent="0.35">
      <c r="A139" s="209" t="s">
        <v>260</v>
      </c>
      <c r="B139" s="227">
        <v>5</v>
      </c>
      <c r="C139" s="39">
        <f>'[3]побудинковий звіт'!E139</f>
        <v>3598.13</v>
      </c>
      <c r="D139" s="205">
        <f t="shared" si="79"/>
        <v>1929.5464263079248</v>
      </c>
      <c r="E139" s="104">
        <f t="shared" si="80"/>
        <v>424.5005682915376</v>
      </c>
      <c r="F139" s="104">
        <f t="shared" si="81"/>
        <v>105.9573619097018</v>
      </c>
      <c r="G139" s="104">
        <f t="shared" si="82"/>
        <v>0</v>
      </c>
      <c r="H139" s="104">
        <f t="shared" si="83"/>
        <v>1612.0872084911557</v>
      </c>
      <c r="I139" s="104">
        <f t="shared" si="84"/>
        <v>524.13044832384787</v>
      </c>
      <c r="J139" s="672">
        <f t="shared" si="72"/>
        <v>0</v>
      </c>
      <c r="K139" s="139">
        <f t="shared" si="85"/>
        <v>4596.2220133241681</v>
      </c>
      <c r="L139" s="138">
        <f t="shared" si="73"/>
        <v>830.43180332952306</v>
      </c>
      <c r="M139" s="104">
        <f t="shared" si="74"/>
        <v>182.69413682875566</v>
      </c>
      <c r="N139" s="29">
        <f t="shared" si="86"/>
        <v>71.191856719487205</v>
      </c>
      <c r="O139" s="104">
        <f t="shared" si="75"/>
        <v>6.4777473392312572</v>
      </c>
      <c r="P139" s="104">
        <f t="shared" si="87"/>
        <v>693.8047560914855</v>
      </c>
      <c r="Q139" s="104">
        <f t="shared" si="88"/>
        <v>229.70096338673196</v>
      </c>
      <c r="R139" s="140">
        <f t="shared" si="89"/>
        <v>2014.3012636952144</v>
      </c>
      <c r="S139" s="138">
        <f t="shared" si="90"/>
        <v>65.78</v>
      </c>
      <c r="T139" s="104">
        <f t="shared" si="76"/>
        <v>8.4667302638957249</v>
      </c>
      <c r="U139" s="139">
        <f t="shared" si="91"/>
        <v>74.246730263895728</v>
      </c>
      <c r="V139" s="104"/>
      <c r="W139" s="104">
        <f t="shared" si="92"/>
        <v>0</v>
      </c>
      <c r="X139" s="139">
        <f t="shared" si="93"/>
        <v>0</v>
      </c>
      <c r="Y139" s="138">
        <v>0</v>
      </c>
      <c r="Z139" s="141">
        <v>0</v>
      </c>
      <c r="AA139" s="104">
        <f t="shared" si="77"/>
        <v>0</v>
      </c>
      <c r="AB139" s="139">
        <f t="shared" si="78"/>
        <v>0</v>
      </c>
      <c r="AC139" s="138">
        <v>0</v>
      </c>
      <c r="AD139" s="104">
        <f t="shared" si="94"/>
        <v>0</v>
      </c>
      <c r="AE139" s="139">
        <f t="shared" si="95"/>
        <v>0</v>
      </c>
      <c r="AF139" s="142">
        <v>171.6</v>
      </c>
      <c r="AG139" s="104">
        <f t="shared" si="96"/>
        <v>22.087122427554064</v>
      </c>
      <c r="AH139" s="139">
        <f t="shared" si="97"/>
        <v>193.68712242755407</v>
      </c>
      <c r="AI139" s="142">
        <v>0</v>
      </c>
      <c r="AJ139" s="104">
        <f t="shared" si="98"/>
        <v>0</v>
      </c>
      <c r="AK139" s="139">
        <f t="shared" si="99"/>
        <v>0</v>
      </c>
      <c r="AL139" s="143"/>
      <c r="AM139" s="205"/>
      <c r="AN139" s="104">
        <f t="shared" si="100"/>
        <v>0</v>
      </c>
      <c r="AO139" s="148">
        <f t="shared" si="101"/>
        <v>0</v>
      </c>
      <c r="AP139" s="272">
        <f t="shared" si="102"/>
        <v>2424.8819639027197</v>
      </c>
      <c r="AQ139" s="669">
        <v>122.88</v>
      </c>
      <c r="AR139" s="725">
        <v>1657.9057454836686</v>
      </c>
      <c r="AS139" s="725">
        <v>758.90151117888365</v>
      </c>
      <c r="AT139" s="725">
        <v>8.0747072401674469</v>
      </c>
      <c r="AU139" s="401">
        <v>0</v>
      </c>
      <c r="AV139" s="786"/>
      <c r="AW139" s="246"/>
      <c r="AX139" s="713">
        <f t="shared" si="103"/>
        <v>105.9573619097018</v>
      </c>
      <c r="AY139" s="714">
        <v>71.191856719487205</v>
      </c>
      <c r="AZ139" s="715"/>
      <c r="BA139" s="716">
        <v>0</v>
      </c>
      <c r="BC139" s="712">
        <v>0</v>
      </c>
      <c r="BD139" s="712">
        <v>105.9573619097018</v>
      </c>
      <c r="BE139" s="712"/>
      <c r="BF139" s="712"/>
      <c r="BG139" s="712">
        <v>0</v>
      </c>
      <c r="BH139" s="712">
        <v>0</v>
      </c>
      <c r="BI139" s="134">
        <f t="shared" si="71"/>
        <v>105.9573619097018</v>
      </c>
      <c r="BJ139" s="123">
        <v>299</v>
      </c>
      <c r="BK139" s="792"/>
      <c r="BL139" s="104"/>
      <c r="BM139" s="672"/>
      <c r="BO139" s="562"/>
      <c r="BS139" s="879"/>
      <c r="BT139" s="774"/>
      <c r="BU139" s="774">
        <v>1627.1637461897762</v>
      </c>
      <c r="BV139" s="774">
        <v>0</v>
      </c>
      <c r="BW139" s="774">
        <f t="shared" si="104"/>
        <v>1627.1637461897762</v>
      </c>
    </row>
    <row r="140" spans="1:75" ht="15" thickBot="1" x14ac:dyDescent="0.35">
      <c r="A140" s="209" t="s">
        <v>166</v>
      </c>
      <c r="B140" s="227">
        <v>2</v>
      </c>
      <c r="C140" s="39">
        <f>'[3]побудинковий звіт'!E140</f>
        <v>339.3</v>
      </c>
      <c r="D140" s="205">
        <f t="shared" si="79"/>
        <v>252.04520766988543</v>
      </c>
      <c r="E140" s="104">
        <f t="shared" si="80"/>
        <v>55.449991994103257</v>
      </c>
      <c r="F140" s="104">
        <f t="shared" si="81"/>
        <v>10.374038134635834</v>
      </c>
      <c r="G140" s="104">
        <f t="shared" si="82"/>
        <v>0</v>
      </c>
      <c r="H140" s="104">
        <f t="shared" si="83"/>
        <v>210.57739254483076</v>
      </c>
      <c r="I140" s="104">
        <f t="shared" si="84"/>
        <v>68.017863757717379</v>
      </c>
      <c r="J140" s="672">
        <f t="shared" si="72"/>
        <v>0</v>
      </c>
      <c r="K140" s="139">
        <f t="shared" si="85"/>
        <v>596.46449410117259</v>
      </c>
      <c r="L140" s="138">
        <f t="shared" si="73"/>
        <v>92.361157154350181</v>
      </c>
      <c r="M140" s="104">
        <f t="shared" si="74"/>
        <v>20.319358934912273</v>
      </c>
      <c r="N140" s="29">
        <f t="shared" si="86"/>
        <v>6.9702286200074486</v>
      </c>
      <c r="O140" s="104">
        <f t="shared" si="75"/>
        <v>0.61084498675733379</v>
      </c>
      <c r="P140" s="104">
        <f t="shared" si="87"/>
        <v>77.165409435040033</v>
      </c>
      <c r="Q140" s="104">
        <f t="shared" si="88"/>
        <v>25.411388696459746</v>
      </c>
      <c r="R140" s="140">
        <f t="shared" si="89"/>
        <v>222.83838782752699</v>
      </c>
      <c r="S140" s="138">
        <f t="shared" si="90"/>
        <v>0</v>
      </c>
      <c r="T140" s="104">
        <f t="shared" si="76"/>
        <v>0</v>
      </c>
      <c r="U140" s="139">
        <f t="shared" si="91"/>
        <v>0</v>
      </c>
      <c r="V140" s="104"/>
      <c r="W140" s="104">
        <f t="shared" si="92"/>
        <v>0</v>
      </c>
      <c r="X140" s="139">
        <f t="shared" si="93"/>
        <v>0</v>
      </c>
      <c r="Y140" s="138">
        <v>0</v>
      </c>
      <c r="Z140" s="141">
        <v>0</v>
      </c>
      <c r="AA140" s="104">
        <f t="shared" si="77"/>
        <v>0</v>
      </c>
      <c r="AB140" s="139">
        <f t="shared" si="78"/>
        <v>0</v>
      </c>
      <c r="AC140" s="138">
        <v>0</v>
      </c>
      <c r="AD140" s="104">
        <f t="shared" si="94"/>
        <v>0</v>
      </c>
      <c r="AE140" s="139">
        <f t="shared" si="95"/>
        <v>0</v>
      </c>
      <c r="AF140" s="142">
        <v>0</v>
      </c>
      <c r="AG140" s="104">
        <f t="shared" si="96"/>
        <v>0</v>
      </c>
      <c r="AH140" s="139">
        <f t="shared" si="97"/>
        <v>0</v>
      </c>
      <c r="AI140" s="142">
        <v>0</v>
      </c>
      <c r="AJ140" s="104">
        <f t="shared" si="98"/>
        <v>0</v>
      </c>
      <c r="AK140" s="139">
        <f t="shared" si="99"/>
        <v>0</v>
      </c>
      <c r="AL140" s="143"/>
      <c r="AM140" s="205"/>
      <c r="AN140" s="104">
        <f t="shared" si="100"/>
        <v>0</v>
      </c>
      <c r="AO140" s="148">
        <f t="shared" si="101"/>
        <v>0</v>
      </c>
      <c r="AP140" s="272">
        <f t="shared" si="102"/>
        <v>310.35706841827118</v>
      </c>
      <c r="AQ140" s="669">
        <v>7.56</v>
      </c>
      <c r="AR140" s="725">
        <v>225.05348206833742</v>
      </c>
      <c r="AS140" s="725">
        <v>85.303586349933767</v>
      </c>
      <c r="AT140" s="725">
        <v>0</v>
      </c>
      <c r="AU140" s="401">
        <v>0</v>
      </c>
      <c r="AV140" s="786"/>
      <c r="AW140" s="246"/>
      <c r="AX140" s="713">
        <f t="shared" si="103"/>
        <v>10.374038134635834</v>
      </c>
      <c r="AY140" s="714">
        <v>6.9702286200074486</v>
      </c>
      <c r="AZ140" s="715"/>
      <c r="BA140" s="716">
        <v>0</v>
      </c>
      <c r="BC140" s="712">
        <v>0</v>
      </c>
      <c r="BD140" s="712">
        <v>10.374038134635834</v>
      </c>
      <c r="BE140" s="712"/>
      <c r="BF140" s="712"/>
      <c r="BG140" s="712">
        <v>0</v>
      </c>
      <c r="BH140" s="712">
        <v>0</v>
      </c>
      <c r="BI140" s="134">
        <f t="shared" si="71"/>
        <v>10.374038134635834</v>
      </c>
      <c r="BJ140" s="123"/>
      <c r="BK140" s="792"/>
      <c r="BL140" s="104"/>
      <c r="BM140" s="672"/>
      <c r="BO140" s="562"/>
      <c r="BS140" s="879"/>
      <c r="BT140" s="774"/>
      <c r="BU140" s="774">
        <v>220.88589624407999</v>
      </c>
      <c r="BV140" s="774">
        <v>0</v>
      </c>
      <c r="BW140" s="774">
        <f t="shared" si="104"/>
        <v>220.88589624407999</v>
      </c>
    </row>
    <row r="141" spans="1:75" ht="15" thickBot="1" x14ac:dyDescent="0.35">
      <c r="A141" s="210" t="s">
        <v>99</v>
      </c>
      <c r="B141" s="228">
        <v>1</v>
      </c>
      <c r="C141" s="39">
        <f>'[3]побудинковий звіт'!E141</f>
        <v>499.90000000000003</v>
      </c>
      <c r="D141" s="205">
        <f t="shared" si="79"/>
        <v>31.17334627462521</v>
      </c>
      <c r="E141" s="104">
        <f t="shared" si="80"/>
        <v>6.8581419077062913</v>
      </c>
      <c r="F141" s="104">
        <f t="shared" si="81"/>
        <v>0</v>
      </c>
      <c r="G141" s="104">
        <f t="shared" si="82"/>
        <v>0</v>
      </c>
      <c r="H141" s="104">
        <f t="shared" si="83"/>
        <v>26.044541914105238</v>
      </c>
      <c r="I141" s="104">
        <f t="shared" si="84"/>
        <v>8.2474074674337832</v>
      </c>
      <c r="J141" s="672">
        <f t="shared" si="72"/>
        <v>0</v>
      </c>
      <c r="K141" s="139">
        <f t="shared" si="85"/>
        <v>72.323437563870527</v>
      </c>
      <c r="L141" s="138">
        <f t="shared" si="73"/>
        <v>0</v>
      </c>
      <c r="M141" s="104">
        <f t="shared" si="74"/>
        <v>0</v>
      </c>
      <c r="N141" s="29">
        <f t="shared" si="86"/>
        <v>0</v>
      </c>
      <c r="O141" s="104">
        <f t="shared" si="75"/>
        <v>0.89997467987029534</v>
      </c>
      <c r="P141" s="104">
        <f t="shared" si="87"/>
        <v>0</v>
      </c>
      <c r="Q141" s="104">
        <f t="shared" si="88"/>
        <v>0.11583829216779715</v>
      </c>
      <c r="R141" s="140">
        <f t="shared" si="89"/>
        <v>1.0158129720380924</v>
      </c>
      <c r="S141" s="138">
        <f t="shared" si="90"/>
        <v>0</v>
      </c>
      <c r="T141" s="104">
        <f t="shared" si="76"/>
        <v>0</v>
      </c>
      <c r="U141" s="139">
        <f t="shared" si="91"/>
        <v>0</v>
      </c>
      <c r="V141" s="104"/>
      <c r="W141" s="104">
        <f t="shared" si="92"/>
        <v>0</v>
      </c>
      <c r="X141" s="139">
        <f t="shared" si="93"/>
        <v>0</v>
      </c>
      <c r="Y141" s="138">
        <v>0</v>
      </c>
      <c r="Z141" s="141">
        <v>0</v>
      </c>
      <c r="AA141" s="104">
        <f t="shared" si="77"/>
        <v>0</v>
      </c>
      <c r="AB141" s="139">
        <f t="shared" si="78"/>
        <v>0</v>
      </c>
      <c r="AC141" s="138">
        <v>0</v>
      </c>
      <c r="AD141" s="104">
        <f t="shared" si="94"/>
        <v>0</v>
      </c>
      <c r="AE141" s="139">
        <f t="shared" si="95"/>
        <v>0</v>
      </c>
      <c r="AF141" s="142">
        <v>0</v>
      </c>
      <c r="AG141" s="104">
        <f t="shared" si="96"/>
        <v>0</v>
      </c>
      <c r="AH141" s="139">
        <f t="shared" si="97"/>
        <v>0</v>
      </c>
      <c r="AI141" s="142">
        <v>0</v>
      </c>
      <c r="AJ141" s="104">
        <f t="shared" si="98"/>
        <v>0</v>
      </c>
      <c r="AK141" s="139">
        <f t="shared" si="99"/>
        <v>0</v>
      </c>
      <c r="AL141" s="205"/>
      <c r="AM141" s="205"/>
      <c r="AN141" s="104">
        <f t="shared" si="100"/>
        <v>0</v>
      </c>
      <c r="AO141" s="148">
        <f t="shared" si="101"/>
        <v>0</v>
      </c>
      <c r="AP141" s="272">
        <f t="shared" si="102"/>
        <v>0</v>
      </c>
      <c r="AQ141" s="669">
        <v>28.77</v>
      </c>
      <c r="AR141" s="725">
        <v>0</v>
      </c>
      <c r="AS141" s="725">
        <v>0</v>
      </c>
      <c r="AT141" s="725">
        <v>0</v>
      </c>
      <c r="AU141" s="401">
        <v>0</v>
      </c>
      <c r="AV141" s="786"/>
      <c r="AW141" s="246"/>
      <c r="AX141" s="713">
        <f t="shared" si="103"/>
        <v>0</v>
      </c>
      <c r="AY141" s="714">
        <v>0</v>
      </c>
      <c r="AZ141" s="715"/>
      <c r="BA141" s="716">
        <v>0</v>
      </c>
      <c r="BC141" s="712">
        <v>0</v>
      </c>
      <c r="BD141" s="712">
        <v>0</v>
      </c>
      <c r="BE141" s="712"/>
      <c r="BF141" s="712"/>
      <c r="BG141" s="712">
        <v>0</v>
      </c>
      <c r="BH141" s="712">
        <v>0</v>
      </c>
      <c r="BI141" s="134">
        <f>BC141+BD141+BE141+BG141+BH141</f>
        <v>0</v>
      </c>
      <c r="BJ141" s="123"/>
      <c r="BK141" s="792"/>
      <c r="BL141" s="104"/>
      <c r="BM141" s="672"/>
      <c r="BO141" s="562"/>
      <c r="BS141" s="879"/>
      <c r="BT141" s="774"/>
      <c r="BU141" s="774">
        <v>0</v>
      </c>
      <c r="BV141" s="774">
        <v>0</v>
      </c>
      <c r="BW141" s="774">
        <f t="shared" si="104"/>
        <v>0</v>
      </c>
    </row>
    <row r="142" spans="1:75" ht="15" thickBot="1" x14ac:dyDescent="0.35">
      <c r="A142" s="209" t="s">
        <v>261</v>
      </c>
      <c r="B142" s="227">
        <v>5</v>
      </c>
      <c r="C142" s="39">
        <f>'[3]побудинковий звіт'!E142</f>
        <v>3289.98</v>
      </c>
      <c r="D142" s="205">
        <f t="shared" si="79"/>
        <v>2469.6776500007904</v>
      </c>
      <c r="E142" s="104">
        <f t="shared" si="80"/>
        <v>543.32953673898282</v>
      </c>
      <c r="F142" s="104">
        <f t="shared" si="81"/>
        <v>215.39764672734657</v>
      </c>
      <c r="G142" s="104">
        <f t="shared" si="82"/>
        <v>0</v>
      </c>
      <c r="H142" s="104">
        <f t="shared" si="83"/>
        <v>2063.3531768814842</v>
      </c>
      <c r="I142" s="104">
        <f t="shared" si="84"/>
        <v>681.1171738435869</v>
      </c>
      <c r="J142" s="672">
        <f t="shared" si="72"/>
        <v>0</v>
      </c>
      <c r="K142" s="139">
        <f t="shared" si="85"/>
        <v>5972.8751841921903</v>
      </c>
      <c r="L142" s="138">
        <f t="shared" si="73"/>
        <v>617.99677594886623</v>
      </c>
      <c r="M142" s="104">
        <f t="shared" si="74"/>
        <v>135.95865077933499</v>
      </c>
      <c r="N142" s="29">
        <f t="shared" si="86"/>
        <v>150.10582901025808</v>
      </c>
      <c r="O142" s="104">
        <f t="shared" si="75"/>
        <v>5.9229819909575392</v>
      </c>
      <c r="P142" s="104">
        <f t="shared" si="87"/>
        <v>516.32066677049932</v>
      </c>
      <c r="Q142" s="104">
        <f t="shared" si="88"/>
        <v>183.58374734679754</v>
      </c>
      <c r="R142" s="140">
        <f t="shared" si="89"/>
        <v>1609.8886518467136</v>
      </c>
      <c r="S142" s="138">
        <f t="shared" si="90"/>
        <v>0</v>
      </c>
      <c r="T142" s="104">
        <f t="shared" si="76"/>
        <v>0</v>
      </c>
      <c r="U142" s="139">
        <f t="shared" si="91"/>
        <v>0</v>
      </c>
      <c r="V142" s="104"/>
      <c r="W142" s="104">
        <f t="shared" si="92"/>
        <v>0</v>
      </c>
      <c r="X142" s="139">
        <f t="shared" si="93"/>
        <v>0</v>
      </c>
      <c r="Y142" s="138">
        <v>0</v>
      </c>
      <c r="Z142" s="141">
        <v>0</v>
      </c>
      <c r="AA142" s="104">
        <f t="shared" si="77"/>
        <v>0</v>
      </c>
      <c r="AB142" s="139">
        <f t="shared" si="78"/>
        <v>0</v>
      </c>
      <c r="AC142" s="138">
        <v>0</v>
      </c>
      <c r="AD142" s="104">
        <f t="shared" si="94"/>
        <v>0</v>
      </c>
      <c r="AE142" s="139">
        <f t="shared" si="95"/>
        <v>0</v>
      </c>
      <c r="AF142" s="142">
        <v>195.8</v>
      </c>
      <c r="AG142" s="104">
        <f t="shared" si="96"/>
        <v>25.201973026311691</v>
      </c>
      <c r="AH142" s="139">
        <f t="shared" si="97"/>
        <v>221.0019730263117</v>
      </c>
      <c r="AI142" s="142">
        <v>0</v>
      </c>
      <c r="AJ142" s="104">
        <f t="shared" si="98"/>
        <v>0</v>
      </c>
      <c r="AK142" s="139">
        <f t="shared" si="99"/>
        <v>0</v>
      </c>
      <c r="AL142" s="143"/>
      <c r="AM142" s="143"/>
      <c r="AN142" s="104">
        <f t="shared" si="100"/>
        <v>0</v>
      </c>
      <c r="AO142" s="148">
        <f t="shared" si="101"/>
        <v>0</v>
      </c>
      <c r="AP142" s="272">
        <f t="shared" si="102"/>
        <v>2468.1688464111835</v>
      </c>
      <c r="AQ142" s="669">
        <v>381.88</v>
      </c>
      <c r="AR142" s="725">
        <v>1897.3949089102082</v>
      </c>
      <c r="AS142" s="725">
        <v>569.00980046348513</v>
      </c>
      <c r="AT142" s="725">
        <v>1.7641370374897671</v>
      </c>
      <c r="AU142" s="401">
        <v>0</v>
      </c>
      <c r="AV142" s="786"/>
      <c r="AW142" s="246"/>
      <c r="AX142" s="713">
        <f t="shared" si="103"/>
        <v>98.387646727346549</v>
      </c>
      <c r="AY142" s="714">
        <v>66.105829010258077</v>
      </c>
      <c r="AZ142" s="715"/>
      <c r="BA142" s="716">
        <v>84</v>
      </c>
      <c r="BC142" s="712">
        <v>0</v>
      </c>
      <c r="BD142" s="712">
        <v>98.387646727346549</v>
      </c>
      <c r="BE142" s="712"/>
      <c r="BF142" s="712"/>
      <c r="BG142" s="712">
        <v>0</v>
      </c>
      <c r="BH142" s="712">
        <v>0</v>
      </c>
      <c r="BI142" s="134">
        <f>BC142+BD142+BE142+BG142</f>
        <v>98.387646727346549</v>
      </c>
      <c r="BJ142" s="123"/>
      <c r="BK142" s="792"/>
      <c r="BL142" s="104"/>
      <c r="BM142" s="672">
        <v>117.01</v>
      </c>
      <c r="BO142" s="562"/>
      <c r="BS142" s="879"/>
      <c r="BT142" s="774"/>
      <c r="BU142" s="774">
        <v>1862.2150053979626</v>
      </c>
      <c r="BV142" s="774">
        <v>0</v>
      </c>
      <c r="BW142" s="774">
        <f t="shared" si="104"/>
        <v>1862.2150053979626</v>
      </c>
    </row>
    <row r="143" spans="1:75" ht="15" thickBot="1" x14ac:dyDescent="0.35">
      <c r="A143" s="209" t="s">
        <v>213</v>
      </c>
      <c r="B143" s="227">
        <v>4</v>
      </c>
      <c r="C143" s="39">
        <f>'[3]побудинковий звіт'!E143</f>
        <v>2046.1999999999998</v>
      </c>
      <c r="D143" s="205">
        <f t="shared" si="79"/>
        <v>900.33337485946561</v>
      </c>
      <c r="E143" s="104">
        <f t="shared" si="80"/>
        <v>198.07350788184112</v>
      </c>
      <c r="F143" s="104">
        <f t="shared" si="81"/>
        <v>62.562206988186972</v>
      </c>
      <c r="G143" s="104">
        <f t="shared" si="82"/>
        <v>0</v>
      </c>
      <c r="H143" s="104">
        <f t="shared" si="83"/>
        <v>752.20575011808205</v>
      </c>
      <c r="I143" s="104">
        <f t="shared" si="84"/>
        <v>246.25015683583649</v>
      </c>
      <c r="J143" s="672">
        <f t="shared" si="72"/>
        <v>0</v>
      </c>
      <c r="K143" s="139">
        <f t="shared" si="85"/>
        <v>2159.4249966834122</v>
      </c>
      <c r="L143" s="138">
        <f t="shared" si="73"/>
        <v>438.77760650403565</v>
      </c>
      <c r="M143" s="104">
        <f t="shared" si="74"/>
        <v>96.530619081110899</v>
      </c>
      <c r="N143" s="29">
        <f t="shared" si="86"/>
        <v>42.035018574297787</v>
      </c>
      <c r="O143" s="104">
        <f t="shared" si="75"/>
        <v>3.6837931385289018</v>
      </c>
      <c r="P143" s="104">
        <f t="shared" si="87"/>
        <v>366.58758616707166</v>
      </c>
      <c r="Q143" s="104">
        <f t="shared" si="88"/>
        <v>121.97016435089158</v>
      </c>
      <c r="R143" s="140">
        <f t="shared" si="89"/>
        <v>1069.5847878159366</v>
      </c>
      <c r="S143" s="138">
        <f t="shared" si="90"/>
        <v>150.172</v>
      </c>
      <c r="T143" s="104">
        <f t="shared" si="76"/>
        <v>19.329063806472313</v>
      </c>
      <c r="U143" s="139">
        <f t="shared" si="91"/>
        <v>169.5010638064723</v>
      </c>
      <c r="V143" s="104"/>
      <c r="W143" s="104">
        <f t="shared" si="92"/>
        <v>0</v>
      </c>
      <c r="X143" s="139">
        <f t="shared" si="93"/>
        <v>0</v>
      </c>
      <c r="Y143" s="138">
        <v>0</v>
      </c>
      <c r="Z143" s="141">
        <v>0</v>
      </c>
      <c r="AA143" s="104">
        <f t="shared" si="77"/>
        <v>0</v>
      </c>
      <c r="AB143" s="139">
        <f t="shared" si="78"/>
        <v>0</v>
      </c>
      <c r="AC143" s="138">
        <v>0</v>
      </c>
      <c r="AD143" s="104">
        <f t="shared" si="94"/>
        <v>0</v>
      </c>
      <c r="AE143" s="139">
        <f t="shared" si="95"/>
        <v>0</v>
      </c>
      <c r="AF143" s="142">
        <v>189.2</v>
      </c>
      <c r="AG143" s="104">
        <f t="shared" si="96"/>
        <v>24.352468317559609</v>
      </c>
      <c r="AH143" s="139">
        <f t="shared" si="97"/>
        <v>213.5524683175596</v>
      </c>
      <c r="AI143" s="142">
        <v>0</v>
      </c>
      <c r="AJ143" s="104">
        <f t="shared" si="98"/>
        <v>0</v>
      </c>
      <c r="AK143" s="139">
        <f t="shared" si="99"/>
        <v>0</v>
      </c>
      <c r="AL143" s="143"/>
      <c r="AM143" s="143"/>
      <c r="AN143" s="104">
        <f t="shared" si="100"/>
        <v>0</v>
      </c>
      <c r="AO143" s="148">
        <f t="shared" si="101"/>
        <v>0</v>
      </c>
      <c r="AP143" s="272">
        <f t="shared" si="102"/>
        <v>1173.2604997468641</v>
      </c>
      <c r="AQ143" s="669">
        <v>62.91</v>
      </c>
      <c r="AR143" s="725">
        <v>768.01110056183722</v>
      </c>
      <c r="AS143" s="725">
        <v>381.13667101854742</v>
      </c>
      <c r="AT143" s="725">
        <v>24.112728166479528</v>
      </c>
      <c r="AU143" s="401">
        <v>0</v>
      </c>
      <c r="AV143" s="786"/>
      <c r="AW143" s="246"/>
      <c r="AX143" s="713">
        <f t="shared" si="103"/>
        <v>62.562206988186972</v>
      </c>
      <c r="AY143" s="714">
        <v>42.035018574297787</v>
      </c>
      <c r="AZ143" s="715"/>
      <c r="BA143" s="716">
        <v>0</v>
      </c>
      <c r="BC143" s="712">
        <v>0</v>
      </c>
      <c r="BD143" s="712">
        <v>62.562206988186972</v>
      </c>
      <c r="BE143" s="712"/>
      <c r="BF143" s="712"/>
      <c r="BG143" s="712">
        <v>0</v>
      </c>
      <c r="BH143" s="712">
        <v>0</v>
      </c>
      <c r="BI143" s="134">
        <f>BC143+BD143+BE143+BG143</f>
        <v>62.562206988186972</v>
      </c>
      <c r="BJ143" s="123">
        <v>682.6</v>
      </c>
      <c r="BK143" s="792"/>
      <c r="BL143" s="104"/>
      <c r="BM143" s="672"/>
      <c r="BO143" s="562"/>
      <c r="BS143" s="879"/>
      <c r="BT143" s="774"/>
      <c r="BU143" s="774">
        <v>752.21652876812959</v>
      </c>
      <c r="BV143" s="774">
        <v>0</v>
      </c>
      <c r="BW143" s="774">
        <f t="shared" si="104"/>
        <v>752.21652876812959</v>
      </c>
    </row>
    <row r="144" spans="1:75" ht="15" thickBot="1" x14ac:dyDescent="0.35">
      <c r="A144" s="211" t="s">
        <v>429</v>
      </c>
      <c r="B144" s="229">
        <v>5</v>
      </c>
      <c r="C144" s="39">
        <f>'[3]побудинковий звіт'!E144</f>
        <v>2821.57</v>
      </c>
      <c r="D144" s="205">
        <f t="shared" si="79"/>
        <v>1937.2784247899517</v>
      </c>
      <c r="E144" s="104">
        <f t="shared" si="80"/>
        <v>426.20160937813642</v>
      </c>
      <c r="F144" s="104">
        <f t="shared" si="81"/>
        <v>85.954088378301435</v>
      </c>
      <c r="G144" s="104">
        <f t="shared" si="82"/>
        <v>0</v>
      </c>
      <c r="H144" s="104">
        <f t="shared" si="83"/>
        <v>1618.5470975505752</v>
      </c>
      <c r="I144" s="104">
        <f t="shared" si="84"/>
        <v>523.60139417990922</v>
      </c>
      <c r="J144" s="672">
        <f t="shared" si="72"/>
        <v>0</v>
      </c>
      <c r="K144" s="139">
        <f t="shared" si="85"/>
        <v>4591.5826142768738</v>
      </c>
      <c r="L144" s="138">
        <f t="shared" si="73"/>
        <v>850.89877054479371</v>
      </c>
      <c r="M144" s="104">
        <f t="shared" si="74"/>
        <v>187.19684842277749</v>
      </c>
      <c r="N144" s="29">
        <f t="shared" si="86"/>
        <v>57.751826149626694</v>
      </c>
      <c r="O144" s="104">
        <f t="shared" si="75"/>
        <v>5.0796990547742134</v>
      </c>
      <c r="P144" s="104">
        <f t="shared" si="87"/>
        <v>710.90438924593559</v>
      </c>
      <c r="Q144" s="104">
        <f t="shared" si="88"/>
        <v>233.20597259151714</v>
      </c>
      <c r="R144" s="140">
        <f t="shared" si="89"/>
        <v>2045.0375060094248</v>
      </c>
      <c r="S144" s="138">
        <f t="shared" si="90"/>
        <v>128.47999999999999</v>
      </c>
      <c r="T144" s="104">
        <f t="shared" si="76"/>
        <v>16.537024997040479</v>
      </c>
      <c r="U144" s="139">
        <f t="shared" si="91"/>
        <v>145.01702499704047</v>
      </c>
      <c r="V144" s="104"/>
      <c r="W144" s="104">
        <f t="shared" si="92"/>
        <v>0</v>
      </c>
      <c r="X144" s="139">
        <f t="shared" si="93"/>
        <v>0</v>
      </c>
      <c r="Y144" s="138">
        <v>0</v>
      </c>
      <c r="Z144" s="141">
        <v>0</v>
      </c>
      <c r="AA144" s="104">
        <f t="shared" si="77"/>
        <v>0</v>
      </c>
      <c r="AB144" s="139">
        <f t="shared" si="78"/>
        <v>0</v>
      </c>
      <c r="AC144" s="138">
        <v>0</v>
      </c>
      <c r="AD144" s="104">
        <f t="shared" si="94"/>
        <v>0</v>
      </c>
      <c r="AE144" s="139">
        <f t="shared" si="95"/>
        <v>0</v>
      </c>
      <c r="AF144" s="142">
        <v>22</v>
      </c>
      <c r="AG144" s="104">
        <f t="shared" si="96"/>
        <v>2.8316823625069314</v>
      </c>
      <c r="AH144" s="139">
        <f t="shared" si="97"/>
        <v>24.831682362506932</v>
      </c>
      <c r="AI144" s="142">
        <v>0</v>
      </c>
      <c r="AJ144" s="104">
        <f t="shared" si="98"/>
        <v>0</v>
      </c>
      <c r="AK144" s="139">
        <f t="shared" si="99"/>
        <v>0</v>
      </c>
      <c r="AL144" s="143"/>
      <c r="AM144" s="143"/>
      <c r="AN144" s="104">
        <f t="shared" si="100"/>
        <v>0</v>
      </c>
      <c r="AO144" s="148">
        <f t="shared" si="101"/>
        <v>0</v>
      </c>
      <c r="AP144" s="272">
        <f t="shared" si="102"/>
        <v>2308.4108845394144</v>
      </c>
      <c r="AQ144" s="669">
        <v>265.39</v>
      </c>
      <c r="AR144" s="725">
        <v>1522.5316363299135</v>
      </c>
      <c r="AS144" s="725">
        <v>765.20700254413453</v>
      </c>
      <c r="AT144" s="725">
        <v>20.672245665366372</v>
      </c>
      <c r="AU144" s="401">
        <v>0</v>
      </c>
      <c r="AV144" s="786"/>
      <c r="AW144" s="246"/>
      <c r="AX144" s="713">
        <f t="shared" si="103"/>
        <v>85.954088378301435</v>
      </c>
      <c r="AY144" s="714">
        <v>57.751826149626694</v>
      </c>
      <c r="AZ144" s="715"/>
      <c r="BA144" s="716">
        <v>0</v>
      </c>
      <c r="BC144" s="712">
        <v>0</v>
      </c>
      <c r="BD144" s="712">
        <v>85.954088378301435</v>
      </c>
      <c r="BE144" s="712"/>
      <c r="BF144" s="712"/>
      <c r="BG144" s="712">
        <v>0</v>
      </c>
      <c r="BH144" s="712">
        <v>0</v>
      </c>
      <c r="BI144" s="134">
        <f>BC144+BD144+BE144+BG144</f>
        <v>85.954088378301435</v>
      </c>
      <c r="BJ144" s="123">
        <v>584</v>
      </c>
      <c r="BK144" s="792"/>
      <c r="BL144" s="104"/>
      <c r="BM144" s="672"/>
      <c r="BO144" s="562"/>
      <c r="BS144" s="879"/>
      <c r="BT144" s="774"/>
      <c r="BU144" s="774">
        <v>1488.7149528881587</v>
      </c>
      <c r="BV144" s="774">
        <v>0</v>
      </c>
      <c r="BW144" s="774">
        <f t="shared" si="104"/>
        <v>1488.7149528881587</v>
      </c>
    </row>
    <row r="145" spans="1:75" ht="15" thickBot="1" x14ac:dyDescent="0.35">
      <c r="A145" s="209" t="s">
        <v>419</v>
      </c>
      <c r="B145" s="227">
        <v>10</v>
      </c>
      <c r="C145" s="39">
        <f>'[3]побудинковий звіт'!E145</f>
        <v>6921.8</v>
      </c>
      <c r="D145" s="205">
        <f t="shared" si="79"/>
        <v>4748.8833777048985</v>
      </c>
      <c r="E145" s="104">
        <f t="shared" si="80"/>
        <v>1044.7552155784513</v>
      </c>
      <c r="F145" s="104">
        <f t="shared" si="81"/>
        <v>199.11321492456588</v>
      </c>
      <c r="G145" s="104">
        <f t="shared" si="82"/>
        <v>0</v>
      </c>
      <c r="H145" s="104">
        <f t="shared" si="83"/>
        <v>3967.5718829232392</v>
      </c>
      <c r="I145" s="104">
        <f t="shared" si="84"/>
        <v>1282.0214964107286</v>
      </c>
      <c r="J145" s="672">
        <f t="shared" si="72"/>
        <v>0</v>
      </c>
      <c r="K145" s="139">
        <f t="shared" si="85"/>
        <v>11242.345187541883</v>
      </c>
      <c r="L145" s="138">
        <f t="shared" si="73"/>
        <v>3111.3268505983583</v>
      </c>
      <c r="M145" s="104">
        <f t="shared" si="74"/>
        <v>684.48868538413024</v>
      </c>
      <c r="N145" s="29">
        <f t="shared" si="86"/>
        <v>113.80911895738441</v>
      </c>
      <c r="O145" s="104">
        <f t="shared" si="75"/>
        <v>12.461381754603341</v>
      </c>
      <c r="P145" s="104">
        <f t="shared" si="87"/>
        <v>2599.4348458782592</v>
      </c>
      <c r="Q145" s="104">
        <f t="shared" si="88"/>
        <v>839.40343908644775</v>
      </c>
      <c r="R145" s="140">
        <f t="shared" si="89"/>
        <v>7360.9243216591831</v>
      </c>
      <c r="S145" s="138">
        <f t="shared" si="90"/>
        <v>117.7</v>
      </c>
      <c r="T145" s="104">
        <f t="shared" si="76"/>
        <v>15.149500639412084</v>
      </c>
      <c r="U145" s="139">
        <f t="shared" si="91"/>
        <v>132.8495006394121</v>
      </c>
      <c r="V145" s="104"/>
      <c r="W145" s="104">
        <f t="shared" si="92"/>
        <v>0</v>
      </c>
      <c r="X145" s="139">
        <f t="shared" si="93"/>
        <v>0</v>
      </c>
      <c r="Y145" s="138">
        <v>4008.2</v>
      </c>
      <c r="Z145" s="141">
        <v>0</v>
      </c>
      <c r="AA145" s="104">
        <f t="shared" si="77"/>
        <v>515.90678388183096</v>
      </c>
      <c r="AB145" s="139">
        <f t="shared" si="78"/>
        <v>4524.1067838818308</v>
      </c>
      <c r="AC145" s="138">
        <v>0</v>
      </c>
      <c r="AD145" s="104">
        <f t="shared" si="94"/>
        <v>0</v>
      </c>
      <c r="AE145" s="139">
        <f t="shared" si="95"/>
        <v>0</v>
      </c>
      <c r="AF145" s="142">
        <v>937.2</v>
      </c>
      <c r="AG145" s="104">
        <f t="shared" si="96"/>
        <v>120.62966864279528</v>
      </c>
      <c r="AH145" s="139">
        <f t="shared" si="97"/>
        <v>1057.8296686427952</v>
      </c>
      <c r="AI145" s="142">
        <v>1403.6</v>
      </c>
      <c r="AJ145" s="104">
        <f t="shared" si="98"/>
        <v>180.6613347279422</v>
      </c>
      <c r="AK145" s="139">
        <f t="shared" si="99"/>
        <v>1584.2613347279421</v>
      </c>
      <c r="AL145" s="143"/>
      <c r="AM145" s="143"/>
      <c r="AN145" s="104">
        <f t="shared" si="100"/>
        <v>0</v>
      </c>
      <c r="AO145" s="148">
        <f t="shared" si="101"/>
        <v>0</v>
      </c>
      <c r="AP145" s="272">
        <f t="shared" si="102"/>
        <v>7256.344338403308</v>
      </c>
      <c r="AQ145" s="669">
        <v>0</v>
      </c>
      <c r="AR145" s="726">
        <v>4382.7625553237967</v>
      </c>
      <c r="AS145" s="726">
        <v>2825.6619931793516</v>
      </c>
      <c r="AT145" s="726">
        <v>47.919789900159799</v>
      </c>
      <c r="AU145" s="401">
        <v>0</v>
      </c>
      <c r="AV145" s="786"/>
      <c r="AW145" s="246"/>
      <c r="AX145" s="713">
        <f t="shared" si="103"/>
        <v>199.11321492456588</v>
      </c>
      <c r="AY145" s="714">
        <v>113.80911895738441</v>
      </c>
      <c r="AZ145" s="715"/>
      <c r="BA145" s="716">
        <v>0</v>
      </c>
      <c r="BC145" s="712">
        <v>0</v>
      </c>
      <c r="BD145" s="712">
        <v>199.11321492456588</v>
      </c>
      <c r="BE145" s="712"/>
      <c r="BF145" s="712"/>
      <c r="BG145" s="712">
        <v>0</v>
      </c>
      <c r="BH145" s="712">
        <v>10.05578566811119</v>
      </c>
      <c r="BI145" s="134">
        <f>BC145+BD145+BE145+BG145</f>
        <v>199.11321492456588</v>
      </c>
      <c r="BJ145" s="123">
        <v>535</v>
      </c>
      <c r="BK145" s="792"/>
      <c r="BL145" s="104"/>
      <c r="BM145" s="672"/>
      <c r="BO145" s="562"/>
      <c r="BS145" s="879"/>
      <c r="BT145" s="774"/>
      <c r="BU145" s="774">
        <v>4272.5779806492683</v>
      </c>
      <c r="BV145" s="774">
        <v>0</v>
      </c>
      <c r="BW145" s="774">
        <f t="shared" si="104"/>
        <v>4272.5779806492683</v>
      </c>
    </row>
    <row r="146" spans="1:75" ht="15" thickBot="1" x14ac:dyDescent="0.35">
      <c r="A146" s="210" t="s">
        <v>100</v>
      </c>
      <c r="B146" s="228">
        <v>1</v>
      </c>
      <c r="C146" s="39">
        <f>'[3]побудинковий звіт'!E146</f>
        <v>320.5</v>
      </c>
      <c r="D146" s="205">
        <f t="shared" si="79"/>
        <v>83.48649045741648</v>
      </c>
      <c r="E146" s="104">
        <f t="shared" si="80"/>
        <v>18.367043239095228</v>
      </c>
      <c r="F146" s="104">
        <f t="shared" si="81"/>
        <v>0</v>
      </c>
      <c r="G146" s="104">
        <f t="shared" si="82"/>
        <v>0</v>
      </c>
      <c r="H146" s="104">
        <f t="shared" si="83"/>
        <v>69.750849999367688</v>
      </c>
      <c r="I146" s="104">
        <f t="shared" si="84"/>
        <v>22.087686665476987</v>
      </c>
      <c r="J146" s="672">
        <f t="shared" si="72"/>
        <v>0</v>
      </c>
      <c r="K146" s="139">
        <f t="shared" si="85"/>
        <v>193.69207036135637</v>
      </c>
      <c r="L146" s="138">
        <f t="shared" si="73"/>
        <v>0</v>
      </c>
      <c r="M146" s="104">
        <f t="shared" si="74"/>
        <v>0</v>
      </c>
      <c r="N146" s="29">
        <f t="shared" si="86"/>
        <v>0</v>
      </c>
      <c r="O146" s="104">
        <f t="shared" si="75"/>
        <v>0.57699916963078546</v>
      </c>
      <c r="P146" s="104">
        <f t="shared" si="87"/>
        <v>0</v>
      </c>
      <c r="Q146" s="104">
        <f t="shared" si="88"/>
        <v>7.4267198719301833E-2</v>
      </c>
      <c r="R146" s="140">
        <f t="shared" si="89"/>
        <v>0.65126636835008733</v>
      </c>
      <c r="S146" s="138">
        <f t="shared" si="90"/>
        <v>0</v>
      </c>
      <c r="T146" s="104">
        <f t="shared" si="76"/>
        <v>0</v>
      </c>
      <c r="U146" s="139">
        <f t="shared" si="91"/>
        <v>0</v>
      </c>
      <c r="V146" s="104"/>
      <c r="W146" s="104">
        <f t="shared" si="92"/>
        <v>0</v>
      </c>
      <c r="X146" s="139">
        <f t="shared" si="93"/>
        <v>0</v>
      </c>
      <c r="Y146" s="138">
        <v>0</v>
      </c>
      <c r="Z146" s="141">
        <v>0</v>
      </c>
      <c r="AA146" s="104">
        <f t="shared" si="77"/>
        <v>0</v>
      </c>
      <c r="AB146" s="139">
        <f t="shared" si="78"/>
        <v>0</v>
      </c>
      <c r="AC146" s="138">
        <v>0</v>
      </c>
      <c r="AD146" s="104">
        <f t="shared" si="94"/>
        <v>0</v>
      </c>
      <c r="AE146" s="139">
        <f t="shared" si="95"/>
        <v>0</v>
      </c>
      <c r="AF146" s="142">
        <v>0</v>
      </c>
      <c r="AG146" s="104">
        <f t="shared" si="96"/>
        <v>0</v>
      </c>
      <c r="AH146" s="139">
        <f t="shared" si="97"/>
        <v>0</v>
      </c>
      <c r="AI146" s="142">
        <v>0</v>
      </c>
      <c r="AJ146" s="104">
        <f t="shared" si="98"/>
        <v>0</v>
      </c>
      <c r="AK146" s="139">
        <f t="shared" si="99"/>
        <v>0</v>
      </c>
      <c r="AL146" s="143"/>
      <c r="AM146" s="205"/>
      <c r="AN146" s="104">
        <f t="shared" si="100"/>
        <v>0</v>
      </c>
      <c r="AO146" s="148">
        <f t="shared" si="101"/>
        <v>0</v>
      </c>
      <c r="AP146" s="272">
        <f t="shared" si="102"/>
        <v>0</v>
      </c>
      <c r="AQ146" s="669">
        <v>77.05</v>
      </c>
      <c r="AR146" s="725">
        <v>0</v>
      </c>
      <c r="AS146" s="725">
        <v>0</v>
      </c>
      <c r="AT146" s="725">
        <v>0</v>
      </c>
      <c r="AU146" s="401">
        <v>0</v>
      </c>
      <c r="AV146" s="786"/>
      <c r="AW146" s="246"/>
      <c r="AX146" s="713">
        <f t="shared" si="103"/>
        <v>0</v>
      </c>
      <c r="AY146" s="714">
        <v>0</v>
      </c>
      <c r="AZ146" s="715"/>
      <c r="BA146" s="716">
        <v>0</v>
      </c>
      <c r="BC146" s="712">
        <v>0</v>
      </c>
      <c r="BD146" s="712">
        <v>0</v>
      </c>
      <c r="BE146" s="712"/>
      <c r="BF146" s="712"/>
      <c r="BG146" s="712">
        <v>0</v>
      </c>
      <c r="BH146" s="712">
        <v>0</v>
      </c>
      <c r="BI146" s="134">
        <f>BC146+BD146+BE146+BG146+BH146</f>
        <v>0</v>
      </c>
      <c r="BJ146" s="123"/>
      <c r="BK146" s="792"/>
      <c r="BL146" s="104"/>
      <c r="BM146" s="672"/>
      <c r="BO146" s="562"/>
      <c r="BS146" s="879"/>
      <c r="BT146" s="774"/>
      <c r="BU146" s="774">
        <v>0</v>
      </c>
      <c r="BV146" s="774">
        <v>0</v>
      </c>
      <c r="BW146" s="774">
        <f t="shared" si="104"/>
        <v>0</v>
      </c>
    </row>
    <row r="147" spans="1:75" ht="15" thickBot="1" x14ac:dyDescent="0.35">
      <c r="A147" s="209" t="s">
        <v>363</v>
      </c>
      <c r="B147" s="227">
        <v>9</v>
      </c>
      <c r="C147" s="39">
        <f>'[3]побудинковий звіт'!E147</f>
        <v>11582.12</v>
      </c>
      <c r="D147" s="205">
        <f t="shared" si="79"/>
        <v>7106.1787970292235</v>
      </c>
      <c r="E147" s="104">
        <f t="shared" si="80"/>
        <v>1563.3606409213101</v>
      </c>
      <c r="F147" s="104">
        <f t="shared" si="81"/>
        <v>421.45470764866303</v>
      </c>
      <c r="G147" s="104">
        <f t="shared" si="82"/>
        <v>0</v>
      </c>
      <c r="H147" s="104">
        <f t="shared" si="83"/>
        <v>5937.0325501117122</v>
      </c>
      <c r="I147" s="104">
        <f t="shared" si="84"/>
        <v>1934.2999153421772</v>
      </c>
      <c r="J147" s="672">
        <f t="shared" si="72"/>
        <v>0</v>
      </c>
      <c r="K147" s="139">
        <f t="shared" si="85"/>
        <v>16962.326611053086</v>
      </c>
      <c r="L147" s="138">
        <f t="shared" si="73"/>
        <v>4034.0503885627545</v>
      </c>
      <c r="M147" s="104">
        <f t="shared" si="74"/>
        <v>887.48690826539962</v>
      </c>
      <c r="N147" s="29">
        <f t="shared" si="86"/>
        <v>330.44958049208446</v>
      </c>
      <c r="O147" s="104">
        <f t="shared" si="75"/>
        <v>20.851399758390368</v>
      </c>
      <c r="P147" s="104">
        <f t="shared" si="87"/>
        <v>3370.3470106466252</v>
      </c>
      <c r="Q147" s="104">
        <f t="shared" si="88"/>
        <v>1112.488878869591</v>
      </c>
      <c r="R147" s="140">
        <f t="shared" si="89"/>
        <v>9755.6741665948466</v>
      </c>
      <c r="S147" s="138">
        <f t="shared" si="90"/>
        <v>128.70000000000002</v>
      </c>
      <c r="T147" s="104">
        <f t="shared" si="76"/>
        <v>16.565341820665552</v>
      </c>
      <c r="U147" s="139">
        <f t="shared" si="91"/>
        <v>145.26534182066558</v>
      </c>
      <c r="V147" s="104"/>
      <c r="W147" s="104">
        <f t="shared" si="92"/>
        <v>0</v>
      </c>
      <c r="X147" s="139">
        <f t="shared" si="93"/>
        <v>0</v>
      </c>
      <c r="Y147" s="138">
        <v>8603.2150000000001</v>
      </c>
      <c r="Z147" s="141">
        <v>0</v>
      </c>
      <c r="AA147" s="104">
        <f t="shared" si="77"/>
        <v>1107.3441898343215</v>
      </c>
      <c r="AB147" s="139">
        <f t="shared" si="78"/>
        <v>9710.5591898343209</v>
      </c>
      <c r="AC147" s="138">
        <v>472.3</v>
      </c>
      <c r="AD147" s="104">
        <f t="shared" si="94"/>
        <v>60.791071809637444</v>
      </c>
      <c r="AE147" s="139">
        <f t="shared" si="95"/>
        <v>533.09107180963747</v>
      </c>
      <c r="AF147" s="142">
        <v>446.6</v>
      </c>
      <c r="AG147" s="104">
        <f t="shared" si="96"/>
        <v>57.483151958890708</v>
      </c>
      <c r="AH147" s="139">
        <f t="shared" si="97"/>
        <v>504.08315195889071</v>
      </c>
      <c r="AI147" s="142">
        <v>2321</v>
      </c>
      <c r="AJ147" s="104">
        <f t="shared" si="98"/>
        <v>298.74248924448125</v>
      </c>
      <c r="AK147" s="139">
        <f t="shared" si="99"/>
        <v>2619.7424892444815</v>
      </c>
      <c r="AL147" s="143"/>
      <c r="AM147" s="143"/>
      <c r="AN147" s="104">
        <f t="shared" si="100"/>
        <v>0</v>
      </c>
      <c r="AO147" s="148">
        <f t="shared" si="101"/>
        <v>0</v>
      </c>
      <c r="AP147" s="272">
        <f t="shared" si="102"/>
        <v>10284.11694563216</v>
      </c>
      <c r="AQ147" s="669">
        <v>0</v>
      </c>
      <c r="AR147" s="726">
        <v>6558.3194755369186</v>
      </c>
      <c r="AS147" s="726">
        <v>3647.8378148548063</v>
      </c>
      <c r="AT147" s="726">
        <v>77.959655240434202</v>
      </c>
      <c r="AU147" s="401">
        <v>0</v>
      </c>
      <c r="AV147" s="786"/>
      <c r="AW147" s="246"/>
      <c r="AX147" s="713">
        <f t="shared" si="103"/>
        <v>421.45470764866303</v>
      </c>
      <c r="AY147" s="714">
        <v>330.44958049208446</v>
      </c>
      <c r="AZ147" s="715"/>
      <c r="BA147" s="716">
        <v>0</v>
      </c>
      <c r="BC147" s="712">
        <v>90</v>
      </c>
      <c r="BD147" s="712">
        <v>331.45470764866303</v>
      </c>
      <c r="BE147" s="712"/>
      <c r="BF147" s="712"/>
      <c r="BG147" s="712">
        <v>0</v>
      </c>
      <c r="BH147" s="712">
        <v>15.083678502166784</v>
      </c>
      <c r="BI147" s="134">
        <f t="shared" ref="BI147:BI154" si="105">BC147+BD147+BE147+BG147</f>
        <v>421.45470764866303</v>
      </c>
      <c r="BJ147" s="123">
        <v>585</v>
      </c>
      <c r="BK147" s="792"/>
      <c r="BL147" s="104"/>
      <c r="BM147" s="672"/>
      <c r="BO147" s="562"/>
      <c r="BS147" s="879"/>
      <c r="BT147" s="774"/>
      <c r="BU147" s="774">
        <v>6328.2111792007063</v>
      </c>
      <c r="BV147" s="774">
        <v>0</v>
      </c>
      <c r="BW147" s="774">
        <f t="shared" si="104"/>
        <v>6328.2111792007063</v>
      </c>
    </row>
    <row r="148" spans="1:75" ht="15" thickBot="1" x14ac:dyDescent="0.35">
      <c r="A148" s="209" t="s">
        <v>262</v>
      </c>
      <c r="B148" s="227">
        <v>5</v>
      </c>
      <c r="C148" s="39">
        <f>'[3]побудинковий звіт'!E148</f>
        <v>2850.7000000000003</v>
      </c>
      <c r="D148" s="205">
        <f t="shared" si="79"/>
        <v>3148.9658392710458</v>
      </c>
      <c r="E148" s="104">
        <f t="shared" si="80"/>
        <v>692.77306317991417</v>
      </c>
      <c r="F148" s="104">
        <f t="shared" si="81"/>
        <v>85.401708303579127</v>
      </c>
      <c r="G148" s="104">
        <f t="shared" si="82"/>
        <v>0</v>
      </c>
      <c r="H148" s="104">
        <f t="shared" si="83"/>
        <v>2630.8812683910801</v>
      </c>
      <c r="I148" s="104">
        <f t="shared" si="84"/>
        <v>844.10158582323697</v>
      </c>
      <c r="J148" s="672">
        <f t="shared" si="72"/>
        <v>0</v>
      </c>
      <c r="K148" s="139">
        <f t="shared" si="85"/>
        <v>7402.1234649688558</v>
      </c>
      <c r="L148" s="138">
        <f t="shared" si="73"/>
        <v>1399.5535520899002</v>
      </c>
      <c r="M148" s="104">
        <f t="shared" si="74"/>
        <v>307.9003322362197</v>
      </c>
      <c r="N148" s="29">
        <f t="shared" si="86"/>
        <v>96.870218926873122</v>
      </c>
      <c r="O148" s="104">
        <f t="shared" si="75"/>
        <v>5.1321420682261474</v>
      </c>
      <c r="P148" s="104">
        <f t="shared" si="87"/>
        <v>1169.2915745176449</v>
      </c>
      <c r="Q148" s="104">
        <f t="shared" si="88"/>
        <v>383.4030756269857</v>
      </c>
      <c r="R148" s="140">
        <f t="shared" si="89"/>
        <v>3362.1508954658498</v>
      </c>
      <c r="S148" s="138">
        <f t="shared" si="90"/>
        <v>124.96</v>
      </c>
      <c r="T148" s="104">
        <f t="shared" si="76"/>
        <v>16.083955819039371</v>
      </c>
      <c r="U148" s="139">
        <f t="shared" si="91"/>
        <v>141.04395581903935</v>
      </c>
      <c r="V148" s="104"/>
      <c r="W148" s="104">
        <f t="shared" si="92"/>
        <v>0</v>
      </c>
      <c r="X148" s="139">
        <f t="shared" si="93"/>
        <v>0</v>
      </c>
      <c r="Y148" s="138">
        <v>0</v>
      </c>
      <c r="Z148" s="141">
        <v>0</v>
      </c>
      <c r="AA148" s="104">
        <f t="shared" si="77"/>
        <v>0</v>
      </c>
      <c r="AB148" s="139">
        <f t="shared" si="78"/>
        <v>0</v>
      </c>
      <c r="AC148" s="138">
        <v>0</v>
      </c>
      <c r="AD148" s="104">
        <f t="shared" si="94"/>
        <v>0</v>
      </c>
      <c r="AE148" s="139">
        <f t="shared" si="95"/>
        <v>0</v>
      </c>
      <c r="AF148" s="142">
        <v>171.6</v>
      </c>
      <c r="AG148" s="104">
        <f t="shared" si="96"/>
        <v>22.087122427554064</v>
      </c>
      <c r="AH148" s="139">
        <f t="shared" si="97"/>
        <v>193.68712242755407</v>
      </c>
      <c r="AI148" s="142">
        <v>0</v>
      </c>
      <c r="AJ148" s="104">
        <f t="shared" si="98"/>
        <v>0</v>
      </c>
      <c r="AK148" s="139">
        <f t="shared" si="99"/>
        <v>0</v>
      </c>
      <c r="AL148" s="143"/>
      <c r="AM148" s="143"/>
      <c r="AN148" s="104">
        <f t="shared" si="100"/>
        <v>0</v>
      </c>
      <c r="AO148" s="148">
        <f t="shared" si="101"/>
        <v>0</v>
      </c>
      <c r="AP148" s="272">
        <f t="shared" si="102"/>
        <v>2667.1460637159739</v>
      </c>
      <c r="AQ148" s="669">
        <v>898.61</v>
      </c>
      <c r="AR148" s="726">
        <v>2007.5825658450092</v>
      </c>
      <c r="AS148" s="726">
        <v>635.93331015632714</v>
      </c>
      <c r="AT148" s="726">
        <v>23.63018771463743</v>
      </c>
      <c r="AU148" s="401">
        <v>633.04630651404091</v>
      </c>
      <c r="AV148" s="786"/>
      <c r="AW148" s="246"/>
      <c r="AX148" s="713">
        <f t="shared" si="103"/>
        <v>85.401708303579127</v>
      </c>
      <c r="AY148" s="714">
        <v>96.870218926873122</v>
      </c>
      <c r="AZ148" s="715"/>
      <c r="BA148" s="716">
        <v>0</v>
      </c>
      <c r="BC148" s="712">
        <v>0</v>
      </c>
      <c r="BD148" s="712">
        <v>85.401708303579127</v>
      </c>
      <c r="BE148" s="712"/>
      <c r="BF148" s="712"/>
      <c r="BG148" s="712">
        <v>0</v>
      </c>
      <c r="BH148" s="712">
        <v>7.5418392510833918</v>
      </c>
      <c r="BI148" s="134">
        <f t="shared" si="105"/>
        <v>85.401708303579127</v>
      </c>
      <c r="BJ148" s="123">
        <v>568</v>
      </c>
      <c r="BK148" s="792"/>
      <c r="BL148" s="104"/>
      <c r="BM148" s="672"/>
      <c r="BO148" s="562"/>
      <c r="BS148" s="879"/>
      <c r="BT148" s="774"/>
      <c r="BU148" s="774">
        <v>1957.1118109983322</v>
      </c>
      <c r="BV148" s="774">
        <v>0</v>
      </c>
      <c r="BW148" s="774">
        <f t="shared" si="104"/>
        <v>1957.1118109983322</v>
      </c>
    </row>
    <row r="149" spans="1:75" ht="15" thickBot="1" x14ac:dyDescent="0.35">
      <c r="A149" s="209" t="s">
        <v>364</v>
      </c>
      <c r="B149" s="227">
        <v>9</v>
      </c>
      <c r="C149" s="39">
        <f>'[3]побудинковий звіт'!E149</f>
        <v>3771.47</v>
      </c>
      <c r="D149" s="205">
        <f t="shared" si="79"/>
        <v>2717.434434604967</v>
      </c>
      <c r="E149" s="104">
        <f t="shared" si="80"/>
        <v>597.83607487074437</v>
      </c>
      <c r="F149" s="104">
        <f t="shared" si="81"/>
        <v>199.04191155080042</v>
      </c>
      <c r="G149" s="104">
        <f t="shared" si="82"/>
        <v>0</v>
      </c>
      <c r="H149" s="104">
        <f t="shared" si="83"/>
        <v>2270.3477004812771</v>
      </c>
      <c r="I149" s="104">
        <f t="shared" si="84"/>
        <v>744.56000178049123</v>
      </c>
      <c r="J149" s="672">
        <f t="shared" si="72"/>
        <v>0</v>
      </c>
      <c r="K149" s="139">
        <f t="shared" si="85"/>
        <v>6529.220123288279</v>
      </c>
      <c r="L149" s="138">
        <f t="shared" si="73"/>
        <v>2033.8242744177539</v>
      </c>
      <c r="M149" s="104">
        <f t="shared" si="74"/>
        <v>447.43923436742494</v>
      </c>
      <c r="N149" s="29">
        <f t="shared" si="86"/>
        <v>112.00919934617258</v>
      </c>
      <c r="O149" s="104">
        <f t="shared" si="75"/>
        <v>6.7898129743757192</v>
      </c>
      <c r="P149" s="104">
        <f t="shared" si="87"/>
        <v>1699.2087116459143</v>
      </c>
      <c r="Q149" s="104">
        <f t="shared" si="88"/>
        <v>553.37138733710253</v>
      </c>
      <c r="R149" s="140">
        <f t="shared" si="89"/>
        <v>4852.6426200887445</v>
      </c>
      <c r="S149" s="138">
        <f t="shared" si="90"/>
        <v>70.400000000000006</v>
      </c>
      <c r="T149" s="104">
        <f t="shared" si="76"/>
        <v>9.0613835600221808</v>
      </c>
      <c r="U149" s="139">
        <f t="shared" si="91"/>
        <v>79.461383560022185</v>
      </c>
      <c r="V149" s="104"/>
      <c r="W149" s="104">
        <f t="shared" si="92"/>
        <v>0</v>
      </c>
      <c r="X149" s="139">
        <f t="shared" si="93"/>
        <v>0</v>
      </c>
      <c r="Y149" s="138">
        <v>2755.38</v>
      </c>
      <c r="Z149" s="141">
        <v>0</v>
      </c>
      <c r="AA149" s="104">
        <f t="shared" si="77"/>
        <v>354.65277036383407</v>
      </c>
      <c r="AB149" s="139">
        <f t="shared" si="78"/>
        <v>3110.0327703638341</v>
      </c>
      <c r="AC149" s="138">
        <v>236.15</v>
      </c>
      <c r="AD149" s="104">
        <f t="shared" si="94"/>
        <v>30.395535904818722</v>
      </c>
      <c r="AE149" s="139">
        <f t="shared" si="95"/>
        <v>266.54553590481873</v>
      </c>
      <c r="AF149" s="142">
        <v>292.60000000000002</v>
      </c>
      <c r="AG149" s="104">
        <f t="shared" si="96"/>
        <v>37.661375421342193</v>
      </c>
      <c r="AH149" s="139">
        <f t="shared" si="97"/>
        <v>330.26137542134222</v>
      </c>
      <c r="AI149" s="142">
        <v>803</v>
      </c>
      <c r="AJ149" s="104">
        <f t="shared" si="98"/>
        <v>103.356406231503</v>
      </c>
      <c r="AK149" s="139">
        <f t="shared" si="99"/>
        <v>906.356406231503</v>
      </c>
      <c r="AL149" s="143">
        <v>2592.5</v>
      </c>
      <c r="AM149" s="143"/>
      <c r="AN149" s="104">
        <f t="shared" si="100"/>
        <v>333.68802385450999</v>
      </c>
      <c r="AO149" s="148">
        <f t="shared" si="101"/>
        <v>2926.18802385451</v>
      </c>
      <c r="AP149" s="272">
        <f t="shared" si="102"/>
        <v>3752.8491459583956</v>
      </c>
      <c r="AQ149" s="669">
        <v>0</v>
      </c>
      <c r="AR149" s="726">
        <v>2507.9305889988177</v>
      </c>
      <c r="AS149" s="726">
        <v>1211.2548369410131</v>
      </c>
      <c r="AT149" s="726">
        <v>33.663720018565009</v>
      </c>
      <c r="AU149" s="401">
        <v>633.49559416948034</v>
      </c>
      <c r="AV149" s="786"/>
      <c r="AW149" s="246"/>
      <c r="AX149" s="713">
        <f t="shared" si="103"/>
        <v>199.04191155080042</v>
      </c>
      <c r="AY149" s="714">
        <v>112.00919934617258</v>
      </c>
      <c r="AZ149" s="715"/>
      <c r="BA149" s="716">
        <v>0</v>
      </c>
      <c r="BC149" s="712">
        <v>90</v>
      </c>
      <c r="BD149" s="712">
        <v>109.04191155080044</v>
      </c>
      <c r="BE149" s="712"/>
      <c r="BF149" s="712"/>
      <c r="BG149" s="712">
        <v>0</v>
      </c>
      <c r="BH149" s="712">
        <v>6.0334714008667136</v>
      </c>
      <c r="BI149" s="134">
        <f t="shared" si="105"/>
        <v>199.04191155080042</v>
      </c>
      <c r="BJ149" s="123">
        <v>320</v>
      </c>
      <c r="BK149" s="792"/>
      <c r="BL149" s="104"/>
      <c r="BM149" s="672"/>
      <c r="BO149" s="562"/>
      <c r="BS149" s="879"/>
      <c r="BT149" s="774"/>
      <c r="BU149" s="774">
        <v>2488.0595206970875</v>
      </c>
      <c r="BV149" s="774">
        <v>0</v>
      </c>
      <c r="BW149" s="774">
        <f t="shared" si="104"/>
        <v>2488.0595206970875</v>
      </c>
    </row>
    <row r="150" spans="1:75" ht="15" thickBot="1" x14ac:dyDescent="0.35">
      <c r="A150" s="209" t="s">
        <v>365</v>
      </c>
      <c r="B150" s="227">
        <v>9</v>
      </c>
      <c r="C150" s="39">
        <f>'[3]побудинковий звіт'!E150</f>
        <v>3767.85</v>
      </c>
      <c r="D150" s="205">
        <f t="shared" si="79"/>
        <v>2526.0214340939492</v>
      </c>
      <c r="E150" s="104">
        <f t="shared" si="80"/>
        <v>555.72517959117749</v>
      </c>
      <c r="F150" s="104">
        <f t="shared" si="81"/>
        <v>112.46256512552227</v>
      </c>
      <c r="G150" s="104">
        <f t="shared" si="82"/>
        <v>0</v>
      </c>
      <c r="H150" s="104">
        <f t="shared" si="83"/>
        <v>2110.4269826091695</v>
      </c>
      <c r="I150" s="104">
        <f t="shared" si="84"/>
        <v>682.77475717313507</v>
      </c>
      <c r="J150" s="672">
        <f t="shared" si="72"/>
        <v>0</v>
      </c>
      <c r="K150" s="139">
        <f t="shared" si="85"/>
        <v>5987.4109185929537</v>
      </c>
      <c r="L150" s="138">
        <f t="shared" si="73"/>
        <v>1821.7130553389061</v>
      </c>
      <c r="M150" s="104">
        <f t="shared" si="74"/>
        <v>400.77498580910202</v>
      </c>
      <c r="N150" s="29">
        <f t="shared" si="86"/>
        <v>61.949680563938294</v>
      </c>
      <c r="O150" s="104">
        <f t="shared" si="75"/>
        <v>6.7832958542694373</v>
      </c>
      <c r="P150" s="104">
        <f t="shared" si="87"/>
        <v>1521.9951559665303</v>
      </c>
      <c r="Q150" s="104">
        <f t="shared" si="88"/>
        <v>490.80986286449308</v>
      </c>
      <c r="R150" s="140">
        <f t="shared" si="89"/>
        <v>4304.0260363972393</v>
      </c>
      <c r="S150" s="138">
        <f t="shared" si="90"/>
        <v>70.400000000000006</v>
      </c>
      <c r="T150" s="104">
        <f t="shared" si="76"/>
        <v>9.0613835600221808</v>
      </c>
      <c r="U150" s="139">
        <f t="shared" si="91"/>
        <v>79.461383560022185</v>
      </c>
      <c r="V150" s="104"/>
      <c r="W150" s="104">
        <f t="shared" si="92"/>
        <v>0</v>
      </c>
      <c r="X150" s="139">
        <f t="shared" si="93"/>
        <v>0</v>
      </c>
      <c r="Y150" s="138">
        <v>2227.75</v>
      </c>
      <c r="Z150" s="141">
        <v>0</v>
      </c>
      <c r="AA150" s="104">
        <f t="shared" si="77"/>
        <v>286.74001741249168</v>
      </c>
      <c r="AB150" s="139">
        <f t="shared" si="78"/>
        <v>2514.4900174124919</v>
      </c>
      <c r="AC150" s="138">
        <v>0</v>
      </c>
      <c r="AD150" s="104">
        <f t="shared" si="94"/>
        <v>0</v>
      </c>
      <c r="AE150" s="139">
        <f t="shared" si="95"/>
        <v>0</v>
      </c>
      <c r="AF150" s="142">
        <v>250.8</v>
      </c>
      <c r="AG150" s="104">
        <f t="shared" si="96"/>
        <v>32.281178932579017</v>
      </c>
      <c r="AH150" s="139">
        <f t="shared" si="97"/>
        <v>283.08117893257901</v>
      </c>
      <c r="AI150" s="142">
        <v>818.4</v>
      </c>
      <c r="AJ150" s="104">
        <f t="shared" si="98"/>
        <v>105.33858388525785</v>
      </c>
      <c r="AK150" s="139">
        <f t="shared" si="99"/>
        <v>923.73858388525787</v>
      </c>
      <c r="AL150" s="143"/>
      <c r="AM150" s="143"/>
      <c r="AN150" s="104">
        <f t="shared" si="100"/>
        <v>0</v>
      </c>
      <c r="AO150" s="148">
        <f t="shared" si="101"/>
        <v>0</v>
      </c>
      <c r="AP150" s="272">
        <f t="shared" si="102"/>
        <v>4013.7857372613048</v>
      </c>
      <c r="AQ150" s="669">
        <v>0</v>
      </c>
      <c r="AR150" s="726">
        <v>2331.2748018341081</v>
      </c>
      <c r="AS150" s="726">
        <v>1649.5092767991177</v>
      </c>
      <c r="AT150" s="726">
        <v>33.001658628079056</v>
      </c>
      <c r="AU150" s="401">
        <v>0</v>
      </c>
      <c r="AV150" s="786"/>
      <c r="AW150" s="246"/>
      <c r="AX150" s="713">
        <f t="shared" si="103"/>
        <v>112.46256512552227</v>
      </c>
      <c r="AY150" s="714">
        <v>61.949680563938294</v>
      </c>
      <c r="AZ150" s="715"/>
      <c r="BA150" s="716">
        <v>0</v>
      </c>
      <c r="BC150" s="712">
        <v>0</v>
      </c>
      <c r="BD150" s="712">
        <v>112.46256512552227</v>
      </c>
      <c r="BE150" s="712"/>
      <c r="BF150" s="712"/>
      <c r="BG150" s="712">
        <v>0</v>
      </c>
      <c r="BH150" s="712">
        <v>9.5529963847056294</v>
      </c>
      <c r="BI150" s="134">
        <f t="shared" si="105"/>
        <v>112.46256512552227</v>
      </c>
      <c r="BJ150" s="123">
        <v>320</v>
      </c>
      <c r="BK150" s="792"/>
      <c r="BL150" s="104"/>
      <c r="BM150" s="672"/>
      <c r="BO150" s="562"/>
      <c r="BS150" s="879"/>
      <c r="BT150" s="774"/>
      <c r="BU150" s="774">
        <v>2223.903629084647</v>
      </c>
      <c r="BV150" s="774">
        <v>0</v>
      </c>
      <c r="BW150" s="774">
        <f t="shared" si="104"/>
        <v>2223.903629084647</v>
      </c>
    </row>
    <row r="151" spans="1:75" ht="15" thickBot="1" x14ac:dyDescent="0.35">
      <c r="A151" s="209" t="s">
        <v>366</v>
      </c>
      <c r="B151" s="227">
        <v>9</v>
      </c>
      <c r="C151" s="39">
        <f>'[3]побудинковий звіт'!E151</f>
        <v>4717.22</v>
      </c>
      <c r="D151" s="205">
        <f t="shared" si="79"/>
        <v>3289.4915588298218</v>
      </c>
      <c r="E151" s="104">
        <f t="shared" si="80"/>
        <v>723.68874730077812</v>
      </c>
      <c r="F151" s="104">
        <f t="shared" si="81"/>
        <v>126.04206604732067</v>
      </c>
      <c r="G151" s="104">
        <f t="shared" si="82"/>
        <v>0</v>
      </c>
      <c r="H151" s="104">
        <f t="shared" si="83"/>
        <v>2748.2869508229815</v>
      </c>
      <c r="I151" s="104">
        <f t="shared" si="84"/>
        <v>886.51084870653233</v>
      </c>
      <c r="J151" s="672">
        <f t="shared" si="72"/>
        <v>0</v>
      </c>
      <c r="K151" s="139">
        <f t="shared" si="85"/>
        <v>7774.0201717074351</v>
      </c>
      <c r="L151" s="138">
        <f t="shared" si="73"/>
        <v>2028.5566403581477</v>
      </c>
      <c r="M151" s="104">
        <f t="shared" si="74"/>
        <v>446.28036032889338</v>
      </c>
      <c r="N151" s="29">
        <f t="shared" si="86"/>
        <v>70.569216913751774</v>
      </c>
      <c r="O151" s="104">
        <f t="shared" si="75"/>
        <v>8.492455609877485</v>
      </c>
      <c r="P151" s="104">
        <f t="shared" si="87"/>
        <v>1694.8077366961941</v>
      </c>
      <c r="Q151" s="104">
        <f t="shared" si="88"/>
        <v>546.86304565470061</v>
      </c>
      <c r="R151" s="140">
        <f t="shared" si="89"/>
        <v>4795.5694555615655</v>
      </c>
      <c r="S151" s="138">
        <f t="shared" si="90"/>
        <v>52.800000000000004</v>
      </c>
      <c r="T151" s="104">
        <f t="shared" si="76"/>
        <v>6.7960376700166361</v>
      </c>
      <c r="U151" s="139">
        <f t="shared" si="91"/>
        <v>59.596037670016642</v>
      </c>
      <c r="V151" s="104"/>
      <c r="W151" s="104">
        <f t="shared" si="92"/>
        <v>0</v>
      </c>
      <c r="X151" s="139">
        <f t="shared" si="93"/>
        <v>0</v>
      </c>
      <c r="Y151" s="138">
        <v>3102.43</v>
      </c>
      <c r="Z151" s="141">
        <v>0</v>
      </c>
      <c r="AA151" s="104">
        <f t="shared" si="77"/>
        <v>399.32255963238083</v>
      </c>
      <c r="AB151" s="139">
        <f t="shared" si="78"/>
        <v>3501.7525596323808</v>
      </c>
      <c r="AC151" s="138">
        <v>0</v>
      </c>
      <c r="AD151" s="104">
        <f t="shared" si="94"/>
        <v>0</v>
      </c>
      <c r="AE151" s="139">
        <f t="shared" si="95"/>
        <v>0</v>
      </c>
      <c r="AF151" s="142">
        <v>440</v>
      </c>
      <c r="AG151" s="104">
        <f t="shared" si="96"/>
        <v>56.63364725013863</v>
      </c>
      <c r="AH151" s="139">
        <f t="shared" si="97"/>
        <v>496.63364725013861</v>
      </c>
      <c r="AI151" s="142">
        <v>915.2</v>
      </c>
      <c r="AJ151" s="104">
        <f t="shared" si="98"/>
        <v>117.79798628028836</v>
      </c>
      <c r="AK151" s="139">
        <f t="shared" si="99"/>
        <v>1032.9979862802884</v>
      </c>
      <c r="AL151" s="143"/>
      <c r="AM151" s="391"/>
      <c r="AN151" s="104">
        <f t="shared" si="100"/>
        <v>0</v>
      </c>
      <c r="AO151" s="148">
        <f t="shared" si="101"/>
        <v>0</v>
      </c>
      <c r="AP151" s="272">
        <f t="shared" si="102"/>
        <v>4909.4333191347396</v>
      </c>
      <c r="AQ151" s="669">
        <v>0</v>
      </c>
      <c r="AR151" s="726">
        <v>3035.8842876155682</v>
      </c>
      <c r="AS151" s="726">
        <v>1837.5099067984584</v>
      </c>
      <c r="AT151" s="726">
        <v>36.039124720713239</v>
      </c>
      <c r="AU151" s="401">
        <v>0</v>
      </c>
      <c r="AV151" s="786"/>
      <c r="AW151" s="246"/>
      <c r="AX151" s="713">
        <f t="shared" si="103"/>
        <v>126.04206604732067</v>
      </c>
      <c r="AY151" s="714">
        <v>70.569216913751774</v>
      </c>
      <c r="AZ151" s="715"/>
      <c r="BA151" s="716">
        <v>0</v>
      </c>
      <c r="BC151" s="712">
        <v>0</v>
      </c>
      <c r="BD151" s="712">
        <v>126.04206604732067</v>
      </c>
      <c r="BE151" s="712"/>
      <c r="BF151" s="712"/>
      <c r="BG151" s="712">
        <v>0</v>
      </c>
      <c r="BH151" s="712">
        <v>8.8138961380994569</v>
      </c>
      <c r="BI151" s="134">
        <f t="shared" si="105"/>
        <v>126.04206604732067</v>
      </c>
      <c r="BJ151" s="123">
        <v>240</v>
      </c>
      <c r="BK151" s="792"/>
      <c r="BL151" s="104"/>
      <c r="BM151" s="672"/>
      <c r="BO151" s="562"/>
      <c r="BS151" s="879"/>
      <c r="BT151" s="774"/>
      <c r="BU151" s="774">
        <v>2790.639455170643</v>
      </c>
      <c r="BV151" s="774">
        <v>0</v>
      </c>
      <c r="BW151" s="774">
        <f t="shared" si="104"/>
        <v>2790.639455170643</v>
      </c>
    </row>
    <row r="152" spans="1:75" ht="15" thickBot="1" x14ac:dyDescent="0.35">
      <c r="A152" s="209" t="s">
        <v>420</v>
      </c>
      <c r="B152" s="227">
        <v>10</v>
      </c>
      <c r="C152" s="39">
        <f>'[3]побудинковий звіт'!E152</f>
        <v>5265.4</v>
      </c>
      <c r="D152" s="205">
        <f t="shared" si="79"/>
        <v>3996.4129948749542</v>
      </c>
      <c r="E152" s="104">
        <f t="shared" si="80"/>
        <v>879.21159310907024</v>
      </c>
      <c r="F152" s="104">
        <f t="shared" si="81"/>
        <v>249.67949872489439</v>
      </c>
      <c r="G152" s="104">
        <f t="shared" si="82"/>
        <v>0</v>
      </c>
      <c r="H152" s="104">
        <f t="shared" si="83"/>
        <v>3338.901920703313</v>
      </c>
      <c r="I152" s="104">
        <f t="shared" si="84"/>
        <v>1089.4519483552012</v>
      </c>
      <c r="J152" s="672">
        <f t="shared" si="72"/>
        <v>0</v>
      </c>
      <c r="K152" s="139">
        <f t="shared" si="85"/>
        <v>9553.6579557674322</v>
      </c>
      <c r="L152" s="138">
        <f t="shared" si="73"/>
        <v>2226.2069531334992</v>
      </c>
      <c r="M152" s="104">
        <f t="shared" si="74"/>
        <v>489.76322447456943</v>
      </c>
      <c r="N152" s="29">
        <f t="shared" si="86"/>
        <v>86.571877341550405</v>
      </c>
      <c r="O152" s="104">
        <f t="shared" si="75"/>
        <v>9.4793492286238301</v>
      </c>
      <c r="P152" s="104">
        <f t="shared" si="87"/>
        <v>1859.9395711185973</v>
      </c>
      <c r="Q152" s="104">
        <f t="shared" si="88"/>
        <v>601.3413405485793</v>
      </c>
      <c r="R152" s="140">
        <f t="shared" si="89"/>
        <v>5273.3023158454198</v>
      </c>
      <c r="S152" s="138">
        <f t="shared" si="90"/>
        <v>44</v>
      </c>
      <c r="T152" s="104">
        <f t="shared" si="76"/>
        <v>5.6633647250138628</v>
      </c>
      <c r="U152" s="139">
        <f t="shared" si="91"/>
        <v>49.663364725013864</v>
      </c>
      <c r="V152" s="104"/>
      <c r="W152" s="104">
        <f t="shared" si="92"/>
        <v>0</v>
      </c>
      <c r="X152" s="139">
        <f t="shared" si="93"/>
        <v>0</v>
      </c>
      <c r="Y152" s="138">
        <v>3189.2</v>
      </c>
      <c r="Z152" s="141">
        <v>0</v>
      </c>
      <c r="AA152" s="104">
        <f t="shared" si="77"/>
        <v>410.49097229577751</v>
      </c>
      <c r="AB152" s="139">
        <f t="shared" si="78"/>
        <v>3599.6909722957771</v>
      </c>
      <c r="AC152" s="138">
        <v>0</v>
      </c>
      <c r="AD152" s="104">
        <f t="shared" si="94"/>
        <v>0</v>
      </c>
      <c r="AE152" s="139">
        <f t="shared" si="95"/>
        <v>0</v>
      </c>
      <c r="AF152" s="142">
        <v>578.6</v>
      </c>
      <c r="AG152" s="104">
        <f t="shared" si="96"/>
        <v>74.473246133932292</v>
      </c>
      <c r="AH152" s="139">
        <f t="shared" si="97"/>
        <v>653.07324613393234</v>
      </c>
      <c r="AI152" s="142">
        <v>1126.4000000000001</v>
      </c>
      <c r="AJ152" s="104">
        <f t="shared" si="98"/>
        <v>144.98213696035489</v>
      </c>
      <c r="AK152" s="139">
        <f t="shared" si="99"/>
        <v>1271.382136960355</v>
      </c>
      <c r="AL152" s="143"/>
      <c r="AM152" s="205"/>
      <c r="AN152" s="104">
        <f t="shared" si="100"/>
        <v>0</v>
      </c>
      <c r="AO152" s="148">
        <f t="shared" si="101"/>
        <v>0</v>
      </c>
      <c r="AP152" s="272">
        <f t="shared" si="102"/>
        <v>5744.4011118994949</v>
      </c>
      <c r="AQ152" s="669">
        <v>0</v>
      </c>
      <c r="AR152" s="726">
        <v>3688.304773239644</v>
      </c>
      <c r="AS152" s="726">
        <v>2018.1690593410131</v>
      </c>
      <c r="AT152" s="726">
        <v>37.927279318837165</v>
      </c>
      <c r="AU152" s="401">
        <v>0</v>
      </c>
      <c r="AV152" s="786"/>
      <c r="AW152" s="246"/>
      <c r="AX152" s="713">
        <f t="shared" si="103"/>
        <v>249.67949872489439</v>
      </c>
      <c r="AY152" s="714">
        <v>86.571877341550405</v>
      </c>
      <c r="AZ152" s="715"/>
      <c r="BA152" s="716">
        <v>0</v>
      </c>
      <c r="BC152" s="712">
        <v>90</v>
      </c>
      <c r="BD152" s="712">
        <v>159.67949872489439</v>
      </c>
      <c r="BE152" s="712"/>
      <c r="BF152" s="712"/>
      <c r="BG152" s="712">
        <v>0</v>
      </c>
      <c r="BH152" s="712">
        <v>15.868029784279456</v>
      </c>
      <c r="BI152" s="134">
        <f t="shared" si="105"/>
        <v>249.67949872489439</v>
      </c>
      <c r="BJ152" s="123">
        <v>200</v>
      </c>
      <c r="BK152" s="792"/>
      <c r="BL152" s="104"/>
      <c r="BM152" s="672"/>
      <c r="BO152" s="562"/>
      <c r="BS152" s="879"/>
      <c r="BT152" s="774"/>
      <c r="BU152" s="774">
        <v>3390.3498192152329</v>
      </c>
      <c r="BV152" s="774">
        <v>0</v>
      </c>
      <c r="BW152" s="774">
        <f t="shared" si="104"/>
        <v>3390.3498192152329</v>
      </c>
    </row>
    <row r="153" spans="1:75" ht="15" thickBot="1" x14ac:dyDescent="0.35">
      <c r="A153" s="209" t="s">
        <v>334</v>
      </c>
      <c r="B153" s="227">
        <v>8</v>
      </c>
      <c r="C153" s="39">
        <f>'[3]побудинковий звіт'!E153</f>
        <v>7052.84</v>
      </c>
      <c r="D153" s="205">
        <f t="shared" si="79"/>
        <v>4998.5385533047329</v>
      </c>
      <c r="E153" s="104">
        <f t="shared" si="80"/>
        <v>1099.6794000780371</v>
      </c>
      <c r="F153" s="104">
        <f t="shared" si="81"/>
        <v>295.16249703112783</v>
      </c>
      <c r="G153" s="104">
        <f t="shared" si="82"/>
        <v>0</v>
      </c>
      <c r="H153" s="104">
        <f t="shared" si="83"/>
        <v>4176.1524641576598</v>
      </c>
      <c r="I153" s="104">
        <f t="shared" si="84"/>
        <v>1360.4345424603982</v>
      </c>
      <c r="J153" s="672">
        <f t="shared" si="72"/>
        <v>0</v>
      </c>
      <c r="K153" s="139">
        <f t="shared" si="85"/>
        <v>11929.967457031957</v>
      </c>
      <c r="L153" s="138">
        <f t="shared" si="73"/>
        <v>2575.508215500437</v>
      </c>
      <c r="M153" s="104">
        <f t="shared" si="74"/>
        <v>566.60914049736891</v>
      </c>
      <c r="N153" s="29">
        <f t="shared" si="86"/>
        <v>115.93732646357394</v>
      </c>
      <c r="O153" s="104">
        <f t="shared" si="75"/>
        <v>12.69729430121307</v>
      </c>
      <c r="P153" s="104">
        <f t="shared" si="87"/>
        <v>2151.771936121092</v>
      </c>
      <c r="Q153" s="104">
        <f t="shared" si="88"/>
        <v>697.94842383567277</v>
      </c>
      <c r="R153" s="140">
        <f t="shared" si="89"/>
        <v>6120.4723367193574</v>
      </c>
      <c r="S153" s="138">
        <f t="shared" si="90"/>
        <v>222.97000000000003</v>
      </c>
      <c r="T153" s="104">
        <f t="shared" si="76"/>
        <v>28.699100744007755</v>
      </c>
      <c r="U153" s="139">
        <f t="shared" si="91"/>
        <v>251.66910074400778</v>
      </c>
      <c r="V153" s="104"/>
      <c r="W153" s="104">
        <f t="shared" si="92"/>
        <v>0</v>
      </c>
      <c r="X153" s="139">
        <f t="shared" si="93"/>
        <v>0</v>
      </c>
      <c r="Y153" s="138">
        <v>4690.0200000000004</v>
      </c>
      <c r="Z153" s="141">
        <v>0</v>
      </c>
      <c r="AA153" s="104">
        <f t="shared" si="77"/>
        <v>603.66576880930722</v>
      </c>
      <c r="AB153" s="139">
        <f t="shared" si="78"/>
        <v>5293.6857688093078</v>
      </c>
      <c r="AC153" s="138">
        <v>354.22500000000002</v>
      </c>
      <c r="AD153" s="104">
        <f t="shared" si="94"/>
        <v>45.593303857228086</v>
      </c>
      <c r="AE153" s="139">
        <f t="shared" si="95"/>
        <v>399.8183038572281</v>
      </c>
      <c r="AF153" s="142">
        <v>1854.6</v>
      </c>
      <c r="AG153" s="104">
        <f t="shared" si="96"/>
        <v>238.7108231593343</v>
      </c>
      <c r="AH153" s="139">
        <f t="shared" si="97"/>
        <v>2093.3108231593342</v>
      </c>
      <c r="AI153" s="142">
        <v>1819.4</v>
      </c>
      <c r="AJ153" s="104">
        <f t="shared" si="98"/>
        <v>234.18013137932323</v>
      </c>
      <c r="AK153" s="139">
        <f t="shared" si="99"/>
        <v>2053.5801313793231</v>
      </c>
      <c r="AL153" s="205"/>
      <c r="AM153" s="205"/>
      <c r="AN153" s="104">
        <f t="shared" si="100"/>
        <v>0</v>
      </c>
      <c r="AO153" s="148">
        <f t="shared" si="101"/>
        <v>0</v>
      </c>
      <c r="AP153" s="272">
        <f t="shared" si="102"/>
        <v>6991.8767956838283</v>
      </c>
      <c r="AQ153" s="669">
        <v>0</v>
      </c>
      <c r="AR153" s="726">
        <v>4613.1702676922878</v>
      </c>
      <c r="AS153" s="726">
        <v>2278.1595652877713</v>
      </c>
      <c r="AT153" s="726">
        <v>100.54696270376934</v>
      </c>
      <c r="AU153" s="401">
        <v>0</v>
      </c>
      <c r="AV153" s="786"/>
      <c r="AW153" s="246"/>
      <c r="AX153" s="713">
        <f t="shared" si="103"/>
        <v>295.16249703112783</v>
      </c>
      <c r="AY153" s="714">
        <v>115.93732646357394</v>
      </c>
      <c r="AZ153" s="715"/>
      <c r="BA153" s="716">
        <v>0</v>
      </c>
      <c r="BC153" s="712">
        <v>90</v>
      </c>
      <c r="BD153" s="712">
        <v>205.16249703112783</v>
      </c>
      <c r="BE153" s="712"/>
      <c r="BF153" s="712"/>
      <c r="BG153" s="712">
        <v>0</v>
      </c>
      <c r="BH153" s="712">
        <v>12.569732085138986</v>
      </c>
      <c r="BI153" s="134">
        <f t="shared" si="105"/>
        <v>295.16249703112783</v>
      </c>
      <c r="BJ153" s="123">
        <v>1013.5</v>
      </c>
      <c r="BK153" s="792"/>
      <c r="BL153" s="104"/>
      <c r="BM153" s="672"/>
      <c r="BO153" s="562"/>
      <c r="BS153" s="879"/>
      <c r="BT153" s="774"/>
      <c r="BU153" s="774">
        <v>4476.7569632259065</v>
      </c>
      <c r="BV153" s="774">
        <v>0</v>
      </c>
      <c r="BW153" s="774">
        <f t="shared" si="104"/>
        <v>4476.7569632259065</v>
      </c>
    </row>
    <row r="154" spans="1:75" ht="15" thickBot="1" x14ac:dyDescent="0.35">
      <c r="A154" s="209" t="s">
        <v>367</v>
      </c>
      <c r="B154" s="227">
        <v>9</v>
      </c>
      <c r="C154" s="39">
        <f>'[3]побудинковий звіт'!E154</f>
        <v>10391</v>
      </c>
      <c r="D154" s="205">
        <f t="shared" si="79"/>
        <v>6935.0831313727103</v>
      </c>
      <c r="E154" s="104">
        <f t="shared" si="80"/>
        <v>1525.7195630425142</v>
      </c>
      <c r="F154" s="104">
        <f t="shared" si="81"/>
        <v>297.87206411073487</v>
      </c>
      <c r="G154" s="104">
        <f t="shared" si="82"/>
        <v>0</v>
      </c>
      <c r="H154" s="104">
        <f t="shared" si="83"/>
        <v>5794.0864513433544</v>
      </c>
      <c r="I154" s="104">
        <f t="shared" si="84"/>
        <v>1873.1271474437258</v>
      </c>
      <c r="J154" s="672">
        <f t="shared" si="72"/>
        <v>0</v>
      </c>
      <c r="K154" s="139">
        <f t="shared" si="85"/>
        <v>16425.888357313041</v>
      </c>
      <c r="L154" s="138">
        <f t="shared" si="73"/>
        <v>4276.4300377218515</v>
      </c>
      <c r="M154" s="104">
        <f t="shared" si="74"/>
        <v>940.81018009872389</v>
      </c>
      <c r="N154" s="29">
        <f t="shared" si="86"/>
        <v>170.73587466702037</v>
      </c>
      <c r="O154" s="104">
        <f t="shared" si="75"/>
        <v>18.707015200104497</v>
      </c>
      <c r="P154" s="104">
        <f t="shared" si="87"/>
        <v>3572.8490736602666</v>
      </c>
      <c r="Q154" s="104">
        <f t="shared" si="88"/>
        <v>1155.781040976656</v>
      </c>
      <c r="R154" s="140">
        <f t="shared" si="89"/>
        <v>10135.313222324623</v>
      </c>
      <c r="S154" s="138">
        <f t="shared" si="90"/>
        <v>163.636</v>
      </c>
      <c r="T154" s="104">
        <f t="shared" si="76"/>
        <v>21.062053412326556</v>
      </c>
      <c r="U154" s="139">
        <f t="shared" si="91"/>
        <v>184.69805341232654</v>
      </c>
      <c r="V154" s="104"/>
      <c r="W154" s="104">
        <f t="shared" si="92"/>
        <v>0</v>
      </c>
      <c r="X154" s="139">
        <f t="shared" si="93"/>
        <v>0</v>
      </c>
      <c r="Y154" s="138">
        <v>6787.03</v>
      </c>
      <c r="Z154" s="141">
        <v>0</v>
      </c>
      <c r="AA154" s="104">
        <f t="shared" si="77"/>
        <v>873.57787021842807</v>
      </c>
      <c r="AB154" s="139">
        <f t="shared" si="78"/>
        <v>7660.6078702184277</v>
      </c>
      <c r="AC154" s="138">
        <v>118.075</v>
      </c>
      <c r="AD154" s="104">
        <f t="shared" si="94"/>
        <v>15.197767952409361</v>
      </c>
      <c r="AE154" s="139">
        <f t="shared" si="95"/>
        <v>133.27276795240937</v>
      </c>
      <c r="AF154" s="142">
        <v>1641.2</v>
      </c>
      <c r="AG154" s="104">
        <f t="shared" si="96"/>
        <v>211.2435042430171</v>
      </c>
      <c r="AH154" s="139">
        <f t="shared" si="97"/>
        <v>1852.4435042430171</v>
      </c>
      <c r="AI154" s="142">
        <v>1718.2</v>
      </c>
      <c r="AJ154" s="104">
        <f t="shared" si="98"/>
        <v>221.15439251179134</v>
      </c>
      <c r="AK154" s="139">
        <f t="shared" si="99"/>
        <v>1939.3543925117915</v>
      </c>
      <c r="AL154" s="143"/>
      <c r="AM154" s="143"/>
      <c r="AN154" s="104">
        <f t="shared" si="100"/>
        <v>0</v>
      </c>
      <c r="AO154" s="148">
        <f t="shared" si="101"/>
        <v>0</v>
      </c>
      <c r="AP154" s="272">
        <f t="shared" si="102"/>
        <v>10350.070855724482</v>
      </c>
      <c r="AQ154" s="669">
        <v>0</v>
      </c>
      <c r="AR154" s="726">
        <v>6400.4146340876487</v>
      </c>
      <c r="AS154" s="726">
        <v>3831.1235508404257</v>
      </c>
      <c r="AT154" s="726">
        <v>118.53267079640769</v>
      </c>
      <c r="AU154" s="401">
        <v>0</v>
      </c>
      <c r="AV154" s="786"/>
      <c r="AW154" s="246"/>
      <c r="AX154" s="713">
        <f t="shared" si="103"/>
        <v>297.87206411073487</v>
      </c>
      <c r="AY154" s="714">
        <v>170.73587466702037</v>
      </c>
      <c r="AZ154" s="715"/>
      <c r="BA154" s="716">
        <v>0</v>
      </c>
      <c r="BC154" s="712">
        <v>0</v>
      </c>
      <c r="BD154" s="712">
        <v>297.87206411073487</v>
      </c>
      <c r="BE154" s="712"/>
      <c r="BF154" s="712"/>
      <c r="BG154" s="712">
        <v>0</v>
      </c>
      <c r="BH154" s="712">
        <v>14.249048291713555</v>
      </c>
      <c r="BI154" s="134">
        <f t="shared" si="105"/>
        <v>297.87206411073487</v>
      </c>
      <c r="BJ154" s="123">
        <v>743.8</v>
      </c>
      <c r="BK154" s="792"/>
      <c r="BL154" s="104"/>
      <c r="BM154" s="672"/>
      <c r="BO154" s="562"/>
      <c r="BS154" s="879"/>
      <c r="BT154" s="774"/>
      <c r="BU154" s="774">
        <v>5561.4242943926456</v>
      </c>
      <c r="BV154" s="774">
        <v>0</v>
      </c>
      <c r="BW154" s="774">
        <f t="shared" si="104"/>
        <v>5561.4242943926456</v>
      </c>
    </row>
    <row r="155" spans="1:75" ht="15" thickBot="1" x14ac:dyDescent="0.35">
      <c r="A155" s="210" t="s">
        <v>101</v>
      </c>
      <c r="B155" s="228">
        <v>1</v>
      </c>
      <c r="C155" s="39">
        <f>'[3]побудинковий звіт'!E155</f>
        <v>110.7</v>
      </c>
      <c r="D155" s="205">
        <f t="shared" si="79"/>
        <v>61.328168201035346</v>
      </c>
      <c r="E155" s="104">
        <f t="shared" si="80"/>
        <v>13.492208271678001</v>
      </c>
      <c r="F155" s="104">
        <f t="shared" si="81"/>
        <v>0</v>
      </c>
      <c r="G155" s="104">
        <f t="shared" si="82"/>
        <v>0</v>
      </c>
      <c r="H155" s="104">
        <f t="shared" si="83"/>
        <v>51.238132510891781</v>
      </c>
      <c r="I155" s="104">
        <f t="shared" si="84"/>
        <v>16.225348024218007</v>
      </c>
      <c r="J155" s="672">
        <f t="shared" si="72"/>
        <v>0</v>
      </c>
      <c r="K155" s="139">
        <f t="shared" si="85"/>
        <v>142.28385700782314</v>
      </c>
      <c r="L155" s="138">
        <f t="shared" si="73"/>
        <v>0</v>
      </c>
      <c r="M155" s="104">
        <f t="shared" si="74"/>
        <v>0</v>
      </c>
      <c r="N155" s="29">
        <f t="shared" si="86"/>
        <v>0</v>
      </c>
      <c r="O155" s="104">
        <f t="shared" si="75"/>
        <v>0.19929425297387815</v>
      </c>
      <c r="P155" s="104">
        <f t="shared" si="87"/>
        <v>0</v>
      </c>
      <c r="Q155" s="104">
        <f t="shared" si="88"/>
        <v>2.5651728231596605E-2</v>
      </c>
      <c r="R155" s="140">
        <f t="shared" si="89"/>
        <v>0.22494598120547477</v>
      </c>
      <c r="S155" s="138">
        <f t="shared" si="90"/>
        <v>0</v>
      </c>
      <c r="T155" s="104">
        <f t="shared" si="76"/>
        <v>0</v>
      </c>
      <c r="U155" s="139">
        <f t="shared" si="91"/>
        <v>0</v>
      </c>
      <c r="V155" s="104"/>
      <c r="W155" s="104">
        <f t="shared" si="92"/>
        <v>0</v>
      </c>
      <c r="X155" s="139">
        <f t="shared" si="93"/>
        <v>0</v>
      </c>
      <c r="Y155" s="138">
        <v>0</v>
      </c>
      <c r="Z155" s="141">
        <v>0</v>
      </c>
      <c r="AA155" s="104">
        <f t="shared" si="77"/>
        <v>0</v>
      </c>
      <c r="AB155" s="139">
        <f t="shared" si="78"/>
        <v>0</v>
      </c>
      <c r="AC155" s="138">
        <v>0</v>
      </c>
      <c r="AD155" s="104">
        <f t="shared" si="94"/>
        <v>0</v>
      </c>
      <c r="AE155" s="139">
        <f t="shared" si="95"/>
        <v>0</v>
      </c>
      <c r="AF155" s="142">
        <v>0</v>
      </c>
      <c r="AG155" s="104">
        <f t="shared" si="96"/>
        <v>0</v>
      </c>
      <c r="AH155" s="139">
        <f t="shared" si="97"/>
        <v>0</v>
      </c>
      <c r="AI155" s="142">
        <v>0</v>
      </c>
      <c r="AJ155" s="104">
        <f t="shared" si="98"/>
        <v>0</v>
      </c>
      <c r="AK155" s="139">
        <f t="shared" si="99"/>
        <v>0</v>
      </c>
      <c r="AL155" s="143"/>
      <c r="AM155" s="205"/>
      <c r="AN155" s="104">
        <f t="shared" si="100"/>
        <v>0</v>
      </c>
      <c r="AO155" s="148">
        <f t="shared" si="101"/>
        <v>0</v>
      </c>
      <c r="AP155" s="272">
        <f t="shared" si="102"/>
        <v>0</v>
      </c>
      <c r="AQ155" s="669">
        <v>56.6</v>
      </c>
      <c r="AR155" s="726">
        <v>0</v>
      </c>
      <c r="AS155" s="726">
        <v>0</v>
      </c>
      <c r="AT155" s="726">
        <v>0</v>
      </c>
      <c r="AU155" s="401">
        <v>0</v>
      </c>
      <c r="AV155" s="786"/>
      <c r="AW155" s="246"/>
      <c r="AX155" s="713">
        <f t="shared" si="103"/>
        <v>0</v>
      </c>
      <c r="AY155" s="714">
        <v>0</v>
      </c>
      <c r="AZ155" s="715"/>
      <c r="BA155" s="716">
        <v>0</v>
      </c>
      <c r="BC155" s="712">
        <v>0</v>
      </c>
      <c r="BD155" s="712">
        <v>0</v>
      </c>
      <c r="BE155" s="712"/>
      <c r="BF155" s="712"/>
      <c r="BG155" s="712">
        <v>0</v>
      </c>
      <c r="BH155" s="712">
        <v>0</v>
      </c>
      <c r="BI155" s="134">
        <f>BC155+BD155+BE155+BG155+BH155</f>
        <v>0</v>
      </c>
      <c r="BJ155" s="123"/>
      <c r="BK155" s="792"/>
      <c r="BL155" s="104"/>
      <c r="BM155" s="672"/>
      <c r="BO155" s="562"/>
      <c r="BS155" s="879"/>
      <c r="BT155" s="774"/>
      <c r="BU155" s="774">
        <v>0</v>
      </c>
      <c r="BV155" s="774">
        <v>0</v>
      </c>
      <c r="BW155" s="774">
        <f t="shared" si="104"/>
        <v>0</v>
      </c>
    </row>
    <row r="156" spans="1:75" ht="15" thickBot="1" x14ac:dyDescent="0.35">
      <c r="A156" s="210" t="s">
        <v>102</v>
      </c>
      <c r="B156" s="228">
        <v>1</v>
      </c>
      <c r="C156" s="39">
        <f>'[3]побудинковий звіт'!E156</f>
        <v>211.4</v>
      </c>
      <c r="D156" s="205">
        <f t="shared" si="79"/>
        <v>68.999606908868031</v>
      </c>
      <c r="E156" s="104">
        <f t="shared" si="80"/>
        <v>15.179926196827829</v>
      </c>
      <c r="F156" s="104">
        <f t="shared" si="81"/>
        <v>0</v>
      </c>
      <c r="G156" s="104">
        <f t="shared" si="82"/>
        <v>0</v>
      </c>
      <c r="H156" s="104">
        <f t="shared" si="83"/>
        <v>57.647425411547495</v>
      </c>
      <c r="I156" s="104">
        <f t="shared" si="84"/>
        <v>18.254949861876373</v>
      </c>
      <c r="J156" s="672">
        <f t="shared" si="72"/>
        <v>0</v>
      </c>
      <c r="K156" s="139">
        <f t="shared" si="85"/>
        <v>160.08190837911974</v>
      </c>
      <c r="L156" s="138">
        <f t="shared" si="73"/>
        <v>0</v>
      </c>
      <c r="M156" s="104">
        <f t="shared" si="74"/>
        <v>0</v>
      </c>
      <c r="N156" s="29">
        <f t="shared" si="86"/>
        <v>0</v>
      </c>
      <c r="O156" s="104">
        <f t="shared" si="75"/>
        <v>0.38058541173150712</v>
      </c>
      <c r="P156" s="104">
        <f t="shared" si="87"/>
        <v>0</v>
      </c>
      <c r="Q156" s="104">
        <f t="shared" si="88"/>
        <v>4.8986227173979421E-2</v>
      </c>
      <c r="R156" s="140">
        <f t="shared" si="89"/>
        <v>0.42957163890548655</v>
      </c>
      <c r="S156" s="138">
        <f t="shared" si="90"/>
        <v>0</v>
      </c>
      <c r="T156" s="104">
        <f t="shared" si="76"/>
        <v>0</v>
      </c>
      <c r="U156" s="139">
        <f t="shared" si="91"/>
        <v>0</v>
      </c>
      <c r="V156" s="104"/>
      <c r="W156" s="104">
        <f t="shared" si="92"/>
        <v>0</v>
      </c>
      <c r="X156" s="139">
        <f t="shared" si="93"/>
        <v>0</v>
      </c>
      <c r="Y156" s="138">
        <v>0</v>
      </c>
      <c r="Z156" s="141">
        <v>0</v>
      </c>
      <c r="AA156" s="104">
        <f t="shared" si="77"/>
        <v>0</v>
      </c>
      <c r="AB156" s="139">
        <f t="shared" si="78"/>
        <v>0</v>
      </c>
      <c r="AC156" s="138">
        <v>0</v>
      </c>
      <c r="AD156" s="104">
        <f t="shared" si="94"/>
        <v>0</v>
      </c>
      <c r="AE156" s="139">
        <f t="shared" si="95"/>
        <v>0</v>
      </c>
      <c r="AF156" s="142">
        <v>0</v>
      </c>
      <c r="AG156" s="104">
        <f t="shared" si="96"/>
        <v>0</v>
      </c>
      <c r="AH156" s="139">
        <f t="shared" si="97"/>
        <v>0</v>
      </c>
      <c r="AI156" s="142">
        <v>0</v>
      </c>
      <c r="AJ156" s="104">
        <f t="shared" si="98"/>
        <v>0</v>
      </c>
      <c r="AK156" s="139">
        <f t="shared" si="99"/>
        <v>0</v>
      </c>
      <c r="AL156" s="143"/>
      <c r="AM156" s="205"/>
      <c r="AN156" s="104">
        <f t="shared" si="100"/>
        <v>0</v>
      </c>
      <c r="AO156" s="148">
        <f t="shared" si="101"/>
        <v>0</v>
      </c>
      <c r="AP156" s="272">
        <f t="shared" si="102"/>
        <v>0</v>
      </c>
      <c r="AQ156" s="669">
        <v>63.68</v>
      </c>
      <c r="AR156" s="726">
        <v>0</v>
      </c>
      <c r="AS156" s="726">
        <v>0</v>
      </c>
      <c r="AT156" s="726">
        <v>0</v>
      </c>
      <c r="AU156" s="401">
        <v>0</v>
      </c>
      <c r="AV156" s="786"/>
      <c r="AW156" s="246"/>
      <c r="AX156" s="713">
        <f t="shared" si="103"/>
        <v>0</v>
      </c>
      <c r="AY156" s="714">
        <v>0</v>
      </c>
      <c r="AZ156" s="715"/>
      <c r="BA156" s="716">
        <v>0</v>
      </c>
      <c r="BC156" s="712">
        <v>0</v>
      </c>
      <c r="BD156" s="712">
        <v>0</v>
      </c>
      <c r="BE156" s="712"/>
      <c r="BF156" s="712"/>
      <c r="BG156" s="712">
        <v>0</v>
      </c>
      <c r="BH156" s="712">
        <v>0</v>
      </c>
      <c r="BI156" s="134">
        <f>BC156+BD156+BE156+BG156+BH156</f>
        <v>0</v>
      </c>
      <c r="BJ156" s="123"/>
      <c r="BK156" s="792"/>
      <c r="BL156" s="104"/>
      <c r="BM156" s="672"/>
      <c r="BO156" s="562"/>
      <c r="BS156" s="879"/>
      <c r="BT156" s="774"/>
      <c r="BU156" s="774">
        <v>0</v>
      </c>
      <c r="BV156" s="774">
        <v>0</v>
      </c>
      <c r="BW156" s="774">
        <f t="shared" si="104"/>
        <v>0</v>
      </c>
    </row>
    <row r="157" spans="1:75" ht="15" thickBot="1" x14ac:dyDescent="0.35">
      <c r="A157" s="209" t="s">
        <v>368</v>
      </c>
      <c r="B157" s="227">
        <v>9</v>
      </c>
      <c r="C157" s="39">
        <f>'[3]побудинковий звіт'!E157</f>
        <v>7425.1</v>
      </c>
      <c r="D157" s="205">
        <f t="shared" si="79"/>
        <v>6577.539318594746</v>
      </c>
      <c r="E157" s="104">
        <f t="shared" si="80"/>
        <v>1447.0598585420184</v>
      </c>
      <c r="F157" s="104">
        <f t="shared" si="81"/>
        <v>215.0675471451969</v>
      </c>
      <c r="G157" s="104">
        <f t="shared" si="82"/>
        <v>0</v>
      </c>
      <c r="H157" s="104">
        <f t="shared" si="83"/>
        <v>5495.367644065208</v>
      </c>
      <c r="I157" s="104">
        <f t="shared" si="84"/>
        <v>1767.8752076943276</v>
      </c>
      <c r="J157" s="672">
        <f t="shared" si="72"/>
        <v>0</v>
      </c>
      <c r="K157" s="139">
        <f t="shared" si="85"/>
        <v>15502.909576041497</v>
      </c>
      <c r="L157" s="138">
        <f t="shared" si="73"/>
        <v>1919.0463693339727</v>
      </c>
      <c r="M157" s="104">
        <f t="shared" si="74"/>
        <v>422.18821410035378</v>
      </c>
      <c r="N157" s="29">
        <f t="shared" si="86"/>
        <v>272.11790807398575</v>
      </c>
      <c r="O157" s="104">
        <f t="shared" si="75"/>
        <v>13.367477486507161</v>
      </c>
      <c r="P157" s="104">
        <f t="shared" si="87"/>
        <v>1603.3146766124978</v>
      </c>
      <c r="Q157" s="104">
        <f t="shared" si="88"/>
        <v>544.45974994361347</v>
      </c>
      <c r="R157" s="140">
        <f t="shared" si="89"/>
        <v>4774.4943955509298</v>
      </c>
      <c r="S157" s="138">
        <f t="shared" si="90"/>
        <v>165.08799999999999</v>
      </c>
      <c r="T157" s="104">
        <f t="shared" si="76"/>
        <v>21.248944448252011</v>
      </c>
      <c r="U157" s="139">
        <f t="shared" si="91"/>
        <v>186.33694444825201</v>
      </c>
      <c r="V157" s="104"/>
      <c r="W157" s="104">
        <f t="shared" si="92"/>
        <v>0</v>
      </c>
      <c r="X157" s="139">
        <f t="shared" si="93"/>
        <v>0</v>
      </c>
      <c r="Y157" s="138">
        <v>5307.92</v>
      </c>
      <c r="Z157" s="141">
        <v>0</v>
      </c>
      <c r="AA157" s="104">
        <f t="shared" si="77"/>
        <v>683.19742934535418</v>
      </c>
      <c r="AB157" s="139">
        <f t="shared" si="78"/>
        <v>5991.1174293453541</v>
      </c>
      <c r="AC157" s="138">
        <v>118.075</v>
      </c>
      <c r="AD157" s="104">
        <f t="shared" si="94"/>
        <v>15.197767952409361</v>
      </c>
      <c r="AE157" s="139">
        <f t="shared" si="95"/>
        <v>133.27276795240937</v>
      </c>
      <c r="AF157" s="142">
        <v>1287</v>
      </c>
      <c r="AG157" s="104">
        <f t="shared" si="96"/>
        <v>165.65341820665549</v>
      </c>
      <c r="AH157" s="139">
        <f t="shared" si="97"/>
        <v>1452.6534182066555</v>
      </c>
      <c r="AI157" s="142">
        <v>1183.5999999999999</v>
      </c>
      <c r="AJ157" s="104">
        <f t="shared" si="98"/>
        <v>152.3445111028729</v>
      </c>
      <c r="AK157" s="139">
        <f t="shared" si="99"/>
        <v>1335.9445111028729</v>
      </c>
      <c r="AL157" s="143"/>
      <c r="AM157" s="143"/>
      <c r="AN157" s="104">
        <f t="shared" si="100"/>
        <v>0</v>
      </c>
      <c r="AO157" s="148">
        <f t="shared" si="101"/>
        <v>0</v>
      </c>
      <c r="AP157" s="272">
        <f t="shared" si="102"/>
        <v>7842.8428299729803</v>
      </c>
      <c r="AQ157" s="669">
        <v>0</v>
      </c>
      <c r="AR157" s="726">
        <v>6070.4360875754583</v>
      </c>
      <c r="AS157" s="726">
        <v>1703.8851916544004</v>
      </c>
      <c r="AT157" s="726">
        <v>68.521550743122035</v>
      </c>
      <c r="AU157" s="401">
        <v>0</v>
      </c>
      <c r="AV157" s="786"/>
      <c r="AW157" s="246"/>
      <c r="AX157" s="713">
        <f t="shared" si="103"/>
        <v>215.0675471451969</v>
      </c>
      <c r="AY157" s="714">
        <v>272.11790807398575</v>
      </c>
      <c r="AZ157" s="715"/>
      <c r="BA157" s="716">
        <v>0</v>
      </c>
      <c r="BC157" s="712">
        <v>0</v>
      </c>
      <c r="BD157" s="712">
        <v>215.0675471451969</v>
      </c>
      <c r="BE157" s="712"/>
      <c r="BF157" s="712"/>
      <c r="BG157" s="712">
        <v>0</v>
      </c>
      <c r="BH157" s="712">
        <v>12.207723801086983</v>
      </c>
      <c r="BI157" s="134">
        <f>BC157+BD157+BE157+BG157</f>
        <v>215.0675471451969</v>
      </c>
      <c r="BJ157" s="123">
        <v>750.4</v>
      </c>
      <c r="BK157" s="792"/>
      <c r="BL157" s="104"/>
      <c r="BM157" s="672"/>
      <c r="BO157" s="562"/>
      <c r="BS157" s="879"/>
      <c r="BT157" s="774"/>
      <c r="BU157" s="774">
        <v>5875.7950945713237</v>
      </c>
      <c r="BV157" s="774">
        <v>0</v>
      </c>
      <c r="BW157" s="774">
        <f t="shared" si="104"/>
        <v>5875.7950945713237</v>
      </c>
    </row>
    <row r="158" spans="1:75" ht="15" thickBot="1" x14ac:dyDescent="0.35">
      <c r="A158" s="209" t="s">
        <v>335</v>
      </c>
      <c r="B158" s="227">
        <v>8</v>
      </c>
      <c r="C158" s="39">
        <f>'[3]побудинковий звіт'!E158</f>
        <v>6125.75</v>
      </c>
      <c r="D158" s="205">
        <f t="shared" si="79"/>
        <v>4307.0560272103821</v>
      </c>
      <c r="E158" s="104">
        <f t="shared" si="80"/>
        <v>947.55311729541381</v>
      </c>
      <c r="F158" s="104">
        <f t="shared" si="81"/>
        <v>177.38198932677651</v>
      </c>
      <c r="G158" s="104">
        <f t="shared" si="82"/>
        <v>0</v>
      </c>
      <c r="H158" s="104">
        <f t="shared" si="83"/>
        <v>3598.4363128314508</v>
      </c>
      <c r="I158" s="104">
        <f t="shared" si="84"/>
        <v>1162.3319148462281</v>
      </c>
      <c r="J158" s="672">
        <f t="shared" si="72"/>
        <v>0</v>
      </c>
      <c r="K158" s="139">
        <f t="shared" si="85"/>
        <v>10192.759361510252</v>
      </c>
      <c r="L158" s="138">
        <f t="shared" si="73"/>
        <v>1883.44344721372</v>
      </c>
      <c r="M158" s="104">
        <f t="shared" si="74"/>
        <v>414.35560810036418</v>
      </c>
      <c r="N158" s="29">
        <f t="shared" si="86"/>
        <v>150.72731810525457</v>
      </c>
      <c r="O158" s="104">
        <f t="shared" si="75"/>
        <v>11.028245439518827</v>
      </c>
      <c r="P158" s="104">
        <f t="shared" si="87"/>
        <v>1573.569336177861</v>
      </c>
      <c r="Q158" s="104">
        <f t="shared" si="88"/>
        <v>519.11481678553071</v>
      </c>
      <c r="R158" s="140">
        <f t="shared" si="89"/>
        <v>4552.2387718222499</v>
      </c>
      <c r="S158" s="138">
        <f t="shared" si="90"/>
        <v>184.79999999999998</v>
      </c>
      <c r="T158" s="104">
        <f t="shared" si="76"/>
        <v>23.786131845058222</v>
      </c>
      <c r="U158" s="139">
        <f t="shared" si="91"/>
        <v>208.58613184505822</v>
      </c>
      <c r="V158" s="104"/>
      <c r="W158" s="104">
        <f t="shared" si="92"/>
        <v>0</v>
      </c>
      <c r="X158" s="139">
        <f t="shared" si="93"/>
        <v>0</v>
      </c>
      <c r="Y158" s="138">
        <v>5555.89</v>
      </c>
      <c r="Z158" s="141">
        <v>0</v>
      </c>
      <c r="AA158" s="104">
        <f t="shared" si="77"/>
        <v>715.11435095584704</v>
      </c>
      <c r="AB158" s="139">
        <f t="shared" si="78"/>
        <v>6271.0043509558473</v>
      </c>
      <c r="AC158" s="138">
        <v>118.075</v>
      </c>
      <c r="AD158" s="104">
        <f t="shared" si="94"/>
        <v>15.197767952409361</v>
      </c>
      <c r="AE158" s="139">
        <f t="shared" si="95"/>
        <v>133.27276795240937</v>
      </c>
      <c r="AF158" s="142">
        <v>0</v>
      </c>
      <c r="AG158" s="104">
        <f t="shared" si="96"/>
        <v>0</v>
      </c>
      <c r="AH158" s="139">
        <f t="shared" si="97"/>
        <v>0</v>
      </c>
      <c r="AI158" s="142">
        <v>1146.2</v>
      </c>
      <c r="AJ158" s="104">
        <f t="shared" si="98"/>
        <v>147.53065108661113</v>
      </c>
      <c r="AK158" s="139">
        <f t="shared" si="99"/>
        <v>1293.7306510866113</v>
      </c>
      <c r="AL158" s="143"/>
      <c r="AM158" s="143"/>
      <c r="AN158" s="104">
        <f t="shared" si="100"/>
        <v>0</v>
      </c>
      <c r="AO158" s="148">
        <f t="shared" si="101"/>
        <v>0</v>
      </c>
      <c r="AP158" s="272">
        <f t="shared" si="102"/>
        <v>5714.5227486308322</v>
      </c>
      <c r="AQ158" s="669">
        <v>0</v>
      </c>
      <c r="AR158" s="726">
        <v>3974.9984108606091</v>
      </c>
      <c r="AS158" s="726">
        <v>1676.5094492621226</v>
      </c>
      <c r="AT158" s="726">
        <v>63.014888508100391</v>
      </c>
      <c r="AU158" s="401">
        <v>0</v>
      </c>
      <c r="AV158" s="786"/>
      <c r="AW158" s="246"/>
      <c r="AX158" s="713">
        <f t="shared" si="103"/>
        <v>177.38198932677651</v>
      </c>
      <c r="AY158" s="714">
        <v>150.72731810525457</v>
      </c>
      <c r="AZ158" s="715"/>
      <c r="BA158" s="716">
        <v>0</v>
      </c>
      <c r="BC158" s="712">
        <v>0</v>
      </c>
      <c r="BD158" s="712">
        <v>177.38198932677651</v>
      </c>
      <c r="BE158" s="712"/>
      <c r="BF158" s="712"/>
      <c r="BG158" s="712">
        <v>0</v>
      </c>
      <c r="BH158" s="712">
        <v>10.05578566811119</v>
      </c>
      <c r="BI158" s="134">
        <f>BC158+BD158+BE158+BG158</f>
        <v>177.38198932677651</v>
      </c>
      <c r="BJ158" s="123">
        <v>840</v>
      </c>
      <c r="BK158" s="792"/>
      <c r="BL158" s="104"/>
      <c r="BM158" s="672"/>
      <c r="BO158" s="562"/>
      <c r="BS158" s="879"/>
      <c r="BT158" s="774"/>
      <c r="BU158" s="774">
        <v>3859.6824660375541</v>
      </c>
      <c r="BV158" s="774">
        <v>0</v>
      </c>
      <c r="BW158" s="774">
        <f t="shared" si="104"/>
        <v>3859.6824660375541</v>
      </c>
    </row>
    <row r="159" spans="1:75" ht="15" thickBot="1" x14ac:dyDescent="0.35">
      <c r="A159" s="210" t="s">
        <v>103</v>
      </c>
      <c r="B159" s="228">
        <v>1</v>
      </c>
      <c r="C159" s="39">
        <f>'[3]побудинковий звіт'!E159</f>
        <v>159.9</v>
      </c>
      <c r="D159" s="205">
        <f t="shared" si="79"/>
        <v>115.00656842505109</v>
      </c>
      <c r="E159" s="104">
        <f t="shared" si="80"/>
        <v>25.301466182966486</v>
      </c>
      <c r="F159" s="104">
        <f t="shared" si="81"/>
        <v>0</v>
      </c>
      <c r="G159" s="104">
        <f t="shared" si="82"/>
        <v>0</v>
      </c>
      <c r="H159" s="104">
        <f t="shared" si="83"/>
        <v>96.085077468304831</v>
      </c>
      <c r="I159" s="104">
        <f t="shared" si="84"/>
        <v>30.426827549302111</v>
      </c>
      <c r="J159" s="672">
        <f t="shared" si="72"/>
        <v>0</v>
      </c>
      <c r="K159" s="139">
        <f t="shared" si="85"/>
        <v>266.8199396256245</v>
      </c>
      <c r="L159" s="138">
        <f t="shared" si="73"/>
        <v>0</v>
      </c>
      <c r="M159" s="104">
        <f t="shared" si="74"/>
        <v>0</v>
      </c>
      <c r="N159" s="29">
        <f t="shared" si="86"/>
        <v>0</v>
      </c>
      <c r="O159" s="104">
        <f t="shared" si="75"/>
        <v>0.28786947651782402</v>
      </c>
      <c r="P159" s="104">
        <f t="shared" si="87"/>
        <v>0</v>
      </c>
      <c r="Q159" s="104">
        <f t="shared" si="88"/>
        <v>3.705249633452843E-2</v>
      </c>
      <c r="R159" s="140">
        <f t="shared" si="89"/>
        <v>0.32492197285235247</v>
      </c>
      <c r="S159" s="138">
        <f t="shared" si="90"/>
        <v>0</v>
      </c>
      <c r="T159" s="104">
        <f t="shared" si="76"/>
        <v>0</v>
      </c>
      <c r="U159" s="139">
        <f t="shared" si="91"/>
        <v>0</v>
      </c>
      <c r="V159" s="104"/>
      <c r="W159" s="104">
        <f t="shared" si="92"/>
        <v>0</v>
      </c>
      <c r="X159" s="139">
        <f t="shared" si="93"/>
        <v>0</v>
      </c>
      <c r="Y159" s="138">
        <v>0</v>
      </c>
      <c r="Z159" s="141">
        <v>0</v>
      </c>
      <c r="AA159" s="104">
        <f t="shared" si="77"/>
        <v>0</v>
      </c>
      <c r="AB159" s="139">
        <f t="shared" si="78"/>
        <v>0</v>
      </c>
      <c r="AC159" s="138">
        <v>0</v>
      </c>
      <c r="AD159" s="104">
        <f t="shared" si="94"/>
        <v>0</v>
      </c>
      <c r="AE159" s="139">
        <f t="shared" si="95"/>
        <v>0</v>
      </c>
      <c r="AF159" s="142">
        <v>0</v>
      </c>
      <c r="AG159" s="104">
        <f t="shared" si="96"/>
        <v>0</v>
      </c>
      <c r="AH159" s="139">
        <f t="shared" si="97"/>
        <v>0</v>
      </c>
      <c r="AI159" s="142">
        <v>0</v>
      </c>
      <c r="AJ159" s="104">
        <f t="shared" si="98"/>
        <v>0</v>
      </c>
      <c r="AK159" s="139">
        <f t="shared" si="99"/>
        <v>0</v>
      </c>
      <c r="AL159" s="143"/>
      <c r="AM159" s="205"/>
      <c r="AN159" s="104">
        <f t="shared" si="100"/>
        <v>0</v>
      </c>
      <c r="AO159" s="148">
        <f t="shared" si="101"/>
        <v>0</v>
      </c>
      <c r="AP159" s="272">
        <f t="shared" si="102"/>
        <v>0</v>
      </c>
      <c r="AQ159" s="669">
        <v>106.14</v>
      </c>
      <c r="AR159" s="726">
        <v>0</v>
      </c>
      <c r="AS159" s="726">
        <v>0</v>
      </c>
      <c r="AT159" s="726">
        <v>0</v>
      </c>
      <c r="AU159" s="401">
        <v>0</v>
      </c>
      <c r="AV159" s="786"/>
      <c r="AW159" s="246"/>
      <c r="AX159" s="713">
        <f t="shared" si="103"/>
        <v>0</v>
      </c>
      <c r="AY159" s="714">
        <v>0</v>
      </c>
      <c r="AZ159" s="715"/>
      <c r="BA159" s="716">
        <v>0</v>
      </c>
      <c r="BC159" s="712">
        <v>0</v>
      </c>
      <c r="BD159" s="712">
        <v>0</v>
      </c>
      <c r="BE159" s="712"/>
      <c r="BF159" s="712"/>
      <c r="BG159" s="712">
        <v>0</v>
      </c>
      <c r="BH159" s="712">
        <v>0</v>
      </c>
      <c r="BI159" s="134">
        <f>BC159+BD159+BE159+BG159+BH159</f>
        <v>0</v>
      </c>
      <c r="BJ159" s="123"/>
      <c r="BK159" s="792"/>
      <c r="BL159" s="104"/>
      <c r="BM159" s="672"/>
      <c r="BO159" s="562"/>
      <c r="BS159" s="879"/>
      <c r="BT159" s="774"/>
      <c r="BU159" s="774">
        <v>0</v>
      </c>
      <c r="BV159" s="774">
        <v>0</v>
      </c>
      <c r="BW159" s="774">
        <f t="shared" si="104"/>
        <v>0</v>
      </c>
    </row>
    <row r="160" spans="1:75" ht="15" thickBot="1" x14ac:dyDescent="0.35">
      <c r="A160" s="210" t="s">
        <v>104</v>
      </c>
      <c r="B160" s="228">
        <v>1</v>
      </c>
      <c r="C160" s="39">
        <f>'[3]побудинковий звіт'!E160</f>
        <v>161.4</v>
      </c>
      <c r="D160" s="205">
        <f t="shared" si="79"/>
        <v>115.00656842505109</v>
      </c>
      <c r="E160" s="104">
        <f t="shared" si="80"/>
        <v>25.301466182966486</v>
      </c>
      <c r="F160" s="104">
        <f t="shared" si="81"/>
        <v>0</v>
      </c>
      <c r="G160" s="104">
        <f t="shared" si="82"/>
        <v>0</v>
      </c>
      <c r="H160" s="104">
        <f t="shared" si="83"/>
        <v>96.085077468304831</v>
      </c>
      <c r="I160" s="104">
        <f t="shared" si="84"/>
        <v>30.426827549302111</v>
      </c>
      <c r="J160" s="672">
        <f t="shared" si="72"/>
        <v>0</v>
      </c>
      <c r="K160" s="139">
        <f t="shared" si="85"/>
        <v>266.8199396256245</v>
      </c>
      <c r="L160" s="138">
        <f t="shared" si="73"/>
        <v>0</v>
      </c>
      <c r="M160" s="104">
        <f t="shared" si="74"/>
        <v>0</v>
      </c>
      <c r="N160" s="29">
        <f t="shared" si="86"/>
        <v>0</v>
      </c>
      <c r="O160" s="104">
        <f t="shared" si="75"/>
        <v>0.29056994065026137</v>
      </c>
      <c r="P160" s="104">
        <f t="shared" si="87"/>
        <v>0</v>
      </c>
      <c r="Q160" s="104">
        <f t="shared" si="88"/>
        <v>3.7400080727910498E-2</v>
      </c>
      <c r="R160" s="140">
        <f t="shared" si="89"/>
        <v>0.32797002137817188</v>
      </c>
      <c r="S160" s="138">
        <f t="shared" si="90"/>
        <v>0</v>
      </c>
      <c r="T160" s="104">
        <f t="shared" si="76"/>
        <v>0</v>
      </c>
      <c r="U160" s="139">
        <f t="shared" si="91"/>
        <v>0</v>
      </c>
      <c r="V160" s="104"/>
      <c r="W160" s="104">
        <f t="shared" si="92"/>
        <v>0</v>
      </c>
      <c r="X160" s="139">
        <f t="shared" si="93"/>
        <v>0</v>
      </c>
      <c r="Y160" s="138">
        <v>0</v>
      </c>
      <c r="Z160" s="141">
        <v>0</v>
      </c>
      <c r="AA160" s="104">
        <f t="shared" si="77"/>
        <v>0</v>
      </c>
      <c r="AB160" s="139">
        <f t="shared" si="78"/>
        <v>0</v>
      </c>
      <c r="AC160" s="138">
        <v>0</v>
      </c>
      <c r="AD160" s="104">
        <f t="shared" si="94"/>
        <v>0</v>
      </c>
      <c r="AE160" s="139">
        <f t="shared" si="95"/>
        <v>0</v>
      </c>
      <c r="AF160" s="142">
        <v>0</v>
      </c>
      <c r="AG160" s="104">
        <f t="shared" si="96"/>
        <v>0</v>
      </c>
      <c r="AH160" s="139">
        <f t="shared" si="97"/>
        <v>0</v>
      </c>
      <c r="AI160" s="142">
        <v>0</v>
      </c>
      <c r="AJ160" s="104">
        <f t="shared" si="98"/>
        <v>0</v>
      </c>
      <c r="AK160" s="139">
        <f t="shared" si="99"/>
        <v>0</v>
      </c>
      <c r="AL160" s="143"/>
      <c r="AM160" s="205"/>
      <c r="AN160" s="104">
        <f t="shared" si="100"/>
        <v>0</v>
      </c>
      <c r="AO160" s="148">
        <f t="shared" si="101"/>
        <v>0</v>
      </c>
      <c r="AP160" s="272">
        <f t="shared" si="102"/>
        <v>0</v>
      </c>
      <c r="AQ160" s="669">
        <v>106.14</v>
      </c>
      <c r="AR160" s="726">
        <v>0</v>
      </c>
      <c r="AS160" s="726">
        <v>0</v>
      </c>
      <c r="AT160" s="726">
        <v>0</v>
      </c>
      <c r="AU160" s="401">
        <v>0</v>
      </c>
      <c r="AV160" s="786"/>
      <c r="AW160" s="246"/>
      <c r="AX160" s="713">
        <f t="shared" si="103"/>
        <v>0</v>
      </c>
      <c r="AY160" s="714">
        <v>0</v>
      </c>
      <c r="AZ160" s="715"/>
      <c r="BA160" s="716">
        <v>0</v>
      </c>
      <c r="BC160" s="712">
        <v>0</v>
      </c>
      <c r="BD160" s="712">
        <v>0</v>
      </c>
      <c r="BE160" s="712"/>
      <c r="BF160" s="712"/>
      <c r="BG160" s="712">
        <v>0</v>
      </c>
      <c r="BH160" s="712">
        <v>0</v>
      </c>
      <c r="BI160" s="134">
        <f>BC160+BD160+BE160+BG160+BH160</f>
        <v>0</v>
      </c>
      <c r="BJ160" s="123"/>
      <c r="BK160" s="792"/>
      <c r="BL160" s="104"/>
      <c r="BM160" s="672"/>
      <c r="BO160" s="562"/>
      <c r="BS160" s="879"/>
      <c r="BT160" s="774"/>
      <c r="BU160" s="774">
        <v>0</v>
      </c>
      <c r="BV160" s="774">
        <v>0</v>
      </c>
      <c r="BW160" s="774">
        <f t="shared" si="104"/>
        <v>0</v>
      </c>
    </row>
    <row r="161" spans="1:75" ht="15" thickBot="1" x14ac:dyDescent="0.35">
      <c r="A161" s="209" t="s">
        <v>369</v>
      </c>
      <c r="B161" s="227">
        <v>9</v>
      </c>
      <c r="C161" s="39">
        <f>'[3]побудинковий звіт'!E161</f>
        <v>6020</v>
      </c>
      <c r="D161" s="205">
        <f t="shared" si="79"/>
        <v>2313.5144863139321</v>
      </c>
      <c r="E161" s="104">
        <f t="shared" si="80"/>
        <v>508.97361203696858</v>
      </c>
      <c r="F161" s="104">
        <f t="shared" si="81"/>
        <v>178.5282927155603</v>
      </c>
      <c r="G161" s="104">
        <f t="shared" si="82"/>
        <v>0</v>
      </c>
      <c r="H161" s="104">
        <f t="shared" si="83"/>
        <v>1932.8828056145949</v>
      </c>
      <c r="I161" s="104">
        <f t="shared" si="84"/>
        <v>635.05615152858468</v>
      </c>
      <c r="J161" s="672">
        <f t="shared" si="72"/>
        <v>0</v>
      </c>
      <c r="K161" s="139">
        <f t="shared" si="85"/>
        <v>5568.9553482096399</v>
      </c>
      <c r="L161" s="138">
        <f t="shared" si="73"/>
        <v>1371.7776820759311</v>
      </c>
      <c r="M161" s="104">
        <f t="shared" si="74"/>
        <v>301.78966959477918</v>
      </c>
      <c r="N161" s="29">
        <f t="shared" si="86"/>
        <v>248.99601209164396</v>
      </c>
      <c r="O161" s="104">
        <f t="shared" si="75"/>
        <v>10.837862718181992</v>
      </c>
      <c r="P161" s="104">
        <f t="shared" si="87"/>
        <v>1146.0855380399889</v>
      </c>
      <c r="Q161" s="104">
        <f t="shared" si="88"/>
        <v>396.36947075755938</v>
      </c>
      <c r="R161" s="140">
        <f t="shared" si="89"/>
        <v>3475.8562352780846</v>
      </c>
      <c r="S161" s="138">
        <f t="shared" si="90"/>
        <v>202.07000000000002</v>
      </c>
      <c r="T161" s="104">
        <f t="shared" si="76"/>
        <v>26.009002499626167</v>
      </c>
      <c r="U161" s="139">
        <f t="shared" si="91"/>
        <v>228.0790024996262</v>
      </c>
      <c r="V161" s="720"/>
      <c r="W161" s="104">
        <f t="shared" si="92"/>
        <v>0</v>
      </c>
      <c r="X161" s="139">
        <f t="shared" si="93"/>
        <v>0</v>
      </c>
      <c r="Y161" s="138">
        <v>6420.61</v>
      </c>
      <c r="Z161" s="141">
        <v>0</v>
      </c>
      <c r="AA161" s="104">
        <f t="shared" si="77"/>
        <v>826.41491334252851</v>
      </c>
      <c r="AB161" s="139">
        <f t="shared" si="78"/>
        <v>7247.0249133425277</v>
      </c>
      <c r="AC161" s="138">
        <v>0</v>
      </c>
      <c r="AD161" s="104">
        <f t="shared" si="94"/>
        <v>0</v>
      </c>
      <c r="AE161" s="139">
        <f t="shared" si="95"/>
        <v>0</v>
      </c>
      <c r="AF161" s="142">
        <v>1540</v>
      </c>
      <c r="AG161" s="104">
        <f t="shared" si="96"/>
        <v>198.21776537548519</v>
      </c>
      <c r="AH161" s="139">
        <f t="shared" si="97"/>
        <v>1738.2177653754852</v>
      </c>
      <c r="AI161" s="142">
        <v>1322.2</v>
      </c>
      <c r="AJ161" s="104">
        <f t="shared" si="98"/>
        <v>170.18410998666658</v>
      </c>
      <c r="AK161" s="139">
        <f t="shared" si="99"/>
        <v>1492.3841099866665</v>
      </c>
      <c r="AL161" s="143"/>
      <c r="AM161" s="391"/>
      <c r="AN161" s="104">
        <f t="shared" si="100"/>
        <v>0</v>
      </c>
      <c r="AO161" s="148">
        <f t="shared" si="101"/>
        <v>0</v>
      </c>
      <c r="AP161" s="272">
        <f t="shared" si="102"/>
        <v>3402.1076956198549</v>
      </c>
      <c r="AQ161" s="669">
        <v>0</v>
      </c>
      <c r="AR161" s="726">
        <v>2135.1513303989072</v>
      </c>
      <c r="AS161" s="726">
        <v>1228.1397630202885</v>
      </c>
      <c r="AT161" s="726">
        <v>38.816602200658735</v>
      </c>
      <c r="AU161" s="401">
        <v>0</v>
      </c>
      <c r="AV161" s="786"/>
      <c r="AW161" s="246"/>
      <c r="AX161" s="713">
        <f t="shared" si="103"/>
        <v>178.5282927155603</v>
      </c>
      <c r="AY161" s="714">
        <v>248.99601209164396</v>
      </c>
      <c r="AZ161" s="715"/>
      <c r="BA161" s="716">
        <v>0</v>
      </c>
      <c r="BC161" s="712">
        <v>0</v>
      </c>
      <c r="BD161" s="712">
        <v>178.5282927155603</v>
      </c>
      <c r="BE161" s="712"/>
      <c r="BF161" s="712"/>
      <c r="BG161" s="712">
        <v>0</v>
      </c>
      <c r="BH161" s="712">
        <v>14.078099935355665</v>
      </c>
      <c r="BI161" s="134">
        <f>BC161+BD161+BE161+BG161</f>
        <v>178.5282927155603</v>
      </c>
      <c r="BJ161" s="123">
        <v>918.5</v>
      </c>
      <c r="BK161" s="792"/>
      <c r="BL161" s="104"/>
      <c r="BM161" s="672"/>
      <c r="BO161" s="562"/>
      <c r="BS161" s="879"/>
      <c r="BT161" s="774"/>
      <c r="BU161" s="774">
        <v>1711.6223142057765</v>
      </c>
      <c r="BV161" s="774">
        <v>0</v>
      </c>
      <c r="BW161" s="774">
        <f t="shared" si="104"/>
        <v>1711.6223142057765</v>
      </c>
    </row>
    <row r="162" spans="1:75" ht="15" thickBot="1" x14ac:dyDescent="0.35">
      <c r="A162" s="210" t="s">
        <v>105</v>
      </c>
      <c r="B162" s="228">
        <v>1</v>
      </c>
      <c r="C162" s="39">
        <f>'[3]побудинковий звіт'!E162</f>
        <v>108.3</v>
      </c>
      <c r="D162" s="205">
        <f t="shared" si="79"/>
        <v>0</v>
      </c>
      <c r="E162" s="104">
        <f t="shared" si="80"/>
        <v>0</v>
      </c>
      <c r="F162" s="104">
        <f t="shared" si="81"/>
        <v>0</v>
      </c>
      <c r="G162" s="104">
        <f t="shared" si="82"/>
        <v>0</v>
      </c>
      <c r="H162" s="104">
        <f t="shared" si="83"/>
        <v>0</v>
      </c>
      <c r="I162" s="104">
        <f t="shared" si="84"/>
        <v>0</v>
      </c>
      <c r="J162" s="672">
        <f t="shared" si="72"/>
        <v>0</v>
      </c>
      <c r="K162" s="139">
        <f t="shared" si="85"/>
        <v>0</v>
      </c>
      <c r="L162" s="138">
        <f t="shared" si="73"/>
        <v>0</v>
      </c>
      <c r="M162" s="104">
        <f t="shared" si="74"/>
        <v>0</v>
      </c>
      <c r="N162" s="29">
        <f t="shared" si="86"/>
        <v>0</v>
      </c>
      <c r="O162" s="104">
        <f t="shared" si="75"/>
        <v>0.19497351036197835</v>
      </c>
      <c r="P162" s="104">
        <f t="shared" si="87"/>
        <v>0</v>
      </c>
      <c r="Q162" s="104">
        <f t="shared" si="88"/>
        <v>2.5095593202185296E-2</v>
      </c>
      <c r="R162" s="140">
        <f t="shared" si="89"/>
        <v>0.22006910356416365</v>
      </c>
      <c r="S162" s="138">
        <f t="shared" si="90"/>
        <v>0</v>
      </c>
      <c r="T162" s="104">
        <f t="shared" si="76"/>
        <v>0</v>
      </c>
      <c r="U162" s="139">
        <f t="shared" si="91"/>
        <v>0</v>
      </c>
      <c r="V162" s="104"/>
      <c r="W162" s="104">
        <f t="shared" si="92"/>
        <v>0</v>
      </c>
      <c r="X162" s="139">
        <f t="shared" si="93"/>
        <v>0</v>
      </c>
      <c r="Y162" s="138">
        <v>0</v>
      </c>
      <c r="Z162" s="141">
        <v>0</v>
      </c>
      <c r="AA162" s="104">
        <f t="shared" si="77"/>
        <v>0</v>
      </c>
      <c r="AB162" s="139">
        <f t="shared" si="78"/>
        <v>0</v>
      </c>
      <c r="AC162" s="138">
        <v>0</v>
      </c>
      <c r="AD162" s="104">
        <f t="shared" si="94"/>
        <v>0</v>
      </c>
      <c r="AE162" s="139">
        <f t="shared" si="95"/>
        <v>0</v>
      </c>
      <c r="AF162" s="142">
        <v>0</v>
      </c>
      <c r="AG162" s="104">
        <f t="shared" si="96"/>
        <v>0</v>
      </c>
      <c r="AH162" s="139">
        <f t="shared" si="97"/>
        <v>0</v>
      </c>
      <c r="AI162" s="142">
        <v>0</v>
      </c>
      <c r="AJ162" s="104">
        <f t="shared" si="98"/>
        <v>0</v>
      </c>
      <c r="AK162" s="139">
        <f t="shared" si="99"/>
        <v>0</v>
      </c>
      <c r="AL162" s="143"/>
      <c r="AM162" s="205"/>
      <c r="AN162" s="104">
        <f t="shared" si="100"/>
        <v>0</v>
      </c>
      <c r="AO162" s="148">
        <f t="shared" si="101"/>
        <v>0</v>
      </c>
      <c r="AP162" s="272">
        <f t="shared" si="102"/>
        <v>0</v>
      </c>
      <c r="AQ162" s="669">
        <v>0</v>
      </c>
      <c r="AR162" s="725">
        <v>0</v>
      </c>
      <c r="AS162" s="725">
        <v>0</v>
      </c>
      <c r="AT162" s="725">
        <v>0</v>
      </c>
      <c r="AU162" s="401">
        <v>0</v>
      </c>
      <c r="AV162" s="786"/>
      <c r="AW162" s="246"/>
      <c r="AX162" s="713">
        <f t="shared" si="103"/>
        <v>0</v>
      </c>
      <c r="AY162" s="714">
        <v>0</v>
      </c>
      <c r="AZ162" s="715"/>
      <c r="BA162" s="716">
        <v>0</v>
      </c>
      <c r="BC162" s="712">
        <v>0</v>
      </c>
      <c r="BD162" s="712">
        <v>0</v>
      </c>
      <c r="BE162" s="712"/>
      <c r="BF162" s="712"/>
      <c r="BG162" s="712">
        <v>0</v>
      </c>
      <c r="BH162" s="712">
        <v>0</v>
      </c>
      <c r="BI162" s="134">
        <f t="shared" ref="BI162:BI178" si="106">BC162+BD162+BE162+BG162+BH162</f>
        <v>0</v>
      </c>
      <c r="BJ162" s="123"/>
      <c r="BK162" s="792"/>
      <c r="BL162" s="104"/>
      <c r="BM162" s="672"/>
      <c r="BO162" s="562"/>
      <c r="BS162" s="879"/>
      <c r="BT162" s="774"/>
      <c r="BU162" s="774">
        <v>0</v>
      </c>
      <c r="BV162" s="774">
        <v>0</v>
      </c>
      <c r="BW162" s="774">
        <f t="shared" si="104"/>
        <v>0</v>
      </c>
    </row>
    <row r="163" spans="1:75" ht="15" thickBot="1" x14ac:dyDescent="0.35">
      <c r="A163" s="210" t="s">
        <v>106</v>
      </c>
      <c r="B163" s="228">
        <v>1</v>
      </c>
      <c r="C163" s="39">
        <f>'[3]побудинковий звіт'!E163</f>
        <v>0</v>
      </c>
      <c r="D163" s="205">
        <f t="shared" si="79"/>
        <v>0</v>
      </c>
      <c r="E163" s="104">
        <f t="shared" si="80"/>
        <v>0</v>
      </c>
      <c r="F163" s="104">
        <f t="shared" si="81"/>
        <v>0</v>
      </c>
      <c r="G163" s="104">
        <f t="shared" si="82"/>
        <v>0</v>
      </c>
      <c r="H163" s="104">
        <f t="shared" si="83"/>
        <v>0</v>
      </c>
      <c r="I163" s="104">
        <f t="shared" si="84"/>
        <v>0</v>
      </c>
      <c r="J163" s="672">
        <f t="shared" si="72"/>
        <v>0</v>
      </c>
      <c r="K163" s="139">
        <f t="shared" si="85"/>
        <v>0</v>
      </c>
      <c r="L163" s="138">
        <f t="shared" si="73"/>
        <v>0</v>
      </c>
      <c r="M163" s="104">
        <f t="shared" si="74"/>
        <v>0</v>
      </c>
      <c r="N163" s="29">
        <f t="shared" si="86"/>
        <v>0</v>
      </c>
      <c r="O163" s="104">
        <f t="shared" si="75"/>
        <v>0</v>
      </c>
      <c r="P163" s="104">
        <f t="shared" si="87"/>
        <v>0</v>
      </c>
      <c r="Q163" s="104">
        <f t="shared" si="88"/>
        <v>0</v>
      </c>
      <c r="R163" s="140">
        <f t="shared" si="89"/>
        <v>0</v>
      </c>
      <c r="S163" s="138">
        <f t="shared" si="90"/>
        <v>0</v>
      </c>
      <c r="T163" s="104">
        <f t="shared" si="76"/>
        <v>0</v>
      </c>
      <c r="U163" s="139">
        <f t="shared" si="91"/>
        <v>0</v>
      </c>
      <c r="V163" s="104"/>
      <c r="W163" s="104">
        <f t="shared" si="92"/>
        <v>0</v>
      </c>
      <c r="X163" s="139">
        <f t="shared" si="93"/>
        <v>0</v>
      </c>
      <c r="Y163" s="138">
        <v>0</v>
      </c>
      <c r="Z163" s="141">
        <v>0</v>
      </c>
      <c r="AA163" s="104">
        <f t="shared" si="77"/>
        <v>0</v>
      </c>
      <c r="AB163" s="139">
        <f t="shared" si="78"/>
        <v>0</v>
      </c>
      <c r="AC163" s="138">
        <v>0</v>
      </c>
      <c r="AD163" s="104">
        <f t="shared" si="94"/>
        <v>0</v>
      </c>
      <c r="AE163" s="139">
        <f t="shared" si="95"/>
        <v>0</v>
      </c>
      <c r="AF163" s="142">
        <v>0</v>
      </c>
      <c r="AG163" s="104">
        <f t="shared" si="96"/>
        <v>0</v>
      </c>
      <c r="AH163" s="139">
        <f t="shared" si="97"/>
        <v>0</v>
      </c>
      <c r="AI163" s="142">
        <v>0</v>
      </c>
      <c r="AJ163" s="104">
        <f t="shared" si="98"/>
        <v>0</v>
      </c>
      <c r="AK163" s="139">
        <f t="shared" si="99"/>
        <v>0</v>
      </c>
      <c r="AL163" s="143"/>
      <c r="AM163" s="205"/>
      <c r="AN163" s="104">
        <f t="shared" si="100"/>
        <v>0</v>
      </c>
      <c r="AO163" s="148">
        <f t="shared" si="101"/>
        <v>0</v>
      </c>
      <c r="AP163" s="272">
        <f t="shared" si="102"/>
        <v>0</v>
      </c>
      <c r="AQ163" s="669">
        <v>0</v>
      </c>
      <c r="AR163" s="725">
        <v>0</v>
      </c>
      <c r="AS163" s="725">
        <v>0</v>
      </c>
      <c r="AT163" s="725">
        <v>0</v>
      </c>
      <c r="AU163" s="401">
        <v>0</v>
      </c>
      <c r="AV163" s="786"/>
      <c r="AW163" s="246"/>
      <c r="AX163" s="713">
        <f t="shared" si="103"/>
        <v>0</v>
      </c>
      <c r="AY163" s="714">
        <v>0</v>
      </c>
      <c r="AZ163" s="715"/>
      <c r="BA163" s="716">
        <v>0</v>
      </c>
      <c r="BC163" s="712">
        <v>0</v>
      </c>
      <c r="BD163" s="712">
        <v>0</v>
      </c>
      <c r="BE163" s="712"/>
      <c r="BF163" s="712"/>
      <c r="BG163" s="712">
        <v>0</v>
      </c>
      <c r="BH163" s="712">
        <v>0</v>
      </c>
      <c r="BI163" s="134">
        <f t="shared" si="106"/>
        <v>0</v>
      </c>
      <c r="BJ163" s="123"/>
      <c r="BK163" s="792"/>
      <c r="BL163" s="104"/>
      <c r="BM163" s="672"/>
      <c r="BO163" s="562"/>
      <c r="BS163" s="879"/>
      <c r="BT163" s="774"/>
      <c r="BU163" s="774">
        <v>0</v>
      </c>
      <c r="BV163" s="774">
        <v>0</v>
      </c>
      <c r="BW163" s="774">
        <f t="shared" si="104"/>
        <v>0</v>
      </c>
    </row>
    <row r="164" spans="1:75" ht="15" thickBot="1" x14ac:dyDescent="0.35">
      <c r="A164" s="210" t="s">
        <v>107</v>
      </c>
      <c r="B164" s="228">
        <v>1</v>
      </c>
      <c r="C164" s="39">
        <f>'[3]побудинковий звіт'!E164</f>
        <v>0</v>
      </c>
      <c r="D164" s="205">
        <f t="shared" si="79"/>
        <v>0</v>
      </c>
      <c r="E164" s="104">
        <f t="shared" si="80"/>
        <v>0</v>
      </c>
      <c r="F164" s="104">
        <f t="shared" si="81"/>
        <v>0</v>
      </c>
      <c r="G164" s="104">
        <f t="shared" si="82"/>
        <v>0</v>
      </c>
      <c r="H164" s="104">
        <f t="shared" si="83"/>
        <v>0</v>
      </c>
      <c r="I164" s="104">
        <f t="shared" si="84"/>
        <v>0</v>
      </c>
      <c r="J164" s="672">
        <f t="shared" si="72"/>
        <v>0</v>
      </c>
      <c r="K164" s="139">
        <f t="shared" si="85"/>
        <v>0</v>
      </c>
      <c r="L164" s="138">
        <f t="shared" si="73"/>
        <v>0</v>
      </c>
      <c r="M164" s="104">
        <f t="shared" si="74"/>
        <v>0</v>
      </c>
      <c r="N164" s="29">
        <f t="shared" si="86"/>
        <v>0</v>
      </c>
      <c r="O164" s="104">
        <f t="shared" si="75"/>
        <v>0</v>
      </c>
      <c r="P164" s="104">
        <f t="shared" si="87"/>
        <v>0</v>
      </c>
      <c r="Q164" s="104">
        <f t="shared" si="88"/>
        <v>0</v>
      </c>
      <c r="R164" s="140">
        <f t="shared" si="89"/>
        <v>0</v>
      </c>
      <c r="S164" s="138">
        <f t="shared" si="90"/>
        <v>0</v>
      </c>
      <c r="T164" s="104">
        <f t="shared" si="76"/>
        <v>0</v>
      </c>
      <c r="U164" s="139">
        <f t="shared" si="91"/>
        <v>0</v>
      </c>
      <c r="V164" s="104"/>
      <c r="W164" s="104">
        <f t="shared" si="92"/>
        <v>0</v>
      </c>
      <c r="X164" s="139">
        <f t="shared" si="93"/>
        <v>0</v>
      </c>
      <c r="Y164" s="138">
        <v>0</v>
      </c>
      <c r="Z164" s="141">
        <v>0</v>
      </c>
      <c r="AA164" s="104">
        <f t="shared" si="77"/>
        <v>0</v>
      </c>
      <c r="AB164" s="139">
        <f t="shared" si="78"/>
        <v>0</v>
      </c>
      <c r="AC164" s="138">
        <v>0</v>
      </c>
      <c r="AD164" s="104">
        <f t="shared" si="94"/>
        <v>0</v>
      </c>
      <c r="AE164" s="139">
        <f t="shared" si="95"/>
        <v>0</v>
      </c>
      <c r="AF164" s="142">
        <v>0</v>
      </c>
      <c r="AG164" s="104">
        <f t="shared" si="96"/>
        <v>0</v>
      </c>
      <c r="AH164" s="139">
        <f t="shared" si="97"/>
        <v>0</v>
      </c>
      <c r="AI164" s="142">
        <v>0</v>
      </c>
      <c r="AJ164" s="104">
        <f t="shared" si="98"/>
        <v>0</v>
      </c>
      <c r="AK164" s="139">
        <f t="shared" si="99"/>
        <v>0</v>
      </c>
      <c r="AL164" s="143"/>
      <c r="AM164" s="205"/>
      <c r="AN164" s="104">
        <f t="shared" si="100"/>
        <v>0</v>
      </c>
      <c r="AO164" s="148">
        <f t="shared" si="101"/>
        <v>0</v>
      </c>
      <c r="AP164" s="272">
        <f t="shared" si="102"/>
        <v>0</v>
      </c>
      <c r="AQ164" s="669">
        <v>0</v>
      </c>
      <c r="AR164" s="725">
        <v>0</v>
      </c>
      <c r="AS164" s="725">
        <v>0</v>
      </c>
      <c r="AT164" s="725">
        <v>0</v>
      </c>
      <c r="AU164" s="401">
        <v>0</v>
      </c>
      <c r="AV164" s="786"/>
      <c r="AW164" s="246"/>
      <c r="AX164" s="713">
        <f t="shared" si="103"/>
        <v>0</v>
      </c>
      <c r="AY164" s="714">
        <v>0</v>
      </c>
      <c r="AZ164" s="715"/>
      <c r="BA164" s="716">
        <v>0</v>
      </c>
      <c r="BC164" s="712">
        <v>0</v>
      </c>
      <c r="BD164" s="712">
        <v>0</v>
      </c>
      <c r="BE164" s="712"/>
      <c r="BF164" s="712"/>
      <c r="BG164" s="712">
        <v>0</v>
      </c>
      <c r="BH164" s="712">
        <v>0</v>
      </c>
      <c r="BI164" s="134">
        <f t="shared" si="106"/>
        <v>0</v>
      </c>
      <c r="BJ164" s="123"/>
      <c r="BK164" s="792"/>
      <c r="BL164" s="104"/>
      <c r="BM164" s="672"/>
      <c r="BO164" s="562"/>
      <c r="BS164" s="879"/>
      <c r="BT164" s="774"/>
      <c r="BU164" s="774">
        <v>0</v>
      </c>
      <c r="BV164" s="774">
        <v>0</v>
      </c>
      <c r="BW164" s="774">
        <f t="shared" si="104"/>
        <v>0</v>
      </c>
    </row>
    <row r="165" spans="1:75" ht="15" thickBot="1" x14ac:dyDescent="0.35">
      <c r="A165" s="210" t="s">
        <v>108</v>
      </c>
      <c r="B165" s="228">
        <v>1</v>
      </c>
      <c r="C165" s="39">
        <f>'[3]побудинковий звіт'!E165</f>
        <v>137.30000000000001</v>
      </c>
      <c r="D165" s="205">
        <f t="shared" si="79"/>
        <v>0</v>
      </c>
      <c r="E165" s="104">
        <f t="shared" si="80"/>
        <v>0</v>
      </c>
      <c r="F165" s="104">
        <f t="shared" si="81"/>
        <v>0</v>
      </c>
      <c r="G165" s="104">
        <f t="shared" si="82"/>
        <v>0</v>
      </c>
      <c r="H165" s="104">
        <f t="shared" si="83"/>
        <v>0</v>
      </c>
      <c r="I165" s="104">
        <f t="shared" si="84"/>
        <v>0</v>
      </c>
      <c r="J165" s="672">
        <f t="shared" si="72"/>
        <v>0</v>
      </c>
      <c r="K165" s="139">
        <f t="shared" si="85"/>
        <v>0</v>
      </c>
      <c r="L165" s="138">
        <f t="shared" si="73"/>
        <v>0</v>
      </c>
      <c r="M165" s="104">
        <f t="shared" si="74"/>
        <v>0</v>
      </c>
      <c r="N165" s="29">
        <f t="shared" si="86"/>
        <v>0</v>
      </c>
      <c r="O165" s="104">
        <f t="shared" si="75"/>
        <v>0.24718248358910092</v>
      </c>
      <c r="P165" s="104">
        <f t="shared" si="87"/>
        <v>0</v>
      </c>
      <c r="Q165" s="104">
        <f t="shared" si="88"/>
        <v>3.1815558140905274E-2</v>
      </c>
      <c r="R165" s="140">
        <f t="shared" si="89"/>
        <v>0.2789980417300062</v>
      </c>
      <c r="S165" s="138">
        <f t="shared" si="90"/>
        <v>0</v>
      </c>
      <c r="T165" s="104">
        <f t="shared" si="76"/>
        <v>0</v>
      </c>
      <c r="U165" s="139">
        <f t="shared" si="91"/>
        <v>0</v>
      </c>
      <c r="V165" s="104"/>
      <c r="W165" s="104">
        <f t="shared" si="92"/>
        <v>0</v>
      </c>
      <c r="X165" s="139">
        <f t="shared" si="93"/>
        <v>0</v>
      </c>
      <c r="Y165" s="138">
        <v>0</v>
      </c>
      <c r="Z165" s="141">
        <v>0</v>
      </c>
      <c r="AA165" s="104">
        <f t="shared" si="77"/>
        <v>0</v>
      </c>
      <c r="AB165" s="139">
        <f t="shared" si="78"/>
        <v>0</v>
      </c>
      <c r="AC165" s="138">
        <v>0</v>
      </c>
      <c r="AD165" s="104">
        <f t="shared" si="94"/>
        <v>0</v>
      </c>
      <c r="AE165" s="139">
        <f t="shared" si="95"/>
        <v>0</v>
      </c>
      <c r="AF165" s="142">
        <v>0</v>
      </c>
      <c r="AG165" s="104">
        <f t="shared" si="96"/>
        <v>0</v>
      </c>
      <c r="AH165" s="139">
        <f t="shared" si="97"/>
        <v>0</v>
      </c>
      <c r="AI165" s="142">
        <v>0</v>
      </c>
      <c r="AJ165" s="104">
        <f t="shared" si="98"/>
        <v>0</v>
      </c>
      <c r="AK165" s="139">
        <f t="shared" si="99"/>
        <v>0</v>
      </c>
      <c r="AL165" s="143"/>
      <c r="AM165" s="205"/>
      <c r="AN165" s="104">
        <f t="shared" si="100"/>
        <v>0</v>
      </c>
      <c r="AO165" s="148">
        <f t="shared" si="101"/>
        <v>0</v>
      </c>
      <c r="AP165" s="272">
        <f t="shared" si="102"/>
        <v>0</v>
      </c>
      <c r="AQ165" s="669">
        <v>0</v>
      </c>
      <c r="AR165" s="401">
        <v>0</v>
      </c>
      <c r="AS165" s="401">
        <v>0</v>
      </c>
      <c r="AT165" s="401">
        <v>0</v>
      </c>
      <c r="AU165" s="401">
        <v>0</v>
      </c>
      <c r="AV165" s="727">
        <v>0</v>
      </c>
      <c r="AW165" s="246"/>
      <c r="AX165" s="713">
        <f t="shared" si="103"/>
        <v>0</v>
      </c>
      <c r="AY165" s="714">
        <v>0</v>
      </c>
      <c r="AZ165" s="715"/>
      <c r="BA165" s="716">
        <v>0</v>
      </c>
      <c r="BB165" s="727"/>
      <c r="BC165" s="712">
        <v>0</v>
      </c>
      <c r="BD165" s="712">
        <v>0</v>
      </c>
      <c r="BE165" s="712"/>
      <c r="BF165" s="712"/>
      <c r="BG165" s="712">
        <v>0</v>
      </c>
      <c r="BH165" s="712">
        <v>0</v>
      </c>
      <c r="BI165" s="134">
        <f t="shared" si="106"/>
        <v>0</v>
      </c>
      <c r="BJ165" s="123"/>
      <c r="BK165" s="792"/>
      <c r="BL165" s="104"/>
      <c r="BM165" s="672"/>
      <c r="BO165" s="562"/>
      <c r="BS165" s="879"/>
      <c r="BT165" s="774"/>
      <c r="BU165" s="774">
        <v>0</v>
      </c>
      <c r="BV165" s="774">
        <v>0</v>
      </c>
      <c r="BW165" s="774">
        <f t="shared" si="104"/>
        <v>0</v>
      </c>
    </row>
    <row r="166" spans="1:75" ht="15" thickBot="1" x14ac:dyDescent="0.35">
      <c r="A166" s="210" t="s">
        <v>109</v>
      </c>
      <c r="B166" s="228">
        <v>1</v>
      </c>
      <c r="C166" s="39">
        <f>'[3]побудинковий звіт'!E166</f>
        <v>211.6</v>
      </c>
      <c r="D166" s="205">
        <f t="shared" si="79"/>
        <v>0</v>
      </c>
      <c r="E166" s="104">
        <f t="shared" si="80"/>
        <v>0</v>
      </c>
      <c r="F166" s="104">
        <f t="shared" si="81"/>
        <v>0</v>
      </c>
      <c r="G166" s="104">
        <f t="shared" si="82"/>
        <v>0</v>
      </c>
      <c r="H166" s="104">
        <f t="shared" si="83"/>
        <v>0</v>
      </c>
      <c r="I166" s="104">
        <f t="shared" si="84"/>
        <v>0</v>
      </c>
      <c r="J166" s="672">
        <f t="shared" si="72"/>
        <v>0</v>
      </c>
      <c r="K166" s="139">
        <f t="shared" si="85"/>
        <v>0</v>
      </c>
      <c r="L166" s="138">
        <f t="shared" si="73"/>
        <v>0</v>
      </c>
      <c r="M166" s="104">
        <f t="shared" si="74"/>
        <v>0</v>
      </c>
      <c r="N166" s="29">
        <f t="shared" si="86"/>
        <v>0</v>
      </c>
      <c r="O166" s="104">
        <f t="shared" si="75"/>
        <v>0.38094547361583209</v>
      </c>
      <c r="P166" s="104">
        <f t="shared" si="87"/>
        <v>0</v>
      </c>
      <c r="Q166" s="104">
        <f t="shared" si="88"/>
        <v>4.9032571759763693E-2</v>
      </c>
      <c r="R166" s="140">
        <f t="shared" si="89"/>
        <v>0.42997804537559581</v>
      </c>
      <c r="S166" s="138">
        <f t="shared" si="90"/>
        <v>0</v>
      </c>
      <c r="T166" s="104">
        <f t="shared" si="76"/>
        <v>0</v>
      </c>
      <c r="U166" s="139">
        <f t="shared" si="91"/>
        <v>0</v>
      </c>
      <c r="V166" s="104"/>
      <c r="W166" s="104">
        <f t="shared" si="92"/>
        <v>0</v>
      </c>
      <c r="X166" s="139">
        <f t="shared" si="93"/>
        <v>0</v>
      </c>
      <c r="Y166" s="138">
        <v>0</v>
      </c>
      <c r="Z166" s="141">
        <v>0</v>
      </c>
      <c r="AA166" s="104">
        <f t="shared" si="77"/>
        <v>0</v>
      </c>
      <c r="AB166" s="139">
        <f t="shared" si="78"/>
        <v>0</v>
      </c>
      <c r="AC166" s="138">
        <v>0</v>
      </c>
      <c r="AD166" s="104">
        <f t="shared" si="94"/>
        <v>0</v>
      </c>
      <c r="AE166" s="139">
        <f t="shared" si="95"/>
        <v>0</v>
      </c>
      <c r="AF166" s="142">
        <v>0</v>
      </c>
      <c r="AG166" s="104">
        <f t="shared" si="96"/>
        <v>0</v>
      </c>
      <c r="AH166" s="139">
        <f t="shared" si="97"/>
        <v>0</v>
      </c>
      <c r="AI166" s="142">
        <v>0</v>
      </c>
      <c r="AJ166" s="104">
        <f t="shared" si="98"/>
        <v>0</v>
      </c>
      <c r="AK166" s="139">
        <f t="shared" si="99"/>
        <v>0</v>
      </c>
      <c r="AL166" s="143"/>
      <c r="AM166" s="205"/>
      <c r="AN166" s="104">
        <f t="shared" si="100"/>
        <v>0</v>
      </c>
      <c r="AO166" s="148">
        <f t="shared" si="101"/>
        <v>0</v>
      </c>
      <c r="AP166" s="272">
        <f t="shared" si="102"/>
        <v>0</v>
      </c>
      <c r="AQ166" s="669">
        <v>0</v>
      </c>
      <c r="AR166" s="401">
        <v>0</v>
      </c>
      <c r="AS166" s="401">
        <v>0</v>
      </c>
      <c r="AT166" s="401">
        <v>0</v>
      </c>
      <c r="AU166" s="401">
        <v>0</v>
      </c>
      <c r="AV166" s="727">
        <v>0</v>
      </c>
      <c r="AW166" s="246"/>
      <c r="AX166" s="713">
        <f t="shared" si="103"/>
        <v>0</v>
      </c>
      <c r="AY166" s="714">
        <v>0</v>
      </c>
      <c r="AZ166" s="715"/>
      <c r="BA166" s="716">
        <v>0</v>
      </c>
      <c r="BB166" s="727"/>
      <c r="BC166" s="712">
        <v>0</v>
      </c>
      <c r="BD166" s="712">
        <v>0</v>
      </c>
      <c r="BE166" s="712"/>
      <c r="BF166" s="712"/>
      <c r="BG166" s="712">
        <v>0</v>
      </c>
      <c r="BH166" s="712">
        <v>0</v>
      </c>
      <c r="BI166" s="134">
        <f t="shared" si="106"/>
        <v>0</v>
      </c>
      <c r="BJ166" s="123"/>
      <c r="BK166" s="792"/>
      <c r="BL166" s="104"/>
      <c r="BM166" s="672"/>
      <c r="BO166" s="562"/>
      <c r="BS166" s="879"/>
      <c r="BT166" s="774"/>
      <c r="BU166" s="774">
        <v>0</v>
      </c>
      <c r="BV166" s="774">
        <v>0</v>
      </c>
      <c r="BW166" s="774">
        <f t="shared" si="104"/>
        <v>0</v>
      </c>
    </row>
    <row r="167" spans="1:75" ht="15" thickBot="1" x14ac:dyDescent="0.35">
      <c r="A167" s="210" t="s">
        <v>110</v>
      </c>
      <c r="B167" s="228">
        <v>1</v>
      </c>
      <c r="C167" s="39">
        <f>'[3]побудинковий звіт'!E167</f>
        <v>180.6</v>
      </c>
      <c r="D167" s="205">
        <f t="shared" si="79"/>
        <v>0</v>
      </c>
      <c r="E167" s="104">
        <f t="shared" si="80"/>
        <v>0</v>
      </c>
      <c r="F167" s="104">
        <f t="shared" si="81"/>
        <v>0</v>
      </c>
      <c r="G167" s="104">
        <f t="shared" si="82"/>
        <v>0</v>
      </c>
      <c r="H167" s="104">
        <f t="shared" si="83"/>
        <v>0</v>
      </c>
      <c r="I167" s="104">
        <f t="shared" si="84"/>
        <v>0</v>
      </c>
      <c r="J167" s="672">
        <f t="shared" si="72"/>
        <v>0</v>
      </c>
      <c r="K167" s="139">
        <f t="shared" si="85"/>
        <v>0</v>
      </c>
      <c r="L167" s="138">
        <f t="shared" si="73"/>
        <v>0</v>
      </c>
      <c r="M167" s="104">
        <f t="shared" si="74"/>
        <v>0</v>
      </c>
      <c r="N167" s="29">
        <f t="shared" si="86"/>
        <v>0</v>
      </c>
      <c r="O167" s="104">
        <f t="shared" si="75"/>
        <v>0.32513588154545975</v>
      </c>
      <c r="P167" s="104">
        <f t="shared" si="87"/>
        <v>0</v>
      </c>
      <c r="Q167" s="104">
        <f t="shared" si="88"/>
        <v>4.1849160963200967E-2</v>
      </c>
      <c r="R167" s="140">
        <f t="shared" si="89"/>
        <v>0.36698504250866071</v>
      </c>
      <c r="S167" s="138">
        <f t="shared" si="90"/>
        <v>0</v>
      </c>
      <c r="T167" s="104">
        <f t="shared" si="76"/>
        <v>0</v>
      </c>
      <c r="U167" s="139">
        <f t="shared" si="91"/>
        <v>0</v>
      </c>
      <c r="V167" s="104"/>
      <c r="W167" s="104">
        <f t="shared" si="92"/>
        <v>0</v>
      </c>
      <c r="X167" s="139">
        <f t="shared" si="93"/>
        <v>0</v>
      </c>
      <c r="Y167" s="138">
        <v>0</v>
      </c>
      <c r="Z167" s="141">
        <v>0</v>
      </c>
      <c r="AA167" s="104">
        <f t="shared" si="77"/>
        <v>0</v>
      </c>
      <c r="AB167" s="139">
        <f t="shared" si="78"/>
        <v>0</v>
      </c>
      <c r="AC167" s="138">
        <v>0</v>
      </c>
      <c r="AD167" s="104">
        <f t="shared" si="94"/>
        <v>0</v>
      </c>
      <c r="AE167" s="139">
        <f t="shared" si="95"/>
        <v>0</v>
      </c>
      <c r="AF167" s="142">
        <v>0</v>
      </c>
      <c r="AG167" s="104">
        <f t="shared" si="96"/>
        <v>0</v>
      </c>
      <c r="AH167" s="139">
        <f t="shared" si="97"/>
        <v>0</v>
      </c>
      <c r="AI167" s="142">
        <v>0</v>
      </c>
      <c r="AJ167" s="104">
        <f t="shared" si="98"/>
        <v>0</v>
      </c>
      <c r="AK167" s="139">
        <f t="shared" si="99"/>
        <v>0</v>
      </c>
      <c r="AL167" s="143"/>
      <c r="AM167" s="205"/>
      <c r="AN167" s="104">
        <f t="shared" si="100"/>
        <v>0</v>
      </c>
      <c r="AO167" s="148">
        <f t="shared" si="101"/>
        <v>0</v>
      </c>
      <c r="AP167" s="272">
        <f t="shared" si="102"/>
        <v>0</v>
      </c>
      <c r="AQ167" s="669">
        <v>0</v>
      </c>
      <c r="AR167" s="401">
        <v>0</v>
      </c>
      <c r="AS167" s="401">
        <v>0</v>
      </c>
      <c r="AT167" s="401">
        <v>0</v>
      </c>
      <c r="AU167" s="401">
        <v>0</v>
      </c>
      <c r="AV167" s="727">
        <v>0</v>
      </c>
      <c r="AW167" s="246"/>
      <c r="AX167" s="713">
        <f t="shared" si="103"/>
        <v>0</v>
      </c>
      <c r="AY167" s="714">
        <v>0</v>
      </c>
      <c r="AZ167" s="715"/>
      <c r="BA167" s="716">
        <v>0</v>
      </c>
      <c r="BB167" s="727"/>
      <c r="BC167" s="712">
        <v>0</v>
      </c>
      <c r="BD167" s="712">
        <v>0</v>
      </c>
      <c r="BE167" s="712"/>
      <c r="BF167" s="712"/>
      <c r="BG167" s="712">
        <v>0</v>
      </c>
      <c r="BH167" s="712">
        <v>0</v>
      </c>
      <c r="BI167" s="134">
        <f t="shared" si="106"/>
        <v>0</v>
      </c>
      <c r="BJ167" s="123"/>
      <c r="BK167" s="792"/>
      <c r="BL167" s="104"/>
      <c r="BM167" s="672"/>
      <c r="BO167" s="562"/>
      <c r="BS167" s="879"/>
      <c r="BT167" s="774"/>
      <c r="BU167" s="774">
        <v>0</v>
      </c>
      <c r="BV167" s="774">
        <v>0</v>
      </c>
      <c r="BW167" s="774">
        <f t="shared" si="104"/>
        <v>0</v>
      </c>
    </row>
    <row r="168" spans="1:75" ht="15" thickBot="1" x14ac:dyDescent="0.35">
      <c r="A168" s="210" t="s">
        <v>111</v>
      </c>
      <c r="B168" s="228">
        <v>1</v>
      </c>
      <c r="C168" s="39">
        <f>'[3]побудинковий звіт'!E168</f>
        <v>102.4</v>
      </c>
      <c r="D168" s="205">
        <f t="shared" si="79"/>
        <v>0</v>
      </c>
      <c r="E168" s="104">
        <f t="shared" si="80"/>
        <v>0</v>
      </c>
      <c r="F168" s="104">
        <f t="shared" si="81"/>
        <v>0</v>
      </c>
      <c r="G168" s="104">
        <f t="shared" si="82"/>
        <v>0</v>
      </c>
      <c r="H168" s="104">
        <f t="shared" si="83"/>
        <v>0</v>
      </c>
      <c r="I168" s="104">
        <f t="shared" si="84"/>
        <v>0</v>
      </c>
      <c r="J168" s="672">
        <f t="shared" si="72"/>
        <v>0</v>
      </c>
      <c r="K168" s="139">
        <f t="shared" si="85"/>
        <v>0</v>
      </c>
      <c r="L168" s="138">
        <f t="shared" si="73"/>
        <v>0</v>
      </c>
      <c r="M168" s="104">
        <f t="shared" si="74"/>
        <v>0</v>
      </c>
      <c r="N168" s="29">
        <f t="shared" si="86"/>
        <v>0</v>
      </c>
      <c r="O168" s="104">
        <f t="shared" si="75"/>
        <v>0.18435168477439134</v>
      </c>
      <c r="P168" s="104">
        <f t="shared" si="87"/>
        <v>0</v>
      </c>
      <c r="Q168" s="104">
        <f t="shared" si="88"/>
        <v>2.3728427921549163E-2</v>
      </c>
      <c r="R168" s="140">
        <f t="shared" si="89"/>
        <v>0.20808011269594051</v>
      </c>
      <c r="S168" s="138">
        <f t="shared" si="90"/>
        <v>0</v>
      </c>
      <c r="T168" s="104">
        <f t="shared" si="76"/>
        <v>0</v>
      </c>
      <c r="U168" s="139">
        <f t="shared" si="91"/>
        <v>0</v>
      </c>
      <c r="V168" s="104"/>
      <c r="W168" s="104">
        <f t="shared" si="92"/>
        <v>0</v>
      </c>
      <c r="X168" s="139">
        <f t="shared" si="93"/>
        <v>0</v>
      </c>
      <c r="Y168" s="138">
        <v>0</v>
      </c>
      <c r="Z168" s="141">
        <v>0</v>
      </c>
      <c r="AA168" s="104">
        <f t="shared" si="77"/>
        <v>0</v>
      </c>
      <c r="AB168" s="139">
        <f t="shared" si="78"/>
        <v>0</v>
      </c>
      <c r="AC168" s="138">
        <v>0</v>
      </c>
      <c r="AD168" s="104">
        <f t="shared" si="94"/>
        <v>0</v>
      </c>
      <c r="AE168" s="139">
        <f t="shared" si="95"/>
        <v>0</v>
      </c>
      <c r="AF168" s="142">
        <v>0</v>
      </c>
      <c r="AG168" s="104">
        <f t="shared" si="96"/>
        <v>0</v>
      </c>
      <c r="AH168" s="139">
        <f t="shared" si="97"/>
        <v>0</v>
      </c>
      <c r="AI168" s="142">
        <v>0</v>
      </c>
      <c r="AJ168" s="104">
        <f t="shared" si="98"/>
        <v>0</v>
      </c>
      <c r="AK168" s="139">
        <f t="shared" si="99"/>
        <v>0</v>
      </c>
      <c r="AL168" s="143"/>
      <c r="AM168" s="205"/>
      <c r="AN168" s="104">
        <f t="shared" si="100"/>
        <v>0</v>
      </c>
      <c r="AO168" s="148">
        <f t="shared" si="101"/>
        <v>0</v>
      </c>
      <c r="AP168" s="272">
        <f t="shared" si="102"/>
        <v>0</v>
      </c>
      <c r="AQ168" s="669">
        <v>0</v>
      </c>
      <c r="AR168" s="401">
        <v>0</v>
      </c>
      <c r="AS168" s="401">
        <v>0</v>
      </c>
      <c r="AT168" s="401">
        <v>0</v>
      </c>
      <c r="AU168" s="401">
        <v>0</v>
      </c>
      <c r="AV168" s="727">
        <v>0</v>
      </c>
      <c r="AW168" s="246"/>
      <c r="AX168" s="713">
        <f t="shared" si="103"/>
        <v>0</v>
      </c>
      <c r="AY168" s="714">
        <v>0</v>
      </c>
      <c r="AZ168" s="715"/>
      <c r="BA168" s="716">
        <v>0</v>
      </c>
      <c r="BB168" s="727"/>
      <c r="BC168" s="712">
        <v>0</v>
      </c>
      <c r="BD168" s="712">
        <v>0</v>
      </c>
      <c r="BE168" s="712"/>
      <c r="BF168" s="712"/>
      <c r="BG168" s="712">
        <v>0</v>
      </c>
      <c r="BH168" s="712">
        <v>0</v>
      </c>
      <c r="BI168" s="134">
        <f t="shared" si="106"/>
        <v>0</v>
      </c>
      <c r="BJ168" s="123"/>
      <c r="BK168" s="792"/>
      <c r="BL168" s="104"/>
      <c r="BM168" s="672"/>
      <c r="BO168" s="562"/>
      <c r="BS168" s="879"/>
      <c r="BT168" s="774"/>
      <c r="BU168" s="774">
        <v>0</v>
      </c>
      <c r="BV168" s="774">
        <v>0</v>
      </c>
      <c r="BW168" s="774">
        <f t="shared" si="104"/>
        <v>0</v>
      </c>
    </row>
    <row r="169" spans="1:75" ht="15" thickBot="1" x14ac:dyDescent="0.35">
      <c r="A169" s="210" t="s">
        <v>112</v>
      </c>
      <c r="B169" s="228">
        <v>1</v>
      </c>
      <c r="C169" s="39">
        <f>'[3]побудинковий звіт'!E169</f>
        <v>180.22</v>
      </c>
      <c r="D169" s="205">
        <f t="shared" si="79"/>
        <v>0</v>
      </c>
      <c r="E169" s="104">
        <f t="shared" si="80"/>
        <v>0</v>
      </c>
      <c r="F169" s="104">
        <f t="shared" si="81"/>
        <v>0</v>
      </c>
      <c r="G169" s="104">
        <f t="shared" si="82"/>
        <v>0</v>
      </c>
      <c r="H169" s="104">
        <f t="shared" si="83"/>
        <v>0</v>
      </c>
      <c r="I169" s="104">
        <f t="shared" si="84"/>
        <v>0</v>
      </c>
      <c r="J169" s="672">
        <f t="shared" si="72"/>
        <v>0</v>
      </c>
      <c r="K169" s="139">
        <f t="shared" si="85"/>
        <v>0</v>
      </c>
      <c r="L169" s="138">
        <f t="shared" si="73"/>
        <v>0</v>
      </c>
      <c r="M169" s="104">
        <f t="shared" si="74"/>
        <v>0</v>
      </c>
      <c r="N169" s="29">
        <f t="shared" si="86"/>
        <v>0</v>
      </c>
      <c r="O169" s="104">
        <f t="shared" si="75"/>
        <v>0.32445176396524228</v>
      </c>
      <c r="P169" s="104">
        <f t="shared" si="87"/>
        <v>0</v>
      </c>
      <c r="Q169" s="104">
        <f t="shared" si="88"/>
        <v>4.1761106250210844E-2</v>
      </c>
      <c r="R169" s="140">
        <f t="shared" si="89"/>
        <v>0.36621287021545312</v>
      </c>
      <c r="S169" s="138">
        <f t="shared" si="90"/>
        <v>0</v>
      </c>
      <c r="T169" s="104">
        <f t="shared" si="76"/>
        <v>0</v>
      </c>
      <c r="U169" s="139">
        <f t="shared" si="91"/>
        <v>0</v>
      </c>
      <c r="V169" s="104"/>
      <c r="W169" s="104">
        <f t="shared" si="92"/>
        <v>0</v>
      </c>
      <c r="X169" s="139">
        <f t="shared" si="93"/>
        <v>0</v>
      </c>
      <c r="Y169" s="138">
        <v>0</v>
      </c>
      <c r="Z169" s="141">
        <v>0</v>
      </c>
      <c r="AA169" s="104">
        <f t="shared" si="77"/>
        <v>0</v>
      </c>
      <c r="AB169" s="139">
        <f t="shared" si="78"/>
        <v>0</v>
      </c>
      <c r="AC169" s="138">
        <v>0</v>
      </c>
      <c r="AD169" s="104">
        <f t="shared" si="94"/>
        <v>0</v>
      </c>
      <c r="AE169" s="139">
        <f t="shared" si="95"/>
        <v>0</v>
      </c>
      <c r="AF169" s="142">
        <v>0</v>
      </c>
      <c r="AG169" s="104">
        <f t="shared" si="96"/>
        <v>0</v>
      </c>
      <c r="AH169" s="139">
        <f t="shared" si="97"/>
        <v>0</v>
      </c>
      <c r="AI169" s="142">
        <v>0</v>
      </c>
      <c r="AJ169" s="104">
        <f t="shared" si="98"/>
        <v>0</v>
      </c>
      <c r="AK169" s="139">
        <f t="shared" si="99"/>
        <v>0</v>
      </c>
      <c r="AL169" s="143"/>
      <c r="AM169" s="205"/>
      <c r="AN169" s="104">
        <f t="shared" si="100"/>
        <v>0</v>
      </c>
      <c r="AO169" s="148">
        <f t="shared" si="101"/>
        <v>0</v>
      </c>
      <c r="AP169" s="272">
        <f t="shared" si="102"/>
        <v>0</v>
      </c>
      <c r="AQ169" s="669">
        <v>0</v>
      </c>
      <c r="AR169" s="401">
        <v>0</v>
      </c>
      <c r="AS169" s="401">
        <v>0</v>
      </c>
      <c r="AT169" s="401">
        <v>0</v>
      </c>
      <c r="AU169" s="401">
        <v>0</v>
      </c>
      <c r="AV169" s="727">
        <v>0</v>
      </c>
      <c r="AW169" s="246"/>
      <c r="AX169" s="713">
        <f t="shared" si="103"/>
        <v>0</v>
      </c>
      <c r="AY169" s="714">
        <v>0</v>
      </c>
      <c r="AZ169" s="715"/>
      <c r="BA169" s="716">
        <v>0</v>
      </c>
      <c r="BB169" s="727"/>
      <c r="BC169" s="712">
        <v>0</v>
      </c>
      <c r="BD169" s="712">
        <v>0</v>
      </c>
      <c r="BE169" s="712"/>
      <c r="BF169" s="712"/>
      <c r="BG169" s="712">
        <v>0</v>
      </c>
      <c r="BH169" s="712">
        <v>0</v>
      </c>
      <c r="BI169" s="134">
        <f t="shared" si="106"/>
        <v>0</v>
      </c>
      <c r="BJ169" s="123"/>
      <c r="BK169" s="792"/>
      <c r="BL169" s="104"/>
      <c r="BM169" s="672"/>
      <c r="BO169" s="562"/>
      <c r="BS169" s="879"/>
      <c r="BT169" s="774"/>
      <c r="BU169" s="774">
        <v>0</v>
      </c>
      <c r="BV169" s="774">
        <v>0</v>
      </c>
      <c r="BW169" s="774">
        <f t="shared" si="104"/>
        <v>0</v>
      </c>
    </row>
    <row r="170" spans="1:75" ht="15" thickBot="1" x14ac:dyDescent="0.35">
      <c r="A170" s="210" t="s">
        <v>113</v>
      </c>
      <c r="B170" s="228">
        <v>1</v>
      </c>
      <c r="C170" s="39">
        <f>'[3]побудинковий звіт'!E170</f>
        <v>329.7</v>
      </c>
      <c r="D170" s="205">
        <f t="shared" si="79"/>
        <v>0</v>
      </c>
      <c r="E170" s="104">
        <f t="shared" si="80"/>
        <v>0</v>
      </c>
      <c r="F170" s="104">
        <f t="shared" si="81"/>
        <v>0</v>
      </c>
      <c r="G170" s="104">
        <f t="shared" si="82"/>
        <v>0</v>
      </c>
      <c r="H170" s="104">
        <f t="shared" si="83"/>
        <v>0</v>
      </c>
      <c r="I170" s="104">
        <f t="shared" si="84"/>
        <v>0</v>
      </c>
      <c r="J170" s="672">
        <f t="shared" si="72"/>
        <v>0</v>
      </c>
      <c r="K170" s="139">
        <f t="shared" si="85"/>
        <v>0</v>
      </c>
      <c r="L170" s="138">
        <f t="shared" si="73"/>
        <v>0</v>
      </c>
      <c r="M170" s="104">
        <f t="shared" si="74"/>
        <v>0</v>
      </c>
      <c r="N170" s="29">
        <f t="shared" si="86"/>
        <v>0</v>
      </c>
      <c r="O170" s="104">
        <f t="shared" si="75"/>
        <v>0.5935620163097346</v>
      </c>
      <c r="P170" s="104">
        <f t="shared" si="87"/>
        <v>0</v>
      </c>
      <c r="Q170" s="104">
        <f t="shared" si="88"/>
        <v>7.6399049665378499E-2</v>
      </c>
      <c r="R170" s="140">
        <f t="shared" si="89"/>
        <v>0.66996106597511307</v>
      </c>
      <c r="S170" s="138">
        <f t="shared" si="90"/>
        <v>0</v>
      </c>
      <c r="T170" s="104">
        <f t="shared" si="76"/>
        <v>0</v>
      </c>
      <c r="U170" s="139">
        <f t="shared" si="91"/>
        <v>0</v>
      </c>
      <c r="V170" s="104"/>
      <c r="W170" s="104">
        <f t="shared" si="92"/>
        <v>0</v>
      </c>
      <c r="X170" s="139">
        <f t="shared" si="93"/>
        <v>0</v>
      </c>
      <c r="Y170" s="138">
        <v>0</v>
      </c>
      <c r="Z170" s="141">
        <v>0</v>
      </c>
      <c r="AA170" s="104">
        <f t="shared" si="77"/>
        <v>0</v>
      </c>
      <c r="AB170" s="139">
        <f t="shared" si="78"/>
        <v>0</v>
      </c>
      <c r="AC170" s="138">
        <v>0</v>
      </c>
      <c r="AD170" s="104">
        <f t="shared" si="94"/>
        <v>0</v>
      </c>
      <c r="AE170" s="139">
        <f t="shared" si="95"/>
        <v>0</v>
      </c>
      <c r="AF170" s="142">
        <v>0</v>
      </c>
      <c r="AG170" s="104">
        <f t="shared" si="96"/>
        <v>0</v>
      </c>
      <c r="AH170" s="139">
        <f t="shared" si="97"/>
        <v>0</v>
      </c>
      <c r="AI170" s="142">
        <v>0</v>
      </c>
      <c r="AJ170" s="104">
        <f t="shared" si="98"/>
        <v>0</v>
      </c>
      <c r="AK170" s="139">
        <f t="shared" si="99"/>
        <v>0</v>
      </c>
      <c r="AL170" s="143"/>
      <c r="AM170" s="205"/>
      <c r="AN170" s="104">
        <f t="shared" si="100"/>
        <v>0</v>
      </c>
      <c r="AO170" s="148">
        <f t="shared" si="101"/>
        <v>0</v>
      </c>
      <c r="AP170" s="272">
        <f t="shared" si="102"/>
        <v>0</v>
      </c>
      <c r="AQ170" s="669">
        <v>0</v>
      </c>
      <c r="AR170" s="401">
        <v>0</v>
      </c>
      <c r="AS170" s="401">
        <v>0</v>
      </c>
      <c r="AT170" s="401">
        <v>0</v>
      </c>
      <c r="AU170" s="401">
        <v>0</v>
      </c>
      <c r="AV170" s="727">
        <v>0</v>
      </c>
      <c r="AW170" s="246"/>
      <c r="AX170" s="713">
        <f t="shared" si="103"/>
        <v>0</v>
      </c>
      <c r="AY170" s="714">
        <v>0</v>
      </c>
      <c r="AZ170" s="715"/>
      <c r="BA170" s="716">
        <v>0</v>
      </c>
      <c r="BB170" s="727"/>
      <c r="BC170" s="712">
        <v>0</v>
      </c>
      <c r="BD170" s="712">
        <v>0</v>
      </c>
      <c r="BE170" s="712"/>
      <c r="BF170" s="712"/>
      <c r="BG170" s="712">
        <v>0</v>
      </c>
      <c r="BH170" s="712">
        <v>0</v>
      </c>
      <c r="BI170" s="134">
        <f t="shared" si="106"/>
        <v>0</v>
      </c>
      <c r="BJ170" s="123"/>
      <c r="BK170" s="792"/>
      <c r="BL170" s="104"/>
      <c r="BM170" s="672"/>
      <c r="BO170" s="562"/>
      <c r="BS170" s="879"/>
      <c r="BT170" s="774"/>
      <c r="BU170" s="774">
        <v>0</v>
      </c>
      <c r="BV170" s="774">
        <v>0</v>
      </c>
      <c r="BW170" s="774">
        <f t="shared" si="104"/>
        <v>0</v>
      </c>
    </row>
    <row r="171" spans="1:75" ht="15" thickBot="1" x14ac:dyDescent="0.35">
      <c r="A171" s="210" t="s">
        <v>114</v>
      </c>
      <c r="B171" s="228">
        <v>1</v>
      </c>
      <c r="C171" s="39">
        <f>'[3]побудинковий звіт'!E171</f>
        <v>151.80000000000001</v>
      </c>
      <c r="D171" s="205">
        <f t="shared" si="79"/>
        <v>0</v>
      </c>
      <c r="E171" s="104">
        <f t="shared" si="80"/>
        <v>0</v>
      </c>
      <c r="F171" s="104">
        <f t="shared" si="81"/>
        <v>0</v>
      </c>
      <c r="G171" s="104">
        <f t="shared" si="82"/>
        <v>0</v>
      </c>
      <c r="H171" s="104">
        <f t="shared" si="83"/>
        <v>0</v>
      </c>
      <c r="I171" s="104">
        <f t="shared" si="84"/>
        <v>0</v>
      </c>
      <c r="J171" s="672">
        <f t="shared" si="72"/>
        <v>0</v>
      </c>
      <c r="K171" s="139">
        <f t="shared" si="85"/>
        <v>0</v>
      </c>
      <c r="L171" s="138">
        <f t="shared" si="73"/>
        <v>0</v>
      </c>
      <c r="M171" s="104">
        <f t="shared" si="74"/>
        <v>0</v>
      </c>
      <c r="N171" s="29">
        <f t="shared" si="86"/>
        <v>0</v>
      </c>
      <c r="O171" s="104">
        <f t="shared" si="75"/>
        <v>0.27328697020266218</v>
      </c>
      <c r="P171" s="104">
        <f t="shared" si="87"/>
        <v>0</v>
      </c>
      <c r="Q171" s="104">
        <f t="shared" si="88"/>
        <v>3.5175540610265267E-2</v>
      </c>
      <c r="R171" s="140">
        <f t="shared" si="89"/>
        <v>0.30846251081292747</v>
      </c>
      <c r="S171" s="138">
        <f t="shared" si="90"/>
        <v>0</v>
      </c>
      <c r="T171" s="104">
        <f t="shared" si="76"/>
        <v>0</v>
      </c>
      <c r="U171" s="139">
        <f t="shared" si="91"/>
        <v>0</v>
      </c>
      <c r="V171" s="104"/>
      <c r="W171" s="104">
        <f t="shared" si="92"/>
        <v>0</v>
      </c>
      <c r="X171" s="139">
        <f t="shared" si="93"/>
        <v>0</v>
      </c>
      <c r="Y171" s="138">
        <v>0</v>
      </c>
      <c r="Z171" s="141">
        <v>0</v>
      </c>
      <c r="AA171" s="104">
        <f t="shared" si="77"/>
        <v>0</v>
      </c>
      <c r="AB171" s="139">
        <f t="shared" si="78"/>
        <v>0</v>
      </c>
      <c r="AC171" s="138">
        <v>0</v>
      </c>
      <c r="AD171" s="104">
        <f t="shared" si="94"/>
        <v>0</v>
      </c>
      <c r="AE171" s="139">
        <f t="shared" si="95"/>
        <v>0</v>
      </c>
      <c r="AF171" s="142">
        <v>0</v>
      </c>
      <c r="AG171" s="104">
        <f t="shared" si="96"/>
        <v>0</v>
      </c>
      <c r="AH171" s="139">
        <f t="shared" si="97"/>
        <v>0</v>
      </c>
      <c r="AI171" s="142">
        <v>0</v>
      </c>
      <c r="AJ171" s="104">
        <f t="shared" si="98"/>
        <v>0</v>
      </c>
      <c r="AK171" s="139">
        <f t="shared" si="99"/>
        <v>0</v>
      </c>
      <c r="AL171" s="143"/>
      <c r="AM171" s="205"/>
      <c r="AN171" s="104">
        <f t="shared" si="100"/>
        <v>0</v>
      </c>
      <c r="AO171" s="148">
        <f t="shared" si="101"/>
        <v>0</v>
      </c>
      <c r="AP171" s="272">
        <f t="shared" si="102"/>
        <v>0</v>
      </c>
      <c r="AQ171" s="669">
        <v>0</v>
      </c>
      <c r="AR171" s="401">
        <v>0</v>
      </c>
      <c r="AS171" s="401">
        <v>0</v>
      </c>
      <c r="AT171" s="401">
        <v>0</v>
      </c>
      <c r="AU171" s="401">
        <v>0</v>
      </c>
      <c r="AV171" s="727">
        <v>0</v>
      </c>
      <c r="AW171" s="246"/>
      <c r="AX171" s="713">
        <f t="shared" si="103"/>
        <v>0</v>
      </c>
      <c r="AY171" s="714">
        <v>0</v>
      </c>
      <c r="AZ171" s="715"/>
      <c r="BA171" s="716">
        <v>0</v>
      </c>
      <c r="BB171" s="727"/>
      <c r="BC171" s="712">
        <v>0</v>
      </c>
      <c r="BD171" s="712">
        <v>0</v>
      </c>
      <c r="BE171" s="712"/>
      <c r="BF171" s="712"/>
      <c r="BG171" s="712">
        <v>0</v>
      </c>
      <c r="BH171" s="712">
        <v>0</v>
      </c>
      <c r="BI171" s="134">
        <f t="shared" si="106"/>
        <v>0</v>
      </c>
      <c r="BJ171" s="123"/>
      <c r="BK171" s="792"/>
      <c r="BL171" s="104"/>
      <c r="BM171" s="672"/>
      <c r="BO171" s="562"/>
      <c r="BS171" s="879"/>
      <c r="BT171" s="774"/>
      <c r="BU171" s="774">
        <v>0</v>
      </c>
      <c r="BV171" s="774">
        <v>0</v>
      </c>
      <c r="BW171" s="774">
        <f t="shared" si="104"/>
        <v>0</v>
      </c>
    </row>
    <row r="172" spans="1:75" ht="15" thickBot="1" x14ac:dyDescent="0.35">
      <c r="A172" s="209" t="s">
        <v>263</v>
      </c>
      <c r="B172" s="227">
        <v>5</v>
      </c>
      <c r="C172" s="39">
        <f>'[3]побудинковий звіт'!E172</f>
        <v>4529.63</v>
      </c>
      <c r="D172" s="205">
        <f t="shared" si="79"/>
        <v>1998.7330738067685</v>
      </c>
      <c r="E172" s="104">
        <f t="shared" si="80"/>
        <v>439.72164345252389</v>
      </c>
      <c r="F172" s="104">
        <f t="shared" si="81"/>
        <v>138.88216799771814</v>
      </c>
      <c r="G172" s="104">
        <f t="shared" si="82"/>
        <v>0</v>
      </c>
      <c r="H172" s="104">
        <f t="shared" si="83"/>
        <v>1669.8909015822248</v>
      </c>
      <c r="I172" s="104">
        <f t="shared" si="84"/>
        <v>546.67272788827324</v>
      </c>
      <c r="J172" s="672">
        <f t="shared" si="72"/>
        <v>0</v>
      </c>
      <c r="K172" s="139">
        <f t="shared" si="85"/>
        <v>4793.9005147275093</v>
      </c>
      <c r="L172" s="138">
        <f t="shared" si="73"/>
        <v>1018.9130606763946</v>
      </c>
      <c r="M172" s="104">
        <f t="shared" si="74"/>
        <v>224.15981827463034</v>
      </c>
      <c r="N172" s="29">
        <f t="shared" si="86"/>
        <v>93.3137558993906</v>
      </c>
      <c r="O172" s="104">
        <f t="shared" si="75"/>
        <v>8.1547355654748657</v>
      </c>
      <c r="P172" s="104">
        <f t="shared" si="87"/>
        <v>851.27607674305295</v>
      </c>
      <c r="Q172" s="104">
        <f t="shared" si="88"/>
        <v>282.62988801840794</v>
      </c>
      <c r="R172" s="140">
        <f t="shared" si="89"/>
        <v>2478.4473351773513</v>
      </c>
      <c r="S172" s="138">
        <f t="shared" si="90"/>
        <v>198.48400000000004</v>
      </c>
      <c r="T172" s="104">
        <f t="shared" si="76"/>
        <v>25.547438274537541</v>
      </c>
      <c r="U172" s="139">
        <f t="shared" si="91"/>
        <v>224.03143827453758</v>
      </c>
      <c r="V172" s="104"/>
      <c r="W172" s="104">
        <f t="shared" si="92"/>
        <v>0</v>
      </c>
      <c r="X172" s="139">
        <f t="shared" si="93"/>
        <v>0</v>
      </c>
      <c r="Y172" s="138">
        <v>0</v>
      </c>
      <c r="Z172" s="141">
        <v>0</v>
      </c>
      <c r="AA172" s="104">
        <f t="shared" si="77"/>
        <v>0</v>
      </c>
      <c r="AB172" s="139">
        <f t="shared" si="78"/>
        <v>0</v>
      </c>
      <c r="AC172" s="138">
        <v>0</v>
      </c>
      <c r="AD172" s="104">
        <f t="shared" si="94"/>
        <v>0</v>
      </c>
      <c r="AE172" s="139">
        <f t="shared" si="95"/>
        <v>0</v>
      </c>
      <c r="AF172" s="142">
        <v>605</v>
      </c>
      <c r="AG172" s="104">
        <f t="shared" si="96"/>
        <v>77.871264968940608</v>
      </c>
      <c r="AH172" s="139">
        <f t="shared" si="97"/>
        <v>682.87126496894064</v>
      </c>
      <c r="AI172" s="142">
        <v>0</v>
      </c>
      <c r="AJ172" s="104">
        <f t="shared" si="98"/>
        <v>0</v>
      </c>
      <c r="AK172" s="139">
        <f t="shared" si="99"/>
        <v>0</v>
      </c>
      <c r="AL172" s="143"/>
      <c r="AM172" s="391"/>
      <c r="AN172" s="104">
        <f t="shared" si="100"/>
        <v>0</v>
      </c>
      <c r="AO172" s="148">
        <f t="shared" si="101"/>
        <v>0</v>
      </c>
      <c r="AP172" s="272">
        <f t="shared" si="102"/>
        <v>2673.4334689066709</v>
      </c>
      <c r="AQ172" s="669">
        <v>112.26</v>
      </c>
      <c r="AR172" s="725">
        <v>1732.3783659564981</v>
      </c>
      <c r="AS172" s="725">
        <v>909.29105866283135</v>
      </c>
      <c r="AT172" s="725">
        <v>31.764044287341807</v>
      </c>
      <c r="AU172" s="401">
        <v>0</v>
      </c>
      <c r="AV172" s="786"/>
      <c r="AW172" s="246"/>
      <c r="AX172" s="713">
        <f t="shared" si="103"/>
        <v>138.88216799771814</v>
      </c>
      <c r="AY172" s="714">
        <v>93.3137558993906</v>
      </c>
      <c r="AZ172" s="715"/>
      <c r="BA172" s="716">
        <v>0</v>
      </c>
      <c r="BC172" s="712">
        <v>0</v>
      </c>
      <c r="BD172" s="712">
        <v>138.88216799771814</v>
      </c>
      <c r="BE172" s="712"/>
      <c r="BF172" s="712"/>
      <c r="BG172" s="712">
        <v>0</v>
      </c>
      <c r="BH172" s="712">
        <v>0</v>
      </c>
      <c r="BI172" s="134">
        <f>BC172+BD172+BE172+BG172</f>
        <v>138.88216799771814</v>
      </c>
      <c r="BJ172" s="123">
        <v>902.2</v>
      </c>
      <c r="BK172" s="792"/>
      <c r="BL172" s="104"/>
      <c r="BM172" s="672"/>
      <c r="BO172" s="562"/>
      <c r="BS172" s="879"/>
      <c r="BT172" s="774"/>
      <c r="BU172" s="774">
        <v>1684.7113495257283</v>
      </c>
      <c r="BV172" s="774">
        <v>0</v>
      </c>
      <c r="BW172" s="774">
        <f t="shared" si="104"/>
        <v>1684.7113495257283</v>
      </c>
    </row>
    <row r="173" spans="1:75" ht="15" thickBot="1" x14ac:dyDescent="0.35">
      <c r="A173" s="250" t="s">
        <v>214</v>
      </c>
      <c r="B173" s="227">
        <v>4</v>
      </c>
      <c r="C173" s="39">
        <f>'[3]побудинковий звіт'!E173</f>
        <v>2055.6</v>
      </c>
      <c r="D173" s="205">
        <f t="shared" si="79"/>
        <v>1051.1492737122198</v>
      </c>
      <c r="E173" s="104">
        <f t="shared" si="80"/>
        <v>231.25303333793212</v>
      </c>
      <c r="F173" s="104">
        <f t="shared" si="81"/>
        <v>87.192716281144527</v>
      </c>
      <c r="G173" s="104">
        <f t="shared" si="82"/>
        <v>0</v>
      </c>
      <c r="H173" s="104">
        <f t="shared" si="83"/>
        <v>878.20861693836014</v>
      </c>
      <c r="I173" s="104">
        <f t="shared" si="84"/>
        <v>289.32117829683915</v>
      </c>
      <c r="J173" s="672">
        <f t="shared" si="72"/>
        <v>0</v>
      </c>
      <c r="K173" s="139">
        <f t="shared" si="85"/>
        <v>2537.1248185664958</v>
      </c>
      <c r="L173" s="138">
        <f t="shared" si="73"/>
        <v>1076.2489197105888</v>
      </c>
      <c r="M173" s="104">
        <f t="shared" si="74"/>
        <v>236.77364789145048</v>
      </c>
      <c r="N173" s="29">
        <f t="shared" si="86"/>
        <v>40.636660924830259</v>
      </c>
      <c r="O173" s="104">
        <f t="shared" si="75"/>
        <v>3.7007160470921763</v>
      </c>
      <c r="P173" s="104">
        <f t="shared" si="87"/>
        <v>899.17873597770881</v>
      </c>
      <c r="Q173" s="104">
        <f t="shared" si="88"/>
        <v>290.44549009240126</v>
      </c>
      <c r="R173" s="140">
        <f t="shared" si="89"/>
        <v>2546.9841706440716</v>
      </c>
      <c r="S173" s="138">
        <f t="shared" si="90"/>
        <v>114.95659999999999</v>
      </c>
      <c r="T173" s="104">
        <f t="shared" si="76"/>
        <v>14.796389848807468</v>
      </c>
      <c r="U173" s="139">
        <f t="shared" si="91"/>
        <v>129.75298984880746</v>
      </c>
      <c r="V173" s="104"/>
      <c r="W173" s="104">
        <f t="shared" si="92"/>
        <v>0</v>
      </c>
      <c r="X173" s="139">
        <f t="shared" si="93"/>
        <v>0</v>
      </c>
      <c r="Y173" s="138">
        <v>0</v>
      </c>
      <c r="Z173" s="141">
        <v>0</v>
      </c>
      <c r="AA173" s="104">
        <f t="shared" si="77"/>
        <v>0</v>
      </c>
      <c r="AB173" s="139">
        <f t="shared" si="78"/>
        <v>0</v>
      </c>
      <c r="AC173" s="138">
        <v>0</v>
      </c>
      <c r="AD173" s="104">
        <f t="shared" si="94"/>
        <v>0</v>
      </c>
      <c r="AE173" s="139">
        <f t="shared" si="95"/>
        <v>0</v>
      </c>
      <c r="AF173" s="142">
        <v>85.8</v>
      </c>
      <c r="AG173" s="104">
        <f t="shared" si="96"/>
        <v>11.043561213777032</v>
      </c>
      <c r="AH173" s="139">
        <f t="shared" si="97"/>
        <v>96.843561213777036</v>
      </c>
      <c r="AI173" s="142">
        <v>0</v>
      </c>
      <c r="AJ173" s="104">
        <f t="shared" si="98"/>
        <v>0</v>
      </c>
      <c r="AK173" s="139">
        <f t="shared" si="99"/>
        <v>0</v>
      </c>
      <c r="AL173" s="143">
        <v>1742.5</v>
      </c>
      <c r="AM173" s="143"/>
      <c r="AN173" s="104">
        <f t="shared" si="100"/>
        <v>224.28211439401491</v>
      </c>
      <c r="AO173" s="148">
        <f t="shared" si="101"/>
        <v>1966.782114394015</v>
      </c>
      <c r="AP173" s="272">
        <f t="shared" si="102"/>
        <v>1001.8887492790132</v>
      </c>
      <c r="AQ173" s="669">
        <v>166.15</v>
      </c>
      <c r="AR173" s="401">
        <v>764.17075958647399</v>
      </c>
      <c r="AS173" s="401">
        <v>226.87733232000014</v>
      </c>
      <c r="AT173" s="401">
        <v>10.84065737253904</v>
      </c>
      <c r="AU173" s="401">
        <v>756.29178113709179</v>
      </c>
      <c r="AV173" s="727">
        <v>39.788908406304117</v>
      </c>
      <c r="AW173" s="246"/>
      <c r="AX173" s="713">
        <f t="shared" si="103"/>
        <v>87.192716281144527</v>
      </c>
      <c r="AY173" s="714">
        <v>40.636660924830259</v>
      </c>
      <c r="AZ173" s="715"/>
      <c r="BA173" s="716">
        <v>0</v>
      </c>
      <c r="BB173" s="727"/>
      <c r="BC173" s="712">
        <v>26.362500000000001</v>
      </c>
      <c r="BD173" s="712">
        <v>60.83021628114453</v>
      </c>
      <c r="BE173" s="712"/>
      <c r="BF173" s="712"/>
      <c r="BG173" s="712">
        <v>0</v>
      </c>
      <c r="BH173" s="712">
        <v>38.04296875</v>
      </c>
      <c r="BI173" s="134">
        <f>BC173+BD173+BE173+BG173</f>
        <v>87.192716281144527</v>
      </c>
      <c r="BJ173" s="123">
        <v>522.53</v>
      </c>
      <c r="BK173" s="792"/>
      <c r="BL173" s="104"/>
      <c r="BM173" s="672"/>
      <c r="BO173" s="562"/>
      <c r="BS173" s="879"/>
      <c r="BT173" s="774"/>
      <c r="BU173" s="774">
        <v>1031.9907164667779</v>
      </c>
      <c r="BV173" s="774">
        <v>0</v>
      </c>
      <c r="BW173" s="774">
        <f t="shared" si="104"/>
        <v>1031.9907164667779</v>
      </c>
    </row>
    <row r="174" spans="1:75" ht="15" thickBot="1" x14ac:dyDescent="0.35">
      <c r="A174" s="250" t="s">
        <v>167</v>
      </c>
      <c r="B174" s="227">
        <v>2</v>
      </c>
      <c r="C174" s="39">
        <f>'[3]побудинковий звіт'!E174</f>
        <v>373.83</v>
      </c>
      <c r="D174" s="205">
        <f t="shared" si="79"/>
        <v>0</v>
      </c>
      <c r="E174" s="104">
        <f t="shared" si="80"/>
        <v>0</v>
      </c>
      <c r="F174" s="104">
        <f t="shared" si="81"/>
        <v>0</v>
      </c>
      <c r="G174" s="104">
        <f t="shared" si="82"/>
        <v>0</v>
      </c>
      <c r="H174" s="104">
        <f t="shared" si="83"/>
        <v>0</v>
      </c>
      <c r="I174" s="104">
        <f t="shared" si="84"/>
        <v>0</v>
      </c>
      <c r="J174" s="672">
        <f t="shared" si="72"/>
        <v>0</v>
      </c>
      <c r="K174" s="139">
        <f t="shared" si="85"/>
        <v>0</v>
      </c>
      <c r="L174" s="138">
        <f t="shared" si="73"/>
        <v>330.03094543477363</v>
      </c>
      <c r="M174" s="104">
        <f t="shared" si="74"/>
        <v>72.606466251941725</v>
      </c>
      <c r="N174" s="29">
        <f t="shared" si="86"/>
        <v>0</v>
      </c>
      <c r="O174" s="104">
        <f t="shared" si="75"/>
        <v>0.67300967108604215</v>
      </c>
      <c r="P174" s="104">
        <f t="shared" si="87"/>
        <v>275.73250287616361</v>
      </c>
      <c r="Q174" s="104">
        <f t="shared" si="88"/>
        <v>87.401539633565889</v>
      </c>
      <c r="R174" s="140">
        <f t="shared" si="89"/>
        <v>766.444463867531</v>
      </c>
      <c r="S174" s="138">
        <f t="shared" si="90"/>
        <v>6.6000000000000005</v>
      </c>
      <c r="T174" s="104">
        <f t="shared" si="76"/>
        <v>0.84950470875207951</v>
      </c>
      <c r="U174" s="139">
        <f t="shared" si="91"/>
        <v>7.4495047087520803</v>
      </c>
      <c r="V174" s="104"/>
      <c r="W174" s="104">
        <f t="shared" si="92"/>
        <v>0</v>
      </c>
      <c r="X174" s="139">
        <f t="shared" si="93"/>
        <v>0</v>
      </c>
      <c r="Y174" s="138">
        <v>0</v>
      </c>
      <c r="Z174" s="141">
        <v>0</v>
      </c>
      <c r="AA174" s="104">
        <f t="shared" si="77"/>
        <v>0</v>
      </c>
      <c r="AB174" s="139">
        <f t="shared" si="78"/>
        <v>0</v>
      </c>
      <c r="AC174" s="138">
        <v>0</v>
      </c>
      <c r="AD174" s="104">
        <f t="shared" si="94"/>
        <v>0</v>
      </c>
      <c r="AE174" s="139">
        <f t="shared" si="95"/>
        <v>0</v>
      </c>
      <c r="AF174" s="142">
        <v>72.599999999999994</v>
      </c>
      <c r="AG174" s="104">
        <f t="shared" si="96"/>
        <v>9.3445517962728726</v>
      </c>
      <c r="AH174" s="139">
        <f t="shared" si="97"/>
        <v>81.944551796272862</v>
      </c>
      <c r="AI174" s="142">
        <v>0</v>
      </c>
      <c r="AJ174" s="104">
        <f t="shared" si="98"/>
        <v>0</v>
      </c>
      <c r="AK174" s="139">
        <f t="shared" si="99"/>
        <v>0</v>
      </c>
      <c r="AL174" s="143"/>
      <c r="AM174" s="143"/>
      <c r="AN174" s="104">
        <f t="shared" si="100"/>
        <v>0</v>
      </c>
      <c r="AO174" s="148">
        <f t="shared" si="101"/>
        <v>0</v>
      </c>
      <c r="AP174" s="272">
        <f t="shared" si="102"/>
        <v>0</v>
      </c>
      <c r="AQ174" s="669">
        <v>0</v>
      </c>
      <c r="AR174" s="401">
        <v>0</v>
      </c>
      <c r="AS174" s="401">
        <v>0</v>
      </c>
      <c r="AT174" s="401">
        <v>0</v>
      </c>
      <c r="AU174" s="401">
        <v>304.81237047515168</v>
      </c>
      <c r="AV174" s="727">
        <v>0</v>
      </c>
      <c r="AW174" s="246"/>
      <c r="AX174" s="713">
        <f t="shared" si="103"/>
        <v>0</v>
      </c>
      <c r="AY174" s="714">
        <v>0</v>
      </c>
      <c r="AZ174" s="715"/>
      <c r="BA174" s="716">
        <v>0</v>
      </c>
      <c r="BB174" s="727"/>
      <c r="BC174" s="712">
        <v>0</v>
      </c>
      <c r="BD174" s="712">
        <v>0</v>
      </c>
      <c r="BE174" s="712"/>
      <c r="BF174" s="712"/>
      <c r="BG174" s="712">
        <v>0</v>
      </c>
      <c r="BH174" s="712">
        <v>0</v>
      </c>
      <c r="BI174" s="134">
        <f>BC174+BD174+BE174+BG174</f>
        <v>0</v>
      </c>
      <c r="BJ174" s="123">
        <v>30</v>
      </c>
      <c r="BK174" s="792"/>
      <c r="BL174" s="104"/>
      <c r="BM174" s="672"/>
      <c r="BO174" s="562"/>
      <c r="BS174" s="879"/>
      <c r="BT174" s="774"/>
      <c r="BU174" s="774">
        <v>0</v>
      </c>
      <c r="BV174" s="774">
        <v>0</v>
      </c>
      <c r="BW174" s="774">
        <f t="shared" si="104"/>
        <v>0</v>
      </c>
    </row>
    <row r="175" spans="1:75" ht="15" thickBot="1" x14ac:dyDescent="0.35">
      <c r="A175" s="210" t="s">
        <v>116</v>
      </c>
      <c r="B175" s="228">
        <v>1</v>
      </c>
      <c r="C175" s="39">
        <f>'[3]побудинковий звіт'!E175</f>
        <v>119.3</v>
      </c>
      <c r="D175" s="205">
        <f t="shared" si="79"/>
        <v>0</v>
      </c>
      <c r="E175" s="104">
        <f t="shared" si="80"/>
        <v>0</v>
      </c>
      <c r="F175" s="104">
        <f t="shared" si="81"/>
        <v>0</v>
      </c>
      <c r="G175" s="104">
        <f t="shared" si="82"/>
        <v>0</v>
      </c>
      <c r="H175" s="104">
        <f t="shared" si="83"/>
        <v>0</v>
      </c>
      <c r="I175" s="104">
        <f t="shared" si="84"/>
        <v>0</v>
      </c>
      <c r="J175" s="672">
        <f t="shared" si="72"/>
        <v>0</v>
      </c>
      <c r="K175" s="139">
        <f t="shared" si="85"/>
        <v>0</v>
      </c>
      <c r="L175" s="138">
        <f t="shared" si="73"/>
        <v>0</v>
      </c>
      <c r="M175" s="104">
        <f t="shared" si="74"/>
        <v>0</v>
      </c>
      <c r="N175" s="29">
        <f t="shared" si="86"/>
        <v>0</v>
      </c>
      <c r="O175" s="104">
        <f t="shared" si="75"/>
        <v>0.21477691399985241</v>
      </c>
      <c r="P175" s="104">
        <f t="shared" si="87"/>
        <v>0</v>
      </c>
      <c r="Q175" s="104">
        <f t="shared" si="88"/>
        <v>2.7644545420320459E-2</v>
      </c>
      <c r="R175" s="140">
        <f t="shared" si="89"/>
        <v>0.24242145942017287</v>
      </c>
      <c r="S175" s="138">
        <f t="shared" si="90"/>
        <v>0</v>
      </c>
      <c r="T175" s="104">
        <f t="shared" si="76"/>
        <v>0</v>
      </c>
      <c r="U175" s="139">
        <f t="shared" si="91"/>
        <v>0</v>
      </c>
      <c r="V175" s="104"/>
      <c r="W175" s="104">
        <f t="shared" si="92"/>
        <v>0</v>
      </c>
      <c r="X175" s="139">
        <f t="shared" si="93"/>
        <v>0</v>
      </c>
      <c r="Y175" s="138">
        <v>0</v>
      </c>
      <c r="Z175" s="141">
        <v>0</v>
      </c>
      <c r="AA175" s="104">
        <f t="shared" si="77"/>
        <v>0</v>
      </c>
      <c r="AB175" s="139">
        <f t="shared" si="78"/>
        <v>0</v>
      </c>
      <c r="AC175" s="138">
        <v>0</v>
      </c>
      <c r="AD175" s="104">
        <f t="shared" si="94"/>
        <v>0</v>
      </c>
      <c r="AE175" s="139">
        <f t="shared" si="95"/>
        <v>0</v>
      </c>
      <c r="AF175" s="142">
        <v>0</v>
      </c>
      <c r="AG175" s="104">
        <f t="shared" si="96"/>
        <v>0</v>
      </c>
      <c r="AH175" s="139">
        <f t="shared" si="97"/>
        <v>0</v>
      </c>
      <c r="AI175" s="142">
        <v>0</v>
      </c>
      <c r="AJ175" s="104">
        <f t="shared" si="98"/>
        <v>0</v>
      </c>
      <c r="AK175" s="139">
        <f t="shared" si="99"/>
        <v>0</v>
      </c>
      <c r="AL175" s="143"/>
      <c r="AM175" s="205"/>
      <c r="AN175" s="104">
        <f t="shared" si="100"/>
        <v>0</v>
      </c>
      <c r="AO175" s="148">
        <f t="shared" si="101"/>
        <v>0</v>
      </c>
      <c r="AP175" s="272">
        <f t="shared" si="102"/>
        <v>0</v>
      </c>
      <c r="AQ175" s="669">
        <v>0</v>
      </c>
      <c r="AR175" s="401">
        <v>0</v>
      </c>
      <c r="AS175" s="401">
        <v>0</v>
      </c>
      <c r="AT175" s="401">
        <v>0</v>
      </c>
      <c r="AU175" s="401">
        <v>0</v>
      </c>
      <c r="AV175" s="727">
        <v>0</v>
      </c>
      <c r="AW175" s="246"/>
      <c r="AX175" s="713">
        <f t="shared" si="103"/>
        <v>0</v>
      </c>
      <c r="AY175" s="714">
        <v>0</v>
      </c>
      <c r="AZ175" s="715"/>
      <c r="BA175" s="716">
        <v>0</v>
      </c>
      <c r="BB175" s="727"/>
      <c r="BC175" s="712">
        <v>0</v>
      </c>
      <c r="BD175" s="712">
        <v>0</v>
      </c>
      <c r="BE175" s="712"/>
      <c r="BF175" s="712"/>
      <c r="BG175" s="712">
        <v>0</v>
      </c>
      <c r="BH175" s="712">
        <v>0</v>
      </c>
      <c r="BI175" s="134">
        <f t="shared" si="106"/>
        <v>0</v>
      </c>
      <c r="BJ175" s="123"/>
      <c r="BK175" s="792"/>
      <c r="BL175" s="104"/>
      <c r="BM175" s="672"/>
      <c r="BO175" s="562"/>
      <c r="BS175" s="879"/>
      <c r="BT175" s="774"/>
      <c r="BU175" s="774">
        <v>0</v>
      </c>
      <c r="BV175" s="774">
        <v>0</v>
      </c>
      <c r="BW175" s="774">
        <f t="shared" si="104"/>
        <v>0</v>
      </c>
    </row>
    <row r="176" spans="1:75" ht="15" thickBot="1" x14ac:dyDescent="0.35">
      <c r="A176" s="210" t="s">
        <v>117</v>
      </c>
      <c r="B176" s="228">
        <v>1</v>
      </c>
      <c r="C176" s="39">
        <f>'[3]побудинковий звіт'!E176</f>
        <v>182.8</v>
      </c>
      <c r="D176" s="205">
        <f t="shared" si="79"/>
        <v>21.757413736339039</v>
      </c>
      <c r="E176" s="104">
        <f t="shared" si="80"/>
        <v>4.7866350193514879</v>
      </c>
      <c r="F176" s="104">
        <f t="shared" si="81"/>
        <v>0</v>
      </c>
      <c r="G176" s="104">
        <f t="shared" si="82"/>
        <v>0</v>
      </c>
      <c r="H176" s="104">
        <f t="shared" si="83"/>
        <v>18.177768565701534</v>
      </c>
      <c r="I176" s="104">
        <f t="shared" si="84"/>
        <v>5.7562718785564941</v>
      </c>
      <c r="J176" s="672">
        <f t="shared" si="72"/>
        <v>0</v>
      </c>
      <c r="K176" s="139">
        <f t="shared" si="85"/>
        <v>50.478089199948556</v>
      </c>
      <c r="L176" s="138">
        <f t="shared" si="73"/>
        <v>0</v>
      </c>
      <c r="M176" s="104">
        <f t="shared" si="74"/>
        <v>0</v>
      </c>
      <c r="N176" s="29">
        <f t="shared" si="86"/>
        <v>0</v>
      </c>
      <c r="O176" s="104">
        <f t="shared" si="75"/>
        <v>0.32909656227303458</v>
      </c>
      <c r="P176" s="104">
        <f t="shared" si="87"/>
        <v>0</v>
      </c>
      <c r="Q176" s="104">
        <f t="shared" si="88"/>
        <v>4.2358951406828001E-2</v>
      </c>
      <c r="R176" s="140">
        <f t="shared" si="89"/>
        <v>0.37145551367986257</v>
      </c>
      <c r="S176" s="138">
        <f t="shared" si="90"/>
        <v>0</v>
      </c>
      <c r="T176" s="104">
        <f t="shared" si="76"/>
        <v>0</v>
      </c>
      <c r="U176" s="139">
        <f t="shared" si="91"/>
        <v>0</v>
      </c>
      <c r="V176" s="104"/>
      <c r="W176" s="104">
        <f t="shared" si="92"/>
        <v>0</v>
      </c>
      <c r="X176" s="139">
        <f t="shared" si="93"/>
        <v>0</v>
      </c>
      <c r="Y176" s="138">
        <v>0</v>
      </c>
      <c r="Z176" s="141">
        <v>0</v>
      </c>
      <c r="AA176" s="104">
        <f t="shared" si="77"/>
        <v>0</v>
      </c>
      <c r="AB176" s="139">
        <f t="shared" si="78"/>
        <v>0</v>
      </c>
      <c r="AC176" s="138">
        <v>0</v>
      </c>
      <c r="AD176" s="104">
        <f t="shared" si="94"/>
        <v>0</v>
      </c>
      <c r="AE176" s="139">
        <f t="shared" si="95"/>
        <v>0</v>
      </c>
      <c r="AF176" s="142">
        <v>0</v>
      </c>
      <c r="AG176" s="104">
        <f t="shared" si="96"/>
        <v>0</v>
      </c>
      <c r="AH176" s="139">
        <f t="shared" si="97"/>
        <v>0</v>
      </c>
      <c r="AI176" s="142">
        <v>0</v>
      </c>
      <c r="AJ176" s="104">
        <f t="shared" si="98"/>
        <v>0</v>
      </c>
      <c r="AK176" s="139">
        <f t="shared" si="99"/>
        <v>0</v>
      </c>
      <c r="AL176" s="143"/>
      <c r="AM176" s="205"/>
      <c r="AN176" s="104">
        <f t="shared" si="100"/>
        <v>0</v>
      </c>
      <c r="AO176" s="148">
        <f t="shared" si="101"/>
        <v>0</v>
      </c>
      <c r="AP176" s="272">
        <f t="shared" si="102"/>
        <v>0</v>
      </c>
      <c r="AQ176" s="669">
        <v>20.079999999999998</v>
      </c>
      <c r="AR176" s="401">
        <v>0</v>
      </c>
      <c r="AS176" s="401">
        <v>0</v>
      </c>
      <c r="AT176" s="401">
        <v>0</v>
      </c>
      <c r="AU176" s="401">
        <v>0</v>
      </c>
      <c r="AV176" s="727">
        <v>0</v>
      </c>
      <c r="AW176" s="246"/>
      <c r="AX176" s="713">
        <f t="shared" si="103"/>
        <v>0</v>
      </c>
      <c r="AY176" s="714">
        <v>0</v>
      </c>
      <c r="AZ176" s="715"/>
      <c r="BA176" s="716">
        <v>0</v>
      </c>
      <c r="BB176" s="727"/>
      <c r="BC176" s="712">
        <v>0</v>
      </c>
      <c r="BD176" s="712">
        <v>0</v>
      </c>
      <c r="BE176" s="712"/>
      <c r="BF176" s="712"/>
      <c r="BG176" s="712">
        <v>0</v>
      </c>
      <c r="BH176" s="712">
        <v>0</v>
      </c>
      <c r="BI176" s="134">
        <f t="shared" si="106"/>
        <v>0</v>
      </c>
      <c r="BJ176" s="123"/>
      <c r="BK176" s="792"/>
      <c r="BL176" s="104"/>
      <c r="BM176" s="672"/>
      <c r="BO176" s="562"/>
      <c r="BS176" s="879"/>
      <c r="BT176" s="774"/>
      <c r="BU176" s="774">
        <v>0</v>
      </c>
      <c r="BV176" s="774">
        <v>0</v>
      </c>
      <c r="BW176" s="774">
        <f t="shared" si="104"/>
        <v>0</v>
      </c>
    </row>
    <row r="177" spans="1:75" ht="15" thickBot="1" x14ac:dyDescent="0.35">
      <c r="A177" s="210" t="s">
        <v>118</v>
      </c>
      <c r="B177" s="228">
        <v>1</v>
      </c>
      <c r="C177" s="39">
        <f>'[3]побудинковий звіт'!E177</f>
        <v>229</v>
      </c>
      <c r="D177" s="205">
        <f t="shared" si="79"/>
        <v>21.757413736339039</v>
      </c>
      <c r="E177" s="104">
        <f t="shared" si="80"/>
        <v>4.7866350193514879</v>
      </c>
      <c r="F177" s="104">
        <f t="shared" si="81"/>
        <v>0</v>
      </c>
      <c r="G177" s="104">
        <f t="shared" si="82"/>
        <v>0</v>
      </c>
      <c r="H177" s="104">
        <f t="shared" si="83"/>
        <v>18.177768565701534</v>
      </c>
      <c r="I177" s="104">
        <f t="shared" si="84"/>
        <v>5.7562718785564941</v>
      </c>
      <c r="J177" s="672">
        <f t="shared" si="72"/>
        <v>0</v>
      </c>
      <c r="K177" s="139">
        <f t="shared" si="85"/>
        <v>50.478089199948556</v>
      </c>
      <c r="L177" s="138">
        <f t="shared" si="73"/>
        <v>0</v>
      </c>
      <c r="M177" s="104">
        <f t="shared" si="74"/>
        <v>0</v>
      </c>
      <c r="N177" s="29">
        <f t="shared" si="86"/>
        <v>0</v>
      </c>
      <c r="O177" s="104">
        <f t="shared" si="75"/>
        <v>0.41227085755210563</v>
      </c>
      <c r="P177" s="104">
        <f t="shared" si="87"/>
        <v>0</v>
      </c>
      <c r="Q177" s="104">
        <f t="shared" si="88"/>
        <v>5.3064550722995686E-2</v>
      </c>
      <c r="R177" s="140">
        <f t="shared" si="89"/>
        <v>0.46533540827510134</v>
      </c>
      <c r="S177" s="138">
        <f t="shared" si="90"/>
        <v>0</v>
      </c>
      <c r="T177" s="104">
        <f t="shared" si="76"/>
        <v>0</v>
      </c>
      <c r="U177" s="139">
        <f t="shared" si="91"/>
        <v>0</v>
      </c>
      <c r="V177" s="104"/>
      <c r="W177" s="104">
        <f t="shared" si="92"/>
        <v>0</v>
      </c>
      <c r="X177" s="139">
        <f t="shared" si="93"/>
        <v>0</v>
      </c>
      <c r="Y177" s="138">
        <v>0</v>
      </c>
      <c r="Z177" s="141">
        <v>0</v>
      </c>
      <c r="AA177" s="104">
        <f t="shared" si="77"/>
        <v>0</v>
      </c>
      <c r="AB177" s="139">
        <f t="shared" si="78"/>
        <v>0</v>
      </c>
      <c r="AC177" s="138">
        <v>0</v>
      </c>
      <c r="AD177" s="104">
        <f t="shared" si="94"/>
        <v>0</v>
      </c>
      <c r="AE177" s="139">
        <f t="shared" si="95"/>
        <v>0</v>
      </c>
      <c r="AF177" s="142">
        <v>0</v>
      </c>
      <c r="AG177" s="104">
        <f t="shared" si="96"/>
        <v>0</v>
      </c>
      <c r="AH177" s="139">
        <f t="shared" si="97"/>
        <v>0</v>
      </c>
      <c r="AI177" s="142">
        <v>0</v>
      </c>
      <c r="AJ177" s="104">
        <f t="shared" si="98"/>
        <v>0</v>
      </c>
      <c r="AK177" s="139">
        <f t="shared" si="99"/>
        <v>0</v>
      </c>
      <c r="AL177" s="143"/>
      <c r="AM177" s="205"/>
      <c r="AN177" s="104">
        <f t="shared" si="100"/>
        <v>0</v>
      </c>
      <c r="AO177" s="148">
        <f t="shared" si="101"/>
        <v>0</v>
      </c>
      <c r="AP177" s="272">
        <f t="shared" si="102"/>
        <v>0</v>
      </c>
      <c r="AQ177" s="669">
        <v>20.079999999999998</v>
      </c>
      <c r="AR177" s="401">
        <v>0</v>
      </c>
      <c r="AS177" s="401">
        <v>0</v>
      </c>
      <c r="AT177" s="401">
        <v>0</v>
      </c>
      <c r="AU177" s="401">
        <v>0</v>
      </c>
      <c r="AV177" s="727">
        <v>0</v>
      </c>
      <c r="AW177" s="246"/>
      <c r="AX177" s="713">
        <f t="shared" si="103"/>
        <v>0</v>
      </c>
      <c r="AY177" s="714">
        <v>0</v>
      </c>
      <c r="AZ177" s="715"/>
      <c r="BA177" s="716">
        <v>0</v>
      </c>
      <c r="BB177" s="727"/>
      <c r="BC177" s="712">
        <v>0</v>
      </c>
      <c r="BD177" s="712">
        <v>0</v>
      </c>
      <c r="BE177" s="712"/>
      <c r="BF177" s="712"/>
      <c r="BG177" s="712">
        <v>0</v>
      </c>
      <c r="BH177" s="712">
        <v>0</v>
      </c>
      <c r="BI177" s="134">
        <f t="shared" si="106"/>
        <v>0</v>
      </c>
      <c r="BJ177" s="123"/>
      <c r="BK177" s="792"/>
      <c r="BL177" s="104"/>
      <c r="BM177" s="672"/>
      <c r="BO177" s="562"/>
      <c r="BS177" s="879"/>
      <c r="BT177" s="774"/>
      <c r="BU177" s="774">
        <v>0</v>
      </c>
      <c r="BV177" s="774">
        <v>0</v>
      </c>
      <c r="BW177" s="774">
        <f t="shared" si="104"/>
        <v>0</v>
      </c>
    </row>
    <row r="178" spans="1:75" ht="15" thickBot="1" x14ac:dyDescent="0.35">
      <c r="A178" s="210" t="s">
        <v>119</v>
      </c>
      <c r="B178" s="228">
        <v>1</v>
      </c>
      <c r="C178" s="39">
        <f>'[3]побудинковий звіт'!E178</f>
        <v>144.5</v>
      </c>
      <c r="D178" s="205">
        <f t="shared" si="79"/>
        <v>0</v>
      </c>
      <c r="E178" s="104">
        <f t="shared" si="80"/>
        <v>0</v>
      </c>
      <c r="F178" s="104">
        <f t="shared" si="81"/>
        <v>0</v>
      </c>
      <c r="G178" s="104">
        <f t="shared" si="82"/>
        <v>0</v>
      </c>
      <c r="H178" s="104">
        <f t="shared" si="83"/>
        <v>0</v>
      </c>
      <c r="I178" s="104">
        <f t="shared" si="84"/>
        <v>0</v>
      </c>
      <c r="J178" s="672">
        <f t="shared" si="72"/>
        <v>0</v>
      </c>
      <c r="K178" s="139">
        <f t="shared" si="85"/>
        <v>0</v>
      </c>
      <c r="L178" s="138">
        <f t="shared" si="73"/>
        <v>0</v>
      </c>
      <c r="M178" s="104">
        <f t="shared" si="74"/>
        <v>0</v>
      </c>
      <c r="N178" s="29">
        <f t="shared" si="86"/>
        <v>0</v>
      </c>
      <c r="O178" s="104">
        <f t="shared" si="75"/>
        <v>0.26014471142480028</v>
      </c>
      <c r="P178" s="104">
        <f t="shared" si="87"/>
        <v>0</v>
      </c>
      <c r="Q178" s="104">
        <f t="shared" si="88"/>
        <v>3.3483963229139199E-2</v>
      </c>
      <c r="R178" s="140">
        <f t="shared" si="89"/>
        <v>0.29362867465393949</v>
      </c>
      <c r="S178" s="138">
        <f t="shared" si="90"/>
        <v>0</v>
      </c>
      <c r="T178" s="104">
        <f t="shared" si="76"/>
        <v>0</v>
      </c>
      <c r="U178" s="139">
        <f t="shared" si="91"/>
        <v>0</v>
      </c>
      <c r="V178" s="104"/>
      <c r="W178" s="104">
        <f t="shared" si="92"/>
        <v>0</v>
      </c>
      <c r="X178" s="139">
        <f t="shared" si="93"/>
        <v>0</v>
      </c>
      <c r="Y178" s="138">
        <v>0</v>
      </c>
      <c r="Z178" s="141">
        <v>0</v>
      </c>
      <c r="AA178" s="104">
        <f t="shared" si="77"/>
        <v>0</v>
      </c>
      <c r="AB178" s="139">
        <f t="shared" si="78"/>
        <v>0</v>
      </c>
      <c r="AC178" s="138">
        <v>0</v>
      </c>
      <c r="AD178" s="104">
        <f t="shared" si="94"/>
        <v>0</v>
      </c>
      <c r="AE178" s="139">
        <f t="shared" si="95"/>
        <v>0</v>
      </c>
      <c r="AF178" s="142">
        <v>0</v>
      </c>
      <c r="AG178" s="104">
        <f t="shared" si="96"/>
        <v>0</v>
      </c>
      <c r="AH178" s="139">
        <f t="shared" si="97"/>
        <v>0</v>
      </c>
      <c r="AI178" s="142">
        <v>0</v>
      </c>
      <c r="AJ178" s="104">
        <f t="shared" si="98"/>
        <v>0</v>
      </c>
      <c r="AK178" s="139">
        <f t="shared" si="99"/>
        <v>0</v>
      </c>
      <c r="AL178" s="143"/>
      <c r="AM178" s="205"/>
      <c r="AN178" s="104">
        <f t="shared" si="100"/>
        <v>0</v>
      </c>
      <c r="AO178" s="148">
        <f t="shared" si="101"/>
        <v>0</v>
      </c>
      <c r="AP178" s="272">
        <f t="shared" si="102"/>
        <v>0</v>
      </c>
      <c r="AQ178" s="669">
        <v>0</v>
      </c>
      <c r="AR178" s="401">
        <v>0</v>
      </c>
      <c r="AS178" s="401">
        <v>0</v>
      </c>
      <c r="AT178" s="401">
        <v>0</v>
      </c>
      <c r="AU178" s="401">
        <v>0</v>
      </c>
      <c r="AV178" s="727">
        <v>0</v>
      </c>
      <c r="AW178" s="246"/>
      <c r="AX178" s="713">
        <f t="shared" si="103"/>
        <v>0</v>
      </c>
      <c r="AY178" s="714">
        <v>0</v>
      </c>
      <c r="AZ178" s="715"/>
      <c r="BA178" s="716">
        <v>0</v>
      </c>
      <c r="BB178" s="727"/>
      <c r="BC178" s="712">
        <v>0</v>
      </c>
      <c r="BD178" s="712">
        <v>0</v>
      </c>
      <c r="BE178" s="712"/>
      <c r="BF178" s="712"/>
      <c r="BG178" s="712">
        <v>0</v>
      </c>
      <c r="BH178" s="712">
        <v>0</v>
      </c>
      <c r="BI178" s="134">
        <f t="shared" si="106"/>
        <v>0</v>
      </c>
      <c r="BJ178" s="123"/>
      <c r="BK178" s="792"/>
      <c r="BL178" s="104"/>
      <c r="BM178" s="672"/>
      <c r="BO178" s="562"/>
      <c r="BS178" s="879"/>
      <c r="BT178" s="774"/>
      <c r="BU178" s="774">
        <v>0</v>
      </c>
      <c r="BV178" s="774">
        <v>0</v>
      </c>
      <c r="BW178" s="774">
        <f t="shared" si="104"/>
        <v>0</v>
      </c>
    </row>
    <row r="179" spans="1:75" ht="15" thickBot="1" x14ac:dyDescent="0.35">
      <c r="A179" s="250" t="s">
        <v>168</v>
      </c>
      <c r="B179" s="227">
        <v>2</v>
      </c>
      <c r="C179" s="39">
        <f>'[3]побудинковий звіт'!E179</f>
        <v>393</v>
      </c>
      <c r="D179" s="205">
        <f t="shared" si="79"/>
        <v>86.453931710263291</v>
      </c>
      <c r="E179" s="104">
        <f t="shared" si="80"/>
        <v>19.019880859911407</v>
      </c>
      <c r="F179" s="104">
        <f t="shared" si="81"/>
        <v>47.300505668159502</v>
      </c>
      <c r="G179" s="104">
        <f t="shared" si="82"/>
        <v>0</v>
      </c>
      <c r="H179" s="104">
        <f t="shared" si="83"/>
        <v>72.230072069611822</v>
      </c>
      <c r="I179" s="104">
        <f t="shared" si="84"/>
        <v>28.960952887347105</v>
      </c>
      <c r="J179" s="672">
        <f t="shared" si="72"/>
        <v>0</v>
      </c>
      <c r="K179" s="139">
        <f t="shared" si="85"/>
        <v>253.96534319529314</v>
      </c>
      <c r="L179" s="138">
        <f t="shared" si="73"/>
        <v>295.7788739309857</v>
      </c>
      <c r="M179" s="104">
        <f t="shared" si="74"/>
        <v>65.071045988782245</v>
      </c>
      <c r="N179" s="29">
        <f t="shared" si="86"/>
        <v>7.6540655372433699</v>
      </c>
      <c r="O179" s="104">
        <f t="shared" si="75"/>
        <v>0.70752160269859177</v>
      </c>
      <c r="P179" s="104">
        <f t="shared" si="87"/>
        <v>247.11576394584617</v>
      </c>
      <c r="Q179" s="104">
        <f t="shared" si="88"/>
        <v>79.329230129021042</v>
      </c>
      <c r="R179" s="140">
        <f t="shared" si="89"/>
        <v>695.65650113457718</v>
      </c>
      <c r="S179" s="138">
        <f t="shared" si="90"/>
        <v>0</v>
      </c>
      <c r="T179" s="104">
        <f t="shared" si="76"/>
        <v>0</v>
      </c>
      <c r="U179" s="139">
        <f t="shared" si="91"/>
        <v>0</v>
      </c>
      <c r="V179" s="104"/>
      <c r="W179" s="104">
        <f t="shared" si="92"/>
        <v>0</v>
      </c>
      <c r="X179" s="139">
        <f t="shared" si="93"/>
        <v>0</v>
      </c>
      <c r="Y179" s="138">
        <v>0</v>
      </c>
      <c r="Z179" s="141">
        <v>0</v>
      </c>
      <c r="AA179" s="104">
        <f t="shared" si="77"/>
        <v>0</v>
      </c>
      <c r="AB179" s="139">
        <f t="shared" si="78"/>
        <v>0</v>
      </c>
      <c r="AC179" s="138">
        <v>0</v>
      </c>
      <c r="AD179" s="104">
        <f t="shared" si="94"/>
        <v>0</v>
      </c>
      <c r="AE179" s="139">
        <f t="shared" si="95"/>
        <v>0</v>
      </c>
      <c r="AF179" s="142">
        <v>2.2000000000000002</v>
      </c>
      <c r="AG179" s="104">
        <f t="shared" si="96"/>
        <v>0.28316823625069315</v>
      </c>
      <c r="AH179" s="139">
        <f t="shared" si="97"/>
        <v>2.4831682362506933</v>
      </c>
      <c r="AI179" s="142">
        <v>0</v>
      </c>
      <c r="AJ179" s="104">
        <f t="shared" si="98"/>
        <v>0</v>
      </c>
      <c r="AK179" s="139">
        <f t="shared" si="99"/>
        <v>0</v>
      </c>
      <c r="AL179" s="205"/>
      <c r="AM179" s="205"/>
      <c r="AN179" s="104">
        <f t="shared" si="100"/>
        <v>0</v>
      </c>
      <c r="AO179" s="148">
        <f t="shared" si="101"/>
        <v>0</v>
      </c>
      <c r="AP179" s="272">
        <f t="shared" si="102"/>
        <v>66.200156729205091</v>
      </c>
      <c r="AQ179" s="669">
        <v>34.69</v>
      </c>
      <c r="AR179" s="401">
        <v>42.866677031207786</v>
      </c>
      <c r="AS179" s="401">
        <v>23.333479697997305</v>
      </c>
      <c r="AT179" s="401">
        <v>0</v>
      </c>
      <c r="AU179" s="401">
        <v>249.84411454427706</v>
      </c>
      <c r="AV179" s="727">
        <v>2.2319858024930599</v>
      </c>
      <c r="AW179" s="246"/>
      <c r="AX179" s="713">
        <f t="shared" si="103"/>
        <v>47.300505668159502</v>
      </c>
      <c r="AY179" s="714">
        <v>7.6540655372433699</v>
      </c>
      <c r="AZ179" s="715"/>
      <c r="BA179" s="716">
        <v>0</v>
      </c>
      <c r="BB179" s="727"/>
      <c r="BC179" s="712">
        <v>26.362500000000001</v>
      </c>
      <c r="BD179" s="712">
        <v>20.938005668159501</v>
      </c>
      <c r="BE179" s="712"/>
      <c r="BF179" s="712"/>
      <c r="BG179" s="712">
        <v>0</v>
      </c>
      <c r="BH179" s="712">
        <v>38.04296875</v>
      </c>
      <c r="BI179" s="134">
        <f t="shared" ref="BI179:BI210" si="107">BC179+BD179+BE179+BG179</f>
        <v>47.300505668159502</v>
      </c>
      <c r="BJ179" s="123"/>
      <c r="BK179" s="792"/>
      <c r="BL179" s="104"/>
      <c r="BM179" s="672"/>
      <c r="BO179" s="562"/>
      <c r="BS179" s="879"/>
      <c r="BT179" s="774"/>
      <c r="BU179" s="774">
        <v>37.946343515482347</v>
      </c>
      <c r="BV179" s="774">
        <v>0</v>
      </c>
      <c r="BW179" s="774">
        <f t="shared" si="104"/>
        <v>37.946343515482347</v>
      </c>
    </row>
    <row r="180" spans="1:75" ht="15" thickBot="1" x14ac:dyDescent="0.35">
      <c r="A180" s="209" t="s">
        <v>264</v>
      </c>
      <c r="B180" s="227">
        <v>5</v>
      </c>
      <c r="C180" s="39">
        <f>'[3]побудинковий звіт'!E180</f>
        <v>4524.01</v>
      </c>
      <c r="D180" s="205">
        <f t="shared" si="79"/>
        <v>2522.0160365389397</v>
      </c>
      <c r="E180" s="104">
        <f t="shared" si="80"/>
        <v>554.84399139318816</v>
      </c>
      <c r="F180" s="104">
        <f t="shared" si="81"/>
        <v>138.3088900282975</v>
      </c>
      <c r="G180" s="104">
        <f t="shared" si="82"/>
        <v>0</v>
      </c>
      <c r="H180" s="104">
        <f t="shared" si="83"/>
        <v>2107.0805743158448</v>
      </c>
      <c r="I180" s="104">
        <f t="shared" si="84"/>
        <v>685.04181891546307</v>
      </c>
      <c r="J180" s="672">
        <f t="shared" si="72"/>
        <v>0</v>
      </c>
      <c r="K180" s="139">
        <f t="shared" si="85"/>
        <v>6007.2913111917342</v>
      </c>
      <c r="L180" s="138">
        <f t="shared" si="73"/>
        <v>1007.5028329342289</v>
      </c>
      <c r="M180" s="104">
        <f t="shared" si="74"/>
        <v>221.64957998652937</v>
      </c>
      <c r="N180" s="29">
        <f t="shared" si="86"/>
        <v>176.92857527273236</v>
      </c>
      <c r="O180" s="104">
        <f t="shared" si="75"/>
        <v>8.1446178265253337</v>
      </c>
      <c r="P180" s="104">
        <f t="shared" si="87"/>
        <v>841.74312022108279</v>
      </c>
      <c r="Q180" s="104">
        <f t="shared" si="88"/>
        <v>290.37212965746124</v>
      </c>
      <c r="R180" s="140">
        <f t="shared" si="89"/>
        <v>2546.3408558985602</v>
      </c>
      <c r="S180" s="138">
        <f t="shared" si="90"/>
        <v>155.71599999999998</v>
      </c>
      <c r="T180" s="104">
        <f t="shared" si="76"/>
        <v>20.042647761824057</v>
      </c>
      <c r="U180" s="139">
        <f t="shared" si="91"/>
        <v>175.75864776182402</v>
      </c>
      <c r="V180" s="104"/>
      <c r="W180" s="104">
        <f t="shared" si="92"/>
        <v>0</v>
      </c>
      <c r="X180" s="139">
        <f t="shared" si="93"/>
        <v>0</v>
      </c>
      <c r="Y180" s="138">
        <v>0</v>
      </c>
      <c r="Z180" s="141">
        <v>0</v>
      </c>
      <c r="AA180" s="104">
        <f t="shared" si="77"/>
        <v>0</v>
      </c>
      <c r="AB180" s="139">
        <f t="shared" si="78"/>
        <v>0</v>
      </c>
      <c r="AC180" s="138">
        <v>0</v>
      </c>
      <c r="AD180" s="104">
        <f t="shared" si="94"/>
        <v>0</v>
      </c>
      <c r="AE180" s="139">
        <f t="shared" si="95"/>
        <v>0</v>
      </c>
      <c r="AF180" s="142">
        <v>396</v>
      </c>
      <c r="AG180" s="104">
        <f t="shared" si="96"/>
        <v>50.970282525124766</v>
      </c>
      <c r="AH180" s="139">
        <f t="shared" si="97"/>
        <v>446.97028252512479</v>
      </c>
      <c r="AI180" s="142">
        <v>0</v>
      </c>
      <c r="AJ180" s="104">
        <f t="shared" si="98"/>
        <v>0</v>
      </c>
      <c r="AK180" s="139">
        <f t="shared" si="99"/>
        <v>0</v>
      </c>
      <c r="AL180" s="143"/>
      <c r="AM180" s="391"/>
      <c r="AN180" s="104">
        <f t="shared" si="100"/>
        <v>0</v>
      </c>
      <c r="AO180" s="148">
        <f t="shared" si="101"/>
        <v>0</v>
      </c>
      <c r="AP180" s="272">
        <f t="shared" si="102"/>
        <v>2956.8549673619909</v>
      </c>
      <c r="AQ180" s="669">
        <v>301.24</v>
      </c>
      <c r="AR180" s="725">
        <v>2026.338205176103</v>
      </c>
      <c r="AS180" s="725">
        <v>905.55674330117563</v>
      </c>
      <c r="AT180" s="725">
        <v>24.960018884712358</v>
      </c>
      <c r="AU180" s="401">
        <v>0</v>
      </c>
      <c r="AV180" s="786"/>
      <c r="AW180" s="246"/>
      <c r="AX180" s="713">
        <f t="shared" si="103"/>
        <v>138.3088900282975</v>
      </c>
      <c r="AY180" s="714">
        <v>92.92857527273236</v>
      </c>
      <c r="AZ180" s="715"/>
      <c r="BA180" s="716">
        <v>84</v>
      </c>
      <c r="BC180" s="712">
        <v>0</v>
      </c>
      <c r="BD180" s="712">
        <v>138.3088900282975</v>
      </c>
      <c r="BE180" s="712"/>
      <c r="BF180" s="712"/>
      <c r="BG180" s="712">
        <v>0</v>
      </c>
      <c r="BH180" s="712">
        <v>0</v>
      </c>
      <c r="BI180" s="134">
        <f t="shared" si="107"/>
        <v>138.3088900282975</v>
      </c>
      <c r="BJ180" s="123">
        <v>707.8</v>
      </c>
      <c r="BK180" s="792"/>
      <c r="BL180" s="104"/>
      <c r="BM180" s="672"/>
      <c r="BO180" s="562"/>
      <c r="BS180" s="879"/>
      <c r="BT180" s="774"/>
      <c r="BU180" s="774">
        <v>1988.7639064926325</v>
      </c>
      <c r="BV180" s="774">
        <v>0</v>
      </c>
      <c r="BW180" s="774">
        <f t="shared" si="104"/>
        <v>1988.7639064926325</v>
      </c>
    </row>
    <row r="181" spans="1:75" ht="15" thickBot="1" x14ac:dyDescent="0.35">
      <c r="A181" s="250" t="s">
        <v>370</v>
      </c>
      <c r="B181" s="227">
        <v>9</v>
      </c>
      <c r="C181" s="39">
        <f>'[3]побудинковий звіт'!E181</f>
        <v>6306.37</v>
      </c>
      <c r="D181" s="205">
        <f t="shared" si="79"/>
        <v>2338.5736765172333</v>
      </c>
      <c r="E181" s="104">
        <f t="shared" si="80"/>
        <v>514.48663848566696</v>
      </c>
      <c r="F181" s="104">
        <f t="shared" si="81"/>
        <v>186.53927881420253</v>
      </c>
      <c r="G181" s="104">
        <f t="shared" si="82"/>
        <v>0</v>
      </c>
      <c r="H181" s="104">
        <f t="shared" si="83"/>
        <v>1953.8191248609719</v>
      </c>
      <c r="I181" s="104">
        <f t="shared" si="84"/>
        <v>642.71707792239386</v>
      </c>
      <c r="J181" s="672">
        <f t="shared" si="72"/>
        <v>0</v>
      </c>
      <c r="K181" s="139">
        <f t="shared" si="85"/>
        <v>5636.1357966004689</v>
      </c>
      <c r="L181" s="138">
        <f t="shared" si="73"/>
        <v>2137.882988310274</v>
      </c>
      <c r="M181" s="104">
        <f t="shared" si="74"/>
        <v>470.3320436720328</v>
      </c>
      <c r="N181" s="29">
        <f t="shared" si="86"/>
        <v>122.77569069594234</v>
      </c>
      <c r="O181" s="104">
        <f t="shared" si="75"/>
        <v>11.353417327252718</v>
      </c>
      <c r="P181" s="104">
        <f t="shared" si="87"/>
        <v>1786.1471337077021</v>
      </c>
      <c r="Q181" s="104">
        <f t="shared" si="88"/>
        <v>582.87494857001047</v>
      </c>
      <c r="R181" s="140">
        <f t="shared" si="89"/>
        <v>5111.3662222832154</v>
      </c>
      <c r="S181" s="138">
        <f t="shared" si="90"/>
        <v>132</v>
      </c>
      <c r="T181" s="104">
        <f t="shared" si="76"/>
        <v>16.990094175041587</v>
      </c>
      <c r="U181" s="139">
        <f t="shared" si="91"/>
        <v>148.99009417504158</v>
      </c>
      <c r="V181" s="104"/>
      <c r="W181" s="104">
        <f t="shared" si="92"/>
        <v>0</v>
      </c>
      <c r="X181" s="139">
        <f t="shared" si="93"/>
        <v>0</v>
      </c>
      <c r="Y181" s="138">
        <v>6463.3950000000004</v>
      </c>
      <c r="Z181" s="141">
        <v>0</v>
      </c>
      <c r="AA181" s="104">
        <f t="shared" si="77"/>
        <v>831.92189197343134</v>
      </c>
      <c r="AB181" s="139">
        <f t="shared" si="78"/>
        <v>7295.3168919734317</v>
      </c>
      <c r="AC181" s="138">
        <v>0</v>
      </c>
      <c r="AD181" s="104">
        <f t="shared" si="94"/>
        <v>0</v>
      </c>
      <c r="AE181" s="139">
        <f t="shared" si="95"/>
        <v>0</v>
      </c>
      <c r="AF181" s="142">
        <v>2272.6</v>
      </c>
      <c r="AG181" s="104">
        <f t="shared" si="96"/>
        <v>292.51278804696602</v>
      </c>
      <c r="AH181" s="139">
        <f t="shared" si="97"/>
        <v>2565.1127880469658</v>
      </c>
      <c r="AI181" s="142">
        <v>231</v>
      </c>
      <c r="AJ181" s="104">
        <f t="shared" si="98"/>
        <v>29.732664806322781</v>
      </c>
      <c r="AK181" s="139">
        <f t="shared" si="99"/>
        <v>260.73266480632276</v>
      </c>
      <c r="AL181" s="143"/>
      <c r="AM181" s="143"/>
      <c r="AN181" s="104">
        <f t="shared" si="100"/>
        <v>0</v>
      </c>
      <c r="AO181" s="148">
        <f t="shared" si="101"/>
        <v>0</v>
      </c>
      <c r="AP181" s="272">
        <f t="shared" si="102"/>
        <v>3770.4589756549808</v>
      </c>
      <c r="AQ181" s="669">
        <v>268.83</v>
      </c>
      <c r="AR181" s="401">
        <v>1795.9375240169056</v>
      </c>
      <c r="AS181" s="401">
        <v>1919.7715107784109</v>
      </c>
      <c r="AT181" s="401">
        <v>54.749940859664413</v>
      </c>
      <c r="AU181" s="401">
        <v>0</v>
      </c>
      <c r="AV181" s="727">
        <v>93.5110284581191</v>
      </c>
      <c r="AW181" s="246"/>
      <c r="AX181" s="713">
        <f t="shared" si="103"/>
        <v>186.53927881420253</v>
      </c>
      <c r="AY181" s="714">
        <v>122.77569069594234</v>
      </c>
      <c r="AZ181" s="715"/>
      <c r="BA181" s="716">
        <v>0</v>
      </c>
      <c r="BB181" s="727"/>
      <c r="BC181" s="712">
        <v>26.362500000000001</v>
      </c>
      <c r="BD181" s="712">
        <v>160.17677881420252</v>
      </c>
      <c r="BE181" s="712"/>
      <c r="BF181" s="712"/>
      <c r="BG181" s="712">
        <v>0</v>
      </c>
      <c r="BH181" s="712">
        <v>38.04296875</v>
      </c>
      <c r="BI181" s="134">
        <f t="shared" si="107"/>
        <v>186.53927881420253</v>
      </c>
      <c r="BJ181" s="123">
        <v>600</v>
      </c>
      <c r="BK181" s="792"/>
      <c r="BL181" s="104"/>
      <c r="BM181" s="672"/>
      <c r="BO181" s="562"/>
      <c r="BS181" s="879"/>
      <c r="BT181" s="774"/>
      <c r="BU181" s="774">
        <v>1588.767199463231</v>
      </c>
      <c r="BV181" s="774">
        <v>0</v>
      </c>
      <c r="BW181" s="774">
        <f t="shared" si="104"/>
        <v>1588.767199463231</v>
      </c>
    </row>
    <row r="182" spans="1:75" ht="15" thickBot="1" x14ac:dyDescent="0.35">
      <c r="A182" s="250" t="s">
        <v>265</v>
      </c>
      <c r="B182" s="227">
        <v>5</v>
      </c>
      <c r="C182" s="39">
        <f>'[3]побудинковий звіт'!E182</f>
        <v>2744.3</v>
      </c>
      <c r="D182" s="205">
        <f t="shared" si="79"/>
        <v>1599.2933082925058</v>
      </c>
      <c r="E182" s="104">
        <f t="shared" si="80"/>
        <v>351.84482165275472</v>
      </c>
      <c r="F182" s="104">
        <f t="shared" si="81"/>
        <v>102.69025709146804</v>
      </c>
      <c r="G182" s="104">
        <f t="shared" si="82"/>
        <v>0</v>
      </c>
      <c r="H182" s="104">
        <f t="shared" si="83"/>
        <v>1336.169086046345</v>
      </c>
      <c r="I182" s="104">
        <f t="shared" si="84"/>
        <v>436.33618424874572</v>
      </c>
      <c r="J182" s="672">
        <f t="shared" si="72"/>
        <v>0</v>
      </c>
      <c r="K182" s="139">
        <f t="shared" si="85"/>
        <v>3826.3336573318193</v>
      </c>
      <c r="L182" s="138">
        <f t="shared" si="73"/>
        <v>747.17712597895695</v>
      </c>
      <c r="M182" s="104">
        <f t="shared" si="74"/>
        <v>164.37819402100808</v>
      </c>
      <c r="N182" s="29">
        <f t="shared" si="86"/>
        <v>53.449917202062863</v>
      </c>
      <c r="O182" s="104">
        <f t="shared" si="75"/>
        <v>4.940589145765256</v>
      </c>
      <c r="P182" s="104">
        <f t="shared" si="87"/>
        <v>624.24758007643811</v>
      </c>
      <c r="Q182" s="104">
        <f t="shared" si="88"/>
        <v>205.19315233619727</v>
      </c>
      <c r="R182" s="140">
        <f t="shared" si="89"/>
        <v>1799.3865587604287</v>
      </c>
      <c r="S182" s="138">
        <f t="shared" si="90"/>
        <v>121</v>
      </c>
      <c r="T182" s="104">
        <f t="shared" si="76"/>
        <v>15.574252993788123</v>
      </c>
      <c r="U182" s="139">
        <f t="shared" si="91"/>
        <v>136.57425299378812</v>
      </c>
      <c r="V182" s="104"/>
      <c r="W182" s="104">
        <f t="shared" si="92"/>
        <v>0</v>
      </c>
      <c r="X182" s="139">
        <f t="shared" si="93"/>
        <v>0</v>
      </c>
      <c r="Y182" s="138">
        <v>0</v>
      </c>
      <c r="Z182" s="141">
        <v>0</v>
      </c>
      <c r="AA182" s="104">
        <f t="shared" si="77"/>
        <v>0</v>
      </c>
      <c r="AB182" s="139">
        <f t="shared" si="78"/>
        <v>0</v>
      </c>
      <c r="AC182" s="138">
        <v>0</v>
      </c>
      <c r="AD182" s="104">
        <f t="shared" si="94"/>
        <v>0</v>
      </c>
      <c r="AE182" s="139">
        <f t="shared" si="95"/>
        <v>0</v>
      </c>
      <c r="AF182" s="142">
        <v>312.39999999999998</v>
      </c>
      <c r="AG182" s="104">
        <f t="shared" si="96"/>
        <v>40.209889547598422</v>
      </c>
      <c r="AH182" s="139">
        <f t="shared" si="97"/>
        <v>352.60988954759841</v>
      </c>
      <c r="AI182" s="142">
        <v>0</v>
      </c>
      <c r="AJ182" s="104">
        <f t="shared" si="98"/>
        <v>0</v>
      </c>
      <c r="AK182" s="139">
        <f t="shared" si="99"/>
        <v>0</v>
      </c>
      <c r="AL182" s="143"/>
      <c r="AM182" s="143"/>
      <c r="AN182" s="104">
        <f t="shared" si="100"/>
        <v>0</v>
      </c>
      <c r="AO182" s="148">
        <f t="shared" si="101"/>
        <v>0</v>
      </c>
      <c r="AP182" s="272">
        <f t="shared" si="102"/>
        <v>1850.3065408422765</v>
      </c>
      <c r="AQ182" s="669">
        <v>255.36</v>
      </c>
      <c r="AR182" s="401">
        <v>1160.2232802121955</v>
      </c>
      <c r="AS182" s="401">
        <v>668.86184750061886</v>
      </c>
      <c r="AT182" s="401">
        <v>21.22141312946199</v>
      </c>
      <c r="AU182" s="401">
        <v>0</v>
      </c>
      <c r="AV182" s="727">
        <v>60.410604891773303</v>
      </c>
      <c r="AW182" s="246"/>
      <c r="AX182" s="713">
        <f t="shared" si="103"/>
        <v>102.69025709146804</v>
      </c>
      <c r="AY182" s="714">
        <v>53.449917202062863</v>
      </c>
      <c r="AZ182" s="715"/>
      <c r="BA182" s="716">
        <v>0</v>
      </c>
      <c r="BB182" s="727"/>
      <c r="BC182" s="712">
        <v>26.362500000000001</v>
      </c>
      <c r="BD182" s="712">
        <v>76.327757091468044</v>
      </c>
      <c r="BE182" s="712"/>
      <c r="BF182" s="712"/>
      <c r="BG182" s="712">
        <v>0</v>
      </c>
      <c r="BH182" s="712">
        <v>38.04296875</v>
      </c>
      <c r="BI182" s="134">
        <f t="shared" si="107"/>
        <v>102.69025709146804</v>
      </c>
      <c r="BJ182" s="123">
        <v>550</v>
      </c>
      <c r="BK182" s="792"/>
      <c r="BL182" s="104"/>
      <c r="BM182" s="672"/>
      <c r="BO182" s="562"/>
      <c r="BS182" s="879"/>
      <c r="BT182" s="774"/>
      <c r="BU182" s="774">
        <v>1056.6877775828254</v>
      </c>
      <c r="BV182" s="774">
        <v>0</v>
      </c>
      <c r="BW182" s="774">
        <f t="shared" si="104"/>
        <v>1056.6877775828254</v>
      </c>
    </row>
    <row r="183" spans="1:75" ht="15" thickBot="1" x14ac:dyDescent="0.35">
      <c r="A183" s="250" t="s">
        <v>371</v>
      </c>
      <c r="B183" s="227">
        <v>9</v>
      </c>
      <c r="C183" s="39">
        <f>'[3]побудинковий звіт'!E183</f>
        <v>6138.38</v>
      </c>
      <c r="D183" s="205">
        <f t="shared" si="79"/>
        <v>1477.7633334597524</v>
      </c>
      <c r="E183" s="104">
        <f t="shared" si="80"/>
        <v>325.10820486158804</v>
      </c>
      <c r="F183" s="104">
        <f t="shared" si="81"/>
        <v>182.63909971104815</v>
      </c>
      <c r="G183" s="104">
        <f t="shared" si="82"/>
        <v>0</v>
      </c>
      <c r="H183" s="104">
        <f t="shared" si="83"/>
        <v>1234.6338676110936</v>
      </c>
      <c r="I183" s="104">
        <f t="shared" si="84"/>
        <v>414.4739273342841</v>
      </c>
      <c r="J183" s="672">
        <f t="shared" si="72"/>
        <v>0</v>
      </c>
      <c r="K183" s="139">
        <f t="shared" si="85"/>
        <v>3634.6184329777661</v>
      </c>
      <c r="L183" s="138">
        <f t="shared" si="73"/>
        <v>3550.1240397499059</v>
      </c>
      <c r="M183" s="104">
        <f t="shared" si="74"/>
        <v>781.02361262741613</v>
      </c>
      <c r="N183" s="29">
        <f t="shared" si="86"/>
        <v>119.55105041349609</v>
      </c>
      <c r="O183" s="104">
        <f t="shared" si="75"/>
        <v>11.050983347513949</v>
      </c>
      <c r="P183" s="104">
        <f t="shared" si="87"/>
        <v>2966.0387928517525</v>
      </c>
      <c r="Q183" s="104">
        <f t="shared" si="88"/>
        <v>956.0517103812914</v>
      </c>
      <c r="R183" s="140">
        <f t="shared" si="89"/>
        <v>8383.8401893713763</v>
      </c>
      <c r="S183" s="138">
        <f t="shared" si="90"/>
        <v>132</v>
      </c>
      <c r="T183" s="104">
        <f t="shared" si="76"/>
        <v>16.990094175041587</v>
      </c>
      <c r="U183" s="139">
        <f t="shared" si="91"/>
        <v>148.99009417504158</v>
      </c>
      <c r="V183" s="104"/>
      <c r="W183" s="104">
        <f t="shared" si="92"/>
        <v>0</v>
      </c>
      <c r="X183" s="139">
        <f t="shared" si="93"/>
        <v>0</v>
      </c>
      <c r="Y183" s="138">
        <v>6463.3950000000004</v>
      </c>
      <c r="Z183" s="141">
        <v>0</v>
      </c>
      <c r="AA183" s="104">
        <f t="shared" si="77"/>
        <v>831.92189197343134</v>
      </c>
      <c r="AB183" s="139">
        <f t="shared" si="78"/>
        <v>7295.3168919734317</v>
      </c>
      <c r="AC183" s="138">
        <v>0</v>
      </c>
      <c r="AD183" s="104">
        <f t="shared" si="94"/>
        <v>0</v>
      </c>
      <c r="AE183" s="139">
        <f t="shared" si="95"/>
        <v>0</v>
      </c>
      <c r="AF183" s="142">
        <v>849.2</v>
      </c>
      <c r="AG183" s="104">
        <f t="shared" si="96"/>
        <v>109.30293919276755</v>
      </c>
      <c r="AH183" s="139">
        <f t="shared" si="97"/>
        <v>958.5029391927676</v>
      </c>
      <c r="AI183" s="142">
        <v>1276</v>
      </c>
      <c r="AJ183" s="104">
        <f t="shared" si="98"/>
        <v>164.23757702540203</v>
      </c>
      <c r="AK183" s="139">
        <f t="shared" si="99"/>
        <v>1440.2375770254021</v>
      </c>
      <c r="AL183" s="143"/>
      <c r="AM183" s="143"/>
      <c r="AN183" s="104">
        <f t="shared" si="100"/>
        <v>0</v>
      </c>
      <c r="AO183" s="148">
        <f t="shared" si="101"/>
        <v>0</v>
      </c>
      <c r="AP183" s="272">
        <f t="shared" si="102"/>
        <v>2926.2599415279419</v>
      </c>
      <c r="AQ183" s="669">
        <v>350.61</v>
      </c>
      <c r="AR183" s="401">
        <v>963.0777917338429</v>
      </c>
      <c r="AS183" s="401">
        <v>1908.4322089344346</v>
      </c>
      <c r="AT183" s="401">
        <v>54.749940859664413</v>
      </c>
      <c r="AU183" s="401">
        <v>1315.6671187538345</v>
      </c>
      <c r="AV183" s="727">
        <v>50.145616752177254</v>
      </c>
      <c r="AW183" s="246"/>
      <c r="AX183" s="713">
        <f t="shared" si="103"/>
        <v>182.63909971104815</v>
      </c>
      <c r="AY183" s="714">
        <v>119.55105041349609</v>
      </c>
      <c r="AZ183" s="715"/>
      <c r="BA183" s="716">
        <v>0</v>
      </c>
      <c r="BB183" s="727"/>
      <c r="BC183" s="712">
        <v>26.362500000000001</v>
      </c>
      <c r="BD183" s="712">
        <v>156.27659971104814</v>
      </c>
      <c r="BE183" s="712"/>
      <c r="BF183" s="712"/>
      <c r="BG183" s="712">
        <v>0</v>
      </c>
      <c r="BH183" s="712">
        <v>38.04296875</v>
      </c>
      <c r="BI183" s="134">
        <f t="shared" si="107"/>
        <v>182.63909971104815</v>
      </c>
      <c r="BJ183" s="123">
        <v>600</v>
      </c>
      <c r="BK183" s="792"/>
      <c r="BL183" s="104"/>
      <c r="BM183" s="672"/>
      <c r="BO183" s="562"/>
      <c r="BS183" s="879"/>
      <c r="BT183" s="774"/>
      <c r="BU183" s="774">
        <v>851.98427081358659</v>
      </c>
      <c r="BV183" s="774">
        <v>0</v>
      </c>
      <c r="BW183" s="774">
        <f t="shared" si="104"/>
        <v>851.98427081358659</v>
      </c>
    </row>
    <row r="184" spans="1:75" ht="15" thickBot="1" x14ac:dyDescent="0.35">
      <c r="A184" s="250" t="s">
        <v>372</v>
      </c>
      <c r="B184" s="227">
        <v>9</v>
      </c>
      <c r="C184" s="39">
        <f>'[3]побудинковий звіт'!E184</f>
        <v>6304.12</v>
      </c>
      <c r="D184" s="205">
        <f t="shared" si="79"/>
        <v>2307.9810777268103</v>
      </c>
      <c r="E184" s="104">
        <f t="shared" si="80"/>
        <v>507.75626113118238</v>
      </c>
      <c r="F184" s="104">
        <f t="shared" si="81"/>
        <v>186.54799456142828</v>
      </c>
      <c r="G184" s="104">
        <f t="shared" si="82"/>
        <v>0</v>
      </c>
      <c r="H184" s="104">
        <f t="shared" si="83"/>
        <v>1928.259782773044</v>
      </c>
      <c r="I184" s="104">
        <f t="shared" si="84"/>
        <v>634.62443832122233</v>
      </c>
      <c r="J184" s="672">
        <f t="shared" si="72"/>
        <v>0</v>
      </c>
      <c r="K184" s="139">
        <f t="shared" si="85"/>
        <v>5565.1695545136872</v>
      </c>
      <c r="L184" s="138">
        <f t="shared" si="73"/>
        <v>2194.4603501116794</v>
      </c>
      <c r="M184" s="104">
        <f t="shared" si="74"/>
        <v>482.77900468305569</v>
      </c>
      <c r="N184" s="29">
        <f t="shared" si="86"/>
        <v>122.78289681362372</v>
      </c>
      <c r="O184" s="104">
        <f t="shared" si="75"/>
        <v>11.349366631054062</v>
      </c>
      <c r="P184" s="104">
        <f t="shared" si="87"/>
        <v>1833.4160876995177</v>
      </c>
      <c r="Q184" s="104">
        <f t="shared" si="88"/>
        <v>597.84379202255911</v>
      </c>
      <c r="R184" s="140">
        <f t="shared" si="89"/>
        <v>5242.631497961489</v>
      </c>
      <c r="S184" s="138">
        <f t="shared" si="90"/>
        <v>132</v>
      </c>
      <c r="T184" s="104">
        <f t="shared" si="76"/>
        <v>16.990094175041587</v>
      </c>
      <c r="U184" s="139">
        <f t="shared" si="91"/>
        <v>148.99009417504158</v>
      </c>
      <c r="V184" s="104"/>
      <c r="W184" s="104">
        <f t="shared" si="92"/>
        <v>0</v>
      </c>
      <c r="X184" s="139">
        <f t="shared" si="93"/>
        <v>0</v>
      </c>
      <c r="Y184" s="138">
        <v>5598.68</v>
      </c>
      <c r="Z184" s="141">
        <v>0</v>
      </c>
      <c r="AA184" s="104">
        <f t="shared" si="77"/>
        <v>720.62197315092305</v>
      </c>
      <c r="AB184" s="139">
        <f t="shared" si="78"/>
        <v>6319.301973150923</v>
      </c>
      <c r="AC184" s="138">
        <v>118.075</v>
      </c>
      <c r="AD184" s="104">
        <f t="shared" si="94"/>
        <v>15.197767952409361</v>
      </c>
      <c r="AE184" s="139">
        <f t="shared" si="95"/>
        <v>133.27276795240937</v>
      </c>
      <c r="AF184" s="142">
        <v>1223.2</v>
      </c>
      <c r="AG184" s="104">
        <f t="shared" si="96"/>
        <v>157.4415393553854</v>
      </c>
      <c r="AH184" s="139">
        <f t="shared" si="97"/>
        <v>1380.6415393553855</v>
      </c>
      <c r="AI184" s="142">
        <v>1832.6</v>
      </c>
      <c r="AJ184" s="104">
        <f t="shared" si="98"/>
        <v>235.87914079682739</v>
      </c>
      <c r="AK184" s="139">
        <f t="shared" si="99"/>
        <v>2068.4791407968273</v>
      </c>
      <c r="AL184" s="143"/>
      <c r="AM184" s="143"/>
      <c r="AN184" s="104">
        <f t="shared" si="100"/>
        <v>0</v>
      </c>
      <c r="AO184" s="148">
        <f t="shared" si="101"/>
        <v>0</v>
      </c>
      <c r="AP184" s="272">
        <f t="shared" si="102"/>
        <v>3718.1438026130736</v>
      </c>
      <c r="AQ184" s="669">
        <v>350.61</v>
      </c>
      <c r="AR184" s="401">
        <v>1691.3682214623918</v>
      </c>
      <c r="AS184" s="401">
        <v>1972.0256085614576</v>
      </c>
      <c r="AT184" s="401">
        <v>54.749972589224171</v>
      </c>
      <c r="AU184" s="401">
        <v>0</v>
      </c>
      <c r="AV184" s="727">
        <v>88.066305077569723</v>
      </c>
      <c r="AW184" s="246"/>
      <c r="AX184" s="713">
        <f t="shared" si="103"/>
        <v>186.54799456142828</v>
      </c>
      <c r="AY184" s="714">
        <v>122.78289681362372</v>
      </c>
      <c r="AZ184" s="715"/>
      <c r="BA184" s="716">
        <v>0</v>
      </c>
      <c r="BB184" s="727"/>
      <c r="BC184" s="712">
        <v>26.362500000000001</v>
      </c>
      <c r="BD184" s="712">
        <v>160.18549456142827</v>
      </c>
      <c r="BE184" s="712"/>
      <c r="BF184" s="712"/>
      <c r="BG184" s="712">
        <v>0</v>
      </c>
      <c r="BH184" s="712">
        <v>38.04296875</v>
      </c>
      <c r="BI184" s="134">
        <f t="shared" si="107"/>
        <v>186.54799456142828</v>
      </c>
      <c r="BJ184" s="123">
        <v>600</v>
      </c>
      <c r="BK184" s="792"/>
      <c r="BL184" s="104"/>
      <c r="BM184" s="672"/>
      <c r="BO184" s="562"/>
      <c r="BS184" s="879"/>
      <c r="BT184" s="774"/>
      <c r="BU184" s="774">
        <v>1540.4334504225412</v>
      </c>
      <c r="BV184" s="774">
        <v>0</v>
      </c>
      <c r="BW184" s="774">
        <f t="shared" si="104"/>
        <v>1540.4334504225412</v>
      </c>
    </row>
    <row r="185" spans="1:75" ht="15" thickBot="1" x14ac:dyDescent="0.35">
      <c r="A185" s="250" t="s">
        <v>373</v>
      </c>
      <c r="B185" s="227">
        <v>9</v>
      </c>
      <c r="C185" s="39">
        <f>'[3]побудинковий звіт'!E185</f>
        <v>4191.3999999999996</v>
      </c>
      <c r="D185" s="205">
        <f t="shared" si="79"/>
        <v>2440.8555766010359</v>
      </c>
      <c r="E185" s="104">
        <f t="shared" si="80"/>
        <v>536.98867529573306</v>
      </c>
      <c r="F185" s="104">
        <f t="shared" si="81"/>
        <v>121.53986320735169</v>
      </c>
      <c r="G185" s="104">
        <f t="shared" si="82"/>
        <v>0</v>
      </c>
      <c r="H185" s="104">
        <f t="shared" si="83"/>
        <v>2039.273063951088</v>
      </c>
      <c r="I185" s="104">
        <f t="shared" si="84"/>
        <v>661.41113185910262</v>
      </c>
      <c r="J185" s="672">
        <f t="shared" si="72"/>
        <v>0</v>
      </c>
      <c r="K185" s="139">
        <f t="shared" si="85"/>
        <v>5800.068310914312</v>
      </c>
      <c r="L185" s="138">
        <f t="shared" si="73"/>
        <v>2353.8030991424316</v>
      </c>
      <c r="M185" s="104">
        <f t="shared" si="74"/>
        <v>517.83424447201492</v>
      </c>
      <c r="N185" s="29">
        <f t="shared" si="86"/>
        <v>81.616099339369129</v>
      </c>
      <c r="O185" s="104">
        <f t="shared" si="75"/>
        <v>7.5458169097986705</v>
      </c>
      <c r="P185" s="104">
        <f t="shared" si="87"/>
        <v>1966.5429220560284</v>
      </c>
      <c r="Q185" s="104">
        <f t="shared" si="88"/>
        <v>634.21217957173963</v>
      </c>
      <c r="R185" s="140">
        <f t="shared" si="89"/>
        <v>5561.5543614913822</v>
      </c>
      <c r="S185" s="138">
        <f t="shared" si="90"/>
        <v>129.80000000000001</v>
      </c>
      <c r="T185" s="104">
        <f t="shared" si="76"/>
        <v>16.706925938790896</v>
      </c>
      <c r="U185" s="139">
        <f t="shared" si="91"/>
        <v>146.50692593879091</v>
      </c>
      <c r="V185" s="104"/>
      <c r="W185" s="104">
        <f t="shared" si="92"/>
        <v>0</v>
      </c>
      <c r="X185" s="139">
        <f t="shared" si="93"/>
        <v>0</v>
      </c>
      <c r="Y185" s="138">
        <v>517.47</v>
      </c>
      <c r="Z185" s="141">
        <v>0</v>
      </c>
      <c r="AA185" s="104">
        <f t="shared" si="77"/>
        <v>66.605030551202816</v>
      </c>
      <c r="AB185" s="139">
        <f t="shared" si="78"/>
        <v>584.07503055120287</v>
      </c>
      <c r="AC185" s="138">
        <v>65.058000000000007</v>
      </c>
      <c r="AD185" s="104">
        <f t="shared" si="94"/>
        <v>8.3737995972716348</v>
      </c>
      <c r="AE185" s="139">
        <f t="shared" si="95"/>
        <v>73.431799597271635</v>
      </c>
      <c r="AF185" s="142">
        <v>985.6</v>
      </c>
      <c r="AG185" s="104">
        <f t="shared" si="96"/>
        <v>126.85936984031053</v>
      </c>
      <c r="AH185" s="139">
        <f t="shared" si="97"/>
        <v>1112.4593698403105</v>
      </c>
      <c r="AI185" s="142">
        <v>360.8</v>
      </c>
      <c r="AJ185" s="104">
        <f t="shared" si="98"/>
        <v>46.439590745113676</v>
      </c>
      <c r="AK185" s="139">
        <f t="shared" si="99"/>
        <v>407.23959074511367</v>
      </c>
      <c r="AL185" s="143"/>
      <c r="AM185" s="143"/>
      <c r="AN185" s="104">
        <f t="shared" si="100"/>
        <v>0</v>
      </c>
      <c r="AO185" s="148">
        <f t="shared" si="101"/>
        <v>0</v>
      </c>
      <c r="AP185" s="272">
        <f t="shared" si="102"/>
        <v>3849.0193735665985</v>
      </c>
      <c r="AQ185" s="669">
        <v>490.38</v>
      </c>
      <c r="AR185" s="401">
        <v>1675.0768623993799</v>
      </c>
      <c r="AS185" s="401">
        <v>2119.8809829816059</v>
      </c>
      <c r="AT185" s="401">
        <v>54.061528185612424</v>
      </c>
      <c r="AU185" s="401">
        <v>0</v>
      </c>
      <c r="AV185" s="727">
        <v>87.218045201827863</v>
      </c>
      <c r="AW185" s="246"/>
      <c r="AX185" s="713">
        <f t="shared" si="103"/>
        <v>121.53986320735169</v>
      </c>
      <c r="AY185" s="714">
        <v>81.616099339369129</v>
      </c>
      <c r="AZ185" s="715"/>
      <c r="BA185" s="716">
        <v>0</v>
      </c>
      <c r="BB185" s="727"/>
      <c r="BC185" s="712">
        <v>15.817499999999999</v>
      </c>
      <c r="BD185" s="712">
        <v>105.72236320735169</v>
      </c>
      <c r="BE185" s="712"/>
      <c r="BF185" s="712"/>
      <c r="BG185" s="712">
        <v>0</v>
      </c>
      <c r="BH185" s="712">
        <v>22.825781249999999</v>
      </c>
      <c r="BI185" s="134">
        <f t="shared" si="107"/>
        <v>121.53986320735169</v>
      </c>
      <c r="BJ185" s="123">
        <v>590</v>
      </c>
      <c r="BK185" s="792"/>
      <c r="BL185" s="104"/>
      <c r="BM185" s="672"/>
      <c r="BO185" s="562"/>
      <c r="BS185" s="879"/>
      <c r="BT185" s="774"/>
      <c r="BU185" s="774">
        <v>1695.3325652087885</v>
      </c>
      <c r="BV185" s="774">
        <v>111.4624</v>
      </c>
      <c r="BW185" s="774">
        <f t="shared" si="104"/>
        <v>1806.7949652087887</v>
      </c>
    </row>
    <row r="186" spans="1:75" ht="15" thickBot="1" x14ac:dyDescent="0.35">
      <c r="A186" s="209" t="s">
        <v>169</v>
      </c>
      <c r="B186" s="227">
        <v>2</v>
      </c>
      <c r="C186" s="39">
        <f>'[3]побудинковий звіт'!E186</f>
        <v>477.5</v>
      </c>
      <c r="D186" s="205">
        <f t="shared" si="79"/>
        <v>379.75561846020031</v>
      </c>
      <c r="E186" s="104">
        <f t="shared" si="80"/>
        <v>83.546305831427233</v>
      </c>
      <c r="F186" s="104">
        <f t="shared" si="81"/>
        <v>14.694260912189748</v>
      </c>
      <c r="G186" s="104">
        <f t="shared" si="82"/>
        <v>0</v>
      </c>
      <c r="H186" s="104">
        <f t="shared" si="83"/>
        <v>317.27620881542833</v>
      </c>
      <c r="I186" s="104">
        <f t="shared" si="84"/>
        <v>102.36176416058913</v>
      </c>
      <c r="J186" s="672">
        <f t="shared" si="72"/>
        <v>0</v>
      </c>
      <c r="K186" s="139">
        <f t="shared" si="85"/>
        <v>897.6341581798348</v>
      </c>
      <c r="L186" s="138">
        <f t="shared" si="73"/>
        <v>103.00578418970925</v>
      </c>
      <c r="M186" s="104">
        <f t="shared" si="74"/>
        <v>22.661165860287554</v>
      </c>
      <c r="N186" s="29">
        <f t="shared" si="86"/>
        <v>9.8729498225039194</v>
      </c>
      <c r="O186" s="104">
        <f t="shared" si="75"/>
        <v>0.85964774882589712</v>
      </c>
      <c r="P186" s="104">
        <f t="shared" si="87"/>
        <v>86.058725941394471</v>
      </c>
      <c r="Q186" s="104">
        <f t="shared" si="88"/>
        <v>28.63323498369542</v>
      </c>
      <c r="R186" s="140">
        <f t="shared" si="89"/>
        <v>251.09150854641649</v>
      </c>
      <c r="S186" s="138">
        <f t="shared" si="90"/>
        <v>0</v>
      </c>
      <c r="T186" s="104">
        <f t="shared" si="76"/>
        <v>0</v>
      </c>
      <c r="U186" s="139">
        <f t="shared" si="91"/>
        <v>0</v>
      </c>
      <c r="V186" s="104"/>
      <c r="W186" s="104">
        <f t="shared" si="92"/>
        <v>0</v>
      </c>
      <c r="X186" s="139">
        <f t="shared" si="93"/>
        <v>0</v>
      </c>
      <c r="Y186" s="138">
        <v>0</v>
      </c>
      <c r="Z186" s="141">
        <v>0</v>
      </c>
      <c r="AA186" s="104">
        <f t="shared" si="77"/>
        <v>0</v>
      </c>
      <c r="AB186" s="139">
        <f t="shared" si="78"/>
        <v>0</v>
      </c>
      <c r="AC186" s="138">
        <v>0</v>
      </c>
      <c r="AD186" s="104">
        <f t="shared" si="94"/>
        <v>0</v>
      </c>
      <c r="AE186" s="139">
        <f t="shared" si="95"/>
        <v>0</v>
      </c>
      <c r="AF186" s="142">
        <v>28.6</v>
      </c>
      <c r="AG186" s="104">
        <f t="shared" si="96"/>
        <v>3.6811870712590111</v>
      </c>
      <c r="AH186" s="139">
        <f t="shared" si="97"/>
        <v>32.281187071259012</v>
      </c>
      <c r="AI186" s="142">
        <v>0</v>
      </c>
      <c r="AJ186" s="104">
        <f t="shared" si="98"/>
        <v>0</v>
      </c>
      <c r="AK186" s="139">
        <f t="shared" si="99"/>
        <v>0</v>
      </c>
      <c r="AL186" s="143"/>
      <c r="AM186" s="143"/>
      <c r="AN186" s="104">
        <f t="shared" si="100"/>
        <v>0</v>
      </c>
      <c r="AO186" s="148">
        <f t="shared" si="101"/>
        <v>0</v>
      </c>
      <c r="AP186" s="272">
        <f t="shared" si="102"/>
        <v>426.9127346389979</v>
      </c>
      <c r="AQ186" s="669">
        <v>18.7</v>
      </c>
      <c r="AR186" s="725">
        <v>331.77790656960258</v>
      </c>
      <c r="AS186" s="725">
        <v>95.134828069395311</v>
      </c>
      <c r="AT186" s="725">
        <v>0</v>
      </c>
      <c r="AU186" s="401">
        <v>0</v>
      </c>
      <c r="AV186" s="786"/>
      <c r="AW186" s="246"/>
      <c r="AX186" s="713">
        <f t="shared" si="103"/>
        <v>14.694260912189748</v>
      </c>
      <c r="AY186" s="714">
        <v>9.8729498225039194</v>
      </c>
      <c r="AZ186" s="715"/>
      <c r="BA186" s="716">
        <v>0</v>
      </c>
      <c r="BC186" s="712">
        <v>0</v>
      </c>
      <c r="BD186" s="712">
        <v>14.694260912189748</v>
      </c>
      <c r="BE186" s="712"/>
      <c r="BF186" s="712"/>
      <c r="BG186" s="712">
        <v>0</v>
      </c>
      <c r="BH186" s="712">
        <v>0</v>
      </c>
      <c r="BI186" s="134">
        <f t="shared" si="107"/>
        <v>14.694260912189748</v>
      </c>
      <c r="BJ186" s="123"/>
      <c r="BK186" s="792"/>
      <c r="BL186" s="104"/>
      <c r="BM186" s="672"/>
      <c r="BO186" s="562"/>
      <c r="BS186" s="879"/>
      <c r="BT186" s="774"/>
      <c r="BU186" s="774">
        <v>324.40827467897111</v>
      </c>
      <c r="BV186" s="774">
        <v>0</v>
      </c>
      <c r="BW186" s="774">
        <f t="shared" si="104"/>
        <v>324.40827467897111</v>
      </c>
    </row>
    <row r="187" spans="1:75" ht="15" thickBot="1" x14ac:dyDescent="0.35">
      <c r="A187" s="209" t="s">
        <v>170</v>
      </c>
      <c r="B187" s="227">
        <v>2</v>
      </c>
      <c r="C187" s="39">
        <f>'[3]побудинковий звіт'!E187</f>
        <v>553.20000000000005</v>
      </c>
      <c r="D187" s="205">
        <f t="shared" si="79"/>
        <v>0</v>
      </c>
      <c r="E187" s="104">
        <f t="shared" si="80"/>
        <v>0</v>
      </c>
      <c r="F187" s="104">
        <f t="shared" si="81"/>
        <v>0</v>
      </c>
      <c r="G187" s="104">
        <f t="shared" si="82"/>
        <v>0</v>
      </c>
      <c r="H187" s="104">
        <f t="shared" si="83"/>
        <v>0</v>
      </c>
      <c r="I187" s="104">
        <f t="shared" si="84"/>
        <v>0</v>
      </c>
      <c r="J187" s="672">
        <f t="shared" si="72"/>
        <v>0</v>
      </c>
      <c r="K187" s="139">
        <f t="shared" si="85"/>
        <v>0</v>
      </c>
      <c r="L187" s="138">
        <f t="shared" si="73"/>
        <v>0</v>
      </c>
      <c r="M187" s="104">
        <f t="shared" si="74"/>
        <v>0</v>
      </c>
      <c r="N187" s="29">
        <f t="shared" si="86"/>
        <v>0</v>
      </c>
      <c r="O187" s="104">
        <f t="shared" si="75"/>
        <v>0.99593117204290327</v>
      </c>
      <c r="P187" s="104">
        <f t="shared" si="87"/>
        <v>0</v>
      </c>
      <c r="Q187" s="104">
        <f t="shared" si="88"/>
        <v>0.12818912427930662</v>
      </c>
      <c r="R187" s="140">
        <f t="shared" si="89"/>
        <v>1.1241202963222099</v>
      </c>
      <c r="S187" s="138">
        <f t="shared" si="90"/>
        <v>0</v>
      </c>
      <c r="T187" s="104">
        <f t="shared" si="76"/>
        <v>0</v>
      </c>
      <c r="U187" s="139">
        <f t="shared" si="91"/>
        <v>0</v>
      </c>
      <c r="V187" s="104"/>
      <c r="W187" s="104">
        <f t="shared" si="92"/>
        <v>0</v>
      </c>
      <c r="X187" s="139">
        <f t="shared" si="93"/>
        <v>0</v>
      </c>
      <c r="Y187" s="138">
        <v>0</v>
      </c>
      <c r="Z187" s="141">
        <v>0</v>
      </c>
      <c r="AA187" s="104">
        <f t="shared" si="77"/>
        <v>0</v>
      </c>
      <c r="AB187" s="139">
        <f t="shared" si="78"/>
        <v>0</v>
      </c>
      <c r="AC187" s="138">
        <v>0</v>
      </c>
      <c r="AD187" s="104">
        <f t="shared" si="94"/>
        <v>0</v>
      </c>
      <c r="AE187" s="139">
        <f t="shared" si="95"/>
        <v>0</v>
      </c>
      <c r="AF187" s="142">
        <v>0</v>
      </c>
      <c r="AG187" s="104">
        <f t="shared" si="96"/>
        <v>0</v>
      </c>
      <c r="AH187" s="139">
        <f t="shared" si="97"/>
        <v>0</v>
      </c>
      <c r="AI187" s="142">
        <v>0</v>
      </c>
      <c r="AJ187" s="104">
        <f t="shared" si="98"/>
        <v>0</v>
      </c>
      <c r="AK187" s="139">
        <f t="shared" si="99"/>
        <v>0</v>
      </c>
      <c r="AL187" s="143"/>
      <c r="AM187" s="143"/>
      <c r="AN187" s="104">
        <f t="shared" si="100"/>
        <v>0</v>
      </c>
      <c r="AO187" s="148">
        <f t="shared" si="101"/>
        <v>0</v>
      </c>
      <c r="AP187" s="272">
        <f t="shared" si="102"/>
        <v>0</v>
      </c>
      <c r="AQ187" s="669">
        <v>0</v>
      </c>
      <c r="AR187" s="726">
        <v>0</v>
      </c>
      <c r="AS187" s="726">
        <v>0</v>
      </c>
      <c r="AT187" s="726">
        <v>0</v>
      </c>
      <c r="AU187" s="401">
        <v>0</v>
      </c>
      <c r="AV187" s="786"/>
      <c r="AW187" s="246"/>
      <c r="AX187" s="713">
        <f t="shared" si="103"/>
        <v>0</v>
      </c>
      <c r="AY187" s="714">
        <v>0</v>
      </c>
      <c r="AZ187" s="715"/>
      <c r="BA187" s="716">
        <v>0</v>
      </c>
      <c r="BC187" s="712">
        <v>0</v>
      </c>
      <c r="BD187" s="712">
        <v>0</v>
      </c>
      <c r="BE187" s="712"/>
      <c r="BF187" s="712"/>
      <c r="BG187" s="712">
        <v>0</v>
      </c>
      <c r="BH187" s="712">
        <v>0</v>
      </c>
      <c r="BI187" s="134">
        <f t="shared" si="107"/>
        <v>0</v>
      </c>
      <c r="BJ187" s="123"/>
      <c r="BK187" s="792"/>
      <c r="BL187" s="104"/>
      <c r="BM187" s="672"/>
      <c r="BO187" s="562"/>
      <c r="BS187" s="879"/>
      <c r="BT187" s="774"/>
      <c r="BU187" s="774">
        <v>0</v>
      </c>
      <c r="BV187" s="774">
        <v>0</v>
      </c>
      <c r="BW187" s="774">
        <f t="shared" si="104"/>
        <v>0</v>
      </c>
    </row>
    <row r="188" spans="1:75" ht="15" thickBot="1" x14ac:dyDescent="0.35">
      <c r="A188" s="209" t="s">
        <v>171</v>
      </c>
      <c r="B188" s="227">
        <v>2</v>
      </c>
      <c r="C188" s="39">
        <f>'[3]побудинковий звіт'!E188</f>
        <v>358.84</v>
      </c>
      <c r="D188" s="205">
        <f t="shared" si="79"/>
        <v>0</v>
      </c>
      <c r="E188" s="104">
        <f t="shared" si="80"/>
        <v>0</v>
      </c>
      <c r="F188" s="104">
        <f t="shared" si="81"/>
        <v>0</v>
      </c>
      <c r="G188" s="104">
        <f t="shared" si="82"/>
        <v>0</v>
      </c>
      <c r="H188" s="104">
        <f t="shared" si="83"/>
        <v>0</v>
      </c>
      <c r="I188" s="104">
        <f t="shared" si="84"/>
        <v>0</v>
      </c>
      <c r="J188" s="672">
        <f t="shared" si="72"/>
        <v>0</v>
      </c>
      <c r="K188" s="139">
        <f t="shared" si="85"/>
        <v>0</v>
      </c>
      <c r="L188" s="138">
        <f t="shared" si="73"/>
        <v>0</v>
      </c>
      <c r="M188" s="104">
        <f t="shared" si="74"/>
        <v>0</v>
      </c>
      <c r="N188" s="29">
        <f t="shared" si="86"/>
        <v>0</v>
      </c>
      <c r="O188" s="104">
        <f t="shared" si="75"/>
        <v>0.64602303285588458</v>
      </c>
      <c r="P188" s="104">
        <f t="shared" si="87"/>
        <v>0</v>
      </c>
      <c r="Q188" s="104">
        <f t="shared" si="88"/>
        <v>8.3151455814147471E-2</v>
      </c>
      <c r="R188" s="140">
        <f t="shared" si="89"/>
        <v>0.72917448867003209</v>
      </c>
      <c r="S188" s="138">
        <f t="shared" si="90"/>
        <v>0</v>
      </c>
      <c r="T188" s="104">
        <f t="shared" si="76"/>
        <v>0</v>
      </c>
      <c r="U188" s="139">
        <f t="shared" si="91"/>
        <v>0</v>
      </c>
      <c r="V188" s="104"/>
      <c r="W188" s="104">
        <f t="shared" si="92"/>
        <v>0</v>
      </c>
      <c r="X188" s="139">
        <f t="shared" si="93"/>
        <v>0</v>
      </c>
      <c r="Y188" s="138">
        <v>0</v>
      </c>
      <c r="Z188" s="141">
        <v>0</v>
      </c>
      <c r="AA188" s="104">
        <f t="shared" si="77"/>
        <v>0</v>
      </c>
      <c r="AB188" s="139">
        <f t="shared" si="78"/>
        <v>0</v>
      </c>
      <c r="AC188" s="138">
        <v>0</v>
      </c>
      <c r="AD188" s="104">
        <f t="shared" si="94"/>
        <v>0</v>
      </c>
      <c r="AE188" s="139">
        <f t="shared" si="95"/>
        <v>0</v>
      </c>
      <c r="AF188" s="142">
        <v>33</v>
      </c>
      <c r="AG188" s="104">
        <f t="shared" si="96"/>
        <v>4.2475235437603969</v>
      </c>
      <c r="AH188" s="139">
        <f t="shared" si="97"/>
        <v>37.247523543760394</v>
      </c>
      <c r="AI188" s="142">
        <v>0</v>
      </c>
      <c r="AJ188" s="104">
        <f t="shared" si="98"/>
        <v>0</v>
      </c>
      <c r="AK188" s="139">
        <f t="shared" si="99"/>
        <v>0</v>
      </c>
      <c r="AL188" s="143">
        <v>212.5</v>
      </c>
      <c r="AM188" s="143"/>
      <c r="AN188" s="104">
        <f t="shared" si="100"/>
        <v>27.35147736512377</v>
      </c>
      <c r="AO188" s="148">
        <f t="shared" si="101"/>
        <v>239.85147736512377</v>
      </c>
      <c r="AP188" s="272">
        <f t="shared" si="102"/>
        <v>0</v>
      </c>
      <c r="AQ188" s="669">
        <v>0</v>
      </c>
      <c r="AR188" s="726">
        <v>0</v>
      </c>
      <c r="AS188" s="726">
        <v>0</v>
      </c>
      <c r="AT188" s="726">
        <v>0</v>
      </c>
      <c r="AU188" s="401">
        <v>0</v>
      </c>
      <c r="AV188" s="786"/>
      <c r="AW188" s="246"/>
      <c r="AX188" s="713">
        <f t="shared" si="103"/>
        <v>0</v>
      </c>
      <c r="AY188" s="714">
        <v>0</v>
      </c>
      <c r="AZ188" s="715"/>
      <c r="BA188" s="716">
        <v>0</v>
      </c>
      <c r="BC188" s="712">
        <v>0</v>
      </c>
      <c r="BD188" s="712">
        <v>0</v>
      </c>
      <c r="BE188" s="712"/>
      <c r="BF188" s="712"/>
      <c r="BG188" s="712">
        <v>0</v>
      </c>
      <c r="BH188" s="712">
        <v>0</v>
      </c>
      <c r="BI188" s="134">
        <f t="shared" si="107"/>
        <v>0</v>
      </c>
      <c r="BJ188" s="123"/>
      <c r="BK188" s="792"/>
      <c r="BL188" s="104"/>
      <c r="BM188" s="672"/>
      <c r="BO188" s="562"/>
      <c r="BS188" s="879"/>
      <c r="BT188" s="774"/>
      <c r="BU188" s="774">
        <v>0</v>
      </c>
      <c r="BV188" s="774">
        <v>0</v>
      </c>
      <c r="BW188" s="774">
        <f t="shared" si="104"/>
        <v>0</v>
      </c>
    </row>
    <row r="189" spans="1:75" ht="15" thickBot="1" x14ac:dyDescent="0.35">
      <c r="A189" s="209" t="s">
        <v>1094</v>
      </c>
      <c r="B189" s="227">
        <v>2</v>
      </c>
      <c r="C189" s="39">
        <f>'[3]побудинковий звіт'!E189</f>
        <v>488.8</v>
      </c>
      <c r="D189" s="205">
        <f t="shared" si="79"/>
        <v>105.79860756618206</v>
      </c>
      <c r="E189" s="104">
        <f t="shared" si="80"/>
        <v>23.275713102292819</v>
      </c>
      <c r="F189" s="104">
        <f t="shared" si="81"/>
        <v>14.944974477483038</v>
      </c>
      <c r="G189" s="104">
        <f t="shared" si="82"/>
        <v>0</v>
      </c>
      <c r="H189" s="104">
        <f t="shared" si="83"/>
        <v>88.392059194951742</v>
      </c>
      <c r="I189" s="104">
        <f t="shared" si="84"/>
        <v>29.914324224250119</v>
      </c>
      <c r="J189" s="672">
        <f t="shared" si="72"/>
        <v>0</v>
      </c>
      <c r="K189" s="139">
        <f t="shared" si="85"/>
        <v>262.32567856515976</v>
      </c>
      <c r="L189" s="138">
        <f t="shared" si="73"/>
        <v>16.837557113303145</v>
      </c>
      <c r="M189" s="104">
        <f t="shared" si="74"/>
        <v>3.7042451298064734</v>
      </c>
      <c r="N189" s="29">
        <f t="shared" si="86"/>
        <v>10.041402149895788</v>
      </c>
      <c r="O189" s="104">
        <f t="shared" si="75"/>
        <v>0.87999124529025874</v>
      </c>
      <c r="P189" s="104">
        <f t="shared" si="87"/>
        <v>14.067352863093838</v>
      </c>
      <c r="Q189" s="104">
        <f t="shared" si="88"/>
        <v>5.8603659612114116</v>
      </c>
      <c r="R189" s="140">
        <f t="shared" si="89"/>
        <v>51.390914462600918</v>
      </c>
      <c r="S189" s="138">
        <f t="shared" si="90"/>
        <v>0</v>
      </c>
      <c r="T189" s="104">
        <f t="shared" si="76"/>
        <v>0</v>
      </c>
      <c r="U189" s="139">
        <f t="shared" si="91"/>
        <v>0</v>
      </c>
      <c r="V189" s="104"/>
      <c r="W189" s="104">
        <f t="shared" si="92"/>
        <v>0</v>
      </c>
      <c r="X189" s="139">
        <f t="shared" si="93"/>
        <v>0</v>
      </c>
      <c r="Y189" s="138">
        <v>0</v>
      </c>
      <c r="Z189" s="141">
        <v>0</v>
      </c>
      <c r="AA189" s="104">
        <f t="shared" si="77"/>
        <v>0</v>
      </c>
      <c r="AB189" s="139">
        <f t="shared" si="78"/>
        <v>0</v>
      </c>
      <c r="AC189" s="138">
        <v>0</v>
      </c>
      <c r="AD189" s="104">
        <f t="shared" si="94"/>
        <v>0</v>
      </c>
      <c r="AE189" s="139">
        <f t="shared" si="95"/>
        <v>0</v>
      </c>
      <c r="AF189" s="142">
        <v>6.6</v>
      </c>
      <c r="AG189" s="104">
        <f t="shared" si="96"/>
        <v>0.8495047087520794</v>
      </c>
      <c r="AH189" s="139">
        <f t="shared" si="97"/>
        <v>7.4495047087520794</v>
      </c>
      <c r="AI189" s="142">
        <v>0</v>
      </c>
      <c r="AJ189" s="104">
        <f t="shared" si="98"/>
        <v>0</v>
      </c>
      <c r="AK189" s="139">
        <f t="shared" si="99"/>
        <v>0</v>
      </c>
      <c r="AL189" s="143"/>
      <c r="AM189" s="143"/>
      <c r="AN189" s="104">
        <f t="shared" si="100"/>
        <v>0</v>
      </c>
      <c r="AO189" s="148">
        <f t="shared" si="101"/>
        <v>0</v>
      </c>
      <c r="AP189" s="272">
        <f t="shared" si="102"/>
        <v>109.03289078140648</v>
      </c>
      <c r="AQ189" s="669">
        <v>4.16</v>
      </c>
      <c r="AR189" s="725">
        <v>93.481937854990619</v>
      </c>
      <c r="AS189" s="725">
        <v>15.550952926415853</v>
      </c>
      <c r="AT189" s="725">
        <v>0</v>
      </c>
      <c r="AU189" s="401">
        <v>0</v>
      </c>
      <c r="AV189" s="786"/>
      <c r="AW189" s="246"/>
      <c r="AX189" s="713">
        <f t="shared" si="103"/>
        <v>14.944974477483038</v>
      </c>
      <c r="AY189" s="714">
        <v>10.041402149895788</v>
      </c>
      <c r="AZ189" s="715"/>
      <c r="BA189" s="716">
        <v>0</v>
      </c>
      <c r="BC189" s="712">
        <v>0</v>
      </c>
      <c r="BD189" s="712">
        <v>14.944974477483038</v>
      </c>
      <c r="BE189" s="712"/>
      <c r="BF189" s="712"/>
      <c r="BG189" s="712">
        <v>0</v>
      </c>
      <c r="BH189" s="712">
        <v>0</v>
      </c>
      <c r="BI189" s="134">
        <f t="shared" si="107"/>
        <v>14.944974477483038</v>
      </c>
      <c r="BJ189" s="123">
        <v>0</v>
      </c>
      <c r="BK189" s="792"/>
      <c r="BL189" s="104"/>
      <c r="BM189" s="672"/>
      <c r="BO189" s="562"/>
      <c r="BS189" s="879"/>
      <c r="BT189" s="774"/>
      <c r="BU189" s="774">
        <v>376.22477807656355</v>
      </c>
      <c r="BV189" s="774">
        <v>0</v>
      </c>
      <c r="BW189" s="774">
        <f t="shared" si="104"/>
        <v>376.22477807656355</v>
      </c>
    </row>
    <row r="190" spans="1:75" ht="15" thickBot="1" x14ac:dyDescent="0.35">
      <c r="A190" s="209" t="s">
        <v>172</v>
      </c>
      <c r="B190" s="227">
        <v>2</v>
      </c>
      <c r="C190" s="39">
        <f>'[3]побудинковий звіт'!E190</f>
        <v>385.5</v>
      </c>
      <c r="D190" s="205">
        <f t="shared" si="79"/>
        <v>95.759453323742079</v>
      </c>
      <c r="E190" s="104">
        <f t="shared" si="80"/>
        <v>21.067097324523459</v>
      </c>
      <c r="F190" s="104">
        <f t="shared" si="81"/>
        <v>9.9031858290850163</v>
      </c>
      <c r="G190" s="104">
        <f t="shared" si="82"/>
        <v>0</v>
      </c>
      <c r="H190" s="104">
        <f t="shared" si="83"/>
        <v>80.004599884488655</v>
      </c>
      <c r="I190" s="104">
        <f t="shared" si="84"/>
        <v>26.609362454563431</v>
      </c>
      <c r="J190" s="672">
        <f t="shared" si="72"/>
        <v>0</v>
      </c>
      <c r="K190" s="139">
        <f t="shared" si="85"/>
        <v>233.34369881640265</v>
      </c>
      <c r="L190" s="138">
        <f t="shared" si="73"/>
        <v>32.936455966686232</v>
      </c>
      <c r="M190" s="104">
        <f t="shared" si="74"/>
        <v>7.2459862073036962</v>
      </c>
      <c r="N190" s="29">
        <f t="shared" si="86"/>
        <v>6.6538669319788166</v>
      </c>
      <c r="O190" s="104">
        <f t="shared" si="75"/>
        <v>0.69401928203640495</v>
      </c>
      <c r="P190" s="104">
        <f t="shared" si="87"/>
        <v>27.517575443118016</v>
      </c>
      <c r="Q190" s="104">
        <f t="shared" si="88"/>
        <v>9.6596284373503565</v>
      </c>
      <c r="R190" s="140">
        <f t="shared" si="89"/>
        <v>84.707532268473528</v>
      </c>
      <c r="S190" s="138">
        <f t="shared" si="90"/>
        <v>13.420000000000002</v>
      </c>
      <c r="T190" s="104">
        <f t="shared" si="76"/>
        <v>1.7273262411292283</v>
      </c>
      <c r="U190" s="139">
        <f t="shared" si="91"/>
        <v>15.14732624112923</v>
      </c>
      <c r="V190" s="104"/>
      <c r="W190" s="104">
        <f t="shared" si="92"/>
        <v>0</v>
      </c>
      <c r="X190" s="139">
        <f t="shared" si="93"/>
        <v>0</v>
      </c>
      <c r="Y190" s="138">
        <v>0</v>
      </c>
      <c r="Z190" s="141">
        <v>0</v>
      </c>
      <c r="AA190" s="104">
        <f t="shared" si="77"/>
        <v>0</v>
      </c>
      <c r="AB190" s="139">
        <f t="shared" si="78"/>
        <v>0</v>
      </c>
      <c r="AC190" s="138">
        <v>0</v>
      </c>
      <c r="AD190" s="104">
        <f t="shared" si="94"/>
        <v>0</v>
      </c>
      <c r="AE190" s="139">
        <f t="shared" si="95"/>
        <v>0</v>
      </c>
      <c r="AF190" s="142">
        <v>2.2000000000000002</v>
      </c>
      <c r="AG190" s="104">
        <f t="shared" si="96"/>
        <v>0.28316823625069315</v>
      </c>
      <c r="AH190" s="139">
        <f t="shared" si="97"/>
        <v>2.4831682362506933</v>
      </c>
      <c r="AI190" s="142">
        <v>0</v>
      </c>
      <c r="AJ190" s="104">
        <f t="shared" si="98"/>
        <v>0</v>
      </c>
      <c r="AK190" s="139">
        <f t="shared" si="99"/>
        <v>0</v>
      </c>
      <c r="AL190" s="143"/>
      <c r="AM190" s="143"/>
      <c r="AN190" s="104">
        <f t="shared" si="100"/>
        <v>0</v>
      </c>
      <c r="AO190" s="148">
        <f t="shared" si="101"/>
        <v>0</v>
      </c>
      <c r="AP190" s="272">
        <f t="shared" si="102"/>
        <v>112.17645467890294</v>
      </c>
      <c r="AQ190" s="669">
        <v>6.62</v>
      </c>
      <c r="AR190" s="725">
        <v>81.756764170698006</v>
      </c>
      <c r="AS190" s="725">
        <v>29.892483714003102</v>
      </c>
      <c r="AT190" s="725">
        <v>0.52720679420183036</v>
      </c>
      <c r="AU190" s="401">
        <v>0</v>
      </c>
      <c r="AV190" s="786"/>
      <c r="AW190" s="246"/>
      <c r="AX190" s="713">
        <f t="shared" si="103"/>
        <v>9.9031858290850163</v>
      </c>
      <c r="AY190" s="714">
        <v>6.6538669319788166</v>
      </c>
      <c r="AZ190" s="715"/>
      <c r="BA190" s="716">
        <v>0</v>
      </c>
      <c r="BC190" s="712">
        <v>0</v>
      </c>
      <c r="BD190" s="712">
        <v>9.9031858290850163</v>
      </c>
      <c r="BE190" s="712"/>
      <c r="BF190" s="712"/>
      <c r="BG190" s="712">
        <v>0</v>
      </c>
      <c r="BH190" s="712">
        <v>0</v>
      </c>
      <c r="BI190" s="134">
        <f t="shared" si="107"/>
        <v>9.9031858290850163</v>
      </c>
      <c r="BJ190" s="123">
        <v>61</v>
      </c>
      <c r="BK190" s="792"/>
      <c r="BL190" s="104"/>
      <c r="BM190" s="672"/>
      <c r="BO190" s="562"/>
      <c r="BS190" s="879"/>
      <c r="BT190" s="774"/>
      <c r="BU190" s="774">
        <v>329.06294452235545</v>
      </c>
      <c r="BV190" s="774">
        <v>0</v>
      </c>
      <c r="BW190" s="774">
        <f t="shared" si="104"/>
        <v>329.06294452235545</v>
      </c>
    </row>
    <row r="191" spans="1:75" ht="15" thickBot="1" x14ac:dyDescent="0.35">
      <c r="A191" s="209" t="s">
        <v>266</v>
      </c>
      <c r="B191" s="227">
        <v>5</v>
      </c>
      <c r="C191" s="39">
        <f>'[3]побудинковий звіт'!E191</f>
        <v>2292.33</v>
      </c>
      <c r="D191" s="205">
        <f t="shared" si="79"/>
        <v>600.5189726383918</v>
      </c>
      <c r="E191" s="104">
        <f t="shared" si="80"/>
        <v>132.11428431013371</v>
      </c>
      <c r="F191" s="104">
        <f t="shared" si="81"/>
        <v>70.087588674240365</v>
      </c>
      <c r="G191" s="104">
        <f t="shared" si="82"/>
        <v>0</v>
      </c>
      <c r="H191" s="104">
        <f t="shared" si="83"/>
        <v>501.71840441226584</v>
      </c>
      <c r="I191" s="104">
        <f t="shared" si="84"/>
        <v>167.89807351299856</v>
      </c>
      <c r="J191" s="672">
        <f t="shared" si="72"/>
        <v>0</v>
      </c>
      <c r="K191" s="139">
        <f t="shared" si="85"/>
        <v>1472.3373235480303</v>
      </c>
      <c r="L191" s="138">
        <f t="shared" si="73"/>
        <v>237.89942710906828</v>
      </c>
      <c r="M191" s="104">
        <f t="shared" si="74"/>
        <v>52.33762762154263</v>
      </c>
      <c r="N191" s="29">
        <f t="shared" si="86"/>
        <v>47.091258981732011</v>
      </c>
      <c r="O191" s="104">
        <f t="shared" si="75"/>
        <v>4.1269032964734427</v>
      </c>
      <c r="P191" s="104">
        <f t="shared" si="87"/>
        <v>198.75895087102725</v>
      </c>
      <c r="Q191" s="104">
        <f t="shared" si="88"/>
        <v>69.532496870986904</v>
      </c>
      <c r="R191" s="140">
        <f t="shared" si="89"/>
        <v>609.74666475083063</v>
      </c>
      <c r="S191" s="138">
        <f t="shared" si="90"/>
        <v>147.4</v>
      </c>
      <c r="T191" s="104">
        <f t="shared" si="76"/>
        <v>18.97227182879644</v>
      </c>
      <c r="U191" s="139">
        <f t="shared" si="91"/>
        <v>166.37227182879644</v>
      </c>
      <c r="V191" s="104"/>
      <c r="W191" s="104">
        <f t="shared" si="92"/>
        <v>0</v>
      </c>
      <c r="X191" s="139">
        <f t="shared" si="93"/>
        <v>0</v>
      </c>
      <c r="Y191" s="138">
        <v>0</v>
      </c>
      <c r="Z191" s="141">
        <v>0</v>
      </c>
      <c r="AA191" s="104">
        <f t="shared" si="77"/>
        <v>0</v>
      </c>
      <c r="AB191" s="139">
        <f t="shared" si="78"/>
        <v>0</v>
      </c>
      <c r="AC191" s="138">
        <v>0</v>
      </c>
      <c r="AD191" s="104">
        <f t="shared" si="94"/>
        <v>0</v>
      </c>
      <c r="AE191" s="139">
        <f t="shared" si="95"/>
        <v>0</v>
      </c>
      <c r="AF191" s="142">
        <v>41.8</v>
      </c>
      <c r="AG191" s="104">
        <f t="shared" si="96"/>
        <v>5.3801964887631692</v>
      </c>
      <c r="AH191" s="139">
        <f t="shared" si="97"/>
        <v>47.180196488763166</v>
      </c>
      <c r="AI191" s="142">
        <v>0</v>
      </c>
      <c r="AJ191" s="104">
        <f t="shared" si="98"/>
        <v>0</v>
      </c>
      <c r="AK191" s="139">
        <f t="shared" si="99"/>
        <v>0</v>
      </c>
      <c r="AL191" s="143"/>
      <c r="AM191" s="205"/>
      <c r="AN191" s="104">
        <f t="shared" si="100"/>
        <v>0</v>
      </c>
      <c r="AO191" s="148">
        <f t="shared" si="101"/>
        <v>0</v>
      </c>
      <c r="AP191" s="272">
        <f t="shared" si="102"/>
        <v>595.56212253154683</v>
      </c>
      <c r="AQ191" s="669">
        <v>178.38</v>
      </c>
      <c r="AR191" s="725">
        <v>375.84124691405941</v>
      </c>
      <c r="AS191" s="725">
        <v>213.96152009819588</v>
      </c>
      <c r="AT191" s="725">
        <v>5.7593555192915042</v>
      </c>
      <c r="AU191" s="401">
        <v>0</v>
      </c>
      <c r="AV191" s="786"/>
      <c r="AW191" s="246"/>
      <c r="AX191" s="713">
        <f t="shared" si="103"/>
        <v>70.087588674240365</v>
      </c>
      <c r="AY191" s="714">
        <v>47.091258981732011</v>
      </c>
      <c r="AZ191" s="715"/>
      <c r="BA191" s="716">
        <v>0</v>
      </c>
      <c r="BC191" s="712">
        <v>0</v>
      </c>
      <c r="BD191" s="712">
        <v>70.087588674240365</v>
      </c>
      <c r="BE191" s="712"/>
      <c r="BF191" s="712"/>
      <c r="BG191" s="712">
        <v>0</v>
      </c>
      <c r="BH191" s="712">
        <v>0</v>
      </c>
      <c r="BI191" s="134">
        <f t="shared" si="107"/>
        <v>70.087588674240365</v>
      </c>
      <c r="BJ191" s="123">
        <v>670</v>
      </c>
      <c r="BK191" s="792"/>
      <c r="BL191" s="104"/>
      <c r="BM191" s="672"/>
      <c r="BO191" s="562"/>
      <c r="BS191" s="879"/>
      <c r="BT191" s="774"/>
      <c r="BU191" s="774">
        <v>1512.7129428502133</v>
      </c>
      <c r="BV191" s="774">
        <v>0</v>
      </c>
      <c r="BW191" s="774">
        <f t="shared" si="104"/>
        <v>1512.7129428502133</v>
      </c>
    </row>
    <row r="192" spans="1:75" ht="15" thickBot="1" x14ac:dyDescent="0.35">
      <c r="A192" s="209" t="s">
        <v>173</v>
      </c>
      <c r="B192" s="227">
        <v>2</v>
      </c>
      <c r="C192" s="39">
        <f>'[3]побудинковий звіт'!E192</f>
        <v>354.3</v>
      </c>
      <c r="D192" s="205">
        <f t="shared" si="79"/>
        <v>409.91672072330925</v>
      </c>
      <c r="E192" s="104">
        <f t="shared" si="80"/>
        <v>90.181753870626537</v>
      </c>
      <c r="F192" s="104">
        <f t="shared" si="81"/>
        <v>10.832660510172342</v>
      </c>
      <c r="G192" s="104">
        <f t="shared" si="82"/>
        <v>0</v>
      </c>
      <c r="H192" s="104">
        <f t="shared" si="83"/>
        <v>342.47504647459141</v>
      </c>
      <c r="I192" s="104">
        <f t="shared" si="84"/>
        <v>109.84432874685413</v>
      </c>
      <c r="J192" s="672">
        <f t="shared" si="72"/>
        <v>0</v>
      </c>
      <c r="K192" s="139">
        <f t="shared" si="85"/>
        <v>963.25051032555359</v>
      </c>
      <c r="L192" s="138">
        <f t="shared" si="73"/>
        <v>0</v>
      </c>
      <c r="M192" s="104">
        <f t="shared" si="74"/>
        <v>0</v>
      </c>
      <c r="N192" s="29">
        <f t="shared" si="86"/>
        <v>0</v>
      </c>
      <c r="O192" s="104">
        <f t="shared" si="75"/>
        <v>0.63784962808170753</v>
      </c>
      <c r="P192" s="104">
        <f t="shared" si="87"/>
        <v>0</v>
      </c>
      <c r="Q192" s="104">
        <f t="shared" si="88"/>
        <v>8.2099433716844417E-2</v>
      </c>
      <c r="R192" s="140">
        <f t="shared" si="89"/>
        <v>0.719949061798552</v>
      </c>
      <c r="S192" s="138">
        <f t="shared" si="90"/>
        <v>0</v>
      </c>
      <c r="T192" s="104">
        <f t="shared" si="76"/>
        <v>0</v>
      </c>
      <c r="U192" s="139">
        <f t="shared" si="91"/>
        <v>0</v>
      </c>
      <c r="V192" s="104"/>
      <c r="W192" s="104">
        <f t="shared" si="92"/>
        <v>0</v>
      </c>
      <c r="X192" s="139">
        <f t="shared" si="93"/>
        <v>0</v>
      </c>
      <c r="Y192" s="138">
        <v>0</v>
      </c>
      <c r="Z192" s="141">
        <v>0</v>
      </c>
      <c r="AA192" s="104">
        <f t="shared" si="77"/>
        <v>0</v>
      </c>
      <c r="AB192" s="139">
        <f t="shared" si="78"/>
        <v>0</v>
      </c>
      <c r="AC192" s="138">
        <v>0</v>
      </c>
      <c r="AD192" s="104">
        <f t="shared" si="94"/>
        <v>0</v>
      </c>
      <c r="AE192" s="139">
        <f t="shared" si="95"/>
        <v>0</v>
      </c>
      <c r="AF192" s="142">
        <v>0</v>
      </c>
      <c r="AG192" s="104">
        <f t="shared" si="96"/>
        <v>0</v>
      </c>
      <c r="AH192" s="139">
        <f t="shared" si="97"/>
        <v>0</v>
      </c>
      <c r="AI192" s="142">
        <v>0</v>
      </c>
      <c r="AJ192" s="104">
        <f t="shared" si="98"/>
        <v>0</v>
      </c>
      <c r="AK192" s="139">
        <f t="shared" si="99"/>
        <v>0</v>
      </c>
      <c r="AL192" s="143"/>
      <c r="AM192" s="205"/>
      <c r="AN192" s="104">
        <f t="shared" si="100"/>
        <v>0</v>
      </c>
      <c r="AO192" s="148">
        <f t="shared" si="101"/>
        <v>0</v>
      </c>
      <c r="AP192" s="272">
        <f t="shared" si="102"/>
        <v>346.71370271626046</v>
      </c>
      <c r="AQ192" s="669">
        <v>31.6</v>
      </c>
      <c r="AR192" s="725">
        <v>346.71370271626046</v>
      </c>
      <c r="AS192" s="725">
        <v>0</v>
      </c>
      <c r="AT192" s="725">
        <v>0</v>
      </c>
      <c r="AU192" s="401">
        <v>0</v>
      </c>
      <c r="AV192" s="786"/>
      <c r="AW192" s="246"/>
      <c r="AX192" s="713">
        <f t="shared" si="103"/>
        <v>10.832660510172342</v>
      </c>
      <c r="AY192" s="714">
        <v>0</v>
      </c>
      <c r="AZ192" s="715"/>
      <c r="BA192" s="716">
        <v>0</v>
      </c>
      <c r="BC192" s="712">
        <v>0</v>
      </c>
      <c r="BD192" s="712">
        <v>10.832660510172342</v>
      </c>
      <c r="BE192" s="712"/>
      <c r="BF192" s="712"/>
      <c r="BG192" s="712">
        <v>0</v>
      </c>
      <c r="BH192" s="712">
        <v>0</v>
      </c>
      <c r="BI192" s="134">
        <f t="shared" si="107"/>
        <v>10.832660510172342</v>
      </c>
      <c r="BJ192" s="123"/>
      <c r="BK192" s="792"/>
      <c r="BL192" s="104"/>
      <c r="BM192" s="672"/>
      <c r="BO192" s="562"/>
      <c r="BS192" s="879"/>
      <c r="BT192" s="774"/>
      <c r="BU192" s="774">
        <v>361.52159740954897</v>
      </c>
      <c r="BV192" s="774">
        <v>0</v>
      </c>
      <c r="BW192" s="774">
        <f t="shared" si="104"/>
        <v>361.52159740954897</v>
      </c>
    </row>
    <row r="193" spans="1:75" ht="15" thickBot="1" x14ac:dyDescent="0.35">
      <c r="A193" s="209" t="s">
        <v>174</v>
      </c>
      <c r="B193" s="227">
        <v>2</v>
      </c>
      <c r="C193" s="39">
        <f>'[3]побудинковий звіт'!E193</f>
        <v>474.29999999999995</v>
      </c>
      <c r="D193" s="205">
        <f t="shared" si="79"/>
        <v>164.34260568081632</v>
      </c>
      <c r="E193" s="104">
        <f t="shared" si="80"/>
        <v>36.155403443444001</v>
      </c>
      <c r="F193" s="104">
        <f t="shared" si="81"/>
        <v>131.51163951446441</v>
      </c>
      <c r="G193" s="104">
        <f t="shared" si="82"/>
        <v>0</v>
      </c>
      <c r="H193" s="104">
        <f t="shared" si="83"/>
        <v>137.3040880571539</v>
      </c>
      <c r="I193" s="104">
        <f t="shared" si="84"/>
        <v>60.406701394724607</v>
      </c>
      <c r="J193" s="672">
        <f t="shared" si="72"/>
        <v>0</v>
      </c>
      <c r="K193" s="139">
        <f t="shared" si="85"/>
        <v>529.72043809060312</v>
      </c>
      <c r="L193" s="138">
        <f t="shared" si="73"/>
        <v>20.823292777453069</v>
      </c>
      <c r="M193" s="104">
        <f t="shared" si="74"/>
        <v>4.5811028487304588</v>
      </c>
      <c r="N193" s="29">
        <f t="shared" si="86"/>
        <v>9.743529131946751</v>
      </c>
      <c r="O193" s="104">
        <f t="shared" si="75"/>
        <v>0.85388675867669728</v>
      </c>
      <c r="P193" s="104">
        <f t="shared" si="87"/>
        <v>17.397334144185702</v>
      </c>
      <c r="Q193" s="104">
        <f t="shared" si="88"/>
        <v>6.8731554064168856</v>
      </c>
      <c r="R193" s="140">
        <f t="shared" si="89"/>
        <v>60.272301067409558</v>
      </c>
      <c r="S193" s="138">
        <f t="shared" si="90"/>
        <v>23.540000000000003</v>
      </c>
      <c r="T193" s="104">
        <f t="shared" si="76"/>
        <v>3.0299001278824171</v>
      </c>
      <c r="U193" s="139">
        <f t="shared" si="91"/>
        <v>26.56990012788242</v>
      </c>
      <c r="V193" s="104"/>
      <c r="W193" s="104">
        <f t="shared" si="92"/>
        <v>0</v>
      </c>
      <c r="X193" s="139">
        <f t="shared" si="93"/>
        <v>0</v>
      </c>
      <c r="Y193" s="138">
        <v>0</v>
      </c>
      <c r="Z193" s="141">
        <v>0</v>
      </c>
      <c r="AA193" s="104">
        <f t="shared" si="77"/>
        <v>0</v>
      </c>
      <c r="AB193" s="139">
        <f t="shared" si="78"/>
        <v>0</v>
      </c>
      <c r="AC193" s="138">
        <v>0</v>
      </c>
      <c r="AD193" s="104">
        <f t="shared" si="94"/>
        <v>0</v>
      </c>
      <c r="AE193" s="139">
        <f t="shared" si="95"/>
        <v>0</v>
      </c>
      <c r="AF193" s="142">
        <v>72.599999999999994</v>
      </c>
      <c r="AG193" s="104">
        <f t="shared" si="96"/>
        <v>9.3445517962728726</v>
      </c>
      <c r="AH193" s="139">
        <f t="shared" si="97"/>
        <v>81.944551796272862</v>
      </c>
      <c r="AI193" s="142">
        <v>0</v>
      </c>
      <c r="AJ193" s="104">
        <f t="shared" si="98"/>
        <v>0</v>
      </c>
      <c r="AK193" s="139">
        <f t="shared" si="99"/>
        <v>0</v>
      </c>
      <c r="AL193" s="143"/>
      <c r="AM193" s="143"/>
      <c r="AN193" s="104">
        <f t="shared" si="100"/>
        <v>0</v>
      </c>
      <c r="AO193" s="148">
        <f t="shared" si="101"/>
        <v>0</v>
      </c>
      <c r="AP193" s="272">
        <f t="shared" si="102"/>
        <v>121.24454421225859</v>
      </c>
      <c r="AQ193" s="669">
        <v>49.66</v>
      </c>
      <c r="AR193" s="725">
        <v>102.01241667878759</v>
      </c>
      <c r="AS193" s="725">
        <v>18.311914664778584</v>
      </c>
      <c r="AT193" s="725">
        <v>0.92021286869241581</v>
      </c>
      <c r="AU193" s="401">
        <v>0</v>
      </c>
      <c r="AV193" s="786"/>
      <c r="AW193" s="246"/>
      <c r="AX193" s="713">
        <f t="shared" si="103"/>
        <v>14.501639514464411</v>
      </c>
      <c r="AY193" s="714">
        <v>9.743529131946751</v>
      </c>
      <c r="AZ193" s="715"/>
      <c r="BA193" s="716">
        <v>0</v>
      </c>
      <c r="BC193" s="712">
        <v>0</v>
      </c>
      <c r="BD193" s="712">
        <v>14.501639514464411</v>
      </c>
      <c r="BE193" s="712"/>
      <c r="BF193" s="712"/>
      <c r="BG193" s="712">
        <v>0</v>
      </c>
      <c r="BH193" s="712">
        <v>0</v>
      </c>
      <c r="BI193" s="134">
        <f t="shared" si="107"/>
        <v>14.501639514464411</v>
      </c>
      <c r="BJ193" s="123">
        <v>107</v>
      </c>
      <c r="BK193" s="792"/>
      <c r="BL193" s="104"/>
      <c r="BM193" s="672">
        <v>117.01</v>
      </c>
      <c r="BO193" s="562"/>
      <c r="BS193" s="879"/>
      <c r="BT193" s="774"/>
      <c r="BU193" s="774">
        <v>410.56098200973202</v>
      </c>
      <c r="BV193" s="774">
        <v>0</v>
      </c>
      <c r="BW193" s="774">
        <f t="shared" si="104"/>
        <v>410.56098200973202</v>
      </c>
    </row>
    <row r="194" spans="1:75" ht="15" thickBot="1" x14ac:dyDescent="0.35">
      <c r="A194" s="209" t="s">
        <v>267</v>
      </c>
      <c r="B194" s="227">
        <v>5</v>
      </c>
      <c r="C194" s="39">
        <f>'[3]побудинковий звіт'!E194</f>
        <v>4735.0700000000006</v>
      </c>
      <c r="D194" s="205">
        <f t="shared" si="79"/>
        <v>2732.0611777091294</v>
      </c>
      <c r="E194" s="104">
        <f t="shared" si="80"/>
        <v>601.05396104094234</v>
      </c>
      <c r="F194" s="104">
        <f t="shared" si="81"/>
        <v>144.18995762392734</v>
      </c>
      <c r="G194" s="104">
        <f t="shared" si="82"/>
        <v>0</v>
      </c>
      <c r="H194" s="104">
        <f t="shared" si="83"/>
        <v>2282.5679741884119</v>
      </c>
      <c r="I194" s="104">
        <f t="shared" si="84"/>
        <v>741.36959019046458</v>
      </c>
      <c r="J194" s="672">
        <f t="shared" si="72"/>
        <v>0</v>
      </c>
      <c r="K194" s="139">
        <f t="shared" si="85"/>
        <v>6501.242660752876</v>
      </c>
      <c r="L194" s="138">
        <f t="shared" si="73"/>
        <v>878.49437840290989</v>
      </c>
      <c r="M194" s="104">
        <f t="shared" si="74"/>
        <v>193.26785357659003</v>
      </c>
      <c r="N194" s="29">
        <f t="shared" si="86"/>
        <v>180.880014928077</v>
      </c>
      <c r="O194" s="104">
        <f t="shared" si="75"/>
        <v>8.5245911330534891</v>
      </c>
      <c r="P194" s="104">
        <f t="shared" si="87"/>
        <v>733.95982125423893</v>
      </c>
      <c r="Q194" s="104">
        <f t="shared" si="88"/>
        <v>256.79840782239353</v>
      </c>
      <c r="R194" s="140">
        <f t="shared" si="89"/>
        <v>2251.9250671172631</v>
      </c>
      <c r="S194" s="138">
        <f t="shared" si="90"/>
        <v>203.06000000000003</v>
      </c>
      <c r="T194" s="104">
        <f t="shared" si="76"/>
        <v>26.13642820593898</v>
      </c>
      <c r="U194" s="139">
        <f t="shared" si="91"/>
        <v>229.19642820593901</v>
      </c>
      <c r="V194" s="408"/>
      <c r="W194" s="104">
        <f t="shared" si="92"/>
        <v>0</v>
      </c>
      <c r="X194" s="139">
        <f t="shared" si="93"/>
        <v>0</v>
      </c>
      <c r="Y194" s="138">
        <v>0</v>
      </c>
      <c r="Z194" s="141">
        <v>0</v>
      </c>
      <c r="AA194" s="104">
        <f t="shared" si="77"/>
        <v>0</v>
      </c>
      <c r="AB194" s="139">
        <f t="shared" si="78"/>
        <v>0</v>
      </c>
      <c r="AC194" s="138">
        <v>0</v>
      </c>
      <c r="AD194" s="104">
        <f t="shared" si="94"/>
        <v>0</v>
      </c>
      <c r="AE194" s="139">
        <f t="shared" si="95"/>
        <v>0</v>
      </c>
      <c r="AF194" s="142">
        <v>404.8</v>
      </c>
      <c r="AG194" s="104">
        <f t="shared" si="96"/>
        <v>52.10295547012754</v>
      </c>
      <c r="AH194" s="139">
        <f t="shared" si="97"/>
        <v>456.90295547012755</v>
      </c>
      <c r="AI194" s="142">
        <v>0</v>
      </c>
      <c r="AJ194" s="104">
        <f t="shared" si="98"/>
        <v>0</v>
      </c>
      <c r="AK194" s="139">
        <f t="shared" si="99"/>
        <v>0</v>
      </c>
      <c r="AL194" s="143"/>
      <c r="AM194" s="143"/>
      <c r="AN194" s="104">
        <f t="shared" si="100"/>
        <v>0</v>
      </c>
      <c r="AO194" s="148">
        <f t="shared" si="101"/>
        <v>0</v>
      </c>
      <c r="AP194" s="272">
        <f t="shared" si="102"/>
        <v>3067.54586546165</v>
      </c>
      <c r="AQ194" s="669">
        <v>265.25</v>
      </c>
      <c r="AR194" s="725">
        <v>2256.1796659153465</v>
      </c>
      <c r="AS194" s="725">
        <v>781.57701224312291</v>
      </c>
      <c r="AT194" s="725">
        <v>29.78918730318091</v>
      </c>
      <c r="AU194" s="401">
        <v>0</v>
      </c>
      <c r="AV194" s="786"/>
      <c r="AW194" s="246"/>
      <c r="AX194" s="713">
        <f t="shared" si="103"/>
        <v>144.18995762392734</v>
      </c>
      <c r="AY194" s="714">
        <v>96.880014928077003</v>
      </c>
      <c r="AZ194" s="715"/>
      <c r="BA194" s="716">
        <v>84</v>
      </c>
      <c r="BC194" s="712">
        <v>0</v>
      </c>
      <c r="BD194" s="712">
        <v>144.18995762392734</v>
      </c>
      <c r="BE194" s="712"/>
      <c r="BF194" s="712"/>
      <c r="BG194" s="712">
        <v>0</v>
      </c>
      <c r="BH194" s="712">
        <v>0</v>
      </c>
      <c r="BI194" s="134">
        <f t="shared" si="107"/>
        <v>144.18995762392734</v>
      </c>
      <c r="BJ194" s="123">
        <v>923</v>
      </c>
      <c r="BK194" s="792"/>
      <c r="BL194" s="104"/>
      <c r="BM194" s="672"/>
      <c r="BO194" s="562"/>
      <c r="BS194" s="879"/>
      <c r="BT194" s="774"/>
      <c r="BU194" s="774">
        <v>3134.3162976496683</v>
      </c>
      <c r="BV194" s="774">
        <v>0</v>
      </c>
      <c r="BW194" s="774">
        <f t="shared" si="104"/>
        <v>3134.3162976496683</v>
      </c>
    </row>
    <row r="195" spans="1:75" ht="15" thickBot="1" x14ac:dyDescent="0.35">
      <c r="A195" s="209" t="s">
        <v>215</v>
      </c>
      <c r="B195" s="227">
        <v>4</v>
      </c>
      <c r="C195" s="39">
        <f>'[3]побудинковий звіт'!E195</f>
        <v>1981.17</v>
      </c>
      <c r="D195" s="205">
        <f t="shared" si="79"/>
        <v>1737.6203188230679</v>
      </c>
      <c r="E195" s="104">
        <f t="shared" si="80"/>
        <v>382.27678938345616</v>
      </c>
      <c r="F195" s="104">
        <f t="shared" si="81"/>
        <v>60.573926116111032</v>
      </c>
      <c r="G195" s="104">
        <f t="shared" si="82"/>
        <v>0</v>
      </c>
      <c r="H195" s="104">
        <f t="shared" si="83"/>
        <v>1451.7378027275129</v>
      </c>
      <c r="I195" s="104">
        <f t="shared" si="84"/>
        <v>467.51189549166895</v>
      </c>
      <c r="J195" s="672">
        <f t="shared" si="72"/>
        <v>0</v>
      </c>
      <c r="K195" s="139">
        <f t="shared" si="85"/>
        <v>4099.7207325418167</v>
      </c>
      <c r="L195" s="138">
        <f t="shared" si="73"/>
        <v>560.02482461151908</v>
      </c>
      <c r="M195" s="104">
        <f t="shared" si="74"/>
        <v>123.20488151448832</v>
      </c>
      <c r="N195" s="29">
        <f t="shared" si="86"/>
        <v>40.699109446213257</v>
      </c>
      <c r="O195" s="104">
        <f t="shared" si="75"/>
        <v>3.5667190168406337</v>
      </c>
      <c r="P195" s="104">
        <f t="shared" si="87"/>
        <v>467.88656851403425</v>
      </c>
      <c r="Q195" s="104">
        <f t="shared" si="88"/>
        <v>153.86101899152172</v>
      </c>
      <c r="R195" s="140">
        <f t="shared" si="89"/>
        <v>1349.2431220946171</v>
      </c>
      <c r="S195" s="138">
        <f t="shared" si="90"/>
        <v>0</v>
      </c>
      <c r="T195" s="104">
        <f t="shared" si="76"/>
        <v>0</v>
      </c>
      <c r="U195" s="139">
        <f t="shared" si="91"/>
        <v>0</v>
      </c>
      <c r="V195" s="104"/>
      <c r="W195" s="104">
        <f t="shared" si="92"/>
        <v>0</v>
      </c>
      <c r="X195" s="139">
        <f t="shared" si="93"/>
        <v>0</v>
      </c>
      <c r="Y195" s="138">
        <v>0</v>
      </c>
      <c r="Z195" s="141">
        <v>0</v>
      </c>
      <c r="AA195" s="104">
        <f t="shared" si="77"/>
        <v>0</v>
      </c>
      <c r="AB195" s="139">
        <f t="shared" si="78"/>
        <v>0</v>
      </c>
      <c r="AC195" s="138">
        <v>0</v>
      </c>
      <c r="AD195" s="104">
        <f t="shared" si="94"/>
        <v>0</v>
      </c>
      <c r="AE195" s="139">
        <f t="shared" si="95"/>
        <v>0</v>
      </c>
      <c r="AF195" s="142">
        <v>484</v>
      </c>
      <c r="AG195" s="104">
        <f t="shared" si="96"/>
        <v>62.297011975152493</v>
      </c>
      <c r="AH195" s="139">
        <f t="shared" si="97"/>
        <v>546.29701197515249</v>
      </c>
      <c r="AI195" s="142">
        <v>0</v>
      </c>
      <c r="AJ195" s="104">
        <f t="shared" si="98"/>
        <v>0</v>
      </c>
      <c r="AK195" s="139">
        <f t="shared" si="99"/>
        <v>0</v>
      </c>
      <c r="AL195" s="143"/>
      <c r="AM195" s="391"/>
      <c r="AN195" s="104">
        <f t="shared" si="100"/>
        <v>0</v>
      </c>
      <c r="AO195" s="148">
        <f t="shared" si="101"/>
        <v>0</v>
      </c>
      <c r="AP195" s="272">
        <f t="shared" si="102"/>
        <v>2004.0381928246079</v>
      </c>
      <c r="AQ195" s="669">
        <v>116.85</v>
      </c>
      <c r="AR195" s="725">
        <v>1486.806409938644</v>
      </c>
      <c r="AS195" s="725">
        <v>517.23178288596375</v>
      </c>
      <c r="AT195" s="725">
        <v>0</v>
      </c>
      <c r="AU195" s="401">
        <v>0</v>
      </c>
      <c r="AV195" s="786"/>
      <c r="AW195" s="246"/>
      <c r="AX195" s="713">
        <f t="shared" si="103"/>
        <v>60.573926116111032</v>
      </c>
      <c r="AY195" s="714">
        <v>40.699109446213257</v>
      </c>
      <c r="AZ195" s="715"/>
      <c r="BA195" s="716">
        <v>0</v>
      </c>
      <c r="BC195" s="712">
        <v>0</v>
      </c>
      <c r="BD195" s="712">
        <v>60.573926116111032</v>
      </c>
      <c r="BE195" s="712"/>
      <c r="BF195" s="712"/>
      <c r="BG195" s="712">
        <v>0</v>
      </c>
      <c r="BH195" s="712">
        <v>0</v>
      </c>
      <c r="BI195" s="134">
        <f t="shared" si="107"/>
        <v>60.573926116111032</v>
      </c>
      <c r="BJ195" s="123"/>
      <c r="BK195" s="792"/>
      <c r="BL195" s="104"/>
      <c r="BM195" s="672"/>
      <c r="BO195" s="562"/>
      <c r="BS195" s="879"/>
      <c r="BT195" s="774"/>
      <c r="BU195" s="774">
        <v>1550.3018187575667</v>
      </c>
      <c r="BV195" s="774">
        <v>0</v>
      </c>
      <c r="BW195" s="774">
        <f t="shared" si="104"/>
        <v>1550.3018187575667</v>
      </c>
    </row>
    <row r="196" spans="1:75" ht="15" thickBot="1" x14ac:dyDescent="0.35">
      <c r="A196" s="209" t="s">
        <v>175</v>
      </c>
      <c r="B196" s="227">
        <v>2</v>
      </c>
      <c r="C196" s="39">
        <f>'[3]побудинковий звіт'!E196</f>
        <v>286.2</v>
      </c>
      <c r="D196" s="205">
        <f t="shared" si="79"/>
        <v>307.73020585371341</v>
      </c>
      <c r="E196" s="104">
        <f t="shared" si="80"/>
        <v>67.70070182521043</v>
      </c>
      <c r="F196" s="104">
        <f t="shared" si="81"/>
        <v>8.7505149252365904</v>
      </c>
      <c r="G196" s="104">
        <f t="shared" si="82"/>
        <v>0</v>
      </c>
      <c r="H196" s="104">
        <f t="shared" si="83"/>
        <v>257.10079931704831</v>
      </c>
      <c r="I196" s="104">
        <f t="shared" si="84"/>
        <v>82.54125260016103</v>
      </c>
      <c r="J196" s="672">
        <f t="shared" si="72"/>
        <v>0</v>
      </c>
      <c r="K196" s="139">
        <f t="shared" si="85"/>
        <v>723.82347452136969</v>
      </c>
      <c r="L196" s="138">
        <f t="shared" si="73"/>
        <v>35.419503759361625</v>
      </c>
      <c r="M196" s="104">
        <f t="shared" si="74"/>
        <v>7.7922541505213889</v>
      </c>
      <c r="N196" s="29">
        <f t="shared" si="86"/>
        <v>5.8793970853113215</v>
      </c>
      <c r="O196" s="104">
        <f t="shared" si="75"/>
        <v>0.51524855646905077</v>
      </c>
      <c r="P196" s="104">
        <f t="shared" si="87"/>
        <v>29.5920990358483</v>
      </c>
      <c r="Q196" s="104">
        <f t="shared" si="88"/>
        <v>10.193863768818927</v>
      </c>
      <c r="R196" s="140">
        <f t="shared" si="89"/>
        <v>89.392366356330612</v>
      </c>
      <c r="S196" s="138">
        <f t="shared" si="90"/>
        <v>0</v>
      </c>
      <c r="T196" s="104">
        <f t="shared" si="76"/>
        <v>0</v>
      </c>
      <c r="U196" s="139">
        <f t="shared" si="91"/>
        <v>0</v>
      </c>
      <c r="V196" s="104"/>
      <c r="W196" s="104">
        <f t="shared" si="92"/>
        <v>0</v>
      </c>
      <c r="X196" s="139">
        <f t="shared" si="93"/>
        <v>0</v>
      </c>
      <c r="Y196" s="138">
        <v>0</v>
      </c>
      <c r="Z196" s="141">
        <v>0</v>
      </c>
      <c r="AA196" s="104">
        <f t="shared" si="77"/>
        <v>0</v>
      </c>
      <c r="AB196" s="139">
        <f t="shared" si="78"/>
        <v>0</v>
      </c>
      <c r="AC196" s="138">
        <v>0</v>
      </c>
      <c r="AD196" s="104">
        <f t="shared" si="94"/>
        <v>0</v>
      </c>
      <c r="AE196" s="139">
        <f t="shared" si="95"/>
        <v>0</v>
      </c>
      <c r="AF196" s="142">
        <v>63.8</v>
      </c>
      <c r="AG196" s="104">
        <f t="shared" si="96"/>
        <v>8.2118788512701002</v>
      </c>
      <c r="AH196" s="139">
        <f t="shared" si="97"/>
        <v>72.011878851270097</v>
      </c>
      <c r="AI196" s="142">
        <v>0</v>
      </c>
      <c r="AJ196" s="104">
        <f t="shared" si="98"/>
        <v>0</v>
      </c>
      <c r="AK196" s="139">
        <f t="shared" si="99"/>
        <v>0</v>
      </c>
      <c r="AL196" s="143"/>
      <c r="AM196" s="391"/>
      <c r="AN196" s="104">
        <f t="shared" si="100"/>
        <v>0</v>
      </c>
      <c r="AO196" s="148">
        <f t="shared" si="101"/>
        <v>0</v>
      </c>
      <c r="AP196" s="272">
        <f t="shared" si="102"/>
        <v>301.87838073688124</v>
      </c>
      <c r="AQ196" s="669">
        <v>14.84</v>
      </c>
      <c r="AR196" s="725">
        <v>269.16537896754164</v>
      </c>
      <c r="AS196" s="725">
        <v>32.713001769339577</v>
      </c>
      <c r="AT196" s="725">
        <v>0</v>
      </c>
      <c r="AU196" s="401">
        <v>0</v>
      </c>
      <c r="AV196" s="786"/>
      <c r="AW196" s="246"/>
      <c r="AX196" s="713">
        <f t="shared" si="103"/>
        <v>8.7505149252365904</v>
      </c>
      <c r="AY196" s="714">
        <v>5.8793970853113215</v>
      </c>
      <c r="AZ196" s="715"/>
      <c r="BA196" s="716">
        <v>0</v>
      </c>
      <c r="BC196" s="712">
        <v>0</v>
      </c>
      <c r="BD196" s="712">
        <v>8.7505149252365904</v>
      </c>
      <c r="BE196" s="712"/>
      <c r="BF196" s="712"/>
      <c r="BG196" s="712">
        <v>0</v>
      </c>
      <c r="BH196" s="712">
        <v>0</v>
      </c>
      <c r="BI196" s="134">
        <f t="shared" si="107"/>
        <v>8.7505149252365904</v>
      </c>
      <c r="BJ196" s="123"/>
      <c r="BK196" s="792"/>
      <c r="BL196" s="104"/>
      <c r="BM196" s="672"/>
      <c r="BO196" s="562"/>
      <c r="BS196" s="879"/>
      <c r="BT196" s="774"/>
      <c r="BU196" s="774">
        <v>280.66071395187527</v>
      </c>
      <c r="BV196" s="774">
        <v>0</v>
      </c>
      <c r="BW196" s="774">
        <f t="shared" si="104"/>
        <v>280.66071395187527</v>
      </c>
    </row>
    <row r="197" spans="1:75" ht="15" thickBot="1" x14ac:dyDescent="0.35">
      <c r="A197" s="209" t="s">
        <v>374</v>
      </c>
      <c r="B197" s="227">
        <v>9</v>
      </c>
      <c r="C197" s="39">
        <f>'[3]побудинковий звіт'!E197</f>
        <v>3813.3</v>
      </c>
      <c r="D197" s="205">
        <f t="shared" si="79"/>
        <v>3022.45123287655</v>
      </c>
      <c r="E197" s="104">
        <f t="shared" si="80"/>
        <v>664.93982652936825</v>
      </c>
      <c r="F197" s="104">
        <f t="shared" si="81"/>
        <v>112.7486206098061</v>
      </c>
      <c r="G197" s="104">
        <f t="shared" si="82"/>
        <v>0</v>
      </c>
      <c r="H197" s="104">
        <f t="shared" si="83"/>
        <v>2525.1815164311797</v>
      </c>
      <c r="I197" s="104">
        <f t="shared" si="84"/>
        <v>814.15002132590632</v>
      </c>
      <c r="J197" s="672">
        <f t="shared" si="72"/>
        <v>0</v>
      </c>
      <c r="K197" s="139">
        <f t="shared" si="85"/>
        <v>7139.4712177728097</v>
      </c>
      <c r="L197" s="138">
        <f t="shared" si="73"/>
        <v>1351.8272786698078</v>
      </c>
      <c r="M197" s="104">
        <f t="shared" si="74"/>
        <v>297.40060150387319</v>
      </c>
      <c r="N197" s="29">
        <f t="shared" si="86"/>
        <v>62.696953672377063</v>
      </c>
      <c r="O197" s="104">
        <f t="shared" si="75"/>
        <v>6.8651199174822901</v>
      </c>
      <c r="P197" s="104">
        <f t="shared" si="87"/>
        <v>1129.4174808754929</v>
      </c>
      <c r="Q197" s="104">
        <f t="shared" si="88"/>
        <v>366.60085261038478</v>
      </c>
      <c r="R197" s="140">
        <f t="shared" si="89"/>
        <v>3214.8082872494183</v>
      </c>
      <c r="S197" s="138">
        <f t="shared" si="90"/>
        <v>70.400000000000006</v>
      </c>
      <c r="T197" s="104">
        <f t="shared" si="76"/>
        <v>9.0613835600221808</v>
      </c>
      <c r="U197" s="139">
        <f t="shared" si="91"/>
        <v>79.461383560022185</v>
      </c>
      <c r="V197" s="104"/>
      <c r="W197" s="104">
        <f t="shared" si="92"/>
        <v>0</v>
      </c>
      <c r="X197" s="139">
        <f t="shared" si="93"/>
        <v>0</v>
      </c>
      <c r="Y197" s="138">
        <v>2227.75</v>
      </c>
      <c r="Z197" s="141">
        <v>0</v>
      </c>
      <c r="AA197" s="104">
        <f t="shared" si="77"/>
        <v>286.74001741249168</v>
      </c>
      <c r="AB197" s="139">
        <f t="shared" si="78"/>
        <v>2514.4900174124919</v>
      </c>
      <c r="AC197" s="138">
        <v>236.15</v>
      </c>
      <c r="AD197" s="104">
        <f t="shared" si="94"/>
        <v>30.395535904818722</v>
      </c>
      <c r="AE197" s="139">
        <f t="shared" si="95"/>
        <v>266.54553590481873</v>
      </c>
      <c r="AF197" s="142">
        <v>466.4</v>
      </c>
      <c r="AG197" s="104">
        <f t="shared" si="96"/>
        <v>60.031666085146945</v>
      </c>
      <c r="AH197" s="139">
        <f t="shared" si="97"/>
        <v>526.43166608514696</v>
      </c>
      <c r="AI197" s="142">
        <v>1249.5999999999999</v>
      </c>
      <c r="AJ197" s="104">
        <f t="shared" si="98"/>
        <v>160.83955819039369</v>
      </c>
      <c r="AK197" s="139">
        <f t="shared" si="99"/>
        <v>1410.4395581903937</v>
      </c>
      <c r="AL197" s="143">
        <v>212.5</v>
      </c>
      <c r="AM197" s="143"/>
      <c r="AN197" s="104">
        <f t="shared" si="100"/>
        <v>27.35147736512377</v>
      </c>
      <c r="AO197" s="148">
        <f t="shared" si="101"/>
        <v>239.85147736512377</v>
      </c>
      <c r="AP197" s="272">
        <f t="shared" si="102"/>
        <v>4037.9621809488476</v>
      </c>
      <c r="AQ197" s="669">
        <v>0</v>
      </c>
      <c r="AR197" s="726">
        <v>2789.4317537748457</v>
      </c>
      <c r="AS197" s="726">
        <v>1217.9145349163946</v>
      </c>
      <c r="AT197" s="726">
        <v>30.615892257607193</v>
      </c>
      <c r="AU197" s="401">
        <v>0</v>
      </c>
      <c r="AV197" s="786"/>
      <c r="AW197" s="246"/>
      <c r="AX197" s="713">
        <f t="shared" si="103"/>
        <v>112.7486206098061</v>
      </c>
      <c r="AY197" s="714">
        <v>62.696953672377063</v>
      </c>
      <c r="AZ197" s="715"/>
      <c r="BA197" s="716">
        <v>0</v>
      </c>
      <c r="BC197" s="712">
        <v>0</v>
      </c>
      <c r="BD197" s="712">
        <v>112.7486206098061</v>
      </c>
      <c r="BE197" s="712"/>
      <c r="BF197" s="712"/>
      <c r="BG197" s="712">
        <v>0</v>
      </c>
      <c r="BH197" s="712">
        <v>8.5976967462350657</v>
      </c>
      <c r="BI197" s="134">
        <f t="shared" si="107"/>
        <v>112.7486206098061</v>
      </c>
      <c r="BJ197" s="123">
        <v>320</v>
      </c>
      <c r="BK197" s="792"/>
      <c r="BL197" s="104"/>
      <c r="BM197" s="672"/>
      <c r="BO197" s="562"/>
      <c r="BS197" s="879"/>
      <c r="BT197" s="774"/>
      <c r="BU197" s="774">
        <v>2767.3305065803938</v>
      </c>
      <c r="BV197" s="774">
        <v>0</v>
      </c>
      <c r="BW197" s="774">
        <f t="shared" si="104"/>
        <v>2767.3305065803938</v>
      </c>
    </row>
    <row r="198" spans="1:75" ht="15" thickBot="1" x14ac:dyDescent="0.35">
      <c r="A198" s="209" t="s">
        <v>375</v>
      </c>
      <c r="B198" s="227">
        <v>9</v>
      </c>
      <c r="C198" s="39">
        <f>'[3]побудинковий звіт'!E198</f>
        <v>15437.47</v>
      </c>
      <c r="D198" s="205">
        <f t="shared" si="79"/>
        <v>11174.515633299618</v>
      </c>
      <c r="E198" s="104">
        <f t="shared" si="80"/>
        <v>2458.3954923515057</v>
      </c>
      <c r="F198" s="104">
        <f t="shared" si="81"/>
        <v>617.1874671515659</v>
      </c>
      <c r="G198" s="104">
        <f t="shared" si="82"/>
        <v>0</v>
      </c>
      <c r="H198" s="104">
        <f t="shared" si="83"/>
        <v>9336.02502013702</v>
      </c>
      <c r="I198" s="104">
        <f t="shared" si="84"/>
        <v>3035.8368288486195</v>
      </c>
      <c r="J198" s="672">
        <f t="shared" si="72"/>
        <v>0</v>
      </c>
      <c r="K198" s="139">
        <f t="shared" si="85"/>
        <v>26621.960441788327</v>
      </c>
      <c r="L198" s="138">
        <f t="shared" si="73"/>
        <v>5958.5311414873431</v>
      </c>
      <c r="M198" s="104">
        <f t="shared" si="74"/>
        <v>1310.8706811284396</v>
      </c>
      <c r="N198" s="29">
        <f t="shared" si="86"/>
        <v>253.70094668847813</v>
      </c>
      <c r="O198" s="104">
        <f t="shared" si="75"/>
        <v>27.792222687051982</v>
      </c>
      <c r="P198" s="104">
        <f t="shared" si="87"/>
        <v>4978.201977222101</v>
      </c>
      <c r="Q198" s="104">
        <f t="shared" si="88"/>
        <v>1612.6555866300305</v>
      </c>
      <c r="R198" s="140">
        <f t="shared" si="89"/>
        <v>14141.752555843443</v>
      </c>
      <c r="S198" s="138">
        <f t="shared" si="90"/>
        <v>157.08000000000001</v>
      </c>
      <c r="T198" s="104">
        <f t="shared" si="76"/>
        <v>20.218212068299493</v>
      </c>
      <c r="U198" s="139">
        <f t="shared" si="91"/>
        <v>177.29821206829951</v>
      </c>
      <c r="V198" s="104"/>
      <c r="W198" s="104">
        <f t="shared" si="92"/>
        <v>0</v>
      </c>
      <c r="X198" s="139">
        <f t="shared" si="93"/>
        <v>0</v>
      </c>
      <c r="Y198" s="138">
        <v>8500.625</v>
      </c>
      <c r="Z198" s="141">
        <v>0</v>
      </c>
      <c r="AA198" s="104">
        <f t="shared" si="77"/>
        <v>1094.1395401266129</v>
      </c>
      <c r="AB198" s="139">
        <f t="shared" si="78"/>
        <v>9594.7645401266127</v>
      </c>
      <c r="AC198" s="138">
        <v>826.52</v>
      </c>
      <c r="AD198" s="104">
        <f t="shared" si="94"/>
        <v>106.38373210269222</v>
      </c>
      <c r="AE198" s="139">
        <f t="shared" si="95"/>
        <v>932.90373210269217</v>
      </c>
      <c r="AF198" s="142">
        <v>851.4</v>
      </c>
      <c r="AG198" s="104">
        <f t="shared" si="96"/>
        <v>109.58610742901824</v>
      </c>
      <c r="AH198" s="139">
        <f t="shared" si="97"/>
        <v>960.98610742901826</v>
      </c>
      <c r="AI198" s="142">
        <v>1680.8</v>
      </c>
      <c r="AJ198" s="104">
        <f t="shared" si="98"/>
        <v>216.34053249552954</v>
      </c>
      <c r="AK198" s="139">
        <f t="shared" si="99"/>
        <v>1897.1405324955294</v>
      </c>
      <c r="AL198" s="143"/>
      <c r="AM198" s="143"/>
      <c r="AN198" s="104">
        <f t="shared" si="100"/>
        <v>0</v>
      </c>
      <c r="AO198" s="148">
        <f t="shared" si="101"/>
        <v>0</v>
      </c>
      <c r="AP198" s="272">
        <f t="shared" si="102"/>
        <v>15816.226375763119</v>
      </c>
      <c r="AQ198" s="669">
        <v>0</v>
      </c>
      <c r="AR198" s="726">
        <v>10313.003035921116</v>
      </c>
      <c r="AS198" s="726">
        <v>5400.3059093054853</v>
      </c>
      <c r="AT198" s="726">
        <v>102.91743053651682</v>
      </c>
      <c r="AU198" s="401">
        <v>0</v>
      </c>
      <c r="AV198" s="786"/>
      <c r="AW198" s="246"/>
      <c r="AX198" s="713">
        <f t="shared" si="103"/>
        <v>617.1874671515659</v>
      </c>
      <c r="AY198" s="714">
        <v>253.70094668847813</v>
      </c>
      <c r="AZ198" s="715"/>
      <c r="BA198" s="716">
        <v>0</v>
      </c>
      <c r="BC198" s="712">
        <v>176</v>
      </c>
      <c r="BD198" s="712">
        <v>441.18746715156595</v>
      </c>
      <c r="BE198" s="712"/>
      <c r="BF198" s="712"/>
      <c r="BG198" s="712">
        <v>0</v>
      </c>
      <c r="BH198" s="712">
        <v>19.744535159336319</v>
      </c>
      <c r="BI198" s="134">
        <f t="shared" si="107"/>
        <v>617.1874671515659</v>
      </c>
      <c r="BJ198" s="123">
        <v>714</v>
      </c>
      <c r="BK198" s="792"/>
      <c r="BL198" s="104"/>
      <c r="BM198" s="672"/>
      <c r="BO198" s="562"/>
      <c r="BS198" s="879"/>
      <c r="BT198" s="774"/>
      <c r="BU198" s="774">
        <v>10227.28917022184</v>
      </c>
      <c r="BV198" s="774">
        <v>0</v>
      </c>
      <c r="BW198" s="774">
        <f t="shared" si="104"/>
        <v>10227.28917022184</v>
      </c>
    </row>
    <row r="199" spans="1:75" ht="15" thickBot="1" x14ac:dyDescent="0.35">
      <c r="A199" s="209" t="s">
        <v>176</v>
      </c>
      <c r="B199" s="227">
        <v>2</v>
      </c>
      <c r="C199" s="39">
        <f>'[3]побудинковий звіт'!E199</f>
        <v>479.4</v>
      </c>
      <c r="D199" s="205">
        <f t="shared" si="79"/>
        <v>138.11693936394823</v>
      </c>
      <c r="E199" s="104">
        <f t="shared" si="80"/>
        <v>30.385752035451329</v>
      </c>
      <c r="F199" s="104">
        <f t="shared" si="81"/>
        <v>12.988185675193934</v>
      </c>
      <c r="G199" s="104">
        <f t="shared" si="82"/>
        <v>0</v>
      </c>
      <c r="H199" s="104">
        <f t="shared" si="83"/>
        <v>115.39320753769574</v>
      </c>
      <c r="I199" s="104">
        <f t="shared" si="84"/>
        <v>38.212792095710682</v>
      </c>
      <c r="J199" s="672">
        <f t="shared" si="72"/>
        <v>0</v>
      </c>
      <c r="K199" s="139">
        <f t="shared" si="85"/>
        <v>335.09687670799997</v>
      </c>
      <c r="L199" s="138">
        <f t="shared" si="73"/>
        <v>18.337665394423556</v>
      </c>
      <c r="M199" s="104">
        <f t="shared" si="74"/>
        <v>4.0342673983059996</v>
      </c>
      <c r="N199" s="29">
        <f t="shared" si="86"/>
        <v>8.7266522775690074</v>
      </c>
      <c r="O199" s="104">
        <f t="shared" si="75"/>
        <v>0.86306833672698446</v>
      </c>
      <c r="P199" s="104">
        <f t="shared" si="87"/>
        <v>15.320655368995785</v>
      </c>
      <c r="Q199" s="104">
        <f t="shared" si="88"/>
        <v>6.0858399918030139</v>
      </c>
      <c r="R199" s="140">
        <f t="shared" si="89"/>
        <v>53.368148767824344</v>
      </c>
      <c r="S199" s="138">
        <f t="shared" si="90"/>
        <v>0</v>
      </c>
      <c r="T199" s="104">
        <f t="shared" si="76"/>
        <v>0</v>
      </c>
      <c r="U199" s="139">
        <f t="shared" si="91"/>
        <v>0</v>
      </c>
      <c r="V199" s="104"/>
      <c r="W199" s="104">
        <f t="shared" si="92"/>
        <v>0</v>
      </c>
      <c r="X199" s="139">
        <f t="shared" si="93"/>
        <v>0</v>
      </c>
      <c r="Y199" s="138">
        <v>0</v>
      </c>
      <c r="Z199" s="141">
        <v>0</v>
      </c>
      <c r="AA199" s="104">
        <f t="shared" si="77"/>
        <v>0</v>
      </c>
      <c r="AB199" s="139">
        <f t="shared" si="78"/>
        <v>0</v>
      </c>
      <c r="AC199" s="138">
        <v>0</v>
      </c>
      <c r="AD199" s="104">
        <f t="shared" si="94"/>
        <v>0</v>
      </c>
      <c r="AE199" s="139">
        <f t="shared" si="95"/>
        <v>0</v>
      </c>
      <c r="AF199" s="142">
        <v>63.8</v>
      </c>
      <c r="AG199" s="104">
        <f t="shared" si="96"/>
        <v>8.2118788512701002</v>
      </c>
      <c r="AH199" s="139">
        <f t="shared" si="97"/>
        <v>72.011878851270097</v>
      </c>
      <c r="AI199" s="142">
        <v>0</v>
      </c>
      <c r="AJ199" s="104">
        <f t="shared" si="98"/>
        <v>0</v>
      </c>
      <c r="AK199" s="139">
        <f t="shared" si="99"/>
        <v>0</v>
      </c>
      <c r="AL199" s="143"/>
      <c r="AM199" s="143"/>
      <c r="AN199" s="104">
        <f t="shared" si="100"/>
        <v>0</v>
      </c>
      <c r="AO199" s="148">
        <f t="shared" si="101"/>
        <v>0</v>
      </c>
      <c r="AP199" s="272">
        <f t="shared" si="102"/>
        <v>117.92508315055213</v>
      </c>
      <c r="AQ199" s="669">
        <v>26.48</v>
      </c>
      <c r="AR199" s="725">
        <v>100.9886493549549</v>
      </c>
      <c r="AS199" s="725">
        <v>16.936433795597218</v>
      </c>
      <c r="AT199" s="725">
        <v>0</v>
      </c>
      <c r="AU199" s="401">
        <v>0</v>
      </c>
      <c r="AV199" s="786"/>
      <c r="AW199" s="246"/>
      <c r="AX199" s="713">
        <f t="shared" si="103"/>
        <v>12.988185675193934</v>
      </c>
      <c r="AY199" s="714">
        <v>8.7266522775690074</v>
      </c>
      <c r="AZ199" s="715"/>
      <c r="BA199" s="716">
        <v>0</v>
      </c>
      <c r="BC199" s="712">
        <v>0</v>
      </c>
      <c r="BD199" s="712">
        <v>12.988185675193934</v>
      </c>
      <c r="BE199" s="712"/>
      <c r="BF199" s="712"/>
      <c r="BG199" s="712">
        <v>0</v>
      </c>
      <c r="BH199" s="712">
        <v>0</v>
      </c>
      <c r="BI199" s="134">
        <f t="shared" si="107"/>
        <v>12.988185675193934</v>
      </c>
      <c r="BJ199" s="123"/>
      <c r="BK199" s="792"/>
      <c r="BL199" s="104"/>
      <c r="BM199" s="672"/>
      <c r="BO199" s="562"/>
      <c r="BS199" s="879"/>
      <c r="BT199" s="774"/>
      <c r="BU199" s="774">
        <v>406.45313966662218</v>
      </c>
      <c r="BV199" s="774">
        <v>0</v>
      </c>
      <c r="BW199" s="774">
        <f t="shared" si="104"/>
        <v>406.45313966662218</v>
      </c>
    </row>
    <row r="200" spans="1:75" ht="15" thickBot="1" x14ac:dyDescent="0.35">
      <c r="A200" s="209" t="s">
        <v>336</v>
      </c>
      <c r="B200" s="227">
        <v>8</v>
      </c>
      <c r="C200" s="39">
        <f>'[3]побудинковий звіт'!E200</f>
        <v>5138.55</v>
      </c>
      <c r="D200" s="205">
        <f t="shared" si="79"/>
        <v>3844.0460175151729</v>
      </c>
      <c r="E200" s="104">
        <f t="shared" si="80"/>
        <v>845.69083009646317</v>
      </c>
      <c r="F200" s="104">
        <f t="shared" si="81"/>
        <v>238.47939781035299</v>
      </c>
      <c r="G200" s="104">
        <f t="shared" si="82"/>
        <v>0</v>
      </c>
      <c r="H200" s="104">
        <f t="shared" si="83"/>
        <v>3211.6031670432826</v>
      </c>
      <c r="I200" s="104">
        <f t="shared" si="84"/>
        <v>1047.6992301940654</v>
      </c>
      <c r="J200" s="672">
        <f t="shared" si="72"/>
        <v>0</v>
      </c>
      <c r="K200" s="139">
        <f t="shared" si="85"/>
        <v>9187.5186426593355</v>
      </c>
      <c r="L200" s="138">
        <f t="shared" si="73"/>
        <v>1825.0926966053344</v>
      </c>
      <c r="M200" s="104">
        <f t="shared" si="74"/>
        <v>401.51850338813188</v>
      </c>
      <c r="N200" s="29">
        <f t="shared" si="86"/>
        <v>84.533112425237817</v>
      </c>
      <c r="O200" s="104">
        <f t="shared" si="75"/>
        <v>9.2509799784907099</v>
      </c>
      <c r="P200" s="104">
        <f t="shared" si="87"/>
        <v>1524.8187607166492</v>
      </c>
      <c r="Q200" s="104">
        <f t="shared" si="88"/>
        <v>494.92840064846655</v>
      </c>
      <c r="R200" s="140">
        <f t="shared" si="89"/>
        <v>4340.1424537623107</v>
      </c>
      <c r="S200" s="138">
        <f t="shared" si="90"/>
        <v>134.64000000000001</v>
      </c>
      <c r="T200" s="104">
        <f t="shared" si="76"/>
        <v>17.32989605854242</v>
      </c>
      <c r="U200" s="139">
        <f t="shared" si="91"/>
        <v>151.96989605854245</v>
      </c>
      <c r="V200" s="104"/>
      <c r="W200" s="104">
        <f t="shared" si="92"/>
        <v>0</v>
      </c>
      <c r="X200" s="139">
        <f t="shared" si="93"/>
        <v>0</v>
      </c>
      <c r="Y200" s="138">
        <v>2872.63</v>
      </c>
      <c r="Z200" s="141">
        <v>0</v>
      </c>
      <c r="AA200" s="104">
        <f t="shared" si="77"/>
        <v>369.74435022764942</v>
      </c>
      <c r="AB200" s="139">
        <f t="shared" si="78"/>
        <v>3242.3743502276493</v>
      </c>
      <c r="AC200" s="138">
        <v>118.075</v>
      </c>
      <c r="AD200" s="104">
        <f t="shared" si="94"/>
        <v>15.197767952409361</v>
      </c>
      <c r="AE200" s="139">
        <f t="shared" si="95"/>
        <v>133.27276795240937</v>
      </c>
      <c r="AF200" s="142">
        <v>1711.6</v>
      </c>
      <c r="AG200" s="104">
        <f t="shared" si="96"/>
        <v>220.30488780303926</v>
      </c>
      <c r="AH200" s="139">
        <f t="shared" si="97"/>
        <v>1931.9048878030392</v>
      </c>
      <c r="AI200" s="142">
        <v>776.6</v>
      </c>
      <c r="AJ200" s="104">
        <f t="shared" si="98"/>
        <v>99.958387396494686</v>
      </c>
      <c r="AK200" s="139">
        <f t="shared" si="99"/>
        <v>876.55838739649471</v>
      </c>
      <c r="AL200" s="143"/>
      <c r="AM200" s="143"/>
      <c r="AN200" s="104">
        <f t="shared" si="100"/>
        <v>0</v>
      </c>
      <c r="AO200" s="148">
        <f t="shared" si="101"/>
        <v>0</v>
      </c>
      <c r="AP200" s="272">
        <f t="shared" si="102"/>
        <v>5233.3170385287367</v>
      </c>
      <c r="AQ200" s="669">
        <v>0</v>
      </c>
      <c r="AR200" s="726">
        <v>3547.6847095473122</v>
      </c>
      <c r="AS200" s="726">
        <v>1634.8980073838138</v>
      </c>
      <c r="AT200" s="726">
        <v>50.734321597610275</v>
      </c>
      <c r="AU200" s="401">
        <v>0</v>
      </c>
      <c r="AV200" s="786"/>
      <c r="AW200" s="246"/>
      <c r="AX200" s="713">
        <f t="shared" si="103"/>
        <v>238.47939781035299</v>
      </c>
      <c r="AY200" s="714">
        <v>84.533112425237817</v>
      </c>
      <c r="AZ200" s="715"/>
      <c r="BA200" s="716">
        <v>0</v>
      </c>
      <c r="BC200" s="712">
        <v>90</v>
      </c>
      <c r="BD200" s="712">
        <v>148.47939781035299</v>
      </c>
      <c r="BE200" s="712"/>
      <c r="BF200" s="712"/>
      <c r="BG200" s="712">
        <v>0</v>
      </c>
      <c r="BH200" s="712">
        <v>8.0546843201570617</v>
      </c>
      <c r="BI200" s="134">
        <f t="shared" si="107"/>
        <v>238.47939781035299</v>
      </c>
      <c r="BJ200" s="123">
        <v>612</v>
      </c>
      <c r="BK200" s="792"/>
      <c r="BL200" s="104"/>
      <c r="BM200" s="672"/>
      <c r="BO200" s="562"/>
      <c r="BS200" s="879"/>
      <c r="BT200" s="774"/>
      <c r="BU200" s="774">
        <v>3442.769164167868</v>
      </c>
      <c r="BV200" s="774">
        <v>0</v>
      </c>
      <c r="BW200" s="774">
        <f t="shared" si="104"/>
        <v>3442.769164167868</v>
      </c>
    </row>
    <row r="201" spans="1:75" ht="15" thickBot="1" x14ac:dyDescent="0.35">
      <c r="A201" s="209" t="s">
        <v>177</v>
      </c>
      <c r="B201" s="227">
        <v>2</v>
      </c>
      <c r="C201" s="39">
        <f>'[3]побудинковий звіт'!E201</f>
        <v>404.5</v>
      </c>
      <c r="D201" s="205">
        <f t="shared" si="79"/>
        <v>142.45967315278222</v>
      </c>
      <c r="E201" s="104">
        <f t="shared" si="80"/>
        <v>31.341154266858794</v>
      </c>
      <c r="F201" s="104">
        <f t="shared" si="81"/>
        <v>12.379746656982165</v>
      </c>
      <c r="G201" s="104">
        <f t="shared" si="82"/>
        <v>0</v>
      </c>
      <c r="H201" s="104">
        <f t="shared" si="83"/>
        <v>119.02145171747293</v>
      </c>
      <c r="I201" s="104">
        <f t="shared" si="84"/>
        <v>39.283417883751255</v>
      </c>
      <c r="J201" s="672">
        <f t="shared" ref="J201:J264" si="108">F201*$J$376*-1</f>
        <v>0</v>
      </c>
      <c r="K201" s="139">
        <f t="shared" si="85"/>
        <v>344.4854436778474</v>
      </c>
      <c r="L201" s="138">
        <f t="shared" ref="L201:L264" si="109">(AS201+AT201+AU201)*$AS$376</f>
        <v>18.293044004886511</v>
      </c>
      <c r="M201" s="104">
        <f t="shared" ref="M201:M264" si="110">L201*$AS$379</f>
        <v>4.0244507388128472</v>
      </c>
      <c r="N201" s="29">
        <f t="shared" si="86"/>
        <v>8.3178472391423988</v>
      </c>
      <c r="O201" s="104">
        <f t="shared" ref="O201:O264" si="111">$O$369/$C$368*C201</f>
        <v>0.7282251610472783</v>
      </c>
      <c r="P201" s="104">
        <f t="shared" si="87"/>
        <v>15.283375327263172</v>
      </c>
      <c r="Q201" s="104">
        <f t="shared" si="88"/>
        <v>6.0040601936562359</v>
      </c>
      <c r="R201" s="140">
        <f t="shared" si="89"/>
        <v>52.651002664808438</v>
      </c>
      <c r="S201" s="138">
        <f t="shared" si="90"/>
        <v>0</v>
      </c>
      <c r="T201" s="104">
        <f t="shared" ref="T201:T264" si="112">S201*$B$5</f>
        <v>0</v>
      </c>
      <c r="U201" s="139">
        <f t="shared" si="91"/>
        <v>0</v>
      </c>
      <c r="V201" s="104"/>
      <c r="W201" s="104">
        <f t="shared" si="92"/>
        <v>0</v>
      </c>
      <c r="X201" s="139">
        <f t="shared" si="93"/>
        <v>0</v>
      </c>
      <c r="Y201" s="138">
        <v>0</v>
      </c>
      <c r="Z201" s="141">
        <v>0</v>
      </c>
      <c r="AA201" s="104">
        <f t="shared" ref="AA201:AA264" si="113">(Y201+Z201)*$B$5</f>
        <v>0</v>
      </c>
      <c r="AB201" s="139">
        <f t="shared" ref="AB201:AB264" si="114">Y201+Z201+AA201</f>
        <v>0</v>
      </c>
      <c r="AC201" s="138">
        <v>0</v>
      </c>
      <c r="AD201" s="104">
        <f t="shared" si="94"/>
        <v>0</v>
      </c>
      <c r="AE201" s="139">
        <f t="shared" si="95"/>
        <v>0</v>
      </c>
      <c r="AF201" s="142">
        <v>26.4</v>
      </c>
      <c r="AG201" s="104">
        <f t="shared" si="96"/>
        <v>3.3980188350083176</v>
      </c>
      <c r="AH201" s="139">
        <f t="shared" si="97"/>
        <v>29.798018835008317</v>
      </c>
      <c r="AI201" s="142">
        <v>0</v>
      </c>
      <c r="AJ201" s="104">
        <f t="shared" si="98"/>
        <v>0</v>
      </c>
      <c r="AK201" s="139">
        <f t="shared" si="99"/>
        <v>0</v>
      </c>
      <c r="AL201" s="143"/>
      <c r="AM201" s="205"/>
      <c r="AN201" s="104">
        <f t="shared" si="100"/>
        <v>0</v>
      </c>
      <c r="AO201" s="148">
        <f t="shared" si="101"/>
        <v>0</v>
      </c>
      <c r="AP201" s="272">
        <f t="shared" si="102"/>
        <v>105.34179695742272</v>
      </c>
      <c r="AQ201" s="669">
        <v>43.03</v>
      </c>
      <c r="AR201" s="725">
        <v>88.44657490789605</v>
      </c>
      <c r="AS201" s="725">
        <v>16.895222049526666</v>
      </c>
      <c r="AT201" s="725">
        <v>0</v>
      </c>
      <c r="AU201" s="401">
        <v>0</v>
      </c>
      <c r="AV201" s="786"/>
      <c r="AW201" s="246"/>
      <c r="AX201" s="713">
        <f t="shared" si="103"/>
        <v>12.379746656982165</v>
      </c>
      <c r="AY201" s="714">
        <v>8.3178472391423988</v>
      </c>
      <c r="AZ201" s="715"/>
      <c r="BA201" s="716">
        <v>0</v>
      </c>
      <c r="BC201" s="712">
        <v>0</v>
      </c>
      <c r="BD201" s="712">
        <v>12.379746656982165</v>
      </c>
      <c r="BE201" s="712"/>
      <c r="BF201" s="712"/>
      <c r="BG201" s="712">
        <v>0</v>
      </c>
      <c r="BH201" s="712">
        <v>0</v>
      </c>
      <c r="BI201" s="134">
        <f t="shared" si="107"/>
        <v>12.379746656982165</v>
      </c>
      <c r="BJ201" s="123"/>
      <c r="BK201" s="792"/>
      <c r="BL201" s="104"/>
      <c r="BM201" s="672"/>
      <c r="BO201" s="562"/>
      <c r="BS201" s="879"/>
      <c r="BT201" s="774"/>
      <c r="BU201" s="774">
        <v>355.97579435264686</v>
      </c>
      <c r="BV201" s="774">
        <v>0</v>
      </c>
      <c r="BW201" s="774">
        <f t="shared" si="104"/>
        <v>355.97579435264686</v>
      </c>
    </row>
    <row r="202" spans="1:75" ht="15" thickBot="1" x14ac:dyDescent="0.35">
      <c r="A202" s="209" t="s">
        <v>376</v>
      </c>
      <c r="B202" s="227">
        <v>9</v>
      </c>
      <c r="C202" s="39">
        <f>'[3]побудинковий звіт'!E202</f>
        <v>7450.81</v>
      </c>
      <c r="D202" s="205">
        <f t="shared" ref="D202:D265" si="115">(AQ202+AR202+AV202)*$AR$376</f>
        <v>1278.7185536918894</v>
      </c>
      <c r="E202" s="104">
        <f t="shared" ref="E202:E265" si="116">D202*$AR$379</f>
        <v>281.31831674337502</v>
      </c>
      <c r="F202" s="104">
        <f t="shared" ref="F202:F265" si="117">AX202*$F$375+BM202+BK202</f>
        <v>219.98459218360654</v>
      </c>
      <c r="G202" s="104">
        <f t="shared" ref="G202:G265" si="118">BL202</f>
        <v>0</v>
      </c>
      <c r="H202" s="104">
        <f t="shared" ref="H202:H265" si="119">D202*$B$4</f>
        <v>1068.3369913059757</v>
      </c>
      <c r="I202" s="104">
        <f t="shared" ref="I202:I265" si="120">(D202+E202+F202+G202+H202)*$B$5</f>
        <v>366.62029073075001</v>
      </c>
      <c r="J202" s="672">
        <f t="shared" si="108"/>
        <v>0</v>
      </c>
      <c r="K202" s="139">
        <f t="shared" ref="K202:K265" si="121">D202+E202+F202+G202+H202+I202-J202</f>
        <v>3214.978744655597</v>
      </c>
      <c r="L202" s="138">
        <f t="shared" si="109"/>
        <v>644.60608221937844</v>
      </c>
      <c r="M202" s="104">
        <f t="shared" si="110"/>
        <v>141.81267060517996</v>
      </c>
      <c r="N202" s="29">
        <f t="shared" ref="N202:N265" si="122">AY202+BA202</f>
        <v>122.55361186658479</v>
      </c>
      <c r="O202" s="104">
        <f t="shared" si="111"/>
        <v>13.413763441737137</v>
      </c>
      <c r="P202" s="104">
        <f t="shared" ref="P202:P265" si="123">L202*$B$4</f>
        <v>538.55206876251896</v>
      </c>
      <c r="Q202" s="104">
        <f t="shared" ref="Q202:Q265" si="124">(L202+M202+N202+O202+P202)*$B$5</f>
        <v>188.04149658460824</v>
      </c>
      <c r="R202" s="140">
        <f t="shared" ref="R202:R265" si="125">SUM(L202:Q202)</f>
        <v>1648.9796934800077</v>
      </c>
      <c r="S202" s="138">
        <f t="shared" ref="S202:S265" si="126">BJ202*2.64/12</f>
        <v>171.24800000000002</v>
      </c>
      <c r="T202" s="104">
        <f t="shared" si="112"/>
        <v>22.041815509753956</v>
      </c>
      <c r="U202" s="139">
        <f t="shared" ref="U202:U265" si="127">S202+T202</f>
        <v>193.28981550975396</v>
      </c>
      <c r="V202" s="104"/>
      <c r="W202" s="104">
        <f t="shared" ref="W202:W265" si="128">V202*$B$5</f>
        <v>0</v>
      </c>
      <c r="X202" s="139">
        <f t="shared" ref="X202:X265" si="129">V202+W202</f>
        <v>0</v>
      </c>
      <c r="Y202" s="138">
        <v>6335.03</v>
      </c>
      <c r="Z202" s="141">
        <v>0</v>
      </c>
      <c r="AA202" s="104">
        <f t="shared" si="113"/>
        <v>815.3996689523766</v>
      </c>
      <c r="AB202" s="139">
        <f t="shared" si="114"/>
        <v>7150.4296689523762</v>
      </c>
      <c r="AC202" s="138">
        <v>0</v>
      </c>
      <c r="AD202" s="104">
        <f t="shared" ref="AD202:AD265" si="130">AC202*$B$5</f>
        <v>0</v>
      </c>
      <c r="AE202" s="139">
        <f t="shared" ref="AE202:AE265" si="131">AC202+AD202</f>
        <v>0</v>
      </c>
      <c r="AF202" s="142">
        <v>1091.2</v>
      </c>
      <c r="AG202" s="104">
        <f t="shared" ref="AG202:AG265" si="132">AF202*$B$5</f>
        <v>140.4514451803438</v>
      </c>
      <c r="AH202" s="139">
        <f t="shared" ref="AH202:AH265" si="133">AF202+AG202</f>
        <v>1231.6514451803439</v>
      </c>
      <c r="AI202" s="142">
        <v>1555.4</v>
      </c>
      <c r="AJ202" s="104">
        <f t="shared" ref="AJ202:AJ265" si="134">AI202*$B$5</f>
        <v>200.19994302924007</v>
      </c>
      <c r="AK202" s="139">
        <f t="shared" ref="AK202:AK265" si="135">AI202+AJ202</f>
        <v>1755.5999430292402</v>
      </c>
      <c r="AL202" s="143"/>
      <c r="AM202" s="143"/>
      <c r="AN202" s="104">
        <f t="shared" ref="AN202:AN265" si="136">AL202*$C$5</f>
        <v>0</v>
      </c>
      <c r="AO202" s="148">
        <f t="shared" ref="AO202:AO265" si="137">AL202+AM202+AN202</f>
        <v>0</v>
      </c>
      <c r="AP202" s="272">
        <f t="shared" ref="AP202:AP265" si="138">AR202+AS202+AT202</f>
        <v>1775.4841764549501</v>
      </c>
      <c r="AQ202" s="669">
        <v>0</v>
      </c>
      <c r="AR202" s="726">
        <v>1180.1342231796693</v>
      </c>
      <c r="AS202" s="726">
        <v>578.22092169001428</v>
      </c>
      <c r="AT202" s="726">
        <v>17.12903158526662</v>
      </c>
      <c r="AU202" s="401">
        <v>0</v>
      </c>
      <c r="AV202" s="786"/>
      <c r="AW202" s="246"/>
      <c r="AX202" s="713">
        <f t="shared" ref="AX202:AX265" si="139">BC202+BD202+BE202+BF202+BG202</f>
        <v>219.98459218360654</v>
      </c>
      <c r="AY202" s="714">
        <v>122.55361186658479</v>
      </c>
      <c r="AZ202" s="715"/>
      <c r="BA202" s="716">
        <v>0</v>
      </c>
      <c r="BC202" s="712">
        <v>0</v>
      </c>
      <c r="BD202" s="712">
        <v>219.98459218360654</v>
      </c>
      <c r="BE202" s="712"/>
      <c r="BF202" s="712"/>
      <c r="BG202" s="712">
        <v>0</v>
      </c>
      <c r="BH202" s="712">
        <v>16.40098642468935</v>
      </c>
      <c r="BI202" s="134">
        <f t="shared" si="107"/>
        <v>219.98459218360654</v>
      </c>
      <c r="BJ202" s="123">
        <v>778.4</v>
      </c>
      <c r="BK202" s="792"/>
      <c r="BL202" s="104"/>
      <c r="BM202" s="672"/>
      <c r="BO202" s="562"/>
      <c r="BS202" s="879"/>
      <c r="BT202" s="774"/>
      <c r="BU202" s="774">
        <v>1099.9418101600054</v>
      </c>
      <c r="BV202" s="774">
        <v>0</v>
      </c>
      <c r="BW202" s="774">
        <f t="shared" ref="BW202:BW265" si="140">BU202+BV202</f>
        <v>1099.9418101600054</v>
      </c>
    </row>
    <row r="203" spans="1:75" ht="15" thickBot="1" x14ac:dyDescent="0.35">
      <c r="A203" s="209" t="s">
        <v>337</v>
      </c>
      <c r="B203" s="227">
        <v>8</v>
      </c>
      <c r="C203" s="39">
        <f>'[3]побудинковий звіт'!E203</f>
        <v>6120.05</v>
      </c>
      <c r="D203" s="205">
        <f t="shared" si="115"/>
        <v>3620.884315228071</v>
      </c>
      <c r="E203" s="104">
        <f t="shared" si="116"/>
        <v>796.5952145931625</v>
      </c>
      <c r="F203" s="104">
        <f t="shared" si="117"/>
        <v>173.71087972398738</v>
      </c>
      <c r="G203" s="104">
        <f t="shared" si="118"/>
        <v>0</v>
      </c>
      <c r="H203" s="104">
        <f t="shared" si="119"/>
        <v>3025.1572122960206</v>
      </c>
      <c r="I203" s="104">
        <f t="shared" si="120"/>
        <v>980.32169215861165</v>
      </c>
      <c r="J203" s="672">
        <f t="shared" si="108"/>
        <v>0</v>
      </c>
      <c r="K203" s="139">
        <f t="shared" si="121"/>
        <v>8596.6693139998533</v>
      </c>
      <c r="L203" s="138">
        <f t="shared" si="109"/>
        <v>2546.0537036741421</v>
      </c>
      <c r="M203" s="104">
        <f t="shared" si="110"/>
        <v>560.12917839543331</v>
      </c>
      <c r="N203" s="29">
        <f t="shared" si="122"/>
        <v>100.63606693359702</v>
      </c>
      <c r="O203" s="104">
        <f t="shared" si="111"/>
        <v>11.017983675815564</v>
      </c>
      <c r="P203" s="104">
        <f t="shared" si="123"/>
        <v>2127.1634368903283</v>
      </c>
      <c r="Q203" s="104">
        <f t="shared" si="124"/>
        <v>687.97014882283929</v>
      </c>
      <c r="R203" s="140">
        <f t="shared" si="125"/>
        <v>6032.970518392156</v>
      </c>
      <c r="S203" s="138">
        <f t="shared" si="126"/>
        <v>136.22400000000002</v>
      </c>
      <c r="T203" s="104">
        <f t="shared" si="112"/>
        <v>17.533777188642922</v>
      </c>
      <c r="U203" s="139">
        <f t="shared" si="127"/>
        <v>153.75777718864293</v>
      </c>
      <c r="V203" s="104"/>
      <c r="W203" s="104">
        <f t="shared" si="128"/>
        <v>0</v>
      </c>
      <c r="X203" s="139">
        <f t="shared" si="129"/>
        <v>0</v>
      </c>
      <c r="Y203" s="138">
        <v>4015.82</v>
      </c>
      <c r="Z203" s="141">
        <v>0</v>
      </c>
      <c r="AA203" s="104">
        <f t="shared" si="113"/>
        <v>516.88757568193569</v>
      </c>
      <c r="AB203" s="139">
        <f t="shared" si="114"/>
        <v>4532.7075756819359</v>
      </c>
      <c r="AC203" s="138">
        <v>0</v>
      </c>
      <c r="AD203" s="104">
        <f t="shared" si="130"/>
        <v>0</v>
      </c>
      <c r="AE203" s="139">
        <f t="shared" si="131"/>
        <v>0</v>
      </c>
      <c r="AF203" s="142">
        <v>1775.4</v>
      </c>
      <c r="AG203" s="104">
        <f t="shared" si="132"/>
        <v>228.51676665430938</v>
      </c>
      <c r="AH203" s="139">
        <f t="shared" si="133"/>
        <v>2003.9167666543094</v>
      </c>
      <c r="AI203" s="142">
        <v>882.2</v>
      </c>
      <c r="AJ203" s="104">
        <f t="shared" si="134"/>
        <v>113.55046273652796</v>
      </c>
      <c r="AK203" s="139">
        <f t="shared" si="135"/>
        <v>995.75046273652799</v>
      </c>
      <c r="AL203" s="143"/>
      <c r="AM203" s="143"/>
      <c r="AN203" s="104">
        <f t="shared" si="136"/>
        <v>0</v>
      </c>
      <c r="AO203" s="148">
        <f t="shared" si="137"/>
        <v>0</v>
      </c>
      <c r="AP203" s="272">
        <f t="shared" si="138"/>
        <v>5693.2306412657899</v>
      </c>
      <c r="AQ203" s="669">
        <v>0</v>
      </c>
      <c r="AR203" s="726">
        <v>3341.7279245990749</v>
      </c>
      <c r="AS203" s="726">
        <v>2292.9990647724489</v>
      </c>
      <c r="AT203" s="726">
        <v>58.503651894266326</v>
      </c>
      <c r="AU203" s="401">
        <v>0</v>
      </c>
      <c r="AV203" s="786"/>
      <c r="AW203" s="246"/>
      <c r="AX203" s="713">
        <f t="shared" si="139"/>
        <v>173.71087972398738</v>
      </c>
      <c r="AY203" s="714">
        <v>100.63606693359702</v>
      </c>
      <c r="AZ203" s="715"/>
      <c r="BA203" s="716">
        <v>0</v>
      </c>
      <c r="BC203" s="712">
        <v>0</v>
      </c>
      <c r="BD203" s="712">
        <v>173.71087972398738</v>
      </c>
      <c r="BE203" s="712"/>
      <c r="BF203" s="712"/>
      <c r="BG203" s="712">
        <v>0</v>
      </c>
      <c r="BH203" s="712">
        <v>6.536260684272273</v>
      </c>
      <c r="BI203" s="134">
        <f t="shared" si="107"/>
        <v>173.71087972398738</v>
      </c>
      <c r="BJ203" s="123">
        <v>619.20000000000005</v>
      </c>
      <c r="BK203" s="792"/>
      <c r="BL203" s="104"/>
      <c r="BM203" s="672"/>
      <c r="BO203" s="562"/>
      <c r="BS203" s="879"/>
      <c r="BT203" s="774"/>
      <c r="BU203" s="774">
        <v>3235.8750466962538</v>
      </c>
      <c r="BV203" s="774">
        <v>0</v>
      </c>
      <c r="BW203" s="774">
        <f t="shared" si="140"/>
        <v>3235.8750466962538</v>
      </c>
    </row>
    <row r="204" spans="1:75" ht="15" thickBot="1" x14ac:dyDescent="0.35">
      <c r="A204" s="209" t="s">
        <v>377</v>
      </c>
      <c r="B204" s="227">
        <v>9</v>
      </c>
      <c r="C204" s="39">
        <f>'[3]побудинковий звіт'!E204</f>
        <v>2163.8200000000002</v>
      </c>
      <c r="D204" s="205">
        <f t="shared" si="115"/>
        <v>400.33749258012745</v>
      </c>
      <c r="E204" s="104">
        <f t="shared" si="116"/>
        <v>88.07432191919338</v>
      </c>
      <c r="F204" s="104">
        <f t="shared" si="117"/>
        <v>153.65194466648632</v>
      </c>
      <c r="G204" s="104">
        <f t="shared" si="118"/>
        <v>0</v>
      </c>
      <c r="H204" s="104">
        <f t="shared" si="119"/>
        <v>334.47184378079027</v>
      </c>
      <c r="I204" s="104">
        <f t="shared" si="120"/>
        <v>125.69266560108872</v>
      </c>
      <c r="J204" s="672">
        <f t="shared" si="108"/>
        <v>0</v>
      </c>
      <c r="K204" s="139">
        <f t="shared" si="121"/>
        <v>1102.2282685476862</v>
      </c>
      <c r="L204" s="138">
        <f t="shared" si="109"/>
        <v>202.19277144162891</v>
      </c>
      <c r="M204" s="104">
        <f t="shared" si="110"/>
        <v>44.482200348587035</v>
      </c>
      <c r="N204" s="29">
        <f t="shared" si="122"/>
        <v>412.40538509814411</v>
      </c>
      <c r="O204" s="104">
        <f t="shared" si="111"/>
        <v>3.8955455327004249</v>
      </c>
      <c r="P204" s="104">
        <f t="shared" si="123"/>
        <v>168.92694368288241</v>
      </c>
      <c r="Q204" s="104">
        <f t="shared" si="124"/>
        <v>107.07657348326606</v>
      </c>
      <c r="R204" s="140">
        <f t="shared" si="125"/>
        <v>938.97941958720901</v>
      </c>
      <c r="S204" s="138">
        <f t="shared" si="126"/>
        <v>58.410000000000004</v>
      </c>
      <c r="T204" s="104">
        <f t="shared" si="112"/>
        <v>7.5181166724559034</v>
      </c>
      <c r="U204" s="139">
        <f t="shared" si="127"/>
        <v>65.9281166724559</v>
      </c>
      <c r="V204" s="104"/>
      <c r="W204" s="104">
        <f t="shared" si="128"/>
        <v>0</v>
      </c>
      <c r="X204" s="139">
        <f t="shared" si="129"/>
        <v>0</v>
      </c>
      <c r="Y204" s="138">
        <v>1289.75</v>
      </c>
      <c r="Z204" s="141">
        <v>0</v>
      </c>
      <c r="AA204" s="104">
        <f t="shared" si="113"/>
        <v>166.00737850196884</v>
      </c>
      <c r="AB204" s="139">
        <f t="shared" si="114"/>
        <v>1455.7573785019688</v>
      </c>
      <c r="AC204" s="138">
        <v>118.075</v>
      </c>
      <c r="AD204" s="104">
        <f t="shared" si="130"/>
        <v>15.197767952409361</v>
      </c>
      <c r="AE204" s="139">
        <f t="shared" si="131"/>
        <v>133.27276795240937</v>
      </c>
      <c r="AF204" s="142">
        <v>748</v>
      </c>
      <c r="AG204" s="104">
        <f t="shared" si="132"/>
        <v>96.277200325235668</v>
      </c>
      <c r="AH204" s="139">
        <f t="shared" si="133"/>
        <v>844.27720032523564</v>
      </c>
      <c r="AI204" s="142">
        <v>391.6</v>
      </c>
      <c r="AJ204" s="104">
        <f t="shared" si="134"/>
        <v>50.403946052623382</v>
      </c>
      <c r="AK204" s="139">
        <f t="shared" si="135"/>
        <v>442.00394605262341</v>
      </c>
      <c r="AL204" s="143"/>
      <c r="AM204" s="143"/>
      <c r="AN204" s="104">
        <f t="shared" si="136"/>
        <v>0</v>
      </c>
      <c r="AO204" s="148">
        <f t="shared" si="137"/>
        <v>0</v>
      </c>
      <c r="AP204" s="272">
        <f t="shared" si="138"/>
        <v>556.21566059009342</v>
      </c>
      <c r="AQ204" s="669">
        <v>0</v>
      </c>
      <c r="AR204" s="726">
        <v>369.47299658059381</v>
      </c>
      <c r="AS204" s="726">
        <v>180.97117817304249</v>
      </c>
      <c r="AT204" s="726">
        <v>5.7714858364571944</v>
      </c>
      <c r="AU204" s="401">
        <v>0</v>
      </c>
      <c r="AV204" s="786"/>
      <c r="AW204" s="246"/>
      <c r="AX204" s="713">
        <f t="shared" si="139"/>
        <v>153.65194466648632</v>
      </c>
      <c r="AY204" s="714">
        <v>185.6053850981441</v>
      </c>
      <c r="AZ204" s="715"/>
      <c r="BA204" s="716">
        <v>226.8</v>
      </c>
      <c r="BC204" s="712">
        <v>90</v>
      </c>
      <c r="BD204" s="712">
        <v>63.651944666486308</v>
      </c>
      <c r="BE204" s="712"/>
      <c r="BF204" s="712"/>
      <c r="BG204" s="712">
        <v>0</v>
      </c>
      <c r="BH204" s="712">
        <v>4.5049919793138127</v>
      </c>
      <c r="BI204" s="134">
        <f t="shared" si="107"/>
        <v>153.65194466648632</v>
      </c>
      <c r="BJ204" s="123">
        <v>265.5</v>
      </c>
      <c r="BK204" s="792"/>
      <c r="BL204" s="104"/>
      <c r="BM204" s="672"/>
      <c r="BO204" s="562"/>
      <c r="BS204" s="879"/>
      <c r="BT204" s="774"/>
      <c r="BU204" s="774">
        <v>344.37406197725272</v>
      </c>
      <c r="BV204" s="774">
        <v>0</v>
      </c>
      <c r="BW204" s="774">
        <f t="shared" si="140"/>
        <v>344.37406197725272</v>
      </c>
    </row>
    <row r="205" spans="1:75" ht="15" thickBot="1" x14ac:dyDescent="0.35">
      <c r="A205" s="209" t="s">
        <v>378</v>
      </c>
      <c r="B205" s="227">
        <v>9</v>
      </c>
      <c r="C205" s="39">
        <f>'[3]побудинковий звіт'!E205</f>
        <v>4314</v>
      </c>
      <c r="D205" s="205">
        <f t="shared" si="115"/>
        <v>3213.2227134915352</v>
      </c>
      <c r="E205" s="104">
        <f t="shared" si="116"/>
        <v>706.90958731394539</v>
      </c>
      <c r="F205" s="104">
        <f t="shared" si="117"/>
        <v>124.07018800100917</v>
      </c>
      <c r="G205" s="104">
        <f t="shared" si="118"/>
        <v>0</v>
      </c>
      <c r="H205" s="104">
        <f t="shared" si="119"/>
        <v>2684.5662606649821</v>
      </c>
      <c r="I205" s="104">
        <f t="shared" si="120"/>
        <v>866.0788995120995</v>
      </c>
      <c r="J205" s="672">
        <f t="shared" si="108"/>
        <v>0</v>
      </c>
      <c r="K205" s="139">
        <f t="shared" si="121"/>
        <v>7594.8476489835712</v>
      </c>
      <c r="L205" s="138">
        <f t="shared" si="109"/>
        <v>1676.7873483496842</v>
      </c>
      <c r="M205" s="104">
        <f t="shared" si="110"/>
        <v>368.89148034057808</v>
      </c>
      <c r="N205" s="29">
        <f t="shared" si="122"/>
        <v>70.934879266483961</v>
      </c>
      <c r="O205" s="104">
        <f t="shared" si="111"/>
        <v>7.7665348448898852</v>
      </c>
      <c r="P205" s="104">
        <f t="shared" si="123"/>
        <v>1400.9133953861929</v>
      </c>
      <c r="Q205" s="104">
        <f t="shared" si="124"/>
        <v>453.75053717792576</v>
      </c>
      <c r="R205" s="140">
        <f t="shared" si="125"/>
        <v>3979.0441753657547</v>
      </c>
      <c r="S205" s="138">
        <f t="shared" si="126"/>
        <v>108.89999999999999</v>
      </c>
      <c r="T205" s="104">
        <f t="shared" si="112"/>
        <v>14.01682769440931</v>
      </c>
      <c r="U205" s="139">
        <f t="shared" si="127"/>
        <v>122.91682769440931</v>
      </c>
      <c r="V205" s="104"/>
      <c r="W205" s="104">
        <f t="shared" si="128"/>
        <v>0</v>
      </c>
      <c r="X205" s="139">
        <f t="shared" si="129"/>
        <v>0</v>
      </c>
      <c r="Y205" s="138">
        <v>2755.38</v>
      </c>
      <c r="Z205" s="141">
        <v>0</v>
      </c>
      <c r="AA205" s="104">
        <f t="shared" si="113"/>
        <v>354.65277036383407</v>
      </c>
      <c r="AB205" s="139">
        <f t="shared" si="114"/>
        <v>3110.0327703638341</v>
      </c>
      <c r="AC205" s="138">
        <v>236.15</v>
      </c>
      <c r="AD205" s="104">
        <f t="shared" si="130"/>
        <v>30.395535904818722</v>
      </c>
      <c r="AE205" s="139">
        <f t="shared" si="131"/>
        <v>266.54553590481873</v>
      </c>
      <c r="AF205" s="142">
        <v>1491.6</v>
      </c>
      <c r="AG205" s="104">
        <f t="shared" si="132"/>
        <v>191.98806417796993</v>
      </c>
      <c r="AH205" s="139">
        <f t="shared" si="133"/>
        <v>1683.58806417797</v>
      </c>
      <c r="AI205" s="142">
        <v>781</v>
      </c>
      <c r="AJ205" s="104">
        <f t="shared" si="134"/>
        <v>100.52472386899606</v>
      </c>
      <c r="AK205" s="139">
        <f t="shared" si="135"/>
        <v>881.52472386899603</v>
      </c>
      <c r="AL205" s="143"/>
      <c r="AM205" s="143"/>
      <c r="AN205" s="104">
        <f t="shared" si="136"/>
        <v>0</v>
      </c>
      <c r="AO205" s="148">
        <f t="shared" si="137"/>
        <v>0</v>
      </c>
      <c r="AP205" s="272">
        <f t="shared" si="138"/>
        <v>4514.1548812834271</v>
      </c>
      <c r="AQ205" s="669">
        <v>0</v>
      </c>
      <c r="AR205" s="726">
        <v>2965.4954797842893</v>
      </c>
      <c r="AS205" s="726">
        <v>1502.5558225634541</v>
      </c>
      <c r="AT205" s="726">
        <v>46.103578935683913</v>
      </c>
      <c r="AU205" s="401">
        <v>0</v>
      </c>
      <c r="AV205" s="786"/>
      <c r="AW205" s="246"/>
      <c r="AX205" s="713">
        <f t="shared" si="139"/>
        <v>124.07018800100917</v>
      </c>
      <c r="AY205" s="714">
        <v>70.934879266483961</v>
      </c>
      <c r="AZ205" s="715"/>
      <c r="BA205" s="716">
        <v>0</v>
      </c>
      <c r="BC205" s="712">
        <v>0</v>
      </c>
      <c r="BD205" s="712">
        <v>124.07018800100917</v>
      </c>
      <c r="BE205" s="712"/>
      <c r="BF205" s="712"/>
      <c r="BG205" s="712">
        <v>0</v>
      </c>
      <c r="BH205" s="712">
        <v>6.2345871142289369</v>
      </c>
      <c r="BI205" s="134">
        <f t="shared" si="107"/>
        <v>124.07018800100917</v>
      </c>
      <c r="BJ205" s="123">
        <v>495</v>
      </c>
      <c r="BK205" s="792"/>
      <c r="BL205" s="104"/>
      <c r="BM205" s="672"/>
      <c r="BO205" s="562"/>
      <c r="BS205" s="879"/>
      <c r="BT205" s="774"/>
      <c r="BU205" s="774">
        <v>2484.8376106768178</v>
      </c>
      <c r="BV205" s="774">
        <v>0</v>
      </c>
      <c r="BW205" s="774">
        <f t="shared" si="140"/>
        <v>2484.8376106768178</v>
      </c>
    </row>
    <row r="206" spans="1:75" ht="15" thickBot="1" x14ac:dyDescent="0.35">
      <c r="A206" s="209" t="s">
        <v>379</v>
      </c>
      <c r="B206" s="227">
        <v>9</v>
      </c>
      <c r="C206" s="39">
        <f>'[3]побудинковий звіт'!E206</f>
        <v>2140.7399999999998</v>
      </c>
      <c r="D206" s="205">
        <f t="shared" si="115"/>
        <v>1780.9039766487469</v>
      </c>
      <c r="E206" s="104">
        <f t="shared" si="116"/>
        <v>391.799202057348</v>
      </c>
      <c r="F206" s="104">
        <f t="shared" si="117"/>
        <v>66.070782771613025</v>
      </c>
      <c r="G206" s="104">
        <f t="shared" si="118"/>
        <v>0</v>
      </c>
      <c r="H206" s="104">
        <f t="shared" si="119"/>
        <v>1487.9002034690175</v>
      </c>
      <c r="I206" s="104">
        <f t="shared" si="120"/>
        <v>479.67079562226769</v>
      </c>
      <c r="J206" s="672">
        <f t="shared" si="108"/>
        <v>0</v>
      </c>
      <c r="K206" s="139">
        <f t="shared" si="121"/>
        <v>4206.344960568993</v>
      </c>
      <c r="L206" s="138">
        <f t="shared" si="109"/>
        <v>1169.413395380257</v>
      </c>
      <c r="M206" s="104">
        <f t="shared" si="110"/>
        <v>257.26973606790455</v>
      </c>
      <c r="N206" s="29">
        <f t="shared" si="122"/>
        <v>35.209141271667214</v>
      </c>
      <c r="O206" s="104">
        <f t="shared" si="111"/>
        <v>3.8539943912493211</v>
      </c>
      <c r="P206" s="104">
        <f t="shared" si="123"/>
        <v>977.01529770285788</v>
      </c>
      <c r="Q206" s="104">
        <f t="shared" si="124"/>
        <v>314.41476540424793</v>
      </c>
      <c r="R206" s="140">
        <f t="shared" si="125"/>
        <v>2757.1763302181839</v>
      </c>
      <c r="S206" s="138">
        <f t="shared" si="126"/>
        <v>53.548000000000002</v>
      </c>
      <c r="T206" s="104">
        <f t="shared" si="112"/>
        <v>6.8923148703418713</v>
      </c>
      <c r="U206" s="139">
        <f t="shared" si="127"/>
        <v>60.440314870341872</v>
      </c>
      <c r="V206" s="104"/>
      <c r="W206" s="104">
        <f t="shared" si="128"/>
        <v>0</v>
      </c>
      <c r="X206" s="139">
        <f t="shared" si="129"/>
        <v>0</v>
      </c>
      <c r="Y206" s="138">
        <v>1465.63</v>
      </c>
      <c r="Z206" s="141">
        <v>0</v>
      </c>
      <c r="AA206" s="104">
        <f t="shared" si="113"/>
        <v>188.64539186186519</v>
      </c>
      <c r="AB206" s="139">
        <f t="shared" si="114"/>
        <v>1654.2753918618653</v>
      </c>
      <c r="AC206" s="138">
        <v>118.075</v>
      </c>
      <c r="AD206" s="104">
        <f t="shared" si="130"/>
        <v>15.197767952409361</v>
      </c>
      <c r="AE206" s="139">
        <f t="shared" si="131"/>
        <v>133.27276795240937</v>
      </c>
      <c r="AF206" s="142">
        <v>741.4</v>
      </c>
      <c r="AG206" s="104">
        <f t="shared" si="132"/>
        <v>95.427695616483589</v>
      </c>
      <c r="AH206" s="139">
        <f t="shared" si="133"/>
        <v>836.82769561648354</v>
      </c>
      <c r="AI206" s="142">
        <v>389.4</v>
      </c>
      <c r="AJ206" s="104">
        <f t="shared" si="134"/>
        <v>50.12077781637268</v>
      </c>
      <c r="AK206" s="139">
        <f t="shared" si="135"/>
        <v>439.52077781637263</v>
      </c>
      <c r="AL206" s="143"/>
      <c r="AM206" s="143"/>
      <c r="AN206" s="104">
        <f t="shared" si="136"/>
        <v>0</v>
      </c>
      <c r="AO206" s="148">
        <f t="shared" si="137"/>
        <v>0</v>
      </c>
      <c r="AP206" s="272">
        <f t="shared" si="138"/>
        <v>2418.1427488033701</v>
      </c>
      <c r="AQ206" s="669">
        <v>0</v>
      </c>
      <c r="AR206" s="726">
        <v>1643.603062591023</v>
      </c>
      <c r="AS206" s="726">
        <v>751.69512108798153</v>
      </c>
      <c r="AT206" s="726">
        <v>22.844565124365428</v>
      </c>
      <c r="AU206" s="401">
        <v>305.51560569875647</v>
      </c>
      <c r="AV206" s="786"/>
      <c r="AW206" s="246"/>
      <c r="AX206" s="713">
        <f t="shared" si="139"/>
        <v>66.070782771613025</v>
      </c>
      <c r="AY206" s="714">
        <v>35.209141271667214</v>
      </c>
      <c r="AZ206" s="715"/>
      <c r="BA206" s="716">
        <v>0</v>
      </c>
      <c r="BC206" s="712">
        <v>0</v>
      </c>
      <c r="BD206" s="712">
        <v>66.070782771613025</v>
      </c>
      <c r="BE206" s="712"/>
      <c r="BF206" s="712"/>
      <c r="BG206" s="712">
        <v>0</v>
      </c>
      <c r="BH206" s="712">
        <v>7.5820623937558365</v>
      </c>
      <c r="BI206" s="134">
        <f t="shared" si="107"/>
        <v>66.070782771613025</v>
      </c>
      <c r="BJ206" s="123">
        <v>243.4</v>
      </c>
      <c r="BK206" s="792"/>
      <c r="BL206" s="104"/>
      <c r="BM206" s="672"/>
      <c r="BO206" s="562"/>
      <c r="BS206" s="879"/>
      <c r="BT206" s="774"/>
      <c r="BU206" s="774">
        <v>1377.2079107945228</v>
      </c>
      <c r="BV206" s="774">
        <v>0</v>
      </c>
      <c r="BW206" s="774">
        <f t="shared" si="140"/>
        <v>1377.2079107945228</v>
      </c>
    </row>
    <row r="207" spans="1:75" ht="15" thickBot="1" x14ac:dyDescent="0.35">
      <c r="A207" s="209" t="s">
        <v>178</v>
      </c>
      <c r="B207" s="227">
        <v>2</v>
      </c>
      <c r="C207" s="39">
        <f>'[3]побудинковий звіт'!E207</f>
        <v>657.8</v>
      </c>
      <c r="D207" s="205">
        <f t="shared" si="115"/>
        <v>122.29755436772574</v>
      </c>
      <c r="E207" s="104">
        <f t="shared" si="116"/>
        <v>26.905484429883277</v>
      </c>
      <c r="F207" s="104">
        <f t="shared" si="117"/>
        <v>21.692838362876874</v>
      </c>
      <c r="G207" s="104">
        <f t="shared" si="118"/>
        <v>0</v>
      </c>
      <c r="H207" s="104">
        <f t="shared" si="119"/>
        <v>102.17651171172164</v>
      </c>
      <c r="I207" s="104">
        <f t="shared" si="120"/>
        <v>35.147921238957458</v>
      </c>
      <c r="J207" s="672">
        <f t="shared" si="108"/>
        <v>0</v>
      </c>
      <c r="K207" s="139">
        <f t="shared" si="121"/>
        <v>308.22031011116496</v>
      </c>
      <c r="L207" s="138">
        <f t="shared" si="109"/>
        <v>62.861168290533755</v>
      </c>
      <c r="M207" s="104">
        <f t="shared" si="110"/>
        <v>13.82939193181298</v>
      </c>
      <c r="N207" s="29">
        <f t="shared" si="122"/>
        <v>14.575234912747669</v>
      </c>
      <c r="O207" s="104">
        <f t="shared" si="111"/>
        <v>1.1842435375448692</v>
      </c>
      <c r="P207" s="104">
        <f t="shared" si="123"/>
        <v>52.518915290306381</v>
      </c>
      <c r="Q207" s="104">
        <f t="shared" si="124"/>
        <v>18.659365002179658</v>
      </c>
      <c r="R207" s="140">
        <f t="shared" si="125"/>
        <v>163.62831896512532</v>
      </c>
      <c r="S207" s="138">
        <f t="shared" si="126"/>
        <v>44.88</v>
      </c>
      <c r="T207" s="104">
        <f t="shared" si="112"/>
        <v>5.7766320195141407</v>
      </c>
      <c r="U207" s="139">
        <f t="shared" si="127"/>
        <v>50.656632019514142</v>
      </c>
      <c r="V207" s="104"/>
      <c r="W207" s="104">
        <f t="shared" si="128"/>
        <v>0</v>
      </c>
      <c r="X207" s="139">
        <f t="shared" si="129"/>
        <v>0</v>
      </c>
      <c r="Y207" s="138">
        <v>0</v>
      </c>
      <c r="Z207" s="141">
        <v>0</v>
      </c>
      <c r="AA207" s="104">
        <f t="shared" si="113"/>
        <v>0</v>
      </c>
      <c r="AB207" s="139">
        <f t="shared" si="114"/>
        <v>0</v>
      </c>
      <c r="AC207" s="138">
        <v>0</v>
      </c>
      <c r="AD207" s="104">
        <f t="shared" si="130"/>
        <v>0</v>
      </c>
      <c r="AE207" s="139">
        <f t="shared" si="131"/>
        <v>0</v>
      </c>
      <c r="AF207" s="142">
        <v>275</v>
      </c>
      <c r="AG207" s="104">
        <f t="shared" si="132"/>
        <v>35.396029531336644</v>
      </c>
      <c r="AH207" s="139">
        <f t="shared" si="133"/>
        <v>310.39602953133664</v>
      </c>
      <c r="AI207" s="142">
        <v>0</v>
      </c>
      <c r="AJ207" s="104">
        <f t="shared" si="134"/>
        <v>0</v>
      </c>
      <c r="AK207" s="139">
        <f t="shared" si="135"/>
        <v>0</v>
      </c>
      <c r="AL207" s="143"/>
      <c r="AM207" s="143"/>
      <c r="AN207" s="104">
        <f t="shared" si="136"/>
        <v>0</v>
      </c>
      <c r="AO207" s="148">
        <f t="shared" si="137"/>
        <v>0</v>
      </c>
      <c r="AP207" s="272">
        <f t="shared" si="138"/>
        <v>144.44665170756409</v>
      </c>
      <c r="AQ207" s="669">
        <v>26.48</v>
      </c>
      <c r="AR207" s="725">
        <v>86.388878694087893</v>
      </c>
      <c r="AS207" s="725">
        <v>56.300093900517936</v>
      </c>
      <c r="AT207" s="725">
        <v>1.7576791129582483</v>
      </c>
      <c r="AU207" s="401">
        <v>0</v>
      </c>
      <c r="AV207" s="786"/>
      <c r="AW207" s="246"/>
      <c r="AX207" s="713">
        <f t="shared" si="139"/>
        <v>21.692838362876874</v>
      </c>
      <c r="AY207" s="714">
        <v>14.575234912747669</v>
      </c>
      <c r="AZ207" s="715"/>
      <c r="BA207" s="716">
        <v>0</v>
      </c>
      <c r="BC207" s="712">
        <v>0</v>
      </c>
      <c r="BD207" s="712">
        <v>21.692838362876874</v>
      </c>
      <c r="BE207" s="712"/>
      <c r="BF207" s="712"/>
      <c r="BG207" s="712">
        <v>0</v>
      </c>
      <c r="BH207" s="712">
        <v>0</v>
      </c>
      <c r="BI207" s="134">
        <f t="shared" si="107"/>
        <v>21.692838362876874</v>
      </c>
      <c r="BJ207" s="123">
        <v>204</v>
      </c>
      <c r="BK207" s="792"/>
      <c r="BL207" s="104"/>
      <c r="BM207" s="672"/>
      <c r="BO207" s="562"/>
      <c r="BS207" s="879"/>
      <c r="BT207" s="774"/>
      <c r="BU207" s="774">
        <v>347.69313397605038</v>
      </c>
      <c r="BV207" s="774">
        <v>0</v>
      </c>
      <c r="BW207" s="774">
        <f t="shared" si="140"/>
        <v>347.69313397605038</v>
      </c>
    </row>
    <row r="208" spans="1:75" ht="15" thickBot="1" x14ac:dyDescent="0.35">
      <c r="A208" s="209" t="s">
        <v>380</v>
      </c>
      <c r="B208" s="227">
        <v>9</v>
      </c>
      <c r="C208" s="39">
        <f>'[3]побудинковий звіт'!E208</f>
        <v>2135.1</v>
      </c>
      <c r="D208" s="205">
        <f t="shared" si="115"/>
        <v>1812.5469085228629</v>
      </c>
      <c r="E208" s="104">
        <f t="shared" si="116"/>
        <v>398.76065288321632</v>
      </c>
      <c r="F208" s="104">
        <f t="shared" si="117"/>
        <v>62.663581725150742</v>
      </c>
      <c r="G208" s="104">
        <f t="shared" si="118"/>
        <v>0</v>
      </c>
      <c r="H208" s="104">
        <f t="shared" si="119"/>
        <v>1514.3370722677776</v>
      </c>
      <c r="I208" s="104">
        <f t="shared" si="120"/>
        <v>487.6038889675217</v>
      </c>
      <c r="J208" s="672">
        <f t="shared" si="108"/>
        <v>0</v>
      </c>
      <c r="K208" s="139">
        <f t="shared" si="121"/>
        <v>4275.9121043665291</v>
      </c>
      <c r="L208" s="138">
        <f t="shared" si="109"/>
        <v>1149.4765270214514</v>
      </c>
      <c r="M208" s="104">
        <f t="shared" si="110"/>
        <v>252.88364567339298</v>
      </c>
      <c r="N208" s="29">
        <f t="shared" si="122"/>
        <v>35.119369848739254</v>
      </c>
      <c r="O208" s="104">
        <f t="shared" si="111"/>
        <v>3.843840646111357</v>
      </c>
      <c r="P208" s="104">
        <f t="shared" si="123"/>
        <v>960.35854872786661</v>
      </c>
      <c r="Q208" s="104">
        <f t="shared" si="124"/>
        <v>309.12728940738782</v>
      </c>
      <c r="R208" s="140">
        <f t="shared" si="125"/>
        <v>2710.8092213249492</v>
      </c>
      <c r="S208" s="138">
        <f t="shared" si="126"/>
        <v>53.042000000000002</v>
      </c>
      <c r="T208" s="104">
        <f t="shared" si="112"/>
        <v>6.8271861760042114</v>
      </c>
      <c r="U208" s="139">
        <f t="shared" si="127"/>
        <v>59.869186176004213</v>
      </c>
      <c r="V208" s="104"/>
      <c r="W208" s="104">
        <f t="shared" si="128"/>
        <v>0</v>
      </c>
      <c r="X208" s="139">
        <f t="shared" si="129"/>
        <v>0</v>
      </c>
      <c r="Y208" s="138">
        <v>1289.75</v>
      </c>
      <c r="Z208" s="141">
        <v>0</v>
      </c>
      <c r="AA208" s="104">
        <f t="shared" si="113"/>
        <v>166.00737850196884</v>
      </c>
      <c r="AB208" s="139">
        <f t="shared" si="114"/>
        <v>1455.7573785019688</v>
      </c>
      <c r="AC208" s="138">
        <v>118.075</v>
      </c>
      <c r="AD208" s="104">
        <f t="shared" si="130"/>
        <v>15.197767952409361</v>
      </c>
      <c r="AE208" s="139">
        <f t="shared" si="131"/>
        <v>133.27276795240937</v>
      </c>
      <c r="AF208" s="142">
        <v>374</v>
      </c>
      <c r="AG208" s="104">
        <f t="shared" si="132"/>
        <v>48.138600162617834</v>
      </c>
      <c r="AH208" s="139">
        <f t="shared" si="133"/>
        <v>422.13860016261782</v>
      </c>
      <c r="AI208" s="142">
        <v>354.2</v>
      </c>
      <c r="AJ208" s="104">
        <f t="shared" si="134"/>
        <v>45.590086036361591</v>
      </c>
      <c r="AK208" s="139">
        <f t="shared" si="135"/>
        <v>399.79008603636157</v>
      </c>
      <c r="AL208" s="143"/>
      <c r="AM208" s="143"/>
      <c r="AN208" s="104">
        <f t="shared" si="136"/>
        <v>0</v>
      </c>
      <c r="AO208" s="148">
        <f t="shared" si="137"/>
        <v>0</v>
      </c>
      <c r="AP208" s="272">
        <f t="shared" si="138"/>
        <v>2425.8775378346299</v>
      </c>
      <c r="AQ208" s="669">
        <v>0</v>
      </c>
      <c r="AR208" s="726">
        <v>1672.8064449292015</v>
      </c>
      <c r="AS208" s="726">
        <v>730.89383753028244</v>
      </c>
      <c r="AT208" s="726">
        <v>22.177255375146224</v>
      </c>
      <c r="AU208" s="401">
        <v>308.570761755744</v>
      </c>
      <c r="AV208" s="786"/>
      <c r="AW208" s="246"/>
      <c r="AX208" s="713">
        <f t="shared" si="139"/>
        <v>62.663581725150742</v>
      </c>
      <c r="AY208" s="714">
        <v>35.119369848739254</v>
      </c>
      <c r="AZ208" s="715"/>
      <c r="BA208" s="716">
        <v>0</v>
      </c>
      <c r="BC208" s="712">
        <v>0</v>
      </c>
      <c r="BD208" s="712">
        <v>62.663581725150742</v>
      </c>
      <c r="BE208" s="712"/>
      <c r="BF208" s="712"/>
      <c r="BG208" s="712">
        <v>0</v>
      </c>
      <c r="BH208" s="712">
        <v>4.3239878372878113</v>
      </c>
      <c r="BI208" s="134">
        <f t="shared" si="107"/>
        <v>62.663581725150742</v>
      </c>
      <c r="BJ208" s="123">
        <v>241.1</v>
      </c>
      <c r="BK208" s="792"/>
      <c r="BL208" s="104"/>
      <c r="BM208" s="672"/>
      <c r="BO208" s="562"/>
      <c r="BS208" s="879"/>
      <c r="BT208" s="774"/>
      <c r="BU208" s="774">
        <v>1623.9552275154795</v>
      </c>
      <c r="BV208" s="774">
        <v>0</v>
      </c>
      <c r="BW208" s="774">
        <f t="shared" si="140"/>
        <v>1623.9552275154795</v>
      </c>
    </row>
    <row r="209" spans="1:75" ht="15" thickBot="1" x14ac:dyDescent="0.35">
      <c r="A209" s="209" t="s">
        <v>381</v>
      </c>
      <c r="B209" s="227">
        <v>9</v>
      </c>
      <c r="C209" s="39">
        <f>'[3]побудинковий звіт'!E209</f>
        <v>4349.8999999999996</v>
      </c>
      <c r="D209" s="205">
        <f t="shared" si="115"/>
        <v>3012.3000496588138</v>
      </c>
      <c r="E209" s="104">
        <f t="shared" si="116"/>
        <v>662.70656435645128</v>
      </c>
      <c r="F209" s="104">
        <f t="shared" si="117"/>
        <v>126.64029198527835</v>
      </c>
      <c r="G209" s="104">
        <f t="shared" si="118"/>
        <v>0</v>
      </c>
      <c r="H209" s="104">
        <f t="shared" si="119"/>
        <v>2516.700459746954</v>
      </c>
      <c r="I209" s="104">
        <f t="shared" si="120"/>
        <v>813.25239980815081</v>
      </c>
      <c r="J209" s="672">
        <f t="shared" si="108"/>
        <v>0</v>
      </c>
      <c r="K209" s="139">
        <f t="shared" si="121"/>
        <v>7131.5997655556475</v>
      </c>
      <c r="L209" s="138">
        <f t="shared" si="109"/>
        <v>1630.9477686681973</v>
      </c>
      <c r="M209" s="104">
        <f t="shared" si="110"/>
        <v>358.80682027707246</v>
      </c>
      <c r="N209" s="29">
        <f t="shared" si="122"/>
        <v>71.519544431194234</v>
      </c>
      <c r="O209" s="104">
        <f t="shared" si="111"/>
        <v>7.8311659531262192</v>
      </c>
      <c r="P209" s="104">
        <f t="shared" si="123"/>
        <v>1362.6155866164218</v>
      </c>
      <c r="Q209" s="104">
        <f t="shared" si="124"/>
        <v>441.70652298999926</v>
      </c>
      <c r="R209" s="140">
        <f t="shared" si="125"/>
        <v>3873.4274089360115</v>
      </c>
      <c r="S209" s="138">
        <f t="shared" si="126"/>
        <v>105.27</v>
      </c>
      <c r="T209" s="104">
        <f t="shared" si="112"/>
        <v>13.549600104595665</v>
      </c>
      <c r="U209" s="139">
        <f t="shared" si="127"/>
        <v>118.81960010459566</v>
      </c>
      <c r="V209" s="104"/>
      <c r="W209" s="104">
        <f t="shared" si="128"/>
        <v>0</v>
      </c>
      <c r="X209" s="139">
        <f t="shared" si="129"/>
        <v>0</v>
      </c>
      <c r="Y209" s="138">
        <v>2579.5</v>
      </c>
      <c r="Z209" s="141">
        <v>0</v>
      </c>
      <c r="AA209" s="104">
        <f t="shared" si="113"/>
        <v>332.01475700393769</v>
      </c>
      <c r="AB209" s="139">
        <f t="shared" si="114"/>
        <v>2911.5147570039376</v>
      </c>
      <c r="AC209" s="138">
        <v>236.15</v>
      </c>
      <c r="AD209" s="104">
        <f t="shared" si="130"/>
        <v>30.395535904818722</v>
      </c>
      <c r="AE209" s="139">
        <f t="shared" si="131"/>
        <v>266.54553590481873</v>
      </c>
      <c r="AF209" s="142">
        <v>734.8</v>
      </c>
      <c r="AG209" s="104">
        <f t="shared" si="132"/>
        <v>94.578190907731496</v>
      </c>
      <c r="AH209" s="139">
        <f t="shared" si="133"/>
        <v>829.37819090773144</v>
      </c>
      <c r="AI209" s="142">
        <v>697.4</v>
      </c>
      <c r="AJ209" s="104">
        <f t="shared" si="134"/>
        <v>89.764330891469726</v>
      </c>
      <c r="AK209" s="139">
        <f t="shared" si="135"/>
        <v>787.16433089146972</v>
      </c>
      <c r="AL209" s="143"/>
      <c r="AM209" s="143"/>
      <c r="AN209" s="104">
        <f t="shared" si="136"/>
        <v>0</v>
      </c>
      <c r="AO209" s="148">
        <f t="shared" si="137"/>
        <v>0</v>
      </c>
      <c r="AP209" s="272">
        <f t="shared" si="138"/>
        <v>4286.3857386761565</v>
      </c>
      <c r="AQ209" s="669">
        <v>0</v>
      </c>
      <c r="AR209" s="726">
        <v>2780.0631881225918</v>
      </c>
      <c r="AS209" s="726">
        <v>1462.116395370962</v>
      </c>
      <c r="AT209" s="726">
        <v>44.206155182602785</v>
      </c>
      <c r="AU209" s="401">
        <v>0</v>
      </c>
      <c r="AV209" s="786"/>
      <c r="AW209" s="246"/>
      <c r="AX209" s="713">
        <f t="shared" si="139"/>
        <v>126.64029198527835</v>
      </c>
      <c r="AY209" s="714">
        <v>71.519544431194234</v>
      </c>
      <c r="AZ209" s="715"/>
      <c r="BA209" s="716">
        <v>0</v>
      </c>
      <c r="BC209" s="712">
        <v>0</v>
      </c>
      <c r="BD209" s="712">
        <v>126.64029198527835</v>
      </c>
      <c r="BE209" s="712"/>
      <c r="BF209" s="712"/>
      <c r="BG209" s="712">
        <v>0</v>
      </c>
      <c r="BH209" s="712">
        <v>7.8334570354586166</v>
      </c>
      <c r="BI209" s="134">
        <f t="shared" si="107"/>
        <v>126.64029198527835</v>
      </c>
      <c r="BJ209" s="123">
        <v>478.5</v>
      </c>
      <c r="BK209" s="792"/>
      <c r="BL209" s="104"/>
      <c r="BM209" s="672"/>
      <c r="BO209" s="562"/>
      <c r="BS209" s="879"/>
      <c r="BT209" s="774"/>
      <c r="BU209" s="774">
        <v>2698.8783596372855</v>
      </c>
      <c r="BV209" s="774">
        <v>0</v>
      </c>
      <c r="BW209" s="774">
        <f t="shared" si="140"/>
        <v>2698.8783596372855</v>
      </c>
    </row>
    <row r="210" spans="1:75" ht="15" thickBot="1" x14ac:dyDescent="0.35">
      <c r="A210" s="209" t="s">
        <v>382</v>
      </c>
      <c r="B210" s="227">
        <v>9</v>
      </c>
      <c r="C210" s="39">
        <f>'[3]побудинковий звіт'!E210</f>
        <v>2131.85</v>
      </c>
      <c r="D210" s="205">
        <f t="shared" si="115"/>
        <v>1808.857429783234</v>
      </c>
      <c r="E210" s="104">
        <f t="shared" si="116"/>
        <v>397.94896688265254</v>
      </c>
      <c r="F210" s="104">
        <f t="shared" si="117"/>
        <v>62.006725846375652</v>
      </c>
      <c r="G210" s="104">
        <f t="shared" si="118"/>
        <v>0</v>
      </c>
      <c r="H210" s="104">
        <f t="shared" si="119"/>
        <v>1511.2546061498017</v>
      </c>
      <c r="I210" s="104">
        <f t="shared" si="120"/>
        <v>486.54323256063651</v>
      </c>
      <c r="J210" s="672">
        <f t="shared" si="108"/>
        <v>0</v>
      </c>
      <c r="K210" s="139">
        <f t="shared" si="121"/>
        <v>4266.6109612227001</v>
      </c>
      <c r="L210" s="138">
        <f t="shared" si="109"/>
        <v>815.98580997239628</v>
      </c>
      <c r="M210" s="104">
        <f t="shared" si="110"/>
        <v>179.51603324886787</v>
      </c>
      <c r="N210" s="29">
        <f t="shared" si="122"/>
        <v>35.056891569045803</v>
      </c>
      <c r="O210" s="104">
        <f t="shared" si="111"/>
        <v>3.837989640491076</v>
      </c>
      <c r="P210" s="104">
        <f t="shared" si="123"/>
        <v>681.73549422379722</v>
      </c>
      <c r="Q210" s="104">
        <f t="shared" si="124"/>
        <v>220.88824251336882</v>
      </c>
      <c r="R210" s="140">
        <f t="shared" si="125"/>
        <v>1937.0204611679669</v>
      </c>
      <c r="S210" s="138">
        <f t="shared" si="126"/>
        <v>55.440000000000005</v>
      </c>
      <c r="T210" s="104">
        <f t="shared" si="112"/>
        <v>7.1358395535174681</v>
      </c>
      <c r="U210" s="139">
        <f t="shared" si="127"/>
        <v>62.575839553517476</v>
      </c>
      <c r="V210" s="104"/>
      <c r="W210" s="104">
        <f t="shared" si="128"/>
        <v>0</v>
      </c>
      <c r="X210" s="139">
        <f t="shared" si="129"/>
        <v>0</v>
      </c>
      <c r="Y210" s="138">
        <v>1289.75</v>
      </c>
      <c r="Z210" s="141">
        <v>0</v>
      </c>
      <c r="AA210" s="104">
        <f t="shared" si="113"/>
        <v>166.00737850196884</v>
      </c>
      <c r="AB210" s="139">
        <f t="shared" si="114"/>
        <v>1455.7573785019688</v>
      </c>
      <c r="AC210" s="138">
        <v>0</v>
      </c>
      <c r="AD210" s="104">
        <f t="shared" si="130"/>
        <v>0</v>
      </c>
      <c r="AE210" s="139">
        <f t="shared" si="131"/>
        <v>0</v>
      </c>
      <c r="AF210" s="142">
        <v>358.6</v>
      </c>
      <c r="AG210" s="104">
        <f t="shared" si="132"/>
        <v>46.156422508862981</v>
      </c>
      <c r="AH210" s="139">
        <f t="shared" si="133"/>
        <v>404.75642250886301</v>
      </c>
      <c r="AI210" s="142">
        <v>341</v>
      </c>
      <c r="AJ210" s="104">
        <f t="shared" si="134"/>
        <v>43.89107661885744</v>
      </c>
      <c r="AK210" s="139">
        <f t="shared" si="135"/>
        <v>384.89107661885743</v>
      </c>
      <c r="AL210" s="143"/>
      <c r="AM210" s="143"/>
      <c r="AN210" s="104">
        <f t="shared" si="136"/>
        <v>0</v>
      </c>
      <c r="AO210" s="148">
        <f t="shared" si="137"/>
        <v>0</v>
      </c>
      <c r="AP210" s="272">
        <f t="shared" si="138"/>
        <v>2423.0354942139484</v>
      </c>
      <c r="AQ210" s="669">
        <v>0</v>
      </c>
      <c r="AR210" s="726">
        <v>1669.4014109490822</v>
      </c>
      <c r="AS210" s="726">
        <v>730.89383753028244</v>
      </c>
      <c r="AT210" s="726">
        <v>22.740245734583898</v>
      </c>
      <c r="AU210" s="401">
        <v>0</v>
      </c>
      <c r="AV210" s="786"/>
      <c r="AW210" s="246"/>
      <c r="AX210" s="713">
        <f t="shared" si="139"/>
        <v>62.006725846375652</v>
      </c>
      <c r="AY210" s="714">
        <v>35.056891569045803</v>
      </c>
      <c r="AZ210" s="715"/>
      <c r="BA210" s="716">
        <v>0</v>
      </c>
      <c r="BC210" s="712">
        <v>0</v>
      </c>
      <c r="BD210" s="712">
        <v>62.006725846375652</v>
      </c>
      <c r="BE210" s="712"/>
      <c r="BF210" s="712"/>
      <c r="BG210" s="712">
        <v>0</v>
      </c>
      <c r="BH210" s="712">
        <v>3.7709196255416959</v>
      </c>
      <c r="BI210" s="134">
        <f t="shared" si="107"/>
        <v>62.006725846375652</v>
      </c>
      <c r="BJ210" s="123">
        <v>252</v>
      </c>
      <c r="BK210" s="792"/>
      <c r="BL210" s="104"/>
      <c r="BM210" s="672"/>
      <c r="BO210" s="562"/>
      <c r="BS210" s="879"/>
      <c r="BT210" s="774"/>
      <c r="BU210" s="774">
        <v>1620.6462105470989</v>
      </c>
      <c r="BV210" s="774">
        <v>0</v>
      </c>
      <c r="BW210" s="774">
        <f t="shared" si="140"/>
        <v>1620.6462105470989</v>
      </c>
    </row>
    <row r="211" spans="1:75" ht="15" thickBot="1" x14ac:dyDescent="0.35">
      <c r="A211" s="210" t="s">
        <v>122</v>
      </c>
      <c r="B211" s="228">
        <v>1</v>
      </c>
      <c r="C211" s="39">
        <f>'[3]побудинковий звіт'!E211</f>
        <v>105</v>
      </c>
      <c r="D211" s="205">
        <f t="shared" si="115"/>
        <v>44.240796954916483</v>
      </c>
      <c r="E211" s="104">
        <f t="shared" si="116"/>
        <v>9.7329834581733703</v>
      </c>
      <c r="F211" s="104">
        <f t="shared" si="117"/>
        <v>0</v>
      </c>
      <c r="G211" s="104">
        <f t="shared" si="118"/>
        <v>0</v>
      </c>
      <c r="H211" s="104">
        <f t="shared" si="119"/>
        <v>36.962066261832355</v>
      </c>
      <c r="I211" s="104">
        <f t="shared" si="120"/>
        <v>11.704610597682354</v>
      </c>
      <c r="J211" s="672">
        <f t="shared" si="108"/>
        <v>0</v>
      </c>
      <c r="K211" s="139">
        <f t="shared" si="121"/>
        <v>102.64045727260455</v>
      </c>
      <c r="L211" s="138">
        <f t="shared" si="109"/>
        <v>0</v>
      </c>
      <c r="M211" s="104">
        <f t="shared" si="110"/>
        <v>0</v>
      </c>
      <c r="N211" s="29">
        <f t="shared" si="122"/>
        <v>0</v>
      </c>
      <c r="O211" s="104">
        <f t="shared" si="111"/>
        <v>0.18903248927061611</v>
      </c>
      <c r="P211" s="104">
        <f t="shared" si="123"/>
        <v>0</v>
      </c>
      <c r="Q211" s="104">
        <f t="shared" si="124"/>
        <v>2.4330907536744745E-2</v>
      </c>
      <c r="R211" s="140">
        <f t="shared" si="125"/>
        <v>0.21336339680736086</v>
      </c>
      <c r="S211" s="138">
        <f t="shared" si="126"/>
        <v>0</v>
      </c>
      <c r="T211" s="104">
        <f t="shared" si="112"/>
        <v>0</v>
      </c>
      <c r="U211" s="139">
        <f t="shared" si="127"/>
        <v>0</v>
      </c>
      <c r="V211" s="104"/>
      <c r="W211" s="104">
        <f t="shared" si="128"/>
        <v>0</v>
      </c>
      <c r="X211" s="139">
        <f t="shared" si="129"/>
        <v>0</v>
      </c>
      <c r="Y211" s="138">
        <v>0</v>
      </c>
      <c r="Z211" s="141">
        <v>0</v>
      </c>
      <c r="AA211" s="104">
        <f t="shared" si="113"/>
        <v>0</v>
      </c>
      <c r="AB211" s="139">
        <f t="shared" si="114"/>
        <v>0</v>
      </c>
      <c r="AC211" s="138">
        <v>0</v>
      </c>
      <c r="AD211" s="104">
        <f t="shared" si="130"/>
        <v>0</v>
      </c>
      <c r="AE211" s="139">
        <f t="shared" si="131"/>
        <v>0</v>
      </c>
      <c r="AF211" s="142">
        <v>0</v>
      </c>
      <c r="AG211" s="104">
        <f t="shared" si="132"/>
        <v>0</v>
      </c>
      <c r="AH211" s="139">
        <f t="shared" si="133"/>
        <v>0</v>
      </c>
      <c r="AI211" s="142">
        <v>0</v>
      </c>
      <c r="AJ211" s="104">
        <f t="shared" si="134"/>
        <v>0</v>
      </c>
      <c r="AK211" s="139">
        <f t="shared" si="135"/>
        <v>0</v>
      </c>
      <c r="AL211" s="143"/>
      <c r="AM211" s="143"/>
      <c r="AN211" s="104">
        <f t="shared" si="136"/>
        <v>0</v>
      </c>
      <c r="AO211" s="148">
        <f t="shared" si="137"/>
        <v>0</v>
      </c>
      <c r="AP211" s="272">
        <f t="shared" si="138"/>
        <v>0</v>
      </c>
      <c r="AQ211" s="669">
        <v>40.83</v>
      </c>
      <c r="AR211" s="726">
        <v>0</v>
      </c>
      <c r="AS211" s="726">
        <v>0</v>
      </c>
      <c r="AT211" s="726">
        <v>0</v>
      </c>
      <c r="AU211" s="401">
        <v>0</v>
      </c>
      <c r="AV211" s="786"/>
      <c r="AW211" s="246"/>
      <c r="AX211" s="713">
        <f t="shared" si="139"/>
        <v>0</v>
      </c>
      <c r="AY211" s="714">
        <v>0</v>
      </c>
      <c r="AZ211" s="715"/>
      <c r="BA211" s="716">
        <v>0</v>
      </c>
      <c r="BC211" s="712">
        <v>0</v>
      </c>
      <c r="BD211" s="712">
        <v>0</v>
      </c>
      <c r="BE211" s="712"/>
      <c r="BF211" s="712"/>
      <c r="BG211" s="712">
        <v>0</v>
      </c>
      <c r="BH211" s="712">
        <v>0</v>
      </c>
      <c r="BI211" s="134">
        <f>BC211+BD211+BE211+BG211+BH211</f>
        <v>0</v>
      </c>
      <c r="BJ211" s="123"/>
      <c r="BK211" s="792"/>
      <c r="BL211" s="104"/>
      <c r="BM211" s="672"/>
      <c r="BO211" s="562"/>
      <c r="BS211" s="879"/>
      <c r="BT211" s="774"/>
      <c r="BU211" s="774">
        <v>0</v>
      </c>
      <c r="BV211" s="774">
        <v>0</v>
      </c>
      <c r="BW211" s="774">
        <f t="shared" si="140"/>
        <v>0</v>
      </c>
    </row>
    <row r="212" spans="1:75" ht="15" thickBot="1" x14ac:dyDescent="0.35">
      <c r="A212" s="210" t="s">
        <v>123</v>
      </c>
      <c r="B212" s="228">
        <v>1</v>
      </c>
      <c r="C212" s="39">
        <f>'[3]побудинковий звіт'!E212</f>
        <v>140.69999999999999</v>
      </c>
      <c r="D212" s="205">
        <f t="shared" si="115"/>
        <v>88.492429275239516</v>
      </c>
      <c r="E212" s="104">
        <f t="shared" si="116"/>
        <v>19.468350698726898</v>
      </c>
      <c r="F212" s="104">
        <f t="shared" si="117"/>
        <v>0</v>
      </c>
      <c r="G212" s="104">
        <f t="shared" si="118"/>
        <v>0</v>
      </c>
      <c r="H212" s="104">
        <f t="shared" si="119"/>
        <v>73.933185197253209</v>
      </c>
      <c r="I212" s="104">
        <f t="shared" si="120"/>
        <v>23.41208786462694</v>
      </c>
      <c r="J212" s="672">
        <f t="shared" si="108"/>
        <v>0</v>
      </c>
      <c r="K212" s="139">
        <f t="shared" si="121"/>
        <v>205.30605303584656</v>
      </c>
      <c r="L212" s="138">
        <f t="shared" si="109"/>
        <v>0</v>
      </c>
      <c r="M212" s="104">
        <f t="shared" si="110"/>
        <v>0</v>
      </c>
      <c r="N212" s="29">
        <f t="shared" si="122"/>
        <v>0</v>
      </c>
      <c r="O212" s="104">
        <f t="shared" si="111"/>
        <v>0.25330353562262559</v>
      </c>
      <c r="P212" s="104">
        <f t="shared" si="123"/>
        <v>0</v>
      </c>
      <c r="Q212" s="104">
        <f t="shared" si="124"/>
        <v>3.2603416099237961E-2</v>
      </c>
      <c r="R212" s="140">
        <f t="shared" si="125"/>
        <v>0.28590695172186353</v>
      </c>
      <c r="S212" s="138">
        <f t="shared" si="126"/>
        <v>0</v>
      </c>
      <c r="T212" s="104">
        <f t="shared" si="112"/>
        <v>0</v>
      </c>
      <c r="U212" s="139">
        <f t="shared" si="127"/>
        <v>0</v>
      </c>
      <c r="V212" s="104"/>
      <c r="W212" s="104">
        <f t="shared" si="128"/>
        <v>0</v>
      </c>
      <c r="X212" s="139">
        <f t="shared" si="129"/>
        <v>0</v>
      </c>
      <c r="Y212" s="138">
        <v>0</v>
      </c>
      <c r="Z212" s="141">
        <v>0</v>
      </c>
      <c r="AA212" s="104">
        <f t="shared" si="113"/>
        <v>0</v>
      </c>
      <c r="AB212" s="139">
        <f t="shared" si="114"/>
        <v>0</v>
      </c>
      <c r="AC212" s="138">
        <v>0</v>
      </c>
      <c r="AD212" s="104">
        <f t="shared" si="130"/>
        <v>0</v>
      </c>
      <c r="AE212" s="139">
        <f t="shared" si="131"/>
        <v>0</v>
      </c>
      <c r="AF212" s="142">
        <v>0</v>
      </c>
      <c r="AG212" s="104">
        <f t="shared" si="132"/>
        <v>0</v>
      </c>
      <c r="AH212" s="139">
        <f t="shared" si="133"/>
        <v>0</v>
      </c>
      <c r="AI212" s="142">
        <v>0</v>
      </c>
      <c r="AJ212" s="104">
        <f t="shared" si="134"/>
        <v>0</v>
      </c>
      <c r="AK212" s="139">
        <f t="shared" si="135"/>
        <v>0</v>
      </c>
      <c r="AL212" s="143"/>
      <c r="AM212" s="143"/>
      <c r="AN212" s="104">
        <f t="shared" si="136"/>
        <v>0</v>
      </c>
      <c r="AO212" s="148">
        <f t="shared" si="137"/>
        <v>0</v>
      </c>
      <c r="AP212" s="272">
        <f t="shared" si="138"/>
        <v>0</v>
      </c>
      <c r="AQ212" s="669">
        <v>81.67</v>
      </c>
      <c r="AR212" s="726">
        <v>0</v>
      </c>
      <c r="AS212" s="726">
        <v>0</v>
      </c>
      <c r="AT212" s="726">
        <v>0</v>
      </c>
      <c r="AU212" s="401">
        <v>0</v>
      </c>
      <c r="AV212" s="786"/>
      <c r="AW212" s="246"/>
      <c r="AX212" s="713">
        <f t="shared" si="139"/>
        <v>0</v>
      </c>
      <c r="AY212" s="714">
        <v>0</v>
      </c>
      <c r="AZ212" s="715"/>
      <c r="BA212" s="716">
        <v>0</v>
      </c>
      <c r="BC212" s="712">
        <v>0</v>
      </c>
      <c r="BD212" s="712">
        <v>0</v>
      </c>
      <c r="BE212" s="712"/>
      <c r="BF212" s="712"/>
      <c r="BG212" s="712">
        <v>0</v>
      </c>
      <c r="BH212" s="712">
        <v>0</v>
      </c>
      <c r="BI212" s="134">
        <f>BC212+BD212+BE212+BG212+BH212</f>
        <v>0</v>
      </c>
      <c r="BJ212" s="123"/>
      <c r="BK212" s="792"/>
      <c r="BL212" s="104"/>
      <c r="BM212" s="672"/>
      <c r="BO212" s="562"/>
      <c r="BS212" s="879"/>
      <c r="BT212" s="774"/>
      <c r="BU212" s="774">
        <v>0</v>
      </c>
      <c r="BV212" s="774">
        <v>0</v>
      </c>
      <c r="BW212" s="774">
        <f t="shared" si="140"/>
        <v>0</v>
      </c>
    </row>
    <row r="213" spans="1:75" ht="15" thickBot="1" x14ac:dyDescent="0.35">
      <c r="A213" s="209" t="s">
        <v>421</v>
      </c>
      <c r="B213" s="227">
        <v>10</v>
      </c>
      <c r="C213" s="39">
        <f>'[3]побудинковий звіт'!E213</f>
        <v>6742.76</v>
      </c>
      <c r="D213" s="205">
        <f t="shared" si="115"/>
        <v>4498.707855369692</v>
      </c>
      <c r="E213" s="104">
        <f t="shared" si="116"/>
        <v>989.71655470148323</v>
      </c>
      <c r="F213" s="104">
        <f t="shared" si="117"/>
        <v>284.26051322128387</v>
      </c>
      <c r="G213" s="104">
        <f t="shared" si="118"/>
        <v>0</v>
      </c>
      <c r="H213" s="104">
        <f t="shared" si="119"/>
        <v>3758.5565651597376</v>
      </c>
      <c r="I213" s="104">
        <f t="shared" si="120"/>
        <v>1226.7931098020181</v>
      </c>
      <c r="J213" s="672">
        <f t="shared" si="108"/>
        <v>0</v>
      </c>
      <c r="K213" s="139">
        <f t="shared" si="121"/>
        <v>10758.034598254215</v>
      </c>
      <c r="L213" s="138">
        <f t="shared" si="109"/>
        <v>3350.9381174741502</v>
      </c>
      <c r="M213" s="104">
        <f t="shared" si="110"/>
        <v>737.20291598175936</v>
      </c>
      <c r="N213" s="29">
        <f t="shared" si="122"/>
        <v>110.87444839357288</v>
      </c>
      <c r="O213" s="104">
        <f t="shared" si="111"/>
        <v>12.139054355755615</v>
      </c>
      <c r="P213" s="104">
        <f t="shared" si="123"/>
        <v>2799.6239955531587</v>
      </c>
      <c r="Q213" s="104">
        <f t="shared" si="124"/>
        <v>902.37717799193149</v>
      </c>
      <c r="R213" s="140">
        <f t="shared" si="125"/>
        <v>7913.1557097503282</v>
      </c>
      <c r="S213" s="138">
        <f t="shared" si="126"/>
        <v>163.636</v>
      </c>
      <c r="T213" s="104">
        <f t="shared" si="112"/>
        <v>21.062053412326556</v>
      </c>
      <c r="U213" s="139">
        <f t="shared" si="127"/>
        <v>184.69805341232654</v>
      </c>
      <c r="V213" s="104"/>
      <c r="W213" s="104">
        <f t="shared" si="128"/>
        <v>0</v>
      </c>
      <c r="X213" s="139">
        <f t="shared" si="129"/>
        <v>0</v>
      </c>
      <c r="Y213" s="138">
        <v>2849.18</v>
      </c>
      <c r="Z213" s="141">
        <v>0</v>
      </c>
      <c r="AA213" s="104">
        <f t="shared" si="113"/>
        <v>366.72603425488632</v>
      </c>
      <c r="AB213" s="139">
        <f t="shared" si="114"/>
        <v>3215.906034254886</v>
      </c>
      <c r="AC213" s="138">
        <v>354.22500000000002</v>
      </c>
      <c r="AD213" s="104">
        <f t="shared" si="130"/>
        <v>45.593303857228086</v>
      </c>
      <c r="AE213" s="139">
        <f t="shared" si="131"/>
        <v>399.8183038572281</v>
      </c>
      <c r="AF213" s="142">
        <v>1056</v>
      </c>
      <c r="AG213" s="104">
        <f t="shared" si="132"/>
        <v>135.9207534003327</v>
      </c>
      <c r="AH213" s="139">
        <f t="shared" si="133"/>
        <v>1191.9207534003326</v>
      </c>
      <c r="AI213" s="142">
        <v>1392.6</v>
      </c>
      <c r="AJ213" s="104">
        <f t="shared" si="134"/>
        <v>179.24549354668875</v>
      </c>
      <c r="AK213" s="139">
        <f t="shared" si="135"/>
        <v>1571.8454935466887</v>
      </c>
      <c r="AL213" s="143"/>
      <c r="AM213" s="143"/>
      <c r="AN213" s="104">
        <f t="shared" si="136"/>
        <v>0</v>
      </c>
      <c r="AO213" s="148">
        <f t="shared" si="137"/>
        <v>0</v>
      </c>
      <c r="AP213" s="272">
        <f t="shared" si="138"/>
        <v>7246.7583050363874</v>
      </c>
      <c r="AQ213" s="669">
        <v>0</v>
      </c>
      <c r="AR213" s="726">
        <v>4151.8746129714982</v>
      </c>
      <c r="AS213" s="726">
        <v>3027.6120487615426</v>
      </c>
      <c r="AT213" s="726">
        <v>67.271643303346139</v>
      </c>
      <c r="AU213" s="401">
        <v>0</v>
      </c>
      <c r="AV213" s="786"/>
      <c r="AW213" s="246"/>
      <c r="AX213" s="713">
        <f t="shared" si="139"/>
        <v>284.26051322128387</v>
      </c>
      <c r="AY213" s="714">
        <v>110.87444839357288</v>
      </c>
      <c r="AZ213" s="715"/>
      <c r="BA213" s="716">
        <v>0</v>
      </c>
      <c r="BC213" s="712">
        <v>86</v>
      </c>
      <c r="BD213" s="712">
        <v>198.26051322128384</v>
      </c>
      <c r="BE213" s="712"/>
      <c r="BF213" s="712"/>
      <c r="BG213" s="712">
        <v>0</v>
      </c>
      <c r="BH213" s="712">
        <v>14.078099935355665</v>
      </c>
      <c r="BI213" s="134">
        <f>BC213+BD213+BE213+BG213</f>
        <v>284.26051322128387</v>
      </c>
      <c r="BJ213" s="123">
        <v>743.8</v>
      </c>
      <c r="BK213" s="792"/>
      <c r="BL213" s="104"/>
      <c r="BM213" s="672"/>
      <c r="BO213" s="562"/>
      <c r="BS213" s="879"/>
      <c r="BT213" s="774"/>
      <c r="BU213" s="774">
        <v>3948.565395205871</v>
      </c>
      <c r="BV213" s="774">
        <v>0</v>
      </c>
      <c r="BW213" s="774">
        <f t="shared" si="140"/>
        <v>3948.565395205871</v>
      </c>
    </row>
    <row r="214" spans="1:75" ht="15" thickBot="1" x14ac:dyDescent="0.35">
      <c r="A214" s="209" t="s">
        <v>268</v>
      </c>
      <c r="B214" s="227">
        <v>5</v>
      </c>
      <c r="C214" s="39">
        <f>'[3]побудинковий звіт'!E214</f>
        <v>3267.3</v>
      </c>
      <c r="D214" s="205">
        <f t="shared" si="115"/>
        <v>1247.0476348915561</v>
      </c>
      <c r="E214" s="104">
        <f t="shared" si="116"/>
        <v>274.35070878859699</v>
      </c>
      <c r="F214" s="104">
        <f t="shared" si="117"/>
        <v>102.68788819524411</v>
      </c>
      <c r="G214" s="104">
        <f t="shared" si="118"/>
        <v>0</v>
      </c>
      <c r="H214" s="104">
        <f t="shared" si="119"/>
        <v>1041.876740138621</v>
      </c>
      <c r="I214" s="104">
        <f t="shared" si="120"/>
        <v>343.14365122493888</v>
      </c>
      <c r="J214" s="672">
        <f t="shared" si="108"/>
        <v>0</v>
      </c>
      <c r="K214" s="139">
        <f t="shared" si="121"/>
        <v>3009.1066232389571</v>
      </c>
      <c r="L214" s="138">
        <f t="shared" si="109"/>
        <v>481.49893142901078</v>
      </c>
      <c r="M214" s="104">
        <f t="shared" si="110"/>
        <v>105.92926632710524</v>
      </c>
      <c r="N214" s="29">
        <f t="shared" si="122"/>
        <v>53.719811379581358</v>
      </c>
      <c r="O214" s="104">
        <f t="shared" si="111"/>
        <v>5.8821509732750865</v>
      </c>
      <c r="P214" s="104">
        <f t="shared" si="123"/>
        <v>402.28017200089715</v>
      </c>
      <c r="Q214" s="104">
        <f t="shared" si="124"/>
        <v>135.059707283264</v>
      </c>
      <c r="R214" s="140">
        <f t="shared" si="125"/>
        <v>1184.3700393931335</v>
      </c>
      <c r="S214" s="138">
        <f t="shared" si="126"/>
        <v>84.106000000000009</v>
      </c>
      <c r="T214" s="104">
        <f t="shared" si="112"/>
        <v>10.825521671863999</v>
      </c>
      <c r="U214" s="139">
        <f t="shared" si="127"/>
        <v>94.931521671864004</v>
      </c>
      <c r="V214" s="104"/>
      <c r="W214" s="104">
        <f t="shared" si="128"/>
        <v>0</v>
      </c>
      <c r="X214" s="139">
        <f t="shared" si="129"/>
        <v>0</v>
      </c>
      <c r="Y214" s="138">
        <v>0</v>
      </c>
      <c r="Z214" s="141">
        <v>0</v>
      </c>
      <c r="AA214" s="104">
        <f t="shared" si="113"/>
        <v>0</v>
      </c>
      <c r="AB214" s="139">
        <f t="shared" si="114"/>
        <v>0</v>
      </c>
      <c r="AC214" s="138">
        <v>0</v>
      </c>
      <c r="AD214" s="104">
        <f t="shared" si="130"/>
        <v>0</v>
      </c>
      <c r="AE214" s="139">
        <f t="shared" si="131"/>
        <v>0</v>
      </c>
      <c r="AF214" s="142">
        <v>1056</v>
      </c>
      <c r="AG214" s="104">
        <f t="shared" si="132"/>
        <v>135.9207534003327</v>
      </c>
      <c r="AH214" s="139">
        <f t="shared" si="133"/>
        <v>1191.9207534003326</v>
      </c>
      <c r="AI214" s="142">
        <v>0</v>
      </c>
      <c r="AJ214" s="104">
        <f t="shared" si="134"/>
        <v>0</v>
      </c>
      <c r="AK214" s="139">
        <f t="shared" si="135"/>
        <v>0</v>
      </c>
      <c r="AL214" s="143"/>
      <c r="AM214" s="391"/>
      <c r="AN214" s="104">
        <f t="shared" si="136"/>
        <v>0</v>
      </c>
      <c r="AO214" s="148">
        <f t="shared" si="137"/>
        <v>0</v>
      </c>
      <c r="AP214" s="272">
        <f t="shared" si="138"/>
        <v>1595.6112814227063</v>
      </c>
      <c r="AQ214" s="669">
        <v>0</v>
      </c>
      <c r="AR214" s="726">
        <v>1150.905011600697</v>
      </c>
      <c r="AS214" s="726">
        <v>433.33898613790893</v>
      </c>
      <c r="AT214" s="726">
        <v>11.367283684100432</v>
      </c>
      <c r="AU214" s="401">
        <v>0</v>
      </c>
      <c r="AV214" s="786"/>
      <c r="AW214" s="246"/>
      <c r="AX214" s="713">
        <f t="shared" si="139"/>
        <v>102.68788819524411</v>
      </c>
      <c r="AY214" s="714">
        <v>53.719811379581358</v>
      </c>
      <c r="AZ214" s="715"/>
      <c r="BA214" s="716">
        <v>0</v>
      </c>
      <c r="BC214" s="712">
        <v>0</v>
      </c>
      <c r="BD214" s="712">
        <v>102.68788819524411</v>
      </c>
      <c r="BE214" s="712"/>
      <c r="BF214" s="712"/>
      <c r="BG214" s="712">
        <v>0</v>
      </c>
      <c r="BH214" s="712">
        <v>13.449613331098716</v>
      </c>
      <c r="BI214" s="134">
        <f t="shared" ref="BI214:BI222" si="141">BC214+BD214+BE214+BG214</f>
        <v>102.68788819524411</v>
      </c>
      <c r="BJ214" s="123">
        <v>382.3</v>
      </c>
      <c r="BK214" s="792"/>
      <c r="BL214" s="104"/>
      <c r="BM214" s="672"/>
      <c r="BO214" s="562"/>
      <c r="BS214" s="879"/>
      <c r="BT214" s="774"/>
      <c r="BU214" s="774">
        <v>1097.6153993951709</v>
      </c>
      <c r="BV214" s="774">
        <v>0</v>
      </c>
      <c r="BW214" s="774">
        <f t="shared" si="140"/>
        <v>1097.6153993951709</v>
      </c>
    </row>
    <row r="215" spans="1:75" ht="15" thickBot="1" x14ac:dyDescent="0.35">
      <c r="A215" s="209" t="s">
        <v>383</v>
      </c>
      <c r="B215" s="227">
        <v>9</v>
      </c>
      <c r="C215" s="39">
        <f>'[3]побудинковий звіт'!E215</f>
        <v>6615</v>
      </c>
      <c r="D215" s="205">
        <f t="shared" si="115"/>
        <v>3269.3872449278601</v>
      </c>
      <c r="E215" s="104">
        <f t="shared" si="116"/>
        <v>719.26579454870364</v>
      </c>
      <c r="F215" s="104">
        <f t="shared" si="117"/>
        <v>197.85520395199552</v>
      </c>
      <c r="G215" s="104">
        <f t="shared" si="118"/>
        <v>0</v>
      </c>
      <c r="H215" s="104">
        <f t="shared" si="119"/>
        <v>2731.4903053341982</v>
      </c>
      <c r="I215" s="104">
        <f t="shared" si="120"/>
        <v>890.43520338091139</v>
      </c>
      <c r="J215" s="672">
        <f t="shared" si="108"/>
        <v>0</v>
      </c>
      <c r="K215" s="139">
        <f t="shared" si="121"/>
        <v>7808.4337521436701</v>
      </c>
      <c r="L215" s="138">
        <f t="shared" si="109"/>
        <v>2328.0614835170654</v>
      </c>
      <c r="M215" s="104">
        <f t="shared" si="110"/>
        <v>512.17111568961718</v>
      </c>
      <c r="N215" s="29">
        <f t="shared" si="122"/>
        <v>228.60862425553225</v>
      </c>
      <c r="O215" s="104">
        <f t="shared" si="111"/>
        <v>11.909046824048815</v>
      </c>
      <c r="P215" s="104">
        <f t="shared" si="123"/>
        <v>1945.036453639535</v>
      </c>
      <c r="Q215" s="104">
        <f t="shared" si="124"/>
        <v>646.88325563009892</v>
      </c>
      <c r="R215" s="140">
        <f t="shared" si="125"/>
        <v>5672.669979555897</v>
      </c>
      <c r="S215" s="138">
        <f t="shared" si="126"/>
        <v>139.47999999999999</v>
      </c>
      <c r="T215" s="104">
        <f t="shared" si="112"/>
        <v>17.952866178293945</v>
      </c>
      <c r="U215" s="139">
        <f t="shared" si="127"/>
        <v>157.43286617829392</v>
      </c>
      <c r="V215" s="104"/>
      <c r="W215" s="104">
        <f t="shared" si="128"/>
        <v>0</v>
      </c>
      <c r="X215" s="139">
        <f t="shared" si="129"/>
        <v>0</v>
      </c>
      <c r="Y215" s="138">
        <v>5774.56</v>
      </c>
      <c r="Z215" s="141">
        <v>0</v>
      </c>
      <c r="AA215" s="104">
        <f t="shared" si="113"/>
        <v>743.25998651081943</v>
      </c>
      <c r="AB215" s="139">
        <f t="shared" si="114"/>
        <v>6517.8199865108199</v>
      </c>
      <c r="AC215" s="138">
        <v>118.075</v>
      </c>
      <c r="AD215" s="104">
        <f t="shared" si="130"/>
        <v>15.197767952409361</v>
      </c>
      <c r="AE215" s="139">
        <f t="shared" si="131"/>
        <v>133.27276795240937</v>
      </c>
      <c r="AF215" s="142">
        <v>1326.6</v>
      </c>
      <c r="AG215" s="104">
        <f t="shared" si="132"/>
        <v>170.75044645916796</v>
      </c>
      <c r="AH215" s="139">
        <f t="shared" si="133"/>
        <v>1497.3504464591679</v>
      </c>
      <c r="AI215" s="142">
        <v>1100</v>
      </c>
      <c r="AJ215" s="104">
        <f t="shared" si="134"/>
        <v>141.58411812534658</v>
      </c>
      <c r="AK215" s="139">
        <f t="shared" si="135"/>
        <v>1241.5841181253465</v>
      </c>
      <c r="AL215" s="143"/>
      <c r="AM215" s="143"/>
      <c r="AN215" s="104">
        <f t="shared" si="136"/>
        <v>0</v>
      </c>
      <c r="AO215" s="148">
        <f t="shared" si="137"/>
        <v>0</v>
      </c>
      <c r="AP215" s="272">
        <f t="shared" si="138"/>
        <v>5167.4978231507803</v>
      </c>
      <c r="AQ215" s="669">
        <v>0</v>
      </c>
      <c r="AR215" s="726">
        <v>3017.3299397485171</v>
      </c>
      <c r="AS215" s="726">
        <v>2107.9032760373866</v>
      </c>
      <c r="AT215" s="726">
        <v>42.264607364876206</v>
      </c>
      <c r="AU215" s="401">
        <v>0</v>
      </c>
      <c r="AV215" s="786"/>
      <c r="AW215" s="246"/>
      <c r="AX215" s="713">
        <f t="shared" si="139"/>
        <v>197.85520395199552</v>
      </c>
      <c r="AY215" s="714">
        <v>228.60862425553225</v>
      </c>
      <c r="AZ215" s="715"/>
      <c r="BA215" s="716">
        <v>0</v>
      </c>
      <c r="BC215" s="712">
        <v>0</v>
      </c>
      <c r="BD215" s="712">
        <v>197.85520395199552</v>
      </c>
      <c r="BE215" s="712"/>
      <c r="BF215" s="712"/>
      <c r="BG215" s="712">
        <v>0</v>
      </c>
      <c r="BH215" s="712">
        <v>17.436732348504801</v>
      </c>
      <c r="BI215" s="134">
        <f t="shared" si="141"/>
        <v>197.85520395199552</v>
      </c>
      <c r="BJ215" s="123">
        <v>634</v>
      </c>
      <c r="BK215" s="792"/>
      <c r="BL215" s="104"/>
      <c r="BM215" s="672"/>
      <c r="BO215" s="562"/>
      <c r="BS215" s="879"/>
      <c r="BT215" s="774"/>
      <c r="BU215" s="774">
        <v>2823.8561606917042</v>
      </c>
      <c r="BV215" s="774">
        <v>0</v>
      </c>
      <c r="BW215" s="774">
        <f t="shared" si="140"/>
        <v>2823.8561606917042</v>
      </c>
    </row>
    <row r="216" spans="1:75" ht="15" thickBot="1" x14ac:dyDescent="0.35">
      <c r="A216" s="209" t="s">
        <v>384</v>
      </c>
      <c r="B216" s="227">
        <v>9</v>
      </c>
      <c r="C216" s="39">
        <f>'[3]побудинковий звіт'!E216</f>
        <v>9392.7999999999993</v>
      </c>
      <c r="D216" s="205">
        <f t="shared" si="115"/>
        <v>5792.9432984869645</v>
      </c>
      <c r="E216" s="104">
        <f t="shared" si="116"/>
        <v>1274.4485899692659</v>
      </c>
      <c r="F216" s="104">
        <f t="shared" si="117"/>
        <v>446.48332824810558</v>
      </c>
      <c r="G216" s="104">
        <f t="shared" si="118"/>
        <v>0</v>
      </c>
      <c r="H216" s="104">
        <f t="shared" si="119"/>
        <v>4839.857524897453</v>
      </c>
      <c r="I216" s="104">
        <f t="shared" si="120"/>
        <v>1590.0839597962811</v>
      </c>
      <c r="J216" s="672">
        <f t="shared" si="108"/>
        <v>0</v>
      </c>
      <c r="K216" s="139">
        <f t="shared" si="121"/>
        <v>13943.816701398069</v>
      </c>
      <c r="L216" s="138">
        <f t="shared" si="109"/>
        <v>4110.9051848196323</v>
      </c>
      <c r="M216" s="104">
        <f t="shared" si="110"/>
        <v>904.39488385954792</v>
      </c>
      <c r="N216" s="29">
        <f t="shared" si="122"/>
        <v>304.39533827930052</v>
      </c>
      <c r="O216" s="104">
        <f t="shared" si="111"/>
        <v>16.909946335438505</v>
      </c>
      <c r="P216" s="104">
        <f t="shared" si="123"/>
        <v>3434.5572479685511</v>
      </c>
      <c r="Q216" s="104">
        <f t="shared" si="124"/>
        <v>1128.9612016670617</v>
      </c>
      <c r="R216" s="140">
        <f t="shared" si="125"/>
        <v>9900.1238029295328</v>
      </c>
      <c r="S216" s="138">
        <f t="shared" si="126"/>
        <v>194.59</v>
      </c>
      <c r="T216" s="104">
        <f t="shared" si="112"/>
        <v>25.046230496373809</v>
      </c>
      <c r="U216" s="139">
        <f t="shared" si="127"/>
        <v>219.6362304963738</v>
      </c>
      <c r="V216" s="104"/>
      <c r="W216" s="104">
        <f t="shared" si="128"/>
        <v>0</v>
      </c>
      <c r="X216" s="139">
        <f t="shared" si="129"/>
        <v>0</v>
      </c>
      <c r="Y216" s="138">
        <v>10083.49</v>
      </c>
      <c r="Z216" s="141">
        <v>0</v>
      </c>
      <c r="AA216" s="104">
        <f t="shared" si="113"/>
        <v>1297.8745811597735</v>
      </c>
      <c r="AB216" s="139">
        <f t="shared" si="114"/>
        <v>11381.364581159773</v>
      </c>
      <c r="AC216" s="138">
        <v>354.22500000000002</v>
      </c>
      <c r="AD216" s="104">
        <f t="shared" si="130"/>
        <v>45.593303857228086</v>
      </c>
      <c r="AE216" s="139">
        <f t="shared" si="131"/>
        <v>399.8183038572281</v>
      </c>
      <c r="AF216" s="142">
        <v>479.6</v>
      </c>
      <c r="AG216" s="104">
        <f t="shared" si="132"/>
        <v>61.73067550265111</v>
      </c>
      <c r="AH216" s="139">
        <f t="shared" si="133"/>
        <v>541.33067550265116</v>
      </c>
      <c r="AI216" s="142">
        <v>1944.8</v>
      </c>
      <c r="AJ216" s="104">
        <f t="shared" si="134"/>
        <v>250.32072084561273</v>
      </c>
      <c r="AK216" s="139">
        <f t="shared" si="135"/>
        <v>2195.1207208456126</v>
      </c>
      <c r="AL216" s="143"/>
      <c r="AM216" s="143"/>
      <c r="AN216" s="104">
        <f t="shared" si="136"/>
        <v>0</v>
      </c>
      <c r="AO216" s="148">
        <f t="shared" si="137"/>
        <v>0</v>
      </c>
      <c r="AP216" s="272">
        <f t="shared" si="138"/>
        <v>9143.1090118571756</v>
      </c>
      <c r="AQ216" s="669">
        <v>0</v>
      </c>
      <c r="AR216" s="726">
        <v>5346.3294324976578</v>
      </c>
      <c r="AS216" s="726">
        <v>3716.7778026922915</v>
      </c>
      <c r="AT216" s="726">
        <v>80.001776667225442</v>
      </c>
      <c r="AU216" s="401">
        <v>0</v>
      </c>
      <c r="AV216" s="786"/>
      <c r="AW216" s="246"/>
      <c r="AX216" s="713">
        <f t="shared" si="139"/>
        <v>446.48332824810558</v>
      </c>
      <c r="AY216" s="714">
        <v>304.39533827930052</v>
      </c>
      <c r="AZ216" s="715"/>
      <c r="BA216" s="716">
        <v>0</v>
      </c>
      <c r="BC216" s="712">
        <v>172</v>
      </c>
      <c r="BD216" s="712">
        <v>274.48332824810558</v>
      </c>
      <c r="BE216" s="712"/>
      <c r="BF216" s="712"/>
      <c r="BG216" s="712">
        <v>0</v>
      </c>
      <c r="BH216" s="712">
        <v>18.004884238753085</v>
      </c>
      <c r="BI216" s="134">
        <f t="shared" si="141"/>
        <v>446.48332824810558</v>
      </c>
      <c r="BJ216" s="123">
        <v>884.5</v>
      </c>
      <c r="BK216" s="792"/>
      <c r="BL216" s="104"/>
      <c r="BM216" s="672"/>
      <c r="BO216" s="562"/>
      <c r="BS216" s="879"/>
      <c r="BT216" s="774"/>
      <c r="BU216" s="774">
        <v>5192.4023436854804</v>
      </c>
      <c r="BV216" s="774">
        <v>0</v>
      </c>
      <c r="BW216" s="774">
        <f t="shared" si="140"/>
        <v>5192.4023436854804</v>
      </c>
    </row>
    <row r="217" spans="1:75" ht="15" thickBot="1" x14ac:dyDescent="0.35">
      <c r="A217" s="209" t="s">
        <v>269</v>
      </c>
      <c r="B217" s="227">
        <v>5</v>
      </c>
      <c r="C217" s="39">
        <f>'[3]побудинковий звіт'!E217</f>
        <v>3505.5</v>
      </c>
      <c r="D217" s="205">
        <f t="shared" si="115"/>
        <v>1370.3619646883913</v>
      </c>
      <c r="E217" s="104">
        <f t="shared" si="116"/>
        <v>301.47988399969029</v>
      </c>
      <c r="F217" s="104">
        <f t="shared" si="117"/>
        <v>224.21450902291076</v>
      </c>
      <c r="G217" s="104">
        <f t="shared" si="118"/>
        <v>0</v>
      </c>
      <c r="H217" s="104">
        <f t="shared" si="119"/>
        <v>1144.9027419900081</v>
      </c>
      <c r="I217" s="104">
        <f t="shared" si="120"/>
        <v>391.41046580583088</v>
      </c>
      <c r="J217" s="672">
        <f t="shared" si="108"/>
        <v>0</v>
      </c>
      <c r="K217" s="139">
        <f t="shared" si="121"/>
        <v>3432.3695655068309</v>
      </c>
      <c r="L217" s="138">
        <f t="shared" si="109"/>
        <v>586.00545573858494</v>
      </c>
      <c r="M217" s="104">
        <f t="shared" si="110"/>
        <v>128.92059345976185</v>
      </c>
      <c r="N217" s="29">
        <f t="shared" si="122"/>
        <v>156.02980433342799</v>
      </c>
      <c r="O217" s="104">
        <f t="shared" si="111"/>
        <v>6.3109846775061413</v>
      </c>
      <c r="P217" s="104">
        <f t="shared" si="123"/>
        <v>489.59272833347472</v>
      </c>
      <c r="Q217" s="104">
        <f t="shared" si="124"/>
        <v>175.93236939104503</v>
      </c>
      <c r="R217" s="140">
        <f t="shared" si="125"/>
        <v>1542.7919359338007</v>
      </c>
      <c r="S217" s="138">
        <f t="shared" si="126"/>
        <v>96.975999999999999</v>
      </c>
      <c r="T217" s="104">
        <f t="shared" si="112"/>
        <v>12.482055853930554</v>
      </c>
      <c r="U217" s="139">
        <f t="shared" si="127"/>
        <v>109.45805585393055</v>
      </c>
      <c r="V217" s="104"/>
      <c r="W217" s="104">
        <f t="shared" si="128"/>
        <v>0</v>
      </c>
      <c r="X217" s="139">
        <f t="shared" si="129"/>
        <v>0</v>
      </c>
      <c r="Y217" s="138">
        <v>0</v>
      </c>
      <c r="Z217" s="141">
        <v>0</v>
      </c>
      <c r="AA217" s="104">
        <f t="shared" si="113"/>
        <v>0</v>
      </c>
      <c r="AB217" s="139">
        <f t="shared" si="114"/>
        <v>0</v>
      </c>
      <c r="AC217" s="138">
        <v>0</v>
      </c>
      <c r="AD217" s="104">
        <f t="shared" si="130"/>
        <v>0</v>
      </c>
      <c r="AE217" s="139">
        <f t="shared" si="131"/>
        <v>0</v>
      </c>
      <c r="AF217" s="142">
        <v>147.4</v>
      </c>
      <c r="AG217" s="104">
        <f t="shared" si="132"/>
        <v>18.97227182879644</v>
      </c>
      <c r="AH217" s="139">
        <f t="shared" si="133"/>
        <v>166.37227182879644</v>
      </c>
      <c r="AI217" s="142">
        <v>0</v>
      </c>
      <c r="AJ217" s="104">
        <f t="shared" si="134"/>
        <v>0</v>
      </c>
      <c r="AK217" s="139">
        <f t="shared" si="135"/>
        <v>0</v>
      </c>
      <c r="AL217" s="143"/>
      <c r="AM217" s="143"/>
      <c r="AN217" s="104">
        <f t="shared" si="136"/>
        <v>0</v>
      </c>
      <c r="AO217" s="148">
        <f t="shared" si="137"/>
        <v>0</v>
      </c>
      <c r="AP217" s="272">
        <f t="shared" si="138"/>
        <v>1692.0594385294705</v>
      </c>
      <c r="AQ217" s="669">
        <v>113.88</v>
      </c>
      <c r="AR217" s="725">
        <v>1150.8322762106816</v>
      </c>
      <c r="AS217" s="725">
        <v>525.68259482273641</v>
      </c>
      <c r="AT217" s="725">
        <v>15.544567496052688</v>
      </c>
      <c r="AU217" s="401">
        <v>0</v>
      </c>
      <c r="AV217" s="786"/>
      <c r="AW217" s="246"/>
      <c r="AX217" s="713">
        <f t="shared" si="139"/>
        <v>107.20450902291076</v>
      </c>
      <c r="AY217" s="714">
        <v>72.029804333427975</v>
      </c>
      <c r="AZ217" s="715"/>
      <c r="BA217" s="716">
        <v>84</v>
      </c>
      <c r="BC217" s="712">
        <v>0</v>
      </c>
      <c r="BD217" s="712">
        <v>107.20450902291076</v>
      </c>
      <c r="BE217" s="712"/>
      <c r="BF217" s="712"/>
      <c r="BG217" s="712">
        <v>0</v>
      </c>
      <c r="BH217" s="712">
        <v>0</v>
      </c>
      <c r="BI217" s="134">
        <f t="shared" si="141"/>
        <v>107.20450902291076</v>
      </c>
      <c r="BJ217" s="123">
        <v>440.8</v>
      </c>
      <c r="BK217" s="792"/>
      <c r="BL217" s="104"/>
      <c r="BM217" s="672">
        <v>117.01</v>
      </c>
      <c r="BO217" s="562"/>
      <c r="BS217" s="879"/>
      <c r="BT217" s="774"/>
      <c r="BU217" s="774">
        <v>1129.4903066803954</v>
      </c>
      <c r="BV217" s="774">
        <v>0</v>
      </c>
      <c r="BW217" s="774">
        <f t="shared" si="140"/>
        <v>1129.4903066803954</v>
      </c>
    </row>
    <row r="218" spans="1:75" ht="15" thickBot="1" x14ac:dyDescent="0.35">
      <c r="A218" s="209" t="s">
        <v>270</v>
      </c>
      <c r="B218" s="227">
        <v>5</v>
      </c>
      <c r="C218" s="39">
        <f>'[3]побудинковий звіт'!E218</f>
        <v>3564.3</v>
      </c>
      <c r="D218" s="205">
        <f t="shared" si="115"/>
        <v>1144.7418566859751</v>
      </c>
      <c r="E218" s="104">
        <f t="shared" si="116"/>
        <v>251.84341878735262</v>
      </c>
      <c r="F218" s="104">
        <f t="shared" si="117"/>
        <v>108.95338901495664</v>
      </c>
      <c r="G218" s="104">
        <f t="shared" si="118"/>
        <v>0</v>
      </c>
      <c r="H218" s="104">
        <f t="shared" si="119"/>
        <v>956.40285148203839</v>
      </c>
      <c r="I218" s="104">
        <f t="shared" si="120"/>
        <v>316.88347128621547</v>
      </c>
      <c r="J218" s="672">
        <f t="shared" si="108"/>
        <v>0</v>
      </c>
      <c r="K218" s="139">
        <f t="shared" si="121"/>
        <v>2778.8249872565384</v>
      </c>
      <c r="L218" s="138">
        <f t="shared" si="109"/>
        <v>608.62523846557735</v>
      </c>
      <c r="M218" s="104">
        <f t="shared" si="110"/>
        <v>133.89692223714377</v>
      </c>
      <c r="N218" s="29">
        <f t="shared" si="122"/>
        <v>73.204862031820042</v>
      </c>
      <c r="O218" s="104">
        <f t="shared" si="111"/>
        <v>6.4168428714976864</v>
      </c>
      <c r="P218" s="104">
        <f t="shared" si="123"/>
        <v>508.4909843670481</v>
      </c>
      <c r="Q218" s="104">
        <f t="shared" si="124"/>
        <v>171.26978343662944</v>
      </c>
      <c r="R218" s="140">
        <f t="shared" si="125"/>
        <v>1501.9046334097166</v>
      </c>
      <c r="S218" s="138">
        <f t="shared" si="126"/>
        <v>156.97</v>
      </c>
      <c r="T218" s="104">
        <f t="shared" si="112"/>
        <v>20.204053656486956</v>
      </c>
      <c r="U218" s="139">
        <f t="shared" si="127"/>
        <v>177.17405365648696</v>
      </c>
      <c r="V218" s="104"/>
      <c r="W218" s="104">
        <f t="shared" si="128"/>
        <v>0</v>
      </c>
      <c r="X218" s="139">
        <f t="shared" si="129"/>
        <v>0</v>
      </c>
      <c r="Y218" s="138">
        <v>0</v>
      </c>
      <c r="Z218" s="141">
        <v>0</v>
      </c>
      <c r="AA218" s="104">
        <f t="shared" si="113"/>
        <v>0</v>
      </c>
      <c r="AB218" s="139">
        <f t="shared" si="114"/>
        <v>0</v>
      </c>
      <c r="AC218" s="138">
        <v>0</v>
      </c>
      <c r="AD218" s="104">
        <f t="shared" si="130"/>
        <v>0</v>
      </c>
      <c r="AE218" s="139">
        <f t="shared" si="131"/>
        <v>0</v>
      </c>
      <c r="AF218" s="142">
        <v>481.8</v>
      </c>
      <c r="AG218" s="104">
        <f t="shared" si="132"/>
        <v>62.013843738901798</v>
      </c>
      <c r="AH218" s="139">
        <f t="shared" si="133"/>
        <v>543.81384373890182</v>
      </c>
      <c r="AI218" s="142">
        <v>0</v>
      </c>
      <c r="AJ218" s="104">
        <f t="shared" si="134"/>
        <v>0</v>
      </c>
      <c r="AK218" s="139">
        <f t="shared" si="135"/>
        <v>0</v>
      </c>
      <c r="AL218" s="143"/>
      <c r="AM218" s="143"/>
      <c r="AN218" s="104">
        <f t="shared" si="136"/>
        <v>0</v>
      </c>
      <c r="AO218" s="148">
        <f t="shared" si="137"/>
        <v>0</v>
      </c>
      <c r="AP218" s="272">
        <f t="shared" si="138"/>
        <v>1478.6951243139672</v>
      </c>
      <c r="AQ218" s="669">
        <v>139.91</v>
      </c>
      <c r="AR218" s="725">
        <v>916.5766192649852</v>
      </c>
      <c r="AS218" s="725">
        <v>536.90469294025434</v>
      </c>
      <c r="AT218" s="725">
        <v>25.213812108727648</v>
      </c>
      <c r="AU218" s="401">
        <v>0</v>
      </c>
      <c r="AV218" s="786"/>
      <c r="AW218" s="246"/>
      <c r="AX218" s="713">
        <f t="shared" si="139"/>
        <v>108.95338901495664</v>
      </c>
      <c r="AY218" s="714">
        <v>73.204862031820042</v>
      </c>
      <c r="AZ218" s="715"/>
      <c r="BA218" s="716">
        <v>0</v>
      </c>
      <c r="BC218" s="712">
        <v>0</v>
      </c>
      <c r="BD218" s="712">
        <v>108.95338901495664</v>
      </c>
      <c r="BE218" s="712"/>
      <c r="BF218" s="712"/>
      <c r="BG218" s="712">
        <v>0</v>
      </c>
      <c r="BH218" s="712">
        <v>0</v>
      </c>
      <c r="BI218" s="134">
        <f t="shared" si="141"/>
        <v>108.95338901495664</v>
      </c>
      <c r="BJ218" s="123">
        <v>713.5</v>
      </c>
      <c r="BK218" s="792"/>
      <c r="BL218" s="104"/>
      <c r="BM218" s="672"/>
      <c r="BO218" s="562"/>
      <c r="BS218" s="879"/>
      <c r="BT218" s="774"/>
      <c r="BU218" s="774">
        <v>897.7214845087409</v>
      </c>
      <c r="BV218" s="774">
        <v>0</v>
      </c>
      <c r="BW218" s="774">
        <f t="shared" si="140"/>
        <v>897.7214845087409</v>
      </c>
    </row>
    <row r="219" spans="1:75" ht="15" thickBot="1" x14ac:dyDescent="0.35">
      <c r="A219" s="209" t="s">
        <v>271</v>
      </c>
      <c r="B219" s="227">
        <v>5</v>
      </c>
      <c r="C219" s="39">
        <f>'[3]побудинковий звіт'!E219</f>
        <v>3571.4</v>
      </c>
      <c r="D219" s="205">
        <f t="shared" si="115"/>
        <v>989.79551879568044</v>
      </c>
      <c r="E219" s="104">
        <f t="shared" si="116"/>
        <v>217.75519598414235</v>
      </c>
      <c r="F219" s="104">
        <f t="shared" si="117"/>
        <v>284.70798761524276</v>
      </c>
      <c r="G219" s="104">
        <f t="shared" si="118"/>
        <v>0</v>
      </c>
      <c r="H219" s="104">
        <f t="shared" si="119"/>
        <v>826.9491073741832</v>
      </c>
      <c r="I219" s="104">
        <f t="shared" si="120"/>
        <v>298.51181135963236</v>
      </c>
      <c r="J219" s="672">
        <f t="shared" si="108"/>
        <v>0</v>
      </c>
      <c r="K219" s="139">
        <f t="shared" si="121"/>
        <v>2617.719621128881</v>
      </c>
      <c r="L219" s="138">
        <f t="shared" si="109"/>
        <v>721.26183241746776</v>
      </c>
      <c r="M219" s="104">
        <f t="shared" si="110"/>
        <v>158.67685627250501</v>
      </c>
      <c r="N219" s="29">
        <f t="shared" si="122"/>
        <v>157.3692057658609</v>
      </c>
      <c r="O219" s="104">
        <f t="shared" si="111"/>
        <v>6.4296250683912231</v>
      </c>
      <c r="P219" s="104">
        <f t="shared" si="123"/>
        <v>602.5960081395508</v>
      </c>
      <c r="Q219" s="104">
        <f t="shared" si="124"/>
        <v>211.90425514042414</v>
      </c>
      <c r="R219" s="140">
        <f t="shared" si="125"/>
        <v>1858.2377828041999</v>
      </c>
      <c r="S219" s="138">
        <f t="shared" si="126"/>
        <v>159.87400000000002</v>
      </c>
      <c r="T219" s="104">
        <f t="shared" si="112"/>
        <v>20.577835728337874</v>
      </c>
      <c r="U219" s="139">
        <f t="shared" si="127"/>
        <v>180.4518357283379</v>
      </c>
      <c r="V219" s="104"/>
      <c r="W219" s="104">
        <f t="shared" si="128"/>
        <v>0</v>
      </c>
      <c r="X219" s="139">
        <f t="shared" si="129"/>
        <v>0</v>
      </c>
      <c r="Y219" s="138">
        <v>0</v>
      </c>
      <c r="Z219" s="141">
        <v>0</v>
      </c>
      <c r="AA219" s="104">
        <f t="shared" si="113"/>
        <v>0</v>
      </c>
      <c r="AB219" s="139">
        <f t="shared" si="114"/>
        <v>0</v>
      </c>
      <c r="AC219" s="138">
        <v>0</v>
      </c>
      <c r="AD219" s="104">
        <f t="shared" si="130"/>
        <v>0</v>
      </c>
      <c r="AE219" s="139">
        <f t="shared" si="131"/>
        <v>0</v>
      </c>
      <c r="AF219" s="142">
        <v>1214.4000000000001</v>
      </c>
      <c r="AG219" s="104">
        <f t="shared" si="132"/>
        <v>156.30886641038262</v>
      </c>
      <c r="AH219" s="139">
        <f t="shared" si="133"/>
        <v>1370.7088664103826</v>
      </c>
      <c r="AI219" s="142">
        <v>0</v>
      </c>
      <c r="AJ219" s="104">
        <f t="shared" si="134"/>
        <v>0</v>
      </c>
      <c r="AK219" s="139">
        <f t="shared" si="135"/>
        <v>0</v>
      </c>
      <c r="AL219" s="143"/>
      <c r="AM219" s="391"/>
      <c r="AN219" s="104">
        <f t="shared" si="136"/>
        <v>0</v>
      </c>
      <c r="AO219" s="148">
        <f t="shared" si="137"/>
        <v>0</v>
      </c>
      <c r="AP219" s="272">
        <f t="shared" si="138"/>
        <v>1450.5742800547998</v>
      </c>
      <c r="AQ219" s="669">
        <v>129.06</v>
      </c>
      <c r="AR219" s="725">
        <v>784.42605391559266</v>
      </c>
      <c r="AS219" s="725">
        <v>640.52287557178443</v>
      </c>
      <c r="AT219" s="725">
        <v>25.625350567422789</v>
      </c>
      <c r="AU219" s="401">
        <v>0</v>
      </c>
      <c r="AV219" s="786"/>
      <c r="AW219" s="246"/>
      <c r="AX219" s="713">
        <f t="shared" si="139"/>
        <v>109.19798761524278</v>
      </c>
      <c r="AY219" s="714">
        <v>73.369205765860897</v>
      </c>
      <c r="AZ219" s="715"/>
      <c r="BA219" s="716">
        <v>84</v>
      </c>
      <c r="BC219" s="712">
        <v>0</v>
      </c>
      <c r="BD219" s="712">
        <v>109.19798761524278</v>
      </c>
      <c r="BE219" s="712"/>
      <c r="BF219" s="712"/>
      <c r="BG219" s="712">
        <v>0</v>
      </c>
      <c r="BH219" s="712">
        <v>0</v>
      </c>
      <c r="BI219" s="134">
        <f t="shared" si="141"/>
        <v>109.19798761524278</v>
      </c>
      <c r="BJ219" s="123">
        <v>726.7</v>
      </c>
      <c r="BK219" s="792"/>
      <c r="BL219" s="104"/>
      <c r="BM219" s="672">
        <v>175.51</v>
      </c>
      <c r="BO219" s="562"/>
      <c r="BS219" s="879"/>
      <c r="BT219" s="774"/>
      <c r="BU219" s="774">
        <v>769.88631172354474</v>
      </c>
      <c r="BV219" s="774">
        <v>0</v>
      </c>
      <c r="BW219" s="774">
        <f t="shared" si="140"/>
        <v>769.88631172354474</v>
      </c>
    </row>
    <row r="220" spans="1:75" ht="15" thickBot="1" x14ac:dyDescent="0.35">
      <c r="A220" s="209" t="s">
        <v>272</v>
      </c>
      <c r="B220" s="227">
        <v>5</v>
      </c>
      <c r="C220" s="39">
        <f>'[3]побудинковий звіт'!E220</f>
        <v>2747.6</v>
      </c>
      <c r="D220" s="205">
        <f t="shared" si="115"/>
        <v>1285.7968975370682</v>
      </c>
      <c r="E220" s="104">
        <f t="shared" si="116"/>
        <v>282.8755536897753</v>
      </c>
      <c r="F220" s="104">
        <f t="shared" si="117"/>
        <v>431.81174522700064</v>
      </c>
      <c r="G220" s="104">
        <f t="shared" si="118"/>
        <v>0</v>
      </c>
      <c r="H220" s="104">
        <f t="shared" si="119"/>
        <v>1074.2507684582306</v>
      </c>
      <c r="I220" s="104">
        <f t="shared" si="120"/>
        <v>395.75785316022228</v>
      </c>
      <c r="J220" s="672">
        <f t="shared" si="108"/>
        <v>0</v>
      </c>
      <c r="K220" s="139">
        <f t="shared" si="121"/>
        <v>3470.4928180722968</v>
      </c>
      <c r="L220" s="138">
        <f t="shared" si="109"/>
        <v>442.25735366782254</v>
      </c>
      <c r="M220" s="104">
        <f t="shared" si="110"/>
        <v>97.296159853901003</v>
      </c>
      <c r="N220" s="29">
        <f t="shared" si="122"/>
        <v>54.276572463665424</v>
      </c>
      <c r="O220" s="104">
        <f t="shared" si="111"/>
        <v>4.9465301668566175</v>
      </c>
      <c r="P220" s="104">
        <f t="shared" si="123"/>
        <v>369.49482686107143</v>
      </c>
      <c r="Q220" s="104">
        <f t="shared" si="124"/>
        <v>124.62896214999749</v>
      </c>
      <c r="R220" s="140">
        <f t="shared" si="125"/>
        <v>1092.9004051633144</v>
      </c>
      <c r="S220" s="138">
        <f t="shared" si="126"/>
        <v>51.898000000000003</v>
      </c>
      <c r="T220" s="104">
        <f t="shared" si="112"/>
        <v>6.6799386931538516</v>
      </c>
      <c r="U220" s="139">
        <f t="shared" si="127"/>
        <v>58.577938693153854</v>
      </c>
      <c r="V220" s="104"/>
      <c r="W220" s="104">
        <f t="shared" si="128"/>
        <v>0</v>
      </c>
      <c r="X220" s="139">
        <f t="shared" si="129"/>
        <v>0</v>
      </c>
      <c r="Y220" s="138">
        <v>0</v>
      </c>
      <c r="Z220" s="141">
        <v>0</v>
      </c>
      <c r="AA220" s="104">
        <f t="shared" si="113"/>
        <v>0</v>
      </c>
      <c r="AB220" s="139">
        <f t="shared" si="114"/>
        <v>0</v>
      </c>
      <c r="AC220" s="138">
        <v>0</v>
      </c>
      <c r="AD220" s="104">
        <f t="shared" si="130"/>
        <v>0</v>
      </c>
      <c r="AE220" s="139">
        <f t="shared" si="131"/>
        <v>0</v>
      </c>
      <c r="AF220" s="142">
        <v>220</v>
      </c>
      <c r="AG220" s="104">
        <f t="shared" si="132"/>
        <v>28.316823625069315</v>
      </c>
      <c r="AH220" s="139">
        <f t="shared" si="133"/>
        <v>248.3168236250693</v>
      </c>
      <c r="AI220" s="142">
        <v>0</v>
      </c>
      <c r="AJ220" s="104">
        <f t="shared" si="134"/>
        <v>0</v>
      </c>
      <c r="AK220" s="139">
        <f t="shared" si="135"/>
        <v>0</v>
      </c>
      <c r="AL220" s="143">
        <v>765</v>
      </c>
      <c r="AM220" s="143"/>
      <c r="AN220" s="104">
        <f t="shared" si="136"/>
        <v>98.46531851444557</v>
      </c>
      <c r="AO220" s="148">
        <f t="shared" si="137"/>
        <v>863.46531851444558</v>
      </c>
      <c r="AP220" s="272">
        <f t="shared" si="138"/>
        <v>1481.2501029409793</v>
      </c>
      <c r="AQ220" s="669">
        <v>113.88</v>
      </c>
      <c r="AR220" s="725">
        <v>1072.7868536721344</v>
      </c>
      <c r="AS220" s="725">
        <v>400.14660323496463</v>
      </c>
      <c r="AT220" s="725">
        <v>8.3166460338803301</v>
      </c>
      <c r="AU220" s="401">
        <v>0</v>
      </c>
      <c r="AV220" s="786"/>
      <c r="AW220" s="246"/>
      <c r="AX220" s="713">
        <f t="shared" si="139"/>
        <v>80.781745227000684</v>
      </c>
      <c r="AY220" s="714">
        <v>54.276572463665424</v>
      </c>
      <c r="AZ220" s="715"/>
      <c r="BA220" s="716">
        <v>0</v>
      </c>
      <c r="BC220" s="712">
        <v>0</v>
      </c>
      <c r="BD220" s="712">
        <v>80.781745227000684</v>
      </c>
      <c r="BE220" s="712"/>
      <c r="BF220" s="712"/>
      <c r="BG220" s="712">
        <v>0</v>
      </c>
      <c r="BH220" s="712">
        <v>0</v>
      </c>
      <c r="BI220" s="134">
        <f t="shared" si="141"/>
        <v>80.781745227000684</v>
      </c>
      <c r="BJ220" s="123">
        <v>235.9</v>
      </c>
      <c r="BK220" s="792"/>
      <c r="BL220" s="104"/>
      <c r="BM220" s="672">
        <v>351.03</v>
      </c>
      <c r="BO220" s="562"/>
      <c r="BS220" s="879"/>
      <c r="BT220" s="774"/>
      <c r="BU220" s="774">
        <v>1052.8923674162666</v>
      </c>
      <c r="BV220" s="774">
        <v>0</v>
      </c>
      <c r="BW220" s="774">
        <f t="shared" si="140"/>
        <v>1052.8923674162666</v>
      </c>
    </row>
    <row r="221" spans="1:75" ht="15" thickBot="1" x14ac:dyDescent="0.35">
      <c r="A221" s="209" t="s">
        <v>216</v>
      </c>
      <c r="B221" s="227">
        <v>4</v>
      </c>
      <c r="C221" s="39">
        <f>'[3]побудинковий звіт'!E221</f>
        <v>2524.1999999999998</v>
      </c>
      <c r="D221" s="205">
        <f t="shared" si="115"/>
        <v>880.53960721043518</v>
      </c>
      <c r="E221" s="104">
        <f t="shared" si="116"/>
        <v>193.71887536246624</v>
      </c>
      <c r="F221" s="104">
        <f t="shared" si="117"/>
        <v>73.575870462571061</v>
      </c>
      <c r="G221" s="104">
        <f t="shared" si="118"/>
        <v>0</v>
      </c>
      <c r="H221" s="104">
        <f t="shared" si="119"/>
        <v>735.66855816468365</v>
      </c>
      <c r="I221" s="104">
        <f t="shared" si="120"/>
        <v>242.43099878981548</v>
      </c>
      <c r="J221" s="672">
        <f t="shared" si="108"/>
        <v>0</v>
      </c>
      <c r="K221" s="139">
        <f t="shared" si="121"/>
        <v>2125.9339099899717</v>
      </c>
      <c r="L221" s="138">
        <f t="shared" si="109"/>
        <v>674.72944500857909</v>
      </c>
      <c r="M221" s="104">
        <f t="shared" si="110"/>
        <v>148.43977922636637</v>
      </c>
      <c r="N221" s="29">
        <f t="shared" si="122"/>
        <v>49.435006058822054</v>
      </c>
      <c r="O221" s="104">
        <f t="shared" si="111"/>
        <v>4.5443410420656116</v>
      </c>
      <c r="P221" s="104">
        <f t="shared" si="123"/>
        <v>563.71937604629773</v>
      </c>
      <c r="Q221" s="104">
        <f t="shared" si="124"/>
        <v>185.45819787743386</v>
      </c>
      <c r="R221" s="140">
        <f t="shared" si="125"/>
        <v>1626.3261452595646</v>
      </c>
      <c r="S221" s="138">
        <f t="shared" si="126"/>
        <v>64.728400000000008</v>
      </c>
      <c r="T221" s="104">
        <f t="shared" si="112"/>
        <v>8.3313758469678945</v>
      </c>
      <c r="U221" s="139">
        <f t="shared" si="127"/>
        <v>73.059775846967909</v>
      </c>
      <c r="V221" s="104"/>
      <c r="W221" s="104">
        <f t="shared" si="128"/>
        <v>0</v>
      </c>
      <c r="X221" s="139">
        <f t="shared" si="129"/>
        <v>0</v>
      </c>
      <c r="Y221" s="138">
        <v>0</v>
      </c>
      <c r="Z221" s="141">
        <v>0</v>
      </c>
      <c r="AA221" s="104">
        <f t="shared" si="113"/>
        <v>0</v>
      </c>
      <c r="AB221" s="139">
        <f t="shared" si="114"/>
        <v>0</v>
      </c>
      <c r="AC221" s="138">
        <v>0</v>
      </c>
      <c r="AD221" s="104">
        <f t="shared" si="130"/>
        <v>0</v>
      </c>
      <c r="AE221" s="139">
        <f t="shared" si="131"/>
        <v>0</v>
      </c>
      <c r="AF221" s="142">
        <v>231</v>
      </c>
      <c r="AG221" s="104">
        <f t="shared" si="132"/>
        <v>29.732664806322781</v>
      </c>
      <c r="AH221" s="139">
        <f t="shared" si="133"/>
        <v>260.73266480632276</v>
      </c>
      <c r="AI221" s="142">
        <v>0</v>
      </c>
      <c r="AJ221" s="104">
        <f t="shared" si="134"/>
        <v>0</v>
      </c>
      <c r="AK221" s="139">
        <f t="shared" si="135"/>
        <v>0</v>
      </c>
      <c r="AL221" s="143"/>
      <c r="AM221" s="143"/>
      <c r="AN221" s="104">
        <f t="shared" si="136"/>
        <v>0</v>
      </c>
      <c r="AO221" s="148">
        <f t="shared" si="137"/>
        <v>0</v>
      </c>
      <c r="AP221" s="272">
        <f t="shared" si="138"/>
        <v>1410.4948638301796</v>
      </c>
      <c r="AQ221" s="669">
        <v>25.33</v>
      </c>
      <c r="AR221" s="725">
        <v>787.32335701432635</v>
      </c>
      <c r="AS221" s="725">
        <v>612.71707506155292</v>
      </c>
      <c r="AT221" s="725">
        <v>10.454431754300224</v>
      </c>
      <c r="AU221" s="401">
        <v>0</v>
      </c>
      <c r="AV221" s="786"/>
      <c r="AW221" s="246"/>
      <c r="AX221" s="713">
        <f t="shared" si="139"/>
        <v>73.575870462571061</v>
      </c>
      <c r="AY221" s="714">
        <v>49.435006058822054</v>
      </c>
      <c r="AZ221" s="715"/>
      <c r="BA221" s="716">
        <v>0</v>
      </c>
      <c r="BC221" s="712">
        <v>0</v>
      </c>
      <c r="BD221" s="712">
        <v>73.575870462571061</v>
      </c>
      <c r="BE221" s="712"/>
      <c r="BF221" s="712"/>
      <c r="BG221" s="712">
        <v>0</v>
      </c>
      <c r="BH221" s="712">
        <v>0</v>
      </c>
      <c r="BI221" s="134">
        <f t="shared" si="141"/>
        <v>73.575870462571061</v>
      </c>
      <c r="BJ221" s="123">
        <v>294.22000000000003</v>
      </c>
      <c r="BK221" s="792"/>
      <c r="BL221" s="104"/>
      <c r="BM221" s="672"/>
      <c r="BO221" s="562"/>
      <c r="BS221" s="879"/>
      <c r="BT221" s="774"/>
      <c r="BU221" s="774">
        <v>766.71646893617719</v>
      </c>
      <c r="BV221" s="774">
        <v>0</v>
      </c>
      <c r="BW221" s="774">
        <f t="shared" si="140"/>
        <v>766.71646893617719</v>
      </c>
    </row>
    <row r="222" spans="1:75" ht="15" thickBot="1" x14ac:dyDescent="0.35">
      <c r="A222" s="209" t="s">
        <v>179</v>
      </c>
      <c r="B222" s="227">
        <v>2</v>
      </c>
      <c r="C222" s="39">
        <f>'[3]побудинковий звіт'!E222</f>
        <v>911.81</v>
      </c>
      <c r="D222" s="205">
        <f t="shared" si="115"/>
        <v>286.48247378298356</v>
      </c>
      <c r="E222" s="104">
        <f t="shared" si="116"/>
        <v>63.02619686593367</v>
      </c>
      <c r="F222" s="104">
        <f t="shared" si="117"/>
        <v>23.322782285533627</v>
      </c>
      <c r="G222" s="104">
        <f t="shared" si="118"/>
        <v>0</v>
      </c>
      <c r="H222" s="104">
        <f t="shared" si="119"/>
        <v>239.34885688453977</v>
      </c>
      <c r="I222" s="104">
        <f t="shared" si="120"/>
        <v>78.79546299947566</v>
      </c>
      <c r="J222" s="672">
        <f t="shared" si="108"/>
        <v>0</v>
      </c>
      <c r="K222" s="139">
        <f t="shared" si="121"/>
        <v>690.97577281846634</v>
      </c>
      <c r="L222" s="138">
        <f t="shared" si="109"/>
        <v>0</v>
      </c>
      <c r="M222" s="104">
        <f t="shared" si="110"/>
        <v>0</v>
      </c>
      <c r="N222" s="29">
        <f t="shared" si="122"/>
        <v>0</v>
      </c>
      <c r="O222" s="104">
        <f t="shared" si="111"/>
        <v>1.6415401337318141</v>
      </c>
      <c r="P222" s="104">
        <f t="shared" si="123"/>
        <v>0</v>
      </c>
      <c r="Q222" s="104">
        <f t="shared" si="124"/>
        <v>0.21128728381980216</v>
      </c>
      <c r="R222" s="140">
        <f t="shared" si="125"/>
        <v>1.8528274175516162</v>
      </c>
      <c r="S222" s="138">
        <f t="shared" si="126"/>
        <v>0</v>
      </c>
      <c r="T222" s="104">
        <f t="shared" si="112"/>
        <v>0</v>
      </c>
      <c r="U222" s="139">
        <f t="shared" si="127"/>
        <v>0</v>
      </c>
      <c r="V222" s="104"/>
      <c r="W222" s="104">
        <f t="shared" si="128"/>
        <v>0</v>
      </c>
      <c r="X222" s="139">
        <f t="shared" si="129"/>
        <v>0</v>
      </c>
      <c r="Y222" s="138">
        <v>0</v>
      </c>
      <c r="Z222" s="141">
        <v>0</v>
      </c>
      <c r="AA222" s="104">
        <f t="shared" si="113"/>
        <v>0</v>
      </c>
      <c r="AB222" s="139">
        <f t="shared" si="114"/>
        <v>0</v>
      </c>
      <c r="AC222" s="138">
        <v>0</v>
      </c>
      <c r="AD222" s="104">
        <f t="shared" si="130"/>
        <v>0</v>
      </c>
      <c r="AE222" s="139">
        <f t="shared" si="131"/>
        <v>0</v>
      </c>
      <c r="AF222" s="142">
        <v>264</v>
      </c>
      <c r="AG222" s="104">
        <f t="shared" si="132"/>
        <v>33.980188350083175</v>
      </c>
      <c r="AH222" s="665">
        <f>AF222+AG222</f>
        <v>297.98018835008315</v>
      </c>
      <c r="AI222" s="142">
        <v>0</v>
      </c>
      <c r="AJ222" s="104">
        <f t="shared" si="134"/>
        <v>0</v>
      </c>
      <c r="AK222" s="139">
        <f t="shared" si="135"/>
        <v>0</v>
      </c>
      <c r="AL222" s="143"/>
      <c r="AM222" s="143"/>
      <c r="AN222" s="104">
        <f t="shared" si="136"/>
        <v>0</v>
      </c>
      <c r="AO222" s="148">
        <f t="shared" si="137"/>
        <v>0</v>
      </c>
      <c r="AP222" s="272">
        <f t="shared" si="138"/>
        <v>228.61576611784616</v>
      </c>
      <c r="AQ222" s="669">
        <v>35.78</v>
      </c>
      <c r="AR222" s="725">
        <v>228.61576611784616</v>
      </c>
      <c r="AS222" s="725">
        <v>0</v>
      </c>
      <c r="AT222" s="725">
        <v>0</v>
      </c>
      <c r="AU222" s="401">
        <v>0</v>
      </c>
      <c r="AV222" s="786"/>
      <c r="AW222" s="246"/>
      <c r="AX222" s="713">
        <f t="shared" si="139"/>
        <v>23.322782285533627</v>
      </c>
      <c r="AY222" s="714">
        <v>0</v>
      </c>
      <c r="AZ222" s="715"/>
      <c r="BA222" s="716">
        <v>0</v>
      </c>
      <c r="BC222" s="712">
        <v>0</v>
      </c>
      <c r="BD222" s="712">
        <v>23.322782285533627</v>
      </c>
      <c r="BE222" s="712"/>
      <c r="BF222" s="712"/>
      <c r="BG222" s="712">
        <v>0</v>
      </c>
      <c r="BH222" s="712">
        <v>0</v>
      </c>
      <c r="BI222" s="134">
        <f t="shared" si="141"/>
        <v>23.322782285533627</v>
      </c>
      <c r="BJ222" s="123"/>
      <c r="BK222" s="792"/>
      <c r="BL222" s="104"/>
      <c r="BM222" s="672"/>
      <c r="BO222" s="562"/>
      <c r="BS222" s="879"/>
      <c r="BT222" s="774"/>
      <c r="BU222" s="774">
        <v>222.62751152291759</v>
      </c>
      <c r="BV222" s="774">
        <v>0</v>
      </c>
      <c r="BW222" s="774">
        <f t="shared" si="140"/>
        <v>222.62751152291759</v>
      </c>
    </row>
    <row r="223" spans="1:75" ht="15" thickBot="1" x14ac:dyDescent="0.35">
      <c r="A223" s="210" t="s">
        <v>125</v>
      </c>
      <c r="B223" s="228">
        <v>1</v>
      </c>
      <c r="C223" s="39">
        <f>'[3]побудинковий звіт'!E223</f>
        <v>63</v>
      </c>
      <c r="D223" s="205">
        <f t="shared" si="115"/>
        <v>0</v>
      </c>
      <c r="E223" s="104">
        <f t="shared" si="116"/>
        <v>0</v>
      </c>
      <c r="F223" s="104">
        <f t="shared" si="117"/>
        <v>0</v>
      </c>
      <c r="G223" s="104">
        <f t="shared" si="118"/>
        <v>0</v>
      </c>
      <c r="H223" s="104">
        <f t="shared" si="119"/>
        <v>0</v>
      </c>
      <c r="I223" s="104">
        <f t="shared" si="120"/>
        <v>0</v>
      </c>
      <c r="J223" s="672">
        <f t="shared" si="108"/>
        <v>0</v>
      </c>
      <c r="K223" s="139">
        <f t="shared" si="121"/>
        <v>0</v>
      </c>
      <c r="L223" s="138">
        <f t="shared" si="109"/>
        <v>0</v>
      </c>
      <c r="M223" s="104">
        <f t="shared" si="110"/>
        <v>0</v>
      </c>
      <c r="N223" s="29">
        <f t="shared" si="122"/>
        <v>0</v>
      </c>
      <c r="O223" s="104">
        <f t="shared" si="111"/>
        <v>0.11341949356236967</v>
      </c>
      <c r="P223" s="104">
        <f t="shared" si="123"/>
        <v>0</v>
      </c>
      <c r="Q223" s="104">
        <f t="shared" si="124"/>
        <v>1.4598544522046848E-2</v>
      </c>
      <c r="R223" s="140">
        <f t="shared" si="125"/>
        <v>0.12801803808441653</v>
      </c>
      <c r="S223" s="138">
        <f t="shared" si="126"/>
        <v>0</v>
      </c>
      <c r="T223" s="104">
        <f t="shared" si="112"/>
        <v>0</v>
      </c>
      <c r="U223" s="139">
        <f t="shared" si="127"/>
        <v>0</v>
      </c>
      <c r="V223" s="104"/>
      <c r="W223" s="104">
        <f t="shared" si="128"/>
        <v>0</v>
      </c>
      <c r="X223" s="139">
        <f t="shared" si="129"/>
        <v>0</v>
      </c>
      <c r="Y223" s="138">
        <v>0</v>
      </c>
      <c r="Z223" s="141">
        <v>0</v>
      </c>
      <c r="AA223" s="104">
        <f t="shared" si="113"/>
        <v>0</v>
      </c>
      <c r="AB223" s="139">
        <f t="shared" si="114"/>
        <v>0</v>
      </c>
      <c r="AC223" s="138">
        <v>0</v>
      </c>
      <c r="AD223" s="104">
        <f t="shared" si="130"/>
        <v>0</v>
      </c>
      <c r="AE223" s="139">
        <f t="shared" si="131"/>
        <v>0</v>
      </c>
      <c r="AF223" s="142">
        <v>0</v>
      </c>
      <c r="AG223" s="104">
        <f t="shared" si="132"/>
        <v>0</v>
      </c>
      <c r="AH223" s="139">
        <f t="shared" si="133"/>
        <v>0</v>
      </c>
      <c r="AI223" s="142">
        <v>0</v>
      </c>
      <c r="AJ223" s="104">
        <f t="shared" si="134"/>
        <v>0</v>
      </c>
      <c r="AK223" s="139">
        <f t="shared" si="135"/>
        <v>0</v>
      </c>
      <c r="AL223" s="143"/>
      <c r="AM223" s="205"/>
      <c r="AN223" s="104">
        <f t="shared" si="136"/>
        <v>0</v>
      </c>
      <c r="AO223" s="148">
        <f t="shared" si="137"/>
        <v>0</v>
      </c>
      <c r="AP223" s="272">
        <f t="shared" si="138"/>
        <v>0</v>
      </c>
      <c r="AQ223" s="669">
        <v>0</v>
      </c>
      <c r="AR223" s="725">
        <v>0</v>
      </c>
      <c r="AS223" s="725">
        <v>0</v>
      </c>
      <c r="AT223" s="725">
        <v>0</v>
      </c>
      <c r="AU223" s="401">
        <v>0</v>
      </c>
      <c r="AV223" s="786"/>
      <c r="AW223" s="246"/>
      <c r="AX223" s="713">
        <f t="shared" si="139"/>
        <v>0</v>
      </c>
      <c r="AY223" s="714">
        <v>0</v>
      </c>
      <c r="AZ223" s="715"/>
      <c r="BA223" s="716">
        <v>0</v>
      </c>
      <c r="BC223" s="712">
        <v>0</v>
      </c>
      <c r="BD223" s="712">
        <v>0</v>
      </c>
      <c r="BE223" s="712"/>
      <c r="BF223" s="712"/>
      <c r="BG223" s="712">
        <v>0</v>
      </c>
      <c r="BH223" s="712">
        <v>0</v>
      </c>
      <c r="BI223" s="134">
        <f>BC223+BD223+BE223+BG223+BH223</f>
        <v>0</v>
      </c>
      <c r="BJ223" s="123"/>
      <c r="BK223" s="792"/>
      <c r="BL223" s="104"/>
      <c r="BM223" s="672"/>
      <c r="BO223" s="562"/>
      <c r="BS223" s="879"/>
      <c r="BT223" s="774"/>
      <c r="BU223" s="774">
        <v>0</v>
      </c>
      <c r="BV223" s="774">
        <v>0</v>
      </c>
      <c r="BW223" s="774">
        <f t="shared" si="140"/>
        <v>0</v>
      </c>
    </row>
    <row r="224" spans="1:75" ht="15" thickBot="1" x14ac:dyDescent="0.35">
      <c r="A224" s="209" t="s">
        <v>180</v>
      </c>
      <c r="B224" s="227">
        <v>2</v>
      </c>
      <c r="C224" s="39">
        <f>'[3]побудинковий звіт'!E224</f>
        <v>253.7</v>
      </c>
      <c r="D224" s="205">
        <f t="shared" si="115"/>
        <v>194.05689145395962</v>
      </c>
      <c r="E224" s="104">
        <f t="shared" si="116"/>
        <v>42.692551772759984</v>
      </c>
      <c r="F224" s="104">
        <f t="shared" si="117"/>
        <v>7.7568331115741547</v>
      </c>
      <c r="G224" s="104">
        <f t="shared" si="118"/>
        <v>0</v>
      </c>
      <c r="H224" s="104">
        <f t="shared" si="119"/>
        <v>162.12962184645627</v>
      </c>
      <c r="I224" s="104">
        <f t="shared" si="120"/>
        <v>52.339259129632779</v>
      </c>
      <c r="J224" s="672">
        <f t="shared" si="108"/>
        <v>0</v>
      </c>
      <c r="K224" s="139">
        <f t="shared" si="121"/>
        <v>458.97515731438284</v>
      </c>
      <c r="L224" s="138">
        <f t="shared" si="109"/>
        <v>83.760283621186829</v>
      </c>
      <c r="M224" s="104">
        <f t="shared" si="110"/>
        <v>18.427175663733951</v>
      </c>
      <c r="N224" s="29">
        <f t="shared" si="122"/>
        <v>5.2117506657703787</v>
      </c>
      <c r="O224" s="104">
        <f t="shared" si="111"/>
        <v>0.45673850026624102</v>
      </c>
      <c r="P224" s="104">
        <f t="shared" si="123"/>
        <v>69.979597258862782</v>
      </c>
      <c r="Q224" s="104">
        <f t="shared" si="124"/>
        <v>22.889717191513316</v>
      </c>
      <c r="R224" s="140">
        <f t="shared" si="125"/>
        <v>200.72526290133348</v>
      </c>
      <c r="S224" s="138">
        <f t="shared" si="126"/>
        <v>0</v>
      </c>
      <c r="T224" s="104">
        <f t="shared" si="112"/>
        <v>0</v>
      </c>
      <c r="U224" s="139">
        <f t="shared" si="127"/>
        <v>0</v>
      </c>
      <c r="V224" s="104"/>
      <c r="W224" s="104">
        <f t="shared" si="128"/>
        <v>0</v>
      </c>
      <c r="X224" s="139">
        <f t="shared" si="129"/>
        <v>0</v>
      </c>
      <c r="Y224" s="138">
        <v>0</v>
      </c>
      <c r="Z224" s="141">
        <v>0</v>
      </c>
      <c r="AA224" s="104">
        <f t="shared" si="113"/>
        <v>0</v>
      </c>
      <c r="AB224" s="139">
        <f t="shared" si="114"/>
        <v>0</v>
      </c>
      <c r="AC224" s="138">
        <v>0</v>
      </c>
      <c r="AD224" s="104">
        <f t="shared" si="130"/>
        <v>0</v>
      </c>
      <c r="AE224" s="139">
        <f t="shared" si="131"/>
        <v>0</v>
      </c>
      <c r="AF224" s="142">
        <v>33</v>
      </c>
      <c r="AG224" s="104">
        <f t="shared" si="132"/>
        <v>4.2475235437603969</v>
      </c>
      <c r="AH224" s="139">
        <f t="shared" si="133"/>
        <v>37.247523543760394</v>
      </c>
      <c r="AI224" s="142">
        <v>0</v>
      </c>
      <c r="AJ224" s="104">
        <f t="shared" si="134"/>
        <v>0</v>
      </c>
      <c r="AK224" s="139">
        <f t="shared" si="135"/>
        <v>0</v>
      </c>
      <c r="AL224" s="143"/>
      <c r="AM224" s="205"/>
      <c r="AN224" s="104">
        <f t="shared" si="136"/>
        <v>0</v>
      </c>
      <c r="AO224" s="148">
        <f t="shared" si="137"/>
        <v>0</v>
      </c>
      <c r="AP224" s="272">
        <f t="shared" si="138"/>
        <v>221.59577347485742</v>
      </c>
      <c r="AQ224" s="669">
        <v>34.86</v>
      </c>
      <c r="AR224" s="725">
        <v>144.23584418516333</v>
      </c>
      <c r="AS224" s="725">
        <v>77.359929289694094</v>
      </c>
      <c r="AT224" s="725">
        <v>0</v>
      </c>
      <c r="AU224" s="401">
        <v>0</v>
      </c>
      <c r="AV224" s="786"/>
      <c r="AW224" s="246"/>
      <c r="AX224" s="713">
        <f t="shared" si="139"/>
        <v>7.7568331115741547</v>
      </c>
      <c r="AY224" s="714">
        <v>5.2117506657703787</v>
      </c>
      <c r="AZ224" s="715"/>
      <c r="BA224" s="716">
        <v>0</v>
      </c>
      <c r="BC224" s="712">
        <v>0</v>
      </c>
      <c r="BD224" s="712">
        <v>7.7568331115741547</v>
      </c>
      <c r="BE224" s="712"/>
      <c r="BF224" s="712"/>
      <c r="BG224" s="712">
        <v>0</v>
      </c>
      <c r="BH224" s="712">
        <v>0</v>
      </c>
      <c r="BI224" s="134">
        <f t="shared" ref="BI224:BI229" si="142">BC224+BD224+BE224+BG224</f>
        <v>7.7568331115741547</v>
      </c>
      <c r="BJ224" s="123"/>
      <c r="BK224" s="792"/>
      <c r="BL224" s="104"/>
      <c r="BM224" s="672"/>
      <c r="BO224" s="562"/>
      <c r="BS224" s="879"/>
      <c r="BT224" s="774"/>
      <c r="BU224" s="774">
        <v>141.56417362847219</v>
      </c>
      <c r="BV224" s="774">
        <v>0</v>
      </c>
      <c r="BW224" s="774">
        <f t="shared" si="140"/>
        <v>141.56417362847219</v>
      </c>
    </row>
    <row r="225" spans="1:75" ht="15" thickBot="1" x14ac:dyDescent="0.35">
      <c r="A225" s="209" t="s">
        <v>196</v>
      </c>
      <c r="B225" s="227">
        <v>3</v>
      </c>
      <c r="C225" s="39">
        <f>'[3]побудинковий звіт'!E225</f>
        <v>601.4</v>
      </c>
      <c r="D225" s="205">
        <f t="shared" si="115"/>
        <v>359.93494582869846</v>
      </c>
      <c r="E225" s="104">
        <f t="shared" si="116"/>
        <v>79.185754210965555</v>
      </c>
      <c r="F225" s="104">
        <f t="shared" si="117"/>
        <v>18.387699776510431</v>
      </c>
      <c r="G225" s="104">
        <f t="shared" si="118"/>
        <v>0</v>
      </c>
      <c r="H225" s="104">
        <f t="shared" si="119"/>
        <v>300.71653843005475</v>
      </c>
      <c r="I225" s="104">
        <f t="shared" si="120"/>
        <v>97.593281111125194</v>
      </c>
      <c r="J225" s="672">
        <f t="shared" si="108"/>
        <v>0</v>
      </c>
      <c r="K225" s="139">
        <f t="shared" si="121"/>
        <v>855.81821935735434</v>
      </c>
      <c r="L225" s="138">
        <f t="shared" si="109"/>
        <v>203.49576932705716</v>
      </c>
      <c r="M225" s="104">
        <f t="shared" si="110"/>
        <v>44.768858534140108</v>
      </c>
      <c r="N225" s="29">
        <f t="shared" si="122"/>
        <v>12.354540206520717</v>
      </c>
      <c r="O225" s="104">
        <f t="shared" si="111"/>
        <v>1.0827060861652242</v>
      </c>
      <c r="P225" s="104">
        <f t="shared" si="123"/>
        <v>170.01556544142136</v>
      </c>
      <c r="Q225" s="104">
        <f t="shared" si="124"/>
        <v>55.567575422212521</v>
      </c>
      <c r="R225" s="140">
        <f t="shared" si="125"/>
        <v>487.28501501751708</v>
      </c>
      <c r="S225" s="138">
        <f t="shared" si="126"/>
        <v>0</v>
      </c>
      <c r="T225" s="104">
        <f t="shared" si="112"/>
        <v>0</v>
      </c>
      <c r="U225" s="139">
        <f t="shared" si="127"/>
        <v>0</v>
      </c>
      <c r="V225" s="104"/>
      <c r="W225" s="104">
        <f t="shared" si="128"/>
        <v>0</v>
      </c>
      <c r="X225" s="139">
        <f t="shared" si="129"/>
        <v>0</v>
      </c>
      <c r="Y225" s="138">
        <v>0</v>
      </c>
      <c r="Z225" s="141">
        <v>0</v>
      </c>
      <c r="AA225" s="104">
        <f t="shared" si="113"/>
        <v>0</v>
      </c>
      <c r="AB225" s="139">
        <f t="shared" si="114"/>
        <v>0</v>
      </c>
      <c r="AC225" s="138">
        <v>0</v>
      </c>
      <c r="AD225" s="104">
        <f t="shared" si="130"/>
        <v>0</v>
      </c>
      <c r="AE225" s="139">
        <f t="shared" si="131"/>
        <v>0</v>
      </c>
      <c r="AF225" s="142">
        <v>2.2000000000000002</v>
      </c>
      <c r="AG225" s="104">
        <f t="shared" si="132"/>
        <v>0.28316823625069315</v>
      </c>
      <c r="AH225" s="139">
        <f t="shared" si="133"/>
        <v>2.4831682362506933</v>
      </c>
      <c r="AI225" s="142">
        <v>0</v>
      </c>
      <c r="AJ225" s="104">
        <f t="shared" si="134"/>
        <v>0</v>
      </c>
      <c r="AK225" s="139">
        <f t="shared" si="135"/>
        <v>0</v>
      </c>
      <c r="AL225" s="143"/>
      <c r="AM225" s="143"/>
      <c r="AN225" s="104">
        <f t="shared" si="136"/>
        <v>0</v>
      </c>
      <c r="AO225" s="148">
        <f t="shared" si="137"/>
        <v>0</v>
      </c>
      <c r="AP225" s="272">
        <f t="shared" si="138"/>
        <v>510.63142854337161</v>
      </c>
      <c r="AQ225" s="669">
        <v>9.5</v>
      </c>
      <c r="AR225" s="725">
        <v>322.68533231130175</v>
      </c>
      <c r="AS225" s="725">
        <v>187.94609623206983</v>
      </c>
      <c r="AT225" s="725">
        <v>0</v>
      </c>
      <c r="AU225" s="401">
        <v>0</v>
      </c>
      <c r="AV225" s="786"/>
      <c r="AW225" s="246"/>
      <c r="AX225" s="713">
        <f t="shared" si="139"/>
        <v>18.387699776510431</v>
      </c>
      <c r="AY225" s="714">
        <v>12.354540206520717</v>
      </c>
      <c r="AZ225" s="715"/>
      <c r="BA225" s="716">
        <v>0</v>
      </c>
      <c r="BC225" s="712">
        <v>0</v>
      </c>
      <c r="BD225" s="712">
        <v>18.387699776510431</v>
      </c>
      <c r="BE225" s="712"/>
      <c r="BF225" s="712"/>
      <c r="BG225" s="712">
        <v>0</v>
      </c>
      <c r="BH225" s="712">
        <v>0</v>
      </c>
      <c r="BI225" s="134">
        <f t="shared" si="142"/>
        <v>18.387699776510431</v>
      </c>
      <c r="BJ225" s="123"/>
      <c r="BK225" s="792"/>
      <c r="BL225" s="104"/>
      <c r="BM225" s="672"/>
      <c r="BO225" s="562"/>
      <c r="BS225" s="879"/>
      <c r="BT225" s="774"/>
      <c r="BU225" s="774">
        <v>314.23922367035965</v>
      </c>
      <c r="BV225" s="774">
        <v>0</v>
      </c>
      <c r="BW225" s="774">
        <f t="shared" si="140"/>
        <v>314.23922367035965</v>
      </c>
    </row>
    <row r="226" spans="1:75" ht="15" thickBot="1" x14ac:dyDescent="0.35">
      <c r="A226" s="209" t="s">
        <v>181</v>
      </c>
      <c r="B226" s="227">
        <v>2</v>
      </c>
      <c r="C226" s="39">
        <f>'[3]побудинковий звіт'!E226</f>
        <v>427.1</v>
      </c>
      <c r="D226" s="205">
        <f t="shared" si="115"/>
        <v>345.07837767536682</v>
      </c>
      <c r="E226" s="104">
        <f t="shared" si="116"/>
        <v>75.917306487725966</v>
      </c>
      <c r="F226" s="104">
        <f t="shared" si="117"/>
        <v>13.058507772776199</v>
      </c>
      <c r="G226" s="104">
        <f t="shared" si="118"/>
        <v>0</v>
      </c>
      <c r="H226" s="104">
        <f t="shared" si="119"/>
        <v>288.30425171048091</v>
      </c>
      <c r="I226" s="104">
        <f t="shared" si="120"/>
        <v>92.976802921878459</v>
      </c>
      <c r="J226" s="672">
        <f t="shared" si="108"/>
        <v>0</v>
      </c>
      <c r="K226" s="139">
        <f t="shared" si="121"/>
        <v>815.33524656822829</v>
      </c>
      <c r="L226" s="138">
        <f t="shared" si="109"/>
        <v>183.7941139475902</v>
      </c>
      <c r="M226" s="104">
        <f t="shared" si="110"/>
        <v>40.434514751522407</v>
      </c>
      <c r="N226" s="29">
        <f t="shared" si="122"/>
        <v>8.7739011011057499</v>
      </c>
      <c r="O226" s="104">
        <f t="shared" si="111"/>
        <v>0.76891215397600143</v>
      </c>
      <c r="P226" s="104">
        <f t="shared" si="123"/>
        <v>153.55533095817441</v>
      </c>
      <c r="Q226" s="104">
        <f t="shared" si="124"/>
        <v>49.853926881031015</v>
      </c>
      <c r="R226" s="140">
        <f t="shared" si="125"/>
        <v>437.18069979339987</v>
      </c>
      <c r="S226" s="138">
        <f t="shared" si="126"/>
        <v>0</v>
      </c>
      <c r="T226" s="104">
        <f t="shared" si="112"/>
        <v>0</v>
      </c>
      <c r="U226" s="139">
        <f t="shared" si="127"/>
        <v>0</v>
      </c>
      <c r="V226" s="104"/>
      <c r="W226" s="104">
        <f t="shared" si="128"/>
        <v>0</v>
      </c>
      <c r="X226" s="139">
        <f t="shared" si="129"/>
        <v>0</v>
      </c>
      <c r="Y226" s="138">
        <v>0</v>
      </c>
      <c r="Z226" s="141">
        <v>0</v>
      </c>
      <c r="AA226" s="104">
        <f t="shared" si="113"/>
        <v>0</v>
      </c>
      <c r="AB226" s="139">
        <f t="shared" si="114"/>
        <v>0</v>
      </c>
      <c r="AC226" s="138">
        <v>0</v>
      </c>
      <c r="AD226" s="104">
        <f t="shared" si="130"/>
        <v>0</v>
      </c>
      <c r="AE226" s="139">
        <f t="shared" si="131"/>
        <v>0</v>
      </c>
      <c r="AF226" s="142">
        <v>19.8</v>
      </c>
      <c r="AG226" s="104">
        <f t="shared" si="132"/>
        <v>2.5485141262562383</v>
      </c>
      <c r="AH226" s="139">
        <f t="shared" si="133"/>
        <v>22.348514126256241</v>
      </c>
      <c r="AI226" s="142">
        <v>0</v>
      </c>
      <c r="AJ226" s="104">
        <f t="shared" si="134"/>
        <v>0</v>
      </c>
      <c r="AK226" s="139">
        <f t="shared" si="135"/>
        <v>0</v>
      </c>
      <c r="AL226" s="143"/>
      <c r="AM226" s="143"/>
      <c r="AN226" s="104">
        <f t="shared" si="136"/>
        <v>0</v>
      </c>
      <c r="AO226" s="148">
        <f t="shared" si="137"/>
        <v>0</v>
      </c>
      <c r="AP226" s="272">
        <f t="shared" si="138"/>
        <v>443.40404767048085</v>
      </c>
      <c r="AQ226" s="669">
        <v>44.82</v>
      </c>
      <c r="AR226" s="725">
        <v>273.65414898160992</v>
      </c>
      <c r="AS226" s="725">
        <v>169.7498986888709</v>
      </c>
      <c r="AT226" s="725">
        <v>0</v>
      </c>
      <c r="AU226" s="401">
        <v>0</v>
      </c>
      <c r="AV226" s="786"/>
      <c r="AW226" s="246"/>
      <c r="AX226" s="713">
        <f t="shared" si="139"/>
        <v>13.058507772776199</v>
      </c>
      <c r="AY226" s="714">
        <v>8.7739011011057499</v>
      </c>
      <c r="AZ226" s="715"/>
      <c r="BA226" s="716">
        <v>0</v>
      </c>
      <c r="BC226" s="712">
        <v>0</v>
      </c>
      <c r="BD226" s="712">
        <v>13.058507772776199</v>
      </c>
      <c r="BE226" s="712"/>
      <c r="BF226" s="712"/>
      <c r="BG226" s="712">
        <v>0</v>
      </c>
      <c r="BH226" s="712">
        <v>0</v>
      </c>
      <c r="BI226" s="134">
        <f t="shared" si="142"/>
        <v>13.058507772776199</v>
      </c>
      <c r="BJ226" s="123"/>
      <c r="BK226" s="792"/>
      <c r="BL226" s="104"/>
      <c r="BM226" s="672"/>
      <c r="BO226" s="562"/>
      <c r="BS226" s="879"/>
      <c r="BT226" s="774"/>
      <c r="BU226" s="774">
        <v>266.4854884971225</v>
      </c>
      <c r="BV226" s="774">
        <v>0</v>
      </c>
      <c r="BW226" s="774">
        <f t="shared" si="140"/>
        <v>266.4854884971225</v>
      </c>
    </row>
    <row r="227" spans="1:75" ht="15" thickBot="1" x14ac:dyDescent="0.35">
      <c r="A227" s="209" t="s">
        <v>217</v>
      </c>
      <c r="B227" s="227">
        <v>4</v>
      </c>
      <c r="C227" s="39">
        <f>'[3]побудинковий звіт'!E227</f>
        <v>1282.0999999999999</v>
      </c>
      <c r="D227" s="205">
        <f t="shared" si="115"/>
        <v>1248.2568871005565</v>
      </c>
      <c r="E227" s="104">
        <f t="shared" si="116"/>
        <v>274.61674449674558</v>
      </c>
      <c r="F227" s="104">
        <f t="shared" si="117"/>
        <v>39.199983178357208</v>
      </c>
      <c r="G227" s="104">
        <f t="shared" si="118"/>
        <v>0</v>
      </c>
      <c r="H227" s="104">
        <f t="shared" si="119"/>
        <v>1042.8870397569096</v>
      </c>
      <c r="I227" s="104">
        <f t="shared" si="120"/>
        <v>335.29187002110848</v>
      </c>
      <c r="J227" s="672">
        <f t="shared" si="108"/>
        <v>0</v>
      </c>
      <c r="K227" s="139">
        <f t="shared" si="121"/>
        <v>2940.2525245536772</v>
      </c>
      <c r="L227" s="138">
        <f t="shared" si="109"/>
        <v>295.55783178979254</v>
      </c>
      <c r="M227" s="104">
        <f t="shared" si="110"/>
        <v>65.022416946606654</v>
      </c>
      <c r="N227" s="29">
        <f t="shared" si="122"/>
        <v>26.338137676721335</v>
      </c>
      <c r="O227" s="104">
        <f t="shared" si="111"/>
        <v>2.3081767094653038</v>
      </c>
      <c r="P227" s="104">
        <f t="shared" si="123"/>
        <v>246.93108883075354</v>
      </c>
      <c r="Q227" s="104">
        <f t="shared" si="124"/>
        <v>81.881654673186105</v>
      </c>
      <c r="R227" s="140">
        <f t="shared" si="125"/>
        <v>718.03930662652544</v>
      </c>
      <c r="S227" s="138">
        <f t="shared" si="126"/>
        <v>66.989999999999995</v>
      </c>
      <c r="T227" s="104">
        <f t="shared" si="112"/>
        <v>8.6224727938336052</v>
      </c>
      <c r="U227" s="139">
        <f t="shared" si="127"/>
        <v>75.612472793833604</v>
      </c>
      <c r="V227" s="104"/>
      <c r="W227" s="104">
        <f t="shared" si="128"/>
        <v>0</v>
      </c>
      <c r="X227" s="139">
        <f t="shared" si="129"/>
        <v>0</v>
      </c>
      <c r="Y227" s="138">
        <v>0</v>
      </c>
      <c r="Z227" s="141">
        <v>0</v>
      </c>
      <c r="AA227" s="104">
        <f t="shared" si="113"/>
        <v>0</v>
      </c>
      <c r="AB227" s="139">
        <f t="shared" si="114"/>
        <v>0</v>
      </c>
      <c r="AC227" s="138">
        <v>0</v>
      </c>
      <c r="AD227" s="104">
        <f t="shared" si="130"/>
        <v>0</v>
      </c>
      <c r="AE227" s="139">
        <f t="shared" si="131"/>
        <v>0</v>
      </c>
      <c r="AF227" s="142">
        <v>180.4</v>
      </c>
      <c r="AG227" s="104">
        <f t="shared" si="132"/>
        <v>23.219795372556838</v>
      </c>
      <c r="AH227" s="139">
        <f t="shared" si="133"/>
        <v>203.61979537255684</v>
      </c>
      <c r="AI227" s="142">
        <v>0</v>
      </c>
      <c r="AJ227" s="104">
        <f t="shared" si="134"/>
        <v>0</v>
      </c>
      <c r="AK227" s="139">
        <f t="shared" si="135"/>
        <v>0</v>
      </c>
      <c r="AL227" s="143"/>
      <c r="AM227" s="143"/>
      <c r="AN227" s="104">
        <f t="shared" si="136"/>
        <v>0</v>
      </c>
      <c r="AO227" s="148">
        <f t="shared" si="137"/>
        <v>0</v>
      </c>
      <c r="AP227" s="272">
        <f t="shared" si="138"/>
        <v>1397.7544776106531</v>
      </c>
      <c r="AQ227" s="669">
        <v>27.24</v>
      </c>
      <c r="AR227" s="725">
        <v>1124.7810350697994</v>
      </c>
      <c r="AS227" s="725">
        <v>262.1532580721173</v>
      </c>
      <c r="AT227" s="725">
        <v>10.820184468736386</v>
      </c>
      <c r="AU227" s="401">
        <v>0</v>
      </c>
      <c r="AV227" s="786"/>
      <c r="AW227" s="246"/>
      <c r="AX227" s="713">
        <f t="shared" si="139"/>
        <v>39.199983178357208</v>
      </c>
      <c r="AY227" s="714">
        <v>26.338137676721335</v>
      </c>
      <c r="AZ227" s="715"/>
      <c r="BA227" s="716">
        <v>0</v>
      </c>
      <c r="BC227" s="712">
        <v>0</v>
      </c>
      <c r="BD227" s="712">
        <v>39.199983178357208</v>
      </c>
      <c r="BE227" s="712"/>
      <c r="BF227" s="712"/>
      <c r="BG227" s="712">
        <v>0</v>
      </c>
      <c r="BH227" s="712">
        <v>0</v>
      </c>
      <c r="BI227" s="134">
        <f t="shared" si="142"/>
        <v>39.199983178357208</v>
      </c>
      <c r="BJ227" s="123">
        <v>304.5</v>
      </c>
      <c r="BK227" s="792"/>
      <c r="BL227" s="104"/>
      <c r="BM227" s="672"/>
      <c r="BO227" s="562"/>
      <c r="BS227" s="879"/>
      <c r="BT227" s="774"/>
      <c r="BU227" s="774">
        <v>1095.3443238917876</v>
      </c>
      <c r="BV227" s="774">
        <v>0</v>
      </c>
      <c r="BW227" s="774">
        <f t="shared" si="140"/>
        <v>1095.3443238917876</v>
      </c>
    </row>
    <row r="228" spans="1:75" ht="15" thickBot="1" x14ac:dyDescent="0.35">
      <c r="A228" s="211" t="s">
        <v>428</v>
      </c>
      <c r="B228" s="229">
        <v>5</v>
      </c>
      <c r="C228" s="39">
        <f>'[3]побудинковий звіт'!E228</f>
        <v>3174.5</v>
      </c>
      <c r="D228" s="205">
        <f t="shared" si="115"/>
        <v>1308.44311707263</v>
      </c>
      <c r="E228" s="104">
        <f t="shared" si="116"/>
        <v>287.85772614825066</v>
      </c>
      <c r="F228" s="104">
        <f t="shared" si="117"/>
        <v>215.28360262996316</v>
      </c>
      <c r="G228" s="104">
        <f t="shared" si="118"/>
        <v>0</v>
      </c>
      <c r="H228" s="104">
        <f t="shared" si="119"/>
        <v>1093.1711117763321</v>
      </c>
      <c r="I228" s="104">
        <f t="shared" si="120"/>
        <v>373.87932181485729</v>
      </c>
      <c r="J228" s="672">
        <f t="shared" si="108"/>
        <v>0</v>
      </c>
      <c r="K228" s="139">
        <f t="shared" si="121"/>
        <v>3278.6348794420333</v>
      </c>
      <c r="L228" s="138">
        <f t="shared" si="109"/>
        <v>539.9529616421753</v>
      </c>
      <c r="M228" s="104">
        <f t="shared" si="110"/>
        <v>118.78909244544393</v>
      </c>
      <c r="N228" s="29">
        <f t="shared" si="122"/>
        <v>66.029203744261537</v>
      </c>
      <c r="O228" s="104">
        <f t="shared" si="111"/>
        <v>5.7150822589482946</v>
      </c>
      <c r="P228" s="104">
        <f t="shared" si="123"/>
        <v>451.11703495822303</v>
      </c>
      <c r="Q228" s="104">
        <f t="shared" si="124"/>
        <v>152.08751984568468</v>
      </c>
      <c r="R228" s="140">
        <f t="shared" si="125"/>
        <v>1333.6908948947366</v>
      </c>
      <c r="S228" s="138">
        <f t="shared" si="126"/>
        <v>78.540000000000006</v>
      </c>
      <c r="T228" s="104">
        <f t="shared" si="112"/>
        <v>10.109106034149747</v>
      </c>
      <c r="U228" s="139">
        <f t="shared" si="127"/>
        <v>88.649106034149753</v>
      </c>
      <c r="V228" s="104"/>
      <c r="W228" s="104">
        <f t="shared" si="128"/>
        <v>0</v>
      </c>
      <c r="X228" s="139">
        <f t="shared" si="129"/>
        <v>0</v>
      </c>
      <c r="Y228" s="138">
        <v>0</v>
      </c>
      <c r="Z228" s="141">
        <v>0</v>
      </c>
      <c r="AA228" s="104">
        <f t="shared" si="113"/>
        <v>0</v>
      </c>
      <c r="AB228" s="139">
        <f t="shared" si="114"/>
        <v>0</v>
      </c>
      <c r="AC228" s="138">
        <v>0</v>
      </c>
      <c r="AD228" s="104">
        <f t="shared" si="130"/>
        <v>0</v>
      </c>
      <c r="AE228" s="139">
        <f t="shared" si="131"/>
        <v>0</v>
      </c>
      <c r="AF228" s="142">
        <v>638</v>
      </c>
      <c r="AG228" s="104">
        <f t="shared" si="132"/>
        <v>82.118788512701016</v>
      </c>
      <c r="AH228" s="139">
        <f t="shared" si="133"/>
        <v>720.11878851270103</v>
      </c>
      <c r="AI228" s="142">
        <v>0</v>
      </c>
      <c r="AJ228" s="104">
        <f t="shared" si="134"/>
        <v>0</v>
      </c>
      <c r="AK228" s="139">
        <f t="shared" si="135"/>
        <v>0</v>
      </c>
      <c r="AL228" s="143"/>
      <c r="AM228" s="143"/>
      <c r="AN228" s="104">
        <f t="shared" si="136"/>
        <v>0</v>
      </c>
      <c r="AO228" s="148">
        <f t="shared" si="137"/>
        <v>0</v>
      </c>
      <c r="AP228" s="272">
        <f t="shared" si="138"/>
        <v>1397.5208022653189</v>
      </c>
      <c r="AQ228" s="669">
        <v>308.74</v>
      </c>
      <c r="AR228" s="725">
        <v>898.82713592923881</v>
      </c>
      <c r="AS228" s="725">
        <v>489.56000827279945</v>
      </c>
      <c r="AT228" s="725">
        <v>9.1336580632807607</v>
      </c>
      <c r="AU228" s="401">
        <v>0</v>
      </c>
      <c r="AV228" s="786"/>
      <c r="AW228" s="246"/>
      <c r="AX228" s="713">
        <f t="shared" si="139"/>
        <v>98.27360262996315</v>
      </c>
      <c r="AY228" s="714">
        <v>66.029203744261537</v>
      </c>
      <c r="AZ228" s="715"/>
      <c r="BA228" s="716">
        <v>0</v>
      </c>
      <c r="BC228" s="712">
        <v>0</v>
      </c>
      <c r="BD228" s="712">
        <v>98.27360262996315</v>
      </c>
      <c r="BE228" s="712"/>
      <c r="BF228" s="712"/>
      <c r="BG228" s="712">
        <v>0</v>
      </c>
      <c r="BH228" s="712">
        <v>0</v>
      </c>
      <c r="BI228" s="134">
        <f t="shared" si="142"/>
        <v>98.27360262996315</v>
      </c>
      <c r="BJ228" s="123">
        <v>357</v>
      </c>
      <c r="BK228" s="792"/>
      <c r="BL228" s="104"/>
      <c r="BM228" s="672">
        <v>117.01</v>
      </c>
      <c r="BO228" s="562"/>
      <c r="BS228" s="879"/>
      <c r="BT228" s="774"/>
      <c r="BU228" s="774">
        <v>875.2953801166534</v>
      </c>
      <c r="BV228" s="774">
        <v>0</v>
      </c>
      <c r="BW228" s="774">
        <f t="shared" si="140"/>
        <v>875.2953801166534</v>
      </c>
    </row>
    <row r="229" spans="1:75" ht="15" thickBot="1" x14ac:dyDescent="0.35">
      <c r="A229" s="209" t="s">
        <v>182</v>
      </c>
      <c r="B229" s="227">
        <v>2</v>
      </c>
      <c r="C229" s="39">
        <f>'[3]побудинковий звіт'!E229</f>
        <v>603.29999999999995</v>
      </c>
      <c r="D229" s="205">
        <f t="shared" si="115"/>
        <v>480.65054385128178</v>
      </c>
      <c r="E229" s="104">
        <f t="shared" si="116"/>
        <v>105.74320795427431</v>
      </c>
      <c r="F229" s="104">
        <f t="shared" si="117"/>
        <v>18.44579194407839</v>
      </c>
      <c r="G229" s="104">
        <f t="shared" si="118"/>
        <v>0</v>
      </c>
      <c r="H229" s="104">
        <f t="shared" si="119"/>
        <v>401.57136564969846</v>
      </c>
      <c r="I229" s="104">
        <f t="shared" si="120"/>
        <v>129.53800098093873</v>
      </c>
      <c r="J229" s="672">
        <f t="shared" si="108"/>
        <v>0</v>
      </c>
      <c r="K229" s="139">
        <f t="shared" si="121"/>
        <v>1135.9489103802716</v>
      </c>
      <c r="L229" s="138">
        <f t="shared" si="109"/>
        <v>187.36942386072323</v>
      </c>
      <c r="M229" s="104">
        <f t="shared" si="110"/>
        <v>41.221079230214386</v>
      </c>
      <c r="N229" s="29">
        <f t="shared" si="122"/>
        <v>12.393571843355417</v>
      </c>
      <c r="O229" s="104">
        <f t="shared" si="111"/>
        <v>1.0861266740663114</v>
      </c>
      <c r="P229" s="104">
        <f t="shared" si="123"/>
        <v>156.54241191086334</v>
      </c>
      <c r="Q229" s="104">
        <f t="shared" si="124"/>
        <v>51.306559417053407</v>
      </c>
      <c r="R229" s="140">
        <f t="shared" si="125"/>
        <v>449.91917293627608</v>
      </c>
      <c r="S229" s="138">
        <f t="shared" si="126"/>
        <v>0</v>
      </c>
      <c r="T229" s="104">
        <f t="shared" si="112"/>
        <v>0</v>
      </c>
      <c r="U229" s="139">
        <f t="shared" si="127"/>
        <v>0</v>
      </c>
      <c r="V229" s="104"/>
      <c r="W229" s="104">
        <f t="shared" si="128"/>
        <v>0</v>
      </c>
      <c r="X229" s="139">
        <f t="shared" si="129"/>
        <v>0</v>
      </c>
      <c r="Y229" s="138">
        <v>0</v>
      </c>
      <c r="Z229" s="141">
        <v>0</v>
      </c>
      <c r="AA229" s="104">
        <f t="shared" si="113"/>
        <v>0</v>
      </c>
      <c r="AB229" s="139">
        <f t="shared" si="114"/>
        <v>0</v>
      </c>
      <c r="AC229" s="138">
        <v>0</v>
      </c>
      <c r="AD229" s="104">
        <f t="shared" si="130"/>
        <v>0</v>
      </c>
      <c r="AE229" s="139">
        <f t="shared" si="131"/>
        <v>0</v>
      </c>
      <c r="AF229" s="142">
        <v>15.4</v>
      </c>
      <c r="AG229" s="104">
        <f t="shared" si="132"/>
        <v>1.9821776537548521</v>
      </c>
      <c r="AH229" s="139">
        <f t="shared" si="133"/>
        <v>17.382177653754852</v>
      </c>
      <c r="AI229" s="142">
        <v>0</v>
      </c>
      <c r="AJ229" s="104">
        <f t="shared" si="134"/>
        <v>0</v>
      </c>
      <c r="AK229" s="139">
        <f t="shared" si="135"/>
        <v>0</v>
      </c>
      <c r="AL229" s="143"/>
      <c r="AM229" s="143"/>
      <c r="AN229" s="104">
        <f t="shared" si="136"/>
        <v>0</v>
      </c>
      <c r="AO229" s="148">
        <f t="shared" si="137"/>
        <v>0</v>
      </c>
      <c r="AP229" s="272">
        <f t="shared" si="138"/>
        <v>571.82622677834377</v>
      </c>
      <c r="AQ229" s="669">
        <v>44.82</v>
      </c>
      <c r="AR229" s="725">
        <v>398.77421746960442</v>
      </c>
      <c r="AS229" s="725">
        <v>166.27377696701006</v>
      </c>
      <c r="AT229" s="725">
        <v>6.7782323417292671</v>
      </c>
      <c r="AU229" s="401">
        <v>0</v>
      </c>
      <c r="AV229" s="786"/>
      <c r="AW229" s="246"/>
      <c r="AX229" s="713">
        <f t="shared" si="139"/>
        <v>18.44579194407839</v>
      </c>
      <c r="AY229" s="714">
        <v>12.393571843355417</v>
      </c>
      <c r="AZ229" s="715"/>
      <c r="BA229" s="716">
        <v>0</v>
      </c>
      <c r="BC229" s="712">
        <v>0</v>
      </c>
      <c r="BD229" s="712">
        <v>18.44579194407839</v>
      </c>
      <c r="BE229" s="712"/>
      <c r="BF229" s="712"/>
      <c r="BG229" s="712">
        <v>0</v>
      </c>
      <c r="BH229" s="712">
        <v>0</v>
      </c>
      <c r="BI229" s="134">
        <f t="shared" si="142"/>
        <v>18.44579194407839</v>
      </c>
      <c r="BJ229" s="123"/>
      <c r="BK229" s="792"/>
      <c r="BL229" s="104"/>
      <c r="BM229" s="672"/>
      <c r="BO229" s="562"/>
      <c r="BS229" s="879"/>
      <c r="BT229" s="774"/>
      <c r="BU229" s="774">
        <v>390.56945887289965</v>
      </c>
      <c r="BV229" s="774">
        <v>0</v>
      </c>
      <c r="BW229" s="774">
        <f t="shared" si="140"/>
        <v>390.56945887289965</v>
      </c>
    </row>
    <row r="230" spans="1:75" ht="15" thickBot="1" x14ac:dyDescent="0.35">
      <c r="A230" s="209" t="s">
        <v>385</v>
      </c>
      <c r="B230" s="227">
        <v>9</v>
      </c>
      <c r="C230" s="39">
        <f>'[3]побудинковий звіт'!E230</f>
        <v>4198.2</v>
      </c>
      <c r="D230" s="205">
        <f t="shared" si="115"/>
        <v>3155.4608150888757</v>
      </c>
      <c r="E230" s="104">
        <f t="shared" si="116"/>
        <v>694.20195905311903</v>
      </c>
      <c r="F230" s="104">
        <f t="shared" si="117"/>
        <v>128.36228794766171</v>
      </c>
      <c r="G230" s="104">
        <f t="shared" si="118"/>
        <v>0</v>
      </c>
      <c r="H230" s="104">
        <f t="shared" si="119"/>
        <v>2636.3076563196764</v>
      </c>
      <c r="I230" s="104">
        <f t="shared" si="120"/>
        <v>851.34951356691965</v>
      </c>
      <c r="J230" s="672">
        <f t="shared" si="108"/>
        <v>0</v>
      </c>
      <c r="K230" s="139">
        <f t="shared" si="121"/>
        <v>7465.6822319762523</v>
      </c>
      <c r="L230" s="138">
        <f t="shared" si="109"/>
        <v>1619.1697849999853</v>
      </c>
      <c r="M230" s="104">
        <f t="shared" si="110"/>
        <v>356.21567606604884</v>
      </c>
      <c r="N230" s="29">
        <f t="shared" si="122"/>
        <v>86.245537327961301</v>
      </c>
      <c r="O230" s="104">
        <f t="shared" si="111"/>
        <v>7.5580590138657202</v>
      </c>
      <c r="P230" s="104">
        <f t="shared" si="123"/>
        <v>1352.775379324974</v>
      </c>
      <c r="Q230" s="104">
        <f t="shared" si="124"/>
        <v>440.45074275556067</v>
      </c>
      <c r="R230" s="140">
        <f t="shared" si="125"/>
        <v>3862.4151794883956</v>
      </c>
      <c r="S230" s="138">
        <f t="shared" si="126"/>
        <v>39.6</v>
      </c>
      <c r="T230" s="104">
        <f t="shared" si="112"/>
        <v>5.0970282525124766</v>
      </c>
      <c r="U230" s="139">
        <f t="shared" si="127"/>
        <v>44.697028252512482</v>
      </c>
      <c r="V230" s="104"/>
      <c r="W230" s="104">
        <f t="shared" si="128"/>
        <v>0</v>
      </c>
      <c r="X230" s="139">
        <f t="shared" si="129"/>
        <v>0</v>
      </c>
      <c r="Y230" s="138">
        <v>2755.38</v>
      </c>
      <c r="Z230" s="141">
        <v>0</v>
      </c>
      <c r="AA230" s="104">
        <f t="shared" si="113"/>
        <v>354.65277036383407</v>
      </c>
      <c r="AB230" s="139">
        <f t="shared" si="114"/>
        <v>3110.0327703638341</v>
      </c>
      <c r="AC230" s="138">
        <v>236.15</v>
      </c>
      <c r="AD230" s="104">
        <f t="shared" si="130"/>
        <v>30.395535904818722</v>
      </c>
      <c r="AE230" s="139">
        <f t="shared" si="131"/>
        <v>266.54553590481873</v>
      </c>
      <c r="AF230" s="142">
        <v>2041.6</v>
      </c>
      <c r="AG230" s="104">
        <f t="shared" si="132"/>
        <v>262.78012324064321</v>
      </c>
      <c r="AH230" s="139">
        <f t="shared" si="133"/>
        <v>2304.3801232406431</v>
      </c>
      <c r="AI230" s="142">
        <v>3062.4</v>
      </c>
      <c r="AJ230" s="104">
        <f t="shared" si="134"/>
        <v>394.17018486096487</v>
      </c>
      <c r="AK230" s="139">
        <f t="shared" si="135"/>
        <v>3456.5701848609651</v>
      </c>
      <c r="AL230" s="143"/>
      <c r="AM230" s="205"/>
      <c r="AN230" s="104">
        <f t="shared" si="136"/>
        <v>0</v>
      </c>
      <c r="AO230" s="148">
        <f t="shared" si="137"/>
        <v>0</v>
      </c>
      <c r="AP230" s="272">
        <f t="shared" si="138"/>
        <v>4407.6313588713156</v>
      </c>
      <c r="AQ230" s="669">
        <v>0</v>
      </c>
      <c r="AR230" s="725">
        <v>2912.1868037632871</v>
      </c>
      <c r="AS230" s="725">
        <v>1468.4280971653268</v>
      </c>
      <c r="AT230" s="725">
        <v>27.016457942702157</v>
      </c>
      <c r="AU230" s="401">
        <v>0</v>
      </c>
      <c r="AV230" s="786"/>
      <c r="AW230" s="246"/>
      <c r="AX230" s="713">
        <f t="shared" si="139"/>
        <v>128.36228794766171</v>
      </c>
      <c r="AY230" s="714">
        <v>86.245537327961301</v>
      </c>
      <c r="AZ230" s="715"/>
      <c r="BA230" s="716">
        <v>0</v>
      </c>
      <c r="BC230" s="712">
        <v>0</v>
      </c>
      <c r="BD230" s="712">
        <v>128.36228794766171</v>
      </c>
      <c r="BE230" s="712"/>
      <c r="BF230" s="712"/>
      <c r="BG230" s="712">
        <v>0</v>
      </c>
      <c r="BH230" s="712">
        <v>0</v>
      </c>
      <c r="BI230" s="134">
        <f>BC230+BD230+BE230+BG230</f>
        <v>128.36228794766171</v>
      </c>
      <c r="BJ230" s="123">
        <v>180</v>
      </c>
      <c r="BK230" s="792"/>
      <c r="BL230" s="104"/>
      <c r="BM230" s="672"/>
      <c r="BO230" s="562"/>
      <c r="BS230" s="879"/>
      <c r="BT230" s="774"/>
      <c r="BU230" s="774">
        <v>2860.3200816167205</v>
      </c>
      <c r="BV230" s="774">
        <v>0</v>
      </c>
      <c r="BW230" s="774">
        <f t="shared" si="140"/>
        <v>2860.3200816167205</v>
      </c>
    </row>
    <row r="231" spans="1:75" ht="15" thickBot="1" x14ac:dyDescent="0.35">
      <c r="A231" s="210" t="s">
        <v>127</v>
      </c>
      <c r="B231" s="228">
        <v>1</v>
      </c>
      <c r="C231" s="39">
        <f>'[3]побудинковий звіт'!E231</f>
        <v>229.7</v>
      </c>
      <c r="D231" s="205">
        <f t="shared" si="115"/>
        <v>48.564107752127278</v>
      </c>
      <c r="E231" s="104">
        <f t="shared" si="116"/>
        <v>10.684112627855264</v>
      </c>
      <c r="F231" s="104">
        <f t="shared" si="117"/>
        <v>0</v>
      </c>
      <c r="G231" s="104">
        <f t="shared" si="118"/>
        <v>0</v>
      </c>
      <c r="H231" s="104">
        <f t="shared" si="119"/>
        <v>40.574083023642565</v>
      </c>
      <c r="I231" s="104">
        <f t="shared" si="120"/>
        <v>12.848411633311857</v>
      </c>
      <c r="J231" s="672">
        <f t="shared" si="108"/>
        <v>0</v>
      </c>
      <c r="K231" s="139">
        <f t="shared" si="121"/>
        <v>112.67071503693697</v>
      </c>
      <c r="L231" s="138">
        <f t="shared" si="109"/>
        <v>0</v>
      </c>
      <c r="M231" s="104">
        <f t="shared" si="110"/>
        <v>0</v>
      </c>
      <c r="N231" s="29">
        <f t="shared" si="122"/>
        <v>0</v>
      </c>
      <c r="O231" s="104">
        <f t="shared" si="111"/>
        <v>0.41353107414724305</v>
      </c>
      <c r="P231" s="104">
        <f t="shared" si="123"/>
        <v>0</v>
      </c>
      <c r="Q231" s="104">
        <f t="shared" si="124"/>
        <v>5.3226756773240645E-2</v>
      </c>
      <c r="R231" s="140">
        <f t="shared" si="125"/>
        <v>0.46675783092048367</v>
      </c>
      <c r="S231" s="138">
        <f t="shared" si="126"/>
        <v>0</v>
      </c>
      <c r="T231" s="104">
        <f t="shared" si="112"/>
        <v>0</v>
      </c>
      <c r="U231" s="139">
        <f t="shared" si="127"/>
        <v>0</v>
      </c>
      <c r="V231" s="104"/>
      <c r="W231" s="104">
        <f t="shared" si="128"/>
        <v>0</v>
      </c>
      <c r="X231" s="139">
        <f t="shared" si="129"/>
        <v>0</v>
      </c>
      <c r="Y231" s="138">
        <v>0</v>
      </c>
      <c r="Z231" s="141">
        <v>0</v>
      </c>
      <c r="AA231" s="104">
        <f t="shared" si="113"/>
        <v>0</v>
      </c>
      <c r="AB231" s="139">
        <f t="shared" si="114"/>
        <v>0</v>
      </c>
      <c r="AC231" s="138">
        <v>0</v>
      </c>
      <c r="AD231" s="104">
        <f t="shared" si="130"/>
        <v>0</v>
      </c>
      <c r="AE231" s="139">
        <f t="shared" si="131"/>
        <v>0</v>
      </c>
      <c r="AF231" s="142">
        <v>0</v>
      </c>
      <c r="AG231" s="104">
        <f t="shared" si="132"/>
        <v>0</v>
      </c>
      <c r="AH231" s="139">
        <f t="shared" si="133"/>
        <v>0</v>
      </c>
      <c r="AI231" s="142">
        <v>0</v>
      </c>
      <c r="AJ231" s="104">
        <f t="shared" si="134"/>
        <v>0</v>
      </c>
      <c r="AK231" s="139">
        <f t="shared" si="135"/>
        <v>0</v>
      </c>
      <c r="AL231" s="143"/>
      <c r="AM231" s="205"/>
      <c r="AN231" s="104">
        <f t="shared" si="136"/>
        <v>0</v>
      </c>
      <c r="AO231" s="148">
        <f t="shared" si="137"/>
        <v>0</v>
      </c>
      <c r="AP231" s="272">
        <f t="shared" si="138"/>
        <v>0</v>
      </c>
      <c r="AQ231" s="669">
        <v>44.82</v>
      </c>
      <c r="AR231" s="725">
        <v>0</v>
      </c>
      <c r="AS231" s="725">
        <v>0</v>
      </c>
      <c r="AT231" s="725">
        <v>0</v>
      </c>
      <c r="AU231" s="401">
        <v>0</v>
      </c>
      <c r="AV231" s="786"/>
      <c r="AW231" s="246"/>
      <c r="AX231" s="713">
        <f t="shared" si="139"/>
        <v>0</v>
      </c>
      <c r="AY231" s="714">
        <v>0</v>
      </c>
      <c r="AZ231" s="715"/>
      <c r="BA231" s="716">
        <v>0</v>
      </c>
      <c r="BC231" s="712">
        <v>0</v>
      </c>
      <c r="BD231" s="712">
        <v>0</v>
      </c>
      <c r="BE231" s="712"/>
      <c r="BF231" s="712"/>
      <c r="BG231" s="712">
        <v>0</v>
      </c>
      <c r="BH231" s="712">
        <v>0</v>
      </c>
      <c r="BI231" s="134">
        <f>BC231+BD231+BE231+BG231+BH231</f>
        <v>0</v>
      </c>
      <c r="BJ231" s="123"/>
      <c r="BK231" s="792"/>
      <c r="BL231" s="104"/>
      <c r="BM231" s="672"/>
      <c r="BO231" s="562"/>
      <c r="BS231" s="879"/>
      <c r="BT231" s="774"/>
      <c r="BU231" s="774">
        <v>0</v>
      </c>
      <c r="BV231" s="774">
        <v>0</v>
      </c>
      <c r="BW231" s="774">
        <f t="shared" si="140"/>
        <v>0</v>
      </c>
    </row>
    <row r="232" spans="1:75" ht="15" thickBot="1" x14ac:dyDescent="0.35">
      <c r="A232" s="209" t="s">
        <v>183</v>
      </c>
      <c r="B232" s="227">
        <v>2</v>
      </c>
      <c r="C232" s="39">
        <f>'[3]побудинковий звіт'!E232</f>
        <v>409.7</v>
      </c>
      <c r="D232" s="205">
        <f t="shared" si="115"/>
        <v>332.0024077093347</v>
      </c>
      <c r="E232" s="104">
        <f t="shared" si="116"/>
        <v>73.040590692830705</v>
      </c>
      <c r="F232" s="104">
        <f t="shared" si="117"/>
        <v>12.49593099211808</v>
      </c>
      <c r="G232" s="104">
        <f t="shared" si="118"/>
        <v>0</v>
      </c>
      <c r="H232" s="104">
        <f t="shared" si="119"/>
        <v>277.37960971511336</v>
      </c>
      <c r="I232" s="104">
        <f t="shared" si="120"/>
        <v>89.444935026143725</v>
      </c>
      <c r="J232" s="672">
        <f t="shared" si="108"/>
        <v>0</v>
      </c>
      <c r="K232" s="139">
        <f t="shared" si="121"/>
        <v>784.36347413554051</v>
      </c>
      <c r="L232" s="138">
        <f t="shared" si="109"/>
        <v>135.11448409521392</v>
      </c>
      <c r="M232" s="104">
        <f t="shared" si="110"/>
        <v>29.725046591264345</v>
      </c>
      <c r="N232" s="29">
        <f t="shared" si="122"/>
        <v>8.3959105128118008</v>
      </c>
      <c r="O232" s="104">
        <f t="shared" si="111"/>
        <v>0.73758677003972783</v>
      </c>
      <c r="P232" s="104">
        <f t="shared" si="123"/>
        <v>112.88473214327109</v>
      </c>
      <c r="Q232" s="104">
        <f t="shared" si="124"/>
        <v>36.922275448140738</v>
      </c>
      <c r="R232" s="140">
        <f t="shared" si="125"/>
        <v>323.78003556074162</v>
      </c>
      <c r="S232" s="138">
        <f t="shared" si="126"/>
        <v>0</v>
      </c>
      <c r="T232" s="104">
        <f t="shared" si="112"/>
        <v>0</v>
      </c>
      <c r="U232" s="139">
        <f t="shared" si="127"/>
        <v>0</v>
      </c>
      <c r="V232" s="104"/>
      <c r="W232" s="104">
        <f t="shared" si="128"/>
        <v>0</v>
      </c>
      <c r="X232" s="139">
        <f t="shared" si="129"/>
        <v>0</v>
      </c>
      <c r="Y232" s="138">
        <v>0</v>
      </c>
      <c r="Z232" s="141">
        <v>0</v>
      </c>
      <c r="AA232" s="104">
        <f t="shared" si="113"/>
        <v>0</v>
      </c>
      <c r="AB232" s="139">
        <f t="shared" si="114"/>
        <v>0</v>
      </c>
      <c r="AC232" s="138">
        <v>0</v>
      </c>
      <c r="AD232" s="104">
        <f t="shared" si="130"/>
        <v>0</v>
      </c>
      <c r="AE232" s="139">
        <f t="shared" si="131"/>
        <v>0</v>
      </c>
      <c r="AF232" s="142">
        <v>125.4</v>
      </c>
      <c r="AG232" s="104">
        <f t="shared" si="132"/>
        <v>16.140589466289509</v>
      </c>
      <c r="AH232" s="139">
        <f t="shared" si="133"/>
        <v>141.5405894662895</v>
      </c>
      <c r="AI232" s="142">
        <v>0</v>
      </c>
      <c r="AJ232" s="104">
        <f t="shared" si="134"/>
        <v>0</v>
      </c>
      <c r="AK232" s="139">
        <f t="shared" si="135"/>
        <v>0</v>
      </c>
      <c r="AL232" s="143"/>
      <c r="AM232" s="143"/>
      <c r="AN232" s="104">
        <f t="shared" si="136"/>
        <v>0</v>
      </c>
      <c r="AO232" s="148">
        <f t="shared" si="137"/>
        <v>0</v>
      </c>
      <c r="AP232" s="272">
        <f t="shared" si="138"/>
        <v>383.88630014084453</v>
      </c>
      <c r="AQ232" s="669">
        <v>47.31</v>
      </c>
      <c r="AR232" s="725">
        <v>259.09628650035415</v>
      </c>
      <c r="AS232" s="725">
        <v>124.79001364049037</v>
      </c>
      <c r="AT232" s="725">
        <v>0</v>
      </c>
      <c r="AU232" s="401">
        <v>0</v>
      </c>
      <c r="AV232" s="786"/>
      <c r="AW232" s="246"/>
      <c r="AX232" s="713">
        <f t="shared" si="139"/>
        <v>12.49593099211808</v>
      </c>
      <c r="AY232" s="714">
        <v>8.3959105128118008</v>
      </c>
      <c r="AZ232" s="715"/>
      <c r="BA232" s="716">
        <v>0</v>
      </c>
      <c r="BC232" s="712">
        <v>0</v>
      </c>
      <c r="BD232" s="712">
        <v>12.49593099211808</v>
      </c>
      <c r="BE232" s="712"/>
      <c r="BF232" s="712"/>
      <c r="BG232" s="712">
        <v>0</v>
      </c>
      <c r="BH232" s="712">
        <v>0</v>
      </c>
      <c r="BI232" s="134">
        <f>BC232+BD232+BE232+BG232</f>
        <v>12.49593099211808</v>
      </c>
      <c r="BJ232" s="123"/>
      <c r="BK232" s="792"/>
      <c r="BL232" s="104"/>
      <c r="BM232" s="672"/>
      <c r="BO232" s="562"/>
      <c r="BS232" s="879"/>
      <c r="BT232" s="774"/>
      <c r="BU232" s="774">
        <v>254.2953350757156</v>
      </c>
      <c r="BV232" s="774">
        <v>0</v>
      </c>
      <c r="BW232" s="774">
        <f t="shared" si="140"/>
        <v>254.2953350757156</v>
      </c>
    </row>
    <row r="233" spans="1:75" ht="15" thickBot="1" x14ac:dyDescent="0.35">
      <c r="A233" s="209" t="s">
        <v>184</v>
      </c>
      <c r="B233" s="227">
        <v>2</v>
      </c>
      <c r="C233" s="39">
        <f>'[3]побудинковий звіт'!E233</f>
        <v>450.6</v>
      </c>
      <c r="D233" s="205">
        <f t="shared" si="115"/>
        <v>290.74617218083546</v>
      </c>
      <c r="E233" s="104">
        <f t="shared" si="116"/>
        <v>63.964211296804386</v>
      </c>
      <c r="F233" s="104">
        <f t="shared" si="117"/>
        <v>13.77701616111673</v>
      </c>
      <c r="G233" s="104">
        <f t="shared" si="118"/>
        <v>0</v>
      </c>
      <c r="H233" s="104">
        <f t="shared" si="119"/>
        <v>242.91106899528603</v>
      </c>
      <c r="I233" s="104">
        <f t="shared" si="120"/>
        <v>78.694830004307519</v>
      </c>
      <c r="J233" s="672">
        <f t="shared" si="108"/>
        <v>0</v>
      </c>
      <c r="K233" s="139">
        <f t="shared" si="121"/>
        <v>690.09329863835001</v>
      </c>
      <c r="L233" s="138">
        <f t="shared" si="109"/>
        <v>189.60123622408608</v>
      </c>
      <c r="M233" s="104">
        <f t="shared" si="110"/>
        <v>41.712075639135072</v>
      </c>
      <c r="N233" s="29">
        <f t="shared" si="122"/>
        <v>9.2566608198507403</v>
      </c>
      <c r="O233" s="104">
        <f t="shared" si="111"/>
        <v>0.8112194253841869</v>
      </c>
      <c r="P233" s="104">
        <f t="shared" si="123"/>
        <v>158.40703466037343</v>
      </c>
      <c r="Q233" s="104">
        <f t="shared" si="124"/>
        <v>51.457875930873456</v>
      </c>
      <c r="R233" s="140">
        <f t="shared" si="125"/>
        <v>451.24610269970299</v>
      </c>
      <c r="S233" s="138">
        <f t="shared" si="126"/>
        <v>0</v>
      </c>
      <c r="T233" s="104">
        <f t="shared" si="112"/>
        <v>0</v>
      </c>
      <c r="U233" s="139">
        <f t="shared" si="127"/>
        <v>0</v>
      </c>
      <c r="V233" s="104"/>
      <c r="W233" s="104">
        <f t="shared" si="128"/>
        <v>0</v>
      </c>
      <c r="X233" s="139">
        <f t="shared" si="129"/>
        <v>0</v>
      </c>
      <c r="Y233" s="138">
        <v>0</v>
      </c>
      <c r="Z233" s="141">
        <v>0</v>
      </c>
      <c r="AA233" s="104">
        <f t="shared" si="113"/>
        <v>0</v>
      </c>
      <c r="AB233" s="139">
        <f t="shared" si="114"/>
        <v>0</v>
      </c>
      <c r="AC233" s="138">
        <v>0</v>
      </c>
      <c r="AD233" s="104">
        <f t="shared" si="130"/>
        <v>0</v>
      </c>
      <c r="AE233" s="139">
        <f t="shared" si="131"/>
        <v>0</v>
      </c>
      <c r="AF233" s="142">
        <v>17.600000000000001</v>
      </c>
      <c r="AG233" s="104">
        <f t="shared" si="132"/>
        <v>2.2653458900055452</v>
      </c>
      <c r="AH233" s="139">
        <f t="shared" si="133"/>
        <v>19.865345890005546</v>
      </c>
      <c r="AI233" s="142">
        <v>0</v>
      </c>
      <c r="AJ233" s="104">
        <f t="shared" si="134"/>
        <v>0</v>
      </c>
      <c r="AK233" s="139">
        <f t="shared" si="135"/>
        <v>0</v>
      </c>
      <c r="AL233" s="143"/>
      <c r="AM233" s="143"/>
      <c r="AN233" s="104">
        <f t="shared" si="136"/>
        <v>0</v>
      </c>
      <c r="AO233" s="148">
        <f t="shared" si="137"/>
        <v>0</v>
      </c>
      <c r="AP233" s="272">
        <f t="shared" si="138"/>
        <v>418.54403234021493</v>
      </c>
      <c r="AQ233" s="669">
        <v>24.9</v>
      </c>
      <c r="AR233" s="725">
        <v>243.43074960744502</v>
      </c>
      <c r="AS233" s="725">
        <v>175.1132827327699</v>
      </c>
      <c r="AT233" s="725">
        <v>0</v>
      </c>
      <c r="AU233" s="401">
        <v>0</v>
      </c>
      <c r="AV233" s="786"/>
      <c r="AW233" s="246"/>
      <c r="AX233" s="713">
        <f t="shared" si="139"/>
        <v>13.77701616111673</v>
      </c>
      <c r="AY233" s="714">
        <v>9.2566608198507403</v>
      </c>
      <c r="AZ233" s="715"/>
      <c r="BA233" s="716">
        <v>0</v>
      </c>
      <c r="BC233" s="712">
        <v>0</v>
      </c>
      <c r="BD233" s="712">
        <v>13.77701616111673</v>
      </c>
      <c r="BE233" s="712"/>
      <c r="BF233" s="712"/>
      <c r="BG233" s="712">
        <v>0</v>
      </c>
      <c r="BH233" s="712">
        <v>0</v>
      </c>
      <c r="BI233" s="134">
        <f t="shared" ref="BI233:BI250" si="143">BC233+BD233+BE233+BG233</f>
        <v>13.77701616111673</v>
      </c>
      <c r="BJ233" s="123"/>
      <c r="BK233" s="792"/>
      <c r="BL233" s="104"/>
      <c r="BM233" s="672"/>
      <c r="BO233" s="562"/>
      <c r="BS233" s="879"/>
      <c r="BT233" s="774"/>
      <c r="BU233" s="774">
        <v>238.92442614286537</v>
      </c>
      <c r="BV233" s="774">
        <v>0</v>
      </c>
      <c r="BW233" s="774">
        <f t="shared" si="140"/>
        <v>238.92442614286537</v>
      </c>
    </row>
    <row r="234" spans="1:75" ht="15" thickBot="1" x14ac:dyDescent="0.35">
      <c r="A234" s="209" t="s">
        <v>273</v>
      </c>
      <c r="B234" s="227">
        <v>5</v>
      </c>
      <c r="C234" s="39">
        <f>'[3]побудинковий звіт'!E234</f>
        <v>2102.6</v>
      </c>
      <c r="D234" s="205">
        <f t="shared" si="115"/>
        <v>850.6679522391911</v>
      </c>
      <c r="E234" s="104">
        <f t="shared" si="116"/>
        <v>187.14710578065561</v>
      </c>
      <c r="F234" s="104">
        <f t="shared" si="117"/>
        <v>64.381409077815121</v>
      </c>
      <c r="G234" s="104">
        <f t="shared" si="118"/>
        <v>0</v>
      </c>
      <c r="H234" s="104">
        <f t="shared" si="119"/>
        <v>710.7115463928825</v>
      </c>
      <c r="I234" s="104">
        <f t="shared" si="120"/>
        <v>233.34452939312058</v>
      </c>
      <c r="J234" s="672">
        <f t="shared" si="108"/>
        <v>0</v>
      </c>
      <c r="K234" s="139">
        <f t="shared" si="121"/>
        <v>2046.252542883665</v>
      </c>
      <c r="L234" s="138">
        <f t="shared" si="109"/>
        <v>463.12647828128462</v>
      </c>
      <c r="M234" s="104">
        <f t="shared" si="110"/>
        <v>101.88734565909503</v>
      </c>
      <c r="N234" s="29">
        <f t="shared" si="122"/>
        <v>43.257325096226587</v>
      </c>
      <c r="O234" s="104">
        <f t="shared" si="111"/>
        <v>3.785330589908547</v>
      </c>
      <c r="P234" s="104">
        <f t="shared" si="123"/>
        <v>386.93045234438449</v>
      </c>
      <c r="Q234" s="104">
        <f t="shared" si="124"/>
        <v>128.58243980167762</v>
      </c>
      <c r="R234" s="140">
        <f t="shared" si="125"/>
        <v>1127.5693717725769</v>
      </c>
      <c r="S234" s="138">
        <f t="shared" si="126"/>
        <v>83.160000000000011</v>
      </c>
      <c r="T234" s="104">
        <f t="shared" si="112"/>
        <v>10.703759330276203</v>
      </c>
      <c r="U234" s="139">
        <f t="shared" si="127"/>
        <v>93.86375933027621</v>
      </c>
      <c r="V234" s="104"/>
      <c r="W234" s="104">
        <f t="shared" si="128"/>
        <v>0</v>
      </c>
      <c r="X234" s="139">
        <f t="shared" si="129"/>
        <v>0</v>
      </c>
      <c r="Y234" s="138">
        <v>0</v>
      </c>
      <c r="Z234" s="141">
        <v>0</v>
      </c>
      <c r="AA234" s="104">
        <f t="shared" si="113"/>
        <v>0</v>
      </c>
      <c r="AB234" s="139">
        <f t="shared" si="114"/>
        <v>0</v>
      </c>
      <c r="AC234" s="138">
        <v>0</v>
      </c>
      <c r="AD234" s="104">
        <f t="shared" si="130"/>
        <v>0</v>
      </c>
      <c r="AE234" s="139">
        <f t="shared" si="131"/>
        <v>0</v>
      </c>
      <c r="AF234" s="142">
        <v>220</v>
      </c>
      <c r="AG234" s="104">
        <f t="shared" si="132"/>
        <v>28.316823625069315</v>
      </c>
      <c r="AH234" s="139">
        <f t="shared" si="133"/>
        <v>248.3168236250693</v>
      </c>
      <c r="AI234" s="142">
        <v>0</v>
      </c>
      <c r="AJ234" s="104">
        <f t="shared" si="134"/>
        <v>0</v>
      </c>
      <c r="AK234" s="139">
        <f t="shared" si="135"/>
        <v>0</v>
      </c>
      <c r="AL234" s="143"/>
      <c r="AM234" s="143"/>
      <c r="AN234" s="104">
        <f t="shared" si="136"/>
        <v>0</v>
      </c>
      <c r="AO234" s="148">
        <f t="shared" si="137"/>
        <v>0</v>
      </c>
      <c r="AP234" s="272">
        <f t="shared" si="138"/>
        <v>1036.04239937699</v>
      </c>
      <c r="AQ234" s="669">
        <v>176.78</v>
      </c>
      <c r="AR234" s="725">
        <v>608.30469287568553</v>
      </c>
      <c r="AS234" s="725">
        <v>412.43507779896458</v>
      </c>
      <c r="AT234" s="725">
        <v>15.302628702339803</v>
      </c>
      <c r="AU234" s="401">
        <v>0</v>
      </c>
      <c r="AV234" s="786"/>
      <c r="AW234" s="246"/>
      <c r="AX234" s="713">
        <f t="shared" si="139"/>
        <v>64.381409077815121</v>
      </c>
      <c r="AY234" s="714">
        <v>43.257325096226587</v>
      </c>
      <c r="AZ234" s="715"/>
      <c r="BA234" s="716">
        <v>0</v>
      </c>
      <c r="BC234" s="712">
        <v>0</v>
      </c>
      <c r="BD234" s="712">
        <v>64.381409077815121</v>
      </c>
      <c r="BE234" s="712"/>
      <c r="BF234" s="712"/>
      <c r="BG234" s="712">
        <v>0</v>
      </c>
      <c r="BH234" s="712">
        <v>0</v>
      </c>
      <c r="BI234" s="134">
        <f t="shared" si="143"/>
        <v>64.381409077815121</v>
      </c>
      <c r="BJ234" s="123">
        <v>378</v>
      </c>
      <c r="BK234" s="792"/>
      <c r="BL234" s="104"/>
      <c r="BM234" s="672"/>
      <c r="BO234" s="562"/>
      <c r="BS234" s="879"/>
      <c r="BT234" s="774"/>
      <c r="BU234" s="774">
        <v>597.03200019861504</v>
      </c>
      <c r="BV234" s="774">
        <v>0</v>
      </c>
      <c r="BW234" s="774">
        <f t="shared" si="140"/>
        <v>597.03200019861504</v>
      </c>
    </row>
    <row r="235" spans="1:75" ht="15" thickBot="1" x14ac:dyDescent="0.35">
      <c r="A235" s="209" t="s">
        <v>218</v>
      </c>
      <c r="B235" s="227">
        <v>4</v>
      </c>
      <c r="C235" s="39">
        <f>'[3]побудинковий звіт'!E235</f>
        <v>2790</v>
      </c>
      <c r="D235" s="205">
        <f t="shared" si="115"/>
        <v>2075.0192298359425</v>
      </c>
      <c r="E235" s="104">
        <f t="shared" si="116"/>
        <v>456.50461179453225</v>
      </c>
      <c r="F235" s="104">
        <f t="shared" si="117"/>
        <v>85.288474437272782</v>
      </c>
      <c r="G235" s="104">
        <f t="shared" si="118"/>
        <v>0</v>
      </c>
      <c r="H235" s="104">
        <f t="shared" si="119"/>
        <v>1733.6260543843819</v>
      </c>
      <c r="I235" s="104">
        <f t="shared" si="120"/>
        <v>559.95725467194052</v>
      </c>
      <c r="J235" s="672">
        <f t="shared" si="108"/>
        <v>0</v>
      </c>
      <c r="K235" s="139">
        <f t="shared" si="121"/>
        <v>4910.3956251240706</v>
      </c>
      <c r="L235" s="138">
        <f t="shared" si="109"/>
        <v>706.96383457390505</v>
      </c>
      <c r="M235" s="104">
        <f t="shared" si="110"/>
        <v>155.53131155235349</v>
      </c>
      <c r="N235" s="29">
        <f t="shared" si="122"/>
        <v>57.304605763368045</v>
      </c>
      <c r="O235" s="104">
        <f t="shared" si="111"/>
        <v>5.0228632863335143</v>
      </c>
      <c r="P235" s="104">
        <f t="shared" si="123"/>
        <v>590.65039277814913</v>
      </c>
      <c r="Q235" s="104">
        <f t="shared" si="124"/>
        <v>195.06082670358987</v>
      </c>
      <c r="R235" s="140">
        <f t="shared" si="125"/>
        <v>1710.5338346576989</v>
      </c>
      <c r="S235" s="138">
        <f t="shared" si="126"/>
        <v>0</v>
      </c>
      <c r="T235" s="104">
        <f t="shared" si="112"/>
        <v>0</v>
      </c>
      <c r="U235" s="139">
        <f t="shared" si="127"/>
        <v>0</v>
      </c>
      <c r="V235" s="104"/>
      <c r="W235" s="104">
        <f t="shared" si="128"/>
        <v>0</v>
      </c>
      <c r="X235" s="139">
        <f t="shared" si="129"/>
        <v>0</v>
      </c>
      <c r="Y235" s="138">
        <v>0</v>
      </c>
      <c r="Z235" s="141">
        <v>0</v>
      </c>
      <c r="AA235" s="104">
        <f t="shared" si="113"/>
        <v>0</v>
      </c>
      <c r="AB235" s="139">
        <f t="shared" si="114"/>
        <v>0</v>
      </c>
      <c r="AC235" s="138">
        <v>0</v>
      </c>
      <c r="AD235" s="104">
        <f t="shared" si="130"/>
        <v>0</v>
      </c>
      <c r="AE235" s="139">
        <f t="shared" si="131"/>
        <v>0</v>
      </c>
      <c r="AF235" s="142">
        <v>129.80000000000001</v>
      </c>
      <c r="AG235" s="104">
        <f t="shared" si="132"/>
        <v>16.706925938790896</v>
      </c>
      <c r="AH235" s="139">
        <f t="shared" si="133"/>
        <v>146.50692593879091</v>
      </c>
      <c r="AI235" s="142">
        <v>0</v>
      </c>
      <c r="AJ235" s="104">
        <f t="shared" si="134"/>
        <v>0</v>
      </c>
      <c r="AK235" s="139">
        <f t="shared" si="135"/>
        <v>0</v>
      </c>
      <c r="AL235" s="143"/>
      <c r="AM235" s="143"/>
      <c r="AN235" s="104">
        <f t="shared" si="136"/>
        <v>0</v>
      </c>
      <c r="AO235" s="148">
        <f t="shared" si="137"/>
        <v>0</v>
      </c>
      <c r="AP235" s="272">
        <f t="shared" si="138"/>
        <v>2468.2059276434611</v>
      </c>
      <c r="AQ235" s="669">
        <v>99.78</v>
      </c>
      <c r="AR235" s="725">
        <v>1815.2631498903245</v>
      </c>
      <c r="AS235" s="725">
        <v>652.94277775313674</v>
      </c>
      <c r="AT235" s="725">
        <v>0</v>
      </c>
      <c r="AU235" s="401">
        <v>0</v>
      </c>
      <c r="AV235" s="786"/>
      <c r="AW235" s="246"/>
      <c r="AX235" s="713">
        <f t="shared" si="139"/>
        <v>85.288474437272782</v>
      </c>
      <c r="AY235" s="714">
        <v>57.304605763368045</v>
      </c>
      <c r="AZ235" s="715"/>
      <c r="BA235" s="716">
        <v>0</v>
      </c>
      <c r="BC235" s="712">
        <v>0</v>
      </c>
      <c r="BD235" s="712">
        <v>85.288474437272782</v>
      </c>
      <c r="BE235" s="712"/>
      <c r="BF235" s="712"/>
      <c r="BG235" s="712">
        <v>0</v>
      </c>
      <c r="BH235" s="712">
        <v>0</v>
      </c>
      <c r="BI235" s="134">
        <f t="shared" si="143"/>
        <v>85.288474437272782</v>
      </c>
      <c r="BJ235" s="123"/>
      <c r="BK235" s="792"/>
      <c r="BL235" s="104"/>
      <c r="BM235" s="672"/>
      <c r="BO235" s="562"/>
      <c r="BS235" s="879"/>
      <c r="BT235" s="774"/>
      <c r="BU235" s="774">
        <v>1777.9176310418195</v>
      </c>
      <c r="BV235" s="774">
        <v>0</v>
      </c>
      <c r="BW235" s="774">
        <f t="shared" si="140"/>
        <v>1777.9176310418195</v>
      </c>
    </row>
    <row r="236" spans="1:75" ht="15" thickBot="1" x14ac:dyDescent="0.35">
      <c r="A236" s="209" t="s">
        <v>274</v>
      </c>
      <c r="B236" s="227">
        <v>5</v>
      </c>
      <c r="C236" s="39">
        <f>'[3]побудинковий звіт'!E236</f>
        <v>3559.5</v>
      </c>
      <c r="D236" s="205">
        <f t="shared" si="115"/>
        <v>1570.0101801974004</v>
      </c>
      <c r="E236" s="104">
        <f t="shared" si="116"/>
        <v>345.40252809182101</v>
      </c>
      <c r="F236" s="104">
        <f t="shared" si="117"/>
        <v>108.83108971481357</v>
      </c>
      <c r="G236" s="104">
        <f t="shared" si="118"/>
        <v>0</v>
      </c>
      <c r="H236" s="104">
        <f t="shared" si="119"/>
        <v>1311.7037735858123</v>
      </c>
      <c r="I236" s="104">
        <f t="shared" si="120"/>
        <v>429.37926821449082</v>
      </c>
      <c r="J236" s="672">
        <f t="shared" si="108"/>
        <v>0</v>
      </c>
      <c r="K236" s="139">
        <f t="shared" si="121"/>
        <v>3765.3268398043379</v>
      </c>
      <c r="L236" s="138">
        <f t="shared" si="109"/>
        <v>711.72162450907615</v>
      </c>
      <c r="M236" s="104">
        <f t="shared" si="110"/>
        <v>156.57802041144774</v>
      </c>
      <c r="N236" s="29">
        <f t="shared" si="122"/>
        <v>73.122690164799621</v>
      </c>
      <c r="O236" s="104">
        <f t="shared" si="111"/>
        <v>6.4082013862738867</v>
      </c>
      <c r="P236" s="104">
        <f t="shared" si="123"/>
        <v>594.62540586443868</v>
      </c>
      <c r="Q236" s="104">
        <f t="shared" si="124"/>
        <v>198.53387667531644</v>
      </c>
      <c r="R236" s="140">
        <f t="shared" si="125"/>
        <v>1740.9898190113524</v>
      </c>
      <c r="S236" s="138">
        <f t="shared" si="126"/>
        <v>137.23599999999999</v>
      </c>
      <c r="T236" s="104">
        <f t="shared" si="112"/>
        <v>17.664034577318237</v>
      </c>
      <c r="U236" s="139">
        <f t="shared" si="127"/>
        <v>154.90003457731822</v>
      </c>
      <c r="V236" s="104"/>
      <c r="W236" s="104">
        <f t="shared" si="128"/>
        <v>0</v>
      </c>
      <c r="X236" s="139">
        <f t="shared" si="129"/>
        <v>0</v>
      </c>
      <c r="Y236" s="138">
        <v>0</v>
      </c>
      <c r="Z236" s="141">
        <v>0</v>
      </c>
      <c r="AA236" s="104">
        <f t="shared" si="113"/>
        <v>0</v>
      </c>
      <c r="AB236" s="139">
        <f t="shared" si="114"/>
        <v>0</v>
      </c>
      <c r="AC236" s="138">
        <v>0</v>
      </c>
      <c r="AD236" s="104">
        <f t="shared" si="130"/>
        <v>0</v>
      </c>
      <c r="AE236" s="139">
        <f t="shared" si="131"/>
        <v>0</v>
      </c>
      <c r="AF236" s="142">
        <v>233.2</v>
      </c>
      <c r="AG236" s="104">
        <f t="shared" si="132"/>
        <v>30.015833042573473</v>
      </c>
      <c r="AH236" s="139">
        <f t="shared" si="133"/>
        <v>263.21583304257348</v>
      </c>
      <c r="AI236" s="142">
        <v>0</v>
      </c>
      <c r="AJ236" s="104">
        <f t="shared" si="134"/>
        <v>0</v>
      </c>
      <c r="AK236" s="139">
        <f t="shared" si="135"/>
        <v>0</v>
      </c>
      <c r="AL236" s="143"/>
      <c r="AM236" s="391"/>
      <c r="AN236" s="104">
        <f t="shared" si="136"/>
        <v>0</v>
      </c>
      <c r="AO236" s="148">
        <f t="shared" si="137"/>
        <v>0</v>
      </c>
      <c r="AP236" s="272">
        <f t="shared" si="138"/>
        <v>1955.5553864952963</v>
      </c>
      <c r="AQ236" s="669">
        <v>150.75</v>
      </c>
      <c r="AR236" s="725">
        <v>1298.2183746607107</v>
      </c>
      <c r="AS236" s="725">
        <v>635.29512961453611</v>
      </c>
      <c r="AT236" s="725">
        <v>22.041882220049569</v>
      </c>
      <c r="AU236" s="401">
        <v>0</v>
      </c>
      <c r="AV236" s="786"/>
      <c r="AW236" s="246"/>
      <c r="AX236" s="713">
        <f t="shared" si="139"/>
        <v>108.83108971481357</v>
      </c>
      <c r="AY236" s="714">
        <v>73.122690164799621</v>
      </c>
      <c r="AZ236" s="715"/>
      <c r="BA236" s="716">
        <v>0</v>
      </c>
      <c r="BC236" s="712">
        <v>0</v>
      </c>
      <c r="BD236" s="712">
        <v>108.83108971481357</v>
      </c>
      <c r="BE236" s="712"/>
      <c r="BF236" s="712"/>
      <c r="BG236" s="712">
        <v>0</v>
      </c>
      <c r="BH236" s="712">
        <v>0</v>
      </c>
      <c r="BI236" s="134">
        <f t="shared" si="143"/>
        <v>108.83108971481357</v>
      </c>
      <c r="BJ236" s="123">
        <v>623.79999999999995</v>
      </c>
      <c r="BK236" s="792"/>
      <c r="BL236" s="104"/>
      <c r="BM236" s="672"/>
      <c r="BO236" s="562"/>
      <c r="BS236" s="879"/>
      <c r="BT236" s="774"/>
      <c r="BU236" s="774">
        <v>1271.5135019947484</v>
      </c>
      <c r="BV236" s="774">
        <v>0</v>
      </c>
      <c r="BW236" s="774">
        <f t="shared" si="140"/>
        <v>1271.5135019947484</v>
      </c>
    </row>
    <row r="237" spans="1:75" ht="15" thickBot="1" x14ac:dyDescent="0.35">
      <c r="A237" s="209" t="s">
        <v>275</v>
      </c>
      <c r="B237" s="227">
        <v>5</v>
      </c>
      <c r="C237" s="39">
        <f>'[3]побудинковий звіт'!E237</f>
        <v>3575.2</v>
      </c>
      <c r="D237" s="205">
        <f t="shared" si="115"/>
        <v>1865.6657699686173</v>
      </c>
      <c r="E237" s="104">
        <f t="shared" si="116"/>
        <v>410.44681216048667</v>
      </c>
      <c r="F237" s="104">
        <f t="shared" si="117"/>
        <v>109.31722943288229</v>
      </c>
      <c r="G237" s="104">
        <f t="shared" si="118"/>
        <v>0</v>
      </c>
      <c r="H237" s="104">
        <f t="shared" si="119"/>
        <v>1558.7165367361019</v>
      </c>
      <c r="I237" s="104">
        <f t="shared" si="120"/>
        <v>507.66225680099166</v>
      </c>
      <c r="J237" s="672">
        <f t="shared" si="108"/>
        <v>0</v>
      </c>
      <c r="K237" s="139">
        <f t="shared" si="121"/>
        <v>4451.8086050990796</v>
      </c>
      <c r="L237" s="138">
        <f t="shared" si="109"/>
        <v>771.17759252652343</v>
      </c>
      <c r="M237" s="104">
        <f t="shared" si="110"/>
        <v>169.65827180923216</v>
      </c>
      <c r="N237" s="29">
        <f t="shared" si="122"/>
        <v>73.449323336205808</v>
      </c>
      <c r="O237" s="104">
        <f t="shared" si="111"/>
        <v>6.4364662441933973</v>
      </c>
      <c r="P237" s="104">
        <f t="shared" si="123"/>
        <v>644.29936250138053</v>
      </c>
      <c r="Q237" s="104">
        <f t="shared" si="124"/>
        <v>214.30957479058631</v>
      </c>
      <c r="R237" s="140">
        <f t="shared" si="125"/>
        <v>1879.3305912081216</v>
      </c>
      <c r="S237" s="138">
        <f t="shared" si="126"/>
        <v>189.46400000000003</v>
      </c>
      <c r="T237" s="104">
        <f t="shared" si="112"/>
        <v>24.386448505909698</v>
      </c>
      <c r="U237" s="139">
        <f t="shared" si="127"/>
        <v>213.85044850590972</v>
      </c>
      <c r="V237" s="104"/>
      <c r="W237" s="104">
        <f t="shared" si="128"/>
        <v>0</v>
      </c>
      <c r="X237" s="139">
        <f t="shared" si="129"/>
        <v>0</v>
      </c>
      <c r="Y237" s="138">
        <v>0</v>
      </c>
      <c r="Z237" s="141">
        <v>0</v>
      </c>
      <c r="AA237" s="104">
        <f t="shared" si="113"/>
        <v>0</v>
      </c>
      <c r="AB237" s="139">
        <f t="shared" si="114"/>
        <v>0</v>
      </c>
      <c r="AC237" s="138">
        <v>0</v>
      </c>
      <c r="AD237" s="104">
        <f t="shared" si="130"/>
        <v>0</v>
      </c>
      <c r="AE237" s="139">
        <f t="shared" si="131"/>
        <v>0</v>
      </c>
      <c r="AF237" s="142">
        <v>330</v>
      </c>
      <c r="AG237" s="104">
        <f t="shared" si="132"/>
        <v>42.47523543760397</v>
      </c>
      <c r="AH237" s="139">
        <f t="shared" si="133"/>
        <v>372.47523543760394</v>
      </c>
      <c r="AI237" s="142">
        <v>0</v>
      </c>
      <c r="AJ237" s="104">
        <f t="shared" si="134"/>
        <v>0</v>
      </c>
      <c r="AK237" s="139">
        <f t="shared" si="135"/>
        <v>0</v>
      </c>
      <c r="AL237" s="143"/>
      <c r="AM237" s="143"/>
      <c r="AN237" s="104">
        <f t="shared" si="136"/>
        <v>0</v>
      </c>
      <c r="AO237" s="148">
        <f t="shared" si="137"/>
        <v>0</v>
      </c>
      <c r="AP237" s="272">
        <f t="shared" si="138"/>
        <v>2137.7898297811325</v>
      </c>
      <c r="AQ237" s="669">
        <v>296.29000000000002</v>
      </c>
      <c r="AR237" s="725">
        <v>1425.5400444597506</v>
      </c>
      <c r="AS237" s="725">
        <v>681.82350244017687</v>
      </c>
      <c r="AT237" s="725">
        <v>30.426282881205001</v>
      </c>
      <c r="AU237" s="401">
        <v>0</v>
      </c>
      <c r="AV237" s="786"/>
      <c r="AW237" s="246"/>
      <c r="AX237" s="713">
        <f t="shared" si="139"/>
        <v>109.31722943288229</v>
      </c>
      <c r="AY237" s="714">
        <v>73.449323336205808</v>
      </c>
      <c r="AZ237" s="715"/>
      <c r="BA237" s="716">
        <v>0</v>
      </c>
      <c r="BC237" s="712">
        <v>0</v>
      </c>
      <c r="BD237" s="712">
        <v>109.31722943288229</v>
      </c>
      <c r="BE237" s="712"/>
      <c r="BF237" s="712"/>
      <c r="BG237" s="712">
        <v>0</v>
      </c>
      <c r="BH237" s="712">
        <v>0</v>
      </c>
      <c r="BI237" s="134">
        <f t="shared" si="143"/>
        <v>109.31722943288229</v>
      </c>
      <c r="BJ237" s="123">
        <v>861.2</v>
      </c>
      <c r="BK237" s="792"/>
      <c r="BL237" s="104"/>
      <c r="BM237" s="672"/>
      <c r="BO237" s="562"/>
      <c r="BS237" s="879"/>
      <c r="BT237" s="774"/>
      <c r="BU237" s="774">
        <v>1396.2113048776307</v>
      </c>
      <c r="BV237" s="774">
        <v>0</v>
      </c>
      <c r="BW237" s="774">
        <f t="shared" si="140"/>
        <v>1396.2113048776307</v>
      </c>
    </row>
    <row r="238" spans="1:75" ht="15" thickBot="1" x14ac:dyDescent="0.35">
      <c r="A238" s="209" t="s">
        <v>276</v>
      </c>
      <c r="B238" s="227">
        <v>5</v>
      </c>
      <c r="C238" s="39">
        <f>'[3]побудинковий звіт'!E238</f>
        <v>3564.2</v>
      </c>
      <c r="D238" s="205">
        <f t="shared" si="115"/>
        <v>1695.4693989161017</v>
      </c>
      <c r="E238" s="104">
        <f t="shared" si="116"/>
        <v>373.00357925979222</v>
      </c>
      <c r="F238" s="104">
        <f t="shared" si="117"/>
        <v>284.5092512525103</v>
      </c>
      <c r="G238" s="104">
        <f t="shared" si="118"/>
        <v>0</v>
      </c>
      <c r="H238" s="104">
        <f t="shared" si="119"/>
        <v>1416.5217758510951</v>
      </c>
      <c r="I238" s="104">
        <f t="shared" si="120"/>
        <v>485.18354577950879</v>
      </c>
      <c r="J238" s="672">
        <f t="shared" si="108"/>
        <v>0</v>
      </c>
      <c r="K238" s="139">
        <f t="shared" si="121"/>
        <v>4254.687551059008</v>
      </c>
      <c r="L238" s="138">
        <f t="shared" si="109"/>
        <v>745.88710767764371</v>
      </c>
      <c r="M238" s="104">
        <f t="shared" si="110"/>
        <v>164.09439133052007</v>
      </c>
      <c r="N238" s="29">
        <f t="shared" si="122"/>
        <v>73.235676481952709</v>
      </c>
      <c r="O238" s="104">
        <f t="shared" si="111"/>
        <v>6.4166628405555235</v>
      </c>
      <c r="P238" s="104">
        <f t="shared" si="123"/>
        <v>623.16980243195519</v>
      </c>
      <c r="Q238" s="104">
        <f t="shared" si="124"/>
        <v>207.58852835156804</v>
      </c>
      <c r="R238" s="140">
        <f t="shared" si="125"/>
        <v>1820.3921691141954</v>
      </c>
      <c r="S238" s="138">
        <f t="shared" si="126"/>
        <v>157.43200000000002</v>
      </c>
      <c r="T238" s="104">
        <f t="shared" si="112"/>
        <v>20.263518986099601</v>
      </c>
      <c r="U238" s="139">
        <f t="shared" si="127"/>
        <v>177.69551898609961</v>
      </c>
      <c r="V238" s="104"/>
      <c r="W238" s="104">
        <f t="shared" si="128"/>
        <v>0</v>
      </c>
      <c r="X238" s="139">
        <f t="shared" si="129"/>
        <v>0</v>
      </c>
      <c r="Y238" s="138">
        <v>0</v>
      </c>
      <c r="Z238" s="141">
        <v>0</v>
      </c>
      <c r="AA238" s="104">
        <f t="shared" si="113"/>
        <v>0</v>
      </c>
      <c r="AB238" s="139">
        <f t="shared" si="114"/>
        <v>0</v>
      </c>
      <c r="AC238" s="138">
        <v>0</v>
      </c>
      <c r="AD238" s="104">
        <f t="shared" si="130"/>
        <v>0</v>
      </c>
      <c r="AE238" s="139">
        <f t="shared" si="131"/>
        <v>0</v>
      </c>
      <c r="AF238" s="142">
        <v>915.2</v>
      </c>
      <c r="AG238" s="104">
        <f t="shared" si="132"/>
        <v>117.79798628028836</v>
      </c>
      <c r="AH238" s="139">
        <f t="shared" si="133"/>
        <v>1032.9979862802884</v>
      </c>
      <c r="AI238" s="142">
        <v>0</v>
      </c>
      <c r="AJ238" s="104">
        <f t="shared" si="134"/>
        <v>0</v>
      </c>
      <c r="AK238" s="139">
        <f t="shared" si="135"/>
        <v>0</v>
      </c>
      <c r="AL238" s="143"/>
      <c r="AM238" s="391"/>
      <c r="AN238" s="104">
        <f t="shared" si="136"/>
        <v>0</v>
      </c>
      <c r="AO238" s="148">
        <f t="shared" si="137"/>
        <v>0</v>
      </c>
      <c r="AP238" s="272">
        <f t="shared" si="138"/>
        <v>2100.7269816112562</v>
      </c>
      <c r="AQ238" s="669">
        <v>152.91999999999999</v>
      </c>
      <c r="AR238" s="725">
        <v>1411.8351654254577</v>
      </c>
      <c r="AS238" s="725">
        <v>663.60072205113522</v>
      </c>
      <c r="AT238" s="725">
        <v>25.291094134662988</v>
      </c>
      <c r="AU238" s="401">
        <v>0</v>
      </c>
      <c r="AV238" s="786"/>
      <c r="AW238" s="246"/>
      <c r="AX238" s="713">
        <f t="shared" si="139"/>
        <v>108.99925125251029</v>
      </c>
      <c r="AY238" s="714">
        <v>73.235676481952709</v>
      </c>
      <c r="AZ238" s="715"/>
      <c r="BA238" s="716">
        <v>0</v>
      </c>
      <c r="BC238" s="712">
        <v>0</v>
      </c>
      <c r="BD238" s="712">
        <v>108.99925125251029</v>
      </c>
      <c r="BE238" s="712"/>
      <c r="BF238" s="712"/>
      <c r="BG238" s="712">
        <v>0</v>
      </c>
      <c r="BH238" s="712">
        <v>0</v>
      </c>
      <c r="BI238" s="134">
        <f t="shared" si="143"/>
        <v>108.99925125251029</v>
      </c>
      <c r="BJ238" s="123">
        <v>715.6</v>
      </c>
      <c r="BK238" s="792"/>
      <c r="BL238" s="104"/>
      <c r="BM238" s="672">
        <v>175.51</v>
      </c>
      <c r="BO238" s="562"/>
      <c r="BS238" s="879"/>
      <c r="BT238" s="774"/>
      <c r="BU238" s="774">
        <v>1382.4341919963913</v>
      </c>
      <c r="BV238" s="774">
        <v>0</v>
      </c>
      <c r="BW238" s="774">
        <f t="shared" si="140"/>
        <v>1382.4341919963913</v>
      </c>
    </row>
    <row r="239" spans="1:75" ht="15" thickBot="1" x14ac:dyDescent="0.35">
      <c r="A239" s="209" t="s">
        <v>277</v>
      </c>
      <c r="B239" s="227">
        <v>5</v>
      </c>
      <c r="C239" s="39">
        <f>'[3]побудинковий звіт'!E239</f>
        <v>3571.96</v>
      </c>
      <c r="D239" s="205">
        <f t="shared" si="115"/>
        <v>2108.2448363160702</v>
      </c>
      <c r="E239" s="104">
        <f t="shared" si="116"/>
        <v>463.81425132449834</v>
      </c>
      <c r="F239" s="104">
        <f t="shared" si="117"/>
        <v>109.21816699976638</v>
      </c>
      <c r="G239" s="104">
        <f t="shared" si="118"/>
        <v>0</v>
      </c>
      <c r="H239" s="104">
        <f t="shared" si="119"/>
        <v>1761.3852077639995</v>
      </c>
      <c r="I239" s="104">
        <f t="shared" si="120"/>
        <v>571.82767897099848</v>
      </c>
      <c r="J239" s="672">
        <f t="shared" si="108"/>
        <v>0</v>
      </c>
      <c r="K239" s="139">
        <f t="shared" si="121"/>
        <v>5014.4901413753323</v>
      </c>
      <c r="L239" s="138">
        <f t="shared" si="109"/>
        <v>761.93651345315948</v>
      </c>
      <c r="M239" s="104">
        <f t="shared" si="110"/>
        <v>167.62524398213606</v>
      </c>
      <c r="N239" s="29">
        <f t="shared" si="122"/>
        <v>73.382764123919259</v>
      </c>
      <c r="O239" s="104">
        <f t="shared" si="111"/>
        <v>6.4306332416673335</v>
      </c>
      <c r="P239" s="104">
        <f t="shared" si="123"/>
        <v>636.57867479793379</v>
      </c>
      <c r="Q239" s="104">
        <f t="shared" si="124"/>
        <v>211.85538312616848</v>
      </c>
      <c r="R239" s="140">
        <f t="shared" si="125"/>
        <v>1857.8092127249843</v>
      </c>
      <c r="S239" s="138">
        <f t="shared" si="126"/>
        <v>156.94800000000001</v>
      </c>
      <c r="T239" s="104">
        <f t="shared" si="112"/>
        <v>20.201221974124451</v>
      </c>
      <c r="U239" s="139">
        <f t="shared" si="127"/>
        <v>177.14922197412446</v>
      </c>
      <c r="V239" s="104"/>
      <c r="W239" s="104">
        <f t="shared" si="128"/>
        <v>0</v>
      </c>
      <c r="X239" s="139">
        <f t="shared" si="129"/>
        <v>0</v>
      </c>
      <c r="Y239" s="138">
        <v>0</v>
      </c>
      <c r="Z239" s="141">
        <v>0</v>
      </c>
      <c r="AA239" s="104">
        <f t="shared" si="113"/>
        <v>0</v>
      </c>
      <c r="AB239" s="139">
        <f t="shared" si="114"/>
        <v>0</v>
      </c>
      <c r="AC239" s="138">
        <v>0</v>
      </c>
      <c r="AD239" s="104">
        <f t="shared" si="130"/>
        <v>0</v>
      </c>
      <c r="AE239" s="139">
        <f t="shared" si="131"/>
        <v>0</v>
      </c>
      <c r="AF239" s="142">
        <v>426.8</v>
      </c>
      <c r="AG239" s="104">
        <f t="shared" si="132"/>
        <v>54.934637832634472</v>
      </c>
      <c r="AH239" s="139">
        <f t="shared" si="133"/>
        <v>481.73463783263446</v>
      </c>
      <c r="AI239" s="142">
        <v>0</v>
      </c>
      <c r="AJ239" s="104">
        <f t="shared" si="134"/>
        <v>0</v>
      </c>
      <c r="AK239" s="139">
        <f t="shared" si="135"/>
        <v>0</v>
      </c>
      <c r="AL239" s="143"/>
      <c r="AM239" s="143"/>
      <c r="AN239" s="104">
        <f t="shared" si="136"/>
        <v>0</v>
      </c>
      <c r="AO239" s="148">
        <f t="shared" si="137"/>
        <v>0</v>
      </c>
      <c r="AP239" s="272">
        <f t="shared" si="138"/>
        <v>2486.7420312423105</v>
      </c>
      <c r="AQ239" s="669">
        <v>162.68</v>
      </c>
      <c r="AR239" s="725">
        <v>1783.0271886499797</v>
      </c>
      <c r="AS239" s="725">
        <v>678.50458295749888</v>
      </c>
      <c r="AT239" s="725">
        <v>25.210259634831861</v>
      </c>
      <c r="AU239" s="401">
        <v>0</v>
      </c>
      <c r="AV239" s="786"/>
      <c r="AW239" s="246"/>
      <c r="AX239" s="713">
        <f t="shared" si="139"/>
        <v>109.21816699976638</v>
      </c>
      <c r="AY239" s="714">
        <v>73.382764123919259</v>
      </c>
      <c r="AZ239" s="715"/>
      <c r="BA239" s="716">
        <v>0</v>
      </c>
      <c r="BC239" s="712">
        <v>0</v>
      </c>
      <c r="BD239" s="712">
        <v>109.21816699976638</v>
      </c>
      <c r="BE239" s="712"/>
      <c r="BF239" s="712"/>
      <c r="BG239" s="712">
        <v>0</v>
      </c>
      <c r="BH239" s="712">
        <v>0</v>
      </c>
      <c r="BI239" s="134">
        <f t="shared" si="143"/>
        <v>109.21816699976638</v>
      </c>
      <c r="BJ239" s="123">
        <v>713.4</v>
      </c>
      <c r="BK239" s="792"/>
      <c r="BL239" s="104"/>
      <c r="BM239" s="672"/>
      <c r="BO239" s="562"/>
      <c r="BS239" s="879"/>
      <c r="BT239" s="774"/>
      <c r="BU239" s="774">
        <v>1745.8778098833509</v>
      </c>
      <c r="BV239" s="774">
        <v>0</v>
      </c>
      <c r="BW239" s="774">
        <f t="shared" si="140"/>
        <v>1745.8778098833509</v>
      </c>
    </row>
    <row r="240" spans="1:75" ht="15" thickBot="1" x14ac:dyDescent="0.35">
      <c r="A240" s="250" t="s">
        <v>278</v>
      </c>
      <c r="B240" s="227">
        <v>5</v>
      </c>
      <c r="C240" s="39">
        <f>'[3]побудинковий звіт'!E240</f>
        <v>4572.3</v>
      </c>
      <c r="D240" s="205">
        <f t="shared" si="115"/>
        <v>3026.0135528313313</v>
      </c>
      <c r="E240" s="104">
        <f t="shared" si="116"/>
        <v>665.7235375739034</v>
      </c>
      <c r="F240" s="104">
        <f t="shared" si="117"/>
        <v>145.34795074310938</v>
      </c>
      <c r="G240" s="104">
        <f t="shared" si="118"/>
        <v>0</v>
      </c>
      <c r="H240" s="104">
        <f t="shared" si="119"/>
        <v>2528.1577446024003</v>
      </c>
      <c r="I240" s="104">
        <f t="shared" si="120"/>
        <v>819.28844224931231</v>
      </c>
      <c r="J240" s="672">
        <f t="shared" si="108"/>
        <v>0</v>
      </c>
      <c r="K240" s="139">
        <f t="shared" si="121"/>
        <v>7184.5312280000571</v>
      </c>
      <c r="L240" s="138">
        <f t="shared" si="109"/>
        <v>1029.1207838733035</v>
      </c>
      <c r="M240" s="104">
        <f t="shared" si="110"/>
        <v>226.40550680795607</v>
      </c>
      <c r="N240" s="29">
        <f t="shared" si="122"/>
        <v>88.718994253956055</v>
      </c>
      <c r="O240" s="104">
        <f t="shared" si="111"/>
        <v>8.2315547684956005</v>
      </c>
      <c r="P240" s="104">
        <f t="shared" si="123"/>
        <v>859.8043711490302</v>
      </c>
      <c r="Q240" s="104">
        <f t="shared" si="124"/>
        <v>284.74898571259934</v>
      </c>
      <c r="R240" s="140">
        <f t="shared" si="125"/>
        <v>2497.0301965653407</v>
      </c>
      <c r="S240" s="138">
        <f t="shared" si="126"/>
        <v>44</v>
      </c>
      <c r="T240" s="104">
        <f t="shared" si="112"/>
        <v>5.6633647250138628</v>
      </c>
      <c r="U240" s="139">
        <f t="shared" si="127"/>
        <v>49.663364725013864</v>
      </c>
      <c r="V240" s="104"/>
      <c r="W240" s="104">
        <f t="shared" si="128"/>
        <v>0</v>
      </c>
      <c r="X240" s="139">
        <f t="shared" si="129"/>
        <v>0</v>
      </c>
      <c r="Y240" s="138">
        <v>0</v>
      </c>
      <c r="Z240" s="141">
        <v>0</v>
      </c>
      <c r="AA240" s="104">
        <f t="shared" si="113"/>
        <v>0</v>
      </c>
      <c r="AB240" s="139">
        <f t="shared" si="114"/>
        <v>0</v>
      </c>
      <c r="AC240" s="138">
        <v>0</v>
      </c>
      <c r="AD240" s="104">
        <f t="shared" si="130"/>
        <v>0</v>
      </c>
      <c r="AE240" s="139">
        <f t="shared" si="131"/>
        <v>0</v>
      </c>
      <c r="AF240" s="142">
        <v>332.2</v>
      </c>
      <c r="AG240" s="104">
        <f t="shared" si="132"/>
        <v>42.758403673854666</v>
      </c>
      <c r="AH240" s="139">
        <f t="shared" si="133"/>
        <v>374.95840367385466</v>
      </c>
      <c r="AI240" s="142">
        <v>0</v>
      </c>
      <c r="AJ240" s="104">
        <f t="shared" si="134"/>
        <v>0</v>
      </c>
      <c r="AK240" s="139">
        <f t="shared" si="135"/>
        <v>0</v>
      </c>
      <c r="AL240" s="143"/>
      <c r="AM240" s="205"/>
      <c r="AN240" s="104">
        <f t="shared" si="136"/>
        <v>0</v>
      </c>
      <c r="AO240" s="148">
        <f t="shared" si="137"/>
        <v>0</v>
      </c>
      <c r="AP240" s="272">
        <f t="shared" si="138"/>
        <v>3419.3434142153951</v>
      </c>
      <c r="AQ240" s="669">
        <v>195.31</v>
      </c>
      <c r="AR240" s="401">
        <v>2468.8605883566775</v>
      </c>
      <c r="AS240" s="401">
        <v>943.40456230187021</v>
      </c>
      <c r="AT240" s="401">
        <v>7.0782635568474168</v>
      </c>
      <c r="AU240" s="401">
        <v>0</v>
      </c>
      <c r="AV240" s="727">
        <v>128.54884407146935</v>
      </c>
      <c r="AW240" s="246"/>
      <c r="AX240" s="713">
        <f t="shared" si="139"/>
        <v>145.34795074310938</v>
      </c>
      <c r="AY240" s="714">
        <v>88.718994253956055</v>
      </c>
      <c r="AZ240" s="715"/>
      <c r="BA240" s="716">
        <v>0</v>
      </c>
      <c r="BB240" s="727"/>
      <c r="BC240" s="712">
        <v>26.362500000000001</v>
      </c>
      <c r="BD240" s="712">
        <v>118.98545074310937</v>
      </c>
      <c r="BE240" s="712"/>
      <c r="BF240" s="712"/>
      <c r="BG240" s="712">
        <v>0</v>
      </c>
      <c r="BH240" s="712">
        <v>38.04296875</v>
      </c>
      <c r="BI240" s="134">
        <f t="shared" si="143"/>
        <v>145.34795074310938</v>
      </c>
      <c r="BJ240" s="123">
        <v>200</v>
      </c>
      <c r="BK240" s="792"/>
      <c r="BL240" s="104"/>
      <c r="BM240" s="672"/>
      <c r="BO240" s="562"/>
      <c r="BS240" s="879"/>
      <c r="BT240" s="774"/>
      <c r="BU240" s="774">
        <v>1046.4579107063653</v>
      </c>
      <c r="BV240" s="774">
        <v>0</v>
      </c>
      <c r="BW240" s="774">
        <f t="shared" si="140"/>
        <v>1046.4579107063653</v>
      </c>
    </row>
    <row r="241" spans="1:75" ht="15" thickBot="1" x14ac:dyDescent="0.35">
      <c r="A241" s="250" t="s">
        <v>279</v>
      </c>
      <c r="B241" s="227">
        <v>5</v>
      </c>
      <c r="C241" s="39">
        <f>'[3]побудинковий звіт'!E241</f>
        <v>4577.8</v>
      </c>
      <c r="D241" s="205">
        <f t="shared" si="115"/>
        <v>2904.8196220490622</v>
      </c>
      <c r="E241" s="104">
        <f t="shared" si="116"/>
        <v>639.06085053558263</v>
      </c>
      <c r="F241" s="104">
        <f t="shared" si="117"/>
        <v>145.86382875457932</v>
      </c>
      <c r="G241" s="104">
        <f t="shared" si="118"/>
        <v>0</v>
      </c>
      <c r="H241" s="104">
        <f t="shared" si="119"/>
        <v>2426.9032824671217</v>
      </c>
      <c r="I241" s="104">
        <f t="shared" si="120"/>
        <v>787.29104912432115</v>
      </c>
      <c r="J241" s="672">
        <f t="shared" si="108"/>
        <v>0</v>
      </c>
      <c r="K241" s="139">
        <f t="shared" si="121"/>
        <v>6903.9386329306662</v>
      </c>
      <c r="L241" s="138">
        <f t="shared" si="109"/>
        <v>1027.9304988960505</v>
      </c>
      <c r="M241" s="104">
        <f t="shared" si="110"/>
        <v>226.14364534548849</v>
      </c>
      <c r="N241" s="29">
        <f t="shared" si="122"/>
        <v>89.145518516718454</v>
      </c>
      <c r="O241" s="104">
        <f t="shared" si="111"/>
        <v>8.2414564703145388</v>
      </c>
      <c r="P241" s="104">
        <f t="shared" si="123"/>
        <v>858.80991817286599</v>
      </c>
      <c r="Q241" s="104">
        <f t="shared" si="124"/>
        <v>284.49025058952498</v>
      </c>
      <c r="R241" s="140">
        <f t="shared" si="125"/>
        <v>2494.761287990963</v>
      </c>
      <c r="S241" s="138">
        <f t="shared" si="126"/>
        <v>44</v>
      </c>
      <c r="T241" s="104">
        <f t="shared" si="112"/>
        <v>5.6633647250138628</v>
      </c>
      <c r="U241" s="139">
        <f t="shared" si="127"/>
        <v>49.663364725013864</v>
      </c>
      <c r="V241" s="104"/>
      <c r="W241" s="104">
        <f t="shared" si="128"/>
        <v>0</v>
      </c>
      <c r="X241" s="139">
        <f t="shared" si="129"/>
        <v>0</v>
      </c>
      <c r="Y241" s="138">
        <v>0</v>
      </c>
      <c r="Z241" s="141">
        <v>0</v>
      </c>
      <c r="AA241" s="104">
        <f t="shared" si="113"/>
        <v>0</v>
      </c>
      <c r="AB241" s="139">
        <f t="shared" si="114"/>
        <v>0</v>
      </c>
      <c r="AC241" s="138">
        <v>0</v>
      </c>
      <c r="AD241" s="104">
        <f t="shared" si="130"/>
        <v>0</v>
      </c>
      <c r="AE241" s="139">
        <f t="shared" si="131"/>
        <v>0</v>
      </c>
      <c r="AF241" s="142">
        <v>294.8</v>
      </c>
      <c r="AG241" s="104">
        <f t="shared" si="132"/>
        <v>37.944543657592881</v>
      </c>
      <c r="AH241" s="139">
        <f t="shared" si="133"/>
        <v>332.74454365759289</v>
      </c>
      <c r="AI241" s="142">
        <v>0</v>
      </c>
      <c r="AJ241" s="104">
        <f t="shared" si="134"/>
        <v>0</v>
      </c>
      <c r="AK241" s="139">
        <f t="shared" si="135"/>
        <v>0</v>
      </c>
      <c r="AL241" s="143"/>
      <c r="AM241" s="205"/>
      <c r="AN241" s="104">
        <f t="shared" si="136"/>
        <v>0</v>
      </c>
      <c r="AO241" s="148">
        <f t="shared" si="137"/>
        <v>0</v>
      </c>
      <c r="AP241" s="272">
        <f t="shared" si="138"/>
        <v>3272.2931286340067</v>
      </c>
      <c r="AQ241" s="669">
        <v>237.01</v>
      </c>
      <c r="AR241" s="401">
        <v>2322.9096347939258</v>
      </c>
      <c r="AS241" s="401">
        <v>942.3052302832333</v>
      </c>
      <c r="AT241" s="401">
        <v>7.0782635568474168</v>
      </c>
      <c r="AU241" s="401">
        <v>0</v>
      </c>
      <c r="AV241" s="727">
        <v>120.94945735028203</v>
      </c>
      <c r="AW241" s="246"/>
      <c r="AX241" s="713">
        <f t="shared" si="139"/>
        <v>145.86382875457932</v>
      </c>
      <c r="AY241" s="714">
        <v>89.145518516718454</v>
      </c>
      <c r="AZ241" s="715"/>
      <c r="BA241" s="716">
        <v>0</v>
      </c>
      <c r="BB241" s="727"/>
      <c r="BC241" s="712">
        <v>26.362500000000001</v>
      </c>
      <c r="BD241" s="712">
        <v>119.50132875457932</v>
      </c>
      <c r="BE241" s="712"/>
      <c r="BF241" s="712"/>
      <c r="BG241" s="712">
        <v>0</v>
      </c>
      <c r="BH241" s="712">
        <v>38.04296875</v>
      </c>
      <c r="BI241" s="134">
        <f t="shared" si="143"/>
        <v>145.86382875457932</v>
      </c>
      <c r="BJ241" s="123">
        <v>200</v>
      </c>
      <c r="BK241" s="792"/>
      <c r="BL241" s="104"/>
      <c r="BM241" s="672"/>
      <c r="BO241" s="562"/>
      <c r="BS241" s="879"/>
      <c r="BT241" s="774"/>
      <c r="BU241" s="774">
        <v>984.58697648918701</v>
      </c>
      <c r="BV241" s="774">
        <v>0</v>
      </c>
      <c r="BW241" s="774">
        <f t="shared" si="140"/>
        <v>984.58697648918701</v>
      </c>
    </row>
    <row r="242" spans="1:75" ht="15" thickBot="1" x14ac:dyDescent="0.35">
      <c r="A242" s="250" t="s">
        <v>280</v>
      </c>
      <c r="B242" s="227">
        <v>5</v>
      </c>
      <c r="C242" s="39">
        <f>'[3]побудинковий звіт'!E242</f>
        <v>3208.93</v>
      </c>
      <c r="D242" s="205">
        <f t="shared" si="115"/>
        <v>2836.1194007060844</v>
      </c>
      <c r="E242" s="104">
        <f t="shared" si="116"/>
        <v>623.94678921825493</v>
      </c>
      <c r="F242" s="104">
        <f t="shared" si="117"/>
        <v>98.415572453026883</v>
      </c>
      <c r="G242" s="104">
        <f t="shared" si="118"/>
        <v>0</v>
      </c>
      <c r="H242" s="104">
        <f t="shared" si="119"/>
        <v>2369.5059861193781</v>
      </c>
      <c r="I242" s="104">
        <f t="shared" si="120"/>
        <v>763.00810693524579</v>
      </c>
      <c r="J242" s="672">
        <f t="shared" si="108"/>
        <v>0</v>
      </c>
      <c r="K242" s="139">
        <f t="shared" si="121"/>
        <v>6690.9958554319901</v>
      </c>
      <c r="L242" s="138">
        <f t="shared" si="109"/>
        <v>753.51324377910203</v>
      </c>
      <c r="M242" s="104">
        <f t="shared" si="110"/>
        <v>165.77213337605406</v>
      </c>
      <c r="N242" s="29">
        <f t="shared" si="122"/>
        <v>62.497100571059462</v>
      </c>
      <c r="O242" s="104">
        <f t="shared" si="111"/>
        <v>5.7770669123348402</v>
      </c>
      <c r="P242" s="104">
        <f t="shared" si="123"/>
        <v>629.5412461514502</v>
      </c>
      <c r="Q242" s="104">
        <f t="shared" si="124"/>
        <v>208.141626712548</v>
      </c>
      <c r="R242" s="140">
        <f t="shared" si="125"/>
        <v>1825.2424175025487</v>
      </c>
      <c r="S242" s="138">
        <f t="shared" si="126"/>
        <v>22</v>
      </c>
      <c r="T242" s="104">
        <f t="shared" si="112"/>
        <v>2.8316823625069314</v>
      </c>
      <c r="U242" s="139">
        <f t="shared" si="127"/>
        <v>24.831682362506932</v>
      </c>
      <c r="V242" s="720"/>
      <c r="W242" s="104">
        <f t="shared" si="128"/>
        <v>0</v>
      </c>
      <c r="X242" s="139">
        <f t="shared" si="129"/>
        <v>0</v>
      </c>
      <c r="Y242" s="138">
        <v>0</v>
      </c>
      <c r="Z242" s="141">
        <v>0</v>
      </c>
      <c r="AA242" s="104">
        <f t="shared" si="113"/>
        <v>0</v>
      </c>
      <c r="AB242" s="139">
        <f t="shared" si="114"/>
        <v>0</v>
      </c>
      <c r="AC242" s="138">
        <v>0</v>
      </c>
      <c r="AD242" s="104">
        <f t="shared" si="130"/>
        <v>0</v>
      </c>
      <c r="AE242" s="139">
        <f t="shared" si="131"/>
        <v>0</v>
      </c>
      <c r="AF242" s="142">
        <v>220</v>
      </c>
      <c r="AG242" s="104">
        <f t="shared" si="132"/>
        <v>28.316823625069315</v>
      </c>
      <c r="AH242" s="139">
        <f t="shared" si="133"/>
        <v>248.3168236250693</v>
      </c>
      <c r="AI242" s="142">
        <v>0</v>
      </c>
      <c r="AJ242" s="104">
        <f t="shared" si="134"/>
        <v>0</v>
      </c>
      <c r="AK242" s="139">
        <f t="shared" si="135"/>
        <v>0</v>
      </c>
      <c r="AL242" s="143"/>
      <c r="AM242" s="205"/>
      <c r="AN242" s="104">
        <f t="shared" si="136"/>
        <v>0</v>
      </c>
      <c r="AO242" s="148">
        <f t="shared" si="137"/>
        <v>0</v>
      </c>
      <c r="AP242" s="272">
        <f t="shared" si="138"/>
        <v>2898.7540549944238</v>
      </c>
      <c r="AQ242" s="669">
        <v>299.95</v>
      </c>
      <c r="AR242" s="401">
        <v>2202.8188368040364</v>
      </c>
      <c r="AS242" s="401">
        <v>672.29381791051674</v>
      </c>
      <c r="AT242" s="401">
        <v>23.641400279870371</v>
      </c>
      <c r="AU242" s="401">
        <v>0</v>
      </c>
      <c r="AV242" s="727">
        <v>114.69655941913716</v>
      </c>
      <c r="AW242" s="246"/>
      <c r="AX242" s="713">
        <f t="shared" si="139"/>
        <v>98.415572453026883</v>
      </c>
      <c r="AY242" s="714">
        <v>62.497100571059462</v>
      </c>
      <c r="AZ242" s="715"/>
      <c r="BA242" s="716">
        <v>0</v>
      </c>
      <c r="BB242" s="727"/>
      <c r="BC242" s="712">
        <v>15.817499999999999</v>
      </c>
      <c r="BD242" s="712">
        <v>82.598072453026887</v>
      </c>
      <c r="BE242" s="712"/>
      <c r="BF242" s="712"/>
      <c r="BG242" s="712">
        <v>0</v>
      </c>
      <c r="BH242" s="712">
        <v>22.825781249999999</v>
      </c>
      <c r="BI242" s="134">
        <f t="shared" si="143"/>
        <v>98.415572453026883</v>
      </c>
      <c r="BJ242" s="123">
        <v>100</v>
      </c>
      <c r="BK242" s="792"/>
      <c r="BL242" s="104"/>
      <c r="BM242" s="672"/>
      <c r="BO242" s="562"/>
      <c r="BS242" s="879"/>
      <c r="BT242" s="774"/>
      <c r="BU242" s="774">
        <v>933.68771705528297</v>
      </c>
      <c r="BV242" s="774">
        <v>0</v>
      </c>
      <c r="BW242" s="774">
        <f t="shared" si="140"/>
        <v>933.68771705528297</v>
      </c>
    </row>
    <row r="243" spans="1:75" ht="15" thickBot="1" x14ac:dyDescent="0.35">
      <c r="A243" s="250" t="s">
        <v>281</v>
      </c>
      <c r="B243" s="227">
        <v>5</v>
      </c>
      <c r="C243" s="39">
        <f>'[3]побудинковий звіт'!E243</f>
        <v>6253.7</v>
      </c>
      <c r="D243" s="205">
        <f t="shared" si="115"/>
        <v>3761.2152824464251</v>
      </c>
      <c r="E243" s="104">
        <f t="shared" si="116"/>
        <v>827.46805316335292</v>
      </c>
      <c r="F243" s="104">
        <f t="shared" si="117"/>
        <v>476.70484925957135</v>
      </c>
      <c r="G243" s="104">
        <f t="shared" si="118"/>
        <v>0</v>
      </c>
      <c r="H243" s="104">
        <f t="shared" si="119"/>
        <v>3142.4001840760625</v>
      </c>
      <c r="I243" s="104">
        <f t="shared" si="120"/>
        <v>1056.4477072514662</v>
      </c>
      <c r="J243" s="672">
        <f t="shared" si="108"/>
        <v>0</v>
      </c>
      <c r="K243" s="139">
        <f t="shared" si="121"/>
        <v>9264.2360761968775</v>
      </c>
      <c r="L243" s="138">
        <f t="shared" si="109"/>
        <v>1320.7597724821101</v>
      </c>
      <c r="M243" s="104">
        <f t="shared" si="110"/>
        <v>290.56578231266832</v>
      </c>
      <c r="N243" s="29">
        <f t="shared" si="122"/>
        <v>120.82906512228465</v>
      </c>
      <c r="O243" s="104">
        <f t="shared" si="111"/>
        <v>11.258595030015734</v>
      </c>
      <c r="P243" s="104">
        <f t="shared" si="123"/>
        <v>1103.4613656755391</v>
      </c>
      <c r="Q243" s="104">
        <f t="shared" si="124"/>
        <v>366.42929719174475</v>
      </c>
      <c r="R243" s="140">
        <f t="shared" si="125"/>
        <v>3213.3038778143627</v>
      </c>
      <c r="S243" s="138">
        <f t="shared" si="126"/>
        <v>66</v>
      </c>
      <c r="T243" s="104">
        <f t="shared" si="112"/>
        <v>8.4950470875207937</v>
      </c>
      <c r="U243" s="139">
        <f t="shared" si="127"/>
        <v>74.495047087520788</v>
      </c>
      <c r="V243" s="104"/>
      <c r="W243" s="104">
        <f t="shared" si="128"/>
        <v>0</v>
      </c>
      <c r="X243" s="139">
        <f t="shared" si="129"/>
        <v>0</v>
      </c>
      <c r="Y243" s="138">
        <v>0</v>
      </c>
      <c r="Z243" s="141">
        <v>0</v>
      </c>
      <c r="AA243" s="104">
        <f t="shared" si="113"/>
        <v>0</v>
      </c>
      <c r="AB243" s="139">
        <f t="shared" si="114"/>
        <v>0</v>
      </c>
      <c r="AC243" s="138">
        <v>0</v>
      </c>
      <c r="AD243" s="104">
        <f t="shared" si="130"/>
        <v>0</v>
      </c>
      <c r="AE243" s="139">
        <f t="shared" si="131"/>
        <v>0</v>
      </c>
      <c r="AF243" s="142">
        <v>160.6</v>
      </c>
      <c r="AG243" s="104">
        <f t="shared" si="132"/>
        <v>20.671281246300598</v>
      </c>
      <c r="AH243" s="139">
        <f t="shared" si="133"/>
        <v>181.27128124630059</v>
      </c>
      <c r="AI243" s="142">
        <v>0</v>
      </c>
      <c r="AJ243" s="104">
        <f t="shared" si="134"/>
        <v>0</v>
      </c>
      <c r="AK243" s="139">
        <f t="shared" si="135"/>
        <v>0</v>
      </c>
      <c r="AL243" s="143"/>
      <c r="AM243" s="205"/>
      <c r="AN243" s="104">
        <f t="shared" si="136"/>
        <v>0</v>
      </c>
      <c r="AO243" s="148">
        <f t="shared" si="137"/>
        <v>0</v>
      </c>
      <c r="AP243" s="272">
        <f t="shared" si="138"/>
        <v>4137.8513561791142</v>
      </c>
      <c r="AQ243" s="669">
        <v>401.29</v>
      </c>
      <c r="AR243" s="401">
        <v>2918.0144813426014</v>
      </c>
      <c r="AS243" s="401">
        <v>1209.2262016484924</v>
      </c>
      <c r="AT243" s="401">
        <v>10.610673188020352</v>
      </c>
      <c r="AU243" s="401">
        <v>0</v>
      </c>
      <c r="AV243" s="727">
        <v>151.93542735034646</v>
      </c>
      <c r="AW243" s="246"/>
      <c r="AX243" s="713">
        <f t="shared" si="139"/>
        <v>184.18484925957137</v>
      </c>
      <c r="AY243" s="714">
        <v>120.82906512228465</v>
      </c>
      <c r="AZ243" s="715"/>
      <c r="BA243" s="716">
        <v>0</v>
      </c>
      <c r="BB243" s="727"/>
      <c r="BC243" s="712">
        <v>26.362500000000001</v>
      </c>
      <c r="BD243" s="712">
        <v>157.82234925957135</v>
      </c>
      <c r="BE243" s="712"/>
      <c r="BF243" s="712"/>
      <c r="BG243" s="712">
        <v>0</v>
      </c>
      <c r="BH243" s="712">
        <v>38.04296875</v>
      </c>
      <c r="BI243" s="134">
        <f t="shared" si="143"/>
        <v>184.18484925957137</v>
      </c>
      <c r="BJ243" s="123">
        <v>300</v>
      </c>
      <c r="BK243" s="792"/>
      <c r="BL243" s="104"/>
      <c r="BM243" s="672">
        <v>292.52</v>
      </c>
      <c r="BO243" s="562"/>
      <c r="BS243" s="879"/>
      <c r="BT243" s="774"/>
      <c r="BU243" s="774">
        <v>2309.1998701720931</v>
      </c>
      <c r="BV243" s="774">
        <v>0</v>
      </c>
      <c r="BW243" s="774">
        <f t="shared" si="140"/>
        <v>2309.1998701720931</v>
      </c>
    </row>
    <row r="244" spans="1:75" ht="15" thickBot="1" x14ac:dyDescent="0.35">
      <c r="A244" s="250" t="s">
        <v>282</v>
      </c>
      <c r="B244" s="227">
        <v>5</v>
      </c>
      <c r="C244" s="39">
        <f>'[3]побудинковий звіт'!E244</f>
        <v>2767.8</v>
      </c>
      <c r="D244" s="205">
        <f t="shared" si="115"/>
        <v>2269.4436308482277</v>
      </c>
      <c r="E244" s="104">
        <f t="shared" si="116"/>
        <v>499.27801573764418</v>
      </c>
      <c r="F244" s="104">
        <f t="shared" si="117"/>
        <v>87.986591995579673</v>
      </c>
      <c r="G244" s="104">
        <f t="shared" si="118"/>
        <v>0</v>
      </c>
      <c r="H244" s="104">
        <f t="shared" si="119"/>
        <v>1896.06272116632</v>
      </c>
      <c r="I244" s="104">
        <f t="shared" si="120"/>
        <v>611.74262271604118</v>
      </c>
      <c r="J244" s="672">
        <f t="shared" si="108"/>
        <v>0</v>
      </c>
      <c r="K244" s="139">
        <f t="shared" si="121"/>
        <v>5364.5135824638128</v>
      </c>
      <c r="L244" s="138">
        <f t="shared" si="109"/>
        <v>752.53021210491056</v>
      </c>
      <c r="M244" s="104">
        <f t="shared" si="110"/>
        <v>165.55586742565129</v>
      </c>
      <c r="N244" s="29">
        <f t="shared" si="122"/>
        <v>53.874493865451932</v>
      </c>
      <c r="O244" s="104">
        <f t="shared" si="111"/>
        <v>4.9828964171734418</v>
      </c>
      <c r="P244" s="104">
        <f t="shared" si="123"/>
        <v>628.71994806507132</v>
      </c>
      <c r="Q244" s="104">
        <f t="shared" si="124"/>
        <v>206.66949002402097</v>
      </c>
      <c r="R244" s="140">
        <f t="shared" si="125"/>
        <v>1812.3329079022794</v>
      </c>
      <c r="S244" s="138">
        <f t="shared" si="126"/>
        <v>44</v>
      </c>
      <c r="T244" s="104">
        <f t="shared" si="112"/>
        <v>5.6633647250138628</v>
      </c>
      <c r="U244" s="139">
        <f t="shared" si="127"/>
        <v>49.663364725013864</v>
      </c>
      <c r="V244" s="104"/>
      <c r="W244" s="104">
        <f t="shared" si="128"/>
        <v>0</v>
      </c>
      <c r="X244" s="139">
        <f t="shared" si="129"/>
        <v>0</v>
      </c>
      <c r="Y244" s="138">
        <v>0</v>
      </c>
      <c r="Z244" s="141">
        <v>0</v>
      </c>
      <c r="AA244" s="104">
        <f t="shared" si="113"/>
        <v>0</v>
      </c>
      <c r="AB244" s="139">
        <f t="shared" si="114"/>
        <v>0</v>
      </c>
      <c r="AC244" s="138">
        <v>0</v>
      </c>
      <c r="AD244" s="104">
        <f t="shared" si="130"/>
        <v>0</v>
      </c>
      <c r="AE244" s="139">
        <f t="shared" si="131"/>
        <v>0</v>
      </c>
      <c r="AF244" s="142">
        <v>1082.4000000000001</v>
      </c>
      <c r="AG244" s="104">
        <f t="shared" si="132"/>
        <v>139.31877223534104</v>
      </c>
      <c r="AH244" s="139">
        <f t="shared" si="133"/>
        <v>1221.718772235341</v>
      </c>
      <c r="AI244" s="142">
        <v>0</v>
      </c>
      <c r="AJ244" s="104">
        <f t="shared" si="134"/>
        <v>0</v>
      </c>
      <c r="AK244" s="139">
        <f t="shared" si="135"/>
        <v>0</v>
      </c>
      <c r="AL244" s="205"/>
      <c r="AM244" s="205"/>
      <c r="AN244" s="104">
        <f t="shared" si="136"/>
        <v>0</v>
      </c>
      <c r="AO244" s="148">
        <f t="shared" si="137"/>
        <v>0</v>
      </c>
      <c r="AP244" s="272">
        <f t="shared" si="138"/>
        <v>2475.8703830481836</v>
      </c>
      <c r="AQ244" s="669">
        <v>220.91</v>
      </c>
      <c r="AR244" s="401">
        <v>1780.8430803699848</v>
      </c>
      <c r="AS244" s="401">
        <v>674.41783845600037</v>
      </c>
      <c r="AT244" s="401">
        <v>20.609464222198199</v>
      </c>
      <c r="AU244" s="401">
        <v>0</v>
      </c>
      <c r="AV244" s="727">
        <v>92.725089676535191</v>
      </c>
      <c r="AW244" s="246"/>
      <c r="AX244" s="713">
        <f t="shared" si="139"/>
        <v>87.986591995579673</v>
      </c>
      <c r="AY244" s="714">
        <v>53.874493865451932</v>
      </c>
      <c r="AZ244" s="715"/>
      <c r="BA244" s="716">
        <v>0</v>
      </c>
      <c r="BB244" s="727"/>
      <c r="BC244" s="712">
        <v>15.817499999999999</v>
      </c>
      <c r="BD244" s="712">
        <v>72.169091995579677</v>
      </c>
      <c r="BE244" s="712"/>
      <c r="BF244" s="712"/>
      <c r="BG244" s="712">
        <v>0</v>
      </c>
      <c r="BH244" s="712">
        <v>22.825781249999999</v>
      </c>
      <c r="BI244" s="134">
        <f t="shared" si="143"/>
        <v>87.986591995579673</v>
      </c>
      <c r="BJ244" s="123">
        <v>200</v>
      </c>
      <c r="BK244" s="792"/>
      <c r="BL244" s="104"/>
      <c r="BM244" s="672"/>
      <c r="BO244" s="562"/>
      <c r="BS244" s="879"/>
      <c r="BT244" s="774"/>
      <c r="BU244" s="774">
        <v>1409.2838061339494</v>
      </c>
      <c r="BV244" s="774">
        <v>0</v>
      </c>
      <c r="BW244" s="774">
        <f t="shared" si="140"/>
        <v>1409.2838061339494</v>
      </c>
    </row>
    <row r="245" spans="1:75" ht="15" thickBot="1" x14ac:dyDescent="0.35">
      <c r="A245" s="250" t="s">
        <v>283</v>
      </c>
      <c r="B245" s="227">
        <v>5</v>
      </c>
      <c r="C245" s="39">
        <f>'[3]побудинковий звіт'!E245</f>
        <v>4580.3</v>
      </c>
      <c r="D245" s="205">
        <f t="shared" si="115"/>
        <v>3265.955870833272</v>
      </c>
      <c r="E245" s="104">
        <f t="shared" si="116"/>
        <v>718.51089161746881</v>
      </c>
      <c r="F245" s="104">
        <f t="shared" si="117"/>
        <v>145.93685258268695</v>
      </c>
      <c r="G245" s="104">
        <f t="shared" si="118"/>
        <v>0</v>
      </c>
      <c r="H245" s="104">
        <f t="shared" si="119"/>
        <v>2728.6234791153452</v>
      </c>
      <c r="I245" s="104">
        <f t="shared" si="120"/>
        <v>882.84482029355672</v>
      </c>
      <c r="J245" s="672">
        <f t="shared" si="108"/>
        <v>0</v>
      </c>
      <c r="K245" s="139">
        <f t="shared" si="121"/>
        <v>7741.8719144423294</v>
      </c>
      <c r="L245" s="138">
        <f t="shared" si="109"/>
        <v>952.92694991539383</v>
      </c>
      <c r="M245" s="104">
        <f t="shared" si="110"/>
        <v>209.64294223516094</v>
      </c>
      <c r="N245" s="29">
        <f t="shared" si="122"/>
        <v>89.205894097292145</v>
      </c>
      <c r="O245" s="104">
        <f t="shared" si="111"/>
        <v>8.2459572438686006</v>
      </c>
      <c r="P245" s="104">
        <f t="shared" si="123"/>
        <v>796.14635110103609</v>
      </c>
      <c r="Q245" s="104">
        <f t="shared" si="124"/>
        <v>264.65522399126269</v>
      </c>
      <c r="R245" s="140">
        <f t="shared" si="125"/>
        <v>2320.8233185840145</v>
      </c>
      <c r="S245" s="138">
        <f t="shared" si="126"/>
        <v>44</v>
      </c>
      <c r="T245" s="104">
        <f t="shared" si="112"/>
        <v>5.6633647250138628</v>
      </c>
      <c r="U245" s="139">
        <f t="shared" si="127"/>
        <v>49.663364725013864</v>
      </c>
      <c r="V245" s="104"/>
      <c r="W245" s="104">
        <f t="shared" si="128"/>
        <v>0</v>
      </c>
      <c r="X245" s="139">
        <f t="shared" si="129"/>
        <v>0</v>
      </c>
      <c r="Y245" s="138">
        <v>0</v>
      </c>
      <c r="Z245" s="141">
        <v>0</v>
      </c>
      <c r="AA245" s="104">
        <f t="shared" si="113"/>
        <v>0</v>
      </c>
      <c r="AB245" s="139">
        <f t="shared" si="114"/>
        <v>0</v>
      </c>
      <c r="AC245" s="138">
        <v>0</v>
      </c>
      <c r="AD245" s="104">
        <f t="shared" si="130"/>
        <v>0</v>
      </c>
      <c r="AE245" s="139">
        <f t="shared" si="131"/>
        <v>0</v>
      </c>
      <c r="AF245" s="142">
        <v>235.4</v>
      </c>
      <c r="AG245" s="104">
        <f t="shared" si="132"/>
        <v>30.299001278824168</v>
      </c>
      <c r="AH245" s="139">
        <f t="shared" si="133"/>
        <v>265.6990012788242</v>
      </c>
      <c r="AI245" s="142">
        <v>0</v>
      </c>
      <c r="AJ245" s="104">
        <f t="shared" si="134"/>
        <v>0</v>
      </c>
      <c r="AK245" s="139">
        <f t="shared" si="135"/>
        <v>0</v>
      </c>
      <c r="AL245" s="143">
        <v>5865</v>
      </c>
      <c r="AM245" s="143"/>
      <c r="AN245" s="104">
        <f t="shared" si="136"/>
        <v>754.90077527741607</v>
      </c>
      <c r="AO245" s="148">
        <f t="shared" si="137"/>
        <v>6619.900775277416</v>
      </c>
      <c r="AP245" s="272">
        <f t="shared" si="138"/>
        <v>3384.8664715567693</v>
      </c>
      <c r="AQ245" s="669">
        <v>378.99</v>
      </c>
      <c r="AR245" s="401">
        <v>2504.7552986159462</v>
      </c>
      <c r="AS245" s="401">
        <v>873.03739081547587</v>
      </c>
      <c r="AT245" s="401">
        <v>7.0737821253469013</v>
      </c>
      <c r="AU245" s="401">
        <v>0</v>
      </c>
      <c r="AV245" s="727">
        <v>130.41781291234693</v>
      </c>
      <c r="AW245" s="246"/>
      <c r="AX245" s="713">
        <f t="shared" si="139"/>
        <v>145.93685258268695</v>
      </c>
      <c r="AY245" s="714">
        <v>89.205894097292145</v>
      </c>
      <c r="AZ245" s="715"/>
      <c r="BA245" s="716">
        <v>0</v>
      </c>
      <c r="BB245" s="727"/>
      <c r="BC245" s="712">
        <v>26.362500000000001</v>
      </c>
      <c r="BD245" s="712">
        <v>119.57435258268696</v>
      </c>
      <c r="BE245" s="712"/>
      <c r="BF245" s="712"/>
      <c r="BG245" s="712">
        <v>0</v>
      </c>
      <c r="BH245" s="712">
        <v>38.04296875</v>
      </c>
      <c r="BI245" s="134">
        <f t="shared" si="143"/>
        <v>145.93685258268695</v>
      </c>
      <c r="BJ245" s="123">
        <v>200</v>
      </c>
      <c r="BK245" s="792"/>
      <c r="BL245" s="104"/>
      <c r="BM245" s="672"/>
      <c r="BO245" s="562"/>
      <c r="BS245" s="879"/>
      <c r="BT245" s="774"/>
      <c r="BU245" s="774">
        <v>1982.150465684321</v>
      </c>
      <c r="BV245" s="774">
        <v>0</v>
      </c>
      <c r="BW245" s="774">
        <f t="shared" si="140"/>
        <v>1982.150465684321</v>
      </c>
    </row>
    <row r="246" spans="1:75" ht="15" thickBot="1" x14ac:dyDescent="0.35">
      <c r="A246" s="250" t="s">
        <v>284</v>
      </c>
      <c r="B246" s="227">
        <v>5</v>
      </c>
      <c r="C246" s="39">
        <f>'[3]побудинковий звіт'!E246</f>
        <v>6211.0999999999995</v>
      </c>
      <c r="D246" s="205">
        <f t="shared" si="115"/>
        <v>3839.4784420041688</v>
      </c>
      <c r="E246" s="104">
        <f t="shared" si="116"/>
        <v>844.68596264486939</v>
      </c>
      <c r="F246" s="104">
        <f t="shared" si="117"/>
        <v>418.36974177465311</v>
      </c>
      <c r="G246" s="104">
        <f t="shared" si="118"/>
        <v>0</v>
      </c>
      <c r="H246" s="104">
        <f t="shared" si="119"/>
        <v>3207.7870732946617</v>
      </c>
      <c r="I246" s="104">
        <f t="shared" si="120"/>
        <v>1069.6450011201614</v>
      </c>
      <c r="J246" s="672">
        <f t="shared" si="108"/>
        <v>0</v>
      </c>
      <c r="K246" s="139">
        <f t="shared" si="121"/>
        <v>9379.9662208385143</v>
      </c>
      <c r="L246" s="138">
        <f t="shared" si="109"/>
        <v>1280.1504118833279</v>
      </c>
      <c r="M246" s="104">
        <f t="shared" si="110"/>
        <v>281.63176503151874</v>
      </c>
      <c r="N246" s="29">
        <f t="shared" si="122"/>
        <v>120.96539707841876</v>
      </c>
      <c r="O246" s="104">
        <f t="shared" si="111"/>
        <v>11.181901848654512</v>
      </c>
      <c r="P246" s="104">
        <f t="shared" si="123"/>
        <v>1069.5332725891412</v>
      </c>
      <c r="Q246" s="104">
        <f t="shared" si="124"/>
        <v>355.6931238262348</v>
      </c>
      <c r="R246" s="140">
        <f t="shared" si="125"/>
        <v>3119.1558722572963</v>
      </c>
      <c r="S246" s="138">
        <f t="shared" si="126"/>
        <v>265.80400000000003</v>
      </c>
      <c r="T246" s="104">
        <f t="shared" si="112"/>
        <v>34.212386303808749</v>
      </c>
      <c r="U246" s="139">
        <f t="shared" si="127"/>
        <v>300.01638630380876</v>
      </c>
      <c r="V246" s="104"/>
      <c r="W246" s="104">
        <f t="shared" si="128"/>
        <v>0</v>
      </c>
      <c r="X246" s="139">
        <f t="shared" si="129"/>
        <v>0</v>
      </c>
      <c r="Y246" s="138">
        <v>0</v>
      </c>
      <c r="Z246" s="141">
        <v>0</v>
      </c>
      <c r="AA246" s="104">
        <f t="shared" si="113"/>
        <v>0</v>
      </c>
      <c r="AB246" s="139">
        <f t="shared" si="114"/>
        <v>0</v>
      </c>
      <c r="AC246" s="138">
        <v>0</v>
      </c>
      <c r="AD246" s="104">
        <f t="shared" si="130"/>
        <v>0</v>
      </c>
      <c r="AE246" s="139">
        <f t="shared" si="131"/>
        <v>0</v>
      </c>
      <c r="AF246" s="142">
        <v>2098.8000000000002</v>
      </c>
      <c r="AG246" s="104">
        <f t="shared" si="132"/>
        <v>270.1424973831613</v>
      </c>
      <c r="AH246" s="139">
        <f t="shared" si="133"/>
        <v>2368.9424973831615</v>
      </c>
      <c r="AI246" s="142">
        <v>0</v>
      </c>
      <c r="AJ246" s="104">
        <f t="shared" si="134"/>
        <v>0</v>
      </c>
      <c r="AK246" s="139">
        <f t="shared" si="135"/>
        <v>0</v>
      </c>
      <c r="AL246" s="143"/>
      <c r="AM246" s="143"/>
      <c r="AN246" s="104">
        <f t="shared" si="136"/>
        <v>0</v>
      </c>
      <c r="AO246" s="148">
        <f t="shared" si="137"/>
        <v>0</v>
      </c>
      <c r="AP246" s="272">
        <f t="shared" si="138"/>
        <v>4018.5531837310059</v>
      </c>
      <c r="AQ246" s="669">
        <v>559.57000000000005</v>
      </c>
      <c r="AR246" s="401">
        <v>2836.2225962254834</v>
      </c>
      <c r="AS246" s="401">
        <v>1126.9970335559051</v>
      </c>
      <c r="AT246" s="401">
        <v>55.333553949617446</v>
      </c>
      <c r="AU246" s="401">
        <v>0</v>
      </c>
      <c r="AV246" s="727">
        <v>147.67668048719108</v>
      </c>
      <c r="AW246" s="246"/>
      <c r="AX246" s="713">
        <f t="shared" si="139"/>
        <v>184.3497417746531</v>
      </c>
      <c r="AY246" s="714">
        <v>120.96539707841876</v>
      </c>
      <c r="AZ246" s="715"/>
      <c r="BA246" s="716">
        <v>0</v>
      </c>
      <c r="BB246" s="727"/>
      <c r="BC246" s="712">
        <v>26.362500000000001</v>
      </c>
      <c r="BD246" s="712">
        <v>157.98724177465309</v>
      </c>
      <c r="BE246" s="712"/>
      <c r="BF246" s="712"/>
      <c r="BG246" s="712">
        <v>0</v>
      </c>
      <c r="BH246" s="712">
        <v>38.04296875</v>
      </c>
      <c r="BI246" s="134">
        <f t="shared" si="143"/>
        <v>184.3497417746531</v>
      </c>
      <c r="BJ246" s="123">
        <v>1208.2</v>
      </c>
      <c r="BK246" s="792"/>
      <c r="BL246" s="104"/>
      <c r="BM246" s="672">
        <v>234.02</v>
      </c>
      <c r="BO246" s="562"/>
      <c r="BS246" s="879"/>
      <c r="BT246" s="774"/>
      <c r="BU246" s="774">
        <v>2970.649370848465</v>
      </c>
      <c r="BV246" s="774">
        <v>0</v>
      </c>
      <c r="BW246" s="774">
        <f t="shared" si="140"/>
        <v>2970.649370848465</v>
      </c>
    </row>
    <row r="247" spans="1:75" ht="15" thickBot="1" x14ac:dyDescent="0.35">
      <c r="A247" s="250" t="s">
        <v>285</v>
      </c>
      <c r="B247" s="227">
        <v>5</v>
      </c>
      <c r="C247" s="39">
        <f>'[3]побудинковий звіт'!E247</f>
        <v>3177.82</v>
      </c>
      <c r="D247" s="205">
        <f t="shared" si="115"/>
        <v>1093.1775043165412</v>
      </c>
      <c r="E247" s="104">
        <f t="shared" si="116"/>
        <v>240.49925179247327</v>
      </c>
      <c r="F247" s="104">
        <f t="shared" si="117"/>
        <v>113.45349823305949</v>
      </c>
      <c r="G247" s="104">
        <f t="shared" si="118"/>
        <v>0</v>
      </c>
      <c r="H247" s="104">
        <f t="shared" si="119"/>
        <v>913.32214000729448</v>
      </c>
      <c r="I247" s="104">
        <f t="shared" si="120"/>
        <v>303.82051875528924</v>
      </c>
      <c r="J247" s="672">
        <f t="shared" si="108"/>
        <v>0</v>
      </c>
      <c r="K247" s="139">
        <f t="shared" si="121"/>
        <v>2664.2729131046581</v>
      </c>
      <c r="L247" s="138">
        <f t="shared" si="109"/>
        <v>778.65500132909915</v>
      </c>
      <c r="M247" s="104">
        <f t="shared" si="110"/>
        <v>171.30329400301756</v>
      </c>
      <c r="N247" s="29">
        <f t="shared" si="122"/>
        <v>62.348888258747955</v>
      </c>
      <c r="O247" s="104">
        <f t="shared" si="111"/>
        <v>5.7210592862280896</v>
      </c>
      <c r="P247" s="104">
        <f t="shared" si="123"/>
        <v>650.54654832647452</v>
      </c>
      <c r="Q247" s="104">
        <f t="shared" si="124"/>
        <v>214.7669912170376</v>
      </c>
      <c r="R247" s="140">
        <f t="shared" si="125"/>
        <v>1883.3417824206049</v>
      </c>
      <c r="S247" s="138">
        <f t="shared" si="126"/>
        <v>145.04599999999999</v>
      </c>
      <c r="T247" s="104">
        <f t="shared" si="112"/>
        <v>18.669281816008198</v>
      </c>
      <c r="U247" s="139">
        <f t="shared" si="127"/>
        <v>163.7152818160082</v>
      </c>
      <c r="V247" s="104"/>
      <c r="W247" s="104">
        <f t="shared" si="128"/>
        <v>0</v>
      </c>
      <c r="X247" s="139">
        <f t="shared" si="129"/>
        <v>0</v>
      </c>
      <c r="Y247" s="138">
        <v>0</v>
      </c>
      <c r="Z247" s="141">
        <v>0</v>
      </c>
      <c r="AA247" s="104">
        <f t="shared" si="113"/>
        <v>0</v>
      </c>
      <c r="AB247" s="139">
        <f t="shared" si="114"/>
        <v>0</v>
      </c>
      <c r="AC247" s="138">
        <v>0</v>
      </c>
      <c r="AD247" s="104">
        <f t="shared" si="130"/>
        <v>0</v>
      </c>
      <c r="AE247" s="139">
        <f t="shared" si="131"/>
        <v>0</v>
      </c>
      <c r="AF247" s="142">
        <v>422.4</v>
      </c>
      <c r="AG247" s="104">
        <f t="shared" si="132"/>
        <v>54.368301360133081</v>
      </c>
      <c r="AH247" s="139">
        <f t="shared" si="133"/>
        <v>476.76830136013308</v>
      </c>
      <c r="AI247" s="142">
        <v>0</v>
      </c>
      <c r="AJ247" s="104">
        <f t="shared" si="134"/>
        <v>0</v>
      </c>
      <c r="AK247" s="139">
        <f t="shared" si="135"/>
        <v>0</v>
      </c>
      <c r="AL247" s="143">
        <v>3506.25</v>
      </c>
      <c r="AM247" s="143"/>
      <c r="AN247" s="104">
        <f t="shared" si="136"/>
        <v>451.2993765245422</v>
      </c>
      <c r="AO247" s="148">
        <f t="shared" si="137"/>
        <v>3957.5493765245424</v>
      </c>
      <c r="AP247" s="272">
        <f t="shared" si="138"/>
        <v>1445.2948385513912</v>
      </c>
      <c r="AQ247" s="669">
        <v>244.95</v>
      </c>
      <c r="AR247" s="401">
        <v>726.13901386111831</v>
      </c>
      <c r="AS247" s="401">
        <v>690.39036079740345</v>
      </c>
      <c r="AT247" s="401">
        <v>28.765463892869452</v>
      </c>
      <c r="AU247" s="401">
        <v>0</v>
      </c>
      <c r="AV247" s="727">
        <v>37.808668220174901</v>
      </c>
      <c r="AW247" s="246"/>
      <c r="AX247" s="713">
        <f t="shared" si="139"/>
        <v>113.45349823305949</v>
      </c>
      <c r="AY247" s="714">
        <v>62.348888258747955</v>
      </c>
      <c r="AZ247" s="715"/>
      <c r="BA247" s="716">
        <v>0</v>
      </c>
      <c r="BB247" s="727"/>
      <c r="BC247" s="712">
        <v>26.362500000000001</v>
      </c>
      <c r="BD247" s="712">
        <v>87.090998233059494</v>
      </c>
      <c r="BE247" s="712"/>
      <c r="BF247" s="712"/>
      <c r="BG247" s="712">
        <v>0</v>
      </c>
      <c r="BH247" s="712">
        <v>38.04296875</v>
      </c>
      <c r="BI247" s="134">
        <f t="shared" si="143"/>
        <v>113.45349823305949</v>
      </c>
      <c r="BJ247" s="123">
        <v>659.3</v>
      </c>
      <c r="BK247" s="792"/>
      <c r="BL247" s="104"/>
      <c r="BM247" s="672"/>
      <c r="BO247" s="562"/>
      <c r="BS247" s="879"/>
      <c r="BT247" s="774"/>
      <c r="BU247" s="774">
        <v>760.552535389235</v>
      </c>
      <c r="BV247" s="774">
        <v>0</v>
      </c>
      <c r="BW247" s="774">
        <f t="shared" si="140"/>
        <v>760.552535389235</v>
      </c>
    </row>
    <row r="248" spans="1:75" ht="15" thickBot="1" x14ac:dyDescent="0.35">
      <c r="A248" s="250" t="s">
        <v>286</v>
      </c>
      <c r="B248" s="227">
        <v>5</v>
      </c>
      <c r="C248" s="39">
        <f>'[3]побудинковий звіт'!E248</f>
        <v>3167.6</v>
      </c>
      <c r="D248" s="205">
        <f t="shared" si="115"/>
        <v>1559.5789249450443</v>
      </c>
      <c r="E248" s="104">
        <f t="shared" si="116"/>
        <v>343.10765001983179</v>
      </c>
      <c r="F248" s="104">
        <f t="shared" si="117"/>
        <v>112.60571514480361</v>
      </c>
      <c r="G248" s="104">
        <f t="shared" si="118"/>
        <v>0</v>
      </c>
      <c r="H248" s="104">
        <f t="shared" si="119"/>
        <v>1302.988723804395</v>
      </c>
      <c r="I248" s="104">
        <f t="shared" si="120"/>
        <v>427.10535549736829</v>
      </c>
      <c r="J248" s="672">
        <f t="shared" si="108"/>
        <v>0</v>
      </c>
      <c r="K248" s="139">
        <f t="shared" si="121"/>
        <v>3745.386369411443</v>
      </c>
      <c r="L248" s="138">
        <f t="shared" si="109"/>
        <v>768.83854732368593</v>
      </c>
      <c r="M248" s="104">
        <f t="shared" si="110"/>
        <v>169.14368428666558</v>
      </c>
      <c r="N248" s="29">
        <f t="shared" si="122"/>
        <v>61.647947244281312</v>
      </c>
      <c r="O248" s="104">
        <f t="shared" si="111"/>
        <v>5.7026601239390819</v>
      </c>
      <c r="P248" s="104">
        <f t="shared" si="123"/>
        <v>642.34514942821181</v>
      </c>
      <c r="Q248" s="104">
        <f t="shared" si="124"/>
        <v>212.07730449374498</v>
      </c>
      <c r="R248" s="140">
        <f t="shared" si="125"/>
        <v>1859.7552929005287</v>
      </c>
      <c r="S248" s="138">
        <f t="shared" si="126"/>
        <v>140.80000000000001</v>
      </c>
      <c r="T248" s="104">
        <f t="shared" si="112"/>
        <v>18.122767120044362</v>
      </c>
      <c r="U248" s="139">
        <f t="shared" si="127"/>
        <v>158.92276712004437</v>
      </c>
      <c r="V248" s="104"/>
      <c r="W248" s="104">
        <f t="shared" si="128"/>
        <v>0</v>
      </c>
      <c r="X248" s="139">
        <f t="shared" si="129"/>
        <v>0</v>
      </c>
      <c r="Y248" s="138">
        <v>0</v>
      </c>
      <c r="Z248" s="141">
        <v>0</v>
      </c>
      <c r="AA248" s="104">
        <f t="shared" si="113"/>
        <v>0</v>
      </c>
      <c r="AB248" s="139">
        <f t="shared" si="114"/>
        <v>0</v>
      </c>
      <c r="AC248" s="138">
        <v>0</v>
      </c>
      <c r="AD248" s="104">
        <f t="shared" si="130"/>
        <v>0</v>
      </c>
      <c r="AE248" s="139">
        <f t="shared" si="131"/>
        <v>0</v>
      </c>
      <c r="AF248" s="142">
        <v>499.4</v>
      </c>
      <c r="AG248" s="104">
        <f t="shared" si="132"/>
        <v>64.279189628907346</v>
      </c>
      <c r="AH248" s="139">
        <f t="shared" si="133"/>
        <v>563.67918962890735</v>
      </c>
      <c r="AI248" s="142">
        <v>0</v>
      </c>
      <c r="AJ248" s="104">
        <f t="shared" si="134"/>
        <v>0</v>
      </c>
      <c r="AK248" s="139">
        <f t="shared" si="135"/>
        <v>0</v>
      </c>
      <c r="AL248" s="143">
        <v>3251.25</v>
      </c>
      <c r="AM248" s="143"/>
      <c r="AN248" s="104">
        <f t="shared" si="136"/>
        <v>418.47760368639365</v>
      </c>
      <c r="AO248" s="148">
        <f t="shared" si="137"/>
        <v>3669.7276036863936</v>
      </c>
      <c r="AP248" s="272">
        <f t="shared" si="138"/>
        <v>1843.2303276341268</v>
      </c>
      <c r="AQ248" s="669">
        <v>247.2</v>
      </c>
      <c r="AR248" s="401">
        <v>1133.1408546191747</v>
      </c>
      <c r="AS248" s="401">
        <v>681.45617572127799</v>
      </c>
      <c r="AT248" s="401">
        <v>28.633297293674005</v>
      </c>
      <c r="AU248" s="401">
        <v>0</v>
      </c>
      <c r="AV248" s="727">
        <v>59.000474841881861</v>
      </c>
      <c r="AW248" s="246"/>
      <c r="AX248" s="713">
        <f t="shared" si="139"/>
        <v>112.60571514480361</v>
      </c>
      <c r="AY248" s="714">
        <v>61.647947244281312</v>
      </c>
      <c r="AZ248" s="715"/>
      <c r="BA248" s="716">
        <v>0</v>
      </c>
      <c r="BB248" s="727"/>
      <c r="BC248" s="712">
        <v>26.362500000000001</v>
      </c>
      <c r="BD248" s="712">
        <v>86.243215144803614</v>
      </c>
      <c r="BE248" s="712"/>
      <c r="BF248" s="712"/>
      <c r="BG248" s="712">
        <v>0</v>
      </c>
      <c r="BH248" s="712">
        <v>38.04296875</v>
      </c>
      <c r="BI248" s="134">
        <f t="shared" si="143"/>
        <v>112.60571514480361</v>
      </c>
      <c r="BJ248" s="123">
        <v>640</v>
      </c>
      <c r="BK248" s="792"/>
      <c r="BL248" s="104"/>
      <c r="BM248" s="672"/>
      <c r="BO248" s="562"/>
      <c r="BS248" s="879"/>
      <c r="BT248" s="774"/>
      <c r="BU248" s="774">
        <v>1186.8491373553206</v>
      </c>
      <c r="BV248" s="774">
        <v>0</v>
      </c>
      <c r="BW248" s="774">
        <f t="shared" si="140"/>
        <v>1186.8491373553206</v>
      </c>
    </row>
    <row r="249" spans="1:75" ht="15" thickBot="1" x14ac:dyDescent="0.35">
      <c r="A249" s="250" t="s">
        <v>287</v>
      </c>
      <c r="B249" s="227">
        <v>5</v>
      </c>
      <c r="C249" s="39">
        <f>'[3]побудинковий звіт'!E249</f>
        <v>4456.6000000000004</v>
      </c>
      <c r="D249" s="205">
        <f t="shared" si="115"/>
        <v>2728.6596074243307</v>
      </c>
      <c r="E249" s="104">
        <f t="shared" si="116"/>
        <v>600.30561495333689</v>
      </c>
      <c r="F249" s="104">
        <f t="shared" si="117"/>
        <v>143.02532188781541</v>
      </c>
      <c r="G249" s="104">
        <f t="shared" si="118"/>
        <v>0</v>
      </c>
      <c r="H249" s="104">
        <f t="shared" si="119"/>
        <v>2279.7260482983984</v>
      </c>
      <c r="I249" s="104">
        <f t="shared" si="120"/>
        <v>740.31974678643689</v>
      </c>
      <c r="J249" s="672">
        <f t="shared" si="108"/>
        <v>0</v>
      </c>
      <c r="K249" s="139">
        <f t="shared" si="121"/>
        <v>6492.0363393503185</v>
      </c>
      <c r="L249" s="138">
        <f t="shared" si="109"/>
        <v>1063.0361050479369</v>
      </c>
      <c r="M249" s="104">
        <f t="shared" si="110"/>
        <v>233.86684234740312</v>
      </c>
      <c r="N249" s="29">
        <f t="shared" si="122"/>
        <v>86.798661271838483</v>
      </c>
      <c r="O249" s="104">
        <f t="shared" si="111"/>
        <v>8.0232589684135984</v>
      </c>
      <c r="P249" s="104">
        <f t="shared" si="123"/>
        <v>888.13976370141984</v>
      </c>
      <c r="Q249" s="104">
        <f t="shared" si="124"/>
        <v>293.44783933910833</v>
      </c>
      <c r="R249" s="140">
        <f t="shared" si="125"/>
        <v>2573.31247067612</v>
      </c>
      <c r="S249" s="138">
        <f t="shared" si="126"/>
        <v>185.24</v>
      </c>
      <c r="T249" s="104">
        <f t="shared" si="112"/>
        <v>23.842765492308363</v>
      </c>
      <c r="U249" s="139">
        <f t="shared" si="127"/>
        <v>209.08276549230837</v>
      </c>
      <c r="V249" s="104"/>
      <c r="W249" s="104">
        <f t="shared" si="128"/>
        <v>0</v>
      </c>
      <c r="X249" s="139">
        <f t="shared" si="129"/>
        <v>0</v>
      </c>
      <c r="Y249" s="138">
        <v>0</v>
      </c>
      <c r="Z249" s="141">
        <v>0</v>
      </c>
      <c r="AA249" s="104">
        <f t="shared" si="113"/>
        <v>0</v>
      </c>
      <c r="AB249" s="139">
        <f t="shared" si="114"/>
        <v>0</v>
      </c>
      <c r="AC249" s="138">
        <v>0</v>
      </c>
      <c r="AD249" s="104">
        <f t="shared" si="130"/>
        <v>0</v>
      </c>
      <c r="AE249" s="139">
        <f t="shared" si="131"/>
        <v>0</v>
      </c>
      <c r="AF249" s="142">
        <v>728.2</v>
      </c>
      <c r="AG249" s="104">
        <f t="shared" si="132"/>
        <v>93.728686198979432</v>
      </c>
      <c r="AH249" s="139">
        <f t="shared" si="133"/>
        <v>821.92868619897945</v>
      </c>
      <c r="AI249" s="142">
        <v>0</v>
      </c>
      <c r="AJ249" s="104">
        <f t="shared" si="134"/>
        <v>0</v>
      </c>
      <c r="AK249" s="139">
        <f t="shared" si="135"/>
        <v>0</v>
      </c>
      <c r="AL249" s="143">
        <v>701.25</v>
      </c>
      <c r="AM249" s="143"/>
      <c r="AN249" s="104">
        <f t="shared" si="136"/>
        <v>90.259875304908434</v>
      </c>
      <c r="AO249" s="148">
        <f t="shared" si="137"/>
        <v>791.50987530490841</v>
      </c>
      <c r="AP249" s="272">
        <f t="shared" si="138"/>
        <v>3079.0095825871886</v>
      </c>
      <c r="AQ249" s="669">
        <v>311.89</v>
      </c>
      <c r="AR249" s="401">
        <v>2097.2029988031422</v>
      </c>
      <c r="AS249" s="401">
        <v>941.40102945022613</v>
      </c>
      <c r="AT249" s="401">
        <v>40.405554333819843</v>
      </c>
      <c r="AU249" s="401">
        <v>0</v>
      </c>
      <c r="AV249" s="727">
        <v>109.19734494154226</v>
      </c>
      <c r="AW249" s="246"/>
      <c r="AX249" s="713">
        <f t="shared" si="139"/>
        <v>143.02532188781541</v>
      </c>
      <c r="AY249" s="714">
        <v>86.798661271838483</v>
      </c>
      <c r="AZ249" s="715"/>
      <c r="BA249" s="716">
        <v>0</v>
      </c>
      <c r="BB249" s="727"/>
      <c r="BC249" s="712">
        <v>26.362500000000001</v>
      </c>
      <c r="BD249" s="712">
        <v>116.6628218878154</v>
      </c>
      <c r="BE249" s="712"/>
      <c r="BF249" s="712"/>
      <c r="BG249" s="712">
        <v>0</v>
      </c>
      <c r="BH249" s="712">
        <v>38.04296875</v>
      </c>
      <c r="BI249" s="134">
        <f t="shared" si="143"/>
        <v>143.02532188781541</v>
      </c>
      <c r="BJ249" s="123">
        <v>842</v>
      </c>
      <c r="BK249" s="792"/>
      <c r="BL249" s="104"/>
      <c r="BM249" s="672"/>
      <c r="BO249" s="562"/>
      <c r="BS249" s="879"/>
      <c r="BT249" s="774"/>
      <c r="BU249" s="774">
        <v>1972.6425564260792</v>
      </c>
      <c r="BV249" s="774">
        <v>0</v>
      </c>
      <c r="BW249" s="774">
        <f t="shared" si="140"/>
        <v>1972.6425564260792</v>
      </c>
    </row>
    <row r="250" spans="1:75" ht="15" thickBot="1" x14ac:dyDescent="0.35">
      <c r="A250" s="250" t="s">
        <v>288</v>
      </c>
      <c r="B250" s="227">
        <v>5</v>
      </c>
      <c r="C250" s="39">
        <f>'[3]побудинковий звіт'!E250</f>
        <v>3670.1</v>
      </c>
      <c r="D250" s="205">
        <f t="shared" si="115"/>
        <v>2093.1611163990092</v>
      </c>
      <c r="E250" s="104">
        <f t="shared" si="116"/>
        <v>460.49583017150508</v>
      </c>
      <c r="F250" s="104">
        <f t="shared" si="117"/>
        <v>226.28892690734654</v>
      </c>
      <c r="G250" s="104">
        <f t="shared" si="118"/>
        <v>0</v>
      </c>
      <c r="H250" s="104">
        <f t="shared" si="119"/>
        <v>1748.7831414943191</v>
      </c>
      <c r="I250" s="104">
        <f t="shared" si="120"/>
        <v>582.90554892136868</v>
      </c>
      <c r="J250" s="672">
        <f t="shared" si="108"/>
        <v>0</v>
      </c>
      <c r="K250" s="139">
        <f t="shared" si="121"/>
        <v>5111.6345638935491</v>
      </c>
      <c r="L250" s="138">
        <f t="shared" si="109"/>
        <v>735.05770808416787</v>
      </c>
      <c r="M250" s="104">
        <f t="shared" si="110"/>
        <v>161.71193463368922</v>
      </c>
      <c r="N250" s="29">
        <f t="shared" si="122"/>
        <v>71.478844601111689</v>
      </c>
      <c r="O250" s="104">
        <f t="shared" si="111"/>
        <v>6.6073156083056022</v>
      </c>
      <c r="P250" s="104">
        <f t="shared" si="123"/>
        <v>614.12211312930049</v>
      </c>
      <c r="Q250" s="104">
        <f t="shared" si="124"/>
        <v>204.5218517868374</v>
      </c>
      <c r="R250" s="140">
        <f t="shared" si="125"/>
        <v>1793.4997678434124</v>
      </c>
      <c r="S250" s="138">
        <f t="shared" si="126"/>
        <v>183.39200000000002</v>
      </c>
      <c r="T250" s="104">
        <f t="shared" si="112"/>
        <v>23.604904173857783</v>
      </c>
      <c r="U250" s="139">
        <f t="shared" si="127"/>
        <v>206.99690417385781</v>
      </c>
      <c r="V250" s="104"/>
      <c r="W250" s="104">
        <f t="shared" si="128"/>
        <v>0</v>
      </c>
      <c r="X250" s="139">
        <f t="shared" si="129"/>
        <v>0</v>
      </c>
      <c r="Y250" s="138">
        <v>0</v>
      </c>
      <c r="Z250" s="141">
        <v>0</v>
      </c>
      <c r="AA250" s="104">
        <f t="shared" si="113"/>
        <v>0</v>
      </c>
      <c r="AB250" s="139">
        <f t="shared" si="114"/>
        <v>0</v>
      </c>
      <c r="AC250" s="138">
        <v>0</v>
      </c>
      <c r="AD250" s="104">
        <f t="shared" si="130"/>
        <v>0</v>
      </c>
      <c r="AE250" s="139">
        <f t="shared" si="131"/>
        <v>0</v>
      </c>
      <c r="AF250" s="142">
        <v>1502.6</v>
      </c>
      <c r="AG250" s="104">
        <f t="shared" si="132"/>
        <v>193.40390535922342</v>
      </c>
      <c r="AH250" s="139">
        <f t="shared" si="133"/>
        <v>1696.0039053592234</v>
      </c>
      <c r="AI250" s="142">
        <v>0</v>
      </c>
      <c r="AJ250" s="104">
        <f t="shared" si="134"/>
        <v>0</v>
      </c>
      <c r="AK250" s="139">
        <f t="shared" si="135"/>
        <v>0</v>
      </c>
      <c r="AL250" s="143"/>
      <c r="AM250" s="143"/>
      <c r="AN250" s="104">
        <f t="shared" si="136"/>
        <v>0</v>
      </c>
      <c r="AO250" s="148">
        <f t="shared" si="137"/>
        <v>0</v>
      </c>
      <c r="AP250" s="272">
        <f t="shared" si="138"/>
        <v>2304.2945783887703</v>
      </c>
      <c r="AQ250" s="669">
        <v>221.75</v>
      </c>
      <c r="AR250" s="401">
        <v>1625.4046574996735</v>
      </c>
      <c r="AS250" s="401">
        <v>646.2742556657397</v>
      </c>
      <c r="AT250" s="401">
        <v>32.615665223357077</v>
      </c>
      <c r="AU250" s="401">
        <v>0</v>
      </c>
      <c r="AV250" s="727">
        <v>84.631708592765364</v>
      </c>
      <c r="AW250" s="246"/>
      <c r="AX250" s="713">
        <f t="shared" si="139"/>
        <v>109.27892690734653</v>
      </c>
      <c r="AY250" s="714">
        <v>71.478844601111689</v>
      </c>
      <c r="AZ250" s="715"/>
      <c r="BA250" s="716">
        <v>0</v>
      </c>
      <c r="BB250" s="727"/>
      <c r="BC250" s="712">
        <v>15.817499999999999</v>
      </c>
      <c r="BD250" s="712">
        <v>93.461426907346535</v>
      </c>
      <c r="BE250" s="712"/>
      <c r="BF250" s="712"/>
      <c r="BG250" s="712">
        <v>0</v>
      </c>
      <c r="BH250" s="712">
        <v>22.825781249999999</v>
      </c>
      <c r="BI250" s="134">
        <f t="shared" si="143"/>
        <v>109.27892690734653</v>
      </c>
      <c r="BJ250" s="123">
        <v>833.6</v>
      </c>
      <c r="BK250" s="792"/>
      <c r="BL250" s="104"/>
      <c r="BM250" s="672">
        <v>117.01</v>
      </c>
      <c r="BO250" s="562"/>
      <c r="BS250" s="879"/>
      <c r="BT250" s="774"/>
      <c r="BU250" s="774">
        <v>1705.5414658977004</v>
      </c>
      <c r="BV250" s="774">
        <v>111.4624</v>
      </c>
      <c r="BW250" s="774">
        <f t="shared" si="140"/>
        <v>1817.0038658977005</v>
      </c>
    </row>
    <row r="251" spans="1:75" ht="15" thickBot="1" x14ac:dyDescent="0.35">
      <c r="A251" s="210" t="s">
        <v>129</v>
      </c>
      <c r="B251" s="228">
        <v>1</v>
      </c>
      <c r="C251" s="39">
        <f>'[3]побудинковий звіт'!E251</f>
        <v>275.8</v>
      </c>
      <c r="D251" s="205">
        <f t="shared" si="115"/>
        <v>83.573173380668834</v>
      </c>
      <c r="E251" s="104">
        <f t="shared" si="116"/>
        <v>18.386113498136471</v>
      </c>
      <c r="F251" s="104">
        <f t="shared" si="117"/>
        <v>0</v>
      </c>
      <c r="G251" s="104">
        <f t="shared" si="118"/>
        <v>0</v>
      </c>
      <c r="H251" s="104">
        <f t="shared" si="119"/>
        <v>69.823271388075668</v>
      </c>
      <c r="I251" s="104">
        <f t="shared" si="120"/>
        <v>22.110620019574824</v>
      </c>
      <c r="J251" s="672">
        <f t="shared" si="108"/>
        <v>0</v>
      </c>
      <c r="K251" s="139">
        <f t="shared" si="121"/>
        <v>193.89317828645579</v>
      </c>
      <c r="L251" s="138">
        <f t="shared" si="109"/>
        <v>0</v>
      </c>
      <c r="M251" s="104">
        <f t="shared" si="110"/>
        <v>0</v>
      </c>
      <c r="N251" s="29">
        <f t="shared" si="122"/>
        <v>0</v>
      </c>
      <c r="O251" s="104">
        <f t="shared" si="111"/>
        <v>0.4965253384841517</v>
      </c>
      <c r="P251" s="104">
        <f t="shared" si="123"/>
        <v>0</v>
      </c>
      <c r="Q251" s="104">
        <f t="shared" si="124"/>
        <v>6.3909183796516209E-2</v>
      </c>
      <c r="R251" s="140">
        <f t="shared" si="125"/>
        <v>0.56043452228066792</v>
      </c>
      <c r="S251" s="138">
        <f t="shared" si="126"/>
        <v>0</v>
      </c>
      <c r="T251" s="104">
        <f t="shared" si="112"/>
        <v>0</v>
      </c>
      <c r="U251" s="139">
        <f t="shared" si="127"/>
        <v>0</v>
      </c>
      <c r="V251" s="104"/>
      <c r="W251" s="104">
        <f t="shared" si="128"/>
        <v>0</v>
      </c>
      <c r="X251" s="139">
        <f t="shared" si="129"/>
        <v>0</v>
      </c>
      <c r="Y251" s="138">
        <v>0</v>
      </c>
      <c r="Z251" s="141">
        <v>0</v>
      </c>
      <c r="AA251" s="104">
        <f t="shared" si="113"/>
        <v>0</v>
      </c>
      <c r="AB251" s="139">
        <f t="shared" si="114"/>
        <v>0</v>
      </c>
      <c r="AC251" s="138">
        <v>0</v>
      </c>
      <c r="AD251" s="104">
        <f t="shared" si="130"/>
        <v>0</v>
      </c>
      <c r="AE251" s="139">
        <f t="shared" si="131"/>
        <v>0</v>
      </c>
      <c r="AF251" s="142">
        <v>0</v>
      </c>
      <c r="AG251" s="104">
        <f t="shared" si="132"/>
        <v>0</v>
      </c>
      <c r="AH251" s="139">
        <f t="shared" si="133"/>
        <v>0</v>
      </c>
      <c r="AI251" s="142">
        <v>0</v>
      </c>
      <c r="AJ251" s="104">
        <f t="shared" si="134"/>
        <v>0</v>
      </c>
      <c r="AK251" s="139">
        <f t="shared" si="135"/>
        <v>0</v>
      </c>
      <c r="AL251" s="205"/>
      <c r="AM251" s="205"/>
      <c r="AN251" s="104">
        <f t="shared" si="136"/>
        <v>0</v>
      </c>
      <c r="AO251" s="148">
        <f t="shared" si="137"/>
        <v>0</v>
      </c>
      <c r="AP251" s="272">
        <f t="shared" si="138"/>
        <v>0</v>
      </c>
      <c r="AQ251" s="669">
        <v>77.13</v>
      </c>
      <c r="AR251" s="726">
        <v>0</v>
      </c>
      <c r="AS251" s="726">
        <v>0</v>
      </c>
      <c r="AT251" s="726">
        <v>0</v>
      </c>
      <c r="AU251" s="401">
        <v>0</v>
      </c>
      <c r="AV251" s="786"/>
      <c r="AW251" s="246"/>
      <c r="AX251" s="713">
        <f t="shared" si="139"/>
        <v>0</v>
      </c>
      <c r="AY251" s="714">
        <v>0</v>
      </c>
      <c r="AZ251" s="715"/>
      <c r="BA251" s="716">
        <v>0</v>
      </c>
      <c r="BC251" s="712">
        <v>0</v>
      </c>
      <c r="BD251" s="712">
        <v>0</v>
      </c>
      <c r="BE251" s="712"/>
      <c r="BF251" s="712"/>
      <c r="BG251" s="712">
        <v>0</v>
      </c>
      <c r="BH251" s="712">
        <v>0</v>
      </c>
      <c r="BI251" s="134">
        <f>BC251+BD251+BE251+BG251+BH251</f>
        <v>0</v>
      </c>
      <c r="BJ251" s="123"/>
      <c r="BK251" s="792"/>
      <c r="BL251" s="104"/>
      <c r="BM251" s="672"/>
      <c r="BO251" s="562"/>
      <c r="BS251" s="879"/>
      <c r="BT251" s="774"/>
      <c r="BU251" s="774">
        <v>0</v>
      </c>
      <c r="BV251" s="774">
        <v>0</v>
      </c>
      <c r="BW251" s="774">
        <f t="shared" si="140"/>
        <v>0</v>
      </c>
    </row>
    <row r="252" spans="1:75" ht="15" thickBot="1" x14ac:dyDescent="0.35">
      <c r="A252" s="210" t="s">
        <v>130</v>
      </c>
      <c r="B252" s="228">
        <v>1</v>
      </c>
      <c r="C252" s="39">
        <f>'[3]побудинковий звіт'!E252</f>
        <v>146.1</v>
      </c>
      <c r="D252" s="205">
        <f t="shared" si="115"/>
        <v>54.07930874405784</v>
      </c>
      <c r="E252" s="104">
        <f t="shared" si="116"/>
        <v>11.897457859354223</v>
      </c>
      <c r="F252" s="104">
        <f t="shared" si="117"/>
        <v>0</v>
      </c>
      <c r="G252" s="104">
        <f t="shared" si="118"/>
        <v>0</v>
      </c>
      <c r="H252" s="104">
        <f t="shared" si="119"/>
        <v>45.181893880187431</v>
      </c>
      <c r="I252" s="104">
        <f t="shared" si="120"/>
        <v>14.307546287786586</v>
      </c>
      <c r="J252" s="672">
        <f t="shared" si="108"/>
        <v>0</v>
      </c>
      <c r="K252" s="139">
        <f t="shared" si="121"/>
        <v>125.46620677138608</v>
      </c>
      <c r="L252" s="138">
        <f t="shared" si="109"/>
        <v>0</v>
      </c>
      <c r="M252" s="104">
        <f t="shared" si="110"/>
        <v>0</v>
      </c>
      <c r="N252" s="29">
        <f t="shared" si="122"/>
        <v>0</v>
      </c>
      <c r="O252" s="104">
        <f t="shared" si="111"/>
        <v>0.26302520649940014</v>
      </c>
      <c r="P252" s="104">
        <f t="shared" si="123"/>
        <v>0</v>
      </c>
      <c r="Q252" s="104">
        <f t="shared" si="124"/>
        <v>3.3854719915413403E-2</v>
      </c>
      <c r="R252" s="140">
        <f t="shared" si="125"/>
        <v>0.29687992641481353</v>
      </c>
      <c r="S252" s="138">
        <f t="shared" si="126"/>
        <v>0</v>
      </c>
      <c r="T252" s="104">
        <f t="shared" si="112"/>
        <v>0</v>
      </c>
      <c r="U252" s="139">
        <f t="shared" si="127"/>
        <v>0</v>
      </c>
      <c r="V252" s="104"/>
      <c r="W252" s="104">
        <f t="shared" si="128"/>
        <v>0</v>
      </c>
      <c r="X252" s="139">
        <f t="shared" si="129"/>
        <v>0</v>
      </c>
      <c r="Y252" s="138">
        <v>0</v>
      </c>
      <c r="Z252" s="141">
        <v>0</v>
      </c>
      <c r="AA252" s="104">
        <f t="shared" si="113"/>
        <v>0</v>
      </c>
      <c r="AB252" s="139">
        <f t="shared" si="114"/>
        <v>0</v>
      </c>
      <c r="AC252" s="138">
        <v>0</v>
      </c>
      <c r="AD252" s="104">
        <f t="shared" si="130"/>
        <v>0</v>
      </c>
      <c r="AE252" s="139">
        <f t="shared" si="131"/>
        <v>0</v>
      </c>
      <c r="AF252" s="142">
        <v>0</v>
      </c>
      <c r="AG252" s="104">
        <f t="shared" si="132"/>
        <v>0</v>
      </c>
      <c r="AH252" s="139">
        <f t="shared" si="133"/>
        <v>0</v>
      </c>
      <c r="AI252" s="142">
        <v>0</v>
      </c>
      <c r="AJ252" s="104">
        <f t="shared" si="134"/>
        <v>0</v>
      </c>
      <c r="AK252" s="139">
        <f t="shared" si="135"/>
        <v>0</v>
      </c>
      <c r="AL252" s="143"/>
      <c r="AM252" s="205"/>
      <c r="AN252" s="104">
        <f t="shared" si="136"/>
        <v>0</v>
      </c>
      <c r="AO252" s="148">
        <f t="shared" si="137"/>
        <v>0</v>
      </c>
      <c r="AP252" s="272">
        <f t="shared" si="138"/>
        <v>0</v>
      </c>
      <c r="AQ252" s="669">
        <v>49.91</v>
      </c>
      <c r="AR252" s="726">
        <v>0</v>
      </c>
      <c r="AS252" s="726">
        <v>0</v>
      </c>
      <c r="AT252" s="726">
        <v>0</v>
      </c>
      <c r="AU252" s="401">
        <v>0</v>
      </c>
      <c r="AV252" s="786"/>
      <c r="AW252" s="246"/>
      <c r="AX252" s="713">
        <f t="shared" si="139"/>
        <v>0</v>
      </c>
      <c r="AY252" s="714">
        <v>0</v>
      </c>
      <c r="AZ252" s="715"/>
      <c r="BA252" s="716">
        <v>0</v>
      </c>
      <c r="BC252" s="712">
        <v>0</v>
      </c>
      <c r="BD252" s="712">
        <v>0</v>
      </c>
      <c r="BE252" s="712"/>
      <c r="BF252" s="712"/>
      <c r="BG252" s="712">
        <v>0</v>
      </c>
      <c r="BH252" s="712">
        <v>0</v>
      </c>
      <c r="BI252" s="134">
        <f>BC252+BD252+BE252+BG252+BH252</f>
        <v>0</v>
      </c>
      <c r="BJ252" s="123"/>
      <c r="BK252" s="792"/>
      <c r="BL252" s="104"/>
      <c r="BM252" s="672"/>
      <c r="BO252" s="562"/>
      <c r="BS252" s="879"/>
      <c r="BT252" s="774"/>
      <c r="BU252" s="774">
        <v>0</v>
      </c>
      <c r="BV252" s="774">
        <v>0</v>
      </c>
      <c r="BW252" s="774">
        <f t="shared" si="140"/>
        <v>0</v>
      </c>
    </row>
    <row r="253" spans="1:75" ht="15" thickBot="1" x14ac:dyDescent="0.35">
      <c r="A253" s="209" t="s">
        <v>386</v>
      </c>
      <c r="B253" s="227">
        <v>9</v>
      </c>
      <c r="C253" s="39">
        <f>'[3]побудинковий звіт'!E253</f>
        <v>3990.71</v>
      </c>
      <c r="D253" s="205">
        <f t="shared" si="115"/>
        <v>579.12597230131882</v>
      </c>
      <c r="E253" s="104">
        <f t="shared" si="116"/>
        <v>127.40782030557222</v>
      </c>
      <c r="F253" s="104">
        <f t="shared" si="117"/>
        <v>118.65977918824149</v>
      </c>
      <c r="G253" s="104">
        <f t="shared" si="118"/>
        <v>0</v>
      </c>
      <c r="H253" s="104">
        <f t="shared" si="119"/>
        <v>483.84509401950584</v>
      </c>
      <c r="I253" s="104">
        <f t="shared" si="120"/>
        <v>168.49007735576893</v>
      </c>
      <c r="J253" s="672">
        <f t="shared" si="108"/>
        <v>0</v>
      </c>
      <c r="K253" s="139">
        <f t="shared" si="121"/>
        <v>1477.5287431704073</v>
      </c>
      <c r="L253" s="138">
        <f t="shared" si="109"/>
        <v>534.18625688264922</v>
      </c>
      <c r="M253" s="104">
        <f t="shared" si="110"/>
        <v>117.52042336971269</v>
      </c>
      <c r="N253" s="29">
        <f t="shared" si="122"/>
        <v>115.61370283490814</v>
      </c>
      <c r="O253" s="104">
        <f t="shared" si="111"/>
        <v>7.1845128119727661</v>
      </c>
      <c r="P253" s="104">
        <f t="shared" si="123"/>
        <v>446.29909906861332</v>
      </c>
      <c r="Q253" s="104">
        <f t="shared" si="124"/>
        <v>157.13314275583994</v>
      </c>
      <c r="R253" s="140">
        <f t="shared" si="125"/>
        <v>1377.9371377236962</v>
      </c>
      <c r="S253" s="138">
        <f t="shared" si="126"/>
        <v>110.26400000000001</v>
      </c>
      <c r="T253" s="104">
        <f t="shared" si="112"/>
        <v>14.192392000884741</v>
      </c>
      <c r="U253" s="139">
        <f t="shared" si="127"/>
        <v>124.45639200088475</v>
      </c>
      <c r="V253" s="104"/>
      <c r="W253" s="104">
        <f t="shared" si="128"/>
        <v>0</v>
      </c>
      <c r="X253" s="139">
        <f t="shared" si="129"/>
        <v>0</v>
      </c>
      <c r="Y253" s="138">
        <v>3102.43</v>
      </c>
      <c r="Z253" s="141">
        <v>0</v>
      </c>
      <c r="AA253" s="104">
        <f t="shared" si="113"/>
        <v>399.32255963238083</v>
      </c>
      <c r="AB253" s="139">
        <f t="shared" si="114"/>
        <v>3501.7525596323808</v>
      </c>
      <c r="AC253" s="138">
        <v>0</v>
      </c>
      <c r="AD253" s="104">
        <f t="shared" si="130"/>
        <v>0</v>
      </c>
      <c r="AE253" s="139">
        <f t="shared" si="131"/>
        <v>0</v>
      </c>
      <c r="AF253" s="142">
        <v>605</v>
      </c>
      <c r="AG253" s="104">
        <f t="shared" si="132"/>
        <v>77.871264968940608</v>
      </c>
      <c r="AH253" s="139">
        <f t="shared" si="133"/>
        <v>682.87126496894064</v>
      </c>
      <c r="AI253" s="142">
        <v>596.20000000000005</v>
      </c>
      <c r="AJ253" s="104">
        <f t="shared" si="134"/>
        <v>76.738592023937841</v>
      </c>
      <c r="AK253" s="139">
        <f t="shared" si="135"/>
        <v>672.93859202393787</v>
      </c>
      <c r="AL253" s="143"/>
      <c r="AM253" s="143"/>
      <c r="AN253" s="104">
        <f t="shared" si="136"/>
        <v>0</v>
      </c>
      <c r="AO253" s="148">
        <f t="shared" si="137"/>
        <v>0</v>
      </c>
      <c r="AP253" s="272">
        <f t="shared" si="138"/>
        <v>1027.8451768232883</v>
      </c>
      <c r="AQ253" s="669">
        <v>0</v>
      </c>
      <c r="AR253" s="726">
        <v>534.47756542810419</v>
      </c>
      <c r="AS253" s="726">
        <v>481.72205594888646</v>
      </c>
      <c r="AT253" s="726">
        <v>11.645555446297703</v>
      </c>
      <c r="AU253" s="401">
        <v>0</v>
      </c>
      <c r="AV253" s="786"/>
      <c r="AW253" s="246"/>
      <c r="AX253" s="713">
        <f t="shared" si="139"/>
        <v>118.65977918824149</v>
      </c>
      <c r="AY253" s="714">
        <v>115.61370283490814</v>
      </c>
      <c r="AZ253" s="715"/>
      <c r="BA253" s="716">
        <v>0</v>
      </c>
      <c r="BC253" s="712">
        <v>0</v>
      </c>
      <c r="BD253" s="712">
        <v>118.65977918824149</v>
      </c>
      <c r="BE253" s="712"/>
      <c r="BF253" s="712"/>
      <c r="BG253" s="712">
        <v>0</v>
      </c>
      <c r="BH253" s="712">
        <v>9.6636100270548528</v>
      </c>
      <c r="BI253" s="134">
        <f t="shared" ref="BI253:BI267" si="144">BC253+BD253+BE253+BG253</f>
        <v>118.65977918824149</v>
      </c>
      <c r="BJ253" s="123">
        <v>501.2</v>
      </c>
      <c r="BK253" s="792"/>
      <c r="BL253" s="104"/>
      <c r="BM253" s="672"/>
      <c r="BO253" s="562"/>
      <c r="BS253" s="879"/>
      <c r="BT253" s="774"/>
      <c r="BU253" s="774">
        <v>515.56166609043009</v>
      </c>
      <c r="BV253" s="774">
        <v>0</v>
      </c>
      <c r="BW253" s="774">
        <f t="shared" si="140"/>
        <v>515.56166609043009</v>
      </c>
    </row>
    <row r="254" spans="1:75" ht="15" thickBot="1" x14ac:dyDescent="0.35">
      <c r="A254" s="209" t="s">
        <v>387</v>
      </c>
      <c r="B254" s="227">
        <v>9</v>
      </c>
      <c r="C254" s="39">
        <f>'[3]побудинковий звіт'!E254</f>
        <v>11337.62</v>
      </c>
      <c r="D254" s="205">
        <f t="shared" si="115"/>
        <v>5924.8310985029939</v>
      </c>
      <c r="E254" s="104">
        <f t="shared" si="116"/>
        <v>1303.4639302037333</v>
      </c>
      <c r="F254" s="104">
        <f t="shared" si="117"/>
        <v>346.64880530451921</v>
      </c>
      <c r="G254" s="104">
        <f t="shared" si="118"/>
        <v>0</v>
      </c>
      <c r="H254" s="104">
        <f t="shared" si="119"/>
        <v>4950.046444149687</v>
      </c>
      <c r="I254" s="104">
        <f t="shared" si="120"/>
        <v>1612.1270027835956</v>
      </c>
      <c r="J254" s="672">
        <f t="shared" si="108"/>
        <v>0</v>
      </c>
      <c r="K254" s="139">
        <f t="shared" si="121"/>
        <v>14137.117280944531</v>
      </c>
      <c r="L254" s="138">
        <f t="shared" si="109"/>
        <v>5794.2054837493333</v>
      </c>
      <c r="M254" s="104">
        <f t="shared" si="110"/>
        <v>1274.7192065836352</v>
      </c>
      <c r="N254" s="29">
        <f t="shared" si="122"/>
        <v>232.91040503869976</v>
      </c>
      <c r="O254" s="104">
        <f t="shared" si="111"/>
        <v>20.411224104803075</v>
      </c>
      <c r="P254" s="104">
        <f t="shared" si="123"/>
        <v>4840.9120487422633</v>
      </c>
      <c r="Q254" s="104">
        <f t="shared" si="124"/>
        <v>1565.5545919847079</v>
      </c>
      <c r="R254" s="140">
        <f t="shared" si="125"/>
        <v>13728.712960203442</v>
      </c>
      <c r="S254" s="138">
        <f t="shared" si="126"/>
        <v>291.50880000000001</v>
      </c>
      <c r="T254" s="104">
        <f t="shared" si="112"/>
        <v>37.520923976161846</v>
      </c>
      <c r="U254" s="139">
        <f t="shared" si="127"/>
        <v>329.02972397616185</v>
      </c>
      <c r="V254" s="408"/>
      <c r="W254" s="104">
        <f t="shared" si="128"/>
        <v>0</v>
      </c>
      <c r="X254" s="139">
        <f t="shared" si="129"/>
        <v>0</v>
      </c>
      <c r="Y254" s="138">
        <v>6683.25</v>
      </c>
      <c r="Z254" s="141">
        <v>0</v>
      </c>
      <c r="AA254" s="104">
        <f t="shared" si="113"/>
        <v>860.22005223747499</v>
      </c>
      <c r="AB254" s="139">
        <f t="shared" si="114"/>
        <v>7543.4700522374751</v>
      </c>
      <c r="AC254" s="138">
        <v>590.37</v>
      </c>
      <c r="AD254" s="104">
        <f t="shared" si="130"/>
        <v>75.988196197873506</v>
      </c>
      <c r="AE254" s="139">
        <f t="shared" si="131"/>
        <v>666.35819619787355</v>
      </c>
      <c r="AF254" s="142">
        <v>1903</v>
      </c>
      <c r="AG254" s="104">
        <f t="shared" si="132"/>
        <v>244.94052435684958</v>
      </c>
      <c r="AH254" s="139">
        <f t="shared" si="133"/>
        <v>2147.9405243568494</v>
      </c>
      <c r="AI254" s="142">
        <v>1903</v>
      </c>
      <c r="AJ254" s="104">
        <f t="shared" si="134"/>
        <v>244.94052435684958</v>
      </c>
      <c r="AK254" s="139">
        <f t="shared" si="135"/>
        <v>2147.9405243568494</v>
      </c>
      <c r="AL254" s="143">
        <v>7990</v>
      </c>
      <c r="AM254" s="143"/>
      <c r="AN254" s="104">
        <f t="shared" si="136"/>
        <v>1028.4155489286536</v>
      </c>
      <c r="AO254" s="148">
        <f t="shared" si="137"/>
        <v>9018.4155489286532</v>
      </c>
      <c r="AP254" s="272">
        <f t="shared" si="138"/>
        <v>10573.743444343163</v>
      </c>
      <c r="AQ254" s="669">
        <v>245.76</v>
      </c>
      <c r="AR254" s="725">
        <v>5222.2891854248492</v>
      </c>
      <c r="AS254" s="725">
        <v>5238.6603771327545</v>
      </c>
      <c r="AT254" s="725">
        <v>112.79388178555999</v>
      </c>
      <c r="AU254" s="401">
        <v>0</v>
      </c>
      <c r="AV254" s="786"/>
      <c r="AW254" s="246"/>
      <c r="AX254" s="713">
        <f t="shared" si="139"/>
        <v>346.64880530451921</v>
      </c>
      <c r="AY254" s="714">
        <v>232.91040503869976</v>
      </c>
      <c r="AZ254" s="715"/>
      <c r="BA254" s="716">
        <v>0</v>
      </c>
      <c r="BC254" s="712">
        <v>0</v>
      </c>
      <c r="BD254" s="712">
        <v>346.64880530451921</v>
      </c>
      <c r="BE254" s="712"/>
      <c r="BF254" s="712"/>
      <c r="BG254" s="712">
        <v>0</v>
      </c>
      <c r="BH254" s="712">
        <v>0</v>
      </c>
      <c r="BI254" s="134">
        <f t="shared" si="144"/>
        <v>346.64880530451921</v>
      </c>
      <c r="BJ254" s="123">
        <v>1325.04</v>
      </c>
      <c r="BK254" s="792"/>
      <c r="BL254" s="104"/>
      <c r="BM254" s="672"/>
      <c r="BO254" s="562"/>
      <c r="BS254" s="879"/>
      <c r="BT254" s="774"/>
      <c r="BU254" s="774">
        <v>5125.4459590244551</v>
      </c>
      <c r="BV254" s="774">
        <v>0</v>
      </c>
      <c r="BW254" s="774">
        <f t="shared" si="140"/>
        <v>5125.4459590244551</v>
      </c>
    </row>
    <row r="255" spans="1:75" ht="15" thickBot="1" x14ac:dyDescent="0.35">
      <c r="A255" s="209" t="s">
        <v>388</v>
      </c>
      <c r="B255" s="227">
        <v>9</v>
      </c>
      <c r="C255" s="39">
        <f>'[3]побудинковий звіт'!E255</f>
        <v>13218.32</v>
      </c>
      <c r="D255" s="205">
        <f t="shared" si="115"/>
        <v>7924.9439415700599</v>
      </c>
      <c r="E255" s="104">
        <f t="shared" si="116"/>
        <v>1743.4891231470192</v>
      </c>
      <c r="F255" s="104">
        <f t="shared" si="117"/>
        <v>403.87203634496052</v>
      </c>
      <c r="G255" s="104">
        <f t="shared" si="118"/>
        <v>0</v>
      </c>
      <c r="H255" s="104">
        <f t="shared" si="119"/>
        <v>6621.0901080313142</v>
      </c>
      <c r="I255" s="104">
        <f t="shared" si="120"/>
        <v>2148.6542174521524</v>
      </c>
      <c r="J255" s="672">
        <f t="shared" si="108"/>
        <v>0</v>
      </c>
      <c r="K255" s="139">
        <f t="shared" si="121"/>
        <v>18842.049426545505</v>
      </c>
      <c r="L255" s="138">
        <f t="shared" si="109"/>
        <v>5242.2215036489097</v>
      </c>
      <c r="M255" s="104">
        <f t="shared" si="110"/>
        <v>1153.2833025353746</v>
      </c>
      <c r="N255" s="29">
        <f t="shared" si="122"/>
        <v>355.35821075822099</v>
      </c>
      <c r="O255" s="104">
        <f t="shared" si="111"/>
        <v>23.797066034053053</v>
      </c>
      <c r="P255" s="104">
        <f t="shared" si="123"/>
        <v>4379.7434023290234</v>
      </c>
      <c r="Q255" s="104">
        <f t="shared" si="124"/>
        <v>1435.714891528439</v>
      </c>
      <c r="R255" s="140">
        <f t="shared" si="125"/>
        <v>12590.118376834022</v>
      </c>
      <c r="S255" s="138">
        <f t="shared" si="126"/>
        <v>336.64400000000006</v>
      </c>
      <c r="T255" s="104">
        <f t="shared" si="112"/>
        <v>43.330403511081073</v>
      </c>
      <c r="U255" s="139">
        <f t="shared" si="127"/>
        <v>379.97440351108116</v>
      </c>
      <c r="V255" s="104"/>
      <c r="W255" s="104">
        <f t="shared" si="128"/>
        <v>0</v>
      </c>
      <c r="X255" s="139">
        <f t="shared" si="129"/>
        <v>0</v>
      </c>
      <c r="Y255" s="138">
        <v>12662.99</v>
      </c>
      <c r="Z255" s="141">
        <v>0</v>
      </c>
      <c r="AA255" s="104">
        <f t="shared" si="113"/>
        <v>1629.8893381637113</v>
      </c>
      <c r="AB255" s="139">
        <f t="shared" si="114"/>
        <v>14292.879338163712</v>
      </c>
      <c r="AC255" s="138">
        <v>236.15</v>
      </c>
      <c r="AD255" s="104">
        <f t="shared" si="130"/>
        <v>30.395535904818722</v>
      </c>
      <c r="AE255" s="139">
        <f t="shared" si="131"/>
        <v>266.54553590481873</v>
      </c>
      <c r="AF255" s="142">
        <v>2182.4</v>
      </c>
      <c r="AG255" s="104">
        <f t="shared" si="132"/>
        <v>280.90289036068759</v>
      </c>
      <c r="AH255" s="139">
        <f t="shared" si="133"/>
        <v>2463.3028903606878</v>
      </c>
      <c r="AI255" s="142">
        <v>3278</v>
      </c>
      <c r="AJ255" s="104">
        <f t="shared" si="134"/>
        <v>421.92067201353279</v>
      </c>
      <c r="AK255" s="139">
        <f t="shared" si="135"/>
        <v>3699.9206720135326</v>
      </c>
      <c r="AL255" s="143"/>
      <c r="AM255" s="143"/>
      <c r="AN255" s="104">
        <f t="shared" si="136"/>
        <v>0</v>
      </c>
      <c r="AO255" s="148">
        <f t="shared" si="137"/>
        <v>0</v>
      </c>
      <c r="AP255" s="272">
        <f t="shared" si="138"/>
        <v>12155.60984311949</v>
      </c>
      <c r="AQ255" s="669">
        <v>0</v>
      </c>
      <c r="AR255" s="725">
        <v>7313.9609456865028</v>
      </c>
      <c r="AS255" s="725">
        <v>4711.0321911772444</v>
      </c>
      <c r="AT255" s="725">
        <v>130.61670625574234</v>
      </c>
      <c r="AU255" s="401">
        <v>0</v>
      </c>
      <c r="AV255" s="786"/>
      <c r="AW255" s="246"/>
      <c r="AX255" s="713">
        <f t="shared" si="139"/>
        <v>403.87203634496052</v>
      </c>
      <c r="AY255" s="714">
        <v>271.35821075822099</v>
      </c>
      <c r="AZ255" s="715"/>
      <c r="BA255" s="716">
        <v>84</v>
      </c>
      <c r="BC255" s="712">
        <v>0</v>
      </c>
      <c r="BD255" s="712">
        <v>403.87203634496052</v>
      </c>
      <c r="BE255" s="712"/>
      <c r="BF255" s="712"/>
      <c r="BG255" s="712">
        <v>0</v>
      </c>
      <c r="BH255" s="712">
        <v>0</v>
      </c>
      <c r="BI255" s="134">
        <f t="shared" si="144"/>
        <v>403.87203634496052</v>
      </c>
      <c r="BJ255" s="123">
        <v>1530.2</v>
      </c>
      <c r="BK255" s="792"/>
      <c r="BL255" s="104"/>
      <c r="BM255" s="672"/>
      <c r="BO255" s="562"/>
      <c r="BS255" s="879"/>
      <c r="BT255" s="774"/>
      <c r="BU255" s="774">
        <v>7169.0293874599411</v>
      </c>
      <c r="BV255" s="774">
        <v>0</v>
      </c>
      <c r="BW255" s="774">
        <f t="shared" si="140"/>
        <v>7169.0293874599411</v>
      </c>
    </row>
    <row r="256" spans="1:75" ht="15" thickBot="1" x14ac:dyDescent="0.35">
      <c r="A256" s="209" t="s">
        <v>389</v>
      </c>
      <c r="B256" s="227">
        <v>9</v>
      </c>
      <c r="C256" s="39">
        <f>'[3]побудинковий звіт'!E256</f>
        <v>5689.68</v>
      </c>
      <c r="D256" s="205">
        <f t="shared" si="115"/>
        <v>3794.8328118977997</v>
      </c>
      <c r="E256" s="104">
        <f t="shared" si="116"/>
        <v>834.86391581899898</v>
      </c>
      <c r="F256" s="104">
        <f t="shared" si="117"/>
        <v>173.89676337692919</v>
      </c>
      <c r="G256" s="104">
        <f t="shared" si="118"/>
        <v>0</v>
      </c>
      <c r="H256" s="104">
        <f t="shared" si="119"/>
        <v>3170.4867791798315</v>
      </c>
      <c r="I256" s="104">
        <f t="shared" si="120"/>
        <v>1026.3664753885519</v>
      </c>
      <c r="J256" s="672">
        <f t="shared" si="108"/>
        <v>0</v>
      </c>
      <c r="K256" s="139">
        <f t="shared" si="121"/>
        <v>9000.4467456621114</v>
      </c>
      <c r="L256" s="138">
        <f t="shared" si="109"/>
        <v>1477.9858959380419</v>
      </c>
      <c r="M256" s="104">
        <f t="shared" si="110"/>
        <v>325.15536666691156</v>
      </c>
      <c r="N256" s="29">
        <f t="shared" si="122"/>
        <v>116.83976685700549</v>
      </c>
      <c r="O256" s="104">
        <f t="shared" si="111"/>
        <v>10.243184510030849</v>
      </c>
      <c r="P256" s="104">
        <f t="shared" si="123"/>
        <v>1234.8198129293553</v>
      </c>
      <c r="Q256" s="104">
        <f t="shared" si="124"/>
        <v>407.38178852429331</v>
      </c>
      <c r="R256" s="140">
        <f t="shared" si="125"/>
        <v>3572.4258154256386</v>
      </c>
      <c r="S256" s="138">
        <f t="shared" si="126"/>
        <v>202.75200000000004</v>
      </c>
      <c r="T256" s="104">
        <f t="shared" si="112"/>
        <v>26.096784652863885</v>
      </c>
      <c r="U256" s="139">
        <f t="shared" si="127"/>
        <v>228.84878465286391</v>
      </c>
      <c r="V256" s="104"/>
      <c r="W256" s="104">
        <f t="shared" si="128"/>
        <v>0</v>
      </c>
      <c r="X256" s="139">
        <f t="shared" si="129"/>
        <v>0</v>
      </c>
      <c r="Y256" s="138">
        <v>6463.3950000000004</v>
      </c>
      <c r="Z256" s="141">
        <v>0</v>
      </c>
      <c r="AA256" s="104">
        <f t="shared" si="113"/>
        <v>831.92189197343134</v>
      </c>
      <c r="AB256" s="139">
        <f t="shared" si="114"/>
        <v>7295.3168919734317</v>
      </c>
      <c r="AC256" s="138">
        <v>0</v>
      </c>
      <c r="AD256" s="104">
        <f t="shared" si="130"/>
        <v>0</v>
      </c>
      <c r="AE256" s="139">
        <f t="shared" si="131"/>
        <v>0</v>
      </c>
      <c r="AF256" s="142">
        <v>1507</v>
      </c>
      <c r="AG256" s="104">
        <f t="shared" si="132"/>
        <v>193.97024183172479</v>
      </c>
      <c r="AH256" s="139">
        <f t="shared" si="133"/>
        <v>1700.9702418317247</v>
      </c>
      <c r="AI256" s="142">
        <v>1045</v>
      </c>
      <c r="AJ256" s="104">
        <f t="shared" si="134"/>
        <v>134.50491221907924</v>
      </c>
      <c r="AK256" s="139">
        <f t="shared" si="135"/>
        <v>1179.5049122190792</v>
      </c>
      <c r="AL256" s="143"/>
      <c r="AM256" s="143"/>
      <c r="AN256" s="104">
        <f t="shared" si="136"/>
        <v>0</v>
      </c>
      <c r="AO256" s="148">
        <f t="shared" si="137"/>
        <v>0</v>
      </c>
      <c r="AP256" s="272">
        <f t="shared" si="138"/>
        <v>4867.3145711326952</v>
      </c>
      <c r="AQ256" s="669">
        <v>0</v>
      </c>
      <c r="AR256" s="725">
        <v>3502.265654655399</v>
      </c>
      <c r="AS256" s="725">
        <v>1298.8080909153232</v>
      </c>
      <c r="AT256" s="725">
        <v>66.240825561972912</v>
      </c>
      <c r="AU256" s="401">
        <v>0</v>
      </c>
      <c r="AV256" s="786"/>
      <c r="AW256" s="246"/>
      <c r="AX256" s="713">
        <f t="shared" si="139"/>
        <v>173.89676337692919</v>
      </c>
      <c r="AY256" s="714">
        <v>116.83976685700549</v>
      </c>
      <c r="AZ256" s="715"/>
      <c r="BA256" s="716">
        <v>0</v>
      </c>
      <c r="BC256" s="712">
        <v>0</v>
      </c>
      <c r="BD256" s="712">
        <v>173.89676337692919</v>
      </c>
      <c r="BE256" s="712"/>
      <c r="BF256" s="712"/>
      <c r="BG256" s="712">
        <v>0</v>
      </c>
      <c r="BH256" s="712">
        <v>0</v>
      </c>
      <c r="BI256" s="134">
        <f t="shared" si="144"/>
        <v>173.89676337692919</v>
      </c>
      <c r="BJ256" s="123">
        <v>921.6</v>
      </c>
      <c r="BK256" s="792"/>
      <c r="BL256" s="104"/>
      <c r="BM256" s="672"/>
      <c r="BO256" s="562"/>
      <c r="BS256" s="879"/>
      <c r="BT256" s="774"/>
      <c r="BU256" s="774">
        <v>3474.1970198042081</v>
      </c>
      <c r="BV256" s="774">
        <v>0</v>
      </c>
      <c r="BW256" s="774">
        <f t="shared" si="140"/>
        <v>3474.1970198042081</v>
      </c>
    </row>
    <row r="257" spans="1:75" ht="15" thickBot="1" x14ac:dyDescent="0.35">
      <c r="A257" s="209" t="s">
        <v>390</v>
      </c>
      <c r="B257" s="227">
        <v>9</v>
      </c>
      <c r="C257" s="39">
        <f>'[3]побудинковий звіт'!E257</f>
        <v>6815.39</v>
      </c>
      <c r="D257" s="205">
        <f t="shared" si="115"/>
        <v>4457.1098916600104</v>
      </c>
      <c r="E257" s="104">
        <f t="shared" si="116"/>
        <v>980.56499504281317</v>
      </c>
      <c r="F257" s="104">
        <f t="shared" si="117"/>
        <v>205.48697835213426</v>
      </c>
      <c r="G257" s="104">
        <f t="shared" si="118"/>
        <v>0</v>
      </c>
      <c r="H257" s="104">
        <f t="shared" si="119"/>
        <v>3723.8025191925867</v>
      </c>
      <c r="I257" s="104">
        <f t="shared" si="120"/>
        <v>1205.6485380501988</v>
      </c>
      <c r="J257" s="672">
        <f t="shared" si="108"/>
        <v>0</v>
      </c>
      <c r="K257" s="139">
        <f t="shared" si="121"/>
        <v>10572.612922297743</v>
      </c>
      <c r="L257" s="138">
        <f t="shared" si="109"/>
        <v>2242.5467960027927</v>
      </c>
      <c r="M257" s="104">
        <f t="shared" si="110"/>
        <v>493.3579729860719</v>
      </c>
      <c r="N257" s="29">
        <f t="shared" si="122"/>
        <v>138.06496553804851</v>
      </c>
      <c r="O257" s="104">
        <f t="shared" si="111"/>
        <v>12.269810829048232</v>
      </c>
      <c r="P257" s="104">
        <f t="shared" si="123"/>
        <v>1873.5910963263871</v>
      </c>
      <c r="Q257" s="104">
        <f t="shared" si="124"/>
        <v>612.65129438963436</v>
      </c>
      <c r="R257" s="140">
        <f t="shared" si="125"/>
        <v>5372.481936071983</v>
      </c>
      <c r="S257" s="138">
        <f t="shared" si="126"/>
        <v>177.04499999999999</v>
      </c>
      <c r="T257" s="104">
        <f t="shared" si="112"/>
        <v>22.78796381227453</v>
      </c>
      <c r="U257" s="139">
        <f t="shared" si="127"/>
        <v>199.83296381227453</v>
      </c>
      <c r="V257" s="104"/>
      <c r="W257" s="104">
        <f t="shared" si="128"/>
        <v>0</v>
      </c>
      <c r="X257" s="139">
        <f t="shared" si="129"/>
        <v>0</v>
      </c>
      <c r="Y257" s="138">
        <v>4308.93</v>
      </c>
      <c r="Z257" s="141">
        <v>0</v>
      </c>
      <c r="AA257" s="104">
        <f t="shared" si="113"/>
        <v>554.61459464895427</v>
      </c>
      <c r="AB257" s="139">
        <f t="shared" si="114"/>
        <v>4863.5445946489544</v>
      </c>
      <c r="AC257" s="138">
        <v>0</v>
      </c>
      <c r="AD257" s="104">
        <f t="shared" si="130"/>
        <v>0</v>
      </c>
      <c r="AE257" s="139">
        <f t="shared" si="131"/>
        <v>0</v>
      </c>
      <c r="AF257" s="142">
        <v>1654.4</v>
      </c>
      <c r="AG257" s="104">
        <f t="shared" si="132"/>
        <v>212.94251366052126</v>
      </c>
      <c r="AH257" s="139">
        <f t="shared" si="133"/>
        <v>1867.3425136605213</v>
      </c>
      <c r="AI257" s="142">
        <v>1364</v>
      </c>
      <c r="AJ257" s="104">
        <f t="shared" si="134"/>
        <v>175.56430647542976</v>
      </c>
      <c r="AK257" s="139">
        <f t="shared" si="135"/>
        <v>1539.5643064754297</v>
      </c>
      <c r="AL257" s="143">
        <v>3017.5</v>
      </c>
      <c r="AM257" s="143"/>
      <c r="AN257" s="104">
        <f t="shared" si="136"/>
        <v>388.39097858475753</v>
      </c>
      <c r="AO257" s="148">
        <f t="shared" si="137"/>
        <v>3405.8909785847577</v>
      </c>
      <c r="AP257" s="272">
        <f t="shared" si="138"/>
        <v>6184.671302899339</v>
      </c>
      <c r="AQ257" s="669">
        <v>0</v>
      </c>
      <c r="AR257" s="725">
        <v>4113.4836938387098</v>
      </c>
      <c r="AS257" s="725">
        <v>1999.341868110974</v>
      </c>
      <c r="AT257" s="725">
        <v>71.845740949654669</v>
      </c>
      <c r="AU257" s="401">
        <v>0</v>
      </c>
      <c r="AV257" s="786"/>
      <c r="AW257" s="246"/>
      <c r="AX257" s="713">
        <f t="shared" si="139"/>
        <v>205.48697835213426</v>
      </c>
      <c r="AY257" s="714">
        <v>138.06496553804851</v>
      </c>
      <c r="AZ257" s="715"/>
      <c r="BA257" s="716">
        <v>0</v>
      </c>
      <c r="BC257" s="712">
        <v>0</v>
      </c>
      <c r="BD257" s="712">
        <v>205.48697835213426</v>
      </c>
      <c r="BE257" s="712"/>
      <c r="BF257" s="712"/>
      <c r="BG257" s="712">
        <v>0</v>
      </c>
      <c r="BH257" s="712">
        <v>0</v>
      </c>
      <c r="BI257" s="134">
        <f t="shared" si="144"/>
        <v>205.48697835213426</v>
      </c>
      <c r="BJ257" s="123">
        <v>804.75</v>
      </c>
      <c r="BK257" s="792"/>
      <c r="BL257" s="104"/>
      <c r="BM257" s="672"/>
      <c r="BO257" s="562"/>
      <c r="BS257" s="879"/>
      <c r="BT257" s="774"/>
      <c r="BU257" s="774">
        <v>3523.148680803291</v>
      </c>
      <c r="BV257" s="774">
        <v>0</v>
      </c>
      <c r="BW257" s="774">
        <f t="shared" si="140"/>
        <v>3523.148680803291</v>
      </c>
    </row>
    <row r="258" spans="1:75" ht="15" thickBot="1" x14ac:dyDescent="0.35">
      <c r="A258" s="209" t="s">
        <v>391</v>
      </c>
      <c r="B258" s="227">
        <v>9</v>
      </c>
      <c r="C258" s="39">
        <f>'[3]побудинковий звіт'!E258</f>
        <v>2823.8</v>
      </c>
      <c r="D258" s="205">
        <f t="shared" si="115"/>
        <v>2303.5078637830388</v>
      </c>
      <c r="E258" s="104">
        <f t="shared" si="116"/>
        <v>506.77215324171635</v>
      </c>
      <c r="F258" s="104">
        <f t="shared" si="117"/>
        <v>86.337190935999601</v>
      </c>
      <c r="G258" s="104">
        <f t="shared" si="118"/>
        <v>0</v>
      </c>
      <c r="H258" s="104">
        <f t="shared" si="119"/>
        <v>1924.5225257258548</v>
      </c>
      <c r="I258" s="104">
        <f t="shared" si="120"/>
        <v>620.54256141189705</v>
      </c>
      <c r="J258" s="672">
        <f t="shared" si="108"/>
        <v>0</v>
      </c>
      <c r="K258" s="139">
        <f t="shared" si="121"/>
        <v>5441.6822950985061</v>
      </c>
      <c r="L258" s="138">
        <f t="shared" si="109"/>
        <v>1044.7769231826464</v>
      </c>
      <c r="M258" s="104">
        <f t="shared" si="110"/>
        <v>229.8498412442375</v>
      </c>
      <c r="N258" s="29">
        <f t="shared" si="122"/>
        <v>58.009229523068178</v>
      </c>
      <c r="O258" s="104">
        <f t="shared" si="111"/>
        <v>5.0837137447844363</v>
      </c>
      <c r="P258" s="104">
        <f t="shared" si="123"/>
        <v>872.88467933484606</v>
      </c>
      <c r="Q258" s="104">
        <f t="shared" si="124"/>
        <v>284.53315696509617</v>
      </c>
      <c r="R258" s="140">
        <f t="shared" si="125"/>
        <v>2495.1375439946787</v>
      </c>
      <c r="S258" s="138">
        <f t="shared" si="126"/>
        <v>78.198999999999998</v>
      </c>
      <c r="T258" s="104">
        <f t="shared" si="112"/>
        <v>10.065214957530888</v>
      </c>
      <c r="U258" s="139">
        <f t="shared" si="127"/>
        <v>88.264214957530882</v>
      </c>
      <c r="V258" s="104"/>
      <c r="W258" s="104">
        <f t="shared" si="128"/>
        <v>0</v>
      </c>
      <c r="X258" s="139">
        <f t="shared" si="129"/>
        <v>0</v>
      </c>
      <c r="Y258" s="138">
        <v>1120.33</v>
      </c>
      <c r="Z258" s="141">
        <v>0</v>
      </c>
      <c r="AA258" s="104">
        <f t="shared" si="113"/>
        <v>144.20085005397229</v>
      </c>
      <c r="AB258" s="139">
        <f t="shared" si="114"/>
        <v>1264.5308500539722</v>
      </c>
      <c r="AC258" s="138">
        <v>0</v>
      </c>
      <c r="AD258" s="104">
        <f t="shared" si="130"/>
        <v>0</v>
      </c>
      <c r="AE258" s="139">
        <f t="shared" si="131"/>
        <v>0</v>
      </c>
      <c r="AF258" s="142">
        <v>528</v>
      </c>
      <c r="AG258" s="104">
        <f t="shared" si="132"/>
        <v>67.96037670016635</v>
      </c>
      <c r="AH258" s="139">
        <f t="shared" si="133"/>
        <v>595.96037670016631</v>
      </c>
      <c r="AI258" s="142">
        <v>600.6</v>
      </c>
      <c r="AJ258" s="104">
        <f t="shared" si="134"/>
        <v>77.304928496439231</v>
      </c>
      <c r="AK258" s="139">
        <f t="shared" si="135"/>
        <v>677.9049284964392</v>
      </c>
      <c r="AL258" s="143"/>
      <c r="AM258" s="391"/>
      <c r="AN258" s="104">
        <f t="shared" si="136"/>
        <v>0</v>
      </c>
      <c r="AO258" s="148">
        <f t="shared" si="137"/>
        <v>0</v>
      </c>
      <c r="AP258" s="272">
        <f t="shared" si="138"/>
        <v>3090.8588167297148</v>
      </c>
      <c r="AQ258" s="669">
        <v>0</v>
      </c>
      <c r="AR258" s="725">
        <v>2125.9161803550974</v>
      </c>
      <c r="AS258" s="725">
        <v>937.49266407127641</v>
      </c>
      <c r="AT258" s="725">
        <v>27.449972303340775</v>
      </c>
      <c r="AU258" s="401">
        <v>0</v>
      </c>
      <c r="AV258" s="786"/>
      <c r="AW258" s="246"/>
      <c r="AX258" s="713">
        <f t="shared" si="139"/>
        <v>86.337190935999601</v>
      </c>
      <c r="AY258" s="714">
        <v>58.009229523068178</v>
      </c>
      <c r="AZ258" s="715"/>
      <c r="BA258" s="716">
        <v>0</v>
      </c>
      <c r="BC258" s="712">
        <v>0</v>
      </c>
      <c r="BD258" s="712">
        <v>86.337190935999601</v>
      </c>
      <c r="BE258" s="712"/>
      <c r="BF258" s="712"/>
      <c r="BG258" s="712">
        <v>0</v>
      </c>
      <c r="BH258" s="712">
        <v>0</v>
      </c>
      <c r="BI258" s="134">
        <f t="shared" si="144"/>
        <v>86.337190935999601</v>
      </c>
      <c r="BJ258" s="123">
        <v>355.45</v>
      </c>
      <c r="BK258" s="792"/>
      <c r="BL258" s="104"/>
      <c r="BM258" s="672"/>
      <c r="BO258" s="562"/>
      <c r="BS258" s="879"/>
      <c r="BT258" s="774"/>
      <c r="BU258" s="774">
        <v>2108.8814005337654</v>
      </c>
      <c r="BV258" s="774">
        <v>0</v>
      </c>
      <c r="BW258" s="774">
        <f t="shared" si="140"/>
        <v>2108.8814005337654</v>
      </c>
    </row>
    <row r="259" spans="1:75" ht="15" thickBot="1" x14ac:dyDescent="0.35">
      <c r="A259" s="209" t="s">
        <v>219</v>
      </c>
      <c r="B259" s="227">
        <v>4</v>
      </c>
      <c r="C259" s="39">
        <f>'[3]побудинковий звіт'!E259</f>
        <v>2844.3999999999996</v>
      </c>
      <c r="D259" s="205">
        <f t="shared" si="115"/>
        <v>1106.0399181080491</v>
      </c>
      <c r="E259" s="104">
        <f t="shared" si="116"/>
        <v>243.32898518973781</v>
      </c>
      <c r="F259" s="104">
        <f t="shared" si="117"/>
        <v>672.08346939432579</v>
      </c>
      <c r="G259" s="104">
        <f t="shared" si="118"/>
        <v>0</v>
      </c>
      <c r="H259" s="104">
        <f t="shared" si="119"/>
        <v>924.06836122327525</v>
      </c>
      <c r="I259" s="104">
        <f t="shared" si="120"/>
        <v>379.12632321030344</v>
      </c>
      <c r="J259" s="672">
        <f t="shared" si="108"/>
        <v>0</v>
      </c>
      <c r="K259" s="139">
        <f t="shared" si="121"/>
        <v>3324.6470571256909</v>
      </c>
      <c r="L259" s="138">
        <f t="shared" si="109"/>
        <v>765.4122555667642</v>
      </c>
      <c r="M259" s="104">
        <f t="shared" si="110"/>
        <v>168.38990364803328</v>
      </c>
      <c r="N259" s="29">
        <f t="shared" si="122"/>
        <v>58.483772055111118</v>
      </c>
      <c r="O259" s="104">
        <f t="shared" si="111"/>
        <v>5.1208001188699086</v>
      </c>
      <c r="P259" s="104">
        <f t="shared" si="123"/>
        <v>639.48256937386145</v>
      </c>
      <c r="Q259" s="104">
        <f t="shared" si="124"/>
        <v>210.68866192481235</v>
      </c>
      <c r="R259" s="140">
        <f t="shared" si="125"/>
        <v>1847.5779626874523</v>
      </c>
      <c r="S259" s="138">
        <f t="shared" si="126"/>
        <v>44.77</v>
      </c>
      <c r="T259" s="104">
        <f t="shared" si="112"/>
        <v>5.7624736077016054</v>
      </c>
      <c r="U259" s="139">
        <f t="shared" si="127"/>
        <v>50.532473607701611</v>
      </c>
      <c r="V259" s="104"/>
      <c r="W259" s="104">
        <f t="shared" si="128"/>
        <v>0</v>
      </c>
      <c r="X259" s="139">
        <f t="shared" si="129"/>
        <v>0</v>
      </c>
      <c r="Y259" s="138">
        <v>0</v>
      </c>
      <c r="Z259" s="141">
        <v>0</v>
      </c>
      <c r="AA259" s="104">
        <f t="shared" si="113"/>
        <v>0</v>
      </c>
      <c r="AB259" s="139">
        <f t="shared" si="114"/>
        <v>0</v>
      </c>
      <c r="AC259" s="138">
        <v>0</v>
      </c>
      <c r="AD259" s="104">
        <f t="shared" si="130"/>
        <v>0</v>
      </c>
      <c r="AE259" s="139">
        <f t="shared" si="131"/>
        <v>0</v>
      </c>
      <c r="AF259" s="142">
        <v>294.8</v>
      </c>
      <c r="AG259" s="104">
        <f t="shared" si="132"/>
        <v>37.944543657592881</v>
      </c>
      <c r="AH259" s="139">
        <f t="shared" si="133"/>
        <v>332.74454365759289</v>
      </c>
      <c r="AI259" s="142">
        <v>0</v>
      </c>
      <c r="AJ259" s="104">
        <f t="shared" si="134"/>
        <v>0</v>
      </c>
      <c r="AK259" s="139">
        <f t="shared" si="135"/>
        <v>0</v>
      </c>
      <c r="AL259" s="143">
        <v>3506.25</v>
      </c>
      <c r="AM259" s="143"/>
      <c r="AN259" s="104">
        <f t="shared" si="136"/>
        <v>451.2993765245422</v>
      </c>
      <c r="AO259" s="148">
        <f t="shared" si="137"/>
        <v>3957.5493765245424</v>
      </c>
      <c r="AP259" s="272">
        <f t="shared" si="138"/>
        <v>1672.5934464186548</v>
      </c>
      <c r="AQ259" s="669">
        <v>55.1</v>
      </c>
      <c r="AR259" s="725">
        <v>965.66845275575554</v>
      </c>
      <c r="AS259" s="725">
        <v>699.74747611608382</v>
      </c>
      <c r="AT259" s="725">
        <v>7.1775175468155084</v>
      </c>
      <c r="AU259" s="401">
        <v>0</v>
      </c>
      <c r="AV259" s="786"/>
      <c r="AW259" s="246"/>
      <c r="AX259" s="713">
        <f t="shared" si="139"/>
        <v>87.043469394325811</v>
      </c>
      <c r="AY259" s="714">
        <v>58.483772055111118</v>
      </c>
      <c r="AZ259" s="715"/>
      <c r="BA259" s="716">
        <v>0</v>
      </c>
      <c r="BC259" s="712">
        <v>0</v>
      </c>
      <c r="BD259" s="712">
        <v>87.043469394325811</v>
      </c>
      <c r="BE259" s="712"/>
      <c r="BF259" s="712"/>
      <c r="BG259" s="712">
        <v>0</v>
      </c>
      <c r="BH259" s="712">
        <v>0</v>
      </c>
      <c r="BI259" s="134">
        <f t="shared" si="144"/>
        <v>87.043469394325811</v>
      </c>
      <c r="BJ259" s="123">
        <v>203.5</v>
      </c>
      <c r="BK259" s="792"/>
      <c r="BL259" s="104"/>
      <c r="BM259" s="672">
        <v>585.04</v>
      </c>
      <c r="BO259" s="562"/>
      <c r="BS259" s="879"/>
      <c r="BT259" s="774"/>
      <c r="BU259" s="774">
        <v>947.76275622571484</v>
      </c>
      <c r="BV259" s="774">
        <v>0</v>
      </c>
      <c r="BW259" s="774">
        <f t="shared" si="140"/>
        <v>947.76275622571484</v>
      </c>
    </row>
    <row r="260" spans="1:75" ht="15" thickBot="1" x14ac:dyDescent="0.35">
      <c r="A260" s="209" t="s">
        <v>220</v>
      </c>
      <c r="B260" s="227">
        <v>4</v>
      </c>
      <c r="C260" s="39">
        <f>'[3]побудинковий звіт'!E260</f>
        <v>2296.6999999999998</v>
      </c>
      <c r="D260" s="205">
        <f t="shared" si="115"/>
        <v>905.66982816763664</v>
      </c>
      <c r="E260" s="104">
        <f t="shared" si="116"/>
        <v>199.24752859007276</v>
      </c>
      <c r="F260" s="104">
        <f t="shared" si="117"/>
        <v>70.221200659646684</v>
      </c>
      <c r="G260" s="104">
        <f t="shared" si="118"/>
        <v>0</v>
      </c>
      <c r="H260" s="104">
        <f t="shared" si="119"/>
        <v>756.66422180838174</v>
      </c>
      <c r="I260" s="104">
        <f t="shared" si="120"/>
        <v>248.64781171706335</v>
      </c>
      <c r="J260" s="672">
        <f t="shared" si="108"/>
        <v>0</v>
      </c>
      <c r="K260" s="139">
        <f t="shared" si="121"/>
        <v>2180.4505909428012</v>
      </c>
      <c r="L260" s="138">
        <f t="shared" si="109"/>
        <v>463.41118414641312</v>
      </c>
      <c r="M260" s="104">
        <f t="shared" si="110"/>
        <v>101.94998065461326</v>
      </c>
      <c r="N260" s="29">
        <f t="shared" si="122"/>
        <v>47.181031746451836</v>
      </c>
      <c r="O260" s="104">
        <f t="shared" si="111"/>
        <v>4.1347706486459428</v>
      </c>
      <c r="P260" s="104">
        <f t="shared" si="123"/>
        <v>387.16831688969853</v>
      </c>
      <c r="Q260" s="104">
        <f t="shared" si="124"/>
        <v>129.2077720741629</v>
      </c>
      <c r="R260" s="140">
        <f t="shared" si="125"/>
        <v>1133.0530561599855</v>
      </c>
      <c r="S260" s="138">
        <f t="shared" si="126"/>
        <v>123.33200000000001</v>
      </c>
      <c r="T260" s="104">
        <f t="shared" si="112"/>
        <v>15.874411324213858</v>
      </c>
      <c r="U260" s="139">
        <f t="shared" si="127"/>
        <v>139.20641132421386</v>
      </c>
      <c r="V260" s="104"/>
      <c r="W260" s="104">
        <f t="shared" si="128"/>
        <v>0</v>
      </c>
      <c r="X260" s="139">
        <f t="shared" si="129"/>
        <v>0</v>
      </c>
      <c r="Y260" s="138">
        <v>0</v>
      </c>
      <c r="Z260" s="141">
        <v>0</v>
      </c>
      <c r="AA260" s="104">
        <f t="shared" si="113"/>
        <v>0</v>
      </c>
      <c r="AB260" s="139">
        <f t="shared" si="114"/>
        <v>0</v>
      </c>
      <c r="AC260" s="138">
        <v>0</v>
      </c>
      <c r="AD260" s="104">
        <f t="shared" si="130"/>
        <v>0</v>
      </c>
      <c r="AE260" s="139">
        <f t="shared" si="131"/>
        <v>0</v>
      </c>
      <c r="AF260" s="142">
        <v>28.6</v>
      </c>
      <c r="AG260" s="104">
        <f t="shared" si="132"/>
        <v>3.6811870712590111</v>
      </c>
      <c r="AH260" s="139">
        <f t="shared" si="133"/>
        <v>32.281187071259012</v>
      </c>
      <c r="AI260" s="142">
        <v>0</v>
      </c>
      <c r="AJ260" s="104">
        <f t="shared" si="134"/>
        <v>0</v>
      </c>
      <c r="AK260" s="139">
        <f t="shared" si="135"/>
        <v>0</v>
      </c>
      <c r="AL260" s="143">
        <v>2422.5</v>
      </c>
      <c r="AM260" s="143"/>
      <c r="AN260" s="104">
        <f t="shared" si="136"/>
        <v>311.80684196241094</v>
      </c>
      <c r="AO260" s="148">
        <f t="shared" si="137"/>
        <v>2734.306841962411</v>
      </c>
      <c r="AP260" s="272">
        <f t="shared" si="138"/>
        <v>1064.4367908496306</v>
      </c>
      <c r="AQ260" s="669">
        <v>199.41</v>
      </c>
      <c r="AR260" s="725">
        <v>636.43613364373812</v>
      </c>
      <c r="AS260" s="725">
        <v>408.06883054696567</v>
      </c>
      <c r="AT260" s="725">
        <v>19.931826658926962</v>
      </c>
      <c r="AU260" s="401">
        <v>0</v>
      </c>
      <c r="AV260" s="786"/>
      <c r="AW260" s="246"/>
      <c r="AX260" s="713">
        <f t="shared" si="139"/>
        <v>70.221200659646684</v>
      </c>
      <c r="AY260" s="714">
        <v>47.181031746451836</v>
      </c>
      <c r="AZ260" s="715"/>
      <c r="BA260" s="716">
        <v>0</v>
      </c>
      <c r="BC260" s="712">
        <v>0</v>
      </c>
      <c r="BD260" s="712">
        <v>70.221200659646684</v>
      </c>
      <c r="BE260" s="712"/>
      <c r="BF260" s="712"/>
      <c r="BG260" s="712">
        <v>0</v>
      </c>
      <c r="BH260" s="712">
        <v>0</v>
      </c>
      <c r="BI260" s="134">
        <f t="shared" si="144"/>
        <v>70.221200659646684</v>
      </c>
      <c r="BJ260" s="123">
        <v>560.6</v>
      </c>
      <c r="BK260" s="792"/>
      <c r="BL260" s="104"/>
      <c r="BM260" s="672"/>
      <c r="BO260" s="562"/>
      <c r="BS260" s="879"/>
      <c r="BT260" s="774"/>
      <c r="BU260" s="774">
        <v>652.74710169586581</v>
      </c>
      <c r="BV260" s="774">
        <v>0</v>
      </c>
      <c r="BW260" s="774">
        <f t="shared" si="140"/>
        <v>652.74710169586581</v>
      </c>
    </row>
    <row r="261" spans="1:75" ht="15" thickBot="1" x14ac:dyDescent="0.35">
      <c r="A261" s="209" t="s">
        <v>221</v>
      </c>
      <c r="B261" s="227">
        <v>4</v>
      </c>
      <c r="C261" s="39">
        <f>'[3]побудинковий звіт'!E261</f>
        <v>2613.6000000000004</v>
      </c>
      <c r="D261" s="205">
        <f t="shared" si="115"/>
        <v>930.43182536698748</v>
      </c>
      <c r="E261" s="104">
        <f t="shared" si="116"/>
        <v>204.69517252330064</v>
      </c>
      <c r="F261" s="104">
        <f t="shared" si="117"/>
        <v>78.702657124568518</v>
      </c>
      <c r="G261" s="104">
        <f t="shared" si="118"/>
        <v>0</v>
      </c>
      <c r="H261" s="104">
        <f t="shared" si="119"/>
        <v>777.35224382096897</v>
      </c>
      <c r="I261" s="104">
        <f t="shared" si="120"/>
        <v>256.29066652165761</v>
      </c>
      <c r="J261" s="672">
        <f t="shared" si="108"/>
        <v>0</v>
      </c>
      <c r="K261" s="139">
        <f t="shared" si="121"/>
        <v>2247.4725653574833</v>
      </c>
      <c r="L261" s="138">
        <f t="shared" si="109"/>
        <v>584.35043853303432</v>
      </c>
      <c r="M261" s="104">
        <f t="shared" si="110"/>
        <v>128.55649138829429</v>
      </c>
      <c r="N261" s="29">
        <f t="shared" si="122"/>
        <v>52.879650724318218</v>
      </c>
      <c r="O261" s="104">
        <f t="shared" si="111"/>
        <v>4.70528870435888</v>
      </c>
      <c r="P261" s="104">
        <f t="shared" si="123"/>
        <v>488.21000334146402</v>
      </c>
      <c r="Q261" s="104">
        <f t="shared" si="124"/>
        <v>162.01108602522183</v>
      </c>
      <c r="R261" s="140">
        <f t="shared" si="125"/>
        <v>1420.7129587166917</v>
      </c>
      <c r="S261" s="138">
        <f t="shared" si="126"/>
        <v>73.282000000000011</v>
      </c>
      <c r="T261" s="104">
        <f t="shared" si="112"/>
        <v>9.4323339495105891</v>
      </c>
      <c r="U261" s="139">
        <f t="shared" si="127"/>
        <v>82.714333949510603</v>
      </c>
      <c r="V261" s="104"/>
      <c r="W261" s="104">
        <f t="shared" si="128"/>
        <v>0</v>
      </c>
      <c r="X261" s="139">
        <f t="shared" si="129"/>
        <v>0</v>
      </c>
      <c r="Y261" s="138">
        <v>0</v>
      </c>
      <c r="Z261" s="141">
        <v>0</v>
      </c>
      <c r="AA261" s="104">
        <f t="shared" si="113"/>
        <v>0</v>
      </c>
      <c r="AB261" s="139">
        <f t="shared" si="114"/>
        <v>0</v>
      </c>
      <c r="AC261" s="138">
        <v>0</v>
      </c>
      <c r="AD261" s="104">
        <f t="shared" si="130"/>
        <v>0</v>
      </c>
      <c r="AE261" s="139">
        <f t="shared" si="131"/>
        <v>0</v>
      </c>
      <c r="AF261" s="142">
        <v>264</v>
      </c>
      <c r="AG261" s="104">
        <f t="shared" si="132"/>
        <v>33.980188350083175</v>
      </c>
      <c r="AH261" s="139">
        <f t="shared" si="133"/>
        <v>297.98018835008315</v>
      </c>
      <c r="AI261" s="142">
        <v>0</v>
      </c>
      <c r="AJ261" s="104">
        <f t="shared" si="134"/>
        <v>0</v>
      </c>
      <c r="AK261" s="139">
        <f t="shared" si="135"/>
        <v>0</v>
      </c>
      <c r="AL261" s="143"/>
      <c r="AM261" s="143"/>
      <c r="AN261" s="104">
        <f t="shared" si="136"/>
        <v>0</v>
      </c>
      <c r="AO261" s="148">
        <f t="shared" si="137"/>
        <v>0</v>
      </c>
      <c r="AP261" s="272">
        <f t="shared" si="138"/>
        <v>1345.1876847080785</v>
      </c>
      <c r="AQ261" s="669">
        <v>53.21</v>
      </c>
      <c r="AR261" s="725">
        <v>805.48907516465556</v>
      </c>
      <c r="AS261" s="725">
        <v>527.86244531236389</v>
      </c>
      <c r="AT261" s="725">
        <v>11.836164231059049</v>
      </c>
      <c r="AU261" s="401">
        <v>0</v>
      </c>
      <c r="AV261" s="786"/>
      <c r="AW261" s="246"/>
      <c r="AX261" s="713">
        <f t="shared" si="139"/>
        <v>78.702657124568518</v>
      </c>
      <c r="AY261" s="714">
        <v>52.879650724318218</v>
      </c>
      <c r="AZ261" s="715"/>
      <c r="BA261" s="716">
        <v>0</v>
      </c>
      <c r="BC261" s="712">
        <v>0</v>
      </c>
      <c r="BD261" s="712">
        <v>78.702657124568518</v>
      </c>
      <c r="BE261" s="712"/>
      <c r="BF261" s="712"/>
      <c r="BG261" s="712">
        <v>0</v>
      </c>
      <c r="BH261" s="712">
        <v>0</v>
      </c>
      <c r="BI261" s="134">
        <f t="shared" si="144"/>
        <v>78.702657124568518</v>
      </c>
      <c r="BJ261" s="123">
        <v>333.1</v>
      </c>
      <c r="BK261" s="792"/>
      <c r="BL261" s="104"/>
      <c r="BM261" s="672"/>
      <c r="BO261" s="562"/>
      <c r="BS261" s="879"/>
      <c r="BT261" s="774"/>
      <c r="BU261" s="774">
        <v>784.3980763495498</v>
      </c>
      <c r="BV261" s="774">
        <v>0</v>
      </c>
      <c r="BW261" s="774">
        <f t="shared" si="140"/>
        <v>784.3980763495498</v>
      </c>
    </row>
    <row r="262" spans="1:75" ht="15" thickBot="1" x14ac:dyDescent="0.35">
      <c r="A262" s="209" t="s">
        <v>289</v>
      </c>
      <c r="B262" s="227">
        <v>5</v>
      </c>
      <c r="C262" s="39">
        <f>'[3]побудинковий звіт'!E262</f>
        <v>3567.9</v>
      </c>
      <c r="D262" s="205">
        <f t="shared" si="115"/>
        <v>1683.553042207626</v>
      </c>
      <c r="E262" s="104">
        <f t="shared" si="116"/>
        <v>370.38197859460803</v>
      </c>
      <c r="F262" s="104">
        <f t="shared" si="117"/>
        <v>284.60403321012114</v>
      </c>
      <c r="G262" s="104">
        <f t="shared" si="118"/>
        <v>0</v>
      </c>
      <c r="H262" s="104">
        <f t="shared" si="119"/>
        <v>1406.565961386289</v>
      </c>
      <c r="I262" s="104">
        <f t="shared" si="120"/>
        <v>482.04308262911775</v>
      </c>
      <c r="J262" s="672">
        <f t="shared" si="108"/>
        <v>0</v>
      </c>
      <c r="K262" s="139">
        <f t="shared" si="121"/>
        <v>4227.148098027762</v>
      </c>
      <c r="L262" s="138">
        <f t="shared" si="109"/>
        <v>731.65400400923886</v>
      </c>
      <c r="M262" s="104">
        <f t="shared" si="110"/>
        <v>160.96312326170602</v>
      </c>
      <c r="N262" s="29">
        <f t="shared" si="122"/>
        <v>73.299359678893524</v>
      </c>
      <c r="O262" s="104">
        <f t="shared" si="111"/>
        <v>6.4233239854155357</v>
      </c>
      <c r="P262" s="104">
        <f t="shared" si="123"/>
        <v>611.27840451163252</v>
      </c>
      <c r="Q262" s="104">
        <f t="shared" si="124"/>
        <v>203.83198952843864</v>
      </c>
      <c r="R262" s="140">
        <f t="shared" si="125"/>
        <v>1787.4502049753253</v>
      </c>
      <c r="S262" s="138">
        <f t="shared" si="126"/>
        <v>155.40799999999999</v>
      </c>
      <c r="T262" s="104">
        <f t="shared" si="112"/>
        <v>20.003004208748962</v>
      </c>
      <c r="U262" s="139">
        <f t="shared" si="127"/>
        <v>175.41100420874895</v>
      </c>
      <c r="V262" s="104"/>
      <c r="W262" s="104">
        <f t="shared" si="128"/>
        <v>0</v>
      </c>
      <c r="X262" s="139">
        <f t="shared" si="129"/>
        <v>0</v>
      </c>
      <c r="Y262" s="138">
        <v>0</v>
      </c>
      <c r="Z262" s="141">
        <v>0</v>
      </c>
      <c r="AA262" s="104">
        <f t="shared" si="113"/>
        <v>0</v>
      </c>
      <c r="AB262" s="139">
        <f t="shared" si="114"/>
        <v>0</v>
      </c>
      <c r="AC262" s="138">
        <v>0</v>
      </c>
      <c r="AD262" s="104">
        <f t="shared" si="130"/>
        <v>0</v>
      </c>
      <c r="AE262" s="139">
        <f t="shared" si="131"/>
        <v>0</v>
      </c>
      <c r="AF262" s="142">
        <v>246.4</v>
      </c>
      <c r="AG262" s="104">
        <f t="shared" si="132"/>
        <v>31.714842460077634</v>
      </c>
      <c r="AH262" s="139">
        <f t="shared" si="133"/>
        <v>278.11484246007763</v>
      </c>
      <c r="AI262" s="142">
        <v>0</v>
      </c>
      <c r="AJ262" s="104">
        <f t="shared" si="134"/>
        <v>0</v>
      </c>
      <c r="AK262" s="139">
        <f t="shared" si="135"/>
        <v>0</v>
      </c>
      <c r="AL262" s="143">
        <v>4335</v>
      </c>
      <c r="AM262" s="143"/>
      <c r="AN262" s="104">
        <f t="shared" si="136"/>
        <v>557.9701382485249</v>
      </c>
      <c r="AO262" s="148">
        <f t="shared" si="137"/>
        <v>4892.9701382485246</v>
      </c>
      <c r="AP262" s="272">
        <f t="shared" si="138"/>
        <v>2143.3638176679137</v>
      </c>
      <c r="AQ262" s="669">
        <v>86.14</v>
      </c>
      <c r="AR262" s="725">
        <v>1467.6175144359677</v>
      </c>
      <c r="AS262" s="725">
        <v>650.72278813654134</v>
      </c>
      <c r="AT262" s="725">
        <v>25.023515095404289</v>
      </c>
      <c r="AU262" s="401">
        <v>0</v>
      </c>
      <c r="AV262" s="786"/>
      <c r="AW262" s="246"/>
      <c r="AX262" s="713">
        <f t="shared" si="139"/>
        <v>109.09403321012117</v>
      </c>
      <c r="AY262" s="714">
        <v>73.299359678893524</v>
      </c>
      <c r="AZ262" s="715"/>
      <c r="BA262" s="716">
        <v>0</v>
      </c>
      <c r="BC262" s="712">
        <v>0</v>
      </c>
      <c r="BD262" s="712">
        <v>109.09403321012117</v>
      </c>
      <c r="BE262" s="712"/>
      <c r="BF262" s="712"/>
      <c r="BG262" s="712">
        <v>0</v>
      </c>
      <c r="BH262" s="712">
        <v>0</v>
      </c>
      <c r="BI262" s="134">
        <f t="shared" si="144"/>
        <v>109.09403321012117</v>
      </c>
      <c r="BJ262" s="123">
        <v>706.4</v>
      </c>
      <c r="BK262" s="792"/>
      <c r="BL262" s="104"/>
      <c r="BM262" s="672">
        <v>175.51</v>
      </c>
      <c r="BO262" s="562"/>
      <c r="BS262" s="879"/>
      <c r="BT262" s="774"/>
      <c r="BU262" s="774">
        <v>1433.8390280004605</v>
      </c>
      <c r="BV262" s="774">
        <v>0</v>
      </c>
      <c r="BW262" s="774">
        <f t="shared" si="140"/>
        <v>1433.8390280004605</v>
      </c>
    </row>
    <row r="263" spans="1:75" ht="15" thickBot="1" x14ac:dyDescent="0.35">
      <c r="A263" s="209" t="s">
        <v>222</v>
      </c>
      <c r="B263" s="227">
        <v>4</v>
      </c>
      <c r="C263" s="39">
        <f>'[3]побудинковий звіт'!E263</f>
        <v>3672.7</v>
      </c>
      <c r="D263" s="205">
        <f t="shared" si="115"/>
        <v>1632.424805453308</v>
      </c>
      <c r="E263" s="104">
        <f t="shared" si="116"/>
        <v>359.13375711517904</v>
      </c>
      <c r="F263" s="104">
        <f t="shared" si="117"/>
        <v>110.53410746930582</v>
      </c>
      <c r="G263" s="104">
        <f t="shared" si="118"/>
        <v>0</v>
      </c>
      <c r="H263" s="104">
        <f t="shared" si="119"/>
        <v>1363.8496134712739</v>
      </c>
      <c r="I263" s="104">
        <f t="shared" si="120"/>
        <v>446.11125607634654</v>
      </c>
      <c r="J263" s="672">
        <f t="shared" si="108"/>
        <v>0</v>
      </c>
      <c r="K263" s="139">
        <f t="shared" si="121"/>
        <v>3912.053539585414</v>
      </c>
      <c r="L263" s="138">
        <f t="shared" si="109"/>
        <v>847.6661977839002</v>
      </c>
      <c r="M263" s="104">
        <f t="shared" si="110"/>
        <v>186.48568576267735</v>
      </c>
      <c r="N263" s="29">
        <f t="shared" si="122"/>
        <v>74.266933413059036</v>
      </c>
      <c r="O263" s="104">
        <f t="shared" si="111"/>
        <v>6.6119964128018269</v>
      </c>
      <c r="P263" s="104">
        <f t="shared" si="123"/>
        <v>708.20365651035445</v>
      </c>
      <c r="Q263" s="104">
        <f t="shared" si="124"/>
        <v>234.67367686735361</v>
      </c>
      <c r="R263" s="140">
        <f t="shared" si="125"/>
        <v>2057.9081467501464</v>
      </c>
      <c r="S263" s="138">
        <f t="shared" si="126"/>
        <v>204.072</v>
      </c>
      <c r="T263" s="104">
        <f t="shared" si="112"/>
        <v>26.266685594614295</v>
      </c>
      <c r="U263" s="139">
        <f t="shared" si="127"/>
        <v>230.3386855946143</v>
      </c>
      <c r="V263" s="104"/>
      <c r="W263" s="104">
        <f t="shared" si="128"/>
        <v>0</v>
      </c>
      <c r="X263" s="139">
        <f t="shared" si="129"/>
        <v>0</v>
      </c>
      <c r="Y263" s="138">
        <v>0</v>
      </c>
      <c r="Z263" s="141">
        <v>0</v>
      </c>
      <c r="AA263" s="104">
        <f t="shared" si="113"/>
        <v>0</v>
      </c>
      <c r="AB263" s="139">
        <f t="shared" si="114"/>
        <v>0</v>
      </c>
      <c r="AC263" s="138">
        <v>0</v>
      </c>
      <c r="AD263" s="104">
        <f t="shared" si="130"/>
        <v>0</v>
      </c>
      <c r="AE263" s="139">
        <f t="shared" si="131"/>
        <v>0</v>
      </c>
      <c r="AF263" s="142">
        <v>992.2</v>
      </c>
      <c r="AG263" s="104">
        <f t="shared" si="132"/>
        <v>127.70887454906261</v>
      </c>
      <c r="AH263" s="139">
        <f t="shared" si="133"/>
        <v>1119.9088745490626</v>
      </c>
      <c r="AI263" s="142">
        <v>0</v>
      </c>
      <c r="AJ263" s="104">
        <f t="shared" si="134"/>
        <v>0</v>
      </c>
      <c r="AK263" s="139">
        <f t="shared" si="135"/>
        <v>0</v>
      </c>
      <c r="AL263" s="143">
        <v>3825</v>
      </c>
      <c r="AM263" s="143"/>
      <c r="AN263" s="104">
        <f t="shared" si="136"/>
        <v>492.32659257222787</v>
      </c>
      <c r="AO263" s="148">
        <f t="shared" si="137"/>
        <v>4317.326592572228</v>
      </c>
      <c r="AP263" s="272">
        <f t="shared" si="138"/>
        <v>2207.1347552650045</v>
      </c>
      <c r="AQ263" s="669">
        <v>82.33</v>
      </c>
      <c r="AR263" s="725">
        <v>1424.2410700144051</v>
      </c>
      <c r="AS263" s="725">
        <v>749.9353017608521</v>
      </c>
      <c r="AT263" s="725">
        <v>32.958383489747256</v>
      </c>
      <c r="AU263" s="401">
        <v>0</v>
      </c>
      <c r="AV263" s="786"/>
      <c r="AW263" s="246"/>
      <c r="AX263" s="713">
        <f t="shared" si="139"/>
        <v>110.53410746930582</v>
      </c>
      <c r="AY263" s="714">
        <v>74.266933413059036</v>
      </c>
      <c r="AZ263" s="715"/>
      <c r="BA263" s="716">
        <v>0</v>
      </c>
      <c r="BC263" s="712">
        <v>0</v>
      </c>
      <c r="BD263" s="712">
        <v>110.53410746930582</v>
      </c>
      <c r="BE263" s="712"/>
      <c r="BF263" s="712"/>
      <c r="BG263" s="712">
        <v>0</v>
      </c>
      <c r="BH263" s="712">
        <v>0</v>
      </c>
      <c r="BI263" s="134">
        <f t="shared" si="144"/>
        <v>110.53410746930582</v>
      </c>
      <c r="BJ263" s="123">
        <v>927.6</v>
      </c>
      <c r="BK263" s="792"/>
      <c r="BL263" s="104"/>
      <c r="BM263" s="672"/>
      <c r="BO263" s="562"/>
      <c r="BS263" s="879"/>
      <c r="BT263" s="774"/>
      <c r="BU263" s="774">
        <v>1386.9680572720633</v>
      </c>
      <c r="BV263" s="774">
        <v>0</v>
      </c>
      <c r="BW263" s="774">
        <f t="shared" si="140"/>
        <v>1386.9680572720633</v>
      </c>
    </row>
    <row r="264" spans="1:75" ht="15" thickBot="1" x14ac:dyDescent="0.35">
      <c r="A264" s="209" t="s">
        <v>197</v>
      </c>
      <c r="B264" s="227">
        <v>3</v>
      </c>
      <c r="C264" s="39">
        <f>'[3]побудинковий звіт'!E264</f>
        <v>1366.1</v>
      </c>
      <c r="D264" s="205">
        <f t="shared" si="115"/>
        <v>890.0577230051498</v>
      </c>
      <c r="E264" s="104">
        <f t="shared" si="116"/>
        <v>195.81286258600881</v>
      </c>
      <c r="F264" s="104">
        <f t="shared" si="117"/>
        <v>41.768268481361659</v>
      </c>
      <c r="G264" s="104">
        <f t="shared" si="118"/>
        <v>0</v>
      </c>
      <c r="H264" s="104">
        <f t="shared" si="119"/>
        <v>743.62070303789983</v>
      </c>
      <c r="I264" s="104">
        <f t="shared" si="120"/>
        <v>240.85512197918675</v>
      </c>
      <c r="J264" s="672">
        <f t="shared" si="108"/>
        <v>0</v>
      </c>
      <c r="K264" s="139">
        <f t="shared" si="121"/>
        <v>2112.1146790896069</v>
      </c>
      <c r="L264" s="138">
        <f t="shared" si="109"/>
        <v>489.03758891044328</v>
      </c>
      <c r="M264" s="104">
        <f t="shared" si="110"/>
        <v>107.58776316681676</v>
      </c>
      <c r="N264" s="29">
        <f t="shared" si="122"/>
        <v>28.063746884150234</v>
      </c>
      <c r="O264" s="104">
        <f t="shared" si="111"/>
        <v>2.4594027008817969</v>
      </c>
      <c r="P264" s="104">
        <f t="shared" si="123"/>
        <v>408.57852954716645</v>
      </c>
      <c r="Q264" s="104">
        <f t="shared" si="124"/>
        <v>133.31136212034042</v>
      </c>
      <c r="R264" s="140">
        <f t="shared" si="125"/>
        <v>1169.0383933297987</v>
      </c>
      <c r="S264" s="138">
        <f t="shared" si="126"/>
        <v>75.900000000000006</v>
      </c>
      <c r="T264" s="104">
        <f t="shared" si="112"/>
        <v>9.7693041506489138</v>
      </c>
      <c r="U264" s="139">
        <f t="shared" si="127"/>
        <v>85.669304150648912</v>
      </c>
      <c r="V264" s="104"/>
      <c r="W264" s="104">
        <f t="shared" si="128"/>
        <v>0</v>
      </c>
      <c r="X264" s="139">
        <f t="shared" si="129"/>
        <v>0</v>
      </c>
      <c r="Y264" s="138">
        <v>0</v>
      </c>
      <c r="Z264" s="141">
        <v>0</v>
      </c>
      <c r="AA264" s="104">
        <f t="shared" si="113"/>
        <v>0</v>
      </c>
      <c r="AB264" s="139">
        <f t="shared" si="114"/>
        <v>0</v>
      </c>
      <c r="AC264" s="138">
        <v>0</v>
      </c>
      <c r="AD264" s="104">
        <f t="shared" si="130"/>
        <v>0</v>
      </c>
      <c r="AE264" s="139">
        <f t="shared" si="131"/>
        <v>0</v>
      </c>
      <c r="AF264" s="142">
        <v>83.6</v>
      </c>
      <c r="AG264" s="104">
        <f t="shared" si="132"/>
        <v>10.760392977526338</v>
      </c>
      <c r="AH264" s="139">
        <f t="shared" si="133"/>
        <v>94.360392977526331</v>
      </c>
      <c r="AI264" s="142">
        <v>0</v>
      </c>
      <c r="AJ264" s="104">
        <f t="shared" si="134"/>
        <v>0</v>
      </c>
      <c r="AK264" s="139">
        <f t="shared" si="135"/>
        <v>0</v>
      </c>
      <c r="AL264" s="143"/>
      <c r="AM264" s="143"/>
      <c r="AN264" s="104">
        <f t="shared" si="136"/>
        <v>0</v>
      </c>
      <c r="AO264" s="148">
        <f t="shared" si="137"/>
        <v>0</v>
      </c>
      <c r="AP264" s="272">
        <f t="shared" si="138"/>
        <v>1121.9365400200932</v>
      </c>
      <c r="AQ264" s="669">
        <v>151.16999999999999</v>
      </c>
      <c r="AR264" s="725">
        <v>670.26766233084732</v>
      </c>
      <c r="AS264" s="725">
        <v>439.44573615943898</v>
      </c>
      <c r="AT264" s="725">
        <v>12.22314152980695</v>
      </c>
      <c r="AU264" s="401">
        <v>0</v>
      </c>
      <c r="AV264" s="786"/>
      <c r="AW264" s="246"/>
      <c r="AX264" s="713">
        <f t="shared" si="139"/>
        <v>41.768268481361659</v>
      </c>
      <c r="AY264" s="714">
        <v>28.063746884150234</v>
      </c>
      <c r="AZ264" s="715"/>
      <c r="BA264" s="716">
        <v>0</v>
      </c>
      <c r="BC264" s="712">
        <v>0</v>
      </c>
      <c r="BD264" s="712">
        <v>41.768268481361659</v>
      </c>
      <c r="BE264" s="712"/>
      <c r="BF264" s="712"/>
      <c r="BG264" s="712">
        <v>0</v>
      </c>
      <c r="BH264" s="712">
        <v>0</v>
      </c>
      <c r="BI264" s="134">
        <f t="shared" si="144"/>
        <v>41.768268481361659</v>
      </c>
      <c r="BJ264" s="123">
        <v>345</v>
      </c>
      <c r="BK264" s="792"/>
      <c r="BL264" s="104"/>
      <c r="BM264" s="672"/>
      <c r="BO264" s="562" t="s">
        <v>1780</v>
      </c>
      <c r="BS264" s="879"/>
      <c r="BT264" s="774"/>
      <c r="BU264" s="774">
        <v>654.84416300987948</v>
      </c>
      <c r="BV264" s="774">
        <v>0</v>
      </c>
      <c r="BW264" s="774">
        <f t="shared" si="140"/>
        <v>654.84416300987948</v>
      </c>
    </row>
    <row r="265" spans="1:75" ht="15" thickBot="1" x14ac:dyDescent="0.35">
      <c r="A265" s="209" t="s">
        <v>223</v>
      </c>
      <c r="B265" s="227">
        <v>4</v>
      </c>
      <c r="C265" s="39">
        <f>'[3]побудинковий звіт'!E265</f>
        <v>1504.4</v>
      </c>
      <c r="D265" s="205">
        <f t="shared" si="115"/>
        <v>1272.2551893080686</v>
      </c>
      <c r="E265" s="104">
        <f t="shared" si="116"/>
        <v>279.89637539145991</v>
      </c>
      <c r="F265" s="104">
        <f t="shared" si="117"/>
        <v>46.002881748815426</v>
      </c>
      <c r="G265" s="104">
        <f t="shared" si="118"/>
        <v>0</v>
      </c>
      <c r="H265" s="104">
        <f t="shared" si="119"/>
        <v>1062.9370139305092</v>
      </c>
      <c r="I265" s="104">
        <f t="shared" si="120"/>
        <v>342.51662515330054</v>
      </c>
      <c r="J265" s="672">
        <f t="shared" ref="J265:J328" si="145">F265*$J$376*-1</f>
        <v>0</v>
      </c>
      <c r="K265" s="139">
        <f t="shared" si="121"/>
        <v>3003.6080855321538</v>
      </c>
      <c r="L265" s="138">
        <f t="shared" ref="L265:L328" si="146">(AS265+AT265+AU265)*$AS$376</f>
        <v>286.8675427056055</v>
      </c>
      <c r="M265" s="104">
        <f t="shared" ref="M265:M328" si="147">L265*$AS$379</f>
        <v>63.110562346792022</v>
      </c>
      <c r="N265" s="29">
        <f t="shared" si="122"/>
        <v>30.908947779732408</v>
      </c>
      <c r="O265" s="104">
        <f t="shared" ref="O265:O328" si="148">$O$369/$C$368*C265</f>
        <v>2.7083854938925231</v>
      </c>
      <c r="P265" s="104">
        <f t="shared" si="123"/>
        <v>239.67057222451947</v>
      </c>
      <c r="Q265" s="104">
        <f t="shared" si="124"/>
        <v>80.222334964819467</v>
      </c>
      <c r="R265" s="140">
        <f t="shared" si="125"/>
        <v>703.48834551536129</v>
      </c>
      <c r="S265" s="138">
        <f t="shared" si="126"/>
        <v>65.34</v>
      </c>
      <c r="T265" s="104">
        <f t="shared" ref="T265:T328" si="149">S265*$B$5</f>
        <v>8.4100966166455873</v>
      </c>
      <c r="U265" s="139">
        <f t="shared" si="127"/>
        <v>73.750096616645592</v>
      </c>
      <c r="V265" s="104"/>
      <c r="W265" s="104">
        <f t="shared" si="128"/>
        <v>0</v>
      </c>
      <c r="X265" s="139">
        <f t="shared" si="129"/>
        <v>0</v>
      </c>
      <c r="Y265" s="138">
        <v>0</v>
      </c>
      <c r="Z265" s="141">
        <v>0</v>
      </c>
      <c r="AA265" s="104">
        <f t="shared" ref="AA265:AA328" si="150">(Y265+Z265)*$B$5</f>
        <v>0</v>
      </c>
      <c r="AB265" s="139">
        <f t="shared" ref="AB265:AB328" si="151">Y265+Z265+AA265</f>
        <v>0</v>
      </c>
      <c r="AC265" s="138">
        <v>0</v>
      </c>
      <c r="AD265" s="104">
        <f t="shared" si="130"/>
        <v>0</v>
      </c>
      <c r="AE265" s="139">
        <f t="shared" si="131"/>
        <v>0</v>
      </c>
      <c r="AF265" s="142">
        <v>237.6</v>
      </c>
      <c r="AG265" s="104">
        <f t="shared" si="132"/>
        <v>30.58216951507486</v>
      </c>
      <c r="AH265" s="139">
        <f t="shared" si="133"/>
        <v>268.18216951507486</v>
      </c>
      <c r="AI265" s="142">
        <v>0</v>
      </c>
      <c r="AJ265" s="104">
        <f t="shared" si="134"/>
        <v>0</v>
      </c>
      <c r="AK265" s="139">
        <f t="shared" si="135"/>
        <v>0</v>
      </c>
      <c r="AL265" s="143"/>
      <c r="AM265" s="143"/>
      <c r="AN265" s="104">
        <f t="shared" si="136"/>
        <v>0</v>
      </c>
      <c r="AO265" s="148">
        <f t="shared" si="137"/>
        <v>0</v>
      </c>
      <c r="AP265" s="272">
        <f t="shared" si="138"/>
        <v>1226.8463619927345</v>
      </c>
      <c r="AQ265" s="669">
        <v>212.27</v>
      </c>
      <c r="AR265" s="725">
        <v>961.89915957422988</v>
      </c>
      <c r="AS265" s="725">
        <v>254.39117268797213</v>
      </c>
      <c r="AT265" s="725">
        <v>10.556029730532492</v>
      </c>
      <c r="AU265" s="401">
        <v>0</v>
      </c>
      <c r="AV265" s="786"/>
      <c r="AW265" s="246"/>
      <c r="AX265" s="713">
        <f t="shared" si="139"/>
        <v>46.002881748815426</v>
      </c>
      <c r="AY265" s="714">
        <v>30.908947779732408</v>
      </c>
      <c r="AZ265" s="715"/>
      <c r="BA265" s="716">
        <v>0</v>
      </c>
      <c r="BC265" s="712">
        <v>0</v>
      </c>
      <c r="BD265" s="712">
        <v>46.002881748815426</v>
      </c>
      <c r="BE265" s="712"/>
      <c r="BF265" s="712"/>
      <c r="BG265" s="712">
        <v>0</v>
      </c>
      <c r="BH265" s="712">
        <v>0</v>
      </c>
      <c r="BI265" s="134">
        <f t="shared" si="144"/>
        <v>46.002881748815426</v>
      </c>
      <c r="BJ265" s="123">
        <v>297</v>
      </c>
      <c r="BK265" s="792"/>
      <c r="BL265" s="104"/>
      <c r="BM265" s="672"/>
      <c r="BO265" s="562" t="s">
        <v>1780</v>
      </c>
      <c r="BS265" s="879"/>
      <c r="BT265" s="774"/>
      <c r="BU265" s="774">
        <v>936.72333819480298</v>
      </c>
      <c r="BV265" s="774">
        <v>0</v>
      </c>
      <c r="BW265" s="774">
        <f t="shared" si="140"/>
        <v>936.72333819480298</v>
      </c>
    </row>
    <row r="266" spans="1:75" ht="15" thickBot="1" x14ac:dyDescent="0.35">
      <c r="A266" s="209" t="s">
        <v>224</v>
      </c>
      <c r="B266" s="227">
        <v>4</v>
      </c>
      <c r="C266" s="39">
        <f>'[3]побудинковий звіт'!E266</f>
        <v>2594.3000000000002</v>
      </c>
      <c r="D266" s="205">
        <f t="shared" ref="D266:D329" si="152">(AQ266+AR266+AV266)*$AR$376</f>
        <v>1601.5468448866261</v>
      </c>
      <c r="E266" s="104">
        <f t="shared" ref="E266:E329" si="153">D266*$AR$379</f>
        <v>352.34060011748971</v>
      </c>
      <c r="F266" s="104">
        <f t="shared" ref="F266:F329" si="154">AX266*$F$375+BM266+BK266</f>
        <v>84.802334719204083</v>
      </c>
      <c r="G266" s="104">
        <f t="shared" ref="G266:G329" si="155">BL266</f>
        <v>0</v>
      </c>
      <c r="H266" s="104">
        <f t="shared" ref="H266:H329" si="156">D266*$B$4</f>
        <v>1338.0518588408816</v>
      </c>
      <c r="I266" s="104">
        <f t="shared" ref="I266:I329" si="157">(D266+E266+F266+G266+H266)*$B$5</f>
        <v>434.62998821204565</v>
      </c>
      <c r="J266" s="672">
        <f t="shared" si="145"/>
        <v>0</v>
      </c>
      <c r="K266" s="139">
        <f t="shared" ref="K266:K329" si="158">D266+E266+F266+G266+H266+I266-J266</f>
        <v>3811.371626776247</v>
      </c>
      <c r="L266" s="138">
        <f t="shared" si="146"/>
        <v>711.11707873784906</v>
      </c>
      <c r="M266" s="104">
        <f t="shared" si="147"/>
        <v>156.44502096777882</v>
      </c>
      <c r="N266" s="29">
        <f t="shared" ref="N266:N329" si="159">AY266+BA266</f>
        <v>56.977972591961858</v>
      </c>
      <c r="O266" s="104">
        <f t="shared" si="148"/>
        <v>4.6705427325215183</v>
      </c>
      <c r="P266" s="104">
        <f t="shared" ref="P266:P329" si="160">L266*$B$4</f>
        <v>594.12032317171111</v>
      </c>
      <c r="Q266" s="104">
        <f t="shared" ref="Q266:Q329" si="161">(L266+M266+N266+O266+P266)*$B$5</f>
        <v>196.07224318032894</v>
      </c>
      <c r="R266" s="140">
        <f t="shared" ref="R266:R329" si="162">SUM(L266:Q266)</f>
        <v>1719.4031813821514</v>
      </c>
      <c r="S266" s="138">
        <f t="shared" ref="S266:S329" si="163">BJ266*2.64/12</f>
        <v>0</v>
      </c>
      <c r="T266" s="104">
        <f t="shared" si="149"/>
        <v>0</v>
      </c>
      <c r="U266" s="139">
        <f t="shared" ref="U266:U329" si="164">S266+T266</f>
        <v>0</v>
      </c>
      <c r="V266" s="104"/>
      <c r="W266" s="104">
        <f t="shared" ref="W266:W329" si="165">V266*$B$5</f>
        <v>0</v>
      </c>
      <c r="X266" s="139">
        <f t="shared" ref="X266:X329" si="166">V266+W266</f>
        <v>0</v>
      </c>
      <c r="Y266" s="138">
        <v>0</v>
      </c>
      <c r="Z266" s="141">
        <v>0</v>
      </c>
      <c r="AA266" s="104">
        <f t="shared" si="150"/>
        <v>0</v>
      </c>
      <c r="AB266" s="139">
        <f t="shared" si="151"/>
        <v>0</v>
      </c>
      <c r="AC266" s="138">
        <v>0</v>
      </c>
      <c r="AD266" s="104">
        <f t="shared" ref="AD266:AD329" si="167">AC266*$B$5</f>
        <v>0</v>
      </c>
      <c r="AE266" s="139">
        <f t="shared" ref="AE266:AE329" si="168">AC266+AD266</f>
        <v>0</v>
      </c>
      <c r="AF266" s="142">
        <v>39.6</v>
      </c>
      <c r="AG266" s="104">
        <f t="shared" ref="AG266:AG329" si="169">AF266*$B$5</f>
        <v>5.0970282525124766</v>
      </c>
      <c r="AH266" s="139">
        <f t="shared" ref="AH266:AH329" si="170">AF266+AG266</f>
        <v>44.697028252512482</v>
      </c>
      <c r="AI266" s="142">
        <v>0</v>
      </c>
      <c r="AJ266" s="104">
        <f t="shared" ref="AJ266:AJ329" si="171">AI266*$B$5</f>
        <v>0</v>
      </c>
      <c r="AK266" s="139">
        <f t="shared" ref="AK266:AK329" si="172">AI266+AJ266</f>
        <v>0</v>
      </c>
      <c r="AL266" s="143"/>
      <c r="AM266" s="143"/>
      <c r="AN266" s="104">
        <f t="shared" ref="AN266:AN329" si="173">AL266*$C$5</f>
        <v>0</v>
      </c>
      <c r="AO266" s="148">
        <f t="shared" ref="AO266:AO329" si="174">AL266+AM266+AN266</f>
        <v>0</v>
      </c>
      <c r="AP266" s="272">
        <f t="shared" ref="AP266:AP329" si="175">AR266+AS266+AT266</f>
        <v>2084.1823436826671</v>
      </c>
      <c r="AQ266" s="669">
        <v>50.67</v>
      </c>
      <c r="AR266" s="725">
        <v>1427.4036826092372</v>
      </c>
      <c r="AS266" s="725">
        <v>645.5884610813531</v>
      </c>
      <c r="AT266" s="725">
        <v>11.190199992076785</v>
      </c>
      <c r="AU266" s="401">
        <v>0</v>
      </c>
      <c r="AV266" s="786"/>
      <c r="AW266" s="246"/>
      <c r="AX266" s="713">
        <f t="shared" ref="AX266:AX329" si="176">BC266+BD266+BE266+BF266+BG266</f>
        <v>84.802334719204083</v>
      </c>
      <c r="AY266" s="714">
        <v>56.977972591961858</v>
      </c>
      <c r="AZ266" s="715"/>
      <c r="BA266" s="716">
        <v>0</v>
      </c>
      <c r="BC266" s="712">
        <v>0</v>
      </c>
      <c r="BD266" s="712">
        <v>84.802334719204083</v>
      </c>
      <c r="BE266" s="712"/>
      <c r="BF266" s="712"/>
      <c r="BG266" s="712">
        <v>0</v>
      </c>
      <c r="BH266" s="712">
        <v>0</v>
      </c>
      <c r="BI266" s="134">
        <f t="shared" si="144"/>
        <v>84.802334719204083</v>
      </c>
      <c r="BJ266" s="123"/>
      <c r="BK266" s="792"/>
      <c r="BL266" s="104"/>
      <c r="BM266" s="672"/>
      <c r="BO266" s="562" t="s">
        <v>1780</v>
      </c>
      <c r="BS266" s="879"/>
      <c r="BT266" s="774"/>
      <c r="BU266" s="774">
        <v>1394.5577548238655</v>
      </c>
      <c r="BV266" s="774">
        <v>0</v>
      </c>
      <c r="BW266" s="774">
        <f t="shared" ref="BW266:BW329" si="177">BU266+BV266</f>
        <v>1394.5577548238655</v>
      </c>
    </row>
    <row r="267" spans="1:75" ht="15" thickBot="1" x14ac:dyDescent="0.35">
      <c r="A267" s="209" t="s">
        <v>290</v>
      </c>
      <c r="B267" s="227">
        <v>5</v>
      </c>
      <c r="C267" s="39">
        <f>'[3]побудинковий звіт'!E267</f>
        <v>1869.5</v>
      </c>
      <c r="D267" s="205">
        <f t="shared" si="152"/>
        <v>1101.6439218132641</v>
      </c>
      <c r="E267" s="104">
        <f t="shared" si="153"/>
        <v>242.36186519723555</v>
      </c>
      <c r="F267" s="104">
        <f t="shared" si="154"/>
        <v>230.20224702398048</v>
      </c>
      <c r="G267" s="104">
        <f t="shared" si="155"/>
        <v>0</v>
      </c>
      <c r="H267" s="104">
        <f t="shared" si="156"/>
        <v>920.3956175676808</v>
      </c>
      <c r="I267" s="104">
        <f t="shared" si="157"/>
        <v>321.0875073494193</v>
      </c>
      <c r="J267" s="672">
        <f t="shared" si="145"/>
        <v>0</v>
      </c>
      <c r="K267" s="139">
        <f t="shared" si="158"/>
        <v>2815.6911589515803</v>
      </c>
      <c r="L267" s="138">
        <f t="shared" si="146"/>
        <v>362.17583106363134</v>
      </c>
      <c r="M267" s="104">
        <f t="shared" si="147"/>
        <v>79.678307804586225</v>
      </c>
      <c r="N267" s="29">
        <f t="shared" si="159"/>
        <v>36.747258931533516</v>
      </c>
      <c r="O267" s="104">
        <f t="shared" si="148"/>
        <v>3.3656784637277797</v>
      </c>
      <c r="P267" s="104">
        <f t="shared" si="160"/>
        <v>302.58874133415605</v>
      </c>
      <c r="Q267" s="104">
        <f t="shared" si="161"/>
        <v>100.98240323151944</v>
      </c>
      <c r="R267" s="140">
        <f t="shared" si="162"/>
        <v>885.53822082915428</v>
      </c>
      <c r="S267" s="138">
        <f t="shared" si="163"/>
        <v>111.76</v>
      </c>
      <c r="T267" s="104">
        <f t="shared" si="149"/>
        <v>14.384946401535212</v>
      </c>
      <c r="U267" s="139">
        <f t="shared" si="164"/>
        <v>126.14494640153522</v>
      </c>
      <c r="V267" s="104"/>
      <c r="W267" s="104">
        <f t="shared" si="165"/>
        <v>0</v>
      </c>
      <c r="X267" s="139">
        <f t="shared" si="166"/>
        <v>0</v>
      </c>
      <c r="Y267" s="138">
        <v>0</v>
      </c>
      <c r="Z267" s="141">
        <v>0</v>
      </c>
      <c r="AA267" s="104">
        <f t="shared" si="150"/>
        <v>0</v>
      </c>
      <c r="AB267" s="139">
        <f t="shared" si="151"/>
        <v>0</v>
      </c>
      <c r="AC267" s="138">
        <v>0</v>
      </c>
      <c r="AD267" s="104">
        <f t="shared" si="167"/>
        <v>0</v>
      </c>
      <c r="AE267" s="139">
        <f t="shared" si="168"/>
        <v>0</v>
      </c>
      <c r="AF267" s="142">
        <v>169.4</v>
      </c>
      <c r="AG267" s="104">
        <f t="shared" si="169"/>
        <v>21.803954191303372</v>
      </c>
      <c r="AH267" s="139">
        <f t="shared" si="170"/>
        <v>191.20395419130338</v>
      </c>
      <c r="AI267" s="142">
        <v>0</v>
      </c>
      <c r="AJ267" s="104">
        <f t="shared" si="171"/>
        <v>0</v>
      </c>
      <c r="AK267" s="139">
        <f t="shared" si="172"/>
        <v>0</v>
      </c>
      <c r="AL267" s="143">
        <v>1593.75</v>
      </c>
      <c r="AM267" s="143"/>
      <c r="AN267" s="104">
        <f t="shared" si="173"/>
        <v>205.13608023842826</v>
      </c>
      <c r="AO267" s="148">
        <f t="shared" si="174"/>
        <v>1798.8860802384283</v>
      </c>
      <c r="AP267" s="272">
        <f t="shared" si="175"/>
        <v>1109.9923477518798</v>
      </c>
      <c r="AQ267" s="669">
        <v>241.22</v>
      </c>
      <c r="AR267" s="725">
        <v>775.491371033223</v>
      </c>
      <c r="AS267" s="725">
        <v>316.43934695174551</v>
      </c>
      <c r="AT267" s="725">
        <v>18.061629766911377</v>
      </c>
      <c r="AU267" s="401">
        <v>0</v>
      </c>
      <c r="AV267" s="786"/>
      <c r="AW267" s="246"/>
      <c r="AX267" s="713">
        <f t="shared" si="176"/>
        <v>54.692247023980478</v>
      </c>
      <c r="AY267" s="714">
        <v>36.747258931533516</v>
      </c>
      <c r="AZ267" s="715"/>
      <c r="BA267" s="716">
        <v>0</v>
      </c>
      <c r="BC267" s="712">
        <v>0</v>
      </c>
      <c r="BD267" s="712">
        <v>54.692247023980478</v>
      </c>
      <c r="BE267" s="712"/>
      <c r="BF267" s="712"/>
      <c r="BG267" s="712">
        <v>0</v>
      </c>
      <c r="BH267" s="712">
        <v>0</v>
      </c>
      <c r="BI267" s="134">
        <f t="shared" si="144"/>
        <v>54.692247023980478</v>
      </c>
      <c r="BJ267" s="123">
        <v>508</v>
      </c>
      <c r="BK267" s="792"/>
      <c r="BL267" s="104"/>
      <c r="BM267" s="672">
        <v>175.51</v>
      </c>
      <c r="BO267" s="562" t="s">
        <v>1780</v>
      </c>
      <c r="BS267" s="879"/>
      <c r="BT267" s="774"/>
      <c r="BU267" s="774">
        <v>795.36609222117386</v>
      </c>
      <c r="BV267" s="774">
        <v>0</v>
      </c>
      <c r="BW267" s="774">
        <f t="shared" si="177"/>
        <v>795.36609222117386</v>
      </c>
    </row>
    <row r="268" spans="1:75" ht="15" thickBot="1" x14ac:dyDescent="0.35">
      <c r="A268" s="210" t="s">
        <v>133</v>
      </c>
      <c r="B268" s="228">
        <v>1</v>
      </c>
      <c r="C268" s="39">
        <f>'[3]побудинковий звіт'!E268</f>
        <v>275.3</v>
      </c>
      <c r="D268" s="205">
        <f t="shared" si="152"/>
        <v>89.771002393211617</v>
      </c>
      <c r="E268" s="104">
        <f t="shared" si="153"/>
        <v>19.749637019585197</v>
      </c>
      <c r="F268" s="104">
        <f t="shared" si="154"/>
        <v>0</v>
      </c>
      <c r="G268" s="104">
        <f t="shared" si="155"/>
        <v>0</v>
      </c>
      <c r="H268" s="104">
        <f t="shared" si="156"/>
        <v>75.001400680695809</v>
      </c>
      <c r="I268" s="104">
        <f t="shared" si="157"/>
        <v>23.750354837569997</v>
      </c>
      <c r="J268" s="672">
        <f t="shared" si="145"/>
        <v>0</v>
      </c>
      <c r="K268" s="139">
        <f t="shared" si="158"/>
        <v>208.27239493106262</v>
      </c>
      <c r="L268" s="138">
        <f t="shared" si="146"/>
        <v>0</v>
      </c>
      <c r="M268" s="104">
        <f t="shared" si="147"/>
        <v>0</v>
      </c>
      <c r="N268" s="29">
        <f t="shared" si="159"/>
        <v>0</v>
      </c>
      <c r="O268" s="104">
        <f t="shared" si="148"/>
        <v>0.49562518377333925</v>
      </c>
      <c r="P268" s="104">
        <f t="shared" si="160"/>
        <v>0</v>
      </c>
      <c r="Q268" s="104">
        <f t="shared" si="161"/>
        <v>6.3793322332055521E-2</v>
      </c>
      <c r="R268" s="140">
        <f t="shared" si="162"/>
        <v>0.55941850610539479</v>
      </c>
      <c r="S268" s="138">
        <f t="shared" si="163"/>
        <v>0</v>
      </c>
      <c r="T268" s="104">
        <f t="shared" si="149"/>
        <v>0</v>
      </c>
      <c r="U268" s="139">
        <f t="shared" si="164"/>
        <v>0</v>
      </c>
      <c r="V268" s="104"/>
      <c r="W268" s="104">
        <f t="shared" si="165"/>
        <v>0</v>
      </c>
      <c r="X268" s="139">
        <f t="shared" si="166"/>
        <v>0</v>
      </c>
      <c r="Y268" s="138">
        <v>0</v>
      </c>
      <c r="Z268" s="141">
        <v>0</v>
      </c>
      <c r="AA268" s="104">
        <f t="shared" si="150"/>
        <v>0</v>
      </c>
      <c r="AB268" s="139">
        <f t="shared" si="151"/>
        <v>0</v>
      </c>
      <c r="AC268" s="138">
        <v>0</v>
      </c>
      <c r="AD268" s="104">
        <f t="shared" si="167"/>
        <v>0</v>
      </c>
      <c r="AE268" s="139">
        <f t="shared" si="168"/>
        <v>0</v>
      </c>
      <c r="AF268" s="142">
        <v>0</v>
      </c>
      <c r="AG268" s="104">
        <f t="shared" si="169"/>
        <v>0</v>
      </c>
      <c r="AH268" s="139">
        <f t="shared" si="170"/>
        <v>0</v>
      </c>
      <c r="AI268" s="142">
        <v>0</v>
      </c>
      <c r="AJ268" s="104">
        <f t="shared" si="171"/>
        <v>0</v>
      </c>
      <c r="AK268" s="139">
        <f t="shared" si="172"/>
        <v>0</v>
      </c>
      <c r="AL268" s="143"/>
      <c r="AM268" s="205"/>
      <c r="AN268" s="104">
        <f t="shared" si="173"/>
        <v>0</v>
      </c>
      <c r="AO268" s="148">
        <f t="shared" si="174"/>
        <v>0</v>
      </c>
      <c r="AP268" s="272">
        <f t="shared" si="175"/>
        <v>0</v>
      </c>
      <c r="AQ268" s="669">
        <v>82.85</v>
      </c>
      <c r="AR268" s="725">
        <v>0</v>
      </c>
      <c r="AS268" s="725">
        <v>0</v>
      </c>
      <c r="AT268" s="725">
        <v>0</v>
      </c>
      <c r="AU268" s="401">
        <v>0</v>
      </c>
      <c r="AV268" s="786"/>
      <c r="AW268" s="246"/>
      <c r="AX268" s="713">
        <f t="shared" si="176"/>
        <v>0</v>
      </c>
      <c r="AY268" s="714">
        <v>0</v>
      </c>
      <c r="AZ268" s="715"/>
      <c r="BA268" s="716">
        <v>0</v>
      </c>
      <c r="BC268" s="712">
        <v>0</v>
      </c>
      <c r="BD268" s="712">
        <v>0</v>
      </c>
      <c r="BE268" s="712"/>
      <c r="BF268" s="712"/>
      <c r="BG268" s="712">
        <v>0</v>
      </c>
      <c r="BH268" s="712">
        <v>0</v>
      </c>
      <c r="BI268" s="134">
        <f>BC268+BD268+BE268+BG268+BH268</f>
        <v>0</v>
      </c>
      <c r="BJ268" s="123"/>
      <c r="BK268" s="792"/>
      <c r="BL268" s="104"/>
      <c r="BM268" s="672"/>
      <c r="BO268" s="562" t="s">
        <v>1780</v>
      </c>
      <c r="BS268" s="879"/>
      <c r="BT268" s="774"/>
      <c r="BU268" s="774">
        <v>0</v>
      </c>
      <c r="BV268" s="774">
        <v>0</v>
      </c>
      <c r="BW268" s="774">
        <f t="shared" si="177"/>
        <v>0</v>
      </c>
    </row>
    <row r="269" spans="1:75" ht="15" customHeight="1" thickBot="1" x14ac:dyDescent="0.35">
      <c r="A269" s="209" t="s">
        <v>185</v>
      </c>
      <c r="B269" s="227">
        <v>2</v>
      </c>
      <c r="C269" s="39">
        <f>'[3]побудинковий звіт'!E269</f>
        <v>304.89999999999998</v>
      </c>
      <c r="D269" s="205">
        <f t="shared" si="152"/>
        <v>0</v>
      </c>
      <c r="E269" s="104">
        <f t="shared" si="153"/>
        <v>0</v>
      </c>
      <c r="F269" s="104">
        <f t="shared" si="154"/>
        <v>0</v>
      </c>
      <c r="G269" s="104">
        <f t="shared" si="155"/>
        <v>0</v>
      </c>
      <c r="H269" s="104">
        <f t="shared" si="156"/>
        <v>0</v>
      </c>
      <c r="I269" s="104">
        <f t="shared" si="157"/>
        <v>0</v>
      </c>
      <c r="J269" s="672">
        <f t="shared" si="145"/>
        <v>0</v>
      </c>
      <c r="K269" s="139">
        <f t="shared" si="158"/>
        <v>0</v>
      </c>
      <c r="L269" s="138">
        <f t="shared" si="146"/>
        <v>0</v>
      </c>
      <c r="M269" s="104">
        <f t="shared" si="147"/>
        <v>0</v>
      </c>
      <c r="N269" s="29">
        <f t="shared" si="159"/>
        <v>0</v>
      </c>
      <c r="O269" s="104">
        <f t="shared" si="148"/>
        <v>0.54891434265343664</v>
      </c>
      <c r="P269" s="104">
        <f t="shared" si="160"/>
        <v>0</v>
      </c>
      <c r="Q269" s="104">
        <f t="shared" si="161"/>
        <v>7.0652321028128309E-2</v>
      </c>
      <c r="R269" s="140">
        <f t="shared" si="162"/>
        <v>0.61956666368156499</v>
      </c>
      <c r="S269" s="138">
        <f t="shared" si="163"/>
        <v>0</v>
      </c>
      <c r="T269" s="104">
        <f t="shared" si="149"/>
        <v>0</v>
      </c>
      <c r="U269" s="139">
        <f t="shared" si="164"/>
        <v>0</v>
      </c>
      <c r="V269" s="104"/>
      <c r="W269" s="104">
        <f t="shared" si="165"/>
        <v>0</v>
      </c>
      <c r="X269" s="139">
        <f t="shared" si="166"/>
        <v>0</v>
      </c>
      <c r="Y269" s="138">
        <v>0</v>
      </c>
      <c r="Z269" s="141">
        <v>0</v>
      </c>
      <c r="AA269" s="104">
        <f t="shared" si="150"/>
        <v>0</v>
      </c>
      <c r="AB269" s="139">
        <f t="shared" si="151"/>
        <v>0</v>
      </c>
      <c r="AC269" s="138">
        <v>0</v>
      </c>
      <c r="AD269" s="104">
        <f t="shared" si="167"/>
        <v>0</v>
      </c>
      <c r="AE269" s="139">
        <f t="shared" si="168"/>
        <v>0</v>
      </c>
      <c r="AF269" s="142">
        <v>22</v>
      </c>
      <c r="AG269" s="104">
        <f t="shared" si="169"/>
        <v>2.8316823625069314</v>
      </c>
      <c r="AH269" s="139">
        <f t="shared" si="170"/>
        <v>24.831682362506932</v>
      </c>
      <c r="AI269" s="142">
        <v>0</v>
      </c>
      <c r="AJ269" s="104">
        <f t="shared" si="171"/>
        <v>0</v>
      </c>
      <c r="AK269" s="139">
        <f t="shared" si="172"/>
        <v>0</v>
      </c>
      <c r="AL269" s="205"/>
      <c r="AM269" s="143"/>
      <c r="AN269" s="104">
        <f t="shared" si="173"/>
        <v>0</v>
      </c>
      <c r="AO269" s="148">
        <f t="shared" si="174"/>
        <v>0</v>
      </c>
      <c r="AP269" s="272">
        <f t="shared" si="175"/>
        <v>0</v>
      </c>
      <c r="AQ269" s="669">
        <v>0</v>
      </c>
      <c r="AR269" s="726">
        <v>0</v>
      </c>
      <c r="AS269" s="726">
        <v>0</v>
      </c>
      <c r="AT269" s="726">
        <v>0</v>
      </c>
      <c r="AU269" s="401">
        <v>0</v>
      </c>
      <c r="AV269" s="786"/>
      <c r="AW269" s="246"/>
      <c r="AX269" s="713">
        <f t="shared" si="176"/>
        <v>0</v>
      </c>
      <c r="AY269" s="714">
        <v>0</v>
      </c>
      <c r="AZ269" s="715"/>
      <c r="BA269" s="716">
        <v>0</v>
      </c>
      <c r="BC269" s="712">
        <v>0</v>
      </c>
      <c r="BD269" s="712">
        <v>0</v>
      </c>
      <c r="BE269" s="712"/>
      <c r="BF269" s="712"/>
      <c r="BG269" s="712">
        <v>0</v>
      </c>
      <c r="BH269" s="712">
        <v>0</v>
      </c>
      <c r="BI269" s="134">
        <f t="shared" ref="BI269:BI274" si="178">BC269+BD269+BE269+BG269</f>
        <v>0</v>
      </c>
      <c r="BJ269" s="123"/>
      <c r="BK269" s="792"/>
      <c r="BL269" s="104"/>
      <c r="BM269" s="672"/>
      <c r="BO269" s="562" t="s">
        <v>1780</v>
      </c>
      <c r="BS269" s="879"/>
      <c r="BT269" s="774"/>
      <c r="BU269" s="774">
        <v>0</v>
      </c>
      <c r="BV269" s="774">
        <v>0</v>
      </c>
      <c r="BW269" s="774">
        <f t="shared" si="177"/>
        <v>0</v>
      </c>
    </row>
    <row r="270" spans="1:75" ht="15" thickBot="1" x14ac:dyDescent="0.35">
      <c r="A270" s="250" t="s">
        <v>291</v>
      </c>
      <c r="B270" s="227">
        <v>5</v>
      </c>
      <c r="C270" s="39">
        <f>'[3]побудинковий звіт'!E270</f>
        <v>2762.24</v>
      </c>
      <c r="D270" s="205">
        <f t="shared" si="152"/>
        <v>2342.4242297999663</v>
      </c>
      <c r="E270" s="104">
        <f t="shared" si="153"/>
        <v>515.33376091530693</v>
      </c>
      <c r="F270" s="104">
        <f t="shared" si="154"/>
        <v>204.9033099441906</v>
      </c>
      <c r="G270" s="104">
        <f t="shared" si="155"/>
        <v>0</v>
      </c>
      <c r="H270" s="104">
        <f t="shared" si="156"/>
        <v>1957.0361646834265</v>
      </c>
      <c r="I270" s="104">
        <f t="shared" si="157"/>
        <v>646.09948989691861</v>
      </c>
      <c r="J270" s="672">
        <f t="shared" si="145"/>
        <v>0</v>
      </c>
      <c r="K270" s="139">
        <f t="shared" si="158"/>
        <v>5665.7969552398081</v>
      </c>
      <c r="L270" s="138">
        <f t="shared" si="146"/>
        <v>732.27313163334964</v>
      </c>
      <c r="M270" s="104">
        <f t="shared" si="147"/>
        <v>161.09933069790998</v>
      </c>
      <c r="N270" s="29">
        <f t="shared" si="159"/>
        <v>53.797368930267496</v>
      </c>
      <c r="O270" s="104">
        <f t="shared" si="148"/>
        <v>4.9728866967892058</v>
      </c>
      <c r="P270" s="104">
        <f t="shared" si="160"/>
        <v>611.7956699734242</v>
      </c>
      <c r="Q270" s="104">
        <f t="shared" si="161"/>
        <v>201.29894314335604</v>
      </c>
      <c r="R270" s="140">
        <f t="shared" si="162"/>
        <v>1765.2373310750968</v>
      </c>
      <c r="S270" s="138">
        <f t="shared" si="163"/>
        <v>128.91999999999999</v>
      </c>
      <c r="T270" s="104">
        <f t="shared" si="149"/>
        <v>16.593658644290617</v>
      </c>
      <c r="U270" s="139">
        <f t="shared" si="164"/>
        <v>145.51365864429062</v>
      </c>
      <c r="V270" s="104"/>
      <c r="W270" s="104">
        <f t="shared" si="165"/>
        <v>0</v>
      </c>
      <c r="X270" s="139">
        <f t="shared" si="166"/>
        <v>0</v>
      </c>
      <c r="Y270" s="138">
        <v>0</v>
      </c>
      <c r="Z270" s="141">
        <v>0</v>
      </c>
      <c r="AA270" s="104">
        <f t="shared" si="150"/>
        <v>0</v>
      </c>
      <c r="AB270" s="139">
        <f t="shared" si="151"/>
        <v>0</v>
      </c>
      <c r="AC270" s="138">
        <v>0</v>
      </c>
      <c r="AD270" s="104">
        <f t="shared" si="167"/>
        <v>0</v>
      </c>
      <c r="AE270" s="139">
        <f t="shared" si="168"/>
        <v>0</v>
      </c>
      <c r="AF270" s="142">
        <v>191.4</v>
      </c>
      <c r="AG270" s="104">
        <f t="shared" si="169"/>
        <v>24.635636553810304</v>
      </c>
      <c r="AH270" s="139">
        <f t="shared" si="170"/>
        <v>216.03563655381032</v>
      </c>
      <c r="AI270" s="142">
        <v>0</v>
      </c>
      <c r="AJ270" s="104">
        <f t="shared" si="171"/>
        <v>0</v>
      </c>
      <c r="AK270" s="139">
        <f t="shared" si="172"/>
        <v>0</v>
      </c>
      <c r="AL270" s="143"/>
      <c r="AM270" s="143"/>
      <c r="AN270" s="104">
        <f t="shared" si="173"/>
        <v>0</v>
      </c>
      <c r="AO270" s="148">
        <f t="shared" si="174"/>
        <v>0</v>
      </c>
      <c r="AP270" s="272">
        <f t="shared" si="175"/>
        <v>2341.8208271844342</v>
      </c>
      <c r="AQ270" s="669">
        <v>409.61</v>
      </c>
      <c r="AR270" s="401">
        <v>1665.5027055780531</v>
      </c>
      <c r="AS270" s="401">
        <v>655.59192338997195</v>
      </c>
      <c r="AT270" s="401">
        <v>20.726198216408878</v>
      </c>
      <c r="AU270" s="401">
        <v>0</v>
      </c>
      <c r="AV270" s="727">
        <v>86.719537186371326</v>
      </c>
      <c r="AW270" s="246"/>
      <c r="AX270" s="713">
        <f t="shared" si="176"/>
        <v>87.893309944190577</v>
      </c>
      <c r="AY270" s="714">
        <v>53.797368930267496</v>
      </c>
      <c r="AZ270" s="715"/>
      <c r="BA270" s="716">
        <v>0</v>
      </c>
      <c r="BB270" s="727"/>
      <c r="BC270" s="712">
        <v>15.817499999999999</v>
      </c>
      <c r="BD270" s="712">
        <v>72.075809944190581</v>
      </c>
      <c r="BE270" s="712"/>
      <c r="BF270" s="712"/>
      <c r="BG270" s="712">
        <v>0</v>
      </c>
      <c r="BH270" s="712">
        <v>22.825781249999999</v>
      </c>
      <c r="BI270" s="134">
        <f t="shared" si="178"/>
        <v>87.893309944190577</v>
      </c>
      <c r="BJ270" s="123">
        <v>586</v>
      </c>
      <c r="BK270" s="792"/>
      <c r="BL270" s="104"/>
      <c r="BM270" s="672">
        <v>117.01</v>
      </c>
      <c r="BO270" s="562" t="s">
        <v>1780</v>
      </c>
      <c r="BS270" s="879"/>
      <c r="BT270" s="774"/>
      <c r="BU270" s="774">
        <v>1533.4440012351381</v>
      </c>
      <c r="BV270" s="774">
        <v>0</v>
      </c>
      <c r="BW270" s="774">
        <f t="shared" si="177"/>
        <v>1533.4440012351381</v>
      </c>
    </row>
    <row r="271" spans="1:75" ht="15" thickBot="1" x14ac:dyDescent="0.35">
      <c r="A271" s="209" t="s">
        <v>422</v>
      </c>
      <c r="B271" s="227">
        <v>10</v>
      </c>
      <c r="C271" s="39">
        <f>'[3]побудинковий звіт'!E271</f>
        <v>4396.8</v>
      </c>
      <c r="D271" s="205">
        <f t="shared" si="152"/>
        <v>3379.810947524963</v>
      </c>
      <c r="E271" s="104">
        <f t="shared" si="153"/>
        <v>743.55902940753947</v>
      </c>
      <c r="F271" s="104">
        <f t="shared" si="154"/>
        <v>130.48758566198455</v>
      </c>
      <c r="G271" s="104">
        <f t="shared" si="155"/>
        <v>0</v>
      </c>
      <c r="H271" s="104">
        <f t="shared" si="156"/>
        <v>2823.7465143810246</v>
      </c>
      <c r="I271" s="104">
        <f t="shared" si="157"/>
        <v>910.97848334448656</v>
      </c>
      <c r="J271" s="672">
        <f t="shared" si="145"/>
        <v>0</v>
      </c>
      <c r="K271" s="139">
        <f t="shared" si="158"/>
        <v>7988.5825603199974</v>
      </c>
      <c r="L271" s="138">
        <f t="shared" si="146"/>
        <v>2810.6793300717291</v>
      </c>
      <c r="M271" s="104">
        <f t="shared" si="147"/>
        <v>618.34654218574076</v>
      </c>
      <c r="N271" s="29">
        <f t="shared" si="159"/>
        <v>124.18966880546168</v>
      </c>
      <c r="O271" s="104">
        <f t="shared" si="148"/>
        <v>7.9156004650004288</v>
      </c>
      <c r="P271" s="104">
        <f t="shared" si="160"/>
        <v>2348.2514509117286</v>
      </c>
      <c r="Q271" s="104">
        <f t="shared" si="161"/>
        <v>760.61338455985788</v>
      </c>
      <c r="R271" s="140">
        <f t="shared" si="162"/>
        <v>6669.9959769995185</v>
      </c>
      <c r="S271" s="138">
        <f t="shared" si="163"/>
        <v>105.16000000000001</v>
      </c>
      <c r="T271" s="104">
        <f t="shared" si="149"/>
        <v>13.535441692783133</v>
      </c>
      <c r="U271" s="139">
        <f t="shared" si="164"/>
        <v>118.69544169278315</v>
      </c>
      <c r="V271" s="104"/>
      <c r="W271" s="104">
        <f t="shared" si="165"/>
        <v>0</v>
      </c>
      <c r="X271" s="139">
        <f t="shared" si="166"/>
        <v>0</v>
      </c>
      <c r="Y271" s="138">
        <v>3189.2</v>
      </c>
      <c r="Z271" s="141">
        <v>0</v>
      </c>
      <c r="AA271" s="104">
        <f t="shared" si="150"/>
        <v>410.49097229577751</v>
      </c>
      <c r="AB271" s="139">
        <f t="shared" si="151"/>
        <v>3599.6909722957771</v>
      </c>
      <c r="AC271" s="138">
        <v>0</v>
      </c>
      <c r="AD271" s="104">
        <f t="shared" si="167"/>
        <v>0</v>
      </c>
      <c r="AE271" s="139">
        <f t="shared" si="168"/>
        <v>0</v>
      </c>
      <c r="AF271" s="142">
        <v>3135</v>
      </c>
      <c r="AG271" s="104">
        <f t="shared" si="169"/>
        <v>403.51473665723773</v>
      </c>
      <c r="AH271" s="139">
        <f t="shared" si="170"/>
        <v>3538.5147366572378</v>
      </c>
      <c r="AI271" s="142">
        <v>517</v>
      </c>
      <c r="AJ271" s="104">
        <f t="shared" si="171"/>
        <v>66.544535518912895</v>
      </c>
      <c r="AK271" s="139">
        <f t="shared" si="172"/>
        <v>583.54453551891288</v>
      </c>
      <c r="AL271" s="143"/>
      <c r="AM271" s="391"/>
      <c r="AN271" s="104">
        <f t="shared" si="173"/>
        <v>0</v>
      </c>
      <c r="AO271" s="148">
        <f t="shared" si="174"/>
        <v>0</v>
      </c>
      <c r="AP271" s="272">
        <f t="shared" si="175"/>
        <v>5117.5953826463556</v>
      </c>
      <c r="AQ271" s="669">
        <v>0</v>
      </c>
      <c r="AR271" s="726">
        <v>3119.2403954221386</v>
      </c>
      <c r="AS271" s="726">
        <v>1954.101095559269</v>
      </c>
      <c r="AT271" s="726">
        <v>44.253891664948121</v>
      </c>
      <c r="AU271" s="401">
        <v>597.55258173433253</v>
      </c>
      <c r="AV271" s="786"/>
      <c r="AW271" s="246"/>
      <c r="AX271" s="713">
        <f t="shared" si="176"/>
        <v>130.48758566198455</v>
      </c>
      <c r="AY271" s="714">
        <v>124.18966880546168</v>
      </c>
      <c r="AZ271" s="715"/>
      <c r="BA271" s="716">
        <v>0</v>
      </c>
      <c r="BC271" s="712">
        <v>0</v>
      </c>
      <c r="BD271" s="712">
        <v>130.48758566198455</v>
      </c>
      <c r="BE271" s="712"/>
      <c r="BF271" s="712"/>
      <c r="BG271" s="712">
        <v>0</v>
      </c>
      <c r="BH271" s="712">
        <v>7.2451935738741113</v>
      </c>
      <c r="BI271" s="134">
        <f t="shared" si="178"/>
        <v>130.48758566198455</v>
      </c>
      <c r="BJ271" s="123">
        <v>478</v>
      </c>
      <c r="BK271" s="792"/>
      <c r="BL271" s="104"/>
      <c r="BM271" s="672"/>
      <c r="BO271" s="562" t="s">
        <v>1780</v>
      </c>
      <c r="BS271" s="879"/>
      <c r="BT271" s="774"/>
      <c r="BU271" s="774">
        <v>3030.0877725547293</v>
      </c>
      <c r="BV271" s="774">
        <v>0</v>
      </c>
      <c r="BW271" s="774">
        <f t="shared" si="177"/>
        <v>3030.0877725547293</v>
      </c>
    </row>
    <row r="272" spans="1:75" ht="15" thickBot="1" x14ac:dyDescent="0.35">
      <c r="A272" s="209" t="s">
        <v>392</v>
      </c>
      <c r="B272" s="227">
        <v>9</v>
      </c>
      <c r="C272" s="39">
        <f>'[3]побудинковий звіт'!E272</f>
        <v>4752.1000000000004</v>
      </c>
      <c r="D272" s="205">
        <f t="shared" si="152"/>
        <v>3079.4662628597966</v>
      </c>
      <c r="E272" s="104">
        <f t="shared" si="153"/>
        <v>677.48314360070617</v>
      </c>
      <c r="F272" s="104">
        <f t="shared" si="154"/>
        <v>230.82533970234377</v>
      </c>
      <c r="G272" s="104">
        <f t="shared" si="155"/>
        <v>0</v>
      </c>
      <c r="H272" s="104">
        <f t="shared" si="156"/>
        <v>2572.8161311129329</v>
      </c>
      <c r="I272" s="104">
        <f t="shared" si="157"/>
        <v>844.43224885480458</v>
      </c>
      <c r="J272" s="672">
        <f t="shared" si="145"/>
        <v>0</v>
      </c>
      <c r="K272" s="139">
        <f t="shared" si="158"/>
        <v>7405.0231261305835</v>
      </c>
      <c r="L272" s="138">
        <f t="shared" si="146"/>
        <v>2584.3970064160053</v>
      </c>
      <c r="M272" s="104">
        <f t="shared" si="147"/>
        <v>568.56466529454076</v>
      </c>
      <c r="N272" s="29">
        <f t="shared" si="159"/>
        <v>78.132377087169402</v>
      </c>
      <c r="O272" s="104">
        <f t="shared" si="148"/>
        <v>8.555250402503761</v>
      </c>
      <c r="P272" s="104">
        <f t="shared" si="160"/>
        <v>2159.1982959839943</v>
      </c>
      <c r="Q272" s="104">
        <f t="shared" si="161"/>
        <v>694.9009778702773</v>
      </c>
      <c r="R272" s="140">
        <f t="shared" si="162"/>
        <v>6093.7485730544913</v>
      </c>
      <c r="S272" s="138">
        <f t="shared" si="163"/>
        <v>117.568</v>
      </c>
      <c r="T272" s="104">
        <f t="shared" si="149"/>
        <v>15.132510545237041</v>
      </c>
      <c r="U272" s="139">
        <f t="shared" si="164"/>
        <v>132.70051054523705</v>
      </c>
      <c r="V272" s="104"/>
      <c r="W272" s="104">
        <f t="shared" si="165"/>
        <v>0</v>
      </c>
      <c r="X272" s="139">
        <f t="shared" si="166"/>
        <v>0</v>
      </c>
      <c r="Y272" s="138">
        <v>2200</v>
      </c>
      <c r="Z272" s="141">
        <v>0</v>
      </c>
      <c r="AA272" s="104">
        <f t="shared" si="150"/>
        <v>283.16823625069316</v>
      </c>
      <c r="AB272" s="139">
        <f t="shared" si="151"/>
        <v>2483.1682362506931</v>
      </c>
      <c r="AC272" s="138">
        <v>291.67500000000001</v>
      </c>
      <c r="AD272" s="104">
        <f t="shared" si="167"/>
        <v>37.542316049282242</v>
      </c>
      <c r="AE272" s="139">
        <f t="shared" si="168"/>
        <v>329.21731604928226</v>
      </c>
      <c r="AF272" s="142">
        <v>272.8</v>
      </c>
      <c r="AG272" s="104">
        <f t="shared" si="169"/>
        <v>35.112861295085949</v>
      </c>
      <c r="AH272" s="139">
        <f t="shared" si="170"/>
        <v>307.91286129508597</v>
      </c>
      <c r="AI272" s="142">
        <v>1438.8</v>
      </c>
      <c r="AJ272" s="104">
        <f t="shared" si="171"/>
        <v>185.1920265079533</v>
      </c>
      <c r="AK272" s="139">
        <f t="shared" si="172"/>
        <v>1623.9920265079531</v>
      </c>
      <c r="AL272" s="143"/>
      <c r="AM272" s="391"/>
      <c r="AN272" s="104">
        <f t="shared" si="173"/>
        <v>0</v>
      </c>
      <c r="AO272" s="148">
        <f t="shared" si="174"/>
        <v>0</v>
      </c>
      <c r="AP272" s="272">
        <f t="shared" si="175"/>
        <v>4565.0998042827059</v>
      </c>
      <c r="AQ272" s="669">
        <v>0</v>
      </c>
      <c r="AR272" s="726">
        <v>2842.0511420871362</v>
      </c>
      <c r="AS272" s="726">
        <v>1675.9245971600324</v>
      </c>
      <c r="AT272" s="726">
        <v>47.124065035537924</v>
      </c>
      <c r="AU272" s="401">
        <v>663.86743967718019</v>
      </c>
      <c r="AV272" s="786"/>
      <c r="AW272" s="246"/>
      <c r="AX272" s="713">
        <f t="shared" si="176"/>
        <v>230.82533970234377</v>
      </c>
      <c r="AY272" s="714">
        <v>78.132377087169402</v>
      </c>
      <c r="AZ272" s="715"/>
      <c r="BA272" s="716">
        <v>0</v>
      </c>
      <c r="BC272" s="712">
        <v>86</v>
      </c>
      <c r="BD272" s="712">
        <v>144.82533970234377</v>
      </c>
      <c r="BE272" s="712"/>
      <c r="BF272" s="712"/>
      <c r="BG272" s="712">
        <v>0</v>
      </c>
      <c r="BH272" s="712">
        <v>15.033399573826227</v>
      </c>
      <c r="BI272" s="134">
        <f t="shared" si="178"/>
        <v>230.82533970234377</v>
      </c>
      <c r="BJ272" s="123">
        <v>534.4</v>
      </c>
      <c r="BK272" s="792"/>
      <c r="BL272" s="104"/>
      <c r="BM272" s="672"/>
      <c r="BO272" s="562" t="s">
        <v>1780</v>
      </c>
      <c r="BS272" s="879"/>
      <c r="BT272" s="774"/>
      <c r="BU272" s="774">
        <v>2760.8221317978423</v>
      </c>
      <c r="BV272" s="774">
        <v>0</v>
      </c>
      <c r="BW272" s="774">
        <f t="shared" si="177"/>
        <v>2760.8221317978423</v>
      </c>
    </row>
    <row r="273" spans="1:75" ht="15" thickBot="1" x14ac:dyDescent="0.35">
      <c r="A273" s="209" t="s">
        <v>198</v>
      </c>
      <c r="B273" s="227">
        <v>3</v>
      </c>
      <c r="C273" s="39">
        <f>'[3]побудинковий звіт'!E273</f>
        <v>1578.7</v>
      </c>
      <c r="D273" s="205">
        <f t="shared" si="152"/>
        <v>1752.2152441929695</v>
      </c>
      <c r="E273" s="104">
        <f t="shared" si="153"/>
        <v>385.48767564627116</v>
      </c>
      <c r="F273" s="104">
        <f t="shared" si="154"/>
        <v>48.809887829896823</v>
      </c>
      <c r="G273" s="104">
        <f t="shared" si="155"/>
        <v>0</v>
      </c>
      <c r="H273" s="104">
        <f t="shared" si="156"/>
        <v>1463.9314935228783</v>
      </c>
      <c r="I273" s="104">
        <f t="shared" si="157"/>
        <v>469.85903377269869</v>
      </c>
      <c r="J273" s="672">
        <f t="shared" si="145"/>
        <v>0</v>
      </c>
      <c r="K273" s="139">
        <f t="shared" si="158"/>
        <v>4120.3033349647139</v>
      </c>
      <c r="L273" s="138">
        <f t="shared" si="146"/>
        <v>485.10708242607734</v>
      </c>
      <c r="M273" s="104">
        <f t="shared" si="147"/>
        <v>106.723055810256</v>
      </c>
      <c r="N273" s="29">
        <f t="shared" si="159"/>
        <v>25.95643688211829</v>
      </c>
      <c r="O273" s="104">
        <f t="shared" si="148"/>
        <v>2.8421484839192543</v>
      </c>
      <c r="P273" s="104">
        <f t="shared" si="160"/>
        <v>405.29469084810904</v>
      </c>
      <c r="Q273" s="104">
        <f t="shared" si="161"/>
        <v>132.04951081737784</v>
      </c>
      <c r="R273" s="140">
        <f t="shared" si="162"/>
        <v>1157.9729252678576</v>
      </c>
      <c r="S273" s="138">
        <f t="shared" si="163"/>
        <v>70.400000000000006</v>
      </c>
      <c r="T273" s="104">
        <f t="shared" si="149"/>
        <v>9.0613835600221808</v>
      </c>
      <c r="U273" s="139">
        <f t="shared" si="164"/>
        <v>79.461383560022185</v>
      </c>
      <c r="V273" s="104"/>
      <c r="W273" s="104">
        <f t="shared" si="165"/>
        <v>0</v>
      </c>
      <c r="X273" s="139">
        <f t="shared" si="166"/>
        <v>0</v>
      </c>
      <c r="Y273" s="138">
        <v>0</v>
      </c>
      <c r="Z273" s="141">
        <v>0</v>
      </c>
      <c r="AA273" s="104">
        <f t="shared" si="150"/>
        <v>0</v>
      </c>
      <c r="AB273" s="139">
        <f t="shared" si="151"/>
        <v>0</v>
      </c>
      <c r="AC273" s="138">
        <v>0</v>
      </c>
      <c r="AD273" s="104">
        <f t="shared" si="167"/>
        <v>0</v>
      </c>
      <c r="AE273" s="139">
        <f t="shared" si="168"/>
        <v>0</v>
      </c>
      <c r="AF273" s="142">
        <v>94.6</v>
      </c>
      <c r="AG273" s="104">
        <f t="shared" si="169"/>
        <v>12.176234158779804</v>
      </c>
      <c r="AH273" s="139">
        <f t="shared" si="170"/>
        <v>106.7762341587798</v>
      </c>
      <c r="AI273" s="142">
        <v>0</v>
      </c>
      <c r="AJ273" s="104">
        <f t="shared" si="171"/>
        <v>0</v>
      </c>
      <c r="AK273" s="139">
        <f t="shared" si="172"/>
        <v>0</v>
      </c>
      <c r="AL273" s="143"/>
      <c r="AM273" s="393"/>
      <c r="AN273" s="104">
        <f t="shared" si="173"/>
        <v>0</v>
      </c>
      <c r="AO273" s="148">
        <f t="shared" si="174"/>
        <v>0</v>
      </c>
      <c r="AP273" s="272">
        <f t="shared" si="175"/>
        <v>2065.164834195039</v>
      </c>
      <c r="AQ273" s="669">
        <v>0</v>
      </c>
      <c r="AR273" s="726">
        <v>1617.1261221470461</v>
      </c>
      <c r="AS273" s="726">
        <v>436.76217338843634</v>
      </c>
      <c r="AT273" s="726">
        <v>11.276538659556651</v>
      </c>
      <c r="AU273" s="401">
        <v>0</v>
      </c>
      <c r="AV273" s="786"/>
      <c r="AW273" s="246"/>
      <c r="AX273" s="713">
        <f t="shared" si="176"/>
        <v>48.809887829896823</v>
      </c>
      <c r="AY273" s="714">
        <v>25.95643688211829</v>
      </c>
      <c r="AZ273" s="715"/>
      <c r="BA273" s="716">
        <v>0</v>
      </c>
      <c r="BC273" s="712">
        <v>0</v>
      </c>
      <c r="BD273" s="712">
        <v>48.809887829896823</v>
      </c>
      <c r="BE273" s="712"/>
      <c r="BF273" s="712"/>
      <c r="BG273" s="712">
        <v>0</v>
      </c>
      <c r="BH273" s="712">
        <v>5.6915746881509328</v>
      </c>
      <c r="BI273" s="134">
        <f t="shared" si="178"/>
        <v>48.809887829896823</v>
      </c>
      <c r="BJ273" s="123">
        <v>320</v>
      </c>
      <c r="BK273" s="792"/>
      <c r="BL273" s="104"/>
      <c r="BM273" s="672"/>
      <c r="BO273" s="562"/>
      <c r="BS273" s="879"/>
      <c r="BT273" s="774"/>
      <c r="BU273" s="774">
        <v>1603.2092151500183</v>
      </c>
      <c r="BV273" s="774">
        <v>0</v>
      </c>
      <c r="BW273" s="774">
        <f t="shared" si="177"/>
        <v>1603.2092151500183</v>
      </c>
    </row>
    <row r="274" spans="1:75" ht="15" thickBot="1" x14ac:dyDescent="0.35">
      <c r="A274" s="209" t="s">
        <v>199</v>
      </c>
      <c r="B274" s="227">
        <v>3</v>
      </c>
      <c r="C274" s="39">
        <f>'[3]побудинковий звіт'!E274</f>
        <v>631.1</v>
      </c>
      <c r="D274" s="205">
        <f t="shared" si="152"/>
        <v>540.37282249691077</v>
      </c>
      <c r="E274" s="104">
        <f t="shared" si="153"/>
        <v>118.88212022872263</v>
      </c>
      <c r="F274" s="104">
        <f t="shared" si="154"/>
        <v>24.214319883820316</v>
      </c>
      <c r="G274" s="104">
        <f t="shared" si="155"/>
        <v>0</v>
      </c>
      <c r="H274" s="104">
        <f t="shared" si="156"/>
        <v>451.46781807701035</v>
      </c>
      <c r="I274" s="104">
        <f t="shared" si="157"/>
        <v>146.08096881522573</v>
      </c>
      <c r="J274" s="672">
        <f t="shared" si="145"/>
        <v>0</v>
      </c>
      <c r="K274" s="139">
        <f t="shared" si="158"/>
        <v>1281.0180495016898</v>
      </c>
      <c r="L274" s="138">
        <f t="shared" si="146"/>
        <v>170.76438451545621</v>
      </c>
      <c r="M274" s="104">
        <f t="shared" si="147"/>
        <v>37.567987768606066</v>
      </c>
      <c r="N274" s="29">
        <f t="shared" si="159"/>
        <v>11.107980463393371</v>
      </c>
      <c r="O274" s="104">
        <f t="shared" si="148"/>
        <v>1.1361752759874841</v>
      </c>
      <c r="P274" s="104">
        <f t="shared" si="160"/>
        <v>142.66932175867777</v>
      </c>
      <c r="Q274" s="104">
        <f t="shared" si="161"/>
        <v>46.754403003721549</v>
      </c>
      <c r="R274" s="140">
        <f t="shared" si="162"/>
        <v>410.00025278584246</v>
      </c>
      <c r="S274" s="138">
        <f t="shared" si="163"/>
        <v>0</v>
      </c>
      <c r="T274" s="104">
        <f t="shared" si="149"/>
        <v>0</v>
      </c>
      <c r="U274" s="139">
        <f t="shared" si="164"/>
        <v>0</v>
      </c>
      <c r="V274" s="104"/>
      <c r="W274" s="104">
        <f t="shared" si="165"/>
        <v>0</v>
      </c>
      <c r="X274" s="139">
        <f t="shared" si="166"/>
        <v>0</v>
      </c>
      <c r="Y274" s="138">
        <v>0</v>
      </c>
      <c r="Z274" s="141">
        <v>0</v>
      </c>
      <c r="AA274" s="104">
        <f t="shared" si="150"/>
        <v>0</v>
      </c>
      <c r="AB274" s="139">
        <f t="shared" si="151"/>
        <v>0</v>
      </c>
      <c r="AC274" s="138">
        <v>0</v>
      </c>
      <c r="AD274" s="104">
        <f t="shared" si="167"/>
        <v>0</v>
      </c>
      <c r="AE274" s="139">
        <f t="shared" si="168"/>
        <v>0</v>
      </c>
      <c r="AF274" s="142">
        <v>48.4</v>
      </c>
      <c r="AG274" s="104">
        <f t="shared" si="169"/>
        <v>6.229701197515249</v>
      </c>
      <c r="AH274" s="139">
        <f t="shared" si="170"/>
        <v>54.629701197515246</v>
      </c>
      <c r="AI274" s="142">
        <v>0</v>
      </c>
      <c r="AJ274" s="104">
        <f t="shared" si="171"/>
        <v>0</v>
      </c>
      <c r="AK274" s="139">
        <f t="shared" si="172"/>
        <v>0</v>
      </c>
      <c r="AL274" s="143"/>
      <c r="AM274" s="391"/>
      <c r="AN274" s="104">
        <f t="shared" si="173"/>
        <v>0</v>
      </c>
      <c r="AO274" s="148">
        <f t="shared" si="174"/>
        <v>0</v>
      </c>
      <c r="AP274" s="272">
        <f t="shared" si="175"/>
        <v>656.42794270920092</v>
      </c>
      <c r="AQ274" s="669">
        <v>0</v>
      </c>
      <c r="AR274" s="726">
        <v>498.71213588291738</v>
      </c>
      <c r="AS274" s="726">
        <v>155.26054017937156</v>
      </c>
      <c r="AT274" s="726">
        <v>2.4552666469120088</v>
      </c>
      <c r="AU274" s="401">
        <v>0</v>
      </c>
      <c r="AV274" s="786"/>
      <c r="AW274" s="246"/>
      <c r="AX274" s="713">
        <f t="shared" si="176"/>
        <v>24.214319883820316</v>
      </c>
      <c r="AY274" s="714">
        <v>11.107980463393371</v>
      </c>
      <c r="AZ274" s="715"/>
      <c r="BA274" s="716">
        <v>0</v>
      </c>
      <c r="BC274" s="712">
        <v>0</v>
      </c>
      <c r="BD274" s="712">
        <v>24.214319883820316</v>
      </c>
      <c r="BE274" s="712"/>
      <c r="BF274" s="712"/>
      <c r="BG274" s="712">
        <v>0</v>
      </c>
      <c r="BH274" s="712">
        <v>5.7619651878277116</v>
      </c>
      <c r="BI274" s="134">
        <f t="shared" si="178"/>
        <v>24.214319883820316</v>
      </c>
      <c r="BJ274" s="123">
        <v>0</v>
      </c>
      <c r="BK274" s="792"/>
      <c r="BL274" s="104"/>
      <c r="BM274" s="672"/>
      <c r="BO274" s="562"/>
      <c r="BS274" s="879"/>
      <c r="BT274" s="774"/>
      <c r="BU274" s="774">
        <v>486.17024427747339</v>
      </c>
      <c r="BV274" s="774">
        <v>0</v>
      </c>
      <c r="BW274" s="774">
        <f t="shared" si="177"/>
        <v>486.17024427747339</v>
      </c>
    </row>
    <row r="275" spans="1:75" ht="15" thickBot="1" x14ac:dyDescent="0.35">
      <c r="A275" s="210" t="s">
        <v>135</v>
      </c>
      <c r="B275" s="228">
        <v>1</v>
      </c>
      <c r="C275" s="39">
        <f>'[3]побудинковий звіт'!E275</f>
        <v>128.19999999999999</v>
      </c>
      <c r="D275" s="205">
        <f t="shared" si="152"/>
        <v>45.996126150776512</v>
      </c>
      <c r="E275" s="104">
        <f t="shared" si="153"/>
        <v>10.119156203758502</v>
      </c>
      <c r="F275" s="104">
        <f t="shared" si="154"/>
        <v>0</v>
      </c>
      <c r="G275" s="104">
        <f t="shared" si="155"/>
        <v>0</v>
      </c>
      <c r="H275" s="104">
        <f t="shared" si="156"/>
        <v>38.428599383168837</v>
      </c>
      <c r="I275" s="104">
        <f t="shared" si="157"/>
        <v>12.169011018163507</v>
      </c>
      <c r="J275" s="672">
        <f t="shared" si="145"/>
        <v>0</v>
      </c>
      <c r="K275" s="139">
        <f t="shared" si="158"/>
        <v>106.71289275586736</v>
      </c>
      <c r="L275" s="138">
        <f t="shared" si="146"/>
        <v>0</v>
      </c>
      <c r="M275" s="104">
        <f t="shared" si="147"/>
        <v>0</v>
      </c>
      <c r="N275" s="29">
        <f t="shared" si="159"/>
        <v>0</v>
      </c>
      <c r="O275" s="104">
        <f t="shared" si="148"/>
        <v>0.23079966785231415</v>
      </c>
      <c r="P275" s="104">
        <f t="shared" si="160"/>
        <v>0</v>
      </c>
      <c r="Q275" s="104">
        <f t="shared" si="161"/>
        <v>2.9706879487720727E-2</v>
      </c>
      <c r="R275" s="140">
        <f t="shared" si="162"/>
        <v>0.26050654734003487</v>
      </c>
      <c r="S275" s="138">
        <f t="shared" si="163"/>
        <v>0</v>
      </c>
      <c r="T275" s="104">
        <f t="shared" si="149"/>
        <v>0</v>
      </c>
      <c r="U275" s="139">
        <f t="shared" si="164"/>
        <v>0</v>
      </c>
      <c r="V275" s="104"/>
      <c r="W275" s="104">
        <f t="shared" si="165"/>
        <v>0</v>
      </c>
      <c r="X275" s="139">
        <f t="shared" si="166"/>
        <v>0</v>
      </c>
      <c r="Y275" s="138">
        <v>0</v>
      </c>
      <c r="Z275" s="141">
        <v>0</v>
      </c>
      <c r="AA275" s="104">
        <f t="shared" si="150"/>
        <v>0</v>
      </c>
      <c r="AB275" s="139">
        <f t="shared" si="151"/>
        <v>0</v>
      </c>
      <c r="AC275" s="138">
        <v>0</v>
      </c>
      <c r="AD275" s="104">
        <f t="shared" si="167"/>
        <v>0</v>
      </c>
      <c r="AE275" s="139">
        <f t="shared" si="168"/>
        <v>0</v>
      </c>
      <c r="AF275" s="142">
        <v>0</v>
      </c>
      <c r="AG275" s="104">
        <f t="shared" si="169"/>
        <v>0</v>
      </c>
      <c r="AH275" s="139">
        <f t="shared" si="170"/>
        <v>0</v>
      </c>
      <c r="AI275" s="142">
        <v>0</v>
      </c>
      <c r="AJ275" s="104">
        <f t="shared" si="171"/>
        <v>0</v>
      </c>
      <c r="AK275" s="139">
        <f t="shared" si="172"/>
        <v>0</v>
      </c>
      <c r="AL275" s="143"/>
      <c r="AM275" s="205"/>
      <c r="AN275" s="104">
        <f t="shared" si="173"/>
        <v>0</v>
      </c>
      <c r="AO275" s="148">
        <f t="shared" si="174"/>
        <v>0</v>
      </c>
      <c r="AP275" s="272">
        <f t="shared" si="175"/>
        <v>0</v>
      </c>
      <c r="AQ275" s="669">
        <v>42.45</v>
      </c>
      <c r="AR275" s="726">
        <v>0</v>
      </c>
      <c r="AS275" s="726">
        <v>0</v>
      </c>
      <c r="AT275" s="726">
        <v>0</v>
      </c>
      <c r="AU275" s="401">
        <v>0</v>
      </c>
      <c r="AV275" s="786"/>
      <c r="AW275" s="246"/>
      <c r="AX275" s="713">
        <f t="shared" si="176"/>
        <v>0</v>
      </c>
      <c r="AY275" s="714">
        <v>0</v>
      </c>
      <c r="AZ275" s="715"/>
      <c r="BA275" s="716">
        <v>0</v>
      </c>
      <c r="BC275" s="712">
        <v>0</v>
      </c>
      <c r="BD275" s="712">
        <v>0</v>
      </c>
      <c r="BE275" s="712"/>
      <c r="BF275" s="712"/>
      <c r="BG275" s="712">
        <v>0</v>
      </c>
      <c r="BH275" s="712">
        <v>0</v>
      </c>
      <c r="BI275" s="134">
        <f>BC275+BD275+BE275+BG275+BH275</f>
        <v>0</v>
      </c>
      <c r="BJ275" s="123"/>
      <c r="BK275" s="792"/>
      <c r="BL275" s="104"/>
      <c r="BM275" s="672"/>
      <c r="BO275" s="562"/>
      <c r="BS275" s="879"/>
      <c r="BT275" s="774"/>
      <c r="BU275" s="774">
        <v>0</v>
      </c>
      <c r="BV275" s="774">
        <v>0</v>
      </c>
      <c r="BW275" s="774">
        <f t="shared" si="177"/>
        <v>0</v>
      </c>
    </row>
    <row r="276" spans="1:75" ht="15" thickBot="1" x14ac:dyDescent="0.35">
      <c r="A276" s="209" t="s">
        <v>393</v>
      </c>
      <c r="B276" s="227">
        <v>9</v>
      </c>
      <c r="C276" s="39">
        <f>'[3]побудинковий звіт'!E276</f>
        <v>4216.5600000000004</v>
      </c>
      <c r="D276" s="205">
        <f t="shared" si="152"/>
        <v>3277.4321654295404</v>
      </c>
      <c r="E276" s="104">
        <f t="shared" si="153"/>
        <v>721.03567853711741</v>
      </c>
      <c r="F276" s="104">
        <f t="shared" si="154"/>
        <v>129.32670435364579</v>
      </c>
      <c r="G276" s="104">
        <f t="shared" si="155"/>
        <v>0</v>
      </c>
      <c r="H276" s="104">
        <f t="shared" si="156"/>
        <v>2738.2116328219759</v>
      </c>
      <c r="I276" s="104">
        <f t="shared" si="157"/>
        <v>883.74311836382572</v>
      </c>
      <c r="J276" s="672">
        <f t="shared" si="145"/>
        <v>0</v>
      </c>
      <c r="K276" s="139">
        <f t="shared" si="158"/>
        <v>7749.7492995061057</v>
      </c>
      <c r="L276" s="138">
        <f t="shared" si="146"/>
        <v>1647.5132270137674</v>
      </c>
      <c r="M276" s="104">
        <f t="shared" si="147"/>
        <v>362.45120395973316</v>
      </c>
      <c r="N276" s="29">
        <f t="shared" si="159"/>
        <v>69.317020655474607</v>
      </c>
      <c r="O276" s="104">
        <f t="shared" si="148"/>
        <v>7.5911126948467542</v>
      </c>
      <c r="P276" s="104">
        <f t="shared" si="160"/>
        <v>1376.45560784503</v>
      </c>
      <c r="Q276" s="104">
        <f t="shared" si="161"/>
        <v>445.77478639563219</v>
      </c>
      <c r="R276" s="140">
        <f t="shared" si="162"/>
        <v>3909.1029585644847</v>
      </c>
      <c r="S276" s="138">
        <f t="shared" si="163"/>
        <v>146.96</v>
      </c>
      <c r="T276" s="104">
        <f t="shared" si="149"/>
        <v>18.915638181546303</v>
      </c>
      <c r="U276" s="139">
        <f t="shared" si="164"/>
        <v>165.87563818154632</v>
      </c>
      <c r="V276" s="104"/>
      <c r="W276" s="104">
        <f t="shared" si="165"/>
        <v>0</v>
      </c>
      <c r="X276" s="139">
        <f t="shared" si="166"/>
        <v>0</v>
      </c>
      <c r="Y276" s="138">
        <v>2579.5</v>
      </c>
      <c r="Z276" s="141">
        <v>0</v>
      </c>
      <c r="AA276" s="104">
        <f t="shared" si="150"/>
        <v>332.01475700393769</v>
      </c>
      <c r="AB276" s="139">
        <f t="shared" si="151"/>
        <v>2911.5147570039376</v>
      </c>
      <c r="AC276" s="138">
        <v>118.075</v>
      </c>
      <c r="AD276" s="104">
        <f t="shared" si="167"/>
        <v>15.197767952409361</v>
      </c>
      <c r="AE276" s="139">
        <f t="shared" si="168"/>
        <v>133.27276795240937</v>
      </c>
      <c r="AF276" s="142">
        <v>303.60000000000002</v>
      </c>
      <c r="AG276" s="104">
        <f t="shared" si="169"/>
        <v>39.077216602595655</v>
      </c>
      <c r="AH276" s="139">
        <f t="shared" si="170"/>
        <v>342.67721660259565</v>
      </c>
      <c r="AI276" s="142">
        <v>616</v>
      </c>
      <c r="AJ276" s="104">
        <f t="shared" si="171"/>
        <v>79.287106150194077</v>
      </c>
      <c r="AK276" s="139">
        <f t="shared" si="172"/>
        <v>695.28710615019406</v>
      </c>
      <c r="AL276" s="143"/>
      <c r="AM276" s="143"/>
      <c r="AN276" s="104">
        <f t="shared" si="173"/>
        <v>0</v>
      </c>
      <c r="AO276" s="148">
        <f t="shared" si="174"/>
        <v>0</v>
      </c>
      <c r="AP276" s="272">
        <f t="shared" si="175"/>
        <v>4546.3768240481559</v>
      </c>
      <c r="AQ276" s="669">
        <v>0</v>
      </c>
      <c r="AR276" s="726">
        <v>3024.7546275184577</v>
      </c>
      <c r="AS276" s="726">
        <v>1469.5257056375347</v>
      </c>
      <c r="AT276" s="726">
        <v>52.096490892163246</v>
      </c>
      <c r="AU276" s="401">
        <v>0</v>
      </c>
      <c r="AV276" s="786"/>
      <c r="AW276" s="246"/>
      <c r="AX276" s="713">
        <f t="shared" si="176"/>
        <v>129.32670435364579</v>
      </c>
      <c r="AY276" s="714">
        <v>69.317020655474607</v>
      </c>
      <c r="AZ276" s="715"/>
      <c r="BA276" s="716">
        <v>0</v>
      </c>
      <c r="BC276" s="712">
        <v>0</v>
      </c>
      <c r="BD276" s="712">
        <v>129.32670435364579</v>
      </c>
      <c r="BE276" s="712"/>
      <c r="BF276" s="712"/>
      <c r="BG276" s="712">
        <v>0</v>
      </c>
      <c r="BH276" s="712">
        <v>14.178657792036777</v>
      </c>
      <c r="BI276" s="134">
        <f>BC276+BD276+BE276+BG276</f>
        <v>129.32670435364579</v>
      </c>
      <c r="BJ276" s="123">
        <v>668</v>
      </c>
      <c r="BK276" s="792"/>
      <c r="BL276" s="104"/>
      <c r="BM276" s="672"/>
      <c r="BO276" s="562"/>
      <c r="BS276" s="879"/>
      <c r="BT276" s="774"/>
      <c r="BU276" s="774">
        <v>3000.7906657581907</v>
      </c>
      <c r="BV276" s="774">
        <v>0</v>
      </c>
      <c r="BW276" s="774">
        <f t="shared" si="177"/>
        <v>3000.7906657581907</v>
      </c>
    </row>
    <row r="277" spans="1:75" ht="15" thickBot="1" x14ac:dyDescent="0.35">
      <c r="A277" s="210" t="s">
        <v>136</v>
      </c>
      <c r="B277" s="228">
        <v>1</v>
      </c>
      <c r="C277" s="39">
        <f>'[3]побудинковий звіт'!E277</f>
        <v>172.4</v>
      </c>
      <c r="D277" s="205">
        <f t="shared" si="152"/>
        <v>76.660210251294174</v>
      </c>
      <c r="E277" s="104">
        <f t="shared" si="153"/>
        <v>16.865260339597501</v>
      </c>
      <c r="F277" s="104">
        <f t="shared" si="154"/>
        <v>0</v>
      </c>
      <c r="G277" s="104">
        <f t="shared" si="155"/>
        <v>0</v>
      </c>
      <c r="H277" s="104">
        <f t="shared" si="156"/>
        <v>64.047665638614717</v>
      </c>
      <c r="I277" s="104">
        <f t="shared" si="157"/>
        <v>20.281685030272509</v>
      </c>
      <c r="J277" s="672">
        <f t="shared" si="145"/>
        <v>0</v>
      </c>
      <c r="K277" s="139">
        <f t="shared" si="158"/>
        <v>177.8548212597789</v>
      </c>
      <c r="L277" s="138">
        <f t="shared" si="146"/>
        <v>0</v>
      </c>
      <c r="M277" s="104">
        <f t="shared" si="147"/>
        <v>0</v>
      </c>
      <c r="N277" s="29">
        <f t="shared" si="159"/>
        <v>0</v>
      </c>
      <c r="O277" s="104">
        <f t="shared" si="148"/>
        <v>0.31037334428813546</v>
      </c>
      <c r="P277" s="104">
        <f t="shared" si="160"/>
        <v>0</v>
      </c>
      <c r="Q277" s="104">
        <f t="shared" si="161"/>
        <v>3.9949032946045661E-2</v>
      </c>
      <c r="R277" s="140">
        <f t="shared" si="162"/>
        <v>0.35032237723418114</v>
      </c>
      <c r="S277" s="138">
        <f t="shared" si="163"/>
        <v>0</v>
      </c>
      <c r="T277" s="104">
        <f t="shared" si="149"/>
        <v>0</v>
      </c>
      <c r="U277" s="139">
        <f t="shared" si="164"/>
        <v>0</v>
      </c>
      <c r="V277" s="104"/>
      <c r="W277" s="104">
        <f t="shared" si="165"/>
        <v>0</v>
      </c>
      <c r="X277" s="139">
        <f t="shared" si="166"/>
        <v>0</v>
      </c>
      <c r="Y277" s="138">
        <v>0</v>
      </c>
      <c r="Z277" s="141">
        <v>0</v>
      </c>
      <c r="AA277" s="104">
        <f t="shared" si="150"/>
        <v>0</v>
      </c>
      <c r="AB277" s="139">
        <f t="shared" si="151"/>
        <v>0</v>
      </c>
      <c r="AC277" s="138">
        <v>0</v>
      </c>
      <c r="AD277" s="104">
        <f t="shared" si="167"/>
        <v>0</v>
      </c>
      <c r="AE277" s="139">
        <f t="shared" si="168"/>
        <v>0</v>
      </c>
      <c r="AF277" s="142">
        <v>0</v>
      </c>
      <c r="AG277" s="104">
        <f t="shared" si="169"/>
        <v>0</v>
      </c>
      <c r="AH277" s="139">
        <f t="shared" si="170"/>
        <v>0</v>
      </c>
      <c r="AI277" s="142">
        <v>0</v>
      </c>
      <c r="AJ277" s="104">
        <f t="shared" si="171"/>
        <v>0</v>
      </c>
      <c r="AK277" s="139">
        <f t="shared" si="172"/>
        <v>0</v>
      </c>
      <c r="AL277" s="143"/>
      <c r="AM277" s="205"/>
      <c r="AN277" s="104">
        <f t="shared" si="173"/>
        <v>0</v>
      </c>
      <c r="AO277" s="148">
        <f t="shared" si="174"/>
        <v>0</v>
      </c>
      <c r="AP277" s="272">
        <f t="shared" si="175"/>
        <v>0</v>
      </c>
      <c r="AQ277" s="669">
        <v>70.75</v>
      </c>
      <c r="AR277" s="726">
        <v>0</v>
      </c>
      <c r="AS277" s="726">
        <v>0</v>
      </c>
      <c r="AT277" s="726">
        <v>0</v>
      </c>
      <c r="AU277" s="401">
        <v>0</v>
      </c>
      <c r="AV277" s="786"/>
      <c r="AW277" s="246"/>
      <c r="AX277" s="713">
        <f t="shared" si="176"/>
        <v>0</v>
      </c>
      <c r="AY277" s="714">
        <v>0</v>
      </c>
      <c r="AZ277" s="715"/>
      <c r="BA277" s="716">
        <v>0</v>
      </c>
      <c r="BC277" s="712">
        <v>0</v>
      </c>
      <c r="BD277" s="712">
        <v>0</v>
      </c>
      <c r="BE277" s="712"/>
      <c r="BF277" s="712"/>
      <c r="BG277" s="712">
        <v>0</v>
      </c>
      <c r="BH277" s="712">
        <v>0</v>
      </c>
      <c r="BI277" s="134">
        <f>BC277+BD277+BE277+BG277+BH277</f>
        <v>0</v>
      </c>
      <c r="BJ277" s="123"/>
      <c r="BK277" s="792"/>
      <c r="BL277" s="104"/>
      <c r="BM277" s="672"/>
      <c r="BO277" s="562"/>
      <c r="BS277" s="879"/>
      <c r="BT277" s="774"/>
      <c r="BU277" s="774">
        <v>0</v>
      </c>
      <c r="BV277" s="774">
        <v>0</v>
      </c>
      <c r="BW277" s="774">
        <f t="shared" si="177"/>
        <v>0</v>
      </c>
    </row>
    <row r="278" spans="1:75" ht="15" thickBot="1" x14ac:dyDescent="0.35">
      <c r="A278" s="209" t="s">
        <v>186</v>
      </c>
      <c r="B278" s="227">
        <v>2</v>
      </c>
      <c r="C278" s="39">
        <f>'[3]побудинковий звіт'!E278</f>
        <v>261.2</v>
      </c>
      <c r="D278" s="205">
        <f t="shared" si="152"/>
        <v>261.91278517988758</v>
      </c>
      <c r="E278" s="104">
        <f t="shared" si="153"/>
        <v>57.62086085921355</v>
      </c>
      <c r="F278" s="104">
        <f t="shared" si="154"/>
        <v>7.986144299342409</v>
      </c>
      <c r="G278" s="104">
        <f t="shared" si="155"/>
        <v>0</v>
      </c>
      <c r="H278" s="104">
        <f t="shared" si="156"/>
        <v>218.82150383740398</v>
      </c>
      <c r="I278" s="104">
        <f t="shared" si="157"/>
        <v>70.32113666486174</v>
      </c>
      <c r="J278" s="672">
        <f t="shared" si="145"/>
        <v>0</v>
      </c>
      <c r="K278" s="139">
        <f t="shared" si="158"/>
        <v>616.66243084070925</v>
      </c>
      <c r="L278" s="138">
        <f t="shared" si="146"/>
        <v>86.539885449187167</v>
      </c>
      <c r="M278" s="104">
        <f t="shared" si="147"/>
        <v>19.038685187644425</v>
      </c>
      <c r="N278" s="29">
        <f t="shared" si="159"/>
        <v>5.3658229164336735</v>
      </c>
      <c r="O278" s="104">
        <f t="shared" si="148"/>
        <v>0.47024082092842789</v>
      </c>
      <c r="P278" s="104">
        <f t="shared" si="160"/>
        <v>72.301884243266699</v>
      </c>
      <c r="Q278" s="104">
        <f t="shared" si="161"/>
        <v>23.646673885010859</v>
      </c>
      <c r="R278" s="140">
        <f t="shared" si="162"/>
        <v>207.36319250247126</v>
      </c>
      <c r="S278" s="138">
        <f t="shared" si="163"/>
        <v>0</v>
      </c>
      <c r="T278" s="104">
        <f t="shared" si="149"/>
        <v>0</v>
      </c>
      <c r="U278" s="139">
        <f t="shared" si="164"/>
        <v>0</v>
      </c>
      <c r="V278" s="104"/>
      <c r="W278" s="104">
        <f t="shared" si="165"/>
        <v>0</v>
      </c>
      <c r="X278" s="139">
        <f t="shared" si="166"/>
        <v>0</v>
      </c>
      <c r="Y278" s="138">
        <v>0</v>
      </c>
      <c r="Z278" s="141">
        <v>0</v>
      </c>
      <c r="AA278" s="104">
        <f t="shared" si="150"/>
        <v>0</v>
      </c>
      <c r="AB278" s="139">
        <f t="shared" si="151"/>
        <v>0</v>
      </c>
      <c r="AC278" s="138">
        <v>0</v>
      </c>
      <c r="AD278" s="104">
        <f t="shared" si="167"/>
        <v>0</v>
      </c>
      <c r="AE278" s="139">
        <f t="shared" si="168"/>
        <v>0</v>
      </c>
      <c r="AF278" s="142">
        <v>112.2</v>
      </c>
      <c r="AG278" s="104">
        <f t="shared" si="169"/>
        <v>14.441580048785351</v>
      </c>
      <c r="AH278" s="139">
        <f t="shared" si="170"/>
        <v>126.64158004878536</v>
      </c>
      <c r="AI278" s="142">
        <v>0</v>
      </c>
      <c r="AJ278" s="104">
        <f t="shared" si="171"/>
        <v>0</v>
      </c>
      <c r="AK278" s="139">
        <f t="shared" si="172"/>
        <v>0</v>
      </c>
      <c r="AL278" s="143"/>
      <c r="AM278" s="205"/>
      <c r="AN278" s="104">
        <f t="shared" si="173"/>
        <v>0</v>
      </c>
      <c r="AO278" s="148">
        <f t="shared" si="174"/>
        <v>0</v>
      </c>
      <c r="AP278" s="272">
        <f t="shared" si="175"/>
        <v>274.56744100706067</v>
      </c>
      <c r="AQ278" s="669">
        <v>47.08</v>
      </c>
      <c r="AR278" s="725">
        <v>194.64030693281615</v>
      </c>
      <c r="AS278" s="725">
        <v>78.322253648402793</v>
      </c>
      <c r="AT278" s="725">
        <v>1.6048804258417175</v>
      </c>
      <c r="AU278" s="401">
        <v>0</v>
      </c>
      <c r="AV278" s="786"/>
      <c r="AW278" s="246"/>
      <c r="AX278" s="713">
        <f t="shared" si="176"/>
        <v>7.986144299342409</v>
      </c>
      <c r="AY278" s="714">
        <v>5.3658229164336735</v>
      </c>
      <c r="AZ278" s="715"/>
      <c r="BA278" s="716">
        <v>0</v>
      </c>
      <c r="BC278" s="712">
        <v>0</v>
      </c>
      <c r="BD278" s="712">
        <v>7.986144299342409</v>
      </c>
      <c r="BE278" s="712"/>
      <c r="BF278" s="712"/>
      <c r="BG278" s="712">
        <v>0</v>
      </c>
      <c r="BH278" s="712">
        <v>0</v>
      </c>
      <c r="BI278" s="134">
        <f>BC278+BD278+BE278+BG278</f>
        <v>7.986144299342409</v>
      </c>
      <c r="BJ278" s="123"/>
      <c r="BK278" s="792"/>
      <c r="BL278" s="104"/>
      <c r="BM278" s="672"/>
      <c r="BO278" s="562"/>
      <c r="BS278" s="879"/>
      <c r="BT278" s="774"/>
      <c r="BU278" s="774">
        <v>190.4127548856863</v>
      </c>
      <c r="BV278" s="774">
        <v>0</v>
      </c>
      <c r="BW278" s="774">
        <f t="shared" si="177"/>
        <v>190.4127548856863</v>
      </c>
    </row>
    <row r="279" spans="1:75" ht="15" thickBot="1" x14ac:dyDescent="0.35">
      <c r="A279" s="210" t="s">
        <v>138</v>
      </c>
      <c r="B279" s="228">
        <v>1</v>
      </c>
      <c r="C279" s="39">
        <f>'[3]побудинковий звіт'!E279</f>
        <v>252.8</v>
      </c>
      <c r="D279" s="205">
        <f t="shared" si="152"/>
        <v>0</v>
      </c>
      <c r="E279" s="104">
        <f t="shared" si="153"/>
        <v>0</v>
      </c>
      <c r="F279" s="104">
        <f t="shared" si="154"/>
        <v>0</v>
      </c>
      <c r="G279" s="104">
        <f t="shared" si="155"/>
        <v>0</v>
      </c>
      <c r="H279" s="104">
        <f t="shared" si="156"/>
        <v>0</v>
      </c>
      <c r="I279" s="104">
        <f t="shared" si="157"/>
        <v>0</v>
      </c>
      <c r="J279" s="672">
        <f t="shared" si="145"/>
        <v>0</v>
      </c>
      <c r="K279" s="139">
        <f t="shared" si="158"/>
        <v>0</v>
      </c>
      <c r="L279" s="138">
        <f t="shared" si="146"/>
        <v>0</v>
      </c>
      <c r="M279" s="104">
        <f t="shared" si="147"/>
        <v>0</v>
      </c>
      <c r="N279" s="29">
        <f t="shared" si="159"/>
        <v>0</v>
      </c>
      <c r="O279" s="104">
        <f t="shared" si="148"/>
        <v>0.45511822178677863</v>
      </c>
      <c r="P279" s="104">
        <f t="shared" si="160"/>
        <v>0</v>
      </c>
      <c r="Q279" s="104">
        <f t="shared" si="161"/>
        <v>5.8579556431324495E-2</v>
      </c>
      <c r="R279" s="140">
        <f t="shared" si="162"/>
        <v>0.51369777821810314</v>
      </c>
      <c r="S279" s="138">
        <f t="shared" si="163"/>
        <v>0</v>
      </c>
      <c r="T279" s="104">
        <f t="shared" si="149"/>
        <v>0</v>
      </c>
      <c r="U279" s="139">
        <f t="shared" si="164"/>
        <v>0</v>
      </c>
      <c r="V279" s="104"/>
      <c r="W279" s="104">
        <f t="shared" si="165"/>
        <v>0</v>
      </c>
      <c r="X279" s="139">
        <f t="shared" si="166"/>
        <v>0</v>
      </c>
      <c r="Y279" s="138">
        <v>0</v>
      </c>
      <c r="Z279" s="141">
        <v>0</v>
      </c>
      <c r="AA279" s="104">
        <f t="shared" si="150"/>
        <v>0</v>
      </c>
      <c r="AB279" s="139">
        <f t="shared" si="151"/>
        <v>0</v>
      </c>
      <c r="AC279" s="138">
        <v>0</v>
      </c>
      <c r="AD279" s="104">
        <f t="shared" si="167"/>
        <v>0</v>
      </c>
      <c r="AE279" s="139">
        <f t="shared" si="168"/>
        <v>0</v>
      </c>
      <c r="AF279" s="142">
        <v>0</v>
      </c>
      <c r="AG279" s="104">
        <f t="shared" si="169"/>
        <v>0</v>
      </c>
      <c r="AH279" s="139">
        <f t="shared" si="170"/>
        <v>0</v>
      </c>
      <c r="AI279" s="142">
        <v>0</v>
      </c>
      <c r="AJ279" s="104">
        <f t="shared" si="171"/>
        <v>0</v>
      </c>
      <c r="AK279" s="139">
        <f t="shared" si="172"/>
        <v>0</v>
      </c>
      <c r="AL279" s="143"/>
      <c r="AM279" s="205"/>
      <c r="AN279" s="104">
        <f t="shared" si="173"/>
        <v>0</v>
      </c>
      <c r="AO279" s="148">
        <f t="shared" si="174"/>
        <v>0</v>
      </c>
      <c r="AP279" s="272">
        <f t="shared" si="175"/>
        <v>0</v>
      </c>
      <c r="AQ279" s="669">
        <v>0</v>
      </c>
      <c r="AR279" s="726">
        <v>0</v>
      </c>
      <c r="AS279" s="726">
        <v>0</v>
      </c>
      <c r="AT279" s="726">
        <v>0</v>
      </c>
      <c r="AU279" s="401">
        <v>0</v>
      </c>
      <c r="AV279" s="786"/>
      <c r="AW279" s="246"/>
      <c r="AX279" s="713">
        <f t="shared" si="176"/>
        <v>0</v>
      </c>
      <c r="AY279" s="714">
        <v>0</v>
      </c>
      <c r="AZ279" s="715"/>
      <c r="BA279" s="716">
        <v>0</v>
      </c>
      <c r="BC279" s="712">
        <v>0</v>
      </c>
      <c r="BD279" s="712">
        <v>0</v>
      </c>
      <c r="BE279" s="712"/>
      <c r="BF279" s="712"/>
      <c r="BG279" s="712">
        <v>0</v>
      </c>
      <c r="BH279" s="712">
        <v>0</v>
      </c>
      <c r="BI279" s="134">
        <f>BC279+BD279+BE279+BG279+BH279</f>
        <v>0</v>
      </c>
      <c r="BJ279" s="123"/>
      <c r="BK279" s="792"/>
      <c r="BL279" s="104"/>
      <c r="BM279" s="672"/>
      <c r="BO279" s="562"/>
      <c r="BS279" s="879"/>
      <c r="BT279" s="774"/>
      <c r="BU279" s="774">
        <v>0</v>
      </c>
      <c r="BV279" s="774">
        <v>0</v>
      </c>
      <c r="BW279" s="774">
        <f t="shared" si="177"/>
        <v>0</v>
      </c>
    </row>
    <row r="280" spans="1:75" ht="15" thickBot="1" x14ac:dyDescent="0.35">
      <c r="A280" s="209" t="s">
        <v>225</v>
      </c>
      <c r="B280" s="227">
        <v>4</v>
      </c>
      <c r="C280" s="39">
        <f>'[3]побудинковий звіт'!E280</f>
        <v>1317.9</v>
      </c>
      <c r="D280" s="205">
        <f t="shared" si="152"/>
        <v>665.19959801566949</v>
      </c>
      <c r="E280" s="104">
        <f t="shared" si="153"/>
        <v>146.34403377651154</v>
      </c>
      <c r="F280" s="104">
        <f t="shared" si="154"/>
        <v>40.462723452334401</v>
      </c>
      <c r="G280" s="104">
        <f t="shared" si="155"/>
        <v>0</v>
      </c>
      <c r="H280" s="104">
        <f t="shared" si="156"/>
        <v>555.75743005386903</v>
      </c>
      <c r="I280" s="104">
        <f t="shared" si="157"/>
        <v>181.19726733661045</v>
      </c>
      <c r="J280" s="672">
        <f t="shared" si="145"/>
        <v>0</v>
      </c>
      <c r="K280" s="139">
        <f t="shared" si="158"/>
        <v>1588.9610526349948</v>
      </c>
      <c r="L280" s="138">
        <f t="shared" si="146"/>
        <v>357.11088865233143</v>
      </c>
      <c r="M280" s="104">
        <f t="shared" si="147"/>
        <v>78.564025718796927</v>
      </c>
      <c r="N280" s="29">
        <f t="shared" si="159"/>
        <v>27.186562203707211</v>
      </c>
      <c r="O280" s="104">
        <f t="shared" si="148"/>
        <v>2.3726277867594763</v>
      </c>
      <c r="P280" s="104">
        <f t="shared" si="160"/>
        <v>298.35711012711403</v>
      </c>
      <c r="Q280" s="104">
        <f t="shared" si="161"/>
        <v>98.28398973786021</v>
      </c>
      <c r="R280" s="140">
        <f t="shared" si="162"/>
        <v>861.87520422656928</v>
      </c>
      <c r="S280" s="138">
        <f t="shared" si="163"/>
        <v>105.116</v>
      </c>
      <c r="T280" s="104">
        <f t="shared" si="149"/>
        <v>13.529778328058118</v>
      </c>
      <c r="U280" s="139">
        <f t="shared" si="164"/>
        <v>118.64577832805811</v>
      </c>
      <c r="V280" s="104"/>
      <c r="W280" s="104">
        <f t="shared" si="165"/>
        <v>0</v>
      </c>
      <c r="X280" s="139">
        <f t="shared" si="166"/>
        <v>0</v>
      </c>
      <c r="Y280" s="138">
        <v>0</v>
      </c>
      <c r="Z280" s="141">
        <v>0</v>
      </c>
      <c r="AA280" s="104">
        <f t="shared" si="150"/>
        <v>0</v>
      </c>
      <c r="AB280" s="139">
        <f t="shared" si="151"/>
        <v>0</v>
      </c>
      <c r="AC280" s="138">
        <v>0</v>
      </c>
      <c r="AD280" s="104">
        <f t="shared" si="167"/>
        <v>0</v>
      </c>
      <c r="AE280" s="139">
        <f t="shared" si="168"/>
        <v>0</v>
      </c>
      <c r="AF280" s="142">
        <v>140.80000000000001</v>
      </c>
      <c r="AG280" s="104">
        <f t="shared" si="169"/>
        <v>18.122767120044362</v>
      </c>
      <c r="AH280" s="139">
        <f t="shared" si="170"/>
        <v>158.92276712004437</v>
      </c>
      <c r="AI280" s="142">
        <v>0</v>
      </c>
      <c r="AJ280" s="104">
        <f t="shared" si="171"/>
        <v>0</v>
      </c>
      <c r="AK280" s="139">
        <f t="shared" si="172"/>
        <v>0</v>
      </c>
      <c r="AL280" s="143"/>
      <c r="AM280" s="205"/>
      <c r="AN280" s="104">
        <f t="shared" si="173"/>
        <v>0</v>
      </c>
      <c r="AO280" s="148">
        <f t="shared" si="174"/>
        <v>0</v>
      </c>
      <c r="AP280" s="272">
        <f t="shared" si="175"/>
        <v>895.76830293887519</v>
      </c>
      <c r="AQ280" s="669">
        <v>47.97</v>
      </c>
      <c r="AR280" s="725">
        <v>565.94524240978842</v>
      </c>
      <c r="AS280" s="725">
        <v>312.97807201682735</v>
      </c>
      <c r="AT280" s="725">
        <v>16.844988512259427</v>
      </c>
      <c r="AU280" s="401">
        <v>0</v>
      </c>
      <c r="AV280" s="786"/>
      <c r="AW280" s="246"/>
      <c r="AX280" s="713">
        <f t="shared" si="176"/>
        <v>40.462723452334401</v>
      </c>
      <c r="AY280" s="714">
        <v>27.186562203707211</v>
      </c>
      <c r="AZ280" s="715"/>
      <c r="BA280" s="716">
        <v>0</v>
      </c>
      <c r="BC280" s="712">
        <v>0</v>
      </c>
      <c r="BD280" s="712">
        <v>40.462723452334401</v>
      </c>
      <c r="BE280" s="712"/>
      <c r="BF280" s="712"/>
      <c r="BG280" s="712">
        <v>0</v>
      </c>
      <c r="BH280" s="712">
        <v>0</v>
      </c>
      <c r="BI280" s="134">
        <f t="shared" ref="BI280:BI303" si="179">BC280+BD280+BE280+BG280</f>
        <v>40.462723452334401</v>
      </c>
      <c r="BJ280" s="123">
        <v>477.8</v>
      </c>
      <c r="BK280" s="792"/>
      <c r="BL280" s="104"/>
      <c r="BM280" s="672"/>
      <c r="BO280" s="562"/>
      <c r="BS280" s="879"/>
      <c r="BT280" s="774"/>
      <c r="BU280" s="774">
        <v>555.4512915748918</v>
      </c>
      <c r="BV280" s="774">
        <v>0</v>
      </c>
      <c r="BW280" s="774">
        <f t="shared" si="177"/>
        <v>555.4512915748918</v>
      </c>
    </row>
    <row r="281" spans="1:75" ht="15" thickBot="1" x14ac:dyDescent="0.35">
      <c r="A281" s="250" t="s">
        <v>423</v>
      </c>
      <c r="B281" s="227">
        <v>10</v>
      </c>
      <c r="C281" s="39">
        <f>'[3]побудинковий звіт'!E281</f>
        <v>6739.25</v>
      </c>
      <c r="D281" s="205">
        <f t="shared" si="152"/>
        <v>2429.937716849251</v>
      </c>
      <c r="E281" s="104">
        <f t="shared" si="153"/>
        <v>534.58674414446864</v>
      </c>
      <c r="F281" s="104">
        <f t="shared" si="154"/>
        <v>314.58058807316968</v>
      </c>
      <c r="G281" s="104">
        <f t="shared" si="155"/>
        <v>0</v>
      </c>
      <c r="H281" s="104">
        <f t="shared" si="156"/>
        <v>2030.1514684248118</v>
      </c>
      <c r="I281" s="104">
        <f t="shared" si="157"/>
        <v>683.36945630028299</v>
      </c>
      <c r="J281" s="672">
        <f t="shared" si="145"/>
        <v>0</v>
      </c>
      <c r="K281" s="139">
        <f t="shared" si="158"/>
        <v>5992.6259737919845</v>
      </c>
      <c r="L281" s="138">
        <f t="shared" si="146"/>
        <v>2278.4385517629185</v>
      </c>
      <c r="M281" s="104">
        <f t="shared" si="147"/>
        <v>501.25412208774918</v>
      </c>
      <c r="N281" s="29">
        <f t="shared" si="159"/>
        <v>131.89629856131404</v>
      </c>
      <c r="O281" s="104">
        <f t="shared" si="148"/>
        <v>12.132735269685712</v>
      </c>
      <c r="P281" s="104">
        <f t="shared" si="160"/>
        <v>1903.5777499576764</v>
      </c>
      <c r="Q281" s="104">
        <f t="shared" si="161"/>
        <v>621.33539694257297</v>
      </c>
      <c r="R281" s="140">
        <f t="shared" si="162"/>
        <v>5448.6348545819164</v>
      </c>
      <c r="S281" s="138">
        <f t="shared" si="163"/>
        <v>48.400000000000006</v>
      </c>
      <c r="T281" s="104">
        <f t="shared" si="149"/>
        <v>6.2297011975152499</v>
      </c>
      <c r="U281" s="139">
        <f t="shared" si="164"/>
        <v>54.629701197515253</v>
      </c>
      <c r="V281" s="104"/>
      <c r="W281" s="104">
        <f t="shared" si="165"/>
        <v>0</v>
      </c>
      <c r="X281" s="139">
        <f t="shared" si="166"/>
        <v>0</v>
      </c>
      <c r="Y281" s="138">
        <v>3897.98</v>
      </c>
      <c r="Z281" s="141">
        <v>0</v>
      </c>
      <c r="AA281" s="104">
        <f t="shared" si="150"/>
        <v>501.72005524567129</v>
      </c>
      <c r="AB281" s="139">
        <f t="shared" si="151"/>
        <v>4399.7000552456711</v>
      </c>
      <c r="AC281" s="138">
        <v>0</v>
      </c>
      <c r="AD281" s="104">
        <f t="shared" si="167"/>
        <v>0</v>
      </c>
      <c r="AE281" s="139">
        <f t="shared" si="168"/>
        <v>0</v>
      </c>
      <c r="AF281" s="142">
        <v>932.8</v>
      </c>
      <c r="AG281" s="104">
        <f t="shared" si="169"/>
        <v>120.06333217029389</v>
      </c>
      <c r="AH281" s="139">
        <f t="shared" si="170"/>
        <v>1052.8633321702939</v>
      </c>
      <c r="AI281" s="142">
        <v>1399.2</v>
      </c>
      <c r="AJ281" s="104">
        <f t="shared" si="171"/>
        <v>180.09499825544086</v>
      </c>
      <c r="AK281" s="139">
        <f t="shared" si="172"/>
        <v>1579.294998255441</v>
      </c>
      <c r="AL281" s="143"/>
      <c r="AM281" s="143"/>
      <c r="AN281" s="104">
        <f t="shared" si="173"/>
        <v>0</v>
      </c>
      <c r="AO281" s="148">
        <f t="shared" si="174"/>
        <v>0</v>
      </c>
      <c r="AP281" s="272">
        <f t="shared" si="175"/>
        <v>3454.9136005443843</v>
      </c>
      <c r="AQ281" s="669">
        <v>821.7</v>
      </c>
      <c r="AR281" s="401">
        <v>1350.576823791778</v>
      </c>
      <c r="AS281" s="401">
        <v>2050.3178057387395</v>
      </c>
      <c r="AT281" s="401">
        <v>54.01897101386669</v>
      </c>
      <c r="AU281" s="401">
        <v>0</v>
      </c>
      <c r="AV281" s="727">
        <v>70.321949464028364</v>
      </c>
      <c r="AW281" s="246"/>
      <c r="AX281" s="713">
        <f t="shared" si="176"/>
        <v>197.57058807316969</v>
      </c>
      <c r="AY281" s="714">
        <v>131.89629856131404</v>
      </c>
      <c r="AZ281" s="715"/>
      <c r="BA281" s="716">
        <v>0</v>
      </c>
      <c r="BB281" s="727"/>
      <c r="BC281" s="712">
        <v>26.362500000000001</v>
      </c>
      <c r="BD281" s="712">
        <v>171.20808807316968</v>
      </c>
      <c r="BE281" s="712"/>
      <c r="BF281" s="712"/>
      <c r="BG281" s="712">
        <v>0</v>
      </c>
      <c r="BH281" s="712">
        <v>38.04296875</v>
      </c>
      <c r="BI281" s="134">
        <f t="shared" si="179"/>
        <v>197.57058807316969</v>
      </c>
      <c r="BJ281" s="123">
        <v>220</v>
      </c>
      <c r="BK281" s="792"/>
      <c r="BL281" s="104"/>
      <c r="BM281" s="672">
        <v>117.01</v>
      </c>
      <c r="BO281" s="562"/>
      <c r="BS281" s="879"/>
      <c r="BT281" s="774"/>
      <c r="BU281" s="774">
        <v>1234.8159629738655</v>
      </c>
      <c r="BV281" s="774">
        <v>0</v>
      </c>
      <c r="BW281" s="774">
        <f t="shared" si="177"/>
        <v>1234.8159629738655</v>
      </c>
    </row>
    <row r="282" spans="1:75" ht="15" thickBot="1" x14ac:dyDescent="0.35">
      <c r="A282" s="250" t="s">
        <v>394</v>
      </c>
      <c r="B282" s="227">
        <v>9</v>
      </c>
      <c r="C282" s="39">
        <f>'[3]побудинковий звіт'!E282</f>
        <v>4188.63</v>
      </c>
      <c r="D282" s="205">
        <f t="shared" si="152"/>
        <v>2488.8998645533525</v>
      </c>
      <c r="E282" s="104">
        <f t="shared" si="153"/>
        <v>547.55842747212671</v>
      </c>
      <c r="F282" s="104">
        <f t="shared" si="154"/>
        <v>136.75822851103084</v>
      </c>
      <c r="G282" s="104">
        <f t="shared" si="155"/>
        <v>0</v>
      </c>
      <c r="H282" s="104">
        <f t="shared" si="156"/>
        <v>2079.4128506869761</v>
      </c>
      <c r="I282" s="104">
        <f t="shared" si="157"/>
        <v>676.08081578542806</v>
      </c>
      <c r="J282" s="672">
        <f t="shared" si="145"/>
        <v>0</v>
      </c>
      <c r="K282" s="139">
        <f t="shared" si="158"/>
        <v>5928.7101870089136</v>
      </c>
      <c r="L282" s="138">
        <f t="shared" si="146"/>
        <v>1488.4462849130825</v>
      </c>
      <c r="M282" s="104">
        <f t="shared" si="147"/>
        <v>327.45664140979341</v>
      </c>
      <c r="N282" s="29">
        <f t="shared" si="159"/>
        <v>81.617073139055805</v>
      </c>
      <c r="O282" s="104">
        <f t="shared" si="148"/>
        <v>7.5408300527007697</v>
      </c>
      <c r="P282" s="104">
        <f t="shared" si="160"/>
        <v>1243.5592031987935</v>
      </c>
      <c r="Q282" s="104">
        <f t="shared" si="161"/>
        <v>405.26780967593658</v>
      </c>
      <c r="R282" s="140">
        <f t="shared" si="162"/>
        <v>3553.887842389362</v>
      </c>
      <c r="S282" s="138">
        <f t="shared" si="163"/>
        <v>99</v>
      </c>
      <c r="T282" s="104">
        <f t="shared" si="149"/>
        <v>12.742570631281191</v>
      </c>
      <c r="U282" s="139">
        <f t="shared" si="164"/>
        <v>111.7425706312812</v>
      </c>
      <c r="V282" s="104"/>
      <c r="W282" s="104">
        <f t="shared" si="165"/>
        <v>0</v>
      </c>
      <c r="X282" s="139">
        <f t="shared" si="166"/>
        <v>0</v>
      </c>
      <c r="Y282" s="138">
        <v>3102.43</v>
      </c>
      <c r="Z282" s="141">
        <v>0</v>
      </c>
      <c r="AA282" s="104">
        <f t="shared" si="150"/>
        <v>399.32255963238083</v>
      </c>
      <c r="AB282" s="139">
        <f t="shared" si="151"/>
        <v>3501.7525596323808</v>
      </c>
      <c r="AC282" s="138">
        <v>0</v>
      </c>
      <c r="AD282" s="104">
        <f t="shared" si="167"/>
        <v>0</v>
      </c>
      <c r="AE282" s="139">
        <f t="shared" si="168"/>
        <v>0</v>
      </c>
      <c r="AF282" s="142">
        <v>1603.8</v>
      </c>
      <c r="AG282" s="104">
        <f t="shared" si="169"/>
        <v>206.4296442267553</v>
      </c>
      <c r="AH282" s="139">
        <f t="shared" si="170"/>
        <v>1810.2296442267552</v>
      </c>
      <c r="AI282" s="142">
        <v>866.8</v>
      </c>
      <c r="AJ282" s="104">
        <f t="shared" si="171"/>
        <v>111.56828508277309</v>
      </c>
      <c r="AK282" s="139">
        <f t="shared" si="172"/>
        <v>978.36828508277301</v>
      </c>
      <c r="AL282" s="143"/>
      <c r="AM282" s="143"/>
      <c r="AN282" s="104">
        <f t="shared" si="173"/>
        <v>0</v>
      </c>
      <c r="AO282" s="148">
        <f t="shared" si="174"/>
        <v>0</v>
      </c>
      <c r="AP282" s="272">
        <f t="shared" si="175"/>
        <v>3070.6792882947343</v>
      </c>
      <c r="AQ282" s="669">
        <v>512.74</v>
      </c>
      <c r="AR282" s="401">
        <v>1695.9692900198695</v>
      </c>
      <c r="AS282" s="401">
        <v>1341.0015141194483</v>
      </c>
      <c r="AT282" s="401">
        <v>33.7084841554165</v>
      </c>
      <c r="AU282" s="401">
        <v>0</v>
      </c>
      <c r="AV282" s="727">
        <v>88.305873908368326</v>
      </c>
      <c r="AW282" s="246"/>
      <c r="AX282" s="713">
        <f t="shared" si="176"/>
        <v>136.75822851103084</v>
      </c>
      <c r="AY282" s="714">
        <v>81.617073139055805</v>
      </c>
      <c r="AZ282" s="715"/>
      <c r="BA282" s="716">
        <v>0</v>
      </c>
      <c r="BB282" s="727"/>
      <c r="BC282" s="712">
        <v>26.362500000000001</v>
      </c>
      <c r="BD282" s="712">
        <v>110.39572851103082</v>
      </c>
      <c r="BE282" s="712"/>
      <c r="BF282" s="712"/>
      <c r="BG282" s="712">
        <v>0</v>
      </c>
      <c r="BH282" s="712">
        <v>38.04296875</v>
      </c>
      <c r="BI282" s="134">
        <f t="shared" si="179"/>
        <v>136.75822851103084</v>
      </c>
      <c r="BJ282" s="123">
        <v>450</v>
      </c>
      <c r="BK282" s="792"/>
      <c r="BL282" s="104"/>
      <c r="BM282" s="672"/>
      <c r="BO282" s="562"/>
      <c r="BS282" s="879"/>
      <c r="BT282" s="774"/>
      <c r="BU282" s="774">
        <v>1550.5955167825639</v>
      </c>
      <c r="BV282" s="774">
        <v>0</v>
      </c>
      <c r="BW282" s="774">
        <f t="shared" si="177"/>
        <v>1550.5955167825639</v>
      </c>
    </row>
    <row r="283" spans="1:75" ht="15" thickBot="1" x14ac:dyDescent="0.35">
      <c r="A283" s="209" t="s">
        <v>292</v>
      </c>
      <c r="B283" s="227">
        <v>5</v>
      </c>
      <c r="C283" s="39">
        <f>'[3]побудинковий звіт'!E283</f>
        <v>2066.5</v>
      </c>
      <c r="D283" s="205">
        <f t="shared" si="152"/>
        <v>496.15054780874357</v>
      </c>
      <c r="E283" s="104">
        <f t="shared" si="153"/>
        <v>109.15321167263708</v>
      </c>
      <c r="F283" s="104">
        <f t="shared" si="154"/>
        <v>63.760740129589053</v>
      </c>
      <c r="G283" s="104">
        <f t="shared" si="155"/>
        <v>0</v>
      </c>
      <c r="H283" s="104">
        <f t="shared" si="156"/>
        <v>414.5212267003073</v>
      </c>
      <c r="I283" s="104">
        <f t="shared" si="157"/>
        <v>139.47139042999575</v>
      </c>
      <c r="J283" s="672">
        <f t="shared" si="145"/>
        <v>0</v>
      </c>
      <c r="K283" s="139">
        <f t="shared" si="158"/>
        <v>1223.0571167412729</v>
      </c>
      <c r="L283" s="138">
        <f t="shared" si="146"/>
        <v>410.68079639441964</v>
      </c>
      <c r="M283" s="104">
        <f t="shared" si="147"/>
        <v>90.349349950958285</v>
      </c>
      <c r="N283" s="29">
        <f t="shared" si="159"/>
        <v>42.840302871097947</v>
      </c>
      <c r="O283" s="104">
        <f t="shared" si="148"/>
        <v>3.7203394197878876</v>
      </c>
      <c r="P283" s="104">
        <f t="shared" si="160"/>
        <v>343.11341236147666</v>
      </c>
      <c r="Q283" s="104">
        <f t="shared" si="161"/>
        <v>114.64506255346048</v>
      </c>
      <c r="R283" s="140">
        <f t="shared" si="162"/>
        <v>1005.3492635512009</v>
      </c>
      <c r="S283" s="138">
        <f t="shared" si="163"/>
        <v>55.176000000000009</v>
      </c>
      <c r="T283" s="104">
        <f t="shared" si="149"/>
        <v>7.1018593651673854</v>
      </c>
      <c r="U283" s="139">
        <f t="shared" si="164"/>
        <v>62.277859365167394</v>
      </c>
      <c r="V283" s="104"/>
      <c r="W283" s="104">
        <f t="shared" si="165"/>
        <v>0</v>
      </c>
      <c r="X283" s="139">
        <f t="shared" si="166"/>
        <v>0</v>
      </c>
      <c r="Y283" s="138">
        <v>0</v>
      </c>
      <c r="Z283" s="141">
        <v>0</v>
      </c>
      <c r="AA283" s="104">
        <f t="shared" si="150"/>
        <v>0</v>
      </c>
      <c r="AB283" s="139">
        <f t="shared" si="151"/>
        <v>0</v>
      </c>
      <c r="AC283" s="138">
        <v>0</v>
      </c>
      <c r="AD283" s="104">
        <f t="shared" si="167"/>
        <v>0</v>
      </c>
      <c r="AE283" s="139">
        <f t="shared" si="168"/>
        <v>0</v>
      </c>
      <c r="AF283" s="142">
        <v>237.6</v>
      </c>
      <c r="AG283" s="104">
        <f t="shared" si="169"/>
        <v>30.58216951507486</v>
      </c>
      <c r="AH283" s="139">
        <f t="shared" si="170"/>
        <v>268.18216951507486</v>
      </c>
      <c r="AI283" s="142">
        <v>0</v>
      </c>
      <c r="AJ283" s="104">
        <f t="shared" si="171"/>
        <v>0</v>
      </c>
      <c r="AK283" s="139">
        <f t="shared" si="172"/>
        <v>0</v>
      </c>
      <c r="AL283" s="143">
        <v>2040</v>
      </c>
      <c r="AM283" s="143"/>
      <c r="AN283" s="104">
        <f t="shared" si="173"/>
        <v>262.57418270518821</v>
      </c>
      <c r="AO283" s="148">
        <f t="shared" si="174"/>
        <v>2302.5741827051884</v>
      </c>
      <c r="AP283" s="272">
        <f t="shared" si="175"/>
        <v>771.03877399681312</v>
      </c>
      <c r="AQ283" s="669">
        <v>66.16</v>
      </c>
      <c r="AR283" s="725">
        <v>391.73923015344195</v>
      </c>
      <c r="AS283" s="725">
        <v>370.45869708977966</v>
      </c>
      <c r="AT283" s="725">
        <v>8.840846753591574</v>
      </c>
      <c r="AU283" s="401">
        <v>0</v>
      </c>
      <c r="AV283" s="786"/>
      <c r="AW283" s="246"/>
      <c r="AX283" s="713">
        <f t="shared" si="176"/>
        <v>63.760740129589053</v>
      </c>
      <c r="AY283" s="714">
        <v>42.840302871097947</v>
      </c>
      <c r="AZ283" s="715"/>
      <c r="BA283" s="716">
        <v>0</v>
      </c>
      <c r="BC283" s="712">
        <v>0</v>
      </c>
      <c r="BD283" s="712">
        <v>63.760740129589053</v>
      </c>
      <c r="BE283" s="712"/>
      <c r="BF283" s="712"/>
      <c r="BG283" s="712">
        <v>0</v>
      </c>
      <c r="BH283" s="712">
        <v>0</v>
      </c>
      <c r="BI283" s="134">
        <f t="shared" si="179"/>
        <v>63.760740129589053</v>
      </c>
      <c r="BJ283" s="123">
        <v>250.8</v>
      </c>
      <c r="BK283" s="792"/>
      <c r="BL283" s="104"/>
      <c r="BM283" s="672"/>
      <c r="BO283" s="562"/>
      <c r="BS283" s="879"/>
      <c r="BT283" s="774"/>
      <c r="BU283" s="774">
        <v>384.47432557190149</v>
      </c>
      <c r="BV283" s="774">
        <v>0</v>
      </c>
      <c r="BW283" s="774">
        <f t="shared" si="177"/>
        <v>384.47432557190149</v>
      </c>
    </row>
    <row r="284" spans="1:75" ht="15" thickBot="1" x14ac:dyDescent="0.35">
      <c r="A284" s="250" t="s">
        <v>293</v>
      </c>
      <c r="B284" s="227">
        <v>5</v>
      </c>
      <c r="C284" s="39">
        <f>'[3]побудинковий звіт'!E284</f>
        <v>6127.1</v>
      </c>
      <c r="D284" s="205">
        <f t="shared" si="152"/>
        <v>2578.1792255967957</v>
      </c>
      <c r="E284" s="104">
        <f t="shared" si="153"/>
        <v>567.19990330443659</v>
      </c>
      <c r="F284" s="104">
        <f t="shared" si="154"/>
        <v>178.46779020095227</v>
      </c>
      <c r="G284" s="104">
        <f t="shared" si="155"/>
        <v>0</v>
      </c>
      <c r="H284" s="104">
        <f t="shared" si="156"/>
        <v>2154.0034974618211</v>
      </c>
      <c r="I284" s="104">
        <f t="shared" si="157"/>
        <v>705.069654956161</v>
      </c>
      <c r="J284" s="672">
        <f t="shared" si="145"/>
        <v>0</v>
      </c>
      <c r="K284" s="139">
        <f t="shared" si="158"/>
        <v>6182.9200715201669</v>
      </c>
      <c r="L284" s="138">
        <f t="shared" si="146"/>
        <v>1072.1473672691163</v>
      </c>
      <c r="M284" s="104">
        <f t="shared" si="147"/>
        <v>235.87131060144264</v>
      </c>
      <c r="N284" s="29">
        <f t="shared" si="159"/>
        <v>116.10224144317787</v>
      </c>
      <c r="O284" s="104">
        <f t="shared" si="148"/>
        <v>11.03067585723802</v>
      </c>
      <c r="P284" s="104">
        <f t="shared" si="160"/>
        <v>895.75199271011854</v>
      </c>
      <c r="Q284" s="104">
        <f t="shared" si="161"/>
        <v>300.01720811395535</v>
      </c>
      <c r="R284" s="140">
        <f t="shared" si="162"/>
        <v>2630.920795995049</v>
      </c>
      <c r="S284" s="138">
        <f t="shared" si="163"/>
        <v>80.3</v>
      </c>
      <c r="T284" s="104">
        <f t="shared" si="149"/>
        <v>10.335640623150299</v>
      </c>
      <c r="U284" s="139">
        <f t="shared" si="164"/>
        <v>90.635640623150294</v>
      </c>
      <c r="V284" s="104"/>
      <c r="W284" s="104">
        <f t="shared" si="165"/>
        <v>0</v>
      </c>
      <c r="X284" s="139">
        <f t="shared" si="166"/>
        <v>0</v>
      </c>
      <c r="Y284" s="138">
        <v>0</v>
      </c>
      <c r="Z284" s="141">
        <v>0</v>
      </c>
      <c r="AA284" s="104">
        <f t="shared" si="150"/>
        <v>0</v>
      </c>
      <c r="AB284" s="139">
        <f t="shared" si="151"/>
        <v>0</v>
      </c>
      <c r="AC284" s="138">
        <v>0</v>
      </c>
      <c r="AD284" s="104">
        <f t="shared" si="167"/>
        <v>0</v>
      </c>
      <c r="AE284" s="139">
        <f t="shared" si="168"/>
        <v>0</v>
      </c>
      <c r="AF284" s="142">
        <v>253</v>
      </c>
      <c r="AG284" s="104">
        <f t="shared" si="169"/>
        <v>32.564347168829713</v>
      </c>
      <c r="AH284" s="139">
        <f t="shared" si="170"/>
        <v>285.56434716882973</v>
      </c>
      <c r="AI284" s="142">
        <v>0</v>
      </c>
      <c r="AJ284" s="104">
        <f t="shared" si="171"/>
        <v>0</v>
      </c>
      <c r="AK284" s="139">
        <f t="shared" si="172"/>
        <v>0</v>
      </c>
      <c r="AL284" s="143"/>
      <c r="AM284" s="205"/>
      <c r="AN284" s="104">
        <f t="shared" si="173"/>
        <v>0</v>
      </c>
      <c r="AO284" s="148">
        <f t="shared" si="174"/>
        <v>0</v>
      </c>
      <c r="AP284" s="272">
        <f t="shared" si="175"/>
        <v>2780.126153853555</v>
      </c>
      <c r="AQ284" s="669">
        <v>496.31</v>
      </c>
      <c r="AR284" s="401">
        <v>1789.9045245288562</v>
      </c>
      <c r="AS284" s="401">
        <v>968.85116756286175</v>
      </c>
      <c r="AT284" s="401">
        <v>21.370461761837333</v>
      </c>
      <c r="AU284" s="401">
        <v>0</v>
      </c>
      <c r="AV284" s="727">
        <v>93.196901725273193</v>
      </c>
      <c r="AW284" s="246"/>
      <c r="AX284" s="713">
        <f t="shared" si="176"/>
        <v>178.46779020095227</v>
      </c>
      <c r="AY284" s="714">
        <v>116.10224144317787</v>
      </c>
      <c r="AZ284" s="715"/>
      <c r="BA284" s="716">
        <v>0</v>
      </c>
      <c r="BB284" s="727"/>
      <c r="BC284" s="712">
        <v>26.362500000000001</v>
      </c>
      <c r="BD284" s="712">
        <v>152.10529020095225</v>
      </c>
      <c r="BE284" s="712"/>
      <c r="BF284" s="712"/>
      <c r="BG284" s="712">
        <v>0</v>
      </c>
      <c r="BH284" s="712">
        <v>38.04296875</v>
      </c>
      <c r="BI284" s="134">
        <f t="shared" si="179"/>
        <v>178.46779020095227</v>
      </c>
      <c r="BJ284" s="123">
        <v>365</v>
      </c>
      <c r="BK284" s="792"/>
      <c r="BL284" s="104"/>
      <c r="BM284" s="672"/>
      <c r="BO284" s="562"/>
      <c r="BS284" s="879"/>
      <c r="BT284" s="774"/>
      <c r="BU284" s="774">
        <v>1636.4774490543712</v>
      </c>
      <c r="BV284" s="774">
        <v>0</v>
      </c>
      <c r="BW284" s="774">
        <f t="shared" si="177"/>
        <v>1636.4774490543712</v>
      </c>
    </row>
    <row r="285" spans="1:75" ht="15" thickBot="1" x14ac:dyDescent="0.35">
      <c r="A285" s="209" t="s">
        <v>226</v>
      </c>
      <c r="B285" s="227">
        <v>4</v>
      </c>
      <c r="C285" s="39">
        <f>'[3]побудинковий звіт'!E285</f>
        <v>1452.8</v>
      </c>
      <c r="D285" s="205">
        <f t="shared" si="152"/>
        <v>632.504571272053</v>
      </c>
      <c r="E285" s="104">
        <f t="shared" si="153"/>
        <v>139.15112188605809</v>
      </c>
      <c r="F285" s="104">
        <f t="shared" si="154"/>
        <v>44.41910581196268</v>
      </c>
      <c r="G285" s="104">
        <f t="shared" si="155"/>
        <v>0</v>
      </c>
      <c r="H285" s="104">
        <f t="shared" si="156"/>
        <v>528.44156261681928</v>
      </c>
      <c r="I285" s="104">
        <f t="shared" si="157"/>
        <v>173.05651214579987</v>
      </c>
      <c r="J285" s="672">
        <f t="shared" si="145"/>
        <v>0</v>
      </c>
      <c r="K285" s="139">
        <f t="shared" si="158"/>
        <v>1517.5728737326929</v>
      </c>
      <c r="L285" s="138">
        <f t="shared" si="146"/>
        <v>382.37868335953073</v>
      </c>
      <c r="M285" s="104">
        <f t="shared" si="147"/>
        <v>84.122914389834733</v>
      </c>
      <c r="N285" s="29">
        <f t="shared" si="159"/>
        <v>29.844822101817922</v>
      </c>
      <c r="O285" s="104">
        <f t="shared" si="148"/>
        <v>2.6154895277366772</v>
      </c>
      <c r="P285" s="104">
        <f t="shared" si="160"/>
        <v>319.46771315738084</v>
      </c>
      <c r="Q285" s="104">
        <f t="shared" si="161"/>
        <v>105.34239668587495</v>
      </c>
      <c r="R285" s="140">
        <f t="shared" si="162"/>
        <v>923.77201922217591</v>
      </c>
      <c r="S285" s="138">
        <f t="shared" si="163"/>
        <v>108.35000000000001</v>
      </c>
      <c r="T285" s="104">
        <f t="shared" si="149"/>
        <v>13.946035635346638</v>
      </c>
      <c r="U285" s="139">
        <f t="shared" si="164"/>
        <v>122.29603563534664</v>
      </c>
      <c r="V285" s="104"/>
      <c r="W285" s="104">
        <f t="shared" si="165"/>
        <v>0</v>
      </c>
      <c r="X285" s="139">
        <f t="shared" si="166"/>
        <v>0</v>
      </c>
      <c r="Y285" s="138">
        <v>0</v>
      </c>
      <c r="Z285" s="141">
        <v>0</v>
      </c>
      <c r="AA285" s="104">
        <f t="shared" si="150"/>
        <v>0</v>
      </c>
      <c r="AB285" s="139">
        <f t="shared" si="151"/>
        <v>0</v>
      </c>
      <c r="AC285" s="138">
        <v>0</v>
      </c>
      <c r="AD285" s="104">
        <f t="shared" si="167"/>
        <v>0</v>
      </c>
      <c r="AE285" s="139">
        <f t="shared" si="168"/>
        <v>0</v>
      </c>
      <c r="AF285" s="142">
        <v>259.60000000000002</v>
      </c>
      <c r="AG285" s="104">
        <f t="shared" si="169"/>
        <v>33.413851877581791</v>
      </c>
      <c r="AH285" s="139">
        <f t="shared" si="170"/>
        <v>293.01385187758183</v>
      </c>
      <c r="AI285" s="142">
        <v>0</v>
      </c>
      <c r="AJ285" s="104">
        <f t="shared" si="171"/>
        <v>0</v>
      </c>
      <c r="AK285" s="139">
        <f t="shared" si="172"/>
        <v>0</v>
      </c>
      <c r="AL285" s="143"/>
      <c r="AM285" s="205"/>
      <c r="AN285" s="104">
        <f t="shared" si="173"/>
        <v>0</v>
      </c>
      <c r="AO285" s="148">
        <f t="shared" si="174"/>
        <v>0</v>
      </c>
      <c r="AP285" s="272">
        <f t="shared" si="175"/>
        <v>829.96095104897131</v>
      </c>
      <c r="AQ285" s="669">
        <v>106.94</v>
      </c>
      <c r="AR285" s="725">
        <v>476.80087770966276</v>
      </c>
      <c r="AS285" s="725">
        <v>335.79088410733789</v>
      </c>
      <c r="AT285" s="725">
        <v>17.369189231970672</v>
      </c>
      <c r="AU285" s="401">
        <v>0</v>
      </c>
      <c r="AV285" s="786"/>
      <c r="AW285" s="246"/>
      <c r="AX285" s="713">
        <f t="shared" si="176"/>
        <v>44.41910581196268</v>
      </c>
      <c r="AY285" s="714">
        <v>29.844822101817922</v>
      </c>
      <c r="AZ285" s="715"/>
      <c r="BA285" s="716">
        <v>0</v>
      </c>
      <c r="BC285" s="712">
        <v>0</v>
      </c>
      <c r="BD285" s="712">
        <v>44.41910581196268</v>
      </c>
      <c r="BE285" s="712"/>
      <c r="BF285" s="712"/>
      <c r="BG285" s="712">
        <v>0</v>
      </c>
      <c r="BH285" s="712">
        <v>0</v>
      </c>
      <c r="BI285" s="134">
        <f t="shared" si="179"/>
        <v>44.41910581196268</v>
      </c>
      <c r="BJ285" s="123">
        <v>492.5</v>
      </c>
      <c r="BK285" s="792"/>
      <c r="BL285" s="104"/>
      <c r="BM285" s="672"/>
      <c r="BO285" s="562"/>
      <c r="BS285" s="879"/>
      <c r="BT285" s="774"/>
      <c r="BU285" s="774">
        <v>467.95878306677275</v>
      </c>
      <c r="BV285" s="774">
        <v>0</v>
      </c>
      <c r="BW285" s="774">
        <f t="shared" si="177"/>
        <v>467.95878306677275</v>
      </c>
    </row>
    <row r="286" spans="1:75" ht="15" thickBot="1" x14ac:dyDescent="0.35">
      <c r="A286" s="209" t="s">
        <v>294</v>
      </c>
      <c r="B286" s="227">
        <v>5</v>
      </c>
      <c r="C286" s="39">
        <f>'[3]побудинковий звіт'!E286</f>
        <v>4211.8</v>
      </c>
      <c r="D286" s="205">
        <f t="shared" si="152"/>
        <v>2091.2210081188168</v>
      </c>
      <c r="E286" s="104">
        <f t="shared" si="153"/>
        <v>460.0690059934185</v>
      </c>
      <c r="F286" s="104">
        <f t="shared" si="154"/>
        <v>129.09944697927406</v>
      </c>
      <c r="G286" s="104">
        <f t="shared" si="155"/>
        <v>0</v>
      </c>
      <c r="H286" s="104">
        <f t="shared" si="156"/>
        <v>1747.1622301241946</v>
      </c>
      <c r="I286" s="104">
        <f t="shared" si="157"/>
        <v>569.8827287774202</v>
      </c>
      <c r="J286" s="672">
        <f t="shared" si="145"/>
        <v>0</v>
      </c>
      <c r="K286" s="139">
        <f t="shared" si="158"/>
        <v>4997.4344199931238</v>
      </c>
      <c r="L286" s="138">
        <f t="shared" si="146"/>
        <v>851.98856123307314</v>
      </c>
      <c r="M286" s="104">
        <f t="shared" si="147"/>
        <v>187.43660124573174</v>
      </c>
      <c r="N286" s="29">
        <f t="shared" si="159"/>
        <v>86.740828256426909</v>
      </c>
      <c r="O286" s="104">
        <f t="shared" si="148"/>
        <v>7.5825432219998197</v>
      </c>
      <c r="P286" s="104">
        <f t="shared" si="160"/>
        <v>711.81488178685345</v>
      </c>
      <c r="Q286" s="104">
        <f t="shared" si="161"/>
        <v>237.54769878411696</v>
      </c>
      <c r="R286" s="140">
        <f t="shared" si="162"/>
        <v>2083.1111145282021</v>
      </c>
      <c r="S286" s="138">
        <f t="shared" si="163"/>
        <v>57.794000000000004</v>
      </c>
      <c r="T286" s="104">
        <f t="shared" si="149"/>
        <v>7.4388295663057091</v>
      </c>
      <c r="U286" s="139">
        <f t="shared" si="164"/>
        <v>65.232829566305711</v>
      </c>
      <c r="V286" s="104"/>
      <c r="W286" s="104">
        <f t="shared" si="165"/>
        <v>0</v>
      </c>
      <c r="X286" s="139">
        <f t="shared" si="166"/>
        <v>0</v>
      </c>
      <c r="Y286" s="138">
        <v>0</v>
      </c>
      <c r="Z286" s="141">
        <v>0</v>
      </c>
      <c r="AA286" s="104">
        <f t="shared" si="150"/>
        <v>0</v>
      </c>
      <c r="AB286" s="139">
        <f t="shared" si="151"/>
        <v>0</v>
      </c>
      <c r="AC286" s="138">
        <v>0</v>
      </c>
      <c r="AD286" s="104">
        <f t="shared" si="167"/>
        <v>0</v>
      </c>
      <c r="AE286" s="139">
        <f t="shared" si="168"/>
        <v>0</v>
      </c>
      <c r="AF286" s="142">
        <v>248.6</v>
      </c>
      <c r="AG286" s="104">
        <f t="shared" si="169"/>
        <v>31.998010696328326</v>
      </c>
      <c r="AH286" s="139">
        <f t="shared" si="170"/>
        <v>280.59801069632834</v>
      </c>
      <c r="AI286" s="142">
        <v>0</v>
      </c>
      <c r="AJ286" s="104">
        <f t="shared" si="171"/>
        <v>0</v>
      </c>
      <c r="AK286" s="139">
        <f t="shared" si="172"/>
        <v>0</v>
      </c>
      <c r="AL286" s="143"/>
      <c r="AM286" s="205"/>
      <c r="AN286" s="104">
        <f t="shared" si="173"/>
        <v>0</v>
      </c>
      <c r="AO286" s="148">
        <f t="shared" si="174"/>
        <v>0</v>
      </c>
      <c r="AP286" s="272">
        <f t="shared" si="175"/>
        <v>2474.7515977567878</v>
      </c>
      <c r="AQ286" s="669">
        <v>242.13</v>
      </c>
      <c r="AR286" s="725">
        <v>1687.8658327717806</v>
      </c>
      <c r="AS286" s="725">
        <v>762.59107778300506</v>
      </c>
      <c r="AT286" s="725">
        <v>24.294687202001931</v>
      </c>
      <c r="AU286" s="401">
        <v>0</v>
      </c>
      <c r="AV286" s="786"/>
      <c r="AW286" s="246"/>
      <c r="AX286" s="713">
        <f t="shared" si="176"/>
        <v>129.09944697927406</v>
      </c>
      <c r="AY286" s="714">
        <v>86.740828256426909</v>
      </c>
      <c r="AZ286" s="715"/>
      <c r="BA286" s="716">
        <v>0</v>
      </c>
      <c r="BC286" s="712">
        <v>0</v>
      </c>
      <c r="BD286" s="712">
        <v>129.09944697927406</v>
      </c>
      <c r="BE286" s="712"/>
      <c r="BF286" s="712"/>
      <c r="BG286" s="712">
        <v>0</v>
      </c>
      <c r="BH286" s="712">
        <v>0</v>
      </c>
      <c r="BI286" s="134">
        <f t="shared" si="179"/>
        <v>129.09944697927406</v>
      </c>
      <c r="BJ286" s="123">
        <v>262.7</v>
      </c>
      <c r="BK286" s="792"/>
      <c r="BL286" s="104"/>
      <c r="BM286" s="672"/>
      <c r="BO286" s="562"/>
      <c r="BS286" s="879"/>
      <c r="BT286" s="774"/>
      <c r="BU286" s="774">
        <v>1656.5671787546642</v>
      </c>
      <c r="BV286" s="774">
        <v>0</v>
      </c>
      <c r="BW286" s="774">
        <f t="shared" si="177"/>
        <v>1656.5671787546642</v>
      </c>
    </row>
    <row r="287" spans="1:75" ht="15" thickBot="1" x14ac:dyDescent="0.35">
      <c r="A287" s="209" t="s">
        <v>295</v>
      </c>
      <c r="B287" s="227">
        <v>5</v>
      </c>
      <c r="C287" s="39">
        <f>'[3]побудинковий звіт'!E287</f>
        <v>3203.6</v>
      </c>
      <c r="D287" s="205">
        <f t="shared" si="152"/>
        <v>1950.7715928020546</v>
      </c>
      <c r="E287" s="104">
        <f t="shared" si="153"/>
        <v>429.17010881981651</v>
      </c>
      <c r="F287" s="104">
        <f t="shared" si="154"/>
        <v>97.989256757130505</v>
      </c>
      <c r="G287" s="104">
        <f t="shared" si="155"/>
        <v>0</v>
      </c>
      <c r="H287" s="104">
        <f t="shared" si="156"/>
        <v>1629.8202979554778</v>
      </c>
      <c r="I287" s="104">
        <f t="shared" si="157"/>
        <v>528.72030827854712</v>
      </c>
      <c r="J287" s="672">
        <f t="shared" si="145"/>
        <v>0</v>
      </c>
      <c r="K287" s="139">
        <f t="shared" si="158"/>
        <v>4636.4715646130271</v>
      </c>
      <c r="L287" s="138">
        <f t="shared" si="146"/>
        <v>703.17598540674237</v>
      </c>
      <c r="M287" s="104">
        <f t="shared" si="147"/>
        <v>154.69798865785722</v>
      </c>
      <c r="N287" s="29">
        <f t="shared" si="159"/>
        <v>149.83815415343906</v>
      </c>
      <c r="O287" s="104">
        <f t="shared" si="148"/>
        <v>5.7674712631175789</v>
      </c>
      <c r="P287" s="104">
        <f t="shared" si="160"/>
        <v>587.48574065741161</v>
      </c>
      <c r="Q287" s="104">
        <f t="shared" si="161"/>
        <v>206.06478712069512</v>
      </c>
      <c r="R287" s="140">
        <f t="shared" si="162"/>
        <v>1807.0301272592631</v>
      </c>
      <c r="S287" s="138">
        <f t="shared" si="163"/>
        <v>155.54</v>
      </c>
      <c r="T287" s="104">
        <f t="shared" si="149"/>
        <v>20.019994302924005</v>
      </c>
      <c r="U287" s="139">
        <f t="shared" si="164"/>
        <v>175.559994302924</v>
      </c>
      <c r="V287" s="104"/>
      <c r="W287" s="104">
        <f t="shared" si="165"/>
        <v>0</v>
      </c>
      <c r="X287" s="139">
        <f t="shared" si="166"/>
        <v>0</v>
      </c>
      <c r="Y287" s="138">
        <v>0</v>
      </c>
      <c r="Z287" s="141">
        <v>0</v>
      </c>
      <c r="AA287" s="104">
        <f t="shared" si="150"/>
        <v>0</v>
      </c>
      <c r="AB287" s="139">
        <f t="shared" si="151"/>
        <v>0</v>
      </c>
      <c r="AC287" s="138">
        <v>0</v>
      </c>
      <c r="AD287" s="104">
        <f t="shared" si="167"/>
        <v>0</v>
      </c>
      <c r="AE287" s="139">
        <f t="shared" si="168"/>
        <v>0</v>
      </c>
      <c r="AF287" s="142">
        <v>202.4</v>
      </c>
      <c r="AG287" s="104">
        <f t="shared" si="169"/>
        <v>26.05147773506377</v>
      </c>
      <c r="AH287" s="139">
        <f t="shared" si="170"/>
        <v>228.45147773506378</v>
      </c>
      <c r="AI287" s="142">
        <v>0</v>
      </c>
      <c r="AJ287" s="104">
        <f t="shared" si="171"/>
        <v>0</v>
      </c>
      <c r="AK287" s="139">
        <f t="shared" si="172"/>
        <v>0</v>
      </c>
      <c r="AL287" s="143"/>
      <c r="AM287" s="143"/>
      <c r="AN287" s="104">
        <f t="shared" si="173"/>
        <v>0</v>
      </c>
      <c r="AO287" s="148">
        <f t="shared" si="174"/>
        <v>0</v>
      </c>
      <c r="AP287" s="272">
        <f t="shared" si="175"/>
        <v>2177.4189010667264</v>
      </c>
      <c r="AQ287" s="669">
        <v>272.39999999999998</v>
      </c>
      <c r="AR287" s="725">
        <v>1527.9745324767794</v>
      </c>
      <c r="AS287" s="725">
        <v>624.51459205444871</v>
      </c>
      <c r="AT287" s="725">
        <v>24.929776535498245</v>
      </c>
      <c r="AU287" s="401">
        <v>0</v>
      </c>
      <c r="AV287" s="786"/>
      <c r="AW287" s="246"/>
      <c r="AX287" s="713">
        <f t="shared" si="176"/>
        <v>97.989256757130505</v>
      </c>
      <c r="AY287" s="714">
        <v>65.838154153439049</v>
      </c>
      <c r="AZ287" s="715"/>
      <c r="BA287" s="716">
        <v>84</v>
      </c>
      <c r="BC287" s="712">
        <v>0</v>
      </c>
      <c r="BD287" s="712">
        <v>97.989256757130505</v>
      </c>
      <c r="BE287" s="712"/>
      <c r="BF287" s="712"/>
      <c r="BG287" s="712">
        <v>0</v>
      </c>
      <c r="BH287" s="712">
        <v>0</v>
      </c>
      <c r="BI287" s="134">
        <f t="shared" si="179"/>
        <v>97.989256757130505</v>
      </c>
      <c r="BJ287" s="123">
        <v>707</v>
      </c>
      <c r="BK287" s="792"/>
      <c r="BL287" s="104"/>
      <c r="BM287" s="672"/>
      <c r="BO287" s="562"/>
      <c r="BS287" s="879"/>
      <c r="BT287" s="774"/>
      <c r="BU287" s="774">
        <v>1499.641867667257</v>
      </c>
      <c r="BV287" s="774">
        <v>0</v>
      </c>
      <c r="BW287" s="774">
        <f t="shared" si="177"/>
        <v>1499.641867667257</v>
      </c>
    </row>
    <row r="288" spans="1:75" ht="15" thickBot="1" x14ac:dyDescent="0.35">
      <c r="A288" s="209" t="s">
        <v>227</v>
      </c>
      <c r="B288" s="227">
        <v>4</v>
      </c>
      <c r="C288" s="39">
        <f>'[3]побудинковий звіт'!E288</f>
        <v>1563</v>
      </c>
      <c r="D288" s="205">
        <f t="shared" si="152"/>
        <v>407.76171286515182</v>
      </c>
      <c r="E288" s="104">
        <f t="shared" si="153"/>
        <v>89.707651745905451</v>
      </c>
      <c r="F288" s="104">
        <f t="shared" si="154"/>
        <v>49.92563180090437</v>
      </c>
      <c r="G288" s="104">
        <f t="shared" si="155"/>
        <v>0</v>
      </c>
      <c r="H288" s="104">
        <f t="shared" si="156"/>
        <v>340.67459194550241</v>
      </c>
      <c r="I288" s="104">
        <f t="shared" si="157"/>
        <v>114.30595409230099</v>
      </c>
      <c r="J288" s="672">
        <f t="shared" si="145"/>
        <v>0</v>
      </c>
      <c r="K288" s="139">
        <f t="shared" si="158"/>
        <v>1002.375542449765</v>
      </c>
      <c r="L288" s="138">
        <f t="shared" si="146"/>
        <v>450.20333835328302</v>
      </c>
      <c r="M288" s="104">
        <f t="shared" si="147"/>
        <v>99.044268256715469</v>
      </c>
      <c r="N288" s="29">
        <f t="shared" si="159"/>
        <v>33.544610414412503</v>
      </c>
      <c r="O288" s="104">
        <f t="shared" si="148"/>
        <v>2.8138836259997428</v>
      </c>
      <c r="P288" s="104">
        <f t="shared" si="160"/>
        <v>376.1334959781488</v>
      </c>
      <c r="Q288" s="104">
        <f t="shared" si="161"/>
        <v>123.78822968625559</v>
      </c>
      <c r="R288" s="140">
        <f t="shared" si="162"/>
        <v>1085.5278263148152</v>
      </c>
      <c r="S288" s="138">
        <f t="shared" si="163"/>
        <v>109.93400000000001</v>
      </c>
      <c r="T288" s="104">
        <f t="shared" si="149"/>
        <v>14.149916765447138</v>
      </c>
      <c r="U288" s="139">
        <f t="shared" si="164"/>
        <v>124.08391676544716</v>
      </c>
      <c r="V288" s="104"/>
      <c r="W288" s="104">
        <f t="shared" si="165"/>
        <v>0</v>
      </c>
      <c r="X288" s="139">
        <f t="shared" si="166"/>
        <v>0</v>
      </c>
      <c r="Y288" s="138">
        <v>0</v>
      </c>
      <c r="Z288" s="141">
        <v>0</v>
      </c>
      <c r="AA288" s="104">
        <f t="shared" si="150"/>
        <v>0</v>
      </c>
      <c r="AB288" s="139">
        <f t="shared" si="151"/>
        <v>0</v>
      </c>
      <c r="AC288" s="138">
        <v>0</v>
      </c>
      <c r="AD288" s="104">
        <f t="shared" si="167"/>
        <v>0</v>
      </c>
      <c r="AE288" s="139">
        <f t="shared" si="168"/>
        <v>0</v>
      </c>
      <c r="AF288" s="142">
        <v>90.2</v>
      </c>
      <c r="AG288" s="104">
        <f t="shared" si="169"/>
        <v>11.609897686278419</v>
      </c>
      <c r="AH288" s="139">
        <f t="shared" si="170"/>
        <v>101.80989768627842</v>
      </c>
      <c r="AI288" s="142">
        <v>0</v>
      </c>
      <c r="AJ288" s="104">
        <f t="shared" si="171"/>
        <v>0</v>
      </c>
      <c r="AK288" s="139">
        <f t="shared" si="172"/>
        <v>0</v>
      </c>
      <c r="AL288" s="143"/>
      <c r="AM288" s="391"/>
      <c r="AN288" s="104">
        <f t="shared" si="173"/>
        <v>0</v>
      </c>
      <c r="AO288" s="148">
        <f t="shared" si="174"/>
        <v>0</v>
      </c>
      <c r="AP288" s="272">
        <f t="shared" si="175"/>
        <v>745.84689710145915</v>
      </c>
      <c r="AQ288" s="669">
        <v>46.28</v>
      </c>
      <c r="AR288" s="725">
        <v>330.04483775665693</v>
      </c>
      <c r="AS288" s="725">
        <v>398.18085053604739</v>
      </c>
      <c r="AT288" s="725">
        <v>17.621208808754929</v>
      </c>
      <c r="AU288" s="401">
        <v>0</v>
      </c>
      <c r="AV288" s="786"/>
      <c r="AW288" s="246"/>
      <c r="AX288" s="713">
        <f t="shared" si="176"/>
        <v>49.92563180090437</v>
      </c>
      <c r="AY288" s="714">
        <v>33.544610414412503</v>
      </c>
      <c r="AZ288" s="715"/>
      <c r="BA288" s="716">
        <v>0</v>
      </c>
      <c r="BC288" s="712">
        <v>0</v>
      </c>
      <c r="BD288" s="712">
        <v>49.92563180090437</v>
      </c>
      <c r="BE288" s="712"/>
      <c r="BF288" s="712"/>
      <c r="BG288" s="712">
        <v>0</v>
      </c>
      <c r="BH288" s="712">
        <v>0</v>
      </c>
      <c r="BI288" s="134">
        <f t="shared" si="179"/>
        <v>49.92563180090437</v>
      </c>
      <c r="BJ288" s="123">
        <v>499.7</v>
      </c>
      <c r="BK288" s="792"/>
      <c r="BL288" s="104"/>
      <c r="BM288" s="672"/>
      <c r="BO288" s="562"/>
      <c r="BS288" s="879"/>
      <c r="BT288" s="774"/>
      <c r="BU288" s="774">
        <v>323.91707979692359</v>
      </c>
      <c r="BV288" s="774">
        <v>0</v>
      </c>
      <c r="BW288" s="774">
        <f t="shared" si="177"/>
        <v>323.91707979692359</v>
      </c>
    </row>
    <row r="289" spans="1:75" ht="15" thickBot="1" x14ac:dyDescent="0.35">
      <c r="A289" s="250" t="s">
        <v>296</v>
      </c>
      <c r="B289" s="227">
        <v>5</v>
      </c>
      <c r="C289" s="39">
        <f>'[3]побудинковий звіт'!E289</f>
        <v>3710.4399999999996</v>
      </c>
      <c r="D289" s="205">
        <f t="shared" si="152"/>
        <v>1119.1272509664079</v>
      </c>
      <c r="E289" s="104">
        <f t="shared" si="153"/>
        <v>246.2082008230326</v>
      </c>
      <c r="F289" s="104">
        <f t="shared" si="154"/>
        <v>107.79348090719606</v>
      </c>
      <c r="G289" s="104">
        <f t="shared" si="155"/>
        <v>0</v>
      </c>
      <c r="H289" s="104">
        <f t="shared" si="156"/>
        <v>935.00249662762303</v>
      </c>
      <c r="I289" s="104">
        <f t="shared" si="157"/>
        <v>309.95742250073238</v>
      </c>
      <c r="J289" s="672">
        <f t="shared" si="145"/>
        <v>0</v>
      </c>
      <c r="K289" s="139">
        <f t="shared" si="158"/>
        <v>2718.0888518249917</v>
      </c>
      <c r="L289" s="138">
        <f t="shared" si="146"/>
        <v>403.13748671346735</v>
      </c>
      <c r="M289" s="104">
        <f t="shared" si="147"/>
        <v>88.689829632169719</v>
      </c>
      <c r="N289" s="29">
        <f t="shared" si="159"/>
        <v>70.250688436280726</v>
      </c>
      <c r="O289" s="104">
        <f t="shared" si="148"/>
        <v>6.6799400903739503</v>
      </c>
      <c r="P289" s="104">
        <f t="shared" si="160"/>
        <v>336.81116802024093</v>
      </c>
      <c r="Q289" s="104">
        <f t="shared" si="161"/>
        <v>116.55836750040152</v>
      </c>
      <c r="R289" s="140">
        <f t="shared" si="162"/>
        <v>1022.1274803929343</v>
      </c>
      <c r="S289" s="138">
        <f t="shared" si="163"/>
        <v>93.357000000000014</v>
      </c>
      <c r="T289" s="104">
        <f t="shared" si="149"/>
        <v>12.016244105298165</v>
      </c>
      <c r="U289" s="139">
        <f t="shared" si="164"/>
        <v>105.37324410529818</v>
      </c>
      <c r="V289" s="104"/>
      <c r="W289" s="104">
        <f t="shared" si="165"/>
        <v>0</v>
      </c>
      <c r="X289" s="139">
        <f t="shared" si="166"/>
        <v>0</v>
      </c>
      <c r="Y289" s="138">
        <v>0</v>
      </c>
      <c r="Z289" s="141">
        <v>0</v>
      </c>
      <c r="AA289" s="104">
        <f t="shared" si="150"/>
        <v>0</v>
      </c>
      <c r="AB289" s="139">
        <f t="shared" si="151"/>
        <v>0</v>
      </c>
      <c r="AC289" s="138">
        <v>0</v>
      </c>
      <c r="AD289" s="104">
        <f t="shared" si="167"/>
        <v>0</v>
      </c>
      <c r="AE289" s="139">
        <f t="shared" si="168"/>
        <v>0</v>
      </c>
      <c r="AF289" s="142">
        <v>580.79999999999995</v>
      </c>
      <c r="AG289" s="104">
        <f t="shared" si="169"/>
        <v>74.756414370182981</v>
      </c>
      <c r="AH289" s="139">
        <f t="shared" si="170"/>
        <v>655.55641437018289</v>
      </c>
      <c r="AI289" s="142">
        <v>0</v>
      </c>
      <c r="AJ289" s="104">
        <f t="shared" si="171"/>
        <v>0</v>
      </c>
      <c r="AK289" s="139">
        <f t="shared" si="172"/>
        <v>0</v>
      </c>
      <c r="AL289" s="143">
        <v>3697.5</v>
      </c>
      <c r="AM289" s="143"/>
      <c r="AN289" s="104">
        <f t="shared" si="173"/>
        <v>475.91570615315356</v>
      </c>
      <c r="AO289" s="148">
        <f t="shared" si="174"/>
        <v>4173.4157061531532</v>
      </c>
      <c r="AP289" s="272">
        <f t="shared" si="175"/>
        <v>1164.8923733987888</v>
      </c>
      <c r="AQ289" s="669">
        <v>199.02</v>
      </c>
      <c r="AR289" s="401">
        <v>792.55973413477511</v>
      </c>
      <c r="AS289" s="401">
        <v>363.53824833468872</v>
      </c>
      <c r="AT289" s="401">
        <v>8.7943909293249369</v>
      </c>
      <c r="AU289" s="401">
        <v>0</v>
      </c>
      <c r="AV289" s="727">
        <v>41.267067958839874</v>
      </c>
      <c r="AW289" s="246"/>
      <c r="AX289" s="713">
        <f t="shared" si="176"/>
        <v>107.79348090719606</v>
      </c>
      <c r="AY289" s="714">
        <v>70.250688436280726</v>
      </c>
      <c r="AZ289" s="715"/>
      <c r="BA289" s="716">
        <v>0</v>
      </c>
      <c r="BB289" s="727"/>
      <c r="BC289" s="712">
        <v>15.817499999999999</v>
      </c>
      <c r="BD289" s="712">
        <v>91.97598090719606</v>
      </c>
      <c r="BE289" s="712"/>
      <c r="BF289" s="712"/>
      <c r="BG289" s="712">
        <v>0</v>
      </c>
      <c r="BH289" s="712">
        <v>22.825781249999999</v>
      </c>
      <c r="BI289" s="134">
        <f t="shared" si="179"/>
        <v>107.79348090719606</v>
      </c>
      <c r="BJ289" s="123">
        <v>424.35</v>
      </c>
      <c r="BK289" s="792"/>
      <c r="BL289" s="104"/>
      <c r="BM289" s="672"/>
      <c r="BO289" s="562"/>
      <c r="BS289" s="879"/>
      <c r="BT289" s="774"/>
      <c r="BU289" s="774">
        <v>1070.3184778034058</v>
      </c>
      <c r="BV289" s="774">
        <v>0</v>
      </c>
      <c r="BW289" s="774">
        <f t="shared" si="177"/>
        <v>1070.3184778034058</v>
      </c>
    </row>
    <row r="290" spans="1:75" ht="15" thickBot="1" x14ac:dyDescent="0.35">
      <c r="A290" s="209" t="s">
        <v>228</v>
      </c>
      <c r="B290" s="227">
        <v>4</v>
      </c>
      <c r="C290" s="39">
        <f>'[3]побудинковий звіт'!E290</f>
        <v>2751.2</v>
      </c>
      <c r="D290" s="205">
        <f t="shared" si="152"/>
        <v>1386.8327641178757</v>
      </c>
      <c r="E290" s="104">
        <f t="shared" si="153"/>
        <v>305.10346290025637</v>
      </c>
      <c r="F290" s="104">
        <f t="shared" si="154"/>
        <v>74.905263855126222</v>
      </c>
      <c r="G290" s="104">
        <f t="shared" si="155"/>
        <v>0</v>
      </c>
      <c r="H290" s="104">
        <f t="shared" si="156"/>
        <v>1158.6636780897431</v>
      </c>
      <c r="I290" s="104">
        <f t="shared" si="157"/>
        <v>376.55006310797233</v>
      </c>
      <c r="J290" s="672">
        <f t="shared" si="145"/>
        <v>0</v>
      </c>
      <c r="K290" s="139">
        <f t="shared" si="158"/>
        <v>3302.0552320709735</v>
      </c>
      <c r="L290" s="138">
        <f t="shared" si="146"/>
        <v>587.87188895453778</v>
      </c>
      <c r="M290" s="104">
        <f t="shared" si="147"/>
        <v>129.33120683459873</v>
      </c>
      <c r="N290" s="29">
        <f t="shared" si="159"/>
        <v>50.328214253334068</v>
      </c>
      <c r="O290" s="104">
        <f t="shared" si="148"/>
        <v>4.9530112807744668</v>
      </c>
      <c r="P290" s="104">
        <f t="shared" si="160"/>
        <v>491.15208605190907</v>
      </c>
      <c r="Q290" s="104">
        <f t="shared" si="161"/>
        <v>162.64622397208399</v>
      </c>
      <c r="R290" s="140">
        <f t="shared" si="162"/>
        <v>1426.2826313472383</v>
      </c>
      <c r="S290" s="138">
        <f t="shared" si="163"/>
        <v>131.934</v>
      </c>
      <c r="T290" s="104">
        <f t="shared" si="149"/>
        <v>16.981599127954066</v>
      </c>
      <c r="U290" s="139">
        <f t="shared" si="164"/>
        <v>148.91559912795407</v>
      </c>
      <c r="V290" s="104"/>
      <c r="W290" s="104">
        <f t="shared" si="165"/>
        <v>0</v>
      </c>
      <c r="X290" s="139">
        <f t="shared" si="166"/>
        <v>0</v>
      </c>
      <c r="Y290" s="138">
        <v>0</v>
      </c>
      <c r="Z290" s="141">
        <v>0</v>
      </c>
      <c r="AA290" s="104">
        <f t="shared" si="150"/>
        <v>0</v>
      </c>
      <c r="AB290" s="139">
        <f t="shared" si="151"/>
        <v>0</v>
      </c>
      <c r="AC290" s="138">
        <v>0</v>
      </c>
      <c r="AD290" s="104">
        <f t="shared" si="167"/>
        <v>0</v>
      </c>
      <c r="AE290" s="139">
        <f t="shared" si="168"/>
        <v>0</v>
      </c>
      <c r="AF290" s="142">
        <v>149.6</v>
      </c>
      <c r="AG290" s="104">
        <f t="shared" si="169"/>
        <v>19.255440065047132</v>
      </c>
      <c r="AH290" s="139">
        <f t="shared" si="170"/>
        <v>168.85544006504713</v>
      </c>
      <c r="AI290" s="142">
        <v>0</v>
      </c>
      <c r="AJ290" s="104">
        <f t="shared" si="171"/>
        <v>0</v>
      </c>
      <c r="AK290" s="139">
        <f t="shared" si="172"/>
        <v>0</v>
      </c>
      <c r="AL290" s="143"/>
      <c r="AM290" s="391"/>
      <c r="AN290" s="104">
        <f t="shared" si="173"/>
        <v>0</v>
      </c>
      <c r="AO290" s="148">
        <f t="shared" si="174"/>
        <v>0</v>
      </c>
      <c r="AP290" s="272">
        <f t="shared" si="175"/>
        <v>1728.8442159568999</v>
      </c>
      <c r="AQ290" s="669">
        <v>94.02</v>
      </c>
      <c r="AR290" s="725">
        <v>1185.8932397329065</v>
      </c>
      <c r="AS290" s="725">
        <v>521.81157412333016</v>
      </c>
      <c r="AT290" s="725">
        <v>21.139402100663087</v>
      </c>
      <c r="AU290" s="401">
        <v>0</v>
      </c>
      <c r="AV290" s="786"/>
      <c r="AW290" s="246"/>
      <c r="AX290" s="713">
        <f t="shared" si="176"/>
        <v>74.905263855126222</v>
      </c>
      <c r="AY290" s="714">
        <v>50.328214253334068</v>
      </c>
      <c r="AZ290" s="715"/>
      <c r="BA290" s="716">
        <v>0</v>
      </c>
      <c r="BC290" s="712">
        <v>0</v>
      </c>
      <c r="BD290" s="712">
        <v>74.905263855126222</v>
      </c>
      <c r="BE290" s="712"/>
      <c r="BF290" s="712"/>
      <c r="BG290" s="712">
        <v>0</v>
      </c>
      <c r="BH290" s="712">
        <v>0</v>
      </c>
      <c r="BI290" s="134">
        <f t="shared" si="179"/>
        <v>74.905263855126222</v>
      </c>
      <c r="BJ290" s="123">
        <v>599.70000000000005</v>
      </c>
      <c r="BK290" s="792"/>
      <c r="BL290" s="104"/>
      <c r="BM290" s="672"/>
      <c r="BO290" s="562"/>
      <c r="BS290" s="879"/>
      <c r="BT290" s="774"/>
      <c r="BU290" s="774">
        <v>1163.9026380613107</v>
      </c>
      <c r="BV290" s="774">
        <v>0</v>
      </c>
      <c r="BW290" s="774">
        <f t="shared" si="177"/>
        <v>1163.9026380613107</v>
      </c>
    </row>
    <row r="291" spans="1:75" ht="15" thickBot="1" x14ac:dyDescent="0.35">
      <c r="A291" s="250" t="s">
        <v>187</v>
      </c>
      <c r="B291" s="227">
        <v>2</v>
      </c>
      <c r="C291" s="39">
        <f>'[3]побудинковий звіт'!E291</f>
        <v>299.89999999999998</v>
      </c>
      <c r="D291" s="205">
        <f t="shared" si="152"/>
        <v>133.13807548000773</v>
      </c>
      <c r="E291" s="104">
        <f t="shared" si="153"/>
        <v>29.29040106624813</v>
      </c>
      <c r="F291" s="104">
        <f t="shared" si="154"/>
        <v>45.126280076439087</v>
      </c>
      <c r="G291" s="104">
        <f t="shared" si="155"/>
        <v>0</v>
      </c>
      <c r="H291" s="104">
        <f t="shared" si="156"/>
        <v>111.23349276188853</v>
      </c>
      <c r="I291" s="104">
        <f t="shared" si="157"/>
        <v>41.032139234399374</v>
      </c>
      <c r="J291" s="672">
        <f t="shared" si="145"/>
        <v>0</v>
      </c>
      <c r="K291" s="139">
        <f t="shared" si="158"/>
        <v>359.82038861898286</v>
      </c>
      <c r="L291" s="138">
        <f t="shared" si="146"/>
        <v>50.217763295967067</v>
      </c>
      <c r="M291" s="104">
        <f t="shared" si="147"/>
        <v>11.047855925126397</v>
      </c>
      <c r="N291" s="29">
        <f t="shared" si="159"/>
        <v>5.8564313156465175</v>
      </c>
      <c r="O291" s="104">
        <f t="shared" si="148"/>
        <v>0.53991279554531213</v>
      </c>
      <c r="P291" s="104">
        <f t="shared" si="160"/>
        <v>41.955670381753215</v>
      </c>
      <c r="Q291" s="104">
        <f t="shared" si="161"/>
        <v>14.109196363990364</v>
      </c>
      <c r="R291" s="140">
        <f t="shared" si="162"/>
        <v>123.72683007802887</v>
      </c>
      <c r="S291" s="138">
        <f t="shared" si="163"/>
        <v>0</v>
      </c>
      <c r="T291" s="104">
        <f t="shared" si="149"/>
        <v>0</v>
      </c>
      <c r="U291" s="139">
        <f t="shared" si="164"/>
        <v>0</v>
      </c>
      <c r="V291" s="104"/>
      <c r="W291" s="104">
        <f t="shared" si="165"/>
        <v>0</v>
      </c>
      <c r="X291" s="139">
        <f t="shared" si="166"/>
        <v>0</v>
      </c>
      <c r="Y291" s="138">
        <v>0</v>
      </c>
      <c r="Z291" s="141">
        <v>0</v>
      </c>
      <c r="AA291" s="104">
        <f t="shared" si="150"/>
        <v>0</v>
      </c>
      <c r="AB291" s="139">
        <f t="shared" si="151"/>
        <v>0</v>
      </c>
      <c r="AC291" s="138">
        <v>0</v>
      </c>
      <c r="AD291" s="104">
        <f t="shared" si="167"/>
        <v>0</v>
      </c>
      <c r="AE291" s="139">
        <f t="shared" si="168"/>
        <v>0</v>
      </c>
      <c r="AF291" s="142">
        <v>0</v>
      </c>
      <c r="AG291" s="104">
        <f t="shared" si="169"/>
        <v>0</v>
      </c>
      <c r="AH291" s="139">
        <f t="shared" si="170"/>
        <v>0</v>
      </c>
      <c r="AI291" s="142">
        <v>0</v>
      </c>
      <c r="AJ291" s="104">
        <f t="shared" si="171"/>
        <v>0</v>
      </c>
      <c r="AK291" s="139">
        <f t="shared" si="172"/>
        <v>0</v>
      </c>
      <c r="AL291" s="143"/>
      <c r="AM291" s="205"/>
      <c r="AN291" s="104">
        <f t="shared" si="173"/>
        <v>0</v>
      </c>
      <c r="AO291" s="148">
        <f t="shared" si="174"/>
        <v>0</v>
      </c>
      <c r="AP291" s="272">
        <f t="shared" si="175"/>
        <v>152.75538502756328</v>
      </c>
      <c r="AQ291" s="669">
        <v>10.96</v>
      </c>
      <c r="AR291" s="401">
        <v>106.37489955509108</v>
      </c>
      <c r="AS291" s="401">
        <v>46.380485472472209</v>
      </c>
      <c r="AT291" s="401">
        <v>0</v>
      </c>
      <c r="AU291" s="401">
        <v>0</v>
      </c>
      <c r="AV291" s="727">
        <v>5.5387373594584162</v>
      </c>
      <c r="AW291" s="246"/>
      <c r="AX291" s="713">
        <f t="shared" si="176"/>
        <v>45.126280076439087</v>
      </c>
      <c r="AY291" s="714">
        <v>5.8564313156465175</v>
      </c>
      <c r="AZ291" s="715"/>
      <c r="BA291" s="716">
        <v>0</v>
      </c>
      <c r="BB291" s="727"/>
      <c r="BC291" s="712">
        <v>26.362500000000001</v>
      </c>
      <c r="BD291" s="712">
        <v>18.76378007643909</v>
      </c>
      <c r="BE291" s="712"/>
      <c r="BF291" s="712"/>
      <c r="BG291" s="712">
        <v>0</v>
      </c>
      <c r="BH291" s="712">
        <v>38.04296875</v>
      </c>
      <c r="BI291" s="134">
        <f t="shared" si="179"/>
        <v>45.126280076439087</v>
      </c>
      <c r="BJ291" s="123"/>
      <c r="BK291" s="792"/>
      <c r="BL291" s="104"/>
      <c r="BM291" s="672"/>
      <c r="BO291" s="562"/>
      <c r="BS291" s="879"/>
      <c r="BT291" s="774"/>
      <c r="BU291" s="774">
        <v>143.65912381718715</v>
      </c>
      <c r="BV291" s="774">
        <v>0</v>
      </c>
      <c r="BW291" s="774">
        <f t="shared" si="177"/>
        <v>143.65912381718715</v>
      </c>
    </row>
    <row r="292" spans="1:75" ht="15" thickBot="1" x14ac:dyDescent="0.35">
      <c r="A292" s="209" t="s">
        <v>297</v>
      </c>
      <c r="B292" s="227">
        <v>5</v>
      </c>
      <c r="C292" s="39">
        <f>'[3]побудинковий звіт'!E292</f>
        <v>1950.8</v>
      </c>
      <c r="D292" s="205">
        <f t="shared" si="152"/>
        <v>1249.708438007937</v>
      </c>
      <c r="E292" s="104">
        <f t="shared" si="153"/>
        <v>274.93608596305393</v>
      </c>
      <c r="F292" s="104">
        <f t="shared" si="154"/>
        <v>59.688173434824854</v>
      </c>
      <c r="G292" s="104">
        <f t="shared" si="155"/>
        <v>0</v>
      </c>
      <c r="H292" s="104">
        <f t="shared" si="156"/>
        <v>1044.0997738058848</v>
      </c>
      <c r="I292" s="104">
        <f t="shared" si="157"/>
        <v>338.31299408048545</v>
      </c>
      <c r="J292" s="672">
        <f t="shared" si="145"/>
        <v>0</v>
      </c>
      <c r="K292" s="139">
        <f t="shared" si="158"/>
        <v>2966.7454652921861</v>
      </c>
      <c r="L292" s="138">
        <f t="shared" si="146"/>
        <v>363.43669249625691</v>
      </c>
      <c r="M292" s="104">
        <f t="shared" si="147"/>
        <v>79.955696014154583</v>
      </c>
      <c r="N292" s="29">
        <f t="shared" si="159"/>
        <v>40.103979699317833</v>
      </c>
      <c r="O292" s="104">
        <f t="shared" si="148"/>
        <v>3.5120436197058851</v>
      </c>
      <c r="P292" s="104">
        <f t="shared" si="160"/>
        <v>303.64215915271808</v>
      </c>
      <c r="Q292" s="104">
        <f t="shared" si="161"/>
        <v>101.76687621619082</v>
      </c>
      <c r="R292" s="140">
        <f t="shared" si="162"/>
        <v>892.41744719834412</v>
      </c>
      <c r="S292" s="138">
        <f t="shared" si="163"/>
        <v>62.26</v>
      </c>
      <c r="T292" s="104">
        <f t="shared" si="149"/>
        <v>8.0136610858946149</v>
      </c>
      <c r="U292" s="139">
        <f t="shared" si="164"/>
        <v>70.273661085894616</v>
      </c>
      <c r="V292" s="104"/>
      <c r="W292" s="104">
        <f t="shared" si="165"/>
        <v>0</v>
      </c>
      <c r="X292" s="139">
        <f t="shared" si="166"/>
        <v>0</v>
      </c>
      <c r="Y292" s="138">
        <v>0</v>
      </c>
      <c r="Z292" s="141">
        <v>0</v>
      </c>
      <c r="AA292" s="104">
        <f t="shared" si="150"/>
        <v>0</v>
      </c>
      <c r="AB292" s="139">
        <f t="shared" si="151"/>
        <v>0</v>
      </c>
      <c r="AC292" s="138">
        <v>0</v>
      </c>
      <c r="AD292" s="104">
        <f t="shared" si="167"/>
        <v>0</v>
      </c>
      <c r="AE292" s="139">
        <f t="shared" si="168"/>
        <v>0</v>
      </c>
      <c r="AF292" s="142">
        <v>202.4</v>
      </c>
      <c r="AG292" s="104">
        <f t="shared" si="169"/>
        <v>26.05147773506377</v>
      </c>
      <c r="AH292" s="139">
        <f t="shared" si="170"/>
        <v>228.45147773506378</v>
      </c>
      <c r="AI292" s="142">
        <v>0</v>
      </c>
      <c r="AJ292" s="104">
        <f t="shared" si="171"/>
        <v>0</v>
      </c>
      <c r="AK292" s="139">
        <f t="shared" si="172"/>
        <v>0</v>
      </c>
      <c r="AL292" s="143"/>
      <c r="AM292" s="205"/>
      <c r="AN292" s="104">
        <f t="shared" si="173"/>
        <v>0</v>
      </c>
      <c r="AO292" s="148">
        <f t="shared" si="174"/>
        <v>0</v>
      </c>
      <c r="AP292" s="272">
        <f t="shared" si="175"/>
        <v>1347.7861691814476</v>
      </c>
      <c r="AQ292" s="669">
        <v>141.24</v>
      </c>
      <c r="AR292" s="725">
        <v>1012.1206769304275</v>
      </c>
      <c r="AS292" s="725">
        <v>325.63988320834494</v>
      </c>
      <c r="AT292" s="725">
        <v>10.025609042675129</v>
      </c>
      <c r="AU292" s="401">
        <v>0</v>
      </c>
      <c r="AV292" s="786"/>
      <c r="AW292" s="246"/>
      <c r="AX292" s="713">
        <f t="shared" si="176"/>
        <v>59.688173434824854</v>
      </c>
      <c r="AY292" s="714">
        <v>40.103979699317833</v>
      </c>
      <c r="AZ292" s="715"/>
      <c r="BA292" s="716">
        <v>0</v>
      </c>
      <c r="BC292" s="712">
        <v>0</v>
      </c>
      <c r="BD292" s="712">
        <v>59.688173434824854</v>
      </c>
      <c r="BE292" s="712"/>
      <c r="BF292" s="712"/>
      <c r="BG292" s="712">
        <v>0</v>
      </c>
      <c r="BH292" s="712">
        <v>0</v>
      </c>
      <c r="BI292" s="134">
        <f t="shared" si="179"/>
        <v>59.688173434824854</v>
      </c>
      <c r="BJ292" s="123">
        <v>283</v>
      </c>
      <c r="BK292" s="792"/>
      <c r="BL292" s="104"/>
      <c r="BM292" s="672"/>
      <c r="BO292" s="562"/>
      <c r="BS292" s="879"/>
      <c r="BT292" s="774"/>
      <c r="BU292" s="774">
        <v>988.82986731329549</v>
      </c>
      <c r="BV292" s="774">
        <v>0</v>
      </c>
      <c r="BW292" s="774">
        <f t="shared" si="177"/>
        <v>988.82986731329549</v>
      </c>
    </row>
    <row r="293" spans="1:75" ht="15" thickBot="1" x14ac:dyDescent="0.35">
      <c r="A293" s="209" t="s">
        <v>298</v>
      </c>
      <c r="B293" s="227">
        <v>5</v>
      </c>
      <c r="C293" s="39">
        <f>'[3]побудинковий звіт'!E293</f>
        <v>4553.8999999999996</v>
      </c>
      <c r="D293" s="205">
        <f t="shared" si="152"/>
        <v>1918.8808985475102</v>
      </c>
      <c r="E293" s="104">
        <f t="shared" si="153"/>
        <v>422.15415022473405</v>
      </c>
      <c r="F293" s="104">
        <f t="shared" si="154"/>
        <v>134.66375938753336</v>
      </c>
      <c r="G293" s="104">
        <f t="shared" si="155"/>
        <v>0</v>
      </c>
      <c r="H293" s="104">
        <f t="shared" si="156"/>
        <v>1603.1764299579484</v>
      </c>
      <c r="I293" s="104">
        <f t="shared" si="157"/>
        <v>525.00359412019213</v>
      </c>
      <c r="J293" s="672">
        <f t="shared" si="145"/>
        <v>0</v>
      </c>
      <c r="K293" s="139">
        <f t="shared" si="158"/>
        <v>4603.8788322379187</v>
      </c>
      <c r="L293" s="138">
        <f t="shared" si="146"/>
        <v>860.09826813045925</v>
      </c>
      <c r="M293" s="104">
        <f t="shared" si="147"/>
        <v>189.22072836563714</v>
      </c>
      <c r="N293" s="29">
        <f t="shared" si="159"/>
        <v>90.479442776188648</v>
      </c>
      <c r="O293" s="104">
        <f t="shared" si="148"/>
        <v>8.1984290751377014</v>
      </c>
      <c r="P293" s="104">
        <f t="shared" si="160"/>
        <v>718.59033666870562</v>
      </c>
      <c r="Q293" s="104">
        <f t="shared" si="161"/>
        <v>240.25373029660363</v>
      </c>
      <c r="R293" s="140">
        <f t="shared" si="162"/>
        <v>2106.8409353127317</v>
      </c>
      <c r="S293" s="138">
        <f t="shared" si="163"/>
        <v>151.64599999999999</v>
      </c>
      <c r="T293" s="104">
        <f t="shared" si="149"/>
        <v>19.518786524760277</v>
      </c>
      <c r="U293" s="139">
        <f t="shared" si="164"/>
        <v>171.16478652476027</v>
      </c>
      <c r="V293" s="104"/>
      <c r="W293" s="104">
        <f t="shared" si="165"/>
        <v>0</v>
      </c>
      <c r="X293" s="139">
        <f t="shared" si="166"/>
        <v>0</v>
      </c>
      <c r="Y293" s="138">
        <v>0</v>
      </c>
      <c r="Z293" s="141">
        <v>0</v>
      </c>
      <c r="AA293" s="104">
        <f t="shared" si="150"/>
        <v>0</v>
      </c>
      <c r="AB293" s="139">
        <f t="shared" si="151"/>
        <v>0</v>
      </c>
      <c r="AC293" s="138">
        <v>0</v>
      </c>
      <c r="AD293" s="104">
        <f t="shared" si="167"/>
        <v>0</v>
      </c>
      <c r="AE293" s="139">
        <f t="shared" si="168"/>
        <v>0</v>
      </c>
      <c r="AF293" s="142">
        <v>334.4</v>
      </c>
      <c r="AG293" s="104">
        <f t="shared" si="169"/>
        <v>43.041571910105354</v>
      </c>
      <c r="AH293" s="139">
        <f t="shared" si="170"/>
        <v>377.44157191010532</v>
      </c>
      <c r="AI293" s="142">
        <v>0</v>
      </c>
      <c r="AJ293" s="104">
        <f t="shared" si="171"/>
        <v>0</v>
      </c>
      <c r="AK293" s="139">
        <f t="shared" si="172"/>
        <v>0</v>
      </c>
      <c r="AL293" s="143"/>
      <c r="AM293" s="143"/>
      <c r="AN293" s="104">
        <f t="shared" si="173"/>
        <v>0</v>
      </c>
      <c r="AO293" s="148">
        <f t="shared" si="174"/>
        <v>0</v>
      </c>
      <c r="AP293" s="272">
        <f t="shared" si="175"/>
        <v>2290.8982761011393</v>
      </c>
      <c r="AQ293" s="669">
        <v>274.42</v>
      </c>
      <c r="AR293" s="725">
        <v>1496.5224892941046</v>
      </c>
      <c r="AS293" s="725">
        <v>770.0710188219615</v>
      </c>
      <c r="AT293" s="725">
        <v>24.304767985073294</v>
      </c>
      <c r="AU293" s="401">
        <v>0</v>
      </c>
      <c r="AV293" s="786"/>
      <c r="AW293" s="246"/>
      <c r="AX293" s="713">
        <f t="shared" si="176"/>
        <v>134.66375938753336</v>
      </c>
      <c r="AY293" s="714">
        <v>90.479442776188648</v>
      </c>
      <c r="AZ293" s="715"/>
      <c r="BA293" s="716">
        <v>0</v>
      </c>
      <c r="BC293" s="712">
        <v>0</v>
      </c>
      <c r="BD293" s="712">
        <v>134.66375938753336</v>
      </c>
      <c r="BE293" s="712"/>
      <c r="BF293" s="712"/>
      <c r="BG293" s="712">
        <v>0</v>
      </c>
      <c r="BH293" s="712">
        <v>0</v>
      </c>
      <c r="BI293" s="134">
        <f t="shared" si="179"/>
        <v>134.66375938753336</v>
      </c>
      <c r="BJ293" s="123">
        <v>689.3</v>
      </c>
      <c r="BK293" s="792"/>
      <c r="BL293" s="104"/>
      <c r="BM293" s="672"/>
      <c r="BO293" s="562"/>
      <c r="BS293" s="879"/>
      <c r="BT293" s="774"/>
      <c r="BU293" s="774">
        <v>1468.7757424723522</v>
      </c>
      <c r="BV293" s="774">
        <v>0</v>
      </c>
      <c r="BW293" s="774">
        <f t="shared" si="177"/>
        <v>1468.7757424723522</v>
      </c>
    </row>
    <row r="294" spans="1:75" ht="15" thickBot="1" x14ac:dyDescent="0.35">
      <c r="A294" s="209" t="s">
        <v>299</v>
      </c>
      <c r="B294" s="227">
        <v>5</v>
      </c>
      <c r="C294" s="39">
        <f>'[3]побудинковий звіт'!E294</f>
        <v>2543.14</v>
      </c>
      <c r="D294" s="205">
        <f t="shared" si="152"/>
        <v>1339.960883531111</v>
      </c>
      <c r="E294" s="104">
        <f t="shared" si="153"/>
        <v>294.79164055968346</v>
      </c>
      <c r="F294" s="104">
        <f t="shared" si="154"/>
        <v>78.124792931392506</v>
      </c>
      <c r="G294" s="104">
        <f t="shared" si="155"/>
        <v>0</v>
      </c>
      <c r="H294" s="104">
        <f t="shared" si="156"/>
        <v>1119.5034080378682</v>
      </c>
      <c r="I294" s="104">
        <f t="shared" si="157"/>
        <v>364.56375195714327</v>
      </c>
      <c r="J294" s="672">
        <f t="shared" si="145"/>
        <v>0</v>
      </c>
      <c r="K294" s="139">
        <f t="shared" si="158"/>
        <v>3196.9444770171981</v>
      </c>
      <c r="L294" s="138">
        <f t="shared" si="146"/>
        <v>378.6066081333887</v>
      </c>
      <c r="M294" s="104">
        <f t="shared" si="147"/>
        <v>83.293061746029252</v>
      </c>
      <c r="N294" s="29">
        <f t="shared" si="159"/>
        <v>136.49138865264672</v>
      </c>
      <c r="O294" s="104">
        <f t="shared" si="148"/>
        <v>4.5784389025111869</v>
      </c>
      <c r="P294" s="104">
        <f t="shared" si="160"/>
        <v>316.31623976517778</v>
      </c>
      <c r="Q294" s="104">
        <f t="shared" si="161"/>
        <v>118.32387309694202</v>
      </c>
      <c r="R294" s="140">
        <f t="shared" si="162"/>
        <v>1037.6096102966956</v>
      </c>
      <c r="S294" s="138">
        <f t="shared" si="163"/>
        <v>0</v>
      </c>
      <c r="T294" s="104">
        <f t="shared" si="149"/>
        <v>0</v>
      </c>
      <c r="U294" s="139">
        <f t="shared" si="164"/>
        <v>0</v>
      </c>
      <c r="V294" s="104"/>
      <c r="W294" s="104">
        <f t="shared" si="165"/>
        <v>0</v>
      </c>
      <c r="X294" s="139">
        <f t="shared" si="166"/>
        <v>0</v>
      </c>
      <c r="Y294" s="138">
        <v>0</v>
      </c>
      <c r="Z294" s="141">
        <v>0</v>
      </c>
      <c r="AA294" s="104">
        <f t="shared" si="150"/>
        <v>0</v>
      </c>
      <c r="AB294" s="139">
        <f t="shared" si="151"/>
        <v>0</v>
      </c>
      <c r="AC294" s="138">
        <v>0</v>
      </c>
      <c r="AD294" s="104">
        <f t="shared" si="167"/>
        <v>0</v>
      </c>
      <c r="AE294" s="139">
        <f t="shared" si="168"/>
        <v>0</v>
      </c>
      <c r="AF294" s="142">
        <v>341</v>
      </c>
      <c r="AG294" s="104">
        <f t="shared" si="169"/>
        <v>43.89107661885744</v>
      </c>
      <c r="AH294" s="139">
        <f t="shared" si="170"/>
        <v>384.89107661885743</v>
      </c>
      <c r="AI294" s="142">
        <v>0</v>
      </c>
      <c r="AJ294" s="104">
        <f t="shared" si="171"/>
        <v>0</v>
      </c>
      <c r="AK294" s="139">
        <f t="shared" si="172"/>
        <v>0</v>
      </c>
      <c r="AL294" s="143">
        <v>765</v>
      </c>
      <c r="AM294" s="143"/>
      <c r="AN294" s="104">
        <f t="shared" si="173"/>
        <v>98.46531851444557</v>
      </c>
      <c r="AO294" s="148">
        <f t="shared" si="174"/>
        <v>863.46531851444558</v>
      </c>
      <c r="AP294" s="272">
        <f t="shared" si="175"/>
        <v>1535.1212354154297</v>
      </c>
      <c r="AQ294" s="669">
        <v>51.21</v>
      </c>
      <c r="AR294" s="725">
        <v>1185.4450026286374</v>
      </c>
      <c r="AS294" s="725">
        <v>349.6762327867923</v>
      </c>
      <c r="AT294" s="725">
        <v>0</v>
      </c>
      <c r="AU294" s="401">
        <v>0</v>
      </c>
      <c r="AV294" s="786"/>
      <c r="AW294" s="246"/>
      <c r="AX294" s="713">
        <f t="shared" si="176"/>
        <v>78.124792931392506</v>
      </c>
      <c r="AY294" s="714">
        <v>52.491388652646712</v>
      </c>
      <c r="AZ294" s="715"/>
      <c r="BA294" s="716">
        <v>84</v>
      </c>
      <c r="BC294" s="712">
        <v>0</v>
      </c>
      <c r="BD294" s="712">
        <v>78.124792931392506</v>
      </c>
      <c r="BE294" s="712"/>
      <c r="BF294" s="712"/>
      <c r="BG294" s="712">
        <v>0</v>
      </c>
      <c r="BH294" s="712">
        <v>0</v>
      </c>
      <c r="BI294" s="134">
        <f t="shared" si="179"/>
        <v>78.124792931392506</v>
      </c>
      <c r="BJ294" s="123"/>
      <c r="BK294" s="792"/>
      <c r="BL294" s="104"/>
      <c r="BM294" s="672"/>
      <c r="BO294" s="562"/>
      <c r="BS294" s="879"/>
      <c r="BT294" s="774"/>
      <c r="BU294" s="774">
        <v>1152.8314972049736</v>
      </c>
      <c r="BV294" s="774">
        <v>0</v>
      </c>
      <c r="BW294" s="774">
        <f t="shared" si="177"/>
        <v>1152.8314972049736</v>
      </c>
    </row>
    <row r="295" spans="1:75" ht="15" thickBot="1" x14ac:dyDescent="0.35">
      <c r="A295" s="209" t="s">
        <v>300</v>
      </c>
      <c r="B295" s="227">
        <v>5</v>
      </c>
      <c r="C295" s="39">
        <f>'[3]побудинковий звіт'!E295</f>
        <v>3000.6600000000003</v>
      </c>
      <c r="D295" s="205">
        <f t="shared" si="152"/>
        <v>1427.2671516129246</v>
      </c>
      <c r="E295" s="104">
        <f t="shared" si="153"/>
        <v>313.9990355779305</v>
      </c>
      <c r="F295" s="104">
        <f t="shared" si="154"/>
        <v>91.698486506021396</v>
      </c>
      <c r="G295" s="104">
        <f t="shared" si="155"/>
        <v>0</v>
      </c>
      <c r="H295" s="104">
        <f t="shared" si="156"/>
        <v>1192.445585575985</v>
      </c>
      <c r="I295" s="104">
        <f t="shared" si="157"/>
        <v>389.40913047865837</v>
      </c>
      <c r="J295" s="672">
        <f t="shared" si="145"/>
        <v>0</v>
      </c>
      <c r="K295" s="139">
        <f t="shared" si="158"/>
        <v>3414.8193897515198</v>
      </c>
      <c r="L295" s="138">
        <f t="shared" si="146"/>
        <v>499.9921824360631</v>
      </c>
      <c r="M295" s="104">
        <f t="shared" si="147"/>
        <v>109.99776239908223</v>
      </c>
      <c r="N295" s="29">
        <f t="shared" si="159"/>
        <v>61.611438743576002</v>
      </c>
      <c r="O295" s="104">
        <f t="shared" si="148"/>
        <v>5.402116469093019</v>
      </c>
      <c r="P295" s="104">
        <f t="shared" si="160"/>
        <v>417.73081521186674</v>
      </c>
      <c r="Q295" s="104">
        <f t="shared" si="161"/>
        <v>140.90635691599735</v>
      </c>
      <c r="R295" s="140">
        <f t="shared" si="162"/>
        <v>1235.6406721756784</v>
      </c>
      <c r="S295" s="138">
        <f t="shared" si="163"/>
        <v>0</v>
      </c>
      <c r="T295" s="104">
        <f t="shared" si="149"/>
        <v>0</v>
      </c>
      <c r="U295" s="139">
        <f t="shared" si="164"/>
        <v>0</v>
      </c>
      <c r="V295" s="104"/>
      <c r="W295" s="104">
        <f t="shared" si="165"/>
        <v>0</v>
      </c>
      <c r="X295" s="139">
        <f t="shared" si="166"/>
        <v>0</v>
      </c>
      <c r="Y295" s="138">
        <v>0</v>
      </c>
      <c r="Z295" s="141">
        <v>0</v>
      </c>
      <c r="AA295" s="104">
        <f t="shared" si="150"/>
        <v>0</v>
      </c>
      <c r="AB295" s="139">
        <f t="shared" si="151"/>
        <v>0</v>
      </c>
      <c r="AC295" s="138">
        <v>0</v>
      </c>
      <c r="AD295" s="104">
        <f t="shared" si="167"/>
        <v>0</v>
      </c>
      <c r="AE295" s="139">
        <f t="shared" si="168"/>
        <v>0</v>
      </c>
      <c r="AF295" s="142">
        <v>418</v>
      </c>
      <c r="AG295" s="104">
        <f t="shared" si="169"/>
        <v>53.801964887631698</v>
      </c>
      <c r="AH295" s="139">
        <f t="shared" si="170"/>
        <v>471.8019648876317</v>
      </c>
      <c r="AI295" s="142">
        <v>0</v>
      </c>
      <c r="AJ295" s="104">
        <f t="shared" si="171"/>
        <v>0</v>
      </c>
      <c r="AK295" s="139">
        <f t="shared" si="172"/>
        <v>0</v>
      </c>
      <c r="AL295" s="143"/>
      <c r="AM295" s="143"/>
      <c r="AN295" s="104">
        <f t="shared" si="173"/>
        <v>0</v>
      </c>
      <c r="AO295" s="148">
        <f t="shared" si="174"/>
        <v>0</v>
      </c>
      <c r="AP295" s="272">
        <f t="shared" si="175"/>
        <v>1708.7666904501284</v>
      </c>
      <c r="AQ295" s="669">
        <v>70.25</v>
      </c>
      <c r="AR295" s="725">
        <v>1246.9802899457504</v>
      </c>
      <c r="AS295" s="725">
        <v>461.78640050437798</v>
      </c>
      <c r="AT295" s="725">
        <v>0</v>
      </c>
      <c r="AU295" s="401">
        <v>0</v>
      </c>
      <c r="AV295" s="786"/>
      <c r="AW295" s="246"/>
      <c r="AX295" s="713">
        <f t="shared" si="176"/>
        <v>91.698486506021396</v>
      </c>
      <c r="AY295" s="714">
        <v>61.611438743576002</v>
      </c>
      <c r="AZ295" s="715"/>
      <c r="BA295" s="716">
        <v>0</v>
      </c>
      <c r="BC295" s="712">
        <v>0</v>
      </c>
      <c r="BD295" s="712">
        <v>91.698486506021396</v>
      </c>
      <c r="BE295" s="712"/>
      <c r="BF295" s="712"/>
      <c r="BG295" s="712">
        <v>0</v>
      </c>
      <c r="BH295" s="712">
        <v>0</v>
      </c>
      <c r="BI295" s="134">
        <f t="shared" si="179"/>
        <v>91.698486506021396</v>
      </c>
      <c r="BJ295" s="123"/>
      <c r="BK295" s="792"/>
      <c r="BL295" s="104"/>
      <c r="BM295" s="672"/>
      <c r="BO295" s="562"/>
      <c r="BS295" s="879"/>
      <c r="BT295" s="774"/>
      <c r="BU295" s="774">
        <v>1212.6617689764644</v>
      </c>
      <c r="BV295" s="774">
        <v>0</v>
      </c>
      <c r="BW295" s="774">
        <f t="shared" si="177"/>
        <v>1212.6617689764644</v>
      </c>
    </row>
    <row r="296" spans="1:75" ht="15" thickBot="1" x14ac:dyDescent="0.35">
      <c r="A296" s="209" t="s">
        <v>301</v>
      </c>
      <c r="B296" s="227">
        <v>5</v>
      </c>
      <c r="C296" s="39">
        <f>'[3]побудинковий звіт'!E296</f>
        <v>2616.1999999999998</v>
      </c>
      <c r="D296" s="205">
        <f t="shared" si="152"/>
        <v>2019.7358841636731</v>
      </c>
      <c r="E296" s="104">
        <f t="shared" si="153"/>
        <v>444.34226558976115</v>
      </c>
      <c r="F296" s="104">
        <f t="shared" si="154"/>
        <v>79.488430127987741</v>
      </c>
      <c r="G296" s="104">
        <f t="shared" si="155"/>
        <v>0</v>
      </c>
      <c r="H296" s="104">
        <f t="shared" si="156"/>
        <v>1687.4382181210226</v>
      </c>
      <c r="I296" s="104">
        <f t="shared" si="157"/>
        <v>544.58462100844201</v>
      </c>
      <c r="J296" s="672">
        <f t="shared" si="145"/>
        <v>0</v>
      </c>
      <c r="K296" s="139">
        <f t="shared" si="158"/>
        <v>4775.5894190108866</v>
      </c>
      <c r="L296" s="138">
        <f t="shared" si="146"/>
        <v>563.13142451431929</v>
      </c>
      <c r="M296" s="104">
        <f t="shared" si="147"/>
        <v>123.88833027625157</v>
      </c>
      <c r="N296" s="29">
        <f t="shared" si="159"/>
        <v>53.407604969924449</v>
      </c>
      <c r="O296" s="104">
        <f t="shared" si="148"/>
        <v>4.7099695088551039</v>
      </c>
      <c r="P296" s="104">
        <f t="shared" si="160"/>
        <v>470.48205411465119</v>
      </c>
      <c r="Q296" s="104">
        <f t="shared" si="161"/>
        <v>156.46581670227403</v>
      </c>
      <c r="R296" s="140">
        <f t="shared" si="162"/>
        <v>1372.0852000862756</v>
      </c>
      <c r="S296" s="138">
        <f t="shared" si="163"/>
        <v>102.01400000000001</v>
      </c>
      <c r="T296" s="104">
        <f t="shared" si="149"/>
        <v>13.130511114944643</v>
      </c>
      <c r="U296" s="139">
        <f t="shared" si="164"/>
        <v>115.14451111494465</v>
      </c>
      <c r="V296" s="104"/>
      <c r="W296" s="104">
        <f t="shared" si="165"/>
        <v>0</v>
      </c>
      <c r="X296" s="139">
        <f t="shared" si="166"/>
        <v>0</v>
      </c>
      <c r="Y296" s="138">
        <v>0</v>
      </c>
      <c r="Z296" s="141">
        <v>0</v>
      </c>
      <c r="AA296" s="104">
        <f t="shared" si="150"/>
        <v>0</v>
      </c>
      <c r="AB296" s="139">
        <f t="shared" si="151"/>
        <v>0</v>
      </c>
      <c r="AC296" s="138">
        <v>0</v>
      </c>
      <c r="AD296" s="104">
        <f t="shared" si="167"/>
        <v>0</v>
      </c>
      <c r="AE296" s="139">
        <f t="shared" si="168"/>
        <v>0</v>
      </c>
      <c r="AF296" s="142">
        <v>110</v>
      </c>
      <c r="AG296" s="104">
        <f t="shared" si="169"/>
        <v>14.158411812534657</v>
      </c>
      <c r="AH296" s="139">
        <f t="shared" si="170"/>
        <v>124.15841181253465</v>
      </c>
      <c r="AI296" s="142">
        <v>0</v>
      </c>
      <c r="AJ296" s="104">
        <f t="shared" si="171"/>
        <v>0</v>
      </c>
      <c r="AK296" s="139">
        <f t="shared" si="172"/>
        <v>0</v>
      </c>
      <c r="AL296" s="143"/>
      <c r="AM296" s="391"/>
      <c r="AN296" s="104">
        <f t="shared" si="173"/>
        <v>0</v>
      </c>
      <c r="AO296" s="148">
        <f t="shared" si="174"/>
        <v>0</v>
      </c>
      <c r="AP296" s="272">
        <f t="shared" si="175"/>
        <v>1993.0629385440902</v>
      </c>
      <c r="AQ296" s="669">
        <v>391.06</v>
      </c>
      <c r="AR296" s="725">
        <v>1472.961939623724</v>
      </c>
      <c r="AS296" s="725">
        <v>503.77613205279062</v>
      </c>
      <c r="AT296" s="725">
        <v>16.32486686757554</v>
      </c>
      <c r="AU296" s="401">
        <v>0</v>
      </c>
      <c r="AV296" s="786"/>
      <c r="AW296" s="246"/>
      <c r="AX296" s="713">
        <f t="shared" si="176"/>
        <v>79.488430127987741</v>
      </c>
      <c r="AY296" s="714">
        <v>53.407604969924449</v>
      </c>
      <c r="AZ296" s="715"/>
      <c r="BA296" s="716">
        <v>0</v>
      </c>
      <c r="BC296" s="712">
        <v>0</v>
      </c>
      <c r="BD296" s="712">
        <v>79.488430127987741</v>
      </c>
      <c r="BE296" s="712"/>
      <c r="BF296" s="712"/>
      <c r="BG296" s="712">
        <v>0</v>
      </c>
      <c r="BH296" s="712">
        <v>0</v>
      </c>
      <c r="BI296" s="134">
        <f t="shared" si="179"/>
        <v>79.488430127987741</v>
      </c>
      <c r="BJ296" s="123">
        <v>463.7</v>
      </c>
      <c r="BK296" s="792"/>
      <c r="BL296" s="104"/>
      <c r="BM296" s="672"/>
      <c r="BO296" s="562"/>
      <c r="BS296" s="879"/>
      <c r="BT296" s="774"/>
      <c r="BU296" s="774">
        <v>1432.436975472627</v>
      </c>
      <c r="BV296" s="774">
        <v>0</v>
      </c>
      <c r="BW296" s="774">
        <f t="shared" si="177"/>
        <v>1432.436975472627</v>
      </c>
    </row>
    <row r="297" spans="1:75" ht="15" thickBot="1" x14ac:dyDescent="0.35">
      <c r="A297" s="209" t="s">
        <v>302</v>
      </c>
      <c r="B297" s="227">
        <v>5</v>
      </c>
      <c r="C297" s="39">
        <f>'[3]побудинковий звіт'!E297</f>
        <v>2951.8</v>
      </c>
      <c r="D297" s="205">
        <f t="shared" si="152"/>
        <v>2277.3507044278804</v>
      </c>
      <c r="E297" s="104">
        <f t="shared" si="153"/>
        <v>501.01757337788615</v>
      </c>
      <c r="F297" s="104">
        <f t="shared" si="154"/>
        <v>93.439722791808336</v>
      </c>
      <c r="G297" s="104">
        <f t="shared" si="155"/>
        <v>0</v>
      </c>
      <c r="H297" s="104">
        <f t="shared" si="156"/>
        <v>1902.6688810392116</v>
      </c>
      <c r="I297" s="104">
        <f t="shared" si="157"/>
        <v>614.536453451272</v>
      </c>
      <c r="J297" s="672">
        <f t="shared" si="145"/>
        <v>0</v>
      </c>
      <c r="K297" s="139">
        <f t="shared" si="158"/>
        <v>5389.0133350880587</v>
      </c>
      <c r="L297" s="138">
        <f t="shared" si="146"/>
        <v>480.25708278060546</v>
      </c>
      <c r="M297" s="104">
        <f t="shared" si="147"/>
        <v>105.65606091037779</v>
      </c>
      <c r="N297" s="29">
        <f t="shared" si="159"/>
        <v>62.781360700279279</v>
      </c>
      <c r="O297" s="104">
        <f t="shared" si="148"/>
        <v>5.3141533507524255</v>
      </c>
      <c r="P297" s="104">
        <f t="shared" si="160"/>
        <v>401.2426388823979</v>
      </c>
      <c r="Q297" s="104">
        <f t="shared" si="161"/>
        <v>135.82438566654181</v>
      </c>
      <c r="R297" s="140">
        <f t="shared" si="162"/>
        <v>1191.0756822909545</v>
      </c>
      <c r="S297" s="138">
        <f t="shared" si="163"/>
        <v>0</v>
      </c>
      <c r="T297" s="104">
        <f t="shared" si="149"/>
        <v>0</v>
      </c>
      <c r="U297" s="139">
        <f t="shared" si="164"/>
        <v>0</v>
      </c>
      <c r="V297" s="104"/>
      <c r="W297" s="104">
        <f t="shared" si="165"/>
        <v>0</v>
      </c>
      <c r="X297" s="139">
        <f t="shared" si="166"/>
        <v>0</v>
      </c>
      <c r="Y297" s="138">
        <v>0</v>
      </c>
      <c r="Z297" s="141">
        <v>0</v>
      </c>
      <c r="AA297" s="104">
        <f t="shared" si="150"/>
        <v>0</v>
      </c>
      <c r="AB297" s="139">
        <f t="shared" si="151"/>
        <v>0</v>
      </c>
      <c r="AC297" s="138">
        <v>0</v>
      </c>
      <c r="AD297" s="104">
        <f t="shared" si="167"/>
        <v>0</v>
      </c>
      <c r="AE297" s="139">
        <f t="shared" si="168"/>
        <v>0</v>
      </c>
      <c r="AF297" s="142">
        <v>451</v>
      </c>
      <c r="AG297" s="104">
        <f t="shared" si="169"/>
        <v>58.049488431392092</v>
      </c>
      <c r="AH297" s="139">
        <f t="shared" si="170"/>
        <v>509.04948843139209</v>
      </c>
      <c r="AI297" s="142">
        <v>0</v>
      </c>
      <c r="AJ297" s="104">
        <f t="shared" si="171"/>
        <v>0</v>
      </c>
      <c r="AK297" s="139">
        <f t="shared" si="172"/>
        <v>0</v>
      </c>
      <c r="AL297" s="143"/>
      <c r="AM297" s="143"/>
      <c r="AN297" s="104">
        <f t="shared" si="173"/>
        <v>0</v>
      </c>
      <c r="AO297" s="148">
        <f t="shared" si="174"/>
        <v>0</v>
      </c>
      <c r="AP297" s="272">
        <f t="shared" si="175"/>
        <v>1951.34495262171</v>
      </c>
      <c r="AQ297" s="669">
        <v>593.99</v>
      </c>
      <c r="AR297" s="725">
        <v>1507.7856383671342</v>
      </c>
      <c r="AS297" s="725">
        <v>443.55931425457572</v>
      </c>
      <c r="AT297" s="725">
        <v>0</v>
      </c>
      <c r="AU297" s="401">
        <v>0</v>
      </c>
      <c r="AV297" s="786"/>
      <c r="AW297" s="246"/>
      <c r="AX297" s="713">
        <f t="shared" si="176"/>
        <v>93.439722791808336</v>
      </c>
      <c r="AY297" s="714">
        <v>62.781360700279279</v>
      </c>
      <c r="AZ297" s="715"/>
      <c r="BA297" s="716">
        <v>0</v>
      </c>
      <c r="BC297" s="712">
        <v>0</v>
      </c>
      <c r="BD297" s="712">
        <v>93.439722791808336</v>
      </c>
      <c r="BE297" s="712"/>
      <c r="BF297" s="712"/>
      <c r="BG297" s="712">
        <v>0</v>
      </c>
      <c r="BH297" s="712">
        <v>0</v>
      </c>
      <c r="BI297" s="134">
        <f t="shared" si="179"/>
        <v>93.439722791808336</v>
      </c>
      <c r="BJ297" s="123"/>
      <c r="BK297" s="792"/>
      <c r="BL297" s="104"/>
      <c r="BM297" s="672"/>
      <c r="BO297" s="562"/>
      <c r="BS297" s="879"/>
      <c r="BT297" s="774"/>
      <c r="BU297" s="774">
        <v>1466.305458957891</v>
      </c>
      <c r="BV297" s="774">
        <v>0</v>
      </c>
      <c r="BW297" s="774">
        <f t="shared" si="177"/>
        <v>1466.305458957891</v>
      </c>
    </row>
    <row r="298" spans="1:75" ht="15" thickBot="1" x14ac:dyDescent="0.35">
      <c r="A298" s="209" t="s">
        <v>303</v>
      </c>
      <c r="B298" s="227">
        <v>5</v>
      </c>
      <c r="C298" s="39">
        <f>'[3]побудинковий звіт'!E298</f>
        <v>2595.52</v>
      </c>
      <c r="D298" s="205">
        <f t="shared" si="152"/>
        <v>1663.7959487377823</v>
      </c>
      <c r="E298" s="104">
        <f t="shared" si="153"/>
        <v>366.03541440139219</v>
      </c>
      <c r="F298" s="104">
        <f t="shared" si="154"/>
        <v>79.357569876834646</v>
      </c>
      <c r="G298" s="104">
        <f t="shared" si="155"/>
        <v>0</v>
      </c>
      <c r="H298" s="104">
        <f t="shared" si="156"/>
        <v>1390.0594097814942</v>
      </c>
      <c r="I298" s="104">
        <f t="shared" si="157"/>
        <v>450.39817337869539</v>
      </c>
      <c r="J298" s="672">
        <f t="shared" si="145"/>
        <v>0</v>
      </c>
      <c r="K298" s="139">
        <f t="shared" si="158"/>
        <v>3949.6465161761989</v>
      </c>
      <c r="L298" s="138">
        <f t="shared" si="146"/>
        <v>575.10155642433358</v>
      </c>
      <c r="M298" s="104">
        <f t="shared" si="147"/>
        <v>126.52174690150409</v>
      </c>
      <c r="N298" s="29">
        <f t="shared" si="159"/>
        <v>53.319681072212589</v>
      </c>
      <c r="O298" s="104">
        <f t="shared" si="148"/>
        <v>4.6727391100159004</v>
      </c>
      <c r="P298" s="104">
        <f t="shared" si="160"/>
        <v>480.48279639946338</v>
      </c>
      <c r="Q298" s="104">
        <f t="shared" si="161"/>
        <v>159.61659575423189</v>
      </c>
      <c r="R298" s="140">
        <f t="shared" si="162"/>
        <v>1399.7151156617613</v>
      </c>
      <c r="S298" s="138">
        <f t="shared" si="163"/>
        <v>123.17360000000001</v>
      </c>
      <c r="T298" s="104">
        <f t="shared" si="149"/>
        <v>15.854023211203808</v>
      </c>
      <c r="U298" s="139">
        <f t="shared" si="164"/>
        <v>139.0276232112038</v>
      </c>
      <c r="V298" s="104"/>
      <c r="W298" s="104">
        <f t="shared" si="165"/>
        <v>0</v>
      </c>
      <c r="X298" s="139">
        <f t="shared" si="166"/>
        <v>0</v>
      </c>
      <c r="Y298" s="138">
        <v>0</v>
      </c>
      <c r="Z298" s="141">
        <v>0</v>
      </c>
      <c r="AA298" s="104">
        <f t="shared" si="150"/>
        <v>0</v>
      </c>
      <c r="AB298" s="139">
        <f t="shared" si="151"/>
        <v>0</v>
      </c>
      <c r="AC298" s="138">
        <v>0</v>
      </c>
      <c r="AD298" s="104">
        <f t="shared" si="167"/>
        <v>0</v>
      </c>
      <c r="AE298" s="139">
        <f t="shared" si="168"/>
        <v>0</v>
      </c>
      <c r="AF298" s="142">
        <v>231</v>
      </c>
      <c r="AG298" s="104">
        <f t="shared" si="169"/>
        <v>29.732664806322781</v>
      </c>
      <c r="AH298" s="139">
        <f t="shared" si="170"/>
        <v>260.73266480632276</v>
      </c>
      <c r="AI298" s="142">
        <v>0</v>
      </c>
      <c r="AJ298" s="104">
        <f t="shared" si="171"/>
        <v>0</v>
      </c>
      <c r="AK298" s="139">
        <f t="shared" si="172"/>
        <v>0</v>
      </c>
      <c r="AL298" s="143"/>
      <c r="AM298" s="391"/>
      <c r="AN298" s="104">
        <f t="shared" si="173"/>
        <v>0</v>
      </c>
      <c r="AO298" s="148">
        <f t="shared" si="174"/>
        <v>0</v>
      </c>
      <c r="AP298" s="272">
        <f t="shared" si="175"/>
        <v>1597.3000776585918</v>
      </c>
      <c r="AQ298" s="669">
        <v>469.38</v>
      </c>
      <c r="AR298" s="725">
        <v>1066.1436176281015</v>
      </c>
      <c r="AS298" s="725">
        <v>511.40820599367635</v>
      </c>
      <c r="AT298" s="725">
        <v>19.748254036814021</v>
      </c>
      <c r="AU298" s="401">
        <v>0</v>
      </c>
      <c r="AV298" s="786"/>
      <c r="AW298" s="246"/>
      <c r="AX298" s="713">
        <f t="shared" si="176"/>
        <v>79.357569876834646</v>
      </c>
      <c r="AY298" s="714">
        <v>53.319681072212589</v>
      </c>
      <c r="AZ298" s="715"/>
      <c r="BA298" s="716">
        <v>0</v>
      </c>
      <c r="BC298" s="712">
        <v>0</v>
      </c>
      <c r="BD298" s="712">
        <v>79.357569876834646</v>
      </c>
      <c r="BE298" s="712"/>
      <c r="BF298" s="712"/>
      <c r="BG298" s="712">
        <v>0</v>
      </c>
      <c r="BH298" s="712">
        <v>0</v>
      </c>
      <c r="BI298" s="134">
        <f t="shared" si="179"/>
        <v>79.357569876834646</v>
      </c>
      <c r="BJ298" s="123">
        <v>559.88</v>
      </c>
      <c r="BK298" s="792"/>
      <c r="BL298" s="104"/>
      <c r="BM298" s="672"/>
      <c r="BO298" s="562"/>
      <c r="BS298" s="879"/>
      <c r="BT298" s="774"/>
      <c r="BU298" s="774">
        <v>1057.5997689074065</v>
      </c>
      <c r="BV298" s="774">
        <v>0</v>
      </c>
      <c r="BW298" s="774">
        <f t="shared" si="177"/>
        <v>1057.5997689074065</v>
      </c>
    </row>
    <row r="299" spans="1:75" ht="15" thickBot="1" x14ac:dyDescent="0.35">
      <c r="A299" s="250" t="s">
        <v>188</v>
      </c>
      <c r="B299" s="227">
        <v>2</v>
      </c>
      <c r="C299" s="39">
        <f>'[3]побудинковий звіт'!E299</f>
        <v>373.3</v>
      </c>
      <c r="D299" s="205">
        <f t="shared" si="152"/>
        <v>136.98224110337995</v>
      </c>
      <c r="E299" s="104">
        <f t="shared" si="153"/>
        <v>30.13611820965512</v>
      </c>
      <c r="F299" s="104">
        <f t="shared" si="154"/>
        <v>242.81348226857239</v>
      </c>
      <c r="G299" s="104">
        <f t="shared" si="155"/>
        <v>0</v>
      </c>
      <c r="H299" s="104">
        <f t="shared" si="156"/>
        <v>114.44519585659853</v>
      </c>
      <c r="I299" s="104">
        <f t="shared" si="157"/>
        <v>67.49405491897295</v>
      </c>
      <c r="J299" s="672">
        <f t="shared" si="145"/>
        <v>0</v>
      </c>
      <c r="K299" s="139">
        <f t="shared" si="158"/>
        <v>591.8710923571789</v>
      </c>
      <c r="L299" s="138">
        <f t="shared" si="146"/>
        <v>56.725888391542398</v>
      </c>
      <c r="M299" s="104">
        <f t="shared" si="147"/>
        <v>12.47963670705521</v>
      </c>
      <c r="N299" s="29">
        <f t="shared" si="159"/>
        <v>7.2703884606945302</v>
      </c>
      <c r="O299" s="104">
        <f t="shared" si="148"/>
        <v>0.67205550709258099</v>
      </c>
      <c r="P299" s="104">
        <f t="shared" si="160"/>
        <v>47.393044199139133</v>
      </c>
      <c r="Q299" s="104">
        <f t="shared" si="161"/>
        <v>16.030026848760258</v>
      </c>
      <c r="R299" s="140">
        <f t="shared" si="162"/>
        <v>140.5710401142841</v>
      </c>
      <c r="S299" s="138">
        <f t="shared" si="163"/>
        <v>0</v>
      </c>
      <c r="T299" s="104">
        <f t="shared" si="149"/>
        <v>0</v>
      </c>
      <c r="U299" s="139">
        <f t="shared" si="164"/>
        <v>0</v>
      </c>
      <c r="V299" s="104"/>
      <c r="W299" s="104">
        <f t="shared" si="165"/>
        <v>0</v>
      </c>
      <c r="X299" s="139">
        <f t="shared" si="166"/>
        <v>0</v>
      </c>
      <c r="Y299" s="138">
        <v>0</v>
      </c>
      <c r="Z299" s="141">
        <v>0</v>
      </c>
      <c r="AA299" s="104">
        <f t="shared" si="150"/>
        <v>0</v>
      </c>
      <c r="AB299" s="139">
        <f t="shared" si="151"/>
        <v>0</v>
      </c>
      <c r="AC299" s="138">
        <v>0</v>
      </c>
      <c r="AD299" s="104">
        <f t="shared" si="167"/>
        <v>0</v>
      </c>
      <c r="AE299" s="139">
        <f t="shared" si="168"/>
        <v>0</v>
      </c>
      <c r="AF299" s="142">
        <v>48.4</v>
      </c>
      <c r="AG299" s="104">
        <f t="shared" si="169"/>
        <v>6.229701197515249</v>
      </c>
      <c r="AH299" s="139">
        <f t="shared" si="170"/>
        <v>54.629701197515246</v>
      </c>
      <c r="AI299" s="142">
        <v>0</v>
      </c>
      <c r="AJ299" s="104">
        <f t="shared" si="171"/>
        <v>0</v>
      </c>
      <c r="AK299" s="139">
        <f t="shared" si="172"/>
        <v>0</v>
      </c>
      <c r="AL299" s="143"/>
      <c r="AM299" s="205"/>
      <c r="AN299" s="104">
        <f t="shared" si="173"/>
        <v>0</v>
      </c>
      <c r="AO299" s="148">
        <f t="shared" si="174"/>
        <v>0</v>
      </c>
      <c r="AP299" s="272">
        <f t="shared" si="175"/>
        <v>126.27571890133098</v>
      </c>
      <c r="AQ299" s="669">
        <v>48.69</v>
      </c>
      <c r="AR299" s="401">
        <v>73.884412125063164</v>
      </c>
      <c r="AS299" s="401">
        <v>52.391306776267811</v>
      </c>
      <c r="AT299" s="401">
        <v>0</v>
      </c>
      <c r="AU299" s="401">
        <v>0</v>
      </c>
      <c r="AV299" s="727">
        <v>3.8470198837346334</v>
      </c>
      <c r="AW299" s="246"/>
      <c r="AX299" s="713">
        <f t="shared" si="176"/>
        <v>8.7934822685723724</v>
      </c>
      <c r="AY299" s="714">
        <v>7.2703884606945302</v>
      </c>
      <c r="AZ299" s="715"/>
      <c r="BA299" s="716">
        <v>0</v>
      </c>
      <c r="BB299" s="727"/>
      <c r="BC299" s="712">
        <v>0</v>
      </c>
      <c r="BD299" s="712">
        <v>8.7934822685723724</v>
      </c>
      <c r="BE299" s="712"/>
      <c r="BF299" s="712"/>
      <c r="BG299" s="712">
        <v>0</v>
      </c>
      <c r="BH299" s="712">
        <v>0</v>
      </c>
      <c r="BI299" s="134">
        <f t="shared" si="179"/>
        <v>8.7934822685723724</v>
      </c>
      <c r="BJ299" s="123"/>
      <c r="BK299" s="792"/>
      <c r="BL299" s="104"/>
      <c r="BM299" s="672">
        <v>234.02</v>
      </c>
      <c r="BO299" s="562"/>
      <c r="BS299" s="879"/>
      <c r="BT299" s="774"/>
      <c r="BU299" s="774">
        <v>99.76864562653553</v>
      </c>
      <c r="BV299" s="774">
        <v>0</v>
      </c>
      <c r="BW299" s="774">
        <f t="shared" si="177"/>
        <v>99.76864562653553</v>
      </c>
    </row>
    <row r="300" spans="1:75" ht="15" thickBot="1" x14ac:dyDescent="0.35">
      <c r="A300" s="209" t="s">
        <v>304</v>
      </c>
      <c r="B300" s="227">
        <v>5</v>
      </c>
      <c r="C300" s="39">
        <f>'[3]побудинковий звіт'!E300</f>
        <v>3609.1000000000004</v>
      </c>
      <c r="D300" s="205">
        <f t="shared" si="152"/>
        <v>2231.8379349087722</v>
      </c>
      <c r="E300" s="104">
        <f t="shared" si="153"/>
        <v>491.00475572189885</v>
      </c>
      <c r="F300" s="104">
        <f t="shared" si="154"/>
        <v>98.830064445614099</v>
      </c>
      <c r="G300" s="104">
        <f t="shared" si="155"/>
        <v>0</v>
      </c>
      <c r="H300" s="104">
        <f t="shared" si="156"/>
        <v>1864.6441138895809</v>
      </c>
      <c r="I300" s="104">
        <f t="shared" si="157"/>
        <v>603.18912831678858</v>
      </c>
      <c r="J300" s="672">
        <f t="shared" si="145"/>
        <v>0</v>
      </c>
      <c r="K300" s="139">
        <f t="shared" si="158"/>
        <v>5289.5059972826548</v>
      </c>
      <c r="L300" s="138">
        <f t="shared" si="146"/>
        <v>518.68288219473811</v>
      </c>
      <c r="M300" s="104">
        <f t="shared" si="147"/>
        <v>114.10969699196005</v>
      </c>
      <c r="N300" s="29">
        <f t="shared" si="159"/>
        <v>66.403085739204457</v>
      </c>
      <c r="O300" s="104">
        <f t="shared" si="148"/>
        <v>6.4974967335864831</v>
      </c>
      <c r="P300" s="104">
        <f t="shared" si="160"/>
        <v>433.34642185801658</v>
      </c>
      <c r="Q300" s="104">
        <f t="shared" si="161"/>
        <v>146.60901358380735</v>
      </c>
      <c r="R300" s="140">
        <f t="shared" si="162"/>
        <v>1285.648597101313</v>
      </c>
      <c r="S300" s="138">
        <f t="shared" si="163"/>
        <v>2.75</v>
      </c>
      <c r="T300" s="104">
        <f t="shared" si="149"/>
        <v>0.35396029531336642</v>
      </c>
      <c r="U300" s="139">
        <f t="shared" si="164"/>
        <v>3.1039602953133665</v>
      </c>
      <c r="V300" s="104"/>
      <c r="W300" s="104">
        <f t="shared" si="165"/>
        <v>0</v>
      </c>
      <c r="X300" s="139">
        <f t="shared" si="166"/>
        <v>0</v>
      </c>
      <c r="Y300" s="138">
        <v>0</v>
      </c>
      <c r="Z300" s="141">
        <v>0</v>
      </c>
      <c r="AA300" s="104">
        <f t="shared" si="150"/>
        <v>0</v>
      </c>
      <c r="AB300" s="139">
        <f t="shared" si="151"/>
        <v>0</v>
      </c>
      <c r="AC300" s="138">
        <v>0</v>
      </c>
      <c r="AD300" s="104">
        <f t="shared" si="167"/>
        <v>0</v>
      </c>
      <c r="AE300" s="139">
        <f t="shared" si="168"/>
        <v>0</v>
      </c>
      <c r="AF300" s="142">
        <v>506</v>
      </c>
      <c r="AG300" s="104">
        <f t="shared" si="169"/>
        <v>65.128694337659425</v>
      </c>
      <c r="AH300" s="139">
        <f t="shared" si="170"/>
        <v>571.12869433765945</v>
      </c>
      <c r="AI300" s="142">
        <v>0</v>
      </c>
      <c r="AJ300" s="104">
        <f t="shared" si="171"/>
        <v>0</v>
      </c>
      <c r="AK300" s="139">
        <f t="shared" si="172"/>
        <v>0</v>
      </c>
      <c r="AL300" s="143"/>
      <c r="AM300" s="391"/>
      <c r="AN300" s="104">
        <f t="shared" si="173"/>
        <v>0</v>
      </c>
      <c r="AO300" s="148">
        <f t="shared" si="174"/>
        <v>0</v>
      </c>
      <c r="AP300" s="272">
        <f t="shared" si="175"/>
        <v>2338.6106223779343</v>
      </c>
      <c r="AQ300" s="669">
        <v>200.21</v>
      </c>
      <c r="AR300" s="725">
        <v>1859.5617300433562</v>
      </c>
      <c r="AS300" s="725">
        <v>478.60533787943803</v>
      </c>
      <c r="AT300" s="725">
        <v>0.44355445514028424</v>
      </c>
      <c r="AU300" s="401">
        <v>0</v>
      </c>
      <c r="AV300" s="786"/>
      <c r="AW300" s="246"/>
      <c r="AX300" s="713">
        <f t="shared" si="176"/>
        <v>98.830064445614099</v>
      </c>
      <c r="AY300" s="714">
        <v>66.403085739204457</v>
      </c>
      <c r="AZ300" s="715"/>
      <c r="BA300" s="716">
        <v>0</v>
      </c>
      <c r="BC300" s="712">
        <v>0</v>
      </c>
      <c r="BD300" s="712">
        <v>98.830064445614099</v>
      </c>
      <c r="BE300" s="712"/>
      <c r="BF300" s="712"/>
      <c r="BG300" s="712">
        <v>0</v>
      </c>
      <c r="BH300" s="712">
        <v>0</v>
      </c>
      <c r="BI300" s="134">
        <f t="shared" si="179"/>
        <v>98.830064445614099</v>
      </c>
      <c r="BJ300" s="123">
        <v>12.5</v>
      </c>
      <c r="BK300" s="792"/>
      <c r="BL300" s="104"/>
      <c r="BM300" s="672"/>
      <c r="BO300" s="562"/>
      <c r="BS300" s="879"/>
      <c r="BT300" s="774"/>
      <c r="BU300" s="774">
        <v>1825.0754081803682</v>
      </c>
      <c r="BV300" s="774">
        <v>0</v>
      </c>
      <c r="BW300" s="774">
        <f t="shared" si="177"/>
        <v>1825.0754081803682</v>
      </c>
    </row>
    <row r="301" spans="1:75" ht="15" thickBot="1" x14ac:dyDescent="0.35">
      <c r="A301" s="209" t="s">
        <v>229</v>
      </c>
      <c r="B301" s="227">
        <v>4</v>
      </c>
      <c r="C301" s="39">
        <f>'[3]побудинковий звіт'!E301</f>
        <v>2695.6400000000003</v>
      </c>
      <c r="D301" s="205">
        <f t="shared" si="152"/>
        <v>2196.6518795200172</v>
      </c>
      <c r="E301" s="104">
        <f t="shared" si="153"/>
        <v>483.26381707185345</v>
      </c>
      <c r="F301" s="104">
        <f t="shared" si="154"/>
        <v>74.824546317031803</v>
      </c>
      <c r="G301" s="104">
        <f t="shared" si="155"/>
        <v>0</v>
      </c>
      <c r="H301" s="104">
        <f t="shared" si="156"/>
        <v>1835.2470550595381</v>
      </c>
      <c r="I301" s="104">
        <f t="shared" si="157"/>
        <v>590.79027617218549</v>
      </c>
      <c r="J301" s="672">
        <f t="shared" si="145"/>
        <v>0</v>
      </c>
      <c r="K301" s="139">
        <f t="shared" si="158"/>
        <v>5180.7775741406258</v>
      </c>
      <c r="L301" s="138">
        <f t="shared" si="146"/>
        <v>564.12125341118337</v>
      </c>
      <c r="M301" s="104">
        <f t="shared" si="147"/>
        <v>124.10609160860383</v>
      </c>
      <c r="N301" s="29">
        <f t="shared" si="159"/>
        <v>50.273980821100587</v>
      </c>
      <c r="O301" s="104">
        <f t="shared" si="148"/>
        <v>4.8529860893089873</v>
      </c>
      <c r="P301" s="104">
        <f t="shared" si="160"/>
        <v>471.30903110855684</v>
      </c>
      <c r="Q301" s="104">
        <f t="shared" si="161"/>
        <v>156.34276203938842</v>
      </c>
      <c r="R301" s="140">
        <f t="shared" si="162"/>
        <v>1371.0061050781421</v>
      </c>
      <c r="S301" s="138">
        <f t="shared" si="163"/>
        <v>0</v>
      </c>
      <c r="T301" s="104">
        <f t="shared" si="149"/>
        <v>0</v>
      </c>
      <c r="U301" s="139">
        <f t="shared" si="164"/>
        <v>0</v>
      </c>
      <c r="V301" s="104"/>
      <c r="W301" s="104">
        <f t="shared" si="165"/>
        <v>0</v>
      </c>
      <c r="X301" s="139">
        <f t="shared" si="166"/>
        <v>0</v>
      </c>
      <c r="Y301" s="138">
        <v>0</v>
      </c>
      <c r="Z301" s="141">
        <v>0</v>
      </c>
      <c r="AA301" s="104">
        <f t="shared" si="150"/>
        <v>0</v>
      </c>
      <c r="AB301" s="139">
        <f t="shared" si="151"/>
        <v>0</v>
      </c>
      <c r="AC301" s="138">
        <v>0</v>
      </c>
      <c r="AD301" s="104">
        <f t="shared" si="167"/>
        <v>0</v>
      </c>
      <c r="AE301" s="139">
        <f t="shared" si="168"/>
        <v>0</v>
      </c>
      <c r="AF301" s="142">
        <v>248.6</v>
      </c>
      <c r="AG301" s="104">
        <f t="shared" si="169"/>
        <v>31.998010696328326</v>
      </c>
      <c r="AH301" s="139">
        <f t="shared" si="170"/>
        <v>280.59801069632834</v>
      </c>
      <c r="AI301" s="142">
        <v>0</v>
      </c>
      <c r="AJ301" s="104">
        <f t="shared" si="171"/>
        <v>0</v>
      </c>
      <c r="AK301" s="139">
        <f t="shared" si="172"/>
        <v>0</v>
      </c>
      <c r="AL301" s="143"/>
      <c r="AM301" s="391"/>
      <c r="AN301" s="104">
        <f t="shared" si="173"/>
        <v>0</v>
      </c>
      <c r="AO301" s="148">
        <f t="shared" si="174"/>
        <v>0</v>
      </c>
      <c r="AP301" s="272">
        <f t="shared" si="175"/>
        <v>2401.3735777802844</v>
      </c>
      <c r="AQ301" s="669">
        <v>146.94</v>
      </c>
      <c r="AR301" s="725">
        <v>1880.3583855195925</v>
      </c>
      <c r="AS301" s="725">
        <v>497.21446342918722</v>
      </c>
      <c r="AT301" s="725">
        <v>23.800728831504795</v>
      </c>
      <c r="AU301" s="401">
        <v>0</v>
      </c>
      <c r="AV301" s="786"/>
      <c r="AW301" s="246"/>
      <c r="AX301" s="713">
        <f t="shared" si="176"/>
        <v>74.824546317031803</v>
      </c>
      <c r="AY301" s="714">
        <v>50.273980821100587</v>
      </c>
      <c r="AZ301" s="715"/>
      <c r="BA301" s="716">
        <v>0</v>
      </c>
      <c r="BC301" s="712">
        <v>0</v>
      </c>
      <c r="BD301" s="712">
        <v>74.824546317031803</v>
      </c>
      <c r="BE301" s="712"/>
      <c r="BF301" s="712"/>
      <c r="BG301" s="712">
        <v>0</v>
      </c>
      <c r="BH301" s="712">
        <v>0</v>
      </c>
      <c r="BI301" s="134">
        <f t="shared" si="179"/>
        <v>74.824546317031803</v>
      </c>
      <c r="BJ301" s="123"/>
      <c r="BK301" s="792"/>
      <c r="BL301" s="104"/>
      <c r="BM301" s="672"/>
      <c r="BO301" s="562"/>
      <c r="BS301" s="879"/>
      <c r="BT301" s="774"/>
      <c r="BU301" s="774">
        <v>1610.4981209802406</v>
      </c>
      <c r="BV301" s="774">
        <v>0</v>
      </c>
      <c r="BW301" s="774">
        <f t="shared" si="177"/>
        <v>1610.4981209802406</v>
      </c>
    </row>
    <row r="302" spans="1:75" ht="15" thickBot="1" x14ac:dyDescent="0.35">
      <c r="A302" s="209" t="s">
        <v>230</v>
      </c>
      <c r="B302" s="227">
        <v>4</v>
      </c>
      <c r="C302" s="39">
        <f>'[3]побудинковий звіт'!E302</f>
        <v>2581.1999999999998</v>
      </c>
      <c r="D302" s="205">
        <f t="shared" si="152"/>
        <v>1938.5969522695225</v>
      </c>
      <c r="E302" s="104">
        <f t="shared" si="153"/>
        <v>426.49168566588702</v>
      </c>
      <c r="F302" s="104">
        <f t="shared" si="154"/>
        <v>78.956428172365392</v>
      </c>
      <c r="G302" s="104">
        <f t="shared" si="155"/>
        <v>0</v>
      </c>
      <c r="H302" s="104">
        <f t="shared" si="156"/>
        <v>1619.6486938920154</v>
      </c>
      <c r="I302" s="104">
        <f t="shared" si="157"/>
        <v>523.0495430373129</v>
      </c>
      <c r="J302" s="672">
        <f t="shared" si="145"/>
        <v>0</v>
      </c>
      <c r="K302" s="139">
        <f t="shared" si="158"/>
        <v>4586.7433030371039</v>
      </c>
      <c r="L302" s="138">
        <f t="shared" si="146"/>
        <v>544.36543983881586</v>
      </c>
      <c r="M302" s="104">
        <f t="shared" si="147"/>
        <v>119.75983307962828</v>
      </c>
      <c r="N302" s="29">
        <f t="shared" si="159"/>
        <v>53.050157348385596</v>
      </c>
      <c r="O302" s="104">
        <f t="shared" si="148"/>
        <v>4.6469586790982316</v>
      </c>
      <c r="P302" s="104">
        <f t="shared" si="160"/>
        <v>454.80354882571328</v>
      </c>
      <c r="Q302" s="104">
        <f t="shared" si="161"/>
        <v>151.44685978436976</v>
      </c>
      <c r="R302" s="140">
        <f t="shared" si="162"/>
        <v>1328.072797556011</v>
      </c>
      <c r="S302" s="138">
        <f t="shared" si="163"/>
        <v>0</v>
      </c>
      <c r="T302" s="104">
        <f t="shared" si="149"/>
        <v>0</v>
      </c>
      <c r="U302" s="139">
        <f t="shared" si="164"/>
        <v>0</v>
      </c>
      <c r="V302" s="104"/>
      <c r="W302" s="104">
        <f t="shared" si="165"/>
        <v>0</v>
      </c>
      <c r="X302" s="139">
        <f t="shared" si="166"/>
        <v>0</v>
      </c>
      <c r="Y302" s="138">
        <v>0</v>
      </c>
      <c r="Z302" s="141">
        <v>0</v>
      </c>
      <c r="AA302" s="104">
        <f t="shared" si="150"/>
        <v>0</v>
      </c>
      <c r="AB302" s="139">
        <f t="shared" si="151"/>
        <v>0</v>
      </c>
      <c r="AC302" s="138">
        <v>0</v>
      </c>
      <c r="AD302" s="104">
        <f t="shared" si="167"/>
        <v>0</v>
      </c>
      <c r="AE302" s="139">
        <f t="shared" si="168"/>
        <v>0</v>
      </c>
      <c r="AF302" s="142">
        <v>352</v>
      </c>
      <c r="AG302" s="104">
        <f t="shared" si="169"/>
        <v>45.306917800110902</v>
      </c>
      <c r="AH302" s="139">
        <f t="shared" si="170"/>
        <v>397.30691780011091</v>
      </c>
      <c r="AI302" s="142">
        <v>0</v>
      </c>
      <c r="AJ302" s="104">
        <f t="shared" si="171"/>
        <v>0</v>
      </c>
      <c r="AK302" s="139">
        <f t="shared" si="172"/>
        <v>0</v>
      </c>
      <c r="AL302" s="143"/>
      <c r="AM302" s="391"/>
      <c r="AN302" s="104">
        <f t="shared" si="173"/>
        <v>0</v>
      </c>
      <c r="AO302" s="148">
        <f t="shared" si="174"/>
        <v>0</v>
      </c>
      <c r="AP302" s="272">
        <f t="shared" si="175"/>
        <v>2121.0874852639104</v>
      </c>
      <c r="AQ302" s="669">
        <v>170.82</v>
      </c>
      <c r="AR302" s="725">
        <v>1618.3185103623982</v>
      </c>
      <c r="AS302" s="725">
        <v>502.76897490151214</v>
      </c>
      <c r="AT302" s="725">
        <v>0</v>
      </c>
      <c r="AU302" s="401">
        <v>0</v>
      </c>
      <c r="AV302" s="786"/>
      <c r="AW302" s="246"/>
      <c r="AX302" s="713">
        <f t="shared" si="176"/>
        <v>78.956428172365392</v>
      </c>
      <c r="AY302" s="714">
        <v>53.050157348385596</v>
      </c>
      <c r="AZ302" s="715"/>
      <c r="BA302" s="716">
        <v>0</v>
      </c>
      <c r="BC302" s="712">
        <v>0</v>
      </c>
      <c r="BD302" s="712">
        <v>78.956428172365392</v>
      </c>
      <c r="BE302" s="712"/>
      <c r="BF302" s="712"/>
      <c r="BG302" s="712">
        <v>0</v>
      </c>
      <c r="BH302" s="712">
        <v>0</v>
      </c>
      <c r="BI302" s="134">
        <f t="shared" si="179"/>
        <v>78.956428172365392</v>
      </c>
      <c r="BJ302" s="123"/>
      <c r="BK302" s="792"/>
      <c r="BL302" s="104"/>
      <c r="BM302" s="672"/>
      <c r="BO302" s="562"/>
      <c r="BS302" s="879"/>
      <c r="BT302" s="774"/>
      <c r="BU302" s="774">
        <v>1588.3053087735598</v>
      </c>
      <c r="BV302" s="774">
        <v>0</v>
      </c>
      <c r="BW302" s="774">
        <f t="shared" si="177"/>
        <v>1588.3053087735598</v>
      </c>
    </row>
    <row r="303" spans="1:75" ht="15" thickBot="1" x14ac:dyDescent="0.35">
      <c r="A303" s="209" t="s">
        <v>231</v>
      </c>
      <c r="B303" s="227">
        <v>4</v>
      </c>
      <c r="C303" s="39">
        <f>'[3]побудинковий звіт'!E303</f>
        <v>5596.9</v>
      </c>
      <c r="D303" s="205">
        <f t="shared" si="152"/>
        <v>1676.1040538390444</v>
      </c>
      <c r="E303" s="104">
        <f t="shared" si="153"/>
        <v>368.74319978496288</v>
      </c>
      <c r="F303" s="104">
        <f t="shared" si="154"/>
        <v>314.43894748002288</v>
      </c>
      <c r="G303" s="104">
        <f t="shared" si="155"/>
        <v>0</v>
      </c>
      <c r="H303" s="104">
        <f t="shared" si="156"/>
        <v>1400.3425201145662</v>
      </c>
      <c r="I303" s="104">
        <f t="shared" si="157"/>
        <v>483.91246997496307</v>
      </c>
      <c r="J303" s="672">
        <f t="shared" si="145"/>
        <v>0</v>
      </c>
      <c r="K303" s="139">
        <f t="shared" si="158"/>
        <v>4243.5411911935589</v>
      </c>
      <c r="L303" s="138">
        <f t="shared" si="146"/>
        <v>1911.2891304814682</v>
      </c>
      <c r="M303" s="104">
        <f t="shared" si="147"/>
        <v>420.48162958534522</v>
      </c>
      <c r="N303" s="29">
        <f t="shared" si="159"/>
        <v>93.345186638525917</v>
      </c>
      <c r="O303" s="104">
        <f t="shared" si="148"/>
        <v>10.07615180189249</v>
      </c>
      <c r="P303" s="104">
        <f t="shared" si="160"/>
        <v>1596.8336998622979</v>
      </c>
      <c r="Q303" s="104">
        <f t="shared" si="161"/>
        <v>518.97346992799669</v>
      </c>
      <c r="R303" s="140">
        <f t="shared" si="162"/>
        <v>4550.9992682975271</v>
      </c>
      <c r="S303" s="138">
        <f t="shared" si="163"/>
        <v>61.6</v>
      </c>
      <c r="T303" s="104">
        <f t="shared" si="149"/>
        <v>7.9287106150194084</v>
      </c>
      <c r="U303" s="139">
        <f t="shared" si="164"/>
        <v>69.528710615019406</v>
      </c>
      <c r="V303" s="104"/>
      <c r="W303" s="104">
        <f t="shared" si="165"/>
        <v>0</v>
      </c>
      <c r="X303" s="139">
        <f t="shared" si="166"/>
        <v>0</v>
      </c>
      <c r="Y303" s="138">
        <v>0</v>
      </c>
      <c r="Z303" s="141">
        <v>0</v>
      </c>
      <c r="AA303" s="104">
        <f t="shared" si="150"/>
        <v>0</v>
      </c>
      <c r="AB303" s="139">
        <f t="shared" si="151"/>
        <v>0</v>
      </c>
      <c r="AC303" s="138">
        <v>0</v>
      </c>
      <c r="AD303" s="104">
        <f t="shared" si="167"/>
        <v>0</v>
      </c>
      <c r="AE303" s="139">
        <f t="shared" si="168"/>
        <v>0</v>
      </c>
      <c r="AF303" s="142">
        <v>635.79999999999995</v>
      </c>
      <c r="AG303" s="104">
        <f t="shared" si="169"/>
        <v>81.835620276450314</v>
      </c>
      <c r="AH303" s="139">
        <f t="shared" si="170"/>
        <v>717.63562027645025</v>
      </c>
      <c r="AI303" s="142">
        <v>0</v>
      </c>
      <c r="AJ303" s="104">
        <f t="shared" si="171"/>
        <v>0</v>
      </c>
      <c r="AK303" s="139">
        <f t="shared" si="172"/>
        <v>0</v>
      </c>
      <c r="AL303" s="143">
        <v>3952.5</v>
      </c>
      <c r="AM303" s="143"/>
      <c r="AN303" s="104">
        <f t="shared" si="173"/>
        <v>508.73747899130211</v>
      </c>
      <c r="AO303" s="148">
        <f t="shared" si="174"/>
        <v>4461.2374789913019</v>
      </c>
      <c r="AP303" s="272">
        <f t="shared" si="175"/>
        <v>3022.6650702660136</v>
      </c>
      <c r="AQ303" s="669">
        <v>289.45999999999998</v>
      </c>
      <c r="AR303" s="725">
        <v>1257.4228147012607</v>
      </c>
      <c r="AS303" s="725">
        <v>1755.2915884056049</v>
      </c>
      <c r="AT303" s="725">
        <v>9.9506671591481357</v>
      </c>
      <c r="AU303" s="401">
        <v>0</v>
      </c>
      <c r="AV303" s="786"/>
      <c r="AW303" s="246"/>
      <c r="AX303" s="713">
        <f t="shared" si="176"/>
        <v>138.92894748002286</v>
      </c>
      <c r="AY303" s="714">
        <v>93.345186638525917</v>
      </c>
      <c r="AZ303" s="715"/>
      <c r="BA303" s="716">
        <v>0</v>
      </c>
      <c r="BC303" s="712">
        <v>0</v>
      </c>
      <c r="BD303" s="712">
        <v>138.92894748002286</v>
      </c>
      <c r="BE303" s="712"/>
      <c r="BF303" s="712"/>
      <c r="BG303" s="712">
        <v>0</v>
      </c>
      <c r="BH303" s="712">
        <v>0</v>
      </c>
      <c r="BI303" s="134">
        <f t="shared" si="179"/>
        <v>138.92894748002286</v>
      </c>
      <c r="BJ303" s="123">
        <v>280</v>
      </c>
      <c r="BK303" s="792"/>
      <c r="BL303" s="104"/>
      <c r="BM303" s="672">
        <v>175.51</v>
      </c>
      <c r="BO303" s="562"/>
      <c r="BS303" s="879"/>
      <c r="BT303" s="774"/>
      <c r="BU303" s="774">
        <v>1289.651569362572</v>
      </c>
      <c r="BV303" s="774">
        <v>0</v>
      </c>
      <c r="BW303" s="774">
        <f t="shared" si="177"/>
        <v>1289.651569362572</v>
      </c>
    </row>
    <row r="304" spans="1:75" ht="15" thickBot="1" x14ac:dyDescent="0.35">
      <c r="A304" s="210" t="s">
        <v>142</v>
      </c>
      <c r="B304" s="228">
        <v>1</v>
      </c>
      <c r="C304" s="39">
        <f>'[3]побудинковий звіт'!E304</f>
        <v>201.1</v>
      </c>
      <c r="D304" s="205">
        <f t="shared" si="152"/>
        <v>14.757767683712038</v>
      </c>
      <c r="E304" s="104">
        <f t="shared" si="153"/>
        <v>3.2467116017712785</v>
      </c>
      <c r="F304" s="104">
        <f t="shared" si="154"/>
        <v>0</v>
      </c>
      <c r="G304" s="104">
        <f t="shared" si="155"/>
        <v>0</v>
      </c>
      <c r="H304" s="104">
        <f t="shared" si="156"/>
        <v>12.329741427532614</v>
      </c>
      <c r="I304" s="104">
        <f t="shared" si="157"/>
        <v>3.9044035351563475</v>
      </c>
      <c r="J304" s="672">
        <f t="shared" si="145"/>
        <v>0</v>
      </c>
      <c r="K304" s="139">
        <f t="shared" si="158"/>
        <v>34.238624248172279</v>
      </c>
      <c r="L304" s="138">
        <f t="shared" si="146"/>
        <v>0</v>
      </c>
      <c r="M304" s="104">
        <f t="shared" si="147"/>
        <v>0</v>
      </c>
      <c r="N304" s="29">
        <f t="shared" si="159"/>
        <v>0</v>
      </c>
      <c r="O304" s="104">
        <f t="shared" si="148"/>
        <v>0.36204222468877051</v>
      </c>
      <c r="P304" s="104">
        <f t="shared" si="160"/>
        <v>0</v>
      </c>
      <c r="Q304" s="104">
        <f t="shared" si="161"/>
        <v>4.6599481006089224E-2</v>
      </c>
      <c r="R304" s="140">
        <f t="shared" si="162"/>
        <v>0.40864170569485975</v>
      </c>
      <c r="S304" s="138">
        <f t="shared" si="163"/>
        <v>0</v>
      </c>
      <c r="T304" s="104">
        <f t="shared" si="149"/>
        <v>0</v>
      </c>
      <c r="U304" s="139">
        <f t="shared" si="164"/>
        <v>0</v>
      </c>
      <c r="V304" s="104"/>
      <c r="W304" s="104">
        <f t="shared" si="165"/>
        <v>0</v>
      </c>
      <c r="X304" s="139">
        <f t="shared" si="166"/>
        <v>0</v>
      </c>
      <c r="Y304" s="138">
        <v>0</v>
      </c>
      <c r="Z304" s="141">
        <v>0</v>
      </c>
      <c r="AA304" s="104">
        <f t="shared" si="150"/>
        <v>0</v>
      </c>
      <c r="AB304" s="139">
        <f t="shared" si="151"/>
        <v>0</v>
      </c>
      <c r="AC304" s="138">
        <v>0</v>
      </c>
      <c r="AD304" s="104">
        <f t="shared" si="167"/>
        <v>0</v>
      </c>
      <c r="AE304" s="139">
        <f t="shared" si="168"/>
        <v>0</v>
      </c>
      <c r="AF304" s="142">
        <v>0</v>
      </c>
      <c r="AG304" s="104">
        <f t="shared" si="169"/>
        <v>0</v>
      </c>
      <c r="AH304" s="139">
        <f t="shared" si="170"/>
        <v>0</v>
      </c>
      <c r="AI304" s="142">
        <v>0</v>
      </c>
      <c r="AJ304" s="104">
        <f t="shared" si="171"/>
        <v>0</v>
      </c>
      <c r="AK304" s="139">
        <f t="shared" si="172"/>
        <v>0</v>
      </c>
      <c r="AL304" s="143"/>
      <c r="AM304" s="205"/>
      <c r="AN304" s="104">
        <f t="shared" si="173"/>
        <v>0</v>
      </c>
      <c r="AO304" s="148">
        <f t="shared" si="174"/>
        <v>0</v>
      </c>
      <c r="AP304" s="272">
        <f t="shared" si="175"/>
        <v>0</v>
      </c>
      <c r="AQ304" s="669">
        <v>13.62</v>
      </c>
      <c r="AR304" s="401">
        <v>0</v>
      </c>
      <c r="AS304" s="401">
        <v>0</v>
      </c>
      <c r="AT304" s="401">
        <v>0</v>
      </c>
      <c r="AU304" s="401">
        <v>0</v>
      </c>
      <c r="AV304" s="727">
        <v>0</v>
      </c>
      <c r="AW304" s="246"/>
      <c r="AX304" s="713">
        <f t="shared" si="176"/>
        <v>0</v>
      </c>
      <c r="AY304" s="714">
        <v>0</v>
      </c>
      <c r="AZ304" s="715"/>
      <c r="BA304" s="716">
        <v>0</v>
      </c>
      <c r="BB304" s="727"/>
      <c r="BC304" s="712">
        <v>0</v>
      </c>
      <c r="BD304" s="712">
        <v>0</v>
      </c>
      <c r="BE304" s="712"/>
      <c r="BF304" s="712"/>
      <c r="BG304" s="712">
        <v>0</v>
      </c>
      <c r="BH304" s="712">
        <v>0</v>
      </c>
      <c r="BI304" s="134">
        <f>BC304+BD304+BE304+BG304+BH304</f>
        <v>0</v>
      </c>
      <c r="BJ304" s="123"/>
      <c r="BK304" s="792"/>
      <c r="BL304" s="104"/>
      <c r="BM304" s="672"/>
      <c r="BO304" s="562"/>
      <c r="BS304" s="879"/>
      <c r="BT304" s="774"/>
      <c r="BU304" s="774">
        <v>0</v>
      </c>
      <c r="BV304" s="774">
        <v>0</v>
      </c>
      <c r="BW304" s="774">
        <f t="shared" si="177"/>
        <v>0</v>
      </c>
    </row>
    <row r="305" spans="1:75" ht="15" thickBot="1" x14ac:dyDescent="0.35">
      <c r="A305" s="210" t="s">
        <v>143</v>
      </c>
      <c r="B305" s="228">
        <v>1</v>
      </c>
      <c r="C305" s="39">
        <f>'[3]побудинковий звіт'!E305</f>
        <v>243.32</v>
      </c>
      <c r="D305" s="205">
        <f t="shared" si="152"/>
        <v>16.231377379001934</v>
      </c>
      <c r="E305" s="104">
        <f t="shared" si="153"/>
        <v>3.5709060054723758</v>
      </c>
      <c r="F305" s="104">
        <f t="shared" si="154"/>
        <v>0</v>
      </c>
      <c r="G305" s="104">
        <f t="shared" si="155"/>
        <v>0</v>
      </c>
      <c r="H305" s="104">
        <f t="shared" si="156"/>
        <v>13.560905035568178</v>
      </c>
      <c r="I305" s="104">
        <f t="shared" si="157"/>
        <v>4.294270554819537</v>
      </c>
      <c r="J305" s="672">
        <f t="shared" si="145"/>
        <v>0</v>
      </c>
      <c r="K305" s="139">
        <f t="shared" si="158"/>
        <v>37.657458974862024</v>
      </c>
      <c r="L305" s="138">
        <f t="shared" si="146"/>
        <v>0</v>
      </c>
      <c r="M305" s="104">
        <f t="shared" si="147"/>
        <v>0</v>
      </c>
      <c r="N305" s="29">
        <f t="shared" si="159"/>
        <v>0</v>
      </c>
      <c r="O305" s="104">
        <f t="shared" si="148"/>
        <v>0.43805128846977442</v>
      </c>
      <c r="P305" s="104">
        <f t="shared" si="160"/>
        <v>0</v>
      </c>
      <c r="Q305" s="104">
        <f t="shared" si="161"/>
        <v>5.6382823065149829E-2</v>
      </c>
      <c r="R305" s="140">
        <f t="shared" si="162"/>
        <v>0.49443411153492423</v>
      </c>
      <c r="S305" s="138">
        <f t="shared" si="163"/>
        <v>0</v>
      </c>
      <c r="T305" s="104">
        <f t="shared" si="149"/>
        <v>0</v>
      </c>
      <c r="U305" s="139">
        <f t="shared" si="164"/>
        <v>0</v>
      </c>
      <c r="V305" s="104"/>
      <c r="W305" s="104">
        <f t="shared" si="165"/>
        <v>0</v>
      </c>
      <c r="X305" s="139">
        <f t="shared" si="166"/>
        <v>0</v>
      </c>
      <c r="Y305" s="138">
        <v>0</v>
      </c>
      <c r="Z305" s="141">
        <v>0</v>
      </c>
      <c r="AA305" s="104">
        <f t="shared" si="150"/>
        <v>0</v>
      </c>
      <c r="AB305" s="139">
        <f t="shared" si="151"/>
        <v>0</v>
      </c>
      <c r="AC305" s="138">
        <v>0</v>
      </c>
      <c r="AD305" s="104">
        <f t="shared" si="167"/>
        <v>0</v>
      </c>
      <c r="AE305" s="139">
        <f t="shared" si="168"/>
        <v>0</v>
      </c>
      <c r="AF305" s="142">
        <v>0</v>
      </c>
      <c r="AG305" s="104">
        <f t="shared" si="169"/>
        <v>0</v>
      </c>
      <c r="AH305" s="139">
        <f t="shared" si="170"/>
        <v>0</v>
      </c>
      <c r="AI305" s="142">
        <v>0</v>
      </c>
      <c r="AJ305" s="104">
        <f t="shared" si="171"/>
        <v>0</v>
      </c>
      <c r="AK305" s="139">
        <f t="shared" si="172"/>
        <v>0</v>
      </c>
      <c r="AL305" s="143"/>
      <c r="AM305" s="205"/>
      <c r="AN305" s="104">
        <f t="shared" si="173"/>
        <v>0</v>
      </c>
      <c r="AO305" s="148">
        <f t="shared" si="174"/>
        <v>0</v>
      </c>
      <c r="AP305" s="272">
        <f t="shared" si="175"/>
        <v>0</v>
      </c>
      <c r="AQ305" s="669">
        <v>14.98</v>
      </c>
      <c r="AR305" s="401">
        <v>0</v>
      </c>
      <c r="AS305" s="401">
        <v>0</v>
      </c>
      <c r="AT305" s="401">
        <v>0</v>
      </c>
      <c r="AU305" s="401">
        <v>0</v>
      </c>
      <c r="AV305" s="727">
        <v>0</v>
      </c>
      <c r="AW305" s="246"/>
      <c r="AX305" s="713">
        <f t="shared" si="176"/>
        <v>0</v>
      </c>
      <c r="AY305" s="714">
        <v>0</v>
      </c>
      <c r="AZ305" s="715"/>
      <c r="BA305" s="716">
        <v>0</v>
      </c>
      <c r="BB305" s="727"/>
      <c r="BC305" s="712">
        <v>0</v>
      </c>
      <c r="BD305" s="712">
        <v>0</v>
      </c>
      <c r="BE305" s="712"/>
      <c r="BF305" s="712"/>
      <c r="BG305" s="712">
        <v>0</v>
      </c>
      <c r="BH305" s="712">
        <v>0</v>
      </c>
      <c r="BI305" s="134">
        <f>BC305+BD305+BE305+BG305+BH305</f>
        <v>0</v>
      </c>
      <c r="BJ305" s="123"/>
      <c r="BK305" s="792"/>
      <c r="BL305" s="104"/>
      <c r="BM305" s="672"/>
      <c r="BO305" s="562"/>
      <c r="BS305" s="879"/>
      <c r="BT305" s="774"/>
      <c r="BU305" s="774">
        <v>0</v>
      </c>
      <c r="BV305" s="774">
        <v>0</v>
      </c>
      <c r="BW305" s="774">
        <f t="shared" si="177"/>
        <v>0</v>
      </c>
    </row>
    <row r="306" spans="1:75" ht="15" thickBot="1" x14ac:dyDescent="0.35">
      <c r="A306" s="210" t="s">
        <v>144</v>
      </c>
      <c r="B306" s="228">
        <v>1</v>
      </c>
      <c r="C306" s="39">
        <f>'[3]побудинковий звіт'!E306</f>
        <v>326.10000000000002</v>
      </c>
      <c r="D306" s="205">
        <f t="shared" si="152"/>
        <v>35.409974148583657</v>
      </c>
      <c r="E306" s="104">
        <f t="shared" si="153"/>
        <v>7.7902008183469444</v>
      </c>
      <c r="F306" s="104">
        <f t="shared" si="154"/>
        <v>0</v>
      </c>
      <c r="G306" s="104">
        <f t="shared" si="155"/>
        <v>0</v>
      </c>
      <c r="H306" s="104">
        <f t="shared" si="156"/>
        <v>29.584137287207479</v>
      </c>
      <c r="I306" s="104">
        <f t="shared" si="157"/>
        <v>9.3682751489654521</v>
      </c>
      <c r="J306" s="672">
        <f t="shared" si="145"/>
        <v>0</v>
      </c>
      <c r="K306" s="139">
        <f t="shared" si="158"/>
        <v>82.152587403103539</v>
      </c>
      <c r="L306" s="138">
        <f t="shared" si="146"/>
        <v>0</v>
      </c>
      <c r="M306" s="104">
        <f t="shared" si="147"/>
        <v>0</v>
      </c>
      <c r="N306" s="29">
        <f t="shared" si="159"/>
        <v>0</v>
      </c>
      <c r="O306" s="104">
        <f t="shared" si="148"/>
        <v>0.58708090239188493</v>
      </c>
      <c r="P306" s="104">
        <f t="shared" si="160"/>
        <v>0</v>
      </c>
      <c r="Q306" s="104">
        <f t="shared" si="161"/>
        <v>7.5564847121261547E-2</v>
      </c>
      <c r="R306" s="140">
        <f t="shared" si="162"/>
        <v>0.66264574951314648</v>
      </c>
      <c r="S306" s="138">
        <f t="shared" si="163"/>
        <v>0</v>
      </c>
      <c r="T306" s="104">
        <f t="shared" si="149"/>
        <v>0</v>
      </c>
      <c r="U306" s="139">
        <f t="shared" si="164"/>
        <v>0</v>
      </c>
      <c r="V306" s="104"/>
      <c r="W306" s="104">
        <f t="shared" si="165"/>
        <v>0</v>
      </c>
      <c r="X306" s="139">
        <f t="shared" si="166"/>
        <v>0</v>
      </c>
      <c r="Y306" s="138">
        <v>0</v>
      </c>
      <c r="Z306" s="141">
        <v>0</v>
      </c>
      <c r="AA306" s="104">
        <f t="shared" si="150"/>
        <v>0</v>
      </c>
      <c r="AB306" s="139">
        <f t="shared" si="151"/>
        <v>0</v>
      </c>
      <c r="AC306" s="138">
        <v>0</v>
      </c>
      <c r="AD306" s="104">
        <f t="shared" si="167"/>
        <v>0</v>
      </c>
      <c r="AE306" s="139">
        <f t="shared" si="168"/>
        <v>0</v>
      </c>
      <c r="AF306" s="142">
        <v>0</v>
      </c>
      <c r="AG306" s="104">
        <f t="shared" si="169"/>
        <v>0</v>
      </c>
      <c r="AH306" s="139">
        <f t="shared" si="170"/>
        <v>0</v>
      </c>
      <c r="AI306" s="142">
        <v>0</v>
      </c>
      <c r="AJ306" s="104">
        <f t="shared" si="171"/>
        <v>0</v>
      </c>
      <c r="AK306" s="139">
        <f t="shared" si="172"/>
        <v>0</v>
      </c>
      <c r="AL306" s="143"/>
      <c r="AM306" s="205"/>
      <c r="AN306" s="104">
        <f t="shared" si="173"/>
        <v>0</v>
      </c>
      <c r="AO306" s="148">
        <f t="shared" si="174"/>
        <v>0</v>
      </c>
      <c r="AP306" s="272">
        <f t="shared" si="175"/>
        <v>0</v>
      </c>
      <c r="AQ306" s="669">
        <v>32.68</v>
      </c>
      <c r="AR306" s="401">
        <v>0</v>
      </c>
      <c r="AS306" s="401">
        <v>0</v>
      </c>
      <c r="AT306" s="401">
        <v>0</v>
      </c>
      <c r="AU306" s="401">
        <v>0</v>
      </c>
      <c r="AV306" s="727">
        <v>0</v>
      </c>
      <c r="AW306" s="246"/>
      <c r="AX306" s="713">
        <f t="shared" si="176"/>
        <v>0</v>
      </c>
      <c r="AY306" s="714">
        <v>0</v>
      </c>
      <c r="AZ306" s="715"/>
      <c r="BA306" s="716">
        <v>0</v>
      </c>
      <c r="BB306" s="727"/>
      <c r="BC306" s="712">
        <v>0</v>
      </c>
      <c r="BD306" s="712">
        <v>0</v>
      </c>
      <c r="BE306" s="712"/>
      <c r="BF306" s="712"/>
      <c r="BG306" s="712">
        <v>0</v>
      </c>
      <c r="BH306" s="712">
        <v>0</v>
      </c>
      <c r="BI306" s="134">
        <f>BC306+BD306+BE306+BG306+BH306</f>
        <v>0</v>
      </c>
      <c r="BJ306" s="123"/>
      <c r="BK306" s="792"/>
      <c r="BL306" s="104"/>
      <c r="BM306" s="672"/>
      <c r="BO306" s="562"/>
      <c r="BS306" s="879"/>
      <c r="BT306" s="774"/>
      <c r="BU306" s="774">
        <v>0</v>
      </c>
      <c r="BV306" s="774">
        <v>0</v>
      </c>
      <c r="BW306" s="774">
        <f t="shared" si="177"/>
        <v>0</v>
      </c>
    </row>
    <row r="307" spans="1:75" ht="15" thickBot="1" x14ac:dyDescent="0.35">
      <c r="A307" s="210" t="s">
        <v>145</v>
      </c>
      <c r="B307" s="228">
        <v>1</v>
      </c>
      <c r="C307" s="39">
        <f>'[3]побудинковий звіт'!E307</f>
        <v>241.4</v>
      </c>
      <c r="D307" s="205">
        <f t="shared" si="152"/>
        <v>16.231377379001934</v>
      </c>
      <c r="E307" s="104">
        <f t="shared" si="153"/>
        <v>3.5709060054723758</v>
      </c>
      <c r="F307" s="104">
        <f t="shared" si="154"/>
        <v>0</v>
      </c>
      <c r="G307" s="104">
        <f t="shared" si="155"/>
        <v>0</v>
      </c>
      <c r="H307" s="104">
        <f t="shared" si="156"/>
        <v>13.560905035568178</v>
      </c>
      <c r="I307" s="104">
        <f t="shared" si="157"/>
        <v>4.294270554819537</v>
      </c>
      <c r="J307" s="672">
        <f t="shared" si="145"/>
        <v>0</v>
      </c>
      <c r="K307" s="139">
        <f t="shared" si="158"/>
        <v>37.657458974862024</v>
      </c>
      <c r="L307" s="138">
        <f t="shared" si="146"/>
        <v>0</v>
      </c>
      <c r="M307" s="104">
        <f t="shared" si="147"/>
        <v>0</v>
      </c>
      <c r="N307" s="29">
        <f t="shared" si="159"/>
        <v>0</v>
      </c>
      <c r="O307" s="104">
        <f t="shared" si="148"/>
        <v>0.43459469438025461</v>
      </c>
      <c r="P307" s="104">
        <f t="shared" si="160"/>
        <v>0</v>
      </c>
      <c r="Q307" s="104">
        <f t="shared" si="161"/>
        <v>5.5937915041620781E-2</v>
      </c>
      <c r="R307" s="140">
        <f t="shared" si="162"/>
        <v>0.49053260942187538</v>
      </c>
      <c r="S307" s="138">
        <f t="shared" si="163"/>
        <v>0</v>
      </c>
      <c r="T307" s="104">
        <f t="shared" si="149"/>
        <v>0</v>
      </c>
      <c r="U307" s="139">
        <f t="shared" si="164"/>
        <v>0</v>
      </c>
      <c r="V307" s="104"/>
      <c r="W307" s="104">
        <f t="shared" si="165"/>
        <v>0</v>
      </c>
      <c r="X307" s="139">
        <f t="shared" si="166"/>
        <v>0</v>
      </c>
      <c r="Y307" s="138">
        <v>0</v>
      </c>
      <c r="Z307" s="141">
        <v>0</v>
      </c>
      <c r="AA307" s="104">
        <f t="shared" si="150"/>
        <v>0</v>
      </c>
      <c r="AB307" s="139">
        <f t="shared" si="151"/>
        <v>0</v>
      </c>
      <c r="AC307" s="138">
        <v>0</v>
      </c>
      <c r="AD307" s="104">
        <f t="shared" si="167"/>
        <v>0</v>
      </c>
      <c r="AE307" s="139">
        <f t="shared" si="168"/>
        <v>0</v>
      </c>
      <c r="AF307" s="142">
        <v>0</v>
      </c>
      <c r="AG307" s="104">
        <f t="shared" si="169"/>
        <v>0</v>
      </c>
      <c r="AH307" s="139">
        <f t="shared" si="170"/>
        <v>0</v>
      </c>
      <c r="AI307" s="142">
        <v>0</v>
      </c>
      <c r="AJ307" s="104">
        <f t="shared" si="171"/>
        <v>0</v>
      </c>
      <c r="AK307" s="139">
        <f t="shared" si="172"/>
        <v>0</v>
      </c>
      <c r="AL307" s="143"/>
      <c r="AM307" s="205"/>
      <c r="AN307" s="104">
        <f t="shared" si="173"/>
        <v>0</v>
      </c>
      <c r="AO307" s="148">
        <f t="shared" si="174"/>
        <v>0</v>
      </c>
      <c r="AP307" s="272">
        <f t="shared" si="175"/>
        <v>0</v>
      </c>
      <c r="AQ307" s="669">
        <v>14.98</v>
      </c>
      <c r="AR307" s="401">
        <v>0</v>
      </c>
      <c r="AS307" s="401">
        <v>0</v>
      </c>
      <c r="AT307" s="401">
        <v>0</v>
      </c>
      <c r="AU307" s="401">
        <v>0</v>
      </c>
      <c r="AV307" s="727">
        <v>0</v>
      </c>
      <c r="AW307" s="246"/>
      <c r="AX307" s="713">
        <f t="shared" si="176"/>
        <v>0</v>
      </c>
      <c r="AY307" s="714">
        <v>0</v>
      </c>
      <c r="AZ307" s="715"/>
      <c r="BA307" s="716">
        <v>0</v>
      </c>
      <c r="BB307" s="727"/>
      <c r="BC307" s="712">
        <v>0</v>
      </c>
      <c r="BD307" s="712">
        <v>0</v>
      </c>
      <c r="BE307" s="712"/>
      <c r="BF307" s="712"/>
      <c r="BG307" s="712">
        <v>0</v>
      </c>
      <c r="BH307" s="712">
        <v>0</v>
      </c>
      <c r="BI307" s="134">
        <f>BC307+BD307+BE307+BG307+BH307</f>
        <v>0</v>
      </c>
      <c r="BJ307" s="123"/>
      <c r="BK307" s="792"/>
      <c r="BL307" s="104"/>
      <c r="BM307" s="672"/>
      <c r="BO307" s="562"/>
      <c r="BS307" s="879"/>
      <c r="BT307" s="774"/>
      <c r="BU307" s="774">
        <v>0</v>
      </c>
      <c r="BV307" s="774">
        <v>0</v>
      </c>
      <c r="BW307" s="774">
        <f t="shared" si="177"/>
        <v>0</v>
      </c>
    </row>
    <row r="308" spans="1:75" ht="15" thickBot="1" x14ac:dyDescent="0.35">
      <c r="A308" s="250" t="s">
        <v>191</v>
      </c>
      <c r="B308" s="227">
        <v>2</v>
      </c>
      <c r="C308" s="39">
        <f>'[3]побудинковий звіт'!E308</f>
        <v>148.4</v>
      </c>
      <c r="D308" s="205">
        <f t="shared" si="152"/>
        <v>0</v>
      </c>
      <c r="E308" s="104">
        <f t="shared" si="153"/>
        <v>0</v>
      </c>
      <c r="F308" s="104">
        <f t="shared" si="154"/>
        <v>0</v>
      </c>
      <c r="G308" s="104">
        <f t="shared" si="155"/>
        <v>0</v>
      </c>
      <c r="H308" s="104">
        <f t="shared" si="156"/>
        <v>0</v>
      </c>
      <c r="I308" s="104">
        <f t="shared" si="157"/>
        <v>0</v>
      </c>
      <c r="J308" s="672">
        <f t="shared" si="145"/>
        <v>0</v>
      </c>
      <c r="K308" s="139">
        <f t="shared" si="158"/>
        <v>0</v>
      </c>
      <c r="L308" s="138">
        <f t="shared" si="146"/>
        <v>0</v>
      </c>
      <c r="M308" s="104">
        <f t="shared" si="147"/>
        <v>0</v>
      </c>
      <c r="N308" s="29">
        <f t="shared" si="159"/>
        <v>0</v>
      </c>
      <c r="O308" s="104">
        <f t="shared" si="148"/>
        <v>0.26716591816913748</v>
      </c>
      <c r="P308" s="104">
        <f t="shared" si="160"/>
        <v>0</v>
      </c>
      <c r="Q308" s="104">
        <f t="shared" si="161"/>
        <v>3.438768265193258E-2</v>
      </c>
      <c r="R308" s="140">
        <f t="shared" si="162"/>
        <v>0.30155360082107008</v>
      </c>
      <c r="S308" s="138">
        <f t="shared" si="163"/>
        <v>0</v>
      </c>
      <c r="T308" s="104">
        <f t="shared" si="149"/>
        <v>0</v>
      </c>
      <c r="U308" s="139">
        <f t="shared" si="164"/>
        <v>0</v>
      </c>
      <c r="V308" s="104"/>
      <c r="W308" s="104">
        <f t="shared" si="165"/>
        <v>0</v>
      </c>
      <c r="X308" s="139">
        <f t="shared" si="166"/>
        <v>0</v>
      </c>
      <c r="Y308" s="138">
        <v>0</v>
      </c>
      <c r="Z308" s="141">
        <v>0</v>
      </c>
      <c r="AA308" s="104">
        <f t="shared" si="150"/>
        <v>0</v>
      </c>
      <c r="AB308" s="139">
        <f t="shared" si="151"/>
        <v>0</v>
      </c>
      <c r="AC308" s="138">
        <v>0</v>
      </c>
      <c r="AD308" s="104">
        <f t="shared" si="167"/>
        <v>0</v>
      </c>
      <c r="AE308" s="139">
        <f t="shared" si="168"/>
        <v>0</v>
      </c>
      <c r="AF308" s="142">
        <v>28.6</v>
      </c>
      <c r="AG308" s="104">
        <f t="shared" si="169"/>
        <v>3.6811870712590111</v>
      </c>
      <c r="AH308" s="139">
        <f t="shared" si="170"/>
        <v>32.281187071259012</v>
      </c>
      <c r="AI308" s="142">
        <v>0</v>
      </c>
      <c r="AJ308" s="104">
        <f t="shared" si="171"/>
        <v>0</v>
      </c>
      <c r="AK308" s="139">
        <f t="shared" si="172"/>
        <v>0</v>
      </c>
      <c r="AL308" s="143"/>
      <c r="AM308" s="143"/>
      <c r="AN308" s="104">
        <f t="shared" si="173"/>
        <v>0</v>
      </c>
      <c r="AO308" s="148">
        <f t="shared" si="174"/>
        <v>0</v>
      </c>
      <c r="AP308" s="272">
        <f t="shared" si="175"/>
        <v>0</v>
      </c>
      <c r="AQ308" s="669">
        <v>0</v>
      </c>
      <c r="AR308" s="401">
        <v>0</v>
      </c>
      <c r="AS308" s="401">
        <v>0</v>
      </c>
      <c r="AT308" s="401">
        <v>0</v>
      </c>
      <c r="AU308" s="401">
        <v>0</v>
      </c>
      <c r="AV308" s="727">
        <v>0</v>
      </c>
      <c r="AW308" s="246"/>
      <c r="AX308" s="713">
        <f t="shared" si="176"/>
        <v>0</v>
      </c>
      <c r="AY308" s="714">
        <v>0</v>
      </c>
      <c r="AZ308" s="715"/>
      <c r="BA308" s="716">
        <v>0</v>
      </c>
      <c r="BB308" s="727"/>
      <c r="BC308" s="712">
        <v>0</v>
      </c>
      <c r="BD308" s="712">
        <v>0</v>
      </c>
      <c r="BE308" s="712"/>
      <c r="BF308" s="712"/>
      <c r="BG308" s="712">
        <v>0</v>
      </c>
      <c r="BH308" s="712">
        <v>0</v>
      </c>
      <c r="BI308" s="134">
        <f>BC308+BD308+BE308+BG308</f>
        <v>0</v>
      </c>
      <c r="BJ308" s="123"/>
      <c r="BK308" s="792"/>
      <c r="BL308" s="104"/>
      <c r="BM308" s="672"/>
      <c r="BO308" s="562"/>
      <c r="BS308" s="879"/>
      <c r="BT308" s="774"/>
      <c r="BU308" s="774">
        <v>0</v>
      </c>
      <c r="BV308" s="774">
        <v>0</v>
      </c>
      <c r="BW308" s="774">
        <f t="shared" si="177"/>
        <v>0</v>
      </c>
    </row>
    <row r="309" spans="1:75" ht="15" thickBot="1" x14ac:dyDescent="0.35">
      <c r="A309" s="209" t="s">
        <v>232</v>
      </c>
      <c r="B309" s="227">
        <v>4</v>
      </c>
      <c r="C309" s="39">
        <f>'[3]побудинковий звіт'!E309</f>
        <v>3401.3999999999996</v>
      </c>
      <c r="D309" s="205">
        <f t="shared" si="152"/>
        <v>2215.0392328128464</v>
      </c>
      <c r="E309" s="104">
        <f t="shared" si="153"/>
        <v>487.30903817447211</v>
      </c>
      <c r="F309" s="104">
        <f t="shared" si="154"/>
        <v>218.18515352585746</v>
      </c>
      <c r="G309" s="104">
        <f t="shared" si="155"/>
        <v>0</v>
      </c>
      <c r="H309" s="104">
        <f t="shared" si="156"/>
        <v>1850.6092234102089</v>
      </c>
      <c r="I309" s="104">
        <f t="shared" si="157"/>
        <v>614.10729477860309</v>
      </c>
      <c r="J309" s="672">
        <f t="shared" si="145"/>
        <v>0</v>
      </c>
      <c r="K309" s="139">
        <f t="shared" si="158"/>
        <v>5385.2499427019884</v>
      </c>
      <c r="L309" s="138">
        <f t="shared" si="146"/>
        <v>1065.3324395986338</v>
      </c>
      <c r="M309" s="104">
        <f t="shared" si="147"/>
        <v>234.37203357072522</v>
      </c>
      <c r="N309" s="29">
        <f t="shared" si="159"/>
        <v>151.9787312893211</v>
      </c>
      <c r="O309" s="104">
        <f t="shared" si="148"/>
        <v>6.1235724667149869</v>
      </c>
      <c r="P309" s="104">
        <f t="shared" si="160"/>
        <v>890.05829310559602</v>
      </c>
      <c r="Q309" s="104">
        <f t="shared" si="161"/>
        <v>302.20036856149358</v>
      </c>
      <c r="R309" s="140">
        <f t="shared" si="162"/>
        <v>2650.0654385924845</v>
      </c>
      <c r="S309" s="138">
        <f t="shared" si="163"/>
        <v>162.25660000000002</v>
      </c>
      <c r="T309" s="104">
        <f t="shared" si="149"/>
        <v>20.884506928197375</v>
      </c>
      <c r="U309" s="139">
        <f t="shared" si="164"/>
        <v>183.14110692819739</v>
      </c>
      <c r="V309" s="104"/>
      <c r="W309" s="104">
        <f t="shared" si="165"/>
        <v>0</v>
      </c>
      <c r="X309" s="139">
        <f t="shared" si="166"/>
        <v>0</v>
      </c>
      <c r="Y309" s="138">
        <v>0</v>
      </c>
      <c r="Z309" s="141">
        <v>0</v>
      </c>
      <c r="AA309" s="104">
        <f t="shared" si="150"/>
        <v>0</v>
      </c>
      <c r="AB309" s="139">
        <f t="shared" si="151"/>
        <v>0</v>
      </c>
      <c r="AC309" s="138">
        <v>0</v>
      </c>
      <c r="AD309" s="104">
        <f t="shared" si="167"/>
        <v>0</v>
      </c>
      <c r="AE309" s="139">
        <f t="shared" si="168"/>
        <v>0</v>
      </c>
      <c r="AF309" s="142">
        <v>638</v>
      </c>
      <c r="AG309" s="104">
        <f t="shared" si="169"/>
        <v>82.118788512701016</v>
      </c>
      <c r="AH309" s="139">
        <f t="shared" si="170"/>
        <v>720.11878851270103</v>
      </c>
      <c r="AI309" s="142">
        <v>0</v>
      </c>
      <c r="AJ309" s="104">
        <f t="shared" si="171"/>
        <v>0</v>
      </c>
      <c r="AK309" s="139">
        <f t="shared" si="172"/>
        <v>0</v>
      </c>
      <c r="AL309" s="143">
        <v>2422.5</v>
      </c>
      <c r="AM309" s="143"/>
      <c r="AN309" s="104">
        <f t="shared" si="173"/>
        <v>311.80684196241094</v>
      </c>
      <c r="AO309" s="148">
        <f t="shared" si="174"/>
        <v>2734.306841962411</v>
      </c>
      <c r="AP309" s="272">
        <f t="shared" si="175"/>
        <v>2503.4755929785474</v>
      </c>
      <c r="AQ309" s="669">
        <v>524.72</v>
      </c>
      <c r="AR309" s="725">
        <v>1519.5481439014607</v>
      </c>
      <c r="AS309" s="725">
        <v>948.64540674912666</v>
      </c>
      <c r="AT309" s="725">
        <v>35.282042327959751</v>
      </c>
      <c r="AU309" s="401">
        <v>0</v>
      </c>
      <c r="AV309" s="786"/>
      <c r="AW309" s="246"/>
      <c r="AX309" s="713">
        <f t="shared" si="176"/>
        <v>101.17515352585745</v>
      </c>
      <c r="AY309" s="714">
        <v>67.97873128932109</v>
      </c>
      <c r="AZ309" s="715"/>
      <c r="BA309" s="716">
        <v>84</v>
      </c>
      <c r="BC309" s="712">
        <v>0</v>
      </c>
      <c r="BD309" s="712">
        <v>101.17515352585745</v>
      </c>
      <c r="BE309" s="712"/>
      <c r="BF309" s="712"/>
      <c r="BG309" s="712">
        <v>0</v>
      </c>
      <c r="BH309" s="712">
        <v>0</v>
      </c>
      <c r="BI309" s="134">
        <f t="shared" ref="BI309:BI321" si="180">BC309+BD309+BE309+BG309</f>
        <v>101.17515352585745</v>
      </c>
      <c r="BJ309" s="123">
        <v>737.53</v>
      </c>
      <c r="BK309" s="792"/>
      <c r="BL309" s="104"/>
      <c r="BM309" s="672">
        <v>117.01</v>
      </c>
      <c r="BO309" s="562"/>
      <c r="BS309" s="879"/>
      <c r="BT309" s="774"/>
      <c r="BU309" s="774">
        <v>1484.5843158267751</v>
      </c>
      <c r="BV309" s="774">
        <v>0</v>
      </c>
      <c r="BW309" s="774">
        <f t="shared" si="177"/>
        <v>1484.5843158267751</v>
      </c>
    </row>
    <row r="310" spans="1:75" ht="15" thickBot="1" x14ac:dyDescent="0.35">
      <c r="A310" s="209" t="s">
        <v>233</v>
      </c>
      <c r="B310" s="227">
        <v>4</v>
      </c>
      <c r="C310" s="39">
        <f>'[3]побудинковий звіт'!E310</f>
        <v>1246.9000000000001</v>
      </c>
      <c r="D310" s="205">
        <f t="shared" si="152"/>
        <v>1034.1375753775835</v>
      </c>
      <c r="E310" s="104">
        <f t="shared" si="153"/>
        <v>227.51045657885658</v>
      </c>
      <c r="F310" s="104">
        <f t="shared" si="154"/>
        <v>153.98688765000657</v>
      </c>
      <c r="G310" s="104">
        <f t="shared" si="155"/>
        <v>0</v>
      </c>
      <c r="H310" s="104">
        <f t="shared" si="156"/>
        <v>863.99577349180345</v>
      </c>
      <c r="I310" s="104">
        <f t="shared" si="157"/>
        <v>293.4177284852621</v>
      </c>
      <c r="J310" s="672">
        <f t="shared" si="145"/>
        <v>0</v>
      </c>
      <c r="K310" s="139">
        <f t="shared" si="158"/>
        <v>2573.0484215835122</v>
      </c>
      <c r="L310" s="138">
        <f t="shared" si="146"/>
        <v>318.20721212013126</v>
      </c>
      <c r="M310" s="104">
        <f t="shared" si="147"/>
        <v>70.005257166076746</v>
      </c>
      <c r="N310" s="29">
        <f t="shared" si="159"/>
        <v>24.844458563957584</v>
      </c>
      <c r="O310" s="104">
        <f t="shared" si="148"/>
        <v>2.2448058178241075</v>
      </c>
      <c r="P310" s="104">
        <f t="shared" si="160"/>
        <v>265.85407291290142</v>
      </c>
      <c r="Q310" s="104">
        <f t="shared" si="161"/>
        <v>87.673494709740552</v>
      </c>
      <c r="R310" s="140">
        <f t="shared" si="162"/>
        <v>768.82930129063163</v>
      </c>
      <c r="S310" s="138">
        <f t="shared" si="163"/>
        <v>68.573999999999998</v>
      </c>
      <c r="T310" s="104">
        <f t="shared" si="149"/>
        <v>8.8263539239341053</v>
      </c>
      <c r="U310" s="139">
        <f t="shared" si="164"/>
        <v>77.400353923934105</v>
      </c>
      <c r="V310" s="104"/>
      <c r="W310" s="104">
        <f t="shared" si="165"/>
        <v>0</v>
      </c>
      <c r="X310" s="139">
        <f t="shared" si="166"/>
        <v>0</v>
      </c>
      <c r="Y310" s="138">
        <v>0</v>
      </c>
      <c r="Z310" s="141">
        <v>0</v>
      </c>
      <c r="AA310" s="104">
        <f t="shared" si="150"/>
        <v>0</v>
      </c>
      <c r="AB310" s="139">
        <f t="shared" si="151"/>
        <v>0</v>
      </c>
      <c r="AC310" s="138">
        <v>0</v>
      </c>
      <c r="AD310" s="104">
        <f t="shared" si="167"/>
        <v>0</v>
      </c>
      <c r="AE310" s="139">
        <f t="shared" si="168"/>
        <v>0</v>
      </c>
      <c r="AF310" s="142">
        <v>59.4</v>
      </c>
      <c r="AG310" s="104">
        <f t="shared" si="169"/>
        <v>7.6455423787687149</v>
      </c>
      <c r="AH310" s="139">
        <f t="shared" si="170"/>
        <v>67.045542378768715</v>
      </c>
      <c r="AI310" s="142">
        <v>0</v>
      </c>
      <c r="AJ310" s="104">
        <f t="shared" si="171"/>
        <v>0</v>
      </c>
      <c r="AK310" s="139">
        <f t="shared" si="172"/>
        <v>0</v>
      </c>
      <c r="AL310" s="143">
        <v>127.5</v>
      </c>
      <c r="AM310" s="143"/>
      <c r="AN310" s="104">
        <f t="shared" si="173"/>
        <v>16.410886419074263</v>
      </c>
      <c r="AO310" s="148">
        <f t="shared" si="174"/>
        <v>143.91088641907427</v>
      </c>
      <c r="AP310" s="272">
        <f t="shared" si="175"/>
        <v>1027.3616280508579</v>
      </c>
      <c r="AQ310" s="669">
        <v>220.94</v>
      </c>
      <c r="AR310" s="725">
        <v>733.46950681098417</v>
      </c>
      <c r="AS310" s="725">
        <v>282.85382441511018</v>
      </c>
      <c r="AT310" s="725">
        <v>11.038296824763526</v>
      </c>
      <c r="AU310" s="401">
        <v>0</v>
      </c>
      <c r="AV310" s="786"/>
      <c r="AW310" s="246"/>
      <c r="AX310" s="713">
        <f t="shared" si="176"/>
        <v>36.976887650006574</v>
      </c>
      <c r="AY310" s="714">
        <v>24.844458563957584</v>
      </c>
      <c r="AZ310" s="715"/>
      <c r="BA310" s="716">
        <v>0</v>
      </c>
      <c r="BC310" s="712">
        <v>0</v>
      </c>
      <c r="BD310" s="712">
        <v>36.976887650006574</v>
      </c>
      <c r="BE310" s="712"/>
      <c r="BF310" s="712"/>
      <c r="BG310" s="712">
        <v>0</v>
      </c>
      <c r="BH310" s="712">
        <v>0</v>
      </c>
      <c r="BI310" s="134">
        <f t="shared" si="180"/>
        <v>36.976887650006574</v>
      </c>
      <c r="BJ310" s="123">
        <v>311.7</v>
      </c>
      <c r="BK310" s="792"/>
      <c r="BL310" s="104"/>
      <c r="BM310" s="672">
        <v>117.01</v>
      </c>
      <c r="BO310" s="562"/>
      <c r="BS310" s="879"/>
      <c r="BT310" s="774"/>
      <c r="BU310" s="774">
        <v>716.59579790982934</v>
      </c>
      <c r="BV310" s="774">
        <v>0</v>
      </c>
      <c r="BW310" s="774">
        <f t="shared" si="177"/>
        <v>716.59579790982934</v>
      </c>
    </row>
    <row r="311" spans="1:75" ht="15" thickBot="1" x14ac:dyDescent="0.35">
      <c r="A311" s="209" t="s">
        <v>234</v>
      </c>
      <c r="B311" s="227">
        <v>4</v>
      </c>
      <c r="C311" s="39">
        <f>'[3]побудинковий звіт'!E311</f>
        <v>4217.7</v>
      </c>
      <c r="D311" s="205">
        <f t="shared" si="152"/>
        <v>4073.7394641140822</v>
      </c>
      <c r="E311" s="104">
        <f t="shared" si="153"/>
        <v>896.22343054839894</v>
      </c>
      <c r="F311" s="104">
        <f t="shared" si="154"/>
        <v>133.03412121312695</v>
      </c>
      <c r="G311" s="104">
        <f t="shared" si="155"/>
        <v>0</v>
      </c>
      <c r="H311" s="104">
        <f t="shared" si="156"/>
        <v>3403.5062288653653</v>
      </c>
      <c r="I311" s="104">
        <f t="shared" si="157"/>
        <v>1094.8961456700454</v>
      </c>
      <c r="J311" s="672">
        <f t="shared" si="145"/>
        <v>0</v>
      </c>
      <c r="K311" s="139">
        <f t="shared" si="158"/>
        <v>9601.3993904110193</v>
      </c>
      <c r="L311" s="138">
        <f t="shared" si="146"/>
        <v>1215.6716249907029</v>
      </c>
      <c r="M311" s="104">
        <f t="shared" si="147"/>
        <v>267.44649868227339</v>
      </c>
      <c r="N311" s="29">
        <f t="shared" si="159"/>
        <v>173.38450264814151</v>
      </c>
      <c r="O311" s="104">
        <f t="shared" si="148"/>
        <v>7.593165047587406</v>
      </c>
      <c r="P311" s="104">
        <f t="shared" si="160"/>
        <v>1015.6628778935747</v>
      </c>
      <c r="Q311" s="104">
        <f t="shared" si="161"/>
        <v>344.91933452386559</v>
      </c>
      <c r="R311" s="140">
        <f t="shared" si="162"/>
        <v>3024.6780037861454</v>
      </c>
      <c r="S311" s="138">
        <f t="shared" si="163"/>
        <v>87.45</v>
      </c>
      <c r="T311" s="104">
        <f t="shared" si="149"/>
        <v>11.255937390965054</v>
      </c>
      <c r="U311" s="139">
        <f t="shared" si="164"/>
        <v>98.705937390965062</v>
      </c>
      <c r="V311" s="104"/>
      <c r="W311" s="104">
        <f t="shared" si="165"/>
        <v>0</v>
      </c>
      <c r="X311" s="139">
        <f t="shared" si="166"/>
        <v>0</v>
      </c>
      <c r="Y311" s="138">
        <v>0</v>
      </c>
      <c r="Z311" s="141">
        <v>0</v>
      </c>
      <c r="AA311" s="104">
        <f t="shared" si="150"/>
        <v>0</v>
      </c>
      <c r="AB311" s="139">
        <f t="shared" si="151"/>
        <v>0</v>
      </c>
      <c r="AC311" s="138">
        <v>0</v>
      </c>
      <c r="AD311" s="104">
        <f t="shared" si="167"/>
        <v>0</v>
      </c>
      <c r="AE311" s="139">
        <f t="shared" si="168"/>
        <v>0</v>
      </c>
      <c r="AF311" s="142">
        <v>1361.8</v>
      </c>
      <c r="AG311" s="104">
        <f t="shared" si="169"/>
        <v>175.28113823917906</v>
      </c>
      <c r="AH311" s="139">
        <f t="shared" si="170"/>
        <v>1537.0811382391789</v>
      </c>
      <c r="AI311" s="142">
        <v>0</v>
      </c>
      <c r="AJ311" s="104">
        <f t="shared" si="171"/>
        <v>0</v>
      </c>
      <c r="AK311" s="139">
        <f t="shared" si="172"/>
        <v>0</v>
      </c>
      <c r="AL311" s="143"/>
      <c r="AM311" s="391"/>
      <c r="AN311" s="104">
        <f t="shared" si="173"/>
        <v>0</v>
      </c>
      <c r="AO311" s="148">
        <f t="shared" si="174"/>
        <v>0</v>
      </c>
      <c r="AP311" s="272">
        <f t="shared" si="175"/>
        <v>4573.6884687866332</v>
      </c>
      <c r="AQ311" s="669">
        <v>308.76</v>
      </c>
      <c r="AR311" s="725">
        <v>3450.9096661969515</v>
      </c>
      <c r="AS311" s="725">
        <v>1108.6506847641294</v>
      </c>
      <c r="AT311" s="725">
        <v>14.128117825552515</v>
      </c>
      <c r="AU311" s="401">
        <v>0</v>
      </c>
      <c r="AV311" s="786"/>
      <c r="AW311" s="246"/>
      <c r="AX311" s="713">
        <f t="shared" si="176"/>
        <v>133.03412121312695</v>
      </c>
      <c r="AY311" s="714">
        <v>89.384502648141492</v>
      </c>
      <c r="AZ311" s="715"/>
      <c r="BA311" s="716">
        <v>84</v>
      </c>
      <c r="BC311" s="712">
        <v>0</v>
      </c>
      <c r="BD311" s="712">
        <v>133.03412121312695</v>
      </c>
      <c r="BE311" s="712"/>
      <c r="BF311" s="712"/>
      <c r="BG311" s="712">
        <v>0</v>
      </c>
      <c r="BH311" s="712">
        <v>0</v>
      </c>
      <c r="BI311" s="134">
        <f t="shared" si="180"/>
        <v>133.03412121312695</v>
      </c>
      <c r="BJ311" s="123">
        <v>397.5</v>
      </c>
      <c r="BK311" s="792"/>
      <c r="BL311" s="104"/>
      <c r="BM311" s="672"/>
      <c r="BO311" s="562"/>
      <c r="BS311" s="879"/>
      <c r="BT311" s="774"/>
      <c r="BU311" s="774">
        <v>3539.3408857661134</v>
      </c>
      <c r="BV311" s="774">
        <v>0</v>
      </c>
      <c r="BW311" s="774">
        <f t="shared" si="177"/>
        <v>3539.3408857661134</v>
      </c>
    </row>
    <row r="312" spans="1:75" ht="15" thickBot="1" x14ac:dyDescent="0.35">
      <c r="A312" s="209" t="s">
        <v>235</v>
      </c>
      <c r="B312" s="227">
        <v>4</v>
      </c>
      <c r="C312" s="39">
        <f>'[3]побудинковий звіт'!E312</f>
        <v>3277.6</v>
      </c>
      <c r="D312" s="205">
        <f t="shared" si="152"/>
        <v>2982.2217644132775</v>
      </c>
      <c r="E312" s="104">
        <f t="shared" si="153"/>
        <v>656.08933607633344</v>
      </c>
      <c r="F312" s="104">
        <f t="shared" si="154"/>
        <v>97.984670533375137</v>
      </c>
      <c r="G312" s="104">
        <f t="shared" si="155"/>
        <v>0</v>
      </c>
      <c r="H312" s="104">
        <f t="shared" si="156"/>
        <v>2491.5708136101375</v>
      </c>
      <c r="I312" s="104">
        <f t="shared" si="157"/>
        <v>801.60636198872271</v>
      </c>
      <c r="J312" s="672">
        <f t="shared" si="145"/>
        <v>0</v>
      </c>
      <c r="K312" s="139">
        <f t="shared" si="158"/>
        <v>7029.4729466218469</v>
      </c>
      <c r="L312" s="138">
        <f t="shared" si="146"/>
        <v>1134.2568040323856</v>
      </c>
      <c r="M312" s="104">
        <f t="shared" si="147"/>
        <v>249.53532237566785</v>
      </c>
      <c r="N312" s="29">
        <f t="shared" si="159"/>
        <v>65.835072708425784</v>
      </c>
      <c r="O312" s="104">
        <f t="shared" si="148"/>
        <v>5.9006941603178227</v>
      </c>
      <c r="P312" s="104">
        <f t="shared" si="160"/>
        <v>947.64285533333191</v>
      </c>
      <c r="Q312" s="104">
        <f t="shared" si="161"/>
        <v>309.3189192241764</v>
      </c>
      <c r="R312" s="140">
        <f t="shared" si="162"/>
        <v>2712.4896678343057</v>
      </c>
      <c r="S312" s="138">
        <f t="shared" si="163"/>
        <v>81.400000000000006</v>
      </c>
      <c r="T312" s="104">
        <f t="shared" si="149"/>
        <v>10.477224741275647</v>
      </c>
      <c r="U312" s="139">
        <f t="shared" si="164"/>
        <v>91.877224741275654</v>
      </c>
      <c r="V312" s="104"/>
      <c r="W312" s="104">
        <f t="shared" si="165"/>
        <v>0</v>
      </c>
      <c r="X312" s="139">
        <f t="shared" si="166"/>
        <v>0</v>
      </c>
      <c r="Y312" s="138">
        <v>0</v>
      </c>
      <c r="Z312" s="141">
        <v>0</v>
      </c>
      <c r="AA312" s="104">
        <f t="shared" si="150"/>
        <v>0</v>
      </c>
      <c r="AB312" s="139">
        <f t="shared" si="151"/>
        <v>0</v>
      </c>
      <c r="AC312" s="138">
        <v>0</v>
      </c>
      <c r="AD312" s="104">
        <f t="shared" si="167"/>
        <v>0</v>
      </c>
      <c r="AE312" s="139">
        <f t="shared" si="168"/>
        <v>0</v>
      </c>
      <c r="AF312" s="142">
        <v>354.2</v>
      </c>
      <c r="AG312" s="104">
        <f t="shared" si="169"/>
        <v>45.590086036361591</v>
      </c>
      <c r="AH312" s="139">
        <f t="shared" si="170"/>
        <v>399.79008603636157</v>
      </c>
      <c r="AI312" s="142">
        <v>0</v>
      </c>
      <c r="AJ312" s="104">
        <f t="shared" si="171"/>
        <v>0</v>
      </c>
      <c r="AK312" s="139">
        <f t="shared" si="172"/>
        <v>0</v>
      </c>
      <c r="AL312" s="143"/>
      <c r="AM312" s="391"/>
      <c r="AN312" s="104">
        <f t="shared" si="173"/>
        <v>0</v>
      </c>
      <c r="AO312" s="148">
        <f t="shared" si="174"/>
        <v>0</v>
      </c>
      <c r="AP312" s="272">
        <f t="shared" si="175"/>
        <v>3390.2789368074846</v>
      </c>
      <c r="AQ312" s="669">
        <v>409.61</v>
      </c>
      <c r="AR312" s="725">
        <v>2342.6938241168587</v>
      </c>
      <c r="AS312" s="725">
        <v>1034.5405766979613</v>
      </c>
      <c r="AT312" s="725">
        <v>13.044535992664184</v>
      </c>
      <c r="AU312" s="401">
        <v>0</v>
      </c>
      <c r="AV312" s="786"/>
      <c r="AW312" s="246"/>
      <c r="AX312" s="713">
        <f t="shared" si="176"/>
        <v>97.984670533375137</v>
      </c>
      <c r="AY312" s="714">
        <v>65.835072708425784</v>
      </c>
      <c r="AZ312" s="715"/>
      <c r="BA312" s="716">
        <v>0</v>
      </c>
      <c r="BC312" s="712">
        <v>0</v>
      </c>
      <c r="BD312" s="712">
        <v>97.984670533375137</v>
      </c>
      <c r="BE312" s="712"/>
      <c r="BF312" s="712"/>
      <c r="BG312" s="712">
        <v>0</v>
      </c>
      <c r="BH312" s="712">
        <v>0</v>
      </c>
      <c r="BI312" s="134">
        <f t="shared" si="180"/>
        <v>97.984670533375137</v>
      </c>
      <c r="BJ312" s="123">
        <v>370</v>
      </c>
      <c r="BK312" s="792"/>
      <c r="BL312" s="104"/>
      <c r="BM312" s="672"/>
      <c r="BO312" s="562"/>
      <c r="BS312" s="879"/>
      <c r="BT312" s="774"/>
      <c r="BU312" s="774">
        <v>2299.2562830755051</v>
      </c>
      <c r="BV312" s="774">
        <v>0</v>
      </c>
      <c r="BW312" s="774">
        <f t="shared" si="177"/>
        <v>2299.2562830755051</v>
      </c>
    </row>
    <row r="313" spans="1:75" ht="15" thickBot="1" x14ac:dyDescent="0.35">
      <c r="A313" s="209" t="s">
        <v>200</v>
      </c>
      <c r="B313" s="227">
        <v>3</v>
      </c>
      <c r="C313" s="39">
        <f>'[3]побудинковий звіт'!E313</f>
        <v>3987.0600000000004</v>
      </c>
      <c r="D313" s="205">
        <f t="shared" si="152"/>
        <v>907.06302836375039</v>
      </c>
      <c r="E313" s="104">
        <f t="shared" si="153"/>
        <v>199.55403288918197</v>
      </c>
      <c r="F313" s="104">
        <f t="shared" si="154"/>
        <v>411.99602079926626</v>
      </c>
      <c r="G313" s="104">
        <f t="shared" si="155"/>
        <v>0</v>
      </c>
      <c r="H313" s="104">
        <f t="shared" si="156"/>
        <v>757.82820531476455</v>
      </c>
      <c r="I313" s="104">
        <f t="shared" si="157"/>
        <v>293.00721103270922</v>
      </c>
      <c r="J313" s="672">
        <f t="shared" si="145"/>
        <v>0</v>
      </c>
      <c r="K313" s="139">
        <f t="shared" si="158"/>
        <v>2569.4484983996726</v>
      </c>
      <c r="L313" s="138">
        <f t="shared" si="146"/>
        <v>387.14305091745217</v>
      </c>
      <c r="M313" s="104">
        <f t="shared" si="147"/>
        <v>85.17107031912299</v>
      </c>
      <c r="N313" s="29">
        <f t="shared" si="159"/>
        <v>80.274929470257291</v>
      </c>
      <c r="O313" s="104">
        <f t="shared" si="148"/>
        <v>7.1779416825838362</v>
      </c>
      <c r="P313" s="104">
        <f t="shared" si="160"/>
        <v>323.44822168101962</v>
      </c>
      <c r="Q313" s="104">
        <f t="shared" si="161"/>
        <v>113.68113381731987</v>
      </c>
      <c r="R313" s="140">
        <f t="shared" si="162"/>
        <v>996.89634788775584</v>
      </c>
      <c r="S313" s="138">
        <f t="shared" si="163"/>
        <v>61.6</v>
      </c>
      <c r="T313" s="104">
        <f t="shared" si="149"/>
        <v>7.9287106150194084</v>
      </c>
      <c r="U313" s="139">
        <f t="shared" si="164"/>
        <v>69.528710615019406</v>
      </c>
      <c r="V313" s="104"/>
      <c r="W313" s="104">
        <f t="shared" si="165"/>
        <v>0</v>
      </c>
      <c r="X313" s="139">
        <f t="shared" si="166"/>
        <v>0</v>
      </c>
      <c r="Y313" s="138">
        <v>0</v>
      </c>
      <c r="Z313" s="141">
        <v>0</v>
      </c>
      <c r="AA313" s="104">
        <f t="shared" si="150"/>
        <v>0</v>
      </c>
      <c r="AB313" s="139">
        <f t="shared" si="151"/>
        <v>0</v>
      </c>
      <c r="AC313" s="138">
        <v>0</v>
      </c>
      <c r="AD313" s="104">
        <f t="shared" si="167"/>
        <v>0</v>
      </c>
      <c r="AE313" s="139">
        <f t="shared" si="168"/>
        <v>0</v>
      </c>
      <c r="AF313" s="142">
        <v>420.2</v>
      </c>
      <c r="AG313" s="104">
        <f t="shared" si="169"/>
        <v>54.085133123882386</v>
      </c>
      <c r="AH313" s="139">
        <f t="shared" si="170"/>
        <v>474.28513312388236</v>
      </c>
      <c r="AI313" s="142">
        <v>0</v>
      </c>
      <c r="AJ313" s="104">
        <f t="shared" si="171"/>
        <v>0</v>
      </c>
      <c r="AK313" s="139">
        <f t="shared" si="172"/>
        <v>0</v>
      </c>
      <c r="AL313" s="143">
        <v>2741.25</v>
      </c>
      <c r="AM313" s="143"/>
      <c r="AN313" s="104">
        <f t="shared" si="173"/>
        <v>352.83405801009661</v>
      </c>
      <c r="AO313" s="148">
        <f t="shared" si="174"/>
        <v>3094.0840580100967</v>
      </c>
      <c r="AP313" s="272">
        <f t="shared" si="175"/>
        <v>1024.3323058399189</v>
      </c>
      <c r="AQ313" s="669">
        <v>170.36</v>
      </c>
      <c r="AR313" s="725">
        <v>666.7719234107102</v>
      </c>
      <c r="AS313" s="725">
        <v>355.1512958023373</v>
      </c>
      <c r="AT313" s="725">
        <v>2.4090866268713236</v>
      </c>
      <c r="AU313" s="401">
        <v>0</v>
      </c>
      <c r="AV313" s="786"/>
      <c r="AW313" s="246"/>
      <c r="AX313" s="713">
        <f t="shared" si="176"/>
        <v>119.47602079926631</v>
      </c>
      <c r="AY313" s="714">
        <v>80.274929470257291</v>
      </c>
      <c r="AZ313" s="715"/>
      <c r="BA313" s="716">
        <v>0</v>
      </c>
      <c r="BC313" s="712">
        <v>0</v>
      </c>
      <c r="BD313" s="712">
        <v>119.47602079926631</v>
      </c>
      <c r="BE313" s="712"/>
      <c r="BF313" s="712"/>
      <c r="BG313" s="712">
        <v>0</v>
      </c>
      <c r="BH313" s="712">
        <v>0</v>
      </c>
      <c r="BI313" s="134">
        <f t="shared" si="180"/>
        <v>119.47602079926631</v>
      </c>
      <c r="BJ313" s="123">
        <v>280</v>
      </c>
      <c r="BK313" s="792"/>
      <c r="BL313" s="104"/>
      <c r="BM313" s="672">
        <v>292.52</v>
      </c>
      <c r="BO313" s="562"/>
      <c r="BS313" s="879"/>
      <c r="BT313" s="774"/>
      <c r="BU313" s="774">
        <v>2683.6506918279974</v>
      </c>
      <c r="BV313" s="774">
        <v>0</v>
      </c>
      <c r="BW313" s="774">
        <f t="shared" si="177"/>
        <v>2683.6506918279974</v>
      </c>
    </row>
    <row r="314" spans="1:75" ht="15" thickBot="1" x14ac:dyDescent="0.35">
      <c r="A314" s="209" t="s">
        <v>305</v>
      </c>
      <c r="B314" s="227">
        <v>5</v>
      </c>
      <c r="C314" s="39">
        <f>'[3]побудинковий звіт'!E314</f>
        <v>9137</v>
      </c>
      <c r="D314" s="205">
        <f t="shared" si="152"/>
        <v>3381.8252803827236</v>
      </c>
      <c r="E314" s="104">
        <f t="shared" si="153"/>
        <v>744.00218300632787</v>
      </c>
      <c r="F314" s="104">
        <f t="shared" si="154"/>
        <v>455.8945985010015</v>
      </c>
      <c r="G314" s="104">
        <f t="shared" si="155"/>
        <v>0</v>
      </c>
      <c r="H314" s="104">
        <f t="shared" si="156"/>
        <v>2825.4294385073194</v>
      </c>
      <c r="I314" s="104">
        <f t="shared" si="157"/>
        <v>953.3954663678179</v>
      </c>
      <c r="J314" s="672">
        <f t="shared" si="145"/>
        <v>0</v>
      </c>
      <c r="K314" s="139">
        <f t="shared" si="158"/>
        <v>8360.5469667651905</v>
      </c>
      <c r="L314" s="138">
        <f t="shared" si="146"/>
        <v>1564.0615590892317</v>
      </c>
      <c r="M314" s="104">
        <f t="shared" si="147"/>
        <v>344.09192342969402</v>
      </c>
      <c r="N314" s="29">
        <f t="shared" si="159"/>
        <v>188.38804404969375</v>
      </c>
      <c r="O314" s="104">
        <f t="shared" si="148"/>
        <v>16.449427185386853</v>
      </c>
      <c r="P314" s="104">
        <f t="shared" si="160"/>
        <v>1306.7338511906364</v>
      </c>
      <c r="Q314" s="104">
        <f t="shared" si="161"/>
        <v>440.16247339950911</v>
      </c>
      <c r="R314" s="140">
        <f t="shared" si="162"/>
        <v>3859.8872783441516</v>
      </c>
      <c r="S314" s="138">
        <f t="shared" si="163"/>
        <v>67.98</v>
      </c>
      <c r="T314" s="104">
        <f t="shared" si="149"/>
        <v>8.7498985001464185</v>
      </c>
      <c r="U314" s="139">
        <f t="shared" si="164"/>
        <v>76.729898500146419</v>
      </c>
      <c r="V314" s="104"/>
      <c r="W314" s="104">
        <f t="shared" si="165"/>
        <v>0</v>
      </c>
      <c r="X314" s="139">
        <f t="shared" si="166"/>
        <v>0</v>
      </c>
      <c r="Y314" s="138">
        <v>0</v>
      </c>
      <c r="Z314" s="141">
        <v>0</v>
      </c>
      <c r="AA314" s="104">
        <f t="shared" si="150"/>
        <v>0</v>
      </c>
      <c r="AB314" s="139">
        <f t="shared" si="151"/>
        <v>0</v>
      </c>
      <c r="AC314" s="138">
        <v>0</v>
      </c>
      <c r="AD314" s="104">
        <f t="shared" si="167"/>
        <v>0</v>
      </c>
      <c r="AE314" s="139">
        <f t="shared" si="168"/>
        <v>0</v>
      </c>
      <c r="AF314" s="142">
        <v>275</v>
      </c>
      <c r="AG314" s="104">
        <f t="shared" si="169"/>
        <v>35.396029531336644</v>
      </c>
      <c r="AH314" s="139">
        <f t="shared" si="170"/>
        <v>310.39602953133664</v>
      </c>
      <c r="AI314" s="142">
        <v>0</v>
      </c>
      <c r="AJ314" s="104">
        <f t="shared" si="171"/>
        <v>0</v>
      </c>
      <c r="AK314" s="139">
        <f t="shared" si="172"/>
        <v>0</v>
      </c>
      <c r="AL314" s="143">
        <v>9243.75</v>
      </c>
      <c r="AM314" s="143"/>
      <c r="AN314" s="104">
        <f t="shared" si="173"/>
        <v>1189.789265382884</v>
      </c>
      <c r="AO314" s="148">
        <f t="shared" si="174"/>
        <v>10433.539265382884</v>
      </c>
      <c r="AP314" s="272">
        <f t="shared" si="175"/>
        <v>4148.2967316480481</v>
      </c>
      <c r="AQ314" s="669">
        <v>417.35</v>
      </c>
      <c r="AR314" s="725">
        <v>2703.7494308881178</v>
      </c>
      <c r="AS314" s="725">
        <v>1436.8460501085469</v>
      </c>
      <c r="AT314" s="725">
        <v>7.7012506513838321</v>
      </c>
      <c r="AU314" s="401">
        <v>0</v>
      </c>
      <c r="AV314" s="786"/>
      <c r="AW314" s="246"/>
      <c r="AX314" s="713">
        <f t="shared" si="176"/>
        <v>280.38459850100151</v>
      </c>
      <c r="AY314" s="714">
        <v>188.38804404969375</v>
      </c>
      <c r="AZ314" s="715"/>
      <c r="BA314" s="716">
        <v>0</v>
      </c>
      <c r="BC314" s="712">
        <v>0</v>
      </c>
      <c r="BD314" s="712">
        <v>280.38459850100151</v>
      </c>
      <c r="BE314" s="712"/>
      <c r="BF314" s="712"/>
      <c r="BG314" s="712">
        <v>0</v>
      </c>
      <c r="BH314" s="712">
        <v>0</v>
      </c>
      <c r="BI314" s="134">
        <f t="shared" si="180"/>
        <v>280.38459850100151</v>
      </c>
      <c r="BJ314" s="123">
        <v>309</v>
      </c>
      <c r="BK314" s="792"/>
      <c r="BL314" s="104"/>
      <c r="BM314" s="672">
        <v>175.51</v>
      </c>
      <c r="BO314" s="562"/>
      <c r="BS314" s="879"/>
      <c r="BT314" s="774"/>
      <c r="BU314" s="774">
        <v>3756.0737785126948</v>
      </c>
      <c r="BV314" s="774">
        <v>0</v>
      </c>
      <c r="BW314" s="774">
        <f t="shared" si="177"/>
        <v>3756.0737785126948</v>
      </c>
    </row>
    <row r="315" spans="1:75" ht="15" thickBot="1" x14ac:dyDescent="0.35">
      <c r="A315" s="209" t="s">
        <v>306</v>
      </c>
      <c r="B315" s="227">
        <v>5</v>
      </c>
      <c r="C315" s="39">
        <f>'[3]побудинковий звіт'!E315</f>
        <v>2609.46</v>
      </c>
      <c r="D315" s="205">
        <f t="shared" si="152"/>
        <v>1913.8520665015897</v>
      </c>
      <c r="E315" s="104">
        <f t="shared" si="153"/>
        <v>421.04780625071487</v>
      </c>
      <c r="F315" s="104">
        <f t="shared" si="154"/>
        <v>255.29378293783324</v>
      </c>
      <c r="G315" s="104">
        <f t="shared" si="155"/>
        <v>0</v>
      </c>
      <c r="H315" s="104">
        <f t="shared" si="156"/>
        <v>1598.9749680473421</v>
      </c>
      <c r="I315" s="104">
        <f t="shared" si="157"/>
        <v>539.1997684274935</v>
      </c>
      <c r="J315" s="672">
        <f t="shared" si="145"/>
        <v>0</v>
      </c>
      <c r="K315" s="139">
        <f t="shared" si="158"/>
        <v>4728.3683921649736</v>
      </c>
      <c r="L315" s="138">
        <f t="shared" si="146"/>
        <v>525.61279552893291</v>
      </c>
      <c r="M315" s="104">
        <f t="shared" si="147"/>
        <v>115.63427074962767</v>
      </c>
      <c r="N315" s="29">
        <f t="shared" si="159"/>
        <v>53.606050028778768</v>
      </c>
      <c r="O315" s="104">
        <f t="shared" si="148"/>
        <v>4.6978354233533519</v>
      </c>
      <c r="P315" s="104">
        <f t="shared" si="160"/>
        <v>439.13618907464894</v>
      </c>
      <c r="Q315" s="104">
        <f t="shared" si="161"/>
        <v>146.56364968326966</v>
      </c>
      <c r="R315" s="140">
        <f t="shared" si="162"/>
        <v>1285.2507904886113</v>
      </c>
      <c r="S315" s="138">
        <f t="shared" si="163"/>
        <v>51.04</v>
      </c>
      <c r="T315" s="104">
        <f t="shared" si="149"/>
        <v>6.569503081016081</v>
      </c>
      <c r="U315" s="139">
        <f t="shared" si="164"/>
        <v>57.609503081016079</v>
      </c>
      <c r="V315" s="104"/>
      <c r="W315" s="104">
        <f t="shared" si="165"/>
        <v>0</v>
      </c>
      <c r="X315" s="139">
        <f t="shared" si="166"/>
        <v>0</v>
      </c>
      <c r="Y315" s="138">
        <v>0</v>
      </c>
      <c r="Z315" s="141">
        <v>0</v>
      </c>
      <c r="AA315" s="104">
        <f t="shared" si="150"/>
        <v>0</v>
      </c>
      <c r="AB315" s="139">
        <f t="shared" si="151"/>
        <v>0</v>
      </c>
      <c r="AC315" s="138">
        <v>0</v>
      </c>
      <c r="AD315" s="104">
        <f t="shared" si="167"/>
        <v>0</v>
      </c>
      <c r="AE315" s="139">
        <f t="shared" si="168"/>
        <v>0</v>
      </c>
      <c r="AF315" s="142">
        <v>231</v>
      </c>
      <c r="AG315" s="104">
        <f t="shared" si="169"/>
        <v>29.732664806322781</v>
      </c>
      <c r="AH315" s="139">
        <f t="shared" si="170"/>
        <v>260.73266480632276</v>
      </c>
      <c r="AI315" s="142">
        <v>0</v>
      </c>
      <c r="AJ315" s="104">
        <f t="shared" si="171"/>
        <v>0</v>
      </c>
      <c r="AK315" s="139">
        <f t="shared" si="172"/>
        <v>0</v>
      </c>
      <c r="AL315" s="143">
        <v>701.25</v>
      </c>
      <c r="AM315" s="143"/>
      <c r="AN315" s="104">
        <f t="shared" si="173"/>
        <v>90.259875304908434</v>
      </c>
      <c r="AO315" s="148">
        <f t="shared" si="174"/>
        <v>791.50987530490841</v>
      </c>
      <c r="AP315" s="272">
        <f t="shared" si="175"/>
        <v>2095.9406329208464</v>
      </c>
      <c r="AQ315" s="669">
        <v>155.81</v>
      </c>
      <c r="AR315" s="725">
        <v>1610.4913610467049</v>
      </c>
      <c r="AS315" s="725">
        <v>477.30792278009403</v>
      </c>
      <c r="AT315" s="725">
        <v>8.1413490940470723</v>
      </c>
      <c r="AU315" s="401">
        <v>0</v>
      </c>
      <c r="AV315" s="786"/>
      <c r="AW315" s="246"/>
      <c r="AX315" s="713">
        <f t="shared" si="176"/>
        <v>79.783782937833251</v>
      </c>
      <c r="AY315" s="714">
        <v>53.606050028778768</v>
      </c>
      <c r="AZ315" s="715"/>
      <c r="BA315" s="716">
        <v>0</v>
      </c>
      <c r="BC315" s="712">
        <v>0</v>
      </c>
      <c r="BD315" s="712">
        <v>79.783782937833251</v>
      </c>
      <c r="BE315" s="712"/>
      <c r="BF315" s="712"/>
      <c r="BG315" s="712">
        <v>0</v>
      </c>
      <c r="BH315" s="712">
        <v>0</v>
      </c>
      <c r="BI315" s="134">
        <f t="shared" si="180"/>
        <v>79.783782937833251</v>
      </c>
      <c r="BJ315" s="123">
        <v>232</v>
      </c>
      <c r="BK315" s="792"/>
      <c r="BL315" s="104"/>
      <c r="BM315" s="672">
        <v>175.51</v>
      </c>
      <c r="BO315" s="562"/>
      <c r="BS315" s="879"/>
      <c r="BT315" s="774"/>
      <c r="BU315" s="774">
        <v>1587.2594992532702</v>
      </c>
      <c r="BV315" s="774">
        <v>0</v>
      </c>
      <c r="BW315" s="774">
        <f t="shared" si="177"/>
        <v>1587.2594992532702</v>
      </c>
    </row>
    <row r="316" spans="1:75" ht="15" thickBot="1" x14ac:dyDescent="0.35">
      <c r="A316" s="209" t="s">
        <v>307</v>
      </c>
      <c r="B316" s="227">
        <v>5</v>
      </c>
      <c r="C316" s="39">
        <f>'[3]побудинковий звіт'!E316</f>
        <v>2534.1999999999998</v>
      </c>
      <c r="D316" s="205">
        <f t="shared" si="152"/>
        <v>2662.7164995633934</v>
      </c>
      <c r="E316" s="104">
        <f t="shared" si="153"/>
        <v>585.79811910860576</v>
      </c>
      <c r="F316" s="104">
        <f t="shared" si="154"/>
        <v>69.683083739017164</v>
      </c>
      <c r="G316" s="104">
        <f t="shared" si="155"/>
        <v>0</v>
      </c>
      <c r="H316" s="104">
        <f t="shared" si="156"/>
        <v>2224.6322504911177</v>
      </c>
      <c r="I316" s="104">
        <f t="shared" si="157"/>
        <v>713.43335527309534</v>
      </c>
      <c r="J316" s="672">
        <f t="shared" si="145"/>
        <v>0</v>
      </c>
      <c r="K316" s="139">
        <f t="shared" si="158"/>
        <v>6256.2633081752292</v>
      </c>
      <c r="L316" s="138">
        <f t="shared" si="146"/>
        <v>727.56253995441728</v>
      </c>
      <c r="M316" s="104">
        <f t="shared" si="147"/>
        <v>160.06300540631494</v>
      </c>
      <c r="N316" s="29">
        <f t="shared" si="159"/>
        <v>46.819475531561963</v>
      </c>
      <c r="O316" s="104">
        <f t="shared" si="148"/>
        <v>4.5623441362818609</v>
      </c>
      <c r="P316" s="104">
        <f t="shared" si="160"/>
        <v>607.86008983578415</v>
      </c>
      <c r="Q316" s="104">
        <f t="shared" si="161"/>
        <v>199.10169495797251</v>
      </c>
      <c r="R316" s="140">
        <f t="shared" si="162"/>
        <v>1745.9691498223326</v>
      </c>
      <c r="S316" s="138">
        <f t="shared" si="163"/>
        <v>26.400000000000002</v>
      </c>
      <c r="T316" s="104">
        <f t="shared" si="149"/>
        <v>3.398018835008318</v>
      </c>
      <c r="U316" s="139">
        <f t="shared" si="164"/>
        <v>29.798018835008321</v>
      </c>
      <c r="V316" s="104"/>
      <c r="W316" s="104">
        <f t="shared" si="165"/>
        <v>0</v>
      </c>
      <c r="X316" s="139">
        <f t="shared" si="166"/>
        <v>0</v>
      </c>
      <c r="Y316" s="138">
        <v>0</v>
      </c>
      <c r="Z316" s="141">
        <v>0</v>
      </c>
      <c r="AA316" s="104">
        <f t="shared" si="150"/>
        <v>0</v>
      </c>
      <c r="AB316" s="139">
        <f t="shared" si="151"/>
        <v>0</v>
      </c>
      <c r="AC316" s="138">
        <v>0</v>
      </c>
      <c r="AD316" s="104">
        <f t="shared" si="167"/>
        <v>0</v>
      </c>
      <c r="AE316" s="139">
        <f t="shared" si="168"/>
        <v>0</v>
      </c>
      <c r="AF316" s="142">
        <v>387.2</v>
      </c>
      <c r="AG316" s="104">
        <f t="shared" si="169"/>
        <v>49.837609580121992</v>
      </c>
      <c r="AH316" s="139">
        <f t="shared" si="170"/>
        <v>437.03760958012197</v>
      </c>
      <c r="AI316" s="142">
        <v>0</v>
      </c>
      <c r="AJ316" s="104">
        <f t="shared" si="171"/>
        <v>0</v>
      </c>
      <c r="AK316" s="139">
        <f t="shared" si="172"/>
        <v>0</v>
      </c>
      <c r="AL316" s="143"/>
      <c r="AM316" s="143"/>
      <c r="AN316" s="104">
        <f t="shared" si="173"/>
        <v>0</v>
      </c>
      <c r="AO316" s="148">
        <f t="shared" si="174"/>
        <v>0</v>
      </c>
      <c r="AP316" s="272">
        <f t="shared" si="175"/>
        <v>2981.008677588854</v>
      </c>
      <c r="AQ316" s="669">
        <v>148.38999999999999</v>
      </c>
      <c r="AR316" s="725">
        <v>2309.0411983566432</v>
      </c>
      <c r="AS316" s="725">
        <v>667.75124418967107</v>
      </c>
      <c r="AT316" s="725">
        <v>4.2162350425397914</v>
      </c>
      <c r="AU316" s="401">
        <v>0</v>
      </c>
      <c r="AV316" s="786"/>
      <c r="AW316" s="246"/>
      <c r="AX316" s="713">
        <f t="shared" si="176"/>
        <v>69.683083739017164</v>
      </c>
      <c r="AY316" s="714">
        <v>46.819475531561963</v>
      </c>
      <c r="AZ316" s="715"/>
      <c r="BA316" s="716">
        <v>0</v>
      </c>
      <c r="BC316" s="712">
        <v>0</v>
      </c>
      <c r="BD316" s="712">
        <v>69.683083739017164</v>
      </c>
      <c r="BE316" s="712"/>
      <c r="BF316" s="712"/>
      <c r="BG316" s="712">
        <v>0</v>
      </c>
      <c r="BH316" s="712">
        <v>0</v>
      </c>
      <c r="BI316" s="134">
        <f t="shared" si="180"/>
        <v>69.683083739017164</v>
      </c>
      <c r="BJ316" s="123">
        <v>120</v>
      </c>
      <c r="BK316" s="792"/>
      <c r="BL316" s="104"/>
      <c r="BM316" s="672"/>
      <c r="BO316" s="562"/>
      <c r="BS316" s="879"/>
      <c r="BT316" s="774"/>
      <c r="BU316" s="774">
        <v>2275.7260792492239</v>
      </c>
      <c r="BV316" s="774">
        <v>0</v>
      </c>
      <c r="BW316" s="774">
        <f t="shared" si="177"/>
        <v>2275.7260792492239</v>
      </c>
    </row>
    <row r="317" spans="1:75" ht="15" thickBot="1" x14ac:dyDescent="0.35">
      <c r="A317" s="209" t="s">
        <v>308</v>
      </c>
      <c r="B317" s="227">
        <v>5</v>
      </c>
      <c r="C317" s="39">
        <f>'[3]побудинковий звіт'!E317</f>
        <v>5026.5</v>
      </c>
      <c r="D317" s="205">
        <f t="shared" si="152"/>
        <v>2813.3367220556693</v>
      </c>
      <c r="E317" s="104">
        <f t="shared" si="153"/>
        <v>618.93459572944107</v>
      </c>
      <c r="F317" s="104">
        <f t="shared" si="154"/>
        <v>147.42442275145598</v>
      </c>
      <c r="G317" s="104">
        <f t="shared" si="155"/>
        <v>0</v>
      </c>
      <c r="H317" s="104">
        <f t="shared" si="156"/>
        <v>2350.471634664163</v>
      </c>
      <c r="I317" s="104">
        <f t="shared" si="157"/>
        <v>763.28865286681491</v>
      </c>
      <c r="J317" s="672">
        <f t="shared" si="145"/>
        <v>0</v>
      </c>
      <c r="K317" s="139">
        <f t="shared" si="158"/>
        <v>6693.4560280675441</v>
      </c>
      <c r="L317" s="138">
        <f t="shared" si="146"/>
        <v>973.553850142692</v>
      </c>
      <c r="M317" s="104">
        <f t="shared" si="147"/>
        <v>214.18083892621982</v>
      </c>
      <c r="N317" s="29">
        <f t="shared" si="159"/>
        <v>82.651036457735415</v>
      </c>
      <c r="O317" s="104">
        <f t="shared" si="148"/>
        <v>9.0492553077976368</v>
      </c>
      <c r="P317" s="104">
        <f t="shared" si="160"/>
        <v>813.37960423963875</v>
      </c>
      <c r="Q317" s="104">
        <f t="shared" si="161"/>
        <v>269.37209766143388</v>
      </c>
      <c r="R317" s="140">
        <f t="shared" si="162"/>
        <v>2362.1866827355179</v>
      </c>
      <c r="S317" s="138">
        <f t="shared" si="163"/>
        <v>7.04</v>
      </c>
      <c r="T317" s="104">
        <f t="shared" si="149"/>
        <v>0.90613835600221804</v>
      </c>
      <c r="U317" s="139">
        <f t="shared" si="164"/>
        <v>7.9461383560022183</v>
      </c>
      <c r="V317" s="104"/>
      <c r="W317" s="104">
        <f t="shared" si="165"/>
        <v>0</v>
      </c>
      <c r="X317" s="139">
        <f t="shared" si="166"/>
        <v>0</v>
      </c>
      <c r="Y317" s="138">
        <v>0</v>
      </c>
      <c r="Z317" s="141">
        <v>0</v>
      </c>
      <c r="AA317" s="104">
        <f t="shared" si="150"/>
        <v>0</v>
      </c>
      <c r="AB317" s="139">
        <f t="shared" si="151"/>
        <v>0</v>
      </c>
      <c r="AC317" s="138">
        <v>0</v>
      </c>
      <c r="AD317" s="104">
        <f t="shared" si="167"/>
        <v>0</v>
      </c>
      <c r="AE317" s="139">
        <f t="shared" si="168"/>
        <v>0</v>
      </c>
      <c r="AF317" s="142">
        <v>204.6</v>
      </c>
      <c r="AG317" s="104">
        <f t="shared" si="169"/>
        <v>26.334645971314462</v>
      </c>
      <c r="AH317" s="139">
        <f t="shared" si="170"/>
        <v>230.93464597131447</v>
      </c>
      <c r="AI317" s="142">
        <v>0</v>
      </c>
      <c r="AJ317" s="104">
        <f t="shared" si="171"/>
        <v>0</v>
      </c>
      <c r="AK317" s="139">
        <f t="shared" si="172"/>
        <v>0</v>
      </c>
      <c r="AL317" s="143"/>
      <c r="AM317" s="143"/>
      <c r="AN317" s="104">
        <f t="shared" si="173"/>
        <v>0</v>
      </c>
      <c r="AO317" s="148">
        <f t="shared" si="174"/>
        <v>0</v>
      </c>
      <c r="AP317" s="272">
        <f t="shared" si="175"/>
        <v>2445.6710901499309</v>
      </c>
      <c r="AQ317" s="669">
        <v>1049.93</v>
      </c>
      <c r="AR317" s="726">
        <v>1546.5091753292686</v>
      </c>
      <c r="AS317" s="726">
        <v>898.03503518119783</v>
      </c>
      <c r="AT317" s="726">
        <v>1.1268796394642793</v>
      </c>
      <c r="AU317" s="401">
        <v>0</v>
      </c>
      <c r="AV317" s="786"/>
      <c r="AW317" s="246"/>
      <c r="AX317" s="713">
        <f t="shared" si="176"/>
        <v>147.42442275145598</v>
      </c>
      <c r="AY317" s="714">
        <v>82.651036457735415</v>
      </c>
      <c r="AZ317" s="715"/>
      <c r="BA317" s="716">
        <v>0</v>
      </c>
      <c r="BC317" s="712">
        <v>0</v>
      </c>
      <c r="BD317" s="712">
        <v>147.42442275145598</v>
      </c>
      <c r="BE317" s="712"/>
      <c r="BF317" s="712"/>
      <c r="BG317" s="712">
        <v>0</v>
      </c>
      <c r="BH317" s="712">
        <v>10.126176167787968</v>
      </c>
      <c r="BI317" s="134">
        <f t="shared" si="180"/>
        <v>147.42442275145598</v>
      </c>
      <c r="BJ317" s="123">
        <v>32</v>
      </c>
      <c r="BK317" s="792"/>
      <c r="BL317" s="104"/>
      <c r="BM317" s="672"/>
      <c r="BO317" s="562"/>
      <c r="BS317" s="879"/>
      <c r="BT317" s="774"/>
      <c r="BU317" s="774">
        <v>1534.2603589447401</v>
      </c>
      <c r="BV317" s="774">
        <v>0</v>
      </c>
      <c r="BW317" s="774">
        <f t="shared" si="177"/>
        <v>1534.2603589447401</v>
      </c>
    </row>
    <row r="318" spans="1:75" ht="15" thickBot="1" x14ac:dyDescent="0.35">
      <c r="A318" s="209" t="s">
        <v>309</v>
      </c>
      <c r="B318" s="227">
        <v>5</v>
      </c>
      <c r="C318" s="39">
        <f>'[3]побудинковий звіт'!E318</f>
        <v>2840.51</v>
      </c>
      <c r="D318" s="205">
        <f t="shared" si="152"/>
        <v>1247.6899070585505</v>
      </c>
      <c r="E318" s="104">
        <f t="shared" si="153"/>
        <v>274.49200878333647</v>
      </c>
      <c r="F318" s="104">
        <f t="shared" si="154"/>
        <v>79.586379622511714</v>
      </c>
      <c r="G318" s="104">
        <f t="shared" si="155"/>
        <v>0</v>
      </c>
      <c r="H318" s="104">
        <f t="shared" si="156"/>
        <v>1042.413342280277</v>
      </c>
      <c r="I318" s="104">
        <f t="shared" si="157"/>
        <v>340.34011394846777</v>
      </c>
      <c r="J318" s="672">
        <f t="shared" si="145"/>
        <v>0</v>
      </c>
      <c r="K318" s="139">
        <f t="shared" si="158"/>
        <v>2984.5217516931434</v>
      </c>
      <c r="L318" s="138">
        <f t="shared" si="146"/>
        <v>546.14836837663245</v>
      </c>
      <c r="M318" s="104">
        <f t="shared" si="147"/>
        <v>120.15207551174345</v>
      </c>
      <c r="N318" s="29">
        <f t="shared" si="159"/>
        <v>46.692813495848839</v>
      </c>
      <c r="O318" s="104">
        <f t="shared" si="148"/>
        <v>5.1137969152197886</v>
      </c>
      <c r="P318" s="104">
        <f t="shared" si="160"/>
        <v>456.29314049880281</v>
      </c>
      <c r="Q318" s="104">
        <f t="shared" si="161"/>
        <v>151.16037809704099</v>
      </c>
      <c r="R318" s="140">
        <f t="shared" si="162"/>
        <v>1325.5605728952885</v>
      </c>
      <c r="S318" s="138">
        <f t="shared" si="163"/>
        <v>51.699999999999996</v>
      </c>
      <c r="T318" s="104">
        <f t="shared" si="149"/>
        <v>6.6544535518912884</v>
      </c>
      <c r="U318" s="139">
        <f t="shared" si="164"/>
        <v>58.354453551891282</v>
      </c>
      <c r="V318" s="104"/>
      <c r="W318" s="104">
        <f t="shared" si="165"/>
        <v>0</v>
      </c>
      <c r="X318" s="139">
        <f t="shared" si="166"/>
        <v>0</v>
      </c>
      <c r="Y318" s="138">
        <v>0</v>
      </c>
      <c r="Z318" s="141">
        <v>0</v>
      </c>
      <c r="AA318" s="104">
        <f t="shared" si="150"/>
        <v>0</v>
      </c>
      <c r="AB318" s="139">
        <f t="shared" si="151"/>
        <v>0</v>
      </c>
      <c r="AC318" s="138">
        <v>0</v>
      </c>
      <c r="AD318" s="104">
        <f t="shared" si="167"/>
        <v>0</v>
      </c>
      <c r="AE318" s="139">
        <f t="shared" si="168"/>
        <v>0</v>
      </c>
      <c r="AF318" s="142">
        <v>81.400000000000006</v>
      </c>
      <c r="AG318" s="104">
        <f t="shared" si="169"/>
        <v>10.477224741275647</v>
      </c>
      <c r="AH318" s="139">
        <f t="shared" si="170"/>
        <v>91.877224741275654</v>
      </c>
      <c r="AI318" s="142">
        <v>0</v>
      </c>
      <c r="AJ318" s="104">
        <f t="shared" si="171"/>
        <v>0</v>
      </c>
      <c r="AK318" s="139">
        <f t="shared" si="172"/>
        <v>0</v>
      </c>
      <c r="AL318" s="143"/>
      <c r="AM318" s="143"/>
      <c r="AN318" s="104">
        <f t="shared" si="173"/>
        <v>0</v>
      </c>
      <c r="AO318" s="148">
        <f t="shared" si="174"/>
        <v>0</v>
      </c>
      <c r="AP318" s="272">
        <f t="shared" si="175"/>
        <v>1140.9734319810898</v>
      </c>
      <c r="AQ318" s="669">
        <v>514.94000000000005</v>
      </c>
      <c r="AR318" s="726">
        <v>636.55776702969831</v>
      </c>
      <c r="AS318" s="726">
        <v>496.10845425025315</v>
      </c>
      <c r="AT318" s="726">
        <v>8.3072107011381817</v>
      </c>
      <c r="AU318" s="401">
        <v>0</v>
      </c>
      <c r="AV318" s="786"/>
      <c r="AW318" s="246"/>
      <c r="AX318" s="713">
        <f t="shared" si="176"/>
        <v>79.586379622511714</v>
      </c>
      <c r="AY318" s="714">
        <v>46.692813495848839</v>
      </c>
      <c r="AZ318" s="715"/>
      <c r="BA318" s="716">
        <v>0</v>
      </c>
      <c r="BC318" s="712">
        <v>0</v>
      </c>
      <c r="BD318" s="712">
        <v>79.586379622511714</v>
      </c>
      <c r="BE318" s="712"/>
      <c r="BF318" s="712"/>
      <c r="BG318" s="712">
        <v>0</v>
      </c>
      <c r="BH318" s="712">
        <v>2.021212919290349</v>
      </c>
      <c r="BI318" s="134">
        <f t="shared" si="180"/>
        <v>79.586379622511714</v>
      </c>
      <c r="BJ318" s="123">
        <v>235</v>
      </c>
      <c r="BK318" s="792"/>
      <c r="BL318" s="104"/>
      <c r="BM318" s="672"/>
      <c r="BO318" s="562"/>
      <c r="BS318" s="879"/>
      <c r="BT318" s="774"/>
      <c r="BU318" s="774">
        <v>631.51230909701803</v>
      </c>
      <c r="BV318" s="774">
        <v>0</v>
      </c>
      <c r="BW318" s="774">
        <f t="shared" si="177"/>
        <v>631.51230909701803</v>
      </c>
    </row>
    <row r="319" spans="1:75" ht="15" thickBot="1" x14ac:dyDescent="0.35">
      <c r="A319" s="209" t="s">
        <v>310</v>
      </c>
      <c r="B319" s="227">
        <v>5</v>
      </c>
      <c r="C319" s="39">
        <f>'[3]побудинковий звіт'!E319</f>
        <v>3295.38</v>
      </c>
      <c r="D319" s="205">
        <f t="shared" si="152"/>
        <v>3097.2562930978629</v>
      </c>
      <c r="E319" s="104">
        <f t="shared" si="153"/>
        <v>681.39695352153444</v>
      </c>
      <c r="F319" s="104">
        <f t="shared" si="154"/>
        <v>92.152767300612879</v>
      </c>
      <c r="G319" s="104">
        <f t="shared" si="155"/>
        <v>0</v>
      </c>
      <c r="H319" s="104">
        <f t="shared" si="156"/>
        <v>2587.6792511676981</v>
      </c>
      <c r="I319" s="104">
        <f t="shared" si="157"/>
        <v>831.28994607544405</v>
      </c>
      <c r="J319" s="672">
        <f t="shared" si="145"/>
        <v>0</v>
      </c>
      <c r="K319" s="139">
        <f t="shared" si="158"/>
        <v>7289.7752111631535</v>
      </c>
      <c r="L319" s="138">
        <f t="shared" si="146"/>
        <v>642.42412490326512</v>
      </c>
      <c r="M319" s="104">
        <f t="shared" si="147"/>
        <v>141.33264225502978</v>
      </c>
      <c r="N319" s="29">
        <f t="shared" si="159"/>
        <v>54.193988639149538</v>
      </c>
      <c r="O319" s="104">
        <f t="shared" si="148"/>
        <v>5.9327036618343145</v>
      </c>
      <c r="P319" s="104">
        <f t="shared" si="160"/>
        <v>536.72909864331302</v>
      </c>
      <c r="Q319" s="104">
        <f t="shared" si="161"/>
        <v>177.7025559197584</v>
      </c>
      <c r="R319" s="140">
        <f t="shared" si="162"/>
        <v>1558.3151140223501</v>
      </c>
      <c r="S319" s="138">
        <f t="shared" si="163"/>
        <v>88.26400000000001</v>
      </c>
      <c r="T319" s="104">
        <f t="shared" si="149"/>
        <v>11.360709638377809</v>
      </c>
      <c r="U319" s="139">
        <f t="shared" si="164"/>
        <v>99.624709638377823</v>
      </c>
      <c r="V319" s="104"/>
      <c r="W319" s="104">
        <f t="shared" si="165"/>
        <v>0</v>
      </c>
      <c r="X319" s="139">
        <f t="shared" si="166"/>
        <v>0</v>
      </c>
      <c r="Y319" s="138">
        <v>0</v>
      </c>
      <c r="Z319" s="141">
        <v>0</v>
      </c>
      <c r="AA319" s="104">
        <f t="shared" si="150"/>
        <v>0</v>
      </c>
      <c r="AB319" s="139">
        <f t="shared" si="151"/>
        <v>0</v>
      </c>
      <c r="AC319" s="138">
        <v>0</v>
      </c>
      <c r="AD319" s="104">
        <f t="shared" si="167"/>
        <v>0</v>
      </c>
      <c r="AE319" s="139">
        <f t="shared" si="168"/>
        <v>0</v>
      </c>
      <c r="AF319" s="142">
        <v>415.8</v>
      </c>
      <c r="AG319" s="104">
        <f t="shared" si="169"/>
        <v>53.518796651381003</v>
      </c>
      <c r="AH319" s="139">
        <f t="shared" si="170"/>
        <v>469.31879665138104</v>
      </c>
      <c r="AI319" s="142">
        <v>0</v>
      </c>
      <c r="AJ319" s="104">
        <f t="shared" si="171"/>
        <v>0</v>
      </c>
      <c r="AK319" s="139">
        <f t="shared" si="172"/>
        <v>0</v>
      </c>
      <c r="AL319" s="143"/>
      <c r="AM319" s="391"/>
      <c r="AN319" s="104">
        <f t="shared" si="173"/>
        <v>0</v>
      </c>
      <c r="AO319" s="148">
        <f t="shared" si="174"/>
        <v>0</v>
      </c>
      <c r="AP319" s="272">
        <f t="shared" si="175"/>
        <v>3075.2243540836794</v>
      </c>
      <c r="AQ319" s="669">
        <v>376.58</v>
      </c>
      <c r="AR319" s="726">
        <v>2481.8896287468692</v>
      </c>
      <c r="AS319" s="726">
        <v>573.99094402874789</v>
      </c>
      <c r="AT319" s="726">
        <v>19.343781308062141</v>
      </c>
      <c r="AU319" s="401">
        <v>0</v>
      </c>
      <c r="AV319" s="786"/>
      <c r="AW319" s="246"/>
      <c r="AX319" s="713">
        <f t="shared" si="176"/>
        <v>92.152767300612879</v>
      </c>
      <c r="AY319" s="714">
        <v>54.193988639149538</v>
      </c>
      <c r="AZ319" s="715"/>
      <c r="BA319" s="716">
        <v>0</v>
      </c>
      <c r="BC319" s="712">
        <v>0</v>
      </c>
      <c r="BD319" s="712">
        <v>92.152767300612879</v>
      </c>
      <c r="BE319" s="712"/>
      <c r="BF319" s="712"/>
      <c r="BG319" s="712">
        <v>0</v>
      </c>
      <c r="BH319" s="712">
        <v>2.1267986688055163</v>
      </c>
      <c r="BI319" s="134">
        <f t="shared" si="180"/>
        <v>92.152767300612879</v>
      </c>
      <c r="BJ319" s="123">
        <v>401.2</v>
      </c>
      <c r="BK319" s="792"/>
      <c r="BL319" s="104"/>
      <c r="BM319" s="672"/>
      <c r="BO319" s="562"/>
      <c r="BS319" s="879"/>
      <c r="BT319" s="774"/>
      <c r="BU319" s="774">
        <v>2079.6236989335985</v>
      </c>
      <c r="BV319" s="774">
        <v>0</v>
      </c>
      <c r="BW319" s="774">
        <f t="shared" si="177"/>
        <v>2079.6236989335985</v>
      </c>
    </row>
    <row r="320" spans="1:75" ht="15" thickBot="1" x14ac:dyDescent="0.35">
      <c r="A320" s="209" t="s">
        <v>311</v>
      </c>
      <c r="B320" s="227">
        <v>5</v>
      </c>
      <c r="C320" s="39">
        <f>'[3]побудинковий звіт'!E320</f>
        <v>5802.99</v>
      </c>
      <c r="D320" s="205">
        <f t="shared" si="152"/>
        <v>2827.7340390948475</v>
      </c>
      <c r="E320" s="104">
        <f t="shared" si="153"/>
        <v>622.10200812319147</v>
      </c>
      <c r="F320" s="104">
        <f t="shared" si="154"/>
        <v>163.29478150294165</v>
      </c>
      <c r="G320" s="104">
        <f t="shared" si="155"/>
        <v>0</v>
      </c>
      <c r="H320" s="104">
        <f t="shared" si="156"/>
        <v>2362.5002287000484</v>
      </c>
      <c r="I320" s="104">
        <f t="shared" si="157"/>
        <v>769.14041227944426</v>
      </c>
      <c r="J320" s="672">
        <f t="shared" si="145"/>
        <v>0</v>
      </c>
      <c r="K320" s="139">
        <f t="shared" si="158"/>
        <v>6744.771469700474</v>
      </c>
      <c r="L320" s="138">
        <f t="shared" si="146"/>
        <v>1381.7541458956566</v>
      </c>
      <c r="M320" s="104">
        <f t="shared" si="147"/>
        <v>303.98448130459133</v>
      </c>
      <c r="N320" s="29">
        <f t="shared" si="159"/>
        <v>164.7410768279945</v>
      </c>
      <c r="O320" s="104">
        <f t="shared" si="148"/>
        <v>10.447177570595167</v>
      </c>
      <c r="P320" s="104">
        <f t="shared" si="160"/>
        <v>1154.4206210887694</v>
      </c>
      <c r="Q320" s="104">
        <f t="shared" si="161"/>
        <v>388.11392455408264</v>
      </c>
      <c r="R320" s="140">
        <f t="shared" si="162"/>
        <v>3403.4614272416893</v>
      </c>
      <c r="S320" s="138">
        <f t="shared" si="163"/>
        <v>193.732</v>
      </c>
      <c r="T320" s="104">
        <f t="shared" si="149"/>
        <v>24.935794884236039</v>
      </c>
      <c r="U320" s="139">
        <f t="shared" si="164"/>
        <v>218.66779488423603</v>
      </c>
      <c r="V320" s="104"/>
      <c r="W320" s="104">
        <f t="shared" si="165"/>
        <v>0</v>
      </c>
      <c r="X320" s="139">
        <f t="shared" si="166"/>
        <v>0</v>
      </c>
      <c r="Y320" s="138">
        <v>0</v>
      </c>
      <c r="Z320" s="141">
        <v>0</v>
      </c>
      <c r="AA320" s="104">
        <f t="shared" si="150"/>
        <v>0</v>
      </c>
      <c r="AB320" s="139">
        <f t="shared" si="151"/>
        <v>0</v>
      </c>
      <c r="AC320" s="138">
        <v>0</v>
      </c>
      <c r="AD320" s="104">
        <f t="shared" si="167"/>
        <v>0</v>
      </c>
      <c r="AE320" s="139">
        <f t="shared" si="168"/>
        <v>0</v>
      </c>
      <c r="AF320" s="142">
        <v>587.4</v>
      </c>
      <c r="AG320" s="104">
        <f t="shared" si="169"/>
        <v>75.605919078935059</v>
      </c>
      <c r="AH320" s="139">
        <f t="shared" si="170"/>
        <v>663.00591907893499</v>
      </c>
      <c r="AI320" s="142">
        <v>0</v>
      </c>
      <c r="AJ320" s="104">
        <f t="shared" si="171"/>
        <v>0</v>
      </c>
      <c r="AK320" s="139">
        <f t="shared" si="172"/>
        <v>0</v>
      </c>
      <c r="AL320" s="143">
        <v>3230</v>
      </c>
      <c r="AM320" s="143"/>
      <c r="AN320" s="104">
        <f t="shared" si="173"/>
        <v>415.74245594988128</v>
      </c>
      <c r="AO320" s="148">
        <f t="shared" si="174"/>
        <v>3645.7424559498813</v>
      </c>
      <c r="AP320" s="272">
        <f t="shared" si="175"/>
        <v>3132.7370139759264</v>
      </c>
      <c r="AQ320" s="669">
        <v>753.16</v>
      </c>
      <c r="AR320" s="726">
        <v>1856.5665140566584</v>
      </c>
      <c r="AS320" s="726">
        <v>1234.0906336517385</v>
      </c>
      <c r="AT320" s="726">
        <v>42.079866267529368</v>
      </c>
      <c r="AU320" s="401">
        <v>0</v>
      </c>
      <c r="AV320" s="786"/>
      <c r="AW320" s="246"/>
      <c r="AX320" s="713">
        <f t="shared" si="176"/>
        <v>163.29478150294165</v>
      </c>
      <c r="AY320" s="714">
        <v>164.7410768279945</v>
      </c>
      <c r="AZ320" s="715"/>
      <c r="BA320" s="716">
        <v>0</v>
      </c>
      <c r="BC320" s="712">
        <v>0</v>
      </c>
      <c r="BD320" s="712">
        <v>163.29478150294165</v>
      </c>
      <c r="BE320" s="712"/>
      <c r="BF320" s="712"/>
      <c r="BG320" s="712">
        <v>0</v>
      </c>
      <c r="BH320" s="712">
        <v>5.9128019728493788</v>
      </c>
      <c r="BI320" s="134">
        <f t="shared" si="180"/>
        <v>163.29478150294165</v>
      </c>
      <c r="BJ320" s="123">
        <v>880.6</v>
      </c>
      <c r="BK320" s="792"/>
      <c r="BL320" s="104"/>
      <c r="BM320" s="672"/>
      <c r="BO320" s="562"/>
      <c r="BS320" s="879"/>
      <c r="BT320" s="774"/>
      <c r="BU320" s="774">
        <v>1802.344332280866</v>
      </c>
      <c r="BV320" s="774">
        <v>0</v>
      </c>
      <c r="BW320" s="774">
        <f t="shared" si="177"/>
        <v>1802.344332280866</v>
      </c>
    </row>
    <row r="321" spans="1:75" ht="15" thickBot="1" x14ac:dyDescent="0.35">
      <c r="A321" s="209" t="s">
        <v>312</v>
      </c>
      <c r="B321" s="227">
        <v>5</v>
      </c>
      <c r="C321" s="39">
        <f>'[3]побудинковий звіт'!E321</f>
        <v>3190.1</v>
      </c>
      <c r="D321" s="205">
        <f t="shared" si="152"/>
        <v>1597.3313006568196</v>
      </c>
      <c r="E321" s="104">
        <f t="shared" si="153"/>
        <v>351.41317961243607</v>
      </c>
      <c r="F321" s="104">
        <f t="shared" si="154"/>
        <v>94.042168106405654</v>
      </c>
      <c r="G321" s="104">
        <f t="shared" si="155"/>
        <v>0</v>
      </c>
      <c r="H321" s="104">
        <f t="shared" si="156"/>
        <v>1334.5298783189082</v>
      </c>
      <c r="I321" s="104">
        <f t="shared" si="157"/>
        <v>434.7039836929174</v>
      </c>
      <c r="J321" s="672">
        <f t="shared" si="145"/>
        <v>0</v>
      </c>
      <c r="K321" s="139">
        <f t="shared" si="158"/>
        <v>3812.0205103874873</v>
      </c>
      <c r="L321" s="138">
        <f t="shared" si="146"/>
        <v>692.233074564812</v>
      </c>
      <c r="M321" s="104">
        <f t="shared" si="147"/>
        <v>152.29055960390613</v>
      </c>
      <c r="N321" s="29">
        <f t="shared" si="159"/>
        <v>52.452982050533905</v>
      </c>
      <c r="O321" s="104">
        <f t="shared" si="148"/>
        <v>5.7431670859256423</v>
      </c>
      <c r="P321" s="104">
        <f t="shared" si="160"/>
        <v>578.34321557928229</v>
      </c>
      <c r="Q321" s="104">
        <f t="shared" si="161"/>
        <v>190.63181689557945</v>
      </c>
      <c r="R321" s="140">
        <f t="shared" si="162"/>
        <v>1671.6948157800393</v>
      </c>
      <c r="S321" s="138">
        <f t="shared" si="163"/>
        <v>64.900000000000006</v>
      </c>
      <c r="T321" s="104">
        <f t="shared" si="149"/>
        <v>8.3534629693954479</v>
      </c>
      <c r="U321" s="139">
        <f t="shared" si="164"/>
        <v>73.253462969395457</v>
      </c>
      <c r="V321" s="104"/>
      <c r="W321" s="104">
        <f t="shared" si="165"/>
        <v>0</v>
      </c>
      <c r="X321" s="139">
        <f t="shared" si="166"/>
        <v>0</v>
      </c>
      <c r="Y321" s="138">
        <v>0</v>
      </c>
      <c r="Z321" s="141">
        <v>0</v>
      </c>
      <c r="AA321" s="104">
        <f t="shared" si="150"/>
        <v>0</v>
      </c>
      <c r="AB321" s="139">
        <f t="shared" si="151"/>
        <v>0</v>
      </c>
      <c r="AC321" s="138">
        <v>0</v>
      </c>
      <c r="AD321" s="104">
        <f t="shared" si="167"/>
        <v>0</v>
      </c>
      <c r="AE321" s="139">
        <f t="shared" si="168"/>
        <v>0</v>
      </c>
      <c r="AF321" s="142">
        <v>246.4</v>
      </c>
      <c r="AG321" s="104">
        <f t="shared" si="169"/>
        <v>31.714842460077634</v>
      </c>
      <c r="AH321" s="139">
        <f t="shared" si="170"/>
        <v>278.11484246007763</v>
      </c>
      <c r="AI321" s="142">
        <v>0</v>
      </c>
      <c r="AJ321" s="104">
        <f t="shared" si="171"/>
        <v>0</v>
      </c>
      <c r="AK321" s="139">
        <f t="shared" si="172"/>
        <v>0</v>
      </c>
      <c r="AL321" s="143"/>
      <c r="AM321" s="391"/>
      <c r="AN321" s="104">
        <f t="shared" si="173"/>
        <v>0</v>
      </c>
      <c r="AO321" s="148">
        <f t="shared" si="174"/>
        <v>0</v>
      </c>
      <c r="AP321" s="272">
        <f t="shared" si="175"/>
        <v>1614.4407765371377</v>
      </c>
      <c r="AQ321" s="669">
        <v>499.08</v>
      </c>
      <c r="AR321" s="726">
        <v>975.10314078472186</v>
      </c>
      <c r="AS321" s="726">
        <v>625.25163877466628</v>
      </c>
      <c r="AT321" s="726">
        <v>14.08599697774968</v>
      </c>
      <c r="AU321" s="401">
        <v>0</v>
      </c>
      <c r="AV321" s="786"/>
      <c r="AW321" s="246"/>
      <c r="AX321" s="713">
        <f t="shared" si="176"/>
        <v>94.042168106405654</v>
      </c>
      <c r="AY321" s="714">
        <v>52.452982050533905</v>
      </c>
      <c r="AZ321" s="715"/>
      <c r="BA321" s="716">
        <v>0</v>
      </c>
      <c r="BC321" s="712">
        <v>0</v>
      </c>
      <c r="BD321" s="712">
        <v>94.042168106405654</v>
      </c>
      <c r="BE321" s="712"/>
      <c r="BF321" s="712"/>
      <c r="BG321" s="712">
        <v>0</v>
      </c>
      <c r="BH321" s="712">
        <v>6.9083247539923871</v>
      </c>
      <c r="BI321" s="134">
        <f t="shared" si="180"/>
        <v>94.042168106405654</v>
      </c>
      <c r="BJ321" s="123">
        <v>295</v>
      </c>
      <c r="BK321" s="792"/>
      <c r="BL321" s="104"/>
      <c r="BM321" s="672"/>
      <c r="BO321" s="562"/>
      <c r="BS321" s="879"/>
      <c r="BT321" s="774"/>
      <c r="BU321" s="774">
        <v>497.38061599628071</v>
      </c>
      <c r="BV321" s="774">
        <v>0</v>
      </c>
      <c r="BW321" s="774">
        <f t="shared" si="177"/>
        <v>497.38061599628071</v>
      </c>
    </row>
    <row r="322" spans="1:75" ht="15" thickBot="1" x14ac:dyDescent="0.35">
      <c r="A322" s="210" t="s">
        <v>140</v>
      </c>
      <c r="B322" s="228">
        <v>1</v>
      </c>
      <c r="C322" s="39">
        <f>'[3]побудинковий звіт'!E322</f>
        <v>152.6</v>
      </c>
      <c r="D322" s="205">
        <f t="shared" si="152"/>
        <v>0</v>
      </c>
      <c r="E322" s="104">
        <f t="shared" si="153"/>
        <v>0</v>
      </c>
      <c r="F322" s="104">
        <f t="shared" si="154"/>
        <v>0</v>
      </c>
      <c r="G322" s="104">
        <f t="shared" si="155"/>
        <v>0</v>
      </c>
      <c r="H322" s="104">
        <f t="shared" si="156"/>
        <v>0</v>
      </c>
      <c r="I322" s="104">
        <f t="shared" si="157"/>
        <v>0</v>
      </c>
      <c r="J322" s="672">
        <f t="shared" si="145"/>
        <v>0</v>
      </c>
      <c r="K322" s="139">
        <f t="shared" si="158"/>
        <v>0</v>
      </c>
      <c r="L322" s="138">
        <f t="shared" si="146"/>
        <v>0</v>
      </c>
      <c r="M322" s="104">
        <f t="shared" si="147"/>
        <v>0</v>
      </c>
      <c r="N322" s="29">
        <f t="shared" si="159"/>
        <v>0</v>
      </c>
      <c r="O322" s="104">
        <f t="shared" si="148"/>
        <v>0.27472721773996212</v>
      </c>
      <c r="P322" s="104">
        <f t="shared" si="160"/>
        <v>0</v>
      </c>
      <c r="Q322" s="104">
        <f t="shared" si="161"/>
        <v>3.5360918953402369E-2</v>
      </c>
      <c r="R322" s="140">
        <f t="shared" si="162"/>
        <v>0.31008813669336449</v>
      </c>
      <c r="S322" s="138">
        <f t="shared" si="163"/>
        <v>0</v>
      </c>
      <c r="T322" s="104">
        <f t="shared" si="149"/>
        <v>0</v>
      </c>
      <c r="U322" s="139">
        <f t="shared" si="164"/>
        <v>0</v>
      </c>
      <c r="V322" s="104"/>
      <c r="W322" s="104">
        <f t="shared" si="165"/>
        <v>0</v>
      </c>
      <c r="X322" s="139">
        <f t="shared" si="166"/>
        <v>0</v>
      </c>
      <c r="Y322" s="138">
        <v>0</v>
      </c>
      <c r="Z322" s="141">
        <v>0</v>
      </c>
      <c r="AA322" s="104">
        <f t="shared" si="150"/>
        <v>0</v>
      </c>
      <c r="AB322" s="139">
        <f t="shared" si="151"/>
        <v>0</v>
      </c>
      <c r="AC322" s="138">
        <v>0</v>
      </c>
      <c r="AD322" s="104">
        <f t="shared" si="167"/>
        <v>0</v>
      </c>
      <c r="AE322" s="139">
        <f t="shared" si="168"/>
        <v>0</v>
      </c>
      <c r="AF322" s="142">
        <v>0</v>
      </c>
      <c r="AG322" s="104">
        <f t="shared" si="169"/>
        <v>0</v>
      </c>
      <c r="AH322" s="139">
        <f t="shared" si="170"/>
        <v>0</v>
      </c>
      <c r="AI322" s="142">
        <v>0</v>
      </c>
      <c r="AJ322" s="104">
        <f t="shared" si="171"/>
        <v>0</v>
      </c>
      <c r="AK322" s="139">
        <f t="shared" si="172"/>
        <v>0</v>
      </c>
      <c r="AL322" s="143"/>
      <c r="AM322" s="205"/>
      <c r="AN322" s="104">
        <f t="shared" si="173"/>
        <v>0</v>
      </c>
      <c r="AO322" s="148">
        <f t="shared" si="174"/>
        <v>0</v>
      </c>
      <c r="AP322" s="272">
        <f t="shared" si="175"/>
        <v>0</v>
      </c>
      <c r="AQ322" s="669">
        <v>0</v>
      </c>
      <c r="AR322" s="725">
        <v>0</v>
      </c>
      <c r="AS322" s="725">
        <v>0</v>
      </c>
      <c r="AT322" s="725">
        <v>0</v>
      </c>
      <c r="AU322" s="401">
        <v>0</v>
      </c>
      <c r="AV322" s="786"/>
      <c r="AW322" s="246"/>
      <c r="AX322" s="713">
        <f t="shared" si="176"/>
        <v>0</v>
      </c>
      <c r="AY322" s="714">
        <v>0</v>
      </c>
      <c r="AZ322" s="715"/>
      <c r="BA322" s="716">
        <v>0</v>
      </c>
      <c r="BC322" s="712">
        <v>0</v>
      </c>
      <c r="BD322" s="712">
        <v>0</v>
      </c>
      <c r="BE322" s="712"/>
      <c r="BF322" s="712"/>
      <c r="BG322" s="712">
        <v>0</v>
      </c>
      <c r="BH322" s="712">
        <v>0</v>
      </c>
      <c r="BI322" s="134">
        <f>BC322+BD322+BE322+BG322+BH322</f>
        <v>0</v>
      </c>
      <c r="BJ322" s="123"/>
      <c r="BK322" s="792"/>
      <c r="BL322" s="104"/>
      <c r="BM322" s="672"/>
      <c r="BO322" s="562"/>
      <c r="BS322" s="879"/>
      <c r="BT322" s="774"/>
      <c r="BU322" s="774">
        <v>0</v>
      </c>
      <c r="BV322" s="774">
        <v>0</v>
      </c>
      <c r="BW322" s="774">
        <f t="shared" si="177"/>
        <v>0</v>
      </c>
    </row>
    <row r="323" spans="1:75" ht="15" thickBot="1" x14ac:dyDescent="0.35">
      <c r="A323" s="209" t="s">
        <v>396</v>
      </c>
      <c r="B323" s="227">
        <v>9</v>
      </c>
      <c r="C323" s="39">
        <f>'[3]побудинковий звіт'!E323</f>
        <v>2133.27</v>
      </c>
      <c r="D323" s="205">
        <f t="shared" si="152"/>
        <v>2108.8270495732881</v>
      </c>
      <c r="E323" s="104">
        <f t="shared" si="153"/>
        <v>463.94233834805283</v>
      </c>
      <c r="F323" s="104">
        <f t="shared" si="154"/>
        <v>65.224357004051228</v>
      </c>
      <c r="G323" s="104">
        <f t="shared" si="155"/>
        <v>0</v>
      </c>
      <c r="H323" s="104">
        <f t="shared" si="156"/>
        <v>1761.8716322064374</v>
      </c>
      <c r="I323" s="104">
        <f t="shared" si="157"/>
        <v>566.31914481041406</v>
      </c>
      <c r="J323" s="672">
        <f t="shared" si="145"/>
        <v>0</v>
      </c>
      <c r="K323" s="139">
        <f t="shared" si="158"/>
        <v>4966.1845219422439</v>
      </c>
      <c r="L323" s="138">
        <f t="shared" si="146"/>
        <v>877.54905782189485</v>
      </c>
      <c r="M323" s="104">
        <f t="shared" si="147"/>
        <v>193.05988402763663</v>
      </c>
      <c r="N323" s="29">
        <f t="shared" si="159"/>
        <v>127.82369468966486</v>
      </c>
      <c r="O323" s="104">
        <f t="shared" si="148"/>
        <v>3.8405460798697835</v>
      </c>
      <c r="P323" s="104">
        <f t="shared" si="160"/>
        <v>733.17002983186114</v>
      </c>
      <c r="Q323" s="104">
        <f t="shared" si="161"/>
        <v>249.11638219686574</v>
      </c>
      <c r="R323" s="140">
        <f t="shared" si="162"/>
        <v>2184.5595946477929</v>
      </c>
      <c r="S323" s="138">
        <f t="shared" si="163"/>
        <v>11</v>
      </c>
      <c r="T323" s="104">
        <f t="shared" si="149"/>
        <v>1.4158411812534657</v>
      </c>
      <c r="U323" s="139">
        <f t="shared" si="164"/>
        <v>12.415841181253466</v>
      </c>
      <c r="V323" s="104"/>
      <c r="W323" s="104">
        <f t="shared" si="165"/>
        <v>0</v>
      </c>
      <c r="X323" s="139">
        <f t="shared" si="166"/>
        <v>0</v>
      </c>
      <c r="Y323" s="138">
        <v>2154.4699999999998</v>
      </c>
      <c r="Z323" s="141">
        <v>0</v>
      </c>
      <c r="AA323" s="104">
        <f t="shared" si="150"/>
        <v>277.30794088865036</v>
      </c>
      <c r="AB323" s="139">
        <f t="shared" si="151"/>
        <v>2431.7779408886499</v>
      </c>
      <c r="AC323" s="138">
        <v>0</v>
      </c>
      <c r="AD323" s="104">
        <f t="shared" si="167"/>
        <v>0</v>
      </c>
      <c r="AE323" s="139">
        <f t="shared" si="168"/>
        <v>0</v>
      </c>
      <c r="AF323" s="142">
        <v>539</v>
      </c>
      <c r="AG323" s="104">
        <f t="shared" si="169"/>
        <v>69.376217881419819</v>
      </c>
      <c r="AH323" s="139">
        <f t="shared" si="170"/>
        <v>608.37621788141985</v>
      </c>
      <c r="AI323" s="142">
        <v>404.8</v>
      </c>
      <c r="AJ323" s="104">
        <f t="shared" si="171"/>
        <v>52.10295547012754</v>
      </c>
      <c r="AK323" s="139">
        <f t="shared" si="172"/>
        <v>456.90295547012755</v>
      </c>
      <c r="AL323" s="143"/>
      <c r="AM323" s="143"/>
      <c r="AN323" s="104">
        <f t="shared" si="173"/>
        <v>0</v>
      </c>
      <c r="AO323" s="148">
        <f t="shared" si="174"/>
        <v>0</v>
      </c>
      <c r="AP323" s="272">
        <f t="shared" si="175"/>
        <v>2756.7376290010479</v>
      </c>
      <c r="AQ323" s="669">
        <v>0</v>
      </c>
      <c r="AR323" s="725">
        <v>1946.2445154824154</v>
      </c>
      <c r="AS323" s="725">
        <v>796.03538968436544</v>
      </c>
      <c r="AT323" s="725">
        <v>14.457723834267391</v>
      </c>
      <c r="AU323" s="401">
        <v>0</v>
      </c>
      <c r="AV323" s="786"/>
      <c r="AW323" s="246"/>
      <c r="AX323" s="713">
        <f t="shared" si="176"/>
        <v>65.224357004051228</v>
      </c>
      <c r="AY323" s="714">
        <v>43.823694689664862</v>
      </c>
      <c r="AZ323" s="715"/>
      <c r="BA323" s="716">
        <v>84</v>
      </c>
      <c r="BC323" s="712">
        <v>0</v>
      </c>
      <c r="BD323" s="712">
        <v>65.224357004051228</v>
      </c>
      <c r="BE323" s="712"/>
      <c r="BF323" s="712"/>
      <c r="BG323" s="712">
        <v>0</v>
      </c>
      <c r="BH323" s="712">
        <v>0</v>
      </c>
      <c r="BI323" s="134">
        <f t="shared" ref="BI323:BI366" si="181">BC323+BD323+BE323+BG323</f>
        <v>65.224357004051228</v>
      </c>
      <c r="BJ323" s="123">
        <v>50</v>
      </c>
      <c r="BK323" s="792"/>
      <c r="BL323" s="104"/>
      <c r="BM323" s="672"/>
      <c r="BO323" s="562"/>
      <c r="BS323" s="879"/>
      <c r="BT323" s="774"/>
      <c r="BU323" s="774">
        <v>1901.9188550609633</v>
      </c>
      <c r="BV323" s="774">
        <v>0</v>
      </c>
      <c r="BW323" s="774">
        <f t="shared" si="177"/>
        <v>1901.9188550609633</v>
      </c>
    </row>
    <row r="324" spans="1:75" ht="15" thickBot="1" x14ac:dyDescent="0.35">
      <c r="A324" s="209" t="s">
        <v>397</v>
      </c>
      <c r="B324" s="227">
        <v>9</v>
      </c>
      <c r="C324" s="39">
        <f>'[3]побудинковий звіт'!E324</f>
        <v>6420.63</v>
      </c>
      <c r="D324" s="205">
        <f t="shared" si="152"/>
        <v>3728.283620483217</v>
      </c>
      <c r="E324" s="104">
        <f t="shared" si="153"/>
        <v>820.22308148111381</v>
      </c>
      <c r="F324" s="104">
        <f t="shared" si="154"/>
        <v>196.33807345668166</v>
      </c>
      <c r="G324" s="104">
        <f t="shared" si="155"/>
        <v>0</v>
      </c>
      <c r="H324" s="104">
        <f t="shared" si="156"/>
        <v>3114.886613901529</v>
      </c>
      <c r="I324" s="104">
        <f t="shared" si="157"/>
        <v>1011.6483067812155</v>
      </c>
      <c r="J324" s="672">
        <f t="shared" si="145"/>
        <v>0</v>
      </c>
      <c r="K324" s="139">
        <f t="shared" si="158"/>
        <v>8871.3796961037569</v>
      </c>
      <c r="L324" s="138">
        <f t="shared" si="146"/>
        <v>2374.3691157871253</v>
      </c>
      <c r="M324" s="104">
        <f t="shared" si="147"/>
        <v>522.3587468379452</v>
      </c>
      <c r="N324" s="29">
        <f t="shared" si="159"/>
        <v>215.91789359591817</v>
      </c>
      <c r="O324" s="104">
        <f t="shared" si="148"/>
        <v>11.559120681767581</v>
      </c>
      <c r="P324" s="104">
        <f t="shared" si="160"/>
        <v>1983.725308502135</v>
      </c>
      <c r="Q324" s="104">
        <f t="shared" si="161"/>
        <v>657.45617340580861</v>
      </c>
      <c r="R324" s="140">
        <f t="shared" si="162"/>
        <v>5765.3863588106997</v>
      </c>
      <c r="S324" s="138">
        <f t="shared" si="163"/>
        <v>77.220000000000013</v>
      </c>
      <c r="T324" s="104">
        <f t="shared" si="149"/>
        <v>9.9392050923993303</v>
      </c>
      <c r="U324" s="139">
        <f t="shared" si="164"/>
        <v>87.159205092399347</v>
      </c>
      <c r="V324" s="104"/>
      <c r="W324" s="104">
        <f t="shared" si="165"/>
        <v>0</v>
      </c>
      <c r="X324" s="139">
        <f t="shared" si="166"/>
        <v>0</v>
      </c>
      <c r="Y324" s="138">
        <v>6463.3950000000004</v>
      </c>
      <c r="Z324" s="141">
        <v>0</v>
      </c>
      <c r="AA324" s="104">
        <f t="shared" si="150"/>
        <v>831.92189197343134</v>
      </c>
      <c r="AB324" s="139">
        <f t="shared" si="151"/>
        <v>7295.3168919734317</v>
      </c>
      <c r="AC324" s="138">
        <v>0</v>
      </c>
      <c r="AD324" s="104">
        <f t="shared" si="167"/>
        <v>0</v>
      </c>
      <c r="AE324" s="139">
        <f t="shared" si="168"/>
        <v>0</v>
      </c>
      <c r="AF324" s="142">
        <v>319</v>
      </c>
      <c r="AG324" s="104">
        <f t="shared" si="169"/>
        <v>41.059394256350508</v>
      </c>
      <c r="AH324" s="139">
        <f t="shared" si="170"/>
        <v>360.05939425635052</v>
      </c>
      <c r="AI324" s="142">
        <v>1254</v>
      </c>
      <c r="AJ324" s="104">
        <f t="shared" si="171"/>
        <v>161.40589466289509</v>
      </c>
      <c r="AK324" s="139">
        <f t="shared" si="172"/>
        <v>1415.4058946628952</v>
      </c>
      <c r="AL324" s="143"/>
      <c r="AM324" s="205"/>
      <c r="AN324" s="104">
        <f t="shared" si="173"/>
        <v>0</v>
      </c>
      <c r="AO324" s="148">
        <f t="shared" si="174"/>
        <v>0</v>
      </c>
      <c r="AP324" s="272">
        <f t="shared" si="175"/>
        <v>5633.7841741943921</v>
      </c>
      <c r="AQ324" s="669">
        <v>0</v>
      </c>
      <c r="AR324" s="725">
        <v>3440.8471524474398</v>
      </c>
      <c r="AS324" s="725">
        <v>2148.7235203574251</v>
      </c>
      <c r="AT324" s="725">
        <v>44.213501389527806</v>
      </c>
      <c r="AU324" s="401">
        <v>0</v>
      </c>
      <c r="AV324" s="786"/>
      <c r="AW324" s="246"/>
      <c r="AX324" s="713">
        <f t="shared" si="176"/>
        <v>196.33807345668166</v>
      </c>
      <c r="AY324" s="714">
        <v>131.91789359591817</v>
      </c>
      <c r="AZ324" s="715"/>
      <c r="BA324" s="716">
        <v>84</v>
      </c>
      <c r="BC324" s="712">
        <v>0</v>
      </c>
      <c r="BD324" s="712">
        <v>196.33807345668166</v>
      </c>
      <c r="BE324" s="712"/>
      <c r="BF324" s="712"/>
      <c r="BG324" s="712">
        <v>0</v>
      </c>
      <c r="BH324" s="712">
        <v>0</v>
      </c>
      <c r="BI324" s="134">
        <f t="shared" si="181"/>
        <v>196.33807345668166</v>
      </c>
      <c r="BJ324" s="123">
        <v>351</v>
      </c>
      <c r="BK324" s="792"/>
      <c r="BL324" s="104"/>
      <c r="BM324" s="672"/>
      <c r="BO324" s="562"/>
      <c r="BS324" s="879"/>
      <c r="BT324" s="774"/>
      <c r="BU324" s="774">
        <v>3362.4681396300907</v>
      </c>
      <c r="BV324" s="774">
        <v>0</v>
      </c>
      <c r="BW324" s="774">
        <f t="shared" si="177"/>
        <v>3362.4681396300907</v>
      </c>
    </row>
    <row r="325" spans="1:75" ht="15" thickBot="1" x14ac:dyDescent="0.35">
      <c r="A325" s="209" t="s">
        <v>313</v>
      </c>
      <c r="B325" s="227">
        <v>5</v>
      </c>
      <c r="C325" s="39">
        <f>'[3]побудинковий звіт'!E325</f>
        <v>3374.5599999999995</v>
      </c>
      <c r="D325" s="205">
        <f t="shared" si="152"/>
        <v>789.34945161616326</v>
      </c>
      <c r="E325" s="104">
        <f t="shared" si="153"/>
        <v>173.65702437791543</v>
      </c>
      <c r="F325" s="104">
        <f t="shared" si="154"/>
        <v>103.18850575446274</v>
      </c>
      <c r="G325" s="104">
        <f t="shared" si="155"/>
        <v>0</v>
      </c>
      <c r="H325" s="104">
        <f t="shared" si="156"/>
        <v>659.48149089876028</v>
      </c>
      <c r="I325" s="104">
        <f t="shared" si="157"/>
        <v>222.11671049947907</v>
      </c>
      <c r="J325" s="672">
        <f t="shared" si="145"/>
        <v>0</v>
      </c>
      <c r="K325" s="139">
        <f t="shared" si="158"/>
        <v>1947.7931831467808</v>
      </c>
      <c r="L325" s="138">
        <f t="shared" si="146"/>
        <v>246.69211622935106</v>
      </c>
      <c r="M325" s="104">
        <f t="shared" si="147"/>
        <v>54.272010123264117</v>
      </c>
      <c r="N325" s="29">
        <f t="shared" si="159"/>
        <v>69.331485650144828</v>
      </c>
      <c r="O325" s="104">
        <f t="shared" si="148"/>
        <v>6.0752521618385735</v>
      </c>
      <c r="P325" s="104">
        <f t="shared" si="160"/>
        <v>206.10502011599974</v>
      </c>
      <c r="Q325" s="104">
        <f t="shared" si="161"/>
        <v>74.972122186499931</v>
      </c>
      <c r="R325" s="140">
        <f t="shared" si="162"/>
        <v>657.44800646709825</v>
      </c>
      <c r="S325" s="138">
        <f t="shared" si="163"/>
        <v>58.52</v>
      </c>
      <c r="T325" s="104">
        <f t="shared" si="149"/>
        <v>7.5322750842684378</v>
      </c>
      <c r="U325" s="139">
        <f t="shared" si="164"/>
        <v>66.052275084268445</v>
      </c>
      <c r="V325" s="104"/>
      <c r="W325" s="104">
        <f t="shared" si="165"/>
        <v>0</v>
      </c>
      <c r="X325" s="139">
        <f t="shared" si="166"/>
        <v>0</v>
      </c>
      <c r="Y325" s="138">
        <v>0</v>
      </c>
      <c r="Z325" s="141">
        <v>0</v>
      </c>
      <c r="AA325" s="104">
        <f t="shared" si="150"/>
        <v>0</v>
      </c>
      <c r="AB325" s="139">
        <f t="shared" si="151"/>
        <v>0</v>
      </c>
      <c r="AC325" s="138">
        <v>0</v>
      </c>
      <c r="AD325" s="104">
        <f t="shared" si="167"/>
        <v>0</v>
      </c>
      <c r="AE325" s="139">
        <f t="shared" si="168"/>
        <v>0</v>
      </c>
      <c r="AF325" s="142">
        <v>222.2</v>
      </c>
      <c r="AG325" s="104">
        <f t="shared" si="169"/>
        <v>28.599991861320007</v>
      </c>
      <c r="AH325" s="139">
        <f t="shared" si="170"/>
        <v>250.79999186132</v>
      </c>
      <c r="AI325" s="142">
        <v>0</v>
      </c>
      <c r="AJ325" s="104">
        <f t="shared" si="171"/>
        <v>0</v>
      </c>
      <c r="AK325" s="139">
        <f t="shared" si="172"/>
        <v>0</v>
      </c>
      <c r="AL325" s="143">
        <v>1530</v>
      </c>
      <c r="AM325" s="143"/>
      <c r="AN325" s="104">
        <f t="shared" si="173"/>
        <v>196.93063702889114</v>
      </c>
      <c r="AO325" s="148">
        <f t="shared" si="174"/>
        <v>1726.9306370288912</v>
      </c>
      <c r="AP325" s="272">
        <f t="shared" si="175"/>
        <v>680.32530622694219</v>
      </c>
      <c r="AQ325" s="669">
        <v>276.01</v>
      </c>
      <c r="AR325" s="725">
        <v>452.48361512024746</v>
      </c>
      <c r="AS325" s="725">
        <v>225.4365628503206</v>
      </c>
      <c r="AT325" s="725">
        <v>2.4051282563741889</v>
      </c>
      <c r="AU325" s="401">
        <v>0</v>
      </c>
      <c r="AV325" s="786"/>
      <c r="AW325" s="246"/>
      <c r="AX325" s="713">
        <f t="shared" si="176"/>
        <v>103.18850575446274</v>
      </c>
      <c r="AY325" s="714">
        <v>69.331485650144828</v>
      </c>
      <c r="AZ325" s="715"/>
      <c r="BA325" s="716">
        <v>0</v>
      </c>
      <c r="BC325" s="712">
        <v>0</v>
      </c>
      <c r="BD325" s="712">
        <v>103.18850575446274</v>
      </c>
      <c r="BE325" s="712"/>
      <c r="BF325" s="712"/>
      <c r="BG325" s="712">
        <v>0</v>
      </c>
      <c r="BH325" s="712">
        <v>0</v>
      </c>
      <c r="BI325" s="134">
        <f t="shared" si="181"/>
        <v>103.18850575446274</v>
      </c>
      <c r="BJ325" s="123">
        <v>266</v>
      </c>
      <c r="BK325" s="792"/>
      <c r="BL325" s="104"/>
      <c r="BM325" s="672"/>
      <c r="BO325" s="562"/>
      <c r="BS325" s="879"/>
      <c r="BT325" s="774"/>
      <c r="BU325" s="774">
        <v>1734.6703807589004</v>
      </c>
      <c r="BV325" s="774">
        <v>0</v>
      </c>
      <c r="BW325" s="774">
        <f t="shared" si="177"/>
        <v>1734.6703807589004</v>
      </c>
    </row>
    <row r="326" spans="1:75" ht="15" thickBot="1" x14ac:dyDescent="0.35">
      <c r="A326" s="209" t="s">
        <v>427</v>
      </c>
      <c r="B326" s="227">
        <v>16</v>
      </c>
      <c r="C326" s="39">
        <f>'[3]побудинковий звіт'!E326</f>
        <v>5269.58</v>
      </c>
      <c r="D326" s="205">
        <f t="shared" si="152"/>
        <v>2578.6561679888191</v>
      </c>
      <c r="E326" s="104">
        <f t="shared" si="153"/>
        <v>567.30483071830747</v>
      </c>
      <c r="F326" s="104">
        <f t="shared" si="154"/>
        <v>394.79099098907432</v>
      </c>
      <c r="G326" s="104">
        <f t="shared" si="155"/>
        <v>0</v>
      </c>
      <c r="H326" s="104">
        <f t="shared" si="156"/>
        <v>2154.4019707604602</v>
      </c>
      <c r="I326" s="104">
        <f t="shared" si="157"/>
        <v>733.03941007211938</v>
      </c>
      <c r="J326" s="672">
        <f t="shared" si="145"/>
        <v>0</v>
      </c>
      <c r="K326" s="139">
        <f t="shared" si="158"/>
        <v>6428.1933705287811</v>
      </c>
      <c r="L326" s="138">
        <f t="shared" si="146"/>
        <v>2885.9101969473804</v>
      </c>
      <c r="M326" s="104">
        <f t="shared" si="147"/>
        <v>634.89725499758174</v>
      </c>
      <c r="N326" s="29">
        <f t="shared" si="159"/>
        <v>192.0206712290385</v>
      </c>
      <c r="O326" s="104">
        <f t="shared" si="148"/>
        <v>9.4868745220062216</v>
      </c>
      <c r="P326" s="104">
        <f t="shared" si="160"/>
        <v>2411.1049363321331</v>
      </c>
      <c r="Q326" s="104">
        <f t="shared" si="161"/>
        <v>789.44986586526863</v>
      </c>
      <c r="R326" s="140">
        <f t="shared" si="162"/>
        <v>6922.8697998934076</v>
      </c>
      <c r="S326" s="138">
        <f t="shared" si="163"/>
        <v>60.72</v>
      </c>
      <c r="T326" s="104">
        <f t="shared" si="149"/>
        <v>7.8154433205191305</v>
      </c>
      <c r="U326" s="139">
        <f t="shared" si="164"/>
        <v>68.535443320519136</v>
      </c>
      <c r="V326" s="104"/>
      <c r="W326" s="104">
        <f t="shared" si="165"/>
        <v>0</v>
      </c>
      <c r="X326" s="139">
        <f t="shared" si="166"/>
        <v>0</v>
      </c>
      <c r="Y326" s="138">
        <v>3508.71</v>
      </c>
      <c r="Z326" s="141">
        <v>0</v>
      </c>
      <c r="AA326" s="104">
        <f t="shared" si="150"/>
        <v>451.61601009780435</v>
      </c>
      <c r="AB326" s="139">
        <f t="shared" si="151"/>
        <v>3960.3260100978046</v>
      </c>
      <c r="AC326" s="138">
        <v>0</v>
      </c>
      <c r="AD326" s="104">
        <f t="shared" si="167"/>
        <v>0</v>
      </c>
      <c r="AE326" s="139">
        <f t="shared" si="168"/>
        <v>0</v>
      </c>
      <c r="AF326" s="142">
        <v>1436.6</v>
      </c>
      <c r="AG326" s="104">
        <f t="shared" si="169"/>
        <v>184.9088582717026</v>
      </c>
      <c r="AH326" s="139">
        <f t="shared" si="170"/>
        <v>1621.5088582717026</v>
      </c>
      <c r="AI326" s="142">
        <v>981.2</v>
      </c>
      <c r="AJ326" s="104">
        <f t="shared" si="171"/>
        <v>126.29303336780914</v>
      </c>
      <c r="AK326" s="139">
        <f t="shared" si="172"/>
        <v>1107.4930333678092</v>
      </c>
      <c r="AL326" s="143"/>
      <c r="AM326" s="143"/>
      <c r="AN326" s="104">
        <f t="shared" si="173"/>
        <v>0</v>
      </c>
      <c r="AO326" s="148">
        <f t="shared" si="174"/>
        <v>0</v>
      </c>
      <c r="AP326" s="272">
        <f t="shared" si="175"/>
        <v>5045.2414359695231</v>
      </c>
      <c r="AQ326" s="669">
        <v>0</v>
      </c>
      <c r="AR326" s="725">
        <v>2379.8515982041545</v>
      </c>
      <c r="AS326" s="725">
        <v>2643.4540492645679</v>
      </c>
      <c r="AT326" s="725">
        <v>21.935788500801596</v>
      </c>
      <c r="AU326" s="401">
        <v>0</v>
      </c>
      <c r="AV326" s="786"/>
      <c r="AW326" s="246"/>
      <c r="AX326" s="713">
        <f t="shared" si="176"/>
        <v>160.77099098907428</v>
      </c>
      <c r="AY326" s="714">
        <v>108.0206712290385</v>
      </c>
      <c r="AZ326" s="715"/>
      <c r="BA326" s="716">
        <v>84</v>
      </c>
      <c r="BC326" s="712">
        <v>0</v>
      </c>
      <c r="BD326" s="712">
        <v>160.77099098907428</v>
      </c>
      <c r="BE326" s="712"/>
      <c r="BF326" s="712"/>
      <c r="BG326" s="712">
        <v>0</v>
      </c>
      <c r="BH326" s="712">
        <v>0</v>
      </c>
      <c r="BI326" s="134">
        <f t="shared" si="181"/>
        <v>160.77099098907428</v>
      </c>
      <c r="BJ326" s="123">
        <v>276</v>
      </c>
      <c r="BK326" s="792"/>
      <c r="BL326" s="104"/>
      <c r="BM326" s="672">
        <v>234.02</v>
      </c>
      <c r="BO326" s="562"/>
      <c r="BS326" s="879"/>
      <c r="BT326" s="774"/>
      <c r="BU326" s="774">
        <v>2335.7245965692155</v>
      </c>
      <c r="BV326" s="774">
        <v>0</v>
      </c>
      <c r="BW326" s="774">
        <f t="shared" si="177"/>
        <v>2335.7245965692155</v>
      </c>
    </row>
    <row r="327" spans="1:75" ht="14.25" customHeight="1" thickBot="1" x14ac:dyDescent="0.35">
      <c r="A327" s="209" t="s">
        <v>398</v>
      </c>
      <c r="B327" s="227">
        <v>9</v>
      </c>
      <c r="C327" s="39">
        <f>'[3]побудинковий звіт'!E327</f>
        <v>8484.5</v>
      </c>
      <c r="D327" s="205">
        <f t="shared" si="152"/>
        <v>6991.6592777837359</v>
      </c>
      <c r="E327" s="104">
        <f t="shared" si="153"/>
        <v>1538.16632564733</v>
      </c>
      <c r="F327" s="104">
        <f t="shared" si="154"/>
        <v>429.97387333217875</v>
      </c>
      <c r="G327" s="104">
        <f t="shared" si="155"/>
        <v>0</v>
      </c>
      <c r="H327" s="104">
        <f t="shared" si="156"/>
        <v>5841.3543899072656</v>
      </c>
      <c r="I327" s="104">
        <f t="shared" si="157"/>
        <v>1905.0984704091886</v>
      </c>
      <c r="J327" s="672">
        <f t="shared" si="145"/>
        <v>0</v>
      </c>
      <c r="K327" s="139">
        <f t="shared" si="158"/>
        <v>16706.252337079699</v>
      </c>
      <c r="L327" s="138">
        <f t="shared" si="146"/>
        <v>3589.0071219976794</v>
      </c>
      <c r="M327" s="104">
        <f t="shared" si="147"/>
        <v>789.57785045888761</v>
      </c>
      <c r="N327" s="29">
        <f t="shared" si="159"/>
        <v>170.97212769405007</v>
      </c>
      <c r="O327" s="104">
        <f t="shared" si="148"/>
        <v>15.274725287776596</v>
      </c>
      <c r="P327" s="104">
        <f t="shared" si="160"/>
        <v>2998.5246240625024</v>
      </c>
      <c r="Q327" s="104">
        <f t="shared" si="161"/>
        <v>973.50104815476061</v>
      </c>
      <c r="R327" s="140">
        <f t="shared" si="162"/>
        <v>8536.8574976556556</v>
      </c>
      <c r="S327" s="138">
        <f t="shared" si="163"/>
        <v>134.64000000000001</v>
      </c>
      <c r="T327" s="104">
        <f t="shared" si="149"/>
        <v>17.32989605854242</v>
      </c>
      <c r="U327" s="139">
        <f t="shared" si="164"/>
        <v>151.96989605854245</v>
      </c>
      <c r="V327" s="104"/>
      <c r="W327" s="104">
        <f t="shared" si="165"/>
        <v>0</v>
      </c>
      <c r="X327" s="139">
        <f t="shared" si="166"/>
        <v>0</v>
      </c>
      <c r="Y327" s="138">
        <v>5334.88</v>
      </c>
      <c r="Z327" s="141">
        <v>0</v>
      </c>
      <c r="AA327" s="104">
        <f t="shared" si="150"/>
        <v>686.66752736777175</v>
      </c>
      <c r="AB327" s="139">
        <f t="shared" si="151"/>
        <v>6021.5475273677721</v>
      </c>
      <c r="AC327" s="138">
        <v>354.22500000000002</v>
      </c>
      <c r="AD327" s="104">
        <f t="shared" si="167"/>
        <v>45.593303857228086</v>
      </c>
      <c r="AE327" s="139">
        <f t="shared" si="168"/>
        <v>399.8183038572281</v>
      </c>
      <c r="AF327" s="142">
        <v>400.4</v>
      </c>
      <c r="AG327" s="104">
        <f t="shared" si="169"/>
        <v>51.53661899762615</v>
      </c>
      <c r="AH327" s="139">
        <f t="shared" si="170"/>
        <v>451.93661899762611</v>
      </c>
      <c r="AI327" s="142">
        <v>1566.4</v>
      </c>
      <c r="AJ327" s="104">
        <f t="shared" si="171"/>
        <v>201.61578421049353</v>
      </c>
      <c r="AK327" s="139">
        <f t="shared" si="172"/>
        <v>1768.0157842104936</v>
      </c>
      <c r="AL327" s="143">
        <v>807.5</v>
      </c>
      <c r="AM327" s="143"/>
      <c r="AN327" s="104">
        <f t="shared" si="173"/>
        <v>103.93561398747032</v>
      </c>
      <c r="AO327" s="148">
        <f t="shared" si="174"/>
        <v>911.43561398747033</v>
      </c>
      <c r="AP327" s="272">
        <f t="shared" si="175"/>
        <v>9767.3901622984595</v>
      </c>
      <c r="AQ327" s="669">
        <v>0</v>
      </c>
      <c r="AR327" s="725">
        <v>6452.6289750796559</v>
      </c>
      <c r="AS327" s="725">
        <v>3250.8282944167627</v>
      </c>
      <c r="AT327" s="725">
        <v>63.932892802041245</v>
      </c>
      <c r="AU327" s="401">
        <v>0</v>
      </c>
      <c r="AV327" s="786"/>
      <c r="AW327" s="246"/>
      <c r="AX327" s="713">
        <f t="shared" si="176"/>
        <v>254.46387333217876</v>
      </c>
      <c r="AY327" s="714">
        <v>170.97212769405007</v>
      </c>
      <c r="AZ327" s="715"/>
      <c r="BA327" s="716">
        <v>0</v>
      </c>
      <c r="BC327" s="712">
        <v>0</v>
      </c>
      <c r="BD327" s="712">
        <v>254.46387333217876</v>
      </c>
      <c r="BE327" s="712"/>
      <c r="BF327" s="712"/>
      <c r="BG327" s="712">
        <v>0</v>
      </c>
      <c r="BH327" s="712">
        <v>0</v>
      </c>
      <c r="BI327" s="134">
        <f t="shared" si="181"/>
        <v>254.46387333217876</v>
      </c>
      <c r="BJ327" s="123">
        <v>612</v>
      </c>
      <c r="BK327" s="792"/>
      <c r="BL327" s="104"/>
      <c r="BM327" s="672">
        <v>175.51</v>
      </c>
      <c r="BO327" s="562"/>
      <c r="BS327" s="879"/>
      <c r="BT327" s="774"/>
      <c r="BU327" s="774">
        <v>6351.8867048281245</v>
      </c>
      <c r="BV327" s="774">
        <v>0</v>
      </c>
      <c r="BW327" s="774">
        <f t="shared" si="177"/>
        <v>6351.8867048281245</v>
      </c>
    </row>
    <row r="328" spans="1:75" ht="15" thickBot="1" x14ac:dyDescent="0.35">
      <c r="A328" s="209" t="s">
        <v>189</v>
      </c>
      <c r="B328" s="227">
        <v>2</v>
      </c>
      <c r="C328" s="39">
        <f>'[3]побудинковий звіт'!E328</f>
        <v>294.26</v>
      </c>
      <c r="D328" s="205">
        <f t="shared" si="152"/>
        <v>57.324304308116588</v>
      </c>
      <c r="E328" s="104">
        <f t="shared" si="153"/>
        <v>12.611357479630387</v>
      </c>
      <c r="F328" s="104">
        <f t="shared" si="154"/>
        <v>22.046283340290344</v>
      </c>
      <c r="G328" s="104">
        <f t="shared" si="155"/>
        <v>0</v>
      </c>
      <c r="H328" s="104">
        <f t="shared" si="156"/>
        <v>47.893005553431422</v>
      </c>
      <c r="I328" s="104">
        <f t="shared" si="157"/>
        <v>18.003701400056453</v>
      </c>
      <c r="J328" s="672">
        <f t="shared" si="145"/>
        <v>0</v>
      </c>
      <c r="K328" s="139">
        <f t="shared" si="158"/>
        <v>157.87865208152522</v>
      </c>
      <c r="L328" s="138">
        <f t="shared" si="146"/>
        <v>0</v>
      </c>
      <c r="M328" s="104">
        <f t="shared" si="147"/>
        <v>0</v>
      </c>
      <c r="N328" s="29">
        <f t="shared" si="159"/>
        <v>14.812711608436697</v>
      </c>
      <c r="O328" s="104">
        <f t="shared" si="148"/>
        <v>0.52975905040734761</v>
      </c>
      <c r="P328" s="104">
        <f t="shared" si="160"/>
        <v>0</v>
      </c>
      <c r="Q328" s="104">
        <f t="shared" si="161"/>
        <v>1.974772889178581</v>
      </c>
      <c r="R328" s="140">
        <f t="shared" si="162"/>
        <v>17.317243548022624</v>
      </c>
      <c r="S328" s="138">
        <f t="shared" si="163"/>
        <v>0</v>
      </c>
      <c r="T328" s="104">
        <f t="shared" si="149"/>
        <v>0</v>
      </c>
      <c r="U328" s="139">
        <f t="shared" si="164"/>
        <v>0</v>
      </c>
      <c r="V328" s="104"/>
      <c r="W328" s="104">
        <f t="shared" si="165"/>
        <v>0</v>
      </c>
      <c r="X328" s="139">
        <f t="shared" si="166"/>
        <v>0</v>
      </c>
      <c r="Y328" s="138">
        <v>0</v>
      </c>
      <c r="Z328" s="141">
        <v>0</v>
      </c>
      <c r="AA328" s="104">
        <f t="shared" si="150"/>
        <v>0</v>
      </c>
      <c r="AB328" s="139">
        <f t="shared" si="151"/>
        <v>0</v>
      </c>
      <c r="AC328" s="138">
        <v>0</v>
      </c>
      <c r="AD328" s="104">
        <f t="shared" si="167"/>
        <v>0</v>
      </c>
      <c r="AE328" s="139">
        <f t="shared" si="168"/>
        <v>0</v>
      </c>
      <c r="AF328" s="142">
        <v>0</v>
      </c>
      <c r="AG328" s="104">
        <f t="shared" si="169"/>
        <v>0</v>
      </c>
      <c r="AH328" s="139">
        <f t="shared" si="170"/>
        <v>0</v>
      </c>
      <c r="AI328" s="142">
        <v>0</v>
      </c>
      <c r="AJ328" s="104">
        <f t="shared" si="171"/>
        <v>0</v>
      </c>
      <c r="AK328" s="139">
        <f t="shared" si="172"/>
        <v>0</v>
      </c>
      <c r="AL328" s="143"/>
      <c r="AM328" s="205"/>
      <c r="AN328" s="104">
        <f t="shared" si="173"/>
        <v>0</v>
      </c>
      <c r="AO328" s="148">
        <f t="shared" si="174"/>
        <v>0</v>
      </c>
      <c r="AP328" s="272">
        <f t="shared" si="175"/>
        <v>32.704818764579123</v>
      </c>
      <c r="AQ328" s="669">
        <v>20.2</v>
      </c>
      <c r="AR328" s="725">
        <v>32.704818764579123</v>
      </c>
      <c r="AS328" s="725">
        <v>0</v>
      </c>
      <c r="AT328" s="725">
        <v>0</v>
      </c>
      <c r="AU328" s="401">
        <v>0</v>
      </c>
      <c r="AV328" s="786"/>
      <c r="AW328" s="246"/>
      <c r="AX328" s="713">
        <f t="shared" si="176"/>
        <v>22.046283340290344</v>
      </c>
      <c r="AY328" s="714">
        <v>14.812711608436697</v>
      </c>
      <c r="AZ328" s="715"/>
      <c r="BA328" s="716">
        <v>0</v>
      </c>
      <c r="BC328" s="712">
        <v>0</v>
      </c>
      <c r="BD328" s="712">
        <v>22.046283340290344</v>
      </c>
      <c r="BE328" s="712"/>
      <c r="BF328" s="712"/>
      <c r="BG328" s="712">
        <v>0</v>
      </c>
      <c r="BH328" s="712">
        <v>0</v>
      </c>
      <c r="BI328" s="134">
        <f t="shared" si="181"/>
        <v>22.046283340290344</v>
      </c>
      <c r="BJ328" s="123"/>
      <c r="BK328" s="792"/>
      <c r="BL328" s="104"/>
      <c r="BM328" s="672"/>
      <c r="BO328" s="562"/>
      <c r="BS328" s="879"/>
      <c r="BT328" s="774"/>
      <c r="BU328" s="774">
        <v>131.64071943558375</v>
      </c>
      <c r="BV328" s="774">
        <v>0</v>
      </c>
      <c r="BW328" s="774">
        <f t="shared" si="177"/>
        <v>131.64071943558375</v>
      </c>
    </row>
    <row r="329" spans="1:75" ht="15" thickBot="1" x14ac:dyDescent="0.35">
      <c r="A329" s="209" t="s">
        <v>399</v>
      </c>
      <c r="B329" s="227">
        <v>9</v>
      </c>
      <c r="C329" s="39">
        <f>'[3]побудинковий звіт'!E329</f>
        <v>3516.6</v>
      </c>
      <c r="D329" s="205">
        <f t="shared" si="152"/>
        <v>1497.3079483743586</v>
      </c>
      <c r="E329" s="104">
        <f t="shared" si="153"/>
        <v>329.40802373361424</v>
      </c>
      <c r="F329" s="104">
        <f t="shared" si="154"/>
        <v>107.35432566558602</v>
      </c>
      <c r="G329" s="104">
        <f t="shared" si="155"/>
        <v>0</v>
      </c>
      <c r="H329" s="104">
        <f t="shared" si="156"/>
        <v>1250.9628987601445</v>
      </c>
      <c r="I329" s="104">
        <f t="shared" si="157"/>
        <v>409.9546512101619</v>
      </c>
      <c r="J329" s="672">
        <f t="shared" ref="J329:J367" si="182">F329*$J$376*-1</f>
        <v>0</v>
      </c>
      <c r="K329" s="139">
        <f t="shared" si="158"/>
        <v>3594.9878477438656</v>
      </c>
      <c r="L329" s="138">
        <f t="shared" ref="L329:L367" si="183">(AS329+AT329+AU329)*$AS$376</f>
        <v>1303.5238469129756</v>
      </c>
      <c r="M329" s="104">
        <f t="shared" ref="M329:M367" si="184">L329*$AS$379</f>
        <v>286.7738965350855</v>
      </c>
      <c r="N329" s="29">
        <f t="shared" si="159"/>
        <v>72.130464870528002</v>
      </c>
      <c r="O329" s="104">
        <f t="shared" ref="O329:O367" si="185">$O$369/$C$368*C329</f>
        <v>6.3309681120861772</v>
      </c>
      <c r="P329" s="104">
        <f t="shared" si="160"/>
        <v>1089.061186049038</v>
      </c>
      <c r="Q329" s="104">
        <f t="shared" si="161"/>
        <v>354.96687633619439</v>
      </c>
      <c r="R329" s="140">
        <f t="shared" si="162"/>
        <v>3112.7872388159076</v>
      </c>
      <c r="S329" s="138">
        <f t="shared" si="163"/>
        <v>7.5019999999999998</v>
      </c>
      <c r="T329" s="104">
        <f t="shared" ref="T329:T367" si="186">S329*$B$5</f>
        <v>0.96560368561486354</v>
      </c>
      <c r="U329" s="139">
        <f t="shared" si="164"/>
        <v>8.4676036856148631</v>
      </c>
      <c r="V329" s="104"/>
      <c r="W329" s="104">
        <f t="shared" si="165"/>
        <v>0</v>
      </c>
      <c r="X329" s="139">
        <f t="shared" si="166"/>
        <v>0</v>
      </c>
      <c r="Y329" s="138">
        <v>1010.88</v>
      </c>
      <c r="Z329" s="141">
        <v>0</v>
      </c>
      <c r="AA329" s="104">
        <f t="shared" ref="AA329:AA362" si="187">(Y329+Z329)*$B$5</f>
        <v>130.11323030050031</v>
      </c>
      <c r="AB329" s="139">
        <f t="shared" ref="AB329:AB362" si="188">Y329+Z329+AA329</f>
        <v>1140.9932303005003</v>
      </c>
      <c r="AC329" s="138">
        <v>150</v>
      </c>
      <c r="AD329" s="104">
        <f t="shared" si="167"/>
        <v>19.306925198910896</v>
      </c>
      <c r="AE329" s="139">
        <f t="shared" si="168"/>
        <v>169.3069251989109</v>
      </c>
      <c r="AF329" s="142">
        <v>308</v>
      </c>
      <c r="AG329" s="104">
        <f t="shared" si="169"/>
        <v>39.643553075097039</v>
      </c>
      <c r="AH329" s="139">
        <f t="shared" si="170"/>
        <v>347.64355307509703</v>
      </c>
      <c r="AI329" s="142">
        <v>770</v>
      </c>
      <c r="AJ329" s="104">
        <f t="shared" si="171"/>
        <v>99.108882687742593</v>
      </c>
      <c r="AK329" s="139">
        <f t="shared" si="172"/>
        <v>869.10888268774261</v>
      </c>
      <c r="AL329" s="205"/>
      <c r="AM329" s="205"/>
      <c r="AN329" s="104">
        <f t="shared" si="173"/>
        <v>0</v>
      </c>
      <c r="AO329" s="148">
        <f t="shared" si="174"/>
        <v>0</v>
      </c>
      <c r="AP329" s="272">
        <f t="shared" si="175"/>
        <v>2372.2692019129468</v>
      </c>
      <c r="AQ329" s="669">
        <v>213.52</v>
      </c>
      <c r="AR329" s="725">
        <v>1168.3512080260371</v>
      </c>
      <c r="AS329" s="725">
        <v>1203.9179938869097</v>
      </c>
      <c r="AT329" s="725">
        <v>0</v>
      </c>
      <c r="AU329" s="401">
        <v>0</v>
      </c>
      <c r="AV329" s="786"/>
      <c r="AW329" s="246"/>
      <c r="AX329" s="713">
        <f t="shared" si="176"/>
        <v>107.35432566558602</v>
      </c>
      <c r="AY329" s="714">
        <v>72.130464870528002</v>
      </c>
      <c r="AZ329" s="715"/>
      <c r="BA329" s="716">
        <v>0</v>
      </c>
      <c r="BC329" s="712">
        <v>0</v>
      </c>
      <c r="BD329" s="712">
        <v>107.35432566558602</v>
      </c>
      <c r="BE329" s="712"/>
      <c r="BF329" s="712"/>
      <c r="BG329" s="712">
        <v>0</v>
      </c>
      <c r="BH329" s="712">
        <v>0</v>
      </c>
      <c r="BI329" s="134">
        <f t="shared" si="181"/>
        <v>107.35432566558602</v>
      </c>
      <c r="BJ329" s="123">
        <v>34.1</v>
      </c>
      <c r="BK329" s="792"/>
      <c r="BL329" s="104"/>
      <c r="BM329" s="672"/>
      <c r="BO329" s="562"/>
      <c r="BS329" s="879"/>
      <c r="BT329" s="774"/>
      <c r="BU329" s="774">
        <v>1196.9573630703801</v>
      </c>
      <c r="BV329" s="774">
        <v>0</v>
      </c>
      <c r="BW329" s="774">
        <f t="shared" si="177"/>
        <v>1196.9573630703801</v>
      </c>
    </row>
    <row r="330" spans="1:75" ht="15" thickBot="1" x14ac:dyDescent="0.35">
      <c r="A330" s="250" t="s">
        <v>400</v>
      </c>
      <c r="B330" s="227">
        <v>9</v>
      </c>
      <c r="C330" s="39">
        <f>'[3]побудинковий звіт'!E330</f>
        <v>4153.8999999999996</v>
      </c>
      <c r="D330" s="205">
        <f t="shared" ref="D330:D367" si="189">(AQ330+AR330+AV330)*$AR$376</f>
        <v>3180.3360964004946</v>
      </c>
      <c r="E330" s="104">
        <f t="shared" ref="E330:E367" si="190">D330*$AR$379</f>
        <v>699.67452551185886</v>
      </c>
      <c r="F330" s="104">
        <f t="shared" ref="F330:F367" si="191">AX330*$F$375+BM330+BK330</f>
        <v>135.89254280685179</v>
      </c>
      <c r="G330" s="104">
        <f t="shared" ref="G330:G367" si="192">BL330</f>
        <v>0</v>
      </c>
      <c r="H330" s="104">
        <f t="shared" ref="H330:H367" si="193">D330*$B$4</f>
        <v>2657.0903243412026</v>
      </c>
      <c r="I330" s="104">
        <f t="shared" ref="I330:I367" si="194">(D330+E330+F330+G330+H330)*$B$5</f>
        <v>858.8999076407249</v>
      </c>
      <c r="J330" s="672">
        <f t="shared" si="182"/>
        <v>0</v>
      </c>
      <c r="K330" s="139">
        <f t="shared" ref="K330:K367" si="195">D330+E330+F330+G330+H330+I330-J330</f>
        <v>7531.8933967011326</v>
      </c>
      <c r="L330" s="138">
        <f t="shared" si="183"/>
        <v>2766.8899155241525</v>
      </c>
      <c r="M330" s="104">
        <f t="shared" si="184"/>
        <v>608.71291632877012</v>
      </c>
      <c r="N330" s="29">
        <f t="shared" ref="N330:N366" si="196">AY330+BA330</f>
        <v>84.838389192881152</v>
      </c>
      <c r="O330" s="104">
        <f t="shared" si="185"/>
        <v>7.4783053064877354</v>
      </c>
      <c r="P330" s="104">
        <f t="shared" ref="P330:P367" si="197">L330*$B$4</f>
        <v>2311.6665032281744</v>
      </c>
      <c r="Q330" s="104">
        <f t="shared" ref="Q330:Q367" si="198">(L330+M330+N330+O330+P330)*$B$5</f>
        <v>743.90690102520307</v>
      </c>
      <c r="R330" s="140">
        <f t="shared" ref="R330:R367" si="199">SUM(L330:Q330)</f>
        <v>6523.4929306056683</v>
      </c>
      <c r="S330" s="138">
        <f t="shared" ref="S330:S367" si="200">BJ330*2.64/12</f>
        <v>106.86060000000002</v>
      </c>
      <c r="T330" s="104">
        <f t="shared" si="186"/>
        <v>13.754330739404921</v>
      </c>
      <c r="U330" s="139">
        <f t="shared" ref="U330:U367" si="201">S330+T330</f>
        <v>120.61493073940494</v>
      </c>
      <c r="V330" s="104"/>
      <c r="W330" s="104">
        <f t="shared" ref="W330:W367" si="202">V330*$B$5</f>
        <v>0</v>
      </c>
      <c r="X330" s="139">
        <f t="shared" ref="X330:X367" si="203">V330+W330</f>
        <v>0</v>
      </c>
      <c r="Y330" s="138">
        <v>4308.93</v>
      </c>
      <c r="Z330" s="141">
        <v>0</v>
      </c>
      <c r="AA330" s="104">
        <f t="shared" si="187"/>
        <v>554.61459464895427</v>
      </c>
      <c r="AB330" s="139">
        <f t="shared" si="188"/>
        <v>4863.5445946489544</v>
      </c>
      <c r="AC330" s="138">
        <v>0</v>
      </c>
      <c r="AD330" s="104">
        <f t="shared" ref="AD330:AD367" si="204">AC330*$B$5</f>
        <v>0</v>
      </c>
      <c r="AE330" s="139">
        <f t="shared" ref="AE330:AE367" si="205">AC330+AD330</f>
        <v>0</v>
      </c>
      <c r="AF330" s="142">
        <v>706.2</v>
      </c>
      <c r="AG330" s="104">
        <f t="shared" ref="AG330:AG367" si="206">AF330*$B$5</f>
        <v>90.897003836472507</v>
      </c>
      <c r="AH330" s="139">
        <f t="shared" ref="AH330:AH367" si="207">AF330+AG330</f>
        <v>797.0970038364726</v>
      </c>
      <c r="AI330" s="142">
        <v>820.6</v>
      </c>
      <c r="AJ330" s="104">
        <f t="shared" ref="AJ330:AJ367" si="208">AI330*$B$5</f>
        <v>105.62175212150855</v>
      </c>
      <c r="AK330" s="139">
        <f t="shared" ref="AK330:AK367" si="209">AI330+AJ330</f>
        <v>926.22175212150853</v>
      </c>
      <c r="AL330" s="143"/>
      <c r="AM330" s="143"/>
      <c r="AN330" s="104">
        <f t="shared" ref="AN330:AN367" si="210">AL330*$C$5</f>
        <v>0</v>
      </c>
      <c r="AO330" s="148">
        <f t="shared" ref="AO330:AO367" si="211">AL330+AM330+AN330</f>
        <v>0</v>
      </c>
      <c r="AP330" s="272">
        <f t="shared" ref="AP330:AP367" si="212">AR330+AS330+AT330</f>
        <v>4320.2397906650185</v>
      </c>
      <c r="AQ330" s="669">
        <v>146.62</v>
      </c>
      <c r="AR330" s="401">
        <v>2650.5169524630901</v>
      </c>
      <c r="AS330" s="401">
        <v>1636.1796016889252</v>
      </c>
      <c r="AT330" s="401">
        <v>33.543236513003237</v>
      </c>
      <c r="AU330" s="401">
        <v>885.74138617151812</v>
      </c>
      <c r="AV330" s="727">
        <v>138.00734315976686</v>
      </c>
      <c r="AW330" s="246"/>
      <c r="AX330" s="713">
        <f t="shared" ref="AX330:AX366" si="213">BC330+BD330+BE330+BF330+BG330</f>
        <v>135.89254280685179</v>
      </c>
      <c r="AY330" s="714">
        <v>80.90133036935174</v>
      </c>
      <c r="AZ330" s="715"/>
      <c r="BA330" s="716">
        <v>3.9370588235294122</v>
      </c>
      <c r="BB330" s="727"/>
      <c r="BC330" s="712">
        <v>26.362500000000001</v>
      </c>
      <c r="BD330" s="712">
        <v>109.5300428068518</v>
      </c>
      <c r="BE330" s="712"/>
      <c r="BF330" s="712"/>
      <c r="BG330" s="712">
        <v>0</v>
      </c>
      <c r="BH330" s="712">
        <v>38.04296875</v>
      </c>
      <c r="BI330" s="134">
        <f t="shared" si="181"/>
        <v>135.89254280685179</v>
      </c>
      <c r="BJ330" s="123">
        <v>485.73</v>
      </c>
      <c r="BK330" s="792"/>
      <c r="BL330" s="104"/>
      <c r="BM330" s="672"/>
      <c r="BO330" s="562"/>
      <c r="BS330" s="879"/>
      <c r="BT330" s="774"/>
      <c r="BU330" s="774">
        <v>1387.8917411592554</v>
      </c>
      <c r="BV330" s="774">
        <v>0</v>
      </c>
      <c r="BW330" s="774">
        <f t="shared" ref="BW330:BW369" si="214">BU330+BV330</f>
        <v>1387.8917411592554</v>
      </c>
    </row>
    <row r="331" spans="1:75" ht="15" thickBot="1" x14ac:dyDescent="0.35">
      <c r="A331" s="250" t="s">
        <v>314</v>
      </c>
      <c r="B331" s="227">
        <v>5</v>
      </c>
      <c r="C331" s="39">
        <f>'[3]побудинковий звіт'!E331</f>
        <v>2749.1</v>
      </c>
      <c r="D331" s="205">
        <f t="shared" si="189"/>
        <v>522.83163563175344</v>
      </c>
      <c r="E331" s="104">
        <f t="shared" si="190"/>
        <v>115.02305589565276</v>
      </c>
      <c r="F331" s="104">
        <f t="shared" si="191"/>
        <v>87.597916781458466</v>
      </c>
      <c r="G331" s="104">
        <f t="shared" si="192"/>
        <v>0</v>
      </c>
      <c r="H331" s="104">
        <f t="shared" si="193"/>
        <v>436.81260036287563</v>
      </c>
      <c r="I331" s="104">
        <f t="shared" si="194"/>
        <v>149.59844963414568</v>
      </c>
      <c r="J331" s="672">
        <f t="shared" si="182"/>
        <v>0</v>
      </c>
      <c r="K331" s="139">
        <f t="shared" si="195"/>
        <v>1311.863658305886</v>
      </c>
      <c r="L331" s="138">
        <f t="shared" si="183"/>
        <v>1120.8843118883633</v>
      </c>
      <c r="M331" s="104">
        <f t="shared" si="184"/>
        <v>246.59338795106339</v>
      </c>
      <c r="N331" s="29">
        <f t="shared" si="196"/>
        <v>57.490198792379523</v>
      </c>
      <c r="O331" s="104">
        <f t="shared" si="185"/>
        <v>4.9492306309890548</v>
      </c>
      <c r="P331" s="104">
        <f t="shared" si="197"/>
        <v>936.47047656228767</v>
      </c>
      <c r="Q331" s="104">
        <f t="shared" si="198"/>
        <v>304.58445664863149</v>
      </c>
      <c r="R331" s="140">
        <f t="shared" si="199"/>
        <v>2670.9720624737147</v>
      </c>
      <c r="S331" s="138">
        <f t="shared" si="200"/>
        <v>130.59200000000001</v>
      </c>
      <c r="T331" s="104">
        <f t="shared" si="186"/>
        <v>16.808866503841145</v>
      </c>
      <c r="U331" s="139">
        <f t="shared" si="201"/>
        <v>147.40086650384114</v>
      </c>
      <c r="V331" s="104"/>
      <c r="W331" s="104">
        <f t="shared" si="202"/>
        <v>0</v>
      </c>
      <c r="X331" s="139">
        <f t="shared" si="203"/>
        <v>0</v>
      </c>
      <c r="Y331" s="138">
        <v>0</v>
      </c>
      <c r="Z331" s="141">
        <v>0</v>
      </c>
      <c r="AA331" s="104">
        <f t="shared" si="187"/>
        <v>0</v>
      </c>
      <c r="AB331" s="139">
        <f t="shared" si="188"/>
        <v>0</v>
      </c>
      <c r="AC331" s="138">
        <v>0</v>
      </c>
      <c r="AD331" s="104">
        <f t="shared" si="204"/>
        <v>0</v>
      </c>
      <c r="AE331" s="139">
        <f t="shared" si="205"/>
        <v>0</v>
      </c>
      <c r="AF331" s="142">
        <v>162.80000000000001</v>
      </c>
      <c r="AG331" s="104">
        <f t="shared" si="206"/>
        <v>20.954449482551293</v>
      </c>
      <c r="AH331" s="139">
        <f t="shared" si="207"/>
        <v>183.75444948255131</v>
      </c>
      <c r="AI331" s="142">
        <v>0</v>
      </c>
      <c r="AJ331" s="104">
        <f t="shared" si="208"/>
        <v>0</v>
      </c>
      <c r="AK331" s="139">
        <f t="shared" si="209"/>
        <v>0</v>
      </c>
      <c r="AL331" s="143">
        <v>3315</v>
      </c>
      <c r="AM331" s="143"/>
      <c r="AN331" s="104">
        <f t="shared" si="210"/>
        <v>426.68304689593077</v>
      </c>
      <c r="AO331" s="148">
        <f t="shared" si="211"/>
        <v>3741.6830468959306</v>
      </c>
      <c r="AP331" s="272">
        <f t="shared" si="212"/>
        <v>541.08332957675839</v>
      </c>
      <c r="AQ331" s="669">
        <v>98.05</v>
      </c>
      <c r="AR331" s="401">
        <v>365.44527206751707</v>
      </c>
      <c r="AS331" s="401">
        <v>170.21465589342</v>
      </c>
      <c r="AT331" s="401">
        <v>5.423401615821386</v>
      </c>
      <c r="AU331" s="401">
        <v>859.59639205126462</v>
      </c>
      <c r="AV331" s="727">
        <v>19.028035652240757</v>
      </c>
      <c r="AW331" s="246"/>
      <c r="AX331" s="713">
        <f t="shared" si="213"/>
        <v>87.597916781458466</v>
      </c>
      <c r="AY331" s="714">
        <v>53.553139968850111</v>
      </c>
      <c r="AZ331" s="715"/>
      <c r="BA331" s="716">
        <v>3.9370588235294122</v>
      </c>
      <c r="BB331" s="727"/>
      <c r="BC331" s="712">
        <v>15.817499999999999</v>
      </c>
      <c r="BD331" s="712">
        <v>71.78041678145847</v>
      </c>
      <c r="BE331" s="712"/>
      <c r="BF331" s="712"/>
      <c r="BG331" s="712">
        <v>0</v>
      </c>
      <c r="BH331" s="712">
        <v>22.825781249999999</v>
      </c>
      <c r="BI331" s="134">
        <f t="shared" si="181"/>
        <v>87.597916781458466</v>
      </c>
      <c r="BJ331" s="123">
        <v>593.6</v>
      </c>
      <c r="BK331" s="792"/>
      <c r="BL331" s="104"/>
      <c r="BM331" s="672"/>
      <c r="BO331" s="562"/>
      <c r="BS331" s="879"/>
      <c r="BT331" s="774"/>
      <c r="BU331" s="774">
        <v>308.34439610910169</v>
      </c>
      <c r="BV331" s="774">
        <v>0</v>
      </c>
      <c r="BW331" s="774">
        <f t="shared" si="214"/>
        <v>308.34439610910169</v>
      </c>
    </row>
    <row r="332" spans="1:75" ht="15" thickBot="1" x14ac:dyDescent="0.35">
      <c r="A332" s="250" t="s">
        <v>315</v>
      </c>
      <c r="B332" s="227">
        <v>5</v>
      </c>
      <c r="C332" s="39">
        <f>'[3]побудинковий звіт'!E332</f>
        <v>4406.5</v>
      </c>
      <c r="D332" s="205">
        <f t="shared" si="189"/>
        <v>1989.3937073761892</v>
      </c>
      <c r="E332" s="104">
        <f t="shared" si="190"/>
        <v>437.66698112193166</v>
      </c>
      <c r="F332" s="104">
        <f t="shared" si="191"/>
        <v>136.40347404286931</v>
      </c>
      <c r="G332" s="104">
        <f t="shared" si="192"/>
        <v>0</v>
      </c>
      <c r="H332" s="104">
        <f t="shared" si="193"/>
        <v>1662.0880972791654</v>
      </c>
      <c r="I332" s="104">
        <f t="shared" si="194"/>
        <v>543.88280936291085</v>
      </c>
      <c r="J332" s="672">
        <f t="shared" si="182"/>
        <v>0</v>
      </c>
      <c r="K332" s="139">
        <f t="shared" si="195"/>
        <v>4769.4350691830659</v>
      </c>
      <c r="L332" s="138">
        <f t="shared" si="183"/>
        <v>2397.8880352739347</v>
      </c>
      <c r="M332" s="104">
        <f t="shared" si="184"/>
        <v>527.53288477143985</v>
      </c>
      <c r="N332" s="29">
        <f t="shared" si="196"/>
        <v>85.260823496959546</v>
      </c>
      <c r="O332" s="104">
        <f t="shared" si="185"/>
        <v>7.9330634663901902</v>
      </c>
      <c r="P332" s="104">
        <f t="shared" si="197"/>
        <v>2003.3747705442411</v>
      </c>
      <c r="Q332" s="104">
        <f t="shared" si="198"/>
        <v>646.39451415683493</v>
      </c>
      <c r="R332" s="140">
        <f t="shared" si="199"/>
        <v>5668.3840917098005</v>
      </c>
      <c r="S332" s="138">
        <f t="shared" si="200"/>
        <v>179.9358</v>
      </c>
      <c r="T332" s="104">
        <f t="shared" si="186"/>
        <v>23.160046874707941</v>
      </c>
      <c r="U332" s="139">
        <f t="shared" si="201"/>
        <v>203.09584687470795</v>
      </c>
      <c r="V332" s="104"/>
      <c r="W332" s="104">
        <f t="shared" si="202"/>
        <v>0</v>
      </c>
      <c r="X332" s="139">
        <f t="shared" si="203"/>
        <v>0</v>
      </c>
      <c r="Y332" s="138">
        <v>0</v>
      </c>
      <c r="Z332" s="141">
        <v>0</v>
      </c>
      <c r="AA332" s="104">
        <f t="shared" si="187"/>
        <v>0</v>
      </c>
      <c r="AB332" s="139">
        <f t="shared" si="188"/>
        <v>0</v>
      </c>
      <c r="AC332" s="138">
        <v>0</v>
      </c>
      <c r="AD332" s="104">
        <f t="shared" si="204"/>
        <v>0</v>
      </c>
      <c r="AE332" s="139">
        <f t="shared" si="205"/>
        <v>0</v>
      </c>
      <c r="AF332" s="142">
        <v>371.8</v>
      </c>
      <c r="AG332" s="104">
        <f t="shared" si="206"/>
        <v>47.855431926367139</v>
      </c>
      <c r="AH332" s="139">
        <f t="shared" si="207"/>
        <v>419.65543192636716</v>
      </c>
      <c r="AI332" s="142">
        <v>0</v>
      </c>
      <c r="AJ332" s="104">
        <f t="shared" si="208"/>
        <v>0</v>
      </c>
      <c r="AK332" s="139">
        <f t="shared" si="209"/>
        <v>0</v>
      </c>
      <c r="AL332" s="143"/>
      <c r="AM332" s="143"/>
      <c r="AN332" s="104">
        <f t="shared" si="210"/>
        <v>0</v>
      </c>
      <c r="AO332" s="148">
        <f t="shared" si="211"/>
        <v>0</v>
      </c>
      <c r="AP332" s="272">
        <f t="shared" si="212"/>
        <v>2674.1151165151441</v>
      </c>
      <c r="AQ332" s="669">
        <v>118.21</v>
      </c>
      <c r="AR332" s="401">
        <v>1632.7926422926535</v>
      </c>
      <c r="AS332" s="401">
        <v>1012.3906579727701</v>
      </c>
      <c r="AT332" s="401">
        <v>28.93181624972074</v>
      </c>
      <c r="AU332" s="401">
        <v>1173.3363214943076</v>
      </c>
      <c r="AV332" s="727">
        <v>85.01638681624793</v>
      </c>
      <c r="AW332" s="246"/>
      <c r="AX332" s="713">
        <f t="shared" si="213"/>
        <v>136.40347404286931</v>
      </c>
      <c r="AY332" s="714">
        <v>81.323764673430134</v>
      </c>
      <c r="AZ332" s="715"/>
      <c r="BA332" s="716">
        <v>3.9370588235294122</v>
      </c>
      <c r="BB332" s="727"/>
      <c r="BC332" s="712">
        <v>26.362500000000001</v>
      </c>
      <c r="BD332" s="712">
        <v>110.04097404286931</v>
      </c>
      <c r="BE332" s="712"/>
      <c r="BF332" s="712"/>
      <c r="BG332" s="712">
        <v>0</v>
      </c>
      <c r="BH332" s="712">
        <v>38.04296875</v>
      </c>
      <c r="BI332" s="134">
        <f t="shared" si="181"/>
        <v>136.40347404286931</v>
      </c>
      <c r="BJ332" s="123">
        <v>817.89</v>
      </c>
      <c r="BK332" s="792"/>
      <c r="BL332" s="104"/>
      <c r="BM332" s="672"/>
      <c r="BO332" s="562"/>
      <c r="BS332" s="879"/>
      <c r="BT332" s="774"/>
      <c r="BU332" s="774">
        <v>854.9862079479085</v>
      </c>
      <c r="BV332" s="774">
        <v>0</v>
      </c>
      <c r="BW332" s="774">
        <f t="shared" si="214"/>
        <v>854.9862079479085</v>
      </c>
    </row>
    <row r="333" spans="1:75" ht="15" thickBot="1" x14ac:dyDescent="0.35">
      <c r="A333" s="250" t="s">
        <v>316</v>
      </c>
      <c r="B333" s="227">
        <v>5</v>
      </c>
      <c r="C333" s="39">
        <f>'[3]побудинковий звіт'!E333</f>
        <v>2741.4</v>
      </c>
      <c r="D333" s="205">
        <f t="shared" si="189"/>
        <v>1484.1409542186796</v>
      </c>
      <c r="E333" s="104">
        <f t="shared" si="190"/>
        <v>326.51128260027338</v>
      </c>
      <c r="F333" s="104">
        <f t="shared" si="191"/>
        <v>102.62194447807704</v>
      </c>
      <c r="G333" s="104">
        <f t="shared" si="192"/>
        <v>0</v>
      </c>
      <c r="H333" s="104">
        <f t="shared" si="193"/>
        <v>1239.9622083578599</v>
      </c>
      <c r="I333" s="104">
        <f t="shared" si="194"/>
        <v>405.86199406367206</v>
      </c>
      <c r="J333" s="672">
        <f t="shared" si="182"/>
        <v>0</v>
      </c>
      <c r="K333" s="139">
        <f t="shared" si="195"/>
        <v>3559.0983837185622</v>
      </c>
      <c r="L333" s="138">
        <f t="shared" si="183"/>
        <v>1719.2536699149457</v>
      </c>
      <c r="M333" s="104">
        <f t="shared" si="184"/>
        <v>378.23402711148884</v>
      </c>
      <c r="N333" s="29">
        <f t="shared" si="196"/>
        <v>53.393436820235877</v>
      </c>
      <c r="O333" s="104">
        <f t="shared" si="185"/>
        <v>4.9353682484425434</v>
      </c>
      <c r="P333" s="104">
        <f t="shared" si="197"/>
        <v>1436.3929323663024</v>
      </c>
      <c r="Q333" s="104">
        <f t="shared" si="198"/>
        <v>462.3634589997904</v>
      </c>
      <c r="R333" s="140">
        <f t="shared" si="199"/>
        <v>4054.5728934612057</v>
      </c>
      <c r="S333" s="138">
        <f t="shared" si="200"/>
        <v>130.14760000000001</v>
      </c>
      <c r="T333" s="104">
        <f t="shared" si="186"/>
        <v>16.751666520118505</v>
      </c>
      <c r="U333" s="139">
        <f t="shared" si="201"/>
        <v>146.89926652011852</v>
      </c>
      <c r="V333" s="104"/>
      <c r="W333" s="104">
        <f t="shared" si="202"/>
        <v>0</v>
      </c>
      <c r="X333" s="139">
        <f t="shared" si="203"/>
        <v>0</v>
      </c>
      <c r="Y333" s="138">
        <v>0</v>
      </c>
      <c r="Z333" s="141">
        <v>0</v>
      </c>
      <c r="AA333" s="104">
        <f t="shared" si="187"/>
        <v>0</v>
      </c>
      <c r="AB333" s="139">
        <f t="shared" si="188"/>
        <v>0</v>
      </c>
      <c r="AC333" s="138">
        <v>0</v>
      </c>
      <c r="AD333" s="104">
        <f t="shared" si="204"/>
        <v>0</v>
      </c>
      <c r="AE333" s="139">
        <f t="shared" si="205"/>
        <v>0</v>
      </c>
      <c r="AF333" s="142">
        <v>96.8</v>
      </c>
      <c r="AG333" s="104">
        <f t="shared" si="206"/>
        <v>12.459402395030498</v>
      </c>
      <c r="AH333" s="139">
        <f t="shared" si="207"/>
        <v>109.25940239503049</v>
      </c>
      <c r="AI333" s="142">
        <v>0</v>
      </c>
      <c r="AJ333" s="104">
        <f t="shared" si="208"/>
        <v>0</v>
      </c>
      <c r="AK333" s="139">
        <f t="shared" si="209"/>
        <v>0</v>
      </c>
      <c r="AL333" s="143">
        <v>3251.25</v>
      </c>
      <c r="AM333" s="143"/>
      <c r="AN333" s="104">
        <f t="shared" si="210"/>
        <v>418.47760368639365</v>
      </c>
      <c r="AO333" s="148">
        <f t="shared" si="211"/>
        <v>3669.7276036863936</v>
      </c>
      <c r="AP333" s="272">
        <f t="shared" si="212"/>
        <v>1900.256569991039</v>
      </c>
      <c r="AQ333" s="669">
        <v>86.14</v>
      </c>
      <c r="AR333" s="401">
        <v>1220.053489625662</v>
      </c>
      <c r="AS333" s="401">
        <v>659.27952346970596</v>
      </c>
      <c r="AT333" s="401">
        <v>20.923556895670931</v>
      </c>
      <c r="AU333" s="401">
        <v>907.67767392119435</v>
      </c>
      <c r="AV333" s="727">
        <v>63.525849347830018</v>
      </c>
      <c r="AW333" s="246"/>
      <c r="AX333" s="713">
        <f t="shared" si="213"/>
        <v>102.62194447807704</v>
      </c>
      <c r="AY333" s="714">
        <v>53.393436820235877</v>
      </c>
      <c r="AZ333" s="715"/>
      <c r="BA333" s="716">
        <v>0</v>
      </c>
      <c r="BB333" s="727"/>
      <c r="BC333" s="712">
        <v>26.362500000000001</v>
      </c>
      <c r="BD333" s="712">
        <v>76.259444478077043</v>
      </c>
      <c r="BE333" s="712"/>
      <c r="BF333" s="712"/>
      <c r="BG333" s="712">
        <v>0</v>
      </c>
      <c r="BH333" s="712">
        <v>38.04296875</v>
      </c>
      <c r="BI333" s="134">
        <f t="shared" si="181"/>
        <v>102.62194447807704</v>
      </c>
      <c r="BJ333" s="123">
        <v>591.58000000000004</v>
      </c>
      <c r="BK333" s="792"/>
      <c r="BL333" s="104"/>
      <c r="BM333" s="672"/>
      <c r="BO333" s="562"/>
      <c r="BS333" s="879"/>
      <c r="BT333" s="774"/>
      <c r="BU333" s="774">
        <v>1123.3154946393465</v>
      </c>
      <c r="BV333" s="774">
        <v>0</v>
      </c>
      <c r="BW333" s="774">
        <f t="shared" si="214"/>
        <v>1123.3154946393465</v>
      </c>
    </row>
    <row r="334" spans="1:75" ht="15" thickBot="1" x14ac:dyDescent="0.35">
      <c r="A334" s="250" t="s">
        <v>401</v>
      </c>
      <c r="B334" s="227">
        <v>9</v>
      </c>
      <c r="C334" s="39">
        <f>'[3]побудинковий звіт'!E334</f>
        <v>4247.05</v>
      </c>
      <c r="D334" s="205">
        <f t="shared" si="189"/>
        <v>2936.8527538506937</v>
      </c>
      <c r="E334" s="104">
        <f t="shared" si="190"/>
        <v>646.10814541719355</v>
      </c>
      <c r="F334" s="104">
        <f t="shared" si="191"/>
        <v>139.76869471495141</v>
      </c>
      <c r="G334" s="104">
        <f t="shared" si="192"/>
        <v>0</v>
      </c>
      <c r="H334" s="104">
        <f t="shared" si="193"/>
        <v>2453.6661534306008</v>
      </c>
      <c r="I334" s="104">
        <f t="shared" si="194"/>
        <v>794.98140462788422</v>
      </c>
      <c r="J334" s="672">
        <f t="shared" si="182"/>
        <v>0</v>
      </c>
      <c r="K334" s="139">
        <f t="shared" si="195"/>
        <v>6971.3771520413238</v>
      </c>
      <c r="L334" s="138">
        <f t="shared" si="183"/>
        <v>2679.5578183401517</v>
      </c>
      <c r="M334" s="104">
        <f t="shared" si="184"/>
        <v>589.49994537979399</v>
      </c>
      <c r="N334" s="29">
        <f t="shared" si="196"/>
        <v>181.5431639617193</v>
      </c>
      <c r="O334" s="104">
        <f t="shared" si="185"/>
        <v>7.6460041291120975</v>
      </c>
      <c r="P334" s="104">
        <f t="shared" si="197"/>
        <v>2238.7027461288326</v>
      </c>
      <c r="Q334" s="104">
        <f t="shared" si="198"/>
        <v>733.27054195959704</v>
      </c>
      <c r="R334" s="140">
        <f t="shared" si="199"/>
        <v>6430.2202198992063</v>
      </c>
      <c r="S334" s="138">
        <f t="shared" si="200"/>
        <v>137.5</v>
      </c>
      <c r="T334" s="104">
        <f t="shared" si="186"/>
        <v>17.698014765668322</v>
      </c>
      <c r="U334" s="139">
        <f t="shared" si="201"/>
        <v>155.19801476566832</v>
      </c>
      <c r="V334" s="104"/>
      <c r="W334" s="104">
        <f t="shared" si="202"/>
        <v>0</v>
      </c>
      <c r="X334" s="139">
        <f t="shared" si="203"/>
        <v>0</v>
      </c>
      <c r="Y334" s="138">
        <v>4308.93</v>
      </c>
      <c r="Z334" s="141">
        <v>0</v>
      </c>
      <c r="AA334" s="104">
        <f t="shared" si="187"/>
        <v>554.61459464895427</v>
      </c>
      <c r="AB334" s="139">
        <f t="shared" si="188"/>
        <v>4863.5445946489544</v>
      </c>
      <c r="AC334" s="138">
        <v>0</v>
      </c>
      <c r="AD334" s="104">
        <f t="shared" si="204"/>
        <v>0</v>
      </c>
      <c r="AE334" s="139">
        <f t="shared" si="205"/>
        <v>0</v>
      </c>
      <c r="AF334" s="142">
        <v>1271.5999999999999</v>
      </c>
      <c r="AG334" s="104">
        <f t="shared" si="206"/>
        <v>163.67124055290063</v>
      </c>
      <c r="AH334" s="139">
        <f t="shared" si="207"/>
        <v>1435.2712405529005</v>
      </c>
      <c r="AI334" s="142">
        <v>827.2</v>
      </c>
      <c r="AJ334" s="104">
        <f t="shared" si="208"/>
        <v>106.47125683026063</v>
      </c>
      <c r="AK334" s="139">
        <f t="shared" si="209"/>
        <v>933.67125683026063</v>
      </c>
      <c r="AL334" s="143"/>
      <c r="AM334" s="143"/>
      <c r="AN334" s="104">
        <f t="shared" si="210"/>
        <v>0</v>
      </c>
      <c r="AO334" s="148">
        <f t="shared" si="211"/>
        <v>0</v>
      </c>
      <c r="AP334" s="272">
        <f t="shared" si="212"/>
        <v>4071.9036824190407</v>
      </c>
      <c r="AQ334" s="669">
        <v>146.62</v>
      </c>
      <c r="AR334" s="401">
        <v>2436.92649453583</v>
      </c>
      <c r="AS334" s="401">
        <v>1589.4369528715356</v>
      </c>
      <c r="AT334" s="401">
        <v>45.540235011675342</v>
      </c>
      <c r="AU334" s="401">
        <v>839.82822576521914</v>
      </c>
      <c r="AV334" s="727">
        <v>126.88609694573059</v>
      </c>
      <c r="AW334" s="246"/>
      <c r="AX334" s="713">
        <f t="shared" si="213"/>
        <v>139.76869471495141</v>
      </c>
      <c r="AY334" s="714">
        <v>84.106105138189889</v>
      </c>
      <c r="AZ334" s="715"/>
      <c r="BA334" s="716">
        <v>97.437058823529412</v>
      </c>
      <c r="BB334" s="727"/>
      <c r="BC334" s="712">
        <v>26.362500000000001</v>
      </c>
      <c r="BD334" s="712">
        <v>113.40619471495141</v>
      </c>
      <c r="BE334" s="712"/>
      <c r="BF334" s="712"/>
      <c r="BG334" s="712">
        <v>0</v>
      </c>
      <c r="BH334" s="712">
        <v>38.04296875</v>
      </c>
      <c r="BI334" s="134">
        <f t="shared" si="181"/>
        <v>139.76869471495141</v>
      </c>
      <c r="BJ334" s="123">
        <v>625</v>
      </c>
      <c r="BK334" s="792"/>
      <c r="BL334" s="104"/>
      <c r="BM334" s="672"/>
      <c r="BO334" s="562"/>
      <c r="BS334" s="879"/>
      <c r="BT334" s="774"/>
      <c r="BU334" s="774">
        <v>1276.0468646573863</v>
      </c>
      <c r="BV334" s="774">
        <v>0</v>
      </c>
      <c r="BW334" s="774">
        <f t="shared" si="214"/>
        <v>1276.0468646573863</v>
      </c>
    </row>
    <row r="335" spans="1:75" ht="15" thickBot="1" x14ac:dyDescent="0.35">
      <c r="A335" s="250" t="s">
        <v>317</v>
      </c>
      <c r="B335" s="227">
        <v>5</v>
      </c>
      <c r="C335" s="39">
        <f>'[3]побудинковий звіт'!E335</f>
        <v>2712.05</v>
      </c>
      <c r="D335" s="205">
        <f t="shared" si="189"/>
        <v>1672.2006517542782</v>
      </c>
      <c r="E335" s="104">
        <f t="shared" si="190"/>
        <v>367.88445060916609</v>
      </c>
      <c r="F335" s="104">
        <f t="shared" si="191"/>
        <v>101.93057371841296</v>
      </c>
      <c r="G335" s="104">
        <f t="shared" si="192"/>
        <v>0</v>
      </c>
      <c r="H335" s="104">
        <f t="shared" si="193"/>
        <v>1397.0813264554483</v>
      </c>
      <c r="I335" s="104">
        <f t="shared" si="194"/>
        <v>455.52720733118349</v>
      </c>
      <c r="J335" s="672">
        <f t="shared" si="182"/>
        <v>0</v>
      </c>
      <c r="K335" s="139">
        <f t="shared" si="195"/>
        <v>3994.6242098684888</v>
      </c>
      <c r="L335" s="138">
        <f t="shared" si="183"/>
        <v>1725.5082339244564</v>
      </c>
      <c r="M335" s="104">
        <f t="shared" si="184"/>
        <v>379.61002471704336</v>
      </c>
      <c r="N335" s="29">
        <f t="shared" si="196"/>
        <v>52.821816404159307</v>
      </c>
      <c r="O335" s="104">
        <f t="shared" si="185"/>
        <v>4.8825291669178528</v>
      </c>
      <c r="P335" s="104">
        <f t="shared" si="197"/>
        <v>1441.6184623131066</v>
      </c>
      <c r="Q335" s="104">
        <f t="shared" si="198"/>
        <v>463.9378270352932</v>
      </c>
      <c r="R335" s="140">
        <f t="shared" si="199"/>
        <v>4068.3788935609764</v>
      </c>
      <c r="S335" s="138">
        <f t="shared" si="200"/>
        <v>130.22900000000001</v>
      </c>
      <c r="T335" s="104">
        <f t="shared" si="186"/>
        <v>16.762143744859781</v>
      </c>
      <c r="U335" s="139">
        <f t="shared" si="201"/>
        <v>146.99114374485978</v>
      </c>
      <c r="V335" s="104"/>
      <c r="W335" s="104">
        <f t="shared" si="202"/>
        <v>0</v>
      </c>
      <c r="X335" s="139">
        <f t="shared" si="203"/>
        <v>0</v>
      </c>
      <c r="Y335" s="138">
        <v>0</v>
      </c>
      <c r="Z335" s="141">
        <v>0</v>
      </c>
      <c r="AA335" s="104">
        <f t="shared" si="187"/>
        <v>0</v>
      </c>
      <c r="AB335" s="139">
        <f t="shared" si="188"/>
        <v>0</v>
      </c>
      <c r="AC335" s="138">
        <v>0</v>
      </c>
      <c r="AD335" s="104">
        <f t="shared" si="204"/>
        <v>0</v>
      </c>
      <c r="AE335" s="139">
        <f t="shared" si="205"/>
        <v>0</v>
      </c>
      <c r="AF335" s="142">
        <v>904.2</v>
      </c>
      <c r="AG335" s="104">
        <f t="shared" si="206"/>
        <v>116.38214509903489</v>
      </c>
      <c r="AH335" s="139">
        <f t="shared" si="207"/>
        <v>1020.582145099035</v>
      </c>
      <c r="AI335" s="142">
        <v>0</v>
      </c>
      <c r="AJ335" s="104">
        <f t="shared" si="208"/>
        <v>0</v>
      </c>
      <c r="AK335" s="139">
        <f t="shared" si="209"/>
        <v>0</v>
      </c>
      <c r="AL335" s="143"/>
      <c r="AM335" s="143"/>
      <c r="AN335" s="104">
        <f t="shared" si="210"/>
        <v>0</v>
      </c>
      <c r="AO335" s="148">
        <f t="shared" si="211"/>
        <v>0</v>
      </c>
      <c r="AP335" s="272">
        <f t="shared" si="212"/>
        <v>2064.0650414391571</v>
      </c>
      <c r="AQ335" s="669">
        <v>94.38</v>
      </c>
      <c r="AR335" s="401">
        <v>1377.1925696572041</v>
      </c>
      <c r="AS335" s="401">
        <v>665.93405993192914</v>
      </c>
      <c r="AT335" s="401">
        <v>20.938411850023986</v>
      </c>
      <c r="AU335" s="401">
        <v>906.78491802440521</v>
      </c>
      <c r="AV335" s="727">
        <v>71.70778039398698</v>
      </c>
      <c r="AW335" s="246"/>
      <c r="AX335" s="713">
        <f t="shared" si="213"/>
        <v>101.93057371841296</v>
      </c>
      <c r="AY335" s="714">
        <v>52.821816404159307</v>
      </c>
      <c r="AZ335" s="715"/>
      <c r="BA335" s="716">
        <v>0</v>
      </c>
      <c r="BB335" s="727"/>
      <c r="BC335" s="712">
        <v>26.362500000000001</v>
      </c>
      <c r="BD335" s="712">
        <v>75.568073718412961</v>
      </c>
      <c r="BE335" s="712"/>
      <c r="BF335" s="712"/>
      <c r="BG335" s="712">
        <v>0</v>
      </c>
      <c r="BH335" s="712">
        <v>38.04296875</v>
      </c>
      <c r="BI335" s="134">
        <f t="shared" si="181"/>
        <v>101.93057371841296</v>
      </c>
      <c r="BJ335" s="123">
        <v>591.95000000000005</v>
      </c>
      <c r="BK335" s="792"/>
      <c r="BL335" s="104"/>
      <c r="BM335" s="672"/>
      <c r="BO335" s="562"/>
      <c r="BS335" s="879"/>
      <c r="BT335" s="774"/>
      <c r="BU335" s="774">
        <v>1267.9963317675461</v>
      </c>
      <c r="BV335" s="774">
        <v>0</v>
      </c>
      <c r="BW335" s="774">
        <f t="shared" si="214"/>
        <v>1267.9963317675461</v>
      </c>
    </row>
    <row r="336" spans="1:75" ht="15" thickBot="1" x14ac:dyDescent="0.35">
      <c r="A336" s="250" t="s">
        <v>190</v>
      </c>
      <c r="B336" s="227">
        <v>2</v>
      </c>
      <c r="C336" s="39">
        <f>'[3]побудинковий звіт'!E336</f>
        <v>472.1</v>
      </c>
      <c r="D336" s="205">
        <f t="shared" si="189"/>
        <v>242.75238725482649</v>
      </c>
      <c r="E336" s="104">
        <f t="shared" si="190"/>
        <v>53.405569795477085</v>
      </c>
      <c r="F336" s="104">
        <f t="shared" si="191"/>
        <v>33.946603588582953</v>
      </c>
      <c r="G336" s="104">
        <f t="shared" si="192"/>
        <v>0</v>
      </c>
      <c r="H336" s="104">
        <f t="shared" si="193"/>
        <v>202.81347625980672</v>
      </c>
      <c r="I336" s="104">
        <f t="shared" si="194"/>
        <v>68.593391170356711</v>
      </c>
      <c r="J336" s="672">
        <f t="shared" si="182"/>
        <v>0</v>
      </c>
      <c r="K336" s="139">
        <f t="shared" si="195"/>
        <v>601.51142806905</v>
      </c>
      <c r="L336" s="138">
        <f t="shared" si="183"/>
        <v>752.7812347047053</v>
      </c>
      <c r="M336" s="104">
        <f t="shared" si="184"/>
        <v>165.61109213767477</v>
      </c>
      <c r="N336" s="29">
        <f t="shared" si="196"/>
        <v>9.1946166415587669</v>
      </c>
      <c r="O336" s="104">
        <f t="shared" si="185"/>
        <v>0.84992607794912267</v>
      </c>
      <c r="P336" s="104">
        <f t="shared" si="197"/>
        <v>628.92967109461551</v>
      </c>
      <c r="Q336" s="104">
        <f t="shared" si="198"/>
        <v>200.4530620516116</v>
      </c>
      <c r="R336" s="140">
        <f t="shared" si="199"/>
        <v>1757.8196027081151</v>
      </c>
      <c r="S336" s="138">
        <f t="shared" si="200"/>
        <v>0</v>
      </c>
      <c r="T336" s="104">
        <f t="shared" si="186"/>
        <v>0</v>
      </c>
      <c r="U336" s="139">
        <f t="shared" si="201"/>
        <v>0</v>
      </c>
      <c r="V336" s="104"/>
      <c r="W336" s="104">
        <f t="shared" si="202"/>
        <v>0</v>
      </c>
      <c r="X336" s="139">
        <f t="shared" si="203"/>
        <v>0</v>
      </c>
      <c r="Y336" s="138">
        <v>0</v>
      </c>
      <c r="Z336" s="141">
        <v>0</v>
      </c>
      <c r="AA336" s="104">
        <f t="shared" si="187"/>
        <v>0</v>
      </c>
      <c r="AB336" s="139">
        <f t="shared" si="188"/>
        <v>0</v>
      </c>
      <c r="AC336" s="138">
        <v>0</v>
      </c>
      <c r="AD336" s="104">
        <f t="shared" si="204"/>
        <v>0</v>
      </c>
      <c r="AE336" s="139">
        <f t="shared" si="205"/>
        <v>0</v>
      </c>
      <c r="AF336" s="142">
        <v>129.80000000000001</v>
      </c>
      <c r="AG336" s="104">
        <f t="shared" si="206"/>
        <v>16.706925938790896</v>
      </c>
      <c r="AH336" s="139">
        <f t="shared" si="207"/>
        <v>146.50692593879091</v>
      </c>
      <c r="AI336" s="142">
        <v>0</v>
      </c>
      <c r="AJ336" s="104">
        <f t="shared" si="208"/>
        <v>0</v>
      </c>
      <c r="AK336" s="139">
        <f t="shared" si="209"/>
        <v>0</v>
      </c>
      <c r="AL336" s="143"/>
      <c r="AM336" s="143"/>
      <c r="AN336" s="104">
        <f t="shared" si="210"/>
        <v>0</v>
      </c>
      <c r="AO336" s="148">
        <f t="shared" si="211"/>
        <v>0</v>
      </c>
      <c r="AP336" s="272">
        <f t="shared" si="212"/>
        <v>326.52725817441586</v>
      </c>
      <c r="AQ336" s="669">
        <v>16.489999999999998</v>
      </c>
      <c r="AR336" s="401">
        <v>197.27535279005966</v>
      </c>
      <c r="AS336" s="401">
        <v>129.25190538435621</v>
      </c>
      <c r="AT336" s="401">
        <v>0</v>
      </c>
      <c r="AU336" s="401">
        <v>566.00723856431932</v>
      </c>
      <c r="AV336" s="727">
        <v>10.271749925674532</v>
      </c>
      <c r="AW336" s="246"/>
      <c r="AX336" s="713">
        <f t="shared" si="213"/>
        <v>33.946603588582953</v>
      </c>
      <c r="AY336" s="714">
        <v>9.1946166415587669</v>
      </c>
      <c r="AZ336" s="715"/>
      <c r="BA336" s="716">
        <v>0</v>
      </c>
      <c r="BB336" s="727"/>
      <c r="BC336" s="712">
        <v>15.817499999999999</v>
      </c>
      <c r="BD336" s="712">
        <v>18.129103588582954</v>
      </c>
      <c r="BE336" s="712"/>
      <c r="BF336" s="712"/>
      <c r="BG336" s="712">
        <v>0</v>
      </c>
      <c r="BH336" s="712">
        <v>22.825781249999999</v>
      </c>
      <c r="BI336" s="134">
        <f t="shared" si="181"/>
        <v>33.946603588582953</v>
      </c>
      <c r="BJ336" s="123"/>
      <c r="BK336" s="792"/>
      <c r="BL336" s="104"/>
      <c r="BM336" s="672"/>
      <c r="BO336" s="562"/>
      <c r="BS336" s="879"/>
      <c r="BT336" s="774"/>
      <c r="BU336" s="774">
        <v>181.63783711460746</v>
      </c>
      <c r="BV336" s="774">
        <v>0</v>
      </c>
      <c r="BW336" s="774">
        <f t="shared" si="214"/>
        <v>181.63783711460746</v>
      </c>
    </row>
    <row r="337" spans="1:75" ht="15" thickBot="1" x14ac:dyDescent="0.35">
      <c r="A337" s="250" t="s">
        <v>402</v>
      </c>
      <c r="B337" s="227">
        <v>9</v>
      </c>
      <c r="C337" s="39">
        <f>'[3]побудинковий звіт'!E337</f>
        <v>6212</v>
      </c>
      <c r="D337" s="205">
        <f t="shared" si="189"/>
        <v>5015.3641206543753</v>
      </c>
      <c r="E337" s="104">
        <f t="shared" si="190"/>
        <v>1103.3810279862173</v>
      </c>
      <c r="F337" s="104">
        <f t="shared" si="191"/>
        <v>184.34856397097394</v>
      </c>
      <c r="G337" s="104">
        <f t="shared" si="192"/>
        <v>0</v>
      </c>
      <c r="H337" s="104">
        <f t="shared" si="193"/>
        <v>4190.2097998766376</v>
      </c>
      <c r="I337" s="104">
        <f t="shared" si="194"/>
        <v>1350.6228400338582</v>
      </c>
      <c r="J337" s="672">
        <f t="shared" si="182"/>
        <v>0</v>
      </c>
      <c r="K337" s="139">
        <f t="shared" si="195"/>
        <v>11843.926352522063</v>
      </c>
      <c r="L337" s="138">
        <f t="shared" si="183"/>
        <v>3715.0481197546378</v>
      </c>
      <c r="M337" s="104">
        <f t="shared" si="184"/>
        <v>817.3067394512392</v>
      </c>
      <c r="N337" s="29">
        <f t="shared" si="196"/>
        <v>124.9014821022615</v>
      </c>
      <c r="O337" s="104">
        <f t="shared" si="185"/>
        <v>11.183522127133974</v>
      </c>
      <c r="P337" s="104">
        <f t="shared" si="197"/>
        <v>3103.8286879912703</v>
      </c>
      <c r="Q337" s="104">
        <f t="shared" si="198"/>
        <v>1000.3907169882652</v>
      </c>
      <c r="R337" s="140">
        <f t="shared" si="199"/>
        <v>8772.6592684148072</v>
      </c>
      <c r="S337" s="138">
        <f t="shared" si="200"/>
        <v>144.76000000000002</v>
      </c>
      <c r="T337" s="104">
        <f t="shared" si="186"/>
        <v>18.632469945295611</v>
      </c>
      <c r="U337" s="139">
        <f t="shared" si="201"/>
        <v>163.39246994529563</v>
      </c>
      <c r="V337" s="104"/>
      <c r="W337" s="104">
        <f t="shared" si="202"/>
        <v>0</v>
      </c>
      <c r="X337" s="139">
        <f t="shared" si="203"/>
        <v>0</v>
      </c>
      <c r="Y337" s="138">
        <v>6506.78</v>
      </c>
      <c r="Z337" s="141">
        <v>0</v>
      </c>
      <c r="AA337" s="104">
        <f t="shared" si="187"/>
        <v>837.50609830512951</v>
      </c>
      <c r="AB337" s="139">
        <f t="shared" si="188"/>
        <v>7344.2860983051296</v>
      </c>
      <c r="AC337" s="138">
        <v>0</v>
      </c>
      <c r="AD337" s="104">
        <f t="shared" si="204"/>
        <v>0</v>
      </c>
      <c r="AE337" s="139">
        <f t="shared" si="205"/>
        <v>0</v>
      </c>
      <c r="AF337" s="142">
        <v>904.2</v>
      </c>
      <c r="AG337" s="104">
        <f t="shared" si="206"/>
        <v>116.38214509903489</v>
      </c>
      <c r="AH337" s="139">
        <f t="shared" si="207"/>
        <v>1020.582145099035</v>
      </c>
      <c r="AI337" s="142">
        <v>1570.8</v>
      </c>
      <c r="AJ337" s="104">
        <f t="shared" si="208"/>
        <v>202.18212068299491</v>
      </c>
      <c r="AK337" s="139">
        <f t="shared" si="209"/>
        <v>1772.9821206829949</v>
      </c>
      <c r="AL337" s="143"/>
      <c r="AM337" s="143"/>
      <c r="AN337" s="104">
        <f t="shared" si="210"/>
        <v>0</v>
      </c>
      <c r="AO337" s="148">
        <f t="shared" si="211"/>
        <v>0</v>
      </c>
      <c r="AP337" s="272">
        <f t="shared" si="212"/>
        <v>6508.2358661414482</v>
      </c>
      <c r="AQ337" s="669">
        <v>0</v>
      </c>
      <c r="AR337" s="401">
        <v>4399.6189143140846</v>
      </c>
      <c r="AS337" s="401">
        <v>2054.4209299874246</v>
      </c>
      <c r="AT337" s="401">
        <v>54.196021839938759</v>
      </c>
      <c r="AU337" s="401">
        <v>1322.5540928147796</v>
      </c>
      <c r="AV337" s="727">
        <v>229.07973356506955</v>
      </c>
      <c r="AW337" s="246"/>
      <c r="AX337" s="713">
        <f t="shared" si="213"/>
        <v>184.34856397097394</v>
      </c>
      <c r="AY337" s="714">
        <v>120.96442327873208</v>
      </c>
      <c r="AZ337" s="715"/>
      <c r="BA337" s="716">
        <v>3.9370588235294122</v>
      </c>
      <c r="BB337" s="727"/>
      <c r="BC337" s="712">
        <v>26.362500000000001</v>
      </c>
      <c r="BD337" s="712">
        <v>157.98606397097393</v>
      </c>
      <c r="BE337" s="712"/>
      <c r="BF337" s="712"/>
      <c r="BG337" s="712">
        <v>0</v>
      </c>
      <c r="BH337" s="712">
        <v>38.04296875</v>
      </c>
      <c r="BI337" s="134">
        <f t="shared" si="181"/>
        <v>184.34856397097394</v>
      </c>
      <c r="BJ337" s="123">
        <v>658</v>
      </c>
      <c r="BK337" s="792"/>
      <c r="BL337" s="104"/>
      <c r="BM337" s="672"/>
      <c r="BO337" s="562"/>
      <c r="BS337" s="879"/>
      <c r="BT337" s="774"/>
      <c r="BU337" s="774">
        <v>4007.0021252381102</v>
      </c>
      <c r="BV337" s="774">
        <v>0</v>
      </c>
      <c r="BW337" s="774">
        <f t="shared" si="214"/>
        <v>4007.0021252381102</v>
      </c>
    </row>
    <row r="338" spans="1:75" ht="15" thickBot="1" x14ac:dyDescent="0.35">
      <c r="A338" s="250" t="s">
        <v>425</v>
      </c>
      <c r="B338" s="227">
        <v>14</v>
      </c>
      <c r="C338" s="39">
        <f>'[3]побудинковий звіт'!E338</f>
        <v>4357.8100000000004</v>
      </c>
      <c r="D338" s="205">
        <f t="shared" si="189"/>
        <v>2337.9025936453554</v>
      </c>
      <c r="E338" s="104">
        <f t="shared" si="190"/>
        <v>514.33900013055984</v>
      </c>
      <c r="F338" s="104">
        <f t="shared" si="191"/>
        <v>140.33733833124754</v>
      </c>
      <c r="G338" s="104">
        <f t="shared" si="192"/>
        <v>0</v>
      </c>
      <c r="H338" s="104">
        <f t="shared" si="193"/>
        <v>1953.2584521044932</v>
      </c>
      <c r="I338" s="104">
        <f t="shared" si="194"/>
        <v>636.59274948634379</v>
      </c>
      <c r="J338" s="672">
        <f t="shared" si="182"/>
        <v>0</v>
      </c>
      <c r="K338" s="139">
        <f t="shared" si="195"/>
        <v>5582.4301336979997</v>
      </c>
      <c r="L338" s="138">
        <f t="shared" si="183"/>
        <v>2150.5293155476534</v>
      </c>
      <c r="M338" s="104">
        <f t="shared" si="184"/>
        <v>473.11422256911226</v>
      </c>
      <c r="N338" s="29">
        <f t="shared" si="196"/>
        <v>88.513314450444653</v>
      </c>
      <c r="O338" s="104">
        <f t="shared" si="185"/>
        <v>7.8454064006512736</v>
      </c>
      <c r="P338" s="104">
        <f t="shared" si="197"/>
        <v>1796.7128200761724</v>
      </c>
      <c r="Q338" s="104">
        <f t="shared" si="198"/>
        <v>581.35920117264061</v>
      </c>
      <c r="R338" s="140">
        <f t="shared" si="199"/>
        <v>5098.0742802166751</v>
      </c>
      <c r="S338" s="138">
        <f t="shared" si="200"/>
        <v>86.46</v>
      </c>
      <c r="T338" s="104">
        <f t="shared" si="186"/>
        <v>11.12851168465224</v>
      </c>
      <c r="U338" s="139">
        <f t="shared" si="201"/>
        <v>97.588511684652232</v>
      </c>
      <c r="V338" s="104"/>
      <c r="W338" s="104">
        <f t="shared" si="202"/>
        <v>0</v>
      </c>
      <c r="X338" s="139">
        <f t="shared" si="203"/>
        <v>0</v>
      </c>
      <c r="Y338" s="138">
        <v>2830.42</v>
      </c>
      <c r="Z338" s="141">
        <v>0</v>
      </c>
      <c r="AA338" s="104">
        <f t="shared" si="187"/>
        <v>364.31138147667588</v>
      </c>
      <c r="AB338" s="139">
        <f t="shared" si="188"/>
        <v>3194.7313814766758</v>
      </c>
      <c r="AC338" s="138">
        <v>118.075</v>
      </c>
      <c r="AD338" s="104">
        <f t="shared" si="204"/>
        <v>15.197767952409361</v>
      </c>
      <c r="AE338" s="139">
        <f t="shared" si="205"/>
        <v>133.27276795240937</v>
      </c>
      <c r="AF338" s="142">
        <v>688.6</v>
      </c>
      <c r="AG338" s="104">
        <f t="shared" si="206"/>
        <v>88.631657946466959</v>
      </c>
      <c r="AH338" s="139">
        <f t="shared" si="207"/>
        <v>777.23165794646695</v>
      </c>
      <c r="AI338" s="142">
        <v>1031.8</v>
      </c>
      <c r="AJ338" s="104">
        <f t="shared" si="208"/>
        <v>132.80590280157509</v>
      </c>
      <c r="AK338" s="139">
        <f t="shared" si="209"/>
        <v>1164.605902801575</v>
      </c>
      <c r="AL338" s="143"/>
      <c r="AM338" s="143"/>
      <c r="AN338" s="104">
        <f t="shared" si="210"/>
        <v>0</v>
      </c>
      <c r="AO338" s="148">
        <f t="shared" si="211"/>
        <v>0</v>
      </c>
      <c r="AP338" s="272">
        <f t="shared" si="212"/>
        <v>3357.3057096825969</v>
      </c>
      <c r="AQ338" s="669">
        <v>0</v>
      </c>
      <c r="AR338" s="401">
        <v>2050.8741186839334</v>
      </c>
      <c r="AS338" s="401">
        <v>1276.1261138090904</v>
      </c>
      <c r="AT338" s="401">
        <v>30.305477189573207</v>
      </c>
      <c r="AU338" s="401">
        <v>679.7698471265935</v>
      </c>
      <c r="AV338" s="727">
        <v>106.78508885282803</v>
      </c>
      <c r="AW338" s="246"/>
      <c r="AX338" s="713">
        <f t="shared" si="213"/>
        <v>140.33733833124754</v>
      </c>
      <c r="AY338" s="714">
        <v>84.576255626915241</v>
      </c>
      <c r="AZ338" s="715"/>
      <c r="BA338" s="716">
        <v>3.9370588235294122</v>
      </c>
      <c r="BB338" s="727"/>
      <c r="BC338" s="712">
        <v>26.362500000000001</v>
      </c>
      <c r="BD338" s="712">
        <v>113.97483833124753</v>
      </c>
      <c r="BE338" s="712"/>
      <c r="BF338" s="712"/>
      <c r="BG338" s="712">
        <v>0</v>
      </c>
      <c r="BH338" s="712">
        <v>38.04296875</v>
      </c>
      <c r="BI338" s="134">
        <f t="shared" si="181"/>
        <v>140.33733833124754</v>
      </c>
      <c r="BJ338" s="123">
        <v>393</v>
      </c>
      <c r="BK338" s="792"/>
      <c r="BL338" s="104"/>
      <c r="BM338" s="672"/>
      <c r="BO338" s="562"/>
      <c r="BS338" s="879"/>
      <c r="BT338" s="774"/>
      <c r="BU338" s="774">
        <v>1926.7160788030874</v>
      </c>
      <c r="BV338" s="774">
        <v>0</v>
      </c>
      <c r="BW338" s="774">
        <f t="shared" si="214"/>
        <v>1926.7160788030874</v>
      </c>
    </row>
    <row r="339" spans="1:75" ht="15" thickBot="1" x14ac:dyDescent="0.35">
      <c r="A339" s="250" t="s">
        <v>424</v>
      </c>
      <c r="B339" s="227">
        <v>10</v>
      </c>
      <c r="C339" s="39">
        <f>'[3]побудинковий звіт'!E339</f>
        <v>10174.199999999999</v>
      </c>
      <c r="D339" s="205">
        <f t="shared" si="189"/>
        <v>6205.5361590464163</v>
      </c>
      <c r="E339" s="104">
        <f t="shared" si="190"/>
        <v>1365.2190950955146</v>
      </c>
      <c r="F339" s="104">
        <f t="shared" si="191"/>
        <v>271.75690841211525</v>
      </c>
      <c r="G339" s="104">
        <f t="shared" si="192"/>
        <v>0</v>
      </c>
      <c r="H339" s="104">
        <f t="shared" si="193"/>
        <v>5184.568418480545</v>
      </c>
      <c r="I339" s="104">
        <f t="shared" si="194"/>
        <v>1676.7524689214638</v>
      </c>
      <c r="J339" s="672">
        <f t="shared" si="182"/>
        <v>0</v>
      </c>
      <c r="K339" s="139">
        <f t="shared" si="195"/>
        <v>14703.833049956056</v>
      </c>
      <c r="L339" s="138">
        <f t="shared" si="183"/>
        <v>7015.1617863519996</v>
      </c>
      <c r="M339" s="104">
        <f t="shared" si="184"/>
        <v>1543.3283288683103</v>
      </c>
      <c r="N339" s="29">
        <f t="shared" si="196"/>
        <v>197.17007824926429</v>
      </c>
      <c r="O339" s="104">
        <f t="shared" si="185"/>
        <v>18.316708117496212</v>
      </c>
      <c r="P339" s="104">
        <f t="shared" si="197"/>
        <v>5860.9901410422344</v>
      </c>
      <c r="Q339" s="104">
        <f t="shared" si="198"/>
        <v>1883.7080932038014</v>
      </c>
      <c r="R339" s="140">
        <f t="shared" si="199"/>
        <v>16518.675135833106</v>
      </c>
      <c r="S339" s="138">
        <f t="shared" si="200"/>
        <v>180.136</v>
      </c>
      <c r="T339" s="104">
        <f t="shared" si="186"/>
        <v>23.185815184206753</v>
      </c>
      <c r="U339" s="139">
        <f t="shared" si="201"/>
        <v>203.32181518420674</v>
      </c>
      <c r="V339" s="104"/>
      <c r="W339" s="104">
        <f t="shared" si="202"/>
        <v>0</v>
      </c>
      <c r="X339" s="139">
        <f t="shared" si="203"/>
        <v>0</v>
      </c>
      <c r="Y339" s="138">
        <v>6205.46</v>
      </c>
      <c r="Z339" s="141">
        <v>0</v>
      </c>
      <c r="AA339" s="104">
        <f t="shared" si="187"/>
        <v>798.72234696555734</v>
      </c>
      <c r="AB339" s="139">
        <f t="shared" si="188"/>
        <v>7004.1823469655574</v>
      </c>
      <c r="AC339" s="138">
        <v>0</v>
      </c>
      <c r="AD339" s="104">
        <f t="shared" si="204"/>
        <v>0</v>
      </c>
      <c r="AE339" s="139">
        <f t="shared" si="205"/>
        <v>0</v>
      </c>
      <c r="AF339" s="142">
        <v>1240.8</v>
      </c>
      <c r="AG339" s="104">
        <f t="shared" si="206"/>
        <v>159.70688524539094</v>
      </c>
      <c r="AH339" s="139">
        <f t="shared" si="207"/>
        <v>1400.506885245391</v>
      </c>
      <c r="AI339" s="142">
        <v>1843.6</v>
      </c>
      <c r="AJ339" s="104">
        <f t="shared" si="208"/>
        <v>237.29498197808084</v>
      </c>
      <c r="AK339" s="139">
        <f t="shared" si="209"/>
        <v>2080.894981978081</v>
      </c>
      <c r="AL339" s="143"/>
      <c r="AM339" s="143"/>
      <c r="AN339" s="104">
        <f t="shared" si="210"/>
        <v>0</v>
      </c>
      <c r="AO339" s="148">
        <f t="shared" si="211"/>
        <v>0</v>
      </c>
      <c r="AP339" s="272">
        <f t="shared" si="212"/>
        <v>8799.4150560306534</v>
      </c>
      <c r="AQ339" s="669">
        <v>0</v>
      </c>
      <c r="AR339" s="401">
        <v>5443.6714069004393</v>
      </c>
      <c r="AS339" s="401">
        <v>3281.9495827025498</v>
      </c>
      <c r="AT339" s="401">
        <v>73.794066427664703</v>
      </c>
      <c r="AU339" s="401">
        <v>3123.3702731951735</v>
      </c>
      <c r="AV339" s="727">
        <v>283.44154796028664</v>
      </c>
      <c r="AW339" s="246"/>
      <c r="AX339" s="713">
        <f t="shared" si="213"/>
        <v>271.75690841211525</v>
      </c>
      <c r="AY339" s="714">
        <v>193.23301942573488</v>
      </c>
      <c r="AZ339" s="715"/>
      <c r="BA339" s="716">
        <v>3.9370588235294122</v>
      </c>
      <c r="BB339" s="727"/>
      <c r="BC339" s="712">
        <v>26.362500000000001</v>
      </c>
      <c r="BD339" s="712">
        <v>245.39440841211527</v>
      </c>
      <c r="BE339" s="712"/>
      <c r="BF339" s="712"/>
      <c r="BG339" s="712">
        <v>0</v>
      </c>
      <c r="BH339" s="712">
        <v>38.04296875</v>
      </c>
      <c r="BI339" s="134">
        <f t="shared" si="181"/>
        <v>271.75690841211525</v>
      </c>
      <c r="BJ339" s="123">
        <v>818.8</v>
      </c>
      <c r="BK339" s="792"/>
      <c r="BL339" s="104"/>
      <c r="BM339" s="672"/>
      <c r="BO339" s="562"/>
      <c r="BS339" s="879"/>
      <c r="BT339" s="774"/>
      <c r="BU339" s="774">
        <v>5114.1276772864949</v>
      </c>
      <c r="BV339" s="774">
        <v>0</v>
      </c>
      <c r="BW339" s="774">
        <f t="shared" si="214"/>
        <v>5114.1276772864949</v>
      </c>
    </row>
    <row r="340" spans="1:75" ht="15" thickBot="1" x14ac:dyDescent="0.35">
      <c r="A340" s="250" t="s">
        <v>403</v>
      </c>
      <c r="B340" s="227">
        <v>9</v>
      </c>
      <c r="C340" s="39">
        <f>'[3]побудинковий звіт'!E340</f>
        <v>3581.3</v>
      </c>
      <c r="D340" s="205">
        <f t="shared" si="189"/>
        <v>1301.9776097575789</v>
      </c>
      <c r="E340" s="104">
        <f t="shared" si="190"/>
        <v>286.43531335107116</v>
      </c>
      <c r="F340" s="104">
        <f t="shared" si="191"/>
        <v>239.414335073167</v>
      </c>
      <c r="G340" s="104">
        <f t="shared" si="192"/>
        <v>0</v>
      </c>
      <c r="H340" s="104">
        <f t="shared" si="193"/>
        <v>1087.7693440360536</v>
      </c>
      <c r="I340" s="104">
        <f t="shared" si="194"/>
        <v>375.27470339479459</v>
      </c>
      <c r="J340" s="672">
        <f t="shared" si="182"/>
        <v>0</v>
      </c>
      <c r="K340" s="139">
        <f t="shared" si="195"/>
        <v>3290.8713056126649</v>
      </c>
      <c r="L340" s="138">
        <f t="shared" si="183"/>
        <v>2738.033790788159</v>
      </c>
      <c r="M340" s="104">
        <f t="shared" si="184"/>
        <v>602.36459876707704</v>
      </c>
      <c r="N340" s="29">
        <f t="shared" si="196"/>
        <v>73.686435181111307</v>
      </c>
      <c r="O340" s="104">
        <f t="shared" si="185"/>
        <v>6.4474481316653103</v>
      </c>
      <c r="P340" s="104">
        <f t="shared" si="197"/>
        <v>2287.5579412680813</v>
      </c>
      <c r="Q340" s="104">
        <f t="shared" si="198"/>
        <v>734.70447195307224</v>
      </c>
      <c r="R340" s="140">
        <f t="shared" si="199"/>
        <v>6442.7946860891661</v>
      </c>
      <c r="S340" s="138">
        <f t="shared" si="200"/>
        <v>108.63600000000001</v>
      </c>
      <c r="T340" s="104">
        <f t="shared" si="186"/>
        <v>13.982847506059228</v>
      </c>
      <c r="U340" s="139">
        <f t="shared" si="201"/>
        <v>122.61884750605924</v>
      </c>
      <c r="V340" s="104"/>
      <c r="W340" s="104">
        <f t="shared" si="202"/>
        <v>0</v>
      </c>
      <c r="X340" s="139">
        <f t="shared" si="203"/>
        <v>0</v>
      </c>
      <c r="Y340" s="138">
        <v>2577.16</v>
      </c>
      <c r="Z340" s="141">
        <v>0</v>
      </c>
      <c r="AA340" s="104">
        <f t="shared" si="187"/>
        <v>331.71356897083467</v>
      </c>
      <c r="AB340" s="139">
        <f t="shared" si="188"/>
        <v>2908.8735689708346</v>
      </c>
      <c r="AC340" s="138">
        <v>118.075</v>
      </c>
      <c r="AD340" s="104">
        <f t="shared" si="204"/>
        <v>15.197767952409361</v>
      </c>
      <c r="AE340" s="139">
        <f t="shared" si="205"/>
        <v>133.27276795240937</v>
      </c>
      <c r="AF340" s="142">
        <v>1185.8</v>
      </c>
      <c r="AG340" s="104">
        <f t="shared" si="206"/>
        <v>152.6276793391236</v>
      </c>
      <c r="AH340" s="139">
        <f t="shared" si="207"/>
        <v>1338.4276793391236</v>
      </c>
      <c r="AI340" s="142">
        <v>556.6</v>
      </c>
      <c r="AJ340" s="104">
        <f t="shared" si="208"/>
        <v>71.641563771425368</v>
      </c>
      <c r="AK340" s="139">
        <f t="shared" si="209"/>
        <v>628.24156377142538</v>
      </c>
      <c r="AL340" s="143">
        <v>2295</v>
      </c>
      <c r="AM340" s="143"/>
      <c r="AN340" s="104">
        <f t="shared" si="210"/>
        <v>295.3959555433367</v>
      </c>
      <c r="AO340" s="148">
        <f t="shared" si="211"/>
        <v>2590.3959555433366</v>
      </c>
      <c r="AP340" s="272">
        <f t="shared" si="212"/>
        <v>2405.9840819738624</v>
      </c>
      <c r="AQ340" s="669">
        <v>418.42</v>
      </c>
      <c r="AR340" s="401">
        <v>744.41959169552672</v>
      </c>
      <c r="AS340" s="401">
        <v>1618.2545652580088</v>
      </c>
      <c r="AT340" s="401">
        <v>43.309925020326617</v>
      </c>
      <c r="AU340" s="401">
        <v>867.24858545231439</v>
      </c>
      <c r="AV340" s="727">
        <v>38.76050290887877</v>
      </c>
      <c r="AW340" s="246"/>
      <c r="AX340" s="713">
        <f t="shared" si="213"/>
        <v>122.40433507316699</v>
      </c>
      <c r="AY340" s="714">
        <v>69.749376357581895</v>
      </c>
      <c r="AZ340" s="715"/>
      <c r="BA340" s="716">
        <v>3.9370588235294122</v>
      </c>
      <c r="BB340" s="727"/>
      <c r="BC340" s="712">
        <v>26.362500000000001</v>
      </c>
      <c r="BD340" s="712">
        <v>96.041835073166993</v>
      </c>
      <c r="BE340" s="712"/>
      <c r="BF340" s="712"/>
      <c r="BG340" s="712">
        <v>0</v>
      </c>
      <c r="BH340" s="712">
        <v>38.04296875</v>
      </c>
      <c r="BI340" s="134">
        <f t="shared" si="181"/>
        <v>122.40433507316699</v>
      </c>
      <c r="BJ340" s="123">
        <v>493.8</v>
      </c>
      <c r="BK340" s="792"/>
      <c r="BL340" s="104"/>
      <c r="BM340" s="672">
        <v>117.01</v>
      </c>
      <c r="BO340" s="562"/>
      <c r="BS340" s="879"/>
      <c r="BT340" s="774"/>
      <c r="BU340" s="774">
        <v>681.29405080702077</v>
      </c>
      <c r="BV340" s="774">
        <v>0</v>
      </c>
      <c r="BW340" s="774">
        <f t="shared" si="214"/>
        <v>681.29405080702077</v>
      </c>
    </row>
    <row r="341" spans="1:75" ht="15" thickBot="1" x14ac:dyDescent="0.35">
      <c r="A341" s="250" t="s">
        <v>404</v>
      </c>
      <c r="B341" s="227">
        <v>9</v>
      </c>
      <c r="C341" s="39">
        <f>'[3]побудинковий звіт'!E341</f>
        <v>4073.8</v>
      </c>
      <c r="D341" s="205">
        <f t="shared" si="189"/>
        <v>1910.9846222473002</v>
      </c>
      <c r="E341" s="104">
        <f t="shared" si="190"/>
        <v>420.41696798795317</v>
      </c>
      <c r="F341" s="104">
        <f t="shared" si="191"/>
        <v>133.99392327605369</v>
      </c>
      <c r="G341" s="104">
        <f t="shared" si="192"/>
        <v>0</v>
      </c>
      <c r="H341" s="104">
        <f t="shared" si="193"/>
        <v>1596.5792909387865</v>
      </c>
      <c r="I341" s="104">
        <f t="shared" si="194"/>
        <v>522.82829139585783</v>
      </c>
      <c r="J341" s="672">
        <f t="shared" si="182"/>
        <v>0</v>
      </c>
      <c r="K341" s="139">
        <f t="shared" si="195"/>
        <v>4584.8030958459512</v>
      </c>
      <c r="L341" s="138">
        <f t="shared" si="183"/>
        <v>2722.9972991736154</v>
      </c>
      <c r="M341" s="104">
        <f t="shared" si="184"/>
        <v>599.05658618201255</v>
      </c>
      <c r="N341" s="29">
        <f t="shared" si="196"/>
        <v>83.268624097965599</v>
      </c>
      <c r="O341" s="104">
        <f t="shared" si="185"/>
        <v>7.3341005218155813</v>
      </c>
      <c r="P341" s="104">
        <f t="shared" si="197"/>
        <v>2274.9953330499561</v>
      </c>
      <c r="Q341" s="104">
        <f t="shared" si="198"/>
        <v>732.07380414287297</v>
      </c>
      <c r="R341" s="140">
        <f t="shared" si="199"/>
        <v>6419.7257471682387</v>
      </c>
      <c r="S341" s="138">
        <f t="shared" si="200"/>
        <v>126.91800000000001</v>
      </c>
      <c r="T341" s="104">
        <f t="shared" si="186"/>
        <v>16.335975549302489</v>
      </c>
      <c r="U341" s="139">
        <f t="shared" si="201"/>
        <v>143.25397554930248</v>
      </c>
      <c r="V341" s="104"/>
      <c r="W341" s="104">
        <f t="shared" si="202"/>
        <v>0</v>
      </c>
      <c r="X341" s="139">
        <f t="shared" si="203"/>
        <v>0</v>
      </c>
      <c r="Y341" s="138">
        <v>3102.43</v>
      </c>
      <c r="Z341" s="141">
        <v>0</v>
      </c>
      <c r="AA341" s="104">
        <f t="shared" si="187"/>
        <v>399.32255963238083</v>
      </c>
      <c r="AB341" s="139">
        <f t="shared" si="188"/>
        <v>3501.7525596323808</v>
      </c>
      <c r="AC341" s="138">
        <v>0</v>
      </c>
      <c r="AD341" s="104">
        <f t="shared" si="204"/>
        <v>0</v>
      </c>
      <c r="AE341" s="139">
        <f t="shared" si="205"/>
        <v>0</v>
      </c>
      <c r="AF341" s="142">
        <v>578.6</v>
      </c>
      <c r="AG341" s="104">
        <f t="shared" si="206"/>
        <v>74.473246133932292</v>
      </c>
      <c r="AH341" s="139">
        <f t="shared" si="207"/>
        <v>653.07324613393234</v>
      </c>
      <c r="AI341" s="142">
        <v>690.8</v>
      </c>
      <c r="AJ341" s="104">
        <f t="shared" si="208"/>
        <v>88.914826182717647</v>
      </c>
      <c r="AK341" s="139">
        <f t="shared" si="209"/>
        <v>779.71482618271762</v>
      </c>
      <c r="AL341" s="143">
        <v>1700</v>
      </c>
      <c r="AM341" s="143"/>
      <c r="AN341" s="104">
        <f t="shared" si="210"/>
        <v>218.81181892099016</v>
      </c>
      <c r="AO341" s="148">
        <f t="shared" si="211"/>
        <v>1918.8118189209902</v>
      </c>
      <c r="AP341" s="272">
        <f t="shared" si="212"/>
        <v>2904.3075114986232</v>
      </c>
      <c r="AQ341" s="669">
        <v>314.26</v>
      </c>
      <c r="AR341" s="401">
        <v>1377.662725324371</v>
      </c>
      <c r="AS341" s="401">
        <v>1476.3395183515956</v>
      </c>
      <c r="AT341" s="401">
        <v>50.305267822656724</v>
      </c>
      <c r="AU341" s="401">
        <v>988.28077774558585</v>
      </c>
      <c r="AV341" s="727">
        <v>71.732260499438453</v>
      </c>
      <c r="AW341" s="246"/>
      <c r="AX341" s="713">
        <f t="shared" si="213"/>
        <v>133.99392327605369</v>
      </c>
      <c r="AY341" s="714">
        <v>79.331565274436187</v>
      </c>
      <c r="AZ341" s="715"/>
      <c r="BA341" s="716">
        <v>3.9370588235294122</v>
      </c>
      <c r="BB341" s="727"/>
      <c r="BC341" s="712">
        <v>26.362500000000001</v>
      </c>
      <c r="BD341" s="712">
        <v>107.6314232760537</v>
      </c>
      <c r="BE341" s="712"/>
      <c r="BF341" s="712"/>
      <c r="BG341" s="712">
        <v>0</v>
      </c>
      <c r="BH341" s="712">
        <v>38.04296875</v>
      </c>
      <c r="BI341" s="134">
        <f t="shared" si="181"/>
        <v>133.99392327605369</v>
      </c>
      <c r="BJ341" s="123">
        <v>576.9</v>
      </c>
      <c r="BK341" s="792"/>
      <c r="BL341" s="104"/>
      <c r="BM341" s="672"/>
      <c r="BO341" s="562"/>
      <c r="BS341" s="879"/>
      <c r="BT341" s="774"/>
      <c r="BU341" s="774">
        <v>1260.8483377809373</v>
      </c>
      <c r="BV341" s="774">
        <v>0</v>
      </c>
      <c r="BW341" s="774">
        <f t="shared" si="214"/>
        <v>1260.8483377809373</v>
      </c>
    </row>
    <row r="342" spans="1:75" ht="15" thickBot="1" x14ac:dyDescent="0.35">
      <c r="A342" s="250" t="s">
        <v>405</v>
      </c>
      <c r="B342" s="227">
        <v>9</v>
      </c>
      <c r="C342" s="39">
        <f>'[3]побудинковий звіт'!E342</f>
        <v>4387.3</v>
      </c>
      <c r="D342" s="205">
        <f t="shared" si="189"/>
        <v>819.44317510633937</v>
      </c>
      <c r="E342" s="104">
        <f t="shared" si="190"/>
        <v>180.2776490746904</v>
      </c>
      <c r="F342" s="104">
        <f t="shared" si="191"/>
        <v>141.39053038114807</v>
      </c>
      <c r="G342" s="104">
        <f t="shared" si="192"/>
        <v>0</v>
      </c>
      <c r="H342" s="104">
        <f t="shared" si="193"/>
        <v>684.62403529828055</v>
      </c>
      <c r="I342" s="104">
        <f t="shared" si="194"/>
        <v>234.99557736693527</v>
      </c>
      <c r="J342" s="672">
        <f t="shared" si="182"/>
        <v>0</v>
      </c>
      <c r="K342" s="139">
        <f t="shared" si="195"/>
        <v>2060.7309672273936</v>
      </c>
      <c r="L342" s="138">
        <f t="shared" si="183"/>
        <v>321.31282919473273</v>
      </c>
      <c r="M342" s="104">
        <f t="shared" si="184"/>
        <v>70.688489706653982</v>
      </c>
      <c r="N342" s="29">
        <f t="shared" si="196"/>
        <v>85.44702730673751</v>
      </c>
      <c r="O342" s="104">
        <f t="shared" si="185"/>
        <v>7.8984975254949923</v>
      </c>
      <c r="P342" s="104">
        <f t="shared" si="197"/>
        <v>268.4487373854306</v>
      </c>
      <c r="Q342" s="104">
        <f t="shared" si="198"/>
        <v>97.023165999567098</v>
      </c>
      <c r="R342" s="140">
        <f t="shared" si="199"/>
        <v>850.8187471186169</v>
      </c>
      <c r="S342" s="138">
        <f t="shared" si="200"/>
        <v>118.80000000000001</v>
      </c>
      <c r="T342" s="104">
        <f t="shared" si="186"/>
        <v>15.291084757537432</v>
      </c>
      <c r="U342" s="139">
        <f t="shared" si="201"/>
        <v>134.09108475753743</v>
      </c>
      <c r="V342" s="104"/>
      <c r="W342" s="104">
        <f t="shared" si="202"/>
        <v>0</v>
      </c>
      <c r="X342" s="139">
        <f t="shared" si="203"/>
        <v>0</v>
      </c>
      <c r="Y342" s="138">
        <v>2039.57</v>
      </c>
      <c r="Z342" s="141">
        <v>0</v>
      </c>
      <c r="AA342" s="104">
        <f t="shared" si="187"/>
        <v>262.51883618628466</v>
      </c>
      <c r="AB342" s="139">
        <f t="shared" si="188"/>
        <v>2302.0888361862844</v>
      </c>
      <c r="AC342" s="138">
        <v>236.15</v>
      </c>
      <c r="AD342" s="104">
        <f t="shared" si="204"/>
        <v>30.395535904818722</v>
      </c>
      <c r="AE342" s="139">
        <f t="shared" si="205"/>
        <v>266.54553590481873</v>
      </c>
      <c r="AF342" s="142">
        <v>767.8</v>
      </c>
      <c r="AG342" s="104">
        <f t="shared" si="206"/>
        <v>98.825714451491905</v>
      </c>
      <c r="AH342" s="139">
        <f t="shared" si="207"/>
        <v>866.62571445149183</v>
      </c>
      <c r="AI342" s="142">
        <v>259.60000000000002</v>
      </c>
      <c r="AJ342" s="104">
        <f t="shared" si="208"/>
        <v>33.413851877581791</v>
      </c>
      <c r="AK342" s="139">
        <f t="shared" si="209"/>
        <v>293.01385187758183</v>
      </c>
      <c r="AL342" s="143"/>
      <c r="AM342" s="391"/>
      <c r="AN342" s="104">
        <f t="shared" si="210"/>
        <v>0</v>
      </c>
      <c r="AO342" s="148">
        <f t="shared" si="211"/>
        <v>0</v>
      </c>
      <c r="AP342" s="272">
        <f t="shared" si="212"/>
        <v>636.28905139340384</v>
      </c>
      <c r="AQ342" s="669">
        <v>399.06</v>
      </c>
      <c r="AR342" s="401">
        <v>339.52862184671272</v>
      </c>
      <c r="AS342" s="401">
        <v>283.81311241349499</v>
      </c>
      <c r="AT342" s="401">
        <v>12.947317133196147</v>
      </c>
      <c r="AU342" s="401">
        <v>0</v>
      </c>
      <c r="AV342" s="727">
        <v>17.678605294041979</v>
      </c>
      <c r="AW342" s="246"/>
      <c r="AX342" s="713">
        <f t="shared" si="213"/>
        <v>141.39053038114807</v>
      </c>
      <c r="AY342" s="714">
        <v>85.44702730673751</v>
      </c>
      <c r="AZ342" s="715"/>
      <c r="BA342" s="716">
        <v>0</v>
      </c>
      <c r="BB342" s="727"/>
      <c r="BC342" s="712">
        <v>26.362500000000001</v>
      </c>
      <c r="BD342" s="712">
        <v>115.02803038114806</v>
      </c>
      <c r="BE342" s="712"/>
      <c r="BF342" s="712"/>
      <c r="BG342" s="712">
        <v>0</v>
      </c>
      <c r="BH342" s="712">
        <v>38.04296875</v>
      </c>
      <c r="BI342" s="134">
        <f t="shared" si="181"/>
        <v>141.39053038114807</v>
      </c>
      <c r="BJ342" s="123">
        <v>540</v>
      </c>
      <c r="BK342" s="792"/>
      <c r="BL342" s="104"/>
      <c r="BM342" s="672"/>
      <c r="BO342" s="562"/>
      <c r="BS342" s="879"/>
      <c r="BT342" s="774"/>
      <c r="BU342" s="774">
        <v>286.47507200253102</v>
      </c>
      <c r="BV342" s="774">
        <v>0</v>
      </c>
      <c r="BW342" s="774">
        <f t="shared" si="214"/>
        <v>286.47507200253102</v>
      </c>
    </row>
    <row r="343" spans="1:75" ht="15" thickBot="1" x14ac:dyDescent="0.35">
      <c r="A343" s="250" t="s">
        <v>426</v>
      </c>
      <c r="B343" s="227">
        <v>14</v>
      </c>
      <c r="C343" s="39">
        <f>'[3]побудинковий звіт'!E343</f>
        <v>5222.9000000000005</v>
      </c>
      <c r="D343" s="205">
        <f t="shared" si="189"/>
        <v>1445.7555335439956</v>
      </c>
      <c r="E343" s="104">
        <f t="shared" si="190"/>
        <v>318.06648299952371</v>
      </c>
      <c r="F343" s="104">
        <f t="shared" si="191"/>
        <v>395.09398546718899</v>
      </c>
      <c r="G343" s="104">
        <f t="shared" si="192"/>
        <v>0</v>
      </c>
      <c r="H343" s="104">
        <f t="shared" si="193"/>
        <v>1207.8921607971931</v>
      </c>
      <c r="I343" s="104">
        <f t="shared" si="194"/>
        <v>433.35142238943183</v>
      </c>
      <c r="J343" s="672">
        <f t="shared" si="182"/>
        <v>0</v>
      </c>
      <c r="K343" s="139">
        <f t="shared" si="195"/>
        <v>3800.1595851973334</v>
      </c>
      <c r="L343" s="138">
        <f t="shared" si="183"/>
        <v>2009.9132280113135</v>
      </c>
      <c r="M343" s="104">
        <f t="shared" si="184"/>
        <v>442.17882891765498</v>
      </c>
      <c r="N343" s="29">
        <f t="shared" si="196"/>
        <v>101.72116767040305</v>
      </c>
      <c r="O343" s="104">
        <f t="shared" si="185"/>
        <v>9.4028360782047713</v>
      </c>
      <c r="P343" s="104">
        <f t="shared" si="197"/>
        <v>1679.2316374859431</v>
      </c>
      <c r="Q343" s="104">
        <f t="shared" si="198"/>
        <v>546.0574691248986</v>
      </c>
      <c r="R343" s="140">
        <f t="shared" si="199"/>
        <v>4788.5051672884183</v>
      </c>
      <c r="S343" s="138">
        <f t="shared" si="200"/>
        <v>94.71</v>
      </c>
      <c r="T343" s="104">
        <f t="shared" si="186"/>
        <v>12.190392570592339</v>
      </c>
      <c r="U343" s="139">
        <f t="shared" si="201"/>
        <v>106.90039257059233</v>
      </c>
      <c r="V343" s="104"/>
      <c r="W343" s="104">
        <f t="shared" si="202"/>
        <v>0</v>
      </c>
      <c r="X343" s="139">
        <f t="shared" si="203"/>
        <v>0</v>
      </c>
      <c r="Y343" s="138">
        <v>2805.21</v>
      </c>
      <c r="Z343" s="141">
        <v>0</v>
      </c>
      <c r="AA343" s="104">
        <f t="shared" si="187"/>
        <v>361.06653091491222</v>
      </c>
      <c r="AB343" s="139">
        <f t="shared" si="188"/>
        <v>3166.2765309149122</v>
      </c>
      <c r="AC343" s="138">
        <v>0</v>
      </c>
      <c r="AD343" s="104">
        <f t="shared" si="204"/>
        <v>0</v>
      </c>
      <c r="AE343" s="139">
        <f t="shared" si="205"/>
        <v>0</v>
      </c>
      <c r="AF343" s="142">
        <v>1144</v>
      </c>
      <c r="AG343" s="104">
        <f t="shared" si="206"/>
        <v>147.24748285036043</v>
      </c>
      <c r="AH343" s="139">
        <f t="shared" si="207"/>
        <v>1291.2474828503605</v>
      </c>
      <c r="AI343" s="142">
        <v>1102.2</v>
      </c>
      <c r="AJ343" s="104">
        <f t="shared" si="208"/>
        <v>141.86728636159728</v>
      </c>
      <c r="AK343" s="139">
        <f t="shared" si="209"/>
        <v>1244.0672863615973</v>
      </c>
      <c r="AL343" s="143"/>
      <c r="AM343" s="143"/>
      <c r="AN343" s="104">
        <f t="shared" si="210"/>
        <v>0</v>
      </c>
      <c r="AO343" s="148">
        <f t="shared" si="211"/>
        <v>0</v>
      </c>
      <c r="AP343" s="272">
        <f t="shared" si="212"/>
        <v>2790.3223209373591</v>
      </c>
      <c r="AQ343" s="669">
        <v>351.67</v>
      </c>
      <c r="AR343" s="401">
        <v>933.99210719813232</v>
      </c>
      <c r="AS343" s="401">
        <v>1819.7869887884178</v>
      </c>
      <c r="AT343" s="401">
        <v>36.54322495080919</v>
      </c>
      <c r="AU343" s="401">
        <v>0</v>
      </c>
      <c r="AV343" s="727">
        <v>48.631180844485236</v>
      </c>
      <c r="AW343" s="246"/>
      <c r="AX343" s="713">
        <f t="shared" si="213"/>
        <v>161.07398546718898</v>
      </c>
      <c r="AY343" s="714">
        <v>101.72116767040305</v>
      </c>
      <c r="AZ343" s="715"/>
      <c r="BA343" s="716">
        <v>0</v>
      </c>
      <c r="BB343" s="727"/>
      <c r="BC343" s="712">
        <v>26.362500000000001</v>
      </c>
      <c r="BD343" s="712">
        <v>134.71148546718896</v>
      </c>
      <c r="BE343" s="712"/>
      <c r="BF343" s="712"/>
      <c r="BG343" s="712">
        <v>0</v>
      </c>
      <c r="BH343" s="712">
        <v>38.04296875</v>
      </c>
      <c r="BI343" s="134">
        <f t="shared" si="181"/>
        <v>161.07398546718898</v>
      </c>
      <c r="BJ343" s="123">
        <v>430.5</v>
      </c>
      <c r="BK343" s="792"/>
      <c r="BL343" s="104"/>
      <c r="BM343" s="672">
        <v>234.02</v>
      </c>
      <c r="BO343" s="562"/>
      <c r="BS343" s="879"/>
      <c r="BT343" s="774"/>
      <c r="BU343" s="774">
        <v>850.63882004611617</v>
      </c>
      <c r="BV343" s="774">
        <v>0</v>
      </c>
      <c r="BW343" s="774">
        <f t="shared" si="214"/>
        <v>850.63882004611617</v>
      </c>
    </row>
    <row r="344" spans="1:75" ht="15" thickBot="1" x14ac:dyDescent="0.35">
      <c r="A344" s="250" t="s">
        <v>406</v>
      </c>
      <c r="B344" s="227">
        <v>9</v>
      </c>
      <c r="C344" s="39">
        <f>'[3]побудинковий звіт'!E344</f>
        <v>3936.36</v>
      </c>
      <c r="D344" s="205">
        <f t="shared" si="189"/>
        <v>1450.7353766126737</v>
      </c>
      <c r="E344" s="104">
        <f t="shared" si="190"/>
        <v>319.16204938954911</v>
      </c>
      <c r="F344" s="104">
        <f t="shared" si="191"/>
        <v>130.75119418660373</v>
      </c>
      <c r="G344" s="104">
        <f t="shared" si="192"/>
        <v>0</v>
      </c>
      <c r="H344" s="104">
        <f t="shared" si="193"/>
        <v>1212.0526936570686</v>
      </c>
      <c r="I344" s="104">
        <f t="shared" si="194"/>
        <v>400.64460955316241</v>
      </c>
      <c r="J344" s="672">
        <f t="shared" si="182"/>
        <v>0</v>
      </c>
      <c r="K344" s="139">
        <f t="shared" si="195"/>
        <v>3513.3459233990575</v>
      </c>
      <c r="L344" s="138">
        <f t="shared" si="183"/>
        <v>1649.2128416382627</v>
      </c>
      <c r="M344" s="104">
        <f t="shared" si="184"/>
        <v>362.82511741718838</v>
      </c>
      <c r="N344" s="29">
        <f t="shared" si="196"/>
        <v>76.65049997709032</v>
      </c>
      <c r="O344" s="104">
        <f t="shared" si="185"/>
        <v>7.0866659949074524</v>
      </c>
      <c r="P344" s="104">
        <f t="shared" si="197"/>
        <v>1377.8755928519499</v>
      </c>
      <c r="Q344" s="104">
        <f t="shared" si="198"/>
        <v>447.10343051493794</v>
      </c>
      <c r="R344" s="140">
        <f t="shared" si="199"/>
        <v>3920.7541483943369</v>
      </c>
      <c r="S344" s="138">
        <f t="shared" si="200"/>
        <v>105.73200000000001</v>
      </c>
      <c r="T344" s="104">
        <f t="shared" si="186"/>
        <v>13.609065434208315</v>
      </c>
      <c r="U344" s="139">
        <f t="shared" si="201"/>
        <v>119.34106543420833</v>
      </c>
      <c r="V344" s="104"/>
      <c r="W344" s="104">
        <f t="shared" si="202"/>
        <v>0</v>
      </c>
      <c r="X344" s="139">
        <f t="shared" si="203"/>
        <v>0</v>
      </c>
      <c r="Y344" s="138">
        <v>3102.43</v>
      </c>
      <c r="Z344" s="141">
        <v>0</v>
      </c>
      <c r="AA344" s="104">
        <f t="shared" si="187"/>
        <v>399.32255963238083</v>
      </c>
      <c r="AB344" s="139">
        <f t="shared" si="188"/>
        <v>3501.7525596323808</v>
      </c>
      <c r="AC344" s="138">
        <v>0</v>
      </c>
      <c r="AD344" s="104">
        <f t="shared" si="204"/>
        <v>0</v>
      </c>
      <c r="AE344" s="139">
        <f t="shared" si="205"/>
        <v>0</v>
      </c>
      <c r="AF344" s="142">
        <v>123.2</v>
      </c>
      <c r="AG344" s="104">
        <f t="shared" si="206"/>
        <v>15.857421230038817</v>
      </c>
      <c r="AH344" s="139">
        <f t="shared" si="207"/>
        <v>139.05742123003881</v>
      </c>
      <c r="AI344" s="142">
        <v>972.4</v>
      </c>
      <c r="AJ344" s="104">
        <f t="shared" si="208"/>
        <v>125.16036042280636</v>
      </c>
      <c r="AK344" s="139">
        <f t="shared" si="209"/>
        <v>1097.5603604228063</v>
      </c>
      <c r="AL344" s="143"/>
      <c r="AM344" s="143"/>
      <c r="AN344" s="104">
        <f t="shared" si="210"/>
        <v>0</v>
      </c>
      <c r="AO344" s="148">
        <f t="shared" si="211"/>
        <v>0</v>
      </c>
      <c r="AP344" s="272">
        <f t="shared" si="212"/>
        <v>2683.5153258321607</v>
      </c>
      <c r="AQ344" s="669">
        <v>118.15</v>
      </c>
      <c r="AR344" s="401">
        <v>1160.3233869199594</v>
      </c>
      <c r="AS344" s="401">
        <v>1481.0846720135366</v>
      </c>
      <c r="AT344" s="401">
        <v>42.107266898664562</v>
      </c>
      <c r="AU344" s="401">
        <v>0</v>
      </c>
      <c r="AV344" s="727">
        <v>60.415817256386973</v>
      </c>
      <c r="AW344" s="246"/>
      <c r="AX344" s="713">
        <f t="shared" si="213"/>
        <v>130.75119418660373</v>
      </c>
      <c r="AY344" s="714">
        <v>76.65049997709032</v>
      </c>
      <c r="AZ344" s="715"/>
      <c r="BA344" s="716">
        <v>0</v>
      </c>
      <c r="BB344" s="727"/>
      <c r="BC344" s="712">
        <v>26.362500000000001</v>
      </c>
      <c r="BD344" s="712">
        <v>104.38869418660373</v>
      </c>
      <c r="BE344" s="712"/>
      <c r="BF344" s="712"/>
      <c r="BG344" s="712">
        <v>0</v>
      </c>
      <c r="BH344" s="712">
        <v>38.04296875</v>
      </c>
      <c r="BI344" s="134">
        <f t="shared" si="181"/>
        <v>130.75119418660373</v>
      </c>
      <c r="BJ344" s="123">
        <v>480.6</v>
      </c>
      <c r="BK344" s="792"/>
      <c r="BL344" s="104"/>
      <c r="BM344" s="672"/>
      <c r="BO344" s="562"/>
      <c r="BS344" s="879"/>
      <c r="BT344" s="774"/>
      <c r="BU344" s="774">
        <v>1061.9344111058231</v>
      </c>
      <c r="BV344" s="774">
        <v>0</v>
      </c>
      <c r="BW344" s="774">
        <f t="shared" si="214"/>
        <v>1061.9344111058231</v>
      </c>
    </row>
    <row r="345" spans="1:75" ht="15" thickBot="1" x14ac:dyDescent="0.35">
      <c r="A345" s="250" t="s">
        <v>407</v>
      </c>
      <c r="B345" s="227">
        <v>9</v>
      </c>
      <c r="C345" s="39">
        <f>'[3]побудинковий звіт'!E345</f>
        <v>6307.74</v>
      </c>
      <c r="D345" s="205">
        <f t="shared" si="189"/>
        <v>2464.9832097373151</v>
      </c>
      <c r="E345" s="104">
        <f t="shared" si="190"/>
        <v>542.29675901853739</v>
      </c>
      <c r="F345" s="104">
        <f t="shared" si="191"/>
        <v>186.6370365195724</v>
      </c>
      <c r="G345" s="104">
        <f t="shared" si="192"/>
        <v>0</v>
      </c>
      <c r="H345" s="104">
        <f t="shared" si="193"/>
        <v>2059.4310908427178</v>
      </c>
      <c r="I345" s="104">
        <f t="shared" si="194"/>
        <v>676.17332490395972</v>
      </c>
      <c r="J345" s="672">
        <f t="shared" si="182"/>
        <v>0</v>
      </c>
      <c r="K345" s="139">
        <f t="shared" si="195"/>
        <v>5929.5214210221029</v>
      </c>
      <c r="L345" s="138">
        <f t="shared" si="183"/>
        <v>1502.3951866710881</v>
      </c>
      <c r="M345" s="104">
        <f t="shared" si="184"/>
        <v>330.52538535260783</v>
      </c>
      <c r="N345" s="29">
        <f t="shared" si="196"/>
        <v>122.85651606993615</v>
      </c>
      <c r="O345" s="104">
        <f t="shared" si="185"/>
        <v>11.355883751160343</v>
      </c>
      <c r="P345" s="104">
        <f t="shared" si="197"/>
        <v>1255.2131576152249</v>
      </c>
      <c r="Q345" s="104">
        <f t="shared" si="198"/>
        <v>414.75730457656402</v>
      </c>
      <c r="R345" s="140">
        <f t="shared" si="199"/>
        <v>3637.1034340365813</v>
      </c>
      <c r="S345" s="138">
        <f t="shared" si="200"/>
        <v>173.25</v>
      </c>
      <c r="T345" s="104">
        <f t="shared" si="186"/>
        <v>22.299498604742084</v>
      </c>
      <c r="U345" s="139">
        <f t="shared" si="201"/>
        <v>195.5494986047421</v>
      </c>
      <c r="V345" s="104"/>
      <c r="W345" s="104">
        <f t="shared" si="202"/>
        <v>0</v>
      </c>
      <c r="X345" s="139">
        <f t="shared" si="203"/>
        <v>0</v>
      </c>
      <c r="Y345" s="138">
        <v>6463.3950000000004</v>
      </c>
      <c r="Z345" s="141">
        <v>0</v>
      </c>
      <c r="AA345" s="104">
        <f t="shared" si="187"/>
        <v>831.92189197343134</v>
      </c>
      <c r="AB345" s="139">
        <f t="shared" si="188"/>
        <v>7295.3168919734317</v>
      </c>
      <c r="AC345" s="138">
        <v>0</v>
      </c>
      <c r="AD345" s="104">
        <f t="shared" si="204"/>
        <v>0</v>
      </c>
      <c r="AE345" s="139">
        <f t="shared" si="205"/>
        <v>0</v>
      </c>
      <c r="AF345" s="142">
        <v>1256.2</v>
      </c>
      <c r="AG345" s="104">
        <f t="shared" si="206"/>
        <v>161.6890628991458</v>
      </c>
      <c r="AH345" s="139">
        <f t="shared" si="207"/>
        <v>1417.8890628991458</v>
      </c>
      <c r="AI345" s="142">
        <v>1185.8</v>
      </c>
      <c r="AJ345" s="104">
        <f t="shared" si="208"/>
        <v>152.6276793391236</v>
      </c>
      <c r="AK345" s="139">
        <f t="shared" si="209"/>
        <v>1338.4276793391236</v>
      </c>
      <c r="AL345" s="143"/>
      <c r="AM345" s="143"/>
      <c r="AN345" s="104">
        <f t="shared" si="210"/>
        <v>0</v>
      </c>
      <c r="AO345" s="148">
        <f t="shared" si="211"/>
        <v>0</v>
      </c>
      <c r="AP345" s="272">
        <f t="shared" si="212"/>
        <v>2972.4737149456528</v>
      </c>
      <c r="AQ345" s="669">
        <v>607.54</v>
      </c>
      <c r="AR345" s="401">
        <v>1584.880688975365</v>
      </c>
      <c r="AS345" s="401">
        <v>1321.6616588189627</v>
      </c>
      <c r="AT345" s="401">
        <v>65.93136715132492</v>
      </c>
      <c r="AU345" s="401">
        <v>0</v>
      </c>
      <c r="AV345" s="727">
        <v>82.521703136987128</v>
      </c>
      <c r="AW345" s="246"/>
      <c r="AX345" s="713">
        <f t="shared" si="213"/>
        <v>186.6370365195724</v>
      </c>
      <c r="AY345" s="714">
        <v>122.85651606993615</v>
      </c>
      <c r="AZ345" s="715"/>
      <c r="BA345" s="716">
        <v>0</v>
      </c>
      <c r="BB345" s="727"/>
      <c r="BC345" s="712">
        <v>26.362500000000001</v>
      </c>
      <c r="BD345" s="712">
        <v>160.27453651957239</v>
      </c>
      <c r="BE345" s="712"/>
      <c r="BF345" s="712"/>
      <c r="BG345" s="712">
        <v>0</v>
      </c>
      <c r="BH345" s="712">
        <v>38.04296875</v>
      </c>
      <c r="BI345" s="134">
        <f t="shared" si="181"/>
        <v>186.6370365195724</v>
      </c>
      <c r="BJ345" s="123">
        <v>787.5</v>
      </c>
      <c r="BK345" s="792"/>
      <c r="BL345" s="104"/>
      <c r="BM345" s="672"/>
      <c r="BO345" s="562"/>
      <c r="BS345" s="879"/>
      <c r="BT345" s="774"/>
      <c r="BU345" s="774">
        <v>1590.6578079605715</v>
      </c>
      <c r="BV345" s="774">
        <v>445.84960000000001</v>
      </c>
      <c r="BW345" s="774">
        <f t="shared" si="214"/>
        <v>2036.5074079605715</v>
      </c>
    </row>
    <row r="346" spans="1:75" ht="15" thickBot="1" x14ac:dyDescent="0.35">
      <c r="A346" s="250" t="s">
        <v>408</v>
      </c>
      <c r="B346" s="227">
        <v>9</v>
      </c>
      <c r="C346" s="39">
        <f>'[3]побудинковий звіт'!E346</f>
        <v>6324.72</v>
      </c>
      <c r="D346" s="205">
        <f t="shared" si="189"/>
        <v>1963.8215439307228</v>
      </c>
      <c r="E346" s="104">
        <f t="shared" si="190"/>
        <v>432.04110046571145</v>
      </c>
      <c r="F346" s="104">
        <f t="shared" si="191"/>
        <v>186.84268104195289</v>
      </c>
      <c r="G346" s="104">
        <f t="shared" si="192"/>
        <v>0</v>
      </c>
      <c r="H346" s="104">
        <f t="shared" si="193"/>
        <v>1640.723201870682</v>
      </c>
      <c r="I346" s="104">
        <f t="shared" si="194"/>
        <v>543.60945773135063</v>
      </c>
      <c r="J346" s="672">
        <f t="shared" si="182"/>
        <v>0</v>
      </c>
      <c r="K346" s="139">
        <f t="shared" si="195"/>
        <v>4767.0379850404197</v>
      </c>
      <c r="L346" s="138">
        <f t="shared" si="183"/>
        <v>1484.2243496313567</v>
      </c>
      <c r="M346" s="104">
        <f t="shared" si="184"/>
        <v>326.52782001958502</v>
      </c>
      <c r="N346" s="29">
        <f t="shared" si="196"/>
        <v>123.02654149522911</v>
      </c>
      <c r="O346" s="104">
        <f t="shared" si="185"/>
        <v>11.386453005139536</v>
      </c>
      <c r="P346" s="104">
        <f t="shared" si="197"/>
        <v>1240.0318831146787</v>
      </c>
      <c r="Q346" s="104">
        <f t="shared" si="198"/>
        <v>409.97574090237543</v>
      </c>
      <c r="R346" s="140">
        <f t="shared" si="199"/>
        <v>3595.1727881683651</v>
      </c>
      <c r="S346" s="138">
        <f t="shared" si="200"/>
        <v>183.48000000000002</v>
      </c>
      <c r="T346" s="104">
        <f t="shared" si="186"/>
        <v>23.616230903307809</v>
      </c>
      <c r="U346" s="139">
        <f t="shared" si="201"/>
        <v>207.09623090330783</v>
      </c>
      <c r="V346" s="104"/>
      <c r="W346" s="104">
        <f t="shared" si="202"/>
        <v>0</v>
      </c>
      <c r="X346" s="139">
        <f t="shared" si="203"/>
        <v>0</v>
      </c>
      <c r="Y346" s="138">
        <v>6463.3950000000004</v>
      </c>
      <c r="Z346" s="141">
        <v>0</v>
      </c>
      <c r="AA346" s="104">
        <f t="shared" si="187"/>
        <v>831.92189197343134</v>
      </c>
      <c r="AB346" s="139">
        <f>Y346+Z346+AA346</f>
        <v>7295.3168919734317</v>
      </c>
      <c r="AC346" s="138">
        <v>236.15</v>
      </c>
      <c r="AD346" s="104">
        <f t="shared" si="204"/>
        <v>30.395535904818722</v>
      </c>
      <c r="AE346" s="139">
        <f t="shared" si="205"/>
        <v>266.54553590481873</v>
      </c>
      <c r="AF346" s="142">
        <v>638</v>
      </c>
      <c r="AG346" s="104">
        <f t="shared" si="206"/>
        <v>82.118788512701016</v>
      </c>
      <c r="AH346" s="139">
        <f t="shared" si="207"/>
        <v>720.11878851270103</v>
      </c>
      <c r="AI346" s="142">
        <v>1084.5999999999999</v>
      </c>
      <c r="AJ346" s="104">
        <f t="shared" si="208"/>
        <v>139.60194047159172</v>
      </c>
      <c r="AK346" s="139">
        <f t="shared" si="209"/>
        <v>1224.2019404715916</v>
      </c>
      <c r="AL346" s="143"/>
      <c r="AM346" s="143"/>
      <c r="AN346" s="104">
        <f t="shared" si="210"/>
        <v>0</v>
      </c>
      <c r="AO346" s="148">
        <f t="shared" si="211"/>
        <v>0</v>
      </c>
      <c r="AP346" s="272">
        <f t="shared" si="212"/>
        <v>2798.9391397381478</v>
      </c>
      <c r="AQ346" s="669">
        <v>309.93</v>
      </c>
      <c r="AR346" s="401">
        <v>1428.128467023558</v>
      </c>
      <c r="AS346" s="401">
        <v>1312.2814299230656</v>
      </c>
      <c r="AT346" s="401">
        <v>58.529242791524254</v>
      </c>
      <c r="AU346" s="401">
        <v>0</v>
      </c>
      <c r="AV346" s="727">
        <v>74.359915050381701</v>
      </c>
      <c r="AW346" s="246"/>
      <c r="AX346" s="713">
        <f t="shared" si="213"/>
        <v>186.84268104195289</v>
      </c>
      <c r="AY346" s="714">
        <v>123.02654149522911</v>
      </c>
      <c r="AZ346" s="715"/>
      <c r="BA346" s="716">
        <v>0</v>
      </c>
      <c r="BB346" s="727"/>
      <c r="BC346" s="712">
        <v>26.362500000000001</v>
      </c>
      <c r="BD346" s="712">
        <v>160.48018104195287</v>
      </c>
      <c r="BE346" s="712"/>
      <c r="BF346" s="712"/>
      <c r="BG346" s="712">
        <v>0</v>
      </c>
      <c r="BH346" s="712">
        <v>38.04296875</v>
      </c>
      <c r="BI346" s="134">
        <f t="shared" si="181"/>
        <v>186.84268104195289</v>
      </c>
      <c r="BJ346" s="123">
        <v>834</v>
      </c>
      <c r="BK346" s="792"/>
      <c r="BL346" s="104"/>
      <c r="BM346" s="672"/>
      <c r="BO346" s="562"/>
      <c r="BS346" s="879"/>
      <c r="BT346" s="774"/>
      <c r="BU346" s="774">
        <v>1599.9159058200014</v>
      </c>
      <c r="BV346" s="774">
        <v>445.84960000000001</v>
      </c>
      <c r="BW346" s="774">
        <f t="shared" si="214"/>
        <v>2045.7655058200014</v>
      </c>
    </row>
    <row r="347" spans="1:75" ht="15" thickBot="1" x14ac:dyDescent="0.35">
      <c r="A347" s="250" t="s">
        <v>409</v>
      </c>
      <c r="B347" s="227">
        <v>9</v>
      </c>
      <c r="C347" s="39">
        <f>'[3]побудинковий звіт'!E347</f>
        <v>6335.19</v>
      </c>
      <c r="D347" s="205">
        <f t="shared" si="189"/>
        <v>2113.8395235408593</v>
      </c>
      <c r="E347" s="104">
        <f t="shared" si="190"/>
        <v>465.04508354182974</v>
      </c>
      <c r="F347" s="104">
        <f t="shared" si="191"/>
        <v>187.2829440572211</v>
      </c>
      <c r="G347" s="104">
        <f t="shared" si="192"/>
        <v>0</v>
      </c>
      <c r="H347" s="104">
        <f t="shared" si="193"/>
        <v>1766.0594273565537</v>
      </c>
      <c r="I347" s="104">
        <f t="shared" si="194"/>
        <v>583.35578172211444</v>
      </c>
      <c r="J347" s="672">
        <f t="shared" si="182"/>
        <v>0</v>
      </c>
      <c r="K347" s="139">
        <f t="shared" si="195"/>
        <v>5115.5827602185782</v>
      </c>
      <c r="L347" s="138">
        <f t="shared" si="183"/>
        <v>1715.0945995484526</v>
      </c>
      <c r="M347" s="104">
        <f t="shared" si="184"/>
        <v>377.31903593753566</v>
      </c>
      <c r="N347" s="29">
        <f t="shared" si="196"/>
        <v>123.39054781810717</v>
      </c>
      <c r="O347" s="104">
        <f t="shared" si="185"/>
        <v>11.405302244783947</v>
      </c>
      <c r="P347" s="104">
        <f t="shared" si="197"/>
        <v>1432.9181343279533</v>
      </c>
      <c r="Q347" s="104">
        <f t="shared" si="198"/>
        <v>471.10540116953189</v>
      </c>
      <c r="R347" s="140">
        <f t="shared" si="199"/>
        <v>4131.2330210463642</v>
      </c>
      <c r="S347" s="138">
        <f t="shared" si="200"/>
        <v>183.43600000000001</v>
      </c>
      <c r="T347" s="104">
        <f t="shared" si="186"/>
        <v>23.610567538582796</v>
      </c>
      <c r="U347" s="139">
        <f t="shared" si="201"/>
        <v>207.04656753858279</v>
      </c>
      <c r="V347" s="104"/>
      <c r="W347" s="104">
        <f t="shared" si="202"/>
        <v>0</v>
      </c>
      <c r="X347" s="139">
        <f t="shared" si="203"/>
        <v>0</v>
      </c>
      <c r="Y347" s="138">
        <v>3869.25</v>
      </c>
      <c r="Z347" s="141">
        <v>0</v>
      </c>
      <c r="AA347" s="104">
        <f t="shared" si="187"/>
        <v>498.02213550590653</v>
      </c>
      <c r="AB347" s="139">
        <f t="shared" si="188"/>
        <v>4367.2721355059066</v>
      </c>
      <c r="AC347" s="138">
        <v>118.075</v>
      </c>
      <c r="AD347" s="104">
        <f t="shared" si="204"/>
        <v>15.197767952409361</v>
      </c>
      <c r="AE347" s="139">
        <f t="shared" si="205"/>
        <v>133.27276795240937</v>
      </c>
      <c r="AF347" s="142">
        <v>783.2</v>
      </c>
      <c r="AG347" s="104">
        <f t="shared" si="206"/>
        <v>100.80789210524676</v>
      </c>
      <c r="AH347" s="139">
        <f t="shared" si="207"/>
        <v>884.00789210524681</v>
      </c>
      <c r="AI347" s="142">
        <v>1172.5999999999999</v>
      </c>
      <c r="AJ347" s="104">
        <f t="shared" si="208"/>
        <v>150.92866992161944</v>
      </c>
      <c r="AK347" s="139">
        <f t="shared" si="209"/>
        <v>1323.5286699216194</v>
      </c>
      <c r="AL347" s="143"/>
      <c r="AM347" s="143"/>
      <c r="AN347" s="104">
        <f t="shared" si="210"/>
        <v>0</v>
      </c>
      <c r="AO347" s="148">
        <f t="shared" si="211"/>
        <v>0</v>
      </c>
      <c r="AP347" s="272">
        <f t="shared" si="212"/>
        <v>3183.2616031200719</v>
      </c>
      <c r="AQ347" s="669">
        <v>268.38</v>
      </c>
      <c r="AR347" s="401">
        <v>1599.2221131601345</v>
      </c>
      <c r="AS347" s="401">
        <v>1518.5503634677236</v>
      </c>
      <c r="AT347" s="401">
        <v>65.489126492213856</v>
      </c>
      <c r="AU347" s="401">
        <v>0</v>
      </c>
      <c r="AV347" s="727">
        <v>83.268433636872444</v>
      </c>
      <c r="AW347" s="246"/>
      <c r="AX347" s="713">
        <f t="shared" si="213"/>
        <v>187.2829440572211</v>
      </c>
      <c r="AY347" s="714">
        <v>123.39054781810717</v>
      </c>
      <c r="AZ347" s="715"/>
      <c r="BA347" s="716">
        <v>0</v>
      </c>
      <c r="BB347" s="727"/>
      <c r="BC347" s="712">
        <v>26.362500000000001</v>
      </c>
      <c r="BD347" s="712">
        <v>160.92044405722109</v>
      </c>
      <c r="BE347" s="712"/>
      <c r="BF347" s="712"/>
      <c r="BG347" s="712">
        <v>0</v>
      </c>
      <c r="BH347" s="712">
        <v>38.04296875</v>
      </c>
      <c r="BI347" s="134">
        <f t="shared" si="181"/>
        <v>187.2829440572211</v>
      </c>
      <c r="BJ347" s="123">
        <v>833.8</v>
      </c>
      <c r="BK347" s="792"/>
      <c r="BL347" s="104"/>
      <c r="BM347" s="672"/>
      <c r="BO347" s="562"/>
      <c r="BS347" s="879"/>
      <c r="BT347" s="774"/>
      <c r="BU347" s="774">
        <v>1606.0762780337545</v>
      </c>
      <c r="BV347" s="774">
        <v>445.84960000000001</v>
      </c>
      <c r="BW347" s="774">
        <f t="shared" si="214"/>
        <v>2051.9258780337545</v>
      </c>
    </row>
    <row r="348" spans="1:75" ht="15" thickBot="1" x14ac:dyDescent="0.35">
      <c r="A348" s="250" t="s">
        <v>410</v>
      </c>
      <c r="B348" s="227">
        <v>9</v>
      </c>
      <c r="C348" s="39">
        <f>'[3]побудинковий звіт'!E348</f>
        <v>6347.35</v>
      </c>
      <c r="D348" s="205">
        <f t="shared" si="189"/>
        <v>2095.4379552840733</v>
      </c>
      <c r="E348" s="104">
        <f t="shared" si="190"/>
        <v>460.99673514452894</v>
      </c>
      <c r="F348" s="104">
        <f t="shared" si="191"/>
        <v>187.55925680035088</v>
      </c>
      <c r="G348" s="104">
        <f t="shared" si="192"/>
        <v>0</v>
      </c>
      <c r="H348" s="104">
        <f t="shared" si="193"/>
        <v>1750.6853827632326</v>
      </c>
      <c r="I348" s="104">
        <f t="shared" si="194"/>
        <v>578.52291744833383</v>
      </c>
      <c r="J348" s="672">
        <f t="shared" si="182"/>
        <v>0</v>
      </c>
      <c r="K348" s="139">
        <f t="shared" si="195"/>
        <v>5073.2022474405194</v>
      </c>
      <c r="L348" s="138">
        <f t="shared" si="183"/>
        <v>1478.0845241594441</v>
      </c>
      <c r="M348" s="104">
        <f t="shared" si="184"/>
        <v>325.17706477349151</v>
      </c>
      <c r="N348" s="29">
        <f t="shared" si="196"/>
        <v>123.61900122460045</v>
      </c>
      <c r="O348" s="104">
        <f t="shared" si="185"/>
        <v>11.427194007350908</v>
      </c>
      <c r="P348" s="104">
        <f t="shared" si="197"/>
        <v>1234.9022143123698</v>
      </c>
      <c r="Q348" s="104">
        <f t="shared" si="198"/>
        <v>408.43285387357702</v>
      </c>
      <c r="R348" s="140">
        <f t="shared" si="199"/>
        <v>3581.6428523508339</v>
      </c>
      <c r="S348" s="138">
        <f t="shared" si="200"/>
        <v>170.61</v>
      </c>
      <c r="T348" s="104">
        <f t="shared" si="186"/>
        <v>21.959696721241254</v>
      </c>
      <c r="U348" s="139">
        <f t="shared" si="201"/>
        <v>192.56969672124126</v>
      </c>
      <c r="V348" s="104"/>
      <c r="W348" s="104">
        <f t="shared" si="202"/>
        <v>0</v>
      </c>
      <c r="X348" s="139">
        <f t="shared" si="203"/>
        <v>0</v>
      </c>
      <c r="Y348" s="138">
        <v>3869.25</v>
      </c>
      <c r="Z348" s="141">
        <v>0</v>
      </c>
      <c r="AA348" s="104">
        <f t="shared" si="187"/>
        <v>498.02213550590653</v>
      </c>
      <c r="AB348" s="139">
        <f t="shared" si="188"/>
        <v>4367.2721355059066</v>
      </c>
      <c r="AC348" s="138">
        <v>236.15</v>
      </c>
      <c r="AD348" s="104">
        <f t="shared" si="204"/>
        <v>30.395535904818722</v>
      </c>
      <c r="AE348" s="139">
        <f t="shared" si="205"/>
        <v>266.54553590481873</v>
      </c>
      <c r="AF348" s="142">
        <v>2310</v>
      </c>
      <c r="AG348" s="104">
        <f t="shared" si="206"/>
        <v>297.32664806322782</v>
      </c>
      <c r="AH348" s="139">
        <f t="shared" si="207"/>
        <v>2607.3266480632278</v>
      </c>
      <c r="AI348" s="142">
        <v>1273.8</v>
      </c>
      <c r="AJ348" s="104">
        <f t="shared" si="208"/>
        <v>163.95440878915133</v>
      </c>
      <c r="AK348" s="139">
        <f t="shared" si="209"/>
        <v>1437.7544087891513</v>
      </c>
      <c r="AL348" s="143"/>
      <c r="AM348" s="143"/>
      <c r="AN348" s="104">
        <f t="shared" si="210"/>
        <v>0</v>
      </c>
      <c r="AO348" s="148">
        <f t="shared" si="211"/>
        <v>0</v>
      </c>
      <c r="AP348" s="272">
        <f t="shared" si="212"/>
        <v>2935.4068875676685</v>
      </c>
      <c r="AQ348" s="669">
        <v>281.86</v>
      </c>
      <c r="AR348" s="401">
        <v>1570.2668793234423</v>
      </c>
      <c r="AS348" s="401">
        <v>1302.7456638691376</v>
      </c>
      <c r="AT348" s="401">
        <v>62.394344375088821</v>
      </c>
      <c r="AU348" s="401">
        <v>0</v>
      </c>
      <c r="AV348" s="727">
        <v>81.760790047323539</v>
      </c>
      <c r="AW348" s="246"/>
      <c r="AX348" s="713">
        <f t="shared" si="213"/>
        <v>187.55925680035088</v>
      </c>
      <c r="AY348" s="714">
        <v>123.61900122460045</v>
      </c>
      <c r="AZ348" s="715"/>
      <c r="BA348" s="716">
        <v>0</v>
      </c>
      <c r="BB348" s="727"/>
      <c r="BC348" s="712">
        <v>26.362500000000001</v>
      </c>
      <c r="BD348" s="712">
        <v>161.19675680035087</v>
      </c>
      <c r="BE348" s="712"/>
      <c r="BF348" s="712"/>
      <c r="BG348" s="712">
        <v>0</v>
      </c>
      <c r="BH348" s="712">
        <v>38.04296875</v>
      </c>
      <c r="BI348" s="134">
        <f t="shared" si="181"/>
        <v>187.55925680035088</v>
      </c>
      <c r="BJ348" s="123">
        <v>775.5</v>
      </c>
      <c r="BK348" s="792"/>
      <c r="BL348" s="104"/>
      <c r="BM348" s="672"/>
      <c r="BO348" s="562"/>
      <c r="BS348" s="879"/>
      <c r="BT348" s="774"/>
      <c r="BU348" s="774">
        <v>1576.664113242108</v>
      </c>
      <c r="BV348" s="774">
        <v>445.84960000000001</v>
      </c>
      <c r="BW348" s="774">
        <f t="shared" si="214"/>
        <v>2022.513713242108</v>
      </c>
    </row>
    <row r="349" spans="1:75" ht="15" thickBot="1" x14ac:dyDescent="0.35">
      <c r="A349" s="250" t="s">
        <v>318</v>
      </c>
      <c r="B349" s="227">
        <v>5</v>
      </c>
      <c r="C349" s="39">
        <f>'[3]побудинковий звіт'!E349</f>
        <v>5864.08</v>
      </c>
      <c r="D349" s="205">
        <f t="shared" si="189"/>
        <v>917.44977545307472</v>
      </c>
      <c r="E349" s="104">
        <f t="shared" si="190"/>
        <v>201.83911915712699</v>
      </c>
      <c r="F349" s="104">
        <f t="shared" si="191"/>
        <v>176.17766872720298</v>
      </c>
      <c r="G349" s="104">
        <f t="shared" si="192"/>
        <v>0</v>
      </c>
      <c r="H349" s="104">
        <f t="shared" si="193"/>
        <v>766.50606965232907</v>
      </c>
      <c r="I349" s="104">
        <f t="shared" si="194"/>
        <v>265.40234258222756</v>
      </c>
      <c r="J349" s="672">
        <f t="shared" si="182"/>
        <v>0</v>
      </c>
      <c r="K349" s="139">
        <f t="shared" si="195"/>
        <v>2327.3749755719609</v>
      </c>
      <c r="L349" s="138">
        <f t="shared" si="183"/>
        <v>380.66701938836763</v>
      </c>
      <c r="M349" s="104">
        <f t="shared" si="184"/>
        <v>83.746350088589594</v>
      </c>
      <c r="N349" s="29">
        <f t="shared" si="196"/>
        <v>114.20878533241248</v>
      </c>
      <c r="O349" s="104">
        <f t="shared" si="185"/>
        <v>10.557158473162234</v>
      </c>
      <c r="P349" s="104">
        <f t="shared" si="197"/>
        <v>318.03766122625052</v>
      </c>
      <c r="Q349" s="104">
        <f t="shared" si="198"/>
        <v>116.77046844015544</v>
      </c>
      <c r="R349" s="140">
        <f t="shared" si="199"/>
        <v>1023.9874429489379</v>
      </c>
      <c r="S349" s="138">
        <f t="shared" si="200"/>
        <v>195.73400000000004</v>
      </c>
      <c r="T349" s="104">
        <f t="shared" si="186"/>
        <v>25.193477979224173</v>
      </c>
      <c r="U349" s="139">
        <f t="shared" si="201"/>
        <v>220.92747797922422</v>
      </c>
      <c r="V349" s="408"/>
      <c r="W349" s="104">
        <f t="shared" si="202"/>
        <v>0</v>
      </c>
      <c r="X349" s="139">
        <f t="shared" si="203"/>
        <v>0</v>
      </c>
      <c r="Y349" s="138">
        <v>0</v>
      </c>
      <c r="Z349" s="141">
        <v>0</v>
      </c>
      <c r="AA349" s="104">
        <f t="shared" si="187"/>
        <v>0</v>
      </c>
      <c r="AB349" s="139">
        <f t="shared" si="188"/>
        <v>0</v>
      </c>
      <c r="AC349" s="138">
        <v>0</v>
      </c>
      <c r="AD349" s="104">
        <f t="shared" si="204"/>
        <v>0</v>
      </c>
      <c r="AE349" s="139">
        <f t="shared" si="205"/>
        <v>0</v>
      </c>
      <c r="AF349" s="142">
        <v>649</v>
      </c>
      <c r="AG349" s="104">
        <f t="shared" si="206"/>
        <v>83.534629693954471</v>
      </c>
      <c r="AH349" s="139">
        <f t="shared" si="207"/>
        <v>732.53462969395446</v>
      </c>
      <c r="AI349" s="142">
        <v>0</v>
      </c>
      <c r="AJ349" s="104">
        <f t="shared" si="208"/>
        <v>0</v>
      </c>
      <c r="AK349" s="139">
        <f t="shared" si="209"/>
        <v>0</v>
      </c>
      <c r="AL349" s="143">
        <v>6630</v>
      </c>
      <c r="AM349" s="143"/>
      <c r="AN349" s="104">
        <f t="shared" si="210"/>
        <v>853.36609379186154</v>
      </c>
      <c r="AO349" s="148">
        <f t="shared" si="211"/>
        <v>7483.3660937918612</v>
      </c>
      <c r="AP349" s="272">
        <f t="shared" si="212"/>
        <v>908.25219713192939</v>
      </c>
      <c r="AQ349" s="669">
        <v>261.06</v>
      </c>
      <c r="AR349" s="401">
        <v>556.67299479797396</v>
      </c>
      <c r="AS349" s="401">
        <v>337.83799163727576</v>
      </c>
      <c r="AT349" s="401">
        <v>13.741210696679643</v>
      </c>
      <c r="AU349" s="401">
        <v>0</v>
      </c>
      <c r="AV349" s="727">
        <v>28.984897059219595</v>
      </c>
      <c r="AW349" s="246"/>
      <c r="AX349" s="713">
        <f t="shared" si="213"/>
        <v>176.17766872720298</v>
      </c>
      <c r="AY349" s="714">
        <v>114.20878533241248</v>
      </c>
      <c r="AZ349" s="715"/>
      <c r="BA349" s="716">
        <v>0</v>
      </c>
      <c r="BB349" s="727"/>
      <c r="BC349" s="712">
        <v>26.362500000000001</v>
      </c>
      <c r="BD349" s="712">
        <v>149.81516872720297</v>
      </c>
      <c r="BE349" s="712"/>
      <c r="BF349" s="712"/>
      <c r="BG349" s="712">
        <v>0</v>
      </c>
      <c r="BH349" s="712">
        <v>38.04296875</v>
      </c>
      <c r="BI349" s="134">
        <f t="shared" si="181"/>
        <v>176.17766872720298</v>
      </c>
      <c r="BJ349" s="123">
        <v>889.7</v>
      </c>
      <c r="BK349" s="792"/>
      <c r="BL349" s="104"/>
      <c r="BM349" s="672"/>
      <c r="BO349" s="562"/>
      <c r="BS349" s="879"/>
      <c r="BT349" s="774"/>
      <c r="BU349" s="774">
        <v>1705.2545735342112</v>
      </c>
      <c r="BV349" s="774">
        <v>0</v>
      </c>
      <c r="BW349" s="774">
        <f t="shared" si="214"/>
        <v>1705.2545735342112</v>
      </c>
    </row>
    <row r="350" spans="1:75" ht="15" thickBot="1" x14ac:dyDescent="0.35">
      <c r="A350" s="250" t="s">
        <v>319</v>
      </c>
      <c r="B350" s="227">
        <v>5</v>
      </c>
      <c r="C350" s="39">
        <f>'[3]побудинковий звіт'!E350</f>
        <v>4467.5200000000004</v>
      </c>
      <c r="D350" s="205">
        <f t="shared" si="189"/>
        <v>817.49208588994918</v>
      </c>
      <c r="E350" s="104">
        <f t="shared" si="190"/>
        <v>179.84840908862284</v>
      </c>
      <c r="F350" s="104">
        <f t="shared" si="191"/>
        <v>143.27784299662628</v>
      </c>
      <c r="G350" s="104">
        <f t="shared" si="192"/>
        <v>0</v>
      </c>
      <c r="H350" s="104">
        <f t="shared" si="193"/>
        <v>682.99394963385532</v>
      </c>
      <c r="I350" s="104">
        <f t="shared" si="194"/>
        <v>234.7223068578852</v>
      </c>
      <c r="J350" s="672">
        <f t="shared" si="182"/>
        <v>0</v>
      </c>
      <c r="K350" s="139">
        <f t="shared" si="195"/>
        <v>2058.3345944669386</v>
      </c>
      <c r="L350" s="138">
        <f t="shared" si="183"/>
        <v>264.28529691255625</v>
      </c>
      <c r="M350" s="104">
        <f t="shared" si="184"/>
        <v>58.142491656008474</v>
      </c>
      <c r="N350" s="29">
        <f t="shared" si="196"/>
        <v>87.007443924661004</v>
      </c>
      <c r="O350" s="104">
        <f t="shared" si="185"/>
        <v>8.0429183472977428</v>
      </c>
      <c r="P350" s="104">
        <f t="shared" si="197"/>
        <v>220.80367734931511</v>
      </c>
      <c r="Q350" s="104">
        <f t="shared" si="198"/>
        <v>82.15506341790207</v>
      </c>
      <c r="R350" s="140">
        <f t="shared" si="199"/>
        <v>720.43689160774068</v>
      </c>
      <c r="S350" s="138">
        <f t="shared" si="200"/>
        <v>184.22799999999998</v>
      </c>
      <c r="T350" s="104">
        <f t="shared" si="186"/>
        <v>23.712508103633041</v>
      </c>
      <c r="U350" s="139">
        <f t="shared" si="201"/>
        <v>207.94050810363302</v>
      </c>
      <c r="V350" s="408"/>
      <c r="W350" s="104">
        <f t="shared" si="202"/>
        <v>0</v>
      </c>
      <c r="X350" s="139">
        <f t="shared" si="203"/>
        <v>0</v>
      </c>
      <c r="Y350" s="138">
        <v>0</v>
      </c>
      <c r="Z350" s="141">
        <v>0</v>
      </c>
      <c r="AA350" s="104">
        <f t="shared" si="187"/>
        <v>0</v>
      </c>
      <c r="AB350" s="139">
        <f t="shared" si="188"/>
        <v>0</v>
      </c>
      <c r="AC350" s="138">
        <v>0</v>
      </c>
      <c r="AD350" s="104">
        <f t="shared" si="204"/>
        <v>0</v>
      </c>
      <c r="AE350" s="139">
        <f t="shared" si="205"/>
        <v>0</v>
      </c>
      <c r="AF350" s="142">
        <v>330</v>
      </c>
      <c r="AG350" s="104">
        <f t="shared" si="206"/>
        <v>42.47523543760397</v>
      </c>
      <c r="AH350" s="139">
        <f t="shared" si="207"/>
        <v>372.47523543760394</v>
      </c>
      <c r="AI350" s="142">
        <v>0</v>
      </c>
      <c r="AJ350" s="104">
        <f t="shared" si="208"/>
        <v>0</v>
      </c>
      <c r="AK350" s="139">
        <f t="shared" si="209"/>
        <v>0</v>
      </c>
      <c r="AL350" s="143">
        <v>5036.25</v>
      </c>
      <c r="AM350" s="143"/>
      <c r="AN350" s="104">
        <f t="shared" si="210"/>
        <v>648.23001355343331</v>
      </c>
      <c r="AO350" s="148">
        <f t="shared" si="211"/>
        <v>5684.4800135534333</v>
      </c>
      <c r="AP350" s="272">
        <f t="shared" si="212"/>
        <v>706.85198473946343</v>
      </c>
      <c r="AQ350" s="669">
        <v>267.61</v>
      </c>
      <c r="AR350" s="401">
        <v>462.76145641788008</v>
      </c>
      <c r="AS350" s="401">
        <v>235.01081726416106</v>
      </c>
      <c r="AT350" s="401">
        <v>9.0797110574223119</v>
      </c>
      <c r="AU350" s="401">
        <v>0</v>
      </c>
      <c r="AV350" s="727">
        <v>24.095103054378683</v>
      </c>
      <c r="AW350" s="246"/>
      <c r="AX350" s="713">
        <f t="shared" si="213"/>
        <v>143.27784299662628</v>
      </c>
      <c r="AY350" s="714">
        <v>87.007443924661004</v>
      </c>
      <c r="AZ350" s="715"/>
      <c r="BA350" s="716">
        <v>0</v>
      </c>
      <c r="BB350" s="727"/>
      <c r="BC350" s="712">
        <v>26.362500000000001</v>
      </c>
      <c r="BD350" s="712">
        <v>116.91534299662628</v>
      </c>
      <c r="BE350" s="712"/>
      <c r="BF350" s="712"/>
      <c r="BG350" s="712">
        <v>0</v>
      </c>
      <c r="BH350" s="712">
        <v>38.04296875</v>
      </c>
      <c r="BI350" s="134">
        <f t="shared" si="181"/>
        <v>143.27784299662628</v>
      </c>
      <c r="BJ350" s="123">
        <v>837.4</v>
      </c>
      <c r="BK350" s="792"/>
      <c r="BL350" s="104"/>
      <c r="BM350" s="672"/>
      <c r="BO350" s="562"/>
      <c r="BS350" s="879"/>
      <c r="BT350" s="774"/>
      <c r="BU350" s="774">
        <v>1487.3483359085194</v>
      </c>
      <c r="BV350" s="774">
        <v>0</v>
      </c>
      <c r="BW350" s="774">
        <f t="shared" si="214"/>
        <v>1487.3483359085194</v>
      </c>
    </row>
    <row r="351" spans="1:75" ht="15" thickBot="1" x14ac:dyDescent="0.35">
      <c r="A351" s="250" t="s">
        <v>320</v>
      </c>
      <c r="B351" s="227">
        <v>5</v>
      </c>
      <c r="C351" s="39">
        <f>'[3]побудинковий звіт'!E351</f>
        <v>2779.82</v>
      </c>
      <c r="D351" s="205">
        <f t="shared" si="189"/>
        <v>1694.417193279088</v>
      </c>
      <c r="E351" s="104">
        <f t="shared" si="190"/>
        <v>372.7720938263339</v>
      </c>
      <c r="F351" s="104">
        <f t="shared" si="191"/>
        <v>337.53990200306492</v>
      </c>
      <c r="G351" s="104">
        <f t="shared" si="192"/>
        <v>0</v>
      </c>
      <c r="H351" s="104">
        <f t="shared" si="193"/>
        <v>1415.6426846693516</v>
      </c>
      <c r="I351" s="104">
        <f t="shared" si="194"/>
        <v>491.73089332701193</v>
      </c>
      <c r="J351" s="672">
        <f t="shared" si="182"/>
        <v>0</v>
      </c>
      <c r="K351" s="139">
        <f t="shared" si="195"/>
        <v>4312.1027671048505</v>
      </c>
      <c r="L351" s="138">
        <f t="shared" si="183"/>
        <v>651.06743694008367</v>
      </c>
      <c r="M351" s="104">
        <f t="shared" si="184"/>
        <v>143.2341619530676</v>
      </c>
      <c r="N351" s="29">
        <f t="shared" si="196"/>
        <v>54.135861701354742</v>
      </c>
      <c r="O351" s="104">
        <f t="shared" si="185"/>
        <v>5.0045361364213727</v>
      </c>
      <c r="P351" s="104">
        <f t="shared" si="197"/>
        <v>543.95036711531043</v>
      </c>
      <c r="Q351" s="104">
        <f t="shared" si="198"/>
        <v>179.86233228205728</v>
      </c>
      <c r="R351" s="140">
        <f t="shared" si="199"/>
        <v>1577.2546961282951</v>
      </c>
      <c r="S351" s="138">
        <f t="shared" si="200"/>
        <v>129.602</v>
      </c>
      <c r="T351" s="104">
        <f t="shared" si="186"/>
        <v>16.681440797528332</v>
      </c>
      <c r="U351" s="139">
        <f t="shared" si="201"/>
        <v>146.28344079752833</v>
      </c>
      <c r="V351" s="408"/>
      <c r="W351" s="104">
        <f t="shared" si="202"/>
        <v>0</v>
      </c>
      <c r="X351" s="139">
        <f t="shared" si="203"/>
        <v>0</v>
      </c>
      <c r="Y351" s="138">
        <v>0</v>
      </c>
      <c r="Z351" s="141">
        <v>0</v>
      </c>
      <c r="AA351" s="104">
        <f t="shared" si="187"/>
        <v>0</v>
      </c>
      <c r="AB351" s="139">
        <f t="shared" si="188"/>
        <v>0</v>
      </c>
      <c r="AC351" s="138">
        <v>0</v>
      </c>
      <c r="AD351" s="104">
        <f t="shared" si="204"/>
        <v>0</v>
      </c>
      <c r="AE351" s="139">
        <f t="shared" si="205"/>
        <v>0</v>
      </c>
      <c r="AF351" s="142">
        <v>387.2</v>
      </c>
      <c r="AG351" s="104">
        <f t="shared" si="206"/>
        <v>49.837609580121992</v>
      </c>
      <c r="AH351" s="139">
        <f t="shared" si="207"/>
        <v>437.03760958012197</v>
      </c>
      <c r="AI351" s="142">
        <v>0</v>
      </c>
      <c r="AJ351" s="104">
        <f t="shared" si="208"/>
        <v>0</v>
      </c>
      <c r="AK351" s="139">
        <f t="shared" si="209"/>
        <v>0</v>
      </c>
      <c r="AL351" s="143"/>
      <c r="AM351" s="143"/>
      <c r="AN351" s="104">
        <f t="shared" si="210"/>
        <v>0</v>
      </c>
      <c r="AO351" s="148">
        <f t="shared" si="211"/>
        <v>0</v>
      </c>
      <c r="AP351" s="272">
        <f t="shared" si="212"/>
        <v>1972.468457729721</v>
      </c>
      <c r="AQ351" s="669">
        <v>121.24</v>
      </c>
      <c r="AR351" s="401">
        <v>1371.1508796721505</v>
      </c>
      <c r="AS351" s="401">
        <v>578.79491520694762</v>
      </c>
      <c r="AT351" s="401">
        <v>22.522662850622723</v>
      </c>
      <c r="AU351" s="401">
        <v>0</v>
      </c>
      <c r="AV351" s="727">
        <v>71.39320116360048</v>
      </c>
      <c r="AW351" s="246"/>
      <c r="AX351" s="713">
        <f t="shared" si="213"/>
        <v>103.51990200306493</v>
      </c>
      <c r="AY351" s="714">
        <v>54.135861701354742</v>
      </c>
      <c r="AZ351" s="715"/>
      <c r="BA351" s="716">
        <v>0</v>
      </c>
      <c r="BB351" s="727"/>
      <c r="BC351" s="712">
        <v>26.362500000000001</v>
      </c>
      <c r="BD351" s="712">
        <v>77.157402003064931</v>
      </c>
      <c r="BE351" s="712"/>
      <c r="BF351" s="712"/>
      <c r="BG351" s="712">
        <v>0</v>
      </c>
      <c r="BH351" s="712">
        <v>38.04296875</v>
      </c>
      <c r="BI351" s="134">
        <f t="shared" si="181"/>
        <v>103.51990200306493</v>
      </c>
      <c r="BJ351" s="123">
        <v>589.1</v>
      </c>
      <c r="BK351" s="792"/>
      <c r="BL351" s="104"/>
      <c r="BM351" s="672">
        <v>234.02</v>
      </c>
      <c r="BO351" s="562"/>
      <c r="BS351" s="879"/>
      <c r="BT351" s="774"/>
      <c r="BU351" s="774">
        <v>1438.7491884281335</v>
      </c>
      <c r="BV351" s="774">
        <v>0</v>
      </c>
      <c r="BW351" s="774">
        <f t="shared" si="214"/>
        <v>1438.7491884281335</v>
      </c>
    </row>
    <row r="352" spans="1:75" ht="15" thickBot="1" x14ac:dyDescent="0.35">
      <c r="A352" s="250" t="s">
        <v>321</v>
      </c>
      <c r="B352" s="227">
        <v>5</v>
      </c>
      <c r="C352" s="39">
        <f>'[3]побудинковий звіт'!E352</f>
        <v>2762.3</v>
      </c>
      <c r="D352" s="205">
        <f t="shared" si="189"/>
        <v>1874.8329693619278</v>
      </c>
      <c r="E352" s="104">
        <f t="shared" si="190"/>
        <v>412.46359771124861</v>
      </c>
      <c r="F352" s="104">
        <f t="shared" si="191"/>
        <v>220.12191080860561</v>
      </c>
      <c r="G352" s="104">
        <f t="shared" si="192"/>
        <v>0</v>
      </c>
      <c r="H352" s="104">
        <f t="shared" si="193"/>
        <v>1566.3754998365241</v>
      </c>
      <c r="I352" s="104">
        <f t="shared" si="194"/>
        <v>524.34957069054019</v>
      </c>
      <c r="J352" s="672">
        <f t="shared" si="182"/>
        <v>0</v>
      </c>
      <c r="K352" s="139">
        <f t="shared" si="195"/>
        <v>4598.143548408847</v>
      </c>
      <c r="L352" s="138">
        <f t="shared" si="183"/>
        <v>726.66035666368657</v>
      </c>
      <c r="M352" s="104">
        <f t="shared" si="184"/>
        <v>159.86452601655586</v>
      </c>
      <c r="N352" s="29">
        <f t="shared" si="196"/>
        <v>53.798537489891508</v>
      </c>
      <c r="O352" s="104">
        <f t="shared" si="185"/>
        <v>4.9729947153545044</v>
      </c>
      <c r="P352" s="104">
        <f t="shared" si="197"/>
        <v>607.10633852777119</v>
      </c>
      <c r="Q352" s="104">
        <f t="shared" si="198"/>
        <v>199.81415892488747</v>
      </c>
      <c r="R352" s="140">
        <f t="shared" si="199"/>
        <v>1752.2169123381473</v>
      </c>
      <c r="S352" s="138">
        <f t="shared" si="200"/>
        <v>115.12599999999999</v>
      </c>
      <c r="T352" s="104">
        <f t="shared" si="186"/>
        <v>14.818193802998771</v>
      </c>
      <c r="U352" s="139">
        <f t="shared" si="201"/>
        <v>129.94419380299877</v>
      </c>
      <c r="V352" s="408"/>
      <c r="W352" s="104">
        <f t="shared" si="202"/>
        <v>0</v>
      </c>
      <c r="X352" s="139">
        <f t="shared" si="203"/>
        <v>0</v>
      </c>
      <c r="Y352" s="138">
        <v>0</v>
      </c>
      <c r="Z352" s="141">
        <v>0</v>
      </c>
      <c r="AA352" s="104">
        <f t="shared" si="187"/>
        <v>0</v>
      </c>
      <c r="AB352" s="139">
        <f t="shared" si="188"/>
        <v>0</v>
      </c>
      <c r="AC352" s="138">
        <v>0</v>
      </c>
      <c r="AD352" s="104">
        <f t="shared" si="204"/>
        <v>0</v>
      </c>
      <c r="AE352" s="139">
        <f t="shared" si="205"/>
        <v>0</v>
      </c>
      <c r="AF352" s="142">
        <v>299.2</v>
      </c>
      <c r="AG352" s="104">
        <f t="shared" si="206"/>
        <v>38.510880130094264</v>
      </c>
      <c r="AH352" s="139">
        <f t="shared" si="207"/>
        <v>337.71088013009427</v>
      </c>
      <c r="AI352" s="142">
        <v>0</v>
      </c>
      <c r="AJ352" s="104">
        <f t="shared" si="208"/>
        <v>0</v>
      </c>
      <c r="AK352" s="139">
        <f t="shared" si="209"/>
        <v>0</v>
      </c>
      <c r="AL352" s="143"/>
      <c r="AM352" s="143"/>
      <c r="AN352" s="104">
        <f t="shared" si="210"/>
        <v>0</v>
      </c>
      <c r="AO352" s="148">
        <f t="shared" si="211"/>
        <v>0</v>
      </c>
      <c r="AP352" s="272">
        <f t="shared" si="212"/>
        <v>2194.3155852152677</v>
      </c>
      <c r="AQ352" s="669">
        <v>127.8</v>
      </c>
      <c r="AR352" s="401">
        <v>1523.1813509597921</v>
      </c>
      <c r="AS352" s="401">
        <v>646.02228793366112</v>
      </c>
      <c r="AT352" s="401">
        <v>25.111946321814557</v>
      </c>
      <c r="AU352" s="401">
        <v>0</v>
      </c>
      <c r="AV352" s="727">
        <v>79.309136733164351</v>
      </c>
      <c r="AW352" s="246"/>
      <c r="AX352" s="713">
        <f t="shared" si="213"/>
        <v>103.11191080860559</v>
      </c>
      <c r="AY352" s="714">
        <v>53.798537489891508</v>
      </c>
      <c r="AZ352" s="715"/>
      <c r="BA352" s="716">
        <v>0</v>
      </c>
      <c r="BB352" s="727"/>
      <c r="BC352" s="712">
        <v>26.362500000000001</v>
      </c>
      <c r="BD352" s="712">
        <v>76.749410808605589</v>
      </c>
      <c r="BE352" s="712"/>
      <c r="BF352" s="712"/>
      <c r="BG352" s="712">
        <v>0</v>
      </c>
      <c r="BH352" s="712">
        <v>38.04296875</v>
      </c>
      <c r="BI352" s="134">
        <f t="shared" si="181"/>
        <v>103.11191080860559</v>
      </c>
      <c r="BJ352" s="123">
        <v>523.29999999999995</v>
      </c>
      <c r="BK352" s="792"/>
      <c r="BL352" s="104"/>
      <c r="BM352" s="672">
        <v>117.01</v>
      </c>
      <c r="BO352" s="562"/>
      <c r="BS352" s="879"/>
      <c r="BT352" s="774"/>
      <c r="BU352" s="774">
        <v>1432.7165861729077</v>
      </c>
      <c r="BV352" s="774">
        <v>0</v>
      </c>
      <c r="BW352" s="774">
        <f t="shared" si="214"/>
        <v>1432.7165861729077</v>
      </c>
    </row>
    <row r="353" spans="1:75" ht="15" thickBot="1" x14ac:dyDescent="0.35">
      <c r="A353" s="250" t="s">
        <v>322</v>
      </c>
      <c r="B353" s="227">
        <v>5</v>
      </c>
      <c r="C353" s="39">
        <f>'[3]побудинковий звіт'!E353</f>
        <v>2743.4</v>
      </c>
      <c r="D353" s="205">
        <f t="shared" si="189"/>
        <v>1962.4021427509733</v>
      </c>
      <c r="E353" s="104">
        <f t="shared" si="190"/>
        <v>431.72883194538866</v>
      </c>
      <c r="F353" s="104">
        <f t="shared" si="191"/>
        <v>102.66670101788493</v>
      </c>
      <c r="G353" s="104">
        <f t="shared" si="192"/>
        <v>0</v>
      </c>
      <c r="H353" s="104">
        <f t="shared" si="193"/>
        <v>1639.5373281055352</v>
      </c>
      <c r="I353" s="104">
        <f t="shared" si="194"/>
        <v>532.399403442569</v>
      </c>
      <c r="J353" s="672">
        <f t="shared" si="182"/>
        <v>0</v>
      </c>
      <c r="K353" s="139">
        <f t="shared" si="195"/>
        <v>4668.7344072623509</v>
      </c>
      <c r="L353" s="138">
        <f t="shared" si="183"/>
        <v>641.8931510967011</v>
      </c>
      <c r="M353" s="104">
        <f t="shared" si="184"/>
        <v>141.21582856740369</v>
      </c>
      <c r="N353" s="29">
        <f t="shared" si="196"/>
        <v>53.43044120832942</v>
      </c>
      <c r="O353" s="104">
        <f t="shared" si="185"/>
        <v>4.9389688672857934</v>
      </c>
      <c r="P353" s="104">
        <f t="shared" si="197"/>
        <v>536.28548346518869</v>
      </c>
      <c r="Q353" s="104">
        <f t="shared" si="198"/>
        <v>177.33589361152616</v>
      </c>
      <c r="R353" s="140">
        <f t="shared" si="199"/>
        <v>1555.0997668164348</v>
      </c>
      <c r="S353" s="138">
        <f t="shared" si="200"/>
        <v>115.10400000000003</v>
      </c>
      <c r="T353" s="104">
        <f t="shared" si="186"/>
        <v>14.815362120636269</v>
      </c>
      <c r="U353" s="139">
        <f t="shared" si="201"/>
        <v>129.91936212063629</v>
      </c>
      <c r="V353" s="408"/>
      <c r="W353" s="104">
        <f t="shared" si="202"/>
        <v>0</v>
      </c>
      <c r="X353" s="139">
        <f t="shared" si="203"/>
        <v>0</v>
      </c>
      <c r="Y353" s="138">
        <v>0</v>
      </c>
      <c r="Z353" s="141">
        <v>0</v>
      </c>
      <c r="AA353" s="104">
        <f t="shared" si="187"/>
        <v>0</v>
      </c>
      <c r="AB353" s="139">
        <f t="shared" si="188"/>
        <v>0</v>
      </c>
      <c r="AC353" s="138">
        <v>0</v>
      </c>
      <c r="AD353" s="104">
        <f t="shared" si="204"/>
        <v>0</v>
      </c>
      <c r="AE353" s="139">
        <f t="shared" si="205"/>
        <v>0</v>
      </c>
      <c r="AF353" s="142">
        <v>338.8</v>
      </c>
      <c r="AG353" s="104">
        <f t="shared" si="206"/>
        <v>43.607908382606745</v>
      </c>
      <c r="AH353" s="139">
        <f t="shared" si="207"/>
        <v>382.40790838260676</v>
      </c>
      <c r="AI353" s="142">
        <v>0</v>
      </c>
      <c r="AJ353" s="104">
        <f t="shared" si="208"/>
        <v>0</v>
      </c>
      <c r="AK353" s="139">
        <f t="shared" si="209"/>
        <v>0</v>
      </c>
      <c r="AL353" s="143">
        <v>3315</v>
      </c>
      <c r="AM353" s="143"/>
      <c r="AN353" s="104">
        <f t="shared" si="210"/>
        <v>426.68304689593077</v>
      </c>
      <c r="AO353" s="148">
        <f t="shared" si="211"/>
        <v>3741.6830468959306</v>
      </c>
      <c r="AP353" s="272">
        <f t="shared" si="212"/>
        <v>2189.7356614514447</v>
      </c>
      <c r="AQ353" s="669">
        <v>131.07</v>
      </c>
      <c r="AR353" s="401">
        <v>1596.8913367479017</v>
      </c>
      <c r="AS353" s="401">
        <v>570.30807833623021</v>
      </c>
      <c r="AT353" s="401">
        <v>22.536246367312632</v>
      </c>
      <c r="AU353" s="401">
        <v>0</v>
      </c>
      <c r="AV353" s="727">
        <v>83.147074571482278</v>
      </c>
      <c r="AW353" s="246"/>
      <c r="AX353" s="713">
        <f t="shared" si="213"/>
        <v>102.66670101788493</v>
      </c>
      <c r="AY353" s="714">
        <v>53.43044120832942</v>
      </c>
      <c r="AZ353" s="715"/>
      <c r="BA353" s="716">
        <v>0</v>
      </c>
      <c r="BB353" s="727"/>
      <c r="BC353" s="712">
        <v>26.362500000000001</v>
      </c>
      <c r="BD353" s="712">
        <v>76.304201017884935</v>
      </c>
      <c r="BE353" s="712"/>
      <c r="BF353" s="712"/>
      <c r="BG353" s="712">
        <v>0</v>
      </c>
      <c r="BH353" s="712">
        <v>38.04296875</v>
      </c>
      <c r="BI353" s="134">
        <f t="shared" si="181"/>
        <v>102.66670101788493</v>
      </c>
      <c r="BJ353" s="123">
        <v>523.20000000000005</v>
      </c>
      <c r="BK353" s="792"/>
      <c r="BL353" s="104"/>
      <c r="BM353" s="672"/>
      <c r="BO353" s="562"/>
      <c r="BS353" s="879"/>
      <c r="BT353" s="774"/>
      <c r="BU353" s="774">
        <v>1672.5815953915687</v>
      </c>
      <c r="BV353" s="774">
        <v>0</v>
      </c>
      <c r="BW353" s="774">
        <f t="shared" si="214"/>
        <v>1672.5815953915687</v>
      </c>
    </row>
    <row r="354" spans="1:75" ht="15" thickBot="1" x14ac:dyDescent="0.35">
      <c r="A354" s="250" t="s">
        <v>323</v>
      </c>
      <c r="B354" s="227">
        <v>5</v>
      </c>
      <c r="C354" s="39">
        <f>'[3]побудинковий звіт'!E354</f>
        <v>5790.5</v>
      </c>
      <c r="D354" s="205">
        <f t="shared" si="189"/>
        <v>862.04939548300104</v>
      </c>
      <c r="E354" s="104">
        <f t="shared" si="190"/>
        <v>189.65102538533694</v>
      </c>
      <c r="F354" s="104">
        <f t="shared" si="191"/>
        <v>292.91960060982728</v>
      </c>
      <c r="G354" s="104">
        <f t="shared" si="192"/>
        <v>0</v>
      </c>
      <c r="H354" s="104">
        <f t="shared" si="193"/>
        <v>720.22045419492053</v>
      </c>
      <c r="I354" s="104">
        <f t="shared" si="194"/>
        <v>265.77147074335903</v>
      </c>
      <c r="J354" s="672">
        <f t="shared" si="182"/>
        <v>0</v>
      </c>
      <c r="K354" s="139">
        <f t="shared" si="195"/>
        <v>2330.6119464164449</v>
      </c>
      <c r="L354" s="138">
        <f t="shared" si="183"/>
        <v>2434.5041602303263</v>
      </c>
      <c r="M354" s="104">
        <f t="shared" si="184"/>
        <v>535.58839434621871</v>
      </c>
      <c r="N354" s="29">
        <f t="shared" si="196"/>
        <v>137.87420734725529</v>
      </c>
      <c r="O354" s="104">
        <f t="shared" si="185"/>
        <v>10.424691705919074</v>
      </c>
      <c r="P354" s="104">
        <f t="shared" si="197"/>
        <v>2033.9666163075276</v>
      </c>
      <c r="Q354" s="104">
        <f t="shared" si="198"/>
        <v>663.17461236188899</v>
      </c>
      <c r="R354" s="140">
        <f t="shared" si="199"/>
        <v>5815.5326822991356</v>
      </c>
      <c r="S354" s="138">
        <f t="shared" si="200"/>
        <v>174.13</v>
      </c>
      <c r="T354" s="104">
        <f t="shared" si="186"/>
        <v>22.412765899242363</v>
      </c>
      <c r="U354" s="139">
        <f t="shared" si="201"/>
        <v>196.54276589924237</v>
      </c>
      <c r="V354" s="408"/>
      <c r="W354" s="104">
        <f t="shared" si="202"/>
        <v>0</v>
      </c>
      <c r="X354" s="139">
        <f t="shared" si="203"/>
        <v>0</v>
      </c>
      <c r="Y354" s="138">
        <v>0</v>
      </c>
      <c r="Z354" s="141">
        <v>0</v>
      </c>
      <c r="AA354" s="104">
        <f t="shared" si="187"/>
        <v>0</v>
      </c>
      <c r="AB354" s="139">
        <f t="shared" si="188"/>
        <v>0</v>
      </c>
      <c r="AC354" s="138">
        <v>0</v>
      </c>
      <c r="AD354" s="104">
        <f t="shared" si="204"/>
        <v>0</v>
      </c>
      <c r="AE354" s="139">
        <f t="shared" si="205"/>
        <v>0</v>
      </c>
      <c r="AF354" s="142">
        <v>409.2</v>
      </c>
      <c r="AG354" s="104">
        <f t="shared" si="206"/>
        <v>52.669291942628924</v>
      </c>
      <c r="AH354" s="139">
        <f t="shared" si="207"/>
        <v>461.86929194262893</v>
      </c>
      <c r="AI354" s="142">
        <v>0</v>
      </c>
      <c r="AJ354" s="104">
        <f t="shared" si="208"/>
        <v>0</v>
      </c>
      <c r="AK354" s="139">
        <f t="shared" si="209"/>
        <v>0</v>
      </c>
      <c r="AL354" s="143">
        <v>6375</v>
      </c>
      <c r="AM354" s="143"/>
      <c r="AN354" s="104">
        <f t="shared" si="210"/>
        <v>820.54432095371305</v>
      </c>
      <c r="AO354" s="148">
        <f t="shared" si="211"/>
        <v>7195.5443209537134</v>
      </c>
      <c r="AP354" s="272">
        <f t="shared" si="212"/>
        <v>868.62347259508283</v>
      </c>
      <c r="AQ354" s="669">
        <v>238.12</v>
      </c>
      <c r="AR354" s="401">
        <v>529.87889082723348</v>
      </c>
      <c r="AS354" s="401">
        <v>325.70580889128109</v>
      </c>
      <c r="AT354" s="401">
        <v>13.038772876568299</v>
      </c>
      <c r="AU354" s="401">
        <v>1909.7323997886701</v>
      </c>
      <c r="AV354" s="727">
        <v>27.589779364193294</v>
      </c>
      <c r="AW354" s="246"/>
      <c r="AX354" s="713">
        <f t="shared" si="213"/>
        <v>175.90960060982727</v>
      </c>
      <c r="AY354" s="714">
        <v>113.98714852372588</v>
      </c>
      <c r="AZ354" s="715"/>
      <c r="BA354" s="716">
        <v>23.887058823529415</v>
      </c>
      <c r="BB354" s="727"/>
      <c r="BC354" s="712">
        <v>26.362500000000001</v>
      </c>
      <c r="BD354" s="712">
        <v>149.54710060982725</v>
      </c>
      <c r="BE354" s="712"/>
      <c r="BF354" s="712"/>
      <c r="BG354" s="712">
        <v>0</v>
      </c>
      <c r="BH354" s="712">
        <v>38.04296875</v>
      </c>
      <c r="BI354" s="134">
        <f t="shared" si="181"/>
        <v>175.90960060982727</v>
      </c>
      <c r="BJ354" s="123">
        <v>791.5</v>
      </c>
      <c r="BK354" s="792"/>
      <c r="BL354" s="104"/>
      <c r="BM354" s="672">
        <v>117.01</v>
      </c>
      <c r="BO354" s="562"/>
      <c r="BS354" s="879"/>
      <c r="BT354" s="774"/>
      <c r="BU354" s="774">
        <v>1703.0705474647871</v>
      </c>
      <c r="BV354" s="774">
        <v>0</v>
      </c>
      <c r="BW354" s="774">
        <f t="shared" si="214"/>
        <v>1703.0705474647871</v>
      </c>
    </row>
    <row r="355" spans="1:75" ht="15" thickBot="1" x14ac:dyDescent="0.35">
      <c r="A355" s="250" t="s">
        <v>324</v>
      </c>
      <c r="B355" s="227">
        <v>5</v>
      </c>
      <c r="C355" s="39">
        <f>'[3]побудинковий звіт'!E355</f>
        <v>4445.5</v>
      </c>
      <c r="D355" s="205">
        <f t="shared" si="189"/>
        <v>2353.7510240600827</v>
      </c>
      <c r="E355" s="104">
        <f t="shared" si="190"/>
        <v>517.82565773353531</v>
      </c>
      <c r="F355" s="104">
        <f t="shared" si="191"/>
        <v>259.77620507840129</v>
      </c>
      <c r="G355" s="104">
        <f t="shared" si="192"/>
        <v>0</v>
      </c>
      <c r="H355" s="104">
        <f t="shared" si="193"/>
        <v>1966.4994146425809</v>
      </c>
      <c r="I355" s="104">
        <f t="shared" si="194"/>
        <v>656.15902040292099</v>
      </c>
      <c r="J355" s="672">
        <f t="shared" si="182"/>
        <v>0</v>
      </c>
      <c r="K355" s="139">
        <f t="shared" si="195"/>
        <v>5754.0113219175209</v>
      </c>
      <c r="L355" s="138">
        <f t="shared" si="183"/>
        <v>2462.4801099731926</v>
      </c>
      <c r="M355" s="104">
        <f t="shared" si="184"/>
        <v>541.74307432083606</v>
      </c>
      <c r="N355" s="29">
        <f t="shared" si="196"/>
        <v>90.52148416430002</v>
      </c>
      <c r="O355" s="104">
        <f t="shared" si="185"/>
        <v>8.0032755338335626</v>
      </c>
      <c r="P355" s="104">
        <f t="shared" si="197"/>
        <v>2057.3398143352952</v>
      </c>
      <c r="Q355" s="104">
        <f t="shared" si="198"/>
        <v>664.16952246562687</v>
      </c>
      <c r="R355" s="140">
        <f t="shared" si="199"/>
        <v>5824.2572807930846</v>
      </c>
      <c r="S355" s="138">
        <f t="shared" si="200"/>
        <v>206.62400000000002</v>
      </c>
      <c r="T355" s="104">
        <f t="shared" si="186"/>
        <v>26.595160748665101</v>
      </c>
      <c r="U355" s="139">
        <f t="shared" si="201"/>
        <v>233.21916074866513</v>
      </c>
      <c r="V355" s="104"/>
      <c r="W355" s="104">
        <f t="shared" si="202"/>
        <v>0</v>
      </c>
      <c r="X355" s="139">
        <f t="shared" si="203"/>
        <v>0</v>
      </c>
      <c r="Y355" s="138">
        <v>0</v>
      </c>
      <c r="Z355" s="141">
        <v>0</v>
      </c>
      <c r="AA355" s="104">
        <f t="shared" si="187"/>
        <v>0</v>
      </c>
      <c r="AB355" s="139">
        <f t="shared" si="188"/>
        <v>0</v>
      </c>
      <c r="AC355" s="138">
        <v>0</v>
      </c>
      <c r="AD355" s="104">
        <f t="shared" si="204"/>
        <v>0</v>
      </c>
      <c r="AE355" s="139">
        <f t="shared" si="205"/>
        <v>0</v>
      </c>
      <c r="AF355" s="142">
        <v>305.8</v>
      </c>
      <c r="AG355" s="104">
        <f t="shared" si="206"/>
        <v>39.36038483884635</v>
      </c>
      <c r="AH355" s="139">
        <f t="shared" si="207"/>
        <v>345.16038483884637</v>
      </c>
      <c r="AI355" s="142">
        <v>0</v>
      </c>
      <c r="AJ355" s="104">
        <f t="shared" si="208"/>
        <v>0</v>
      </c>
      <c r="AK355" s="139">
        <f t="shared" si="209"/>
        <v>0</v>
      </c>
      <c r="AL355" s="143">
        <v>5036.25</v>
      </c>
      <c r="AM355" s="143"/>
      <c r="AN355" s="104">
        <f t="shared" si="210"/>
        <v>648.23001355343331</v>
      </c>
      <c r="AO355" s="148">
        <f t="shared" si="211"/>
        <v>5684.4800135534333</v>
      </c>
      <c r="AP355" s="272">
        <f t="shared" si="212"/>
        <v>2386.2685099262226</v>
      </c>
      <c r="AQ355" s="669">
        <v>453.77</v>
      </c>
      <c r="AR355" s="401">
        <v>1633.4644193628451</v>
      </c>
      <c r="AS355" s="401">
        <v>720.90053329817272</v>
      </c>
      <c r="AT355" s="401">
        <v>31.903557265204761</v>
      </c>
      <c r="AU355" s="401">
        <v>1521.5111212420752</v>
      </c>
      <c r="AV355" s="727">
        <v>85.051364962140056</v>
      </c>
      <c r="AW355" s="246"/>
      <c r="AX355" s="713">
        <f t="shared" si="213"/>
        <v>142.76620507840127</v>
      </c>
      <c r="AY355" s="714">
        <v>86.584425340770608</v>
      </c>
      <c r="AZ355" s="715"/>
      <c r="BA355" s="716">
        <v>3.9370588235294122</v>
      </c>
      <c r="BB355" s="727"/>
      <c r="BC355" s="712">
        <v>26.362500000000001</v>
      </c>
      <c r="BD355" s="712">
        <v>116.40370507840127</v>
      </c>
      <c r="BE355" s="712"/>
      <c r="BF355" s="712"/>
      <c r="BG355" s="712">
        <v>0</v>
      </c>
      <c r="BH355" s="712">
        <v>38.04296875</v>
      </c>
      <c r="BI355" s="134">
        <f t="shared" si="181"/>
        <v>142.76620507840127</v>
      </c>
      <c r="BJ355" s="123">
        <v>939.2</v>
      </c>
      <c r="BK355" s="792"/>
      <c r="BL355" s="104"/>
      <c r="BM355" s="672">
        <v>117.01</v>
      </c>
      <c r="BO355" s="562"/>
      <c r="BS355" s="879"/>
      <c r="BT355" s="774"/>
      <c r="BU355" s="774">
        <v>2031.1162682003639</v>
      </c>
      <c r="BV355" s="774">
        <v>0</v>
      </c>
      <c r="BW355" s="774">
        <f t="shared" si="214"/>
        <v>2031.1162682003639</v>
      </c>
    </row>
    <row r="356" spans="1:75" ht="15" thickBot="1" x14ac:dyDescent="0.35">
      <c r="A356" s="250" t="s">
        <v>325</v>
      </c>
      <c r="B356" s="227">
        <v>5</v>
      </c>
      <c r="C356" s="39">
        <f>'[3]побудинковий звіт'!E356</f>
        <v>4591.2</v>
      </c>
      <c r="D356" s="205">
        <f t="shared" si="189"/>
        <v>2075.0638646298589</v>
      </c>
      <c r="E356" s="104">
        <f t="shared" si="190"/>
        <v>456.51443145739438</v>
      </c>
      <c r="F356" s="104">
        <f t="shared" si="191"/>
        <v>146.13236799342673</v>
      </c>
      <c r="G356" s="104">
        <f t="shared" si="192"/>
        <v>0</v>
      </c>
      <c r="H356" s="104">
        <f t="shared" si="193"/>
        <v>1733.6633456251343</v>
      </c>
      <c r="I356" s="104">
        <f t="shared" si="194"/>
        <v>567.80045353206526</v>
      </c>
      <c r="J356" s="672">
        <f t="shared" si="182"/>
        <v>0</v>
      </c>
      <c r="K356" s="139">
        <f t="shared" si="195"/>
        <v>4979.1744632378795</v>
      </c>
      <c r="L356" s="138">
        <f t="shared" si="183"/>
        <v>2575.8863892284112</v>
      </c>
      <c r="M356" s="104">
        <f t="shared" si="184"/>
        <v>566.69233832592818</v>
      </c>
      <c r="N356" s="29">
        <f t="shared" si="196"/>
        <v>93.304603668809136</v>
      </c>
      <c r="O356" s="104">
        <f t="shared" si="185"/>
        <v>8.2655806165643124</v>
      </c>
      <c r="P356" s="104">
        <f t="shared" si="197"/>
        <v>2152.0878907004389</v>
      </c>
      <c r="Q356" s="104">
        <f t="shared" si="198"/>
        <v>694.56493534835215</v>
      </c>
      <c r="R356" s="140">
        <f t="shared" si="199"/>
        <v>6090.8017378885042</v>
      </c>
      <c r="S356" s="138">
        <f t="shared" si="200"/>
        <v>120.25200000000001</v>
      </c>
      <c r="T356" s="104">
        <f t="shared" si="186"/>
        <v>15.477975793462889</v>
      </c>
      <c r="U356" s="139">
        <f t="shared" si="201"/>
        <v>135.7299757934629</v>
      </c>
      <c r="V356" s="104"/>
      <c r="W356" s="104">
        <f t="shared" si="202"/>
        <v>0</v>
      </c>
      <c r="X356" s="139">
        <f t="shared" si="203"/>
        <v>0</v>
      </c>
      <c r="Y356" s="138">
        <v>0</v>
      </c>
      <c r="Z356" s="141">
        <v>0</v>
      </c>
      <c r="AA356" s="104">
        <f t="shared" si="187"/>
        <v>0</v>
      </c>
      <c r="AB356" s="139">
        <f t="shared" si="188"/>
        <v>0</v>
      </c>
      <c r="AC356" s="138">
        <v>0</v>
      </c>
      <c r="AD356" s="104">
        <f t="shared" si="204"/>
        <v>0</v>
      </c>
      <c r="AE356" s="139">
        <f t="shared" si="205"/>
        <v>0</v>
      </c>
      <c r="AF356" s="142">
        <v>448.8</v>
      </c>
      <c r="AG356" s="104">
        <f t="shared" si="206"/>
        <v>57.766320195141404</v>
      </c>
      <c r="AH356" s="139">
        <f t="shared" si="207"/>
        <v>506.56632019514143</v>
      </c>
      <c r="AI356" s="142">
        <v>0</v>
      </c>
      <c r="AJ356" s="104">
        <f t="shared" si="208"/>
        <v>0</v>
      </c>
      <c r="AK356" s="139">
        <f t="shared" si="209"/>
        <v>0</v>
      </c>
      <c r="AL356" s="143">
        <v>5291.25</v>
      </c>
      <c r="AM356" s="143"/>
      <c r="AN356" s="104">
        <f t="shared" si="210"/>
        <v>681.0517863915818</v>
      </c>
      <c r="AO356" s="148">
        <f t="shared" si="211"/>
        <v>5972.301786391582</v>
      </c>
      <c r="AP356" s="272">
        <f t="shared" si="212"/>
        <v>2142.2573291941276</v>
      </c>
      <c r="AQ356" s="669">
        <v>435.34</v>
      </c>
      <c r="AR356" s="401">
        <v>1406.5100576478437</v>
      </c>
      <c r="AS356" s="401">
        <v>701.273278978603</v>
      </c>
      <c r="AT356" s="401">
        <v>34.47399256768098</v>
      </c>
      <c r="AU356" s="401">
        <v>1643.3085328754516</v>
      </c>
      <c r="AV356" s="727">
        <v>73.234285863777174</v>
      </c>
      <c r="AW356" s="246"/>
      <c r="AX356" s="713">
        <f t="shared" si="213"/>
        <v>146.13236799342673</v>
      </c>
      <c r="AY356" s="714">
        <v>89.367544845279724</v>
      </c>
      <c r="AZ356" s="715"/>
      <c r="BA356" s="716">
        <v>3.9370588235294122</v>
      </c>
      <c r="BB356" s="727"/>
      <c r="BC356" s="712">
        <v>26.362500000000001</v>
      </c>
      <c r="BD356" s="712">
        <v>119.76986799342671</v>
      </c>
      <c r="BE356" s="712"/>
      <c r="BF356" s="712"/>
      <c r="BG356" s="712">
        <v>0</v>
      </c>
      <c r="BH356" s="712">
        <v>38.04296875</v>
      </c>
      <c r="BI356" s="134">
        <f t="shared" si="181"/>
        <v>146.13236799342673</v>
      </c>
      <c r="BJ356" s="123">
        <v>546.6</v>
      </c>
      <c r="BK356" s="792"/>
      <c r="BL356" s="104"/>
      <c r="BM356" s="672"/>
      <c r="BO356" s="562"/>
      <c r="BS356" s="879"/>
      <c r="BT356" s="774"/>
      <c r="BU356" s="774">
        <v>1748.9155256696774</v>
      </c>
      <c r="BV356" s="774">
        <v>0</v>
      </c>
      <c r="BW356" s="774">
        <f t="shared" si="214"/>
        <v>1748.9155256696774</v>
      </c>
    </row>
    <row r="357" spans="1:75" ht="15" thickBot="1" x14ac:dyDescent="0.35">
      <c r="A357" s="250" t="s">
        <v>326</v>
      </c>
      <c r="B357" s="227">
        <v>5</v>
      </c>
      <c r="C357" s="39">
        <f>'[3]побудинковий звіт'!E357</f>
        <v>4566.7</v>
      </c>
      <c r="D357" s="205">
        <f t="shared" si="189"/>
        <v>2293.2242049823494</v>
      </c>
      <c r="E357" s="104">
        <f t="shared" si="190"/>
        <v>504.50974641621076</v>
      </c>
      <c r="F357" s="104">
        <f t="shared" si="191"/>
        <v>145.62120119667335</v>
      </c>
      <c r="G357" s="104">
        <f t="shared" si="192"/>
        <v>0</v>
      </c>
      <c r="H357" s="104">
        <f t="shared" si="193"/>
        <v>1915.9307890446078</v>
      </c>
      <c r="I357" s="104">
        <f t="shared" si="194"/>
        <v>625.45246796906474</v>
      </c>
      <c r="J357" s="672">
        <f t="shared" si="182"/>
        <v>0</v>
      </c>
      <c r="K357" s="139">
        <f t="shared" si="195"/>
        <v>5484.7384096089063</v>
      </c>
      <c r="L357" s="138">
        <f t="shared" si="183"/>
        <v>2819.2569481490632</v>
      </c>
      <c r="M357" s="104">
        <f t="shared" si="184"/>
        <v>620.23360928071747</v>
      </c>
      <c r="N357" s="29">
        <f t="shared" si="196"/>
        <v>92.881974604793385</v>
      </c>
      <c r="O357" s="104">
        <f t="shared" si="185"/>
        <v>8.2214730357345012</v>
      </c>
      <c r="P357" s="104">
        <f t="shared" si="197"/>
        <v>2355.4178337430822</v>
      </c>
      <c r="Q357" s="104">
        <f t="shared" si="198"/>
        <v>758.89239695908816</v>
      </c>
      <c r="R357" s="140">
        <f t="shared" si="199"/>
        <v>6654.9042357724784</v>
      </c>
      <c r="S357" s="138">
        <f t="shared" si="200"/>
        <v>239.36</v>
      </c>
      <c r="T357" s="104">
        <f t="shared" si="186"/>
        <v>30.808704104075414</v>
      </c>
      <c r="U357" s="139">
        <f t="shared" si="201"/>
        <v>270.1687041040754</v>
      </c>
      <c r="V357" s="104"/>
      <c r="W357" s="104">
        <f t="shared" si="202"/>
        <v>0</v>
      </c>
      <c r="X357" s="139">
        <f t="shared" si="203"/>
        <v>0</v>
      </c>
      <c r="Y357" s="138">
        <v>0</v>
      </c>
      <c r="Z357" s="141">
        <v>0</v>
      </c>
      <c r="AA357" s="104">
        <f t="shared" si="187"/>
        <v>0</v>
      </c>
      <c r="AB357" s="139">
        <f t="shared" si="188"/>
        <v>0</v>
      </c>
      <c r="AC357" s="138">
        <v>0</v>
      </c>
      <c r="AD357" s="104">
        <f t="shared" si="204"/>
        <v>0</v>
      </c>
      <c r="AE357" s="139">
        <f t="shared" si="205"/>
        <v>0</v>
      </c>
      <c r="AF357" s="142">
        <v>499.4</v>
      </c>
      <c r="AG357" s="104">
        <f t="shared" si="206"/>
        <v>64.279189628907346</v>
      </c>
      <c r="AH357" s="139">
        <f t="shared" si="207"/>
        <v>563.67918962890735</v>
      </c>
      <c r="AI357" s="142">
        <v>0</v>
      </c>
      <c r="AJ357" s="104">
        <f t="shared" si="208"/>
        <v>0</v>
      </c>
      <c r="AK357" s="139">
        <f t="shared" si="209"/>
        <v>0</v>
      </c>
      <c r="AL357" s="143">
        <v>510</v>
      </c>
      <c r="AM357" s="143"/>
      <c r="AN357" s="104">
        <f t="shared" si="210"/>
        <v>65.643545676297052</v>
      </c>
      <c r="AO357" s="148">
        <f t="shared" si="211"/>
        <v>575.64354567629709</v>
      </c>
      <c r="AP357" s="272">
        <f t="shared" si="212"/>
        <v>2795.4168093319786</v>
      </c>
      <c r="AQ357" s="669">
        <v>193.37</v>
      </c>
      <c r="AR357" s="401">
        <v>1827.8810840133094</v>
      </c>
      <c r="AS357" s="401">
        <v>922.15727024350315</v>
      </c>
      <c r="AT357" s="401">
        <v>45.378455075166237</v>
      </c>
      <c r="AU357" s="401">
        <v>1636.2940222578227</v>
      </c>
      <c r="AV357" s="727">
        <v>95.174268469495601</v>
      </c>
      <c r="AW357" s="246"/>
      <c r="AX357" s="713">
        <f t="shared" si="213"/>
        <v>145.62120119667335</v>
      </c>
      <c r="AY357" s="714">
        <v>88.944915781263973</v>
      </c>
      <c r="AZ357" s="715"/>
      <c r="BA357" s="716">
        <v>3.9370588235294122</v>
      </c>
      <c r="BB357" s="727"/>
      <c r="BC357" s="712">
        <v>26.362500000000001</v>
      </c>
      <c r="BD357" s="712">
        <v>119.25870119667336</v>
      </c>
      <c r="BE357" s="712"/>
      <c r="BF357" s="712"/>
      <c r="BG357" s="712">
        <v>0</v>
      </c>
      <c r="BH357" s="712">
        <v>38.04296875</v>
      </c>
      <c r="BI357" s="134">
        <f t="shared" si="181"/>
        <v>145.62120119667335</v>
      </c>
      <c r="BJ357" s="123">
        <v>1088</v>
      </c>
      <c r="BK357" s="792"/>
      <c r="BL357" s="104"/>
      <c r="BM357" s="672"/>
      <c r="BO357" s="562"/>
      <c r="BS357" s="879"/>
      <c r="BT357" s="774"/>
      <c r="BU357" s="774">
        <v>1664.7625558235852</v>
      </c>
      <c r="BV357" s="774">
        <v>0</v>
      </c>
      <c r="BW357" s="774">
        <f t="shared" si="214"/>
        <v>1664.7625558235852</v>
      </c>
    </row>
    <row r="358" spans="1:75" ht="15" thickBot="1" x14ac:dyDescent="0.35">
      <c r="A358" s="250" t="s">
        <v>327</v>
      </c>
      <c r="B358" s="227">
        <v>5</v>
      </c>
      <c r="C358" s="39">
        <f>'[3]побудинковий звіт'!E358</f>
        <v>4553.8</v>
      </c>
      <c r="D358" s="205">
        <f t="shared" si="189"/>
        <v>2109.5195746760292</v>
      </c>
      <c r="E358" s="104">
        <f t="shared" si="190"/>
        <v>464.09469399788924</v>
      </c>
      <c r="F358" s="104">
        <f t="shared" si="191"/>
        <v>145.31497224009303</v>
      </c>
      <c r="G358" s="104">
        <f t="shared" si="192"/>
        <v>0</v>
      </c>
      <c r="H358" s="104">
        <f t="shared" si="193"/>
        <v>1762.4502194041677</v>
      </c>
      <c r="I358" s="104">
        <f t="shared" si="194"/>
        <v>576.81105352199177</v>
      </c>
      <c r="J358" s="672">
        <f t="shared" si="182"/>
        <v>0</v>
      </c>
      <c r="K358" s="139">
        <f t="shared" si="195"/>
        <v>5058.1905138401717</v>
      </c>
      <c r="L358" s="138">
        <f t="shared" si="183"/>
        <v>3643.2919471170558</v>
      </c>
      <c r="M358" s="104">
        <f t="shared" si="184"/>
        <v>801.52045577376271</v>
      </c>
      <c r="N358" s="29">
        <f t="shared" si="196"/>
        <v>92.628786686258621</v>
      </c>
      <c r="O358" s="104">
        <f t="shared" si="185"/>
        <v>8.1982490441955402</v>
      </c>
      <c r="P358" s="104">
        <f t="shared" si="197"/>
        <v>3043.8782216733021</v>
      </c>
      <c r="Q358" s="104">
        <f t="shared" si="198"/>
        <v>976.86833175413722</v>
      </c>
      <c r="R358" s="140">
        <f t="shared" si="199"/>
        <v>8566.3859920487121</v>
      </c>
      <c r="S358" s="138">
        <f t="shared" si="200"/>
        <v>239.66800000000003</v>
      </c>
      <c r="T358" s="104">
        <f t="shared" si="186"/>
        <v>30.848347657150516</v>
      </c>
      <c r="U358" s="139">
        <f t="shared" si="201"/>
        <v>270.51634765715056</v>
      </c>
      <c r="V358" s="104"/>
      <c r="W358" s="104">
        <f t="shared" si="202"/>
        <v>0</v>
      </c>
      <c r="X358" s="139">
        <f t="shared" si="203"/>
        <v>0</v>
      </c>
      <c r="Y358" s="138">
        <v>0</v>
      </c>
      <c r="Z358" s="141">
        <v>0</v>
      </c>
      <c r="AA358" s="104">
        <f t="shared" si="187"/>
        <v>0</v>
      </c>
      <c r="AB358" s="139">
        <f t="shared" si="188"/>
        <v>0</v>
      </c>
      <c r="AC358" s="138">
        <v>0</v>
      </c>
      <c r="AD358" s="104">
        <f t="shared" si="204"/>
        <v>0</v>
      </c>
      <c r="AE358" s="139">
        <f t="shared" si="205"/>
        <v>0</v>
      </c>
      <c r="AF358" s="142">
        <v>884.4</v>
      </c>
      <c r="AG358" s="104">
        <f t="shared" si="206"/>
        <v>113.83363097277864</v>
      </c>
      <c r="AH358" s="139">
        <f t="shared" si="207"/>
        <v>998.23363097277866</v>
      </c>
      <c r="AI358" s="142">
        <v>0</v>
      </c>
      <c r="AJ358" s="104">
        <f t="shared" si="208"/>
        <v>0</v>
      </c>
      <c r="AK358" s="139">
        <f t="shared" si="209"/>
        <v>0</v>
      </c>
      <c r="AL358" s="143">
        <v>5610</v>
      </c>
      <c r="AM358" s="143"/>
      <c r="AN358" s="104">
        <f t="shared" si="210"/>
        <v>722.07900243926747</v>
      </c>
      <c r="AO358" s="148">
        <f t="shared" si="211"/>
        <v>6332.0790024392672</v>
      </c>
      <c r="AP358" s="272">
        <f t="shared" si="212"/>
        <v>2580.4680361664837</v>
      </c>
      <c r="AQ358" s="669">
        <v>244.26</v>
      </c>
      <c r="AR358" s="401">
        <v>1618.3588049947152</v>
      </c>
      <c r="AS358" s="401">
        <v>916.68134407794309</v>
      </c>
      <c r="AT358" s="401">
        <v>45.427887093825689</v>
      </c>
      <c r="AU358" s="401">
        <v>2402.7887279296474</v>
      </c>
      <c r="AV358" s="727">
        <v>84.264844542489712</v>
      </c>
      <c r="AW358" s="246"/>
      <c r="AX358" s="713">
        <f t="shared" si="213"/>
        <v>145.31497224009303</v>
      </c>
      <c r="AY358" s="714">
        <v>88.691727862729209</v>
      </c>
      <c r="AZ358" s="715"/>
      <c r="BA358" s="716">
        <v>3.9370588235294122</v>
      </c>
      <c r="BB358" s="727"/>
      <c r="BC358" s="712">
        <v>26.362500000000001</v>
      </c>
      <c r="BD358" s="712">
        <v>118.95247224009302</v>
      </c>
      <c r="BE358" s="712"/>
      <c r="BF358" s="712"/>
      <c r="BG358" s="712">
        <v>0</v>
      </c>
      <c r="BH358" s="712">
        <v>38.04296875</v>
      </c>
      <c r="BI358" s="134">
        <f t="shared" si="181"/>
        <v>145.31497224009303</v>
      </c>
      <c r="BJ358" s="123">
        <v>1089.4000000000001</v>
      </c>
      <c r="BK358" s="792"/>
      <c r="BL358" s="104"/>
      <c r="BM358" s="672"/>
      <c r="BO358" s="562"/>
      <c r="BS358" s="879"/>
      <c r="BT358" s="774"/>
      <c r="BU358" s="774">
        <v>1356.1923265163587</v>
      </c>
      <c r="BV358" s="774">
        <v>0</v>
      </c>
      <c r="BW358" s="774">
        <f t="shared" si="214"/>
        <v>1356.1923265163587</v>
      </c>
    </row>
    <row r="359" spans="1:75" ht="15" thickBot="1" x14ac:dyDescent="0.35">
      <c r="A359" s="250" t="s">
        <v>328</v>
      </c>
      <c r="B359" s="227">
        <v>5</v>
      </c>
      <c r="C359" s="39">
        <f>'[3]побудинковий звіт'!E359</f>
        <v>6174.2300000000005</v>
      </c>
      <c r="D359" s="205">
        <f t="shared" si="189"/>
        <v>2273.5398698252093</v>
      </c>
      <c r="E359" s="104">
        <f t="shared" si="190"/>
        <v>500.17918906515712</v>
      </c>
      <c r="F359" s="104">
        <f t="shared" si="191"/>
        <v>183.47416251956915</v>
      </c>
      <c r="G359" s="104">
        <f t="shared" si="192"/>
        <v>0</v>
      </c>
      <c r="H359" s="104">
        <f t="shared" si="193"/>
        <v>1899.4850251687951</v>
      </c>
      <c r="I359" s="104">
        <f t="shared" si="194"/>
        <v>625.11682414582197</v>
      </c>
      <c r="J359" s="672">
        <f t="shared" si="182"/>
        <v>0</v>
      </c>
      <c r="K359" s="139">
        <f t="shared" si="195"/>
        <v>5481.7950707245527</v>
      </c>
      <c r="L359" s="138">
        <f t="shared" si="183"/>
        <v>3479.8555454739794</v>
      </c>
      <c r="M359" s="104">
        <f t="shared" si="184"/>
        <v>765.56461664902804</v>
      </c>
      <c r="N359" s="29">
        <f t="shared" si="196"/>
        <v>120.24147439134666</v>
      </c>
      <c r="O359" s="104">
        <f t="shared" si="185"/>
        <v>11.115524440279202</v>
      </c>
      <c r="P359" s="104">
        <f t="shared" si="197"/>
        <v>2907.3312441565354</v>
      </c>
      <c r="Q359" s="104">
        <f t="shared" si="198"/>
        <v>937.55824078826311</v>
      </c>
      <c r="R359" s="140">
        <f t="shared" si="199"/>
        <v>8221.6666458994314</v>
      </c>
      <c r="S359" s="138">
        <f t="shared" si="200"/>
        <v>281.90800000000002</v>
      </c>
      <c r="T359" s="104">
        <f t="shared" si="186"/>
        <v>36.285177793163818</v>
      </c>
      <c r="U359" s="139">
        <f t="shared" si="201"/>
        <v>318.19317779316384</v>
      </c>
      <c r="V359" s="104"/>
      <c r="W359" s="104">
        <f t="shared" si="202"/>
        <v>0</v>
      </c>
      <c r="X359" s="139">
        <f t="shared" si="203"/>
        <v>0</v>
      </c>
      <c r="Y359" s="138">
        <v>0</v>
      </c>
      <c r="Z359" s="141">
        <v>0</v>
      </c>
      <c r="AA359" s="104">
        <f t="shared" si="187"/>
        <v>0</v>
      </c>
      <c r="AB359" s="139">
        <f t="shared" si="188"/>
        <v>0</v>
      </c>
      <c r="AC359" s="138">
        <v>0</v>
      </c>
      <c r="AD359" s="104">
        <f t="shared" si="204"/>
        <v>0</v>
      </c>
      <c r="AE359" s="139">
        <f t="shared" si="205"/>
        <v>0</v>
      </c>
      <c r="AF359" s="142">
        <v>1859</v>
      </c>
      <c r="AG359" s="104">
        <f t="shared" si="206"/>
        <v>239.2771596318357</v>
      </c>
      <c r="AH359" s="139">
        <f t="shared" si="207"/>
        <v>2098.2771596318357</v>
      </c>
      <c r="AI359" s="142">
        <v>0</v>
      </c>
      <c r="AJ359" s="104">
        <f t="shared" si="208"/>
        <v>0</v>
      </c>
      <c r="AK359" s="139">
        <f t="shared" si="209"/>
        <v>0</v>
      </c>
      <c r="AL359" s="143">
        <v>7267.5</v>
      </c>
      <c r="AM359" s="143"/>
      <c r="AN359" s="104">
        <f t="shared" si="210"/>
        <v>935.42052588723288</v>
      </c>
      <c r="AO359" s="148">
        <f t="shared" si="211"/>
        <v>8202.9205258872335</v>
      </c>
      <c r="AP359" s="272">
        <f t="shared" si="212"/>
        <v>2706.3014875043837</v>
      </c>
      <c r="AQ359" s="669">
        <v>299.67</v>
      </c>
      <c r="AR359" s="401">
        <v>1709.574341697215</v>
      </c>
      <c r="AS359" s="401">
        <v>950.21554233110112</v>
      </c>
      <c r="AT359" s="401">
        <v>46.511603476067826</v>
      </c>
      <c r="AU359" s="401">
        <v>2217.2230379541893</v>
      </c>
      <c r="AV359" s="727">
        <v>89.014262901616206</v>
      </c>
      <c r="AW359" s="246"/>
      <c r="AX359" s="713">
        <f t="shared" si="213"/>
        <v>183.47416251956915</v>
      </c>
      <c r="AY359" s="714">
        <v>120.24147439134666</v>
      </c>
      <c r="AZ359" s="715"/>
      <c r="BA359" s="716">
        <v>0</v>
      </c>
      <c r="BB359" s="727"/>
      <c r="BC359" s="712">
        <v>26.362500000000001</v>
      </c>
      <c r="BD359" s="712">
        <v>157.11166251956914</v>
      </c>
      <c r="BE359" s="712"/>
      <c r="BF359" s="712"/>
      <c r="BG359" s="712">
        <v>0</v>
      </c>
      <c r="BH359" s="712">
        <v>38.04296875</v>
      </c>
      <c r="BI359" s="134">
        <f t="shared" si="181"/>
        <v>183.47416251956915</v>
      </c>
      <c r="BJ359" s="123">
        <v>1281.4000000000001</v>
      </c>
      <c r="BK359" s="792"/>
      <c r="BL359" s="104"/>
      <c r="BM359" s="672"/>
      <c r="BO359" s="562"/>
      <c r="BS359" s="879"/>
      <c r="BT359" s="774"/>
      <c r="BU359" s="774">
        <v>2125.7605578283392</v>
      </c>
      <c r="BV359" s="774">
        <v>0</v>
      </c>
      <c r="BW359" s="774">
        <f t="shared" si="214"/>
        <v>2125.7605578283392</v>
      </c>
    </row>
    <row r="360" spans="1:75" ht="15" thickBot="1" x14ac:dyDescent="0.35">
      <c r="A360" s="209" t="s">
        <v>236</v>
      </c>
      <c r="B360" s="227">
        <v>4</v>
      </c>
      <c r="C360" s="39">
        <f>'[3]побудинковий звіт'!E360</f>
        <v>2116.4899999999998</v>
      </c>
      <c r="D360" s="205">
        <f t="shared" si="189"/>
        <v>1772.0652521969644</v>
      </c>
      <c r="E360" s="104">
        <f t="shared" si="190"/>
        <v>389.85468105407085</v>
      </c>
      <c r="F360" s="104">
        <f t="shared" si="191"/>
        <v>74.255854571366513</v>
      </c>
      <c r="G360" s="104">
        <f t="shared" si="192"/>
        <v>0</v>
      </c>
      <c r="H360" s="104">
        <f t="shared" si="193"/>
        <v>1480.5156728695847</v>
      </c>
      <c r="I360" s="104">
        <f t="shared" si="194"/>
        <v>478.3858934600737</v>
      </c>
      <c r="J360" s="672">
        <f t="shared" si="182"/>
        <v>0</v>
      </c>
      <c r="K360" s="139">
        <f t="shared" si="195"/>
        <v>4195.0773541520603</v>
      </c>
      <c r="L360" s="138">
        <f t="shared" si="183"/>
        <v>942.33530264937917</v>
      </c>
      <c r="M360" s="104">
        <f t="shared" si="184"/>
        <v>207.31279080418142</v>
      </c>
      <c r="N360" s="29">
        <f t="shared" si="196"/>
        <v>49.891881639455605</v>
      </c>
      <c r="O360" s="104">
        <f t="shared" si="185"/>
        <v>3.8103368877749171</v>
      </c>
      <c r="P360" s="104">
        <f t="shared" si="197"/>
        <v>787.29729785121924</v>
      </c>
      <c r="Q360" s="104">
        <f t="shared" si="198"/>
        <v>256.22189666944922</v>
      </c>
      <c r="R360" s="140">
        <f t="shared" si="199"/>
        <v>2246.8695065014595</v>
      </c>
      <c r="S360" s="138">
        <f t="shared" si="200"/>
        <v>40.480000000000004</v>
      </c>
      <c r="T360" s="104">
        <f t="shared" si="186"/>
        <v>5.2102955470127545</v>
      </c>
      <c r="U360" s="139">
        <f t="shared" si="201"/>
        <v>45.690295547012759</v>
      </c>
      <c r="V360" s="104"/>
      <c r="W360" s="104">
        <f t="shared" si="202"/>
        <v>0</v>
      </c>
      <c r="X360" s="139">
        <f t="shared" si="203"/>
        <v>0</v>
      </c>
      <c r="Y360" s="138">
        <v>0</v>
      </c>
      <c r="Z360" s="141">
        <v>0</v>
      </c>
      <c r="AA360" s="104">
        <f t="shared" si="187"/>
        <v>0</v>
      </c>
      <c r="AB360" s="139">
        <f t="shared" si="188"/>
        <v>0</v>
      </c>
      <c r="AC360" s="138">
        <v>0</v>
      </c>
      <c r="AD360" s="104">
        <f t="shared" si="204"/>
        <v>0</v>
      </c>
      <c r="AE360" s="139">
        <f t="shared" si="205"/>
        <v>0</v>
      </c>
      <c r="AF360" s="142">
        <v>160.6</v>
      </c>
      <c r="AG360" s="104">
        <f t="shared" si="206"/>
        <v>20.671281246300598</v>
      </c>
      <c r="AH360" s="139">
        <f t="shared" si="207"/>
        <v>181.27128124630059</v>
      </c>
      <c r="AI360" s="142">
        <v>0</v>
      </c>
      <c r="AJ360" s="104">
        <f t="shared" si="208"/>
        <v>0</v>
      </c>
      <c r="AK360" s="139">
        <f t="shared" si="209"/>
        <v>0</v>
      </c>
      <c r="AL360" s="143"/>
      <c r="AM360" s="143"/>
      <c r="AN360" s="104">
        <f t="shared" si="210"/>
        <v>0</v>
      </c>
      <c r="AO360" s="148">
        <f t="shared" si="211"/>
        <v>0</v>
      </c>
      <c r="AP360" s="559">
        <f>AR360+AS360+AT360</f>
        <v>2439.2946327927248</v>
      </c>
      <c r="AQ360" s="669">
        <v>66.48</v>
      </c>
      <c r="AR360" s="725">
        <v>1568.965770132344</v>
      </c>
      <c r="AS360" s="725">
        <v>863.81250132484683</v>
      </c>
      <c r="AT360" s="725">
        <v>6.5163613355339916</v>
      </c>
      <c r="AU360" s="401">
        <v>0</v>
      </c>
      <c r="AV360" s="786"/>
      <c r="AW360" s="246"/>
      <c r="AX360" s="713">
        <f t="shared" si="213"/>
        <v>74.255854571366513</v>
      </c>
      <c r="AY360" s="714">
        <v>49.891881639455605</v>
      </c>
      <c r="AZ360" s="715"/>
      <c r="BA360" s="716">
        <v>0</v>
      </c>
      <c r="BC360" s="712">
        <v>0</v>
      </c>
      <c r="BD360" s="712">
        <v>74.255854571366513</v>
      </c>
      <c r="BE360" s="712"/>
      <c r="BF360" s="712"/>
      <c r="BG360" s="712">
        <v>0</v>
      </c>
      <c r="BH360" s="712">
        <v>0</v>
      </c>
      <c r="BI360" s="134">
        <f t="shared" si="181"/>
        <v>74.255854571366513</v>
      </c>
      <c r="BJ360" s="123">
        <v>184</v>
      </c>
      <c r="BK360" s="792"/>
      <c r="BL360" s="104"/>
      <c r="BM360" s="672"/>
      <c r="BO360" s="562"/>
      <c r="BS360" s="879"/>
      <c r="BT360" s="774"/>
      <c r="BU360" s="774">
        <v>1534.1245207566483</v>
      </c>
      <c r="BV360" s="774">
        <v>0</v>
      </c>
      <c r="BW360" s="774">
        <f t="shared" si="214"/>
        <v>1534.1245207566483</v>
      </c>
    </row>
    <row r="361" spans="1:75" ht="15" thickBot="1" x14ac:dyDescent="0.35">
      <c r="A361" s="209" t="s">
        <v>329</v>
      </c>
      <c r="B361" s="227">
        <v>5</v>
      </c>
      <c r="C361" s="39">
        <f>'[3]побудинковий звіт'!E361</f>
        <v>4570.7300000000005</v>
      </c>
      <c r="D361" s="205">
        <f t="shared" si="189"/>
        <v>2010.6176764352522</v>
      </c>
      <c r="E361" s="104">
        <f t="shared" si="190"/>
        <v>442.33625821427586</v>
      </c>
      <c r="F361" s="104">
        <f t="shared" si="191"/>
        <v>314.75478542264239</v>
      </c>
      <c r="G361" s="104">
        <f t="shared" si="192"/>
        <v>0</v>
      </c>
      <c r="H361" s="104">
        <f t="shared" si="193"/>
        <v>1679.8201863167924</v>
      </c>
      <c r="I361" s="104">
        <f t="shared" si="194"/>
        <v>572.45405277097132</v>
      </c>
      <c r="J361" s="672">
        <f t="shared" si="182"/>
        <v>0</v>
      </c>
      <c r="K361" s="139">
        <f t="shared" si="195"/>
        <v>5019.9829591599346</v>
      </c>
      <c r="L361" s="138">
        <f t="shared" si="183"/>
        <v>842.96084116891484</v>
      </c>
      <c r="M361" s="104">
        <f t="shared" si="184"/>
        <v>185.4505121797298</v>
      </c>
      <c r="N361" s="29">
        <f t="shared" si="196"/>
        <v>93.55739548510617</v>
      </c>
      <c r="O361" s="104">
        <f t="shared" si="185"/>
        <v>8.228728282703651</v>
      </c>
      <c r="P361" s="104">
        <f t="shared" si="197"/>
        <v>704.27245013615936</v>
      </c>
      <c r="Q361" s="104">
        <f t="shared" si="198"/>
        <v>236.11982443411821</v>
      </c>
      <c r="R361" s="140">
        <f t="shared" si="199"/>
        <v>2070.5897516867321</v>
      </c>
      <c r="S361" s="138">
        <f t="shared" si="200"/>
        <v>0</v>
      </c>
      <c r="T361" s="104">
        <f t="shared" si="186"/>
        <v>0</v>
      </c>
      <c r="U361" s="139">
        <f t="shared" si="201"/>
        <v>0</v>
      </c>
      <c r="V361" s="104"/>
      <c r="W361" s="104">
        <f t="shared" si="202"/>
        <v>0</v>
      </c>
      <c r="X361" s="139">
        <f t="shared" si="203"/>
        <v>0</v>
      </c>
      <c r="Y361" s="138">
        <v>0</v>
      </c>
      <c r="Z361" s="141">
        <v>0</v>
      </c>
      <c r="AA361" s="104">
        <f t="shared" si="187"/>
        <v>0</v>
      </c>
      <c r="AB361" s="139">
        <f t="shared" si="188"/>
        <v>0</v>
      </c>
      <c r="AC361" s="138">
        <v>0</v>
      </c>
      <c r="AD361" s="104">
        <f t="shared" si="204"/>
        <v>0</v>
      </c>
      <c r="AE361" s="139">
        <f t="shared" si="205"/>
        <v>0</v>
      </c>
      <c r="AF361" s="142">
        <v>499.4</v>
      </c>
      <c r="AG361" s="104">
        <f t="shared" si="206"/>
        <v>64.279189628907346</v>
      </c>
      <c r="AH361" s="139">
        <f t="shared" si="207"/>
        <v>563.67918962890735</v>
      </c>
      <c r="AI361" s="142">
        <v>0</v>
      </c>
      <c r="AJ361" s="104">
        <f t="shared" si="208"/>
        <v>0</v>
      </c>
      <c r="AK361" s="139">
        <f t="shared" si="209"/>
        <v>0</v>
      </c>
      <c r="AL361" s="143"/>
      <c r="AM361" s="143"/>
      <c r="AN361" s="104">
        <f t="shared" si="210"/>
        <v>0</v>
      </c>
      <c r="AO361" s="148">
        <f t="shared" si="211"/>
        <v>0</v>
      </c>
      <c r="AP361" s="272">
        <f t="shared" si="212"/>
        <v>2411.2045888993271</v>
      </c>
      <c r="AQ361" s="669">
        <v>222.95</v>
      </c>
      <c r="AR361" s="725">
        <v>1632.6567109846285</v>
      </c>
      <c r="AS361" s="725">
        <v>778.5478779146988</v>
      </c>
      <c r="AT361" s="725">
        <v>0</v>
      </c>
      <c r="AU361" s="401">
        <v>0</v>
      </c>
      <c r="AV361" s="786"/>
      <c r="AW361" s="246"/>
      <c r="AX361" s="713">
        <f t="shared" si="213"/>
        <v>139.24478542264237</v>
      </c>
      <c r="AY361" s="714">
        <v>93.55739548510617</v>
      </c>
      <c r="AZ361" s="715"/>
      <c r="BA361" s="716">
        <v>0</v>
      </c>
      <c r="BC361" s="712">
        <v>0</v>
      </c>
      <c r="BD361" s="712">
        <v>139.24478542264237</v>
      </c>
      <c r="BE361" s="712"/>
      <c r="BF361" s="712"/>
      <c r="BG361" s="712">
        <v>0</v>
      </c>
      <c r="BH361" s="712">
        <v>0</v>
      </c>
      <c r="BI361" s="134">
        <f t="shared" si="181"/>
        <v>139.24478542264237</v>
      </c>
      <c r="BJ361" s="123"/>
      <c r="BK361" s="792"/>
      <c r="BL361" s="104"/>
      <c r="BM361" s="672">
        <v>175.51</v>
      </c>
      <c r="BO361" s="562"/>
      <c r="BS361" s="879"/>
      <c r="BT361" s="774"/>
      <c r="BU361" s="774">
        <v>1609.1047728937799</v>
      </c>
      <c r="BV361" s="774">
        <v>0</v>
      </c>
      <c r="BW361" s="774">
        <f t="shared" si="214"/>
        <v>1609.1047728937799</v>
      </c>
    </row>
    <row r="362" spans="1:75" ht="15" thickBot="1" x14ac:dyDescent="0.35">
      <c r="A362" s="209" t="s">
        <v>237</v>
      </c>
      <c r="B362" s="227">
        <v>4</v>
      </c>
      <c r="C362" s="39">
        <f>'[3]побудинковий звіт'!E362</f>
        <v>2726.35</v>
      </c>
      <c r="D362" s="205">
        <f t="shared" si="189"/>
        <v>1682.374814718612</v>
      </c>
      <c r="E362" s="104">
        <f t="shared" si="190"/>
        <v>370.12276833055643</v>
      </c>
      <c r="F362" s="104">
        <f t="shared" si="191"/>
        <v>141.85767423626407</v>
      </c>
      <c r="G362" s="104">
        <f t="shared" si="192"/>
        <v>0</v>
      </c>
      <c r="H362" s="104">
        <f t="shared" si="193"/>
        <v>1405.581582136412</v>
      </c>
      <c r="I362" s="104">
        <f t="shared" si="194"/>
        <v>463.35807519680839</v>
      </c>
      <c r="J362" s="672">
        <f t="shared" si="182"/>
        <v>0</v>
      </c>
      <c r="K362" s="139">
        <f t="shared" si="195"/>
        <v>4063.2949146186529</v>
      </c>
      <c r="L362" s="138">
        <f t="shared" si="183"/>
        <v>750.70860925837678</v>
      </c>
      <c r="M362" s="104">
        <f t="shared" si="184"/>
        <v>165.15511668566518</v>
      </c>
      <c r="N362" s="29">
        <f t="shared" si="196"/>
        <v>56.007317412783095</v>
      </c>
      <c r="O362" s="104">
        <f t="shared" si="185"/>
        <v>4.9082735916470881</v>
      </c>
      <c r="P362" s="104">
        <f t="shared" si="197"/>
        <v>627.19804498577253</v>
      </c>
      <c r="Q362" s="104">
        <f t="shared" si="198"/>
        <v>206.45247298407261</v>
      </c>
      <c r="R362" s="140">
        <f t="shared" si="199"/>
        <v>1810.4298349183173</v>
      </c>
      <c r="S362" s="138">
        <f t="shared" si="200"/>
        <v>71.5</v>
      </c>
      <c r="T362" s="104">
        <f t="shared" si="186"/>
        <v>9.2029676781475267</v>
      </c>
      <c r="U362" s="139">
        <f t="shared" si="201"/>
        <v>80.70296767814753</v>
      </c>
      <c r="V362" s="104"/>
      <c r="W362" s="104">
        <f t="shared" si="202"/>
        <v>0</v>
      </c>
      <c r="X362" s="139">
        <f t="shared" si="203"/>
        <v>0</v>
      </c>
      <c r="Y362" s="138">
        <v>0</v>
      </c>
      <c r="Z362" s="141">
        <v>0</v>
      </c>
      <c r="AA362" s="104">
        <f t="shared" si="187"/>
        <v>0</v>
      </c>
      <c r="AB362" s="139">
        <f t="shared" si="188"/>
        <v>0</v>
      </c>
      <c r="AC362" s="138">
        <v>0</v>
      </c>
      <c r="AD362" s="104">
        <f t="shared" si="204"/>
        <v>0</v>
      </c>
      <c r="AE362" s="139">
        <f t="shared" si="205"/>
        <v>0</v>
      </c>
      <c r="AF362" s="142">
        <v>481.8</v>
      </c>
      <c r="AG362" s="104">
        <f t="shared" si="206"/>
        <v>62.013843738901798</v>
      </c>
      <c r="AH362" s="139">
        <f t="shared" si="207"/>
        <v>543.81384373890182</v>
      </c>
      <c r="AI362" s="142">
        <v>0</v>
      </c>
      <c r="AJ362" s="104">
        <f t="shared" si="208"/>
        <v>0</v>
      </c>
      <c r="AK362" s="139">
        <f t="shared" si="209"/>
        <v>0</v>
      </c>
      <c r="AL362" s="143">
        <v>1657.5</v>
      </c>
      <c r="AM362" s="143"/>
      <c r="AN362" s="104">
        <f t="shared" si="210"/>
        <v>213.34152344796539</v>
      </c>
      <c r="AO362" s="148">
        <f t="shared" si="211"/>
        <v>1870.8415234479653</v>
      </c>
      <c r="AP362" s="272">
        <f t="shared" si="212"/>
        <v>2133.8250173293154</v>
      </c>
      <c r="AQ362" s="669">
        <v>112.19</v>
      </c>
      <c r="AR362" s="725">
        <v>1440.4801237990978</v>
      </c>
      <c r="AS362" s="725">
        <v>681.84007545800944</v>
      </c>
      <c r="AT362" s="725">
        <v>11.504818072208305</v>
      </c>
      <c r="AU362" s="401">
        <v>0</v>
      </c>
      <c r="AV362" s="786"/>
      <c r="AW362" s="246"/>
      <c r="AX362" s="713">
        <f t="shared" si="213"/>
        <v>83.357674236264074</v>
      </c>
      <c r="AY362" s="714">
        <v>56.007317412783095</v>
      </c>
      <c r="AZ362" s="715"/>
      <c r="BA362" s="716">
        <v>0</v>
      </c>
      <c r="BC362" s="712">
        <v>0</v>
      </c>
      <c r="BD362" s="712">
        <v>83.357674236264074</v>
      </c>
      <c r="BE362" s="712"/>
      <c r="BF362" s="712"/>
      <c r="BG362" s="712">
        <v>0</v>
      </c>
      <c r="BH362" s="712">
        <v>0</v>
      </c>
      <c r="BI362" s="134">
        <f t="shared" si="181"/>
        <v>83.357674236264074</v>
      </c>
      <c r="BJ362" s="123">
        <v>325</v>
      </c>
      <c r="BK362" s="792"/>
      <c r="BL362" s="104"/>
      <c r="BM362" s="672">
        <v>58.5</v>
      </c>
      <c r="BO362" s="562"/>
      <c r="BS362" s="879"/>
      <c r="BT362" s="774"/>
      <c r="BU362" s="774">
        <v>1408.489150461699</v>
      </c>
      <c r="BV362" s="774">
        <v>0</v>
      </c>
      <c r="BW362" s="774">
        <f t="shared" si="214"/>
        <v>1408.489150461699</v>
      </c>
    </row>
    <row r="363" spans="1:75" ht="15" thickBot="1" x14ac:dyDescent="0.35">
      <c r="A363" s="209" t="s">
        <v>411</v>
      </c>
      <c r="B363" s="227">
        <v>9</v>
      </c>
      <c r="C363" s="39">
        <f>'[3]побудинковий звіт'!E363</f>
        <v>2405.4</v>
      </c>
      <c r="D363" s="205">
        <f t="shared" si="189"/>
        <v>534.66658575893234</v>
      </c>
      <c r="E363" s="104">
        <f t="shared" si="190"/>
        <v>117.62674709799531</v>
      </c>
      <c r="F363" s="104">
        <f t="shared" si="191"/>
        <v>73.54468414103458</v>
      </c>
      <c r="G363" s="104">
        <f t="shared" si="192"/>
        <v>0</v>
      </c>
      <c r="H363" s="104">
        <f t="shared" si="193"/>
        <v>446.70040168915023</v>
      </c>
      <c r="I363" s="104">
        <f t="shared" si="194"/>
        <v>150.92074361627564</v>
      </c>
      <c r="J363" s="672">
        <f t="shared" si="182"/>
        <v>0</v>
      </c>
      <c r="K363" s="139">
        <f t="shared" si="195"/>
        <v>1323.459162303388</v>
      </c>
      <c r="L363" s="138">
        <f t="shared" si="183"/>
        <v>262.74128745969489</v>
      </c>
      <c r="M363" s="104">
        <f t="shared" si="184"/>
        <v>57.802811175185155</v>
      </c>
      <c r="N363" s="29">
        <f t="shared" si="196"/>
        <v>49.414052232731848</v>
      </c>
      <c r="O363" s="104">
        <f t="shared" si="185"/>
        <v>4.330464282776572</v>
      </c>
      <c r="P363" s="104">
        <f t="shared" si="197"/>
        <v>219.51369652542277</v>
      </c>
      <c r="Q363" s="104">
        <f t="shared" si="198"/>
        <v>76.429978763101744</v>
      </c>
      <c r="R363" s="140">
        <f t="shared" si="199"/>
        <v>670.23229043891297</v>
      </c>
      <c r="S363" s="138">
        <f t="shared" si="200"/>
        <v>0</v>
      </c>
      <c r="T363" s="104">
        <f t="shared" si="186"/>
        <v>0</v>
      </c>
      <c r="U363" s="139">
        <f t="shared" si="201"/>
        <v>0</v>
      </c>
      <c r="V363" s="104"/>
      <c r="W363" s="104">
        <f t="shared" si="202"/>
        <v>0</v>
      </c>
      <c r="X363" s="139">
        <f t="shared" si="203"/>
        <v>0</v>
      </c>
      <c r="Y363" s="138">
        <v>1465.63</v>
      </c>
      <c r="Z363" s="141">
        <v>0</v>
      </c>
      <c r="AA363" s="104">
        <f>(Y363+Z363)*$B$5</f>
        <v>188.64539186186519</v>
      </c>
      <c r="AB363" s="139">
        <f>Y363+Z363+AA363</f>
        <v>1654.2753918618653</v>
      </c>
      <c r="AC363" s="138">
        <v>0</v>
      </c>
      <c r="AD363" s="104">
        <f t="shared" si="204"/>
        <v>0</v>
      </c>
      <c r="AE363" s="139">
        <f t="shared" si="205"/>
        <v>0</v>
      </c>
      <c r="AF363" s="142">
        <v>226.6</v>
      </c>
      <c r="AG363" s="104">
        <f t="shared" si="206"/>
        <v>29.166328333821394</v>
      </c>
      <c r="AH363" s="139">
        <f t="shared" si="207"/>
        <v>255.76632833382138</v>
      </c>
      <c r="AI363" s="142">
        <v>633.6</v>
      </c>
      <c r="AJ363" s="104">
        <f t="shared" si="208"/>
        <v>81.552452040199626</v>
      </c>
      <c r="AK363" s="139">
        <f t="shared" si="209"/>
        <v>715.15245204019971</v>
      </c>
      <c r="AL363" s="143">
        <v>212.5</v>
      </c>
      <c r="AM363" s="143"/>
      <c r="AN363" s="104">
        <f t="shared" si="210"/>
        <v>27.35147736512377</v>
      </c>
      <c r="AO363" s="148">
        <f t="shared" si="211"/>
        <v>239.85147736512377</v>
      </c>
      <c r="AP363" s="272">
        <f t="shared" si="212"/>
        <v>736.11032915563237</v>
      </c>
      <c r="AQ363" s="669">
        <v>0</v>
      </c>
      <c r="AR363" s="725">
        <v>493.44582826533343</v>
      </c>
      <c r="AS363" s="725">
        <v>239.61441066487146</v>
      </c>
      <c r="AT363" s="725">
        <v>3.0500902254275486</v>
      </c>
      <c r="AU363" s="401">
        <v>0</v>
      </c>
      <c r="AV363" s="786"/>
      <c r="AW363" s="246"/>
      <c r="AX363" s="713">
        <f t="shared" si="213"/>
        <v>73.54468414103458</v>
      </c>
      <c r="AY363" s="714">
        <v>49.414052232731848</v>
      </c>
      <c r="AZ363" s="715"/>
      <c r="BA363" s="716">
        <v>0</v>
      </c>
      <c r="BC363" s="712">
        <v>0</v>
      </c>
      <c r="BD363" s="712">
        <v>73.54468414103458</v>
      </c>
      <c r="BE363" s="712"/>
      <c r="BF363" s="712"/>
      <c r="BG363" s="712">
        <v>0</v>
      </c>
      <c r="BH363" s="712">
        <v>0</v>
      </c>
      <c r="BI363" s="134">
        <f t="shared" si="181"/>
        <v>73.54468414103458</v>
      </c>
      <c r="BJ363" s="123"/>
      <c r="BK363" s="792"/>
      <c r="BL363" s="104"/>
      <c r="BM363" s="672"/>
      <c r="BO363" s="562"/>
      <c r="BS363" s="879"/>
      <c r="BT363" s="774"/>
      <c r="BU363" s="774">
        <v>1986.0301467429988</v>
      </c>
      <c r="BV363" s="774">
        <v>0</v>
      </c>
      <c r="BW363" s="774">
        <f t="shared" si="214"/>
        <v>1986.0301467429988</v>
      </c>
    </row>
    <row r="364" spans="1:75" ht="15" thickBot="1" x14ac:dyDescent="0.35">
      <c r="A364" s="209" t="s">
        <v>330</v>
      </c>
      <c r="B364" s="227">
        <v>5</v>
      </c>
      <c r="C364" s="39">
        <f>'[3]побудинковий звіт'!E364</f>
        <v>3012.17</v>
      </c>
      <c r="D364" s="205">
        <f t="shared" si="189"/>
        <v>1593.5388269675684</v>
      </c>
      <c r="E364" s="104">
        <f t="shared" si="190"/>
        <v>350.57883470403272</v>
      </c>
      <c r="F364" s="104">
        <f t="shared" si="191"/>
        <v>93.668116734825503</v>
      </c>
      <c r="G364" s="104">
        <f t="shared" si="192"/>
        <v>0</v>
      </c>
      <c r="H364" s="104">
        <f t="shared" si="193"/>
        <v>1331.3613625269977</v>
      </c>
      <c r="I364" s="104">
        <f t="shared" si="194"/>
        <v>433.65247889417424</v>
      </c>
      <c r="J364" s="672">
        <f t="shared" si="182"/>
        <v>0</v>
      </c>
      <c r="K364" s="139">
        <f t="shared" si="195"/>
        <v>3802.7996198275987</v>
      </c>
      <c r="L364" s="138">
        <f t="shared" si="183"/>
        <v>521.01512373711478</v>
      </c>
      <c r="M364" s="104">
        <f t="shared" si="184"/>
        <v>114.62278771627037</v>
      </c>
      <c r="N364" s="29">
        <f t="shared" si="196"/>
        <v>62.934816661939919</v>
      </c>
      <c r="O364" s="104">
        <f t="shared" si="185"/>
        <v>5.4228380305359218</v>
      </c>
      <c r="P364" s="104">
        <f t="shared" si="197"/>
        <v>435.29495064504931</v>
      </c>
      <c r="Q364" s="104">
        <f t="shared" si="198"/>
        <v>146.64131191673761</v>
      </c>
      <c r="R364" s="140">
        <f t="shared" si="199"/>
        <v>1285.9318287076478</v>
      </c>
      <c r="S364" s="138">
        <f t="shared" si="200"/>
        <v>39.380000000000003</v>
      </c>
      <c r="T364" s="104">
        <f t="shared" si="186"/>
        <v>5.0687114288874078</v>
      </c>
      <c r="U364" s="139">
        <f t="shared" si="201"/>
        <v>44.448711428887407</v>
      </c>
      <c r="V364" s="104"/>
      <c r="W364" s="104">
        <f t="shared" si="202"/>
        <v>0</v>
      </c>
      <c r="X364" s="139">
        <f t="shared" si="203"/>
        <v>0</v>
      </c>
      <c r="Y364" s="138">
        <v>0</v>
      </c>
      <c r="Z364" s="141">
        <v>0</v>
      </c>
      <c r="AA364" s="104">
        <f>Y364*$B$5</f>
        <v>0</v>
      </c>
      <c r="AB364" s="139">
        <f>Y364+AA364</f>
        <v>0</v>
      </c>
      <c r="AC364" s="138">
        <v>0</v>
      </c>
      <c r="AD364" s="104">
        <f t="shared" si="204"/>
        <v>0</v>
      </c>
      <c r="AE364" s="139">
        <f t="shared" si="205"/>
        <v>0</v>
      </c>
      <c r="AF364" s="142">
        <v>169.4</v>
      </c>
      <c r="AG364" s="104">
        <f t="shared" si="206"/>
        <v>21.803954191303372</v>
      </c>
      <c r="AH364" s="139">
        <f t="shared" si="207"/>
        <v>191.20395419130338</v>
      </c>
      <c r="AI364" s="142">
        <v>0</v>
      </c>
      <c r="AJ364" s="104">
        <f t="shared" si="208"/>
        <v>0</v>
      </c>
      <c r="AK364" s="139">
        <f t="shared" si="209"/>
        <v>0</v>
      </c>
      <c r="AL364" s="143"/>
      <c r="AM364" s="143"/>
      <c r="AN364" s="104">
        <f t="shared" si="210"/>
        <v>0</v>
      </c>
      <c r="AO364" s="148">
        <f t="shared" si="211"/>
        <v>0</v>
      </c>
      <c r="AP364" s="272">
        <f t="shared" si="212"/>
        <v>1744.1359732403535</v>
      </c>
      <c r="AQ364" s="669">
        <v>207.75</v>
      </c>
      <c r="AR364" s="725">
        <v>1262.9330523733418</v>
      </c>
      <c r="AS364" s="725">
        <v>474.91872292265469</v>
      </c>
      <c r="AT364" s="725">
        <v>6.2841979443569276</v>
      </c>
      <c r="AU364" s="401">
        <v>0</v>
      </c>
      <c r="AV364" s="786"/>
      <c r="AW364" s="246"/>
      <c r="AX364" s="713">
        <f t="shared" si="213"/>
        <v>93.668116734825503</v>
      </c>
      <c r="AY364" s="714">
        <v>62.934816661939919</v>
      </c>
      <c r="AZ364" s="715"/>
      <c r="BA364" s="716">
        <v>0</v>
      </c>
      <c r="BC364" s="712">
        <v>0</v>
      </c>
      <c r="BD364" s="712">
        <v>93.668116734825503</v>
      </c>
      <c r="BE364" s="712"/>
      <c r="BF364" s="712"/>
      <c r="BG364" s="712">
        <v>0</v>
      </c>
      <c r="BH364" s="712">
        <v>0</v>
      </c>
      <c r="BI364" s="134">
        <f t="shared" si="181"/>
        <v>93.668116734825503</v>
      </c>
      <c r="BJ364" s="123">
        <v>179</v>
      </c>
      <c r="BK364" s="792"/>
      <c r="BL364" s="104"/>
      <c r="BM364" s="672"/>
      <c r="BO364" s="562"/>
      <c r="BS364" s="879"/>
      <c r="BT364" s="774"/>
      <c r="BU364" s="774">
        <v>1244.7117669046117</v>
      </c>
      <c r="BV364" s="774">
        <v>0</v>
      </c>
      <c r="BW364" s="774">
        <f t="shared" si="214"/>
        <v>1244.7117669046117</v>
      </c>
    </row>
    <row r="365" spans="1:75" ht="15" thickBot="1" x14ac:dyDescent="0.35">
      <c r="A365" s="209" t="s">
        <v>331</v>
      </c>
      <c r="B365" s="227">
        <v>5</v>
      </c>
      <c r="C365" s="39">
        <f>'[3]побудинковий звіт'!E365</f>
        <v>1851.94</v>
      </c>
      <c r="D365" s="205">
        <f t="shared" si="189"/>
        <v>1341.1092497515883</v>
      </c>
      <c r="E365" s="104">
        <f t="shared" si="190"/>
        <v>295.04428133917077</v>
      </c>
      <c r="F365" s="104">
        <f t="shared" si="191"/>
        <v>56.622741476738831</v>
      </c>
      <c r="G365" s="104">
        <f t="shared" si="192"/>
        <v>0</v>
      </c>
      <c r="H365" s="104">
        <f t="shared" si="193"/>
        <v>1120.4628389535769</v>
      </c>
      <c r="I365" s="104">
        <f t="shared" si="194"/>
        <v>362.09998061858624</v>
      </c>
      <c r="J365" s="672">
        <f t="shared" si="182"/>
        <v>0</v>
      </c>
      <c r="K365" s="139">
        <f t="shared" si="195"/>
        <v>3175.3390921396613</v>
      </c>
      <c r="L365" s="138">
        <f t="shared" si="183"/>
        <v>328.53416190426572</v>
      </c>
      <c r="M365" s="104">
        <f t="shared" si="184"/>
        <v>72.277175425134203</v>
      </c>
      <c r="N365" s="29">
        <f t="shared" si="196"/>
        <v>38.044341852450913</v>
      </c>
      <c r="O365" s="104">
        <f t="shared" si="185"/>
        <v>3.3340650302840462</v>
      </c>
      <c r="P365" s="104">
        <f t="shared" si="197"/>
        <v>274.48197811525955</v>
      </c>
      <c r="Q365" s="104">
        <f t="shared" si="198"/>
        <v>92.244848900997638</v>
      </c>
      <c r="R365" s="140">
        <f t="shared" si="199"/>
        <v>808.91657122839217</v>
      </c>
      <c r="S365" s="138">
        <f t="shared" si="200"/>
        <v>0</v>
      </c>
      <c r="T365" s="104">
        <f t="shared" si="186"/>
        <v>0</v>
      </c>
      <c r="U365" s="139">
        <f t="shared" si="201"/>
        <v>0</v>
      </c>
      <c r="V365" s="104"/>
      <c r="W365" s="104">
        <f t="shared" si="202"/>
        <v>0</v>
      </c>
      <c r="X365" s="139">
        <f t="shared" si="203"/>
        <v>0</v>
      </c>
      <c r="Y365" s="138">
        <v>0</v>
      </c>
      <c r="Z365" s="141">
        <v>0</v>
      </c>
      <c r="AA365" s="104">
        <f>Y365*$B$5</f>
        <v>0</v>
      </c>
      <c r="AB365" s="139">
        <f>Y365+AA365</f>
        <v>0</v>
      </c>
      <c r="AC365" s="138">
        <v>0</v>
      </c>
      <c r="AD365" s="104">
        <f t="shared" si="204"/>
        <v>0</v>
      </c>
      <c r="AE365" s="139">
        <f t="shared" si="205"/>
        <v>0</v>
      </c>
      <c r="AF365" s="142">
        <v>11</v>
      </c>
      <c r="AG365" s="104">
        <f t="shared" si="206"/>
        <v>1.4158411812534657</v>
      </c>
      <c r="AH365" s="139">
        <f t="shared" si="207"/>
        <v>12.415841181253466</v>
      </c>
      <c r="AI365" s="142">
        <v>0</v>
      </c>
      <c r="AJ365" s="104">
        <f t="shared" si="208"/>
        <v>0</v>
      </c>
      <c r="AK365" s="139">
        <f t="shared" si="209"/>
        <v>0</v>
      </c>
      <c r="AL365" s="143"/>
      <c r="AM365" s="143"/>
      <c r="AN365" s="104">
        <f t="shared" si="210"/>
        <v>0</v>
      </c>
      <c r="AO365" s="148">
        <f t="shared" si="211"/>
        <v>0</v>
      </c>
      <c r="AP365" s="272">
        <f t="shared" si="212"/>
        <v>1410.1747944902656</v>
      </c>
      <c r="AQ365" s="669">
        <v>130.97</v>
      </c>
      <c r="AR365" s="725">
        <v>1106.7448341870488</v>
      </c>
      <c r="AS365" s="725">
        <v>303.42996030321689</v>
      </c>
      <c r="AT365" s="725">
        <v>0</v>
      </c>
      <c r="AU365" s="401">
        <v>0</v>
      </c>
      <c r="AV365" s="786"/>
      <c r="AW365" s="246"/>
      <c r="AX365" s="713">
        <f t="shared" si="213"/>
        <v>56.622741476738831</v>
      </c>
      <c r="AY365" s="714">
        <v>38.044341852450913</v>
      </c>
      <c r="AZ365" s="715"/>
      <c r="BA365" s="716">
        <v>0</v>
      </c>
      <c r="BC365" s="712">
        <v>0</v>
      </c>
      <c r="BD365" s="712">
        <v>56.622741476738831</v>
      </c>
      <c r="BE365" s="712"/>
      <c r="BF365" s="712"/>
      <c r="BG365" s="712">
        <v>0</v>
      </c>
      <c r="BH365" s="712">
        <v>0</v>
      </c>
      <c r="BI365" s="134">
        <f t="shared" si="181"/>
        <v>56.622741476738831</v>
      </c>
      <c r="BJ365" s="123"/>
      <c r="BK365" s="792"/>
      <c r="BL365" s="104"/>
      <c r="BM365" s="672"/>
      <c r="BO365" s="562"/>
      <c r="BS365" s="879"/>
      <c r="BT365" s="774"/>
      <c r="BU365" s="774">
        <v>1081.5340494533004</v>
      </c>
      <c r="BV365" s="774">
        <v>0</v>
      </c>
      <c r="BW365" s="774">
        <f t="shared" si="214"/>
        <v>1081.5340494533004</v>
      </c>
    </row>
    <row r="366" spans="1:75" ht="15" thickBot="1" x14ac:dyDescent="0.35">
      <c r="A366" s="209" t="s">
        <v>332</v>
      </c>
      <c r="B366" s="227">
        <v>5</v>
      </c>
      <c r="C366" s="39">
        <f>'[3]побудинковий звіт'!E366</f>
        <v>3396.3</v>
      </c>
      <c r="D366" s="205">
        <f t="shared" si="189"/>
        <v>1276.6206704859351</v>
      </c>
      <c r="E366" s="104">
        <f t="shared" si="190"/>
        <v>280.85678205263378</v>
      </c>
      <c r="F366" s="104">
        <f t="shared" si="191"/>
        <v>279.45676141534977</v>
      </c>
      <c r="G366" s="104">
        <f t="shared" si="192"/>
        <v>0</v>
      </c>
      <c r="H366" s="104">
        <f t="shared" si="193"/>
        <v>1066.5842629781589</v>
      </c>
      <c r="I366" s="104">
        <f t="shared" si="194"/>
        <v>373.72009365188876</v>
      </c>
      <c r="J366" s="672">
        <f t="shared" si="182"/>
        <v>0</v>
      </c>
      <c r="K366" s="139">
        <f t="shared" si="195"/>
        <v>3277.2385705839665</v>
      </c>
      <c r="L366" s="138">
        <f t="shared" si="183"/>
        <v>850.42882036606727</v>
      </c>
      <c r="M366" s="104">
        <f t="shared" si="184"/>
        <v>187.09345987008635</v>
      </c>
      <c r="N366" s="29">
        <f t="shared" si="196"/>
        <v>296.64095122567147</v>
      </c>
      <c r="O366" s="104">
        <f t="shared" si="185"/>
        <v>6.1143908886647012</v>
      </c>
      <c r="P366" s="104">
        <f t="shared" si="197"/>
        <v>710.51175776455545</v>
      </c>
      <c r="Q366" s="104">
        <f t="shared" si="198"/>
        <v>263.96291440401347</v>
      </c>
      <c r="R366" s="140">
        <f t="shared" si="199"/>
        <v>2314.752294519059</v>
      </c>
      <c r="S366" s="138">
        <f t="shared" si="200"/>
        <v>52.360000000000007</v>
      </c>
      <c r="T366" s="104">
        <f t="shared" si="186"/>
        <v>6.7394040227664975</v>
      </c>
      <c r="U366" s="139">
        <f t="shared" si="201"/>
        <v>59.099404022766507</v>
      </c>
      <c r="V366" s="104"/>
      <c r="W366" s="104">
        <f t="shared" si="202"/>
        <v>0</v>
      </c>
      <c r="X366" s="139">
        <f t="shared" si="203"/>
        <v>0</v>
      </c>
      <c r="Y366" s="138">
        <v>0</v>
      </c>
      <c r="Z366" s="141">
        <v>0</v>
      </c>
      <c r="AA366" s="104">
        <f>Y366*$B$5</f>
        <v>0</v>
      </c>
      <c r="AB366" s="139">
        <f>Y366+AA366</f>
        <v>0</v>
      </c>
      <c r="AC366" s="138">
        <v>0</v>
      </c>
      <c r="AD366" s="104">
        <f t="shared" si="204"/>
        <v>0</v>
      </c>
      <c r="AE366" s="139">
        <f t="shared" si="205"/>
        <v>0</v>
      </c>
      <c r="AF366" s="142">
        <v>488.4</v>
      </c>
      <c r="AG366" s="104">
        <f t="shared" si="206"/>
        <v>62.863348447653877</v>
      </c>
      <c r="AH366" s="139">
        <f t="shared" si="207"/>
        <v>551.26334844765381</v>
      </c>
      <c r="AI366" s="142">
        <v>0</v>
      </c>
      <c r="AJ366" s="104">
        <f t="shared" si="208"/>
        <v>0</v>
      </c>
      <c r="AK366" s="139">
        <f t="shared" si="209"/>
        <v>0</v>
      </c>
      <c r="AL366" s="143"/>
      <c r="AM366" s="143"/>
      <c r="AN366" s="104">
        <f t="shared" si="210"/>
        <v>0</v>
      </c>
      <c r="AO366" s="148">
        <f t="shared" si="211"/>
        <v>0</v>
      </c>
      <c r="AP366" s="272">
        <f t="shared" si="212"/>
        <v>1787.5132869994713</v>
      </c>
      <c r="AQ366" s="669">
        <v>176.13</v>
      </c>
      <c r="AR366" s="725">
        <v>1002.0680787791421</v>
      </c>
      <c r="AS366" s="725">
        <v>777.02166044013984</v>
      </c>
      <c r="AT366" s="725">
        <v>8.4235477801894056</v>
      </c>
      <c r="AU366" s="401">
        <v>0</v>
      </c>
      <c r="AV366" s="786"/>
      <c r="AW366" s="246"/>
      <c r="AX366" s="713">
        <f t="shared" si="213"/>
        <v>103.94676141534975</v>
      </c>
      <c r="AY366" s="714">
        <v>69.840951225671446</v>
      </c>
      <c r="AZ366" s="715"/>
      <c r="BA366" s="716">
        <v>226.8</v>
      </c>
      <c r="BC366" s="712">
        <v>0</v>
      </c>
      <c r="BD366" s="712">
        <v>103.94676141534975</v>
      </c>
      <c r="BE366" s="712"/>
      <c r="BF366" s="712"/>
      <c r="BG366" s="712">
        <v>0</v>
      </c>
      <c r="BH366" s="712">
        <v>0</v>
      </c>
      <c r="BI366" s="134">
        <f t="shared" si="181"/>
        <v>103.94676141534975</v>
      </c>
      <c r="BJ366" s="123">
        <v>238</v>
      </c>
      <c r="BK366" s="792"/>
      <c r="BL366" s="104"/>
      <c r="BM366" s="672">
        <v>175.51</v>
      </c>
      <c r="BO366" s="562"/>
      <c r="BS366" s="879"/>
      <c r="BT366" s="774"/>
      <c r="BU366" s="774">
        <v>979.25106072247866</v>
      </c>
      <c r="BV366" s="774">
        <v>0</v>
      </c>
      <c r="BW366" s="774">
        <f t="shared" si="214"/>
        <v>979.25106072247866</v>
      </c>
    </row>
    <row r="367" spans="1:75" ht="15" thickBot="1" x14ac:dyDescent="0.35">
      <c r="A367" s="212" t="s">
        <v>238</v>
      </c>
      <c r="B367" s="230">
        <v>4</v>
      </c>
      <c r="C367" s="39">
        <f>'[3]побудинковий звіт'!E367</f>
        <v>1494.6000000000001</v>
      </c>
      <c r="D367" s="205">
        <f t="shared" si="189"/>
        <v>1129.9409938982819</v>
      </c>
      <c r="E367" s="104">
        <f t="shared" si="190"/>
        <v>248.58722625478788</v>
      </c>
      <c r="F367" s="104">
        <f t="shared" si="191"/>
        <v>45.69713349845776</v>
      </c>
      <c r="G367" s="104">
        <f t="shared" si="192"/>
        <v>0</v>
      </c>
      <c r="H367" s="104">
        <f t="shared" si="193"/>
        <v>944.03710518572973</v>
      </c>
      <c r="I367" s="104">
        <f t="shared" si="194"/>
        <v>304.82577429439817</v>
      </c>
      <c r="J367" s="672">
        <f t="shared" si="182"/>
        <v>0</v>
      </c>
      <c r="K367" s="139">
        <f t="shared" si="195"/>
        <v>2673.0882331316557</v>
      </c>
      <c r="L367" s="138">
        <f t="shared" si="183"/>
        <v>373.77006519394814</v>
      </c>
      <c r="M367" s="104">
        <f t="shared" si="184"/>
        <v>82.22902730754366</v>
      </c>
      <c r="N367" s="29">
        <f>AY367+BA367</f>
        <v>30.703518112181349</v>
      </c>
      <c r="O367" s="104">
        <f t="shared" si="185"/>
        <v>2.6907424615605988</v>
      </c>
      <c r="P367" s="104">
        <f t="shared" si="197"/>
        <v>312.27543053680938</v>
      </c>
      <c r="Q367" s="104">
        <f t="shared" si="198"/>
        <v>103.18506159666401</v>
      </c>
      <c r="R367" s="140">
        <f t="shared" si="199"/>
        <v>904.85384520870718</v>
      </c>
      <c r="S367" s="138">
        <f t="shared" si="200"/>
        <v>18.48</v>
      </c>
      <c r="T367" s="104">
        <f t="shared" si="186"/>
        <v>2.3786131845058223</v>
      </c>
      <c r="U367" s="139">
        <f t="shared" si="201"/>
        <v>20.858613184505824</v>
      </c>
      <c r="V367" s="104"/>
      <c r="W367" s="104">
        <f t="shared" si="202"/>
        <v>0</v>
      </c>
      <c r="X367" s="139">
        <f t="shared" si="203"/>
        <v>0</v>
      </c>
      <c r="Y367" s="138">
        <v>0</v>
      </c>
      <c r="Z367" s="141">
        <v>0</v>
      </c>
      <c r="AA367" s="104">
        <f>Y367*$B$5</f>
        <v>0</v>
      </c>
      <c r="AB367" s="139">
        <f>Y367+AA367</f>
        <v>0</v>
      </c>
      <c r="AC367" s="138">
        <v>0</v>
      </c>
      <c r="AD367" s="104">
        <f t="shared" si="204"/>
        <v>0</v>
      </c>
      <c r="AE367" s="139">
        <f t="shared" si="205"/>
        <v>0</v>
      </c>
      <c r="AF367" s="142">
        <v>136.4</v>
      </c>
      <c r="AG367" s="104">
        <f t="shared" si="206"/>
        <v>17.556430647542975</v>
      </c>
      <c r="AH367" s="139">
        <f t="shared" si="207"/>
        <v>153.95643064754299</v>
      </c>
      <c r="AI367" s="142">
        <v>0</v>
      </c>
      <c r="AJ367" s="104">
        <f t="shared" si="208"/>
        <v>0</v>
      </c>
      <c r="AK367" s="139">
        <f t="shared" si="209"/>
        <v>0</v>
      </c>
      <c r="AL367" s="143"/>
      <c r="AM367" s="144"/>
      <c r="AN367" s="104">
        <f t="shared" si="210"/>
        <v>0</v>
      </c>
      <c r="AO367" s="148">
        <f t="shared" si="211"/>
        <v>0</v>
      </c>
      <c r="AP367" s="272">
        <f t="shared" si="212"/>
        <v>1281.9061100647709</v>
      </c>
      <c r="AQ367" s="669">
        <v>106.13</v>
      </c>
      <c r="AR367" s="725">
        <v>936.69684662939392</v>
      </c>
      <c r="AS367" s="725">
        <v>342.25789890559918</v>
      </c>
      <c r="AT367" s="725">
        <v>2.9513645297778544</v>
      </c>
      <c r="AU367" s="401">
        <v>0</v>
      </c>
      <c r="AV367" s="786"/>
      <c r="AW367" s="246"/>
      <c r="AX367" s="713">
        <f>BC367+BD367+BE367+BF367+BG367</f>
        <v>45.69713349845776</v>
      </c>
      <c r="AY367" s="714">
        <v>30.703518112181349</v>
      </c>
      <c r="AZ367" s="715"/>
      <c r="BA367" s="716">
        <v>0</v>
      </c>
      <c r="BC367" s="712">
        <v>0</v>
      </c>
      <c r="BD367" s="712">
        <v>45.69713349845776</v>
      </c>
      <c r="BE367" s="712"/>
      <c r="BF367" s="712"/>
      <c r="BG367" s="712">
        <v>0</v>
      </c>
      <c r="BH367" s="712">
        <v>0</v>
      </c>
      <c r="BI367" s="134">
        <f>BC367+BD367+BE367+BG367</f>
        <v>45.69713349845776</v>
      </c>
      <c r="BJ367" s="123">
        <v>84</v>
      </c>
      <c r="BK367" s="792"/>
      <c r="BL367" s="104"/>
      <c r="BM367" s="672"/>
      <c r="BO367" s="562"/>
      <c r="BS367" s="879"/>
      <c r="BT367" s="774"/>
      <c r="BU367" s="774">
        <v>923.18327332196282</v>
      </c>
      <c r="BV367" s="774">
        <v>0</v>
      </c>
      <c r="BW367" s="774">
        <f t="shared" si="214"/>
        <v>923.18327332196282</v>
      </c>
    </row>
    <row r="368" spans="1:75" thickBot="1" x14ac:dyDescent="0.35">
      <c r="A368" s="124" t="s">
        <v>824</v>
      </c>
      <c r="B368" s="125"/>
      <c r="C368" s="40">
        <f t="shared" ref="C368:AO368" si="215">SUM(C9:C367)</f>
        <v>1010381.8699999996</v>
      </c>
      <c r="D368" s="126">
        <f t="shared" si="215"/>
        <v>544294.99999999977</v>
      </c>
      <c r="E368" s="40">
        <f t="shared" si="215"/>
        <v>119745</v>
      </c>
      <c r="F368" s="40">
        <f t="shared" si="215"/>
        <v>41681.910000000018</v>
      </c>
      <c r="G368" s="40">
        <f t="shared" si="215"/>
        <v>0</v>
      </c>
      <c r="H368" s="40">
        <f t="shared" si="215"/>
        <v>454744.69812299142</v>
      </c>
      <c r="I368" s="40">
        <f t="shared" si="215"/>
        <v>149366.94665909625</v>
      </c>
      <c r="J368" s="673">
        <f t="shared" si="215"/>
        <v>0</v>
      </c>
      <c r="K368" s="127">
        <f t="shared" si="215"/>
        <v>1309833.5547820865</v>
      </c>
      <c r="L368" s="126">
        <f t="shared" si="215"/>
        <v>328346.99999999977</v>
      </c>
      <c r="M368" s="40">
        <f t="shared" si="215"/>
        <v>72236.000000000044</v>
      </c>
      <c r="N368" s="40">
        <f t="shared" si="215"/>
        <v>22808.66</v>
      </c>
      <c r="O368" s="40">
        <f t="shared" si="215"/>
        <v>1819.0000000000011</v>
      </c>
      <c r="P368" s="40">
        <f t="shared" si="215"/>
        <v>274325.6090807186</v>
      </c>
      <c r="Q368" s="40">
        <f t="shared" si="215"/>
        <v>90039.29614044429</v>
      </c>
      <c r="R368" s="40">
        <f t="shared" si="215"/>
        <v>789575.56522116309</v>
      </c>
      <c r="S368" s="40">
        <f t="shared" si="215"/>
        <v>24694.824000000001</v>
      </c>
      <c r="T368" s="40">
        <f t="shared" si="215"/>
        <v>3178.5407984551312</v>
      </c>
      <c r="U368" s="127">
        <f t="shared" si="215"/>
        <v>27873.364798455143</v>
      </c>
      <c r="V368" s="128">
        <f t="shared" si="215"/>
        <v>0</v>
      </c>
      <c r="W368" s="40">
        <f t="shared" si="215"/>
        <v>0</v>
      </c>
      <c r="X368" s="127">
        <f t="shared" si="215"/>
        <v>0</v>
      </c>
      <c r="Y368" s="127">
        <f>SUM(Y9:Y367)</f>
        <v>386266.58000000007</v>
      </c>
      <c r="Z368" s="127">
        <f t="shared" si="215"/>
        <v>0</v>
      </c>
      <c r="AA368" s="40">
        <f t="shared" si="215"/>
        <v>49717.466445994221</v>
      </c>
      <c r="AB368" s="40">
        <f t="shared" si="215"/>
        <v>435984.04644599411</v>
      </c>
      <c r="AC368" s="40">
        <f t="shared" si="215"/>
        <v>10244.380999999998</v>
      </c>
      <c r="AD368" s="40">
        <f t="shared" si="215"/>
        <v>1318.5833178409596</v>
      </c>
      <c r="AE368" s="127">
        <f t="shared" si="215"/>
        <v>11562.964317840962</v>
      </c>
      <c r="AF368" s="127">
        <f t="shared" si="215"/>
        <v>147586.99999999997</v>
      </c>
      <c r="AG368" s="40">
        <f t="shared" si="215"/>
        <v>18996.341128877746</v>
      </c>
      <c r="AH368" s="127">
        <f t="shared" si="215"/>
        <v>166583.34112887768</v>
      </c>
      <c r="AI368" s="127">
        <f t="shared" si="215"/>
        <v>109256.40000000004</v>
      </c>
      <c r="AJ368" s="40">
        <f t="shared" si="215"/>
        <v>14062.700948681926</v>
      </c>
      <c r="AK368" s="40">
        <f t="shared" si="215"/>
        <v>123319.10094868194</v>
      </c>
      <c r="AL368" s="126">
        <f>SUM(AL9:AL367)</f>
        <v>170148.75</v>
      </c>
      <c r="AM368" s="40">
        <f t="shared" si="215"/>
        <v>0</v>
      </c>
      <c r="AN368" s="40">
        <f t="shared" si="215"/>
        <v>21900.327926254591</v>
      </c>
      <c r="AO368" s="127">
        <f t="shared" si="215"/>
        <v>192049.07792625463</v>
      </c>
      <c r="AQ368" s="129">
        <f>SUM(AQ9:AQ367)</f>
        <v>45586.23</v>
      </c>
      <c r="AR368" s="129">
        <f>SUM(AR9:AR367)</f>
        <v>451633.69843806361</v>
      </c>
      <c r="AS368" s="129">
        <f t="shared" ref="AS368:BH368" si="216">SUM(AS9:AS367)</f>
        <v>249447.32247834752</v>
      </c>
      <c r="AT368" s="129">
        <f t="shared" si="216"/>
        <v>6418.1974780109367</v>
      </c>
      <c r="AU368" s="129">
        <f>SUM(AU9:AU367)</f>
        <v>47391.58</v>
      </c>
      <c r="AV368" s="129">
        <f t="shared" si="216"/>
        <v>5111.9999999999982</v>
      </c>
      <c r="AW368" s="129">
        <f t="shared" si="216"/>
        <v>0</v>
      </c>
      <c r="AX368" s="129">
        <f t="shared" si="216"/>
        <v>31736.2</v>
      </c>
      <c r="AY368" s="129">
        <f t="shared" si="216"/>
        <v>20641.329999999991</v>
      </c>
      <c r="AZ368" s="129">
        <f t="shared" si="216"/>
        <v>0</v>
      </c>
      <c r="BA368" s="129">
        <f t="shared" si="216"/>
        <v>2167.3300000000008</v>
      </c>
      <c r="BC368" s="129">
        <f t="shared" si="216"/>
        <v>3377.200000000008</v>
      </c>
      <c r="BD368" s="129">
        <f t="shared" si="216"/>
        <v>28358.999999999993</v>
      </c>
      <c r="BE368" s="129">
        <f t="shared" si="216"/>
        <v>0</v>
      </c>
      <c r="BF368" s="129">
        <f t="shared" si="216"/>
        <v>0</v>
      </c>
      <c r="BG368" s="129">
        <f t="shared" si="216"/>
        <v>0</v>
      </c>
      <c r="BH368" s="129">
        <f t="shared" si="216"/>
        <v>3064.7500000000005</v>
      </c>
      <c r="BI368" s="134"/>
      <c r="BJ368" s="129">
        <f>SUM(BJ9:BJ367)</f>
        <v>112249.20000000001</v>
      </c>
      <c r="BK368" s="789"/>
      <c r="BL368" s="129">
        <f>SUM(BL9:BL367)</f>
        <v>0</v>
      </c>
      <c r="BM368" s="116">
        <f>SUM(BM9:BM367)</f>
        <v>9945.7100000000064</v>
      </c>
      <c r="BO368" s="563">
        <f>SUM(BO9:BO367)</f>
        <v>0</v>
      </c>
      <c r="BS368" s="879"/>
      <c r="BT368" s="774"/>
      <c r="BU368" s="774">
        <v>451895.38282979216</v>
      </c>
      <c r="BV368" s="774">
        <v>2786.56</v>
      </c>
      <c r="BW368" s="774">
        <f t="shared" si="214"/>
        <v>454681.94282979215</v>
      </c>
    </row>
    <row r="369" spans="1:78" s="447" customFormat="1" ht="15" thickBot="1" x14ac:dyDescent="0.35">
      <c r="A369" s="440"/>
      <c r="B369" s="441"/>
      <c r="C369" s="295"/>
      <c r="D369" s="442"/>
      <c r="E369" s="443"/>
      <c r="F369" s="443"/>
      <c r="G369" s="443"/>
      <c r="H369" s="443"/>
      <c r="I369" s="443"/>
      <c r="J369" s="443"/>
      <c r="K369" s="444">
        <v>1309834</v>
      </c>
      <c r="L369" s="442"/>
      <c r="M369" s="443"/>
      <c r="N369" s="443"/>
      <c r="O369" s="443">
        <v>1819</v>
      </c>
      <c r="P369" s="443"/>
      <c r="Q369" s="443"/>
      <c r="R369" s="295">
        <v>789575</v>
      </c>
      <c r="S369" s="442"/>
      <c r="T369" s="441"/>
      <c r="U369" s="445">
        <v>27874</v>
      </c>
      <c r="V369" s="296"/>
      <c r="W369" s="441"/>
      <c r="X369" s="445">
        <v>0</v>
      </c>
      <c r="Y369" s="440"/>
      <c r="Z369" s="296">
        <v>0</v>
      </c>
      <c r="AA369" s="441"/>
      <c r="AB369" s="446">
        <v>435983</v>
      </c>
      <c r="AC369" s="440"/>
      <c r="AD369" s="441"/>
      <c r="AE369" s="445">
        <v>11563</v>
      </c>
      <c r="AF369" s="297"/>
      <c r="AG369" s="441"/>
      <c r="AH369" s="445">
        <v>166583</v>
      </c>
      <c r="AI369" s="423"/>
      <c r="AJ369" s="441"/>
      <c r="AK369" s="446">
        <v>123320</v>
      </c>
      <c r="AL369" s="297"/>
      <c r="AM369" s="441"/>
      <c r="AN369" s="441"/>
      <c r="AO369" s="445">
        <v>192049</v>
      </c>
      <c r="AQ369" s="448"/>
      <c r="AR369" s="440"/>
      <c r="AS369" s="441"/>
      <c r="AT369" s="441"/>
      <c r="AU369" s="449"/>
      <c r="AV369" s="450"/>
      <c r="AW369" s="451"/>
      <c r="AX369" s="452"/>
      <c r="AY369" s="446"/>
      <c r="AZ369" s="453"/>
      <c r="BA369" s="454"/>
      <c r="BB369" s="134"/>
      <c r="BC369" s="455"/>
      <c r="BD369" s="454"/>
      <c r="BE369" s="454"/>
      <c r="BF369" s="454"/>
      <c r="BG369" s="449"/>
      <c r="BH369" s="456"/>
      <c r="BJ369" s="455"/>
      <c r="BO369" s="455"/>
      <c r="BS369" s="878"/>
      <c r="BT369" s="447">
        <f>SUM(BT9:BT368)</f>
        <v>0</v>
      </c>
      <c r="BU369" s="774">
        <f t="shared" ref="BU369" si="217">AR369</f>
        <v>0</v>
      </c>
      <c r="BV369" s="774">
        <f t="shared" ref="BV369" si="218">AW369</f>
        <v>0</v>
      </c>
      <c r="BW369" s="774">
        <f t="shared" si="214"/>
        <v>0</v>
      </c>
      <c r="BY369" s="671"/>
      <c r="BZ369" s="671"/>
    </row>
    <row r="370" spans="1:78" ht="13.8" x14ac:dyDescent="0.3">
      <c r="A370" s="15" t="s">
        <v>1005</v>
      </c>
      <c r="C370" s="132">
        <f>C15+C16+C17+C18+C49+C50+C51+C65+C66+C67+C68+C69+C70+C71+C72+C73+C74+C78+C79+C80+C81+C82+C86+C87+C88+C89+C90+C91+C92+C93+C94+C95+C96+C126+C127+C135+C145+C147+C148+C149+C150+C151+C152+C153+C154+C155+C156+C157+C158+C159+C160+C161+C187+C188+C197+C198+C200+C202+C203+C204+C205+C206+C208+C209+C210+C211+C212+C213+C214+C215+C216+C251+C252+C253+C269+C271+C272+C273+C274+C275+C276+C277+C279+C317+C318+C319+C320+C321</f>
        <v>339021.13999999996</v>
      </c>
      <c r="D370" s="132">
        <f t="shared" ref="D370:BO370" si="219">D15+D16+D17+D18+D49+D50+D51+D65+D66+D67+D68+D69+D70+D71+D72+D73+D74+D78+D79+D80+D81+D82+D86+D87+D88+D89+D90+D91+D92+D93+D94+D95+D96+D126+D127+D135+D145+D147+D148+D149+D150+D151+D152+D153+D154+D155+D156+D157+D158+D159+D160+D161+D187+D188+D197+D198+D200+D202+D203+D204+D205+D206+D208+D209+D210+D211+D212+D213+D214+D215+D216+D251+D252+D253+D269+D271+D272+D273+D274+D275+D276+D277+D279+D317+D318+D319+D320+D321</f>
        <v>203224.07072812755</v>
      </c>
      <c r="E370" s="132">
        <f t="shared" si="219"/>
        <v>44709.332897306835</v>
      </c>
      <c r="F370" s="132">
        <f t="shared" si="219"/>
        <v>11413.049999999996</v>
      </c>
      <c r="G370" s="132">
        <f t="shared" si="219"/>
        <v>0</v>
      </c>
      <c r="H370" s="132">
        <f t="shared" si="219"/>
        <v>169788.56813784395</v>
      </c>
      <c r="I370" s="132">
        <f t="shared" si="219"/>
        <v>55235.185102777425</v>
      </c>
      <c r="J370" s="132">
        <f t="shared" si="219"/>
        <v>0</v>
      </c>
      <c r="K370" s="132">
        <f t="shared" si="219"/>
        <v>484370.20686605561</v>
      </c>
      <c r="L370" s="132">
        <f t="shared" si="219"/>
        <v>117115.4808975698</v>
      </c>
      <c r="M370" s="132">
        <f t="shared" si="219"/>
        <v>25765.284525568535</v>
      </c>
      <c r="N370" s="132">
        <f t="shared" si="219"/>
        <v>7997.4499999999989</v>
      </c>
      <c r="O370" s="132">
        <f t="shared" si="219"/>
        <v>610.34295247201953</v>
      </c>
      <c r="P370" s="132">
        <f t="shared" si="219"/>
        <v>97847.020469220399</v>
      </c>
      <c r="Q370" s="132">
        <f t="shared" si="219"/>
        <v>32092.689134561992</v>
      </c>
      <c r="R370" s="132">
        <f t="shared" si="219"/>
        <v>281428.26797939278</v>
      </c>
      <c r="S370" s="132">
        <f t="shared" si="219"/>
        <v>7263.2999999999984</v>
      </c>
      <c r="T370" s="132">
        <f t="shared" si="219"/>
        <v>934.87993198166373</v>
      </c>
      <c r="U370" s="132">
        <f t="shared" si="219"/>
        <v>8198.1799319816637</v>
      </c>
      <c r="V370" s="132">
        <f t="shared" si="219"/>
        <v>0</v>
      </c>
      <c r="W370" s="132">
        <f t="shared" si="219"/>
        <v>0</v>
      </c>
      <c r="X370" s="132">
        <f t="shared" si="219"/>
        <v>0</v>
      </c>
      <c r="Y370" s="132">
        <f t="shared" si="219"/>
        <v>202711.79499999998</v>
      </c>
      <c r="Z370" s="132">
        <f t="shared" si="219"/>
        <v>0</v>
      </c>
      <c r="AA370" s="132">
        <f t="shared" si="219"/>
        <v>26091.609753346409</v>
      </c>
      <c r="AB370" s="132">
        <f t="shared" si="219"/>
        <v>228803.40475334635</v>
      </c>
      <c r="AC370" s="132">
        <f t="shared" si="219"/>
        <v>6431.5699999999988</v>
      </c>
      <c r="AD370" s="132">
        <f t="shared" si="219"/>
        <v>827.82560601039552</v>
      </c>
      <c r="AE370" s="132">
        <f t="shared" si="219"/>
        <v>7259.3956060103974</v>
      </c>
      <c r="AF370" s="132">
        <f t="shared" si="219"/>
        <v>51900.200000000004</v>
      </c>
      <c r="AG370" s="132">
        <f t="shared" si="219"/>
        <v>6680.2218613901023</v>
      </c>
      <c r="AH370" s="132">
        <f t="shared" si="219"/>
        <v>58580.421861390096</v>
      </c>
      <c r="AI370" s="132">
        <f t="shared" si="219"/>
        <v>56247.399999999987</v>
      </c>
      <c r="AJ370" s="132">
        <f t="shared" si="219"/>
        <v>7239.7622962214709</v>
      </c>
      <c r="AK370" s="132">
        <f t="shared" si="219"/>
        <v>63487.162296221482</v>
      </c>
      <c r="AL370" s="132">
        <f t="shared" si="219"/>
        <v>30026.25</v>
      </c>
      <c r="AM370" s="132">
        <f t="shared" si="219"/>
        <v>0</v>
      </c>
      <c r="AN370" s="132">
        <f t="shared" si="219"/>
        <v>3864.7637516919885</v>
      </c>
      <c r="AO370" s="132">
        <f t="shared" si="219"/>
        <v>33891.013751691986</v>
      </c>
      <c r="AP370" s="132">
        <f t="shared" si="219"/>
        <v>280199.21027417679</v>
      </c>
      <c r="AQ370" s="132">
        <f t="shared" si="219"/>
        <v>7603.1999999999989</v>
      </c>
      <c r="AR370" s="132">
        <f t="shared" si="219"/>
        <v>179953.06885033613</v>
      </c>
      <c r="AS370" s="132">
        <f>AS15+AS16+AS17+AS18+AS49+AS50+AS51+AS65+AS66+AS67+AS68+AS69+AS70+AS71+AS72+AS73+AS74+AS78+AS79+AS80+AS81+AS82+AS86+AS87+AS88+AS89+AS90+AS91+AS92+AS93+AS94+AS95+AS96+AS126+AS127+AS135+AS145+AS147+AS148+AS149+AS150+AS151+AS152+AS153+AS154+AS155+AS156+AS157+AS158+AS159+AS160+AS161+AS187+AS188+AS197+AS198+AS200+AS202+AS203+AS204+AS205+AS206+AS208+AS209+AS210+AS211+AS212+AS213+AS214+AS215+AS216+AS251+AS252+AS253+AS269+AS271+AS272+AS273+AS274+AS275+AS276+AS277+AS279+AS317+AS318+AS319+AS320+AS321</f>
        <v>97779.937686864097</v>
      </c>
      <c r="AT370" s="132">
        <f>AT15+AT16+AT17+AT18+AT49+AT50+AT51+AT65+AT66+AT67+AT68+AT69+AT70+AT71+AT72+AT73+AT74+AT78+AT79+AT80+AT81+AT82+AT86+AT87+AT88+AT89+AT90+AT91+AT92+AT93+AT94+AT95+AT96+AT126+AT127+AT135+AT145+AT147+AT148+AT149+AT150+AT151+AT152+AT153+AT154+AT155+AT156+AT157+AT158+AT159+AT160+AT161+AT187+AT188+AT197+AT198+AT200+AT202+AT203+AT204+AT205+AT206+AT208+AT209+AT210+AT211+AT212+AT213+AT214+AT215+AT216+AT251+AT252+AT253+AT269+AT271+AT272+AT273+AT274+AT275+AT276+AT277+AT279+AT317+AT318+AT319+AT320+AT321</f>
        <v>2466.2037369765699</v>
      </c>
      <c r="AU370" s="132">
        <f>AU15+AU16+AU17+AU18+AU49+AU50+AU51+AU65+AU66+AU67+AU68+AU69+AU70+AU71+AU72+AU73+AU74+AU78+AU79+AU80+AU81+AU82+AU86+AU87+AU88+AU89+AU90+AU91+AU92+AU93+AU94+AU95+AU96+AU126+AU127+AU135+AU145+AU147+AU148+AU149+AU150+AU151+AU152+AU153+AU154+AU155+AU156+AU157+AU158+AU159+AU160+AU161+AU187+AU188+AU197+AU198+AU200+AU202+AU203+AU204+AU205+AU206+AU208+AU209+AU210+AU211+AU212+AU213+AU214+AU215+AU216+AU251+AU252+AU253+AU269+AU271+AU272+AU273+AU274+AU275+AU276+AU277+AU279+AU317+AU318+AU319+AU320+AU321</f>
        <v>7920.2225051469968</v>
      </c>
      <c r="AV370" s="132">
        <f t="shared" si="219"/>
        <v>0</v>
      </c>
      <c r="AW370" s="132">
        <f t="shared" si="219"/>
        <v>0</v>
      </c>
      <c r="AX370" s="132">
        <f t="shared" si="219"/>
        <v>11413.049999999996</v>
      </c>
      <c r="AY370" s="132">
        <f t="shared" si="219"/>
        <v>7543.85</v>
      </c>
      <c r="AZ370" s="132">
        <f t="shared" si="219"/>
        <v>0</v>
      </c>
      <c r="BA370" s="132">
        <f t="shared" si="219"/>
        <v>453.6</v>
      </c>
      <c r="BB370" s="132"/>
      <c r="BC370" s="132">
        <f t="shared" si="219"/>
        <v>1690</v>
      </c>
      <c r="BD370" s="132">
        <f t="shared" si="219"/>
        <v>9723.0499999999956</v>
      </c>
      <c r="BE370" s="132">
        <f t="shared" si="219"/>
        <v>0</v>
      </c>
      <c r="BF370" s="132">
        <f t="shared" si="219"/>
        <v>0</v>
      </c>
      <c r="BG370" s="132">
        <f t="shared" si="219"/>
        <v>0</v>
      </c>
      <c r="BH370" s="132">
        <f t="shared" si="219"/>
        <v>629.99999999999977</v>
      </c>
      <c r="BI370" s="132">
        <f t="shared" si="219"/>
        <v>11413.049999999996</v>
      </c>
      <c r="BJ370" s="132">
        <f t="shared" si="219"/>
        <v>33015</v>
      </c>
      <c r="BK370" s="132"/>
      <c r="BL370" s="132">
        <f t="shared" si="219"/>
        <v>0</v>
      </c>
      <c r="BM370" s="132">
        <f t="shared" si="219"/>
        <v>0</v>
      </c>
      <c r="BN370" s="132">
        <f t="shared" si="219"/>
        <v>0</v>
      </c>
      <c r="BO370" s="132" t="e">
        <f t="shared" si="219"/>
        <v>#VALUE!</v>
      </c>
      <c r="BU370" s="774"/>
      <c r="BV370" s="774"/>
      <c r="BW370" s="774"/>
    </row>
    <row r="371" spans="1:78" ht="13.8" x14ac:dyDescent="0.3">
      <c r="A371" s="15" t="s">
        <v>1006</v>
      </c>
      <c r="C371" s="132">
        <f t="shared" ref="C371:BA371" si="220">C10+C11+C21+C19+C22+C32+C33+C34+C35+C36+C37+C38+C39+C46+C52+C54+C53+C55+C56+C57+C58+C59+C60+C61+C62+C64+C63+C97+C98+C99+C100+C101+C102+C103+C104+C105+C106+C107+C108+C109+C110+C111+C112+C113+C114+C115+C134+C136+C137+C138+C139+C140+C141+C142+C143+C144+C146+C162+C163+C164+C172+C180+C186+C189+C190+C191+C192+C193+C194+C195+C196+C199+C201+C207+C217+C218+C219+C220+C221+C222+C223+C224+C225+C226+C228+C227+C229+C230+C231+C232+C233+C234+C235+C236+C237+C238+C239+C254+C255+C256+C257+C258+C259+C260+C261+C262+C263+C264+C265+C266+C267+C268+C278+C280+C283+C285+C286+C287+C288+C290+C292+C293+C294+C295+C296+C297+C298+C300+C301+C302+C303+C309+C310+C311+C312+C313+C314+C315+C316+C322+C323+C324+C326+C325+C327+C328+C329+C360+C361+C362+C363+C364+C365+C366+C367+C40</f>
        <v>357418.37000000011</v>
      </c>
      <c r="D371" s="132">
        <f t="shared" si="220"/>
        <v>208593.12200226975</v>
      </c>
      <c r="E371" s="132">
        <f t="shared" si="220"/>
        <v>45890.525164041159</v>
      </c>
      <c r="F371" s="132">
        <f t="shared" si="220"/>
        <v>16628.7</v>
      </c>
      <c r="G371" s="132">
        <f t="shared" si="220"/>
        <v>0</v>
      </c>
      <c r="H371" s="132">
        <f t="shared" si="220"/>
        <v>174274.2746037615</v>
      </c>
      <c r="I371" s="132">
        <f t="shared" si="220"/>
        <v>57326.97460740267</v>
      </c>
      <c r="J371" s="132">
        <f t="shared" si="220"/>
        <v>0</v>
      </c>
      <c r="K371" s="132">
        <f t="shared" si="220"/>
        <v>502713.59637747501</v>
      </c>
      <c r="L371" s="132">
        <f t="shared" si="220"/>
        <v>102319.19886095823</v>
      </c>
      <c r="M371" s="132">
        <f t="shared" si="220"/>
        <v>22510.117798914507</v>
      </c>
      <c r="N371" s="132">
        <f t="shared" si="220"/>
        <v>8705.7000000000007</v>
      </c>
      <c r="O371" s="132">
        <f t="shared" si="220"/>
        <v>643.46365897282044</v>
      </c>
      <c r="P371" s="132">
        <f t="shared" si="220"/>
        <v>85485.101274516157</v>
      </c>
      <c r="Q371" s="132">
        <f t="shared" si="220"/>
        <v>28273.522258319321</v>
      </c>
      <c r="R371" s="132">
        <f t="shared" si="220"/>
        <v>247937.10385168105</v>
      </c>
      <c r="S371" s="132">
        <f t="shared" si="220"/>
        <v>8669.9513999999999</v>
      </c>
      <c r="T371" s="132">
        <f t="shared" si="220"/>
        <v>1115.9340210532853</v>
      </c>
      <c r="U371" s="132">
        <f t="shared" si="220"/>
        <v>9785.8854210532882</v>
      </c>
      <c r="V371" s="132">
        <f t="shared" si="220"/>
        <v>0</v>
      </c>
      <c r="W371" s="132">
        <f t="shared" si="220"/>
        <v>0</v>
      </c>
      <c r="X371" s="132">
        <f t="shared" si="220"/>
        <v>0</v>
      </c>
      <c r="Y371" s="132">
        <f t="shared" si="220"/>
        <v>59618.289999999994</v>
      </c>
      <c r="Z371" s="132">
        <f t="shared" si="220"/>
        <v>0</v>
      </c>
      <c r="AA371" s="132">
        <f t="shared" si="220"/>
        <v>7673.6391034465178</v>
      </c>
      <c r="AB371" s="132">
        <f t="shared" si="220"/>
        <v>67291.929103446528</v>
      </c>
      <c r="AC371" s="132">
        <f t="shared" si="220"/>
        <v>1684.9700000000003</v>
      </c>
      <c r="AD371" s="132">
        <f t="shared" si="220"/>
        <v>216.87726501605928</v>
      </c>
      <c r="AE371" s="132">
        <f t="shared" si="220"/>
        <v>1901.8472650160595</v>
      </c>
      <c r="AF371" s="132">
        <f t="shared" si="220"/>
        <v>43768.999999999993</v>
      </c>
      <c r="AG371" s="132">
        <f t="shared" si="220"/>
        <v>5633.6320602075366</v>
      </c>
      <c r="AH371" s="132">
        <f t="shared" si="220"/>
        <v>49402.632060207521</v>
      </c>
      <c r="AI371" s="132">
        <f t="shared" si="220"/>
        <v>20152</v>
      </c>
      <c r="AJ371" s="132">
        <f t="shared" si="220"/>
        <v>2593.8210440563494</v>
      </c>
      <c r="AK371" s="132">
        <f t="shared" si="220"/>
        <v>22745.821044056345</v>
      </c>
      <c r="AL371" s="132">
        <f t="shared" si="220"/>
        <v>65003.75</v>
      </c>
      <c r="AM371" s="132">
        <f t="shared" si="220"/>
        <v>0</v>
      </c>
      <c r="AN371" s="132">
        <f t="shared" si="220"/>
        <v>8366.8169259913611</v>
      </c>
      <c r="AO371" s="132">
        <f t="shared" si="220"/>
        <v>73370.56692599137</v>
      </c>
      <c r="AP371" s="132">
        <f t="shared" si="220"/>
        <v>258464.17584394678</v>
      </c>
      <c r="AQ371" s="132">
        <f t="shared" si="220"/>
        <v>19009.899999999998</v>
      </c>
      <c r="AR371" s="132">
        <f t="shared" si="220"/>
        <v>173501.48671918048</v>
      </c>
      <c r="AS371" s="132">
        <f>AS10+AS11+AS21+AS19+AS22+AS32+AS33+AS34+AS35+AS36+AS37+AS38+AS39+AS46+AS52+AS54+AS53+AS55+AS56+AS57+AS58+AS59+AS60+AS61+AS62+AS64+AS63+AS97+AS98+AS99+AS100+AS101+AS102+AS103+AS104+AS105+AS106+AS107+AS108+AS109+AS110+AS111+AS112+AS113+AS114+AS115+AS134+AS136+AS137+AS138+AS139+AS140+AS141+AS142+AS143+AS144+AS146+AS162+AS163+AS164+AS172+AS180+AS186+AS189+AS190+AS191+AS192+AS193+AS194+AS195+AS196+AS199+AS201+AS207+AS217+AS218+AS219+AS220+AS221+AS222+AS223+AS224+AS225+AS226+AS228+AS227+AS229+AS230+AS231+AS232+AS233+AS234+AS235+AS236+AS237+AS238+AS239+AS254+AS255+AS256+AS257+AS258+AS259+AS260+AS261+AS262+AS263+AS264+AS265+AS266+AS267+AS268+AS278+AS280+AS283+AS285+AS286+AS287+AS288+AS290+AS292+AS293+AS294+AS295+AS296+AS297+AS298+AS300+AS301+AS302+AS303+AS309+AS310+AS311+AS312+AS313+AS314+AS315+AS316+AS322+AS323+AS324+AS326+AS325+AS327+AS328+AS329+AS360+AS361+AS362+AS363+AS364+AS365+AS366+AS367+AS40</f>
        <v>83121.861215379628</v>
      </c>
      <c r="AT371" s="132">
        <f>AT10+AT11+AT21+AT19+AT22+AT32+AT33+AT34+AT35+AT36+AT37+AT38+AT39+AT46+AT52+AT54+AT53+AT55+AT56+AT57+AT58+AT59+AT60+AT61+AT62+AT64+AT63+AT97+AT98+AT99+AT100+AT101+AT102+AT103+AT104+AT105+AT106+AT107+AT108+AT109+AT110+AT111+AT112+AT113+AT114+AT115+AT134+AT136+AT137+AT138+AT139+AT140+AT141+AT142+AT143+AT144+AT146+AT162+AT163+AT164+AT172+AT180+AT186+AT189+AT190+AT191+AT192+AT193+AT194+AT195+AT196+AT199+AT201+AT207+AT217+AT218+AT219+AT220+AT221+AT222+AT223+AT224+AT225+AT226+AT228+AT227+AT229+AT230+AT231+AT232+AT233+AT234+AT235+AT236+AT237+AT238+AT239+AT254+AT255+AT256+AT257+AT258+AT259+AT260+AT261+AT262+AT263+AT264+AT265+AT266+AT267+AT268+AT278+AT280+AT283+AT285+AT286+AT287+AT288+AT290+AT292+AT293+AT294+AT295+AT296+AT297+AT298+AT300+AT301+AT302+AT303+AT309+AT310+AT311+AT312+AT313+AT314+AT315+AT316+AT322+AT323+AT324+AT326+AT325+AT327+AT328+AT329+AT360+AT361+AT362+AT363+AT364+AT365+AT366+AT367+AT40</f>
        <v>1840.8279093866315</v>
      </c>
      <c r="AU371" s="132">
        <f>AU10+AU11+AU21+AU19+AU22+AU32+AU33+AU34+AU35+AU36+AU37+AU38+AU39+AU46+AU52+AU54+AU53+AU55+AU56+AU57+AU58+AU59+AU60+AU61+AU62+AU64+AU63+AU97+AU98+AU99+AU100+AU101+AU102+AU103+AU104+AU105+AU106+AU107+AU108+AU109+AU110+AU111+AU112+AU113+AU114+AU115+AU134+AU136+AU137+AU138+AU139+AU140+AU141+AU142+AU143+AU144+AU146+AU162+AU163+AU164+AU172+AU180+AU186+AU189+AU190+AU191+AU192+AU193+AU194+AU195+AU196+AU199+AU201+AU207+AU217+AU218+AU219+AU220+AU221+AU222+AU223+AU224+AU225+AU226+AU228+AU227+AU229+AU230+AU231+AU232+AU233+AU234+AU235+AU236+AU237+AU238+AU239+AU254+AU255+AU256+AU257+AU258+AU259+AU260+AU261+AU262+AU263+AU264+AU265+AU266+AU267+AU268+AU278+AU280+AU283+AU285+AU286+AU287+AU288+AU290+AU292+AU293+AU294+AU295+AU296+AU297+AU298+AU300+AU301+AU302+AU303+AU309+AU310+AU311+AU312+AU313+AU314+AU315+AU316+AU322+AU323+AU324+AU326+AU325+AU327+AU328+AU329+AU360+AU361+AU362+AU363+AU364+AU365+AU366+AU367+AU40</f>
        <v>9538.0174948530021</v>
      </c>
      <c r="AV371" s="132">
        <f t="shared" si="220"/>
        <v>0</v>
      </c>
      <c r="AW371" s="132">
        <f t="shared" si="220"/>
        <v>0</v>
      </c>
      <c r="AX371" s="132">
        <f t="shared" si="220"/>
        <v>10778.299999999996</v>
      </c>
      <c r="AY371" s="132">
        <f t="shared" si="220"/>
        <v>7218.9000000000005</v>
      </c>
      <c r="AZ371" s="132">
        <f t="shared" si="220"/>
        <v>0</v>
      </c>
      <c r="BA371" s="132">
        <f t="shared" si="220"/>
        <v>1486.8</v>
      </c>
      <c r="BB371" s="398"/>
      <c r="BC371" s="132">
        <f t="shared" ref="BC371:BH371" si="221">BC10+BC11+BC21+BC19+BC22+BC32+BC33+BC34+BC35+BC36+BC37+BC38+BC39+BC46+BC52+BC54+BC53+BC55+BC56+BC57+BC58+BC59+BC60+BC61+BC62+BC64+BC63+BC97+BC98+BC99+BC100+BC101+BC102+BC103+BC104+BC105+BC106+BC107+BC108+BC109+BC110+BC111+BC112+BC113+BC114+BC115+BC134+BC136+BC137+BC138+BC139+BC140+BC141+BC142+BC143+BC144+BC146+BC162+BC163+BC164+BC172+BC180+BC186+BC189+BC190+BC191+BC192+BC193+BC194+BC195+BC196+BC199+BC201+BC207+BC217+BC218+BC219+BC220+BC221+BC222+BC223+BC224+BC225+BC226+BC228+BC227+BC229+BC230+BC231+BC232+BC233+BC234+BC235+BC236+BC237+BC238+BC239+BC254+BC255+BC256+BC257+BC258+BC259+BC260+BC261+BC262+BC263+BC264+BC265+BC266+BC267+BC268+BC278+BC280+BC283+BC285+BC286+BC287+BC288+BC290+BC292+BC293+BC294+BC295+BC296+BC297+BC298+BC300+BC301+BC302+BC303+BC309+BC310+BC311+BC312+BC313+BC314+BC315+BC316+BC322+BC323+BC324+BC326+BC325+BC327+BC328+BC329+BC360+BC361+BC362+BC363+BC364+BC365+BC366+BC367+BC40</f>
        <v>0</v>
      </c>
      <c r="BD371" s="132">
        <f t="shared" si="221"/>
        <v>10778.299999999996</v>
      </c>
      <c r="BE371" s="132">
        <f t="shared" si="221"/>
        <v>0</v>
      </c>
      <c r="BF371" s="132">
        <f t="shared" si="221"/>
        <v>0</v>
      </c>
      <c r="BG371" s="132">
        <f t="shared" si="221"/>
        <v>0</v>
      </c>
      <c r="BH371" s="132">
        <f t="shared" si="221"/>
        <v>0</v>
      </c>
      <c r="BJ371" s="132">
        <f t="shared" ref="BJ371:BO371" si="222">BJ10+BJ11+BJ21+BJ19+BJ22+BJ32+BJ33+BJ34+BJ35+BJ36+BJ37+BJ38+BJ39+BJ46+BJ52+BJ54+BJ53+BJ55+BJ56+BJ57+BJ58+BJ59+BJ60+BJ61+BJ62+BJ64+BJ63+BJ97+BJ98+BJ99+BJ100+BJ101+BJ102+BJ103+BJ104+BJ105+BJ106+BJ107+BJ108+BJ109+BJ110+BJ111+BJ112+BJ113+BJ114+BJ115+BJ134+BJ136+BJ137+BJ138+BJ139+BJ140+BJ141+BJ142+BJ143+BJ144+BJ146+BJ162+BJ163+BJ164+BJ172+BJ180+BJ186+BJ189+BJ190+BJ191+BJ192+BJ193+BJ194+BJ195+BJ196+BJ199+BJ201+BJ207+BJ217+BJ218+BJ219+BJ220+BJ221+BJ222+BJ223+BJ224+BJ225+BJ226+BJ228+BJ227+BJ229+BJ230+BJ231+BJ232+BJ233+BJ234+BJ235+BJ236+BJ237+BJ238+BJ239+BJ254+BJ255+BJ256+BJ257+BJ258+BJ259+BJ260+BJ261+BJ262+BJ263+BJ264+BJ265+BJ266+BJ267+BJ268+BJ278+BJ280+BJ283+BJ285+BJ286+BJ287+BJ288+BJ290+BJ292+BJ293+BJ294+BJ295+BJ296+BJ297+BJ298+BJ300+BJ301+BJ302+BJ303+BJ309+BJ310+BJ311+BJ312+BJ313+BJ314+BJ315+BJ316+BJ322+BJ323+BJ324+BJ326+BJ325+BJ327+BJ328+BJ329+BJ360+BJ361+BJ362+BJ363+BJ364+BJ365+BJ366+BJ367+BJ40</f>
        <v>39408.869999999988</v>
      </c>
      <c r="BK371" s="132"/>
      <c r="BL371" s="132">
        <f t="shared" si="222"/>
        <v>0</v>
      </c>
      <c r="BM371" s="132">
        <f t="shared" si="222"/>
        <v>5850.4000000000033</v>
      </c>
      <c r="BN371" s="132">
        <f t="shared" si="222"/>
        <v>0</v>
      </c>
      <c r="BO371" s="132" t="e">
        <f t="shared" si="222"/>
        <v>#VALUE!</v>
      </c>
      <c r="BU371" s="774"/>
      <c r="BV371" s="774"/>
      <c r="BW371" s="774"/>
    </row>
    <row r="372" spans="1:78" ht="13.8" x14ac:dyDescent="0.3">
      <c r="A372" s="15" t="s">
        <v>1007</v>
      </c>
      <c r="C372" s="132">
        <f t="shared" ref="C372:BA372" si="223">C9+C12+C13+C14+C20+C23+C24+C25+C26+C27+C28+C29+C30+C31+C41+C42+C43+C44+C45+C47+C48+C75+C76+C77+C83+C84+C85+C116+C117+C118+C120+C121+C122+C123+C124+C125+C128+C129+C130+C131+C132+C133+C165+C166+C167+C168+C169+C170+C171+C173+C174+C175+C176+C177+C179+C178+C181+C182+C183+C184+C185+C240+C241+C242+C243+C244+C245+C246+C247+C248+C249+C250+C270+C281+C282+C284+C289+C291+C299+C304+C305+C306+C307+C308+C330+C331+C332+C333+C334+C335+C336+C337+C338+C339+C340+C341+C342+C343+C344+C345+C346+C347+C348+C349+C350+C351+C352+C353+C354+C355+C356+C357+C358+C359+C119</f>
        <v>313942.36</v>
      </c>
      <c r="D372" s="132">
        <f t="shared" si="223"/>
        <v>132477.80726960284</v>
      </c>
      <c r="E372" s="132">
        <f t="shared" si="223"/>
        <v>29145.141938651996</v>
      </c>
      <c r="F372" s="132">
        <f t="shared" si="223"/>
        <v>13640.159999999998</v>
      </c>
      <c r="G372" s="132">
        <f t="shared" si="223"/>
        <v>0</v>
      </c>
      <c r="H372" s="132">
        <f t="shared" si="223"/>
        <v>110681.85538138567</v>
      </c>
      <c r="I372" s="132">
        <f t="shared" si="223"/>
        <v>36804.78694891608</v>
      </c>
      <c r="J372" s="132">
        <f t="shared" si="223"/>
        <v>0</v>
      </c>
      <c r="K372" s="132">
        <f t="shared" si="223"/>
        <v>322749.75153855671</v>
      </c>
      <c r="L372" s="132">
        <f t="shared" si="223"/>
        <v>108912.32024147184</v>
      </c>
      <c r="M372" s="132">
        <f t="shared" si="223"/>
        <v>23960.59767551695</v>
      </c>
      <c r="N372" s="132">
        <f t="shared" si="223"/>
        <v>6105.5099999999993</v>
      </c>
      <c r="O372" s="132">
        <f t="shared" si="223"/>
        <v>565.19338855516094</v>
      </c>
      <c r="P372" s="132">
        <f t="shared" si="223"/>
        <v>90993.487336982071</v>
      </c>
      <c r="Q372" s="132">
        <f t="shared" si="223"/>
        <v>29673.084747562956</v>
      </c>
      <c r="R372" s="132">
        <f t="shared" si="223"/>
        <v>260210.19339008894</v>
      </c>
      <c r="S372" s="132">
        <f t="shared" si="223"/>
        <v>8761.5725999999995</v>
      </c>
      <c r="T372" s="132">
        <f t="shared" si="223"/>
        <v>1127.7268454201817</v>
      </c>
      <c r="U372" s="132">
        <f t="shared" si="223"/>
        <v>9889.2994454201835</v>
      </c>
      <c r="V372" s="132">
        <f t="shared" si="223"/>
        <v>0</v>
      </c>
      <c r="W372" s="132">
        <f t="shared" si="223"/>
        <v>0</v>
      </c>
      <c r="X372" s="132">
        <f t="shared" si="223"/>
        <v>0</v>
      </c>
      <c r="Y372" s="132">
        <f t="shared" si="223"/>
        <v>123936.49500000001</v>
      </c>
      <c r="Z372" s="132">
        <f t="shared" si="223"/>
        <v>0</v>
      </c>
      <c r="AA372" s="132">
        <f t="shared" si="223"/>
        <v>15952.217589201295</v>
      </c>
      <c r="AB372" s="132">
        <f t="shared" si="223"/>
        <v>139888.71258920134</v>
      </c>
      <c r="AC372" s="132">
        <f t="shared" si="223"/>
        <v>2127.8410000000003</v>
      </c>
      <c r="AD372" s="132">
        <f t="shared" si="223"/>
        <v>273.88044681450504</v>
      </c>
      <c r="AE372" s="132">
        <f t="shared" si="223"/>
        <v>2401.7214468145053</v>
      </c>
      <c r="AF372" s="132">
        <f t="shared" si="223"/>
        <v>51917.799999999996</v>
      </c>
      <c r="AG372" s="132">
        <f t="shared" si="223"/>
        <v>6682.4872072801081</v>
      </c>
      <c r="AH372" s="132">
        <f t="shared" si="223"/>
        <v>58600.287207280118</v>
      </c>
      <c r="AI372" s="132">
        <f t="shared" si="223"/>
        <v>32856.999999999993</v>
      </c>
      <c r="AJ372" s="132">
        <f t="shared" si="223"/>
        <v>4229.1176084041017</v>
      </c>
      <c r="AK372" s="132">
        <f t="shared" si="223"/>
        <v>37086.1176084041</v>
      </c>
      <c r="AL372" s="132">
        <f t="shared" si="223"/>
        <v>75118.75</v>
      </c>
      <c r="AM372" s="132">
        <f t="shared" si="223"/>
        <v>0</v>
      </c>
      <c r="AN372" s="132">
        <f t="shared" si="223"/>
        <v>9668.7472485712533</v>
      </c>
      <c r="AO372" s="132">
        <f t="shared" si="223"/>
        <v>84787.497248571264</v>
      </c>
      <c r="AP372" s="132">
        <f t="shared" si="223"/>
        <v>168835.83227629817</v>
      </c>
      <c r="AQ372" s="132">
        <f t="shared" si="223"/>
        <v>18973.129999999994</v>
      </c>
      <c r="AR372" s="132">
        <f t="shared" si="223"/>
        <v>98179.142868546784</v>
      </c>
      <c r="AS372" s="132">
        <f>AS9+AS12+AS13+AS14+AS20+AS23+AS24+AS25+AS26+AS27+AS28+AS29+AS30+AS31+AS41+AS42+AS43+AS44+AS45+AS47+AS48+AS75+AS76+AS77+AS83+AS84+AS85+AS116+AS117+AS118+AS120+AS121+AS122+AS123+AS124+AS125+AS128+AS129+AS130+AS131+AS132+AS133+AS165+AS166+AS167+AS168+AS169+AS170+AS171+AS173+AS174+AS175+AS176+AS177+AS179+AS178+AS181+AS182+AS183+AS184+AS185+AS240+AS241+AS242+AS243+AS244+AS245+AS246+AS247+AS248+AS249+AS250+AS270+AS281+AS282+AS284+AS289+AS291+AS299+AS304+AS305+AS306+AS307+AS308+AS330+AS331+AS332+AS333+AS334+AS335+AS336+AS337+AS338+AS339+AS340+AS341+AS342+AS343+AS344+AS345+AS346+AS347+AS348+AS349+AS350+AS351+AS352+AS353+AS354+AS355+AS356+AS357+AS358+AS359+AS119</f>
        <v>68545.523576103675</v>
      </c>
      <c r="AT372" s="132">
        <f>AT9+AT12+AT13+AT14+AT20+AT23+AT24+AT25+AT26+AT27+AT28+AT29+AT30+AT31+AT41+AT42+AT43+AT44+AT45+AT47+AT48+AT75+AT76+AT77+AT83+AT84+AT85+AT116+AT117+AT118+AT120+AT121+AT122+AT123+AT124+AT125+AT128+AT129+AT130+AT131+AT132+AT133+AT165+AT166+AT167+AT168+AT169+AT170+AT171+AT173+AT174+AT175+AT176+AT177+AT179+AT178+AT181+AT182+AT183+AT184+AT185+AT240+AT241+AT242+AT243+AT244+AT245+AT246+AT247+AT248+AT249+AT250+AT270+AT281+AT282+AT284+AT289+AT291+AT299+AT304+AT305+AT306+AT307+AT308+AT330+AT331+AT332+AT333+AT334+AT335+AT336+AT337+AT338+AT339+AT340+AT341+AT342+AT343+AT344+AT345+AT346+AT347+AT348+AT349+AT350+AT351+AT352+AT353+AT354+AT355+AT356+AT357+AT358+AT359+AT119</f>
        <v>2111.1658316477365</v>
      </c>
      <c r="AU372" s="132">
        <f>AU9+AU12+AU13+AU14+AU20+AU23+AU24+AU25+AU26+AU27+AU28+AU29+AU30+AU31+AU41+AU42+AU43+AU44+AU45+AU47+AU48+AU75+AU76+AU77+AU83+AU84+AU85+AU116+AU117+AU118+AU120+AU121+AU122+AU123+AU124+AU125+AU128+AU129+AU130+AU131+AU132+AU133+AU165+AU166+AU167+AU168+AU169+AU170+AU171+AU173+AU174+AU175+AU176+AU177+AU179+AU178+AU181+AU182+AU183+AU184+AU185+AU240+AU241+AU242+AU243+AU244+AU245+AU246+AU247+AU248+AU249+AU250+AU270+AU281+AU282+AU284+AU289+AU291+AU299+AU304+AU305+AU306+AU307+AU308+AU330+AU331+AU332+AU333+AU334+AU335+AU336+AU337+AU338+AU339+AU340+AU341+AU342+AU343+AU344+AU345+AU346+AU347+AU348+AU349+AU350+AU351+AU352+AU353+AU354+AU355+AU356+AU357+AU358+AU359+AU119</f>
        <v>29933.340000000004</v>
      </c>
      <c r="AV372" s="132">
        <f t="shared" si="223"/>
        <v>5111.9999999999982</v>
      </c>
      <c r="AW372" s="132">
        <f t="shared" si="223"/>
        <v>0</v>
      </c>
      <c r="AX372" s="132">
        <f t="shared" si="223"/>
        <v>9544.8500000000022</v>
      </c>
      <c r="AY372" s="132">
        <f t="shared" si="223"/>
        <v>5878.5800000000008</v>
      </c>
      <c r="AZ372" s="132">
        <f t="shared" si="223"/>
        <v>0</v>
      </c>
      <c r="BA372" s="132">
        <f t="shared" si="223"/>
        <v>226.93</v>
      </c>
      <c r="BB372" s="399"/>
      <c r="BC372" s="132">
        <f t="shared" ref="BC372:BH372" si="224">BC9+BC12+BC13+BC14+BC20+BC23+BC24+BC25+BC26+BC27+BC28+BC29+BC30+BC31+BC41+BC42+BC43+BC44+BC45+BC47+BC48+BC75+BC76+BC77+BC83+BC84+BC85+BC116+BC117+BC118+BC120+BC121+BC122+BC123+BC124+BC125+BC128+BC129+BC130+BC131+BC132+BC133+BC165+BC166+BC167+BC168+BC169+BC170+BC171+BC173+BC174+BC175+BC176+BC177+BC179+BC178+BC181+BC182+BC183+BC184+BC185+BC240+BC241+BC242+BC243+BC244+BC245+BC246+BC247+BC248+BC249+BC250+BC270+BC281+BC282+BC284+BC289+BC291+BC299+BC304+BC305+BC306+BC307+BC308+BC330+BC331+BC332+BC333+BC334+BC335+BC336+BC337+BC338+BC339+BC340+BC341+BC342+BC343+BC344+BC345+BC346+BC347+BC348+BC349+BC350+BC351+BC352+BC353+BC354+BC355+BC356+BC357+BC358+BC359+BC119</f>
        <v>1687.1999999999985</v>
      </c>
      <c r="BD372" s="132">
        <f t="shared" si="224"/>
        <v>7857.65</v>
      </c>
      <c r="BE372" s="132">
        <f t="shared" si="224"/>
        <v>0</v>
      </c>
      <c r="BF372" s="132">
        <f t="shared" si="224"/>
        <v>0</v>
      </c>
      <c r="BG372" s="132">
        <f t="shared" si="224"/>
        <v>0</v>
      </c>
      <c r="BH372" s="132">
        <f t="shared" si="224"/>
        <v>2434.7500000000005</v>
      </c>
      <c r="BJ372" s="132">
        <f t="shared" ref="BJ372:BO372" si="225">BJ9+BJ12+BJ13+BJ14+BJ20+BJ23+BJ24+BJ25+BJ26+BJ27+BJ28+BJ29+BJ30+BJ31+BJ41+BJ42+BJ43+BJ44+BJ45+BJ47+BJ48+BJ75+BJ76+BJ77+BJ83+BJ84+BJ85+BJ116+BJ117+BJ118+BJ120+BJ121+BJ122+BJ123+BJ124+BJ125+BJ128+BJ129+BJ130+BJ131+BJ132+BJ133+BJ165+BJ166+BJ167+BJ168+BJ169+BJ170+BJ171+BJ173+BJ174+BJ175+BJ176+BJ177+BJ179+BJ178+BJ181+BJ182+BJ183+BJ184+BJ185+BJ240+BJ241+BJ242+BJ243+BJ244+BJ245+BJ246+BJ247+BJ248+BJ249+BJ250+BJ270+BJ281+BJ282+BJ284+BJ289+BJ291+BJ299+BJ304+BJ305+BJ306+BJ307+BJ308+BJ330+BJ331+BJ332+BJ333+BJ334+BJ335+BJ336+BJ337+BJ338+BJ339+BJ340+BJ341+BJ342+BJ343+BJ344+BJ345+BJ346+BJ347+BJ348+BJ349+BJ350+BJ351+BJ352+BJ353+BJ354+BJ355+BJ356+BJ357+BJ358+BJ359+BJ119</f>
        <v>39825.329999999994</v>
      </c>
      <c r="BK372" s="132"/>
      <c r="BL372" s="132">
        <f t="shared" si="225"/>
        <v>0</v>
      </c>
      <c r="BM372" s="132">
        <f t="shared" si="225"/>
        <v>4095.3100000000013</v>
      </c>
      <c r="BN372" s="132">
        <f t="shared" si="225"/>
        <v>0</v>
      </c>
      <c r="BO372" s="132" t="e">
        <f t="shared" si="225"/>
        <v>#VALUE!</v>
      </c>
      <c r="BU372" s="774"/>
      <c r="BV372" s="774"/>
      <c r="BW372" s="774"/>
    </row>
    <row r="373" spans="1:78" s="277" customFormat="1" ht="13.8" x14ac:dyDescent="0.3">
      <c r="C373" s="281">
        <f t="shared" ref="C373:AP373" si="226">SUM(C370:C372)</f>
        <v>1010381.87</v>
      </c>
      <c r="D373" s="281">
        <f t="shared" si="226"/>
        <v>544295.00000000023</v>
      </c>
      <c r="E373" s="281">
        <f t="shared" si="226"/>
        <v>119745</v>
      </c>
      <c r="F373" s="281">
        <f t="shared" si="226"/>
        <v>41681.909999999996</v>
      </c>
      <c r="G373" s="281">
        <f t="shared" si="226"/>
        <v>0</v>
      </c>
      <c r="H373" s="281">
        <f t="shared" si="226"/>
        <v>454744.69812299113</v>
      </c>
      <c r="I373" s="281">
        <f t="shared" si="226"/>
        <v>149366.94665909617</v>
      </c>
      <c r="J373" s="281">
        <f t="shared" si="226"/>
        <v>0</v>
      </c>
      <c r="K373" s="281">
        <f t="shared" si="226"/>
        <v>1309833.5547820874</v>
      </c>
      <c r="L373" s="281">
        <f t="shared" si="226"/>
        <v>328346.99999999988</v>
      </c>
      <c r="M373" s="281">
        <f t="shared" si="226"/>
        <v>72236</v>
      </c>
      <c r="N373" s="281">
        <f t="shared" si="226"/>
        <v>22808.66</v>
      </c>
      <c r="O373" s="281">
        <f t="shared" si="226"/>
        <v>1819.0000000000009</v>
      </c>
      <c r="P373" s="281">
        <f t="shared" si="226"/>
        <v>274325.6090807186</v>
      </c>
      <c r="Q373" s="281">
        <f t="shared" si="226"/>
        <v>90039.296140444261</v>
      </c>
      <c r="R373" s="281">
        <f t="shared" si="226"/>
        <v>789575.56522116286</v>
      </c>
      <c r="S373" s="281">
        <f t="shared" si="226"/>
        <v>24694.823999999997</v>
      </c>
      <c r="T373" s="281">
        <f t="shared" si="226"/>
        <v>3178.5407984551307</v>
      </c>
      <c r="U373" s="281">
        <f t="shared" si="226"/>
        <v>27873.364798455135</v>
      </c>
      <c r="V373" s="281">
        <f t="shared" si="226"/>
        <v>0</v>
      </c>
      <c r="W373" s="281">
        <f t="shared" si="226"/>
        <v>0</v>
      </c>
      <c r="X373" s="281">
        <f t="shared" si="226"/>
        <v>0</v>
      </c>
      <c r="Y373" s="281">
        <f t="shared" si="226"/>
        <v>386266.57999999996</v>
      </c>
      <c r="Z373" s="281">
        <f t="shared" si="226"/>
        <v>0</v>
      </c>
      <c r="AA373" s="281">
        <f t="shared" si="226"/>
        <v>49717.466445994221</v>
      </c>
      <c r="AB373" s="281">
        <f t="shared" si="226"/>
        <v>435984.04644599423</v>
      </c>
      <c r="AC373" s="281">
        <f t="shared" si="226"/>
        <v>10244.380999999999</v>
      </c>
      <c r="AD373" s="281">
        <f t="shared" si="226"/>
        <v>1318.5833178409598</v>
      </c>
      <c r="AE373" s="281">
        <f t="shared" si="226"/>
        <v>11562.964317840962</v>
      </c>
      <c r="AF373" s="281">
        <f t="shared" si="226"/>
        <v>147587</v>
      </c>
      <c r="AG373" s="281">
        <f t="shared" si="226"/>
        <v>18996.341128877746</v>
      </c>
      <c r="AH373" s="281">
        <f t="shared" si="226"/>
        <v>166583.34112887774</v>
      </c>
      <c r="AI373" s="281">
        <f t="shared" si="226"/>
        <v>109256.4</v>
      </c>
      <c r="AJ373" s="281">
        <f t="shared" si="226"/>
        <v>14062.700948681922</v>
      </c>
      <c r="AK373" s="281">
        <f t="shared" si="226"/>
        <v>123319.10094868194</v>
      </c>
      <c r="AL373" s="281">
        <f t="shared" si="226"/>
        <v>170148.75</v>
      </c>
      <c r="AM373" s="281">
        <f t="shared" si="226"/>
        <v>0</v>
      </c>
      <c r="AN373" s="281">
        <f t="shared" si="226"/>
        <v>21900.327926254602</v>
      </c>
      <c r="AO373" s="281">
        <f t="shared" si="226"/>
        <v>192049.0779262546</v>
      </c>
      <c r="AP373" s="281">
        <f t="shared" si="226"/>
        <v>707499.21839442174</v>
      </c>
      <c r="AQ373" s="281">
        <f>SUM(AQ370:AQ372)</f>
        <v>45586.229999999996</v>
      </c>
      <c r="AR373" s="281">
        <f t="shared" ref="AR373:BA373" si="227">SUM(AR370:AR372)</f>
        <v>451633.69843806338</v>
      </c>
      <c r="AS373" s="281">
        <f>SUM(AS370:AS372)</f>
        <v>249447.3224783474</v>
      </c>
      <c r="AT373" s="281">
        <f>SUM(AT370:AT372)</f>
        <v>6418.1974780109376</v>
      </c>
      <c r="AU373" s="281">
        <f>SUM(AU370:AU372)</f>
        <v>47391.58</v>
      </c>
      <c r="AV373" s="281">
        <f t="shared" si="227"/>
        <v>5111.9999999999982</v>
      </c>
      <c r="AW373" s="281">
        <f t="shared" si="227"/>
        <v>0</v>
      </c>
      <c r="AX373" s="281">
        <f t="shared" si="227"/>
        <v>31736.199999999993</v>
      </c>
      <c r="AY373" s="281">
        <f t="shared" si="227"/>
        <v>20641.330000000002</v>
      </c>
      <c r="AZ373" s="281">
        <f t="shared" si="227"/>
        <v>0</v>
      </c>
      <c r="BA373" s="281">
        <f t="shared" si="227"/>
        <v>2167.33</v>
      </c>
      <c r="BB373" s="281"/>
      <c r="BC373" s="281">
        <f t="shared" ref="BC373:BH373" si="228">SUM(BC370:BC372)</f>
        <v>3377.1999999999985</v>
      </c>
      <c r="BD373" s="281">
        <f t="shared" si="228"/>
        <v>28358.999999999993</v>
      </c>
      <c r="BE373" s="281">
        <f t="shared" si="228"/>
        <v>0</v>
      </c>
      <c r="BF373" s="281">
        <f t="shared" si="228"/>
        <v>0</v>
      </c>
      <c r="BG373" s="281">
        <f t="shared" si="228"/>
        <v>0</v>
      </c>
      <c r="BH373" s="281">
        <f t="shared" si="228"/>
        <v>3064.75</v>
      </c>
      <c r="BI373" s="278"/>
      <c r="BJ373" s="281">
        <f t="shared" ref="BJ373:BO373" si="229">SUM(BJ370:BJ372)</f>
        <v>112249.19999999998</v>
      </c>
      <c r="BK373" s="281"/>
      <c r="BL373" s="281">
        <f t="shared" si="229"/>
        <v>0</v>
      </c>
      <c r="BM373" s="281">
        <f t="shared" si="229"/>
        <v>9945.7100000000046</v>
      </c>
      <c r="BN373" s="281">
        <f t="shared" si="229"/>
        <v>0</v>
      </c>
      <c r="BO373" s="281" t="e">
        <f t="shared" si="229"/>
        <v>#VALUE!</v>
      </c>
      <c r="BU373" s="774"/>
      <c r="BV373" s="774"/>
      <c r="BW373" s="774"/>
      <c r="BY373" s="903"/>
      <c r="BZ373" s="903"/>
    </row>
    <row r="374" spans="1:78" x14ac:dyDescent="0.3">
      <c r="F374" s="729">
        <v>1</v>
      </c>
      <c r="V374" s="274"/>
      <c r="AE374" s="439"/>
      <c r="AF374" s="102"/>
      <c r="AR374" s="101">
        <f>AQ373+AR373+AV368</f>
        <v>502331.92843806336</v>
      </c>
      <c r="AS374" s="101">
        <f>AS368+AT368+AU368</f>
        <v>303257.09995635843</v>
      </c>
      <c r="AT374" s="101">
        <f>AT373+AU373</f>
        <v>53809.777478010939</v>
      </c>
      <c r="AU374" s="101"/>
      <c r="AX374" s="101"/>
      <c r="BC374" s="285"/>
      <c r="BD374" s="286"/>
      <c r="BE374" s="287"/>
      <c r="BF374" s="287"/>
      <c r="BG374" s="286"/>
      <c r="BH374" s="1"/>
      <c r="BU374" s="774"/>
      <c r="BV374" s="774"/>
      <c r="BW374" s="774"/>
    </row>
    <row r="375" spans="1:78" ht="15" thickBot="1" x14ac:dyDescent="0.35">
      <c r="F375" s="710">
        <f>F374</f>
        <v>1</v>
      </c>
      <c r="J375" s="671">
        <v>0</v>
      </c>
      <c r="AL375" s="102">
        <f>AL368-100215-113368.75</f>
        <v>-43435</v>
      </c>
      <c r="AQ375" s="406" t="s">
        <v>983</v>
      </c>
      <c r="AR375" s="101">
        <f>502055+42240</f>
        <v>544295</v>
      </c>
      <c r="AS375" s="101">
        <f>302624+25723</f>
        <v>328347</v>
      </c>
      <c r="AT375" s="101">
        <v>15906.3</v>
      </c>
      <c r="AV375" s="1346" t="s">
        <v>1047</v>
      </c>
      <c r="AW375" s="247"/>
      <c r="AX375" s="28" t="s">
        <v>1048</v>
      </c>
      <c r="BC375" s="101"/>
      <c r="BD375" s="288"/>
      <c r="BE375" s="385" t="e">
        <f>BE370/BB370</f>
        <v>#DIV/0!</v>
      </c>
      <c r="BF375" s="385"/>
      <c r="BG375" s="288"/>
      <c r="BH375" s="101"/>
    </row>
    <row r="376" spans="1:78" ht="15" thickBot="1" x14ac:dyDescent="0.35">
      <c r="J376" s="671">
        <f>J375/F368</f>
        <v>0</v>
      </c>
      <c r="AF376" s="284">
        <v>61864.6</v>
      </c>
      <c r="AH376" s="101"/>
      <c r="AI376" s="777">
        <v>68700.800000000003</v>
      </c>
      <c r="AK376" s="101"/>
      <c r="AL376" s="101"/>
      <c r="AR376" s="1">
        <f>AR375/AR374</f>
        <v>1.0835365406543347</v>
      </c>
      <c r="AS376" s="1">
        <f>AS375/AS374</f>
        <v>1.0827347489877475</v>
      </c>
      <c r="AU376" s="245"/>
      <c r="AV376" s="1346"/>
      <c r="AW376" s="247"/>
      <c r="AX376" s="28" t="s">
        <v>1049</v>
      </c>
      <c r="BB376" s="134"/>
      <c r="BC376" s="289"/>
      <c r="BD376" s="101"/>
      <c r="BE376" s="385" t="e">
        <f>BE371/BB371</f>
        <v>#DIV/0!</v>
      </c>
      <c r="BH376" s="241" t="s">
        <v>1122</v>
      </c>
    </row>
    <row r="377" spans="1:78" ht="14.25" customHeight="1" x14ac:dyDescent="0.3">
      <c r="F377" s="100">
        <f>F368-F369</f>
        <v>41681.910000000018</v>
      </c>
      <c r="AU377" s="101"/>
      <c r="AV377" s="1346"/>
      <c r="AW377" s="552">
        <v>0</v>
      </c>
      <c r="AX377" s="764" t="s">
        <v>1050</v>
      </c>
      <c r="AZ377" s="101">
        <v>57589.809000000008</v>
      </c>
      <c r="BE377" s="385" t="e">
        <f>BE372/BB372</f>
        <v>#DIV/0!</v>
      </c>
      <c r="BH377" s="241">
        <v>0</v>
      </c>
    </row>
    <row r="378" spans="1:78" ht="15" customHeight="1" x14ac:dyDescent="0.3">
      <c r="AL378" s="101"/>
      <c r="AQ378" s="406" t="s">
        <v>984</v>
      </c>
      <c r="AR378" s="1">
        <f>110452+9293</f>
        <v>119745</v>
      </c>
      <c r="AS378" s="1">
        <f>66577+5659</f>
        <v>72236</v>
      </c>
      <c r="AU378" s="101"/>
      <c r="AW378" s="248">
        <f>SUM(AW375:AW377)</f>
        <v>0</v>
      </c>
      <c r="BH378" s="241">
        <v>0</v>
      </c>
      <c r="BJ378" s="293"/>
      <c r="BK378" s="293"/>
    </row>
    <row r="379" spans="1:78" x14ac:dyDescent="0.3">
      <c r="AR379" s="1">
        <f>AR378/AR375</f>
        <v>0.22000018372389973</v>
      </c>
      <c r="AS379" s="1">
        <f>AS378/AS375</f>
        <v>0.2199989645101067</v>
      </c>
      <c r="BC379" s="1">
        <v>7161.5080001509095</v>
      </c>
      <c r="BD379" s="1">
        <v>20609.799999999992</v>
      </c>
      <c r="BE379" s="1">
        <v>17826.02823913821</v>
      </c>
      <c r="BF379" s="1">
        <v>0</v>
      </c>
      <c r="BG379" s="1">
        <v>0</v>
      </c>
      <c r="BH379" s="241">
        <v>22824.536239289118</v>
      </c>
      <c r="BJ379" s="293"/>
      <c r="BK379" s="293"/>
    </row>
    <row r="380" spans="1:78" s="390" customFormat="1" thickBot="1" x14ac:dyDescent="0.35">
      <c r="A380" s="389">
        <v>1</v>
      </c>
      <c r="B380" s="389">
        <v>2</v>
      </c>
      <c r="C380" s="389">
        <v>3</v>
      </c>
      <c r="D380" s="752">
        <v>4</v>
      </c>
      <c r="E380" s="389">
        <v>5</v>
      </c>
      <c r="F380" s="389">
        <v>6</v>
      </c>
      <c r="G380" s="389">
        <v>7</v>
      </c>
      <c r="H380" s="389">
        <v>8</v>
      </c>
      <c r="I380" s="389">
        <v>9</v>
      </c>
      <c r="J380" s="102">
        <v>10</v>
      </c>
      <c r="K380" s="389">
        <v>11</v>
      </c>
      <c r="L380" s="389">
        <v>12</v>
      </c>
      <c r="M380" s="389">
        <v>13</v>
      </c>
      <c r="N380" s="752">
        <v>14</v>
      </c>
      <c r="O380" s="389">
        <v>15</v>
      </c>
      <c r="P380" s="389">
        <v>16</v>
      </c>
      <c r="Q380" s="389">
        <v>17</v>
      </c>
      <c r="R380" s="389">
        <v>18</v>
      </c>
      <c r="S380" s="389">
        <v>19</v>
      </c>
      <c r="T380" s="389">
        <v>20</v>
      </c>
      <c r="U380" s="389">
        <v>21</v>
      </c>
      <c r="V380" s="389">
        <v>22</v>
      </c>
      <c r="W380" s="389">
        <v>23</v>
      </c>
      <c r="X380" s="389">
        <v>24</v>
      </c>
      <c r="Y380" s="389">
        <v>25</v>
      </c>
      <c r="Z380" s="389">
        <v>26</v>
      </c>
      <c r="AA380" s="389">
        <v>27</v>
      </c>
      <c r="AB380" s="389">
        <v>28</v>
      </c>
      <c r="AC380" s="389">
        <v>29</v>
      </c>
      <c r="AD380" s="389">
        <v>30</v>
      </c>
      <c r="AE380" s="389">
        <v>31</v>
      </c>
      <c r="AF380" s="389">
        <v>32</v>
      </c>
      <c r="AG380" s="389">
        <v>33</v>
      </c>
      <c r="AH380" s="389">
        <v>34</v>
      </c>
      <c r="AI380" s="389">
        <v>35</v>
      </c>
      <c r="AJ380" s="389">
        <v>36</v>
      </c>
      <c r="AK380" s="389">
        <v>37</v>
      </c>
      <c r="AL380" s="389">
        <v>38</v>
      </c>
      <c r="AM380" s="389">
        <v>39</v>
      </c>
      <c r="AN380" s="389">
        <v>40</v>
      </c>
      <c r="AO380" s="389">
        <v>41</v>
      </c>
      <c r="AP380" s="389">
        <v>42</v>
      </c>
      <c r="AQ380" s="407">
        <v>43</v>
      </c>
      <c r="AR380" s="389">
        <v>44</v>
      </c>
      <c r="AS380" s="389">
        <v>45</v>
      </c>
      <c r="AT380" s="389">
        <v>46</v>
      </c>
      <c r="AU380" s="389">
        <v>47</v>
      </c>
      <c r="AV380" s="389">
        <v>48</v>
      </c>
      <c r="AW380" s="389">
        <v>49</v>
      </c>
      <c r="AX380" s="389">
        <v>50</v>
      </c>
      <c r="AY380" s="389">
        <v>51</v>
      </c>
      <c r="AZ380" s="389">
        <v>52</v>
      </c>
      <c r="BA380" s="389">
        <v>53</v>
      </c>
      <c r="BB380" s="389"/>
      <c r="BC380" s="389">
        <v>55</v>
      </c>
      <c r="BD380" s="389">
        <v>56</v>
      </c>
      <c r="BE380" s="389">
        <v>57</v>
      </c>
      <c r="BF380" s="389">
        <v>58</v>
      </c>
      <c r="BG380" s="389">
        <v>59</v>
      </c>
      <c r="BH380" s="389">
        <v>60</v>
      </c>
      <c r="BI380" s="753"/>
      <c r="BJ380" s="293"/>
      <c r="BK380" s="293"/>
      <c r="BM380" s="753"/>
      <c r="BY380" s="904"/>
      <c r="BZ380" s="904"/>
    </row>
    <row r="381" spans="1:78" ht="18" x14ac:dyDescent="0.3">
      <c r="AP381" s="101"/>
      <c r="AR381" s="101"/>
      <c r="AT381" s="101"/>
      <c r="AU381" s="447"/>
      <c r="AV381" s="776">
        <f>SUBTOTAL(9,AV7:AV359)</f>
        <v>5111.9999999999982</v>
      </c>
      <c r="AW381" s="758"/>
      <c r="AX381" s="759"/>
      <c r="AY381" s="759"/>
      <c r="AZ381" s="760"/>
      <c r="BJ381" s="293"/>
      <c r="BK381" s="293"/>
    </row>
    <row r="382" spans="1:78" ht="18.600000000000001" thickBot="1" x14ac:dyDescent="0.35">
      <c r="AP382" s="101"/>
      <c r="AQ382" s="406">
        <v>38468.159999999989</v>
      </c>
      <c r="AR382" s="101">
        <v>413393.99215372751</v>
      </c>
      <c r="AS382" s="101">
        <v>228837.67798156937</v>
      </c>
      <c r="AT382" s="101">
        <v>5839.407806460832</v>
      </c>
      <c r="AU382" s="101"/>
      <c r="AW382" s="761"/>
      <c r="AX382" s="762"/>
      <c r="AY382" s="762"/>
      <c r="AZ382" s="763"/>
      <c r="BE382" s="717"/>
      <c r="BJ382" s="293"/>
      <c r="BK382" s="293"/>
    </row>
    <row r="383" spans="1:78" ht="18.600000000000001" thickBot="1" x14ac:dyDescent="0.35">
      <c r="AP383" s="101"/>
      <c r="AR383" s="101"/>
      <c r="AS383" s="101"/>
      <c r="AT383" s="101"/>
      <c r="AU383" s="101"/>
      <c r="AW383" s="1357"/>
      <c r="AX383" s="1358"/>
      <c r="AY383" s="1358"/>
      <c r="AZ383" s="1359"/>
      <c r="BH383" s="242" t="s">
        <v>1120</v>
      </c>
      <c r="BJ383" s="293"/>
      <c r="BK383" s="293"/>
      <c r="BM383" s="101">
        <f>BM373+238.86</f>
        <v>10184.570000000005</v>
      </c>
    </row>
    <row r="384" spans="1:78" x14ac:dyDescent="0.3">
      <c r="AP384" s="101"/>
      <c r="AR384" s="101"/>
      <c r="AS384" s="101"/>
      <c r="AT384" s="101"/>
      <c r="AU384" s="101"/>
      <c r="AV384" s="776">
        <f>56218-AV368</f>
        <v>51106</v>
      </c>
      <c r="BH384" s="410">
        <f>BH368+6249.67</f>
        <v>9314.42</v>
      </c>
      <c r="BI384" s="101" t="s">
        <v>1716</v>
      </c>
      <c r="BJ384" s="293"/>
      <c r="BK384" s="293"/>
    </row>
    <row r="385" spans="37:63" x14ac:dyDescent="0.3">
      <c r="AK385" s="115" t="s">
        <v>1690</v>
      </c>
      <c r="AL385" s="245">
        <v>4437</v>
      </c>
      <c r="AS385" s="447"/>
      <c r="AT385" s="133"/>
      <c r="BH385" s="411">
        <f>BH368</f>
        <v>3064.7500000000005</v>
      </c>
      <c r="BJ385" s="293"/>
      <c r="BK385" s="293"/>
    </row>
    <row r="386" spans="37:63" x14ac:dyDescent="0.3">
      <c r="AK386" s="115" t="s">
        <v>1689</v>
      </c>
      <c r="AL386" s="115">
        <v>70542</v>
      </c>
      <c r="AS386" s="133"/>
      <c r="AT386" s="133"/>
      <c r="AV386" s="778"/>
      <c r="BJ386" s="293"/>
      <c r="BK386" s="293"/>
    </row>
    <row r="387" spans="37:63" x14ac:dyDescent="0.3">
      <c r="AK387" s="115" t="s">
        <v>1046</v>
      </c>
      <c r="AL387" s="245">
        <f>AL386+AL385</f>
        <v>74979</v>
      </c>
      <c r="AS387" s="133"/>
      <c r="AT387" s="133"/>
      <c r="BH387" s="241" t="s">
        <v>1715</v>
      </c>
    </row>
    <row r="388" spans="37:63" x14ac:dyDescent="0.3">
      <c r="AS388" s="101"/>
      <c r="AU388" s="774"/>
      <c r="BH388" s="410">
        <f>D368/21*5</f>
        <v>129594.04761904756</v>
      </c>
    </row>
    <row r="389" spans="37:63" x14ac:dyDescent="0.3">
      <c r="AR389" s="101">
        <f>AR370+AQ370</f>
        <v>187556.26885033614</v>
      </c>
      <c r="AS389" s="101">
        <f>AS370</f>
        <v>97779.937686864097</v>
      </c>
      <c r="AT389" s="101">
        <f>AT370</f>
        <v>2466.2037369765699</v>
      </c>
      <c r="AU389" s="101">
        <f>SUM(AR389:AT389)</f>
        <v>287802.4102741768</v>
      </c>
      <c r="BH389" s="241" t="s">
        <v>1781</v>
      </c>
    </row>
    <row r="390" spans="37:63" x14ac:dyDescent="0.3">
      <c r="AR390" s="101">
        <f>AR371+AQ371</f>
        <v>192511.38671918047</v>
      </c>
      <c r="AS390" s="101">
        <f>AS371</f>
        <v>83121.861215379628</v>
      </c>
      <c r="AT390" s="101">
        <f>AT372</f>
        <v>2111.1658316477365</v>
      </c>
      <c r="AU390" s="101">
        <f>SUM(AR390:AT390)</f>
        <v>277744.41376620787</v>
      </c>
      <c r="BH390" s="410">
        <f>E368/D368*BH388</f>
        <v>28510.714285714286</v>
      </c>
    </row>
    <row r="392" spans="37:63" x14ac:dyDescent="0.3">
      <c r="BH392" s="412">
        <f>BH384+BH388+BH390+BH385</f>
        <v>170483.93190476185</v>
      </c>
      <c r="BI392" s="410" t="s">
        <v>1120</v>
      </c>
    </row>
    <row r="393" spans="37:63" x14ac:dyDescent="0.3">
      <c r="BH393" s="412">
        <f>D368+E368+F368</f>
        <v>705721.9099999998</v>
      </c>
      <c r="BI393" s="410" t="s">
        <v>1121</v>
      </c>
    </row>
    <row r="394" spans="37:63" x14ac:dyDescent="0.3">
      <c r="BH394" s="413">
        <f>BH392/BH393</f>
        <v>0.24157381184999896</v>
      </c>
    </row>
    <row r="395" spans="37:63" x14ac:dyDescent="0.3">
      <c r="BH395" s="429">
        <v>0.25</v>
      </c>
    </row>
  </sheetData>
  <autoFilter ref="A8:BZ382" xr:uid="{00000000-0001-0000-0900-000000000000}"/>
  <mergeCells count="39">
    <mergeCell ref="AV5:AW5"/>
    <mergeCell ref="AW383:AZ383"/>
    <mergeCell ref="AZ7:AZ8"/>
    <mergeCell ref="AC7:AE7"/>
    <mergeCell ref="A7:A8"/>
    <mergeCell ref="B7:B8"/>
    <mergeCell ref="D7:K7"/>
    <mergeCell ref="L7:R7"/>
    <mergeCell ref="Y7:AB7"/>
    <mergeCell ref="C7:C8"/>
    <mergeCell ref="S7:U7"/>
    <mergeCell ref="V7:X7"/>
    <mergeCell ref="AF7:AH7"/>
    <mergeCell ref="AI7:AK7"/>
    <mergeCell ref="AL7:AO7"/>
    <mergeCell ref="AQ7:AQ8"/>
    <mergeCell ref="AV375:AV377"/>
    <mergeCell ref="AV7:AV8"/>
    <mergeCell ref="BG7:BG8"/>
    <mergeCell ref="AX6:AY6"/>
    <mergeCell ref="AX7:AX8"/>
    <mergeCell ref="AY7:AY8"/>
    <mergeCell ref="BA7:BA8"/>
    <mergeCell ref="BS7:BS8"/>
    <mergeCell ref="AF5:AK6"/>
    <mergeCell ref="BC7:BC8"/>
    <mergeCell ref="BD7:BD8"/>
    <mergeCell ref="BE7:BE8"/>
    <mergeCell ref="BO7:BO8"/>
    <mergeCell ref="AR6:AW6"/>
    <mergeCell ref="AW7:AW8"/>
    <mergeCell ref="BJ6:BJ8"/>
    <mergeCell ref="BC6:BH6"/>
    <mergeCell ref="BH7:BH8"/>
    <mergeCell ref="BF7:BF8"/>
    <mergeCell ref="BB7:BB8"/>
    <mergeCell ref="AR7:AR8"/>
    <mergeCell ref="AS7:AS8"/>
    <mergeCell ref="AT7:AU7"/>
  </mergeCells>
  <phoneticPr fontId="100" type="noConversion"/>
  <pageMargins left="0.70866141732283472" right="7.874015748031496E-2" top="7.874015748031496E-2" bottom="7.874015748031496E-2" header="0.31496062992125984" footer="0.31496062992125984"/>
  <pageSetup paperSize="9" scale="1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7"/>
  <dimension ref="A1:BS399"/>
  <sheetViews>
    <sheetView zoomScale="90" zoomScaleNormal="90" workbookViewId="0">
      <pane xSplit="1" ySplit="8" topLeftCell="O9" activePane="bottomRight" state="frozen"/>
      <selection pane="topRight" activeCell="B1" sqref="B1"/>
      <selection pane="bottomLeft" activeCell="A9" sqref="A9"/>
      <selection pane="bottomRight" activeCell="W27" sqref="W27"/>
    </sheetView>
  </sheetViews>
  <sheetFormatPr defaultColWidth="8.6640625" defaultRowHeight="13.8" x14ac:dyDescent="0.3"/>
  <cols>
    <col min="1" max="1" width="39.109375" style="190" customWidth="1"/>
    <col min="2" max="2" width="8.109375" style="1" customWidth="1"/>
    <col min="3" max="3" width="14.6640625" style="1" customWidth="1"/>
    <col min="4" max="4" width="11.5546875" style="2" customWidth="1"/>
    <col min="5" max="5" width="13.109375" style="2" customWidth="1"/>
    <col min="6" max="6" width="11.33203125" style="2" customWidth="1"/>
    <col min="7" max="7" width="12.33203125" style="2" customWidth="1"/>
    <col min="8" max="8" width="11.109375" style="2" customWidth="1"/>
    <col min="9" max="9" width="10.44140625" style="2" customWidth="1"/>
    <col min="10" max="10" width="8.6640625" style="2" customWidth="1"/>
    <col min="11" max="11" width="12.109375" style="2" customWidth="1"/>
    <col min="12" max="12" width="10.44140625" style="2" customWidth="1"/>
    <col min="13" max="13" width="10.33203125" style="2" customWidth="1"/>
    <col min="14" max="14" width="11.33203125" style="2" customWidth="1"/>
    <col min="15" max="15" width="9.44140625" style="2" customWidth="1"/>
    <col min="16" max="16" width="11.109375" style="2" customWidth="1"/>
    <col min="17" max="17" width="10.5546875" style="2" customWidth="1"/>
    <col min="18" max="18" width="8.6640625" style="2" customWidth="1"/>
    <col min="19" max="19" width="10.44140625" style="2" customWidth="1"/>
    <col min="20" max="20" width="11.33203125" style="100" customWidth="1"/>
    <col min="21" max="21" width="12.6640625" style="2" customWidth="1"/>
    <col min="22" max="22" width="12.5546875" style="2" customWidth="1"/>
    <col min="23" max="23" width="10.6640625" style="100" customWidth="1"/>
    <col min="24" max="24" width="10.33203125" style="2" customWidth="1"/>
    <col min="25" max="26" width="10.44140625" style="2" customWidth="1"/>
    <col min="27" max="27" width="10.33203125" style="2" customWidth="1"/>
    <col min="28" max="28" width="11.33203125" style="2" customWidth="1"/>
    <col min="29" max="29" width="9.44140625" style="2" customWidth="1"/>
    <col min="30" max="30" width="11.109375" style="2" customWidth="1"/>
    <col min="31" max="32" width="8.6640625" style="2" customWidth="1"/>
    <col min="33" max="34" width="10.44140625" style="2" customWidth="1"/>
    <col min="35" max="35" width="10.33203125" style="2" customWidth="1"/>
    <col min="36" max="37" width="11.33203125" style="2" customWidth="1"/>
    <col min="38" max="38" width="11.44140625" style="2" customWidth="1"/>
    <col min="39" max="39" width="11.109375" style="2" customWidth="1"/>
    <col min="40" max="40" width="11.44140625" style="2" customWidth="1"/>
    <col min="41" max="41" width="10.5546875" style="2" customWidth="1"/>
    <col min="42" max="43" width="12" style="2" customWidth="1"/>
    <col min="44" max="44" width="8.6640625" style="2" customWidth="1"/>
    <col min="45" max="45" width="10.44140625" style="2" customWidth="1"/>
    <col min="46" max="46" width="11.33203125" style="101" customWidth="1"/>
    <col min="47" max="47" width="14.5546875" style="1" customWidth="1"/>
    <col min="48" max="52" width="8.6640625" style="1" customWidth="1"/>
    <col min="53" max="53" width="11.109375" style="100" customWidth="1"/>
    <col min="54" max="54" width="12.88671875" style="100" customWidth="1"/>
    <col min="55" max="55" width="10.33203125" style="100" customWidth="1"/>
    <col min="56" max="56" width="13.5546875" style="100" customWidth="1"/>
    <col min="57" max="57" width="8.6640625" style="1" customWidth="1"/>
    <col min="58" max="58" width="15" style="1" customWidth="1"/>
    <col min="59" max="60" width="8.6640625" style="1"/>
    <col min="61" max="61" width="11.33203125" style="2" customWidth="1"/>
    <col min="62" max="63" width="8.6640625" style="1"/>
    <col min="64" max="64" width="11.109375" style="303" customWidth="1"/>
    <col min="65" max="65" width="12.88671875" style="303" customWidth="1"/>
    <col min="66" max="66" width="8.6640625" style="303" customWidth="1"/>
    <col min="67" max="67" width="13.5546875" style="303" customWidth="1"/>
    <col min="68" max="68" width="8.6640625" style="1"/>
    <col min="69" max="71" width="8.6640625" style="1" customWidth="1"/>
    <col min="72" max="16384" width="8.6640625" style="1"/>
  </cols>
  <sheetData>
    <row r="1" spans="1:67" x14ac:dyDescent="0.3">
      <c r="A1" s="190" t="s">
        <v>0</v>
      </c>
      <c r="AT1" s="101" t="s">
        <v>925</v>
      </c>
      <c r="AU1" s="1" t="s">
        <v>1028</v>
      </c>
    </row>
    <row r="2" spans="1:67" ht="17.25" customHeight="1" x14ac:dyDescent="0.3">
      <c r="A2" s="31" t="s">
        <v>1087</v>
      </c>
      <c r="E2" s="119" t="str">
        <f>місяць!A2</f>
        <v>2024 рік</v>
      </c>
      <c r="F2" s="794" t="s">
        <v>1789</v>
      </c>
      <c r="T2" s="105" t="s">
        <v>976</v>
      </c>
      <c r="U2" s="100">
        <f>T359+T358+T357+T356+T355+T354+T353+T352+T350+T351+T349+T348+T347+T346+T345+T344+T343+T342+T341+T340+T339+T338+T337+T336+T335+T334+T333+T332+T331+T330+T308+T302+T301+T300+T298+T297+T296+T295+T294+T289+T284+T282+T281+T257+T256+T255+T254+T250+T249+T248+T247+T246+T245+T244+T243+T242+T241+T240+T226+T188+T185+T184+T183+T182+T181+T180+T179+T174+T173+T172+T133+T131+T127+T126+T125+T121+T85+T84+T83+T77+T45+T44+T43+T42+T41+T23+T18+T17+T16+T15+T13+T12+T11+T10+T9</f>
        <v>45744.909999999989</v>
      </c>
      <c r="V2" s="100"/>
      <c r="W2" s="105">
        <f>W359+W358+W357+W356+W355+W354+W353+W352+W350+W351+W349+W348+W347+W346+W345+W344+W343+W342+W341+W340+W339+W338+W337+W336+W335+W334+W333+W332+W331+W330+W308+W302+W301+W300+W298+W297+W296+W295+W294+W289+W284+W282+W281+W257+W256+W255+W254+W250+W249+W248+W247+W246+W245+W244+W243+W242+W241+W240+W226+W188+W185+W184+W183+W182+W181+W180+W179+W174+W173+W172+W133+W131+W127+W126+W125+W121+W85+W84+W83+W77+W45+W44+W43+W42+W41+W23+W18+W17+W16+W15+W13+W12+W11+W10+W9</f>
        <v>6247.08</v>
      </c>
      <c r="AJ2" s="273"/>
      <c r="AT2" s="102">
        <f>499554-99997-6389</f>
        <v>393168</v>
      </c>
      <c r="AU2" s="284" t="e">
        <f>C368-C381</f>
        <v>#REF!</v>
      </c>
      <c r="AV2" s="283" t="s">
        <v>1776</v>
      </c>
      <c r="AW2" s="283"/>
    </row>
    <row r="3" spans="1:67" ht="16.2" customHeight="1" thickBot="1" x14ac:dyDescent="0.35">
      <c r="A3" s="31"/>
      <c r="F3" s="275"/>
      <c r="T3" s="106" t="s">
        <v>977</v>
      </c>
      <c r="U3" s="100">
        <f>T368-U2</f>
        <v>69489.131333333382</v>
      </c>
      <c r="V3" s="100"/>
      <c r="W3" s="106">
        <f>W368-W2</f>
        <v>9500.2293333333382</v>
      </c>
      <c r="AJ3" s="291"/>
      <c r="AT3" s="102" t="str">
        <f>місяць!A2</f>
        <v>2024 рік</v>
      </c>
      <c r="AW3" s="4"/>
    </row>
    <row r="4" spans="1:67" ht="32.25" customHeight="1" thickBot="1" x14ac:dyDescent="0.35">
      <c r="A4" s="208" t="s">
        <v>966</v>
      </c>
      <c r="B4" s="117">
        <f>'первичка 1'!B4</f>
        <v>0.83547469317739664</v>
      </c>
      <c r="C4" s="719">
        <f>B4</f>
        <v>0.83547469317739664</v>
      </c>
      <c r="D4" s="1"/>
      <c r="E4" s="1"/>
      <c r="F4" s="1"/>
      <c r="G4" s="1"/>
      <c r="H4" s="1"/>
      <c r="J4" s="1393"/>
      <c r="L4" s="1"/>
      <c r="M4" s="1"/>
      <c r="T4" s="322"/>
      <c r="U4" s="100"/>
      <c r="Z4" s="1"/>
      <c r="AA4" s="1"/>
      <c r="AH4" s="1"/>
      <c r="AI4" s="1"/>
      <c r="AP4" s="1381"/>
      <c r="AQ4" s="1382"/>
      <c r="AR4" s="1382"/>
      <c r="AS4" s="1383"/>
      <c r="AT4" s="102" t="s">
        <v>972</v>
      </c>
      <c r="BA4" s="100" t="s">
        <v>1718</v>
      </c>
      <c r="BB4" s="100" t="s">
        <v>1719</v>
      </c>
      <c r="BC4" s="100" t="s">
        <v>1720</v>
      </c>
      <c r="BD4" s="100" t="s">
        <v>1721</v>
      </c>
    </row>
    <row r="5" spans="1:67" x14ac:dyDescent="0.3">
      <c r="A5" s="208" t="s">
        <v>967</v>
      </c>
      <c r="B5" s="117">
        <f>'первичка 1'!B5</f>
        <v>0.12871283465940597</v>
      </c>
      <c r="C5" s="80"/>
      <c r="D5" s="1"/>
      <c r="E5" s="1"/>
      <c r="F5" s="1"/>
      <c r="G5" s="1"/>
      <c r="H5" s="1"/>
      <c r="J5" s="1393"/>
      <c r="L5" s="1"/>
      <c r="M5" s="1"/>
      <c r="Z5" s="1"/>
      <c r="AA5" s="1"/>
      <c r="AH5" s="1"/>
      <c r="AI5" s="1"/>
      <c r="AT5" s="108" t="e">
        <f>AT2/AU2</f>
        <v>#REF!</v>
      </c>
    </row>
    <row r="6" spans="1:67" ht="14.4" thickBot="1" x14ac:dyDescent="0.35">
      <c r="D6" s="223"/>
      <c r="E6" s="223"/>
      <c r="F6" s="223"/>
      <c r="G6" s="223"/>
      <c r="H6" s="223"/>
      <c r="N6" s="386"/>
      <c r="O6" s="387"/>
      <c r="AK6" s="155"/>
      <c r="AL6" s="155"/>
      <c r="AT6" s="102"/>
    </row>
    <row r="7" spans="1:67" ht="43.5" customHeight="1" x14ac:dyDescent="0.3">
      <c r="A7" s="1395" t="s">
        <v>1</v>
      </c>
      <c r="B7" s="1397" t="s">
        <v>2</v>
      </c>
      <c r="C7" s="1399" t="s">
        <v>970</v>
      </c>
      <c r="D7" s="1369" t="s">
        <v>1017</v>
      </c>
      <c r="E7" s="1126"/>
      <c r="F7" s="1126"/>
      <c r="G7" s="1126"/>
      <c r="H7" s="1126"/>
      <c r="I7" s="1126"/>
      <c r="J7" s="1126"/>
      <c r="K7" s="1127"/>
      <c r="L7" s="1369" t="s">
        <v>1018</v>
      </c>
      <c r="M7" s="1126"/>
      <c r="N7" s="1126"/>
      <c r="O7" s="1126"/>
      <c r="P7" s="1126"/>
      <c r="Q7" s="1126"/>
      <c r="R7" s="1126"/>
      <c r="S7" s="1394"/>
      <c r="T7" s="1362" t="s">
        <v>969</v>
      </c>
      <c r="U7" s="1378"/>
      <c r="V7" s="1402"/>
      <c r="W7" s="1373" t="s">
        <v>971</v>
      </c>
      <c r="X7" s="1378"/>
      <c r="Y7" s="1401"/>
      <c r="Z7" s="1369" t="s">
        <v>1019</v>
      </c>
      <c r="AA7" s="1126"/>
      <c r="AB7" s="1126"/>
      <c r="AC7" s="1126"/>
      <c r="AD7" s="1126"/>
      <c r="AE7" s="1126"/>
      <c r="AF7" s="1126"/>
      <c r="AG7" s="1127"/>
      <c r="AH7" s="1377" t="s">
        <v>1020</v>
      </c>
      <c r="AI7" s="1126"/>
      <c r="AJ7" s="1126"/>
      <c r="AK7" s="1126"/>
      <c r="AL7" s="1126"/>
      <c r="AM7" s="1126"/>
      <c r="AN7" s="1126"/>
      <c r="AO7" s="1126"/>
      <c r="AP7" s="1394"/>
      <c r="AQ7" s="1369" t="s">
        <v>1021</v>
      </c>
      <c r="AR7" s="1126"/>
      <c r="AS7" s="1127"/>
      <c r="AT7" s="1390" t="s">
        <v>438</v>
      </c>
      <c r="AU7" s="1391" t="s">
        <v>973</v>
      </c>
      <c r="BA7" s="1387" t="s">
        <v>978</v>
      </c>
      <c r="BB7" s="1388"/>
      <c r="BC7" s="1388"/>
      <c r="BD7" s="1389"/>
      <c r="BI7" s="1" t="s">
        <v>1045</v>
      </c>
      <c r="BL7" s="1384" t="s">
        <v>1620</v>
      </c>
      <c r="BM7" s="1385"/>
      <c r="BN7" s="1385"/>
      <c r="BO7" s="1386"/>
    </row>
    <row r="8" spans="1:67" ht="22.2" customHeight="1" x14ac:dyDescent="0.3">
      <c r="A8" s="1396"/>
      <c r="B8" s="1398"/>
      <c r="C8" s="1400"/>
      <c r="D8" s="33" t="s">
        <v>951</v>
      </c>
      <c r="E8" s="28" t="s">
        <v>952</v>
      </c>
      <c r="F8" s="913" t="s">
        <v>953</v>
      </c>
      <c r="G8" s="764" t="s">
        <v>954</v>
      </c>
      <c r="H8" s="28" t="s">
        <v>955</v>
      </c>
      <c r="I8" s="28" t="s">
        <v>956</v>
      </c>
      <c r="J8" s="28" t="s">
        <v>963</v>
      </c>
      <c r="K8" s="121" t="s">
        <v>957</v>
      </c>
      <c r="L8" s="799" t="s">
        <v>951</v>
      </c>
      <c r="M8" s="28" t="s">
        <v>952</v>
      </c>
      <c r="N8" s="913" t="s">
        <v>953</v>
      </c>
      <c r="O8" s="28" t="s">
        <v>954</v>
      </c>
      <c r="P8" s="28" t="s">
        <v>955</v>
      </c>
      <c r="Q8" s="28" t="s">
        <v>956</v>
      </c>
      <c r="R8" s="28" t="s">
        <v>963</v>
      </c>
      <c r="S8" s="910" t="s">
        <v>957</v>
      </c>
      <c r="T8" s="205" t="s">
        <v>954</v>
      </c>
      <c r="U8" s="28" t="s">
        <v>956</v>
      </c>
      <c r="V8" s="121" t="s">
        <v>957</v>
      </c>
      <c r="W8" s="135" t="s">
        <v>954</v>
      </c>
      <c r="X8" s="28" t="s">
        <v>956</v>
      </c>
      <c r="Y8" s="910" t="s">
        <v>957</v>
      </c>
      <c r="Z8" s="33" t="s">
        <v>951</v>
      </c>
      <c r="AA8" s="28" t="s">
        <v>952</v>
      </c>
      <c r="AB8" s="913" t="s">
        <v>953</v>
      </c>
      <c r="AC8" s="28" t="s">
        <v>954</v>
      </c>
      <c r="AD8" s="28" t="s">
        <v>955</v>
      </c>
      <c r="AE8" s="28" t="s">
        <v>956</v>
      </c>
      <c r="AF8" s="28" t="s">
        <v>963</v>
      </c>
      <c r="AG8" s="121" t="s">
        <v>957</v>
      </c>
      <c r="AH8" s="799" t="s">
        <v>951</v>
      </c>
      <c r="AI8" s="28" t="s">
        <v>952</v>
      </c>
      <c r="AJ8" s="913" t="s">
        <v>953</v>
      </c>
      <c r="AK8" s="764" t="s">
        <v>986</v>
      </c>
      <c r="AL8" s="913" t="s">
        <v>954</v>
      </c>
      <c r="AM8" s="28" t="s">
        <v>955</v>
      </c>
      <c r="AN8" s="28" t="s">
        <v>956</v>
      </c>
      <c r="AO8" s="28" t="s">
        <v>963</v>
      </c>
      <c r="AP8" s="910" t="s">
        <v>957</v>
      </c>
      <c r="AQ8" s="33" t="s">
        <v>954</v>
      </c>
      <c r="AR8" s="28" t="s">
        <v>956</v>
      </c>
      <c r="AS8" s="121" t="s">
        <v>957</v>
      </c>
      <c r="AT8" s="1389"/>
      <c r="AU8" s="1392"/>
      <c r="BA8" s="29" t="s">
        <v>979</v>
      </c>
      <c r="BB8" s="29" t="s">
        <v>980</v>
      </c>
      <c r="BC8" s="29" t="s">
        <v>981</v>
      </c>
      <c r="BD8" s="29" t="s">
        <v>982</v>
      </c>
      <c r="BI8" s="28" t="s">
        <v>953</v>
      </c>
      <c r="BL8" s="107" t="s">
        <v>979</v>
      </c>
      <c r="BM8" s="107" t="s">
        <v>980</v>
      </c>
      <c r="BN8" s="107" t="s">
        <v>981</v>
      </c>
      <c r="BO8" s="107" t="s">
        <v>982</v>
      </c>
    </row>
    <row r="9" spans="1:67" x14ac:dyDescent="0.25">
      <c r="A9" s="250" t="s">
        <v>146</v>
      </c>
      <c r="B9" s="227">
        <v>2</v>
      </c>
      <c r="C9" s="226">
        <f>'побудинковий звіт'!E9</f>
        <v>372.8</v>
      </c>
      <c r="D9" s="138">
        <f>BA9*BL9</f>
        <v>85.4781016636651</v>
      </c>
      <c r="E9" s="104">
        <f t="shared" ref="E9:E72" si="0">D9*$BA$372</f>
        <v>17.619343212556736</v>
      </c>
      <c r="F9" s="323">
        <v>9.5791593626545577</v>
      </c>
      <c r="G9" s="104" t="e">
        <f t="shared" ref="G9:G72" si="1">$G$369/$C$368*C9</f>
        <v>#REF!</v>
      </c>
      <c r="H9" s="720">
        <f>D9*$B$4</f>
        <v>71.414790760836922</v>
      </c>
      <c r="I9" s="104" t="e">
        <f>(D9+E9+F9+G9+H9)*$B$5</f>
        <v>#REF!</v>
      </c>
      <c r="J9" s="28"/>
      <c r="K9" s="139" t="e">
        <f>D9+E9+F9+G9+H9+I9-J9</f>
        <v>#REF!</v>
      </c>
      <c r="L9" s="200">
        <f>BB9*BM9</f>
        <v>14.830583204525043</v>
      </c>
      <c r="M9" s="104">
        <f t="shared" ref="M9:M72" si="2">L9*$BB$372</f>
        <v>3.2629941459283436</v>
      </c>
      <c r="N9" s="323">
        <v>0</v>
      </c>
      <c r="O9" s="104"/>
      <c r="P9" s="104">
        <f>L9*$B$4</f>
        <v>12.390576952442412</v>
      </c>
      <c r="Q9" s="104">
        <f>(L9+M9+N9+O9+P9)*$B$5</f>
        <v>3.9237019125204462</v>
      </c>
      <c r="R9" s="104"/>
      <c r="S9" s="140">
        <f>L9+M9+N9+O9+P9+Q9-R9</f>
        <v>34.407856215416246</v>
      </c>
      <c r="T9" s="234">
        <v>55.39</v>
      </c>
      <c r="U9" s="104"/>
      <c r="V9" s="148">
        <f>T9+U9</f>
        <v>55.39</v>
      </c>
      <c r="W9" s="236"/>
      <c r="X9" s="104"/>
      <c r="Y9" s="45">
        <f>W9+X9</f>
        <v>0</v>
      </c>
      <c r="Z9" s="138">
        <f>BC9*BN9</f>
        <v>0</v>
      </c>
      <c r="AA9" s="104">
        <f t="shared" ref="AA9:AA72" si="3">Z9*$BC$372</f>
        <v>0</v>
      </c>
      <c r="AB9" s="323">
        <v>0</v>
      </c>
      <c r="AC9" s="104"/>
      <c r="AD9" s="104">
        <f>Z9*$B$4</f>
        <v>0</v>
      </c>
      <c r="AE9" s="104">
        <f>(Z9+AA9+AB9+AC9+AD9)*$B$5</f>
        <v>0</v>
      </c>
      <c r="AF9" s="104"/>
      <c r="AG9" s="139">
        <f>Z9+AA9+AB9+AC9+AD9+AE9-AF9</f>
        <v>0</v>
      </c>
      <c r="AH9" s="200">
        <f>BD9*BO9</f>
        <v>14.210071191032224</v>
      </c>
      <c r="AI9" s="104">
        <f t="shared" ref="AI9:AI72" si="4">AH9*$BD$372</f>
        <v>2.8344217005721051</v>
      </c>
      <c r="AJ9" s="323">
        <v>0</v>
      </c>
      <c r="AK9" s="118" t="e">
        <f t="shared" ref="AK9:AK72" si="5">$AK$369/$C$368*C9</f>
        <v>#REF!</v>
      </c>
      <c r="AL9" s="104"/>
      <c r="AM9" s="104">
        <f>AH9*$B$4</f>
        <v>11.87215486835661</v>
      </c>
      <c r="AN9" s="104" t="e">
        <f>(AH9+AI9+AJ9+AK9+AL9+AM9)*$B$5</f>
        <v>#REF!</v>
      </c>
      <c r="AO9" s="104"/>
      <c r="AP9" s="140" t="e">
        <f>AH9+AI9+AJ9+AK9+AL9+AM9+AN9-AO9</f>
        <v>#REF!</v>
      </c>
      <c r="AQ9" s="33"/>
      <c r="AR9" s="28"/>
      <c r="AS9" s="121"/>
      <c r="AT9" s="135" t="e">
        <f>IF(B9&gt;1,C9*$AT$5,0)</f>
        <v>#REF!</v>
      </c>
      <c r="AU9" s="148" t="e">
        <f>K9+S9+V9+Y9+AG9+AP9+AS9+AT9</f>
        <v>#REF!</v>
      </c>
      <c r="AW9" s="1">
        <v>3</v>
      </c>
      <c r="BA9" s="29">
        <v>69.87</v>
      </c>
      <c r="BB9" s="29">
        <v>11.58</v>
      </c>
      <c r="BC9" s="29">
        <v>0</v>
      </c>
      <c r="BD9" s="29">
        <v>10.96</v>
      </c>
      <c r="BI9" s="323">
        <v>0</v>
      </c>
      <c r="BL9" s="107">
        <f>BA$399</f>
        <v>1.2233877438623886</v>
      </c>
      <c r="BM9" s="107">
        <f>BB$399</f>
        <v>1.2807066670574303</v>
      </c>
      <c r="BN9" s="107">
        <f>BC$399</f>
        <v>0.82443024793968056</v>
      </c>
      <c r="BO9" s="107">
        <f>BD$399</f>
        <v>1.2965393422474656</v>
      </c>
    </row>
    <row r="10" spans="1:67" x14ac:dyDescent="0.25">
      <c r="A10" s="250" t="s">
        <v>239</v>
      </c>
      <c r="B10" s="227">
        <v>5</v>
      </c>
      <c r="C10" s="226">
        <f>'побудинковий звіт'!E10</f>
        <v>1841.15</v>
      </c>
      <c r="D10" s="138">
        <f t="shared" ref="D10:D73" si="6">BA10*BL10</f>
        <v>257.76695654371809</v>
      </c>
      <c r="E10" s="104">
        <f t="shared" si="0"/>
        <v>53.132725081686488</v>
      </c>
      <c r="F10" s="323">
        <v>38.783022848380512</v>
      </c>
      <c r="G10" s="104" t="e">
        <f t="shared" si="1"/>
        <v>#REF!</v>
      </c>
      <c r="H10" s="720">
        <f t="shared" ref="H10:H73" si="7">D10*$B$4</f>
        <v>215.3577689296342</v>
      </c>
      <c r="I10" s="104" t="e">
        <f t="shared" ref="I10:I73" si="8">(D10+E10+F10+G10+H10)*$B$5</f>
        <v>#REF!</v>
      </c>
      <c r="J10" s="28"/>
      <c r="K10" s="139" t="e">
        <f t="shared" ref="K10:K73" si="9">D10+E10+F10+G10+H10+I10-J10</f>
        <v>#REF!</v>
      </c>
      <c r="L10" s="200">
        <f t="shared" ref="L10:L73" si="10">BB10*BM10</f>
        <v>62.556424798820856</v>
      </c>
      <c r="M10" s="104">
        <f t="shared" si="2"/>
        <v>13.763534791165766</v>
      </c>
      <c r="N10" s="323">
        <v>0</v>
      </c>
      <c r="O10" s="104"/>
      <c r="P10" s="104">
        <f t="shared" ref="P10:P73" si="11">L10*$B$4</f>
        <v>52.264309815069744</v>
      </c>
      <c r="Q10" s="104">
        <f t="shared" ref="Q10:Q73" si="12">(L10+M10+N10+O10+P10)*$B$5</f>
        <v>16.550445807733535</v>
      </c>
      <c r="R10" s="104"/>
      <c r="S10" s="140">
        <f t="shared" ref="S10:S73" si="13">L10+M10+N10+O10+P10+Q10-R10</f>
        <v>145.1347152127899</v>
      </c>
      <c r="T10" s="234">
        <v>202.63</v>
      </c>
      <c r="U10" s="104"/>
      <c r="V10" s="148">
        <f t="shared" ref="V10:V73" si="14">T10+U10</f>
        <v>202.63</v>
      </c>
      <c r="W10" s="236"/>
      <c r="X10" s="104"/>
      <c r="Y10" s="45">
        <f t="shared" ref="Y10:Y73" si="15">W10+X10</f>
        <v>0</v>
      </c>
      <c r="Z10" s="138">
        <f t="shared" ref="Z10:Z73" si="16">BC10*BN10</f>
        <v>0</v>
      </c>
      <c r="AA10" s="104">
        <f t="shared" si="3"/>
        <v>0</v>
      </c>
      <c r="AB10" s="323">
        <v>0</v>
      </c>
      <c r="AC10" s="104"/>
      <c r="AD10" s="104">
        <f t="shared" ref="AD10:AD73" si="17">Z10*$B$4</f>
        <v>0</v>
      </c>
      <c r="AE10" s="104">
        <f t="shared" ref="AE10:AE73" si="18">(Z10+AA10+AB10+AC10+AD10)*$B$5</f>
        <v>0</v>
      </c>
      <c r="AF10" s="104"/>
      <c r="AG10" s="139">
        <f t="shared" ref="AG10:AG73" si="19">Z10+AA10+AB10+AC10+AD10+AE10-AF10</f>
        <v>0</v>
      </c>
      <c r="AH10" s="200">
        <f t="shared" ref="AH10:AH73" si="20">BD10*BO10</f>
        <v>151.27214905410847</v>
      </c>
      <c r="AI10" s="104">
        <f t="shared" si="4"/>
        <v>30.173604073266937</v>
      </c>
      <c r="AJ10" s="323">
        <v>15.226956808081239</v>
      </c>
      <c r="AK10" s="118" t="e">
        <f t="shared" si="5"/>
        <v>#REF!</v>
      </c>
      <c r="AL10" s="104">
        <v>1850</v>
      </c>
      <c r="AM10" s="104">
        <f t="shared" ref="AM10:AM73" si="21">AH10*$B$4</f>
        <v>126.38405231726668</v>
      </c>
      <c r="AN10" s="104" t="e">
        <f t="shared" ref="AN10:AN73" si="22">(AH10+AI10+AJ10+AK10+AL10+AM10)*$B$5</f>
        <v>#REF!</v>
      </c>
      <c r="AO10" s="104"/>
      <c r="AP10" s="140" t="e">
        <f t="shared" ref="AP10:AP73" si="23">AH10+AI10+AJ10+AK10+AL10+AM10+AN10-AO10</f>
        <v>#REF!</v>
      </c>
      <c r="AQ10" s="33"/>
      <c r="AR10" s="28"/>
      <c r="AS10" s="121"/>
      <c r="AT10" s="135" t="e">
        <f t="shared" ref="AT10:AT73" si="24">IF(B10&gt;1,C10*$AT$5,0)</f>
        <v>#REF!</v>
      </c>
      <c r="AU10" s="148" t="e">
        <f t="shared" ref="AU10:AU73" si="25">K10+S10+V10+Y10+AG10+AP10+AS10+AT10</f>
        <v>#REF!</v>
      </c>
      <c r="AW10" s="1">
        <v>2</v>
      </c>
      <c r="BA10" s="29">
        <v>235.02</v>
      </c>
      <c r="BB10" s="29">
        <v>56.22</v>
      </c>
      <c r="BC10" s="29">
        <v>0</v>
      </c>
      <c r="BD10" s="29">
        <v>145.88999999999999</v>
      </c>
      <c r="BI10" s="323">
        <v>0</v>
      </c>
      <c r="BL10" s="107">
        <f t="shared" ref="BL10:BO11" si="26">BA$398</f>
        <v>1.0967873225415627</v>
      </c>
      <c r="BM10" s="107">
        <f t="shared" si="26"/>
        <v>1.1127076627324948</v>
      </c>
      <c r="BN10" s="107">
        <f t="shared" si="26"/>
        <v>2.8314493742615632</v>
      </c>
      <c r="BO10" s="107">
        <f t="shared" si="26"/>
        <v>1.036891829831438</v>
      </c>
    </row>
    <row r="11" spans="1:67" x14ac:dyDescent="0.25">
      <c r="A11" s="250" t="s">
        <v>240</v>
      </c>
      <c r="B11" s="227">
        <v>5</v>
      </c>
      <c r="C11" s="226">
        <f>'побудинковий звіт'!E11</f>
        <v>2801.88</v>
      </c>
      <c r="D11" s="138">
        <f t="shared" si="6"/>
        <v>382.46070724346833</v>
      </c>
      <c r="E11" s="104">
        <f t="shared" si="0"/>
        <v>78.835471718300113</v>
      </c>
      <c r="F11" s="323">
        <v>59.180191729273766</v>
      </c>
      <c r="G11" s="104" t="e">
        <f t="shared" si="1"/>
        <v>#REF!</v>
      </c>
      <c r="H11" s="720">
        <f t="shared" si="7"/>
        <v>319.53624203664685</v>
      </c>
      <c r="I11" s="104" t="e">
        <f t="shared" si="8"/>
        <v>#REF!</v>
      </c>
      <c r="J11" s="28"/>
      <c r="K11" s="139" t="e">
        <f t="shared" si="9"/>
        <v>#REF!</v>
      </c>
      <c r="L11" s="200">
        <f t="shared" si="10"/>
        <v>74.31774479390333</v>
      </c>
      <c r="M11" s="104">
        <f t="shared" si="2"/>
        <v>16.351236013908956</v>
      </c>
      <c r="N11" s="323">
        <v>0</v>
      </c>
      <c r="O11" s="104"/>
      <c r="P11" s="104">
        <f t="shared" si="11"/>
        <v>62.090595029322451</v>
      </c>
      <c r="Q11" s="104">
        <f t="shared" si="12"/>
        <v>19.662118027366112</v>
      </c>
      <c r="R11" s="104"/>
      <c r="S11" s="140">
        <f t="shared" si="13"/>
        <v>172.42169386450087</v>
      </c>
      <c r="T11" s="234">
        <v>325.12</v>
      </c>
      <c r="U11" s="104"/>
      <c r="V11" s="148">
        <f t="shared" si="14"/>
        <v>325.12</v>
      </c>
      <c r="W11" s="236"/>
      <c r="X11" s="104"/>
      <c r="Y11" s="45">
        <f t="shared" si="15"/>
        <v>0</v>
      </c>
      <c r="Z11" s="138">
        <f t="shared" si="16"/>
        <v>67.89815599479229</v>
      </c>
      <c r="AA11" s="104">
        <f t="shared" si="3"/>
        <v>14.924552143663654</v>
      </c>
      <c r="AB11" s="323">
        <v>0</v>
      </c>
      <c r="AC11" s="104"/>
      <c r="AD11" s="104">
        <f t="shared" si="17"/>
        <v>56.727191047060103</v>
      </c>
      <c r="AE11" s="104">
        <f t="shared" si="18"/>
        <v>17.961863100602098</v>
      </c>
      <c r="AF11" s="104"/>
      <c r="AG11" s="139">
        <f t="shared" si="19"/>
        <v>157.51176228611814</v>
      </c>
      <c r="AH11" s="200">
        <f t="shared" si="20"/>
        <v>217.88208020248007</v>
      </c>
      <c r="AI11" s="104">
        <f t="shared" si="4"/>
        <v>43.460000163928868</v>
      </c>
      <c r="AJ11" s="323">
        <v>23.23527557092542</v>
      </c>
      <c r="AK11" s="118" t="e">
        <f t="shared" si="5"/>
        <v>#REF!</v>
      </c>
      <c r="AL11" s="408"/>
      <c r="AM11" s="104">
        <f t="shared" si="21"/>
        <v>182.03496410601997</v>
      </c>
      <c r="AN11" s="104" t="e">
        <f t="shared" si="22"/>
        <v>#REF!</v>
      </c>
      <c r="AO11" s="104"/>
      <c r="AP11" s="140" t="e">
        <f t="shared" si="23"/>
        <v>#REF!</v>
      </c>
      <c r="AQ11" s="33"/>
      <c r="AR11" s="28"/>
      <c r="AS11" s="121"/>
      <c r="AT11" s="135" t="e">
        <f t="shared" si="24"/>
        <v>#REF!</v>
      </c>
      <c r="AU11" s="148" t="e">
        <f t="shared" si="25"/>
        <v>#REF!</v>
      </c>
      <c r="AW11" s="1">
        <v>2</v>
      </c>
      <c r="BA11" s="29">
        <v>348.71</v>
      </c>
      <c r="BB11" s="29">
        <v>66.790000000000006</v>
      </c>
      <c r="BC11" s="29">
        <v>23.98</v>
      </c>
      <c r="BD11" s="29">
        <v>210.13</v>
      </c>
      <c r="BI11" s="323">
        <v>0</v>
      </c>
      <c r="BL11" s="107">
        <f t="shared" si="26"/>
        <v>1.0967873225415627</v>
      </c>
      <c r="BM11" s="107">
        <f t="shared" si="26"/>
        <v>1.1127076627324948</v>
      </c>
      <c r="BN11" s="107">
        <f t="shared" si="26"/>
        <v>2.8314493742615632</v>
      </c>
      <c r="BO11" s="107">
        <f t="shared" si="26"/>
        <v>1.036891829831438</v>
      </c>
    </row>
    <row r="12" spans="1:67" x14ac:dyDescent="0.25">
      <c r="A12" s="250" t="s">
        <v>338</v>
      </c>
      <c r="B12" s="227">
        <v>9</v>
      </c>
      <c r="C12" s="226">
        <f>'побудинковий звіт'!E12</f>
        <v>6095.61</v>
      </c>
      <c r="D12" s="138">
        <f t="shared" si="6"/>
        <v>905.30693045816759</v>
      </c>
      <c r="E12" s="104">
        <f t="shared" si="0"/>
        <v>186.60818630731333</v>
      </c>
      <c r="F12" s="323">
        <v>156.6246515650945</v>
      </c>
      <c r="G12" s="104" t="e">
        <f t="shared" si="1"/>
        <v>#REF!</v>
      </c>
      <c r="H12" s="720">
        <f t="shared" si="7"/>
        <v>756.36102995590829</v>
      </c>
      <c r="I12" s="104" t="e">
        <f t="shared" si="8"/>
        <v>#REF!</v>
      </c>
      <c r="J12" s="28"/>
      <c r="K12" s="139" t="e">
        <f t="shared" si="9"/>
        <v>#REF!</v>
      </c>
      <c r="L12" s="200">
        <f t="shared" si="10"/>
        <v>179.56788178812232</v>
      </c>
      <c r="M12" s="104">
        <f t="shared" si="2"/>
        <v>39.508152780709246</v>
      </c>
      <c r="N12" s="323">
        <v>0</v>
      </c>
      <c r="O12" s="104"/>
      <c r="P12" s="104">
        <f t="shared" si="11"/>
        <v>150.02442094144652</v>
      </c>
      <c r="Q12" s="104">
        <f t="shared" si="12"/>
        <v>47.507965902805857</v>
      </c>
      <c r="R12" s="104"/>
      <c r="S12" s="140">
        <f t="shared" si="13"/>
        <v>416.60842141308393</v>
      </c>
      <c r="T12" s="234">
        <v>657.8</v>
      </c>
      <c r="U12" s="104"/>
      <c r="V12" s="148">
        <f t="shared" si="14"/>
        <v>657.8</v>
      </c>
      <c r="W12" s="881">
        <v>158.47999999999999</v>
      </c>
      <c r="X12" s="104"/>
      <c r="Y12" s="45">
        <f t="shared" si="15"/>
        <v>158.47999999999999</v>
      </c>
      <c r="Z12" s="138">
        <f t="shared" si="16"/>
        <v>32.614460608493765</v>
      </c>
      <c r="AA12" s="104">
        <f t="shared" si="3"/>
        <v>7.1689166054268556</v>
      </c>
      <c r="AB12" s="323">
        <v>0</v>
      </c>
      <c r="AC12" s="104"/>
      <c r="AD12" s="104">
        <f t="shared" si="17"/>
        <v>27.248556470027616</v>
      </c>
      <c r="AE12" s="104">
        <f t="shared" si="18"/>
        <v>8.6278701971622951</v>
      </c>
      <c r="AF12" s="104"/>
      <c r="AG12" s="139">
        <f t="shared" si="19"/>
        <v>75.659803881110534</v>
      </c>
      <c r="AH12" s="200">
        <f t="shared" si="20"/>
        <v>513.04061772732211</v>
      </c>
      <c r="AI12" s="104">
        <f t="shared" si="4"/>
        <v>102.33400245587426</v>
      </c>
      <c r="AJ12" s="323">
        <v>88.159114473868215</v>
      </c>
      <c r="AK12" s="118" t="e">
        <f t="shared" si="5"/>
        <v>#REF!</v>
      </c>
      <c r="AL12" s="104"/>
      <c r="AM12" s="104">
        <f t="shared" si="21"/>
        <v>428.63245268327648</v>
      </c>
      <c r="AN12" s="104" t="e">
        <f t="shared" si="22"/>
        <v>#REF!</v>
      </c>
      <c r="AO12" s="104"/>
      <c r="AP12" s="140" t="e">
        <f t="shared" si="23"/>
        <v>#REF!</v>
      </c>
      <c r="AQ12" s="33"/>
      <c r="AR12" s="28"/>
      <c r="AS12" s="121"/>
      <c r="AT12" s="135" t="e">
        <f t="shared" si="24"/>
        <v>#REF!</v>
      </c>
      <c r="AU12" s="148" t="e">
        <f t="shared" si="25"/>
        <v>#REF!</v>
      </c>
      <c r="AW12" s="1">
        <v>3</v>
      </c>
      <c r="BA12" s="29">
        <v>740</v>
      </c>
      <c r="BB12" s="29">
        <v>140.21</v>
      </c>
      <c r="BC12" s="29">
        <v>39.56</v>
      </c>
      <c r="BD12" s="29">
        <v>395.7</v>
      </c>
      <c r="BI12" s="323">
        <v>8.7100000000000009</v>
      </c>
      <c r="BL12" s="107">
        <f t="shared" ref="BL12:BO14" si="27">BA$399</f>
        <v>1.2233877438623886</v>
      </c>
      <c r="BM12" s="107">
        <f t="shared" si="27"/>
        <v>1.2807066670574303</v>
      </c>
      <c r="BN12" s="107">
        <f t="shared" si="27"/>
        <v>0.82443024793968056</v>
      </c>
      <c r="BO12" s="107">
        <f t="shared" si="27"/>
        <v>1.2965393422474656</v>
      </c>
    </row>
    <row r="13" spans="1:67" x14ac:dyDescent="0.25">
      <c r="A13" s="250" t="s">
        <v>339</v>
      </c>
      <c r="B13" s="227">
        <v>9</v>
      </c>
      <c r="C13" s="226">
        <f>'побудинковий звіт'!E13</f>
        <v>6323.6</v>
      </c>
      <c r="D13" s="138">
        <f t="shared" si="6"/>
        <v>892.49806077992832</v>
      </c>
      <c r="E13" s="104">
        <f t="shared" si="0"/>
        <v>183.96793264428956</v>
      </c>
      <c r="F13" s="323">
        <v>162.30611059587926</v>
      </c>
      <c r="G13" s="104" t="e">
        <f t="shared" si="1"/>
        <v>#REF!</v>
      </c>
      <c r="H13" s="720">
        <f t="shared" si="7"/>
        <v>745.65954349153208</v>
      </c>
      <c r="I13" s="104" t="e">
        <f t="shared" si="8"/>
        <v>#REF!</v>
      </c>
      <c r="J13" s="28"/>
      <c r="K13" s="139" t="e">
        <f t="shared" si="9"/>
        <v>#REF!</v>
      </c>
      <c r="L13" s="200">
        <f t="shared" si="10"/>
        <v>177.37787338745409</v>
      </c>
      <c r="M13" s="104">
        <f t="shared" si="2"/>
        <v>39.026311676258686</v>
      </c>
      <c r="N13" s="323">
        <v>0</v>
      </c>
      <c r="O13" s="104"/>
      <c r="P13" s="104">
        <f t="shared" si="11"/>
        <v>148.19472434484231</v>
      </c>
      <c r="Q13" s="104">
        <f t="shared" si="12"/>
        <v>46.928559143703083</v>
      </c>
      <c r="R13" s="104"/>
      <c r="S13" s="140">
        <f t="shared" si="13"/>
        <v>411.52746855225814</v>
      </c>
      <c r="T13" s="234">
        <v>691.14</v>
      </c>
      <c r="U13" s="104"/>
      <c r="V13" s="148">
        <f t="shared" si="14"/>
        <v>691.14</v>
      </c>
      <c r="W13" s="881">
        <v>161.07</v>
      </c>
      <c r="X13" s="104"/>
      <c r="Y13" s="45">
        <f t="shared" si="15"/>
        <v>161.07</v>
      </c>
      <c r="Z13" s="138">
        <f t="shared" si="16"/>
        <v>32.614460608493765</v>
      </c>
      <c r="AA13" s="104">
        <f t="shared" si="3"/>
        <v>7.1689166054268556</v>
      </c>
      <c r="AB13" s="323">
        <v>0</v>
      </c>
      <c r="AC13" s="104"/>
      <c r="AD13" s="104">
        <f t="shared" si="17"/>
        <v>27.248556470027616</v>
      </c>
      <c r="AE13" s="104">
        <f t="shared" si="18"/>
        <v>8.6278701971622951</v>
      </c>
      <c r="AF13" s="104"/>
      <c r="AG13" s="139">
        <f t="shared" si="19"/>
        <v>75.659803881110534</v>
      </c>
      <c r="AH13" s="200">
        <f t="shared" si="20"/>
        <v>590.75518590163517</v>
      </c>
      <c r="AI13" s="104">
        <f t="shared" si="4"/>
        <v>117.8353926686746</v>
      </c>
      <c r="AJ13" s="323">
        <v>91.35702994929629</v>
      </c>
      <c r="AK13" s="118" t="e">
        <f t="shared" si="5"/>
        <v>#REF!</v>
      </c>
      <c r="AL13" s="104"/>
      <c r="AM13" s="104">
        <f t="shared" si="21"/>
        <v>493.56100768412455</v>
      </c>
      <c r="AN13" s="104" t="e">
        <f t="shared" si="22"/>
        <v>#REF!</v>
      </c>
      <c r="AO13" s="104"/>
      <c r="AP13" s="140" t="e">
        <f t="shared" si="23"/>
        <v>#REF!</v>
      </c>
      <c r="AQ13" s="33"/>
      <c r="AR13" s="28"/>
      <c r="AS13" s="121"/>
      <c r="AT13" s="135" t="e">
        <f t="shared" si="24"/>
        <v>#REF!</v>
      </c>
      <c r="AU13" s="148" t="e">
        <f t="shared" si="25"/>
        <v>#REF!</v>
      </c>
      <c r="AW13" s="1">
        <v>3</v>
      </c>
      <c r="BA13" s="29">
        <v>729.53</v>
      </c>
      <c r="BB13" s="29">
        <v>138.5</v>
      </c>
      <c r="BC13" s="29">
        <v>39.56</v>
      </c>
      <c r="BD13" s="29">
        <v>455.64</v>
      </c>
      <c r="BI13" s="323">
        <v>8.7100000000000009</v>
      </c>
      <c r="BL13" s="107">
        <f t="shared" si="27"/>
        <v>1.2233877438623886</v>
      </c>
      <c r="BM13" s="107">
        <f t="shared" si="27"/>
        <v>1.2807066670574303</v>
      </c>
      <c r="BN13" s="107">
        <f t="shared" si="27"/>
        <v>0.82443024793968056</v>
      </c>
      <c r="BO13" s="107">
        <f t="shared" si="27"/>
        <v>1.2965393422474656</v>
      </c>
    </row>
    <row r="14" spans="1:67" x14ac:dyDescent="0.25">
      <c r="A14" s="424" t="s">
        <v>33</v>
      </c>
      <c r="B14" s="228">
        <v>1</v>
      </c>
      <c r="C14" s="226" t="e">
        <f>'побудинковий звіт'!#REF!</f>
        <v>#REF!</v>
      </c>
      <c r="D14" s="138">
        <f t="shared" si="6"/>
        <v>0</v>
      </c>
      <c r="E14" s="104">
        <f t="shared" si="0"/>
        <v>0</v>
      </c>
      <c r="F14" s="323">
        <v>0</v>
      </c>
      <c r="G14" s="104" t="e">
        <f t="shared" si="1"/>
        <v>#REF!</v>
      </c>
      <c r="H14" s="720">
        <f t="shared" si="7"/>
        <v>0</v>
      </c>
      <c r="I14" s="104" t="e">
        <f t="shared" si="8"/>
        <v>#REF!</v>
      </c>
      <c r="J14" s="28"/>
      <c r="K14" s="139" t="e">
        <f t="shared" si="9"/>
        <v>#REF!</v>
      </c>
      <c r="L14" s="200">
        <f t="shared" si="10"/>
        <v>0</v>
      </c>
      <c r="M14" s="104">
        <f t="shared" si="2"/>
        <v>0</v>
      </c>
      <c r="N14" s="323">
        <v>0</v>
      </c>
      <c r="O14" s="104"/>
      <c r="P14" s="104">
        <f t="shared" si="11"/>
        <v>0</v>
      </c>
      <c r="Q14" s="104">
        <f t="shared" si="12"/>
        <v>0</v>
      </c>
      <c r="R14" s="104"/>
      <c r="S14" s="140">
        <f t="shared" si="13"/>
        <v>0</v>
      </c>
      <c r="T14" s="235"/>
      <c r="U14" s="104"/>
      <c r="V14" s="148">
        <f t="shared" si="14"/>
        <v>0</v>
      </c>
      <c r="W14" s="236"/>
      <c r="X14" s="104"/>
      <c r="Y14" s="45">
        <f t="shared" si="15"/>
        <v>0</v>
      </c>
      <c r="Z14" s="138">
        <f t="shared" si="16"/>
        <v>0</v>
      </c>
      <c r="AA14" s="104">
        <f t="shared" si="3"/>
        <v>0</v>
      </c>
      <c r="AB14" s="323">
        <v>0</v>
      </c>
      <c r="AC14" s="104"/>
      <c r="AD14" s="104">
        <f t="shared" si="17"/>
        <v>0</v>
      </c>
      <c r="AE14" s="104">
        <f t="shared" si="18"/>
        <v>0</v>
      </c>
      <c r="AF14" s="104"/>
      <c r="AG14" s="139">
        <f t="shared" si="19"/>
        <v>0</v>
      </c>
      <c r="AH14" s="200">
        <f t="shared" si="20"/>
        <v>0</v>
      </c>
      <c r="AI14" s="104">
        <f t="shared" si="4"/>
        <v>0</v>
      </c>
      <c r="AJ14" s="323">
        <v>0</v>
      </c>
      <c r="AK14" s="118" t="e">
        <f t="shared" si="5"/>
        <v>#REF!</v>
      </c>
      <c r="AL14" s="104"/>
      <c r="AM14" s="104">
        <f t="shared" si="21"/>
        <v>0</v>
      </c>
      <c r="AN14" s="104" t="e">
        <f t="shared" si="22"/>
        <v>#REF!</v>
      </c>
      <c r="AO14" s="104"/>
      <c r="AP14" s="140" t="e">
        <f t="shared" si="23"/>
        <v>#REF!</v>
      </c>
      <c r="AQ14" s="33"/>
      <c r="AR14" s="28"/>
      <c r="AS14" s="121"/>
      <c r="AT14" s="135">
        <f t="shared" si="24"/>
        <v>0</v>
      </c>
      <c r="AU14" s="148" t="e">
        <f t="shared" si="25"/>
        <v>#REF!</v>
      </c>
      <c r="AW14" s="1">
        <v>3</v>
      </c>
      <c r="BA14" s="29">
        <v>0</v>
      </c>
      <c r="BB14" s="29">
        <v>0</v>
      </c>
      <c r="BC14" s="29">
        <v>0</v>
      </c>
      <c r="BD14" s="29">
        <v>0</v>
      </c>
      <c r="BI14" s="323">
        <v>0</v>
      </c>
      <c r="BL14" s="107">
        <f t="shared" si="27"/>
        <v>1.2233877438623886</v>
      </c>
      <c r="BM14" s="107">
        <f t="shared" si="27"/>
        <v>1.2807066670574303</v>
      </c>
      <c r="BN14" s="107">
        <f t="shared" si="27"/>
        <v>0.82443024793968056</v>
      </c>
      <c r="BO14" s="107">
        <f t="shared" si="27"/>
        <v>1.2965393422474656</v>
      </c>
    </row>
    <row r="15" spans="1:67" x14ac:dyDescent="0.25">
      <c r="A15" s="250" t="s">
        <v>340</v>
      </c>
      <c r="B15" s="227">
        <v>9</v>
      </c>
      <c r="C15" s="226">
        <f>'побудинковий звіт'!E14</f>
        <v>3179.26</v>
      </c>
      <c r="D15" s="138">
        <f t="shared" si="6"/>
        <v>438.43890456095141</v>
      </c>
      <c r="E15" s="104">
        <f t="shared" si="0"/>
        <v>90.374088647789222</v>
      </c>
      <c r="F15" s="323">
        <v>84.335889829855347</v>
      </c>
      <c r="G15" s="104" t="e">
        <f t="shared" si="1"/>
        <v>#REF!</v>
      </c>
      <c r="H15" s="720">
        <f t="shared" si="7"/>
        <v>366.30460926509477</v>
      </c>
      <c r="I15" s="104" t="e">
        <f t="shared" si="8"/>
        <v>#REF!</v>
      </c>
      <c r="J15" s="28"/>
      <c r="K15" s="139" t="e">
        <f t="shared" si="9"/>
        <v>#REF!</v>
      </c>
      <c r="L15" s="200">
        <f t="shared" si="10"/>
        <v>71.100238702640709</v>
      </c>
      <c r="M15" s="104">
        <f t="shared" si="2"/>
        <v>15.64332699944246</v>
      </c>
      <c r="N15" s="323">
        <v>0</v>
      </c>
      <c r="O15" s="104"/>
      <c r="P15" s="104">
        <f t="shared" si="11"/>
        <v>59.402450114928406</v>
      </c>
      <c r="Q15" s="104">
        <f t="shared" si="12"/>
        <v>18.810867969985942</v>
      </c>
      <c r="R15" s="104"/>
      <c r="S15" s="140">
        <f t="shared" si="13"/>
        <v>164.95688378699751</v>
      </c>
      <c r="T15" s="234">
        <v>552.6</v>
      </c>
      <c r="U15" s="104"/>
      <c r="V15" s="148">
        <f t="shared" si="14"/>
        <v>552.6</v>
      </c>
      <c r="W15" s="881">
        <v>109.96</v>
      </c>
      <c r="X15" s="104"/>
      <c r="Y15" s="45">
        <f t="shared" si="15"/>
        <v>109.96</v>
      </c>
      <c r="Z15" s="138">
        <f t="shared" si="16"/>
        <v>9.4271478874683989</v>
      </c>
      <c r="AA15" s="104">
        <f t="shared" si="3"/>
        <v>2.0721617273868529</v>
      </c>
      <c r="AB15" s="323">
        <v>0</v>
      </c>
      <c r="AC15" s="104"/>
      <c r="AD15" s="104">
        <f t="shared" si="17"/>
        <v>7.8761434888206034</v>
      </c>
      <c r="AE15" s="104">
        <f t="shared" si="18"/>
        <v>2.4938694917845048</v>
      </c>
      <c r="AF15" s="104"/>
      <c r="AG15" s="139">
        <f t="shared" si="19"/>
        <v>21.869322595460361</v>
      </c>
      <c r="AH15" s="200">
        <f t="shared" si="20"/>
        <v>119.1561334505342</v>
      </c>
      <c r="AI15" s="104">
        <f t="shared" si="4"/>
        <v>23.767560758006756</v>
      </c>
      <c r="AJ15" s="323">
        <v>135.21479903114482</v>
      </c>
      <c r="AK15" s="118" t="e">
        <f t="shared" si="5"/>
        <v>#REF!</v>
      </c>
      <c r="AL15" s="104"/>
      <c r="AM15" s="104">
        <f t="shared" si="21"/>
        <v>99.551934034789994</v>
      </c>
      <c r="AN15" s="104" t="e">
        <f t="shared" si="22"/>
        <v>#REF!</v>
      </c>
      <c r="AO15" s="104"/>
      <c r="AP15" s="140" t="e">
        <f t="shared" si="23"/>
        <v>#REF!</v>
      </c>
      <c r="AQ15" s="33"/>
      <c r="AR15" s="28"/>
      <c r="AS15" s="121"/>
      <c r="AT15" s="135" t="e">
        <f t="shared" si="24"/>
        <v>#REF!</v>
      </c>
      <c r="AU15" s="148" t="e">
        <f t="shared" si="25"/>
        <v>#REF!</v>
      </c>
      <c r="AW15" s="1">
        <v>1</v>
      </c>
      <c r="BA15" s="29">
        <v>510.4</v>
      </c>
      <c r="BB15" s="29">
        <v>77.11</v>
      </c>
      <c r="BC15" s="29">
        <v>26.37</v>
      </c>
      <c r="BD15" s="29">
        <v>143.61000000000001</v>
      </c>
      <c r="BI15" s="323">
        <v>8.51</v>
      </c>
      <c r="BL15" s="107">
        <f>$BA$397</f>
        <v>0.85901039294857251</v>
      </c>
      <c r="BM15" s="107">
        <f>$BB$397</f>
        <v>0.92206249128051765</v>
      </c>
      <c r="BN15" s="107">
        <f>$BC$397</f>
        <v>0.35749517965371247</v>
      </c>
      <c r="BO15" s="107">
        <f>$BD$397</f>
        <v>0.82972030812989472</v>
      </c>
    </row>
    <row r="16" spans="1:67" x14ac:dyDescent="0.25">
      <c r="A16" s="250" t="s">
        <v>147</v>
      </c>
      <c r="B16" s="227">
        <v>2</v>
      </c>
      <c r="C16" s="226">
        <f>'побудинковий звіт'!E15</f>
        <v>2915.8</v>
      </c>
      <c r="D16" s="138">
        <f t="shared" si="6"/>
        <v>30.391787702520496</v>
      </c>
      <c r="E16" s="104">
        <f t="shared" si="0"/>
        <v>6.264567508539935</v>
      </c>
      <c r="F16" s="323">
        <v>8.3282374978640377</v>
      </c>
      <c r="G16" s="104" t="e">
        <f t="shared" si="1"/>
        <v>#REF!</v>
      </c>
      <c r="H16" s="720">
        <f t="shared" si="7"/>
        <v>25.391569505875889</v>
      </c>
      <c r="I16" s="104" t="e">
        <f t="shared" si="8"/>
        <v>#REF!</v>
      </c>
      <c r="J16" s="28"/>
      <c r="K16" s="139" t="e">
        <f t="shared" si="9"/>
        <v>#REF!</v>
      </c>
      <c r="L16" s="200">
        <f t="shared" si="10"/>
        <v>13.250037999701037</v>
      </c>
      <c r="M16" s="104">
        <f t="shared" si="2"/>
        <v>2.9152458693034387</v>
      </c>
      <c r="N16" s="323">
        <v>0</v>
      </c>
      <c r="O16" s="104"/>
      <c r="P16" s="104">
        <f t="shared" si="11"/>
        <v>11.070071432389071</v>
      </c>
      <c r="Q16" s="104">
        <f t="shared" si="12"/>
        <v>3.5055397837984437</v>
      </c>
      <c r="R16" s="104"/>
      <c r="S16" s="140">
        <f t="shared" si="13"/>
        <v>30.74089508519199</v>
      </c>
      <c r="T16" s="234">
        <v>54.67</v>
      </c>
      <c r="U16" s="104"/>
      <c r="V16" s="148">
        <f t="shared" si="14"/>
        <v>54.67</v>
      </c>
      <c r="W16" s="236"/>
      <c r="X16" s="104"/>
      <c r="Y16" s="45">
        <f t="shared" si="15"/>
        <v>0</v>
      </c>
      <c r="Z16" s="138">
        <f t="shared" si="16"/>
        <v>0</v>
      </c>
      <c r="AA16" s="104">
        <f t="shared" si="3"/>
        <v>0</v>
      </c>
      <c r="AB16" s="323">
        <v>0</v>
      </c>
      <c r="AC16" s="104"/>
      <c r="AD16" s="104">
        <f t="shared" si="17"/>
        <v>0</v>
      </c>
      <c r="AE16" s="104">
        <f t="shared" si="18"/>
        <v>0</v>
      </c>
      <c r="AF16" s="104"/>
      <c r="AG16" s="139">
        <f t="shared" si="19"/>
        <v>0</v>
      </c>
      <c r="AH16" s="200">
        <f t="shared" si="20"/>
        <v>14.951559952500702</v>
      </c>
      <c r="AI16" s="104">
        <f t="shared" si="4"/>
        <v>2.9823232703800686</v>
      </c>
      <c r="AJ16" s="323">
        <v>3.5663656851881478</v>
      </c>
      <c r="AK16" s="118" t="e">
        <f t="shared" si="5"/>
        <v>#REF!</v>
      </c>
      <c r="AL16" s="104"/>
      <c r="AM16" s="104">
        <f t="shared" si="21"/>
        <v>12.491649963838976</v>
      </c>
      <c r="AN16" s="104" t="e">
        <f t="shared" si="22"/>
        <v>#REF!</v>
      </c>
      <c r="AO16" s="104"/>
      <c r="AP16" s="140" t="e">
        <f t="shared" si="23"/>
        <v>#REF!</v>
      </c>
      <c r="AQ16" s="33"/>
      <c r="AR16" s="28"/>
      <c r="AS16" s="121"/>
      <c r="AT16" s="135" t="e">
        <f t="shared" si="24"/>
        <v>#REF!</v>
      </c>
      <c r="AU16" s="148" t="e">
        <f t="shared" si="25"/>
        <v>#REF!</v>
      </c>
      <c r="AW16" s="1">
        <v>1</v>
      </c>
      <c r="BA16" s="29">
        <v>35.380000000000003</v>
      </c>
      <c r="BB16" s="29">
        <v>14.37</v>
      </c>
      <c r="BC16" s="29">
        <v>0</v>
      </c>
      <c r="BD16" s="29">
        <v>18.02</v>
      </c>
      <c r="BI16" s="323">
        <v>0</v>
      </c>
      <c r="BL16" s="107">
        <f>$BA$397</f>
        <v>0.85901039294857251</v>
      </c>
      <c r="BM16" s="107">
        <f>$BB$397</f>
        <v>0.92206249128051765</v>
      </c>
      <c r="BN16" s="107">
        <f>$BC$397</f>
        <v>0.35749517965371247</v>
      </c>
      <c r="BO16" s="107">
        <f>$BD$397</f>
        <v>0.82972030812989472</v>
      </c>
    </row>
    <row r="17" spans="1:67" x14ac:dyDescent="0.25">
      <c r="A17" s="250" t="s">
        <v>148</v>
      </c>
      <c r="B17" s="227">
        <v>2</v>
      </c>
      <c r="C17" s="226">
        <f>'побудинковий звіт'!E16</f>
        <v>2296.6</v>
      </c>
      <c r="D17" s="138">
        <f t="shared" si="6"/>
        <v>30.391787702520496</v>
      </c>
      <c r="E17" s="104">
        <f t="shared" si="0"/>
        <v>6.264567508539935</v>
      </c>
      <c r="F17" s="323">
        <v>8.1835818048318316</v>
      </c>
      <c r="G17" s="104" t="e">
        <f t="shared" si="1"/>
        <v>#REF!</v>
      </c>
      <c r="H17" s="720">
        <f t="shared" si="7"/>
        <v>25.391569505875889</v>
      </c>
      <c r="I17" s="104" t="e">
        <f t="shared" si="8"/>
        <v>#REF!</v>
      </c>
      <c r="J17" s="28"/>
      <c r="K17" s="139" t="e">
        <f t="shared" si="9"/>
        <v>#REF!</v>
      </c>
      <c r="L17" s="200">
        <f t="shared" si="10"/>
        <v>13.250037999701037</v>
      </c>
      <c r="M17" s="104">
        <f t="shared" si="2"/>
        <v>2.9152458693034387</v>
      </c>
      <c r="N17" s="323">
        <v>0</v>
      </c>
      <c r="O17" s="104"/>
      <c r="P17" s="104">
        <f t="shared" si="11"/>
        <v>11.070071432389071</v>
      </c>
      <c r="Q17" s="104">
        <f t="shared" si="12"/>
        <v>3.5055397837984437</v>
      </c>
      <c r="R17" s="104"/>
      <c r="S17" s="140">
        <f t="shared" si="13"/>
        <v>30.74089508519199</v>
      </c>
      <c r="T17" s="234">
        <v>53.59</v>
      </c>
      <c r="U17" s="104"/>
      <c r="V17" s="148">
        <f t="shared" si="14"/>
        <v>53.59</v>
      </c>
      <c r="W17" s="236"/>
      <c r="X17" s="104"/>
      <c r="Y17" s="45">
        <f t="shared" si="15"/>
        <v>0</v>
      </c>
      <c r="Z17" s="138">
        <f t="shared" si="16"/>
        <v>0</v>
      </c>
      <c r="AA17" s="104">
        <f t="shared" si="3"/>
        <v>0</v>
      </c>
      <c r="AB17" s="323">
        <v>0</v>
      </c>
      <c r="AC17" s="104"/>
      <c r="AD17" s="104">
        <f t="shared" si="17"/>
        <v>0</v>
      </c>
      <c r="AE17" s="104">
        <f t="shared" si="18"/>
        <v>0</v>
      </c>
      <c r="AF17" s="104"/>
      <c r="AG17" s="139">
        <f t="shared" si="19"/>
        <v>0</v>
      </c>
      <c r="AH17" s="200">
        <f t="shared" si="20"/>
        <v>14.951559952500702</v>
      </c>
      <c r="AI17" s="104">
        <f t="shared" si="4"/>
        <v>2.9823232703800686</v>
      </c>
      <c r="AJ17" s="323">
        <v>3.5044203936508347</v>
      </c>
      <c r="AK17" s="118" t="e">
        <f t="shared" si="5"/>
        <v>#REF!</v>
      </c>
      <c r="AL17" s="408"/>
      <c r="AM17" s="104">
        <f t="shared" si="21"/>
        <v>12.491649963838976</v>
      </c>
      <c r="AN17" s="104" t="e">
        <f>(AH17+AI17+AJ17+AK17+AL17+AM17)*$B$5</f>
        <v>#REF!</v>
      </c>
      <c r="AO17" s="104"/>
      <c r="AP17" s="140" t="e">
        <f>AH17+AI17+AJ17+AK17+AL17+AM17+AN17-AO17</f>
        <v>#REF!</v>
      </c>
      <c r="AQ17" s="33"/>
      <c r="AR17" s="28"/>
      <c r="AS17" s="121"/>
      <c r="AT17" s="135" t="e">
        <f t="shared" si="24"/>
        <v>#REF!</v>
      </c>
      <c r="AU17" s="148" t="e">
        <f t="shared" si="25"/>
        <v>#REF!</v>
      </c>
      <c r="AW17" s="1">
        <v>1</v>
      </c>
      <c r="BA17" s="29">
        <v>35.380000000000003</v>
      </c>
      <c r="BB17" s="29">
        <v>14.37</v>
      </c>
      <c r="BC17" s="29">
        <v>0</v>
      </c>
      <c r="BD17" s="29">
        <v>18.02</v>
      </c>
      <c r="BI17" s="323">
        <v>0</v>
      </c>
      <c r="BL17" s="107">
        <f>$BA$397</f>
        <v>0.85901039294857251</v>
      </c>
      <c r="BM17" s="107">
        <f>$BB$397</f>
        <v>0.92206249128051765</v>
      </c>
      <c r="BN17" s="107">
        <f>$BC$397</f>
        <v>0.35749517965371247</v>
      </c>
      <c r="BO17" s="107">
        <f>$BD$397</f>
        <v>0.82972030812989472</v>
      </c>
    </row>
    <row r="18" spans="1:67" x14ac:dyDescent="0.25">
      <c r="A18" s="250" t="s">
        <v>241</v>
      </c>
      <c r="B18" s="227">
        <v>5</v>
      </c>
      <c r="C18" s="226">
        <f>'побудинковий звіт'!E17</f>
        <v>2573.6</v>
      </c>
      <c r="D18" s="138">
        <f t="shared" si="6"/>
        <v>471.00398855763177</v>
      </c>
      <c r="E18" s="104">
        <f t="shared" si="0"/>
        <v>97.086631164712585</v>
      </c>
      <c r="F18" s="323">
        <v>99.135747499326882</v>
      </c>
      <c r="G18" s="104" t="e">
        <f t="shared" si="1"/>
        <v>#REF!</v>
      </c>
      <c r="H18" s="720">
        <f t="shared" si="7"/>
        <v>393.51191282551747</v>
      </c>
      <c r="I18" s="104" t="e">
        <f t="shared" si="8"/>
        <v>#REF!</v>
      </c>
      <c r="J18" s="28"/>
      <c r="K18" s="139" t="e">
        <f t="shared" si="9"/>
        <v>#REF!</v>
      </c>
      <c r="L18" s="200">
        <f t="shared" si="10"/>
        <v>106.41523211868454</v>
      </c>
      <c r="M18" s="104">
        <f t="shared" si="2"/>
        <v>23.413258578727202</v>
      </c>
      <c r="N18" s="323">
        <v>0</v>
      </c>
      <c r="O18" s="104"/>
      <c r="P18" s="104">
        <f t="shared" si="11"/>
        <v>88.907233403759406</v>
      </c>
      <c r="Q18" s="104">
        <f t="shared" si="12"/>
        <v>28.154095090339489</v>
      </c>
      <c r="R18" s="104"/>
      <c r="S18" s="140">
        <f t="shared" si="13"/>
        <v>246.88981919151067</v>
      </c>
      <c r="T18" s="234">
        <v>640.19000000000005</v>
      </c>
      <c r="U18" s="104"/>
      <c r="V18" s="148">
        <f t="shared" si="14"/>
        <v>640.19000000000005</v>
      </c>
      <c r="W18" s="236"/>
      <c r="X18" s="104"/>
      <c r="Y18" s="45">
        <f t="shared" si="15"/>
        <v>0</v>
      </c>
      <c r="Z18" s="138">
        <f t="shared" si="16"/>
        <v>0</v>
      </c>
      <c r="AA18" s="104">
        <f t="shared" si="3"/>
        <v>0</v>
      </c>
      <c r="AB18" s="323">
        <v>0</v>
      </c>
      <c r="AC18" s="104"/>
      <c r="AD18" s="104">
        <f t="shared" si="17"/>
        <v>0</v>
      </c>
      <c r="AE18" s="104">
        <f t="shared" si="18"/>
        <v>0</v>
      </c>
      <c r="AF18" s="104"/>
      <c r="AG18" s="139">
        <f t="shared" si="19"/>
        <v>0</v>
      </c>
      <c r="AH18" s="200">
        <f t="shared" si="20"/>
        <v>371.77277846376194</v>
      </c>
      <c r="AI18" s="104">
        <f t="shared" si="4"/>
        <v>74.155914969988757</v>
      </c>
      <c r="AJ18" s="323">
        <v>71.852479068680864</v>
      </c>
      <c r="AK18" s="118" t="e">
        <f t="shared" si="5"/>
        <v>#REF!</v>
      </c>
      <c r="AL18" s="408"/>
      <c r="AM18" s="104">
        <f t="shared" si="21"/>
        <v>310.60674801871977</v>
      </c>
      <c r="AN18" s="104" t="e">
        <f>(AH18+AI18+AJ18+AK18+AL18+AM18)*$B$5</f>
        <v>#REF!</v>
      </c>
      <c r="AO18" s="104"/>
      <c r="AP18" s="140" t="e">
        <f>AH18+AI18+AJ18+AK18+AL18+AM18+AN18-AO18</f>
        <v>#REF!</v>
      </c>
      <c r="AQ18" s="33"/>
      <c r="AR18" s="28"/>
      <c r="AS18" s="121"/>
      <c r="AT18" s="135" t="e">
        <f t="shared" si="24"/>
        <v>#REF!</v>
      </c>
      <c r="AU18" s="148" t="e">
        <f t="shared" si="25"/>
        <v>#REF!</v>
      </c>
      <c r="AW18" s="1">
        <v>1</v>
      </c>
      <c r="BA18" s="29">
        <v>548.30999999999995</v>
      </c>
      <c r="BB18" s="29">
        <v>115.41</v>
      </c>
      <c r="BC18" s="29">
        <v>0</v>
      </c>
      <c r="BD18" s="29">
        <v>448.07</v>
      </c>
      <c r="BI18" s="323">
        <v>0</v>
      </c>
      <c r="BL18" s="107">
        <f>$BA$397</f>
        <v>0.85901039294857251</v>
      </c>
      <c r="BM18" s="107">
        <f>$BB$397</f>
        <v>0.92206249128051765</v>
      </c>
      <c r="BN18" s="107">
        <f>$BC$397</f>
        <v>0.35749517965371247</v>
      </c>
      <c r="BO18" s="107">
        <f>$BD$397</f>
        <v>0.82972030812989472</v>
      </c>
    </row>
    <row r="19" spans="1:67" x14ac:dyDescent="0.25">
      <c r="A19" s="250" t="s">
        <v>192</v>
      </c>
      <c r="B19" s="227">
        <v>3</v>
      </c>
      <c r="C19" s="226">
        <f>'побудинковий звіт'!E18</f>
        <v>3566.7</v>
      </c>
      <c r="D19" s="138">
        <f t="shared" si="6"/>
        <v>136.21001758643666</v>
      </c>
      <c r="E19" s="104">
        <f t="shared" si="0"/>
        <v>28.076559985935852</v>
      </c>
      <c r="F19" s="323">
        <v>15.844425045896747</v>
      </c>
      <c r="G19" s="104" t="e">
        <f t="shared" si="1"/>
        <v>#REF!</v>
      </c>
      <c r="H19" s="720">
        <f t="shared" si="7"/>
        <v>113.80002265071597</v>
      </c>
      <c r="I19" s="104" t="e">
        <f t="shared" si="8"/>
        <v>#REF!</v>
      </c>
      <c r="J19" s="28"/>
      <c r="K19" s="139" t="e">
        <f t="shared" si="9"/>
        <v>#REF!</v>
      </c>
      <c r="L19" s="200">
        <f t="shared" si="10"/>
        <v>28.54095154908849</v>
      </c>
      <c r="M19" s="104">
        <f t="shared" si="2"/>
        <v>6.2795209426076468</v>
      </c>
      <c r="N19" s="323">
        <v>0</v>
      </c>
      <c r="O19" s="104"/>
      <c r="P19" s="104">
        <f t="shared" si="11"/>
        <v>23.84524273846565</v>
      </c>
      <c r="Q19" s="104">
        <f t="shared" si="12"/>
        <v>7.5510305045956088</v>
      </c>
      <c r="R19" s="104"/>
      <c r="S19" s="140">
        <f t="shared" si="13"/>
        <v>66.216745734757396</v>
      </c>
      <c r="T19" s="880">
        <v>85.433333333333337</v>
      </c>
      <c r="U19" s="104"/>
      <c r="V19" s="148">
        <f t="shared" si="14"/>
        <v>85.433333333333337</v>
      </c>
      <c r="W19" s="236"/>
      <c r="X19" s="104"/>
      <c r="Y19" s="45">
        <f t="shared" si="15"/>
        <v>0</v>
      </c>
      <c r="Z19" s="138">
        <f t="shared" si="16"/>
        <v>0</v>
      </c>
      <c r="AA19" s="104">
        <f t="shared" si="3"/>
        <v>0</v>
      </c>
      <c r="AB19" s="323">
        <v>0</v>
      </c>
      <c r="AC19" s="104"/>
      <c r="AD19" s="104">
        <f t="shared" si="17"/>
        <v>0</v>
      </c>
      <c r="AE19" s="104">
        <f t="shared" si="18"/>
        <v>0</v>
      </c>
      <c r="AF19" s="104"/>
      <c r="AG19" s="139">
        <f t="shared" si="19"/>
        <v>0</v>
      </c>
      <c r="AH19" s="200">
        <f t="shared" si="20"/>
        <v>66.350708190913721</v>
      </c>
      <c r="AI19" s="104">
        <f t="shared" si="4"/>
        <v>13.234690003758665</v>
      </c>
      <c r="AJ19" s="323">
        <v>6.2208244253148761</v>
      </c>
      <c r="AK19" s="118" t="e">
        <f t="shared" si="5"/>
        <v>#REF!</v>
      </c>
      <c r="AL19" s="104"/>
      <c r="AM19" s="104">
        <f t="shared" si="21"/>
        <v>55.434337567906617</v>
      </c>
      <c r="AN19" s="104" t="e">
        <f t="shared" si="22"/>
        <v>#REF!</v>
      </c>
      <c r="AO19" s="104"/>
      <c r="AP19" s="140" t="e">
        <f t="shared" si="23"/>
        <v>#REF!</v>
      </c>
      <c r="AQ19" s="33"/>
      <c r="AR19" s="28"/>
      <c r="AS19" s="121"/>
      <c r="AT19" s="135" t="e">
        <f t="shared" si="24"/>
        <v>#REF!</v>
      </c>
      <c r="AU19" s="148" t="e">
        <f t="shared" si="25"/>
        <v>#REF!</v>
      </c>
      <c r="AW19" s="1">
        <v>2</v>
      </c>
      <c r="BA19" s="29">
        <v>124.19</v>
      </c>
      <c r="BB19" s="29">
        <v>25.65</v>
      </c>
      <c r="BC19" s="29">
        <v>0</v>
      </c>
      <c r="BD19" s="29">
        <v>63.99</v>
      </c>
      <c r="BF19" s="147">
        <f>T19*1.2</f>
        <v>102.52</v>
      </c>
      <c r="BI19" s="323">
        <v>0</v>
      </c>
      <c r="BL19" s="107">
        <f>BA$398</f>
        <v>1.0967873225415627</v>
      </c>
      <c r="BM19" s="107">
        <f>BB$398</f>
        <v>1.1127076627324948</v>
      </c>
      <c r="BN19" s="107">
        <f>BC$398</f>
        <v>2.8314493742615632</v>
      </c>
      <c r="BO19" s="107">
        <f>BD$398</f>
        <v>1.036891829831438</v>
      </c>
    </row>
    <row r="20" spans="1:67" x14ac:dyDescent="0.25">
      <c r="A20" s="424" t="s">
        <v>37</v>
      </c>
      <c r="B20" s="228">
        <v>1</v>
      </c>
      <c r="C20" s="226">
        <f>'побудинковий звіт'!E19</f>
        <v>3627.2000000000003</v>
      </c>
      <c r="D20" s="138">
        <f t="shared" si="6"/>
        <v>0</v>
      </c>
      <c r="E20" s="104">
        <f t="shared" si="0"/>
        <v>0</v>
      </c>
      <c r="F20" s="323">
        <v>0</v>
      </c>
      <c r="G20" s="104" t="e">
        <f t="shared" si="1"/>
        <v>#REF!</v>
      </c>
      <c r="H20" s="720">
        <f t="shared" si="7"/>
        <v>0</v>
      </c>
      <c r="I20" s="104" t="e">
        <f t="shared" si="8"/>
        <v>#REF!</v>
      </c>
      <c r="J20" s="28"/>
      <c r="K20" s="139" t="e">
        <f t="shared" si="9"/>
        <v>#REF!</v>
      </c>
      <c r="L20" s="200">
        <f t="shared" si="10"/>
        <v>0</v>
      </c>
      <c r="M20" s="104">
        <f t="shared" si="2"/>
        <v>0</v>
      </c>
      <c r="N20" s="323">
        <v>0</v>
      </c>
      <c r="O20" s="104"/>
      <c r="P20" s="104">
        <f t="shared" si="11"/>
        <v>0</v>
      </c>
      <c r="Q20" s="104">
        <f t="shared" si="12"/>
        <v>0</v>
      </c>
      <c r="R20" s="104"/>
      <c r="S20" s="140">
        <f t="shared" si="13"/>
        <v>0</v>
      </c>
      <c r="T20" s="235"/>
      <c r="U20" s="104"/>
      <c r="V20" s="148">
        <f t="shared" si="14"/>
        <v>0</v>
      </c>
      <c r="W20" s="236"/>
      <c r="X20" s="104"/>
      <c r="Y20" s="45">
        <f t="shared" si="15"/>
        <v>0</v>
      </c>
      <c r="Z20" s="138">
        <f t="shared" si="16"/>
        <v>0</v>
      </c>
      <c r="AA20" s="104">
        <f t="shared" si="3"/>
        <v>0</v>
      </c>
      <c r="AB20" s="323">
        <v>0</v>
      </c>
      <c r="AC20" s="104"/>
      <c r="AD20" s="104">
        <f t="shared" si="17"/>
        <v>0</v>
      </c>
      <c r="AE20" s="104">
        <f t="shared" si="18"/>
        <v>0</v>
      </c>
      <c r="AF20" s="104"/>
      <c r="AG20" s="139">
        <f t="shared" si="19"/>
        <v>0</v>
      </c>
      <c r="AH20" s="200">
        <f t="shared" si="20"/>
        <v>0</v>
      </c>
      <c r="AI20" s="104">
        <f t="shared" si="4"/>
        <v>0</v>
      </c>
      <c r="AJ20" s="323">
        <v>0</v>
      </c>
      <c r="AK20" s="118" t="e">
        <f t="shared" si="5"/>
        <v>#REF!</v>
      </c>
      <c r="AL20" s="104"/>
      <c r="AM20" s="104">
        <f t="shared" si="21"/>
        <v>0</v>
      </c>
      <c r="AN20" s="104" t="e">
        <f t="shared" si="22"/>
        <v>#REF!</v>
      </c>
      <c r="AO20" s="104"/>
      <c r="AP20" s="140" t="e">
        <f t="shared" si="23"/>
        <v>#REF!</v>
      </c>
      <c r="AQ20" s="33"/>
      <c r="AR20" s="28"/>
      <c r="AS20" s="121"/>
      <c r="AT20" s="135">
        <f t="shared" si="24"/>
        <v>0</v>
      </c>
      <c r="AU20" s="148" t="e">
        <f t="shared" si="25"/>
        <v>#REF!</v>
      </c>
      <c r="AW20" s="1">
        <v>3</v>
      </c>
      <c r="BA20" s="29">
        <v>0</v>
      </c>
      <c r="BB20" s="29">
        <v>0</v>
      </c>
      <c r="BC20" s="29">
        <v>0</v>
      </c>
      <c r="BD20" s="29">
        <v>0</v>
      </c>
      <c r="BI20" s="323">
        <v>0</v>
      </c>
      <c r="BL20" s="107">
        <f>BA$399</f>
        <v>1.2233877438623886</v>
      </c>
      <c r="BM20" s="107">
        <f>BB$399</f>
        <v>1.2807066670574303</v>
      </c>
      <c r="BN20" s="107">
        <f>BC$399</f>
        <v>0.82443024793968056</v>
      </c>
      <c r="BO20" s="107">
        <f>BD$399</f>
        <v>1.2965393422474656</v>
      </c>
    </row>
    <row r="21" spans="1:67" x14ac:dyDescent="0.25">
      <c r="A21" s="250" t="s">
        <v>242</v>
      </c>
      <c r="B21" s="227">
        <v>5</v>
      </c>
      <c r="C21" s="226">
        <f>'побудинковий звіт'!E20</f>
        <v>1366.3</v>
      </c>
      <c r="D21" s="138">
        <f t="shared" si="6"/>
        <v>318.75929955025435</v>
      </c>
      <c r="E21" s="104">
        <f t="shared" si="0"/>
        <v>65.704892734620628</v>
      </c>
      <c r="F21" s="323">
        <v>62.094554591439234</v>
      </c>
      <c r="G21" s="104" t="e">
        <f t="shared" si="1"/>
        <v>#REF!</v>
      </c>
      <c r="H21" s="720">
        <f t="shared" si="7"/>
        <v>266.31532798919062</v>
      </c>
      <c r="I21" s="104" t="e">
        <f t="shared" si="8"/>
        <v>#REF!</v>
      </c>
      <c r="J21" s="28"/>
      <c r="K21" s="139" t="e">
        <f t="shared" si="9"/>
        <v>#REF!</v>
      </c>
      <c r="L21" s="200">
        <f t="shared" si="10"/>
        <v>63.836038610963222</v>
      </c>
      <c r="M21" s="104">
        <f t="shared" si="2"/>
        <v>14.045072767150124</v>
      </c>
      <c r="N21" s="323">
        <v>0</v>
      </c>
      <c r="O21" s="104"/>
      <c r="P21" s="104">
        <f t="shared" si="11"/>
        <v>53.333394772154946</v>
      </c>
      <c r="Q21" s="104">
        <f t="shared" si="12"/>
        <v>16.88899103503509</v>
      </c>
      <c r="R21" s="104"/>
      <c r="S21" s="140">
        <f t="shared" si="13"/>
        <v>148.10349718530335</v>
      </c>
      <c r="T21" s="880">
        <v>309.36666666666667</v>
      </c>
      <c r="U21" s="104"/>
      <c r="V21" s="148">
        <f t="shared" si="14"/>
        <v>309.36666666666667</v>
      </c>
      <c r="W21" s="236"/>
      <c r="X21" s="104"/>
      <c r="Y21" s="45">
        <f t="shared" si="15"/>
        <v>0</v>
      </c>
      <c r="Z21" s="138">
        <f t="shared" si="16"/>
        <v>0</v>
      </c>
      <c r="AA21" s="104">
        <f t="shared" si="3"/>
        <v>0</v>
      </c>
      <c r="AB21" s="323">
        <v>0</v>
      </c>
      <c r="AC21" s="104"/>
      <c r="AD21" s="104">
        <f t="shared" si="17"/>
        <v>0</v>
      </c>
      <c r="AE21" s="104">
        <f t="shared" si="18"/>
        <v>0</v>
      </c>
      <c r="AF21" s="104"/>
      <c r="AG21" s="139">
        <f t="shared" si="19"/>
        <v>0</v>
      </c>
      <c r="AH21" s="200">
        <f t="shared" si="20"/>
        <v>169.63550336042326</v>
      </c>
      <c r="AI21" s="104">
        <f t="shared" si="4"/>
        <v>33.83646326949394</v>
      </c>
      <c r="AJ21" s="323">
        <v>24.37951019128387</v>
      </c>
      <c r="AK21" s="118" t="e">
        <f t="shared" si="5"/>
        <v>#REF!</v>
      </c>
      <c r="AL21" s="104"/>
      <c r="AM21" s="104">
        <f t="shared" si="21"/>
        <v>141.72617012204284</v>
      </c>
      <c r="AN21" s="104" t="e">
        <f t="shared" si="22"/>
        <v>#REF!</v>
      </c>
      <c r="AO21" s="104"/>
      <c r="AP21" s="140" t="e">
        <f t="shared" si="23"/>
        <v>#REF!</v>
      </c>
      <c r="AQ21" s="33"/>
      <c r="AR21" s="28"/>
      <c r="AS21" s="121"/>
      <c r="AT21" s="135" t="e">
        <f t="shared" si="24"/>
        <v>#REF!</v>
      </c>
      <c r="AU21" s="148" t="e">
        <f t="shared" si="25"/>
        <v>#REF!</v>
      </c>
      <c r="AW21" s="1">
        <v>2</v>
      </c>
      <c r="BA21" s="29">
        <v>290.63</v>
      </c>
      <c r="BB21" s="29">
        <v>57.37</v>
      </c>
      <c r="BC21" s="29">
        <v>0</v>
      </c>
      <c r="BD21" s="29">
        <v>163.6</v>
      </c>
      <c r="BF21" s="279">
        <f>T21*1.2</f>
        <v>371.24</v>
      </c>
      <c r="BI21" s="323">
        <v>0</v>
      </c>
      <c r="BL21" s="107">
        <f t="shared" ref="BL21:BO22" si="28">BA$398</f>
        <v>1.0967873225415627</v>
      </c>
      <c r="BM21" s="107">
        <f t="shared" si="28"/>
        <v>1.1127076627324948</v>
      </c>
      <c r="BN21" s="107">
        <f t="shared" si="28"/>
        <v>2.8314493742615632</v>
      </c>
      <c r="BO21" s="107">
        <f t="shared" si="28"/>
        <v>1.036891829831438</v>
      </c>
    </row>
    <row r="22" spans="1:67" x14ac:dyDescent="0.25">
      <c r="A22" s="250" t="s">
        <v>193</v>
      </c>
      <c r="B22" s="227">
        <v>3</v>
      </c>
      <c r="C22" s="226">
        <f>'побудинковий звіт'!E21</f>
        <v>1588.6</v>
      </c>
      <c r="D22" s="138">
        <f t="shared" si="6"/>
        <v>214.55353603558052</v>
      </c>
      <c r="E22" s="104">
        <f t="shared" si="0"/>
        <v>44.22527308518216</v>
      </c>
      <c r="F22" s="323">
        <v>29.774245166367116</v>
      </c>
      <c r="G22" s="104" t="e">
        <f t="shared" si="1"/>
        <v>#REF!</v>
      </c>
      <c r="H22" s="720">
        <f t="shared" si="7"/>
        <v>179.25404968945216</v>
      </c>
      <c r="I22" s="104" t="e">
        <f t="shared" si="8"/>
        <v>#REF!</v>
      </c>
      <c r="J22" s="28"/>
      <c r="K22" s="139" t="e">
        <f t="shared" si="9"/>
        <v>#REF!</v>
      </c>
      <c r="L22" s="200">
        <f t="shared" si="10"/>
        <v>44.474925279417818</v>
      </c>
      <c r="M22" s="104">
        <f t="shared" si="2"/>
        <v>9.785280782691137</v>
      </c>
      <c r="N22" s="323">
        <v>0</v>
      </c>
      <c r="O22" s="104"/>
      <c r="P22" s="104">
        <f t="shared" si="11"/>
        <v>37.157674551909246</v>
      </c>
      <c r="Q22" s="104">
        <f t="shared" si="12"/>
        <v>11.76665455238544</v>
      </c>
      <c r="R22" s="104"/>
      <c r="S22" s="140">
        <f t="shared" si="13"/>
        <v>103.18453516640363</v>
      </c>
      <c r="T22" s="880">
        <v>174.56666666666666</v>
      </c>
      <c r="U22" s="104"/>
      <c r="V22" s="148">
        <f t="shared" si="14"/>
        <v>174.56666666666666</v>
      </c>
      <c r="W22" s="236"/>
      <c r="X22" s="104"/>
      <c r="Y22" s="45">
        <f t="shared" si="15"/>
        <v>0</v>
      </c>
      <c r="Z22" s="138">
        <f t="shared" si="16"/>
        <v>0</v>
      </c>
      <c r="AA22" s="104">
        <f t="shared" si="3"/>
        <v>0</v>
      </c>
      <c r="AB22" s="323">
        <v>0</v>
      </c>
      <c r="AC22" s="104"/>
      <c r="AD22" s="104">
        <f t="shared" si="17"/>
        <v>0</v>
      </c>
      <c r="AE22" s="104">
        <f t="shared" si="18"/>
        <v>0</v>
      </c>
      <c r="AF22" s="104"/>
      <c r="AG22" s="139">
        <f t="shared" si="19"/>
        <v>0</v>
      </c>
      <c r="AH22" s="200">
        <f t="shared" si="20"/>
        <v>132.13112587542017</v>
      </c>
      <c r="AI22" s="104">
        <f t="shared" si="4"/>
        <v>26.355626616330159</v>
      </c>
      <c r="AJ22" s="323">
        <v>11.689938324661183</v>
      </c>
      <c r="AK22" s="118" t="e">
        <f t="shared" si="5"/>
        <v>#REF!</v>
      </c>
      <c r="AL22" s="408"/>
      <c r="AM22" s="104">
        <f t="shared" si="21"/>
        <v>110.39221184995064</v>
      </c>
      <c r="AN22" s="104" t="e">
        <f t="shared" si="22"/>
        <v>#REF!</v>
      </c>
      <c r="AO22" s="104"/>
      <c r="AP22" s="140" t="e">
        <f t="shared" si="23"/>
        <v>#REF!</v>
      </c>
      <c r="AQ22" s="33"/>
      <c r="AR22" s="28"/>
      <c r="AS22" s="121"/>
      <c r="AT22" s="135" t="e">
        <f t="shared" si="24"/>
        <v>#REF!</v>
      </c>
      <c r="AU22" s="148" t="e">
        <f t="shared" si="25"/>
        <v>#REF!</v>
      </c>
      <c r="AW22" s="1">
        <v>2</v>
      </c>
      <c r="BA22" s="29">
        <v>195.62</v>
      </c>
      <c r="BB22" s="29">
        <v>39.97</v>
      </c>
      <c r="BC22" s="29">
        <v>0</v>
      </c>
      <c r="BD22" s="29">
        <v>127.43</v>
      </c>
      <c r="BF22" s="279">
        <f>T22*1.2</f>
        <v>209.48</v>
      </c>
      <c r="BI22" s="323">
        <v>0</v>
      </c>
      <c r="BL22" s="107">
        <f t="shared" si="28"/>
        <v>1.0967873225415627</v>
      </c>
      <c r="BM22" s="107">
        <f t="shared" si="28"/>
        <v>1.1127076627324948</v>
      </c>
      <c r="BN22" s="107">
        <f t="shared" si="28"/>
        <v>2.8314493742615632</v>
      </c>
      <c r="BO22" s="107">
        <f t="shared" si="28"/>
        <v>1.036891829831438</v>
      </c>
    </row>
    <row r="23" spans="1:67" x14ac:dyDescent="0.25">
      <c r="A23" s="250" t="s">
        <v>341</v>
      </c>
      <c r="B23" s="227">
        <v>9</v>
      </c>
      <c r="C23" s="226">
        <f>'побудинковий звіт'!E22</f>
        <v>2593.7999999999997</v>
      </c>
      <c r="D23" s="138">
        <f t="shared" si="6"/>
        <v>484.88973227985775</v>
      </c>
      <c r="E23" s="104">
        <f t="shared" si="0"/>
        <v>99.948857625545457</v>
      </c>
      <c r="F23" s="323">
        <v>52.410438175983103</v>
      </c>
      <c r="G23" s="104" t="e">
        <f t="shared" si="1"/>
        <v>#REF!</v>
      </c>
      <c r="H23" s="720">
        <f t="shared" si="7"/>
        <v>405.11310030138418</v>
      </c>
      <c r="I23" s="104" t="e">
        <f t="shared" si="8"/>
        <v>#REF!</v>
      </c>
      <c r="J23" s="28"/>
      <c r="K23" s="139" t="e">
        <f t="shared" si="9"/>
        <v>#REF!</v>
      </c>
      <c r="L23" s="200">
        <f t="shared" si="10"/>
        <v>79.544691090936993</v>
      </c>
      <c r="M23" s="104">
        <f t="shared" si="2"/>
        <v>17.50125789323052</v>
      </c>
      <c r="N23" s="323">
        <v>0</v>
      </c>
      <c r="O23" s="104"/>
      <c r="P23" s="104">
        <f t="shared" si="11"/>
        <v>66.457576383091379</v>
      </c>
      <c r="Q23" s="104">
        <f t="shared" si="12"/>
        <v>21.045002226825982</v>
      </c>
      <c r="R23" s="104"/>
      <c r="S23" s="140">
        <f t="shared" si="13"/>
        <v>184.54852759408485</v>
      </c>
      <c r="T23" s="234">
        <v>306.29000000000002</v>
      </c>
      <c r="U23" s="104"/>
      <c r="V23" s="148">
        <f t="shared" si="14"/>
        <v>306.29000000000002</v>
      </c>
      <c r="W23" s="881">
        <v>71.39</v>
      </c>
      <c r="X23" s="104"/>
      <c r="Y23" s="45">
        <f t="shared" si="15"/>
        <v>71.39</v>
      </c>
      <c r="Z23" s="138">
        <f t="shared" si="16"/>
        <v>21.740225638169377</v>
      </c>
      <c r="AA23" s="104">
        <f t="shared" si="3"/>
        <v>4.7786736826366578</v>
      </c>
      <c r="AB23" s="323">
        <v>0</v>
      </c>
      <c r="AC23" s="104"/>
      <c r="AD23" s="104">
        <f t="shared" si="17"/>
        <v>18.163408344656933</v>
      </c>
      <c r="AE23" s="104">
        <f t="shared" si="18"/>
        <v>5.7511864787454439</v>
      </c>
      <c r="AF23" s="104"/>
      <c r="AG23" s="139">
        <f t="shared" si="19"/>
        <v>50.433494144208417</v>
      </c>
      <c r="AH23" s="200">
        <f t="shared" si="20"/>
        <v>310.10627987874881</v>
      </c>
      <c r="AI23" s="104">
        <f t="shared" si="4"/>
        <v>61.855564082375544</v>
      </c>
      <c r="AJ23" s="323">
        <v>29.50019535629605</v>
      </c>
      <c r="AK23" s="118" t="e">
        <f t="shared" si="5"/>
        <v>#REF!</v>
      </c>
      <c r="AL23" s="408"/>
      <c r="AM23" s="104">
        <f t="shared" si="21"/>
        <v>259.08594903408152</v>
      </c>
      <c r="AN23" s="104" t="e">
        <f t="shared" si="22"/>
        <v>#REF!</v>
      </c>
      <c r="AO23" s="104"/>
      <c r="AP23" s="140" t="e">
        <f t="shared" si="23"/>
        <v>#REF!</v>
      </c>
      <c r="AQ23" s="33"/>
      <c r="AR23" s="28"/>
      <c r="AS23" s="121"/>
      <c r="AT23" s="135" t="e">
        <f t="shared" si="24"/>
        <v>#REF!</v>
      </c>
      <c r="AU23" s="148" t="e">
        <f t="shared" si="25"/>
        <v>#REF!</v>
      </c>
      <c r="AW23" s="1">
        <v>3</v>
      </c>
      <c r="BA23" s="29">
        <v>396.35</v>
      </c>
      <c r="BB23" s="29">
        <v>62.11</v>
      </c>
      <c r="BC23" s="29">
        <v>26.37</v>
      </c>
      <c r="BD23" s="29">
        <v>239.18</v>
      </c>
      <c r="BI23" s="323">
        <v>8.7100000000000009</v>
      </c>
      <c r="BL23" s="107">
        <f t="shared" ref="BL23:BO31" si="29">BA$399</f>
        <v>1.2233877438623886</v>
      </c>
      <c r="BM23" s="107">
        <f t="shared" si="29"/>
        <v>1.2807066670574303</v>
      </c>
      <c r="BN23" s="107">
        <f t="shared" si="29"/>
        <v>0.82443024793968056</v>
      </c>
      <c r="BO23" s="107">
        <f t="shared" si="29"/>
        <v>1.2965393422474656</v>
      </c>
    </row>
    <row r="24" spans="1:67" x14ac:dyDescent="0.25">
      <c r="A24" s="424" t="s">
        <v>39</v>
      </c>
      <c r="B24" s="228">
        <v>1</v>
      </c>
      <c r="C24" s="226" t="e">
        <f>'побудинковий звіт'!#REF!</f>
        <v>#REF!</v>
      </c>
      <c r="D24" s="138">
        <f t="shared" si="6"/>
        <v>0</v>
      </c>
      <c r="E24" s="104">
        <f t="shared" si="0"/>
        <v>0</v>
      </c>
      <c r="F24" s="323">
        <v>0</v>
      </c>
      <c r="G24" s="104" t="e">
        <f t="shared" si="1"/>
        <v>#REF!</v>
      </c>
      <c r="H24" s="720">
        <f t="shared" si="7"/>
        <v>0</v>
      </c>
      <c r="I24" s="104" t="e">
        <f t="shared" si="8"/>
        <v>#REF!</v>
      </c>
      <c r="J24" s="28"/>
      <c r="K24" s="139" t="e">
        <f t="shared" si="9"/>
        <v>#REF!</v>
      </c>
      <c r="L24" s="200">
        <f t="shared" si="10"/>
        <v>0</v>
      </c>
      <c r="M24" s="104">
        <f t="shared" si="2"/>
        <v>0</v>
      </c>
      <c r="N24" s="323">
        <v>0</v>
      </c>
      <c r="O24" s="104"/>
      <c r="P24" s="104">
        <f t="shared" si="11"/>
        <v>0</v>
      </c>
      <c r="Q24" s="104">
        <f t="shared" si="12"/>
        <v>0</v>
      </c>
      <c r="R24" s="104"/>
      <c r="S24" s="140">
        <f t="shared" si="13"/>
        <v>0</v>
      </c>
      <c r="T24" s="235"/>
      <c r="U24" s="104"/>
      <c r="V24" s="148">
        <f t="shared" si="14"/>
        <v>0</v>
      </c>
      <c r="W24" s="236"/>
      <c r="X24" s="104"/>
      <c r="Y24" s="45">
        <f t="shared" si="15"/>
        <v>0</v>
      </c>
      <c r="Z24" s="138">
        <f t="shared" si="16"/>
        <v>0</v>
      </c>
      <c r="AA24" s="104">
        <f t="shared" si="3"/>
        <v>0</v>
      </c>
      <c r="AB24" s="323">
        <v>0</v>
      </c>
      <c r="AC24" s="104"/>
      <c r="AD24" s="104">
        <f t="shared" si="17"/>
        <v>0</v>
      </c>
      <c r="AE24" s="104">
        <f t="shared" si="18"/>
        <v>0</v>
      </c>
      <c r="AF24" s="104"/>
      <c r="AG24" s="139">
        <f t="shared" si="19"/>
        <v>0</v>
      </c>
      <c r="AH24" s="200">
        <f t="shared" si="20"/>
        <v>0</v>
      </c>
      <c r="AI24" s="104">
        <f t="shared" si="4"/>
        <v>0</v>
      </c>
      <c r="AJ24" s="323">
        <v>0</v>
      </c>
      <c r="AK24" s="118" t="e">
        <f t="shared" si="5"/>
        <v>#REF!</v>
      </c>
      <c r="AL24" s="104"/>
      <c r="AM24" s="104">
        <f t="shared" si="21"/>
        <v>0</v>
      </c>
      <c r="AN24" s="104" t="e">
        <f t="shared" si="22"/>
        <v>#REF!</v>
      </c>
      <c r="AO24" s="104"/>
      <c r="AP24" s="140" t="e">
        <f t="shared" si="23"/>
        <v>#REF!</v>
      </c>
      <c r="AQ24" s="33"/>
      <c r="AR24" s="28"/>
      <c r="AS24" s="121"/>
      <c r="AT24" s="135">
        <f t="shared" si="24"/>
        <v>0</v>
      </c>
      <c r="AU24" s="148" t="e">
        <f t="shared" si="25"/>
        <v>#REF!</v>
      </c>
      <c r="AW24" s="1">
        <v>3</v>
      </c>
      <c r="BA24" s="29">
        <v>0</v>
      </c>
      <c r="BB24" s="29">
        <v>0</v>
      </c>
      <c r="BC24" s="29">
        <v>0</v>
      </c>
      <c r="BD24" s="29">
        <v>0</v>
      </c>
      <c r="BI24" s="323">
        <v>0</v>
      </c>
      <c r="BL24" s="107">
        <f t="shared" si="29"/>
        <v>1.2233877438623886</v>
      </c>
      <c r="BM24" s="107">
        <f t="shared" si="29"/>
        <v>1.2807066670574303</v>
      </c>
      <c r="BN24" s="107">
        <f t="shared" si="29"/>
        <v>0.82443024793968056</v>
      </c>
      <c r="BO24" s="107">
        <f t="shared" si="29"/>
        <v>1.2965393422474656</v>
      </c>
    </row>
    <row r="25" spans="1:67" ht="21" customHeight="1" x14ac:dyDescent="0.25">
      <c r="A25" s="424" t="s">
        <v>40</v>
      </c>
      <c r="B25" s="228">
        <v>1</v>
      </c>
      <c r="C25" s="226">
        <f>'побудинковий звіт'!E23</f>
        <v>1869.8999999999999</v>
      </c>
      <c r="D25" s="138">
        <f t="shared" si="6"/>
        <v>0</v>
      </c>
      <c r="E25" s="104">
        <f t="shared" si="0"/>
        <v>0</v>
      </c>
      <c r="F25" s="323">
        <v>0</v>
      </c>
      <c r="G25" s="104" t="e">
        <f t="shared" si="1"/>
        <v>#REF!</v>
      </c>
      <c r="H25" s="720">
        <f t="shared" si="7"/>
        <v>0</v>
      </c>
      <c r="I25" s="104" t="e">
        <f t="shared" si="8"/>
        <v>#REF!</v>
      </c>
      <c r="J25" s="28"/>
      <c r="K25" s="139" t="e">
        <f t="shared" si="9"/>
        <v>#REF!</v>
      </c>
      <c r="L25" s="200">
        <f t="shared" si="10"/>
        <v>0</v>
      </c>
      <c r="M25" s="104">
        <f t="shared" si="2"/>
        <v>0</v>
      </c>
      <c r="N25" s="323">
        <v>0</v>
      </c>
      <c r="O25" s="104"/>
      <c r="P25" s="104">
        <f t="shared" si="11"/>
        <v>0</v>
      </c>
      <c r="Q25" s="104">
        <f t="shared" si="12"/>
        <v>0</v>
      </c>
      <c r="R25" s="104"/>
      <c r="S25" s="140">
        <f t="shared" si="13"/>
        <v>0</v>
      </c>
      <c r="T25" s="235"/>
      <c r="U25" s="104"/>
      <c r="V25" s="148">
        <f t="shared" si="14"/>
        <v>0</v>
      </c>
      <c r="W25" s="236"/>
      <c r="X25" s="104"/>
      <c r="Y25" s="45">
        <f t="shared" si="15"/>
        <v>0</v>
      </c>
      <c r="Z25" s="138">
        <f t="shared" si="16"/>
        <v>0</v>
      </c>
      <c r="AA25" s="104">
        <f t="shared" si="3"/>
        <v>0</v>
      </c>
      <c r="AB25" s="323">
        <v>0</v>
      </c>
      <c r="AC25" s="104"/>
      <c r="AD25" s="104">
        <f t="shared" si="17"/>
        <v>0</v>
      </c>
      <c r="AE25" s="104">
        <f t="shared" si="18"/>
        <v>0</v>
      </c>
      <c r="AF25" s="104"/>
      <c r="AG25" s="139">
        <f t="shared" si="19"/>
        <v>0</v>
      </c>
      <c r="AH25" s="200">
        <f t="shared" si="20"/>
        <v>0</v>
      </c>
      <c r="AI25" s="104">
        <f t="shared" si="4"/>
        <v>0</v>
      </c>
      <c r="AJ25" s="323">
        <v>0</v>
      </c>
      <c r="AK25" s="118" t="e">
        <f t="shared" si="5"/>
        <v>#REF!</v>
      </c>
      <c r="AL25" s="104"/>
      <c r="AM25" s="104">
        <f t="shared" si="21"/>
        <v>0</v>
      </c>
      <c r="AN25" s="104" t="e">
        <f t="shared" si="22"/>
        <v>#REF!</v>
      </c>
      <c r="AO25" s="104"/>
      <c r="AP25" s="140" t="e">
        <f t="shared" si="23"/>
        <v>#REF!</v>
      </c>
      <c r="AQ25" s="33"/>
      <c r="AR25" s="28"/>
      <c r="AS25" s="121"/>
      <c r="AT25" s="135">
        <f t="shared" si="24"/>
        <v>0</v>
      </c>
      <c r="AU25" s="148" t="e">
        <f t="shared" si="25"/>
        <v>#REF!</v>
      </c>
      <c r="AW25" s="1">
        <v>3</v>
      </c>
      <c r="BA25" s="29">
        <v>0</v>
      </c>
      <c r="BB25" s="29">
        <v>0</v>
      </c>
      <c r="BC25" s="29">
        <v>0</v>
      </c>
      <c r="BD25" s="29">
        <v>0</v>
      </c>
      <c r="BI25" s="323">
        <v>0</v>
      </c>
      <c r="BL25" s="107">
        <f t="shared" si="29"/>
        <v>1.2233877438623886</v>
      </c>
      <c r="BM25" s="107">
        <f t="shared" si="29"/>
        <v>1.2807066670574303</v>
      </c>
      <c r="BN25" s="107">
        <f t="shared" si="29"/>
        <v>0.82443024793968056</v>
      </c>
      <c r="BO25" s="107">
        <f t="shared" si="29"/>
        <v>1.2965393422474656</v>
      </c>
    </row>
    <row r="26" spans="1:67" x14ac:dyDescent="0.25">
      <c r="A26" s="424" t="s">
        <v>41</v>
      </c>
      <c r="B26" s="228">
        <v>1</v>
      </c>
      <c r="C26" s="226">
        <f>'побудинковий звіт'!E24</f>
        <v>275.3</v>
      </c>
      <c r="D26" s="138">
        <f t="shared" si="6"/>
        <v>0</v>
      </c>
      <c r="E26" s="104">
        <f t="shared" si="0"/>
        <v>0</v>
      </c>
      <c r="F26" s="323">
        <v>0</v>
      </c>
      <c r="G26" s="104" t="e">
        <f t="shared" si="1"/>
        <v>#REF!</v>
      </c>
      <c r="H26" s="720">
        <f t="shared" si="7"/>
        <v>0</v>
      </c>
      <c r="I26" s="104" t="e">
        <f t="shared" si="8"/>
        <v>#REF!</v>
      </c>
      <c r="J26" s="28"/>
      <c r="K26" s="139" t="e">
        <f t="shared" si="9"/>
        <v>#REF!</v>
      </c>
      <c r="L26" s="200">
        <f t="shared" si="10"/>
        <v>0</v>
      </c>
      <c r="M26" s="104">
        <f t="shared" si="2"/>
        <v>0</v>
      </c>
      <c r="N26" s="323">
        <v>0</v>
      </c>
      <c r="O26" s="104"/>
      <c r="P26" s="104">
        <f t="shared" si="11"/>
        <v>0</v>
      </c>
      <c r="Q26" s="104">
        <f t="shared" si="12"/>
        <v>0</v>
      </c>
      <c r="R26" s="104"/>
      <c r="S26" s="140">
        <f t="shared" si="13"/>
        <v>0</v>
      </c>
      <c r="T26" s="235"/>
      <c r="U26" s="104"/>
      <c r="V26" s="148">
        <f t="shared" si="14"/>
        <v>0</v>
      </c>
      <c r="W26" s="236"/>
      <c r="X26" s="104"/>
      <c r="Y26" s="45">
        <f t="shared" si="15"/>
        <v>0</v>
      </c>
      <c r="Z26" s="138">
        <f t="shared" si="16"/>
        <v>0</v>
      </c>
      <c r="AA26" s="104">
        <f t="shared" si="3"/>
        <v>0</v>
      </c>
      <c r="AB26" s="323">
        <v>0</v>
      </c>
      <c r="AC26" s="104"/>
      <c r="AD26" s="104">
        <f t="shared" si="17"/>
        <v>0</v>
      </c>
      <c r="AE26" s="104">
        <f t="shared" si="18"/>
        <v>0</v>
      </c>
      <c r="AF26" s="104"/>
      <c r="AG26" s="139">
        <f t="shared" si="19"/>
        <v>0</v>
      </c>
      <c r="AH26" s="200">
        <f t="shared" si="20"/>
        <v>0</v>
      </c>
      <c r="AI26" s="104">
        <f t="shared" si="4"/>
        <v>0</v>
      </c>
      <c r="AJ26" s="323">
        <v>0</v>
      </c>
      <c r="AK26" s="118" t="e">
        <f t="shared" si="5"/>
        <v>#REF!</v>
      </c>
      <c r="AL26" s="104"/>
      <c r="AM26" s="104">
        <f t="shared" si="21"/>
        <v>0</v>
      </c>
      <c r="AN26" s="104" t="e">
        <f t="shared" si="22"/>
        <v>#REF!</v>
      </c>
      <c r="AO26" s="104"/>
      <c r="AP26" s="140" t="e">
        <f t="shared" si="23"/>
        <v>#REF!</v>
      </c>
      <c r="AQ26" s="33"/>
      <c r="AR26" s="28"/>
      <c r="AS26" s="121"/>
      <c r="AT26" s="135">
        <f t="shared" si="24"/>
        <v>0</v>
      </c>
      <c r="AU26" s="148" t="e">
        <f t="shared" si="25"/>
        <v>#REF!</v>
      </c>
      <c r="AW26" s="1">
        <v>3</v>
      </c>
      <c r="BA26" s="29">
        <v>0</v>
      </c>
      <c r="BB26" s="29">
        <v>0</v>
      </c>
      <c r="BC26" s="29">
        <v>0</v>
      </c>
      <c r="BD26" s="29">
        <v>0</v>
      </c>
      <c r="BI26" s="323">
        <v>0</v>
      </c>
      <c r="BL26" s="107">
        <f t="shared" si="29"/>
        <v>1.2233877438623886</v>
      </c>
      <c r="BM26" s="107">
        <f t="shared" si="29"/>
        <v>1.2807066670574303</v>
      </c>
      <c r="BN26" s="107">
        <f t="shared" si="29"/>
        <v>0.82443024793968056</v>
      </c>
      <c r="BO26" s="107">
        <f t="shared" si="29"/>
        <v>1.2965393422474656</v>
      </c>
    </row>
    <row r="27" spans="1:67" ht="14.7" customHeight="1" x14ac:dyDescent="0.25">
      <c r="A27" s="424" t="s">
        <v>42</v>
      </c>
      <c r="B27" s="891">
        <v>11</v>
      </c>
      <c r="C27" s="890" t="e">
        <f>'побудинковий звіт'!#REF!</f>
        <v>#REF!</v>
      </c>
      <c r="D27" s="138">
        <f t="shared" si="6"/>
        <v>0</v>
      </c>
      <c r="E27" s="104">
        <f t="shared" si="0"/>
        <v>0</v>
      </c>
      <c r="F27" s="323">
        <v>0</v>
      </c>
      <c r="G27" s="104" t="e">
        <f t="shared" si="1"/>
        <v>#REF!</v>
      </c>
      <c r="H27" s="720">
        <f t="shared" si="7"/>
        <v>0</v>
      </c>
      <c r="I27" s="104" t="e">
        <f t="shared" si="8"/>
        <v>#REF!</v>
      </c>
      <c r="J27" s="28"/>
      <c r="K27" s="139" t="e">
        <f t="shared" si="9"/>
        <v>#REF!</v>
      </c>
      <c r="L27" s="200">
        <f t="shared" si="10"/>
        <v>0</v>
      </c>
      <c r="M27" s="104">
        <f t="shared" si="2"/>
        <v>0</v>
      </c>
      <c r="N27" s="323">
        <v>0</v>
      </c>
      <c r="O27" s="104"/>
      <c r="P27" s="104">
        <f t="shared" si="11"/>
        <v>0</v>
      </c>
      <c r="Q27" s="104">
        <f t="shared" si="12"/>
        <v>0</v>
      </c>
      <c r="R27" s="104"/>
      <c r="S27" s="140">
        <f t="shared" si="13"/>
        <v>0</v>
      </c>
      <c r="T27" s="235"/>
      <c r="U27" s="104"/>
      <c r="V27" s="148">
        <f t="shared" si="14"/>
        <v>0</v>
      </c>
      <c r="W27" s="236"/>
      <c r="X27" s="104"/>
      <c r="Y27" s="45">
        <f t="shared" si="15"/>
        <v>0</v>
      </c>
      <c r="Z27" s="138">
        <f t="shared" si="16"/>
        <v>0</v>
      </c>
      <c r="AA27" s="104">
        <f t="shared" si="3"/>
        <v>0</v>
      </c>
      <c r="AB27" s="323">
        <v>0</v>
      </c>
      <c r="AC27" s="104"/>
      <c r="AD27" s="104">
        <f t="shared" si="17"/>
        <v>0</v>
      </c>
      <c r="AE27" s="104">
        <f t="shared" si="18"/>
        <v>0</v>
      </c>
      <c r="AF27" s="104"/>
      <c r="AG27" s="139">
        <f t="shared" si="19"/>
        <v>0</v>
      </c>
      <c r="AH27" s="200">
        <f t="shared" si="20"/>
        <v>0</v>
      </c>
      <c r="AI27" s="104">
        <f t="shared" si="4"/>
        <v>0</v>
      </c>
      <c r="AJ27" s="323">
        <v>0</v>
      </c>
      <c r="AK27" s="118" t="e">
        <f t="shared" si="5"/>
        <v>#REF!</v>
      </c>
      <c r="AL27" s="104"/>
      <c r="AM27" s="104">
        <f t="shared" si="21"/>
        <v>0</v>
      </c>
      <c r="AN27" s="104" t="e">
        <f t="shared" si="22"/>
        <v>#REF!</v>
      </c>
      <c r="AO27" s="104"/>
      <c r="AP27" s="140" t="e">
        <f t="shared" si="23"/>
        <v>#REF!</v>
      </c>
      <c r="AQ27" s="33"/>
      <c r="AR27" s="28"/>
      <c r="AS27" s="121"/>
      <c r="AT27" s="135" t="e">
        <f t="shared" si="24"/>
        <v>#REF!</v>
      </c>
      <c r="AU27" s="148" t="e">
        <f t="shared" si="25"/>
        <v>#REF!</v>
      </c>
      <c r="AW27" s="1">
        <v>3</v>
      </c>
      <c r="BA27" s="29">
        <v>0</v>
      </c>
      <c r="BB27" s="29">
        <v>0</v>
      </c>
      <c r="BC27" s="29">
        <v>0</v>
      </c>
      <c r="BD27" s="29">
        <v>0</v>
      </c>
      <c r="BI27" s="323">
        <v>0</v>
      </c>
      <c r="BL27" s="107">
        <f t="shared" si="29"/>
        <v>1.2233877438623886</v>
      </c>
      <c r="BM27" s="107">
        <f t="shared" si="29"/>
        <v>1.2807066670574303</v>
      </c>
      <c r="BN27" s="107">
        <f t="shared" si="29"/>
        <v>0.82443024793968056</v>
      </c>
      <c r="BO27" s="107">
        <f t="shared" si="29"/>
        <v>1.2965393422474656</v>
      </c>
    </row>
    <row r="28" spans="1:67" ht="20.100000000000001" customHeight="1" x14ac:dyDescent="0.25">
      <c r="A28" s="424" t="s">
        <v>43</v>
      </c>
      <c r="B28" s="228">
        <v>1</v>
      </c>
      <c r="C28" s="226">
        <f>'побудинковий звіт'!E25</f>
        <v>1578.7</v>
      </c>
      <c r="D28" s="138">
        <f t="shared" si="6"/>
        <v>0</v>
      </c>
      <c r="E28" s="104">
        <f t="shared" si="0"/>
        <v>0</v>
      </c>
      <c r="F28" s="323">
        <v>0</v>
      </c>
      <c r="G28" s="104" t="e">
        <f t="shared" si="1"/>
        <v>#REF!</v>
      </c>
      <c r="H28" s="720">
        <f t="shared" si="7"/>
        <v>0</v>
      </c>
      <c r="I28" s="104" t="e">
        <f t="shared" si="8"/>
        <v>#REF!</v>
      </c>
      <c r="J28" s="28"/>
      <c r="K28" s="139" t="e">
        <f t="shared" si="9"/>
        <v>#REF!</v>
      </c>
      <c r="L28" s="200">
        <f t="shared" si="10"/>
        <v>0</v>
      </c>
      <c r="M28" s="104">
        <f t="shared" si="2"/>
        <v>0</v>
      </c>
      <c r="N28" s="323">
        <v>0</v>
      </c>
      <c r="O28" s="104"/>
      <c r="P28" s="104">
        <f t="shared" si="11"/>
        <v>0</v>
      </c>
      <c r="Q28" s="104">
        <f t="shared" si="12"/>
        <v>0</v>
      </c>
      <c r="R28" s="104"/>
      <c r="S28" s="140">
        <f t="shared" si="13"/>
        <v>0</v>
      </c>
      <c r="T28" s="235"/>
      <c r="U28" s="104"/>
      <c r="V28" s="148">
        <f t="shared" si="14"/>
        <v>0</v>
      </c>
      <c r="W28" s="236"/>
      <c r="X28" s="104"/>
      <c r="Y28" s="45">
        <f t="shared" si="15"/>
        <v>0</v>
      </c>
      <c r="Z28" s="138">
        <f t="shared" si="16"/>
        <v>0</v>
      </c>
      <c r="AA28" s="104">
        <f t="shared" si="3"/>
        <v>0</v>
      </c>
      <c r="AB28" s="323">
        <v>0</v>
      </c>
      <c r="AC28" s="104"/>
      <c r="AD28" s="104">
        <f t="shared" si="17"/>
        <v>0</v>
      </c>
      <c r="AE28" s="104">
        <f t="shared" si="18"/>
        <v>0</v>
      </c>
      <c r="AF28" s="104"/>
      <c r="AG28" s="139">
        <f t="shared" si="19"/>
        <v>0</v>
      </c>
      <c r="AH28" s="200">
        <f t="shared" si="20"/>
        <v>0</v>
      </c>
      <c r="AI28" s="104">
        <f t="shared" si="4"/>
        <v>0</v>
      </c>
      <c r="AJ28" s="323">
        <v>0</v>
      </c>
      <c r="AK28" s="118" t="e">
        <f t="shared" si="5"/>
        <v>#REF!</v>
      </c>
      <c r="AL28" s="104"/>
      <c r="AM28" s="104">
        <f t="shared" si="21"/>
        <v>0</v>
      </c>
      <c r="AN28" s="104" t="e">
        <f t="shared" si="22"/>
        <v>#REF!</v>
      </c>
      <c r="AO28" s="104"/>
      <c r="AP28" s="140" t="e">
        <f t="shared" si="23"/>
        <v>#REF!</v>
      </c>
      <c r="AQ28" s="33"/>
      <c r="AR28" s="28"/>
      <c r="AS28" s="121"/>
      <c r="AT28" s="135">
        <f t="shared" si="24"/>
        <v>0</v>
      </c>
      <c r="AU28" s="148" t="e">
        <f t="shared" si="25"/>
        <v>#REF!</v>
      </c>
      <c r="AW28" s="1">
        <v>3</v>
      </c>
      <c r="BA28" s="29">
        <v>0</v>
      </c>
      <c r="BB28" s="29">
        <v>0</v>
      </c>
      <c r="BC28" s="29">
        <v>0</v>
      </c>
      <c r="BD28" s="29">
        <v>0</v>
      </c>
      <c r="BI28" s="323">
        <v>0</v>
      </c>
      <c r="BL28" s="107">
        <f t="shared" si="29"/>
        <v>1.2233877438623886</v>
      </c>
      <c r="BM28" s="107">
        <f t="shared" si="29"/>
        <v>1.2807066670574303</v>
      </c>
      <c r="BN28" s="107">
        <f t="shared" si="29"/>
        <v>0.82443024793968056</v>
      </c>
      <c r="BO28" s="107">
        <f t="shared" si="29"/>
        <v>1.2965393422474656</v>
      </c>
    </row>
    <row r="29" spans="1:67" x14ac:dyDescent="0.25">
      <c r="A29" s="424" t="s">
        <v>44</v>
      </c>
      <c r="B29" s="891">
        <v>11</v>
      </c>
      <c r="C29" s="890">
        <f>'побудинковий звіт'!E26</f>
        <v>631.1</v>
      </c>
      <c r="D29" s="138">
        <f t="shared" si="6"/>
        <v>0</v>
      </c>
      <c r="E29" s="104">
        <f t="shared" si="0"/>
        <v>0</v>
      </c>
      <c r="F29" s="323">
        <v>0</v>
      </c>
      <c r="G29" s="104" t="e">
        <f t="shared" si="1"/>
        <v>#REF!</v>
      </c>
      <c r="H29" s="720">
        <f t="shared" si="7"/>
        <v>0</v>
      </c>
      <c r="I29" s="104" t="e">
        <f t="shared" si="8"/>
        <v>#REF!</v>
      </c>
      <c r="J29" s="28"/>
      <c r="K29" s="139" t="e">
        <f t="shared" si="9"/>
        <v>#REF!</v>
      </c>
      <c r="L29" s="200">
        <f t="shared" si="10"/>
        <v>0</v>
      </c>
      <c r="M29" s="104">
        <f t="shared" si="2"/>
        <v>0</v>
      </c>
      <c r="N29" s="323">
        <v>0</v>
      </c>
      <c r="O29" s="104"/>
      <c r="P29" s="104">
        <f t="shared" si="11"/>
        <v>0</v>
      </c>
      <c r="Q29" s="104">
        <f t="shared" si="12"/>
        <v>0</v>
      </c>
      <c r="R29" s="104"/>
      <c r="S29" s="140">
        <f t="shared" si="13"/>
        <v>0</v>
      </c>
      <c r="T29" s="235"/>
      <c r="U29" s="104"/>
      <c r="V29" s="148">
        <f t="shared" si="14"/>
        <v>0</v>
      </c>
      <c r="W29" s="236"/>
      <c r="X29" s="104"/>
      <c r="Y29" s="45">
        <f t="shared" si="15"/>
        <v>0</v>
      </c>
      <c r="Z29" s="138">
        <f t="shared" si="16"/>
        <v>0</v>
      </c>
      <c r="AA29" s="104">
        <f t="shared" si="3"/>
        <v>0</v>
      </c>
      <c r="AB29" s="323">
        <v>0</v>
      </c>
      <c r="AC29" s="104"/>
      <c r="AD29" s="104">
        <f t="shared" si="17"/>
        <v>0</v>
      </c>
      <c r="AE29" s="104">
        <f t="shared" si="18"/>
        <v>0</v>
      </c>
      <c r="AF29" s="104"/>
      <c r="AG29" s="139">
        <f t="shared" si="19"/>
        <v>0</v>
      </c>
      <c r="AH29" s="200">
        <f t="shared" si="20"/>
        <v>0</v>
      </c>
      <c r="AI29" s="104">
        <f t="shared" si="4"/>
        <v>0</v>
      </c>
      <c r="AJ29" s="323">
        <v>0</v>
      </c>
      <c r="AK29" s="118" t="e">
        <f t="shared" si="5"/>
        <v>#REF!</v>
      </c>
      <c r="AL29" s="104"/>
      <c r="AM29" s="104">
        <f t="shared" si="21"/>
        <v>0</v>
      </c>
      <c r="AN29" s="104" t="e">
        <f t="shared" si="22"/>
        <v>#REF!</v>
      </c>
      <c r="AO29" s="104"/>
      <c r="AP29" s="140" t="e">
        <f t="shared" si="23"/>
        <v>#REF!</v>
      </c>
      <c r="AQ29" s="33"/>
      <c r="AR29" s="28"/>
      <c r="AS29" s="121"/>
      <c r="AT29" s="135" t="e">
        <f t="shared" si="24"/>
        <v>#REF!</v>
      </c>
      <c r="AU29" s="148" t="e">
        <f t="shared" si="25"/>
        <v>#REF!</v>
      </c>
      <c r="AW29" s="1">
        <v>3</v>
      </c>
      <c r="BA29" s="29">
        <v>0</v>
      </c>
      <c r="BB29" s="29">
        <v>0</v>
      </c>
      <c r="BC29" s="29">
        <v>0</v>
      </c>
      <c r="BD29" s="29">
        <v>0</v>
      </c>
      <c r="BI29" s="323">
        <v>0</v>
      </c>
      <c r="BL29" s="107">
        <f t="shared" si="29"/>
        <v>1.2233877438623886</v>
      </c>
      <c r="BM29" s="107">
        <f t="shared" si="29"/>
        <v>1.2807066670574303</v>
      </c>
      <c r="BN29" s="107">
        <f t="shared" si="29"/>
        <v>0.82443024793968056</v>
      </c>
      <c r="BO29" s="107">
        <f t="shared" si="29"/>
        <v>1.2965393422474656</v>
      </c>
    </row>
    <row r="30" spans="1:67" x14ac:dyDescent="0.25">
      <c r="A30" s="424" t="s">
        <v>47</v>
      </c>
      <c r="B30" s="228">
        <v>1</v>
      </c>
      <c r="C30" s="226">
        <f>'побудинковий звіт'!E27</f>
        <v>128.19999999999999</v>
      </c>
      <c r="D30" s="138">
        <f t="shared" si="6"/>
        <v>0</v>
      </c>
      <c r="E30" s="104">
        <f t="shared" si="0"/>
        <v>0</v>
      </c>
      <c r="F30" s="323">
        <v>0</v>
      </c>
      <c r="G30" s="104" t="e">
        <f t="shared" si="1"/>
        <v>#REF!</v>
      </c>
      <c r="H30" s="720">
        <f t="shared" si="7"/>
        <v>0</v>
      </c>
      <c r="I30" s="104" t="e">
        <f t="shared" si="8"/>
        <v>#REF!</v>
      </c>
      <c r="J30" s="28"/>
      <c r="K30" s="139" t="e">
        <f t="shared" si="9"/>
        <v>#REF!</v>
      </c>
      <c r="L30" s="200">
        <f t="shared" si="10"/>
        <v>0</v>
      </c>
      <c r="M30" s="104">
        <f t="shared" si="2"/>
        <v>0</v>
      </c>
      <c r="N30" s="323">
        <v>0</v>
      </c>
      <c r="O30" s="104"/>
      <c r="P30" s="104">
        <f t="shared" si="11"/>
        <v>0</v>
      </c>
      <c r="Q30" s="104">
        <f t="shared" si="12"/>
        <v>0</v>
      </c>
      <c r="R30" s="104"/>
      <c r="S30" s="140">
        <f t="shared" si="13"/>
        <v>0</v>
      </c>
      <c r="T30" s="235"/>
      <c r="U30" s="104"/>
      <c r="V30" s="148">
        <f t="shared" si="14"/>
        <v>0</v>
      </c>
      <c r="W30" s="236"/>
      <c r="X30" s="104"/>
      <c r="Y30" s="45">
        <f t="shared" si="15"/>
        <v>0</v>
      </c>
      <c r="Z30" s="138">
        <f t="shared" si="16"/>
        <v>0</v>
      </c>
      <c r="AA30" s="104">
        <f t="shared" si="3"/>
        <v>0</v>
      </c>
      <c r="AB30" s="323">
        <v>0</v>
      </c>
      <c r="AC30" s="104"/>
      <c r="AD30" s="104">
        <f t="shared" si="17"/>
        <v>0</v>
      </c>
      <c r="AE30" s="104">
        <f t="shared" si="18"/>
        <v>0</v>
      </c>
      <c r="AF30" s="104"/>
      <c r="AG30" s="139">
        <f t="shared" si="19"/>
        <v>0</v>
      </c>
      <c r="AH30" s="200">
        <f t="shared" si="20"/>
        <v>0</v>
      </c>
      <c r="AI30" s="104">
        <f t="shared" si="4"/>
        <v>0</v>
      </c>
      <c r="AJ30" s="323">
        <v>0</v>
      </c>
      <c r="AK30" s="118" t="e">
        <f t="shared" si="5"/>
        <v>#REF!</v>
      </c>
      <c r="AL30" s="104"/>
      <c r="AM30" s="104">
        <f t="shared" si="21"/>
        <v>0</v>
      </c>
      <c r="AN30" s="104" t="e">
        <f t="shared" si="22"/>
        <v>#REF!</v>
      </c>
      <c r="AO30" s="104"/>
      <c r="AP30" s="140" t="e">
        <f t="shared" si="23"/>
        <v>#REF!</v>
      </c>
      <c r="AQ30" s="33"/>
      <c r="AR30" s="28"/>
      <c r="AS30" s="121"/>
      <c r="AT30" s="135">
        <f t="shared" si="24"/>
        <v>0</v>
      </c>
      <c r="AU30" s="148" t="e">
        <f t="shared" si="25"/>
        <v>#REF!</v>
      </c>
      <c r="AW30" s="1">
        <v>3</v>
      </c>
      <c r="BA30" s="29">
        <v>0</v>
      </c>
      <c r="BB30" s="29">
        <v>0</v>
      </c>
      <c r="BC30" s="29">
        <v>0</v>
      </c>
      <c r="BD30" s="29">
        <v>0</v>
      </c>
      <c r="BI30" s="323">
        <v>0</v>
      </c>
      <c r="BL30" s="107">
        <f t="shared" si="29"/>
        <v>1.2233877438623886</v>
      </c>
      <c r="BM30" s="107">
        <f t="shared" si="29"/>
        <v>1.2807066670574303</v>
      </c>
      <c r="BN30" s="107">
        <f t="shared" si="29"/>
        <v>0.82443024793968056</v>
      </c>
      <c r="BO30" s="107">
        <f t="shared" si="29"/>
        <v>1.2965393422474656</v>
      </c>
    </row>
    <row r="31" spans="1:67" ht="18.45" customHeight="1" x14ac:dyDescent="0.25">
      <c r="A31" s="424" t="s">
        <v>48</v>
      </c>
      <c r="B31" s="891">
        <v>11</v>
      </c>
      <c r="C31" s="890">
        <f>'побудинковий звіт'!E28</f>
        <v>4216.3</v>
      </c>
      <c r="D31" s="138">
        <f t="shared" si="6"/>
        <v>0</v>
      </c>
      <c r="E31" s="104">
        <f t="shared" si="0"/>
        <v>0</v>
      </c>
      <c r="F31" s="323">
        <v>0</v>
      </c>
      <c r="G31" s="104" t="e">
        <f t="shared" si="1"/>
        <v>#REF!</v>
      </c>
      <c r="H31" s="720">
        <f t="shared" si="7"/>
        <v>0</v>
      </c>
      <c r="I31" s="104" t="e">
        <f t="shared" si="8"/>
        <v>#REF!</v>
      </c>
      <c r="J31" s="28"/>
      <c r="K31" s="139" t="e">
        <f t="shared" si="9"/>
        <v>#REF!</v>
      </c>
      <c r="L31" s="200">
        <f t="shared" si="10"/>
        <v>0</v>
      </c>
      <c r="M31" s="104">
        <f t="shared" si="2"/>
        <v>0</v>
      </c>
      <c r="N31" s="323">
        <v>0</v>
      </c>
      <c r="O31" s="104"/>
      <c r="P31" s="104">
        <f t="shared" si="11"/>
        <v>0</v>
      </c>
      <c r="Q31" s="104">
        <f t="shared" si="12"/>
        <v>0</v>
      </c>
      <c r="R31" s="104"/>
      <c r="S31" s="140">
        <f t="shared" si="13"/>
        <v>0</v>
      </c>
      <c r="T31" s="235"/>
      <c r="U31" s="104"/>
      <c r="V31" s="148">
        <f t="shared" si="14"/>
        <v>0</v>
      </c>
      <c r="W31" s="236"/>
      <c r="X31" s="104"/>
      <c r="Y31" s="45">
        <f t="shared" si="15"/>
        <v>0</v>
      </c>
      <c r="Z31" s="138">
        <f t="shared" si="16"/>
        <v>0</v>
      </c>
      <c r="AA31" s="104">
        <f t="shared" si="3"/>
        <v>0</v>
      </c>
      <c r="AB31" s="323">
        <v>0</v>
      </c>
      <c r="AC31" s="104"/>
      <c r="AD31" s="104">
        <f t="shared" si="17"/>
        <v>0</v>
      </c>
      <c r="AE31" s="104">
        <f t="shared" si="18"/>
        <v>0</v>
      </c>
      <c r="AF31" s="104"/>
      <c r="AG31" s="139">
        <f t="shared" si="19"/>
        <v>0</v>
      </c>
      <c r="AH31" s="200">
        <f t="shared" si="20"/>
        <v>0</v>
      </c>
      <c r="AI31" s="104">
        <f t="shared" si="4"/>
        <v>0</v>
      </c>
      <c r="AJ31" s="323">
        <v>0</v>
      </c>
      <c r="AK31" s="118" t="e">
        <f t="shared" si="5"/>
        <v>#REF!</v>
      </c>
      <c r="AL31" s="104"/>
      <c r="AM31" s="104">
        <f t="shared" si="21"/>
        <v>0</v>
      </c>
      <c r="AN31" s="104" t="e">
        <f t="shared" si="22"/>
        <v>#REF!</v>
      </c>
      <c r="AO31" s="104"/>
      <c r="AP31" s="140" t="e">
        <f t="shared" si="23"/>
        <v>#REF!</v>
      </c>
      <c r="AQ31" s="33"/>
      <c r="AR31" s="28"/>
      <c r="AS31" s="121"/>
      <c r="AT31" s="135" t="e">
        <f t="shared" si="24"/>
        <v>#REF!</v>
      </c>
      <c r="AU31" s="148" t="e">
        <f t="shared" si="25"/>
        <v>#REF!</v>
      </c>
      <c r="AW31" s="1">
        <v>3</v>
      </c>
      <c r="BA31" s="29">
        <v>0</v>
      </c>
      <c r="BB31" s="29">
        <v>0</v>
      </c>
      <c r="BC31" s="29">
        <v>0</v>
      </c>
      <c r="BD31" s="29">
        <v>0</v>
      </c>
      <c r="BI31" s="323">
        <v>0</v>
      </c>
      <c r="BL31" s="107">
        <f t="shared" si="29"/>
        <v>1.2233877438623886</v>
      </c>
      <c r="BM31" s="107">
        <f t="shared" si="29"/>
        <v>1.2807066670574303</v>
      </c>
      <c r="BN31" s="107">
        <f t="shared" si="29"/>
        <v>0.82443024793968056</v>
      </c>
      <c r="BO31" s="107">
        <f t="shared" si="29"/>
        <v>1.2965393422474656</v>
      </c>
    </row>
    <row r="32" spans="1:67" x14ac:dyDescent="0.25">
      <c r="A32" s="250" t="s">
        <v>201</v>
      </c>
      <c r="B32" s="227">
        <v>4</v>
      </c>
      <c r="C32" s="226">
        <f>'побудинковий звіт'!E29</f>
        <v>172.4</v>
      </c>
      <c r="D32" s="138">
        <f t="shared" si="6"/>
        <v>307.75852270516253</v>
      </c>
      <c r="E32" s="104">
        <f t="shared" si="0"/>
        <v>63.437335792363321</v>
      </c>
      <c r="F32" s="323">
        <v>48.445593760678712</v>
      </c>
      <c r="G32" s="104" t="e">
        <f t="shared" si="1"/>
        <v>#REF!</v>
      </c>
      <c r="H32" s="720">
        <f t="shared" si="7"/>
        <v>257.12445732982451</v>
      </c>
      <c r="I32" s="104" t="e">
        <f t="shared" si="8"/>
        <v>#REF!</v>
      </c>
      <c r="J32" s="28"/>
      <c r="K32" s="139" t="e">
        <f t="shared" si="9"/>
        <v>#REF!</v>
      </c>
      <c r="L32" s="200">
        <f t="shared" si="10"/>
        <v>51.663016780669729</v>
      </c>
      <c r="M32" s="104">
        <f t="shared" si="2"/>
        <v>11.366789760829358</v>
      </c>
      <c r="N32" s="323">
        <v>0</v>
      </c>
      <c r="O32" s="104"/>
      <c r="P32" s="104">
        <f t="shared" si="11"/>
        <v>43.163143093448738</v>
      </c>
      <c r="Q32" s="104">
        <f t="shared" si="12"/>
        <v>13.668395568357665</v>
      </c>
      <c r="R32" s="104"/>
      <c r="S32" s="140">
        <f t="shared" si="13"/>
        <v>119.86134520330549</v>
      </c>
      <c r="T32" s="880">
        <v>273.60000000000002</v>
      </c>
      <c r="U32" s="104"/>
      <c r="V32" s="148">
        <f t="shared" si="14"/>
        <v>273.60000000000002</v>
      </c>
      <c r="W32" s="236"/>
      <c r="X32" s="104"/>
      <c r="Y32" s="45">
        <f t="shared" si="15"/>
        <v>0</v>
      </c>
      <c r="Z32" s="138">
        <f t="shared" si="16"/>
        <v>0</v>
      </c>
      <c r="AA32" s="104">
        <f t="shared" si="3"/>
        <v>0</v>
      </c>
      <c r="AB32" s="323">
        <v>0</v>
      </c>
      <c r="AC32" s="104"/>
      <c r="AD32" s="104">
        <f t="shared" si="17"/>
        <v>0</v>
      </c>
      <c r="AE32" s="104">
        <f t="shared" si="18"/>
        <v>0</v>
      </c>
      <c r="AF32" s="104"/>
      <c r="AG32" s="139">
        <f t="shared" si="19"/>
        <v>0</v>
      </c>
      <c r="AH32" s="200">
        <f t="shared" si="20"/>
        <v>151.86317739711242</v>
      </c>
      <c r="AI32" s="104">
        <f t="shared" si="4"/>
        <v>30.291493951406377</v>
      </c>
      <c r="AJ32" s="323">
        <v>24.620667022774594</v>
      </c>
      <c r="AK32" s="118" t="e">
        <f t="shared" si="5"/>
        <v>#REF!</v>
      </c>
      <c r="AL32" s="408"/>
      <c r="AM32" s="104">
        <f t="shared" si="21"/>
        <v>126.87784154079706</v>
      </c>
      <c r="AN32" s="104" t="e">
        <f t="shared" si="22"/>
        <v>#REF!</v>
      </c>
      <c r="AO32" s="104"/>
      <c r="AP32" s="140" t="e">
        <f t="shared" si="23"/>
        <v>#REF!</v>
      </c>
      <c r="AQ32" s="33"/>
      <c r="AR32" s="28"/>
      <c r="AS32" s="121"/>
      <c r="AT32" s="135" t="e">
        <f t="shared" si="24"/>
        <v>#REF!</v>
      </c>
      <c r="AU32" s="148" t="e">
        <f t="shared" si="25"/>
        <v>#REF!</v>
      </c>
      <c r="AW32" s="1">
        <v>2</v>
      </c>
      <c r="BA32" s="29">
        <v>280.60000000000002</v>
      </c>
      <c r="BB32" s="29">
        <v>46.43</v>
      </c>
      <c r="BC32" s="29">
        <v>0</v>
      </c>
      <c r="BD32" s="29">
        <v>146.46</v>
      </c>
      <c r="BF32" s="279">
        <f>T32*1.2</f>
        <v>328.32</v>
      </c>
      <c r="BI32" s="323">
        <v>0</v>
      </c>
      <c r="BL32" s="107">
        <f t="shared" ref="BL32:BO40" si="30">BA$398</f>
        <v>1.0967873225415627</v>
      </c>
      <c r="BM32" s="107">
        <f t="shared" si="30"/>
        <v>1.1127076627324948</v>
      </c>
      <c r="BN32" s="107">
        <f t="shared" si="30"/>
        <v>2.8314493742615632</v>
      </c>
      <c r="BO32" s="107">
        <f t="shared" si="30"/>
        <v>1.036891829831438</v>
      </c>
    </row>
    <row r="33" spans="1:67" x14ac:dyDescent="0.25">
      <c r="A33" s="250" t="s">
        <v>202</v>
      </c>
      <c r="B33" s="227">
        <v>4</v>
      </c>
      <c r="C33" s="226">
        <f>'побудинковий звіт'!E30</f>
        <v>261.2</v>
      </c>
      <c r="D33" s="138">
        <f t="shared" si="6"/>
        <v>238.50737115988824</v>
      </c>
      <c r="E33" s="104">
        <f t="shared" si="0"/>
        <v>49.162804851772371</v>
      </c>
      <c r="F33" s="323">
        <v>48.788398010009487</v>
      </c>
      <c r="G33" s="104" t="e">
        <f t="shared" si="1"/>
        <v>#REF!</v>
      </c>
      <c r="H33" s="720">
        <f t="shared" si="7"/>
        <v>199.2668727403551</v>
      </c>
      <c r="I33" s="104" t="e">
        <f t="shared" si="8"/>
        <v>#REF!</v>
      </c>
      <c r="J33" s="28"/>
      <c r="K33" s="139" t="e">
        <f t="shared" si="9"/>
        <v>#REF!</v>
      </c>
      <c r="L33" s="200">
        <f t="shared" si="10"/>
        <v>35.428611981402632</v>
      </c>
      <c r="M33" s="104">
        <f t="shared" si="2"/>
        <v>7.7949297002973674</v>
      </c>
      <c r="N33" s="323">
        <v>0</v>
      </c>
      <c r="O33" s="104"/>
      <c r="P33" s="104">
        <f t="shared" si="11"/>
        <v>29.599708724863401</v>
      </c>
      <c r="Q33" s="104">
        <f t="shared" si="12"/>
        <v>9.3732869889405137</v>
      </c>
      <c r="R33" s="104"/>
      <c r="S33" s="140">
        <f t="shared" si="13"/>
        <v>82.196537395503924</v>
      </c>
      <c r="T33" s="880">
        <v>269.18333333333334</v>
      </c>
      <c r="U33" s="104"/>
      <c r="V33" s="148">
        <f t="shared" si="14"/>
        <v>269.18333333333334</v>
      </c>
      <c r="W33" s="882">
        <v>66.875</v>
      </c>
      <c r="X33" s="104"/>
      <c r="Y33" s="45">
        <f t="shared" si="15"/>
        <v>66.875</v>
      </c>
      <c r="Z33" s="138">
        <f t="shared" si="16"/>
        <v>0</v>
      </c>
      <c r="AA33" s="104">
        <f t="shared" si="3"/>
        <v>0</v>
      </c>
      <c r="AB33" s="323">
        <v>0</v>
      </c>
      <c r="AC33" s="104"/>
      <c r="AD33" s="104">
        <f t="shared" si="17"/>
        <v>0</v>
      </c>
      <c r="AE33" s="104">
        <f t="shared" si="18"/>
        <v>0</v>
      </c>
      <c r="AF33" s="104"/>
      <c r="AG33" s="139">
        <f t="shared" si="19"/>
        <v>0</v>
      </c>
      <c r="AH33" s="200">
        <f t="shared" si="20"/>
        <v>144.17980893806146</v>
      </c>
      <c r="AI33" s="104">
        <f t="shared" si="4"/>
        <v>28.758925535593722</v>
      </c>
      <c r="AJ33" s="323">
        <v>24.755258529955277</v>
      </c>
      <c r="AK33" s="118" t="e">
        <f t="shared" si="5"/>
        <v>#REF!</v>
      </c>
      <c r="AL33" s="408"/>
      <c r="AM33" s="104">
        <f t="shared" si="21"/>
        <v>120.45858163490256</v>
      </c>
      <c r="AN33" s="104" t="e">
        <f t="shared" si="22"/>
        <v>#REF!</v>
      </c>
      <c r="AO33" s="104"/>
      <c r="AP33" s="140" t="e">
        <f t="shared" si="23"/>
        <v>#REF!</v>
      </c>
      <c r="AQ33" s="33"/>
      <c r="AR33" s="28"/>
      <c r="AS33" s="121"/>
      <c r="AT33" s="135" t="e">
        <f t="shared" si="24"/>
        <v>#REF!</v>
      </c>
      <c r="AU33" s="148" t="e">
        <f t="shared" si="25"/>
        <v>#REF!</v>
      </c>
      <c r="AW33" s="1">
        <v>2</v>
      </c>
      <c r="BA33" s="29">
        <v>217.46</v>
      </c>
      <c r="BB33" s="29">
        <v>31.84</v>
      </c>
      <c r="BC33" s="29">
        <v>0</v>
      </c>
      <c r="BD33" s="29">
        <v>139.05000000000001</v>
      </c>
      <c r="BF33" s="279">
        <f t="shared" ref="BF33:BF40" si="31">T33*1.2</f>
        <v>323.02</v>
      </c>
      <c r="BI33" s="323">
        <v>0</v>
      </c>
      <c r="BL33" s="107">
        <f t="shared" si="30"/>
        <v>1.0967873225415627</v>
      </c>
      <c r="BM33" s="107">
        <f t="shared" si="30"/>
        <v>1.1127076627324948</v>
      </c>
      <c r="BN33" s="107">
        <f t="shared" si="30"/>
        <v>2.8314493742615632</v>
      </c>
      <c r="BO33" s="107">
        <f t="shared" si="30"/>
        <v>1.036891829831438</v>
      </c>
    </row>
    <row r="34" spans="1:67" x14ac:dyDescent="0.25">
      <c r="A34" s="250" t="s">
        <v>203</v>
      </c>
      <c r="B34" s="227">
        <v>4</v>
      </c>
      <c r="C34" s="226">
        <f>'побудинковий звіт'!E31</f>
        <v>252.8</v>
      </c>
      <c r="D34" s="138">
        <f t="shared" si="6"/>
        <v>358.6275187246402</v>
      </c>
      <c r="E34" s="104">
        <f t="shared" si="0"/>
        <v>73.92280847251233</v>
      </c>
      <c r="F34" s="323">
        <v>68.553054071916264</v>
      </c>
      <c r="G34" s="104" t="e">
        <f t="shared" si="1"/>
        <v>#REF!</v>
      </c>
      <c r="H34" s="720">
        <f t="shared" si="7"/>
        <v>299.62421617143985</v>
      </c>
      <c r="I34" s="104" t="e">
        <f t="shared" si="8"/>
        <v>#REF!</v>
      </c>
      <c r="J34" s="28"/>
      <c r="K34" s="139" t="e">
        <f t="shared" si="9"/>
        <v>#REF!</v>
      </c>
      <c r="L34" s="200">
        <f t="shared" si="10"/>
        <v>72.937987292115025</v>
      </c>
      <c r="M34" s="104">
        <f t="shared" si="2"/>
        <v>16.047664631108429</v>
      </c>
      <c r="N34" s="323">
        <v>0</v>
      </c>
      <c r="O34" s="104"/>
      <c r="P34" s="104">
        <f t="shared" si="11"/>
        <v>60.937842553856655</v>
      </c>
      <c r="Q34" s="104">
        <f t="shared" si="12"/>
        <v>19.297077956188776</v>
      </c>
      <c r="R34" s="104"/>
      <c r="S34" s="140">
        <f t="shared" si="13"/>
        <v>169.2205724332689</v>
      </c>
      <c r="T34" s="880">
        <v>381.05</v>
      </c>
      <c r="U34" s="104"/>
      <c r="V34" s="148">
        <f t="shared" si="14"/>
        <v>381.05</v>
      </c>
      <c r="W34" s="236"/>
      <c r="X34" s="104"/>
      <c r="Y34" s="45">
        <f t="shared" si="15"/>
        <v>0</v>
      </c>
      <c r="Z34" s="138">
        <f t="shared" si="16"/>
        <v>0</v>
      </c>
      <c r="AA34" s="104">
        <f t="shared" si="3"/>
        <v>0</v>
      </c>
      <c r="AB34" s="323">
        <v>0</v>
      </c>
      <c r="AC34" s="104"/>
      <c r="AD34" s="104">
        <f t="shared" si="17"/>
        <v>0</v>
      </c>
      <c r="AE34" s="104">
        <f t="shared" si="18"/>
        <v>0</v>
      </c>
      <c r="AF34" s="104"/>
      <c r="AG34" s="139">
        <f t="shared" si="19"/>
        <v>0</v>
      </c>
      <c r="AH34" s="200">
        <f t="shared" si="20"/>
        <v>262.5306423950218</v>
      </c>
      <c r="AI34" s="104">
        <f t="shared" si="4"/>
        <v>52.365856572146527</v>
      </c>
      <c r="AJ34" s="323">
        <v>32.515240658161218</v>
      </c>
      <c r="AK34" s="118" t="e">
        <f t="shared" si="5"/>
        <v>#REF!</v>
      </c>
      <c r="AL34" s="408"/>
      <c r="AM34" s="104">
        <f t="shared" si="21"/>
        <v>219.33770790464567</v>
      </c>
      <c r="AN34" s="104" t="e">
        <f t="shared" si="22"/>
        <v>#REF!</v>
      </c>
      <c r="AO34" s="104"/>
      <c r="AP34" s="140" t="e">
        <f t="shared" si="23"/>
        <v>#REF!</v>
      </c>
      <c r="AQ34" s="33"/>
      <c r="AR34" s="28"/>
      <c r="AS34" s="121"/>
      <c r="AT34" s="135" t="e">
        <f t="shared" si="24"/>
        <v>#REF!</v>
      </c>
      <c r="AU34" s="148" t="e">
        <f t="shared" si="25"/>
        <v>#REF!</v>
      </c>
      <c r="AW34" s="1">
        <v>2</v>
      </c>
      <c r="BA34" s="29">
        <v>326.98</v>
      </c>
      <c r="BB34" s="29">
        <v>65.55</v>
      </c>
      <c r="BC34" s="29">
        <v>0</v>
      </c>
      <c r="BD34" s="29">
        <v>253.19</v>
      </c>
      <c r="BF34" s="279">
        <f t="shared" si="31"/>
        <v>457.26</v>
      </c>
      <c r="BI34" s="323">
        <v>0</v>
      </c>
      <c r="BL34" s="107">
        <f t="shared" si="30"/>
        <v>1.0967873225415627</v>
      </c>
      <c r="BM34" s="107">
        <f t="shared" si="30"/>
        <v>1.1127076627324948</v>
      </c>
      <c r="BN34" s="107">
        <f t="shared" si="30"/>
        <v>2.8314493742615632</v>
      </c>
      <c r="BO34" s="107">
        <f t="shared" si="30"/>
        <v>1.036891829831438</v>
      </c>
    </row>
    <row r="35" spans="1:67" x14ac:dyDescent="0.25">
      <c r="A35" s="250" t="s">
        <v>149</v>
      </c>
      <c r="B35" s="227">
        <v>2</v>
      </c>
      <c r="C35" s="226">
        <f>'побудинковий звіт'!E32</f>
        <v>3175.9</v>
      </c>
      <c r="D35" s="138">
        <f t="shared" si="6"/>
        <v>164.7264879725173</v>
      </c>
      <c r="E35" s="104">
        <f t="shared" si="0"/>
        <v>33.954573993781352</v>
      </c>
      <c r="F35" s="323">
        <v>22.041027979405037</v>
      </c>
      <c r="G35" s="104" t="e">
        <f t="shared" si="1"/>
        <v>#REF!</v>
      </c>
      <c r="H35" s="720">
        <f t="shared" si="7"/>
        <v>137.62481199702901</v>
      </c>
      <c r="I35" s="104" t="e">
        <f t="shared" si="8"/>
        <v>#REF!</v>
      </c>
      <c r="J35" s="28"/>
      <c r="K35" s="139" t="e">
        <f t="shared" si="9"/>
        <v>#REF!</v>
      </c>
      <c r="L35" s="200">
        <f t="shared" si="10"/>
        <v>31.189195786391831</v>
      </c>
      <c r="M35" s="104">
        <f t="shared" si="2"/>
        <v>6.8621821450796237</v>
      </c>
      <c r="N35" s="323">
        <v>0</v>
      </c>
      <c r="O35" s="104"/>
      <c r="P35" s="104">
        <f t="shared" si="11"/>
        <v>26.057783780085469</v>
      </c>
      <c r="Q35" s="104">
        <f t="shared" si="12"/>
        <v>8.251671931532746</v>
      </c>
      <c r="R35" s="104"/>
      <c r="S35" s="140">
        <f t="shared" si="13"/>
        <v>72.360833643089663</v>
      </c>
      <c r="T35" s="880">
        <v>104.77500000000001</v>
      </c>
      <c r="U35" s="104"/>
      <c r="V35" s="148">
        <f t="shared" si="14"/>
        <v>104.77500000000001</v>
      </c>
      <c r="W35" s="882">
        <v>25.875</v>
      </c>
      <c r="X35" s="104"/>
      <c r="Y35" s="45">
        <f t="shared" si="15"/>
        <v>25.875</v>
      </c>
      <c r="Z35" s="138">
        <f t="shared" si="16"/>
        <v>0</v>
      </c>
      <c r="AA35" s="104">
        <f t="shared" si="3"/>
        <v>0</v>
      </c>
      <c r="AB35" s="323">
        <v>0</v>
      </c>
      <c r="AC35" s="104"/>
      <c r="AD35" s="104">
        <f t="shared" si="17"/>
        <v>0</v>
      </c>
      <c r="AE35" s="104">
        <f t="shared" si="18"/>
        <v>0</v>
      </c>
      <c r="AF35" s="104"/>
      <c r="AG35" s="139">
        <f t="shared" si="19"/>
        <v>0</v>
      </c>
      <c r="AH35" s="200">
        <f t="shared" si="20"/>
        <v>50.538107785984288</v>
      </c>
      <c r="AI35" s="104">
        <f t="shared" si="4"/>
        <v>10.080618702659748</v>
      </c>
      <c r="AJ35" s="323">
        <v>8.6537292969705994</v>
      </c>
      <c r="AK35" s="118" t="e">
        <f t="shared" si="5"/>
        <v>#REF!</v>
      </c>
      <c r="AL35" s="408"/>
      <c r="AM35" s="104">
        <f t="shared" si="21"/>
        <v>42.223310096261422</v>
      </c>
      <c r="AN35" s="104" t="e">
        <f t="shared" si="22"/>
        <v>#REF!</v>
      </c>
      <c r="AO35" s="104"/>
      <c r="AP35" s="140" t="e">
        <f t="shared" si="23"/>
        <v>#REF!</v>
      </c>
      <c r="AQ35" s="33"/>
      <c r="AR35" s="28"/>
      <c r="AS35" s="121"/>
      <c r="AT35" s="135" t="e">
        <f t="shared" si="24"/>
        <v>#REF!</v>
      </c>
      <c r="AU35" s="148" t="e">
        <f t="shared" si="25"/>
        <v>#REF!</v>
      </c>
      <c r="AW35" s="1">
        <v>2</v>
      </c>
      <c r="BA35" s="29">
        <v>150.19</v>
      </c>
      <c r="BB35" s="29">
        <v>28.03</v>
      </c>
      <c r="BC35" s="29">
        <v>0</v>
      </c>
      <c r="BD35" s="29">
        <v>48.74</v>
      </c>
      <c r="BF35" s="279">
        <f t="shared" si="31"/>
        <v>125.73</v>
      </c>
      <c r="BI35" s="323">
        <v>0</v>
      </c>
      <c r="BL35" s="107">
        <f t="shared" si="30"/>
        <v>1.0967873225415627</v>
      </c>
      <c r="BM35" s="107">
        <f t="shared" si="30"/>
        <v>1.1127076627324948</v>
      </c>
      <c r="BN35" s="107">
        <f t="shared" si="30"/>
        <v>2.8314493742615632</v>
      </c>
      <c r="BO35" s="107">
        <f t="shared" si="30"/>
        <v>1.036891829831438</v>
      </c>
    </row>
    <row r="36" spans="1:67" x14ac:dyDescent="0.25">
      <c r="A36" s="250" t="s">
        <v>150</v>
      </c>
      <c r="B36" s="227">
        <v>2</v>
      </c>
      <c r="C36" s="226">
        <f>'побудинковий звіт'!E33</f>
        <v>602.5</v>
      </c>
      <c r="D36" s="138">
        <f t="shared" si="6"/>
        <v>158.34318575532541</v>
      </c>
      <c r="E36" s="104">
        <f t="shared" si="0"/>
        <v>32.638803165871316</v>
      </c>
      <c r="F36" s="323">
        <v>19.074412226130754</v>
      </c>
      <c r="G36" s="104" t="e">
        <f t="shared" si="1"/>
        <v>#REF!</v>
      </c>
      <c r="H36" s="720">
        <f t="shared" si="7"/>
        <v>132.29172453566201</v>
      </c>
      <c r="I36" s="104" t="e">
        <f t="shared" si="8"/>
        <v>#REF!</v>
      </c>
      <c r="J36" s="28"/>
      <c r="K36" s="139" t="e">
        <f t="shared" si="9"/>
        <v>#REF!</v>
      </c>
      <c r="L36" s="200">
        <f t="shared" si="10"/>
        <v>31.189195786391831</v>
      </c>
      <c r="M36" s="104">
        <f t="shared" si="2"/>
        <v>6.8621821450796237</v>
      </c>
      <c r="N36" s="323">
        <v>0</v>
      </c>
      <c r="O36" s="104"/>
      <c r="P36" s="104">
        <f t="shared" si="11"/>
        <v>26.057783780085469</v>
      </c>
      <c r="Q36" s="104">
        <f t="shared" si="12"/>
        <v>8.251671931532746</v>
      </c>
      <c r="R36" s="104"/>
      <c r="S36" s="140">
        <f t="shared" si="13"/>
        <v>72.360833643089663</v>
      </c>
      <c r="T36" s="880">
        <v>99.3</v>
      </c>
      <c r="U36" s="104"/>
      <c r="V36" s="148">
        <f t="shared" si="14"/>
        <v>99.3</v>
      </c>
      <c r="W36" s="236"/>
      <c r="X36" s="104"/>
      <c r="Y36" s="45">
        <f t="shared" si="15"/>
        <v>0</v>
      </c>
      <c r="Z36" s="138">
        <f t="shared" si="16"/>
        <v>0</v>
      </c>
      <c r="AA36" s="104">
        <f t="shared" si="3"/>
        <v>0</v>
      </c>
      <c r="AB36" s="323">
        <v>0</v>
      </c>
      <c r="AC36" s="104"/>
      <c r="AD36" s="104">
        <f t="shared" si="17"/>
        <v>0</v>
      </c>
      <c r="AE36" s="104">
        <f t="shared" si="18"/>
        <v>0</v>
      </c>
      <c r="AF36" s="104"/>
      <c r="AG36" s="139">
        <f t="shared" si="19"/>
        <v>0</v>
      </c>
      <c r="AH36" s="200">
        <f t="shared" si="20"/>
        <v>50.538107785984288</v>
      </c>
      <c r="AI36" s="104">
        <f t="shared" si="4"/>
        <v>10.080618702659748</v>
      </c>
      <c r="AJ36" s="323">
        <v>7.4889791918052628</v>
      </c>
      <c r="AK36" s="118" t="e">
        <f t="shared" si="5"/>
        <v>#REF!</v>
      </c>
      <c r="AL36" s="408"/>
      <c r="AM36" s="104">
        <f t="shared" si="21"/>
        <v>42.223310096261422</v>
      </c>
      <c r="AN36" s="104" t="e">
        <f t="shared" si="22"/>
        <v>#REF!</v>
      </c>
      <c r="AO36" s="104"/>
      <c r="AP36" s="140" t="e">
        <f t="shared" si="23"/>
        <v>#REF!</v>
      </c>
      <c r="AQ36" s="33"/>
      <c r="AR36" s="28"/>
      <c r="AS36" s="121"/>
      <c r="AT36" s="135" t="e">
        <f t="shared" si="24"/>
        <v>#REF!</v>
      </c>
      <c r="AU36" s="148" t="e">
        <f t="shared" si="25"/>
        <v>#REF!</v>
      </c>
      <c r="AW36" s="1">
        <v>2</v>
      </c>
      <c r="BA36" s="29">
        <v>144.37</v>
      </c>
      <c r="BB36" s="29">
        <v>28.03</v>
      </c>
      <c r="BC36" s="29">
        <v>0</v>
      </c>
      <c r="BD36" s="29">
        <v>48.74</v>
      </c>
      <c r="BF36" s="279">
        <f t="shared" si="31"/>
        <v>119.16</v>
      </c>
      <c r="BI36" s="323">
        <v>0</v>
      </c>
      <c r="BL36" s="107">
        <f t="shared" si="30"/>
        <v>1.0967873225415627</v>
      </c>
      <c r="BM36" s="107">
        <f t="shared" si="30"/>
        <v>1.1127076627324948</v>
      </c>
      <c r="BN36" s="107">
        <f t="shared" si="30"/>
        <v>2.8314493742615632</v>
      </c>
      <c r="BO36" s="107">
        <f t="shared" si="30"/>
        <v>1.036891829831438</v>
      </c>
    </row>
    <row r="37" spans="1:67" x14ac:dyDescent="0.25">
      <c r="A37" s="250" t="s">
        <v>243</v>
      </c>
      <c r="B37" s="227">
        <v>5</v>
      </c>
      <c r="C37" s="226">
        <f>'побудинковий звіт'!E34</f>
        <v>4198.7</v>
      </c>
      <c r="D37" s="138">
        <f t="shared" si="6"/>
        <v>223.44848122139257</v>
      </c>
      <c r="E37" s="104">
        <f t="shared" si="0"/>
        <v>46.058761300706266</v>
      </c>
      <c r="F37" s="323">
        <v>39.339263302119434</v>
      </c>
      <c r="G37" s="104" t="e">
        <f t="shared" si="1"/>
        <v>#REF!</v>
      </c>
      <c r="H37" s="720">
        <f t="shared" si="7"/>
        <v>186.68555128939823</v>
      </c>
      <c r="I37" s="104" t="e">
        <f t="shared" si="8"/>
        <v>#REF!</v>
      </c>
      <c r="J37" s="28"/>
      <c r="K37" s="139" t="e">
        <f t="shared" si="9"/>
        <v>#REF!</v>
      </c>
      <c r="L37" s="200">
        <f t="shared" si="10"/>
        <v>39.434359567239611</v>
      </c>
      <c r="M37" s="104">
        <f t="shared" si="2"/>
        <v>8.6762659729440532</v>
      </c>
      <c r="N37" s="323">
        <v>0</v>
      </c>
      <c r="O37" s="104"/>
      <c r="P37" s="104">
        <f t="shared" si="11"/>
        <v>32.946409460086649</v>
      </c>
      <c r="Q37" s="104">
        <f t="shared" si="12"/>
        <v>10.433080743971475</v>
      </c>
      <c r="R37" s="104"/>
      <c r="S37" s="140">
        <f t="shared" si="13"/>
        <v>91.490115744241777</v>
      </c>
      <c r="T37" s="880">
        <v>237.26666666666671</v>
      </c>
      <c r="U37" s="104"/>
      <c r="V37" s="148">
        <f t="shared" si="14"/>
        <v>237.26666666666671</v>
      </c>
      <c r="W37" s="236"/>
      <c r="X37" s="104"/>
      <c r="Y37" s="45">
        <f t="shared" si="15"/>
        <v>0</v>
      </c>
      <c r="Z37" s="138">
        <f t="shared" si="16"/>
        <v>0</v>
      </c>
      <c r="AA37" s="104">
        <f t="shared" si="3"/>
        <v>0</v>
      </c>
      <c r="AB37" s="323">
        <v>0</v>
      </c>
      <c r="AC37" s="104"/>
      <c r="AD37" s="104">
        <f t="shared" si="17"/>
        <v>0</v>
      </c>
      <c r="AE37" s="104">
        <f t="shared" si="18"/>
        <v>0</v>
      </c>
      <c r="AF37" s="104"/>
      <c r="AG37" s="139">
        <f t="shared" si="19"/>
        <v>0</v>
      </c>
      <c r="AH37" s="200">
        <f t="shared" si="20"/>
        <v>98.463248160793341</v>
      </c>
      <c r="AI37" s="104">
        <f t="shared" si="4"/>
        <v>19.640040049334623</v>
      </c>
      <c r="AJ37" s="323">
        <v>15.445347452799739</v>
      </c>
      <c r="AK37" s="118" t="e">
        <f t="shared" si="5"/>
        <v>#REF!</v>
      </c>
      <c r="AL37" s="104"/>
      <c r="AM37" s="104">
        <f t="shared" si="21"/>
        <v>82.263552046388682</v>
      </c>
      <c r="AN37" s="104" t="e">
        <f t="shared" si="22"/>
        <v>#REF!</v>
      </c>
      <c r="AO37" s="104"/>
      <c r="AP37" s="140" t="e">
        <f t="shared" si="23"/>
        <v>#REF!</v>
      </c>
      <c r="AQ37" s="33"/>
      <c r="AR37" s="28"/>
      <c r="AS37" s="121"/>
      <c r="AT37" s="135" t="e">
        <f t="shared" si="24"/>
        <v>#REF!</v>
      </c>
      <c r="AU37" s="148" t="e">
        <f t="shared" si="25"/>
        <v>#REF!</v>
      </c>
      <c r="AW37" s="1">
        <v>2</v>
      </c>
      <c r="BA37" s="29">
        <v>203.73</v>
      </c>
      <c r="BB37" s="29">
        <v>35.44</v>
      </c>
      <c r="BC37" s="29">
        <v>0</v>
      </c>
      <c r="BD37" s="29">
        <v>94.96</v>
      </c>
      <c r="BF37" s="279">
        <f t="shared" si="31"/>
        <v>284.72000000000003</v>
      </c>
      <c r="BI37" s="323">
        <v>0</v>
      </c>
      <c r="BL37" s="107">
        <f t="shared" si="30"/>
        <v>1.0967873225415627</v>
      </c>
      <c r="BM37" s="107">
        <f t="shared" si="30"/>
        <v>1.1127076627324948</v>
      </c>
      <c r="BN37" s="107">
        <f t="shared" si="30"/>
        <v>2.8314493742615632</v>
      </c>
      <c r="BO37" s="107">
        <f t="shared" si="30"/>
        <v>1.036891829831438</v>
      </c>
    </row>
    <row r="38" spans="1:67" x14ac:dyDescent="0.25">
      <c r="A38" s="250" t="s">
        <v>204</v>
      </c>
      <c r="B38" s="227">
        <v>4</v>
      </c>
      <c r="C38" s="226">
        <f>'побудинковий звіт'!E35</f>
        <v>229.7</v>
      </c>
      <c r="D38" s="138">
        <f t="shared" si="6"/>
        <v>161.86387306068386</v>
      </c>
      <c r="E38" s="104">
        <f t="shared" si="0"/>
        <v>33.364511818378404</v>
      </c>
      <c r="F38" s="323">
        <v>24.811906088162853</v>
      </c>
      <c r="G38" s="104" t="e">
        <f t="shared" si="1"/>
        <v>#REF!</v>
      </c>
      <c r="H38" s="720">
        <f t="shared" si="7"/>
        <v>135.23316968187993</v>
      </c>
      <c r="I38" s="104" t="e">
        <f t="shared" si="8"/>
        <v>#REF!</v>
      </c>
      <c r="J38" s="28"/>
      <c r="K38" s="139" t="e">
        <f t="shared" si="9"/>
        <v>#REF!</v>
      </c>
      <c r="L38" s="200">
        <f t="shared" si="10"/>
        <v>33.904202483459116</v>
      </c>
      <c r="M38" s="104">
        <f t="shared" si="2"/>
        <v>7.4595322854290451</v>
      </c>
      <c r="N38" s="323">
        <v>0</v>
      </c>
      <c r="O38" s="104"/>
      <c r="P38" s="104">
        <f t="shared" si="11"/>
        <v>28.326103167292334</v>
      </c>
      <c r="Q38" s="104">
        <f t="shared" si="12"/>
        <v>8.9699765877203976</v>
      </c>
      <c r="R38" s="104"/>
      <c r="S38" s="140">
        <f t="shared" si="13"/>
        <v>78.659814523900891</v>
      </c>
      <c r="T38" s="880">
        <v>132.30833333333334</v>
      </c>
      <c r="U38" s="104"/>
      <c r="V38" s="148">
        <f t="shared" si="14"/>
        <v>132.30833333333334</v>
      </c>
      <c r="W38" s="236"/>
      <c r="X38" s="104"/>
      <c r="Y38" s="45">
        <f t="shared" si="15"/>
        <v>0</v>
      </c>
      <c r="Z38" s="138">
        <f t="shared" si="16"/>
        <v>0</v>
      </c>
      <c r="AA38" s="104">
        <f t="shared" si="3"/>
        <v>0</v>
      </c>
      <c r="AB38" s="323">
        <v>0</v>
      </c>
      <c r="AC38" s="104"/>
      <c r="AD38" s="104">
        <f t="shared" si="17"/>
        <v>0</v>
      </c>
      <c r="AE38" s="104">
        <f t="shared" si="18"/>
        <v>0</v>
      </c>
      <c r="AF38" s="104"/>
      <c r="AG38" s="139">
        <f t="shared" si="19"/>
        <v>0</v>
      </c>
      <c r="AH38" s="200">
        <f t="shared" si="20"/>
        <v>89.556347342541301</v>
      </c>
      <c r="AI38" s="104">
        <f t="shared" si="4"/>
        <v>17.86341890333858</v>
      </c>
      <c r="AJ38" s="323">
        <v>9.7416290578391607</v>
      </c>
      <c r="AK38" s="118" t="e">
        <f t="shared" si="5"/>
        <v>#REF!</v>
      </c>
      <c r="AL38" s="408"/>
      <c r="AM38" s="104">
        <f t="shared" si="21"/>
        <v>74.822061818098049</v>
      </c>
      <c r="AN38" s="104" t="e">
        <f t="shared" si="22"/>
        <v>#REF!</v>
      </c>
      <c r="AO38" s="104"/>
      <c r="AP38" s="140" t="e">
        <f t="shared" si="23"/>
        <v>#REF!</v>
      </c>
      <c r="AQ38" s="33"/>
      <c r="AR38" s="28"/>
      <c r="AS38" s="121"/>
      <c r="AT38" s="135" t="e">
        <f t="shared" si="24"/>
        <v>#REF!</v>
      </c>
      <c r="AU38" s="148" t="e">
        <f t="shared" si="25"/>
        <v>#REF!</v>
      </c>
      <c r="AW38" s="1">
        <v>2</v>
      </c>
      <c r="BA38" s="29">
        <v>147.58000000000001</v>
      </c>
      <c r="BB38" s="29">
        <v>30.47</v>
      </c>
      <c r="BC38" s="29">
        <v>0</v>
      </c>
      <c r="BD38" s="29">
        <v>86.37</v>
      </c>
      <c r="BF38" s="279">
        <f t="shared" si="31"/>
        <v>158.77000000000001</v>
      </c>
      <c r="BI38" s="323">
        <v>0</v>
      </c>
      <c r="BL38" s="107">
        <f t="shared" si="30"/>
        <v>1.0967873225415627</v>
      </c>
      <c r="BM38" s="107">
        <f t="shared" si="30"/>
        <v>1.1127076627324948</v>
      </c>
      <c r="BN38" s="107">
        <f t="shared" si="30"/>
        <v>2.8314493742615632</v>
      </c>
      <c r="BO38" s="107">
        <f t="shared" si="30"/>
        <v>1.036891829831438</v>
      </c>
    </row>
    <row r="39" spans="1:67" x14ac:dyDescent="0.25">
      <c r="A39" s="250" t="s">
        <v>205</v>
      </c>
      <c r="B39" s="227">
        <v>4</v>
      </c>
      <c r="C39" s="226">
        <f>'побудинковий звіт'!E36</f>
        <v>409.7</v>
      </c>
      <c r="D39" s="138">
        <f t="shared" si="6"/>
        <v>189.9087248980716</v>
      </c>
      <c r="E39" s="104">
        <f t="shared" si="0"/>
        <v>39.145312517632604</v>
      </c>
      <c r="F39" s="323">
        <v>31.482366893057076</v>
      </c>
      <c r="G39" s="104" t="e">
        <f t="shared" si="1"/>
        <v>#REF!</v>
      </c>
      <c r="H39" s="720">
        <f t="shared" si="7"/>
        <v>158.663933665927</v>
      </c>
      <c r="I39" s="104" t="e">
        <f t="shared" si="8"/>
        <v>#REF!</v>
      </c>
      <c r="J39" s="28"/>
      <c r="K39" s="139" t="e">
        <f t="shared" si="9"/>
        <v>#REF!</v>
      </c>
      <c r="L39" s="200">
        <f t="shared" si="10"/>
        <v>35.005783069564288</v>
      </c>
      <c r="M39" s="104">
        <f t="shared" si="2"/>
        <v>7.7018997604068842</v>
      </c>
      <c r="N39" s="323">
        <v>0</v>
      </c>
      <c r="O39" s="104"/>
      <c r="P39" s="104">
        <f t="shared" si="11"/>
        <v>29.24644586947873</v>
      </c>
      <c r="Q39" s="104">
        <f t="shared" si="12"/>
        <v>9.2614198703539135</v>
      </c>
      <c r="R39" s="104"/>
      <c r="S39" s="140">
        <f t="shared" si="13"/>
        <v>81.215548569803815</v>
      </c>
      <c r="T39" s="880">
        <v>170.83333333333334</v>
      </c>
      <c r="U39" s="104"/>
      <c r="V39" s="148">
        <f t="shared" si="14"/>
        <v>170.83333333333334</v>
      </c>
      <c r="W39" s="236"/>
      <c r="X39" s="104"/>
      <c r="Y39" s="45">
        <f t="shared" si="15"/>
        <v>0</v>
      </c>
      <c r="Z39" s="138">
        <f t="shared" si="16"/>
        <v>0</v>
      </c>
      <c r="AA39" s="104">
        <f t="shared" si="3"/>
        <v>0</v>
      </c>
      <c r="AB39" s="323">
        <v>0</v>
      </c>
      <c r="AC39" s="104"/>
      <c r="AD39" s="104">
        <f t="shared" si="17"/>
        <v>0</v>
      </c>
      <c r="AE39" s="104">
        <f t="shared" si="18"/>
        <v>0</v>
      </c>
      <c r="AF39" s="104"/>
      <c r="AG39" s="139">
        <f t="shared" si="19"/>
        <v>0</v>
      </c>
      <c r="AH39" s="200">
        <f t="shared" si="20"/>
        <v>91.920460714556981</v>
      </c>
      <c r="AI39" s="104">
        <f t="shared" si="4"/>
        <v>18.33497841589632</v>
      </c>
      <c r="AJ39" s="323">
        <v>12.360579596150915</v>
      </c>
      <c r="AK39" s="118" t="e">
        <f t="shared" si="5"/>
        <v>#REF!</v>
      </c>
      <c r="AL39" s="104"/>
      <c r="AM39" s="104">
        <f t="shared" si="21"/>
        <v>76.797218712219433</v>
      </c>
      <c r="AN39" s="104" t="e">
        <f t="shared" si="22"/>
        <v>#REF!</v>
      </c>
      <c r="AO39" s="104"/>
      <c r="AP39" s="140" t="e">
        <f t="shared" si="23"/>
        <v>#REF!</v>
      </c>
      <c r="AQ39" s="33"/>
      <c r="AR39" s="28"/>
      <c r="AS39" s="121"/>
      <c r="AT39" s="135" t="e">
        <f t="shared" si="24"/>
        <v>#REF!</v>
      </c>
      <c r="AU39" s="148" t="e">
        <f t="shared" si="25"/>
        <v>#REF!</v>
      </c>
      <c r="AW39" s="1">
        <v>2</v>
      </c>
      <c r="BA39" s="29">
        <v>173.15</v>
      </c>
      <c r="BB39" s="29">
        <v>31.46</v>
      </c>
      <c r="BC39" s="29">
        <v>0</v>
      </c>
      <c r="BD39" s="29">
        <v>88.65</v>
      </c>
      <c r="BF39" s="279">
        <f t="shared" si="31"/>
        <v>205</v>
      </c>
      <c r="BI39" s="323">
        <v>0</v>
      </c>
      <c r="BL39" s="107">
        <f t="shared" si="30"/>
        <v>1.0967873225415627</v>
      </c>
      <c r="BM39" s="107">
        <f t="shared" si="30"/>
        <v>1.1127076627324948</v>
      </c>
      <c r="BN39" s="107">
        <f t="shared" si="30"/>
        <v>2.8314493742615632</v>
      </c>
      <c r="BO39" s="107">
        <f t="shared" si="30"/>
        <v>1.036891829831438</v>
      </c>
    </row>
    <row r="40" spans="1:67" x14ac:dyDescent="0.25">
      <c r="A40" s="250" t="s">
        <v>244</v>
      </c>
      <c r="B40" s="227">
        <v>5</v>
      </c>
      <c r="C40" s="226">
        <f>'побудинковий звіт'!E37</f>
        <v>450.6</v>
      </c>
      <c r="D40" s="138">
        <f t="shared" si="6"/>
        <v>223.44848122139257</v>
      </c>
      <c r="E40" s="104">
        <f t="shared" si="0"/>
        <v>46.058761300706266</v>
      </c>
      <c r="F40" s="323">
        <v>48.416096160859226</v>
      </c>
      <c r="G40" s="104" t="e">
        <f t="shared" si="1"/>
        <v>#REF!</v>
      </c>
      <c r="H40" s="720">
        <f t="shared" si="7"/>
        <v>186.68555128939823</v>
      </c>
      <c r="I40" s="104" t="e">
        <f t="shared" si="8"/>
        <v>#REF!</v>
      </c>
      <c r="J40" s="28"/>
      <c r="K40" s="139" t="e">
        <f t="shared" si="9"/>
        <v>#REF!</v>
      </c>
      <c r="L40" s="200">
        <f t="shared" si="10"/>
        <v>39.434359567239611</v>
      </c>
      <c r="M40" s="104">
        <f t="shared" si="2"/>
        <v>8.6762659729440532</v>
      </c>
      <c r="N40" s="323">
        <v>0</v>
      </c>
      <c r="O40" s="104"/>
      <c r="P40" s="104">
        <f t="shared" si="11"/>
        <v>32.946409460086649</v>
      </c>
      <c r="Q40" s="104">
        <f t="shared" si="12"/>
        <v>10.433080743971475</v>
      </c>
      <c r="R40" s="104"/>
      <c r="S40" s="140">
        <f t="shared" si="13"/>
        <v>91.490115744241777</v>
      </c>
      <c r="T40" s="880">
        <v>224.36666666666667</v>
      </c>
      <c r="U40" s="104"/>
      <c r="V40" s="148">
        <f t="shared" si="14"/>
        <v>224.36666666666667</v>
      </c>
      <c r="W40" s="236"/>
      <c r="X40" s="104"/>
      <c r="Y40" s="45">
        <f t="shared" si="15"/>
        <v>0</v>
      </c>
      <c r="Z40" s="138">
        <f t="shared" si="16"/>
        <v>0</v>
      </c>
      <c r="AA40" s="104">
        <f t="shared" si="3"/>
        <v>0</v>
      </c>
      <c r="AB40" s="323">
        <v>0</v>
      </c>
      <c r="AC40" s="104"/>
      <c r="AD40" s="104">
        <f t="shared" si="17"/>
        <v>0</v>
      </c>
      <c r="AE40" s="104">
        <f t="shared" si="18"/>
        <v>0</v>
      </c>
      <c r="AF40" s="104"/>
      <c r="AG40" s="139">
        <f t="shared" si="19"/>
        <v>0</v>
      </c>
      <c r="AH40" s="200">
        <f t="shared" si="20"/>
        <v>112.50276353671103</v>
      </c>
      <c r="AI40" s="104">
        <f t="shared" si="4"/>
        <v>22.44044171601524</v>
      </c>
      <c r="AJ40" s="323">
        <v>19.009085700706187</v>
      </c>
      <c r="AK40" s="118" t="e">
        <f t="shared" si="5"/>
        <v>#REF!</v>
      </c>
      <c r="AL40" s="104"/>
      <c r="AM40" s="104">
        <f t="shared" si="21"/>
        <v>93.993211847442851</v>
      </c>
      <c r="AN40" s="104" t="e">
        <f t="shared" si="22"/>
        <v>#REF!</v>
      </c>
      <c r="AO40" s="104"/>
      <c r="AP40" s="140" t="e">
        <f t="shared" si="23"/>
        <v>#REF!</v>
      </c>
      <c r="AQ40" s="33"/>
      <c r="AR40" s="28"/>
      <c r="AS40" s="121"/>
      <c r="AT40" s="135" t="e">
        <f t="shared" si="24"/>
        <v>#REF!</v>
      </c>
      <c r="AU40" s="148" t="e">
        <f t="shared" si="25"/>
        <v>#REF!</v>
      </c>
      <c r="AW40" s="1">
        <v>2</v>
      </c>
      <c r="BA40" s="29">
        <v>203.73</v>
      </c>
      <c r="BB40" s="29">
        <v>35.44</v>
      </c>
      <c r="BC40" s="29">
        <v>0</v>
      </c>
      <c r="BD40" s="29">
        <v>108.5</v>
      </c>
      <c r="BF40" s="279">
        <f t="shared" si="31"/>
        <v>269.24</v>
      </c>
      <c r="BI40" s="323">
        <v>0</v>
      </c>
      <c r="BL40" s="107">
        <f t="shared" si="30"/>
        <v>1.0967873225415627</v>
      </c>
      <c r="BM40" s="107">
        <f t="shared" si="30"/>
        <v>1.1127076627324948</v>
      </c>
      <c r="BN40" s="107">
        <f t="shared" si="30"/>
        <v>2.8314493742615632</v>
      </c>
      <c r="BO40" s="107">
        <f t="shared" si="30"/>
        <v>1.036891829831438</v>
      </c>
    </row>
    <row r="41" spans="1:67" x14ac:dyDescent="0.25">
      <c r="A41" s="250" t="s">
        <v>342</v>
      </c>
      <c r="B41" s="227">
        <v>9</v>
      </c>
      <c r="C41" s="226">
        <f>'побудинковий звіт'!E38</f>
        <v>2099.6999999999998</v>
      </c>
      <c r="D41" s="138">
        <f t="shared" si="6"/>
        <v>306.50756534728282</v>
      </c>
      <c r="E41" s="104">
        <f t="shared" si="0"/>
        <v>63.179479726262535</v>
      </c>
      <c r="F41" s="323">
        <v>56.898613513630295</v>
      </c>
      <c r="G41" s="104" t="e">
        <f t="shared" si="1"/>
        <v>#REF!</v>
      </c>
      <c r="H41" s="720">
        <f t="shared" si="7"/>
        <v>256.07931411507195</v>
      </c>
      <c r="I41" s="104" t="e">
        <f t="shared" si="8"/>
        <v>#REF!</v>
      </c>
      <c r="J41" s="28"/>
      <c r="K41" s="139" t="e">
        <f t="shared" si="9"/>
        <v>#REF!</v>
      </c>
      <c r="L41" s="200">
        <f t="shared" si="10"/>
        <v>59.744966018229121</v>
      </c>
      <c r="M41" s="104">
        <f t="shared" si="2"/>
        <v>13.144963463519622</v>
      </c>
      <c r="N41" s="323">
        <v>0</v>
      </c>
      <c r="O41" s="104"/>
      <c r="P41" s="104">
        <f t="shared" si="11"/>
        <v>49.915407152973962</v>
      </c>
      <c r="Q41" s="104">
        <f t="shared" si="12"/>
        <v>15.806622989557752</v>
      </c>
      <c r="R41" s="104"/>
      <c r="S41" s="140">
        <f t="shared" si="13"/>
        <v>138.61195962428044</v>
      </c>
      <c r="T41" s="234">
        <v>241</v>
      </c>
      <c r="U41" s="104"/>
      <c r="V41" s="148">
        <f t="shared" si="14"/>
        <v>241</v>
      </c>
      <c r="W41" s="881">
        <v>60.53</v>
      </c>
      <c r="X41" s="104"/>
      <c r="Y41" s="45">
        <f t="shared" si="15"/>
        <v>60.53</v>
      </c>
      <c r="Z41" s="138">
        <f t="shared" si="16"/>
        <v>10.874234970324386</v>
      </c>
      <c r="AA41" s="104">
        <f t="shared" si="3"/>
        <v>2.3902429227901973</v>
      </c>
      <c r="AB41" s="323">
        <v>0</v>
      </c>
      <c r="AC41" s="104"/>
      <c r="AD41" s="104">
        <f t="shared" si="17"/>
        <v>9.0851481253706829</v>
      </c>
      <c r="AE41" s="104">
        <f t="shared" si="18"/>
        <v>2.8766837184168521</v>
      </c>
      <c r="AF41" s="104"/>
      <c r="AG41" s="139">
        <f t="shared" si="19"/>
        <v>25.22630973690212</v>
      </c>
      <c r="AH41" s="200">
        <f t="shared" si="20"/>
        <v>152.00627248509286</v>
      </c>
      <c r="AI41" s="104">
        <f t="shared" si="4"/>
        <v>30.320036512324229</v>
      </c>
      <c r="AJ41" s="323">
        <v>32.02644878713599</v>
      </c>
      <c r="AK41" s="118" t="e">
        <f t="shared" si="5"/>
        <v>#REF!</v>
      </c>
      <c r="AL41" s="104"/>
      <c r="AM41" s="104">
        <f t="shared" si="21"/>
        <v>126.99739386552271</v>
      </c>
      <c r="AN41" s="104" t="e">
        <f t="shared" si="22"/>
        <v>#REF!</v>
      </c>
      <c r="AO41" s="104"/>
      <c r="AP41" s="140" t="e">
        <f t="shared" si="23"/>
        <v>#REF!</v>
      </c>
      <c r="AQ41" s="33"/>
      <c r="AR41" s="28"/>
      <c r="AS41" s="121"/>
      <c r="AT41" s="135" t="e">
        <f t="shared" si="24"/>
        <v>#REF!</v>
      </c>
      <c r="AU41" s="148" t="e">
        <f t="shared" si="25"/>
        <v>#REF!</v>
      </c>
      <c r="AW41" s="1">
        <v>3</v>
      </c>
      <c r="BA41" s="29">
        <v>250.54</v>
      </c>
      <c r="BB41" s="29">
        <v>46.65</v>
      </c>
      <c r="BC41" s="29">
        <v>13.19</v>
      </c>
      <c r="BD41" s="29">
        <v>117.24</v>
      </c>
      <c r="BI41" s="323">
        <v>8.7100000000000009</v>
      </c>
      <c r="BL41" s="107">
        <f t="shared" ref="BL41:BO45" si="32">BA$399</f>
        <v>1.2233877438623886</v>
      </c>
      <c r="BM41" s="107">
        <f t="shared" si="32"/>
        <v>1.2807066670574303</v>
      </c>
      <c r="BN41" s="107">
        <f t="shared" si="32"/>
        <v>0.82443024793968056</v>
      </c>
      <c r="BO41" s="107">
        <f t="shared" si="32"/>
        <v>1.2965393422474656</v>
      </c>
    </row>
    <row r="42" spans="1:67" x14ac:dyDescent="0.25">
      <c r="A42" s="250" t="s">
        <v>343</v>
      </c>
      <c r="B42" s="227">
        <v>9</v>
      </c>
      <c r="C42" s="226">
        <f>'побудинковий звіт'!E39</f>
        <v>2787.1</v>
      </c>
      <c r="D42" s="138">
        <f t="shared" si="6"/>
        <v>650.36515851468437</v>
      </c>
      <c r="E42" s="104">
        <f t="shared" si="0"/>
        <v>134.05780800382544</v>
      </c>
      <c r="F42" s="323">
        <v>152.95383958400856</v>
      </c>
      <c r="G42" s="104" t="e">
        <f t="shared" si="1"/>
        <v>#REF!</v>
      </c>
      <c r="H42" s="720">
        <f t="shared" si="7"/>
        <v>543.36363126332481</v>
      </c>
      <c r="I42" s="104" t="e">
        <f t="shared" si="8"/>
        <v>#REF!</v>
      </c>
      <c r="J42" s="28"/>
      <c r="K42" s="139" t="e">
        <f t="shared" si="9"/>
        <v>#REF!</v>
      </c>
      <c r="L42" s="200">
        <f t="shared" si="10"/>
        <v>178.45366698778236</v>
      </c>
      <c r="M42" s="104">
        <f t="shared" si="2"/>
        <v>39.263005552129137</v>
      </c>
      <c r="N42" s="323">
        <v>0</v>
      </c>
      <c r="O42" s="104"/>
      <c r="P42" s="104">
        <f t="shared" si="11"/>
        <v>149.09352267299877</v>
      </c>
      <c r="Q42" s="104">
        <f t="shared" si="12"/>
        <v>47.213180007823745</v>
      </c>
      <c r="R42" s="104"/>
      <c r="S42" s="140">
        <f t="shared" si="13"/>
        <v>414.02337522073395</v>
      </c>
      <c r="T42" s="234">
        <v>647.35</v>
      </c>
      <c r="U42" s="104"/>
      <c r="V42" s="148">
        <f t="shared" si="14"/>
        <v>647.35</v>
      </c>
      <c r="W42" s="881">
        <v>157.74</v>
      </c>
      <c r="X42" s="104"/>
      <c r="Y42" s="45">
        <f t="shared" si="15"/>
        <v>157.74</v>
      </c>
      <c r="Z42" s="138">
        <f t="shared" si="16"/>
        <v>32.614460608493765</v>
      </c>
      <c r="AA42" s="104">
        <f t="shared" si="3"/>
        <v>7.1689166054268556</v>
      </c>
      <c r="AB42" s="323">
        <v>0</v>
      </c>
      <c r="AC42" s="104"/>
      <c r="AD42" s="104">
        <f t="shared" si="17"/>
        <v>27.248556470027616</v>
      </c>
      <c r="AE42" s="104">
        <f t="shared" si="18"/>
        <v>8.6278701971622951</v>
      </c>
      <c r="AF42" s="104"/>
      <c r="AG42" s="139">
        <f t="shared" si="19"/>
        <v>75.659803881110534</v>
      </c>
      <c r="AH42" s="200">
        <f t="shared" si="20"/>
        <v>501.63107151554442</v>
      </c>
      <c r="AI42" s="104">
        <f t="shared" si="4"/>
        <v>100.05818941161928</v>
      </c>
      <c r="AJ42" s="323">
        <v>86.092929295361358</v>
      </c>
      <c r="AK42" s="118" t="e">
        <f t="shared" si="5"/>
        <v>#REF!</v>
      </c>
      <c r="AL42" s="104"/>
      <c r="AM42" s="104">
        <f t="shared" si="21"/>
        <v>419.10006556269821</v>
      </c>
      <c r="AN42" s="104" t="e">
        <f t="shared" si="22"/>
        <v>#REF!</v>
      </c>
      <c r="AO42" s="104"/>
      <c r="AP42" s="140" t="e">
        <f t="shared" si="23"/>
        <v>#REF!</v>
      </c>
      <c r="AQ42" s="33"/>
      <c r="AR42" s="28"/>
      <c r="AS42" s="121"/>
      <c r="AT42" s="135" t="e">
        <f t="shared" si="24"/>
        <v>#REF!</v>
      </c>
      <c r="AU42" s="148" t="e">
        <f t="shared" si="25"/>
        <v>#REF!</v>
      </c>
      <c r="AW42" s="1">
        <v>3</v>
      </c>
      <c r="BA42" s="29">
        <v>531.61</v>
      </c>
      <c r="BB42" s="29">
        <v>139.34</v>
      </c>
      <c r="BC42" s="29">
        <v>39.56</v>
      </c>
      <c r="BD42" s="29">
        <v>386.9</v>
      </c>
      <c r="BI42" s="323">
        <v>8.7100000000000009</v>
      </c>
      <c r="BL42" s="107">
        <f t="shared" si="32"/>
        <v>1.2233877438623886</v>
      </c>
      <c r="BM42" s="107">
        <f t="shared" si="32"/>
        <v>1.2807066670574303</v>
      </c>
      <c r="BN42" s="107">
        <f t="shared" si="32"/>
        <v>0.82443024793968056</v>
      </c>
      <c r="BO42" s="107">
        <f t="shared" si="32"/>
        <v>1.2965393422474656</v>
      </c>
    </row>
    <row r="43" spans="1:67" x14ac:dyDescent="0.25">
      <c r="A43" s="250" t="s">
        <v>344</v>
      </c>
      <c r="B43" s="227">
        <v>9</v>
      </c>
      <c r="C43" s="226">
        <f>'побудинковий звіт'!E40</f>
        <v>3560.8</v>
      </c>
      <c r="D43" s="138">
        <f t="shared" si="6"/>
        <v>427.84316178355459</v>
      </c>
      <c r="E43" s="104">
        <f t="shared" si="0"/>
        <v>88.190020155937333</v>
      </c>
      <c r="F43" s="323">
        <v>99.14224378987754</v>
      </c>
      <c r="G43" s="104" t="e">
        <f t="shared" si="1"/>
        <v>#REF!</v>
      </c>
      <c r="H43" s="720">
        <f t="shared" si="7"/>
        <v>357.45213431916255</v>
      </c>
      <c r="I43" s="104" t="e">
        <f t="shared" si="8"/>
        <v>#REF!</v>
      </c>
      <c r="J43" s="28"/>
      <c r="K43" s="139" t="e">
        <f t="shared" si="9"/>
        <v>#REF!</v>
      </c>
      <c r="L43" s="200">
        <f t="shared" si="10"/>
        <v>66.583939620315803</v>
      </c>
      <c r="M43" s="104">
        <f t="shared" si="2"/>
        <v>14.649660245838911</v>
      </c>
      <c r="N43" s="323">
        <v>0</v>
      </c>
      <c r="O43" s="104"/>
      <c r="P43" s="104">
        <f t="shared" si="11"/>
        <v>55.629196524825652</v>
      </c>
      <c r="Q43" s="104">
        <f t="shared" si="12"/>
        <v>17.615998482896202</v>
      </c>
      <c r="R43" s="104"/>
      <c r="S43" s="140">
        <f t="shared" si="13"/>
        <v>154.47879487387658</v>
      </c>
      <c r="T43" s="234">
        <v>416.71</v>
      </c>
      <c r="U43" s="104"/>
      <c r="V43" s="148">
        <f t="shared" si="14"/>
        <v>416.71</v>
      </c>
      <c r="W43" s="881">
        <v>106.75</v>
      </c>
      <c r="X43" s="104"/>
      <c r="Y43" s="45">
        <f t="shared" si="15"/>
        <v>106.75</v>
      </c>
      <c r="Z43" s="138">
        <f t="shared" si="16"/>
        <v>21.740225638169377</v>
      </c>
      <c r="AA43" s="104">
        <f t="shared" si="3"/>
        <v>4.7786736826366578</v>
      </c>
      <c r="AB43" s="323">
        <v>0</v>
      </c>
      <c r="AC43" s="104"/>
      <c r="AD43" s="104">
        <f t="shared" si="17"/>
        <v>18.163408344656933</v>
      </c>
      <c r="AE43" s="104">
        <f t="shared" si="18"/>
        <v>5.7511864787454439</v>
      </c>
      <c r="AF43" s="104"/>
      <c r="AG43" s="139">
        <f t="shared" si="19"/>
        <v>50.433494144208417</v>
      </c>
      <c r="AH43" s="200">
        <f t="shared" si="20"/>
        <v>363.53666617276684</v>
      </c>
      <c r="AI43" s="104">
        <f t="shared" si="4"/>
        <v>72.513093122574119</v>
      </c>
      <c r="AJ43" s="323">
        <v>55.804066167932874</v>
      </c>
      <c r="AK43" s="118" t="e">
        <f t="shared" si="5"/>
        <v>#REF!</v>
      </c>
      <c r="AL43" s="104"/>
      <c r="AM43" s="104">
        <f t="shared" si="21"/>
        <v>303.72568462942604</v>
      </c>
      <c r="AN43" s="104" t="e">
        <f t="shared" si="22"/>
        <v>#REF!</v>
      </c>
      <c r="AO43" s="104"/>
      <c r="AP43" s="140" t="e">
        <f t="shared" si="23"/>
        <v>#REF!</v>
      </c>
      <c r="AQ43" s="33"/>
      <c r="AR43" s="28"/>
      <c r="AS43" s="121"/>
      <c r="AT43" s="135" t="e">
        <f t="shared" si="24"/>
        <v>#REF!</v>
      </c>
      <c r="AU43" s="148" t="e">
        <f t="shared" si="25"/>
        <v>#REF!</v>
      </c>
      <c r="AW43" s="1">
        <v>3</v>
      </c>
      <c r="BA43" s="29">
        <v>349.72</v>
      </c>
      <c r="BB43" s="29">
        <v>51.99</v>
      </c>
      <c r="BC43" s="29">
        <v>26.37</v>
      </c>
      <c r="BD43" s="29">
        <v>280.39</v>
      </c>
      <c r="BI43" s="323">
        <v>8.7100000000000009</v>
      </c>
      <c r="BL43" s="107">
        <f t="shared" si="32"/>
        <v>1.2233877438623886</v>
      </c>
      <c r="BM43" s="107">
        <f t="shared" si="32"/>
        <v>1.2807066670574303</v>
      </c>
      <c r="BN43" s="107">
        <f t="shared" si="32"/>
        <v>0.82443024793968056</v>
      </c>
      <c r="BO43" s="107">
        <f t="shared" si="32"/>
        <v>1.2965393422474656</v>
      </c>
    </row>
    <row r="44" spans="1:67" x14ac:dyDescent="0.25">
      <c r="A44" s="250" t="s">
        <v>345</v>
      </c>
      <c r="B44" s="227">
        <v>9</v>
      </c>
      <c r="C44" s="226">
        <f>'побудинковий звіт'!E41</f>
        <v>3573.3</v>
      </c>
      <c r="D44" s="138">
        <f t="shared" si="6"/>
        <v>1068.188774676006</v>
      </c>
      <c r="E44" s="104">
        <f t="shared" si="0"/>
        <v>220.18252944914536</v>
      </c>
      <c r="F44" s="323">
        <v>251.52333803538403</v>
      </c>
      <c r="G44" s="104" t="e">
        <f t="shared" si="1"/>
        <v>#REF!</v>
      </c>
      <c r="H44" s="720">
        <f t="shared" si="7"/>
        <v>892.44468877797544</v>
      </c>
      <c r="I44" s="104" t="e">
        <f t="shared" si="8"/>
        <v>#REF!</v>
      </c>
      <c r="J44" s="28"/>
      <c r="K44" s="139" t="e">
        <f t="shared" si="9"/>
        <v>#REF!</v>
      </c>
      <c r="L44" s="200">
        <f t="shared" si="10"/>
        <v>184.60105898965799</v>
      </c>
      <c r="M44" s="104">
        <f t="shared" si="2"/>
        <v>40.615541985674561</v>
      </c>
      <c r="N44" s="323">
        <v>0</v>
      </c>
      <c r="O44" s="104"/>
      <c r="P44" s="104">
        <f t="shared" si="11"/>
        <v>154.22951311960699</v>
      </c>
      <c r="Q44" s="104">
        <f t="shared" si="12"/>
        <v>48.839584945656043</v>
      </c>
      <c r="R44" s="104"/>
      <c r="S44" s="140">
        <f t="shared" si="13"/>
        <v>428.28569904059555</v>
      </c>
      <c r="T44" s="234">
        <v>1044.1300000000001</v>
      </c>
      <c r="U44" s="104"/>
      <c r="V44" s="148">
        <f t="shared" si="14"/>
        <v>1044.1300000000001</v>
      </c>
      <c r="W44" s="881">
        <v>246.35</v>
      </c>
      <c r="X44" s="104"/>
      <c r="Y44" s="45">
        <f t="shared" si="15"/>
        <v>246.35</v>
      </c>
      <c r="Z44" s="138">
        <f t="shared" si="16"/>
        <v>32.614460608493765</v>
      </c>
      <c r="AA44" s="104">
        <f t="shared" si="3"/>
        <v>7.1689166054268556</v>
      </c>
      <c r="AB44" s="323">
        <v>0</v>
      </c>
      <c r="AC44" s="104"/>
      <c r="AD44" s="104">
        <f t="shared" si="17"/>
        <v>27.248556470027616</v>
      </c>
      <c r="AE44" s="104">
        <f t="shared" si="18"/>
        <v>8.6278701971622951</v>
      </c>
      <c r="AF44" s="104"/>
      <c r="AG44" s="139">
        <f t="shared" si="19"/>
        <v>75.659803881110534</v>
      </c>
      <c r="AH44" s="200">
        <f t="shared" si="20"/>
        <v>680.30715827066774</v>
      </c>
      <c r="AI44" s="104">
        <f t="shared" si="4"/>
        <v>135.69793891488953</v>
      </c>
      <c r="AJ44" s="323">
        <v>141.57461503750034</v>
      </c>
      <c r="AK44" s="118" t="e">
        <f t="shared" si="5"/>
        <v>#REF!</v>
      </c>
      <c r="AL44" s="408"/>
      <c r="AM44" s="104">
        <f t="shared" si="21"/>
        <v>568.37941432257276</v>
      </c>
      <c r="AN44" s="104" t="e">
        <f t="shared" si="22"/>
        <v>#REF!</v>
      </c>
      <c r="AO44" s="104"/>
      <c r="AP44" s="140" t="e">
        <f t="shared" si="23"/>
        <v>#REF!</v>
      </c>
      <c r="AQ44" s="33"/>
      <c r="AR44" s="28"/>
      <c r="AS44" s="121"/>
      <c r="AT44" s="135" t="e">
        <f t="shared" si="24"/>
        <v>#REF!</v>
      </c>
      <c r="AU44" s="148" t="e">
        <f t="shared" si="25"/>
        <v>#REF!</v>
      </c>
      <c r="AW44" s="1">
        <v>3</v>
      </c>
      <c r="BA44" s="29">
        <v>873.14</v>
      </c>
      <c r="BB44" s="29">
        <v>144.13999999999999</v>
      </c>
      <c r="BC44" s="29">
        <v>39.56</v>
      </c>
      <c r="BD44" s="29">
        <v>524.71</v>
      </c>
      <c r="BI44" s="323">
        <v>8.7100000000000009</v>
      </c>
      <c r="BL44" s="107">
        <f t="shared" si="32"/>
        <v>1.2233877438623886</v>
      </c>
      <c r="BM44" s="107">
        <f t="shared" si="32"/>
        <v>1.2807066670574303</v>
      </c>
      <c r="BN44" s="107">
        <f t="shared" si="32"/>
        <v>0.82443024793968056</v>
      </c>
      <c r="BO44" s="107">
        <f t="shared" si="32"/>
        <v>1.2965393422474656</v>
      </c>
    </row>
    <row r="45" spans="1:67" x14ac:dyDescent="0.25">
      <c r="A45" s="250" t="s">
        <v>346</v>
      </c>
      <c r="B45" s="227">
        <v>9</v>
      </c>
      <c r="C45" s="226">
        <f>'побудинковий звіт'!E42</f>
        <v>3565.8</v>
      </c>
      <c r="D45" s="138">
        <f t="shared" si="6"/>
        <v>713.0760142650704</v>
      </c>
      <c r="E45" s="104">
        <f t="shared" si="0"/>
        <v>146.98420750397798</v>
      </c>
      <c r="F45" s="323">
        <v>169.19498566328181</v>
      </c>
      <c r="G45" s="104" t="e">
        <f t="shared" si="1"/>
        <v>#REF!</v>
      </c>
      <c r="H45" s="720">
        <f t="shared" si="7"/>
        <v>595.75696423027057</v>
      </c>
      <c r="I45" s="104" t="e">
        <f t="shared" si="8"/>
        <v>#REF!</v>
      </c>
      <c r="J45" s="28"/>
      <c r="K45" s="139" t="e">
        <f t="shared" si="9"/>
        <v>#REF!</v>
      </c>
      <c r="L45" s="200">
        <f t="shared" si="10"/>
        <v>123.52415803768916</v>
      </c>
      <c r="M45" s="104">
        <f t="shared" si="2"/>
        <v>27.177528961553431</v>
      </c>
      <c r="N45" s="323">
        <v>0</v>
      </c>
      <c r="O45" s="104"/>
      <c r="P45" s="104">
        <f t="shared" si="11"/>
        <v>103.20130803653461</v>
      </c>
      <c r="Q45" s="104">
        <f t="shared" si="12"/>
        <v>32.680574219567966</v>
      </c>
      <c r="R45" s="104"/>
      <c r="S45" s="140">
        <f t="shared" si="13"/>
        <v>286.58356925534514</v>
      </c>
      <c r="T45" s="234">
        <v>706.76</v>
      </c>
      <c r="U45" s="104"/>
      <c r="V45" s="148">
        <f t="shared" si="14"/>
        <v>706.76</v>
      </c>
      <c r="W45" s="881">
        <v>166.81</v>
      </c>
      <c r="X45" s="104"/>
      <c r="Y45" s="45">
        <f t="shared" si="15"/>
        <v>166.81</v>
      </c>
      <c r="Z45" s="138">
        <f t="shared" si="16"/>
        <v>21.740225638169377</v>
      </c>
      <c r="AA45" s="104">
        <f t="shared" si="3"/>
        <v>4.7786736826366578</v>
      </c>
      <c r="AB45" s="323">
        <v>0</v>
      </c>
      <c r="AC45" s="104"/>
      <c r="AD45" s="104">
        <f t="shared" si="17"/>
        <v>18.163408344656933</v>
      </c>
      <c r="AE45" s="104">
        <f t="shared" si="18"/>
        <v>5.7511864787454439</v>
      </c>
      <c r="AF45" s="104"/>
      <c r="AG45" s="139">
        <f t="shared" si="19"/>
        <v>50.433494144208417</v>
      </c>
      <c r="AH45" s="200">
        <f t="shared" si="20"/>
        <v>412.10502993335695</v>
      </c>
      <c r="AI45" s="104">
        <f t="shared" si="4"/>
        <v>82.200815467777687</v>
      </c>
      <c r="AJ45" s="323">
        <v>95.234562123156635</v>
      </c>
      <c r="AK45" s="118" t="e">
        <f t="shared" si="5"/>
        <v>#REF!</v>
      </c>
      <c r="AL45" s="104"/>
      <c r="AM45" s="104">
        <f t="shared" si="21"/>
        <v>344.30332344043325</v>
      </c>
      <c r="AN45" s="104" t="e">
        <f t="shared" si="22"/>
        <v>#REF!</v>
      </c>
      <c r="AO45" s="104"/>
      <c r="AP45" s="140" t="e">
        <f t="shared" si="23"/>
        <v>#REF!</v>
      </c>
      <c r="AQ45" s="33"/>
      <c r="AR45" s="28"/>
      <c r="AS45" s="121"/>
      <c r="AT45" s="135" t="e">
        <f t="shared" si="24"/>
        <v>#REF!</v>
      </c>
      <c r="AU45" s="148" t="e">
        <f t="shared" si="25"/>
        <v>#REF!</v>
      </c>
      <c r="AW45" s="1">
        <v>3</v>
      </c>
      <c r="BA45" s="29">
        <v>582.87</v>
      </c>
      <c r="BB45" s="29">
        <v>96.45</v>
      </c>
      <c r="BC45" s="29">
        <v>26.37</v>
      </c>
      <c r="BD45" s="29">
        <v>317.85000000000002</v>
      </c>
      <c r="BI45" s="323">
        <v>8.7100000000000009</v>
      </c>
      <c r="BL45" s="107">
        <f t="shared" si="32"/>
        <v>1.2233877438623886</v>
      </c>
      <c r="BM45" s="107">
        <f t="shared" si="32"/>
        <v>1.2807066670574303</v>
      </c>
      <c r="BN45" s="107">
        <f t="shared" si="32"/>
        <v>0.82443024793968056</v>
      </c>
      <c r="BO45" s="107">
        <f t="shared" si="32"/>
        <v>1.2965393422474656</v>
      </c>
    </row>
    <row r="46" spans="1:67" x14ac:dyDescent="0.25">
      <c r="A46" s="250" t="s">
        <v>245</v>
      </c>
      <c r="B46" s="227">
        <v>5</v>
      </c>
      <c r="C46" s="226">
        <f>'побудинковий звіт'!E43</f>
        <v>3571.86</v>
      </c>
      <c r="D46" s="138">
        <f t="shared" si="6"/>
        <v>423.04183817750612</v>
      </c>
      <c r="E46" s="104">
        <f t="shared" si="0"/>
        <v>87.200337806387935</v>
      </c>
      <c r="F46" s="323">
        <v>72.620351692740613</v>
      </c>
      <c r="G46" s="104" t="e">
        <f t="shared" si="1"/>
        <v>#REF!</v>
      </c>
      <c r="H46" s="720">
        <f t="shared" si="7"/>
        <v>353.4407499525538</v>
      </c>
      <c r="I46" s="104" t="e">
        <f t="shared" si="8"/>
        <v>#REF!</v>
      </c>
      <c r="J46" s="28"/>
      <c r="K46" s="139" t="e">
        <f t="shared" si="9"/>
        <v>#REF!</v>
      </c>
      <c r="L46" s="200">
        <f t="shared" si="10"/>
        <v>76.83246411167876</v>
      </c>
      <c r="M46" s="104">
        <f t="shared" si="2"/>
        <v>16.904519340626042</v>
      </c>
      <c r="N46" s="323">
        <v>0</v>
      </c>
      <c r="O46" s="104"/>
      <c r="P46" s="104">
        <f t="shared" si="11"/>
        <v>64.191579379768157</v>
      </c>
      <c r="Q46" s="104">
        <f t="shared" si="12"/>
        <v>20.327432995802212</v>
      </c>
      <c r="R46" s="104"/>
      <c r="S46" s="140">
        <f t="shared" si="13"/>
        <v>178.25599582787515</v>
      </c>
      <c r="T46" s="880">
        <v>375.95</v>
      </c>
      <c r="U46" s="104"/>
      <c r="V46" s="148">
        <f t="shared" si="14"/>
        <v>375.95</v>
      </c>
      <c r="W46" s="236"/>
      <c r="X46" s="104"/>
      <c r="Y46" s="45">
        <f t="shared" si="15"/>
        <v>0</v>
      </c>
      <c r="Z46" s="138">
        <f t="shared" si="16"/>
        <v>0</v>
      </c>
      <c r="AA46" s="104">
        <f t="shared" si="3"/>
        <v>0</v>
      </c>
      <c r="AB46" s="323">
        <v>0</v>
      </c>
      <c r="AC46" s="104"/>
      <c r="AD46" s="104">
        <f t="shared" si="17"/>
        <v>0</v>
      </c>
      <c r="AE46" s="104">
        <f t="shared" si="18"/>
        <v>0</v>
      </c>
      <c r="AF46" s="104"/>
      <c r="AG46" s="139">
        <f t="shared" si="19"/>
        <v>0</v>
      </c>
      <c r="AH46" s="200">
        <f t="shared" si="20"/>
        <v>230.92617942175957</v>
      </c>
      <c r="AI46" s="104">
        <f t="shared" si="4"/>
        <v>46.061850456900956</v>
      </c>
      <c r="AJ46" s="323">
        <v>28.512139523936202</v>
      </c>
      <c r="AK46" s="118" t="e">
        <f t="shared" si="5"/>
        <v>#REF!</v>
      </c>
      <c r="AL46" s="104"/>
      <c r="AM46" s="104">
        <f t="shared" si="21"/>
        <v>192.93297889902303</v>
      </c>
      <c r="AN46" s="104" t="e">
        <f t="shared" si="22"/>
        <v>#REF!</v>
      </c>
      <c r="AO46" s="104"/>
      <c r="AP46" s="140" t="e">
        <f t="shared" si="23"/>
        <v>#REF!</v>
      </c>
      <c r="AQ46" s="33"/>
      <c r="AR46" s="28"/>
      <c r="AS46" s="121"/>
      <c r="AT46" s="135" t="e">
        <f t="shared" si="24"/>
        <v>#REF!</v>
      </c>
      <c r="AU46" s="148" t="e">
        <f t="shared" si="25"/>
        <v>#REF!</v>
      </c>
      <c r="AW46" s="1">
        <v>2</v>
      </c>
      <c r="BA46" s="29">
        <v>385.71</v>
      </c>
      <c r="BB46" s="29">
        <v>69.05</v>
      </c>
      <c r="BC46" s="29">
        <v>0</v>
      </c>
      <c r="BD46" s="29">
        <v>222.71</v>
      </c>
      <c r="BF46" s="279">
        <f>T46*1.2</f>
        <v>451.14</v>
      </c>
      <c r="BI46" s="323">
        <v>0</v>
      </c>
      <c r="BL46" s="107">
        <f>BA$398</f>
        <v>1.0967873225415627</v>
      </c>
      <c r="BM46" s="107">
        <f>BB$398</f>
        <v>1.1127076627324948</v>
      </c>
      <c r="BN46" s="107">
        <f>BC$398</f>
        <v>2.8314493742615632</v>
      </c>
      <c r="BO46" s="107">
        <f>BD$398</f>
        <v>1.036891829831438</v>
      </c>
    </row>
    <row r="47" spans="1:67" x14ac:dyDescent="0.25">
      <c r="A47" s="424" t="s">
        <v>50</v>
      </c>
      <c r="B47" s="228">
        <v>1</v>
      </c>
      <c r="C47" s="226">
        <f>'побудинковий звіт'!E44</f>
        <v>3820.4</v>
      </c>
      <c r="D47" s="138">
        <f t="shared" si="6"/>
        <v>0</v>
      </c>
      <c r="E47" s="104">
        <f t="shared" si="0"/>
        <v>0</v>
      </c>
      <c r="F47" s="323">
        <v>0</v>
      </c>
      <c r="G47" s="104" t="e">
        <f t="shared" si="1"/>
        <v>#REF!</v>
      </c>
      <c r="H47" s="720">
        <f t="shared" si="7"/>
        <v>0</v>
      </c>
      <c r="I47" s="104" t="e">
        <f t="shared" si="8"/>
        <v>#REF!</v>
      </c>
      <c r="J47" s="28"/>
      <c r="K47" s="139" t="e">
        <f t="shared" si="9"/>
        <v>#REF!</v>
      </c>
      <c r="L47" s="200">
        <f t="shared" si="10"/>
        <v>0</v>
      </c>
      <c r="M47" s="104">
        <f t="shared" si="2"/>
        <v>0</v>
      </c>
      <c r="N47" s="323">
        <v>0</v>
      </c>
      <c r="O47" s="104"/>
      <c r="P47" s="104">
        <f t="shared" si="11"/>
        <v>0</v>
      </c>
      <c r="Q47" s="104">
        <f t="shared" si="12"/>
        <v>0</v>
      </c>
      <c r="R47" s="104"/>
      <c r="S47" s="140">
        <f t="shared" si="13"/>
        <v>0</v>
      </c>
      <c r="T47" s="235"/>
      <c r="U47" s="104"/>
      <c r="V47" s="148">
        <f t="shared" si="14"/>
        <v>0</v>
      </c>
      <c r="W47" s="236"/>
      <c r="X47" s="104"/>
      <c r="Y47" s="45">
        <f t="shared" si="15"/>
        <v>0</v>
      </c>
      <c r="Z47" s="138">
        <f t="shared" si="16"/>
        <v>0</v>
      </c>
      <c r="AA47" s="104">
        <f t="shared" si="3"/>
        <v>0</v>
      </c>
      <c r="AB47" s="323">
        <v>0</v>
      </c>
      <c r="AC47" s="104"/>
      <c r="AD47" s="104">
        <f t="shared" si="17"/>
        <v>0</v>
      </c>
      <c r="AE47" s="104">
        <f t="shared" si="18"/>
        <v>0</v>
      </c>
      <c r="AF47" s="104"/>
      <c r="AG47" s="139">
        <f t="shared" si="19"/>
        <v>0</v>
      </c>
      <c r="AH47" s="200">
        <f t="shared" si="20"/>
        <v>0</v>
      </c>
      <c r="AI47" s="104">
        <f t="shared" si="4"/>
        <v>0</v>
      </c>
      <c r="AJ47" s="323">
        <v>0</v>
      </c>
      <c r="AK47" s="118" t="e">
        <f t="shared" si="5"/>
        <v>#REF!</v>
      </c>
      <c r="AL47" s="104"/>
      <c r="AM47" s="104">
        <f t="shared" si="21"/>
        <v>0</v>
      </c>
      <c r="AN47" s="104" t="e">
        <f t="shared" si="22"/>
        <v>#REF!</v>
      </c>
      <c r="AO47" s="104"/>
      <c r="AP47" s="140" t="e">
        <f t="shared" si="23"/>
        <v>#REF!</v>
      </c>
      <c r="AQ47" s="33"/>
      <c r="AR47" s="28"/>
      <c r="AS47" s="121"/>
      <c r="AT47" s="135">
        <f t="shared" si="24"/>
        <v>0</v>
      </c>
      <c r="AU47" s="148" t="e">
        <f t="shared" si="25"/>
        <v>#REF!</v>
      </c>
      <c r="AW47" s="1">
        <v>3</v>
      </c>
      <c r="BA47" s="29">
        <v>0</v>
      </c>
      <c r="BB47" s="29">
        <v>0</v>
      </c>
      <c r="BC47" s="29">
        <v>0</v>
      </c>
      <c r="BD47" s="29">
        <v>0</v>
      </c>
      <c r="BI47" s="323">
        <v>0</v>
      </c>
      <c r="BL47" s="107">
        <f t="shared" ref="BL47:BO48" si="33">BA$399</f>
        <v>1.2233877438623886</v>
      </c>
      <c r="BM47" s="107">
        <f t="shared" si="33"/>
        <v>1.2807066670574303</v>
      </c>
      <c r="BN47" s="107">
        <f t="shared" si="33"/>
        <v>0.82443024793968056</v>
      </c>
      <c r="BO47" s="107">
        <f t="shared" si="33"/>
        <v>1.2965393422474656</v>
      </c>
    </row>
    <row r="48" spans="1:67" x14ac:dyDescent="0.25">
      <c r="A48" s="424" t="s">
        <v>51</v>
      </c>
      <c r="B48" s="228">
        <v>1</v>
      </c>
      <c r="C48" s="226">
        <f>'побудинковий звіт'!E45</f>
        <v>4170.6000000000004</v>
      </c>
      <c r="D48" s="138">
        <f t="shared" si="6"/>
        <v>0</v>
      </c>
      <c r="E48" s="104">
        <f t="shared" si="0"/>
        <v>0</v>
      </c>
      <c r="F48" s="323">
        <v>0</v>
      </c>
      <c r="G48" s="104" t="e">
        <f t="shared" si="1"/>
        <v>#REF!</v>
      </c>
      <c r="H48" s="720">
        <f t="shared" si="7"/>
        <v>0</v>
      </c>
      <c r="I48" s="104" t="e">
        <f t="shared" si="8"/>
        <v>#REF!</v>
      </c>
      <c r="J48" s="28"/>
      <c r="K48" s="139" t="e">
        <f t="shared" si="9"/>
        <v>#REF!</v>
      </c>
      <c r="L48" s="200">
        <f t="shared" si="10"/>
        <v>0</v>
      </c>
      <c r="M48" s="104">
        <f t="shared" si="2"/>
        <v>0</v>
      </c>
      <c r="N48" s="323">
        <v>0</v>
      </c>
      <c r="O48" s="104"/>
      <c r="P48" s="104">
        <f t="shared" si="11"/>
        <v>0</v>
      </c>
      <c r="Q48" s="104">
        <f t="shared" si="12"/>
        <v>0</v>
      </c>
      <c r="R48" s="104"/>
      <c r="S48" s="140">
        <f t="shared" si="13"/>
        <v>0</v>
      </c>
      <c r="T48" s="235"/>
      <c r="U48" s="104"/>
      <c r="V48" s="148">
        <f t="shared" si="14"/>
        <v>0</v>
      </c>
      <c r="W48" s="236"/>
      <c r="X48" s="104"/>
      <c r="Y48" s="45">
        <f t="shared" si="15"/>
        <v>0</v>
      </c>
      <c r="Z48" s="138">
        <f t="shared" si="16"/>
        <v>0</v>
      </c>
      <c r="AA48" s="104">
        <f t="shared" si="3"/>
        <v>0</v>
      </c>
      <c r="AB48" s="323">
        <v>0</v>
      </c>
      <c r="AC48" s="104"/>
      <c r="AD48" s="104">
        <f t="shared" si="17"/>
        <v>0</v>
      </c>
      <c r="AE48" s="104">
        <f t="shared" si="18"/>
        <v>0</v>
      </c>
      <c r="AF48" s="104"/>
      <c r="AG48" s="139">
        <f t="shared" si="19"/>
        <v>0</v>
      </c>
      <c r="AH48" s="200">
        <f t="shared" si="20"/>
        <v>0</v>
      </c>
      <c r="AI48" s="104">
        <f t="shared" si="4"/>
        <v>0</v>
      </c>
      <c r="AJ48" s="323">
        <v>0</v>
      </c>
      <c r="AK48" s="118" t="e">
        <f t="shared" si="5"/>
        <v>#REF!</v>
      </c>
      <c r="AL48" s="104"/>
      <c r="AM48" s="104">
        <f t="shared" si="21"/>
        <v>0</v>
      </c>
      <c r="AN48" s="104" t="e">
        <f t="shared" si="22"/>
        <v>#REF!</v>
      </c>
      <c r="AO48" s="104"/>
      <c r="AP48" s="140" t="e">
        <f t="shared" si="23"/>
        <v>#REF!</v>
      </c>
      <c r="AQ48" s="33"/>
      <c r="AR48" s="28"/>
      <c r="AS48" s="121"/>
      <c r="AT48" s="135">
        <f t="shared" si="24"/>
        <v>0</v>
      </c>
      <c r="AU48" s="148" t="e">
        <f t="shared" si="25"/>
        <v>#REF!</v>
      </c>
      <c r="AW48" s="1">
        <v>3</v>
      </c>
      <c r="BA48" s="29">
        <v>0</v>
      </c>
      <c r="BB48" s="29">
        <v>0</v>
      </c>
      <c r="BC48" s="29">
        <v>0</v>
      </c>
      <c r="BD48" s="29">
        <v>0</v>
      </c>
      <c r="BI48" s="323">
        <v>0</v>
      </c>
      <c r="BL48" s="107">
        <f t="shared" si="33"/>
        <v>1.2233877438623886</v>
      </c>
      <c r="BM48" s="107">
        <f t="shared" si="33"/>
        <v>1.2807066670574303</v>
      </c>
      <c r="BN48" s="107">
        <f t="shared" si="33"/>
        <v>0.82443024793968056</v>
      </c>
      <c r="BO48" s="107">
        <f t="shared" si="33"/>
        <v>1.2965393422474656</v>
      </c>
    </row>
    <row r="49" spans="1:67" x14ac:dyDescent="0.25">
      <c r="A49" s="250" t="s">
        <v>246</v>
      </c>
      <c r="B49" s="227">
        <v>5</v>
      </c>
      <c r="C49" s="226">
        <f>'побудинковий звіт'!E46</f>
        <v>409.93</v>
      </c>
      <c r="D49" s="138">
        <f t="shared" si="6"/>
        <v>219.40843456692437</v>
      </c>
      <c r="E49" s="104">
        <f t="shared" si="0"/>
        <v>45.225998672449684</v>
      </c>
      <c r="F49" s="323">
        <v>44.373235137134337</v>
      </c>
      <c r="G49" s="104" t="e">
        <f t="shared" si="1"/>
        <v>#REF!</v>
      </c>
      <c r="H49" s="720">
        <f t="shared" si="7"/>
        <v>183.31019455033405</v>
      </c>
      <c r="I49" s="104" t="e">
        <f t="shared" si="8"/>
        <v>#REF!</v>
      </c>
      <c r="J49" s="28"/>
      <c r="K49" s="139" t="e">
        <f t="shared" si="9"/>
        <v>#REF!</v>
      </c>
      <c r="L49" s="200">
        <f t="shared" si="10"/>
        <v>55.056351354359713</v>
      </c>
      <c r="M49" s="104">
        <f t="shared" si="2"/>
        <v>12.113384193187777</v>
      </c>
      <c r="N49" s="323">
        <v>18.399999999999999</v>
      </c>
      <c r="O49" s="104"/>
      <c r="P49" s="104">
        <f t="shared" si="11"/>
        <v>45.998188255250625</v>
      </c>
      <c r="Q49" s="104">
        <f t="shared" si="12"/>
        <v>16.934480422910877</v>
      </c>
      <c r="R49" s="104"/>
      <c r="S49" s="140">
        <f t="shared" si="13"/>
        <v>148.50240422570897</v>
      </c>
      <c r="T49" s="880">
        <v>276.48333333333335</v>
      </c>
      <c r="U49" s="104"/>
      <c r="V49" s="148">
        <f t="shared" si="14"/>
        <v>276.48333333333335</v>
      </c>
      <c r="W49" s="882">
        <v>54.233333333333334</v>
      </c>
      <c r="X49" s="104"/>
      <c r="Y49" s="45">
        <f t="shared" si="15"/>
        <v>54.233333333333334</v>
      </c>
      <c r="Z49" s="138">
        <f t="shared" si="16"/>
        <v>6.4277633301737502</v>
      </c>
      <c r="AA49" s="104">
        <f t="shared" si="3"/>
        <v>1.4128732597048013</v>
      </c>
      <c r="AB49" s="323">
        <v>0</v>
      </c>
      <c r="AC49" s="104"/>
      <c r="AD49" s="104">
        <f t="shared" si="17"/>
        <v>5.3702335960938354</v>
      </c>
      <c r="AE49" s="104">
        <f t="shared" si="18"/>
        <v>1.7004085499539394</v>
      </c>
      <c r="AF49" s="104"/>
      <c r="AG49" s="139">
        <f t="shared" si="19"/>
        <v>14.911278735926325</v>
      </c>
      <c r="AH49" s="200">
        <f t="shared" si="20"/>
        <v>140.97777755435041</v>
      </c>
      <c r="AI49" s="104">
        <f t="shared" si="4"/>
        <v>28.120230125986541</v>
      </c>
      <c r="AJ49" s="323">
        <v>19.00176155812655</v>
      </c>
      <c r="AK49" s="118" t="e">
        <f t="shared" si="5"/>
        <v>#REF!</v>
      </c>
      <c r="AL49" s="104"/>
      <c r="AM49" s="104">
        <f t="shared" si="21"/>
        <v>117.78336544705219</v>
      </c>
      <c r="AN49" s="104" t="e">
        <f t="shared" si="22"/>
        <v>#REF!</v>
      </c>
      <c r="AO49" s="104"/>
      <c r="AP49" s="140" t="e">
        <f t="shared" si="23"/>
        <v>#REF!</v>
      </c>
      <c r="AQ49" s="33"/>
      <c r="AR49" s="28"/>
      <c r="AS49" s="121"/>
      <c r="AT49" s="135" t="e">
        <f t="shared" si="24"/>
        <v>#REF!</v>
      </c>
      <c r="AU49" s="148" t="e">
        <f t="shared" si="25"/>
        <v>#REF!</v>
      </c>
      <c r="AW49" s="1">
        <v>1</v>
      </c>
      <c r="BA49" s="29">
        <v>255.42</v>
      </c>
      <c r="BB49" s="29">
        <v>59.71</v>
      </c>
      <c r="BC49" s="29">
        <v>17.98</v>
      </c>
      <c r="BD49" s="29">
        <v>169.91</v>
      </c>
      <c r="BF49" s="279">
        <f>T49*1.2</f>
        <v>331.78000000000003</v>
      </c>
      <c r="BI49" s="323">
        <v>0</v>
      </c>
      <c r="BL49" s="107">
        <f>$BA$397</f>
        <v>0.85901039294857251</v>
      </c>
      <c r="BM49" s="107">
        <f>$BB$397</f>
        <v>0.92206249128051765</v>
      </c>
      <c r="BN49" s="107">
        <f>$BC$397</f>
        <v>0.35749517965371247</v>
      </c>
      <c r="BO49" s="107">
        <f>$BD$397</f>
        <v>0.82972030812989472</v>
      </c>
    </row>
    <row r="50" spans="1:67" x14ac:dyDescent="0.25">
      <c r="A50" s="250" t="s">
        <v>206</v>
      </c>
      <c r="B50" s="227">
        <v>4</v>
      </c>
      <c r="C50" s="226">
        <f>'побудинковий звіт'!E47</f>
        <v>403.93</v>
      </c>
      <c r="D50" s="138">
        <f t="shared" si="6"/>
        <v>158.95987321513334</v>
      </c>
      <c r="E50" s="104">
        <f t="shared" si="0"/>
        <v>32.765919091444736</v>
      </c>
      <c r="F50" s="323">
        <v>23.710972518671262</v>
      </c>
      <c r="G50" s="104" t="e">
        <f t="shared" si="1"/>
        <v>#REF!</v>
      </c>
      <c r="H50" s="720">
        <f t="shared" si="7"/>
        <v>132.80695130193141</v>
      </c>
      <c r="I50" s="104" t="e">
        <f t="shared" si="8"/>
        <v>#REF!</v>
      </c>
      <c r="J50" s="28"/>
      <c r="K50" s="139" t="e">
        <f t="shared" si="9"/>
        <v>#REF!</v>
      </c>
      <c r="L50" s="200">
        <f t="shared" si="10"/>
        <v>42.341109599601374</v>
      </c>
      <c r="M50" s="104">
        <f t="shared" si="2"/>
        <v>9.3158030840928259</v>
      </c>
      <c r="N50" s="323">
        <v>0</v>
      </c>
      <c r="O50" s="104"/>
      <c r="P50" s="104">
        <f t="shared" si="11"/>
        <v>35.374925551517485</v>
      </c>
      <c r="Q50" s="104">
        <f t="shared" si="12"/>
        <v>11.202114604872969</v>
      </c>
      <c r="R50" s="104"/>
      <c r="S50" s="140">
        <f t="shared" si="13"/>
        <v>98.233952840084669</v>
      </c>
      <c r="T50" s="880">
        <v>141.65</v>
      </c>
      <c r="U50" s="104"/>
      <c r="V50" s="148">
        <f t="shared" si="14"/>
        <v>141.65</v>
      </c>
      <c r="W50" s="882">
        <v>27.725000000000005</v>
      </c>
      <c r="X50" s="104"/>
      <c r="Y50" s="45">
        <f t="shared" si="15"/>
        <v>27.725000000000005</v>
      </c>
      <c r="Z50" s="138">
        <f t="shared" si="16"/>
        <v>0</v>
      </c>
      <c r="AA50" s="104">
        <f t="shared" si="3"/>
        <v>0</v>
      </c>
      <c r="AB50" s="323">
        <v>0</v>
      </c>
      <c r="AC50" s="104"/>
      <c r="AD50" s="104">
        <f t="shared" si="17"/>
        <v>0</v>
      </c>
      <c r="AE50" s="104">
        <f t="shared" si="18"/>
        <v>0</v>
      </c>
      <c r="AF50" s="104"/>
      <c r="AG50" s="139">
        <f t="shared" si="19"/>
        <v>0</v>
      </c>
      <c r="AH50" s="200">
        <f t="shared" si="20"/>
        <v>71.073841594406773</v>
      </c>
      <c r="AI50" s="104">
        <f t="shared" si="4"/>
        <v>14.176793082172956</v>
      </c>
      <c r="AJ50" s="323">
        <v>10.153648809212779</v>
      </c>
      <c r="AK50" s="118" t="e">
        <f t="shared" si="5"/>
        <v>#REF!</v>
      </c>
      <c r="AL50" s="104"/>
      <c r="AM50" s="104">
        <f t="shared" si="21"/>
        <v>59.380395999025893</v>
      </c>
      <c r="AN50" s="104" t="e">
        <f t="shared" si="22"/>
        <v>#REF!</v>
      </c>
      <c r="AO50" s="104"/>
      <c r="AP50" s="140" t="e">
        <f t="shared" si="23"/>
        <v>#REF!</v>
      </c>
      <c r="AQ50" s="33"/>
      <c r="AR50" s="28"/>
      <c r="AS50" s="121"/>
      <c r="AT50" s="135" t="e">
        <f t="shared" si="24"/>
        <v>#REF!</v>
      </c>
      <c r="AU50" s="148" t="e">
        <f t="shared" si="25"/>
        <v>#REF!</v>
      </c>
      <c r="AW50" s="1">
        <v>1</v>
      </c>
      <c r="BA50" s="29">
        <v>185.05</v>
      </c>
      <c r="BB50" s="29">
        <v>45.92</v>
      </c>
      <c r="BC50" s="29">
        <v>0</v>
      </c>
      <c r="BD50" s="29">
        <v>85.66</v>
      </c>
      <c r="BF50" s="279">
        <f>T50*1.2</f>
        <v>169.98</v>
      </c>
      <c r="BI50" s="323">
        <v>0</v>
      </c>
      <c r="BL50" s="107">
        <f>$BA$397</f>
        <v>0.85901039294857251</v>
      </c>
      <c r="BM50" s="107">
        <f>$BB$397</f>
        <v>0.92206249128051765</v>
      </c>
      <c r="BN50" s="107">
        <f>$BC$397</f>
        <v>0.35749517965371247</v>
      </c>
      <c r="BO50" s="107">
        <f>$BD$397</f>
        <v>0.82972030812989472</v>
      </c>
    </row>
    <row r="51" spans="1:67" x14ac:dyDescent="0.25">
      <c r="A51" s="250" t="s">
        <v>247</v>
      </c>
      <c r="B51" s="227">
        <v>5</v>
      </c>
      <c r="C51" s="226">
        <f>'побудинковий звіт'!E48</f>
        <v>4892.3</v>
      </c>
      <c r="D51" s="138">
        <f t="shared" si="6"/>
        <v>305.14626188712145</v>
      </c>
      <c r="E51" s="104">
        <f t="shared" si="0"/>
        <v>62.898878351007383</v>
      </c>
      <c r="F51" s="323">
        <v>55.576960381785646</v>
      </c>
      <c r="G51" s="104" t="e">
        <f t="shared" si="1"/>
        <v>#REF!</v>
      </c>
      <c r="H51" s="720">
        <f t="shared" si="7"/>
        <v>254.94197952437233</v>
      </c>
      <c r="I51" s="104" t="e">
        <f t="shared" si="8"/>
        <v>#REF!</v>
      </c>
      <c r="J51" s="28"/>
      <c r="K51" s="139" t="e">
        <f t="shared" si="9"/>
        <v>#REF!</v>
      </c>
      <c r="L51" s="200">
        <f t="shared" si="10"/>
        <v>62.580381283208737</v>
      </c>
      <c r="M51" s="104">
        <f t="shared" si="2"/>
        <v>13.76880564715549</v>
      </c>
      <c r="N51" s="323">
        <v>0</v>
      </c>
      <c r="O51" s="104"/>
      <c r="P51" s="104">
        <f t="shared" si="11"/>
        <v>52.284324851513318</v>
      </c>
      <c r="Q51" s="104">
        <f t="shared" si="12"/>
        <v>16.556783933639554</v>
      </c>
      <c r="R51" s="104"/>
      <c r="S51" s="140">
        <f t="shared" si="13"/>
        <v>145.1902957155171</v>
      </c>
      <c r="T51" s="880">
        <v>343.9666666666667</v>
      </c>
      <c r="U51" s="104"/>
      <c r="V51" s="148">
        <f t="shared" si="14"/>
        <v>343.9666666666667</v>
      </c>
      <c r="W51" s="882">
        <v>74.483333333333334</v>
      </c>
      <c r="X51" s="104"/>
      <c r="Y51" s="45">
        <f t="shared" si="15"/>
        <v>74.483333333333334</v>
      </c>
      <c r="Z51" s="138">
        <f t="shared" si="16"/>
        <v>8.572734408096025</v>
      </c>
      <c r="AA51" s="104">
        <f t="shared" si="3"/>
        <v>1.8843548814082944</v>
      </c>
      <c r="AB51" s="323">
        <v>0</v>
      </c>
      <c r="AC51" s="104"/>
      <c r="AD51" s="104">
        <f t="shared" si="17"/>
        <v>7.1623026492953379</v>
      </c>
      <c r="AE51" s="104">
        <f t="shared" si="18"/>
        <v>2.2678418814179908</v>
      </c>
      <c r="AF51" s="104"/>
      <c r="AG51" s="139">
        <f t="shared" si="19"/>
        <v>19.887233820217649</v>
      </c>
      <c r="AH51" s="200">
        <f t="shared" si="20"/>
        <v>187.08533507712866</v>
      </c>
      <c r="AI51" s="104">
        <f t="shared" si="4"/>
        <v>37.317106049128633</v>
      </c>
      <c r="AJ51" s="323">
        <v>23.799485118369443</v>
      </c>
      <c r="AK51" s="118" t="e">
        <f t="shared" si="5"/>
        <v>#REF!</v>
      </c>
      <c r="AL51" s="104"/>
      <c r="AM51" s="104">
        <f t="shared" si="21"/>
        <v>156.30506292155451</v>
      </c>
      <c r="AN51" s="104" t="e">
        <f t="shared" si="22"/>
        <v>#REF!</v>
      </c>
      <c r="AO51" s="104"/>
      <c r="AP51" s="140" t="e">
        <f t="shared" si="23"/>
        <v>#REF!</v>
      </c>
      <c r="AQ51" s="138"/>
      <c r="AR51" s="104"/>
      <c r="AS51" s="139"/>
      <c r="AT51" s="135" t="e">
        <f t="shared" si="24"/>
        <v>#REF!</v>
      </c>
      <c r="AU51" s="148" t="e">
        <f t="shared" si="25"/>
        <v>#REF!</v>
      </c>
      <c r="AW51" s="1">
        <v>1</v>
      </c>
      <c r="BA51" s="29">
        <v>355.23</v>
      </c>
      <c r="BB51" s="29">
        <v>67.87</v>
      </c>
      <c r="BC51" s="29">
        <v>23.98</v>
      </c>
      <c r="BD51" s="29">
        <v>225.48</v>
      </c>
      <c r="BF51" s="279">
        <f>T51*1.2</f>
        <v>412.76000000000005</v>
      </c>
      <c r="BG51" s="1">
        <v>330.21</v>
      </c>
      <c r="BI51" s="323">
        <v>0</v>
      </c>
      <c r="BL51" s="107">
        <f>$BA$397</f>
        <v>0.85901039294857251</v>
      </c>
      <c r="BM51" s="107">
        <f>$BB$397</f>
        <v>0.92206249128051765</v>
      </c>
      <c r="BN51" s="107">
        <f>$BC$397</f>
        <v>0.35749517965371247</v>
      </c>
      <c r="BO51" s="107">
        <f>$BD$397</f>
        <v>0.82972030812989472</v>
      </c>
    </row>
    <row r="52" spans="1:67" x14ac:dyDescent="0.25">
      <c r="A52" s="424" t="s">
        <v>52</v>
      </c>
      <c r="B52" s="228">
        <v>1</v>
      </c>
      <c r="C52" s="226" t="e">
        <f>'побудинковий звіт'!#REF!</f>
        <v>#REF!</v>
      </c>
      <c r="D52" s="138">
        <f t="shared" si="6"/>
        <v>0</v>
      </c>
      <c r="E52" s="104">
        <f t="shared" si="0"/>
        <v>0</v>
      </c>
      <c r="F52" s="323">
        <v>0</v>
      </c>
      <c r="G52" s="104" t="e">
        <f t="shared" si="1"/>
        <v>#REF!</v>
      </c>
      <c r="H52" s="720">
        <f t="shared" si="7"/>
        <v>0</v>
      </c>
      <c r="I52" s="104" t="e">
        <f t="shared" si="8"/>
        <v>#REF!</v>
      </c>
      <c r="J52" s="28"/>
      <c r="K52" s="139" t="e">
        <f t="shared" si="9"/>
        <v>#REF!</v>
      </c>
      <c r="L52" s="200">
        <f t="shared" si="10"/>
        <v>0</v>
      </c>
      <c r="M52" s="104">
        <f t="shared" si="2"/>
        <v>0</v>
      </c>
      <c r="N52" s="323">
        <v>0</v>
      </c>
      <c r="O52" s="104"/>
      <c r="P52" s="104">
        <f t="shared" si="11"/>
        <v>0</v>
      </c>
      <c r="Q52" s="104">
        <f t="shared" si="12"/>
        <v>0</v>
      </c>
      <c r="R52" s="104"/>
      <c r="S52" s="140">
        <f t="shared" si="13"/>
        <v>0</v>
      </c>
      <c r="T52" s="235"/>
      <c r="U52" s="104"/>
      <c r="V52" s="148">
        <f t="shared" si="14"/>
        <v>0</v>
      </c>
      <c r="W52" s="236"/>
      <c r="X52" s="104"/>
      <c r="Y52" s="45">
        <f t="shared" si="15"/>
        <v>0</v>
      </c>
      <c r="Z52" s="138">
        <f t="shared" si="16"/>
        <v>0</v>
      </c>
      <c r="AA52" s="104">
        <f t="shared" si="3"/>
        <v>0</v>
      </c>
      <c r="AB52" s="323">
        <v>0</v>
      </c>
      <c r="AC52" s="104"/>
      <c r="AD52" s="104">
        <f t="shared" si="17"/>
        <v>0</v>
      </c>
      <c r="AE52" s="104">
        <f t="shared" si="18"/>
        <v>0</v>
      </c>
      <c r="AF52" s="104"/>
      <c r="AG52" s="139">
        <f t="shared" si="19"/>
        <v>0</v>
      </c>
      <c r="AH52" s="200">
        <f t="shared" si="20"/>
        <v>0</v>
      </c>
      <c r="AI52" s="104">
        <f t="shared" si="4"/>
        <v>0</v>
      </c>
      <c r="AJ52" s="323">
        <v>0</v>
      </c>
      <c r="AK52" s="118" t="e">
        <f t="shared" si="5"/>
        <v>#REF!</v>
      </c>
      <c r="AL52" s="104"/>
      <c r="AM52" s="104">
        <f t="shared" si="21"/>
        <v>0</v>
      </c>
      <c r="AN52" s="104" t="e">
        <f t="shared" si="22"/>
        <v>#REF!</v>
      </c>
      <c r="AO52" s="104"/>
      <c r="AP52" s="140" t="e">
        <f t="shared" si="23"/>
        <v>#REF!</v>
      </c>
      <c r="AQ52" s="33"/>
      <c r="AR52" s="28"/>
      <c r="AS52" s="121"/>
      <c r="AT52" s="135">
        <f t="shared" si="24"/>
        <v>0</v>
      </c>
      <c r="AU52" s="148" t="e">
        <f t="shared" si="25"/>
        <v>#REF!</v>
      </c>
      <c r="AW52" s="1">
        <v>2</v>
      </c>
      <c r="BA52" s="29">
        <v>0</v>
      </c>
      <c r="BB52" s="29">
        <v>0</v>
      </c>
      <c r="BC52" s="29">
        <v>0</v>
      </c>
      <c r="BD52" s="29">
        <v>0</v>
      </c>
      <c r="BI52" s="323">
        <v>0</v>
      </c>
      <c r="BL52" s="107">
        <f t="shared" ref="BL52:BO64" si="34">BA$398</f>
        <v>1.0967873225415627</v>
      </c>
      <c r="BM52" s="107">
        <f t="shared" si="34"/>
        <v>1.1127076627324948</v>
      </c>
      <c r="BN52" s="107">
        <f t="shared" si="34"/>
        <v>2.8314493742615632</v>
      </c>
      <c r="BO52" s="107">
        <f t="shared" si="34"/>
        <v>1.036891829831438</v>
      </c>
    </row>
    <row r="53" spans="1:67" x14ac:dyDescent="0.25">
      <c r="A53" s="250" t="s">
        <v>248</v>
      </c>
      <c r="B53" s="227">
        <v>5</v>
      </c>
      <c r="C53" s="226">
        <f>'побудинковий звіт'!E49</f>
        <v>756</v>
      </c>
      <c r="D53" s="138">
        <f t="shared" si="6"/>
        <v>241.29321095914381</v>
      </c>
      <c r="E53" s="104">
        <f t="shared" si="0"/>
        <v>49.73704160484651</v>
      </c>
      <c r="F53" s="323">
        <v>60.89358088450291</v>
      </c>
      <c r="G53" s="104" t="e">
        <f t="shared" si="1"/>
        <v>#REF!</v>
      </c>
      <c r="H53" s="720">
        <f t="shared" si="7"/>
        <v>201.59437139187952</v>
      </c>
      <c r="I53" s="104" t="e">
        <f t="shared" si="8"/>
        <v>#REF!</v>
      </c>
      <c r="J53" s="28"/>
      <c r="K53" s="139" t="e">
        <f t="shared" si="9"/>
        <v>#REF!</v>
      </c>
      <c r="L53" s="200">
        <f t="shared" si="10"/>
        <v>46.544561532100253</v>
      </c>
      <c r="M53" s="104">
        <f t="shared" si="2"/>
        <v>10.240637856891924</v>
      </c>
      <c r="N53" s="323">
        <v>0</v>
      </c>
      <c r="O53" s="104"/>
      <c r="P53" s="104">
        <f t="shared" si="11"/>
        <v>38.886803265107915</v>
      </c>
      <c r="Q53" s="104">
        <f t="shared" si="12"/>
        <v>12.314214659151434</v>
      </c>
      <c r="R53" s="104"/>
      <c r="S53" s="140">
        <f t="shared" si="13"/>
        <v>107.98621731325152</v>
      </c>
      <c r="T53" s="880">
        <v>358.35</v>
      </c>
      <c r="U53" s="104"/>
      <c r="V53" s="148">
        <f t="shared" si="14"/>
        <v>358.35</v>
      </c>
      <c r="W53" s="236"/>
      <c r="X53" s="104"/>
      <c r="Y53" s="45">
        <f t="shared" si="15"/>
        <v>0</v>
      </c>
      <c r="Z53" s="138">
        <f t="shared" si="16"/>
        <v>0</v>
      </c>
      <c r="AA53" s="104">
        <f t="shared" si="3"/>
        <v>0</v>
      </c>
      <c r="AB53" s="323">
        <v>7.644333333333333</v>
      </c>
      <c r="AC53" s="104"/>
      <c r="AD53" s="104">
        <f t="shared" si="17"/>
        <v>0</v>
      </c>
      <c r="AE53" s="104">
        <f t="shared" si="18"/>
        <v>0.98392381241471905</v>
      </c>
      <c r="AF53" s="104"/>
      <c r="AG53" s="139">
        <f t="shared" si="19"/>
        <v>8.6282571457480515</v>
      </c>
      <c r="AH53" s="200">
        <f t="shared" si="20"/>
        <v>171.37748163454009</v>
      </c>
      <c r="AI53" s="104">
        <f t="shared" si="4"/>
        <v>34.183928173483856</v>
      </c>
      <c r="AJ53" s="323">
        <v>23.90798493564165</v>
      </c>
      <c r="AK53" s="118" t="e">
        <f t="shared" si="5"/>
        <v>#REF!</v>
      </c>
      <c r="AL53" s="104"/>
      <c r="AM53" s="104">
        <f t="shared" si="21"/>
        <v>143.1815488861323</v>
      </c>
      <c r="AN53" s="104" t="e">
        <f t="shared" si="22"/>
        <v>#REF!</v>
      </c>
      <c r="AO53" s="104"/>
      <c r="AP53" s="140" t="e">
        <f t="shared" si="23"/>
        <v>#REF!</v>
      </c>
      <c r="AQ53" s="33"/>
      <c r="AR53" s="28"/>
      <c r="AS53" s="121"/>
      <c r="AT53" s="135" t="e">
        <f t="shared" si="24"/>
        <v>#REF!</v>
      </c>
      <c r="AU53" s="148" t="e">
        <f t="shared" si="25"/>
        <v>#REF!</v>
      </c>
      <c r="AW53" s="1">
        <v>2</v>
      </c>
      <c r="BA53" s="29">
        <v>220</v>
      </c>
      <c r="BB53" s="29">
        <v>41.83</v>
      </c>
      <c r="BC53" s="29">
        <v>0</v>
      </c>
      <c r="BD53" s="29">
        <v>165.28</v>
      </c>
      <c r="BF53" s="279">
        <f t="shared" ref="BF53:BF58" si="35">T53*1.2</f>
        <v>430.02000000000004</v>
      </c>
      <c r="BI53" s="323">
        <v>0</v>
      </c>
      <c r="BL53" s="107">
        <f t="shared" si="34"/>
        <v>1.0967873225415627</v>
      </c>
      <c r="BM53" s="107">
        <f t="shared" si="34"/>
        <v>1.1127076627324948</v>
      </c>
      <c r="BN53" s="107">
        <f t="shared" si="34"/>
        <v>2.8314493742615632</v>
      </c>
      <c r="BO53" s="107">
        <f t="shared" si="34"/>
        <v>1.036891829831438</v>
      </c>
    </row>
    <row r="54" spans="1:67" x14ac:dyDescent="0.25">
      <c r="A54" s="250" t="s">
        <v>249</v>
      </c>
      <c r="B54" s="227">
        <v>5</v>
      </c>
      <c r="C54" s="226">
        <f>'побудинковий звіт'!E50</f>
        <v>256.90000000000003</v>
      </c>
      <c r="D54" s="138">
        <f t="shared" si="6"/>
        <v>441.59947967490939</v>
      </c>
      <c r="E54" s="104">
        <f t="shared" si="0"/>
        <v>91.025568460724315</v>
      </c>
      <c r="F54" s="323">
        <v>67.833944727745461</v>
      </c>
      <c r="G54" s="104" t="e">
        <f t="shared" si="1"/>
        <v>#REF!</v>
      </c>
      <c r="H54" s="720">
        <f t="shared" si="7"/>
        <v>368.94518978869291</v>
      </c>
      <c r="I54" s="104" t="e">
        <f t="shared" si="8"/>
        <v>#REF!</v>
      </c>
      <c r="J54" s="28"/>
      <c r="K54" s="139" t="e">
        <f t="shared" si="9"/>
        <v>#REF!</v>
      </c>
      <c r="L54" s="200">
        <f t="shared" si="10"/>
        <v>85.901031562948603</v>
      </c>
      <c r="M54" s="104">
        <f t="shared" si="2"/>
        <v>18.899766735645628</v>
      </c>
      <c r="N54" s="323">
        <v>0</v>
      </c>
      <c r="O54" s="104"/>
      <c r="P54" s="104">
        <f t="shared" si="11"/>
        <v>71.768137988676344</v>
      </c>
      <c r="Q54" s="104">
        <f t="shared" si="12"/>
        <v>22.726688302330643</v>
      </c>
      <c r="R54" s="104"/>
      <c r="S54" s="140">
        <f t="shared" si="13"/>
        <v>199.2956245896012</v>
      </c>
      <c r="T54" s="880">
        <v>403.95833333333337</v>
      </c>
      <c r="U54" s="104"/>
      <c r="V54" s="148">
        <f t="shared" si="14"/>
        <v>403.95833333333337</v>
      </c>
      <c r="W54" s="236"/>
      <c r="X54" s="104"/>
      <c r="Y54" s="45">
        <f t="shared" si="15"/>
        <v>0</v>
      </c>
      <c r="Z54" s="138">
        <f t="shared" si="16"/>
        <v>0</v>
      </c>
      <c r="AA54" s="104">
        <f t="shared" si="3"/>
        <v>0</v>
      </c>
      <c r="AB54" s="323">
        <v>7.644333333333333</v>
      </c>
      <c r="AC54" s="104"/>
      <c r="AD54" s="104">
        <f t="shared" si="17"/>
        <v>0</v>
      </c>
      <c r="AE54" s="104">
        <f t="shared" si="18"/>
        <v>0.98392381241471905</v>
      </c>
      <c r="AF54" s="104"/>
      <c r="AG54" s="139">
        <f t="shared" si="19"/>
        <v>8.6282571457480515</v>
      </c>
      <c r="AH54" s="200">
        <f t="shared" si="20"/>
        <v>241.69948553370818</v>
      </c>
      <c r="AI54" s="104">
        <f t="shared" si="4"/>
        <v>48.210755428600478</v>
      </c>
      <c r="AJ54" s="323">
        <v>26.632904570879308</v>
      </c>
      <c r="AK54" s="118" t="e">
        <f t="shared" si="5"/>
        <v>#REF!</v>
      </c>
      <c r="AL54" s="104"/>
      <c r="AM54" s="104">
        <f t="shared" si="21"/>
        <v>201.93380351740947</v>
      </c>
      <c r="AN54" s="104" t="e">
        <f t="shared" si="22"/>
        <v>#REF!</v>
      </c>
      <c r="AO54" s="104"/>
      <c r="AP54" s="140" t="e">
        <f t="shared" si="23"/>
        <v>#REF!</v>
      </c>
      <c r="AQ54" s="33"/>
      <c r="AR54" s="28"/>
      <c r="AS54" s="121"/>
      <c r="AT54" s="135" t="e">
        <f t="shared" si="24"/>
        <v>#REF!</v>
      </c>
      <c r="AU54" s="148" t="e">
        <f t="shared" si="25"/>
        <v>#REF!</v>
      </c>
      <c r="AW54" s="1">
        <v>2</v>
      </c>
      <c r="BA54" s="29">
        <v>402.63</v>
      </c>
      <c r="BB54" s="29">
        <v>77.2</v>
      </c>
      <c r="BC54" s="29">
        <v>0</v>
      </c>
      <c r="BD54" s="29">
        <v>233.1</v>
      </c>
      <c r="BF54" s="279">
        <f t="shared" si="35"/>
        <v>484.75</v>
      </c>
      <c r="BI54" s="323">
        <v>0</v>
      </c>
      <c r="BL54" s="107">
        <f t="shared" si="34"/>
        <v>1.0967873225415627</v>
      </c>
      <c r="BM54" s="107">
        <f t="shared" si="34"/>
        <v>1.1127076627324948</v>
      </c>
      <c r="BN54" s="107">
        <f t="shared" si="34"/>
        <v>2.8314493742615632</v>
      </c>
      <c r="BO54" s="107">
        <f t="shared" si="34"/>
        <v>1.036891829831438</v>
      </c>
    </row>
    <row r="55" spans="1:67" x14ac:dyDescent="0.25">
      <c r="A55" s="250" t="s">
        <v>250</v>
      </c>
      <c r="B55" s="227">
        <v>5</v>
      </c>
      <c r="C55" s="226">
        <f>'побудинковий звіт'!E51</f>
        <v>3068.2</v>
      </c>
      <c r="D55" s="138">
        <f t="shared" si="6"/>
        <v>197.24623208587465</v>
      </c>
      <c r="E55" s="104">
        <f t="shared" si="0"/>
        <v>40.657770737343618</v>
      </c>
      <c r="F55" s="323">
        <v>38.521758392836468</v>
      </c>
      <c r="G55" s="104" t="e">
        <f t="shared" si="1"/>
        <v>#REF!</v>
      </c>
      <c r="H55" s="720">
        <f t="shared" si="7"/>
        <v>164.79423523234368</v>
      </c>
      <c r="I55" s="104" t="e">
        <f t="shared" si="8"/>
        <v>#REF!</v>
      </c>
      <c r="J55" s="28"/>
      <c r="K55" s="139" t="e">
        <f t="shared" si="9"/>
        <v>#REF!</v>
      </c>
      <c r="L55" s="200">
        <f t="shared" si="10"/>
        <v>43.985333907815523</v>
      </c>
      <c r="M55" s="104">
        <f t="shared" si="2"/>
        <v>9.6775619049232091</v>
      </c>
      <c r="N55" s="323">
        <v>0</v>
      </c>
      <c r="O55" s="104"/>
      <c r="P55" s="104">
        <f t="shared" si="11"/>
        <v>36.748633350937517</v>
      </c>
      <c r="Q55" s="104">
        <f t="shared" si="12"/>
        <v>11.637124204548321</v>
      </c>
      <c r="R55" s="104"/>
      <c r="S55" s="140">
        <f t="shared" si="13"/>
        <v>102.04865336822456</v>
      </c>
      <c r="T55" s="880">
        <v>195.15833333333333</v>
      </c>
      <c r="U55" s="104"/>
      <c r="V55" s="148">
        <f t="shared" si="14"/>
        <v>195.15833333333333</v>
      </c>
      <c r="W55" s="236"/>
      <c r="X55" s="104"/>
      <c r="Y55" s="45">
        <f t="shared" si="15"/>
        <v>0</v>
      </c>
      <c r="Z55" s="138">
        <f t="shared" si="16"/>
        <v>0</v>
      </c>
      <c r="AA55" s="104">
        <f t="shared" si="3"/>
        <v>0</v>
      </c>
      <c r="AB55" s="323">
        <v>7.644333333333333</v>
      </c>
      <c r="AC55" s="104"/>
      <c r="AD55" s="104">
        <f t="shared" si="17"/>
        <v>0</v>
      </c>
      <c r="AE55" s="104">
        <f t="shared" si="18"/>
        <v>0.98392381241471905</v>
      </c>
      <c r="AF55" s="104"/>
      <c r="AG55" s="139">
        <f t="shared" si="19"/>
        <v>8.6282571457480515</v>
      </c>
      <c r="AH55" s="200">
        <f t="shared" si="20"/>
        <v>103.13963031333314</v>
      </c>
      <c r="AI55" s="104">
        <f t="shared" si="4"/>
        <v>20.572817857069452</v>
      </c>
      <c r="AJ55" s="323">
        <v>15.12437938404679</v>
      </c>
      <c r="AK55" s="118" t="e">
        <f t="shared" si="5"/>
        <v>#REF!</v>
      </c>
      <c r="AL55" s="408"/>
      <c r="AM55" s="104">
        <f t="shared" si="21"/>
        <v>86.170550990462132</v>
      </c>
      <c r="AN55" s="104" t="e">
        <f t="shared" si="22"/>
        <v>#REF!</v>
      </c>
      <c r="AO55" s="104"/>
      <c r="AP55" s="140" t="e">
        <f t="shared" si="23"/>
        <v>#REF!</v>
      </c>
      <c r="AQ55" s="33"/>
      <c r="AR55" s="28"/>
      <c r="AS55" s="121"/>
      <c r="AT55" s="135" t="e">
        <f t="shared" si="24"/>
        <v>#REF!</v>
      </c>
      <c r="AU55" s="148" t="e">
        <f t="shared" si="25"/>
        <v>#REF!</v>
      </c>
      <c r="AW55" s="1">
        <v>2</v>
      </c>
      <c r="BA55" s="29">
        <v>179.84</v>
      </c>
      <c r="BB55" s="29">
        <v>39.53</v>
      </c>
      <c r="BC55" s="29">
        <v>0</v>
      </c>
      <c r="BD55" s="29">
        <v>99.47</v>
      </c>
      <c r="BF55" s="279">
        <f t="shared" si="35"/>
        <v>234.19</v>
      </c>
      <c r="BI55" s="323">
        <v>0</v>
      </c>
      <c r="BL55" s="107">
        <f t="shared" si="34"/>
        <v>1.0967873225415627</v>
      </c>
      <c r="BM55" s="107">
        <f t="shared" si="34"/>
        <v>1.1127076627324948</v>
      </c>
      <c r="BN55" s="107">
        <f t="shared" si="34"/>
        <v>2.8314493742615632</v>
      </c>
      <c r="BO55" s="107">
        <f t="shared" si="34"/>
        <v>1.036891829831438</v>
      </c>
    </row>
    <row r="56" spans="1:67" x14ac:dyDescent="0.25">
      <c r="A56" s="250" t="s">
        <v>333</v>
      </c>
      <c r="B56" s="227">
        <v>6</v>
      </c>
      <c r="C56" s="226">
        <f>'побудинковий звіт'!E52</f>
        <v>1469.4299999999998</v>
      </c>
      <c r="D56" s="138">
        <f t="shared" si="6"/>
        <v>294.61901058111459</v>
      </c>
      <c r="E56" s="104">
        <f t="shared" si="0"/>
        <v>60.728927799517585</v>
      </c>
      <c r="F56" s="323">
        <v>75.754050279278147</v>
      </c>
      <c r="G56" s="104" t="e">
        <f t="shared" si="1"/>
        <v>#REF!</v>
      </c>
      <c r="H56" s="720">
        <f t="shared" si="7"/>
        <v>246.14672746948489</v>
      </c>
      <c r="I56" s="104" t="e">
        <f t="shared" si="8"/>
        <v>#REF!</v>
      </c>
      <c r="J56" s="28"/>
      <c r="K56" s="139" t="e">
        <f t="shared" si="9"/>
        <v>#REF!</v>
      </c>
      <c r="L56" s="200">
        <f t="shared" si="10"/>
        <v>60.83172792158549</v>
      </c>
      <c r="M56" s="104">
        <f t="shared" si="2"/>
        <v>13.384070562665109</v>
      </c>
      <c r="N56" s="323">
        <v>0</v>
      </c>
      <c r="O56" s="104"/>
      <c r="P56" s="104">
        <f t="shared" si="11"/>
        <v>50.823369220737511</v>
      </c>
      <c r="Q56" s="104">
        <f t="shared" si="12"/>
        <v>16.094145718761869</v>
      </c>
      <c r="R56" s="104"/>
      <c r="S56" s="140">
        <f t="shared" si="13"/>
        <v>141.13331342374997</v>
      </c>
      <c r="T56" s="880">
        <v>462.95</v>
      </c>
      <c r="U56" s="104"/>
      <c r="V56" s="148">
        <f t="shared" si="14"/>
        <v>462.95</v>
      </c>
      <c r="W56" s="882">
        <v>97.058333333333337</v>
      </c>
      <c r="X56" s="104"/>
      <c r="Y56" s="45">
        <f t="shared" si="15"/>
        <v>97.058333333333337</v>
      </c>
      <c r="Z56" s="138">
        <f t="shared" si="16"/>
        <v>39.045686871066955</v>
      </c>
      <c r="AA56" s="104">
        <f t="shared" si="3"/>
        <v>8.5825510450843101</v>
      </c>
      <c r="AB56" s="323">
        <v>0</v>
      </c>
      <c r="AC56" s="104"/>
      <c r="AD56" s="104">
        <f t="shared" si="17"/>
        <v>32.621683258505371</v>
      </c>
      <c r="AE56" s="104">
        <f t="shared" si="18"/>
        <v>10.329194835583941</v>
      </c>
      <c r="AF56" s="104"/>
      <c r="AG56" s="139">
        <f t="shared" si="19"/>
        <v>90.579116010240568</v>
      </c>
      <c r="AH56" s="200">
        <f t="shared" si="20"/>
        <v>128.36720853313201</v>
      </c>
      <c r="AI56" s="104">
        <f t="shared" si="4"/>
        <v>25.604854234494805</v>
      </c>
      <c r="AJ56" s="323">
        <v>29.742489546246151</v>
      </c>
      <c r="AK56" s="118" t="e">
        <f t="shared" si="5"/>
        <v>#REF!</v>
      </c>
      <c r="AL56" s="408"/>
      <c r="AM56" s="104">
        <f t="shared" si="21"/>
        <v>107.24755416325736</v>
      </c>
      <c r="AN56" s="104" t="e">
        <f t="shared" si="22"/>
        <v>#REF!</v>
      </c>
      <c r="AO56" s="104"/>
      <c r="AP56" s="140" t="e">
        <f t="shared" si="23"/>
        <v>#REF!</v>
      </c>
      <c r="AQ56" s="33"/>
      <c r="AR56" s="28"/>
      <c r="AS56" s="121"/>
      <c r="AT56" s="135" t="e">
        <f t="shared" si="24"/>
        <v>#REF!</v>
      </c>
      <c r="AU56" s="148" t="e">
        <f t="shared" si="25"/>
        <v>#REF!</v>
      </c>
      <c r="AW56" s="1">
        <v>2</v>
      </c>
      <c r="BA56" s="29">
        <v>268.62</v>
      </c>
      <c r="BB56" s="29">
        <v>54.67</v>
      </c>
      <c r="BC56" s="29">
        <v>13.79</v>
      </c>
      <c r="BD56" s="29">
        <v>123.8</v>
      </c>
      <c r="BF56" s="279">
        <f t="shared" si="35"/>
        <v>555.54</v>
      </c>
      <c r="BI56" s="323">
        <v>0</v>
      </c>
      <c r="BL56" s="107">
        <f t="shared" si="34"/>
        <v>1.0967873225415627</v>
      </c>
      <c r="BM56" s="107">
        <f t="shared" si="34"/>
        <v>1.1127076627324948</v>
      </c>
      <c r="BN56" s="107">
        <f t="shared" si="34"/>
        <v>2.8314493742615632</v>
      </c>
      <c r="BO56" s="107">
        <f t="shared" si="34"/>
        <v>1.036891829831438</v>
      </c>
    </row>
    <row r="57" spans="1:67" x14ac:dyDescent="0.25">
      <c r="A57" s="250" t="s">
        <v>207</v>
      </c>
      <c r="B57" s="227">
        <v>4</v>
      </c>
      <c r="C57" s="226">
        <f>'побудинковий звіт'!E53</f>
        <v>4089.1</v>
      </c>
      <c r="D57" s="138">
        <f t="shared" si="6"/>
        <v>170.56139652843842</v>
      </c>
      <c r="E57" s="104">
        <f t="shared" si="0"/>
        <v>35.157306090771272</v>
      </c>
      <c r="F57" s="323">
        <v>30.95773101055331</v>
      </c>
      <c r="G57" s="104" t="e">
        <f t="shared" si="1"/>
        <v>#REF!</v>
      </c>
      <c r="H57" s="720">
        <f t="shared" si="7"/>
        <v>142.49973043250537</v>
      </c>
      <c r="I57" s="104" t="e">
        <f t="shared" si="8"/>
        <v>#REF!</v>
      </c>
      <c r="J57" s="28"/>
      <c r="K57" s="139" t="e">
        <f t="shared" si="9"/>
        <v>#REF!</v>
      </c>
      <c r="L57" s="200">
        <f t="shared" si="10"/>
        <v>26.883017131617073</v>
      </c>
      <c r="M57" s="104">
        <f t="shared" si="2"/>
        <v>5.9147456519844344</v>
      </c>
      <c r="N57" s="323">
        <v>0</v>
      </c>
      <c r="O57" s="104"/>
      <c r="P57" s="104">
        <f t="shared" si="11"/>
        <v>22.460080489720472</v>
      </c>
      <c r="Q57" s="104">
        <f t="shared" si="12"/>
        <v>7.1123936448744605</v>
      </c>
      <c r="R57" s="104"/>
      <c r="S57" s="140">
        <f t="shared" si="13"/>
        <v>62.37023691819644</v>
      </c>
      <c r="T57" s="880">
        <v>168.00833333333335</v>
      </c>
      <c r="U57" s="104"/>
      <c r="V57" s="148">
        <f t="shared" si="14"/>
        <v>168.00833333333335</v>
      </c>
      <c r="W57" s="236"/>
      <c r="X57" s="104"/>
      <c r="Y57" s="45">
        <f t="shared" si="15"/>
        <v>0</v>
      </c>
      <c r="Z57" s="138">
        <f t="shared" si="16"/>
        <v>0</v>
      </c>
      <c r="AA57" s="104">
        <f t="shared" si="3"/>
        <v>0</v>
      </c>
      <c r="AB57" s="323">
        <v>0</v>
      </c>
      <c r="AC57" s="104"/>
      <c r="AD57" s="104">
        <f t="shared" si="17"/>
        <v>0</v>
      </c>
      <c r="AE57" s="104">
        <f t="shared" si="18"/>
        <v>0</v>
      </c>
      <c r="AF57" s="104"/>
      <c r="AG57" s="139">
        <f t="shared" si="19"/>
        <v>0</v>
      </c>
      <c r="AH57" s="200">
        <f t="shared" si="20"/>
        <v>91.920460714556981</v>
      </c>
      <c r="AI57" s="104">
        <f t="shared" si="4"/>
        <v>18.33497841589632</v>
      </c>
      <c r="AJ57" s="323">
        <v>12.154597510791419</v>
      </c>
      <c r="AK57" s="118" t="e">
        <f t="shared" si="5"/>
        <v>#REF!</v>
      </c>
      <c r="AL57" s="104"/>
      <c r="AM57" s="104">
        <f t="shared" si="21"/>
        <v>76.797218712219433</v>
      </c>
      <c r="AN57" s="104" t="e">
        <f t="shared" si="22"/>
        <v>#REF!</v>
      </c>
      <c r="AO57" s="104"/>
      <c r="AP57" s="140" t="e">
        <f t="shared" si="23"/>
        <v>#REF!</v>
      </c>
      <c r="AQ57" s="33"/>
      <c r="AR57" s="28"/>
      <c r="AS57" s="121"/>
      <c r="AT57" s="135" t="e">
        <f t="shared" si="24"/>
        <v>#REF!</v>
      </c>
      <c r="AU57" s="148" t="e">
        <f t="shared" si="25"/>
        <v>#REF!</v>
      </c>
      <c r="AW57" s="1">
        <v>2</v>
      </c>
      <c r="BA57" s="29">
        <v>155.51</v>
      </c>
      <c r="BB57" s="29">
        <v>24.16</v>
      </c>
      <c r="BC57" s="29">
        <v>0</v>
      </c>
      <c r="BD57" s="29">
        <v>88.65</v>
      </c>
      <c r="BF57" s="279">
        <f t="shared" si="35"/>
        <v>201.61</v>
      </c>
      <c r="BI57" s="323">
        <v>0</v>
      </c>
      <c r="BL57" s="107">
        <f t="shared" si="34"/>
        <v>1.0967873225415627</v>
      </c>
      <c r="BM57" s="107">
        <f t="shared" si="34"/>
        <v>1.1127076627324948</v>
      </c>
      <c r="BN57" s="107">
        <f t="shared" si="34"/>
        <v>2.8314493742615632</v>
      </c>
      <c r="BO57" s="107">
        <f t="shared" si="34"/>
        <v>1.036891829831438</v>
      </c>
    </row>
    <row r="58" spans="1:67" x14ac:dyDescent="0.25">
      <c r="A58" s="250" t="s">
        <v>151</v>
      </c>
      <c r="B58" s="227">
        <v>2</v>
      </c>
      <c r="C58" s="226">
        <f>'побудинковий звіт'!E54</f>
        <v>298.60000000000002</v>
      </c>
      <c r="D58" s="138">
        <f t="shared" si="6"/>
        <v>53.512253466802846</v>
      </c>
      <c r="E58" s="104">
        <f t="shared" si="0"/>
        <v>11.030319363183914</v>
      </c>
      <c r="F58" s="323">
        <v>5.3411725387431188</v>
      </c>
      <c r="G58" s="104" t="e">
        <f t="shared" si="1"/>
        <v>#REF!</v>
      </c>
      <c r="H58" s="720">
        <f t="shared" si="7"/>
        <v>44.708133546408185</v>
      </c>
      <c r="I58" s="104" t="e">
        <f t="shared" si="8"/>
        <v>#REF!</v>
      </c>
      <c r="J58" s="28"/>
      <c r="K58" s="139" t="e">
        <f t="shared" si="9"/>
        <v>#REF!</v>
      </c>
      <c r="L58" s="200">
        <f t="shared" si="10"/>
        <v>10.771010175250549</v>
      </c>
      <c r="M58" s="104">
        <f t="shared" si="2"/>
        <v>2.3698153108944258</v>
      </c>
      <c r="N58" s="323">
        <v>0</v>
      </c>
      <c r="O58" s="104"/>
      <c r="P58" s="104">
        <f t="shared" si="11"/>
        <v>8.9989064213780701</v>
      </c>
      <c r="Q58" s="104">
        <f t="shared" si="12"/>
        <v>2.849667652416588</v>
      </c>
      <c r="R58" s="104"/>
      <c r="S58" s="140">
        <f t="shared" si="13"/>
        <v>24.989399559939631</v>
      </c>
      <c r="T58" s="880">
        <v>32.033333333333331</v>
      </c>
      <c r="U58" s="104"/>
      <c r="V58" s="148">
        <f t="shared" si="14"/>
        <v>32.033333333333331</v>
      </c>
      <c r="W58" s="236"/>
      <c r="X58" s="104"/>
      <c r="Y58" s="45">
        <f t="shared" si="15"/>
        <v>0</v>
      </c>
      <c r="Z58" s="138">
        <f t="shared" si="16"/>
        <v>0</v>
      </c>
      <c r="AA58" s="104">
        <f t="shared" si="3"/>
        <v>0</v>
      </c>
      <c r="AB58" s="323">
        <v>0</v>
      </c>
      <c r="AC58" s="104"/>
      <c r="AD58" s="104">
        <f t="shared" si="17"/>
        <v>0</v>
      </c>
      <c r="AE58" s="104">
        <f t="shared" si="18"/>
        <v>0</v>
      </c>
      <c r="AF58" s="104"/>
      <c r="AG58" s="139">
        <f t="shared" si="19"/>
        <v>0</v>
      </c>
      <c r="AH58" s="200">
        <f t="shared" si="20"/>
        <v>29.706950924670696</v>
      </c>
      <c r="AI58" s="104">
        <f t="shared" si="4"/>
        <v>5.9255175591137004</v>
      </c>
      <c r="AJ58" s="323">
        <v>2.0970465316719693</v>
      </c>
      <c r="AK58" s="118" t="e">
        <f t="shared" si="5"/>
        <v>#REF!</v>
      </c>
      <c r="AL58" s="104"/>
      <c r="AM58" s="104">
        <f t="shared" si="21"/>
        <v>24.819405709025229</v>
      </c>
      <c r="AN58" s="104" t="e">
        <f t="shared" si="22"/>
        <v>#REF!</v>
      </c>
      <c r="AO58" s="104"/>
      <c r="AP58" s="140" t="e">
        <f t="shared" si="23"/>
        <v>#REF!</v>
      </c>
      <c r="AQ58" s="33"/>
      <c r="AR58" s="28"/>
      <c r="AS58" s="121"/>
      <c r="AT58" s="135" t="e">
        <f t="shared" si="24"/>
        <v>#REF!</v>
      </c>
      <c r="AU58" s="148" t="e">
        <f t="shared" si="25"/>
        <v>#REF!</v>
      </c>
      <c r="AW58" s="1">
        <v>2</v>
      </c>
      <c r="BA58" s="29">
        <v>48.79</v>
      </c>
      <c r="BB58" s="29">
        <v>9.68</v>
      </c>
      <c r="BC58" s="29">
        <v>0</v>
      </c>
      <c r="BD58" s="29">
        <v>28.65</v>
      </c>
      <c r="BF58" s="279">
        <f t="shared" si="35"/>
        <v>38.44</v>
      </c>
      <c r="BI58" s="323">
        <v>0</v>
      </c>
      <c r="BL58" s="107">
        <f t="shared" si="34"/>
        <v>1.0967873225415627</v>
      </c>
      <c r="BM58" s="107">
        <f t="shared" si="34"/>
        <v>1.1127076627324948</v>
      </c>
      <c r="BN58" s="107">
        <f t="shared" si="34"/>
        <v>2.8314493742615632</v>
      </c>
      <c r="BO58" s="107">
        <f t="shared" si="34"/>
        <v>1.036891829831438</v>
      </c>
    </row>
    <row r="59" spans="1:67" x14ac:dyDescent="0.25">
      <c r="A59" s="424" t="s">
        <v>53</v>
      </c>
      <c r="B59" s="228">
        <v>1</v>
      </c>
      <c r="C59" s="226">
        <f>'побудинковий звіт'!E55</f>
        <v>298.39999999999998</v>
      </c>
      <c r="D59" s="138">
        <f t="shared" si="6"/>
        <v>0</v>
      </c>
      <c r="E59" s="104">
        <f t="shared" si="0"/>
        <v>0</v>
      </c>
      <c r="F59" s="323">
        <v>0</v>
      </c>
      <c r="G59" s="104" t="e">
        <f t="shared" si="1"/>
        <v>#REF!</v>
      </c>
      <c r="H59" s="720">
        <f t="shared" si="7"/>
        <v>0</v>
      </c>
      <c r="I59" s="104" t="e">
        <f t="shared" si="8"/>
        <v>#REF!</v>
      </c>
      <c r="J59" s="28"/>
      <c r="K59" s="139" t="e">
        <f t="shared" si="9"/>
        <v>#REF!</v>
      </c>
      <c r="L59" s="200">
        <f t="shared" si="10"/>
        <v>0</v>
      </c>
      <c r="M59" s="104">
        <f t="shared" si="2"/>
        <v>0</v>
      </c>
      <c r="N59" s="323">
        <v>0</v>
      </c>
      <c r="O59" s="104"/>
      <c r="P59" s="104">
        <f t="shared" si="11"/>
        <v>0</v>
      </c>
      <c r="Q59" s="104">
        <f t="shared" si="12"/>
        <v>0</v>
      </c>
      <c r="R59" s="104"/>
      <c r="S59" s="140">
        <f t="shared" si="13"/>
        <v>0</v>
      </c>
      <c r="T59" s="235"/>
      <c r="U59" s="104"/>
      <c r="V59" s="148">
        <f t="shared" si="14"/>
        <v>0</v>
      </c>
      <c r="W59" s="236"/>
      <c r="X59" s="104"/>
      <c r="Y59" s="45">
        <f t="shared" si="15"/>
        <v>0</v>
      </c>
      <c r="Z59" s="138">
        <f t="shared" si="16"/>
        <v>0</v>
      </c>
      <c r="AA59" s="104">
        <f t="shared" si="3"/>
        <v>0</v>
      </c>
      <c r="AB59" s="323">
        <v>0</v>
      </c>
      <c r="AC59" s="104"/>
      <c r="AD59" s="104">
        <f t="shared" si="17"/>
        <v>0</v>
      </c>
      <c r="AE59" s="104">
        <f t="shared" si="18"/>
        <v>0</v>
      </c>
      <c r="AF59" s="104"/>
      <c r="AG59" s="139">
        <f t="shared" si="19"/>
        <v>0</v>
      </c>
      <c r="AH59" s="200">
        <f t="shared" si="20"/>
        <v>0</v>
      </c>
      <c r="AI59" s="104">
        <f t="shared" si="4"/>
        <v>0</v>
      </c>
      <c r="AJ59" s="323">
        <v>0</v>
      </c>
      <c r="AK59" s="118" t="e">
        <f t="shared" si="5"/>
        <v>#REF!</v>
      </c>
      <c r="AL59" s="104"/>
      <c r="AM59" s="104">
        <f t="shared" si="21"/>
        <v>0</v>
      </c>
      <c r="AN59" s="104" t="e">
        <f t="shared" si="22"/>
        <v>#REF!</v>
      </c>
      <c r="AO59" s="104"/>
      <c r="AP59" s="140" t="e">
        <f t="shared" si="23"/>
        <v>#REF!</v>
      </c>
      <c r="AQ59" s="33"/>
      <c r="AR59" s="28"/>
      <c r="AS59" s="121"/>
      <c r="AT59" s="135">
        <f t="shared" si="24"/>
        <v>0</v>
      </c>
      <c r="AU59" s="148" t="e">
        <f t="shared" si="25"/>
        <v>#REF!</v>
      </c>
      <c r="AW59" s="1">
        <v>2</v>
      </c>
      <c r="BA59" s="29">
        <v>0</v>
      </c>
      <c r="BB59" s="29">
        <v>0</v>
      </c>
      <c r="BC59" s="29">
        <v>0</v>
      </c>
      <c r="BD59" s="29">
        <v>0</v>
      </c>
      <c r="BI59" s="323">
        <v>0</v>
      </c>
      <c r="BL59" s="107">
        <f t="shared" si="34"/>
        <v>1.0967873225415627</v>
      </c>
      <c r="BM59" s="107">
        <f t="shared" si="34"/>
        <v>1.1127076627324948</v>
      </c>
      <c r="BN59" s="107">
        <f t="shared" si="34"/>
        <v>2.8314493742615632</v>
      </c>
      <c r="BO59" s="107">
        <f t="shared" si="34"/>
        <v>1.036891829831438</v>
      </c>
    </row>
    <row r="60" spans="1:67" x14ac:dyDescent="0.25">
      <c r="A60" s="424" t="s">
        <v>54</v>
      </c>
      <c r="B60" s="228">
        <v>1</v>
      </c>
      <c r="C60" s="226">
        <f>'побудинковий звіт'!E56</f>
        <v>315.7</v>
      </c>
      <c r="D60" s="138">
        <f t="shared" si="6"/>
        <v>0</v>
      </c>
      <c r="E60" s="104">
        <f t="shared" si="0"/>
        <v>0</v>
      </c>
      <c r="F60" s="323">
        <v>0</v>
      </c>
      <c r="G60" s="104" t="e">
        <f t="shared" si="1"/>
        <v>#REF!</v>
      </c>
      <c r="H60" s="720">
        <f t="shared" si="7"/>
        <v>0</v>
      </c>
      <c r="I60" s="104" t="e">
        <f t="shared" si="8"/>
        <v>#REF!</v>
      </c>
      <c r="J60" s="28"/>
      <c r="K60" s="139" t="e">
        <f t="shared" si="9"/>
        <v>#REF!</v>
      </c>
      <c r="L60" s="200">
        <f t="shared" si="10"/>
        <v>0</v>
      </c>
      <c r="M60" s="104">
        <f t="shared" si="2"/>
        <v>0</v>
      </c>
      <c r="N60" s="323">
        <v>0</v>
      </c>
      <c r="O60" s="104"/>
      <c r="P60" s="104">
        <f t="shared" si="11"/>
        <v>0</v>
      </c>
      <c r="Q60" s="104">
        <f t="shared" si="12"/>
        <v>0</v>
      </c>
      <c r="R60" s="104"/>
      <c r="S60" s="140">
        <f t="shared" si="13"/>
        <v>0</v>
      </c>
      <c r="T60" s="235"/>
      <c r="U60" s="104"/>
      <c r="V60" s="148">
        <f t="shared" si="14"/>
        <v>0</v>
      </c>
      <c r="W60" s="236"/>
      <c r="X60" s="104"/>
      <c r="Y60" s="45">
        <f t="shared" si="15"/>
        <v>0</v>
      </c>
      <c r="Z60" s="138">
        <f t="shared" si="16"/>
        <v>0</v>
      </c>
      <c r="AA60" s="104">
        <f t="shared" si="3"/>
        <v>0</v>
      </c>
      <c r="AB60" s="323">
        <v>0</v>
      </c>
      <c r="AC60" s="104"/>
      <c r="AD60" s="104">
        <f t="shared" si="17"/>
        <v>0</v>
      </c>
      <c r="AE60" s="104">
        <f t="shared" si="18"/>
        <v>0</v>
      </c>
      <c r="AF60" s="104"/>
      <c r="AG60" s="139">
        <f t="shared" si="19"/>
        <v>0</v>
      </c>
      <c r="AH60" s="200">
        <f t="shared" si="20"/>
        <v>0</v>
      </c>
      <c r="AI60" s="104">
        <f t="shared" si="4"/>
        <v>0</v>
      </c>
      <c r="AJ60" s="323">
        <v>0</v>
      </c>
      <c r="AK60" s="118" t="e">
        <f t="shared" si="5"/>
        <v>#REF!</v>
      </c>
      <c r="AL60" s="104"/>
      <c r="AM60" s="104">
        <f t="shared" si="21"/>
        <v>0</v>
      </c>
      <c r="AN60" s="104" t="e">
        <f t="shared" si="22"/>
        <v>#REF!</v>
      </c>
      <c r="AO60" s="104"/>
      <c r="AP60" s="140" t="e">
        <f t="shared" si="23"/>
        <v>#REF!</v>
      </c>
      <c r="AQ60" s="33"/>
      <c r="AR60" s="28"/>
      <c r="AS60" s="121"/>
      <c r="AT60" s="135">
        <f t="shared" si="24"/>
        <v>0</v>
      </c>
      <c r="AU60" s="148" t="e">
        <f t="shared" si="25"/>
        <v>#REF!</v>
      </c>
      <c r="AW60" s="1">
        <v>2</v>
      </c>
      <c r="BA60" s="29">
        <v>0</v>
      </c>
      <c r="BB60" s="29">
        <v>0</v>
      </c>
      <c r="BC60" s="29">
        <v>0</v>
      </c>
      <c r="BD60" s="29">
        <v>0</v>
      </c>
      <c r="BI60" s="323">
        <v>0</v>
      </c>
      <c r="BL60" s="107">
        <f t="shared" si="34"/>
        <v>1.0967873225415627</v>
      </c>
      <c r="BM60" s="107">
        <f t="shared" si="34"/>
        <v>1.1127076627324948</v>
      </c>
      <c r="BN60" s="107">
        <f t="shared" si="34"/>
        <v>2.8314493742615632</v>
      </c>
      <c r="BO60" s="107">
        <f t="shared" si="34"/>
        <v>1.036891829831438</v>
      </c>
    </row>
    <row r="61" spans="1:67" x14ac:dyDescent="0.25">
      <c r="A61" s="250" t="s">
        <v>251</v>
      </c>
      <c r="B61" s="227">
        <v>5</v>
      </c>
      <c r="C61" s="226">
        <f>'побудинковий звіт'!E57</f>
        <v>240.1</v>
      </c>
      <c r="D61" s="138">
        <f t="shared" si="6"/>
        <v>228.69112462314123</v>
      </c>
      <c r="E61" s="104">
        <f t="shared" si="0"/>
        <v>47.139411568302478</v>
      </c>
      <c r="F61" s="323">
        <v>40.487562723663814</v>
      </c>
      <c r="G61" s="104" t="e">
        <f t="shared" si="1"/>
        <v>#REF!</v>
      </c>
      <c r="H61" s="720">
        <f t="shared" si="7"/>
        <v>191.06564717691271</v>
      </c>
      <c r="I61" s="104" t="e">
        <f t="shared" si="8"/>
        <v>#REF!</v>
      </c>
      <c r="J61" s="28"/>
      <c r="K61" s="139" t="e">
        <f t="shared" si="9"/>
        <v>#REF!</v>
      </c>
      <c r="L61" s="200">
        <f t="shared" si="10"/>
        <v>43.862936064914948</v>
      </c>
      <c r="M61" s="104">
        <f t="shared" si="2"/>
        <v>9.6506321854812267</v>
      </c>
      <c r="N61" s="323">
        <v>0</v>
      </c>
      <c r="O61" s="104"/>
      <c r="P61" s="104">
        <f t="shared" si="11"/>
        <v>36.646373050694585</v>
      </c>
      <c r="Q61" s="104">
        <f t="shared" si="12"/>
        <v>11.604741617589042</v>
      </c>
      <c r="R61" s="104"/>
      <c r="S61" s="140">
        <f t="shared" si="13"/>
        <v>101.7646829186798</v>
      </c>
      <c r="T61" s="880">
        <v>199.57500000000002</v>
      </c>
      <c r="U61" s="104"/>
      <c r="V61" s="148">
        <f t="shared" si="14"/>
        <v>199.57500000000002</v>
      </c>
      <c r="W61" s="236"/>
      <c r="X61" s="104"/>
      <c r="Y61" s="45">
        <f t="shared" si="15"/>
        <v>0</v>
      </c>
      <c r="Z61" s="138">
        <f t="shared" si="16"/>
        <v>0</v>
      </c>
      <c r="AA61" s="104">
        <f t="shared" si="3"/>
        <v>0</v>
      </c>
      <c r="AB61" s="323">
        <v>0</v>
      </c>
      <c r="AC61" s="104"/>
      <c r="AD61" s="104">
        <f t="shared" si="17"/>
        <v>0</v>
      </c>
      <c r="AE61" s="104">
        <f t="shared" si="18"/>
        <v>0</v>
      </c>
      <c r="AF61" s="104"/>
      <c r="AG61" s="139">
        <f t="shared" si="19"/>
        <v>0</v>
      </c>
      <c r="AH61" s="200">
        <f t="shared" si="20"/>
        <v>96.524260439008572</v>
      </c>
      <c r="AI61" s="104">
        <f t="shared" si="4"/>
        <v>19.253278519298235</v>
      </c>
      <c r="AJ61" s="323">
        <v>21.49619177617695</v>
      </c>
      <c r="AK61" s="118" t="e">
        <f t="shared" si="5"/>
        <v>#REF!</v>
      </c>
      <c r="AL61" s="104"/>
      <c r="AM61" s="104">
        <f t="shared" si="21"/>
        <v>80.643576874455817</v>
      </c>
      <c r="AN61" s="104" t="e">
        <f t="shared" si="22"/>
        <v>#REF!</v>
      </c>
      <c r="AO61" s="104"/>
      <c r="AP61" s="140" t="e">
        <f t="shared" si="23"/>
        <v>#REF!</v>
      </c>
      <c r="AQ61" s="33"/>
      <c r="AR61" s="28"/>
      <c r="AS61" s="121"/>
      <c r="AT61" s="135" t="e">
        <f t="shared" si="24"/>
        <v>#REF!</v>
      </c>
      <c r="AU61" s="148" t="e">
        <f t="shared" si="25"/>
        <v>#REF!</v>
      </c>
      <c r="AW61" s="1">
        <v>2</v>
      </c>
      <c r="BA61" s="29">
        <v>208.51</v>
      </c>
      <c r="BB61" s="29">
        <v>39.42</v>
      </c>
      <c r="BC61" s="29">
        <v>0</v>
      </c>
      <c r="BD61" s="29">
        <v>93.09</v>
      </c>
      <c r="BF61" s="279">
        <f>T61*1.2</f>
        <v>239.49</v>
      </c>
      <c r="BI61" s="323">
        <v>0</v>
      </c>
      <c r="BL61" s="107">
        <f t="shared" si="34"/>
        <v>1.0967873225415627</v>
      </c>
      <c r="BM61" s="107">
        <f t="shared" si="34"/>
        <v>1.1127076627324948</v>
      </c>
      <c r="BN61" s="107">
        <f t="shared" si="34"/>
        <v>2.8314493742615632</v>
      </c>
      <c r="BO61" s="107">
        <f t="shared" si="34"/>
        <v>1.036891829831438</v>
      </c>
    </row>
    <row r="62" spans="1:67" x14ac:dyDescent="0.25">
      <c r="A62" s="250" t="s">
        <v>194</v>
      </c>
      <c r="B62" s="227">
        <v>3</v>
      </c>
      <c r="C62" s="226">
        <f>'побудинковий звіт'!E58</f>
        <v>135.5</v>
      </c>
      <c r="D62" s="138">
        <f t="shared" si="6"/>
        <v>131.46092847983172</v>
      </c>
      <c r="E62" s="104">
        <f t="shared" si="0"/>
        <v>27.097644576167742</v>
      </c>
      <c r="F62" s="323">
        <v>17.856582747869005</v>
      </c>
      <c r="G62" s="104" t="e">
        <f t="shared" si="1"/>
        <v>#REF!</v>
      </c>
      <c r="H62" s="720">
        <f t="shared" si="7"/>
        <v>109.83227888650309</v>
      </c>
      <c r="I62" s="104" t="e">
        <f t="shared" si="8"/>
        <v>#REF!</v>
      </c>
      <c r="J62" s="28"/>
      <c r="K62" s="139" t="e">
        <f t="shared" si="9"/>
        <v>#REF!</v>
      </c>
      <c r="L62" s="200">
        <f t="shared" si="10"/>
        <v>30.009725663895384</v>
      </c>
      <c r="M62" s="104">
        <f t="shared" si="2"/>
        <v>6.6026775759114322</v>
      </c>
      <c r="N62" s="323">
        <v>0</v>
      </c>
      <c r="O62" s="104"/>
      <c r="P62" s="104">
        <f t="shared" si="11"/>
        <v>25.072366341380842</v>
      </c>
      <c r="Q62" s="104">
        <f t="shared" si="12"/>
        <v>7.9396215481069623</v>
      </c>
      <c r="R62" s="104"/>
      <c r="S62" s="140">
        <f t="shared" si="13"/>
        <v>69.624391129294622</v>
      </c>
      <c r="T62" s="880">
        <v>94.825000000000003</v>
      </c>
      <c r="U62" s="104"/>
      <c r="V62" s="148">
        <f t="shared" si="14"/>
        <v>94.825000000000003</v>
      </c>
      <c r="W62" s="236"/>
      <c r="X62" s="104"/>
      <c r="Y62" s="45">
        <f t="shared" si="15"/>
        <v>0</v>
      </c>
      <c r="Z62" s="138">
        <f t="shared" si="16"/>
        <v>0</v>
      </c>
      <c r="AA62" s="104">
        <f t="shared" si="3"/>
        <v>0</v>
      </c>
      <c r="AB62" s="323">
        <v>0</v>
      </c>
      <c r="AC62" s="104"/>
      <c r="AD62" s="104">
        <f t="shared" si="17"/>
        <v>0</v>
      </c>
      <c r="AE62" s="104">
        <f t="shared" si="18"/>
        <v>0</v>
      </c>
      <c r="AF62" s="104"/>
      <c r="AG62" s="139">
        <f t="shared" si="19"/>
        <v>0</v>
      </c>
      <c r="AH62" s="200">
        <f t="shared" si="20"/>
        <v>69.575441781689491</v>
      </c>
      <c r="AI62" s="104">
        <f t="shared" si="4"/>
        <v>13.87791372483523</v>
      </c>
      <c r="AJ62" s="323">
        <v>12.61083603783824</v>
      </c>
      <c r="AK62" s="118" t="e">
        <f t="shared" si="5"/>
        <v>#REF!</v>
      </c>
      <c r="AL62" s="104"/>
      <c r="AM62" s="104">
        <f t="shared" si="21"/>
        <v>58.128520875238848</v>
      </c>
      <c r="AN62" s="104" t="e">
        <f t="shared" si="22"/>
        <v>#REF!</v>
      </c>
      <c r="AO62" s="104"/>
      <c r="AP62" s="140" t="e">
        <f t="shared" si="23"/>
        <v>#REF!</v>
      </c>
      <c r="AQ62" s="33"/>
      <c r="AR62" s="28"/>
      <c r="AS62" s="121"/>
      <c r="AT62" s="135" t="e">
        <f t="shared" si="24"/>
        <v>#REF!</v>
      </c>
      <c r="AU62" s="148" t="e">
        <f t="shared" si="25"/>
        <v>#REF!</v>
      </c>
      <c r="AW62" s="1">
        <v>2</v>
      </c>
      <c r="BA62" s="29">
        <v>119.86</v>
      </c>
      <c r="BB62" s="29">
        <v>26.97</v>
      </c>
      <c r="BC62" s="29">
        <v>0</v>
      </c>
      <c r="BD62" s="29">
        <v>67.099999999999994</v>
      </c>
      <c r="BF62" s="279">
        <f>T62*1.2</f>
        <v>113.79</v>
      </c>
      <c r="BI62" s="323">
        <v>0</v>
      </c>
      <c r="BL62" s="107">
        <f t="shared" si="34"/>
        <v>1.0967873225415627</v>
      </c>
      <c r="BM62" s="107">
        <f t="shared" si="34"/>
        <v>1.1127076627324948</v>
      </c>
      <c r="BN62" s="107">
        <f t="shared" si="34"/>
        <v>2.8314493742615632</v>
      </c>
      <c r="BO62" s="107">
        <f t="shared" si="34"/>
        <v>1.036891829831438</v>
      </c>
    </row>
    <row r="63" spans="1:67" x14ac:dyDescent="0.25">
      <c r="A63" s="250" t="s">
        <v>412</v>
      </c>
      <c r="B63" s="227">
        <v>10</v>
      </c>
      <c r="C63" s="226">
        <f>'побудинковий звіт'!E59</f>
        <v>229.9</v>
      </c>
      <c r="D63" s="138">
        <f t="shared" si="6"/>
        <v>301.0132806715319</v>
      </c>
      <c r="E63" s="104">
        <f t="shared" si="0"/>
        <v>62.046959402046021</v>
      </c>
      <c r="F63" s="323">
        <v>56.831339995076192</v>
      </c>
      <c r="G63" s="104" t="e">
        <f t="shared" si="1"/>
        <v>#REF!</v>
      </c>
      <c r="H63" s="720">
        <f t="shared" si="7"/>
        <v>251.48897831136969</v>
      </c>
      <c r="I63" s="104" t="e">
        <f t="shared" si="8"/>
        <v>#REF!</v>
      </c>
      <c r="J63" s="28"/>
      <c r="K63" s="139" t="e">
        <f t="shared" si="9"/>
        <v>#REF!</v>
      </c>
      <c r="L63" s="200">
        <f t="shared" si="10"/>
        <v>48.514054095136771</v>
      </c>
      <c r="M63" s="104">
        <f t="shared" si="2"/>
        <v>10.673961524276546</v>
      </c>
      <c r="N63" s="323">
        <v>0</v>
      </c>
      <c r="O63" s="104"/>
      <c r="P63" s="104">
        <f t="shared" si="11"/>
        <v>40.532264459926019</v>
      </c>
      <c r="Q63" s="104">
        <f t="shared" si="12"/>
        <v>12.835279922041661</v>
      </c>
      <c r="R63" s="104"/>
      <c r="S63" s="140">
        <f t="shared" si="13"/>
        <v>112.55556000138101</v>
      </c>
      <c r="T63" s="880">
        <v>336.45833333333337</v>
      </c>
      <c r="U63" s="104"/>
      <c r="V63" s="148">
        <f t="shared" si="14"/>
        <v>336.45833333333337</v>
      </c>
      <c r="W63" s="882">
        <v>72.95</v>
      </c>
      <c r="X63" s="104"/>
      <c r="Y63" s="45">
        <f t="shared" si="15"/>
        <v>72.95</v>
      </c>
      <c r="Z63" s="138">
        <f t="shared" si="16"/>
        <v>39.895121683345423</v>
      </c>
      <c r="AA63" s="104">
        <f t="shared" si="3"/>
        <v>8.7692635406263904</v>
      </c>
      <c r="AB63" s="323">
        <v>0</v>
      </c>
      <c r="AC63" s="104"/>
      <c r="AD63" s="104">
        <f t="shared" si="17"/>
        <v>33.331364547667924</v>
      </c>
      <c r="AE63" s="104">
        <f t="shared" si="18"/>
        <v>10.55390538313109</v>
      </c>
      <c r="AF63" s="104"/>
      <c r="AG63" s="139">
        <f t="shared" si="19"/>
        <v>92.549655154770832</v>
      </c>
      <c r="AH63" s="200">
        <f t="shared" si="20"/>
        <v>98.898742729322549</v>
      </c>
      <c r="AI63" s="104">
        <f t="shared" si="4"/>
        <v>19.726906275332102</v>
      </c>
      <c r="AJ63" s="323">
        <v>22.313071439364112</v>
      </c>
      <c r="AK63" s="118" t="e">
        <f t="shared" si="5"/>
        <v>#REF!</v>
      </c>
      <c r="AL63" s="104"/>
      <c r="AM63" s="104">
        <f t="shared" si="21"/>
        <v>82.627396737411047</v>
      </c>
      <c r="AN63" s="104" t="e">
        <f t="shared" si="22"/>
        <v>#REF!</v>
      </c>
      <c r="AO63" s="104"/>
      <c r="AP63" s="140" t="e">
        <f t="shared" si="23"/>
        <v>#REF!</v>
      </c>
      <c r="AQ63" s="33"/>
      <c r="AR63" s="28"/>
      <c r="AS63" s="121"/>
      <c r="AT63" s="135" t="e">
        <f t="shared" si="24"/>
        <v>#REF!</v>
      </c>
      <c r="AU63" s="148" t="e">
        <f t="shared" si="25"/>
        <v>#REF!</v>
      </c>
      <c r="AW63" s="1">
        <v>2</v>
      </c>
      <c r="BA63" s="29">
        <v>274.45</v>
      </c>
      <c r="BB63" s="29">
        <v>43.6</v>
      </c>
      <c r="BC63" s="29">
        <v>14.09</v>
      </c>
      <c r="BD63" s="29">
        <v>95.38</v>
      </c>
      <c r="BF63" s="279">
        <f>T63*1.2</f>
        <v>403.75000000000006</v>
      </c>
      <c r="BI63" s="323">
        <v>0</v>
      </c>
      <c r="BL63" s="107">
        <f t="shared" si="34"/>
        <v>1.0967873225415627</v>
      </c>
      <c r="BM63" s="107">
        <f t="shared" si="34"/>
        <v>1.1127076627324948</v>
      </c>
      <c r="BN63" s="107">
        <f t="shared" si="34"/>
        <v>2.8314493742615632</v>
      </c>
      <c r="BO63" s="107">
        <f t="shared" si="34"/>
        <v>1.036891829831438</v>
      </c>
    </row>
    <row r="64" spans="1:67" x14ac:dyDescent="0.25">
      <c r="A64" s="250" t="s">
        <v>252</v>
      </c>
      <c r="B64" s="227">
        <v>5</v>
      </c>
      <c r="C64" s="226">
        <f>'побудинковий звіт'!E60</f>
        <v>2167.6</v>
      </c>
      <c r="D64" s="138">
        <f t="shared" si="6"/>
        <v>200.1088469977081</v>
      </c>
      <c r="E64" s="104">
        <f t="shared" si="0"/>
        <v>41.247832912746567</v>
      </c>
      <c r="F64" s="323">
        <v>39.753493882441681</v>
      </c>
      <c r="G64" s="104" t="e">
        <f t="shared" si="1"/>
        <v>#REF!</v>
      </c>
      <c r="H64" s="720">
        <f t="shared" si="7"/>
        <v>167.18587754749279</v>
      </c>
      <c r="I64" s="104" t="e">
        <f t="shared" si="8"/>
        <v>#REF!</v>
      </c>
      <c r="J64" s="28"/>
      <c r="K64" s="139" t="e">
        <f t="shared" si="9"/>
        <v>#REF!</v>
      </c>
      <c r="L64" s="200">
        <f t="shared" si="10"/>
        <v>43.862936064914948</v>
      </c>
      <c r="M64" s="104">
        <f t="shared" si="2"/>
        <v>9.6506321854812267</v>
      </c>
      <c r="N64" s="323">
        <v>0</v>
      </c>
      <c r="O64" s="104"/>
      <c r="P64" s="104">
        <f t="shared" si="11"/>
        <v>36.646373050694585</v>
      </c>
      <c r="Q64" s="104">
        <f t="shared" si="12"/>
        <v>11.604741617589042</v>
      </c>
      <c r="R64" s="104"/>
      <c r="S64" s="140">
        <f t="shared" si="13"/>
        <v>101.7646829186798</v>
      </c>
      <c r="T64" s="880">
        <v>221.32499999999999</v>
      </c>
      <c r="U64" s="104"/>
      <c r="V64" s="148">
        <f t="shared" si="14"/>
        <v>221.32499999999999</v>
      </c>
      <c r="W64" s="236"/>
      <c r="X64" s="104"/>
      <c r="Y64" s="45">
        <f t="shared" si="15"/>
        <v>0</v>
      </c>
      <c r="Z64" s="138">
        <f t="shared" si="16"/>
        <v>0</v>
      </c>
      <c r="AA64" s="104">
        <f t="shared" si="3"/>
        <v>0</v>
      </c>
      <c r="AB64" s="323">
        <v>0</v>
      </c>
      <c r="AC64" s="104"/>
      <c r="AD64" s="104">
        <f t="shared" si="17"/>
        <v>0</v>
      </c>
      <c r="AE64" s="104">
        <f t="shared" si="18"/>
        <v>0</v>
      </c>
      <c r="AF64" s="104"/>
      <c r="AG64" s="139">
        <f t="shared" si="19"/>
        <v>0</v>
      </c>
      <c r="AH64" s="200">
        <f t="shared" si="20"/>
        <v>104.60164779339546</v>
      </c>
      <c r="AI64" s="104">
        <f t="shared" si="4"/>
        <v>20.864440187203844</v>
      </c>
      <c r="AJ64" s="323">
        <v>15.607982304131774</v>
      </c>
      <c r="AK64" s="118" t="e">
        <f t="shared" si="5"/>
        <v>#REF!</v>
      </c>
      <c r="AL64" s="408"/>
      <c r="AM64" s="104">
        <f t="shared" si="21"/>
        <v>87.392029596037176</v>
      </c>
      <c r="AN64" s="104" t="e">
        <f t="shared" si="22"/>
        <v>#REF!</v>
      </c>
      <c r="AO64" s="104"/>
      <c r="AP64" s="140" t="e">
        <f t="shared" si="23"/>
        <v>#REF!</v>
      </c>
      <c r="AQ64" s="33"/>
      <c r="AR64" s="28"/>
      <c r="AS64" s="121"/>
      <c r="AT64" s="135" t="e">
        <f t="shared" si="24"/>
        <v>#REF!</v>
      </c>
      <c r="AU64" s="148" t="e">
        <f t="shared" si="25"/>
        <v>#REF!</v>
      </c>
      <c r="AW64" s="1">
        <v>2</v>
      </c>
      <c r="BA64" s="29">
        <v>182.45</v>
      </c>
      <c r="BB64" s="29">
        <v>39.42</v>
      </c>
      <c r="BC64" s="29">
        <v>0</v>
      </c>
      <c r="BD64" s="29">
        <v>100.88</v>
      </c>
      <c r="BF64" s="279">
        <f>T64*1.2</f>
        <v>265.58999999999997</v>
      </c>
      <c r="BI64" s="323">
        <v>0</v>
      </c>
      <c r="BL64" s="107">
        <f t="shared" si="34"/>
        <v>1.0967873225415627</v>
      </c>
      <c r="BM64" s="107">
        <f t="shared" si="34"/>
        <v>1.1127076627324948</v>
      </c>
      <c r="BN64" s="107">
        <f t="shared" si="34"/>
        <v>2.8314493742615632</v>
      </c>
      <c r="BO64" s="107">
        <f t="shared" si="34"/>
        <v>1.036891829831438</v>
      </c>
    </row>
    <row r="65" spans="1:67" x14ac:dyDescent="0.25">
      <c r="A65" s="424" t="s">
        <v>57</v>
      </c>
      <c r="B65" s="228">
        <v>1</v>
      </c>
      <c r="C65" s="226">
        <f>'побудинковий звіт'!E61</f>
        <v>2330.37</v>
      </c>
      <c r="D65" s="138">
        <f t="shared" si="6"/>
        <v>0</v>
      </c>
      <c r="E65" s="104">
        <f t="shared" si="0"/>
        <v>0</v>
      </c>
      <c r="F65" s="323">
        <v>0</v>
      </c>
      <c r="G65" s="104" t="e">
        <f t="shared" si="1"/>
        <v>#REF!</v>
      </c>
      <c r="H65" s="720">
        <f t="shared" si="7"/>
        <v>0</v>
      </c>
      <c r="I65" s="104" t="e">
        <f t="shared" si="8"/>
        <v>#REF!</v>
      </c>
      <c r="J65" s="28"/>
      <c r="K65" s="139" t="e">
        <f t="shared" si="9"/>
        <v>#REF!</v>
      </c>
      <c r="L65" s="200">
        <f t="shared" si="10"/>
        <v>0</v>
      </c>
      <c r="M65" s="104">
        <f t="shared" si="2"/>
        <v>0</v>
      </c>
      <c r="N65" s="323">
        <v>0</v>
      </c>
      <c r="O65" s="104"/>
      <c r="P65" s="104">
        <f t="shared" si="11"/>
        <v>0</v>
      </c>
      <c r="Q65" s="104">
        <f t="shared" si="12"/>
        <v>0</v>
      </c>
      <c r="R65" s="104"/>
      <c r="S65" s="140">
        <f t="shared" si="13"/>
        <v>0</v>
      </c>
      <c r="T65" s="235"/>
      <c r="U65" s="104"/>
      <c r="V65" s="148">
        <f t="shared" si="14"/>
        <v>0</v>
      </c>
      <c r="W65" s="236"/>
      <c r="X65" s="104"/>
      <c r="Y65" s="45">
        <f t="shared" si="15"/>
        <v>0</v>
      </c>
      <c r="Z65" s="138">
        <f t="shared" si="16"/>
        <v>0</v>
      </c>
      <c r="AA65" s="104">
        <f t="shared" si="3"/>
        <v>0</v>
      </c>
      <c r="AB65" s="323">
        <v>0</v>
      </c>
      <c r="AC65" s="104"/>
      <c r="AD65" s="104">
        <f t="shared" si="17"/>
        <v>0</v>
      </c>
      <c r="AE65" s="104">
        <f t="shared" si="18"/>
        <v>0</v>
      </c>
      <c r="AF65" s="104"/>
      <c r="AG65" s="139">
        <f t="shared" si="19"/>
        <v>0</v>
      </c>
      <c r="AH65" s="200">
        <f t="shared" si="20"/>
        <v>0</v>
      </c>
      <c r="AI65" s="104">
        <f t="shared" si="4"/>
        <v>0</v>
      </c>
      <c r="AJ65" s="323">
        <v>0</v>
      </c>
      <c r="AK65" s="118" t="e">
        <f t="shared" si="5"/>
        <v>#REF!</v>
      </c>
      <c r="AL65" s="104"/>
      <c r="AM65" s="104">
        <f t="shared" si="21"/>
        <v>0</v>
      </c>
      <c r="AN65" s="104" t="e">
        <f t="shared" si="22"/>
        <v>#REF!</v>
      </c>
      <c r="AO65" s="104"/>
      <c r="AP65" s="140" t="e">
        <f t="shared" si="23"/>
        <v>#REF!</v>
      </c>
      <c r="AQ65" s="33"/>
      <c r="AR65" s="28"/>
      <c r="AS65" s="121"/>
      <c r="AT65" s="135">
        <f t="shared" si="24"/>
        <v>0</v>
      </c>
      <c r="AU65" s="148" t="e">
        <f t="shared" si="25"/>
        <v>#REF!</v>
      </c>
      <c r="AW65" s="1">
        <v>1</v>
      </c>
      <c r="BA65" s="29">
        <v>0</v>
      </c>
      <c r="BB65" s="29">
        <v>0</v>
      </c>
      <c r="BC65" s="29">
        <v>0</v>
      </c>
      <c r="BD65" s="29">
        <v>0</v>
      </c>
      <c r="BI65" s="323">
        <v>0</v>
      </c>
      <c r="BL65" s="107">
        <f t="shared" ref="BL65:BL74" si="36">$BA$397</f>
        <v>0.85901039294857251</v>
      </c>
      <c r="BM65" s="107">
        <f t="shared" ref="BM65:BM74" si="37">$BB$397</f>
        <v>0.92206249128051765</v>
      </c>
      <c r="BN65" s="107">
        <f t="shared" ref="BN65:BN74" si="38">$BC$397</f>
        <v>0.35749517965371247</v>
      </c>
      <c r="BO65" s="107">
        <f t="shared" ref="BO65:BO74" si="39">$BD$397</f>
        <v>0.82972030812989472</v>
      </c>
    </row>
    <row r="66" spans="1:67" x14ac:dyDescent="0.25">
      <c r="A66" s="424" t="s">
        <v>60</v>
      </c>
      <c r="B66" s="228">
        <v>1</v>
      </c>
      <c r="C66" s="226" t="e">
        <f>'побудинковий звіт'!#REF!</f>
        <v>#REF!</v>
      </c>
      <c r="D66" s="138">
        <f t="shared" si="6"/>
        <v>0</v>
      </c>
      <c r="E66" s="104">
        <f t="shared" si="0"/>
        <v>0</v>
      </c>
      <c r="F66" s="323">
        <v>0</v>
      </c>
      <c r="G66" s="104" t="e">
        <f t="shared" si="1"/>
        <v>#REF!</v>
      </c>
      <c r="H66" s="720">
        <f t="shared" si="7"/>
        <v>0</v>
      </c>
      <c r="I66" s="104" t="e">
        <f t="shared" si="8"/>
        <v>#REF!</v>
      </c>
      <c r="J66" s="28"/>
      <c r="K66" s="139" t="e">
        <f t="shared" si="9"/>
        <v>#REF!</v>
      </c>
      <c r="L66" s="200">
        <f t="shared" si="10"/>
        <v>0</v>
      </c>
      <c r="M66" s="104">
        <f t="shared" si="2"/>
        <v>0</v>
      </c>
      <c r="N66" s="323">
        <v>0</v>
      </c>
      <c r="O66" s="104"/>
      <c r="P66" s="104">
        <f t="shared" si="11"/>
        <v>0</v>
      </c>
      <c r="Q66" s="104">
        <f t="shared" si="12"/>
        <v>0</v>
      </c>
      <c r="R66" s="104"/>
      <c r="S66" s="140">
        <f t="shared" si="13"/>
        <v>0</v>
      </c>
      <c r="T66" s="235"/>
      <c r="U66" s="104"/>
      <c r="V66" s="148">
        <f t="shared" si="14"/>
        <v>0</v>
      </c>
      <c r="W66" s="236"/>
      <c r="X66" s="104"/>
      <c r="Y66" s="45">
        <f t="shared" si="15"/>
        <v>0</v>
      </c>
      <c r="Z66" s="138">
        <f t="shared" si="16"/>
        <v>0</v>
      </c>
      <c r="AA66" s="104">
        <f t="shared" si="3"/>
        <v>0</v>
      </c>
      <c r="AB66" s="323">
        <v>0</v>
      </c>
      <c r="AC66" s="104"/>
      <c r="AD66" s="104">
        <f t="shared" si="17"/>
        <v>0</v>
      </c>
      <c r="AE66" s="104">
        <f t="shared" si="18"/>
        <v>0</v>
      </c>
      <c r="AF66" s="104"/>
      <c r="AG66" s="139">
        <f t="shared" si="19"/>
        <v>0</v>
      </c>
      <c r="AH66" s="200">
        <f t="shared" si="20"/>
        <v>0</v>
      </c>
      <c r="AI66" s="104">
        <f t="shared" si="4"/>
        <v>0</v>
      </c>
      <c r="AJ66" s="323">
        <v>0</v>
      </c>
      <c r="AK66" s="118" t="e">
        <f t="shared" si="5"/>
        <v>#REF!</v>
      </c>
      <c r="AL66" s="104"/>
      <c r="AM66" s="104">
        <f t="shared" si="21"/>
        <v>0</v>
      </c>
      <c r="AN66" s="104" t="e">
        <f t="shared" si="22"/>
        <v>#REF!</v>
      </c>
      <c r="AO66" s="104"/>
      <c r="AP66" s="140" t="e">
        <f t="shared" si="23"/>
        <v>#REF!</v>
      </c>
      <c r="AQ66" s="33"/>
      <c r="AR66" s="28"/>
      <c r="AS66" s="121"/>
      <c r="AT66" s="135">
        <f t="shared" si="24"/>
        <v>0</v>
      </c>
      <c r="AU66" s="148" t="e">
        <f t="shared" si="25"/>
        <v>#REF!</v>
      </c>
      <c r="AW66" s="1">
        <v>1</v>
      </c>
      <c r="BA66" s="29">
        <v>0</v>
      </c>
      <c r="BB66" s="29">
        <v>0</v>
      </c>
      <c r="BC66" s="29">
        <v>0</v>
      </c>
      <c r="BD66" s="29">
        <v>0</v>
      </c>
      <c r="BI66" s="323">
        <v>0</v>
      </c>
      <c r="BL66" s="107">
        <f t="shared" si="36"/>
        <v>0.85901039294857251</v>
      </c>
      <c r="BM66" s="107">
        <f t="shared" si="37"/>
        <v>0.92206249128051765</v>
      </c>
      <c r="BN66" s="107">
        <f t="shared" si="38"/>
        <v>0.35749517965371247</v>
      </c>
      <c r="BO66" s="107">
        <f t="shared" si="39"/>
        <v>0.82972030812989472</v>
      </c>
    </row>
    <row r="67" spans="1:67" x14ac:dyDescent="0.25">
      <c r="A67" s="250" t="s">
        <v>347</v>
      </c>
      <c r="B67" s="227">
        <v>9</v>
      </c>
      <c r="C67" s="226">
        <f>'побудинковий звіт'!E62</f>
        <v>3253.63</v>
      </c>
      <c r="D67" s="138">
        <f t="shared" si="6"/>
        <v>403.70052427011115</v>
      </c>
      <c r="E67" s="104">
        <f t="shared" si="0"/>
        <v>83.213571122482406</v>
      </c>
      <c r="F67" s="323">
        <v>171.0806818868156</v>
      </c>
      <c r="G67" s="104" t="e">
        <f t="shared" si="1"/>
        <v>#REF!</v>
      </c>
      <c r="H67" s="720">
        <f t="shared" si="7"/>
        <v>337.28157165012527</v>
      </c>
      <c r="I67" s="104" t="e">
        <f t="shared" si="8"/>
        <v>#REF!</v>
      </c>
      <c r="J67" s="28"/>
      <c r="K67" s="139" t="e">
        <f t="shared" si="9"/>
        <v>#REF!</v>
      </c>
      <c r="L67" s="200">
        <f t="shared" si="10"/>
        <v>73.36851243119078</v>
      </c>
      <c r="M67" s="104">
        <f t="shared" si="2"/>
        <v>16.142387878947432</v>
      </c>
      <c r="N67" s="323">
        <v>0</v>
      </c>
      <c r="O67" s="104"/>
      <c r="P67" s="104">
        <f t="shared" si="11"/>
        <v>61.297535412331129</v>
      </c>
      <c r="Q67" s="104">
        <f t="shared" si="12"/>
        <v>19.410981252389849</v>
      </c>
      <c r="R67" s="104"/>
      <c r="S67" s="140">
        <f t="shared" si="13"/>
        <v>170.2194169748592</v>
      </c>
      <c r="T67" s="880">
        <v>1062.2666666666667</v>
      </c>
      <c r="U67" s="104"/>
      <c r="V67" s="148">
        <f t="shared" si="14"/>
        <v>1062.2666666666667</v>
      </c>
      <c r="W67" s="882">
        <v>230.75833333333335</v>
      </c>
      <c r="X67" s="104"/>
      <c r="Y67" s="45">
        <f t="shared" si="15"/>
        <v>230.75833333333335</v>
      </c>
      <c r="Z67" s="138">
        <f t="shared" si="16"/>
        <v>27.856024398617276</v>
      </c>
      <c r="AA67" s="104">
        <f t="shared" si="3"/>
        <v>6.122974660522698</v>
      </c>
      <c r="AB67" s="323">
        <v>0</v>
      </c>
      <c r="AC67" s="104"/>
      <c r="AD67" s="104">
        <f t="shared" si="17"/>
        <v>23.273003437576843</v>
      </c>
      <c r="AE67" s="104">
        <f t="shared" si="18"/>
        <v>7.3690675312798088</v>
      </c>
      <c r="AF67" s="104"/>
      <c r="AG67" s="139">
        <f t="shared" si="19"/>
        <v>64.621070027996623</v>
      </c>
      <c r="AH67" s="200">
        <f t="shared" si="20"/>
        <v>514.99909805314439</v>
      </c>
      <c r="AI67" s="104">
        <f t="shared" si="4"/>
        <v>102.72465209168729</v>
      </c>
      <c r="AJ67" s="323">
        <v>73.261152006797559</v>
      </c>
      <c r="AK67" s="118" t="e">
        <f t="shared" si="5"/>
        <v>#REF!</v>
      </c>
      <c r="AL67" s="104"/>
      <c r="AM67" s="104">
        <f t="shared" si="21"/>
        <v>430.26871343258682</v>
      </c>
      <c r="AN67" s="104" t="e">
        <f t="shared" si="22"/>
        <v>#REF!</v>
      </c>
      <c r="AO67" s="104"/>
      <c r="AP67" s="140" t="e">
        <f t="shared" si="23"/>
        <v>#REF!</v>
      </c>
      <c r="AQ67" s="33"/>
      <c r="AR67" s="28"/>
      <c r="AS67" s="121"/>
      <c r="AT67" s="135" t="e">
        <f t="shared" si="24"/>
        <v>#REF!</v>
      </c>
      <c r="AU67" s="148" t="e">
        <f t="shared" si="25"/>
        <v>#REF!</v>
      </c>
      <c r="AW67" s="1">
        <v>1</v>
      </c>
      <c r="BA67" s="29">
        <v>469.96</v>
      </c>
      <c r="BB67" s="29">
        <v>79.569999999999993</v>
      </c>
      <c r="BC67" s="29">
        <v>77.92</v>
      </c>
      <c r="BD67" s="29">
        <v>620.69000000000005</v>
      </c>
      <c r="BF67" s="279">
        <f>T67*1.2</f>
        <v>1274.72</v>
      </c>
      <c r="BI67" s="323">
        <v>0</v>
      </c>
      <c r="BL67" s="107">
        <f t="shared" si="36"/>
        <v>0.85901039294857251</v>
      </c>
      <c r="BM67" s="107">
        <f t="shared" si="37"/>
        <v>0.92206249128051765</v>
      </c>
      <c r="BN67" s="107">
        <f t="shared" si="38"/>
        <v>0.35749517965371247</v>
      </c>
      <c r="BO67" s="107">
        <f t="shared" si="39"/>
        <v>0.82972030812989472</v>
      </c>
    </row>
    <row r="68" spans="1:67" x14ac:dyDescent="0.25">
      <c r="A68" s="424" t="s">
        <v>62</v>
      </c>
      <c r="B68" s="228">
        <v>1</v>
      </c>
      <c r="C68" s="226" t="e">
        <f>'побудинковий звіт'!#REF!</f>
        <v>#REF!</v>
      </c>
      <c r="D68" s="138">
        <f t="shared" si="6"/>
        <v>0</v>
      </c>
      <c r="E68" s="104">
        <f t="shared" si="0"/>
        <v>0</v>
      </c>
      <c r="F68" s="323">
        <v>0</v>
      </c>
      <c r="G68" s="104" t="e">
        <f t="shared" si="1"/>
        <v>#REF!</v>
      </c>
      <c r="H68" s="720">
        <f t="shared" si="7"/>
        <v>0</v>
      </c>
      <c r="I68" s="104" t="e">
        <f t="shared" si="8"/>
        <v>#REF!</v>
      </c>
      <c r="J68" s="28"/>
      <c r="K68" s="139" t="e">
        <f t="shared" si="9"/>
        <v>#REF!</v>
      </c>
      <c r="L68" s="200">
        <f t="shared" si="10"/>
        <v>0</v>
      </c>
      <c r="M68" s="104">
        <f t="shared" si="2"/>
        <v>0</v>
      </c>
      <c r="N68" s="323">
        <v>0</v>
      </c>
      <c r="O68" s="104"/>
      <c r="P68" s="104">
        <f t="shared" si="11"/>
        <v>0</v>
      </c>
      <c r="Q68" s="104">
        <f t="shared" si="12"/>
        <v>0</v>
      </c>
      <c r="R68" s="104"/>
      <c r="S68" s="140">
        <f t="shared" si="13"/>
        <v>0</v>
      </c>
      <c r="T68" s="235"/>
      <c r="U68" s="104"/>
      <c r="V68" s="148">
        <f t="shared" si="14"/>
        <v>0</v>
      </c>
      <c r="W68" s="236"/>
      <c r="X68" s="104"/>
      <c r="Y68" s="45">
        <f t="shared" si="15"/>
        <v>0</v>
      </c>
      <c r="Z68" s="138">
        <f t="shared" si="16"/>
        <v>0</v>
      </c>
      <c r="AA68" s="104">
        <f t="shared" si="3"/>
        <v>0</v>
      </c>
      <c r="AB68" s="323">
        <v>0</v>
      </c>
      <c r="AC68" s="104"/>
      <c r="AD68" s="104">
        <f t="shared" si="17"/>
        <v>0</v>
      </c>
      <c r="AE68" s="104">
        <f t="shared" si="18"/>
        <v>0</v>
      </c>
      <c r="AF68" s="104"/>
      <c r="AG68" s="139">
        <f t="shared" si="19"/>
        <v>0</v>
      </c>
      <c r="AH68" s="200">
        <f t="shared" si="20"/>
        <v>0</v>
      </c>
      <c r="AI68" s="104">
        <f t="shared" si="4"/>
        <v>0</v>
      </c>
      <c r="AJ68" s="323">
        <v>0</v>
      </c>
      <c r="AK68" s="118" t="e">
        <f t="shared" si="5"/>
        <v>#REF!</v>
      </c>
      <c r="AL68" s="104"/>
      <c r="AM68" s="104">
        <f t="shared" si="21"/>
        <v>0</v>
      </c>
      <c r="AN68" s="104" t="e">
        <f t="shared" si="22"/>
        <v>#REF!</v>
      </c>
      <c r="AO68" s="104"/>
      <c r="AP68" s="140" t="e">
        <f t="shared" si="23"/>
        <v>#REF!</v>
      </c>
      <c r="AQ68" s="33"/>
      <c r="AR68" s="28"/>
      <c r="AS68" s="121"/>
      <c r="AT68" s="135">
        <f t="shared" si="24"/>
        <v>0</v>
      </c>
      <c r="AU68" s="148" t="e">
        <f t="shared" si="25"/>
        <v>#REF!</v>
      </c>
      <c r="AW68" s="1">
        <v>1</v>
      </c>
      <c r="BA68" s="29">
        <v>0</v>
      </c>
      <c r="BB68" s="29">
        <v>0</v>
      </c>
      <c r="BC68" s="29">
        <v>0</v>
      </c>
      <c r="BD68" s="29">
        <v>0</v>
      </c>
      <c r="BI68" s="323">
        <v>0</v>
      </c>
      <c r="BL68" s="107">
        <f t="shared" si="36"/>
        <v>0.85901039294857251</v>
      </c>
      <c r="BM68" s="107">
        <f t="shared" si="37"/>
        <v>0.92206249128051765</v>
      </c>
      <c r="BN68" s="107">
        <f t="shared" si="38"/>
        <v>0.35749517965371247</v>
      </c>
      <c r="BO68" s="107">
        <f t="shared" si="39"/>
        <v>0.82972030812989472</v>
      </c>
    </row>
    <row r="69" spans="1:67" x14ac:dyDescent="0.25">
      <c r="A69" s="424" t="s">
        <v>64</v>
      </c>
      <c r="B69" s="228">
        <v>1</v>
      </c>
      <c r="C69" s="226" t="e">
        <f>'побудинковий звіт'!#REF!</f>
        <v>#REF!</v>
      </c>
      <c r="D69" s="138">
        <f t="shared" si="6"/>
        <v>0</v>
      </c>
      <c r="E69" s="104">
        <f t="shared" si="0"/>
        <v>0</v>
      </c>
      <c r="F69" s="323">
        <v>0</v>
      </c>
      <c r="G69" s="104" t="e">
        <f t="shared" si="1"/>
        <v>#REF!</v>
      </c>
      <c r="H69" s="720">
        <f t="shared" si="7"/>
        <v>0</v>
      </c>
      <c r="I69" s="104" t="e">
        <f t="shared" si="8"/>
        <v>#REF!</v>
      </c>
      <c r="J69" s="28"/>
      <c r="K69" s="139" t="e">
        <f t="shared" si="9"/>
        <v>#REF!</v>
      </c>
      <c r="L69" s="200">
        <f t="shared" si="10"/>
        <v>0</v>
      </c>
      <c r="M69" s="104">
        <f t="shared" si="2"/>
        <v>0</v>
      </c>
      <c r="N69" s="323">
        <v>0</v>
      </c>
      <c r="O69" s="104"/>
      <c r="P69" s="104">
        <f t="shared" si="11"/>
        <v>0</v>
      </c>
      <c r="Q69" s="104">
        <f t="shared" si="12"/>
        <v>0</v>
      </c>
      <c r="R69" s="104"/>
      <c r="S69" s="140">
        <f t="shared" si="13"/>
        <v>0</v>
      </c>
      <c r="T69" s="235"/>
      <c r="U69" s="104"/>
      <c r="V69" s="148">
        <f t="shared" si="14"/>
        <v>0</v>
      </c>
      <c r="W69" s="236"/>
      <c r="X69" s="104"/>
      <c r="Y69" s="45">
        <f t="shared" si="15"/>
        <v>0</v>
      </c>
      <c r="Z69" s="138">
        <f t="shared" si="16"/>
        <v>0</v>
      </c>
      <c r="AA69" s="104">
        <f t="shared" si="3"/>
        <v>0</v>
      </c>
      <c r="AB69" s="323">
        <v>0</v>
      </c>
      <c r="AC69" s="104"/>
      <c r="AD69" s="104">
        <f t="shared" si="17"/>
        <v>0</v>
      </c>
      <c r="AE69" s="104">
        <f t="shared" si="18"/>
        <v>0</v>
      </c>
      <c r="AF69" s="104"/>
      <c r="AG69" s="139">
        <f t="shared" si="19"/>
        <v>0</v>
      </c>
      <c r="AH69" s="200">
        <f t="shared" si="20"/>
        <v>0</v>
      </c>
      <c r="AI69" s="104">
        <f t="shared" si="4"/>
        <v>0</v>
      </c>
      <c r="AJ69" s="323">
        <v>0</v>
      </c>
      <c r="AK69" s="118" t="e">
        <f t="shared" si="5"/>
        <v>#REF!</v>
      </c>
      <c r="AL69" s="104"/>
      <c r="AM69" s="104">
        <f t="shared" si="21"/>
        <v>0</v>
      </c>
      <c r="AN69" s="104" t="e">
        <f t="shared" si="22"/>
        <v>#REF!</v>
      </c>
      <c r="AO69" s="104"/>
      <c r="AP69" s="140" t="e">
        <f t="shared" si="23"/>
        <v>#REF!</v>
      </c>
      <c r="AQ69" s="33"/>
      <c r="AR69" s="28"/>
      <c r="AS69" s="121"/>
      <c r="AT69" s="135">
        <f t="shared" si="24"/>
        <v>0</v>
      </c>
      <c r="AU69" s="148" t="e">
        <f t="shared" si="25"/>
        <v>#REF!</v>
      </c>
      <c r="AW69" s="1">
        <v>1</v>
      </c>
      <c r="BA69" s="29">
        <v>0</v>
      </c>
      <c r="BB69" s="29">
        <v>0</v>
      </c>
      <c r="BC69" s="29">
        <v>0</v>
      </c>
      <c r="BD69" s="29">
        <v>0</v>
      </c>
      <c r="BI69" s="323">
        <v>0</v>
      </c>
      <c r="BL69" s="107">
        <f t="shared" si="36"/>
        <v>0.85901039294857251</v>
      </c>
      <c r="BM69" s="107">
        <f t="shared" si="37"/>
        <v>0.92206249128051765</v>
      </c>
      <c r="BN69" s="107">
        <f t="shared" si="38"/>
        <v>0.35749517965371247</v>
      </c>
      <c r="BO69" s="107">
        <f t="shared" si="39"/>
        <v>0.82972030812989472</v>
      </c>
    </row>
    <row r="70" spans="1:67" x14ac:dyDescent="0.25">
      <c r="A70" s="250" t="s">
        <v>348</v>
      </c>
      <c r="B70" s="227">
        <v>9</v>
      </c>
      <c r="C70" s="226">
        <f>'побудинковий звіт'!E63</f>
        <v>922.6</v>
      </c>
      <c r="D70" s="138">
        <f t="shared" si="6"/>
        <v>550.90913530970806</v>
      </c>
      <c r="E70" s="104">
        <f t="shared" si="0"/>
        <v>113.5572379946839</v>
      </c>
      <c r="F70" s="323">
        <v>154.31561382180845</v>
      </c>
      <c r="G70" s="104" t="e">
        <f t="shared" si="1"/>
        <v>#REF!</v>
      </c>
      <c r="H70" s="720">
        <f t="shared" si="7"/>
        <v>460.27064079150324</v>
      </c>
      <c r="I70" s="104" t="e">
        <f t="shared" si="8"/>
        <v>#REF!</v>
      </c>
      <c r="J70" s="28"/>
      <c r="K70" s="139" t="e">
        <f t="shared" si="9"/>
        <v>#REF!</v>
      </c>
      <c r="L70" s="200">
        <f t="shared" si="10"/>
        <v>98.596142192625763</v>
      </c>
      <c r="M70" s="104">
        <f t="shared" si="2"/>
        <v>21.692918636368596</v>
      </c>
      <c r="N70" s="323">
        <v>0</v>
      </c>
      <c r="O70" s="104"/>
      <c r="P70" s="104">
        <f t="shared" si="11"/>
        <v>82.374581646858985</v>
      </c>
      <c r="Q70" s="104">
        <f t="shared" si="12"/>
        <v>26.085411905467478</v>
      </c>
      <c r="R70" s="104"/>
      <c r="S70" s="140">
        <f t="shared" si="13"/>
        <v>228.74905438132083</v>
      </c>
      <c r="T70" s="880">
        <v>950.47500000000002</v>
      </c>
      <c r="U70" s="104"/>
      <c r="V70" s="148">
        <f t="shared" si="14"/>
        <v>950.47500000000002</v>
      </c>
      <c r="W70" s="882">
        <v>205.59166666666667</v>
      </c>
      <c r="X70" s="104"/>
      <c r="Y70" s="45">
        <f t="shared" si="15"/>
        <v>205.59166666666667</v>
      </c>
      <c r="Z70" s="138">
        <f t="shared" si="16"/>
        <v>41.784036597925912</v>
      </c>
      <c r="AA70" s="104">
        <f t="shared" si="3"/>
        <v>9.1844619907840475</v>
      </c>
      <c r="AB70" s="323">
        <v>0</v>
      </c>
      <c r="AC70" s="104"/>
      <c r="AD70" s="104">
        <f t="shared" si="17"/>
        <v>34.909505156365263</v>
      </c>
      <c r="AE70" s="104">
        <f t="shared" si="18"/>
        <v>11.053601296919716</v>
      </c>
      <c r="AF70" s="104"/>
      <c r="AG70" s="139">
        <f t="shared" si="19"/>
        <v>96.931605041994942</v>
      </c>
      <c r="AH70" s="200">
        <f t="shared" si="20"/>
        <v>400.77980043598302</v>
      </c>
      <c r="AI70" s="104">
        <f t="shared" si="4"/>
        <v>79.94182071540979</v>
      </c>
      <c r="AJ70" s="323">
        <v>66.0819182887126</v>
      </c>
      <c r="AK70" s="118" t="e">
        <f t="shared" si="5"/>
        <v>#REF!</v>
      </c>
      <c r="AL70" s="104"/>
      <c r="AM70" s="104">
        <f t="shared" si="21"/>
        <v>334.84138080095119</v>
      </c>
      <c r="AN70" s="104" t="e">
        <f t="shared" si="22"/>
        <v>#REF!</v>
      </c>
      <c r="AO70" s="104"/>
      <c r="AP70" s="140" t="e">
        <f t="shared" si="23"/>
        <v>#REF!</v>
      </c>
      <c r="AQ70" s="33"/>
      <c r="AR70" s="28"/>
      <c r="AS70" s="121"/>
      <c r="AT70" s="135" t="e">
        <f t="shared" si="24"/>
        <v>#REF!</v>
      </c>
      <c r="AU70" s="148" t="e">
        <f t="shared" si="25"/>
        <v>#REF!</v>
      </c>
      <c r="AW70" s="1">
        <v>1</v>
      </c>
      <c r="BA70" s="29">
        <v>641.33000000000004</v>
      </c>
      <c r="BB70" s="29">
        <v>106.93</v>
      </c>
      <c r="BC70" s="29">
        <v>116.88</v>
      </c>
      <c r="BD70" s="29">
        <v>483.03</v>
      </c>
      <c r="BF70" s="279">
        <f>T70*1.2</f>
        <v>1140.57</v>
      </c>
      <c r="BI70" s="323">
        <v>8.51</v>
      </c>
      <c r="BL70" s="107">
        <f t="shared" si="36"/>
        <v>0.85901039294857251</v>
      </c>
      <c r="BM70" s="107">
        <f t="shared" si="37"/>
        <v>0.92206249128051765</v>
      </c>
      <c r="BN70" s="107">
        <f t="shared" si="38"/>
        <v>0.35749517965371247</v>
      </c>
      <c r="BO70" s="107">
        <f t="shared" si="39"/>
        <v>0.82972030812989472</v>
      </c>
    </row>
    <row r="71" spans="1:67" x14ac:dyDescent="0.25">
      <c r="A71" s="250" t="s">
        <v>253</v>
      </c>
      <c r="B71" s="227">
        <v>5</v>
      </c>
      <c r="C71" s="226">
        <f>'побудинковий звіт'!E64</f>
        <v>0</v>
      </c>
      <c r="D71" s="138">
        <f t="shared" si="6"/>
        <v>231.12533632674291</v>
      </c>
      <c r="E71" s="104">
        <f t="shared" si="0"/>
        <v>47.641168282864747</v>
      </c>
      <c r="F71" s="323">
        <v>50.469844541511321</v>
      </c>
      <c r="G71" s="104" t="e">
        <f t="shared" si="1"/>
        <v>#REF!</v>
      </c>
      <c r="H71" s="720">
        <f t="shared" si="7"/>
        <v>193.09936945310815</v>
      </c>
      <c r="I71" s="104" t="e">
        <f t="shared" si="8"/>
        <v>#REF!</v>
      </c>
      <c r="J71" s="28"/>
      <c r="K71" s="139" t="e">
        <f t="shared" si="9"/>
        <v>#REF!</v>
      </c>
      <c r="L71" s="200">
        <f t="shared" si="10"/>
        <v>53.51650699392124</v>
      </c>
      <c r="M71" s="104">
        <f t="shared" si="2"/>
        <v>11.774590831897813</v>
      </c>
      <c r="N71" s="323">
        <v>0</v>
      </c>
      <c r="O71" s="104"/>
      <c r="P71" s="104">
        <f t="shared" si="11"/>
        <v>44.711687260672349</v>
      </c>
      <c r="Q71" s="104">
        <f t="shared" si="12"/>
        <v>14.158770288911736</v>
      </c>
      <c r="R71" s="104"/>
      <c r="S71" s="140">
        <f t="shared" si="13"/>
        <v>124.16155537540314</v>
      </c>
      <c r="T71" s="880">
        <v>319.28333333333336</v>
      </c>
      <c r="U71" s="104"/>
      <c r="V71" s="148">
        <f t="shared" si="14"/>
        <v>319.28333333333336</v>
      </c>
      <c r="W71" s="882">
        <v>66.633333333333326</v>
      </c>
      <c r="X71" s="104"/>
      <c r="Y71" s="45">
        <f t="shared" si="15"/>
        <v>66.633333333333326</v>
      </c>
      <c r="Z71" s="138">
        <f t="shared" si="16"/>
        <v>6.4277633301737502</v>
      </c>
      <c r="AA71" s="104">
        <f t="shared" si="3"/>
        <v>1.4128732597048013</v>
      </c>
      <c r="AB71" s="323">
        <v>0</v>
      </c>
      <c r="AC71" s="104"/>
      <c r="AD71" s="104">
        <f t="shared" si="17"/>
        <v>5.3702335960938354</v>
      </c>
      <c r="AE71" s="104">
        <f t="shared" si="18"/>
        <v>1.7004085499539394</v>
      </c>
      <c r="AF71" s="104"/>
      <c r="AG71" s="139">
        <f t="shared" si="19"/>
        <v>14.911278735926325</v>
      </c>
      <c r="AH71" s="200">
        <f t="shared" si="20"/>
        <v>131.00453945062907</v>
      </c>
      <c r="AI71" s="104">
        <f t="shared" si="4"/>
        <v>26.130911274156993</v>
      </c>
      <c r="AJ71" s="323">
        <v>21.612486646278974</v>
      </c>
      <c r="AK71" s="118" t="e">
        <f t="shared" si="5"/>
        <v>#REF!</v>
      </c>
      <c r="AL71" s="104"/>
      <c r="AM71" s="104">
        <f t="shared" si="21"/>
        <v>109.45097740236048</v>
      </c>
      <c r="AN71" s="104" t="e">
        <f t="shared" si="22"/>
        <v>#REF!</v>
      </c>
      <c r="AO71" s="104"/>
      <c r="AP71" s="140" t="e">
        <f t="shared" si="23"/>
        <v>#REF!</v>
      </c>
      <c r="AQ71" s="33"/>
      <c r="AR71" s="28"/>
      <c r="AS71" s="121"/>
      <c r="AT71" s="135" t="e">
        <f t="shared" si="24"/>
        <v>#REF!</v>
      </c>
      <c r="AU71" s="148" t="e">
        <f t="shared" si="25"/>
        <v>#REF!</v>
      </c>
      <c r="AW71" s="1">
        <v>1</v>
      </c>
      <c r="BA71" s="29">
        <v>269.06</v>
      </c>
      <c r="BB71" s="29">
        <v>58.04</v>
      </c>
      <c r="BC71" s="29">
        <v>17.98</v>
      </c>
      <c r="BD71" s="29">
        <v>157.88999999999999</v>
      </c>
      <c r="BF71" s="279">
        <f>T71*1.2</f>
        <v>383.14000000000004</v>
      </c>
      <c r="BG71" s="1">
        <v>306.51</v>
      </c>
      <c r="BI71" s="323">
        <v>0</v>
      </c>
      <c r="BL71" s="107">
        <f t="shared" si="36"/>
        <v>0.85901039294857251</v>
      </c>
      <c r="BM71" s="107">
        <f t="shared" si="37"/>
        <v>0.92206249128051765</v>
      </c>
      <c r="BN71" s="107">
        <f t="shared" si="38"/>
        <v>0.35749517965371247</v>
      </c>
      <c r="BO71" s="107">
        <f t="shared" si="39"/>
        <v>0.82972030812989472</v>
      </c>
    </row>
    <row r="72" spans="1:67" x14ac:dyDescent="0.25">
      <c r="A72" s="250" t="s">
        <v>349</v>
      </c>
      <c r="B72" s="227">
        <v>9</v>
      </c>
      <c r="C72" s="226">
        <f>'побудинковий звіт'!E65</f>
        <v>1867.1</v>
      </c>
      <c r="D72" s="138">
        <f t="shared" si="6"/>
        <v>898.58500175171321</v>
      </c>
      <c r="E72" s="104">
        <f t="shared" si="0"/>
        <v>185.22261542279168</v>
      </c>
      <c r="F72" s="323">
        <v>230.53640031216094</v>
      </c>
      <c r="G72" s="104" t="e">
        <f t="shared" si="1"/>
        <v>#REF!</v>
      </c>
      <c r="H72" s="720">
        <f t="shared" si="7"/>
        <v>750.74502863232306</v>
      </c>
      <c r="I72" s="104" t="e">
        <f t="shared" si="8"/>
        <v>#REF!</v>
      </c>
      <c r="J72" s="28"/>
      <c r="K72" s="139" t="e">
        <f t="shared" si="9"/>
        <v>#REF!</v>
      </c>
      <c r="L72" s="200">
        <f t="shared" si="10"/>
        <v>166.1648815536621</v>
      </c>
      <c r="M72" s="104">
        <f t="shared" si="2"/>
        <v>36.559252477882588</v>
      </c>
      <c r="N72" s="323">
        <v>0</v>
      </c>
      <c r="O72" s="104"/>
      <c r="P72" s="104">
        <f t="shared" si="11"/>
        <v>138.82655343290429</v>
      </c>
      <c r="Q72" s="104">
        <f t="shared" si="12"/>
        <v>43.961957163418063</v>
      </c>
      <c r="R72" s="104"/>
      <c r="S72" s="140">
        <f t="shared" si="13"/>
        <v>385.51264462786702</v>
      </c>
      <c r="T72" s="880">
        <v>1439.1166666666668</v>
      </c>
      <c r="U72" s="104"/>
      <c r="V72" s="148">
        <f t="shared" si="14"/>
        <v>1439.1166666666668</v>
      </c>
      <c r="W72" s="882">
        <v>312.35000000000002</v>
      </c>
      <c r="X72" s="104"/>
      <c r="Y72" s="45">
        <f t="shared" si="15"/>
        <v>312.35000000000002</v>
      </c>
      <c r="Z72" s="138">
        <f t="shared" si="16"/>
        <v>69.640060996543198</v>
      </c>
      <c r="AA72" s="104">
        <f t="shared" si="3"/>
        <v>15.307436651306746</v>
      </c>
      <c r="AB72" s="323">
        <v>0</v>
      </c>
      <c r="AC72" s="104"/>
      <c r="AD72" s="104">
        <f t="shared" si="17"/>
        <v>58.182508593942117</v>
      </c>
      <c r="AE72" s="104">
        <f t="shared" si="18"/>
        <v>18.422668828199523</v>
      </c>
      <c r="AF72" s="104"/>
      <c r="AG72" s="139">
        <f t="shared" si="19"/>
        <v>161.55267506999158</v>
      </c>
      <c r="AH72" s="200">
        <f t="shared" si="20"/>
        <v>763.11865899630811</v>
      </c>
      <c r="AI72" s="104">
        <f t="shared" si="4"/>
        <v>152.21599231224533</v>
      </c>
      <c r="AJ72" s="323">
        <v>98.7216211678587</v>
      </c>
      <c r="AK72" s="118" t="e">
        <f t="shared" si="5"/>
        <v>#REF!</v>
      </c>
      <c r="AL72" s="104"/>
      <c r="AM72" s="104">
        <f t="shared" si="21"/>
        <v>637.56632748288689</v>
      </c>
      <c r="AN72" s="104" t="e">
        <f t="shared" si="22"/>
        <v>#REF!</v>
      </c>
      <c r="AO72" s="104"/>
      <c r="AP72" s="140" t="e">
        <f t="shared" si="23"/>
        <v>#REF!</v>
      </c>
      <c r="AQ72" s="33"/>
      <c r="AR72" s="28"/>
      <c r="AS72" s="121"/>
      <c r="AT72" s="135" t="e">
        <f t="shared" si="24"/>
        <v>#REF!</v>
      </c>
      <c r="AU72" s="148" t="e">
        <f t="shared" si="25"/>
        <v>#REF!</v>
      </c>
      <c r="AW72" s="1">
        <v>1</v>
      </c>
      <c r="BA72" s="29">
        <v>1046.07</v>
      </c>
      <c r="BB72" s="29">
        <v>180.21</v>
      </c>
      <c r="BC72" s="29">
        <v>194.8</v>
      </c>
      <c r="BD72" s="29">
        <v>919.73</v>
      </c>
      <c r="BF72" s="279">
        <f>T72*1.2</f>
        <v>1726.94</v>
      </c>
      <c r="BI72" s="323">
        <v>0</v>
      </c>
      <c r="BL72" s="107">
        <f t="shared" si="36"/>
        <v>0.85901039294857251</v>
      </c>
      <c r="BM72" s="107">
        <f t="shared" si="37"/>
        <v>0.92206249128051765</v>
      </c>
      <c r="BN72" s="107">
        <f t="shared" si="38"/>
        <v>0.35749517965371247</v>
      </c>
      <c r="BO72" s="107">
        <f t="shared" si="39"/>
        <v>0.82972030812989472</v>
      </c>
    </row>
    <row r="73" spans="1:67" x14ac:dyDescent="0.25">
      <c r="A73" s="250" t="s">
        <v>254</v>
      </c>
      <c r="B73" s="227">
        <v>5</v>
      </c>
      <c r="C73" s="226">
        <f>'побудинковий звіт'!E66</f>
        <v>1171.21</v>
      </c>
      <c r="D73" s="138">
        <f t="shared" si="6"/>
        <v>231.14251653460187</v>
      </c>
      <c r="E73" s="104">
        <f t="shared" ref="E73:E136" si="40">D73*$BA$372</f>
        <v>47.64470958727884</v>
      </c>
      <c r="F73" s="323">
        <v>50.274539096016859</v>
      </c>
      <c r="G73" s="104" t="e">
        <f t="shared" ref="G73:G136" si="41">$G$369/$C$368*C73</f>
        <v>#REF!</v>
      </c>
      <c r="H73" s="720">
        <f t="shared" si="7"/>
        <v>193.11372308199782</v>
      </c>
      <c r="I73" s="104" t="e">
        <f t="shared" si="8"/>
        <v>#REF!</v>
      </c>
      <c r="J73" s="28"/>
      <c r="K73" s="139" t="e">
        <f t="shared" si="9"/>
        <v>#REF!</v>
      </c>
      <c r="L73" s="200">
        <f t="shared" si="10"/>
        <v>53.51650699392124</v>
      </c>
      <c r="M73" s="104">
        <f t="shared" ref="M73:M136" si="42">L73*$BB$372</f>
        <v>11.774590831897813</v>
      </c>
      <c r="N73" s="323">
        <v>0</v>
      </c>
      <c r="O73" s="104"/>
      <c r="P73" s="104">
        <f t="shared" si="11"/>
        <v>44.711687260672349</v>
      </c>
      <c r="Q73" s="104">
        <f t="shared" si="12"/>
        <v>14.158770288911736</v>
      </c>
      <c r="R73" s="104"/>
      <c r="S73" s="140">
        <f t="shared" si="13"/>
        <v>124.16155537540314</v>
      </c>
      <c r="T73" s="880">
        <v>319.98333333333335</v>
      </c>
      <c r="U73" s="104"/>
      <c r="V73" s="148">
        <f t="shared" si="14"/>
        <v>319.98333333333335</v>
      </c>
      <c r="W73" s="882">
        <v>67.791666666666671</v>
      </c>
      <c r="X73" s="104"/>
      <c r="Y73" s="45">
        <f t="shared" si="15"/>
        <v>67.791666666666671</v>
      </c>
      <c r="Z73" s="138">
        <f t="shared" si="16"/>
        <v>6.4277633301737502</v>
      </c>
      <c r="AA73" s="104">
        <f t="shared" ref="AA73:AA136" si="43">Z73*$BC$372</f>
        <v>1.4128732597048013</v>
      </c>
      <c r="AB73" s="323">
        <v>0</v>
      </c>
      <c r="AC73" s="104"/>
      <c r="AD73" s="104">
        <f t="shared" si="17"/>
        <v>5.3702335960938354</v>
      </c>
      <c r="AE73" s="104">
        <f t="shared" si="18"/>
        <v>1.7004085499539394</v>
      </c>
      <c r="AF73" s="104"/>
      <c r="AG73" s="139">
        <f t="shared" si="19"/>
        <v>14.911278735926325</v>
      </c>
      <c r="AH73" s="200">
        <f t="shared" si="20"/>
        <v>131.00453945062907</v>
      </c>
      <c r="AI73" s="104">
        <f t="shared" ref="AI73:AI136" si="44">AH73*$BD$372</f>
        <v>26.130911274156993</v>
      </c>
      <c r="AJ73" s="323">
        <v>77.928851826892469</v>
      </c>
      <c r="AK73" s="118" t="e">
        <f t="shared" ref="AK73:AK136" si="45">$AK$369/$C$368*C73</f>
        <v>#REF!</v>
      </c>
      <c r="AL73" s="104"/>
      <c r="AM73" s="104">
        <f t="shared" si="21"/>
        <v>109.45097740236048</v>
      </c>
      <c r="AN73" s="104" t="e">
        <f t="shared" si="22"/>
        <v>#REF!</v>
      </c>
      <c r="AO73" s="104"/>
      <c r="AP73" s="140" t="e">
        <f t="shared" si="23"/>
        <v>#REF!</v>
      </c>
      <c r="AQ73" s="33"/>
      <c r="AR73" s="28"/>
      <c r="AS73" s="121"/>
      <c r="AT73" s="135" t="e">
        <f t="shared" si="24"/>
        <v>#REF!</v>
      </c>
      <c r="AU73" s="148" t="e">
        <f t="shared" si="25"/>
        <v>#REF!</v>
      </c>
      <c r="AW73" s="1">
        <v>1</v>
      </c>
      <c r="BA73" s="29">
        <v>269.08</v>
      </c>
      <c r="BB73" s="29">
        <v>58.04</v>
      </c>
      <c r="BC73" s="29">
        <v>17.98</v>
      </c>
      <c r="BD73" s="29">
        <v>157.88999999999999</v>
      </c>
      <c r="BF73" s="279">
        <f>T73*1.2</f>
        <v>383.98</v>
      </c>
      <c r="BI73" s="323">
        <v>0</v>
      </c>
      <c r="BL73" s="107">
        <f t="shared" si="36"/>
        <v>0.85901039294857251</v>
      </c>
      <c r="BM73" s="107">
        <f t="shared" si="37"/>
        <v>0.92206249128051765</v>
      </c>
      <c r="BN73" s="107">
        <f t="shared" si="38"/>
        <v>0.35749517965371247</v>
      </c>
      <c r="BO73" s="107">
        <f t="shared" si="39"/>
        <v>0.82972030812989472</v>
      </c>
    </row>
    <row r="74" spans="1:67" x14ac:dyDescent="0.25">
      <c r="A74" s="250" t="s">
        <v>350</v>
      </c>
      <c r="B74" s="227">
        <v>9</v>
      </c>
      <c r="C74" s="226">
        <f>'побудинковий звіт'!E67</f>
        <v>1448.3</v>
      </c>
      <c r="D74" s="138">
        <f t="shared" ref="D74:D137" si="46">BA74*BL74</f>
        <v>901.91796207635377</v>
      </c>
      <c r="E74" s="104">
        <f t="shared" si="40"/>
        <v>185.90962847912675</v>
      </c>
      <c r="F74" s="323">
        <v>232.09134771275222</v>
      </c>
      <c r="G74" s="104" t="e">
        <f t="shared" si="41"/>
        <v>#REF!</v>
      </c>
      <c r="H74" s="720">
        <f t="shared" ref="H74:H137" si="47">D74*$B$4</f>
        <v>753.52963263692448</v>
      </c>
      <c r="I74" s="104" t="e">
        <f t="shared" ref="I74:I137" si="48">(D74+E74+F74+G74+H74)*$B$5</f>
        <v>#REF!</v>
      </c>
      <c r="J74" s="28"/>
      <c r="K74" s="139" t="e">
        <f t="shared" ref="K74:K137" si="49">D74+E74+F74+G74+H74+I74-J74</f>
        <v>#REF!</v>
      </c>
      <c r="L74" s="200">
        <f t="shared" ref="L74:L137" si="50">BB74*BM74</f>
        <v>166.1648815536621</v>
      </c>
      <c r="M74" s="104">
        <f t="shared" si="42"/>
        <v>36.559252477882588</v>
      </c>
      <c r="N74" s="323">
        <v>0</v>
      </c>
      <c r="O74" s="104"/>
      <c r="P74" s="104">
        <f t="shared" ref="P74:P137" si="51">L74*$B$4</f>
        <v>138.82655343290429</v>
      </c>
      <c r="Q74" s="104">
        <f t="shared" ref="Q74:Q137" si="52">(L74+M74+N74+O74+P74)*$B$5</f>
        <v>43.961957163418063</v>
      </c>
      <c r="R74" s="104"/>
      <c r="S74" s="140">
        <f t="shared" ref="S74:S137" si="53">L74+M74+N74+O74+P74+Q74-R74</f>
        <v>385.51264462786702</v>
      </c>
      <c r="T74" s="880">
        <v>1384.3833333333334</v>
      </c>
      <c r="U74" s="104"/>
      <c r="V74" s="148">
        <f t="shared" ref="V74:V137" si="54">T74+U74</f>
        <v>1384.3833333333334</v>
      </c>
      <c r="W74" s="882">
        <v>313.17500000000001</v>
      </c>
      <c r="X74" s="104"/>
      <c r="Y74" s="45">
        <f t="shared" ref="Y74:Y137" si="55">W74+X74</f>
        <v>313.17500000000001</v>
      </c>
      <c r="Z74" s="138">
        <f t="shared" ref="Z74:Z137" si="56">BC74*BN74</f>
        <v>69.640060996543198</v>
      </c>
      <c r="AA74" s="104">
        <f t="shared" si="43"/>
        <v>15.307436651306746</v>
      </c>
      <c r="AB74" s="323">
        <v>0</v>
      </c>
      <c r="AC74" s="104"/>
      <c r="AD74" s="104">
        <f t="shared" ref="AD74:AD137" si="57">Z74*$B$4</f>
        <v>58.182508593942117</v>
      </c>
      <c r="AE74" s="104">
        <f t="shared" ref="AE74:AE137" si="58">(Z74+AA74+AB74+AC74+AD74)*$B$5</f>
        <v>18.422668828199523</v>
      </c>
      <c r="AF74" s="104"/>
      <c r="AG74" s="139">
        <f t="shared" ref="AG74:AG137" si="59">Z74+AA74+AB74+AC74+AD74+AE74-AF74</f>
        <v>161.55267506999158</v>
      </c>
      <c r="AH74" s="200">
        <f t="shared" ref="AH74:AH137" si="60">BD74*BO74</f>
        <v>763.11865899630811</v>
      </c>
      <c r="AI74" s="104">
        <f t="shared" si="44"/>
        <v>152.21599231224533</v>
      </c>
      <c r="AJ74" s="323">
        <v>192.3874896728291</v>
      </c>
      <c r="AK74" s="118" t="e">
        <f t="shared" si="45"/>
        <v>#REF!</v>
      </c>
      <c r="AL74" s="104"/>
      <c r="AM74" s="104">
        <f t="shared" ref="AM74:AM137" si="61">AH74*$B$4</f>
        <v>637.56632748288689</v>
      </c>
      <c r="AN74" s="104" t="e">
        <f t="shared" ref="AN74:AN137" si="62">(AH74+AI74+AJ74+AK74+AL74+AM74)*$B$5</f>
        <v>#REF!</v>
      </c>
      <c r="AO74" s="104"/>
      <c r="AP74" s="140" t="e">
        <f t="shared" ref="AP74:AP137" si="63">AH74+AI74+AJ74+AK74+AL74+AM74+AN74-AO74</f>
        <v>#REF!</v>
      </c>
      <c r="AQ74" s="33"/>
      <c r="AR74" s="28"/>
      <c r="AS74" s="121"/>
      <c r="AT74" s="135" t="e">
        <f t="shared" ref="AT74:AT137" si="64">IF(B74&gt;1,C74*$AT$5,0)</f>
        <v>#REF!</v>
      </c>
      <c r="AU74" s="148" t="e">
        <f t="shared" ref="AU74:AU137" si="65">K74+S74+V74+Y74+AG74+AP74+AS74+AT74</f>
        <v>#REF!</v>
      </c>
      <c r="AW74" s="1">
        <v>1</v>
      </c>
      <c r="BA74" s="29">
        <v>1049.95</v>
      </c>
      <c r="BB74" s="29">
        <v>180.21</v>
      </c>
      <c r="BC74" s="29">
        <v>194.8</v>
      </c>
      <c r="BD74" s="29">
        <v>919.73</v>
      </c>
      <c r="BF74" s="279">
        <f>T74*1.2</f>
        <v>1661.26</v>
      </c>
      <c r="BI74" s="323">
        <v>0</v>
      </c>
      <c r="BL74" s="107">
        <f t="shared" si="36"/>
        <v>0.85901039294857251</v>
      </c>
      <c r="BM74" s="107">
        <f t="shared" si="37"/>
        <v>0.92206249128051765</v>
      </c>
      <c r="BN74" s="107">
        <f t="shared" si="38"/>
        <v>0.35749517965371247</v>
      </c>
      <c r="BO74" s="107">
        <f t="shared" si="39"/>
        <v>0.82972030812989472</v>
      </c>
    </row>
    <row r="75" spans="1:67" x14ac:dyDescent="0.25">
      <c r="A75" s="424" t="s">
        <v>65</v>
      </c>
      <c r="B75" s="228">
        <v>1</v>
      </c>
      <c r="C75" s="226">
        <f>'побудинковий звіт'!E68</f>
        <v>2116.1999999999998</v>
      </c>
      <c r="D75" s="138">
        <f t="shared" si="46"/>
        <v>0</v>
      </c>
      <c r="E75" s="104">
        <f t="shared" si="40"/>
        <v>0</v>
      </c>
      <c r="F75" s="323">
        <v>0</v>
      </c>
      <c r="G75" s="104" t="e">
        <f t="shared" si="41"/>
        <v>#REF!</v>
      </c>
      <c r="H75" s="720">
        <f t="shared" si="47"/>
        <v>0</v>
      </c>
      <c r="I75" s="104" t="e">
        <f t="shared" si="48"/>
        <v>#REF!</v>
      </c>
      <c r="J75" s="28"/>
      <c r="K75" s="139" t="e">
        <f t="shared" si="49"/>
        <v>#REF!</v>
      </c>
      <c r="L75" s="200">
        <f t="shared" si="50"/>
        <v>0</v>
      </c>
      <c r="M75" s="104">
        <f t="shared" si="42"/>
        <v>0</v>
      </c>
      <c r="N75" s="323">
        <v>0</v>
      </c>
      <c r="O75" s="104"/>
      <c r="P75" s="104">
        <f t="shared" si="51"/>
        <v>0</v>
      </c>
      <c r="Q75" s="104">
        <f t="shared" si="52"/>
        <v>0</v>
      </c>
      <c r="R75" s="104"/>
      <c r="S75" s="140">
        <f t="shared" si="53"/>
        <v>0</v>
      </c>
      <c r="T75" s="235"/>
      <c r="U75" s="104"/>
      <c r="V75" s="148">
        <f t="shared" si="54"/>
        <v>0</v>
      </c>
      <c r="W75" s="236"/>
      <c r="X75" s="104"/>
      <c r="Y75" s="45">
        <f t="shared" si="55"/>
        <v>0</v>
      </c>
      <c r="Z75" s="138">
        <f t="shared" si="56"/>
        <v>0</v>
      </c>
      <c r="AA75" s="104">
        <f t="shared" si="43"/>
        <v>0</v>
      </c>
      <c r="AB75" s="323">
        <v>0</v>
      </c>
      <c r="AC75" s="104"/>
      <c r="AD75" s="104">
        <f t="shared" si="57"/>
        <v>0</v>
      </c>
      <c r="AE75" s="104">
        <f t="shared" si="58"/>
        <v>0</v>
      </c>
      <c r="AF75" s="104"/>
      <c r="AG75" s="139">
        <f t="shared" si="59"/>
        <v>0</v>
      </c>
      <c r="AH75" s="200">
        <f t="shared" si="60"/>
        <v>0</v>
      </c>
      <c r="AI75" s="104">
        <f t="shared" si="44"/>
        <v>0</v>
      </c>
      <c r="AJ75" s="323">
        <v>0</v>
      </c>
      <c r="AK75" s="118" t="e">
        <f t="shared" si="45"/>
        <v>#REF!</v>
      </c>
      <c r="AL75" s="104"/>
      <c r="AM75" s="104">
        <f t="shared" si="61"/>
        <v>0</v>
      </c>
      <c r="AN75" s="104" t="e">
        <f t="shared" si="62"/>
        <v>#REF!</v>
      </c>
      <c r="AO75" s="104"/>
      <c r="AP75" s="140" t="e">
        <f t="shared" si="63"/>
        <v>#REF!</v>
      </c>
      <c r="AQ75" s="33"/>
      <c r="AR75" s="28"/>
      <c r="AS75" s="121"/>
      <c r="AT75" s="135">
        <f t="shared" si="64"/>
        <v>0</v>
      </c>
      <c r="AU75" s="148" t="e">
        <f t="shared" si="65"/>
        <v>#REF!</v>
      </c>
      <c r="AW75" s="1">
        <v>3</v>
      </c>
      <c r="BA75" s="29">
        <v>0</v>
      </c>
      <c r="BB75" s="29">
        <v>0</v>
      </c>
      <c r="BC75" s="29">
        <v>0</v>
      </c>
      <c r="BD75" s="29">
        <v>0</v>
      </c>
      <c r="BI75" s="323">
        <v>0</v>
      </c>
      <c r="BL75" s="107">
        <f t="shared" ref="BL75:BO77" si="66">BA$399</f>
        <v>1.2233877438623886</v>
      </c>
      <c r="BM75" s="107">
        <f t="shared" si="66"/>
        <v>1.2807066670574303</v>
      </c>
      <c r="BN75" s="107">
        <f t="shared" si="66"/>
        <v>0.82443024793968056</v>
      </c>
      <c r="BO75" s="107">
        <f t="shared" si="66"/>
        <v>1.2965393422474656</v>
      </c>
    </row>
    <row r="76" spans="1:67" x14ac:dyDescent="0.25">
      <c r="A76" s="424" t="s">
        <v>66</v>
      </c>
      <c r="B76" s="228">
        <v>1</v>
      </c>
      <c r="C76" s="226">
        <f>'побудинковий звіт'!E69</f>
        <v>2215.63</v>
      </c>
      <c r="D76" s="138">
        <f t="shared" si="46"/>
        <v>0</v>
      </c>
      <c r="E76" s="104">
        <f t="shared" si="40"/>
        <v>0</v>
      </c>
      <c r="F76" s="323">
        <v>0</v>
      </c>
      <c r="G76" s="104" t="e">
        <f t="shared" si="41"/>
        <v>#REF!</v>
      </c>
      <c r="H76" s="720">
        <f t="shared" si="47"/>
        <v>0</v>
      </c>
      <c r="I76" s="104" t="e">
        <f t="shared" si="48"/>
        <v>#REF!</v>
      </c>
      <c r="J76" s="28"/>
      <c r="K76" s="139" t="e">
        <f t="shared" si="49"/>
        <v>#REF!</v>
      </c>
      <c r="L76" s="200">
        <f t="shared" si="50"/>
        <v>0</v>
      </c>
      <c r="M76" s="104">
        <f t="shared" si="42"/>
        <v>0</v>
      </c>
      <c r="N76" s="323">
        <v>0</v>
      </c>
      <c r="O76" s="104"/>
      <c r="P76" s="104">
        <f t="shared" si="51"/>
        <v>0</v>
      </c>
      <c r="Q76" s="104">
        <f t="shared" si="52"/>
        <v>0</v>
      </c>
      <c r="R76" s="104"/>
      <c r="S76" s="140">
        <f t="shared" si="53"/>
        <v>0</v>
      </c>
      <c r="T76" s="235"/>
      <c r="U76" s="104"/>
      <c r="V76" s="148">
        <f t="shared" si="54"/>
        <v>0</v>
      </c>
      <c r="W76" s="236"/>
      <c r="X76" s="104"/>
      <c r="Y76" s="45">
        <f t="shared" si="55"/>
        <v>0</v>
      </c>
      <c r="Z76" s="138">
        <f t="shared" si="56"/>
        <v>0</v>
      </c>
      <c r="AA76" s="104">
        <f t="shared" si="43"/>
        <v>0</v>
      </c>
      <c r="AB76" s="323">
        <v>0</v>
      </c>
      <c r="AC76" s="104"/>
      <c r="AD76" s="104">
        <f t="shared" si="57"/>
        <v>0</v>
      </c>
      <c r="AE76" s="104">
        <f t="shared" si="58"/>
        <v>0</v>
      </c>
      <c r="AF76" s="104"/>
      <c r="AG76" s="139">
        <f t="shared" si="59"/>
        <v>0</v>
      </c>
      <c r="AH76" s="200">
        <f t="shared" si="60"/>
        <v>0</v>
      </c>
      <c r="AI76" s="104">
        <f t="shared" si="44"/>
        <v>0</v>
      </c>
      <c r="AJ76" s="323">
        <v>0</v>
      </c>
      <c r="AK76" s="118" t="e">
        <f t="shared" si="45"/>
        <v>#REF!</v>
      </c>
      <c r="AL76" s="104"/>
      <c r="AM76" s="104">
        <f t="shared" si="61"/>
        <v>0</v>
      </c>
      <c r="AN76" s="104" t="e">
        <f t="shared" si="62"/>
        <v>#REF!</v>
      </c>
      <c r="AO76" s="104"/>
      <c r="AP76" s="140" t="e">
        <f t="shared" si="63"/>
        <v>#REF!</v>
      </c>
      <c r="AQ76" s="33"/>
      <c r="AR76" s="28"/>
      <c r="AS76" s="121"/>
      <c r="AT76" s="135">
        <f t="shared" si="64"/>
        <v>0</v>
      </c>
      <c r="AU76" s="148" t="e">
        <f t="shared" si="65"/>
        <v>#REF!</v>
      </c>
      <c r="AW76" s="1">
        <v>3</v>
      </c>
      <c r="BA76" s="29">
        <v>0</v>
      </c>
      <c r="BB76" s="29">
        <v>0</v>
      </c>
      <c r="BC76" s="29">
        <v>0</v>
      </c>
      <c r="BD76" s="29">
        <v>0</v>
      </c>
      <c r="BI76" s="323">
        <v>0</v>
      </c>
      <c r="BL76" s="107">
        <f t="shared" si="66"/>
        <v>1.2233877438623886</v>
      </c>
      <c r="BM76" s="107">
        <f t="shared" si="66"/>
        <v>1.2807066670574303</v>
      </c>
      <c r="BN76" s="107">
        <f t="shared" si="66"/>
        <v>0.82443024793968056</v>
      </c>
      <c r="BO76" s="107">
        <f t="shared" si="66"/>
        <v>1.2965393422474656</v>
      </c>
    </row>
    <row r="77" spans="1:67" x14ac:dyDescent="0.25">
      <c r="A77" s="424" t="s">
        <v>67</v>
      </c>
      <c r="B77" s="228">
        <v>1</v>
      </c>
      <c r="C77" s="226">
        <f>'побудинковий звіт'!E70</f>
        <v>5955.55</v>
      </c>
      <c r="D77" s="138">
        <f t="shared" si="46"/>
        <v>0</v>
      </c>
      <c r="E77" s="104">
        <f t="shared" si="40"/>
        <v>0</v>
      </c>
      <c r="F77" s="323">
        <v>0</v>
      </c>
      <c r="G77" s="104" t="e">
        <f t="shared" si="41"/>
        <v>#REF!</v>
      </c>
      <c r="H77" s="720">
        <f t="shared" si="47"/>
        <v>0</v>
      </c>
      <c r="I77" s="104" t="e">
        <f t="shared" si="48"/>
        <v>#REF!</v>
      </c>
      <c r="J77" s="28"/>
      <c r="K77" s="139" t="e">
        <f t="shared" si="49"/>
        <v>#REF!</v>
      </c>
      <c r="L77" s="200">
        <f t="shared" si="50"/>
        <v>0</v>
      </c>
      <c r="M77" s="104">
        <f t="shared" si="42"/>
        <v>0</v>
      </c>
      <c r="N77" s="323">
        <v>0</v>
      </c>
      <c r="O77" s="104"/>
      <c r="P77" s="104">
        <f t="shared" si="51"/>
        <v>0</v>
      </c>
      <c r="Q77" s="104">
        <f t="shared" si="52"/>
        <v>0</v>
      </c>
      <c r="R77" s="104"/>
      <c r="S77" s="140">
        <f t="shared" si="53"/>
        <v>0</v>
      </c>
      <c r="T77" s="234">
        <v>22.45</v>
      </c>
      <c r="U77" s="104"/>
      <c r="V77" s="148">
        <f t="shared" si="54"/>
        <v>22.45</v>
      </c>
      <c r="W77" s="236"/>
      <c r="X77" s="104"/>
      <c r="Y77" s="45">
        <f t="shared" si="55"/>
        <v>0</v>
      </c>
      <c r="Z77" s="138">
        <f t="shared" si="56"/>
        <v>0</v>
      </c>
      <c r="AA77" s="104">
        <f t="shared" si="43"/>
        <v>0</v>
      </c>
      <c r="AB77" s="323">
        <v>0</v>
      </c>
      <c r="AC77" s="104"/>
      <c r="AD77" s="104">
        <f t="shared" si="57"/>
        <v>0</v>
      </c>
      <c r="AE77" s="104">
        <f t="shared" si="58"/>
        <v>0</v>
      </c>
      <c r="AF77" s="104"/>
      <c r="AG77" s="139">
        <f t="shared" si="59"/>
        <v>0</v>
      </c>
      <c r="AH77" s="200">
        <f t="shared" si="60"/>
        <v>0</v>
      </c>
      <c r="AI77" s="104">
        <f t="shared" si="44"/>
        <v>0</v>
      </c>
      <c r="AJ77" s="323">
        <v>0</v>
      </c>
      <c r="AK77" s="118" t="e">
        <f t="shared" si="45"/>
        <v>#REF!</v>
      </c>
      <c r="AL77" s="104"/>
      <c r="AM77" s="104">
        <f t="shared" si="61"/>
        <v>0</v>
      </c>
      <c r="AN77" s="104" t="e">
        <f t="shared" si="62"/>
        <v>#REF!</v>
      </c>
      <c r="AO77" s="104"/>
      <c r="AP77" s="140" t="e">
        <f t="shared" si="63"/>
        <v>#REF!</v>
      </c>
      <c r="AQ77" s="33"/>
      <c r="AR77" s="28"/>
      <c r="AS77" s="121"/>
      <c r="AT77" s="135">
        <f t="shared" si="64"/>
        <v>0</v>
      </c>
      <c r="AU77" s="148" t="e">
        <f t="shared" si="65"/>
        <v>#REF!</v>
      </c>
      <c r="AW77" s="1">
        <v>3</v>
      </c>
      <c r="BA77" s="29">
        <v>0</v>
      </c>
      <c r="BB77" s="29">
        <v>0</v>
      </c>
      <c r="BC77" s="29">
        <v>0</v>
      </c>
      <c r="BD77" s="29">
        <v>0</v>
      </c>
      <c r="BI77" s="323">
        <v>0</v>
      </c>
      <c r="BL77" s="107">
        <f t="shared" si="66"/>
        <v>1.2233877438623886</v>
      </c>
      <c r="BM77" s="107">
        <f t="shared" si="66"/>
        <v>1.2807066670574303</v>
      </c>
      <c r="BN77" s="107">
        <f t="shared" si="66"/>
        <v>0.82443024793968056</v>
      </c>
      <c r="BO77" s="107">
        <f t="shared" si="66"/>
        <v>1.2965393422474656</v>
      </c>
    </row>
    <row r="78" spans="1:67" x14ac:dyDescent="0.25">
      <c r="A78" s="424" t="s">
        <v>68</v>
      </c>
      <c r="B78" s="228">
        <v>1</v>
      </c>
      <c r="C78" s="226">
        <f>'побудинковий звіт'!E71</f>
        <v>3858.65</v>
      </c>
      <c r="D78" s="138">
        <f t="shared" si="46"/>
        <v>0</v>
      </c>
      <c r="E78" s="104">
        <f t="shared" si="40"/>
        <v>0</v>
      </c>
      <c r="F78" s="323">
        <v>0</v>
      </c>
      <c r="G78" s="104" t="e">
        <f t="shared" si="41"/>
        <v>#REF!</v>
      </c>
      <c r="H78" s="720">
        <f t="shared" si="47"/>
        <v>0</v>
      </c>
      <c r="I78" s="104" t="e">
        <f t="shared" si="48"/>
        <v>#REF!</v>
      </c>
      <c r="J78" s="28"/>
      <c r="K78" s="139" t="e">
        <f t="shared" si="49"/>
        <v>#REF!</v>
      </c>
      <c r="L78" s="200">
        <f t="shared" si="50"/>
        <v>0</v>
      </c>
      <c r="M78" s="104">
        <f t="shared" si="42"/>
        <v>0</v>
      </c>
      <c r="N78" s="323">
        <v>0</v>
      </c>
      <c r="O78" s="104"/>
      <c r="P78" s="104">
        <f t="shared" si="51"/>
        <v>0</v>
      </c>
      <c r="Q78" s="104">
        <f t="shared" si="52"/>
        <v>0</v>
      </c>
      <c r="R78" s="104"/>
      <c r="S78" s="140">
        <f t="shared" si="53"/>
        <v>0</v>
      </c>
      <c r="T78" s="235"/>
      <c r="U78" s="104"/>
      <c r="V78" s="148">
        <f t="shared" si="54"/>
        <v>0</v>
      </c>
      <c r="W78" s="236"/>
      <c r="X78" s="104"/>
      <c r="Y78" s="45">
        <f t="shared" si="55"/>
        <v>0</v>
      </c>
      <c r="Z78" s="138">
        <f t="shared" si="56"/>
        <v>0</v>
      </c>
      <c r="AA78" s="104">
        <f t="shared" si="43"/>
        <v>0</v>
      </c>
      <c r="AB78" s="323">
        <v>0</v>
      </c>
      <c r="AC78" s="104"/>
      <c r="AD78" s="104">
        <f t="shared" si="57"/>
        <v>0</v>
      </c>
      <c r="AE78" s="104">
        <f t="shared" si="58"/>
        <v>0</v>
      </c>
      <c r="AF78" s="104"/>
      <c r="AG78" s="139">
        <f t="shared" si="59"/>
        <v>0</v>
      </c>
      <c r="AH78" s="200">
        <f t="shared" si="60"/>
        <v>0</v>
      </c>
      <c r="AI78" s="104">
        <f t="shared" si="44"/>
        <v>0</v>
      </c>
      <c r="AJ78" s="323">
        <v>0</v>
      </c>
      <c r="AK78" s="118" t="e">
        <f t="shared" si="45"/>
        <v>#REF!</v>
      </c>
      <c r="AL78" s="104"/>
      <c r="AM78" s="104">
        <f t="shared" si="61"/>
        <v>0</v>
      </c>
      <c r="AN78" s="104" t="e">
        <f t="shared" si="62"/>
        <v>#REF!</v>
      </c>
      <c r="AO78" s="104"/>
      <c r="AP78" s="140" t="e">
        <f t="shared" si="63"/>
        <v>#REF!</v>
      </c>
      <c r="AQ78" s="33"/>
      <c r="AR78" s="28"/>
      <c r="AS78" s="121"/>
      <c r="AT78" s="135">
        <f t="shared" si="64"/>
        <v>0</v>
      </c>
      <c r="AU78" s="148" t="e">
        <f t="shared" si="65"/>
        <v>#REF!</v>
      </c>
      <c r="AW78" s="1">
        <v>1</v>
      </c>
      <c r="BA78" s="29">
        <v>0</v>
      </c>
      <c r="BB78" s="29">
        <v>0</v>
      </c>
      <c r="BC78" s="29">
        <v>0</v>
      </c>
      <c r="BD78" s="29">
        <v>0</v>
      </c>
      <c r="BI78" s="323">
        <v>0</v>
      </c>
      <c r="BL78" s="107">
        <f>$BA$397</f>
        <v>0.85901039294857251</v>
      </c>
      <c r="BM78" s="107">
        <f>$BB$397</f>
        <v>0.92206249128051765</v>
      </c>
      <c r="BN78" s="107">
        <f>$BC$397</f>
        <v>0.35749517965371247</v>
      </c>
      <c r="BO78" s="107">
        <f>$BD$397</f>
        <v>0.82972030812989472</v>
      </c>
    </row>
    <row r="79" spans="1:67" x14ac:dyDescent="0.25">
      <c r="A79" s="424" t="s">
        <v>72</v>
      </c>
      <c r="B79" s="228">
        <v>1</v>
      </c>
      <c r="C79" s="226">
        <f>'побудинковий звіт'!E72</f>
        <v>9797.7000000000007</v>
      </c>
      <c r="D79" s="138">
        <f t="shared" si="46"/>
        <v>0</v>
      </c>
      <c r="E79" s="104">
        <f t="shared" si="40"/>
        <v>0</v>
      </c>
      <c r="F79" s="323">
        <v>0</v>
      </c>
      <c r="G79" s="104" t="e">
        <f t="shared" si="41"/>
        <v>#REF!</v>
      </c>
      <c r="H79" s="720">
        <f t="shared" si="47"/>
        <v>0</v>
      </c>
      <c r="I79" s="104" t="e">
        <f t="shared" si="48"/>
        <v>#REF!</v>
      </c>
      <c r="J79" s="28"/>
      <c r="K79" s="139" t="e">
        <f t="shared" si="49"/>
        <v>#REF!</v>
      </c>
      <c r="L79" s="200">
        <f t="shared" si="50"/>
        <v>0</v>
      </c>
      <c r="M79" s="104">
        <f t="shared" si="42"/>
        <v>0</v>
      </c>
      <c r="N79" s="323">
        <v>0</v>
      </c>
      <c r="O79" s="104"/>
      <c r="P79" s="104">
        <f t="shared" si="51"/>
        <v>0</v>
      </c>
      <c r="Q79" s="104">
        <f t="shared" si="52"/>
        <v>0</v>
      </c>
      <c r="R79" s="104"/>
      <c r="S79" s="140">
        <f t="shared" si="53"/>
        <v>0</v>
      </c>
      <c r="T79" s="235"/>
      <c r="U79" s="104"/>
      <c r="V79" s="148">
        <f t="shared" si="54"/>
        <v>0</v>
      </c>
      <c r="W79" s="236"/>
      <c r="X79" s="104"/>
      <c r="Y79" s="45">
        <f t="shared" si="55"/>
        <v>0</v>
      </c>
      <c r="Z79" s="138">
        <f t="shared" si="56"/>
        <v>0</v>
      </c>
      <c r="AA79" s="104">
        <f t="shared" si="43"/>
        <v>0</v>
      </c>
      <c r="AB79" s="323">
        <v>0</v>
      </c>
      <c r="AC79" s="104"/>
      <c r="AD79" s="104">
        <f t="shared" si="57"/>
        <v>0</v>
      </c>
      <c r="AE79" s="104">
        <f t="shared" si="58"/>
        <v>0</v>
      </c>
      <c r="AF79" s="104"/>
      <c r="AG79" s="139">
        <f t="shared" si="59"/>
        <v>0</v>
      </c>
      <c r="AH79" s="200">
        <f t="shared" si="60"/>
        <v>0</v>
      </c>
      <c r="AI79" s="104">
        <f t="shared" si="44"/>
        <v>0</v>
      </c>
      <c r="AJ79" s="323">
        <v>0</v>
      </c>
      <c r="AK79" s="118" t="e">
        <f t="shared" si="45"/>
        <v>#REF!</v>
      </c>
      <c r="AL79" s="104"/>
      <c r="AM79" s="104">
        <f t="shared" si="61"/>
        <v>0</v>
      </c>
      <c r="AN79" s="104" t="e">
        <f t="shared" si="62"/>
        <v>#REF!</v>
      </c>
      <c r="AO79" s="104"/>
      <c r="AP79" s="140" t="e">
        <f t="shared" si="63"/>
        <v>#REF!</v>
      </c>
      <c r="AQ79" s="33"/>
      <c r="AR79" s="28"/>
      <c r="AS79" s="121"/>
      <c r="AT79" s="135">
        <f t="shared" si="64"/>
        <v>0</v>
      </c>
      <c r="AU79" s="148" t="e">
        <f t="shared" si="65"/>
        <v>#REF!</v>
      </c>
      <c r="AW79" s="1">
        <v>1</v>
      </c>
      <c r="BA79" s="29">
        <v>0</v>
      </c>
      <c r="BB79" s="29">
        <v>0</v>
      </c>
      <c r="BC79" s="29">
        <v>0</v>
      </c>
      <c r="BD79" s="29">
        <v>0</v>
      </c>
      <c r="BI79" s="323">
        <v>0</v>
      </c>
      <c r="BL79" s="107">
        <f>$BA$397</f>
        <v>0.85901039294857251</v>
      </c>
      <c r="BM79" s="107">
        <f>$BB$397</f>
        <v>0.92206249128051765</v>
      </c>
      <c r="BN79" s="107">
        <f>$BC$397</f>
        <v>0.35749517965371247</v>
      </c>
      <c r="BO79" s="107">
        <f>$BD$397</f>
        <v>0.82972030812989472</v>
      </c>
    </row>
    <row r="80" spans="1:67" x14ac:dyDescent="0.25">
      <c r="A80" s="424" t="s">
        <v>74</v>
      </c>
      <c r="B80" s="228">
        <v>1</v>
      </c>
      <c r="C80" s="226">
        <f>'побудинковий звіт'!E73</f>
        <v>6582.6</v>
      </c>
      <c r="D80" s="138">
        <f t="shared" si="46"/>
        <v>0</v>
      </c>
      <c r="E80" s="104">
        <f t="shared" si="40"/>
        <v>0</v>
      </c>
      <c r="F80" s="323">
        <v>0</v>
      </c>
      <c r="G80" s="104" t="e">
        <f t="shared" si="41"/>
        <v>#REF!</v>
      </c>
      <c r="H80" s="720">
        <f t="shared" si="47"/>
        <v>0</v>
      </c>
      <c r="I80" s="104" t="e">
        <f t="shared" si="48"/>
        <v>#REF!</v>
      </c>
      <c r="J80" s="28"/>
      <c r="K80" s="139" t="e">
        <f t="shared" si="49"/>
        <v>#REF!</v>
      </c>
      <c r="L80" s="200">
        <f t="shared" si="50"/>
        <v>0</v>
      </c>
      <c r="M80" s="104">
        <f t="shared" si="42"/>
        <v>0</v>
      </c>
      <c r="N80" s="323">
        <v>0</v>
      </c>
      <c r="O80" s="104"/>
      <c r="P80" s="104">
        <f t="shared" si="51"/>
        <v>0</v>
      </c>
      <c r="Q80" s="104">
        <f t="shared" si="52"/>
        <v>0</v>
      </c>
      <c r="R80" s="104"/>
      <c r="S80" s="140">
        <f t="shared" si="53"/>
        <v>0</v>
      </c>
      <c r="T80" s="235"/>
      <c r="U80" s="104"/>
      <c r="V80" s="148">
        <f t="shared" si="54"/>
        <v>0</v>
      </c>
      <c r="W80" s="236"/>
      <c r="X80" s="104"/>
      <c r="Y80" s="45">
        <f t="shared" si="55"/>
        <v>0</v>
      </c>
      <c r="Z80" s="138">
        <f t="shared" si="56"/>
        <v>0</v>
      </c>
      <c r="AA80" s="104">
        <f t="shared" si="43"/>
        <v>0</v>
      </c>
      <c r="AB80" s="323">
        <v>0</v>
      </c>
      <c r="AC80" s="104"/>
      <c r="AD80" s="104">
        <f t="shared" si="57"/>
        <v>0</v>
      </c>
      <c r="AE80" s="104">
        <f t="shared" si="58"/>
        <v>0</v>
      </c>
      <c r="AF80" s="104"/>
      <c r="AG80" s="139">
        <f t="shared" si="59"/>
        <v>0</v>
      </c>
      <c r="AH80" s="200">
        <f t="shared" si="60"/>
        <v>0</v>
      </c>
      <c r="AI80" s="104">
        <f t="shared" si="44"/>
        <v>0</v>
      </c>
      <c r="AJ80" s="323">
        <v>0</v>
      </c>
      <c r="AK80" s="118" t="e">
        <f t="shared" si="45"/>
        <v>#REF!</v>
      </c>
      <c r="AL80" s="104"/>
      <c r="AM80" s="104">
        <f t="shared" si="61"/>
        <v>0</v>
      </c>
      <c r="AN80" s="104" t="e">
        <f t="shared" si="62"/>
        <v>#REF!</v>
      </c>
      <c r="AO80" s="104"/>
      <c r="AP80" s="140" t="e">
        <f t="shared" si="63"/>
        <v>#REF!</v>
      </c>
      <c r="AQ80" s="33"/>
      <c r="AR80" s="28"/>
      <c r="AS80" s="121"/>
      <c r="AT80" s="135">
        <f t="shared" si="64"/>
        <v>0</v>
      </c>
      <c r="AU80" s="148" t="e">
        <f t="shared" si="65"/>
        <v>#REF!</v>
      </c>
      <c r="AW80" s="1">
        <v>1</v>
      </c>
      <c r="BA80" s="29">
        <v>0</v>
      </c>
      <c r="BB80" s="29">
        <v>0</v>
      </c>
      <c r="BC80" s="29">
        <v>0</v>
      </c>
      <c r="BD80" s="29">
        <v>0</v>
      </c>
      <c r="BI80" s="323">
        <v>0</v>
      </c>
      <c r="BL80" s="107">
        <f>$BA$397</f>
        <v>0.85901039294857251</v>
      </c>
      <c r="BM80" s="107">
        <f>$BB$397</f>
        <v>0.92206249128051765</v>
      </c>
      <c r="BN80" s="107">
        <f>$BC$397</f>
        <v>0.35749517965371247</v>
      </c>
      <c r="BO80" s="107">
        <f>$BD$397</f>
        <v>0.82972030812989472</v>
      </c>
    </row>
    <row r="81" spans="1:67" x14ac:dyDescent="0.25">
      <c r="A81" s="250" t="s">
        <v>152</v>
      </c>
      <c r="B81" s="227">
        <v>2</v>
      </c>
      <c r="C81" s="226" t="e">
        <f>'побудинковий звіт'!#REF!</f>
        <v>#REF!</v>
      </c>
      <c r="D81" s="138">
        <f t="shared" si="46"/>
        <v>31.113356432597296</v>
      </c>
      <c r="E81" s="104">
        <f t="shared" si="40"/>
        <v>6.4133022939320643</v>
      </c>
      <c r="F81" s="323">
        <v>3.4765990090093384</v>
      </c>
      <c r="G81" s="104" t="e">
        <f t="shared" si="41"/>
        <v>#REF!</v>
      </c>
      <c r="H81" s="720">
        <f t="shared" si="47"/>
        <v>25.994421919243205</v>
      </c>
      <c r="I81" s="104" t="e">
        <f t="shared" si="48"/>
        <v>#REF!</v>
      </c>
      <c r="J81" s="28"/>
      <c r="K81" s="139" t="e">
        <f t="shared" si="49"/>
        <v>#REF!</v>
      </c>
      <c r="L81" s="200">
        <f t="shared" si="50"/>
        <v>6.3161280652715455</v>
      </c>
      <c r="M81" s="104">
        <f t="shared" si="42"/>
        <v>1.3896613921175056</v>
      </c>
      <c r="N81" s="323">
        <v>0</v>
      </c>
      <c r="O81" s="104"/>
      <c r="P81" s="104">
        <f t="shared" si="51"/>
        <v>5.2769651574018885</v>
      </c>
      <c r="Q81" s="104">
        <f t="shared" si="52"/>
        <v>1.6710471481572262</v>
      </c>
      <c r="R81" s="104"/>
      <c r="S81" s="140">
        <f t="shared" si="53"/>
        <v>14.653801762948166</v>
      </c>
      <c r="T81" s="235"/>
      <c r="U81" s="104"/>
      <c r="V81" s="148">
        <f t="shared" si="54"/>
        <v>0</v>
      </c>
      <c r="W81" s="236"/>
      <c r="X81" s="104"/>
      <c r="Y81" s="45">
        <f t="shared" si="55"/>
        <v>0</v>
      </c>
      <c r="Z81" s="138">
        <f t="shared" si="56"/>
        <v>0</v>
      </c>
      <c r="AA81" s="104">
        <f t="shared" si="43"/>
        <v>0</v>
      </c>
      <c r="AB81" s="323">
        <v>0</v>
      </c>
      <c r="AC81" s="104"/>
      <c r="AD81" s="104">
        <f t="shared" si="57"/>
        <v>0</v>
      </c>
      <c r="AE81" s="104">
        <f t="shared" si="58"/>
        <v>0</v>
      </c>
      <c r="AF81" s="104"/>
      <c r="AG81" s="139">
        <f t="shared" si="59"/>
        <v>0</v>
      </c>
      <c r="AH81" s="200">
        <f t="shared" si="60"/>
        <v>0.82142310504859573</v>
      </c>
      <c r="AI81" s="104">
        <f t="shared" si="44"/>
        <v>0.16384572906083619</v>
      </c>
      <c r="AJ81" s="323">
        <v>39.200000000000003</v>
      </c>
      <c r="AK81" s="118" t="e">
        <f t="shared" si="45"/>
        <v>#REF!</v>
      </c>
      <c r="AL81" s="104"/>
      <c r="AM81" s="104">
        <f t="shared" si="61"/>
        <v>0.6862782166593</v>
      </c>
      <c r="AN81" s="104" t="e">
        <f t="shared" si="62"/>
        <v>#REF!</v>
      </c>
      <c r="AO81" s="104"/>
      <c r="AP81" s="140" t="e">
        <f t="shared" si="63"/>
        <v>#REF!</v>
      </c>
      <c r="AQ81" s="33"/>
      <c r="AR81" s="28"/>
      <c r="AS81" s="121"/>
      <c r="AT81" s="135" t="e">
        <f t="shared" si="64"/>
        <v>#REF!</v>
      </c>
      <c r="AU81" s="148" t="e">
        <f t="shared" si="65"/>
        <v>#REF!</v>
      </c>
      <c r="AW81" s="1">
        <v>1</v>
      </c>
      <c r="BA81" s="29">
        <v>36.22</v>
      </c>
      <c r="BB81" s="29">
        <v>6.85</v>
      </c>
      <c r="BC81" s="29">
        <v>0</v>
      </c>
      <c r="BD81" s="29">
        <v>0.99</v>
      </c>
      <c r="BI81" s="323">
        <v>0</v>
      </c>
      <c r="BL81" s="107">
        <f>$BA$397</f>
        <v>0.85901039294857251</v>
      </c>
      <c r="BM81" s="107">
        <f>$BB$397</f>
        <v>0.92206249128051765</v>
      </c>
      <c r="BN81" s="107">
        <f>$BC$397</f>
        <v>0.35749517965371247</v>
      </c>
      <c r="BO81" s="107">
        <f>$BD$397</f>
        <v>0.82972030812989472</v>
      </c>
    </row>
    <row r="82" spans="1:67" x14ac:dyDescent="0.25">
      <c r="A82" s="424" t="s">
        <v>75</v>
      </c>
      <c r="B82" s="228">
        <v>1</v>
      </c>
      <c r="C82" s="226">
        <f>'побудинковий звіт'!E74</f>
        <v>3447.57</v>
      </c>
      <c r="D82" s="138">
        <f t="shared" si="46"/>
        <v>0</v>
      </c>
      <c r="E82" s="104">
        <f t="shared" si="40"/>
        <v>0</v>
      </c>
      <c r="F82" s="323">
        <v>0</v>
      </c>
      <c r="G82" s="104" t="e">
        <f t="shared" si="41"/>
        <v>#REF!</v>
      </c>
      <c r="H82" s="720">
        <f t="shared" si="47"/>
        <v>0</v>
      </c>
      <c r="I82" s="104" t="e">
        <f t="shared" si="48"/>
        <v>#REF!</v>
      </c>
      <c r="J82" s="28"/>
      <c r="K82" s="139" t="e">
        <f t="shared" si="49"/>
        <v>#REF!</v>
      </c>
      <c r="L82" s="200">
        <f t="shared" si="50"/>
        <v>0</v>
      </c>
      <c r="M82" s="104">
        <f t="shared" si="42"/>
        <v>0</v>
      </c>
      <c r="N82" s="323">
        <v>0</v>
      </c>
      <c r="O82" s="104"/>
      <c r="P82" s="104">
        <f t="shared" si="51"/>
        <v>0</v>
      </c>
      <c r="Q82" s="104">
        <f t="shared" si="52"/>
        <v>0</v>
      </c>
      <c r="R82" s="104"/>
      <c r="S82" s="140">
        <f t="shared" si="53"/>
        <v>0</v>
      </c>
      <c r="T82" s="235"/>
      <c r="U82" s="104"/>
      <c r="V82" s="148">
        <f t="shared" si="54"/>
        <v>0</v>
      </c>
      <c r="W82" s="236"/>
      <c r="X82" s="104"/>
      <c r="Y82" s="45">
        <f t="shared" si="55"/>
        <v>0</v>
      </c>
      <c r="Z82" s="138">
        <f t="shared" si="56"/>
        <v>0</v>
      </c>
      <c r="AA82" s="104">
        <f t="shared" si="43"/>
        <v>0</v>
      </c>
      <c r="AB82" s="323">
        <v>0</v>
      </c>
      <c r="AC82" s="104"/>
      <c r="AD82" s="104">
        <f t="shared" si="57"/>
        <v>0</v>
      </c>
      <c r="AE82" s="104">
        <f t="shared" si="58"/>
        <v>0</v>
      </c>
      <c r="AF82" s="104"/>
      <c r="AG82" s="139">
        <f t="shared" si="59"/>
        <v>0</v>
      </c>
      <c r="AH82" s="200">
        <f t="shared" si="60"/>
        <v>0</v>
      </c>
      <c r="AI82" s="104">
        <f t="shared" si="44"/>
        <v>0</v>
      </c>
      <c r="AJ82" s="323">
        <v>0</v>
      </c>
      <c r="AK82" s="118" t="e">
        <f t="shared" si="45"/>
        <v>#REF!</v>
      </c>
      <c r="AL82" s="104"/>
      <c r="AM82" s="104">
        <f t="shared" si="61"/>
        <v>0</v>
      </c>
      <c r="AN82" s="104" t="e">
        <f t="shared" si="62"/>
        <v>#REF!</v>
      </c>
      <c r="AO82" s="104"/>
      <c r="AP82" s="140" t="e">
        <f t="shared" si="63"/>
        <v>#REF!</v>
      </c>
      <c r="AQ82" s="33"/>
      <c r="AR82" s="28"/>
      <c r="AS82" s="121"/>
      <c r="AT82" s="135">
        <f t="shared" si="64"/>
        <v>0</v>
      </c>
      <c r="AU82" s="148" t="e">
        <f t="shared" si="65"/>
        <v>#REF!</v>
      </c>
      <c r="AW82" s="1">
        <v>1</v>
      </c>
      <c r="BA82" s="29">
        <v>0</v>
      </c>
      <c r="BB82" s="29">
        <v>0</v>
      </c>
      <c r="BC82" s="29">
        <v>0</v>
      </c>
      <c r="BD82" s="29">
        <v>0</v>
      </c>
      <c r="BI82" s="323">
        <v>0</v>
      </c>
      <c r="BL82" s="107">
        <f>$BA$397</f>
        <v>0.85901039294857251</v>
      </c>
      <c r="BM82" s="107">
        <f>$BB$397</f>
        <v>0.92206249128051765</v>
      </c>
      <c r="BN82" s="107">
        <f>$BC$397</f>
        <v>0.35749517965371247</v>
      </c>
      <c r="BO82" s="107">
        <f>$BD$397</f>
        <v>0.82972030812989472</v>
      </c>
    </row>
    <row r="83" spans="1:67" x14ac:dyDescent="0.25">
      <c r="A83" s="250" t="s">
        <v>351</v>
      </c>
      <c r="B83" s="227">
        <v>9</v>
      </c>
      <c r="C83" s="226">
        <f>'побудинковий звіт'!E75</f>
        <v>244.2</v>
      </c>
      <c r="D83" s="138">
        <f t="shared" si="46"/>
        <v>643.53865490393218</v>
      </c>
      <c r="E83" s="104">
        <f t="shared" si="40"/>
        <v>132.6506814097784</v>
      </c>
      <c r="F83" s="323">
        <v>129.70407894529956</v>
      </c>
      <c r="G83" s="104" t="e">
        <f t="shared" si="41"/>
        <v>#REF!</v>
      </c>
      <c r="H83" s="720">
        <f t="shared" si="47"/>
        <v>537.66026025365727</v>
      </c>
      <c r="I83" s="104" t="e">
        <f t="shared" si="48"/>
        <v>#REF!</v>
      </c>
      <c r="J83" s="28"/>
      <c r="K83" s="139" t="e">
        <f t="shared" si="49"/>
        <v>#REF!</v>
      </c>
      <c r="L83" s="200">
        <f t="shared" si="50"/>
        <v>121.59029097043243</v>
      </c>
      <c r="M83" s="104">
        <f t="shared" si="42"/>
        <v>26.752043541833931</v>
      </c>
      <c r="N83" s="323">
        <v>0</v>
      </c>
      <c r="O83" s="104"/>
      <c r="P83" s="104">
        <f t="shared" si="51"/>
        <v>101.58561104187243</v>
      </c>
      <c r="Q83" s="104">
        <f t="shared" si="52"/>
        <v>32.168934332874883</v>
      </c>
      <c r="R83" s="104"/>
      <c r="S83" s="140">
        <f t="shared" si="53"/>
        <v>282.0968798870137</v>
      </c>
      <c r="T83" s="234">
        <v>539.69000000000005</v>
      </c>
      <c r="U83" s="104"/>
      <c r="V83" s="148">
        <f t="shared" si="54"/>
        <v>539.69000000000005</v>
      </c>
      <c r="W83" s="881">
        <v>128.72</v>
      </c>
      <c r="X83" s="104"/>
      <c r="Y83" s="45">
        <f t="shared" si="55"/>
        <v>128.72</v>
      </c>
      <c r="Z83" s="138">
        <f t="shared" si="56"/>
        <v>21.740225638169377</v>
      </c>
      <c r="AA83" s="104">
        <f t="shared" si="43"/>
        <v>4.7786736826366578</v>
      </c>
      <c r="AB83" s="323">
        <v>0</v>
      </c>
      <c r="AC83" s="104"/>
      <c r="AD83" s="104">
        <f t="shared" si="57"/>
        <v>18.163408344656933</v>
      </c>
      <c r="AE83" s="104">
        <f t="shared" si="58"/>
        <v>5.7511864787454439</v>
      </c>
      <c r="AF83" s="104"/>
      <c r="AG83" s="139">
        <f t="shared" si="59"/>
        <v>50.433494144208417</v>
      </c>
      <c r="AH83" s="200">
        <f t="shared" si="60"/>
        <v>401.07148013083099</v>
      </c>
      <c r="AI83" s="104">
        <f t="shared" si="44"/>
        <v>80.000000807935663</v>
      </c>
      <c r="AJ83" s="323">
        <v>73.006366681135063</v>
      </c>
      <c r="AK83" s="118" t="e">
        <f t="shared" si="45"/>
        <v>#REF!</v>
      </c>
      <c r="AL83" s="104">
        <f>2*436+2200</f>
        <v>3072</v>
      </c>
      <c r="AM83" s="104">
        <f t="shared" si="61"/>
        <v>335.08507180451033</v>
      </c>
      <c r="AN83" s="104" t="e">
        <f t="shared" si="62"/>
        <v>#REF!</v>
      </c>
      <c r="AO83" s="104"/>
      <c r="AP83" s="140" t="e">
        <f t="shared" si="63"/>
        <v>#REF!</v>
      </c>
      <c r="AQ83" s="33"/>
      <c r="AR83" s="28"/>
      <c r="AS83" s="121"/>
      <c r="AT83" s="135" t="e">
        <f t="shared" si="64"/>
        <v>#REF!</v>
      </c>
      <c r="AU83" s="148" t="e">
        <f t="shared" si="65"/>
        <v>#REF!</v>
      </c>
      <c r="AW83" s="1">
        <v>3</v>
      </c>
      <c r="BA83" s="29">
        <v>526.03</v>
      </c>
      <c r="BB83" s="29">
        <v>94.94</v>
      </c>
      <c r="BC83" s="29">
        <v>26.37</v>
      </c>
      <c r="BD83" s="29">
        <v>309.33999999999997</v>
      </c>
      <c r="BI83" s="323">
        <v>8.7100000000000009</v>
      </c>
      <c r="BL83" s="107">
        <f t="shared" ref="BL83:BO85" si="67">BA$399</f>
        <v>1.2233877438623886</v>
      </c>
      <c r="BM83" s="107">
        <f t="shared" si="67"/>
        <v>1.2807066670574303</v>
      </c>
      <c r="BN83" s="107">
        <f t="shared" si="67"/>
        <v>0.82443024793968056</v>
      </c>
      <c r="BO83" s="107">
        <f t="shared" si="67"/>
        <v>1.2965393422474656</v>
      </c>
    </row>
    <row r="84" spans="1:67" x14ac:dyDescent="0.25">
      <c r="A84" s="250" t="s">
        <v>413</v>
      </c>
      <c r="B84" s="227">
        <v>10</v>
      </c>
      <c r="C84" s="226">
        <f>'побудинковий звіт'!E76</f>
        <v>323.7</v>
      </c>
      <c r="D84" s="138">
        <f t="shared" si="46"/>
        <v>350.45165310681983</v>
      </c>
      <c r="E84" s="104">
        <f t="shared" si="40"/>
        <v>72.237541958909418</v>
      </c>
      <c r="F84" s="323">
        <v>66.964182443707188</v>
      </c>
      <c r="G84" s="104" t="e">
        <f t="shared" si="41"/>
        <v>#REF!</v>
      </c>
      <c r="H84" s="720">
        <f t="shared" si="47"/>
        <v>292.79348735293172</v>
      </c>
      <c r="I84" s="104" t="e">
        <f t="shared" si="48"/>
        <v>#REF!</v>
      </c>
      <c r="J84" s="28"/>
      <c r="K84" s="139" t="e">
        <f t="shared" si="49"/>
        <v>#REF!</v>
      </c>
      <c r="L84" s="200">
        <f t="shared" si="50"/>
        <v>65.802708553410767</v>
      </c>
      <c r="M84" s="104">
        <f t="shared" si="42"/>
        <v>14.477775407409178</v>
      </c>
      <c r="N84" s="323">
        <v>18.400000000000002</v>
      </c>
      <c r="O84" s="104"/>
      <c r="P84" s="104">
        <f t="shared" si="51"/>
        <v>54.976497738902516</v>
      </c>
      <c r="Q84" s="104">
        <f t="shared" si="52"/>
        <v>19.777625679779749</v>
      </c>
      <c r="R84" s="104"/>
      <c r="S84" s="140">
        <f t="shared" si="53"/>
        <v>173.43460737950224</v>
      </c>
      <c r="T84" s="234">
        <v>286.45</v>
      </c>
      <c r="U84" s="104"/>
      <c r="V84" s="148">
        <f t="shared" si="54"/>
        <v>286.45</v>
      </c>
      <c r="W84" s="881">
        <v>69.06</v>
      </c>
      <c r="X84" s="104"/>
      <c r="Y84" s="45">
        <f t="shared" si="55"/>
        <v>69.06</v>
      </c>
      <c r="Z84" s="138">
        <f t="shared" si="56"/>
        <v>7.4116279289777287</v>
      </c>
      <c r="AA84" s="104">
        <f t="shared" si="43"/>
        <v>1.6291344864203092</v>
      </c>
      <c r="AB84" s="323">
        <v>31.125</v>
      </c>
      <c r="AC84" s="104"/>
      <c r="AD84" s="104">
        <f t="shared" si="57"/>
        <v>6.1922275699076916</v>
      </c>
      <c r="AE84" s="104">
        <f t="shared" si="58"/>
        <v>5.9668683001210541</v>
      </c>
      <c r="AF84" s="104"/>
      <c r="AG84" s="139">
        <f t="shared" si="59"/>
        <v>52.324858285426785</v>
      </c>
      <c r="AH84" s="200">
        <f t="shared" si="60"/>
        <v>122.96379121874963</v>
      </c>
      <c r="AI84" s="104">
        <f t="shared" si="44"/>
        <v>24.527057854220658</v>
      </c>
      <c r="AJ84" s="323">
        <v>60.95454251509689</v>
      </c>
      <c r="AK84" s="118" t="e">
        <f t="shared" si="45"/>
        <v>#REF!</v>
      </c>
      <c r="AL84" s="104">
        <v>436</v>
      </c>
      <c r="AM84" s="104">
        <f t="shared" si="61"/>
        <v>102.73313574041431</v>
      </c>
      <c r="AN84" s="104" t="e">
        <f t="shared" si="62"/>
        <v>#REF!</v>
      </c>
      <c r="AO84" s="104"/>
      <c r="AP84" s="140" t="e">
        <f t="shared" si="63"/>
        <v>#REF!</v>
      </c>
      <c r="AQ84" s="33"/>
      <c r="AR84" s="28"/>
      <c r="AS84" s="121"/>
      <c r="AT84" s="135" t="e">
        <f t="shared" si="64"/>
        <v>#REF!</v>
      </c>
      <c r="AU84" s="148" t="e">
        <f t="shared" si="65"/>
        <v>#REF!</v>
      </c>
      <c r="AW84" s="1">
        <v>3</v>
      </c>
      <c r="BA84" s="29">
        <v>286.45999999999998</v>
      </c>
      <c r="BB84" s="29">
        <v>51.38</v>
      </c>
      <c r="BC84" s="29">
        <v>8.99</v>
      </c>
      <c r="BD84" s="29">
        <v>94.84</v>
      </c>
      <c r="BI84" s="323">
        <v>8.7100000000000009</v>
      </c>
      <c r="BL84" s="107">
        <f t="shared" si="67"/>
        <v>1.2233877438623886</v>
      </c>
      <c r="BM84" s="107">
        <f t="shared" si="67"/>
        <v>1.2807066670574303</v>
      </c>
      <c r="BN84" s="107">
        <f t="shared" si="67"/>
        <v>0.82443024793968056</v>
      </c>
      <c r="BO84" s="107">
        <f t="shared" si="67"/>
        <v>1.2965393422474656</v>
      </c>
    </row>
    <row r="85" spans="1:67" x14ac:dyDescent="0.25">
      <c r="A85" s="250" t="s">
        <v>414</v>
      </c>
      <c r="B85" s="227">
        <v>10</v>
      </c>
      <c r="C85" s="226">
        <f>'побудинковий звіт'!E77</f>
        <v>2189.75</v>
      </c>
      <c r="D85" s="138">
        <f t="shared" si="46"/>
        <v>631.62285827871256</v>
      </c>
      <c r="E85" s="104">
        <f t="shared" si="40"/>
        <v>130.19451420081458</v>
      </c>
      <c r="F85" s="323">
        <v>119.78317382212111</v>
      </c>
      <c r="G85" s="104" t="e">
        <f t="shared" si="41"/>
        <v>#REF!</v>
      </c>
      <c r="H85" s="720">
        <f t="shared" si="47"/>
        <v>527.70491372423771</v>
      </c>
      <c r="I85" s="104" t="e">
        <f t="shared" si="48"/>
        <v>#REF!</v>
      </c>
      <c r="J85" s="28"/>
      <c r="K85" s="139" t="e">
        <f t="shared" si="49"/>
        <v>#REF!</v>
      </c>
      <c r="L85" s="200">
        <f t="shared" si="50"/>
        <v>128.95435430601265</v>
      </c>
      <c r="M85" s="104">
        <f t="shared" si="42"/>
        <v>28.372269477851891</v>
      </c>
      <c r="N85" s="323">
        <v>18.400000000000002</v>
      </c>
      <c r="O85" s="104"/>
      <c r="P85" s="104">
        <f t="shared" si="51"/>
        <v>107.73809959770522</v>
      </c>
      <c r="Q85" s="104">
        <f t="shared" si="52"/>
        <v>36.485548072386237</v>
      </c>
      <c r="R85" s="104"/>
      <c r="S85" s="140">
        <f t="shared" si="53"/>
        <v>319.95027145395596</v>
      </c>
      <c r="T85" s="234">
        <v>498.8</v>
      </c>
      <c r="U85" s="104"/>
      <c r="V85" s="148">
        <f t="shared" si="54"/>
        <v>498.8</v>
      </c>
      <c r="W85" s="881">
        <v>125.87</v>
      </c>
      <c r="X85" s="104"/>
      <c r="Y85" s="45">
        <f t="shared" si="55"/>
        <v>125.87</v>
      </c>
      <c r="Z85" s="138">
        <f t="shared" si="56"/>
        <v>23.224200084460804</v>
      </c>
      <c r="AA85" s="104">
        <f t="shared" si="43"/>
        <v>5.1048630125094672</v>
      </c>
      <c r="AB85" s="323">
        <v>31.125</v>
      </c>
      <c r="AC85" s="104"/>
      <c r="AD85" s="104">
        <f t="shared" si="57"/>
        <v>19.403231439855361</v>
      </c>
      <c r="AE85" s="104">
        <f t="shared" si="58"/>
        <v>10.149945913406516</v>
      </c>
      <c r="AF85" s="104"/>
      <c r="AG85" s="139">
        <f t="shared" si="59"/>
        <v>89.007240450232146</v>
      </c>
      <c r="AH85" s="200">
        <f t="shared" si="60"/>
        <v>254.01798793312344</v>
      </c>
      <c r="AI85" s="104">
        <f t="shared" si="44"/>
        <v>50.667874048913021</v>
      </c>
      <c r="AJ85" s="323">
        <v>91.074699682524539</v>
      </c>
      <c r="AK85" s="118" t="e">
        <f t="shared" si="45"/>
        <v>#REF!</v>
      </c>
      <c r="AL85" s="104"/>
      <c r="AM85" s="104">
        <f t="shared" si="61"/>
        <v>212.22560052996596</v>
      </c>
      <c r="AN85" s="104" t="e">
        <f t="shared" si="62"/>
        <v>#REF!</v>
      </c>
      <c r="AO85" s="104"/>
      <c r="AP85" s="140" t="e">
        <f t="shared" si="63"/>
        <v>#REF!</v>
      </c>
      <c r="AQ85" s="33"/>
      <c r="AR85" s="28"/>
      <c r="AS85" s="121"/>
      <c r="AT85" s="135" t="e">
        <f t="shared" si="64"/>
        <v>#REF!</v>
      </c>
      <c r="AU85" s="148" t="e">
        <f t="shared" si="65"/>
        <v>#REF!</v>
      </c>
      <c r="AW85" s="1">
        <v>3</v>
      </c>
      <c r="BA85" s="29">
        <v>516.29</v>
      </c>
      <c r="BB85" s="29">
        <v>100.69</v>
      </c>
      <c r="BC85" s="29">
        <v>28.17</v>
      </c>
      <c r="BD85" s="29">
        <v>195.92</v>
      </c>
      <c r="BI85" s="323">
        <v>8.7100000000000009</v>
      </c>
      <c r="BL85" s="107">
        <f t="shared" si="67"/>
        <v>1.2233877438623886</v>
      </c>
      <c r="BM85" s="107">
        <f t="shared" si="67"/>
        <v>1.2807066670574303</v>
      </c>
      <c r="BN85" s="107">
        <f t="shared" si="67"/>
        <v>0.82443024793968056</v>
      </c>
      <c r="BO85" s="107">
        <f t="shared" si="67"/>
        <v>1.2965393422474656</v>
      </c>
    </row>
    <row r="86" spans="1:67" x14ac:dyDescent="0.25">
      <c r="A86" s="250" t="s">
        <v>352</v>
      </c>
      <c r="B86" s="227">
        <v>9</v>
      </c>
      <c r="C86" s="226">
        <f>'побудинковий звіт'!E78</f>
        <v>1174.6199999999999</v>
      </c>
      <c r="D86" s="138">
        <f t="shared" si="46"/>
        <v>370.84337673982822</v>
      </c>
      <c r="E86" s="104">
        <f t="shared" si="40"/>
        <v>76.440826430519365</v>
      </c>
      <c r="F86" s="323">
        <v>95.501121262635323</v>
      </c>
      <c r="G86" s="104" t="e">
        <f t="shared" si="41"/>
        <v>#REF!</v>
      </c>
      <c r="H86" s="720">
        <f t="shared" si="47"/>
        <v>309.83025639857772</v>
      </c>
      <c r="I86" s="104" t="e">
        <f t="shared" si="48"/>
        <v>#REF!</v>
      </c>
      <c r="J86" s="28"/>
      <c r="K86" s="139" t="e">
        <f t="shared" si="49"/>
        <v>#REF!</v>
      </c>
      <c r="L86" s="200">
        <f t="shared" si="50"/>
        <v>68.038991231589407</v>
      </c>
      <c r="M86" s="104">
        <f t="shared" si="42"/>
        <v>14.969797682386972</v>
      </c>
      <c r="N86" s="323">
        <v>0</v>
      </c>
      <c r="O86" s="104"/>
      <c r="P86" s="104">
        <f t="shared" si="51"/>
        <v>56.844855323311741</v>
      </c>
      <c r="Q86" s="104">
        <f t="shared" si="52"/>
        <v>18.000958987229449</v>
      </c>
      <c r="R86" s="104"/>
      <c r="S86" s="140">
        <f t="shared" si="53"/>
        <v>157.85460322451755</v>
      </c>
      <c r="T86" s="880">
        <v>600.25833333333333</v>
      </c>
      <c r="U86" s="104"/>
      <c r="V86" s="148">
        <f t="shared" si="54"/>
        <v>600.25833333333333</v>
      </c>
      <c r="W86" s="882">
        <v>130.45833333333334</v>
      </c>
      <c r="X86" s="104"/>
      <c r="Y86" s="45">
        <f t="shared" si="55"/>
        <v>130.45833333333334</v>
      </c>
      <c r="Z86" s="138">
        <f t="shared" si="56"/>
        <v>9.4271478874683989</v>
      </c>
      <c r="AA86" s="104">
        <f t="shared" si="43"/>
        <v>2.0721617273868529</v>
      </c>
      <c r="AB86" s="323">
        <v>0</v>
      </c>
      <c r="AC86" s="104"/>
      <c r="AD86" s="104">
        <f t="shared" si="57"/>
        <v>7.8761434888206034</v>
      </c>
      <c r="AE86" s="104">
        <f t="shared" si="58"/>
        <v>2.4938694917845048</v>
      </c>
      <c r="AF86" s="104"/>
      <c r="AG86" s="139">
        <f t="shared" si="59"/>
        <v>21.869322595460361</v>
      </c>
      <c r="AH86" s="200">
        <f t="shared" si="60"/>
        <v>253.9773863185608</v>
      </c>
      <c r="AI86" s="104">
        <f t="shared" si="44"/>
        <v>50.659775419719153</v>
      </c>
      <c r="AJ86" s="323">
        <v>40.896038550222329</v>
      </c>
      <c r="AK86" s="118" t="e">
        <f t="shared" si="45"/>
        <v>#REF!</v>
      </c>
      <c r="AL86" s="104"/>
      <c r="AM86" s="104">
        <f t="shared" si="61"/>
        <v>212.19167890849673</v>
      </c>
      <c r="AN86" s="104" t="e">
        <f t="shared" si="62"/>
        <v>#REF!</v>
      </c>
      <c r="AO86" s="104"/>
      <c r="AP86" s="140" t="e">
        <f t="shared" si="63"/>
        <v>#REF!</v>
      </c>
      <c r="AQ86" s="33"/>
      <c r="AR86" s="28"/>
      <c r="AS86" s="121"/>
      <c r="AT86" s="135" t="e">
        <f t="shared" si="64"/>
        <v>#REF!</v>
      </c>
      <c r="AU86" s="148" t="e">
        <f t="shared" si="65"/>
        <v>#REF!</v>
      </c>
      <c r="AW86" s="1">
        <v>1</v>
      </c>
      <c r="BA86" s="29">
        <v>431.71</v>
      </c>
      <c r="BB86" s="29">
        <v>73.790000000000006</v>
      </c>
      <c r="BC86" s="29">
        <v>26.37</v>
      </c>
      <c r="BD86" s="29">
        <v>306.10000000000002</v>
      </c>
      <c r="BF86" s="279">
        <f>T86*1.2</f>
        <v>720.31</v>
      </c>
      <c r="BI86" s="323">
        <v>0</v>
      </c>
      <c r="BL86" s="107">
        <f t="shared" ref="BL86:BL96" si="68">$BA$397</f>
        <v>0.85901039294857251</v>
      </c>
      <c r="BM86" s="107">
        <f t="shared" ref="BM86:BM96" si="69">$BB$397</f>
        <v>0.92206249128051765</v>
      </c>
      <c r="BN86" s="107">
        <f t="shared" ref="BN86:BN96" si="70">$BC$397</f>
        <v>0.35749517965371247</v>
      </c>
      <c r="BO86" s="107">
        <f t="shared" ref="BO86:BO96" si="71">$BD$397</f>
        <v>0.82972030812989472</v>
      </c>
    </row>
    <row r="87" spans="1:67" x14ac:dyDescent="0.25">
      <c r="A87" s="424" t="s">
        <v>76</v>
      </c>
      <c r="B87" s="228">
        <v>1</v>
      </c>
      <c r="C87" s="226">
        <f>'побудинковий звіт'!E79</f>
        <v>2745.3</v>
      </c>
      <c r="D87" s="138">
        <f t="shared" si="46"/>
        <v>4.3208222765313202</v>
      </c>
      <c r="E87" s="104">
        <f t="shared" si="40"/>
        <v>0.89063806014572855</v>
      </c>
      <c r="F87" s="323">
        <v>0</v>
      </c>
      <c r="G87" s="104" t="e">
        <f t="shared" si="41"/>
        <v>#REF!</v>
      </c>
      <c r="H87" s="720">
        <f t="shared" si="47"/>
        <v>3.6099376657590652</v>
      </c>
      <c r="I87" s="104" t="e">
        <f t="shared" si="48"/>
        <v>#REF!</v>
      </c>
      <c r="J87" s="28"/>
      <c r="K87" s="139" t="e">
        <f t="shared" si="49"/>
        <v>#REF!</v>
      </c>
      <c r="L87" s="200">
        <f t="shared" si="50"/>
        <v>0</v>
      </c>
      <c r="M87" s="104">
        <f t="shared" si="42"/>
        <v>0</v>
      </c>
      <c r="N87" s="323">
        <v>0</v>
      </c>
      <c r="O87" s="104"/>
      <c r="P87" s="104">
        <f t="shared" si="51"/>
        <v>0</v>
      </c>
      <c r="Q87" s="104">
        <f t="shared" si="52"/>
        <v>0</v>
      </c>
      <c r="R87" s="104"/>
      <c r="S87" s="140">
        <f t="shared" si="53"/>
        <v>0</v>
      </c>
      <c r="T87" s="235"/>
      <c r="U87" s="104"/>
      <c r="V87" s="148">
        <f t="shared" si="54"/>
        <v>0</v>
      </c>
      <c r="W87" s="236"/>
      <c r="X87" s="104"/>
      <c r="Y87" s="45">
        <f t="shared" si="55"/>
        <v>0</v>
      </c>
      <c r="Z87" s="138">
        <f t="shared" si="56"/>
        <v>0</v>
      </c>
      <c r="AA87" s="104">
        <f t="shared" si="43"/>
        <v>0</v>
      </c>
      <c r="AB87" s="323">
        <v>0</v>
      </c>
      <c r="AC87" s="104"/>
      <c r="AD87" s="104">
        <f t="shared" si="57"/>
        <v>0</v>
      </c>
      <c r="AE87" s="104">
        <f t="shared" si="58"/>
        <v>0</v>
      </c>
      <c r="AF87" s="104"/>
      <c r="AG87" s="139">
        <f t="shared" si="59"/>
        <v>0</v>
      </c>
      <c r="AH87" s="200">
        <f t="shared" si="60"/>
        <v>0</v>
      </c>
      <c r="AI87" s="104">
        <f t="shared" si="44"/>
        <v>0</v>
      </c>
      <c r="AJ87" s="323">
        <v>0</v>
      </c>
      <c r="AK87" s="118" t="e">
        <f t="shared" si="45"/>
        <v>#REF!</v>
      </c>
      <c r="AL87" s="104"/>
      <c r="AM87" s="104">
        <f t="shared" si="61"/>
        <v>0</v>
      </c>
      <c r="AN87" s="104" t="e">
        <f t="shared" si="62"/>
        <v>#REF!</v>
      </c>
      <c r="AO87" s="104"/>
      <c r="AP87" s="140" t="e">
        <f t="shared" si="63"/>
        <v>#REF!</v>
      </c>
      <c r="AQ87" s="33"/>
      <c r="AR87" s="28"/>
      <c r="AS87" s="121"/>
      <c r="AT87" s="135">
        <f t="shared" si="64"/>
        <v>0</v>
      </c>
      <c r="AU87" s="148" t="e">
        <f t="shared" si="65"/>
        <v>#REF!</v>
      </c>
      <c r="AW87" s="1">
        <v>1</v>
      </c>
      <c r="BA87" s="29">
        <v>5.03</v>
      </c>
      <c r="BB87" s="29">
        <v>0</v>
      </c>
      <c r="BC87" s="29">
        <v>0</v>
      </c>
      <c r="BD87" s="29">
        <v>0</v>
      </c>
      <c r="BI87" s="323">
        <v>0</v>
      </c>
      <c r="BL87" s="107">
        <f t="shared" si="68"/>
        <v>0.85901039294857251</v>
      </c>
      <c r="BM87" s="107">
        <f t="shared" si="69"/>
        <v>0.92206249128051765</v>
      </c>
      <c r="BN87" s="107">
        <f t="shared" si="70"/>
        <v>0.35749517965371247</v>
      </c>
      <c r="BO87" s="107">
        <f t="shared" si="71"/>
        <v>0.82972030812989472</v>
      </c>
    </row>
    <row r="88" spans="1:67" x14ac:dyDescent="0.25">
      <c r="A88" s="250" t="s">
        <v>353</v>
      </c>
      <c r="B88" s="227">
        <v>9</v>
      </c>
      <c r="C88" s="226">
        <f>'побудинковий звіт'!E80</f>
        <v>2889.25</v>
      </c>
      <c r="D88" s="138">
        <f t="shared" si="46"/>
        <v>711.53548868716166</v>
      </c>
      <c r="E88" s="104">
        <f t="shared" si="40"/>
        <v>146.6666636142962</v>
      </c>
      <c r="F88" s="323">
        <v>197.3679034147271</v>
      </c>
      <c r="G88" s="104" t="e">
        <f t="shared" si="41"/>
        <v>#REF!</v>
      </c>
      <c r="H88" s="720">
        <f t="shared" si="47"/>
        <v>594.46989409573541</v>
      </c>
      <c r="I88" s="104" t="e">
        <f t="shared" si="48"/>
        <v>#REF!</v>
      </c>
      <c r="J88" s="28"/>
      <c r="K88" s="139" t="e">
        <f t="shared" si="49"/>
        <v>#REF!</v>
      </c>
      <c r="L88" s="200">
        <f t="shared" si="50"/>
        <v>128.40642253572489</v>
      </c>
      <c r="M88" s="104">
        <f t="shared" si="42"/>
        <v>28.251714666610777</v>
      </c>
      <c r="N88" s="323">
        <v>36.799999999999997</v>
      </c>
      <c r="O88" s="104"/>
      <c r="P88" s="104">
        <f t="shared" si="51"/>
        <v>107.2803164700419</v>
      </c>
      <c r="Q88" s="104">
        <f t="shared" si="52"/>
        <v>38.708898863258156</v>
      </c>
      <c r="R88" s="104"/>
      <c r="S88" s="140">
        <f t="shared" si="53"/>
        <v>339.44735253563567</v>
      </c>
      <c r="T88" s="880">
        <v>1258.0500000000002</v>
      </c>
      <c r="U88" s="104"/>
      <c r="V88" s="148">
        <f t="shared" si="54"/>
        <v>1258.0500000000002</v>
      </c>
      <c r="W88" s="882">
        <v>261.91666666666669</v>
      </c>
      <c r="X88" s="104"/>
      <c r="Y88" s="45">
        <f t="shared" si="55"/>
        <v>261.91666666666669</v>
      </c>
      <c r="Z88" s="138">
        <f t="shared" si="56"/>
        <v>55.712048797234552</v>
      </c>
      <c r="AA88" s="104">
        <f t="shared" si="43"/>
        <v>12.245949321045396</v>
      </c>
      <c r="AB88" s="323">
        <v>65.100000000000009</v>
      </c>
      <c r="AC88" s="104"/>
      <c r="AD88" s="104">
        <f t="shared" si="57"/>
        <v>46.546006875153687</v>
      </c>
      <c r="AE88" s="104">
        <f t="shared" si="58"/>
        <v>23.117340598886951</v>
      </c>
      <c r="AF88" s="104"/>
      <c r="AG88" s="139">
        <f t="shared" si="59"/>
        <v>202.7213455923206</v>
      </c>
      <c r="AH88" s="200">
        <f t="shared" si="60"/>
        <v>558.81662752548414</v>
      </c>
      <c r="AI88" s="104">
        <f t="shared" si="44"/>
        <v>111.46474598229614</v>
      </c>
      <c r="AJ88" s="323">
        <v>131.11801696053203</v>
      </c>
      <c r="AK88" s="118" t="e">
        <f t="shared" si="45"/>
        <v>#REF!</v>
      </c>
      <c r="AL88" s="104"/>
      <c r="AM88" s="104">
        <f t="shared" si="61"/>
        <v>466.87715042428141</v>
      </c>
      <c r="AN88" s="104" t="e">
        <f t="shared" si="62"/>
        <v>#REF!</v>
      </c>
      <c r="AO88" s="104"/>
      <c r="AP88" s="140" t="e">
        <f t="shared" si="63"/>
        <v>#REF!</v>
      </c>
      <c r="AQ88" s="33"/>
      <c r="AR88" s="28"/>
      <c r="AS88" s="121"/>
      <c r="AT88" s="135" t="e">
        <f t="shared" si="64"/>
        <v>#REF!</v>
      </c>
      <c r="AU88" s="148" t="e">
        <f t="shared" si="65"/>
        <v>#REF!</v>
      </c>
      <c r="AW88" s="1">
        <v>1</v>
      </c>
      <c r="BA88" s="29">
        <v>828.32</v>
      </c>
      <c r="BB88" s="29">
        <v>139.26</v>
      </c>
      <c r="BC88" s="29">
        <v>155.84</v>
      </c>
      <c r="BD88" s="29">
        <v>673.5</v>
      </c>
      <c r="BF88" s="279">
        <f>T88*1.2</f>
        <v>1509.66</v>
      </c>
      <c r="BI88" s="323">
        <v>0</v>
      </c>
      <c r="BL88" s="107">
        <f t="shared" si="68"/>
        <v>0.85901039294857251</v>
      </c>
      <c r="BM88" s="107">
        <f t="shared" si="69"/>
        <v>0.92206249128051765</v>
      </c>
      <c r="BN88" s="107">
        <f t="shared" si="70"/>
        <v>0.35749517965371247</v>
      </c>
      <c r="BO88" s="107">
        <f t="shared" si="71"/>
        <v>0.82972030812989472</v>
      </c>
    </row>
    <row r="89" spans="1:67" x14ac:dyDescent="0.25">
      <c r="A89" s="424" t="s">
        <v>77</v>
      </c>
      <c r="B89" s="228">
        <v>1</v>
      </c>
      <c r="C89" s="226">
        <f>'побудинковий звіт'!E81</f>
        <v>3220</v>
      </c>
      <c r="D89" s="138">
        <f t="shared" si="46"/>
        <v>0</v>
      </c>
      <c r="E89" s="104">
        <f t="shared" si="40"/>
        <v>0</v>
      </c>
      <c r="F89" s="323">
        <v>0</v>
      </c>
      <c r="G89" s="104" t="e">
        <f t="shared" si="41"/>
        <v>#REF!</v>
      </c>
      <c r="H89" s="720">
        <f t="shared" si="47"/>
        <v>0</v>
      </c>
      <c r="I89" s="104" t="e">
        <f t="shared" si="48"/>
        <v>#REF!</v>
      </c>
      <c r="J89" s="28"/>
      <c r="K89" s="139" t="e">
        <f t="shared" si="49"/>
        <v>#REF!</v>
      </c>
      <c r="L89" s="200">
        <f t="shared" si="50"/>
        <v>0</v>
      </c>
      <c r="M89" s="104">
        <f t="shared" si="42"/>
        <v>0</v>
      </c>
      <c r="N89" s="323">
        <v>0</v>
      </c>
      <c r="O89" s="104"/>
      <c r="P89" s="104">
        <f t="shared" si="51"/>
        <v>0</v>
      </c>
      <c r="Q89" s="104">
        <f t="shared" si="52"/>
        <v>0</v>
      </c>
      <c r="R89" s="104"/>
      <c r="S89" s="140">
        <f t="shared" si="53"/>
        <v>0</v>
      </c>
      <c r="T89" s="235"/>
      <c r="U89" s="104"/>
      <c r="V89" s="148">
        <f t="shared" si="54"/>
        <v>0</v>
      </c>
      <c r="W89" s="236"/>
      <c r="X89" s="104"/>
      <c r="Y89" s="45">
        <f t="shared" si="55"/>
        <v>0</v>
      </c>
      <c r="Z89" s="138">
        <f t="shared" si="56"/>
        <v>0</v>
      </c>
      <c r="AA89" s="104">
        <f t="shared" si="43"/>
        <v>0</v>
      </c>
      <c r="AB89" s="323">
        <v>0</v>
      </c>
      <c r="AC89" s="104"/>
      <c r="AD89" s="104">
        <f t="shared" si="57"/>
        <v>0</v>
      </c>
      <c r="AE89" s="104">
        <f t="shared" si="58"/>
        <v>0</v>
      </c>
      <c r="AF89" s="104"/>
      <c r="AG89" s="139">
        <f t="shared" si="59"/>
        <v>0</v>
      </c>
      <c r="AH89" s="200">
        <f t="shared" si="60"/>
        <v>0</v>
      </c>
      <c r="AI89" s="104">
        <f t="shared" si="44"/>
        <v>0</v>
      </c>
      <c r="AJ89" s="323">
        <v>0</v>
      </c>
      <c r="AK89" s="118" t="e">
        <f t="shared" si="45"/>
        <v>#REF!</v>
      </c>
      <c r="AL89" s="104"/>
      <c r="AM89" s="104">
        <f t="shared" si="61"/>
        <v>0</v>
      </c>
      <c r="AN89" s="104" t="e">
        <f t="shared" si="62"/>
        <v>#REF!</v>
      </c>
      <c r="AO89" s="104"/>
      <c r="AP89" s="140" t="e">
        <f t="shared" si="63"/>
        <v>#REF!</v>
      </c>
      <c r="AQ89" s="33"/>
      <c r="AR89" s="28"/>
      <c r="AS89" s="121"/>
      <c r="AT89" s="135">
        <f t="shared" si="64"/>
        <v>0</v>
      </c>
      <c r="AU89" s="148" t="e">
        <f t="shared" si="65"/>
        <v>#REF!</v>
      </c>
      <c r="AW89" s="1">
        <v>1</v>
      </c>
      <c r="BA89" s="29">
        <v>0</v>
      </c>
      <c r="BB89" s="29">
        <v>0</v>
      </c>
      <c r="BC89" s="29">
        <v>0</v>
      </c>
      <c r="BD89" s="29">
        <v>0</v>
      </c>
      <c r="BI89" s="323">
        <v>0</v>
      </c>
      <c r="BL89" s="107">
        <f t="shared" si="68"/>
        <v>0.85901039294857251</v>
      </c>
      <c r="BM89" s="107">
        <f t="shared" si="69"/>
        <v>0.92206249128051765</v>
      </c>
      <c r="BN89" s="107">
        <f t="shared" si="70"/>
        <v>0.35749517965371247</v>
      </c>
      <c r="BO89" s="107">
        <f t="shared" si="71"/>
        <v>0.82972030812989472</v>
      </c>
    </row>
    <row r="90" spans="1:67" x14ac:dyDescent="0.25">
      <c r="A90" s="250" t="s">
        <v>255</v>
      </c>
      <c r="B90" s="227">
        <v>5</v>
      </c>
      <c r="C90" s="226">
        <f>'побудинковий звіт'!E82</f>
        <v>1872.1999999999998</v>
      </c>
      <c r="D90" s="138">
        <f t="shared" si="46"/>
        <v>177.505907598893</v>
      </c>
      <c r="E90" s="104">
        <f t="shared" si="40"/>
        <v>36.588757206463875</v>
      </c>
      <c r="F90" s="323">
        <v>38.477401351517749</v>
      </c>
      <c r="G90" s="104" t="e">
        <f t="shared" si="41"/>
        <v>#REF!</v>
      </c>
      <c r="H90" s="720">
        <f t="shared" si="47"/>
        <v>148.30169368836044</v>
      </c>
      <c r="I90" s="104" t="e">
        <f t="shared" si="48"/>
        <v>#REF!</v>
      </c>
      <c r="J90" s="28"/>
      <c r="K90" s="139" t="e">
        <f t="shared" si="49"/>
        <v>#REF!</v>
      </c>
      <c r="L90" s="200">
        <f t="shared" si="50"/>
        <v>36.486012779970082</v>
      </c>
      <c r="M90" s="104">
        <f t="shared" si="42"/>
        <v>8.0275768300860868</v>
      </c>
      <c r="N90" s="323">
        <v>0</v>
      </c>
      <c r="O90" s="104"/>
      <c r="P90" s="104">
        <f t="shared" si="51"/>
        <v>30.483140332612077</v>
      </c>
      <c r="Q90" s="104">
        <f t="shared" si="52"/>
        <v>9.6530417011067797</v>
      </c>
      <c r="R90" s="104"/>
      <c r="S90" s="140">
        <f t="shared" si="53"/>
        <v>84.64977164377504</v>
      </c>
      <c r="T90" s="880">
        <v>234.24166666666665</v>
      </c>
      <c r="U90" s="104"/>
      <c r="V90" s="148">
        <f t="shared" si="54"/>
        <v>234.24166666666665</v>
      </c>
      <c r="W90" s="236"/>
      <c r="X90" s="104"/>
      <c r="Y90" s="45">
        <f t="shared" si="55"/>
        <v>0</v>
      </c>
      <c r="Z90" s="138">
        <f t="shared" si="56"/>
        <v>0</v>
      </c>
      <c r="AA90" s="104">
        <f t="shared" si="43"/>
        <v>0</v>
      </c>
      <c r="AB90" s="323">
        <v>0</v>
      </c>
      <c r="AC90" s="104"/>
      <c r="AD90" s="104">
        <f t="shared" si="57"/>
        <v>0</v>
      </c>
      <c r="AE90" s="104">
        <f t="shared" si="58"/>
        <v>0</v>
      </c>
      <c r="AF90" s="104"/>
      <c r="AG90" s="139">
        <f t="shared" si="59"/>
        <v>0</v>
      </c>
      <c r="AH90" s="200">
        <f t="shared" si="60"/>
        <v>81.553209086087364</v>
      </c>
      <c r="AI90" s="104">
        <f t="shared" si="44"/>
        <v>16.267067383221811</v>
      </c>
      <c r="AJ90" s="323">
        <v>26.277013758368351</v>
      </c>
      <c r="AK90" s="118" t="e">
        <f t="shared" si="45"/>
        <v>#REF!</v>
      </c>
      <c r="AL90" s="104"/>
      <c r="AM90" s="104">
        <f t="shared" si="61"/>
        <v>68.13564233883092</v>
      </c>
      <c r="AN90" s="104" t="e">
        <f t="shared" si="62"/>
        <v>#REF!</v>
      </c>
      <c r="AO90" s="104"/>
      <c r="AP90" s="140" t="e">
        <f t="shared" si="63"/>
        <v>#REF!</v>
      </c>
      <c r="AQ90" s="33"/>
      <c r="AR90" s="28"/>
      <c r="AS90" s="121"/>
      <c r="AT90" s="135" t="e">
        <f t="shared" si="64"/>
        <v>#REF!</v>
      </c>
      <c r="AU90" s="148" t="e">
        <f t="shared" si="65"/>
        <v>#REF!</v>
      </c>
      <c r="AW90" s="1">
        <v>1</v>
      </c>
      <c r="BA90" s="29">
        <v>206.64</v>
      </c>
      <c r="BB90" s="29">
        <v>39.57</v>
      </c>
      <c r="BC90" s="29">
        <v>0</v>
      </c>
      <c r="BD90" s="29">
        <v>98.29</v>
      </c>
      <c r="BF90" s="279">
        <f>T90*1.2</f>
        <v>281.08999999999997</v>
      </c>
      <c r="BI90" s="323">
        <v>0</v>
      </c>
      <c r="BL90" s="107">
        <f t="shared" si="68"/>
        <v>0.85901039294857251</v>
      </c>
      <c r="BM90" s="107">
        <f t="shared" si="69"/>
        <v>0.92206249128051765</v>
      </c>
      <c r="BN90" s="107">
        <f t="shared" si="70"/>
        <v>0.35749517965371247</v>
      </c>
      <c r="BO90" s="107">
        <f t="shared" si="71"/>
        <v>0.82972030812989472</v>
      </c>
    </row>
    <row r="91" spans="1:67" x14ac:dyDescent="0.25">
      <c r="A91" s="250" t="s">
        <v>354</v>
      </c>
      <c r="B91" s="227">
        <v>9</v>
      </c>
      <c r="C91" s="226">
        <f>'побудинковий звіт'!E83</f>
        <v>3630</v>
      </c>
      <c r="D91" s="138">
        <f t="shared" si="46"/>
        <v>703.19449777163095</v>
      </c>
      <c r="E91" s="104">
        <f t="shared" si="40"/>
        <v>144.94736032125144</v>
      </c>
      <c r="F91" s="323">
        <v>188.00681616465275</v>
      </c>
      <c r="G91" s="104" t="e">
        <f t="shared" si="41"/>
        <v>#REF!</v>
      </c>
      <c r="H91" s="720">
        <f t="shared" si="47"/>
        <v>587.50120726978685</v>
      </c>
      <c r="I91" s="104" t="e">
        <f t="shared" si="48"/>
        <v>#REF!</v>
      </c>
      <c r="J91" s="28"/>
      <c r="K91" s="139" t="e">
        <f t="shared" si="49"/>
        <v>#REF!</v>
      </c>
      <c r="L91" s="200">
        <f t="shared" si="50"/>
        <v>128.40642253572489</v>
      </c>
      <c r="M91" s="104">
        <f t="shared" si="42"/>
        <v>28.251714666610777</v>
      </c>
      <c r="N91" s="323">
        <v>18.399999999999999</v>
      </c>
      <c r="O91" s="104"/>
      <c r="P91" s="104">
        <f t="shared" si="51"/>
        <v>107.2803164700419</v>
      </c>
      <c r="Q91" s="104">
        <f t="shared" si="52"/>
        <v>36.340582705525087</v>
      </c>
      <c r="R91" s="104"/>
      <c r="S91" s="140">
        <f t="shared" si="53"/>
        <v>318.67903637790266</v>
      </c>
      <c r="T91" s="880">
        <v>1171.5833333333335</v>
      </c>
      <c r="U91" s="104"/>
      <c r="V91" s="148">
        <f t="shared" si="54"/>
        <v>1171.5833333333335</v>
      </c>
      <c r="W91" s="882">
        <v>249.7166666666667</v>
      </c>
      <c r="X91" s="104"/>
      <c r="Y91" s="45">
        <f t="shared" si="55"/>
        <v>249.7166666666667</v>
      </c>
      <c r="Z91" s="138">
        <f t="shared" si="56"/>
        <v>55.712048797234552</v>
      </c>
      <c r="AA91" s="104">
        <f t="shared" si="43"/>
        <v>12.245949321045396</v>
      </c>
      <c r="AB91" s="323">
        <v>43.4</v>
      </c>
      <c r="AC91" s="104"/>
      <c r="AD91" s="104">
        <f t="shared" si="57"/>
        <v>46.546006875153687</v>
      </c>
      <c r="AE91" s="104">
        <f t="shared" si="58"/>
        <v>20.324272086777839</v>
      </c>
      <c r="AF91" s="104"/>
      <c r="AG91" s="139">
        <f t="shared" si="59"/>
        <v>178.22827708021146</v>
      </c>
      <c r="AH91" s="200">
        <f t="shared" si="60"/>
        <v>558.81662752548414</v>
      </c>
      <c r="AI91" s="104">
        <f t="shared" si="44"/>
        <v>111.46474598229614</v>
      </c>
      <c r="AJ91" s="323">
        <v>202.909358423443</v>
      </c>
      <c r="AK91" s="118" t="e">
        <f t="shared" si="45"/>
        <v>#REF!</v>
      </c>
      <c r="AL91" s="104">
        <v>2000</v>
      </c>
      <c r="AM91" s="104">
        <f t="shared" si="61"/>
        <v>466.87715042428141</v>
      </c>
      <c r="AN91" s="104" t="e">
        <f t="shared" si="62"/>
        <v>#REF!</v>
      </c>
      <c r="AO91" s="104"/>
      <c r="AP91" s="140" t="e">
        <f t="shared" si="63"/>
        <v>#REF!</v>
      </c>
      <c r="AQ91" s="33"/>
      <c r="AR91" s="28"/>
      <c r="AS91" s="121"/>
      <c r="AT91" s="135" t="e">
        <f t="shared" si="64"/>
        <v>#REF!</v>
      </c>
      <c r="AU91" s="148" t="e">
        <f t="shared" si="65"/>
        <v>#REF!</v>
      </c>
      <c r="AW91" s="1">
        <v>1</v>
      </c>
      <c r="BA91" s="29">
        <v>818.61</v>
      </c>
      <c r="BB91" s="29">
        <v>139.26</v>
      </c>
      <c r="BC91" s="29">
        <v>155.84</v>
      </c>
      <c r="BD91" s="29">
        <v>673.5</v>
      </c>
      <c r="BF91" s="279">
        <f>T91*1.2</f>
        <v>1405.9</v>
      </c>
      <c r="BI91" s="323">
        <v>0</v>
      </c>
      <c r="BL91" s="107">
        <f t="shared" si="68"/>
        <v>0.85901039294857251</v>
      </c>
      <c r="BM91" s="107">
        <f t="shared" si="69"/>
        <v>0.92206249128051765</v>
      </c>
      <c r="BN91" s="107">
        <f t="shared" si="70"/>
        <v>0.35749517965371247</v>
      </c>
      <c r="BO91" s="107">
        <f t="shared" si="71"/>
        <v>0.82972030812989472</v>
      </c>
    </row>
    <row r="92" spans="1:67" x14ac:dyDescent="0.25">
      <c r="A92" s="250" t="s">
        <v>355</v>
      </c>
      <c r="B92" s="227">
        <v>9</v>
      </c>
      <c r="C92" s="226">
        <f>'побудинковий звіт'!E84</f>
        <v>1469</v>
      </c>
      <c r="D92" s="138">
        <f t="shared" si="46"/>
        <v>284.22076871489418</v>
      </c>
      <c r="E92" s="104">
        <f t="shared" si="40"/>
        <v>58.585569574635613</v>
      </c>
      <c r="F92" s="323">
        <v>76.52731879225405</v>
      </c>
      <c r="G92" s="104" t="e">
        <f t="shared" si="41"/>
        <v>#REF!</v>
      </c>
      <c r="H92" s="720">
        <f t="shared" si="47"/>
        <v>237.45925953672003</v>
      </c>
      <c r="I92" s="104" t="e">
        <f t="shared" si="48"/>
        <v>#REF!</v>
      </c>
      <c r="J92" s="28"/>
      <c r="K92" s="139" t="e">
        <f t="shared" si="49"/>
        <v>#REF!</v>
      </c>
      <c r="L92" s="200">
        <f t="shared" si="50"/>
        <v>61.805848790533098</v>
      </c>
      <c r="M92" s="104">
        <f t="shared" si="42"/>
        <v>13.598394615129402</v>
      </c>
      <c r="N92" s="323">
        <v>0</v>
      </c>
      <c r="O92" s="104"/>
      <c r="P92" s="104">
        <f t="shared" si="51"/>
        <v>51.637222554839212</v>
      </c>
      <c r="Q92" s="104">
        <f t="shared" si="52"/>
        <v>16.351867203062607</v>
      </c>
      <c r="R92" s="104"/>
      <c r="S92" s="140">
        <f t="shared" si="53"/>
        <v>143.39333316356431</v>
      </c>
      <c r="T92" s="880">
        <v>525.55833333333328</v>
      </c>
      <c r="U92" s="104"/>
      <c r="V92" s="148">
        <f t="shared" si="54"/>
        <v>525.55833333333328</v>
      </c>
      <c r="W92" s="882">
        <v>96.208333333333343</v>
      </c>
      <c r="X92" s="104"/>
      <c r="Y92" s="45">
        <f t="shared" si="55"/>
        <v>96.208333333333343</v>
      </c>
      <c r="Z92" s="138">
        <f t="shared" si="56"/>
        <v>9.4271478874683989</v>
      </c>
      <c r="AA92" s="104">
        <f t="shared" si="43"/>
        <v>2.0721617273868529</v>
      </c>
      <c r="AB92" s="323">
        <v>0</v>
      </c>
      <c r="AC92" s="104"/>
      <c r="AD92" s="104">
        <f t="shared" si="57"/>
        <v>7.8761434888206034</v>
      </c>
      <c r="AE92" s="104">
        <f t="shared" si="58"/>
        <v>2.4938694917845048</v>
      </c>
      <c r="AF92" s="104"/>
      <c r="AG92" s="139">
        <f t="shared" si="59"/>
        <v>21.869322595460361</v>
      </c>
      <c r="AH92" s="200">
        <f t="shared" si="60"/>
        <v>197.43194731950845</v>
      </c>
      <c r="AI92" s="104">
        <f t="shared" si="44"/>
        <v>39.380900232349468</v>
      </c>
      <c r="AJ92" s="323">
        <v>32.77096790168946</v>
      </c>
      <c r="AK92" s="118" t="e">
        <f t="shared" si="45"/>
        <v>#REF!</v>
      </c>
      <c r="AL92" s="104"/>
      <c r="AM92" s="104">
        <f t="shared" si="61"/>
        <v>164.94939561018225</v>
      </c>
      <c r="AN92" s="104" t="e">
        <f t="shared" si="62"/>
        <v>#REF!</v>
      </c>
      <c r="AO92" s="104"/>
      <c r="AP92" s="140" t="e">
        <f t="shared" si="63"/>
        <v>#REF!</v>
      </c>
      <c r="AQ92" s="33"/>
      <c r="AR92" s="28"/>
      <c r="AS92" s="121"/>
      <c r="AT92" s="135" t="e">
        <f t="shared" si="64"/>
        <v>#REF!</v>
      </c>
      <c r="AU92" s="148" t="e">
        <f t="shared" si="65"/>
        <v>#REF!</v>
      </c>
      <c r="AW92" s="1">
        <v>1</v>
      </c>
      <c r="BA92" s="29">
        <v>330.87</v>
      </c>
      <c r="BB92" s="29">
        <v>67.03</v>
      </c>
      <c r="BC92" s="29">
        <v>26.37</v>
      </c>
      <c r="BD92" s="29">
        <v>237.95</v>
      </c>
      <c r="BF92" s="279">
        <f t="shared" ref="BF92:BF97" si="72">T92*1.2</f>
        <v>630.66999999999996</v>
      </c>
      <c r="BI92" s="323">
        <v>8.51</v>
      </c>
      <c r="BL92" s="107">
        <f t="shared" si="68"/>
        <v>0.85901039294857251</v>
      </c>
      <c r="BM92" s="107">
        <f t="shared" si="69"/>
        <v>0.92206249128051765</v>
      </c>
      <c r="BN92" s="107">
        <f t="shared" si="70"/>
        <v>0.35749517965371247</v>
      </c>
      <c r="BO92" s="107">
        <f t="shared" si="71"/>
        <v>0.82972030812989472</v>
      </c>
    </row>
    <row r="93" spans="1:67" x14ac:dyDescent="0.25">
      <c r="A93" s="250" t="s">
        <v>356</v>
      </c>
      <c r="B93" s="227">
        <v>9</v>
      </c>
      <c r="C93" s="226">
        <f>'побудинковий звіт'!E85</f>
        <v>253.5</v>
      </c>
      <c r="D93" s="138">
        <f t="shared" si="46"/>
        <v>451.63330419664146</v>
      </c>
      <c r="E93" s="104">
        <f t="shared" si="40"/>
        <v>93.093810437816728</v>
      </c>
      <c r="F93" s="323">
        <v>94.239334629295556</v>
      </c>
      <c r="G93" s="104" t="e">
        <f t="shared" si="41"/>
        <v>#REF!</v>
      </c>
      <c r="H93" s="720">
        <f t="shared" si="47"/>
        <v>377.3281962523829</v>
      </c>
      <c r="I93" s="104" t="e">
        <f t="shared" si="48"/>
        <v>#REF!</v>
      </c>
      <c r="J93" s="28"/>
      <c r="K93" s="139" t="e">
        <f t="shared" si="49"/>
        <v>#REF!</v>
      </c>
      <c r="L93" s="200">
        <f t="shared" si="50"/>
        <v>75.39704991200793</v>
      </c>
      <c r="M93" s="104">
        <f t="shared" si="42"/>
        <v>16.588702486634809</v>
      </c>
      <c r="N93" s="323">
        <v>0</v>
      </c>
      <c r="O93" s="104"/>
      <c r="P93" s="104">
        <f t="shared" si="51"/>
        <v>62.992327141715684</v>
      </c>
      <c r="Q93" s="104">
        <f t="shared" si="52"/>
        <v>19.947667927710423</v>
      </c>
      <c r="R93" s="104"/>
      <c r="S93" s="140">
        <f t="shared" si="53"/>
        <v>174.92574746806886</v>
      </c>
      <c r="T93" s="880">
        <v>608.72500000000002</v>
      </c>
      <c r="U93" s="104"/>
      <c r="V93" s="148">
        <f t="shared" si="54"/>
        <v>608.72500000000002</v>
      </c>
      <c r="W93" s="882">
        <v>117.75833333333334</v>
      </c>
      <c r="X93" s="104"/>
      <c r="Y93" s="45">
        <f t="shared" si="55"/>
        <v>117.75833333333334</v>
      </c>
      <c r="Z93" s="138">
        <f t="shared" si="56"/>
        <v>9.4271478874683989</v>
      </c>
      <c r="AA93" s="104">
        <f t="shared" si="43"/>
        <v>2.0721617273868529</v>
      </c>
      <c r="AB93" s="323">
        <v>0</v>
      </c>
      <c r="AC93" s="104"/>
      <c r="AD93" s="104">
        <f t="shared" si="57"/>
        <v>7.8761434888206034</v>
      </c>
      <c r="AE93" s="104">
        <f t="shared" si="58"/>
        <v>2.4938694917845048</v>
      </c>
      <c r="AF93" s="104"/>
      <c r="AG93" s="139">
        <f t="shared" si="59"/>
        <v>21.869322595460361</v>
      </c>
      <c r="AH93" s="200">
        <f t="shared" si="60"/>
        <v>156.8337326427127</v>
      </c>
      <c r="AI93" s="104">
        <f t="shared" si="44"/>
        <v>31.282949199069957</v>
      </c>
      <c r="AJ93" s="323">
        <v>40.355709032443073</v>
      </c>
      <c r="AK93" s="118" t="e">
        <f t="shared" si="45"/>
        <v>#REF!</v>
      </c>
      <c r="AL93" s="104"/>
      <c r="AM93" s="104">
        <f t="shared" si="61"/>
        <v>131.03061465953624</v>
      </c>
      <c r="AN93" s="104" t="e">
        <f t="shared" si="62"/>
        <v>#REF!</v>
      </c>
      <c r="AO93" s="104"/>
      <c r="AP93" s="140" t="e">
        <f t="shared" si="63"/>
        <v>#REF!</v>
      </c>
      <c r="AQ93" s="33"/>
      <c r="AR93" s="28"/>
      <c r="AS93" s="121"/>
      <c r="AT93" s="135" t="e">
        <f t="shared" si="64"/>
        <v>#REF!</v>
      </c>
      <c r="AU93" s="148" t="e">
        <f t="shared" si="65"/>
        <v>#REF!</v>
      </c>
      <c r="AW93" s="1">
        <v>1</v>
      </c>
      <c r="BA93" s="29">
        <v>525.76</v>
      </c>
      <c r="BB93" s="29">
        <v>81.77</v>
      </c>
      <c r="BC93" s="29">
        <v>26.37</v>
      </c>
      <c r="BD93" s="29">
        <v>189.02</v>
      </c>
      <c r="BF93" s="279">
        <f t="shared" si="72"/>
        <v>730.47</v>
      </c>
      <c r="BI93" s="323">
        <v>8.51</v>
      </c>
      <c r="BL93" s="107">
        <f t="shared" si="68"/>
        <v>0.85901039294857251</v>
      </c>
      <c r="BM93" s="107">
        <f t="shared" si="69"/>
        <v>0.92206249128051765</v>
      </c>
      <c r="BN93" s="107">
        <f t="shared" si="70"/>
        <v>0.35749517965371247</v>
      </c>
      <c r="BO93" s="107">
        <f t="shared" si="71"/>
        <v>0.82972030812989472</v>
      </c>
    </row>
    <row r="94" spans="1:67" x14ac:dyDescent="0.25">
      <c r="A94" s="250" t="s">
        <v>415</v>
      </c>
      <c r="B94" s="227">
        <v>10</v>
      </c>
      <c r="C94" s="226">
        <f>'побудинковий звіт'!E86</f>
        <v>200.6</v>
      </c>
      <c r="D94" s="138">
        <f t="shared" si="46"/>
        <v>492.59950983635895</v>
      </c>
      <c r="E94" s="104">
        <f t="shared" si="40"/>
        <v>101.53805081323419</v>
      </c>
      <c r="F94" s="323">
        <v>98.2736887124193</v>
      </c>
      <c r="G94" s="104" t="e">
        <f t="shared" si="41"/>
        <v>#REF!</v>
      </c>
      <c r="H94" s="720">
        <f t="shared" si="47"/>
        <v>411.55442433986798</v>
      </c>
      <c r="I94" s="104" t="e">
        <f t="shared" si="48"/>
        <v>#REF!</v>
      </c>
      <c r="J94" s="28"/>
      <c r="K94" s="139" t="e">
        <f t="shared" si="49"/>
        <v>#REF!</v>
      </c>
      <c r="L94" s="200">
        <f t="shared" si="50"/>
        <v>82.441607345391077</v>
      </c>
      <c r="M94" s="104">
        <f t="shared" si="42"/>
        <v>18.138631396967323</v>
      </c>
      <c r="N94" s="323">
        <v>0</v>
      </c>
      <c r="O94" s="104"/>
      <c r="P94" s="104">
        <f t="shared" si="51"/>
        <v>68.87787660194202</v>
      </c>
      <c r="Q94" s="104">
        <f t="shared" si="52"/>
        <v>21.811434382005487</v>
      </c>
      <c r="R94" s="104"/>
      <c r="S94" s="140">
        <f t="shared" si="53"/>
        <v>191.26954972630591</v>
      </c>
      <c r="T94" s="880">
        <v>656.1583333333333</v>
      </c>
      <c r="U94" s="104"/>
      <c r="V94" s="148">
        <f t="shared" si="54"/>
        <v>656.1583333333333</v>
      </c>
      <c r="W94" s="882">
        <v>126.05833333333335</v>
      </c>
      <c r="X94" s="104"/>
      <c r="Y94" s="45">
        <f t="shared" si="55"/>
        <v>126.05833333333335</v>
      </c>
      <c r="Z94" s="138">
        <f t="shared" si="56"/>
        <v>10.070639210845082</v>
      </c>
      <c r="AA94" s="104">
        <f t="shared" si="43"/>
        <v>2.2136062138979007</v>
      </c>
      <c r="AB94" s="323">
        <v>0</v>
      </c>
      <c r="AC94" s="104"/>
      <c r="AD94" s="104">
        <f t="shared" si="57"/>
        <v>8.4137642047810548</v>
      </c>
      <c r="AE94" s="104">
        <f t="shared" si="58"/>
        <v>2.6640994912237201</v>
      </c>
      <c r="AF94" s="104"/>
      <c r="AG94" s="139">
        <f t="shared" si="59"/>
        <v>23.362109120747757</v>
      </c>
      <c r="AH94" s="200">
        <f t="shared" si="60"/>
        <v>172.26653037392876</v>
      </c>
      <c r="AI94" s="104">
        <f t="shared" si="44"/>
        <v>34.361262896576577</v>
      </c>
      <c r="AJ94" s="323">
        <v>42.083323304687497</v>
      </c>
      <c r="AK94" s="118" t="e">
        <f t="shared" si="45"/>
        <v>#REF!</v>
      </c>
      <c r="AL94" s="104"/>
      <c r="AM94" s="104">
        <f t="shared" si="61"/>
        <v>143.92432660889281</v>
      </c>
      <c r="AN94" s="104" t="e">
        <f t="shared" si="62"/>
        <v>#REF!</v>
      </c>
      <c r="AO94" s="104"/>
      <c r="AP94" s="140" t="e">
        <f t="shared" si="63"/>
        <v>#REF!</v>
      </c>
      <c r="AQ94" s="33"/>
      <c r="AR94" s="28"/>
      <c r="AS94" s="121"/>
      <c r="AT94" s="135" t="e">
        <f t="shared" si="64"/>
        <v>#REF!</v>
      </c>
      <c r="AU94" s="148" t="e">
        <f t="shared" si="65"/>
        <v>#REF!</v>
      </c>
      <c r="AW94" s="1">
        <v>1</v>
      </c>
      <c r="BA94" s="29">
        <v>573.45000000000005</v>
      </c>
      <c r="BB94" s="29">
        <v>89.41</v>
      </c>
      <c r="BC94" s="29">
        <v>28.17</v>
      </c>
      <c r="BD94" s="29">
        <v>207.62</v>
      </c>
      <c r="BF94" s="279">
        <f t="shared" si="72"/>
        <v>787.39</v>
      </c>
      <c r="BI94" s="323">
        <v>8.51</v>
      </c>
      <c r="BL94" s="107">
        <f t="shared" si="68"/>
        <v>0.85901039294857251</v>
      </c>
      <c r="BM94" s="107">
        <f t="shared" si="69"/>
        <v>0.92206249128051765</v>
      </c>
      <c r="BN94" s="107">
        <f t="shared" si="70"/>
        <v>0.35749517965371247</v>
      </c>
      <c r="BO94" s="107">
        <f t="shared" si="71"/>
        <v>0.82972030812989472</v>
      </c>
    </row>
    <row r="95" spans="1:67" x14ac:dyDescent="0.25">
      <c r="A95" s="250" t="s">
        <v>357</v>
      </c>
      <c r="B95" s="227">
        <v>9</v>
      </c>
      <c r="C95" s="226">
        <f>'побудинковий звіт'!E87</f>
        <v>83.8</v>
      </c>
      <c r="D95" s="138">
        <f t="shared" si="46"/>
        <v>693.72820324133772</v>
      </c>
      <c r="E95" s="104">
        <f t="shared" si="40"/>
        <v>142.99610158908328</v>
      </c>
      <c r="F95" s="323">
        <v>193.45490613850296</v>
      </c>
      <c r="G95" s="104" t="e">
        <f t="shared" si="41"/>
        <v>#REF!</v>
      </c>
      <c r="H95" s="720">
        <f t="shared" si="47"/>
        <v>579.59235775156333</v>
      </c>
      <c r="I95" s="104" t="e">
        <f t="shared" si="48"/>
        <v>#REF!</v>
      </c>
      <c r="J95" s="28"/>
      <c r="K95" s="139" t="e">
        <f t="shared" si="49"/>
        <v>#REF!</v>
      </c>
      <c r="L95" s="200">
        <f t="shared" si="50"/>
        <v>124.73661382042843</v>
      </c>
      <c r="M95" s="104">
        <f t="shared" si="42"/>
        <v>27.444290967249074</v>
      </c>
      <c r="N95" s="323">
        <v>0</v>
      </c>
      <c r="O95" s="104"/>
      <c r="P95" s="104">
        <f t="shared" si="51"/>
        <v>104.21428415960986</v>
      </c>
      <c r="Q95" s="104">
        <f t="shared" si="52"/>
        <v>33.001351562439353</v>
      </c>
      <c r="R95" s="104"/>
      <c r="S95" s="140">
        <f t="shared" si="53"/>
        <v>289.39654050972672</v>
      </c>
      <c r="T95" s="880">
        <v>1132.3083333333334</v>
      </c>
      <c r="U95" s="104"/>
      <c r="V95" s="148">
        <f t="shared" si="54"/>
        <v>1132.3083333333334</v>
      </c>
      <c r="W95" s="882">
        <v>246.375</v>
      </c>
      <c r="X95" s="104"/>
      <c r="Y95" s="45">
        <f t="shared" si="55"/>
        <v>246.375</v>
      </c>
      <c r="Z95" s="138">
        <f t="shared" si="56"/>
        <v>55.712048797234552</v>
      </c>
      <c r="AA95" s="104">
        <f t="shared" si="43"/>
        <v>12.245949321045396</v>
      </c>
      <c r="AB95" s="323">
        <v>0</v>
      </c>
      <c r="AC95" s="104"/>
      <c r="AD95" s="104">
        <f t="shared" si="57"/>
        <v>46.546006875153687</v>
      </c>
      <c r="AE95" s="104">
        <f t="shared" si="58"/>
        <v>14.738135062559618</v>
      </c>
      <c r="AF95" s="104"/>
      <c r="AG95" s="139">
        <f t="shared" si="59"/>
        <v>129.24214005599325</v>
      </c>
      <c r="AH95" s="200">
        <f t="shared" si="60"/>
        <v>506.51105930097555</v>
      </c>
      <c r="AI95" s="104">
        <f t="shared" si="44"/>
        <v>101.03157955805865</v>
      </c>
      <c r="AJ95" s="323">
        <v>82.842370797014283</v>
      </c>
      <c r="AK95" s="118" t="e">
        <f t="shared" si="45"/>
        <v>#REF!</v>
      </c>
      <c r="AL95" s="104"/>
      <c r="AM95" s="104">
        <f t="shared" si="61"/>
        <v>423.17717186044069</v>
      </c>
      <c r="AN95" s="104" t="e">
        <f t="shared" si="62"/>
        <v>#REF!</v>
      </c>
      <c r="AO95" s="104"/>
      <c r="AP95" s="140" t="e">
        <f t="shared" si="63"/>
        <v>#REF!</v>
      </c>
      <c r="AQ95" s="33"/>
      <c r="AR95" s="28"/>
      <c r="AS95" s="121"/>
      <c r="AT95" s="135" t="e">
        <f t="shared" si="64"/>
        <v>#REF!</v>
      </c>
      <c r="AU95" s="148" t="e">
        <f t="shared" si="65"/>
        <v>#REF!</v>
      </c>
      <c r="AW95" s="1">
        <v>1</v>
      </c>
      <c r="BA95" s="29">
        <v>807.59</v>
      </c>
      <c r="BB95" s="29">
        <v>135.28</v>
      </c>
      <c r="BC95" s="29">
        <v>155.84</v>
      </c>
      <c r="BD95" s="29">
        <v>610.46</v>
      </c>
      <c r="BF95" s="279">
        <f t="shared" si="72"/>
        <v>1358.77</v>
      </c>
      <c r="BI95" s="323">
        <v>8.51</v>
      </c>
      <c r="BL95" s="107">
        <f t="shared" si="68"/>
        <v>0.85901039294857251</v>
      </c>
      <c r="BM95" s="107">
        <f t="shared" si="69"/>
        <v>0.92206249128051765</v>
      </c>
      <c r="BN95" s="107">
        <f t="shared" si="70"/>
        <v>0.35749517965371247</v>
      </c>
      <c r="BO95" s="107">
        <f t="shared" si="71"/>
        <v>0.82972030812989472</v>
      </c>
    </row>
    <row r="96" spans="1:67" x14ac:dyDescent="0.25">
      <c r="A96" s="250" t="s">
        <v>358</v>
      </c>
      <c r="B96" s="227">
        <v>9</v>
      </c>
      <c r="C96" s="226">
        <f>'побудинковий звіт'!E88</f>
        <v>1894.4</v>
      </c>
      <c r="D96" s="138">
        <f t="shared" si="46"/>
        <v>563.12426309743671</v>
      </c>
      <c r="E96" s="104">
        <f t="shared" si="40"/>
        <v>116.07510543310781</v>
      </c>
      <c r="F96" s="323">
        <v>152.13463548078363</v>
      </c>
      <c r="G96" s="104" t="e">
        <f t="shared" si="41"/>
        <v>#REF!</v>
      </c>
      <c r="H96" s="720">
        <f t="shared" si="47"/>
        <v>470.47607093207853</v>
      </c>
      <c r="I96" s="104" t="e">
        <f t="shared" si="48"/>
        <v>#REF!</v>
      </c>
      <c r="J96" s="28"/>
      <c r="K96" s="139" t="e">
        <f t="shared" si="49"/>
        <v>#REF!</v>
      </c>
      <c r="L96" s="200">
        <f t="shared" si="50"/>
        <v>122.95703321225702</v>
      </c>
      <c r="M96" s="104">
        <f t="shared" si="42"/>
        <v>27.052751334141512</v>
      </c>
      <c r="N96" s="323">
        <v>0</v>
      </c>
      <c r="O96" s="104"/>
      <c r="P96" s="104">
        <f t="shared" si="51"/>
        <v>102.7274895970134</v>
      </c>
      <c r="Q96" s="104">
        <f t="shared" si="52"/>
        <v>32.530530979089939</v>
      </c>
      <c r="R96" s="104"/>
      <c r="S96" s="140">
        <f t="shared" si="53"/>
        <v>285.26780512250184</v>
      </c>
      <c r="T96" s="880">
        <v>1041.6333333333334</v>
      </c>
      <c r="U96" s="104"/>
      <c r="V96" s="148">
        <f t="shared" si="54"/>
        <v>1041.6333333333334</v>
      </c>
      <c r="W96" s="882">
        <v>193.60833333333335</v>
      </c>
      <c r="X96" s="104"/>
      <c r="Y96" s="45">
        <f t="shared" si="55"/>
        <v>193.60833333333335</v>
      </c>
      <c r="Z96" s="138">
        <f t="shared" si="56"/>
        <v>27.856024398617276</v>
      </c>
      <c r="AA96" s="104">
        <f t="shared" si="43"/>
        <v>6.122974660522698</v>
      </c>
      <c r="AB96" s="323">
        <v>0</v>
      </c>
      <c r="AC96" s="104"/>
      <c r="AD96" s="104">
        <f t="shared" si="57"/>
        <v>23.273003437576843</v>
      </c>
      <c r="AE96" s="104">
        <f t="shared" si="58"/>
        <v>7.3690675312798088</v>
      </c>
      <c r="AF96" s="104"/>
      <c r="AG96" s="139">
        <f t="shared" si="59"/>
        <v>64.621070027996623</v>
      </c>
      <c r="AH96" s="200">
        <f t="shared" si="60"/>
        <v>452.23075674311781</v>
      </c>
      <c r="AI96" s="104">
        <f t="shared" si="44"/>
        <v>90.204521381129453</v>
      </c>
      <c r="AJ96" s="323">
        <v>65.147967219526066</v>
      </c>
      <c r="AK96" s="118" t="e">
        <f t="shared" si="45"/>
        <v>#REF!</v>
      </c>
      <c r="AL96" s="104">
        <v>2820</v>
      </c>
      <c r="AM96" s="104">
        <f t="shared" si="61"/>
        <v>377.82735273533825</v>
      </c>
      <c r="AN96" s="104" t="e">
        <f t="shared" si="62"/>
        <v>#REF!</v>
      </c>
      <c r="AO96" s="104"/>
      <c r="AP96" s="140" t="e">
        <f t="shared" si="63"/>
        <v>#REF!</v>
      </c>
      <c r="AQ96" s="33"/>
      <c r="AR96" s="28"/>
      <c r="AS96" s="121"/>
      <c r="AT96" s="135" t="e">
        <f t="shared" si="64"/>
        <v>#REF!</v>
      </c>
      <c r="AU96" s="148" t="e">
        <f t="shared" si="65"/>
        <v>#REF!</v>
      </c>
      <c r="AW96" s="1">
        <v>1</v>
      </c>
      <c r="BA96" s="29">
        <v>655.55</v>
      </c>
      <c r="BB96" s="29">
        <v>133.35</v>
      </c>
      <c r="BC96" s="29">
        <v>77.92</v>
      </c>
      <c r="BD96" s="29">
        <v>545.04</v>
      </c>
      <c r="BF96" s="279">
        <f t="shared" si="72"/>
        <v>1249.96</v>
      </c>
      <c r="BI96" s="323">
        <v>8.51</v>
      </c>
      <c r="BL96" s="107">
        <f t="shared" si="68"/>
        <v>0.85901039294857251</v>
      </c>
      <c r="BM96" s="107">
        <f t="shared" si="69"/>
        <v>0.92206249128051765</v>
      </c>
      <c r="BN96" s="107">
        <f t="shared" si="70"/>
        <v>0.35749517965371247</v>
      </c>
      <c r="BO96" s="107">
        <f t="shared" si="71"/>
        <v>0.82972030812989472</v>
      </c>
    </row>
    <row r="97" spans="1:67" x14ac:dyDescent="0.25">
      <c r="A97" s="250" t="s">
        <v>153</v>
      </c>
      <c r="B97" s="227">
        <v>2</v>
      </c>
      <c r="C97" s="226">
        <f>'побудинковий звіт'!E89</f>
        <v>847.5</v>
      </c>
      <c r="D97" s="138">
        <f t="shared" si="46"/>
        <v>71.894408992599438</v>
      </c>
      <c r="E97" s="104">
        <f t="shared" si="40"/>
        <v>14.819377623625858</v>
      </c>
      <c r="F97" s="323">
        <v>10.680238106070561</v>
      </c>
      <c r="G97" s="104" t="e">
        <f t="shared" si="41"/>
        <v>#REF!</v>
      </c>
      <c r="H97" s="720">
        <f t="shared" si="47"/>
        <v>60.065959294262278</v>
      </c>
      <c r="I97" s="104" t="e">
        <f t="shared" si="48"/>
        <v>#REF!</v>
      </c>
      <c r="J97" s="28"/>
      <c r="K97" s="139" t="e">
        <f t="shared" si="49"/>
        <v>#REF!</v>
      </c>
      <c r="L97" s="200">
        <f t="shared" si="50"/>
        <v>13.163331650125413</v>
      </c>
      <c r="M97" s="104">
        <f t="shared" si="42"/>
        <v>2.8961689181695305</v>
      </c>
      <c r="N97" s="323">
        <v>0</v>
      </c>
      <c r="O97" s="104"/>
      <c r="P97" s="104">
        <f t="shared" si="51"/>
        <v>10.997630471580843</v>
      </c>
      <c r="Q97" s="104">
        <f t="shared" si="52"/>
        <v>3.4826000338934131</v>
      </c>
      <c r="R97" s="104"/>
      <c r="S97" s="140">
        <f t="shared" si="53"/>
        <v>30.539731073769197</v>
      </c>
      <c r="T97" s="880">
        <v>59.775000000000006</v>
      </c>
      <c r="U97" s="104"/>
      <c r="V97" s="148">
        <f t="shared" si="54"/>
        <v>59.775000000000006</v>
      </c>
      <c r="W97" s="236"/>
      <c r="X97" s="104"/>
      <c r="Y97" s="45">
        <f t="shared" si="55"/>
        <v>0</v>
      </c>
      <c r="Z97" s="138">
        <f t="shared" si="56"/>
        <v>0</v>
      </c>
      <c r="AA97" s="104">
        <f t="shared" si="43"/>
        <v>0</v>
      </c>
      <c r="AB97" s="323">
        <v>0</v>
      </c>
      <c r="AC97" s="104"/>
      <c r="AD97" s="104">
        <f t="shared" si="57"/>
        <v>0</v>
      </c>
      <c r="AE97" s="104">
        <f t="shared" si="58"/>
        <v>0</v>
      </c>
      <c r="AF97" s="104"/>
      <c r="AG97" s="139">
        <f t="shared" si="59"/>
        <v>0</v>
      </c>
      <c r="AH97" s="200">
        <f t="shared" si="60"/>
        <v>29.893591454040358</v>
      </c>
      <c r="AI97" s="104">
        <f t="shared" si="44"/>
        <v>5.9627459416840489</v>
      </c>
      <c r="AJ97" s="323">
        <v>4.1932658260533389</v>
      </c>
      <c r="AK97" s="118" t="e">
        <f t="shared" si="45"/>
        <v>#REF!</v>
      </c>
      <c r="AL97" s="104"/>
      <c r="AM97" s="104">
        <f t="shared" si="61"/>
        <v>24.975339148034813</v>
      </c>
      <c r="AN97" s="104" t="e">
        <f t="shared" si="62"/>
        <v>#REF!</v>
      </c>
      <c r="AO97" s="104"/>
      <c r="AP97" s="140" t="e">
        <f t="shared" si="63"/>
        <v>#REF!</v>
      </c>
      <c r="AQ97" s="33"/>
      <c r="AR97" s="28"/>
      <c r="AS97" s="121"/>
      <c r="AT97" s="135" t="e">
        <f t="shared" si="64"/>
        <v>#REF!</v>
      </c>
      <c r="AU97" s="148" t="e">
        <f t="shared" si="65"/>
        <v>#REF!</v>
      </c>
      <c r="AW97" s="1">
        <v>2</v>
      </c>
      <c r="BA97" s="29">
        <v>65.55</v>
      </c>
      <c r="BB97" s="29">
        <v>11.83</v>
      </c>
      <c r="BC97" s="29">
        <v>0</v>
      </c>
      <c r="BD97" s="29">
        <v>28.83</v>
      </c>
      <c r="BF97" s="279">
        <f t="shared" si="72"/>
        <v>71.73</v>
      </c>
      <c r="BG97" s="1">
        <v>57.39</v>
      </c>
      <c r="BI97" s="323">
        <v>0</v>
      </c>
      <c r="BL97" s="107">
        <f t="shared" ref="BL97:BO115" si="73">BA$398</f>
        <v>1.0967873225415627</v>
      </c>
      <c r="BM97" s="107">
        <f t="shared" si="73"/>
        <v>1.1127076627324948</v>
      </c>
      <c r="BN97" s="107">
        <f t="shared" si="73"/>
        <v>2.8314493742615632</v>
      </c>
      <c r="BO97" s="107">
        <f t="shared" si="73"/>
        <v>1.036891829831438</v>
      </c>
    </row>
    <row r="98" spans="1:67" x14ac:dyDescent="0.25">
      <c r="A98" s="250" t="s">
        <v>208</v>
      </c>
      <c r="B98" s="227">
        <v>4</v>
      </c>
      <c r="C98" s="226">
        <f>'побудинковий звіт'!E90</f>
        <v>2696.4</v>
      </c>
      <c r="D98" s="138">
        <f t="shared" si="46"/>
        <v>328.57554608700133</v>
      </c>
      <c r="E98" s="104">
        <f t="shared" si="40"/>
        <v>67.728286018090529</v>
      </c>
      <c r="F98" s="323">
        <v>51.304753971753428</v>
      </c>
      <c r="G98" s="104" t="e">
        <f t="shared" si="41"/>
        <v>#REF!</v>
      </c>
      <c r="H98" s="720">
        <f t="shared" si="47"/>
        <v>274.51655355263301</v>
      </c>
      <c r="I98" s="104" t="e">
        <f t="shared" si="48"/>
        <v>#REF!</v>
      </c>
      <c r="J98" s="28"/>
      <c r="K98" s="139" t="e">
        <f t="shared" si="49"/>
        <v>#REF!</v>
      </c>
      <c r="L98" s="200">
        <f t="shared" si="50"/>
        <v>35.428611981402632</v>
      </c>
      <c r="M98" s="104">
        <f t="shared" si="42"/>
        <v>7.7949297002973674</v>
      </c>
      <c r="N98" s="323">
        <v>0</v>
      </c>
      <c r="O98" s="104"/>
      <c r="P98" s="104">
        <f t="shared" si="51"/>
        <v>29.599708724863401</v>
      </c>
      <c r="Q98" s="104">
        <f t="shared" si="52"/>
        <v>9.3732869889405137</v>
      </c>
      <c r="R98" s="104"/>
      <c r="S98" s="140">
        <f t="shared" si="53"/>
        <v>82.196537395503924</v>
      </c>
      <c r="T98" s="235"/>
      <c r="U98" s="104"/>
      <c r="V98" s="148">
        <f t="shared" si="54"/>
        <v>0</v>
      </c>
      <c r="W98" s="236"/>
      <c r="X98" s="104"/>
      <c r="Y98" s="45">
        <f t="shared" si="55"/>
        <v>0</v>
      </c>
      <c r="Z98" s="138">
        <f t="shared" si="56"/>
        <v>0</v>
      </c>
      <c r="AA98" s="104">
        <f t="shared" si="43"/>
        <v>0</v>
      </c>
      <c r="AB98" s="323">
        <v>0</v>
      </c>
      <c r="AC98" s="104"/>
      <c r="AD98" s="104">
        <f t="shared" si="57"/>
        <v>0</v>
      </c>
      <c r="AE98" s="104">
        <f t="shared" si="58"/>
        <v>0</v>
      </c>
      <c r="AF98" s="104"/>
      <c r="AG98" s="139">
        <f t="shared" si="59"/>
        <v>0</v>
      </c>
      <c r="AH98" s="200">
        <f t="shared" si="60"/>
        <v>86.798215075189674</v>
      </c>
      <c r="AI98" s="104">
        <f t="shared" si="44"/>
        <v>17.313266138687887</v>
      </c>
      <c r="AJ98" s="323">
        <v>20.14322802611931</v>
      </c>
      <c r="AK98" s="118" t="e">
        <f t="shared" si="45"/>
        <v>#REF!</v>
      </c>
      <c r="AL98" s="104"/>
      <c r="AM98" s="104">
        <f t="shared" si="61"/>
        <v>72.517712108289771</v>
      </c>
      <c r="AN98" s="104" t="e">
        <f t="shared" si="62"/>
        <v>#REF!</v>
      </c>
      <c r="AO98" s="104"/>
      <c r="AP98" s="140" t="e">
        <f t="shared" si="63"/>
        <v>#REF!</v>
      </c>
      <c r="AQ98" s="33"/>
      <c r="AR98" s="28"/>
      <c r="AS98" s="121"/>
      <c r="AT98" s="135" t="e">
        <f t="shared" si="64"/>
        <v>#REF!</v>
      </c>
      <c r="AU98" s="148" t="e">
        <f t="shared" si="65"/>
        <v>#REF!</v>
      </c>
      <c r="AW98" s="1">
        <v>2</v>
      </c>
      <c r="BA98" s="29">
        <v>299.58</v>
      </c>
      <c r="BB98" s="29">
        <v>31.84</v>
      </c>
      <c r="BC98" s="29">
        <v>0</v>
      </c>
      <c r="BD98" s="29">
        <v>83.71</v>
      </c>
      <c r="BI98" s="323">
        <v>0</v>
      </c>
      <c r="BL98" s="107">
        <f t="shared" si="73"/>
        <v>1.0967873225415627</v>
      </c>
      <c r="BM98" s="107">
        <f t="shared" si="73"/>
        <v>1.1127076627324948</v>
      </c>
      <c r="BN98" s="107">
        <f t="shared" si="73"/>
        <v>2.8314493742615632</v>
      </c>
      <c r="BO98" s="107">
        <f t="shared" si="73"/>
        <v>1.036891829831438</v>
      </c>
    </row>
    <row r="99" spans="1:67" x14ac:dyDescent="0.25">
      <c r="A99" s="250" t="s">
        <v>154</v>
      </c>
      <c r="B99" s="227">
        <v>2</v>
      </c>
      <c r="C99" s="226">
        <f>'побудинковий звіт'!E91</f>
        <v>1940</v>
      </c>
      <c r="D99" s="138">
        <f t="shared" si="46"/>
        <v>71.356983204554069</v>
      </c>
      <c r="E99" s="104">
        <f t="shared" si="40"/>
        <v>14.708599667324153</v>
      </c>
      <c r="F99" s="323">
        <v>9.5256177702791476</v>
      </c>
      <c r="G99" s="104" t="e">
        <f t="shared" si="41"/>
        <v>#REF!</v>
      </c>
      <c r="H99" s="720">
        <f t="shared" si="47"/>
        <v>59.616953648889456</v>
      </c>
      <c r="I99" s="104" t="e">
        <f t="shared" si="48"/>
        <v>#REF!</v>
      </c>
      <c r="J99" s="28"/>
      <c r="K99" s="139" t="e">
        <f t="shared" si="49"/>
        <v>#REF!</v>
      </c>
      <c r="L99" s="200">
        <f t="shared" si="50"/>
        <v>12.985298424088214</v>
      </c>
      <c r="M99" s="104">
        <f t="shared" si="42"/>
        <v>2.8569984171630112</v>
      </c>
      <c r="N99" s="323">
        <v>0</v>
      </c>
      <c r="O99" s="104"/>
      <c r="P99" s="104">
        <f t="shared" si="51"/>
        <v>10.848888216682033</v>
      </c>
      <c r="Q99" s="104">
        <f t="shared" si="52"/>
        <v>3.4354980892253706</v>
      </c>
      <c r="R99" s="104"/>
      <c r="S99" s="140">
        <f t="shared" si="53"/>
        <v>30.126683147158626</v>
      </c>
      <c r="T99" s="880">
        <v>53.841666666666669</v>
      </c>
      <c r="U99" s="104"/>
      <c r="V99" s="148">
        <f t="shared" si="54"/>
        <v>53.841666666666669</v>
      </c>
      <c r="W99" s="236"/>
      <c r="X99" s="104"/>
      <c r="Y99" s="45">
        <f t="shared" si="55"/>
        <v>0</v>
      </c>
      <c r="Z99" s="138">
        <f t="shared" si="56"/>
        <v>0</v>
      </c>
      <c r="AA99" s="104">
        <f t="shared" si="43"/>
        <v>0</v>
      </c>
      <c r="AB99" s="323">
        <v>0</v>
      </c>
      <c r="AC99" s="104"/>
      <c r="AD99" s="104">
        <f t="shared" si="57"/>
        <v>0</v>
      </c>
      <c r="AE99" s="104">
        <f t="shared" si="58"/>
        <v>0</v>
      </c>
      <c r="AF99" s="104"/>
      <c r="AG99" s="139">
        <f t="shared" si="59"/>
        <v>0</v>
      </c>
      <c r="AH99" s="200">
        <f t="shared" si="60"/>
        <v>29.83137794425047</v>
      </c>
      <c r="AI99" s="104">
        <f t="shared" si="44"/>
        <v>5.9503364808272661</v>
      </c>
      <c r="AJ99" s="323">
        <v>3.7399397908043288</v>
      </c>
      <c r="AK99" s="118" t="e">
        <f t="shared" si="45"/>
        <v>#REF!</v>
      </c>
      <c r="AL99" s="104"/>
      <c r="AM99" s="104">
        <f t="shared" si="61"/>
        <v>24.923361335031618</v>
      </c>
      <c r="AN99" s="104" t="e">
        <f t="shared" si="62"/>
        <v>#REF!</v>
      </c>
      <c r="AO99" s="104"/>
      <c r="AP99" s="140" t="e">
        <f t="shared" si="63"/>
        <v>#REF!</v>
      </c>
      <c r="AQ99" s="33"/>
      <c r="AR99" s="28"/>
      <c r="AS99" s="121"/>
      <c r="AT99" s="135" t="e">
        <f t="shared" si="64"/>
        <v>#REF!</v>
      </c>
      <c r="AU99" s="148" t="e">
        <f t="shared" si="65"/>
        <v>#REF!</v>
      </c>
      <c r="AW99" s="1">
        <v>2</v>
      </c>
      <c r="BA99" s="29">
        <v>65.06</v>
      </c>
      <c r="BB99" s="29">
        <v>11.67</v>
      </c>
      <c r="BC99" s="29">
        <v>0</v>
      </c>
      <c r="BD99" s="29">
        <v>28.77</v>
      </c>
      <c r="BF99" s="279">
        <f t="shared" ref="BF99:BF114" si="74">T99*1.2</f>
        <v>64.61</v>
      </c>
      <c r="BI99" s="323">
        <v>0</v>
      </c>
      <c r="BL99" s="107">
        <f t="shared" si="73"/>
        <v>1.0967873225415627</v>
      </c>
      <c r="BM99" s="107">
        <f t="shared" si="73"/>
        <v>1.1127076627324948</v>
      </c>
      <c r="BN99" s="107">
        <f t="shared" si="73"/>
        <v>2.8314493742615632</v>
      </c>
      <c r="BO99" s="107">
        <f t="shared" si="73"/>
        <v>1.036891829831438</v>
      </c>
    </row>
    <row r="100" spans="1:67" x14ac:dyDescent="0.25">
      <c r="A100" s="250" t="s">
        <v>155</v>
      </c>
      <c r="B100" s="227">
        <v>2</v>
      </c>
      <c r="C100" s="226">
        <f>'побудинковий звіт'!E92</f>
        <v>300.7</v>
      </c>
      <c r="D100" s="138">
        <f t="shared" si="46"/>
        <v>36.890441593685459</v>
      </c>
      <c r="E100" s="104">
        <f t="shared" si="40"/>
        <v>7.6041154289955095</v>
      </c>
      <c r="F100" s="323">
        <v>7.9854216654187065</v>
      </c>
      <c r="G100" s="104" t="e">
        <f t="shared" si="41"/>
        <v>#REF!</v>
      </c>
      <c r="H100" s="720">
        <f t="shared" si="47"/>
        <v>30.821030371663031</v>
      </c>
      <c r="I100" s="104" t="e">
        <f t="shared" si="48"/>
        <v>#REF!</v>
      </c>
      <c r="J100" s="28"/>
      <c r="K100" s="139" t="e">
        <f t="shared" si="49"/>
        <v>#REF!</v>
      </c>
      <c r="L100" s="200">
        <f t="shared" si="50"/>
        <v>15.377619898963077</v>
      </c>
      <c r="M100" s="104">
        <f t="shared" si="42"/>
        <v>3.3833520244381159</v>
      </c>
      <c r="N100" s="323">
        <v>0</v>
      </c>
      <c r="O100" s="104"/>
      <c r="P100" s="104">
        <f t="shared" si="51"/>
        <v>12.847612266884806</v>
      </c>
      <c r="Q100" s="104">
        <f t="shared" si="52"/>
        <v>4.0684304707021957</v>
      </c>
      <c r="R100" s="104"/>
      <c r="S100" s="140">
        <f t="shared" si="53"/>
        <v>35.677014660988192</v>
      </c>
      <c r="T100" s="880">
        <v>44.183333333333337</v>
      </c>
      <c r="U100" s="104"/>
      <c r="V100" s="148">
        <f t="shared" si="54"/>
        <v>44.183333333333337</v>
      </c>
      <c r="W100" s="236"/>
      <c r="X100" s="104"/>
      <c r="Y100" s="45">
        <f t="shared" si="55"/>
        <v>0</v>
      </c>
      <c r="Z100" s="138">
        <f t="shared" si="56"/>
        <v>0</v>
      </c>
      <c r="AA100" s="104">
        <f t="shared" si="43"/>
        <v>0</v>
      </c>
      <c r="AB100" s="323">
        <v>0</v>
      </c>
      <c r="AC100" s="104"/>
      <c r="AD100" s="104">
        <f t="shared" si="57"/>
        <v>0</v>
      </c>
      <c r="AE100" s="104">
        <f t="shared" si="58"/>
        <v>0</v>
      </c>
      <c r="AF100" s="104"/>
      <c r="AG100" s="139">
        <f t="shared" si="59"/>
        <v>0</v>
      </c>
      <c r="AH100" s="200">
        <f t="shared" si="60"/>
        <v>12.784876261821632</v>
      </c>
      <c r="AI100" s="104">
        <f t="shared" si="44"/>
        <v>2.5501442060688286</v>
      </c>
      <c r="AJ100" s="323">
        <v>3.1352293313754491</v>
      </c>
      <c r="AK100" s="118" t="e">
        <f t="shared" si="45"/>
        <v>#REF!</v>
      </c>
      <c r="AL100" s="104"/>
      <c r="AM100" s="104">
        <f t="shared" si="61"/>
        <v>10.68144057215641</v>
      </c>
      <c r="AN100" s="104" t="e">
        <f t="shared" si="62"/>
        <v>#REF!</v>
      </c>
      <c r="AO100" s="104"/>
      <c r="AP100" s="140" t="e">
        <f t="shared" si="63"/>
        <v>#REF!</v>
      </c>
      <c r="AQ100" s="33"/>
      <c r="AR100" s="28"/>
      <c r="AS100" s="121"/>
      <c r="AT100" s="135" t="e">
        <f t="shared" si="64"/>
        <v>#REF!</v>
      </c>
      <c r="AU100" s="148" t="e">
        <f t="shared" si="65"/>
        <v>#REF!</v>
      </c>
      <c r="AW100" s="1">
        <v>2</v>
      </c>
      <c r="BA100" s="29">
        <v>33.634999999999998</v>
      </c>
      <c r="BB100" s="29">
        <v>13.82</v>
      </c>
      <c r="BC100" s="29">
        <v>0</v>
      </c>
      <c r="BD100" s="29">
        <v>12.33</v>
      </c>
      <c r="BF100" s="279">
        <f t="shared" si="74"/>
        <v>53.02</v>
      </c>
      <c r="BI100" s="323">
        <v>0</v>
      </c>
      <c r="BL100" s="107">
        <f t="shared" si="73"/>
        <v>1.0967873225415627</v>
      </c>
      <c r="BM100" s="107">
        <f t="shared" si="73"/>
        <v>1.1127076627324948</v>
      </c>
      <c r="BN100" s="107">
        <f t="shared" si="73"/>
        <v>2.8314493742615632</v>
      </c>
      <c r="BO100" s="107">
        <f t="shared" si="73"/>
        <v>1.036891829831438</v>
      </c>
    </row>
    <row r="101" spans="1:67" x14ac:dyDescent="0.25">
      <c r="A101" s="250" t="s">
        <v>156</v>
      </c>
      <c r="B101" s="227">
        <v>2</v>
      </c>
      <c r="C101" s="226">
        <f>'побудинковий звіт'!E93</f>
        <v>8439.9</v>
      </c>
      <c r="D101" s="138">
        <f t="shared" si="46"/>
        <v>75.382192678281612</v>
      </c>
      <c r="E101" s="104">
        <f t="shared" si="40"/>
        <v>15.53830395227773</v>
      </c>
      <c r="F101" s="323">
        <v>16.135187101260279</v>
      </c>
      <c r="G101" s="104" t="e">
        <f t="shared" si="41"/>
        <v>#REF!</v>
      </c>
      <c r="H101" s="720">
        <f t="shared" si="47"/>
        <v>62.979914298926722</v>
      </c>
      <c r="I101" s="104" t="e">
        <f t="shared" si="48"/>
        <v>#REF!</v>
      </c>
      <c r="J101" s="28"/>
      <c r="K101" s="139" t="e">
        <f t="shared" si="49"/>
        <v>#REF!</v>
      </c>
      <c r="L101" s="200">
        <f t="shared" si="50"/>
        <v>27.673039572157148</v>
      </c>
      <c r="M101" s="104">
        <f t="shared" si="42"/>
        <v>6.0885647502008649</v>
      </c>
      <c r="N101" s="323">
        <v>0</v>
      </c>
      <c r="O101" s="104"/>
      <c r="P101" s="104">
        <f t="shared" si="51"/>
        <v>23.120124245833949</v>
      </c>
      <c r="Q101" s="104">
        <f t="shared" si="52"/>
        <v>7.3214085243389011</v>
      </c>
      <c r="R101" s="104"/>
      <c r="S101" s="140">
        <f t="shared" si="53"/>
        <v>64.203137092530866</v>
      </c>
      <c r="T101" s="880">
        <v>86.075000000000003</v>
      </c>
      <c r="U101" s="104"/>
      <c r="V101" s="148">
        <f t="shared" si="54"/>
        <v>86.075000000000003</v>
      </c>
      <c r="W101" s="236"/>
      <c r="X101" s="104"/>
      <c r="Y101" s="45">
        <f t="shared" si="55"/>
        <v>0</v>
      </c>
      <c r="Z101" s="138">
        <f t="shared" si="56"/>
        <v>0</v>
      </c>
      <c r="AA101" s="104">
        <f t="shared" si="43"/>
        <v>0</v>
      </c>
      <c r="AB101" s="323">
        <v>0</v>
      </c>
      <c r="AC101" s="104"/>
      <c r="AD101" s="104">
        <f t="shared" si="57"/>
        <v>0</v>
      </c>
      <c r="AE101" s="104">
        <f t="shared" si="58"/>
        <v>0</v>
      </c>
      <c r="AF101" s="104"/>
      <c r="AG101" s="139">
        <f t="shared" si="59"/>
        <v>0</v>
      </c>
      <c r="AH101" s="200">
        <f t="shared" si="60"/>
        <v>25.647519410880619</v>
      </c>
      <c r="AI101" s="104">
        <f t="shared" si="44"/>
        <v>5.1158002382086352</v>
      </c>
      <c r="AJ101" s="323">
        <v>6.3349831714177283</v>
      </c>
      <c r="AK101" s="118" t="e">
        <f t="shared" si="45"/>
        <v>#REF!</v>
      </c>
      <c r="AL101" s="104"/>
      <c r="AM101" s="104">
        <f t="shared" si="61"/>
        <v>21.427853410566811</v>
      </c>
      <c r="AN101" s="104" t="e">
        <f t="shared" si="62"/>
        <v>#REF!</v>
      </c>
      <c r="AO101" s="104"/>
      <c r="AP101" s="140" t="e">
        <f t="shared" si="63"/>
        <v>#REF!</v>
      </c>
      <c r="AQ101" s="33"/>
      <c r="AR101" s="28"/>
      <c r="AS101" s="121"/>
      <c r="AT101" s="135" t="e">
        <f t="shared" si="64"/>
        <v>#REF!</v>
      </c>
      <c r="AU101" s="148" t="e">
        <f t="shared" si="65"/>
        <v>#REF!</v>
      </c>
      <c r="AW101" s="1">
        <v>2</v>
      </c>
      <c r="BA101" s="29">
        <v>68.73</v>
      </c>
      <c r="BB101" s="29">
        <v>24.87</v>
      </c>
      <c r="BC101" s="29">
        <v>0</v>
      </c>
      <c r="BD101" s="29">
        <v>24.734999999999999</v>
      </c>
      <c r="BF101" s="279">
        <f t="shared" si="74"/>
        <v>103.29</v>
      </c>
      <c r="BI101" s="323">
        <v>0</v>
      </c>
      <c r="BL101" s="107">
        <f t="shared" si="73"/>
        <v>1.0967873225415627</v>
      </c>
      <c r="BM101" s="107">
        <f t="shared" si="73"/>
        <v>1.1127076627324948</v>
      </c>
      <c r="BN101" s="107">
        <f t="shared" si="73"/>
        <v>2.8314493742615632</v>
      </c>
      <c r="BO101" s="107">
        <f t="shared" si="73"/>
        <v>1.036891829831438</v>
      </c>
    </row>
    <row r="102" spans="1:67" x14ac:dyDescent="0.25">
      <c r="A102" s="250" t="s">
        <v>157</v>
      </c>
      <c r="B102" s="227">
        <v>2</v>
      </c>
      <c r="C102" s="226">
        <f>'побудинковий звіт'!E94</f>
        <v>7612.5</v>
      </c>
      <c r="D102" s="138">
        <f t="shared" si="46"/>
        <v>157.50962739019383</v>
      </c>
      <c r="E102" s="104">
        <f t="shared" si="40"/>
        <v>32.466984294872759</v>
      </c>
      <c r="F102" s="323">
        <v>20.960151643162344</v>
      </c>
      <c r="G102" s="104" t="e">
        <f t="shared" si="41"/>
        <v>#REF!</v>
      </c>
      <c r="H102" s="720">
        <f t="shared" si="47"/>
        <v>131.59530761630825</v>
      </c>
      <c r="I102" s="104" t="e">
        <f t="shared" si="48"/>
        <v>#REF!</v>
      </c>
      <c r="J102" s="28"/>
      <c r="K102" s="139" t="e">
        <f t="shared" si="49"/>
        <v>#REF!</v>
      </c>
      <c r="L102" s="200">
        <f t="shared" si="50"/>
        <v>33.214323732564971</v>
      </c>
      <c r="M102" s="104">
        <f t="shared" si="42"/>
        <v>7.3077465940287825</v>
      </c>
      <c r="N102" s="323">
        <v>0</v>
      </c>
      <c r="O102" s="104"/>
      <c r="P102" s="104">
        <f t="shared" si="51"/>
        <v>27.749726929559444</v>
      </c>
      <c r="Q102" s="104">
        <f t="shared" si="52"/>
        <v>8.7874565521317347</v>
      </c>
      <c r="R102" s="104"/>
      <c r="S102" s="140">
        <f t="shared" si="53"/>
        <v>77.059253808284936</v>
      </c>
      <c r="T102" s="880">
        <v>112.86666666666667</v>
      </c>
      <c r="U102" s="104"/>
      <c r="V102" s="148">
        <f t="shared" si="54"/>
        <v>112.86666666666667</v>
      </c>
      <c r="W102" s="236"/>
      <c r="X102" s="104"/>
      <c r="Y102" s="45">
        <f t="shared" si="55"/>
        <v>0</v>
      </c>
      <c r="Z102" s="138">
        <f t="shared" si="56"/>
        <v>0</v>
      </c>
      <c r="AA102" s="104">
        <f t="shared" si="43"/>
        <v>0</v>
      </c>
      <c r="AB102" s="323">
        <v>0</v>
      </c>
      <c r="AC102" s="104"/>
      <c r="AD102" s="104">
        <f t="shared" si="57"/>
        <v>0</v>
      </c>
      <c r="AE102" s="104">
        <f t="shared" si="58"/>
        <v>0</v>
      </c>
      <c r="AF102" s="104"/>
      <c r="AG102" s="139">
        <f t="shared" si="59"/>
        <v>0</v>
      </c>
      <c r="AH102" s="200">
        <f t="shared" si="60"/>
        <v>51.295038821761239</v>
      </c>
      <c r="AI102" s="104">
        <f t="shared" si="44"/>
        <v>10.23160047641727</v>
      </c>
      <c r="AJ102" s="323">
        <v>8.2293565668926032</v>
      </c>
      <c r="AK102" s="118" t="e">
        <f t="shared" si="45"/>
        <v>#REF!</v>
      </c>
      <c r="AL102" s="104"/>
      <c r="AM102" s="104">
        <f t="shared" si="61"/>
        <v>42.855706821133623</v>
      </c>
      <c r="AN102" s="104" t="e">
        <f t="shared" si="62"/>
        <v>#REF!</v>
      </c>
      <c r="AO102" s="104"/>
      <c r="AP102" s="140" t="e">
        <f t="shared" si="63"/>
        <v>#REF!</v>
      </c>
      <c r="AQ102" s="33"/>
      <c r="AR102" s="28"/>
      <c r="AS102" s="121"/>
      <c r="AT102" s="135" t="e">
        <f t="shared" si="64"/>
        <v>#REF!</v>
      </c>
      <c r="AU102" s="148" t="e">
        <f t="shared" si="65"/>
        <v>#REF!</v>
      </c>
      <c r="AW102" s="1">
        <v>2</v>
      </c>
      <c r="BA102" s="29">
        <v>143.61000000000001</v>
      </c>
      <c r="BB102" s="29">
        <v>29.85</v>
      </c>
      <c r="BC102" s="29">
        <v>0</v>
      </c>
      <c r="BD102" s="29">
        <v>49.47</v>
      </c>
      <c r="BF102" s="279">
        <f t="shared" si="74"/>
        <v>135.44</v>
      </c>
      <c r="BI102" s="323">
        <v>0</v>
      </c>
      <c r="BL102" s="107">
        <f t="shared" si="73"/>
        <v>1.0967873225415627</v>
      </c>
      <c r="BM102" s="107">
        <f t="shared" si="73"/>
        <v>1.1127076627324948</v>
      </c>
      <c r="BN102" s="107">
        <f t="shared" si="73"/>
        <v>2.8314493742615632</v>
      </c>
      <c r="BO102" s="107">
        <f t="shared" si="73"/>
        <v>1.036891829831438</v>
      </c>
    </row>
    <row r="103" spans="1:67" x14ac:dyDescent="0.25">
      <c r="A103" s="250" t="s">
        <v>158</v>
      </c>
      <c r="B103" s="227">
        <v>2</v>
      </c>
      <c r="C103" s="226">
        <f>'побудинковий звіт'!E95</f>
        <v>2492.3200000000002</v>
      </c>
      <c r="D103" s="138">
        <f t="shared" si="46"/>
        <v>118.86981001705456</v>
      </c>
      <c r="E103" s="104">
        <f t="shared" si="40"/>
        <v>24.502275314242109</v>
      </c>
      <c r="F103" s="323">
        <v>12.382881707079758</v>
      </c>
      <c r="G103" s="104" t="e">
        <f t="shared" si="41"/>
        <v>#REF!</v>
      </c>
      <c r="H103" s="720">
        <f t="shared" si="47"/>
        <v>99.312718052054095</v>
      </c>
      <c r="I103" s="104" t="e">
        <f t="shared" si="48"/>
        <v>#REF!</v>
      </c>
      <c r="J103" s="28"/>
      <c r="K103" s="139" t="e">
        <f t="shared" si="49"/>
        <v>#REF!</v>
      </c>
      <c r="L103" s="200">
        <f t="shared" si="50"/>
        <v>27.795437415057719</v>
      </c>
      <c r="M103" s="104">
        <f t="shared" si="42"/>
        <v>6.1154944696428464</v>
      </c>
      <c r="N103" s="323">
        <v>0</v>
      </c>
      <c r="O103" s="104"/>
      <c r="P103" s="104">
        <f t="shared" si="51"/>
        <v>23.222384546076878</v>
      </c>
      <c r="Q103" s="104">
        <f t="shared" si="52"/>
        <v>7.3537911112981798</v>
      </c>
      <c r="R103" s="104"/>
      <c r="S103" s="140">
        <f t="shared" si="53"/>
        <v>64.48710754207562</v>
      </c>
      <c r="T103" s="880">
        <v>68.791666666666671</v>
      </c>
      <c r="U103" s="104"/>
      <c r="V103" s="148">
        <f t="shared" si="54"/>
        <v>68.791666666666671</v>
      </c>
      <c r="W103" s="236"/>
      <c r="X103" s="104"/>
      <c r="Y103" s="45">
        <f t="shared" si="55"/>
        <v>0</v>
      </c>
      <c r="Z103" s="138">
        <f t="shared" si="56"/>
        <v>0</v>
      </c>
      <c r="AA103" s="104">
        <f t="shared" si="43"/>
        <v>0</v>
      </c>
      <c r="AB103" s="323">
        <v>0</v>
      </c>
      <c r="AC103" s="104"/>
      <c r="AD103" s="104">
        <f t="shared" si="57"/>
        <v>0</v>
      </c>
      <c r="AE103" s="104">
        <f t="shared" si="58"/>
        <v>0</v>
      </c>
      <c r="AF103" s="104"/>
      <c r="AG103" s="139">
        <f t="shared" si="59"/>
        <v>0</v>
      </c>
      <c r="AH103" s="200">
        <f t="shared" si="60"/>
        <v>37.960609890128943</v>
      </c>
      <c r="AI103" s="104">
        <f t="shared" si="44"/>
        <v>7.5718393661135277</v>
      </c>
      <c r="AJ103" s="323">
        <v>4.8617562805875076</v>
      </c>
      <c r="AK103" s="118" t="e">
        <f t="shared" si="45"/>
        <v>#REF!</v>
      </c>
      <c r="AL103" s="104"/>
      <c r="AM103" s="104">
        <f t="shared" si="61"/>
        <v>31.715128900782329</v>
      </c>
      <c r="AN103" s="104" t="e">
        <f t="shared" si="62"/>
        <v>#REF!</v>
      </c>
      <c r="AO103" s="104"/>
      <c r="AP103" s="140" t="e">
        <f t="shared" si="63"/>
        <v>#REF!</v>
      </c>
      <c r="AQ103" s="33"/>
      <c r="AR103" s="28"/>
      <c r="AS103" s="121"/>
      <c r="AT103" s="135" t="e">
        <f t="shared" si="64"/>
        <v>#REF!</v>
      </c>
      <c r="AU103" s="148" t="e">
        <f t="shared" si="65"/>
        <v>#REF!</v>
      </c>
      <c r="AW103" s="1">
        <v>2</v>
      </c>
      <c r="BA103" s="29">
        <v>108.38</v>
      </c>
      <c r="BB103" s="29">
        <v>24.98</v>
      </c>
      <c r="BC103" s="29">
        <v>0</v>
      </c>
      <c r="BD103" s="29">
        <v>36.61</v>
      </c>
      <c r="BF103" s="279">
        <f t="shared" si="74"/>
        <v>82.55</v>
      </c>
      <c r="BI103" s="323">
        <v>0</v>
      </c>
      <c r="BL103" s="107">
        <f t="shared" si="73"/>
        <v>1.0967873225415627</v>
      </c>
      <c r="BM103" s="107">
        <f t="shared" si="73"/>
        <v>1.1127076627324948</v>
      </c>
      <c r="BN103" s="107">
        <f t="shared" si="73"/>
        <v>2.8314493742615632</v>
      </c>
      <c r="BO103" s="107">
        <f t="shared" si="73"/>
        <v>1.036891829831438</v>
      </c>
    </row>
    <row r="104" spans="1:67" x14ac:dyDescent="0.25">
      <c r="A104" s="250" t="s">
        <v>159</v>
      </c>
      <c r="B104" s="227">
        <v>2</v>
      </c>
      <c r="C104" s="226">
        <f>'побудинковий звіт'!E96</f>
        <v>11379.7</v>
      </c>
      <c r="D104" s="138">
        <f t="shared" si="46"/>
        <v>75.590582269564507</v>
      </c>
      <c r="E104" s="104">
        <f t="shared" si="40"/>
        <v>15.581258670027371</v>
      </c>
      <c r="F104" s="323">
        <v>9.7900426829467069</v>
      </c>
      <c r="G104" s="104" t="e">
        <f t="shared" si="41"/>
        <v>#REF!</v>
      </c>
      <c r="H104" s="720">
        <f t="shared" si="47"/>
        <v>63.154018528765164</v>
      </c>
      <c r="I104" s="104" t="e">
        <f t="shared" si="48"/>
        <v>#REF!</v>
      </c>
      <c r="J104" s="28"/>
      <c r="K104" s="139" t="e">
        <f t="shared" si="49"/>
        <v>#REF!</v>
      </c>
      <c r="L104" s="200">
        <f t="shared" si="50"/>
        <v>26.693856828952548</v>
      </c>
      <c r="M104" s="104">
        <f t="shared" si="42"/>
        <v>5.8731269946650073</v>
      </c>
      <c r="N104" s="323">
        <v>0</v>
      </c>
      <c r="O104" s="104"/>
      <c r="P104" s="104">
        <f t="shared" si="51"/>
        <v>22.302041843890485</v>
      </c>
      <c r="Q104" s="104">
        <f t="shared" si="52"/>
        <v>7.0623478286646648</v>
      </c>
      <c r="R104" s="104"/>
      <c r="S104" s="140">
        <f t="shared" si="53"/>
        <v>61.931373496172704</v>
      </c>
      <c r="T104" s="880">
        <v>56.041666666666671</v>
      </c>
      <c r="U104" s="104"/>
      <c r="V104" s="148">
        <f t="shared" si="54"/>
        <v>56.041666666666671</v>
      </c>
      <c r="W104" s="236"/>
      <c r="X104" s="104"/>
      <c r="Y104" s="45">
        <f t="shared" si="55"/>
        <v>0</v>
      </c>
      <c r="Z104" s="138">
        <f t="shared" si="56"/>
        <v>0</v>
      </c>
      <c r="AA104" s="104">
        <f t="shared" si="43"/>
        <v>0</v>
      </c>
      <c r="AB104" s="323">
        <v>0</v>
      </c>
      <c r="AC104" s="104"/>
      <c r="AD104" s="104">
        <f t="shared" si="57"/>
        <v>0</v>
      </c>
      <c r="AE104" s="104">
        <f t="shared" si="58"/>
        <v>0</v>
      </c>
      <c r="AF104" s="104"/>
      <c r="AG104" s="139">
        <f t="shared" si="59"/>
        <v>0</v>
      </c>
      <c r="AH104" s="200">
        <f t="shared" si="60"/>
        <v>37.960609890128943</v>
      </c>
      <c r="AI104" s="104">
        <f t="shared" si="44"/>
        <v>7.5718393661135277</v>
      </c>
      <c r="AJ104" s="323">
        <v>3.8437580707746766</v>
      </c>
      <c r="AK104" s="118" t="e">
        <f t="shared" si="45"/>
        <v>#REF!</v>
      </c>
      <c r="AL104" s="104"/>
      <c r="AM104" s="104">
        <f t="shared" si="61"/>
        <v>31.715128900782329</v>
      </c>
      <c r="AN104" s="104" t="e">
        <f t="shared" si="62"/>
        <v>#REF!</v>
      </c>
      <c r="AO104" s="104"/>
      <c r="AP104" s="140" t="e">
        <f t="shared" si="63"/>
        <v>#REF!</v>
      </c>
      <c r="AQ104" s="33"/>
      <c r="AR104" s="28"/>
      <c r="AS104" s="121"/>
      <c r="AT104" s="135" t="e">
        <f t="shared" si="64"/>
        <v>#REF!</v>
      </c>
      <c r="AU104" s="148" t="e">
        <f t="shared" si="65"/>
        <v>#REF!</v>
      </c>
      <c r="AW104" s="1">
        <v>2</v>
      </c>
      <c r="BA104" s="29">
        <v>68.92</v>
      </c>
      <c r="BB104" s="29">
        <v>23.99</v>
      </c>
      <c r="BC104" s="29">
        <v>0</v>
      </c>
      <c r="BD104" s="29">
        <v>36.61</v>
      </c>
      <c r="BF104" s="279">
        <f t="shared" si="74"/>
        <v>67.25</v>
      </c>
      <c r="BI104" s="323">
        <v>0</v>
      </c>
      <c r="BL104" s="107">
        <f t="shared" si="73"/>
        <v>1.0967873225415627</v>
      </c>
      <c r="BM104" s="107">
        <f t="shared" si="73"/>
        <v>1.1127076627324948</v>
      </c>
      <c r="BN104" s="107">
        <f t="shared" si="73"/>
        <v>2.8314493742615632</v>
      </c>
      <c r="BO104" s="107">
        <f t="shared" si="73"/>
        <v>1.036891829831438</v>
      </c>
    </row>
    <row r="105" spans="1:67" x14ac:dyDescent="0.25">
      <c r="A105" s="250" t="s">
        <v>160</v>
      </c>
      <c r="B105" s="227">
        <v>2</v>
      </c>
      <c r="C105" s="226">
        <f>'побудинковий звіт'!E97</f>
        <v>2481.34</v>
      </c>
      <c r="D105" s="138">
        <f t="shared" si="46"/>
        <v>34.647511519087963</v>
      </c>
      <c r="E105" s="104">
        <f t="shared" si="40"/>
        <v>7.141787019532277</v>
      </c>
      <c r="F105" s="323">
        <v>10.01232816730071</v>
      </c>
      <c r="G105" s="104" t="e">
        <f t="shared" si="41"/>
        <v>#REF!</v>
      </c>
      <c r="H105" s="720">
        <f t="shared" si="47"/>
        <v>28.947119055770333</v>
      </c>
      <c r="I105" s="104" t="e">
        <f t="shared" si="48"/>
        <v>#REF!</v>
      </c>
      <c r="J105" s="28"/>
      <c r="K105" s="139" t="e">
        <f t="shared" si="49"/>
        <v>#REF!</v>
      </c>
      <c r="L105" s="200">
        <f t="shared" si="50"/>
        <v>22.265280331277221</v>
      </c>
      <c r="M105" s="104">
        <f t="shared" si="42"/>
        <v>4.8987607821278374</v>
      </c>
      <c r="N105" s="323">
        <v>0</v>
      </c>
      <c r="O105" s="104"/>
      <c r="P105" s="104">
        <f t="shared" si="51"/>
        <v>18.60207825328256</v>
      </c>
      <c r="Q105" s="104">
        <f t="shared" si="52"/>
        <v>5.8906869550471006</v>
      </c>
      <c r="R105" s="104"/>
      <c r="S105" s="140">
        <f t="shared" si="53"/>
        <v>51.65680632173472</v>
      </c>
      <c r="T105" s="880">
        <v>55.63333333333334</v>
      </c>
      <c r="U105" s="104"/>
      <c r="V105" s="148">
        <f t="shared" si="54"/>
        <v>55.63333333333334</v>
      </c>
      <c r="W105" s="236"/>
      <c r="X105" s="104"/>
      <c r="Y105" s="45">
        <f t="shared" si="55"/>
        <v>0</v>
      </c>
      <c r="Z105" s="138">
        <f t="shared" si="56"/>
        <v>0</v>
      </c>
      <c r="AA105" s="104">
        <f t="shared" si="43"/>
        <v>0</v>
      </c>
      <c r="AB105" s="323">
        <v>0</v>
      </c>
      <c r="AC105" s="104"/>
      <c r="AD105" s="104">
        <f t="shared" si="57"/>
        <v>0</v>
      </c>
      <c r="AE105" s="104">
        <f t="shared" si="58"/>
        <v>0</v>
      </c>
      <c r="AF105" s="104"/>
      <c r="AG105" s="139">
        <f t="shared" si="59"/>
        <v>0</v>
      </c>
      <c r="AH105" s="200">
        <f t="shared" si="60"/>
        <v>18.684790773562511</v>
      </c>
      <c r="AI105" s="104">
        <f t="shared" si="44"/>
        <v>3.7269747439870464</v>
      </c>
      <c r="AJ105" s="323">
        <v>3.931031604933017</v>
      </c>
      <c r="AK105" s="118" t="e">
        <f t="shared" si="45"/>
        <v>#REF!</v>
      </c>
      <c r="AL105" s="104"/>
      <c r="AM105" s="104">
        <f t="shared" si="61"/>
        <v>15.610669838625991</v>
      </c>
      <c r="AN105" s="104" t="e">
        <f t="shared" si="62"/>
        <v>#REF!</v>
      </c>
      <c r="AO105" s="104"/>
      <c r="AP105" s="140" t="e">
        <f t="shared" si="63"/>
        <v>#REF!</v>
      </c>
      <c r="AQ105" s="33"/>
      <c r="AR105" s="28"/>
      <c r="AS105" s="121"/>
      <c r="AT105" s="135" t="e">
        <f t="shared" si="64"/>
        <v>#REF!</v>
      </c>
      <c r="AU105" s="148" t="e">
        <f t="shared" si="65"/>
        <v>#REF!</v>
      </c>
      <c r="AW105" s="1">
        <v>2</v>
      </c>
      <c r="BA105" s="29">
        <v>31.589999999999996</v>
      </c>
      <c r="BB105" s="29">
        <v>20.010000000000002</v>
      </c>
      <c r="BC105" s="29">
        <v>0</v>
      </c>
      <c r="BD105" s="29">
        <v>18.02</v>
      </c>
      <c r="BF105" s="279">
        <f t="shared" si="74"/>
        <v>66.760000000000005</v>
      </c>
      <c r="BI105" s="323">
        <v>0</v>
      </c>
      <c r="BL105" s="107">
        <f t="shared" si="73"/>
        <v>1.0967873225415627</v>
      </c>
      <c r="BM105" s="107">
        <f t="shared" si="73"/>
        <v>1.1127076627324948</v>
      </c>
      <c r="BN105" s="107">
        <f t="shared" si="73"/>
        <v>2.8314493742615632</v>
      </c>
      <c r="BO105" s="107">
        <f t="shared" si="73"/>
        <v>1.036891829831438</v>
      </c>
    </row>
    <row r="106" spans="1:67" x14ac:dyDescent="0.25">
      <c r="A106" s="250" t="s">
        <v>195</v>
      </c>
      <c r="B106" s="227">
        <v>3</v>
      </c>
      <c r="C106" s="226">
        <f>'побудинковий звіт'!E98</f>
        <v>11464.41</v>
      </c>
      <c r="D106" s="138">
        <f t="shared" si="46"/>
        <v>166.95296623727668</v>
      </c>
      <c r="E106" s="104">
        <f t="shared" si="40"/>
        <v>34.413511241316982</v>
      </c>
      <c r="F106" s="323">
        <v>23.345243285709568</v>
      </c>
      <c r="G106" s="104" t="e">
        <f t="shared" si="41"/>
        <v>#REF!</v>
      </c>
      <c r="H106" s="720">
        <f t="shared" si="47"/>
        <v>139.48497824214499</v>
      </c>
      <c r="I106" s="104" t="e">
        <f t="shared" si="48"/>
        <v>#REF!</v>
      </c>
      <c r="J106" s="28"/>
      <c r="K106" s="139" t="e">
        <f t="shared" si="49"/>
        <v>#REF!</v>
      </c>
      <c r="L106" s="200">
        <f t="shared" si="50"/>
        <v>36.730479946799647</v>
      </c>
      <c r="M106" s="104">
        <f t="shared" si="42"/>
        <v>8.0813639889075404</v>
      </c>
      <c r="N106" s="323">
        <v>0</v>
      </c>
      <c r="O106" s="104"/>
      <c r="P106" s="104">
        <f t="shared" si="51"/>
        <v>30.687386463810956</v>
      </c>
      <c r="Q106" s="104">
        <f t="shared" si="52"/>
        <v>9.7177199593255761</v>
      </c>
      <c r="R106" s="104"/>
      <c r="S106" s="140">
        <f t="shared" si="53"/>
        <v>85.216950358843718</v>
      </c>
      <c r="T106" s="880">
        <v>111.40833333333333</v>
      </c>
      <c r="U106" s="104"/>
      <c r="V106" s="148">
        <f t="shared" si="54"/>
        <v>111.40833333333333</v>
      </c>
      <c r="W106" s="236"/>
      <c r="X106" s="104"/>
      <c r="Y106" s="45">
        <f t="shared" si="55"/>
        <v>0</v>
      </c>
      <c r="Z106" s="138">
        <f t="shared" si="56"/>
        <v>0</v>
      </c>
      <c r="AA106" s="104">
        <f t="shared" si="43"/>
        <v>0</v>
      </c>
      <c r="AB106" s="323">
        <v>0</v>
      </c>
      <c r="AC106" s="104"/>
      <c r="AD106" s="104">
        <f t="shared" si="57"/>
        <v>0</v>
      </c>
      <c r="AE106" s="104">
        <f t="shared" si="58"/>
        <v>0</v>
      </c>
      <c r="AF106" s="104"/>
      <c r="AG106" s="139">
        <f t="shared" si="59"/>
        <v>0</v>
      </c>
      <c r="AH106" s="200">
        <f t="shared" si="60"/>
        <v>61.33215173452956</v>
      </c>
      <c r="AI106" s="104">
        <f t="shared" si="44"/>
        <v>12.233660161311533</v>
      </c>
      <c r="AJ106" s="323">
        <v>9.1657891798522364</v>
      </c>
      <c r="AK106" s="118" t="e">
        <f t="shared" si="45"/>
        <v>#REF!</v>
      </c>
      <c r="AL106" s="104"/>
      <c r="AM106" s="104">
        <f t="shared" si="61"/>
        <v>51.241460652315617</v>
      </c>
      <c r="AN106" s="104" t="e">
        <f t="shared" si="62"/>
        <v>#REF!</v>
      </c>
      <c r="AO106" s="104"/>
      <c r="AP106" s="140" t="e">
        <f t="shared" si="63"/>
        <v>#REF!</v>
      </c>
      <c r="AQ106" s="33"/>
      <c r="AR106" s="28"/>
      <c r="AS106" s="121"/>
      <c r="AT106" s="135" t="e">
        <f t="shared" si="64"/>
        <v>#REF!</v>
      </c>
      <c r="AU106" s="148" t="e">
        <f t="shared" si="65"/>
        <v>#REF!</v>
      </c>
      <c r="AW106" s="1">
        <v>2</v>
      </c>
      <c r="BA106" s="29">
        <v>152.22</v>
      </c>
      <c r="BB106" s="29">
        <v>33.01</v>
      </c>
      <c r="BC106" s="29">
        <v>0</v>
      </c>
      <c r="BD106" s="29">
        <v>59.15</v>
      </c>
      <c r="BF106" s="279">
        <f t="shared" si="74"/>
        <v>133.69</v>
      </c>
      <c r="BG106" s="1">
        <v>106.95</v>
      </c>
      <c r="BI106" s="323">
        <v>0</v>
      </c>
      <c r="BL106" s="107">
        <f t="shared" si="73"/>
        <v>1.0967873225415627</v>
      </c>
      <c r="BM106" s="107">
        <f t="shared" si="73"/>
        <v>1.1127076627324948</v>
      </c>
      <c r="BN106" s="107">
        <f t="shared" si="73"/>
        <v>2.8314493742615632</v>
      </c>
      <c r="BO106" s="107">
        <f t="shared" si="73"/>
        <v>1.036891829831438</v>
      </c>
    </row>
    <row r="107" spans="1:67" x14ac:dyDescent="0.25">
      <c r="A107" s="250" t="s">
        <v>209</v>
      </c>
      <c r="B107" s="227">
        <v>4</v>
      </c>
      <c r="C107" s="226">
        <f>'побудинковий звіт'!E99</f>
        <v>216</v>
      </c>
      <c r="D107" s="138">
        <f t="shared" si="46"/>
        <v>195.29395065175066</v>
      </c>
      <c r="E107" s="104">
        <f t="shared" si="40"/>
        <v>40.255352855268043</v>
      </c>
      <c r="F107" s="323">
        <v>30.99776346745119</v>
      </c>
      <c r="G107" s="104" t="e">
        <f t="shared" si="41"/>
        <v>#REF!</v>
      </c>
      <c r="H107" s="720">
        <f t="shared" si="47"/>
        <v>163.16315350017302</v>
      </c>
      <c r="I107" s="104" t="e">
        <f t="shared" si="48"/>
        <v>#REF!</v>
      </c>
      <c r="J107" s="28"/>
      <c r="K107" s="139" t="e">
        <f t="shared" si="49"/>
        <v>#REF!</v>
      </c>
      <c r="L107" s="200">
        <f t="shared" si="50"/>
        <v>35.183816295601488</v>
      </c>
      <c r="M107" s="104">
        <f t="shared" si="42"/>
        <v>7.7410702614134044</v>
      </c>
      <c r="N107" s="323">
        <v>0</v>
      </c>
      <c r="O107" s="104"/>
      <c r="P107" s="104">
        <f t="shared" si="51"/>
        <v>29.39518812437754</v>
      </c>
      <c r="Q107" s="104">
        <f t="shared" si="52"/>
        <v>9.3085218150219582</v>
      </c>
      <c r="R107" s="104"/>
      <c r="S107" s="140">
        <f t="shared" si="53"/>
        <v>81.628596496414403</v>
      </c>
      <c r="T107" s="880">
        <v>177.45000000000002</v>
      </c>
      <c r="U107" s="104"/>
      <c r="V107" s="148">
        <f t="shared" si="54"/>
        <v>177.45000000000002</v>
      </c>
      <c r="W107" s="236"/>
      <c r="X107" s="104"/>
      <c r="Y107" s="45">
        <f t="shared" si="55"/>
        <v>0</v>
      </c>
      <c r="Z107" s="138">
        <f t="shared" si="56"/>
        <v>0</v>
      </c>
      <c r="AA107" s="104">
        <f t="shared" si="43"/>
        <v>0</v>
      </c>
      <c r="AB107" s="323">
        <v>0</v>
      </c>
      <c r="AC107" s="104"/>
      <c r="AD107" s="104">
        <f t="shared" si="57"/>
        <v>0</v>
      </c>
      <c r="AE107" s="104">
        <f t="shared" si="58"/>
        <v>0</v>
      </c>
      <c r="AF107" s="104"/>
      <c r="AG107" s="139">
        <f t="shared" si="59"/>
        <v>0</v>
      </c>
      <c r="AH107" s="200">
        <f t="shared" si="60"/>
        <v>91.588655329010919</v>
      </c>
      <c r="AI107" s="104">
        <f t="shared" si="44"/>
        <v>18.268794624660146</v>
      </c>
      <c r="AJ107" s="323">
        <v>12.170315019312826</v>
      </c>
      <c r="AK107" s="118" t="e">
        <f t="shared" si="45"/>
        <v>#REF!</v>
      </c>
      <c r="AL107" s="104"/>
      <c r="AM107" s="104">
        <f t="shared" si="61"/>
        <v>76.520003709535729</v>
      </c>
      <c r="AN107" s="104" t="e">
        <f t="shared" si="62"/>
        <v>#REF!</v>
      </c>
      <c r="AO107" s="104"/>
      <c r="AP107" s="140" t="e">
        <f t="shared" si="63"/>
        <v>#REF!</v>
      </c>
      <c r="AQ107" s="33"/>
      <c r="AR107" s="28"/>
      <c r="AS107" s="121"/>
      <c r="AT107" s="135" t="e">
        <f t="shared" si="64"/>
        <v>#REF!</v>
      </c>
      <c r="AU107" s="148" t="e">
        <f t="shared" si="65"/>
        <v>#REF!</v>
      </c>
      <c r="AW107" s="1">
        <v>2</v>
      </c>
      <c r="BA107" s="29">
        <v>178.06</v>
      </c>
      <c r="BB107" s="29">
        <v>31.62</v>
      </c>
      <c r="BC107" s="29">
        <v>0</v>
      </c>
      <c r="BD107" s="29">
        <v>88.33</v>
      </c>
      <c r="BF107" s="279">
        <f t="shared" si="74"/>
        <v>212.94000000000003</v>
      </c>
      <c r="BI107" s="323">
        <v>0</v>
      </c>
      <c r="BL107" s="107">
        <f t="shared" si="73"/>
        <v>1.0967873225415627</v>
      </c>
      <c r="BM107" s="107">
        <f t="shared" si="73"/>
        <v>1.1127076627324948</v>
      </c>
      <c r="BN107" s="107">
        <f t="shared" si="73"/>
        <v>2.8314493742615632</v>
      </c>
      <c r="BO107" s="107">
        <f t="shared" si="73"/>
        <v>1.036891829831438</v>
      </c>
    </row>
    <row r="108" spans="1:67" x14ac:dyDescent="0.25">
      <c r="A108" s="250" t="s">
        <v>161</v>
      </c>
      <c r="B108" s="227">
        <v>2</v>
      </c>
      <c r="C108" s="226">
        <f>'побудинковий звіт'!E100</f>
        <v>216.8</v>
      </c>
      <c r="D108" s="138">
        <f t="shared" si="46"/>
        <v>65.138199085743409</v>
      </c>
      <c r="E108" s="104">
        <f t="shared" si="40"/>
        <v>13.426740458690155</v>
      </c>
      <c r="F108" s="323">
        <v>10.509152027117526</v>
      </c>
      <c r="G108" s="104" t="e">
        <f t="shared" si="41"/>
        <v>#REF!</v>
      </c>
      <c r="H108" s="720">
        <f t="shared" si="47"/>
        <v>54.421316895289657</v>
      </c>
      <c r="I108" s="104" t="e">
        <f t="shared" si="48"/>
        <v>#REF!</v>
      </c>
      <c r="J108" s="28"/>
      <c r="K108" s="139" t="e">
        <f t="shared" si="49"/>
        <v>#REF!</v>
      </c>
      <c r="L108" s="200">
        <f t="shared" si="50"/>
        <v>25.948342694921777</v>
      </c>
      <c r="M108" s="104">
        <f t="shared" si="42"/>
        <v>5.7091005217002078</v>
      </c>
      <c r="N108" s="323">
        <v>0</v>
      </c>
      <c r="O108" s="104"/>
      <c r="P108" s="104">
        <f t="shared" si="51"/>
        <v>21.679183651501713</v>
      </c>
      <c r="Q108" s="104">
        <f t="shared" si="52"/>
        <v>6.8651084353672358</v>
      </c>
      <c r="R108" s="104"/>
      <c r="S108" s="140">
        <f t="shared" si="53"/>
        <v>60.201735303490935</v>
      </c>
      <c r="T108" s="880">
        <v>56.758333333333333</v>
      </c>
      <c r="U108" s="104"/>
      <c r="V108" s="148">
        <f t="shared" si="54"/>
        <v>56.758333333333333</v>
      </c>
      <c r="W108" s="236"/>
      <c r="X108" s="104"/>
      <c r="Y108" s="45">
        <f t="shared" si="55"/>
        <v>0</v>
      </c>
      <c r="Z108" s="138">
        <f t="shared" si="56"/>
        <v>0</v>
      </c>
      <c r="AA108" s="104">
        <f t="shared" si="43"/>
        <v>0</v>
      </c>
      <c r="AB108" s="323">
        <v>0</v>
      </c>
      <c r="AC108" s="104"/>
      <c r="AD108" s="104">
        <f t="shared" si="57"/>
        <v>0</v>
      </c>
      <c r="AE108" s="104">
        <f t="shared" si="58"/>
        <v>0</v>
      </c>
      <c r="AF108" s="104"/>
      <c r="AG108" s="139">
        <f t="shared" si="59"/>
        <v>0</v>
      </c>
      <c r="AH108" s="200">
        <f t="shared" si="60"/>
        <v>37.960609890128943</v>
      </c>
      <c r="AI108" s="104">
        <f t="shared" si="44"/>
        <v>7.5718393661135277</v>
      </c>
      <c r="AJ108" s="323">
        <v>4.1260941580565866</v>
      </c>
      <c r="AK108" s="118" t="e">
        <f t="shared" si="45"/>
        <v>#REF!</v>
      </c>
      <c r="AL108" s="408"/>
      <c r="AM108" s="104">
        <f t="shared" si="61"/>
        <v>31.715128900782329</v>
      </c>
      <c r="AN108" s="104" t="e">
        <f t="shared" si="62"/>
        <v>#REF!</v>
      </c>
      <c r="AO108" s="104"/>
      <c r="AP108" s="140" t="e">
        <f t="shared" si="63"/>
        <v>#REF!</v>
      </c>
      <c r="AQ108" s="33"/>
      <c r="AR108" s="28"/>
      <c r="AS108" s="121"/>
      <c r="AT108" s="135" t="e">
        <f t="shared" si="64"/>
        <v>#REF!</v>
      </c>
      <c r="AU108" s="148" t="e">
        <f t="shared" si="65"/>
        <v>#REF!</v>
      </c>
      <c r="AW108" s="1">
        <v>2</v>
      </c>
      <c r="BA108" s="29">
        <v>59.39</v>
      </c>
      <c r="BB108" s="29">
        <v>23.32</v>
      </c>
      <c r="BC108" s="29">
        <v>0</v>
      </c>
      <c r="BD108" s="29">
        <v>36.61</v>
      </c>
      <c r="BF108" s="279">
        <f t="shared" si="74"/>
        <v>68.11</v>
      </c>
      <c r="BI108" s="323">
        <v>0</v>
      </c>
      <c r="BL108" s="107">
        <f t="shared" si="73"/>
        <v>1.0967873225415627</v>
      </c>
      <c r="BM108" s="107">
        <f t="shared" si="73"/>
        <v>1.1127076627324948</v>
      </c>
      <c r="BN108" s="107">
        <f t="shared" si="73"/>
        <v>2.8314493742615632</v>
      </c>
      <c r="BO108" s="107">
        <f t="shared" si="73"/>
        <v>1.036891829831438</v>
      </c>
    </row>
    <row r="109" spans="1:67" x14ac:dyDescent="0.25">
      <c r="A109" s="250" t="s">
        <v>210</v>
      </c>
      <c r="B109" s="227">
        <v>4</v>
      </c>
      <c r="C109" s="226">
        <f>'побудинковий звіт'!E101</f>
        <v>214.7</v>
      </c>
      <c r="D109" s="138">
        <f t="shared" si="46"/>
        <v>187.78095749234097</v>
      </c>
      <c r="E109" s="104">
        <f t="shared" si="40"/>
        <v>38.706722241662597</v>
      </c>
      <c r="F109" s="323">
        <v>31.229108928892607</v>
      </c>
      <c r="G109" s="104" t="e">
        <f t="shared" si="41"/>
        <v>#REF!</v>
      </c>
      <c r="H109" s="720">
        <f t="shared" si="47"/>
        <v>156.88623784547133</v>
      </c>
      <c r="I109" s="104" t="e">
        <f t="shared" si="48"/>
        <v>#REF!</v>
      </c>
      <c r="J109" s="28"/>
      <c r="K109" s="139" t="e">
        <f t="shared" si="49"/>
        <v>#REF!</v>
      </c>
      <c r="L109" s="200">
        <f t="shared" si="50"/>
        <v>35.005783069564288</v>
      </c>
      <c r="M109" s="104">
        <f t="shared" si="42"/>
        <v>7.7018997604068842</v>
      </c>
      <c r="N109" s="323">
        <v>0</v>
      </c>
      <c r="O109" s="104"/>
      <c r="P109" s="104">
        <f t="shared" si="51"/>
        <v>29.24644586947873</v>
      </c>
      <c r="Q109" s="104">
        <f t="shared" si="52"/>
        <v>9.2614198703539135</v>
      </c>
      <c r="R109" s="104"/>
      <c r="S109" s="140">
        <f t="shared" si="53"/>
        <v>81.215548569803815</v>
      </c>
      <c r="T109" s="880">
        <v>180.31666666666666</v>
      </c>
      <c r="U109" s="104"/>
      <c r="V109" s="148">
        <f t="shared" si="54"/>
        <v>180.31666666666666</v>
      </c>
      <c r="W109" s="236"/>
      <c r="X109" s="104"/>
      <c r="Y109" s="45">
        <f t="shared" si="55"/>
        <v>0</v>
      </c>
      <c r="Z109" s="138">
        <f t="shared" si="56"/>
        <v>0</v>
      </c>
      <c r="AA109" s="104">
        <f t="shared" si="43"/>
        <v>0</v>
      </c>
      <c r="AB109" s="323">
        <v>0</v>
      </c>
      <c r="AC109" s="104"/>
      <c r="AD109" s="104">
        <f t="shared" si="57"/>
        <v>0</v>
      </c>
      <c r="AE109" s="104">
        <f t="shared" si="58"/>
        <v>0</v>
      </c>
      <c r="AF109" s="104"/>
      <c r="AG109" s="139">
        <f t="shared" si="59"/>
        <v>0</v>
      </c>
      <c r="AH109" s="200">
        <f t="shared" si="60"/>
        <v>92.407799874577762</v>
      </c>
      <c r="AI109" s="104">
        <f t="shared" si="44"/>
        <v>18.432185859274451</v>
      </c>
      <c r="AJ109" s="323">
        <v>12.261145673820749</v>
      </c>
      <c r="AK109" s="118" t="e">
        <f t="shared" si="45"/>
        <v>#REF!</v>
      </c>
      <c r="AL109" s="104"/>
      <c r="AM109" s="104">
        <f t="shared" si="61"/>
        <v>77.204378247411128</v>
      </c>
      <c r="AN109" s="104" t="e">
        <f t="shared" si="62"/>
        <v>#REF!</v>
      </c>
      <c r="AO109" s="104"/>
      <c r="AP109" s="140" t="e">
        <f t="shared" si="63"/>
        <v>#REF!</v>
      </c>
      <c r="AQ109" s="33"/>
      <c r="AR109" s="28"/>
      <c r="AS109" s="121"/>
      <c r="AT109" s="135" t="e">
        <f t="shared" si="64"/>
        <v>#REF!</v>
      </c>
      <c r="AU109" s="148" t="e">
        <f t="shared" si="65"/>
        <v>#REF!</v>
      </c>
      <c r="AW109" s="1">
        <v>2</v>
      </c>
      <c r="BA109" s="29">
        <v>171.21</v>
      </c>
      <c r="BB109" s="29">
        <v>31.46</v>
      </c>
      <c r="BC109" s="29">
        <v>0</v>
      </c>
      <c r="BD109" s="29">
        <v>89.12</v>
      </c>
      <c r="BF109" s="279">
        <f t="shared" si="74"/>
        <v>216.38</v>
      </c>
      <c r="BI109" s="323">
        <v>0</v>
      </c>
      <c r="BL109" s="107">
        <f t="shared" si="73"/>
        <v>1.0967873225415627</v>
      </c>
      <c r="BM109" s="107">
        <f t="shared" si="73"/>
        <v>1.1127076627324948</v>
      </c>
      <c r="BN109" s="107">
        <f t="shared" si="73"/>
        <v>2.8314493742615632</v>
      </c>
      <c r="BO109" s="107">
        <f t="shared" si="73"/>
        <v>1.036891829831438</v>
      </c>
    </row>
    <row r="110" spans="1:67" x14ac:dyDescent="0.25">
      <c r="A110" s="250" t="s">
        <v>162</v>
      </c>
      <c r="B110" s="227">
        <v>2</v>
      </c>
      <c r="C110" s="226">
        <f>'побудинковий звіт'!E102</f>
        <v>397.8</v>
      </c>
      <c r="D110" s="138">
        <f t="shared" si="46"/>
        <v>56.945197786357937</v>
      </c>
      <c r="E110" s="104">
        <f t="shared" si="40"/>
        <v>11.737941818743776</v>
      </c>
      <c r="F110" s="323">
        <v>13.195961976389803</v>
      </c>
      <c r="G110" s="104" t="e">
        <f t="shared" si="41"/>
        <v>#REF!</v>
      </c>
      <c r="H110" s="720">
        <f t="shared" si="47"/>
        <v>47.576271648483562</v>
      </c>
      <c r="I110" s="104" t="e">
        <f t="shared" si="48"/>
        <v>#REF!</v>
      </c>
      <c r="J110" s="28"/>
      <c r="K110" s="139" t="e">
        <f t="shared" si="49"/>
        <v>#REF!</v>
      </c>
      <c r="L110" s="200">
        <f t="shared" si="50"/>
        <v>20.61847299043313</v>
      </c>
      <c r="M110" s="104">
        <f t="shared" si="42"/>
        <v>4.5364336478175327</v>
      </c>
      <c r="N110" s="323">
        <v>0</v>
      </c>
      <c r="O110" s="104"/>
      <c r="P110" s="104">
        <f t="shared" si="51"/>
        <v>17.226212395468558</v>
      </c>
      <c r="Q110" s="104">
        <f t="shared" si="52"/>
        <v>5.454993966867705</v>
      </c>
      <c r="R110" s="104"/>
      <c r="S110" s="140">
        <f t="shared" si="53"/>
        <v>47.83611300058692</v>
      </c>
      <c r="T110" s="880">
        <v>70.433333333333337</v>
      </c>
      <c r="U110" s="104"/>
      <c r="V110" s="148">
        <f t="shared" si="54"/>
        <v>70.433333333333337</v>
      </c>
      <c r="W110" s="236"/>
      <c r="X110" s="104"/>
      <c r="Y110" s="45">
        <f t="shared" si="55"/>
        <v>0</v>
      </c>
      <c r="Z110" s="138">
        <f t="shared" si="56"/>
        <v>0</v>
      </c>
      <c r="AA110" s="104">
        <f t="shared" si="43"/>
        <v>0</v>
      </c>
      <c r="AB110" s="323">
        <v>0</v>
      </c>
      <c r="AC110" s="104"/>
      <c r="AD110" s="104">
        <f t="shared" si="57"/>
        <v>0</v>
      </c>
      <c r="AE110" s="104">
        <f t="shared" si="58"/>
        <v>0</v>
      </c>
      <c r="AF110" s="104"/>
      <c r="AG110" s="139">
        <f t="shared" si="59"/>
        <v>0</v>
      </c>
      <c r="AH110" s="200">
        <f t="shared" si="60"/>
        <v>29.255902978694024</v>
      </c>
      <c r="AI110" s="104">
        <f t="shared" si="44"/>
        <v>5.8355489679020272</v>
      </c>
      <c r="AJ110" s="323">
        <v>5.1809871510301946</v>
      </c>
      <c r="AK110" s="118" t="e">
        <f t="shared" si="45"/>
        <v>#REF!</v>
      </c>
      <c r="AL110" s="408"/>
      <c r="AM110" s="104">
        <f t="shared" si="61"/>
        <v>24.442566564752074</v>
      </c>
      <c r="AN110" s="104" t="e">
        <f t="shared" si="62"/>
        <v>#REF!</v>
      </c>
      <c r="AO110" s="104"/>
      <c r="AP110" s="140" t="e">
        <f t="shared" si="63"/>
        <v>#REF!</v>
      </c>
      <c r="AQ110" s="33"/>
      <c r="AR110" s="28"/>
      <c r="AS110" s="121"/>
      <c r="AT110" s="135" t="e">
        <f t="shared" si="64"/>
        <v>#REF!</v>
      </c>
      <c r="AU110" s="148" t="e">
        <f t="shared" si="65"/>
        <v>#REF!</v>
      </c>
      <c r="AW110" s="1">
        <v>2</v>
      </c>
      <c r="BA110" s="29">
        <v>51.92</v>
      </c>
      <c r="BB110" s="29">
        <v>18.53</v>
      </c>
      <c r="BC110" s="29">
        <v>0</v>
      </c>
      <c r="BD110" s="29">
        <v>28.215</v>
      </c>
      <c r="BF110" s="279">
        <f t="shared" si="74"/>
        <v>84.52</v>
      </c>
      <c r="BI110" s="323">
        <v>0</v>
      </c>
      <c r="BL110" s="107">
        <f t="shared" si="73"/>
        <v>1.0967873225415627</v>
      </c>
      <c r="BM110" s="107">
        <f t="shared" si="73"/>
        <v>1.1127076627324948</v>
      </c>
      <c r="BN110" s="107">
        <f t="shared" si="73"/>
        <v>2.8314493742615632</v>
      </c>
      <c r="BO110" s="107">
        <f t="shared" si="73"/>
        <v>1.036891829831438</v>
      </c>
    </row>
    <row r="111" spans="1:67" x14ac:dyDescent="0.25">
      <c r="A111" s="250" t="s">
        <v>256</v>
      </c>
      <c r="B111" s="227">
        <v>5</v>
      </c>
      <c r="C111" s="226">
        <f>'побудинковий звіт'!E103</f>
        <v>245.6</v>
      </c>
      <c r="D111" s="138">
        <f t="shared" si="46"/>
        <v>334.03754695325836</v>
      </c>
      <c r="E111" s="104">
        <f t="shared" si="40"/>
        <v>68.854151778054785</v>
      </c>
      <c r="F111" s="323">
        <v>55.563153899979753</v>
      </c>
      <c r="G111" s="104" t="e">
        <f t="shared" si="41"/>
        <v>#REF!</v>
      </c>
      <c r="H111" s="720">
        <f t="shared" si="47"/>
        <v>279.07991705050375</v>
      </c>
      <c r="I111" s="104" t="e">
        <f t="shared" si="48"/>
        <v>#REF!</v>
      </c>
      <c r="J111" s="28"/>
      <c r="K111" s="139" t="e">
        <f t="shared" si="49"/>
        <v>#REF!</v>
      </c>
      <c r="L111" s="200">
        <f t="shared" si="50"/>
        <v>64.948746273695718</v>
      </c>
      <c r="M111" s="104">
        <f t="shared" si="42"/>
        <v>14.289888398440871</v>
      </c>
      <c r="N111" s="323">
        <v>0</v>
      </c>
      <c r="O111" s="104"/>
      <c r="P111" s="104">
        <f t="shared" si="51"/>
        <v>54.263033865272511</v>
      </c>
      <c r="Q111" s="104">
        <f t="shared" si="52"/>
        <v>17.183378189210359</v>
      </c>
      <c r="R111" s="104"/>
      <c r="S111" s="140">
        <f t="shared" si="53"/>
        <v>150.68504672661948</v>
      </c>
      <c r="T111" s="880">
        <v>306.92500000000001</v>
      </c>
      <c r="U111" s="104"/>
      <c r="V111" s="148">
        <f t="shared" si="54"/>
        <v>306.92500000000001</v>
      </c>
      <c r="W111" s="236"/>
      <c r="X111" s="104"/>
      <c r="Y111" s="45">
        <f t="shared" si="55"/>
        <v>0</v>
      </c>
      <c r="Z111" s="138">
        <f t="shared" si="56"/>
        <v>0</v>
      </c>
      <c r="AA111" s="104">
        <f t="shared" si="43"/>
        <v>0</v>
      </c>
      <c r="AB111" s="323">
        <v>0</v>
      </c>
      <c r="AC111" s="104"/>
      <c r="AD111" s="104">
        <f t="shared" si="57"/>
        <v>0</v>
      </c>
      <c r="AE111" s="104">
        <f t="shared" si="58"/>
        <v>0</v>
      </c>
      <c r="AF111" s="104"/>
      <c r="AG111" s="139">
        <f t="shared" si="59"/>
        <v>0</v>
      </c>
      <c r="AH111" s="200">
        <f t="shared" si="60"/>
        <v>163.58005507420765</v>
      </c>
      <c r="AI111" s="104">
        <f t="shared" si="44"/>
        <v>32.628609079433765</v>
      </c>
      <c r="AJ111" s="323">
        <v>21.815157314151744</v>
      </c>
      <c r="AK111" s="118" t="e">
        <f t="shared" si="45"/>
        <v>#REF!</v>
      </c>
      <c r="AL111" s="104"/>
      <c r="AM111" s="104">
        <f t="shared" si="61"/>
        <v>136.66699632306529</v>
      </c>
      <c r="AN111" s="104" t="e">
        <f t="shared" si="62"/>
        <v>#REF!</v>
      </c>
      <c r="AO111" s="104"/>
      <c r="AP111" s="140" t="e">
        <f t="shared" si="63"/>
        <v>#REF!</v>
      </c>
      <c r="AQ111" s="33"/>
      <c r="AR111" s="28"/>
      <c r="AS111" s="121"/>
      <c r="AT111" s="135" t="e">
        <f t="shared" si="64"/>
        <v>#REF!</v>
      </c>
      <c r="AU111" s="148" t="e">
        <f t="shared" si="65"/>
        <v>#REF!</v>
      </c>
      <c r="AW111" s="1">
        <v>2</v>
      </c>
      <c r="BA111" s="29">
        <v>304.56</v>
      </c>
      <c r="BB111" s="29">
        <v>58.37</v>
      </c>
      <c r="BC111" s="29">
        <v>0</v>
      </c>
      <c r="BD111" s="29">
        <v>157.76</v>
      </c>
      <c r="BF111" s="279">
        <f t="shared" si="74"/>
        <v>368.31</v>
      </c>
      <c r="BI111" s="323">
        <v>0</v>
      </c>
      <c r="BL111" s="107">
        <f t="shared" si="73"/>
        <v>1.0967873225415627</v>
      </c>
      <c r="BM111" s="107">
        <f t="shared" si="73"/>
        <v>1.1127076627324948</v>
      </c>
      <c r="BN111" s="107">
        <f t="shared" si="73"/>
        <v>2.8314493742615632</v>
      </c>
      <c r="BO111" s="107">
        <f t="shared" si="73"/>
        <v>1.036891829831438</v>
      </c>
    </row>
    <row r="112" spans="1:67" x14ac:dyDescent="0.25">
      <c r="A112" s="250" t="s">
        <v>257</v>
      </c>
      <c r="B112" s="227">
        <v>5</v>
      </c>
      <c r="C112" s="226">
        <f>'побудинковий звіт'!E104</f>
        <v>325.60000000000002</v>
      </c>
      <c r="D112" s="138">
        <f t="shared" si="46"/>
        <v>225.57624862712319</v>
      </c>
      <c r="E112" s="104">
        <f t="shared" si="40"/>
        <v>46.497351576676273</v>
      </c>
      <c r="F112" s="323">
        <v>39.880754955948618</v>
      </c>
      <c r="G112" s="104" t="e">
        <f t="shared" si="41"/>
        <v>#REF!</v>
      </c>
      <c r="H112" s="720">
        <f t="shared" si="47"/>
        <v>188.46324710985388</v>
      </c>
      <c r="I112" s="104" t="e">
        <f t="shared" si="48"/>
        <v>#REF!</v>
      </c>
      <c r="J112" s="28"/>
      <c r="K112" s="139" t="e">
        <f t="shared" si="49"/>
        <v>#REF!</v>
      </c>
      <c r="L112" s="200">
        <f t="shared" si="50"/>
        <v>43.862936064914948</v>
      </c>
      <c r="M112" s="104">
        <f t="shared" si="42"/>
        <v>9.6506321854812267</v>
      </c>
      <c r="N112" s="323">
        <v>0</v>
      </c>
      <c r="O112" s="104"/>
      <c r="P112" s="104">
        <f t="shared" si="51"/>
        <v>36.646373050694585</v>
      </c>
      <c r="Q112" s="104">
        <f t="shared" si="52"/>
        <v>11.604741617589042</v>
      </c>
      <c r="R112" s="104"/>
      <c r="S112" s="140">
        <f t="shared" si="53"/>
        <v>101.7646829186798</v>
      </c>
      <c r="T112" s="880">
        <v>205.46666666666667</v>
      </c>
      <c r="U112" s="104"/>
      <c r="V112" s="148">
        <f t="shared" si="54"/>
        <v>205.46666666666667</v>
      </c>
      <c r="W112" s="236"/>
      <c r="X112" s="104"/>
      <c r="Y112" s="45">
        <f t="shared" si="55"/>
        <v>0</v>
      </c>
      <c r="Z112" s="138">
        <f t="shared" si="56"/>
        <v>0</v>
      </c>
      <c r="AA112" s="104">
        <f t="shared" si="43"/>
        <v>0</v>
      </c>
      <c r="AB112" s="323">
        <v>0</v>
      </c>
      <c r="AC112" s="104"/>
      <c r="AD112" s="104">
        <f t="shared" si="57"/>
        <v>0</v>
      </c>
      <c r="AE112" s="104">
        <f t="shared" si="58"/>
        <v>0</v>
      </c>
      <c r="AF112" s="104"/>
      <c r="AG112" s="139">
        <f t="shared" si="59"/>
        <v>0</v>
      </c>
      <c r="AH112" s="200">
        <f t="shared" si="60"/>
        <v>103.14999923163145</v>
      </c>
      <c r="AI112" s="104">
        <f t="shared" si="44"/>
        <v>20.574886100545584</v>
      </c>
      <c r="AJ112" s="323">
        <v>15.657947436484037</v>
      </c>
      <c r="AK112" s="118" t="e">
        <f t="shared" si="45"/>
        <v>#REF!</v>
      </c>
      <c r="AL112" s="104"/>
      <c r="AM112" s="104">
        <f t="shared" si="61"/>
        <v>86.179213959295993</v>
      </c>
      <c r="AN112" s="104" t="e">
        <f t="shared" si="62"/>
        <v>#REF!</v>
      </c>
      <c r="AO112" s="104"/>
      <c r="AP112" s="140" t="e">
        <f t="shared" si="63"/>
        <v>#REF!</v>
      </c>
      <c r="AQ112" s="33"/>
      <c r="AR112" s="28"/>
      <c r="AS112" s="121"/>
      <c r="AT112" s="135" t="e">
        <f t="shared" si="64"/>
        <v>#REF!</v>
      </c>
      <c r="AU112" s="148" t="e">
        <f t="shared" si="65"/>
        <v>#REF!</v>
      </c>
      <c r="AW112" s="1">
        <v>2</v>
      </c>
      <c r="BA112" s="29">
        <v>205.67</v>
      </c>
      <c r="BB112" s="29">
        <v>39.42</v>
      </c>
      <c r="BC112" s="29">
        <v>0</v>
      </c>
      <c r="BD112" s="29">
        <v>99.48</v>
      </c>
      <c r="BF112" s="279">
        <f t="shared" si="74"/>
        <v>246.56</v>
      </c>
      <c r="BI112" s="323">
        <v>0</v>
      </c>
      <c r="BL112" s="107">
        <f t="shared" si="73"/>
        <v>1.0967873225415627</v>
      </c>
      <c r="BM112" s="107">
        <f t="shared" si="73"/>
        <v>1.1127076627324948</v>
      </c>
      <c r="BN112" s="107">
        <f t="shared" si="73"/>
        <v>2.8314493742615632</v>
      </c>
      <c r="BO112" s="107">
        <f t="shared" si="73"/>
        <v>1.036891829831438</v>
      </c>
    </row>
    <row r="113" spans="1:67" x14ac:dyDescent="0.25">
      <c r="A113" s="250" t="s">
        <v>416</v>
      </c>
      <c r="B113" s="227">
        <v>10</v>
      </c>
      <c r="C113" s="226">
        <f>'побудинковий звіт'!E105</f>
        <v>151.6</v>
      </c>
      <c r="D113" s="138">
        <f t="shared" si="46"/>
        <v>299.75197525060912</v>
      </c>
      <c r="E113" s="104">
        <f t="shared" si="40"/>
        <v>61.786970320929782</v>
      </c>
      <c r="F113" s="323">
        <v>57.819509589029053</v>
      </c>
      <c r="G113" s="104" t="e">
        <f t="shared" si="41"/>
        <v>#REF!</v>
      </c>
      <c r="H113" s="720">
        <f t="shared" si="47"/>
        <v>250.43518955182125</v>
      </c>
      <c r="I113" s="104" t="e">
        <f t="shared" si="48"/>
        <v>#REF!</v>
      </c>
      <c r="J113" s="28"/>
      <c r="K113" s="139" t="e">
        <f t="shared" si="49"/>
        <v>#REF!</v>
      </c>
      <c r="L113" s="200">
        <f t="shared" si="50"/>
        <v>47.979954417025169</v>
      </c>
      <c r="M113" s="104">
        <f t="shared" si="42"/>
        <v>10.556450021256987</v>
      </c>
      <c r="N113" s="323">
        <v>0</v>
      </c>
      <c r="O113" s="104"/>
      <c r="P113" s="104">
        <f t="shared" si="51"/>
        <v>40.086037695229578</v>
      </c>
      <c r="Q113" s="104">
        <f t="shared" si="52"/>
        <v>12.693974088037528</v>
      </c>
      <c r="R113" s="104"/>
      <c r="S113" s="140">
        <f t="shared" si="53"/>
        <v>111.31641622154925</v>
      </c>
      <c r="T113" s="880">
        <v>340.11666666666667</v>
      </c>
      <c r="U113" s="104"/>
      <c r="V113" s="148">
        <f t="shared" si="54"/>
        <v>340.11666666666667</v>
      </c>
      <c r="W113" s="882">
        <v>70</v>
      </c>
      <c r="X113" s="104"/>
      <c r="Y113" s="45">
        <f t="shared" si="55"/>
        <v>70</v>
      </c>
      <c r="Z113" s="138">
        <f t="shared" si="56"/>
        <v>39.895121683345423</v>
      </c>
      <c r="AA113" s="104">
        <f t="shared" si="43"/>
        <v>8.7692635406263904</v>
      </c>
      <c r="AB113" s="323">
        <v>0</v>
      </c>
      <c r="AC113" s="104"/>
      <c r="AD113" s="104">
        <f t="shared" si="57"/>
        <v>33.331364547667924</v>
      </c>
      <c r="AE113" s="104">
        <f t="shared" si="58"/>
        <v>10.55390538313109</v>
      </c>
      <c r="AF113" s="104"/>
      <c r="AG113" s="139">
        <f t="shared" si="59"/>
        <v>92.549655154770832</v>
      </c>
      <c r="AH113" s="200">
        <f t="shared" si="60"/>
        <v>103.51291137207245</v>
      </c>
      <c r="AI113" s="104">
        <f t="shared" si="44"/>
        <v>20.647274622210148</v>
      </c>
      <c r="AJ113" s="323">
        <v>22.701045728655693</v>
      </c>
      <c r="AK113" s="118" t="e">
        <f t="shared" si="45"/>
        <v>#REF!</v>
      </c>
      <c r="AL113" s="104"/>
      <c r="AM113" s="104">
        <f t="shared" si="61"/>
        <v>86.482417868481278</v>
      </c>
      <c r="AN113" s="104" t="e">
        <f t="shared" si="62"/>
        <v>#REF!</v>
      </c>
      <c r="AO113" s="104"/>
      <c r="AP113" s="140" t="e">
        <f t="shared" si="63"/>
        <v>#REF!</v>
      </c>
      <c r="AQ113" s="33"/>
      <c r="AR113" s="28"/>
      <c r="AS113" s="121"/>
      <c r="AT113" s="135" t="e">
        <f t="shared" si="64"/>
        <v>#REF!</v>
      </c>
      <c r="AU113" s="148" t="e">
        <f t="shared" si="65"/>
        <v>#REF!</v>
      </c>
      <c r="AW113" s="1">
        <v>2</v>
      </c>
      <c r="BA113" s="29">
        <v>273.3</v>
      </c>
      <c r="BB113" s="29">
        <v>43.12</v>
      </c>
      <c r="BC113" s="29">
        <v>14.09</v>
      </c>
      <c r="BD113" s="29">
        <v>99.83</v>
      </c>
      <c r="BF113" s="279">
        <f t="shared" si="74"/>
        <v>408.14</v>
      </c>
      <c r="BI113" s="323">
        <v>0</v>
      </c>
      <c r="BL113" s="107">
        <f t="shared" si="73"/>
        <v>1.0967873225415627</v>
      </c>
      <c r="BM113" s="107">
        <f t="shared" si="73"/>
        <v>1.1127076627324948</v>
      </c>
      <c r="BN113" s="107">
        <f t="shared" si="73"/>
        <v>2.8314493742615632</v>
      </c>
      <c r="BO113" s="107">
        <f t="shared" si="73"/>
        <v>1.036891829831438</v>
      </c>
    </row>
    <row r="114" spans="1:67" x14ac:dyDescent="0.25">
      <c r="A114" s="250" t="s">
        <v>359</v>
      </c>
      <c r="B114" s="227">
        <v>9</v>
      </c>
      <c r="C114" s="226">
        <f>'побудинковий звіт'!E106</f>
        <v>5046.8999999999996</v>
      </c>
      <c r="D114" s="138">
        <f t="shared" si="46"/>
        <v>577.01981038911617</v>
      </c>
      <c r="E114" s="104">
        <f t="shared" si="40"/>
        <v>118.93935267413522</v>
      </c>
      <c r="F114" s="323">
        <v>89.63477796576322</v>
      </c>
      <c r="G114" s="104" t="e">
        <f t="shared" si="41"/>
        <v>#REF!</v>
      </c>
      <c r="H114" s="720">
        <f t="shared" si="47"/>
        <v>482.08544904212641</v>
      </c>
      <c r="I114" s="104" t="e">
        <f t="shared" si="48"/>
        <v>#REF!</v>
      </c>
      <c r="J114" s="28"/>
      <c r="K114" s="139" t="e">
        <f t="shared" si="49"/>
        <v>#REF!</v>
      </c>
      <c r="L114" s="200">
        <f t="shared" si="50"/>
        <v>90.218337294350675</v>
      </c>
      <c r="M114" s="104">
        <f t="shared" si="42"/>
        <v>19.849651385053722</v>
      </c>
      <c r="N114" s="323">
        <v>0</v>
      </c>
      <c r="O114" s="104"/>
      <c r="P114" s="104">
        <f t="shared" si="51"/>
        <v>75.375137669972517</v>
      </c>
      <c r="Q114" s="104">
        <f t="shared" si="52"/>
        <v>23.868910460530682</v>
      </c>
      <c r="R114" s="104"/>
      <c r="S114" s="140">
        <f t="shared" si="53"/>
        <v>209.3120368099076</v>
      </c>
      <c r="T114" s="880">
        <v>517.94166666666672</v>
      </c>
      <c r="U114" s="104"/>
      <c r="V114" s="148">
        <f t="shared" si="54"/>
        <v>517.94166666666672</v>
      </c>
      <c r="W114" s="882">
        <v>115.69166666666668</v>
      </c>
      <c r="X114" s="104"/>
      <c r="Y114" s="45">
        <f t="shared" si="55"/>
        <v>115.69166666666668</v>
      </c>
      <c r="Z114" s="138">
        <f t="shared" si="56"/>
        <v>74.665319999277429</v>
      </c>
      <c r="AA114" s="104">
        <f t="shared" si="43"/>
        <v>16.412028358148898</v>
      </c>
      <c r="AB114" s="323">
        <v>0</v>
      </c>
      <c r="AC114" s="104"/>
      <c r="AD114" s="104">
        <f t="shared" si="57"/>
        <v>62.380985317388451</v>
      </c>
      <c r="AE114" s="104">
        <f t="shared" si="58"/>
        <v>19.752057129394387</v>
      </c>
      <c r="AF114" s="104"/>
      <c r="AG114" s="139">
        <f t="shared" si="59"/>
        <v>173.21039080420917</v>
      </c>
      <c r="AH114" s="200">
        <f t="shared" si="60"/>
        <v>191.75240609072785</v>
      </c>
      <c r="AI114" s="104">
        <f t="shared" si="44"/>
        <v>38.248026604080167</v>
      </c>
      <c r="AJ114" s="323">
        <v>35.192328816721464</v>
      </c>
      <c r="AK114" s="118" t="e">
        <f t="shared" si="45"/>
        <v>#REF!</v>
      </c>
      <c r="AL114" s="104">
        <v>2200</v>
      </c>
      <c r="AM114" s="104">
        <f t="shared" si="61"/>
        <v>160.20428264467841</v>
      </c>
      <c r="AN114" s="104" t="e">
        <f t="shared" si="62"/>
        <v>#REF!</v>
      </c>
      <c r="AO114" s="104"/>
      <c r="AP114" s="140" t="e">
        <f t="shared" si="63"/>
        <v>#REF!</v>
      </c>
      <c r="AQ114" s="33"/>
      <c r="AR114" s="28"/>
      <c r="AS114" s="121"/>
      <c r="AT114" s="135" t="e">
        <f t="shared" si="64"/>
        <v>#REF!</v>
      </c>
      <c r="AU114" s="148" t="e">
        <f t="shared" si="65"/>
        <v>#REF!</v>
      </c>
      <c r="AW114" s="1">
        <v>2</v>
      </c>
      <c r="BA114" s="29">
        <v>526.1</v>
      </c>
      <c r="BB114" s="29">
        <v>81.08</v>
      </c>
      <c r="BC114" s="29">
        <v>26.37</v>
      </c>
      <c r="BD114" s="29">
        <v>184.93</v>
      </c>
      <c r="BF114" s="279">
        <f t="shared" si="74"/>
        <v>621.53000000000009</v>
      </c>
      <c r="BI114" s="323">
        <v>0</v>
      </c>
      <c r="BL114" s="107">
        <f t="shared" si="73"/>
        <v>1.0967873225415627</v>
      </c>
      <c r="BM114" s="107">
        <f t="shared" si="73"/>
        <v>1.1127076627324948</v>
      </c>
      <c r="BN114" s="107">
        <f t="shared" si="73"/>
        <v>2.8314493742615632</v>
      </c>
      <c r="BO114" s="107">
        <f t="shared" si="73"/>
        <v>1.036891829831438</v>
      </c>
    </row>
    <row r="115" spans="1:67" x14ac:dyDescent="0.25">
      <c r="A115" s="424" t="s">
        <v>80</v>
      </c>
      <c r="B115" s="228">
        <v>1</v>
      </c>
      <c r="C115" s="226">
        <f>'побудинковий звіт'!E107</f>
        <v>2605.5</v>
      </c>
      <c r="D115" s="138">
        <f t="shared" si="46"/>
        <v>0</v>
      </c>
      <c r="E115" s="104">
        <f t="shared" si="40"/>
        <v>0</v>
      </c>
      <c r="F115" s="323">
        <v>0</v>
      </c>
      <c r="G115" s="104" t="e">
        <f t="shared" si="41"/>
        <v>#REF!</v>
      </c>
      <c r="H115" s="720">
        <f t="shared" si="47"/>
        <v>0</v>
      </c>
      <c r="I115" s="104" t="e">
        <f t="shared" si="48"/>
        <v>#REF!</v>
      </c>
      <c r="J115" s="28"/>
      <c r="K115" s="139" t="e">
        <f t="shared" si="49"/>
        <v>#REF!</v>
      </c>
      <c r="L115" s="200">
        <f t="shared" si="50"/>
        <v>0</v>
      </c>
      <c r="M115" s="104">
        <f t="shared" si="42"/>
        <v>0</v>
      </c>
      <c r="N115" s="323">
        <v>0</v>
      </c>
      <c r="O115" s="104"/>
      <c r="P115" s="104">
        <f t="shared" si="51"/>
        <v>0</v>
      </c>
      <c r="Q115" s="104">
        <f t="shared" si="52"/>
        <v>0</v>
      </c>
      <c r="R115" s="104"/>
      <c r="S115" s="140">
        <f t="shared" si="53"/>
        <v>0</v>
      </c>
      <c r="T115" s="235"/>
      <c r="U115" s="104"/>
      <c r="V115" s="148">
        <f t="shared" si="54"/>
        <v>0</v>
      </c>
      <c r="W115" s="236"/>
      <c r="X115" s="104"/>
      <c r="Y115" s="45">
        <f t="shared" si="55"/>
        <v>0</v>
      </c>
      <c r="Z115" s="138">
        <f t="shared" si="56"/>
        <v>0</v>
      </c>
      <c r="AA115" s="104">
        <f t="shared" si="43"/>
        <v>0</v>
      </c>
      <c r="AB115" s="323">
        <v>0</v>
      </c>
      <c r="AC115" s="104"/>
      <c r="AD115" s="104">
        <f t="shared" si="57"/>
        <v>0</v>
      </c>
      <c r="AE115" s="104">
        <f t="shared" si="58"/>
        <v>0</v>
      </c>
      <c r="AF115" s="104"/>
      <c r="AG115" s="139">
        <f t="shared" si="59"/>
        <v>0</v>
      </c>
      <c r="AH115" s="200">
        <f t="shared" si="60"/>
        <v>0</v>
      </c>
      <c r="AI115" s="104">
        <f t="shared" si="44"/>
        <v>0</v>
      </c>
      <c r="AJ115" s="323">
        <v>0</v>
      </c>
      <c r="AK115" s="118" t="e">
        <f t="shared" si="45"/>
        <v>#REF!</v>
      </c>
      <c r="AL115" s="104"/>
      <c r="AM115" s="104">
        <f t="shared" si="61"/>
        <v>0</v>
      </c>
      <c r="AN115" s="104" t="e">
        <f t="shared" si="62"/>
        <v>#REF!</v>
      </c>
      <c r="AO115" s="104"/>
      <c r="AP115" s="140" t="e">
        <f t="shared" si="63"/>
        <v>#REF!</v>
      </c>
      <c r="AQ115" s="33"/>
      <c r="AR115" s="28"/>
      <c r="AS115" s="121"/>
      <c r="AT115" s="135">
        <f t="shared" si="64"/>
        <v>0</v>
      </c>
      <c r="AU115" s="148" t="e">
        <f t="shared" si="65"/>
        <v>#REF!</v>
      </c>
      <c r="AW115" s="1">
        <v>2</v>
      </c>
      <c r="BA115" s="29">
        <v>0</v>
      </c>
      <c r="BB115" s="29">
        <v>0</v>
      </c>
      <c r="BC115" s="29">
        <v>0</v>
      </c>
      <c r="BD115" s="29">
        <v>0</v>
      </c>
      <c r="BI115" s="323">
        <v>0</v>
      </c>
      <c r="BL115" s="107">
        <f t="shared" si="73"/>
        <v>1.0967873225415627</v>
      </c>
      <c r="BM115" s="107">
        <f t="shared" si="73"/>
        <v>1.1127076627324948</v>
      </c>
      <c r="BN115" s="107">
        <f t="shared" si="73"/>
        <v>2.8314493742615632</v>
      </c>
      <c r="BO115" s="107">
        <f t="shared" si="73"/>
        <v>1.036891829831438</v>
      </c>
    </row>
    <row r="116" spans="1:67" x14ac:dyDescent="0.25">
      <c r="A116" s="250" t="s">
        <v>163</v>
      </c>
      <c r="B116" s="227">
        <v>2</v>
      </c>
      <c r="C116" s="226">
        <f>'побудинковий звіт'!E108</f>
        <v>4661.7</v>
      </c>
      <c r="D116" s="138">
        <f t="shared" si="46"/>
        <v>85.123319217944996</v>
      </c>
      <c r="E116" s="104">
        <f t="shared" si="40"/>
        <v>17.546212977382243</v>
      </c>
      <c r="F116" s="323">
        <v>9.6022850156223392</v>
      </c>
      <c r="G116" s="104" t="e">
        <f t="shared" si="41"/>
        <v>#REF!</v>
      </c>
      <c r="H116" s="720">
        <f t="shared" si="47"/>
        <v>71.11837900585418</v>
      </c>
      <c r="I116" s="104" t="e">
        <f t="shared" si="48"/>
        <v>#REF!</v>
      </c>
      <c r="J116" s="28"/>
      <c r="K116" s="139" t="e">
        <f t="shared" si="49"/>
        <v>#REF!</v>
      </c>
      <c r="L116" s="200">
        <f t="shared" si="50"/>
        <v>18.173227605544934</v>
      </c>
      <c r="M116" s="104">
        <f t="shared" si="42"/>
        <v>3.9984358316686692</v>
      </c>
      <c r="N116" s="323">
        <v>0</v>
      </c>
      <c r="O116" s="104"/>
      <c r="P116" s="104">
        <f t="shared" si="51"/>
        <v>15.183271757785649</v>
      </c>
      <c r="Q116" s="104">
        <f t="shared" si="52"/>
        <v>4.8080595974667633</v>
      </c>
      <c r="R116" s="104"/>
      <c r="S116" s="140">
        <f t="shared" si="53"/>
        <v>42.162994792466016</v>
      </c>
      <c r="T116" s="235"/>
      <c r="U116" s="104"/>
      <c r="V116" s="148">
        <f t="shared" si="54"/>
        <v>0</v>
      </c>
      <c r="W116" s="236"/>
      <c r="X116" s="104"/>
      <c r="Y116" s="45">
        <f t="shared" si="55"/>
        <v>0</v>
      </c>
      <c r="Z116" s="138">
        <f t="shared" si="56"/>
        <v>0</v>
      </c>
      <c r="AA116" s="104">
        <f t="shared" si="43"/>
        <v>0</v>
      </c>
      <c r="AB116" s="323">
        <v>0</v>
      </c>
      <c r="AC116" s="104"/>
      <c r="AD116" s="104">
        <f t="shared" si="57"/>
        <v>0</v>
      </c>
      <c r="AE116" s="104">
        <f t="shared" si="58"/>
        <v>0</v>
      </c>
      <c r="AF116" s="104"/>
      <c r="AG116" s="139">
        <f t="shared" si="59"/>
        <v>0</v>
      </c>
      <c r="AH116" s="200">
        <f t="shared" si="60"/>
        <v>27.75890731751824</v>
      </c>
      <c r="AI116" s="104">
        <f t="shared" si="44"/>
        <v>5.536949690624887</v>
      </c>
      <c r="AJ116" s="323">
        <v>26.687325711941874</v>
      </c>
      <c r="AK116" s="118" t="e">
        <f t="shared" si="45"/>
        <v>#REF!</v>
      </c>
      <c r="AL116" s="104"/>
      <c r="AM116" s="104">
        <f t="shared" si="61"/>
        <v>23.191864574043343</v>
      </c>
      <c r="AN116" s="104" t="e">
        <f t="shared" si="62"/>
        <v>#REF!</v>
      </c>
      <c r="AO116" s="104"/>
      <c r="AP116" s="140" t="e">
        <f t="shared" si="63"/>
        <v>#REF!</v>
      </c>
      <c r="AQ116" s="33"/>
      <c r="AR116" s="28"/>
      <c r="AS116" s="121"/>
      <c r="AT116" s="135" t="e">
        <f t="shared" si="64"/>
        <v>#REF!</v>
      </c>
      <c r="AU116" s="148" t="e">
        <f t="shared" si="65"/>
        <v>#REF!</v>
      </c>
      <c r="AW116" s="1">
        <v>3</v>
      </c>
      <c r="BA116" s="29">
        <v>69.58</v>
      </c>
      <c r="BB116" s="29">
        <v>14.19</v>
      </c>
      <c r="BC116" s="29">
        <v>0</v>
      </c>
      <c r="BD116" s="29">
        <v>21.41</v>
      </c>
      <c r="BI116" s="323">
        <v>0</v>
      </c>
      <c r="BL116" s="107">
        <f t="shared" ref="BL116:BO125" si="75">BA$399</f>
        <v>1.2233877438623886</v>
      </c>
      <c r="BM116" s="107">
        <f t="shared" si="75"/>
        <v>1.2807066670574303</v>
      </c>
      <c r="BN116" s="107">
        <f t="shared" si="75"/>
        <v>0.82443024793968056</v>
      </c>
      <c r="BO116" s="107">
        <f t="shared" si="75"/>
        <v>1.2965393422474656</v>
      </c>
    </row>
    <row r="117" spans="1:67" x14ac:dyDescent="0.25">
      <c r="A117" s="424" t="s">
        <v>83</v>
      </c>
      <c r="B117" s="228">
        <v>1</v>
      </c>
      <c r="C117" s="226">
        <f>'побудинковий звіт'!E109</f>
        <v>4714.6499999999996</v>
      </c>
      <c r="D117" s="138">
        <f t="shared" si="46"/>
        <v>0</v>
      </c>
      <c r="E117" s="104">
        <f t="shared" si="40"/>
        <v>0</v>
      </c>
      <c r="F117" s="323">
        <v>0</v>
      </c>
      <c r="G117" s="104" t="e">
        <f t="shared" si="41"/>
        <v>#REF!</v>
      </c>
      <c r="H117" s="720">
        <f t="shared" si="47"/>
        <v>0</v>
      </c>
      <c r="I117" s="104" t="e">
        <f t="shared" si="48"/>
        <v>#REF!</v>
      </c>
      <c r="J117" s="28"/>
      <c r="K117" s="139" t="e">
        <f t="shared" si="49"/>
        <v>#REF!</v>
      </c>
      <c r="L117" s="200">
        <f t="shared" si="50"/>
        <v>0</v>
      </c>
      <c r="M117" s="104">
        <f t="shared" si="42"/>
        <v>0</v>
      </c>
      <c r="N117" s="323">
        <v>0</v>
      </c>
      <c r="O117" s="104"/>
      <c r="P117" s="104">
        <f t="shared" si="51"/>
        <v>0</v>
      </c>
      <c r="Q117" s="104">
        <f t="shared" si="52"/>
        <v>0</v>
      </c>
      <c r="R117" s="104"/>
      <c r="S117" s="140">
        <f t="shared" si="53"/>
        <v>0</v>
      </c>
      <c r="T117" s="235"/>
      <c r="U117" s="104"/>
      <c r="V117" s="148">
        <f t="shared" si="54"/>
        <v>0</v>
      </c>
      <c r="W117" s="236"/>
      <c r="X117" s="104"/>
      <c r="Y117" s="45">
        <f t="shared" si="55"/>
        <v>0</v>
      </c>
      <c r="Z117" s="138">
        <f t="shared" si="56"/>
        <v>0</v>
      </c>
      <c r="AA117" s="104">
        <f t="shared" si="43"/>
        <v>0</v>
      </c>
      <c r="AB117" s="323">
        <v>0</v>
      </c>
      <c r="AC117" s="104"/>
      <c r="AD117" s="104">
        <f t="shared" si="57"/>
        <v>0</v>
      </c>
      <c r="AE117" s="104">
        <f t="shared" si="58"/>
        <v>0</v>
      </c>
      <c r="AF117" s="104"/>
      <c r="AG117" s="139">
        <f t="shared" si="59"/>
        <v>0</v>
      </c>
      <c r="AH117" s="200">
        <f t="shared" si="60"/>
        <v>0</v>
      </c>
      <c r="AI117" s="104">
        <f t="shared" si="44"/>
        <v>0</v>
      </c>
      <c r="AJ117" s="323">
        <v>0</v>
      </c>
      <c r="AK117" s="118" t="e">
        <f t="shared" si="45"/>
        <v>#REF!</v>
      </c>
      <c r="AL117" s="104"/>
      <c r="AM117" s="104">
        <f t="shared" si="61"/>
        <v>0</v>
      </c>
      <c r="AN117" s="104" t="e">
        <f t="shared" si="62"/>
        <v>#REF!</v>
      </c>
      <c r="AO117" s="104"/>
      <c r="AP117" s="140" t="e">
        <f t="shared" si="63"/>
        <v>#REF!</v>
      </c>
      <c r="AQ117" s="33"/>
      <c r="AR117" s="28"/>
      <c r="AS117" s="121"/>
      <c r="AT117" s="135">
        <f t="shared" si="64"/>
        <v>0</v>
      </c>
      <c r="AU117" s="148" t="e">
        <f t="shared" si="65"/>
        <v>#REF!</v>
      </c>
      <c r="AW117" s="1">
        <v>3</v>
      </c>
      <c r="BA117" s="29">
        <v>0</v>
      </c>
      <c r="BB117" s="29">
        <v>0</v>
      </c>
      <c r="BC117" s="29">
        <v>0</v>
      </c>
      <c r="BD117" s="29">
        <v>0</v>
      </c>
      <c r="BI117" s="323">
        <v>0</v>
      </c>
      <c r="BL117" s="107">
        <f t="shared" si="75"/>
        <v>1.2233877438623886</v>
      </c>
      <c r="BM117" s="107">
        <f t="shared" si="75"/>
        <v>1.2807066670574303</v>
      </c>
      <c r="BN117" s="107">
        <f t="shared" si="75"/>
        <v>0.82443024793968056</v>
      </c>
      <c r="BO117" s="107">
        <f t="shared" si="75"/>
        <v>1.2965393422474656</v>
      </c>
    </row>
    <row r="118" spans="1:67" x14ac:dyDescent="0.25">
      <c r="A118" s="424" t="s">
        <v>84</v>
      </c>
      <c r="B118" s="228">
        <v>1</v>
      </c>
      <c r="C118" s="226">
        <f>'побудинковий звіт'!E110</f>
        <v>259.3</v>
      </c>
      <c r="D118" s="138">
        <f t="shared" si="46"/>
        <v>0</v>
      </c>
      <c r="E118" s="104">
        <f t="shared" si="40"/>
        <v>0</v>
      </c>
      <c r="F118" s="323">
        <v>0</v>
      </c>
      <c r="G118" s="104" t="e">
        <f t="shared" si="41"/>
        <v>#REF!</v>
      </c>
      <c r="H118" s="720">
        <f t="shared" si="47"/>
        <v>0</v>
      </c>
      <c r="I118" s="104" t="e">
        <f t="shared" si="48"/>
        <v>#REF!</v>
      </c>
      <c r="J118" s="28"/>
      <c r="K118" s="139" t="e">
        <f t="shared" si="49"/>
        <v>#REF!</v>
      </c>
      <c r="L118" s="200">
        <f t="shared" si="50"/>
        <v>0</v>
      </c>
      <c r="M118" s="104">
        <f t="shared" si="42"/>
        <v>0</v>
      </c>
      <c r="N118" s="323">
        <v>0</v>
      </c>
      <c r="O118" s="104"/>
      <c r="P118" s="104">
        <f t="shared" si="51"/>
        <v>0</v>
      </c>
      <c r="Q118" s="104">
        <f t="shared" si="52"/>
        <v>0</v>
      </c>
      <c r="R118" s="104"/>
      <c r="S118" s="140">
        <f t="shared" si="53"/>
        <v>0</v>
      </c>
      <c r="T118" s="235"/>
      <c r="U118" s="104"/>
      <c r="V118" s="148">
        <f t="shared" si="54"/>
        <v>0</v>
      </c>
      <c r="W118" s="236"/>
      <c r="X118" s="104"/>
      <c r="Y118" s="45">
        <f t="shared" si="55"/>
        <v>0</v>
      </c>
      <c r="Z118" s="138">
        <f t="shared" si="56"/>
        <v>0</v>
      </c>
      <c r="AA118" s="104">
        <f t="shared" si="43"/>
        <v>0</v>
      </c>
      <c r="AB118" s="323">
        <v>0</v>
      </c>
      <c r="AC118" s="104"/>
      <c r="AD118" s="104">
        <f t="shared" si="57"/>
        <v>0</v>
      </c>
      <c r="AE118" s="104">
        <f t="shared" si="58"/>
        <v>0</v>
      </c>
      <c r="AF118" s="104"/>
      <c r="AG118" s="139">
        <f t="shared" si="59"/>
        <v>0</v>
      </c>
      <c r="AH118" s="200">
        <f t="shared" si="60"/>
        <v>0</v>
      </c>
      <c r="AI118" s="104">
        <f t="shared" si="44"/>
        <v>0</v>
      </c>
      <c r="AJ118" s="323">
        <v>0</v>
      </c>
      <c r="AK118" s="118" t="e">
        <f t="shared" si="45"/>
        <v>#REF!</v>
      </c>
      <c r="AL118" s="104"/>
      <c r="AM118" s="104">
        <f t="shared" si="61"/>
        <v>0</v>
      </c>
      <c r="AN118" s="104" t="e">
        <f t="shared" si="62"/>
        <v>#REF!</v>
      </c>
      <c r="AO118" s="104"/>
      <c r="AP118" s="140" t="e">
        <f t="shared" si="63"/>
        <v>#REF!</v>
      </c>
      <c r="AQ118" s="33"/>
      <c r="AR118" s="28"/>
      <c r="AS118" s="121"/>
      <c r="AT118" s="135">
        <f t="shared" si="64"/>
        <v>0</v>
      </c>
      <c r="AU118" s="148" t="e">
        <f t="shared" si="65"/>
        <v>#REF!</v>
      </c>
      <c r="AW118" s="1">
        <v>3</v>
      </c>
      <c r="BA118" s="29">
        <v>0</v>
      </c>
      <c r="BB118" s="29">
        <v>0</v>
      </c>
      <c r="BC118" s="29">
        <v>0</v>
      </c>
      <c r="BD118" s="29">
        <v>0</v>
      </c>
      <c r="BI118" s="323">
        <v>0</v>
      </c>
      <c r="BL118" s="107">
        <f t="shared" si="75"/>
        <v>1.2233877438623886</v>
      </c>
      <c r="BM118" s="107">
        <f t="shared" si="75"/>
        <v>1.2807066670574303</v>
      </c>
      <c r="BN118" s="107">
        <f t="shared" si="75"/>
        <v>0.82443024793968056</v>
      </c>
      <c r="BO118" s="107">
        <f t="shared" si="75"/>
        <v>1.2965393422474656</v>
      </c>
    </row>
    <row r="119" spans="1:67" x14ac:dyDescent="0.25">
      <c r="A119" s="424" t="s">
        <v>85</v>
      </c>
      <c r="B119" s="228">
        <v>1</v>
      </c>
      <c r="C119" s="226">
        <f>'побудинковий звіт'!E111</f>
        <v>9737.6</v>
      </c>
      <c r="D119" s="138">
        <f t="shared" si="46"/>
        <v>0</v>
      </c>
      <c r="E119" s="104">
        <f t="shared" si="40"/>
        <v>0</v>
      </c>
      <c r="F119" s="323">
        <v>0</v>
      </c>
      <c r="G119" s="104" t="e">
        <f t="shared" si="41"/>
        <v>#REF!</v>
      </c>
      <c r="H119" s="720">
        <f t="shared" si="47"/>
        <v>0</v>
      </c>
      <c r="I119" s="104" t="e">
        <f t="shared" si="48"/>
        <v>#REF!</v>
      </c>
      <c r="J119" s="28"/>
      <c r="K119" s="139" t="e">
        <f t="shared" si="49"/>
        <v>#REF!</v>
      </c>
      <c r="L119" s="200">
        <f t="shared" si="50"/>
        <v>0</v>
      </c>
      <c r="M119" s="104">
        <f t="shared" si="42"/>
        <v>0</v>
      </c>
      <c r="N119" s="323">
        <v>0</v>
      </c>
      <c r="O119" s="104"/>
      <c r="P119" s="104">
        <f t="shared" si="51"/>
        <v>0</v>
      </c>
      <c r="Q119" s="104">
        <f t="shared" si="52"/>
        <v>0</v>
      </c>
      <c r="R119" s="104"/>
      <c r="S119" s="140">
        <f t="shared" si="53"/>
        <v>0</v>
      </c>
      <c r="T119" s="235"/>
      <c r="U119" s="104"/>
      <c r="V119" s="148">
        <f t="shared" si="54"/>
        <v>0</v>
      </c>
      <c r="W119" s="236"/>
      <c r="X119" s="104"/>
      <c r="Y119" s="45">
        <f t="shared" si="55"/>
        <v>0</v>
      </c>
      <c r="Z119" s="138">
        <f t="shared" si="56"/>
        <v>0</v>
      </c>
      <c r="AA119" s="104">
        <f t="shared" si="43"/>
        <v>0</v>
      </c>
      <c r="AB119" s="323">
        <v>0</v>
      </c>
      <c r="AC119" s="104"/>
      <c r="AD119" s="104">
        <f t="shared" si="57"/>
        <v>0</v>
      </c>
      <c r="AE119" s="104">
        <f t="shared" si="58"/>
        <v>0</v>
      </c>
      <c r="AF119" s="104"/>
      <c r="AG119" s="139">
        <f t="shared" si="59"/>
        <v>0</v>
      </c>
      <c r="AH119" s="200">
        <f t="shared" si="60"/>
        <v>0</v>
      </c>
      <c r="AI119" s="104">
        <f t="shared" si="44"/>
        <v>0</v>
      </c>
      <c r="AJ119" s="323">
        <v>0</v>
      </c>
      <c r="AK119" s="118" t="e">
        <f t="shared" si="45"/>
        <v>#REF!</v>
      </c>
      <c r="AL119" s="104"/>
      <c r="AM119" s="104">
        <f t="shared" si="61"/>
        <v>0</v>
      </c>
      <c r="AN119" s="104" t="e">
        <f t="shared" si="62"/>
        <v>#REF!</v>
      </c>
      <c r="AO119" s="104"/>
      <c r="AP119" s="140" t="e">
        <f t="shared" si="63"/>
        <v>#REF!</v>
      </c>
      <c r="AQ119" s="33"/>
      <c r="AR119" s="28"/>
      <c r="AS119" s="121"/>
      <c r="AT119" s="135">
        <f t="shared" si="64"/>
        <v>0</v>
      </c>
      <c r="AU119" s="148" t="e">
        <f t="shared" si="65"/>
        <v>#REF!</v>
      </c>
      <c r="AW119" s="1">
        <v>3</v>
      </c>
      <c r="BA119" s="29">
        <v>0</v>
      </c>
      <c r="BB119" s="29">
        <v>0</v>
      </c>
      <c r="BC119" s="29">
        <v>0</v>
      </c>
      <c r="BD119" s="29">
        <v>0</v>
      </c>
      <c r="BI119" s="323">
        <v>0</v>
      </c>
      <c r="BL119" s="107">
        <f t="shared" si="75"/>
        <v>1.2233877438623886</v>
      </c>
      <c r="BM119" s="107">
        <f t="shared" si="75"/>
        <v>1.2807066670574303</v>
      </c>
      <c r="BN119" s="107">
        <f t="shared" si="75"/>
        <v>0.82443024793968056</v>
      </c>
      <c r="BO119" s="107">
        <f t="shared" si="75"/>
        <v>1.2965393422474656</v>
      </c>
    </row>
    <row r="120" spans="1:67" x14ac:dyDescent="0.25">
      <c r="A120" s="424" t="s">
        <v>86</v>
      </c>
      <c r="B120" s="228">
        <v>1</v>
      </c>
      <c r="C120" s="226" t="e">
        <f>'побудинковий звіт'!#REF!</f>
        <v>#REF!</v>
      </c>
      <c r="D120" s="138">
        <f t="shared" si="46"/>
        <v>0</v>
      </c>
      <c r="E120" s="104">
        <f t="shared" si="40"/>
        <v>0</v>
      </c>
      <c r="F120" s="323">
        <v>0</v>
      </c>
      <c r="G120" s="104" t="e">
        <f t="shared" si="41"/>
        <v>#REF!</v>
      </c>
      <c r="H120" s="720">
        <f t="shared" si="47"/>
        <v>0</v>
      </c>
      <c r="I120" s="104" t="e">
        <f t="shared" si="48"/>
        <v>#REF!</v>
      </c>
      <c r="J120" s="28"/>
      <c r="K120" s="139" t="e">
        <f t="shared" si="49"/>
        <v>#REF!</v>
      </c>
      <c r="L120" s="200">
        <f t="shared" si="50"/>
        <v>0</v>
      </c>
      <c r="M120" s="104">
        <f t="shared" si="42"/>
        <v>0</v>
      </c>
      <c r="N120" s="323">
        <v>0</v>
      </c>
      <c r="O120" s="104"/>
      <c r="P120" s="104">
        <f t="shared" si="51"/>
        <v>0</v>
      </c>
      <c r="Q120" s="104">
        <f t="shared" si="52"/>
        <v>0</v>
      </c>
      <c r="R120" s="104"/>
      <c r="S120" s="140">
        <f t="shared" si="53"/>
        <v>0</v>
      </c>
      <c r="T120" s="235"/>
      <c r="U120" s="104"/>
      <c r="V120" s="148">
        <f t="shared" si="54"/>
        <v>0</v>
      </c>
      <c r="W120" s="236"/>
      <c r="X120" s="104"/>
      <c r="Y120" s="45">
        <f t="shared" si="55"/>
        <v>0</v>
      </c>
      <c r="Z120" s="138">
        <f t="shared" si="56"/>
        <v>0</v>
      </c>
      <c r="AA120" s="104">
        <f t="shared" si="43"/>
        <v>0</v>
      </c>
      <c r="AB120" s="323">
        <v>0</v>
      </c>
      <c r="AC120" s="104"/>
      <c r="AD120" s="104">
        <f t="shared" si="57"/>
        <v>0</v>
      </c>
      <c r="AE120" s="104">
        <f t="shared" si="58"/>
        <v>0</v>
      </c>
      <c r="AF120" s="104"/>
      <c r="AG120" s="139">
        <f t="shared" si="59"/>
        <v>0</v>
      </c>
      <c r="AH120" s="200">
        <f t="shared" si="60"/>
        <v>0</v>
      </c>
      <c r="AI120" s="104">
        <f t="shared" si="44"/>
        <v>0</v>
      </c>
      <c r="AJ120" s="323">
        <v>0</v>
      </c>
      <c r="AK120" s="118" t="e">
        <f t="shared" si="45"/>
        <v>#REF!</v>
      </c>
      <c r="AL120" s="104"/>
      <c r="AM120" s="104">
        <f t="shared" si="61"/>
        <v>0</v>
      </c>
      <c r="AN120" s="104" t="e">
        <f t="shared" si="62"/>
        <v>#REF!</v>
      </c>
      <c r="AO120" s="104"/>
      <c r="AP120" s="140" t="e">
        <f t="shared" si="63"/>
        <v>#REF!</v>
      </c>
      <c r="AQ120" s="33"/>
      <c r="AR120" s="28"/>
      <c r="AS120" s="121"/>
      <c r="AT120" s="135">
        <f t="shared" si="64"/>
        <v>0</v>
      </c>
      <c r="AU120" s="148" t="e">
        <f t="shared" si="65"/>
        <v>#REF!</v>
      </c>
      <c r="AW120" s="1">
        <v>3</v>
      </c>
      <c r="BA120" s="29">
        <v>0</v>
      </c>
      <c r="BB120" s="29">
        <v>0</v>
      </c>
      <c r="BC120" s="29">
        <v>0</v>
      </c>
      <c r="BD120" s="29">
        <v>0</v>
      </c>
      <c r="BI120" s="323">
        <v>0</v>
      </c>
      <c r="BL120" s="107">
        <f t="shared" si="75"/>
        <v>1.2233877438623886</v>
      </c>
      <c r="BM120" s="107">
        <f t="shared" si="75"/>
        <v>1.2807066670574303</v>
      </c>
      <c r="BN120" s="107">
        <f t="shared" si="75"/>
        <v>0.82443024793968056</v>
      </c>
      <c r="BO120" s="107">
        <f t="shared" si="75"/>
        <v>1.2965393422474656</v>
      </c>
    </row>
    <row r="121" spans="1:67" x14ac:dyDescent="0.25">
      <c r="A121" s="250" t="s">
        <v>258</v>
      </c>
      <c r="B121" s="227">
        <v>5</v>
      </c>
      <c r="C121" s="226">
        <f>'побудинковий звіт'!E112</f>
        <v>249.9</v>
      </c>
      <c r="D121" s="138">
        <f t="shared" si="46"/>
        <v>448.54288240970612</v>
      </c>
      <c r="E121" s="104">
        <f t="shared" si="40"/>
        <v>92.456791118531555</v>
      </c>
      <c r="F121" s="323">
        <v>81.601949917214228</v>
      </c>
      <c r="G121" s="104" t="e">
        <f t="shared" si="41"/>
        <v>#REF!</v>
      </c>
      <c r="H121" s="720">
        <f t="shared" si="47"/>
        <v>374.74622705815432</v>
      </c>
      <c r="I121" s="104" t="e">
        <f t="shared" si="48"/>
        <v>#REF!</v>
      </c>
      <c r="J121" s="28"/>
      <c r="K121" s="139" t="e">
        <f t="shared" si="49"/>
        <v>#REF!</v>
      </c>
      <c r="L121" s="200">
        <f t="shared" si="50"/>
        <v>96.667739229494842</v>
      </c>
      <c r="M121" s="104">
        <f t="shared" si="42"/>
        <v>21.268635417501844</v>
      </c>
      <c r="N121" s="323">
        <v>0</v>
      </c>
      <c r="O121" s="104"/>
      <c r="P121" s="104">
        <f t="shared" si="51"/>
        <v>80.763449772914797</v>
      </c>
      <c r="Q121" s="104">
        <f t="shared" si="52"/>
        <v>25.575217647413062</v>
      </c>
      <c r="R121" s="104"/>
      <c r="S121" s="140">
        <f t="shared" si="53"/>
        <v>224.27504206732453</v>
      </c>
      <c r="T121" s="234">
        <v>390.88</v>
      </c>
      <c r="U121" s="104"/>
      <c r="V121" s="148">
        <f t="shared" si="54"/>
        <v>390.88</v>
      </c>
      <c r="W121" s="236"/>
      <c r="X121" s="104"/>
      <c r="Y121" s="45">
        <f t="shared" si="55"/>
        <v>0</v>
      </c>
      <c r="Z121" s="138">
        <f t="shared" si="56"/>
        <v>19.76983734559354</v>
      </c>
      <c r="AA121" s="104">
        <f t="shared" si="43"/>
        <v>4.3455667390833161</v>
      </c>
      <c r="AB121" s="323">
        <v>0</v>
      </c>
      <c r="AC121" s="104"/>
      <c r="AD121" s="104">
        <f t="shared" si="57"/>
        <v>16.517198790476801</v>
      </c>
      <c r="AE121" s="104">
        <f t="shared" si="58"/>
        <v>5.2299374956509563</v>
      </c>
      <c r="AF121" s="104"/>
      <c r="AG121" s="139">
        <f t="shared" si="59"/>
        <v>45.862540370804616</v>
      </c>
      <c r="AH121" s="200">
        <f t="shared" si="60"/>
        <v>280.36366736759197</v>
      </c>
      <c r="AI121" s="104">
        <f t="shared" si="44"/>
        <v>55.922933260192693</v>
      </c>
      <c r="AJ121" s="323">
        <v>45.931183706753103</v>
      </c>
      <c r="AK121" s="118" t="e">
        <f t="shared" si="45"/>
        <v>#REF!</v>
      </c>
      <c r="AL121" s="104"/>
      <c r="AM121" s="104">
        <f t="shared" si="61"/>
        <v>234.23674897202861</v>
      </c>
      <c r="AN121" s="104" t="e">
        <f t="shared" si="62"/>
        <v>#REF!</v>
      </c>
      <c r="AO121" s="104"/>
      <c r="AP121" s="140" t="e">
        <f t="shared" si="63"/>
        <v>#REF!</v>
      </c>
      <c r="AQ121" s="33"/>
      <c r="AR121" s="28"/>
      <c r="AS121" s="121"/>
      <c r="AT121" s="135" t="e">
        <f t="shared" si="64"/>
        <v>#REF!</v>
      </c>
      <c r="AU121" s="148" t="e">
        <f t="shared" si="65"/>
        <v>#REF!</v>
      </c>
      <c r="AW121" s="1">
        <v>3</v>
      </c>
      <c r="BA121" s="29">
        <v>366.64</v>
      </c>
      <c r="BB121" s="29">
        <v>75.48</v>
      </c>
      <c r="BC121" s="29">
        <v>23.98</v>
      </c>
      <c r="BD121" s="29">
        <v>216.24</v>
      </c>
      <c r="BI121" s="323">
        <v>0</v>
      </c>
      <c r="BL121" s="107">
        <f t="shared" si="75"/>
        <v>1.2233877438623886</v>
      </c>
      <c r="BM121" s="107">
        <f t="shared" si="75"/>
        <v>1.2807066670574303</v>
      </c>
      <c r="BN121" s="107">
        <f t="shared" si="75"/>
        <v>0.82443024793968056</v>
      </c>
      <c r="BO121" s="107">
        <f t="shared" si="75"/>
        <v>1.2965393422474656</v>
      </c>
    </row>
    <row r="122" spans="1:67" x14ac:dyDescent="0.25">
      <c r="A122" s="424" t="s">
        <v>89</v>
      </c>
      <c r="B122" s="228">
        <v>1</v>
      </c>
      <c r="C122" s="226">
        <f>'побудинковий звіт'!E113</f>
        <v>1899.23</v>
      </c>
      <c r="D122" s="138">
        <f t="shared" si="46"/>
        <v>0</v>
      </c>
      <c r="E122" s="104">
        <f t="shared" si="40"/>
        <v>0</v>
      </c>
      <c r="F122" s="323">
        <v>0</v>
      </c>
      <c r="G122" s="104" t="e">
        <f t="shared" si="41"/>
        <v>#REF!</v>
      </c>
      <c r="H122" s="720">
        <f t="shared" si="47"/>
        <v>0</v>
      </c>
      <c r="I122" s="104" t="e">
        <f t="shared" si="48"/>
        <v>#REF!</v>
      </c>
      <c r="J122" s="28"/>
      <c r="K122" s="139" t="e">
        <f t="shared" si="49"/>
        <v>#REF!</v>
      </c>
      <c r="L122" s="200">
        <f t="shared" si="50"/>
        <v>0</v>
      </c>
      <c r="M122" s="104">
        <f t="shared" si="42"/>
        <v>0</v>
      </c>
      <c r="N122" s="323">
        <v>0</v>
      </c>
      <c r="O122" s="104"/>
      <c r="P122" s="104">
        <f t="shared" si="51"/>
        <v>0</v>
      </c>
      <c r="Q122" s="104">
        <f t="shared" si="52"/>
        <v>0</v>
      </c>
      <c r="R122" s="104"/>
      <c r="S122" s="140">
        <f t="shared" si="53"/>
        <v>0</v>
      </c>
      <c r="T122" s="235"/>
      <c r="U122" s="104"/>
      <c r="V122" s="148">
        <f t="shared" si="54"/>
        <v>0</v>
      </c>
      <c r="W122" s="236"/>
      <c r="X122" s="104"/>
      <c r="Y122" s="45">
        <f t="shared" si="55"/>
        <v>0</v>
      </c>
      <c r="Z122" s="138">
        <f t="shared" si="56"/>
        <v>0</v>
      </c>
      <c r="AA122" s="104">
        <f t="shared" si="43"/>
        <v>0</v>
      </c>
      <c r="AB122" s="323">
        <v>0</v>
      </c>
      <c r="AC122" s="104"/>
      <c r="AD122" s="104">
        <f t="shared" si="57"/>
        <v>0</v>
      </c>
      <c r="AE122" s="104">
        <f t="shared" si="58"/>
        <v>0</v>
      </c>
      <c r="AF122" s="104"/>
      <c r="AG122" s="139">
        <f t="shared" si="59"/>
        <v>0</v>
      </c>
      <c r="AH122" s="200">
        <f t="shared" si="60"/>
        <v>0</v>
      </c>
      <c r="AI122" s="104">
        <f t="shared" si="44"/>
        <v>0</v>
      </c>
      <c r="AJ122" s="323">
        <v>0</v>
      </c>
      <c r="AK122" s="118" t="e">
        <f t="shared" si="45"/>
        <v>#REF!</v>
      </c>
      <c r="AL122" s="104"/>
      <c r="AM122" s="104">
        <f t="shared" si="61"/>
        <v>0</v>
      </c>
      <c r="AN122" s="104" t="e">
        <f t="shared" si="62"/>
        <v>#REF!</v>
      </c>
      <c r="AO122" s="104"/>
      <c r="AP122" s="140" t="e">
        <f t="shared" si="63"/>
        <v>#REF!</v>
      </c>
      <c r="AQ122" s="33"/>
      <c r="AR122" s="28"/>
      <c r="AS122" s="121"/>
      <c r="AT122" s="135">
        <f t="shared" si="64"/>
        <v>0</v>
      </c>
      <c r="AU122" s="148" t="e">
        <f t="shared" si="65"/>
        <v>#REF!</v>
      </c>
      <c r="AW122" s="1">
        <v>3</v>
      </c>
      <c r="BA122" s="29">
        <v>0</v>
      </c>
      <c r="BB122" s="29">
        <v>0</v>
      </c>
      <c r="BC122" s="29">
        <v>0</v>
      </c>
      <c r="BD122" s="29">
        <v>0</v>
      </c>
      <c r="BI122" s="323">
        <v>0</v>
      </c>
      <c r="BL122" s="107">
        <f t="shared" si="75"/>
        <v>1.2233877438623886</v>
      </c>
      <c r="BM122" s="107">
        <f t="shared" si="75"/>
        <v>1.2807066670574303</v>
      </c>
      <c r="BN122" s="107">
        <f t="shared" si="75"/>
        <v>0.82443024793968056</v>
      </c>
      <c r="BO122" s="107">
        <f t="shared" si="75"/>
        <v>1.2965393422474656</v>
      </c>
    </row>
    <row r="123" spans="1:67" ht="15" customHeight="1" x14ac:dyDescent="0.25">
      <c r="A123" s="424" t="s">
        <v>90</v>
      </c>
      <c r="B123" s="228">
        <v>1</v>
      </c>
      <c r="C123" s="226">
        <f>'побудинковий звіт'!E114</f>
        <v>9312.1</v>
      </c>
      <c r="D123" s="138">
        <f t="shared" si="46"/>
        <v>0</v>
      </c>
      <c r="E123" s="104">
        <f t="shared" si="40"/>
        <v>0</v>
      </c>
      <c r="F123" s="323">
        <v>0</v>
      </c>
      <c r="G123" s="104" t="e">
        <f t="shared" si="41"/>
        <v>#REF!</v>
      </c>
      <c r="H123" s="720">
        <f t="shared" si="47"/>
        <v>0</v>
      </c>
      <c r="I123" s="104" t="e">
        <f t="shared" si="48"/>
        <v>#REF!</v>
      </c>
      <c r="J123" s="28"/>
      <c r="K123" s="139" t="e">
        <f t="shared" si="49"/>
        <v>#REF!</v>
      </c>
      <c r="L123" s="200">
        <f t="shared" si="50"/>
        <v>0</v>
      </c>
      <c r="M123" s="104">
        <f t="shared" si="42"/>
        <v>0</v>
      </c>
      <c r="N123" s="323">
        <v>0</v>
      </c>
      <c r="O123" s="104"/>
      <c r="P123" s="104">
        <f t="shared" si="51"/>
        <v>0</v>
      </c>
      <c r="Q123" s="104">
        <f t="shared" si="52"/>
        <v>0</v>
      </c>
      <c r="R123" s="104"/>
      <c r="S123" s="140">
        <f t="shared" si="53"/>
        <v>0</v>
      </c>
      <c r="T123" s="235"/>
      <c r="U123" s="104"/>
      <c r="V123" s="148">
        <f t="shared" si="54"/>
        <v>0</v>
      </c>
      <c r="W123" s="236"/>
      <c r="X123" s="104"/>
      <c r="Y123" s="45">
        <f t="shared" si="55"/>
        <v>0</v>
      </c>
      <c r="Z123" s="138">
        <f t="shared" si="56"/>
        <v>0</v>
      </c>
      <c r="AA123" s="104">
        <f t="shared" si="43"/>
        <v>0</v>
      </c>
      <c r="AB123" s="323">
        <v>0</v>
      </c>
      <c r="AC123" s="104"/>
      <c r="AD123" s="104">
        <f t="shared" si="57"/>
        <v>0</v>
      </c>
      <c r="AE123" s="104">
        <f t="shared" si="58"/>
        <v>0</v>
      </c>
      <c r="AF123" s="104"/>
      <c r="AG123" s="139">
        <f t="shared" si="59"/>
        <v>0</v>
      </c>
      <c r="AH123" s="200">
        <f t="shared" si="60"/>
        <v>0</v>
      </c>
      <c r="AI123" s="104">
        <f t="shared" si="44"/>
        <v>0</v>
      </c>
      <c r="AJ123" s="323">
        <v>0</v>
      </c>
      <c r="AK123" s="118" t="e">
        <f t="shared" si="45"/>
        <v>#REF!</v>
      </c>
      <c r="AL123" s="104"/>
      <c r="AM123" s="104">
        <f t="shared" si="61"/>
        <v>0</v>
      </c>
      <c r="AN123" s="104" t="e">
        <f t="shared" si="62"/>
        <v>#REF!</v>
      </c>
      <c r="AO123" s="104"/>
      <c r="AP123" s="140" t="e">
        <f t="shared" si="63"/>
        <v>#REF!</v>
      </c>
      <c r="AQ123" s="33"/>
      <c r="AR123" s="28"/>
      <c r="AS123" s="121"/>
      <c r="AT123" s="135">
        <f t="shared" si="64"/>
        <v>0</v>
      </c>
      <c r="AU123" s="148" t="e">
        <f t="shared" si="65"/>
        <v>#REF!</v>
      </c>
      <c r="AW123" s="1">
        <v>3</v>
      </c>
      <c r="BA123" s="29">
        <v>0</v>
      </c>
      <c r="BB123" s="29">
        <v>0</v>
      </c>
      <c r="BC123" s="29">
        <v>0</v>
      </c>
      <c r="BD123" s="29">
        <v>0</v>
      </c>
      <c r="BI123" s="323">
        <v>0</v>
      </c>
      <c r="BL123" s="107">
        <f t="shared" si="75"/>
        <v>1.2233877438623886</v>
      </c>
      <c r="BM123" s="107">
        <f t="shared" si="75"/>
        <v>1.2807066670574303</v>
      </c>
      <c r="BN123" s="107">
        <f t="shared" si="75"/>
        <v>0.82443024793968056</v>
      </c>
      <c r="BO123" s="107">
        <f t="shared" si="75"/>
        <v>1.2965393422474656</v>
      </c>
    </row>
    <row r="124" spans="1:67" x14ac:dyDescent="0.25">
      <c r="A124" s="424" t="s">
        <v>91</v>
      </c>
      <c r="B124" s="228">
        <v>1</v>
      </c>
      <c r="C124" s="226" t="e">
        <f>'побудинковий звіт'!#REF!</f>
        <v>#REF!</v>
      </c>
      <c r="D124" s="138">
        <f t="shared" si="46"/>
        <v>0</v>
      </c>
      <c r="E124" s="104">
        <f t="shared" si="40"/>
        <v>0</v>
      </c>
      <c r="F124" s="323">
        <v>0</v>
      </c>
      <c r="G124" s="104" t="e">
        <f t="shared" si="41"/>
        <v>#REF!</v>
      </c>
      <c r="H124" s="720">
        <f t="shared" si="47"/>
        <v>0</v>
      </c>
      <c r="I124" s="104" t="e">
        <f t="shared" si="48"/>
        <v>#REF!</v>
      </c>
      <c r="J124" s="28"/>
      <c r="K124" s="139" t="e">
        <f t="shared" si="49"/>
        <v>#REF!</v>
      </c>
      <c r="L124" s="200">
        <f t="shared" si="50"/>
        <v>0</v>
      </c>
      <c r="M124" s="104">
        <f t="shared" si="42"/>
        <v>0</v>
      </c>
      <c r="N124" s="323">
        <v>0</v>
      </c>
      <c r="O124" s="104"/>
      <c r="P124" s="104">
        <f t="shared" si="51"/>
        <v>0</v>
      </c>
      <c r="Q124" s="104">
        <f t="shared" si="52"/>
        <v>0</v>
      </c>
      <c r="R124" s="104"/>
      <c r="S124" s="140">
        <f t="shared" si="53"/>
        <v>0</v>
      </c>
      <c r="T124" s="235"/>
      <c r="U124" s="104"/>
      <c r="V124" s="148">
        <f t="shared" si="54"/>
        <v>0</v>
      </c>
      <c r="W124" s="236"/>
      <c r="X124" s="104"/>
      <c r="Y124" s="45">
        <f t="shared" si="55"/>
        <v>0</v>
      </c>
      <c r="Z124" s="138">
        <f t="shared" si="56"/>
        <v>0</v>
      </c>
      <c r="AA124" s="104">
        <f t="shared" si="43"/>
        <v>0</v>
      </c>
      <c r="AB124" s="323">
        <v>0</v>
      </c>
      <c r="AC124" s="104"/>
      <c r="AD124" s="104">
        <f t="shared" si="57"/>
        <v>0</v>
      </c>
      <c r="AE124" s="104">
        <f t="shared" si="58"/>
        <v>0</v>
      </c>
      <c r="AF124" s="104"/>
      <c r="AG124" s="139">
        <f t="shared" si="59"/>
        <v>0</v>
      </c>
      <c r="AH124" s="200">
        <f t="shared" si="60"/>
        <v>0</v>
      </c>
      <c r="AI124" s="104">
        <f t="shared" si="44"/>
        <v>0</v>
      </c>
      <c r="AJ124" s="323">
        <v>0</v>
      </c>
      <c r="AK124" s="118" t="e">
        <f t="shared" si="45"/>
        <v>#REF!</v>
      </c>
      <c r="AL124" s="104"/>
      <c r="AM124" s="104">
        <f t="shared" si="61"/>
        <v>0</v>
      </c>
      <c r="AN124" s="104" t="e">
        <f t="shared" si="62"/>
        <v>#REF!</v>
      </c>
      <c r="AO124" s="104"/>
      <c r="AP124" s="140" t="e">
        <f t="shared" si="63"/>
        <v>#REF!</v>
      </c>
      <c r="AQ124" s="33"/>
      <c r="AR124" s="28"/>
      <c r="AS124" s="121"/>
      <c r="AT124" s="135">
        <f t="shared" si="64"/>
        <v>0</v>
      </c>
      <c r="AU124" s="148" t="e">
        <f t="shared" si="65"/>
        <v>#REF!</v>
      </c>
      <c r="AW124" s="1">
        <v>3</v>
      </c>
      <c r="BA124" s="29">
        <v>0</v>
      </c>
      <c r="BB124" s="29">
        <v>0</v>
      </c>
      <c r="BC124" s="29">
        <v>0</v>
      </c>
      <c r="BD124" s="29">
        <v>0</v>
      </c>
      <c r="BI124" s="323">
        <v>0</v>
      </c>
      <c r="BL124" s="107">
        <f t="shared" si="75"/>
        <v>1.2233877438623886</v>
      </c>
      <c r="BM124" s="107">
        <f t="shared" si="75"/>
        <v>1.2807066670574303</v>
      </c>
      <c r="BN124" s="107">
        <f t="shared" si="75"/>
        <v>0.82443024793968056</v>
      </c>
      <c r="BO124" s="107">
        <f t="shared" si="75"/>
        <v>1.2965393422474656</v>
      </c>
    </row>
    <row r="125" spans="1:67" x14ac:dyDescent="0.25">
      <c r="A125" s="250" t="s">
        <v>259</v>
      </c>
      <c r="B125" s="227">
        <v>5</v>
      </c>
      <c r="C125" s="226">
        <f>'побудинковий звіт'!E115</f>
        <v>3777.4</v>
      </c>
      <c r="D125" s="138">
        <f t="shared" si="46"/>
        <v>463.34587411044106</v>
      </c>
      <c r="E125" s="104">
        <f t="shared" si="40"/>
        <v>95.508087137880878</v>
      </c>
      <c r="F125" s="323">
        <v>89.349814516520098</v>
      </c>
      <c r="G125" s="104" t="e">
        <f t="shared" si="41"/>
        <v>#REF!</v>
      </c>
      <c r="H125" s="720">
        <f t="shared" si="47"/>
        <v>387.11375200743339</v>
      </c>
      <c r="I125" s="104" t="e">
        <f t="shared" si="48"/>
        <v>#REF!</v>
      </c>
      <c r="J125" s="28"/>
      <c r="K125" s="139" t="e">
        <f t="shared" si="49"/>
        <v>#REF!</v>
      </c>
      <c r="L125" s="200">
        <f t="shared" si="50"/>
        <v>98.79371229681017</v>
      </c>
      <c r="M125" s="104">
        <f t="shared" si="42"/>
        <v>21.736387600769639</v>
      </c>
      <c r="N125" s="323">
        <v>0</v>
      </c>
      <c r="O125" s="104"/>
      <c r="P125" s="104">
        <f t="shared" si="51"/>
        <v>82.539646469033471</v>
      </c>
      <c r="Q125" s="104">
        <f t="shared" si="52"/>
        <v>26.137682688413403</v>
      </c>
      <c r="R125" s="104"/>
      <c r="S125" s="140">
        <f t="shared" si="53"/>
        <v>229.20742905502669</v>
      </c>
      <c r="T125" s="234">
        <v>373.81</v>
      </c>
      <c r="U125" s="104"/>
      <c r="V125" s="148">
        <f t="shared" si="54"/>
        <v>373.81</v>
      </c>
      <c r="W125" s="236"/>
      <c r="X125" s="104"/>
      <c r="Y125" s="45">
        <f t="shared" si="55"/>
        <v>0</v>
      </c>
      <c r="Z125" s="138">
        <f t="shared" si="56"/>
        <v>0</v>
      </c>
      <c r="AA125" s="104">
        <f t="shared" si="43"/>
        <v>0</v>
      </c>
      <c r="AB125" s="323">
        <v>0</v>
      </c>
      <c r="AC125" s="104"/>
      <c r="AD125" s="104">
        <f t="shared" si="57"/>
        <v>0</v>
      </c>
      <c r="AE125" s="104">
        <f t="shared" si="58"/>
        <v>0</v>
      </c>
      <c r="AF125" s="104"/>
      <c r="AG125" s="139">
        <f t="shared" si="59"/>
        <v>0</v>
      </c>
      <c r="AH125" s="200">
        <f t="shared" si="60"/>
        <v>304.99791487029381</v>
      </c>
      <c r="AI125" s="104">
        <f t="shared" si="44"/>
        <v>60.836620514834117</v>
      </c>
      <c r="AJ125" s="323">
        <v>50.292214204269371</v>
      </c>
      <c r="AK125" s="118" t="e">
        <f t="shared" si="45"/>
        <v>#REF!</v>
      </c>
      <c r="AL125" s="104">
        <v>2000</v>
      </c>
      <c r="AM125" s="104">
        <f t="shared" si="61"/>
        <v>254.81803934600447</v>
      </c>
      <c r="AN125" s="104" t="e">
        <f t="shared" si="62"/>
        <v>#REF!</v>
      </c>
      <c r="AO125" s="104"/>
      <c r="AP125" s="140" t="e">
        <f t="shared" si="63"/>
        <v>#REF!</v>
      </c>
      <c r="AQ125" s="33"/>
      <c r="AR125" s="28"/>
      <c r="AS125" s="121"/>
      <c r="AT125" s="135" t="e">
        <f t="shared" si="64"/>
        <v>#REF!</v>
      </c>
      <c r="AU125" s="148" t="e">
        <f t="shared" si="65"/>
        <v>#REF!</v>
      </c>
      <c r="AW125" s="1">
        <v>3</v>
      </c>
      <c r="BA125" s="29">
        <v>378.74</v>
      </c>
      <c r="BB125" s="29">
        <v>77.14</v>
      </c>
      <c r="BC125" s="29">
        <v>0</v>
      </c>
      <c r="BD125" s="29">
        <v>235.24</v>
      </c>
      <c r="BI125" s="323">
        <v>0</v>
      </c>
      <c r="BL125" s="107">
        <f t="shared" si="75"/>
        <v>1.2233877438623886</v>
      </c>
      <c r="BM125" s="107">
        <f t="shared" si="75"/>
        <v>1.2807066670574303</v>
      </c>
      <c r="BN125" s="107">
        <f t="shared" si="75"/>
        <v>0.82443024793968056</v>
      </c>
      <c r="BO125" s="107">
        <f t="shared" si="75"/>
        <v>1.2965393422474656</v>
      </c>
    </row>
    <row r="126" spans="1:67" x14ac:dyDescent="0.25">
      <c r="A126" s="250" t="s">
        <v>417</v>
      </c>
      <c r="B126" s="227">
        <v>10</v>
      </c>
      <c r="C126" s="226">
        <f>'побудинковий звіт'!E116</f>
        <v>4656.33</v>
      </c>
      <c r="D126" s="138">
        <f t="shared" si="46"/>
        <v>729.98703192769688</v>
      </c>
      <c r="E126" s="104">
        <f t="shared" si="40"/>
        <v>150.47002455503775</v>
      </c>
      <c r="F126" s="323">
        <v>144.0770702600779</v>
      </c>
      <c r="G126" s="104" t="e">
        <f t="shared" si="41"/>
        <v>#REF!</v>
      </c>
      <c r="H126" s="720">
        <f t="shared" si="47"/>
        <v>609.88569152327102</v>
      </c>
      <c r="I126" s="104" t="e">
        <f t="shared" si="48"/>
        <v>#REF!</v>
      </c>
      <c r="J126" s="28"/>
      <c r="K126" s="139" t="e">
        <f t="shared" si="49"/>
        <v>#REF!</v>
      </c>
      <c r="L126" s="200">
        <f t="shared" si="50"/>
        <v>122.14561821993017</v>
      </c>
      <c r="M126" s="104">
        <f t="shared" si="42"/>
        <v>26.874225491066564</v>
      </c>
      <c r="N126" s="323">
        <v>0</v>
      </c>
      <c r="O126" s="104"/>
      <c r="P126" s="104">
        <f t="shared" si="51"/>
        <v>102.04957290525959</v>
      </c>
      <c r="Q126" s="104">
        <f t="shared" si="52"/>
        <v>32.315856308961713</v>
      </c>
      <c r="R126" s="104"/>
      <c r="S126" s="140">
        <f t="shared" si="53"/>
        <v>283.38527292521803</v>
      </c>
      <c r="T126" s="234">
        <v>895.45</v>
      </c>
      <c r="U126" s="104"/>
      <c r="V126" s="148">
        <f t="shared" si="54"/>
        <v>895.45</v>
      </c>
      <c r="W126" s="881">
        <v>183.71</v>
      </c>
      <c r="X126" s="104"/>
      <c r="Y126" s="45">
        <f t="shared" si="55"/>
        <v>183.71</v>
      </c>
      <c r="Z126" s="138">
        <f t="shared" si="56"/>
        <v>15.107746292165888</v>
      </c>
      <c r="AA126" s="104">
        <f t="shared" si="43"/>
        <v>3.32080222219827</v>
      </c>
      <c r="AB126" s="323">
        <v>0</v>
      </c>
      <c r="AC126" s="104"/>
      <c r="AD126" s="104">
        <f t="shared" si="57"/>
        <v>12.622139698049248</v>
      </c>
      <c r="AE126" s="104">
        <f t="shared" si="58"/>
        <v>3.9966220979451328</v>
      </c>
      <c r="AF126" s="104"/>
      <c r="AG126" s="139">
        <f t="shared" si="59"/>
        <v>35.04731031035854</v>
      </c>
      <c r="AH126" s="200">
        <f t="shared" si="60"/>
        <v>266.9625091407936</v>
      </c>
      <c r="AI126" s="104">
        <f t="shared" si="44"/>
        <v>53.249861944771759</v>
      </c>
      <c r="AJ126" s="323">
        <v>61.697510371164036</v>
      </c>
      <c r="AK126" s="118" t="e">
        <f t="shared" si="45"/>
        <v>#REF!</v>
      </c>
      <c r="AL126" s="104"/>
      <c r="AM126" s="104">
        <f t="shared" si="61"/>
        <v>223.04042041427249</v>
      </c>
      <c r="AN126" s="104" t="e">
        <f t="shared" si="62"/>
        <v>#REF!</v>
      </c>
      <c r="AO126" s="104"/>
      <c r="AP126" s="140" t="e">
        <f t="shared" si="63"/>
        <v>#REF!</v>
      </c>
      <c r="AQ126" s="33"/>
      <c r="AR126" s="28"/>
      <c r="AS126" s="121"/>
      <c r="AT126" s="135" t="e">
        <f t="shared" si="64"/>
        <v>#REF!</v>
      </c>
      <c r="AU126" s="148" t="e">
        <f t="shared" si="65"/>
        <v>#REF!</v>
      </c>
      <c r="AW126" s="1">
        <v>1</v>
      </c>
      <c r="BA126" s="29">
        <v>849.8</v>
      </c>
      <c r="BB126" s="29">
        <v>132.47</v>
      </c>
      <c r="BC126" s="29">
        <v>42.26</v>
      </c>
      <c r="BD126" s="29">
        <v>321.75</v>
      </c>
      <c r="BI126" s="323">
        <v>0</v>
      </c>
      <c r="BL126" s="107">
        <f>$BA$397</f>
        <v>0.85901039294857251</v>
      </c>
      <c r="BM126" s="107">
        <f>$BB$397</f>
        <v>0.92206249128051765</v>
      </c>
      <c r="BN126" s="107">
        <f>$BC$397</f>
        <v>0.35749517965371247</v>
      </c>
      <c r="BO126" s="107">
        <f>$BD$397</f>
        <v>0.82972030812989472</v>
      </c>
    </row>
    <row r="127" spans="1:67" x14ac:dyDescent="0.25">
      <c r="A127" s="250" t="s">
        <v>418</v>
      </c>
      <c r="B127" s="227">
        <v>10</v>
      </c>
      <c r="C127" s="226">
        <f>'побудинковий звіт'!E117</f>
        <v>4850.6500000000005</v>
      </c>
      <c r="D127" s="138">
        <f t="shared" si="46"/>
        <v>823.8510975651875</v>
      </c>
      <c r="E127" s="104">
        <f t="shared" si="40"/>
        <v>169.81794122146397</v>
      </c>
      <c r="F127" s="323">
        <v>191.75793683200749</v>
      </c>
      <c r="G127" s="104" t="e">
        <f t="shared" si="41"/>
        <v>#REF!</v>
      </c>
      <c r="H127" s="720">
        <f t="shared" si="47"/>
        <v>688.30674296213647</v>
      </c>
      <c r="I127" s="104" t="e">
        <f t="shared" si="48"/>
        <v>#REF!</v>
      </c>
      <c r="J127" s="28"/>
      <c r="K127" s="139" t="e">
        <f t="shared" si="49"/>
        <v>#REF!</v>
      </c>
      <c r="L127" s="200">
        <f t="shared" si="50"/>
        <v>134.53813810274033</v>
      </c>
      <c r="M127" s="104">
        <f t="shared" si="42"/>
        <v>29.600802003483977</v>
      </c>
      <c r="N127" s="323">
        <v>0</v>
      </c>
      <c r="O127" s="104"/>
      <c r="P127" s="104">
        <f t="shared" si="51"/>
        <v>112.40320965204519</v>
      </c>
      <c r="Q127" s="104">
        <f t="shared" si="52"/>
        <v>35.594523998192827</v>
      </c>
      <c r="R127" s="104"/>
      <c r="S127" s="140">
        <f t="shared" si="53"/>
        <v>312.1366737564623</v>
      </c>
      <c r="T127" s="234">
        <v>1227.28</v>
      </c>
      <c r="U127" s="104"/>
      <c r="V127" s="148">
        <f t="shared" si="54"/>
        <v>1227.28</v>
      </c>
      <c r="W127" s="881">
        <v>250.82</v>
      </c>
      <c r="X127" s="104"/>
      <c r="Y127" s="45">
        <f t="shared" si="55"/>
        <v>250.82</v>
      </c>
      <c r="Z127" s="138">
        <f t="shared" si="56"/>
        <v>15.107746292165888</v>
      </c>
      <c r="AA127" s="104">
        <f t="shared" si="43"/>
        <v>3.32080222219827</v>
      </c>
      <c r="AB127" s="323">
        <v>0</v>
      </c>
      <c r="AC127" s="104"/>
      <c r="AD127" s="104">
        <f t="shared" si="57"/>
        <v>12.622139698049248</v>
      </c>
      <c r="AE127" s="104">
        <f t="shared" si="58"/>
        <v>3.9966220979451328</v>
      </c>
      <c r="AF127" s="104"/>
      <c r="AG127" s="139">
        <f t="shared" si="59"/>
        <v>35.04731031035854</v>
      </c>
      <c r="AH127" s="200">
        <f t="shared" si="60"/>
        <v>277.34231019549861</v>
      </c>
      <c r="AI127" s="104">
        <f t="shared" si="44"/>
        <v>55.320276157449598</v>
      </c>
      <c r="AJ127" s="323">
        <v>82.115684855954711</v>
      </c>
      <c r="AK127" s="118" t="e">
        <f t="shared" si="45"/>
        <v>#REF!</v>
      </c>
      <c r="AL127" s="104"/>
      <c r="AM127" s="104">
        <f t="shared" si="61"/>
        <v>231.71248151569458</v>
      </c>
      <c r="AN127" s="104" t="e">
        <f t="shared" si="62"/>
        <v>#REF!</v>
      </c>
      <c r="AO127" s="104"/>
      <c r="AP127" s="140" t="e">
        <f t="shared" si="63"/>
        <v>#REF!</v>
      </c>
      <c r="AQ127" s="33"/>
      <c r="AR127" s="28"/>
      <c r="AS127" s="121"/>
      <c r="AT127" s="135" t="e">
        <f t="shared" si="64"/>
        <v>#REF!</v>
      </c>
      <c r="AU127" s="148" t="e">
        <f t="shared" si="65"/>
        <v>#REF!</v>
      </c>
      <c r="AW127" s="1">
        <v>1</v>
      </c>
      <c r="BA127" s="29">
        <v>959.07</v>
      </c>
      <c r="BB127" s="29">
        <v>145.91</v>
      </c>
      <c r="BC127" s="29">
        <v>42.26</v>
      </c>
      <c r="BD127" s="29">
        <v>334.26</v>
      </c>
      <c r="BI127" s="323">
        <v>0</v>
      </c>
      <c r="BL127" s="107">
        <f>$BA$397</f>
        <v>0.85901039294857251</v>
      </c>
      <c r="BM127" s="107">
        <f>$BB$397</f>
        <v>0.92206249128051765</v>
      </c>
      <c r="BN127" s="107">
        <f>$BC$397</f>
        <v>0.35749517965371247</v>
      </c>
      <c r="BO127" s="107">
        <f>$BD$397</f>
        <v>0.82972030812989472</v>
      </c>
    </row>
    <row r="128" spans="1:67" x14ac:dyDescent="0.25">
      <c r="A128" s="424" t="s">
        <v>92</v>
      </c>
      <c r="B128" s="228">
        <v>1</v>
      </c>
      <c r="C128" s="226">
        <f>'побудинковий звіт'!E118</f>
        <v>9562.94</v>
      </c>
      <c r="D128" s="138">
        <f t="shared" si="46"/>
        <v>0</v>
      </c>
      <c r="E128" s="104">
        <f t="shared" si="40"/>
        <v>0</v>
      </c>
      <c r="F128" s="323">
        <v>0</v>
      </c>
      <c r="G128" s="104" t="e">
        <f t="shared" si="41"/>
        <v>#REF!</v>
      </c>
      <c r="H128" s="720">
        <f t="shared" si="47"/>
        <v>0</v>
      </c>
      <c r="I128" s="104" t="e">
        <f t="shared" si="48"/>
        <v>#REF!</v>
      </c>
      <c r="J128" s="28"/>
      <c r="K128" s="139" t="e">
        <f t="shared" si="49"/>
        <v>#REF!</v>
      </c>
      <c r="L128" s="200">
        <f t="shared" si="50"/>
        <v>0</v>
      </c>
      <c r="M128" s="104">
        <f t="shared" si="42"/>
        <v>0</v>
      </c>
      <c r="N128" s="323">
        <v>0</v>
      </c>
      <c r="O128" s="104"/>
      <c r="P128" s="104">
        <f t="shared" si="51"/>
        <v>0</v>
      </c>
      <c r="Q128" s="104">
        <f t="shared" si="52"/>
        <v>0</v>
      </c>
      <c r="R128" s="104"/>
      <c r="S128" s="140">
        <f t="shared" si="53"/>
        <v>0</v>
      </c>
      <c r="T128" s="235"/>
      <c r="U128" s="104"/>
      <c r="V128" s="148">
        <f t="shared" si="54"/>
        <v>0</v>
      </c>
      <c r="W128" s="236"/>
      <c r="X128" s="104"/>
      <c r="Y128" s="45">
        <f t="shared" si="55"/>
        <v>0</v>
      </c>
      <c r="Z128" s="138">
        <f t="shared" si="56"/>
        <v>0</v>
      </c>
      <c r="AA128" s="104">
        <f t="shared" si="43"/>
        <v>0</v>
      </c>
      <c r="AB128" s="323">
        <v>0</v>
      </c>
      <c r="AC128" s="104"/>
      <c r="AD128" s="104">
        <f t="shared" si="57"/>
        <v>0</v>
      </c>
      <c r="AE128" s="104">
        <f t="shared" si="58"/>
        <v>0</v>
      </c>
      <c r="AF128" s="104"/>
      <c r="AG128" s="139">
        <f t="shared" si="59"/>
        <v>0</v>
      </c>
      <c r="AH128" s="200">
        <f t="shared" si="60"/>
        <v>0</v>
      </c>
      <c r="AI128" s="104">
        <f t="shared" si="44"/>
        <v>0</v>
      </c>
      <c r="AJ128" s="323">
        <v>0</v>
      </c>
      <c r="AK128" s="118" t="e">
        <f t="shared" si="45"/>
        <v>#REF!</v>
      </c>
      <c r="AL128" s="104"/>
      <c r="AM128" s="104">
        <f t="shared" si="61"/>
        <v>0</v>
      </c>
      <c r="AN128" s="104" t="e">
        <f t="shared" si="62"/>
        <v>#REF!</v>
      </c>
      <c r="AO128" s="104"/>
      <c r="AP128" s="140" t="e">
        <f t="shared" si="63"/>
        <v>#REF!</v>
      </c>
      <c r="AQ128" s="33"/>
      <c r="AR128" s="28"/>
      <c r="AS128" s="121"/>
      <c r="AT128" s="135">
        <f t="shared" si="64"/>
        <v>0</v>
      </c>
      <c r="AU128" s="148" t="e">
        <f t="shared" si="65"/>
        <v>#REF!</v>
      </c>
      <c r="AW128" s="1">
        <v>3</v>
      </c>
      <c r="BA128" s="29">
        <v>0</v>
      </c>
      <c r="BB128" s="29">
        <v>0</v>
      </c>
      <c r="BC128" s="29">
        <v>0</v>
      </c>
      <c r="BD128" s="29">
        <v>0</v>
      </c>
      <c r="BI128" s="323">
        <v>0</v>
      </c>
      <c r="BL128" s="107">
        <f t="shared" ref="BL128:BO133" si="76">BA$399</f>
        <v>1.2233877438623886</v>
      </c>
      <c r="BM128" s="107">
        <f t="shared" si="76"/>
        <v>1.2807066670574303</v>
      </c>
      <c r="BN128" s="107">
        <f t="shared" si="76"/>
        <v>0.82443024793968056</v>
      </c>
      <c r="BO128" s="107">
        <f t="shared" si="76"/>
        <v>1.2965393422474656</v>
      </c>
    </row>
    <row r="129" spans="1:67" x14ac:dyDescent="0.25">
      <c r="A129" s="424" t="s">
        <v>93</v>
      </c>
      <c r="B129" s="228">
        <v>1</v>
      </c>
      <c r="C129" s="226">
        <f>'побудинковий звіт'!E119</f>
        <v>7508.96</v>
      </c>
      <c r="D129" s="138">
        <f t="shared" si="46"/>
        <v>0</v>
      </c>
      <c r="E129" s="104">
        <f t="shared" si="40"/>
        <v>0</v>
      </c>
      <c r="F129" s="323">
        <v>0</v>
      </c>
      <c r="G129" s="104" t="e">
        <f t="shared" si="41"/>
        <v>#REF!</v>
      </c>
      <c r="H129" s="720">
        <f t="shared" si="47"/>
        <v>0</v>
      </c>
      <c r="I129" s="104" t="e">
        <f t="shared" si="48"/>
        <v>#REF!</v>
      </c>
      <c r="J129" s="28"/>
      <c r="K129" s="139" t="e">
        <f t="shared" si="49"/>
        <v>#REF!</v>
      </c>
      <c r="L129" s="200">
        <f t="shared" si="50"/>
        <v>0</v>
      </c>
      <c r="M129" s="104">
        <f t="shared" si="42"/>
        <v>0</v>
      </c>
      <c r="N129" s="323">
        <v>0</v>
      </c>
      <c r="O129" s="104"/>
      <c r="P129" s="104">
        <f t="shared" si="51"/>
        <v>0</v>
      </c>
      <c r="Q129" s="104">
        <f t="shared" si="52"/>
        <v>0</v>
      </c>
      <c r="R129" s="104"/>
      <c r="S129" s="140">
        <f t="shared" si="53"/>
        <v>0</v>
      </c>
      <c r="T129" s="235"/>
      <c r="U129" s="104"/>
      <c r="V129" s="148">
        <f t="shared" si="54"/>
        <v>0</v>
      </c>
      <c r="W129" s="236"/>
      <c r="X129" s="104"/>
      <c r="Y129" s="45">
        <f t="shared" si="55"/>
        <v>0</v>
      </c>
      <c r="Z129" s="138">
        <f t="shared" si="56"/>
        <v>0</v>
      </c>
      <c r="AA129" s="104">
        <f t="shared" si="43"/>
        <v>0</v>
      </c>
      <c r="AB129" s="323">
        <v>0</v>
      </c>
      <c r="AC129" s="104"/>
      <c r="AD129" s="104">
        <f t="shared" si="57"/>
        <v>0</v>
      </c>
      <c r="AE129" s="104">
        <f t="shared" si="58"/>
        <v>0</v>
      </c>
      <c r="AF129" s="104"/>
      <c r="AG129" s="139">
        <f t="shared" si="59"/>
        <v>0</v>
      </c>
      <c r="AH129" s="200">
        <f t="shared" si="60"/>
        <v>0</v>
      </c>
      <c r="AI129" s="104">
        <f t="shared" si="44"/>
        <v>0</v>
      </c>
      <c r="AJ129" s="323">
        <v>0</v>
      </c>
      <c r="AK129" s="118" t="e">
        <f t="shared" si="45"/>
        <v>#REF!</v>
      </c>
      <c r="AL129" s="104"/>
      <c r="AM129" s="104">
        <f t="shared" si="61"/>
        <v>0</v>
      </c>
      <c r="AN129" s="104" t="e">
        <f t="shared" si="62"/>
        <v>#REF!</v>
      </c>
      <c r="AO129" s="104"/>
      <c r="AP129" s="140" t="e">
        <f t="shared" si="63"/>
        <v>#REF!</v>
      </c>
      <c r="AQ129" s="33"/>
      <c r="AR129" s="28"/>
      <c r="AS129" s="121"/>
      <c r="AT129" s="135">
        <f t="shared" si="64"/>
        <v>0</v>
      </c>
      <c r="AU129" s="148" t="e">
        <f t="shared" si="65"/>
        <v>#REF!</v>
      </c>
      <c r="AW129" s="1">
        <v>3</v>
      </c>
      <c r="BA129" s="29">
        <v>0</v>
      </c>
      <c r="BB129" s="29">
        <v>0</v>
      </c>
      <c r="BC129" s="29">
        <v>0</v>
      </c>
      <c r="BD129" s="29">
        <v>0</v>
      </c>
      <c r="BI129" s="323">
        <v>0</v>
      </c>
      <c r="BL129" s="107">
        <f t="shared" si="76"/>
        <v>1.2233877438623886</v>
      </c>
      <c r="BM129" s="107">
        <f t="shared" si="76"/>
        <v>1.2807066670574303</v>
      </c>
      <c r="BN129" s="107">
        <f t="shared" si="76"/>
        <v>0.82443024793968056</v>
      </c>
      <c r="BO129" s="107">
        <f t="shared" si="76"/>
        <v>1.2965393422474656</v>
      </c>
    </row>
    <row r="130" spans="1:67" x14ac:dyDescent="0.25">
      <c r="A130" s="424" t="s">
        <v>95</v>
      </c>
      <c r="B130" s="228">
        <v>1</v>
      </c>
      <c r="C130" s="226">
        <f>'побудинковий звіт'!E120</f>
        <v>507.5</v>
      </c>
      <c r="D130" s="138">
        <f t="shared" si="46"/>
        <v>0</v>
      </c>
      <c r="E130" s="104">
        <f t="shared" si="40"/>
        <v>0</v>
      </c>
      <c r="F130" s="323">
        <v>0</v>
      </c>
      <c r="G130" s="104" t="e">
        <f t="shared" si="41"/>
        <v>#REF!</v>
      </c>
      <c r="H130" s="720">
        <f t="shared" si="47"/>
        <v>0</v>
      </c>
      <c r="I130" s="104" t="e">
        <f t="shared" si="48"/>
        <v>#REF!</v>
      </c>
      <c r="J130" s="28"/>
      <c r="K130" s="139" t="e">
        <f t="shared" si="49"/>
        <v>#REF!</v>
      </c>
      <c r="L130" s="200">
        <f t="shared" si="50"/>
        <v>0</v>
      </c>
      <c r="M130" s="104">
        <f t="shared" si="42"/>
        <v>0</v>
      </c>
      <c r="N130" s="323">
        <v>0</v>
      </c>
      <c r="O130" s="104"/>
      <c r="P130" s="104">
        <f t="shared" si="51"/>
        <v>0</v>
      </c>
      <c r="Q130" s="104">
        <f t="shared" si="52"/>
        <v>0</v>
      </c>
      <c r="R130" s="104"/>
      <c r="S130" s="140">
        <f t="shared" si="53"/>
        <v>0</v>
      </c>
      <c r="T130" s="235"/>
      <c r="U130" s="104"/>
      <c r="V130" s="148">
        <f t="shared" si="54"/>
        <v>0</v>
      </c>
      <c r="W130" s="236"/>
      <c r="X130" s="104"/>
      <c r="Y130" s="45">
        <f t="shared" si="55"/>
        <v>0</v>
      </c>
      <c r="Z130" s="138">
        <f t="shared" si="56"/>
        <v>0</v>
      </c>
      <c r="AA130" s="104">
        <f t="shared" si="43"/>
        <v>0</v>
      </c>
      <c r="AB130" s="323">
        <v>0</v>
      </c>
      <c r="AC130" s="104"/>
      <c r="AD130" s="104">
        <f t="shared" si="57"/>
        <v>0</v>
      </c>
      <c r="AE130" s="104">
        <f t="shared" si="58"/>
        <v>0</v>
      </c>
      <c r="AF130" s="104"/>
      <c r="AG130" s="139">
        <f t="shared" si="59"/>
        <v>0</v>
      </c>
      <c r="AH130" s="200">
        <f t="shared" si="60"/>
        <v>0</v>
      </c>
      <c r="AI130" s="104">
        <f t="shared" si="44"/>
        <v>0</v>
      </c>
      <c r="AJ130" s="323">
        <v>0</v>
      </c>
      <c r="AK130" s="118" t="e">
        <f t="shared" si="45"/>
        <v>#REF!</v>
      </c>
      <c r="AL130" s="104"/>
      <c r="AM130" s="104">
        <f t="shared" si="61"/>
        <v>0</v>
      </c>
      <c r="AN130" s="104" t="e">
        <f t="shared" si="62"/>
        <v>#REF!</v>
      </c>
      <c r="AO130" s="104"/>
      <c r="AP130" s="140" t="e">
        <f t="shared" si="63"/>
        <v>#REF!</v>
      </c>
      <c r="AQ130" s="33"/>
      <c r="AR130" s="28"/>
      <c r="AS130" s="121"/>
      <c r="AT130" s="135">
        <f t="shared" si="64"/>
        <v>0</v>
      </c>
      <c r="AU130" s="148" t="e">
        <f t="shared" si="65"/>
        <v>#REF!</v>
      </c>
      <c r="AW130" s="1">
        <v>3</v>
      </c>
      <c r="BA130" s="29">
        <v>0</v>
      </c>
      <c r="BB130" s="29">
        <v>0</v>
      </c>
      <c r="BC130" s="29">
        <v>0</v>
      </c>
      <c r="BD130" s="29">
        <v>0</v>
      </c>
      <c r="BI130" s="323">
        <v>0</v>
      </c>
      <c r="BL130" s="107">
        <f t="shared" si="76"/>
        <v>1.2233877438623886</v>
      </c>
      <c r="BM130" s="107">
        <f t="shared" si="76"/>
        <v>1.2807066670574303</v>
      </c>
      <c r="BN130" s="107">
        <f t="shared" si="76"/>
        <v>0.82443024793968056</v>
      </c>
      <c r="BO130" s="107">
        <f t="shared" si="76"/>
        <v>1.2965393422474656</v>
      </c>
    </row>
    <row r="131" spans="1:67" x14ac:dyDescent="0.25">
      <c r="A131" s="250" t="s">
        <v>361</v>
      </c>
      <c r="B131" s="227">
        <v>9</v>
      </c>
      <c r="C131" s="226">
        <f>'побудинковий звіт'!E121</f>
        <v>2425.9</v>
      </c>
      <c r="D131" s="138">
        <f t="shared" si="46"/>
        <v>350.78196779766267</v>
      </c>
      <c r="E131" s="104">
        <f t="shared" si="40"/>
        <v>72.305628729589117</v>
      </c>
      <c r="F131" s="323">
        <v>98.027073413431168</v>
      </c>
      <c r="G131" s="104" t="e">
        <f t="shared" si="41"/>
        <v>#REF!</v>
      </c>
      <c r="H131" s="720">
        <f t="shared" si="47"/>
        <v>293.06945691791566</v>
      </c>
      <c r="I131" s="104" t="e">
        <f t="shared" si="48"/>
        <v>#REF!</v>
      </c>
      <c r="J131" s="28"/>
      <c r="K131" s="139" t="e">
        <f t="shared" si="49"/>
        <v>#REF!</v>
      </c>
      <c r="L131" s="200">
        <f t="shared" si="50"/>
        <v>60.116370951675776</v>
      </c>
      <c r="M131" s="104">
        <f t="shared" si="42"/>
        <v>13.226679206379657</v>
      </c>
      <c r="N131" s="323">
        <v>0</v>
      </c>
      <c r="O131" s="104"/>
      <c r="P131" s="104">
        <f t="shared" si="51"/>
        <v>50.225706575789879</v>
      </c>
      <c r="Q131" s="104">
        <f t="shared" si="52"/>
        <v>15.90488495455179</v>
      </c>
      <c r="R131" s="104"/>
      <c r="S131" s="140">
        <f t="shared" si="53"/>
        <v>139.47364168839709</v>
      </c>
      <c r="T131" s="234">
        <v>410.11</v>
      </c>
      <c r="U131" s="104"/>
      <c r="V131" s="148">
        <f t="shared" si="54"/>
        <v>410.11</v>
      </c>
      <c r="W131" s="881">
        <v>97.28</v>
      </c>
      <c r="X131" s="104"/>
      <c r="Y131" s="45">
        <f t="shared" si="55"/>
        <v>97.28</v>
      </c>
      <c r="Z131" s="138">
        <f t="shared" si="56"/>
        <v>10.874234970324386</v>
      </c>
      <c r="AA131" s="104">
        <f t="shared" si="43"/>
        <v>2.3902429227901973</v>
      </c>
      <c r="AB131" s="323">
        <v>0</v>
      </c>
      <c r="AC131" s="104"/>
      <c r="AD131" s="104">
        <f t="shared" si="57"/>
        <v>9.0851481253706829</v>
      </c>
      <c r="AE131" s="104">
        <f t="shared" si="58"/>
        <v>2.8766837184168521</v>
      </c>
      <c r="AF131" s="104"/>
      <c r="AG131" s="139">
        <f t="shared" si="59"/>
        <v>25.22630973690212</v>
      </c>
      <c r="AH131" s="200">
        <f t="shared" si="60"/>
        <v>147.53321175433911</v>
      </c>
      <c r="AI131" s="104">
        <f t="shared" si="44"/>
        <v>29.427814352928813</v>
      </c>
      <c r="AJ131" s="323">
        <v>55.176371664592551</v>
      </c>
      <c r="AK131" s="118" t="e">
        <f t="shared" si="45"/>
        <v>#REF!</v>
      </c>
      <c r="AL131" s="104">
        <f>2*436</f>
        <v>872</v>
      </c>
      <c r="AM131" s="104">
        <f t="shared" si="61"/>
        <v>123.26026482393236</v>
      </c>
      <c r="AN131" s="104" t="e">
        <f t="shared" si="62"/>
        <v>#REF!</v>
      </c>
      <c r="AO131" s="104"/>
      <c r="AP131" s="140" t="e">
        <f t="shared" si="63"/>
        <v>#REF!</v>
      </c>
      <c r="AQ131" s="33"/>
      <c r="AR131" s="28"/>
      <c r="AS131" s="121"/>
      <c r="AT131" s="135" t="e">
        <f t="shared" si="64"/>
        <v>#REF!</v>
      </c>
      <c r="AU131" s="148" t="e">
        <f t="shared" si="65"/>
        <v>#REF!</v>
      </c>
      <c r="AW131" s="1">
        <v>3</v>
      </c>
      <c r="BA131" s="29">
        <v>286.73</v>
      </c>
      <c r="BB131" s="29">
        <v>46.94</v>
      </c>
      <c r="BC131" s="29">
        <v>13.19</v>
      </c>
      <c r="BD131" s="29">
        <v>113.79</v>
      </c>
      <c r="BI131" s="323">
        <v>0</v>
      </c>
      <c r="BL131" s="107">
        <f t="shared" si="76"/>
        <v>1.2233877438623886</v>
      </c>
      <c r="BM131" s="107">
        <f t="shared" si="76"/>
        <v>1.2807066670574303</v>
      </c>
      <c r="BN131" s="107">
        <f t="shared" si="76"/>
        <v>0.82443024793968056</v>
      </c>
      <c r="BO131" s="107">
        <f t="shared" si="76"/>
        <v>1.2965393422474656</v>
      </c>
    </row>
    <row r="132" spans="1:67" x14ac:dyDescent="0.25">
      <c r="A132" s="424" t="s">
        <v>97</v>
      </c>
      <c r="B132" s="228">
        <v>1</v>
      </c>
      <c r="C132" s="226">
        <f>'побудинковий звіт'!E122</f>
        <v>452.07000000000005</v>
      </c>
      <c r="D132" s="138">
        <f t="shared" si="46"/>
        <v>0</v>
      </c>
      <c r="E132" s="104">
        <f t="shared" si="40"/>
        <v>0</v>
      </c>
      <c r="F132" s="323">
        <v>0</v>
      </c>
      <c r="G132" s="104" t="e">
        <f t="shared" si="41"/>
        <v>#REF!</v>
      </c>
      <c r="H132" s="720">
        <f t="shared" si="47"/>
        <v>0</v>
      </c>
      <c r="I132" s="104" t="e">
        <f t="shared" si="48"/>
        <v>#REF!</v>
      </c>
      <c r="J132" s="28"/>
      <c r="K132" s="139" t="e">
        <f t="shared" si="49"/>
        <v>#REF!</v>
      </c>
      <c r="L132" s="200">
        <f t="shared" si="50"/>
        <v>0</v>
      </c>
      <c r="M132" s="104">
        <f t="shared" si="42"/>
        <v>0</v>
      </c>
      <c r="N132" s="323">
        <v>0</v>
      </c>
      <c r="O132" s="104"/>
      <c r="P132" s="104">
        <f t="shared" si="51"/>
        <v>0</v>
      </c>
      <c r="Q132" s="104">
        <f t="shared" si="52"/>
        <v>0</v>
      </c>
      <c r="R132" s="104"/>
      <c r="S132" s="140">
        <f t="shared" si="53"/>
        <v>0</v>
      </c>
      <c r="T132" s="235"/>
      <c r="U132" s="104"/>
      <c r="V132" s="148">
        <f t="shared" si="54"/>
        <v>0</v>
      </c>
      <c r="W132" s="236"/>
      <c r="X132" s="104"/>
      <c r="Y132" s="45">
        <f t="shared" si="55"/>
        <v>0</v>
      </c>
      <c r="Z132" s="138">
        <f t="shared" si="56"/>
        <v>0</v>
      </c>
      <c r="AA132" s="104">
        <f t="shared" si="43"/>
        <v>0</v>
      </c>
      <c r="AB132" s="323">
        <v>0</v>
      </c>
      <c r="AC132" s="104"/>
      <c r="AD132" s="104">
        <f t="shared" si="57"/>
        <v>0</v>
      </c>
      <c r="AE132" s="104">
        <f t="shared" si="58"/>
        <v>0</v>
      </c>
      <c r="AF132" s="104"/>
      <c r="AG132" s="139">
        <f t="shared" si="59"/>
        <v>0</v>
      </c>
      <c r="AH132" s="200">
        <f t="shared" si="60"/>
        <v>0</v>
      </c>
      <c r="AI132" s="104">
        <f t="shared" si="44"/>
        <v>0</v>
      </c>
      <c r="AJ132" s="323">
        <v>0</v>
      </c>
      <c r="AK132" s="118" t="e">
        <f t="shared" si="45"/>
        <v>#REF!</v>
      </c>
      <c r="AL132" s="104"/>
      <c r="AM132" s="104">
        <f t="shared" si="61"/>
        <v>0</v>
      </c>
      <c r="AN132" s="104" t="e">
        <f t="shared" si="62"/>
        <v>#REF!</v>
      </c>
      <c r="AO132" s="104"/>
      <c r="AP132" s="140" t="e">
        <f t="shared" si="63"/>
        <v>#REF!</v>
      </c>
      <c r="AQ132" s="33"/>
      <c r="AR132" s="28"/>
      <c r="AS132" s="121"/>
      <c r="AT132" s="135">
        <f t="shared" si="64"/>
        <v>0</v>
      </c>
      <c r="AU132" s="148" t="e">
        <f t="shared" si="65"/>
        <v>#REF!</v>
      </c>
      <c r="AW132" s="1">
        <v>3</v>
      </c>
      <c r="BA132" s="29">
        <v>0</v>
      </c>
      <c r="BB132" s="29">
        <v>0</v>
      </c>
      <c r="BC132" s="29">
        <v>0</v>
      </c>
      <c r="BD132" s="29">
        <v>0</v>
      </c>
      <c r="BI132" s="323">
        <v>0</v>
      </c>
      <c r="BL132" s="107">
        <f t="shared" si="76"/>
        <v>1.2233877438623886</v>
      </c>
      <c r="BM132" s="107">
        <f t="shared" si="76"/>
        <v>1.2807066670574303</v>
      </c>
      <c r="BN132" s="107">
        <f t="shared" si="76"/>
        <v>0.82443024793968056</v>
      </c>
      <c r="BO132" s="107">
        <f t="shared" si="76"/>
        <v>1.2965393422474656</v>
      </c>
    </row>
    <row r="133" spans="1:67" x14ac:dyDescent="0.25">
      <c r="A133" s="424" t="s">
        <v>98</v>
      </c>
      <c r="B133" s="228">
        <v>1</v>
      </c>
      <c r="C133" s="226">
        <f>'побудинковий звіт'!E123</f>
        <v>378.8</v>
      </c>
      <c r="D133" s="138">
        <f t="shared" si="46"/>
        <v>0</v>
      </c>
      <c r="E133" s="104">
        <f t="shared" si="40"/>
        <v>0</v>
      </c>
      <c r="F133" s="323">
        <v>0</v>
      </c>
      <c r="G133" s="104" t="e">
        <f t="shared" si="41"/>
        <v>#REF!</v>
      </c>
      <c r="H133" s="720">
        <f t="shared" si="47"/>
        <v>0</v>
      </c>
      <c r="I133" s="104" t="e">
        <f t="shared" si="48"/>
        <v>#REF!</v>
      </c>
      <c r="J133" s="28"/>
      <c r="K133" s="139" t="e">
        <f t="shared" si="49"/>
        <v>#REF!</v>
      </c>
      <c r="L133" s="200">
        <f t="shared" si="50"/>
        <v>0</v>
      </c>
      <c r="M133" s="104">
        <f t="shared" si="42"/>
        <v>0</v>
      </c>
      <c r="N133" s="323">
        <v>0</v>
      </c>
      <c r="O133" s="104"/>
      <c r="P133" s="104">
        <f t="shared" si="51"/>
        <v>0</v>
      </c>
      <c r="Q133" s="104">
        <f t="shared" si="52"/>
        <v>0</v>
      </c>
      <c r="R133" s="104"/>
      <c r="S133" s="140">
        <f t="shared" si="53"/>
        <v>0</v>
      </c>
      <c r="T133" s="234">
        <v>14.04</v>
      </c>
      <c r="U133" s="104"/>
      <c r="V133" s="148">
        <f t="shared" si="54"/>
        <v>14.04</v>
      </c>
      <c r="W133" s="236"/>
      <c r="X133" s="104"/>
      <c r="Y133" s="45">
        <f t="shared" si="55"/>
        <v>0</v>
      </c>
      <c r="Z133" s="138">
        <f t="shared" si="56"/>
        <v>0</v>
      </c>
      <c r="AA133" s="104">
        <f t="shared" si="43"/>
        <v>0</v>
      </c>
      <c r="AB133" s="323">
        <v>0</v>
      </c>
      <c r="AC133" s="104"/>
      <c r="AD133" s="104">
        <f t="shared" si="57"/>
        <v>0</v>
      </c>
      <c r="AE133" s="104">
        <f t="shared" si="58"/>
        <v>0</v>
      </c>
      <c r="AF133" s="104"/>
      <c r="AG133" s="139">
        <f t="shared" si="59"/>
        <v>0</v>
      </c>
      <c r="AH133" s="200">
        <f t="shared" si="60"/>
        <v>0</v>
      </c>
      <c r="AI133" s="104">
        <f t="shared" si="44"/>
        <v>0</v>
      </c>
      <c r="AJ133" s="323">
        <v>0</v>
      </c>
      <c r="AK133" s="118" t="e">
        <f t="shared" si="45"/>
        <v>#REF!</v>
      </c>
      <c r="AL133" s="104"/>
      <c r="AM133" s="104">
        <f t="shared" si="61"/>
        <v>0</v>
      </c>
      <c r="AN133" s="104" t="e">
        <f t="shared" si="62"/>
        <v>#REF!</v>
      </c>
      <c r="AO133" s="104"/>
      <c r="AP133" s="140" t="e">
        <f t="shared" si="63"/>
        <v>#REF!</v>
      </c>
      <c r="AQ133" s="33"/>
      <c r="AR133" s="28"/>
      <c r="AS133" s="121"/>
      <c r="AT133" s="135">
        <f t="shared" si="64"/>
        <v>0</v>
      </c>
      <c r="AU133" s="148" t="e">
        <f t="shared" si="65"/>
        <v>#REF!</v>
      </c>
      <c r="AW133" s="1">
        <v>3</v>
      </c>
      <c r="BA133" s="29">
        <v>0</v>
      </c>
      <c r="BB133" s="29">
        <v>0</v>
      </c>
      <c r="BC133" s="29">
        <v>0</v>
      </c>
      <c r="BD133" s="29">
        <v>0</v>
      </c>
      <c r="BI133" s="323">
        <v>0</v>
      </c>
      <c r="BL133" s="107">
        <f t="shared" si="76"/>
        <v>1.2233877438623886</v>
      </c>
      <c r="BM133" s="107">
        <f t="shared" si="76"/>
        <v>1.2807066670574303</v>
      </c>
      <c r="BN133" s="107">
        <f t="shared" si="76"/>
        <v>0.82443024793968056</v>
      </c>
      <c r="BO133" s="107">
        <f t="shared" si="76"/>
        <v>1.2965393422474656</v>
      </c>
    </row>
    <row r="134" spans="1:67" x14ac:dyDescent="0.25">
      <c r="A134" s="250" t="s">
        <v>211</v>
      </c>
      <c r="B134" s="227">
        <v>4</v>
      </c>
      <c r="C134" s="226">
        <f>'побудинковий звіт'!E124</f>
        <v>766.3</v>
      </c>
      <c r="D134" s="138">
        <f t="shared" si="46"/>
        <v>189.67839956033785</v>
      </c>
      <c r="E134" s="104">
        <f t="shared" si="40"/>
        <v>39.097836250646154</v>
      </c>
      <c r="F134" s="323">
        <v>31.301167351308784</v>
      </c>
      <c r="G134" s="104" t="e">
        <f t="shared" si="41"/>
        <v>#REF!</v>
      </c>
      <c r="H134" s="720">
        <f t="shared" si="47"/>
        <v>158.4715026750529</v>
      </c>
      <c r="I134" s="104" t="e">
        <f t="shared" si="48"/>
        <v>#REF!</v>
      </c>
      <c r="J134" s="28"/>
      <c r="K134" s="139" t="e">
        <f t="shared" si="49"/>
        <v>#REF!</v>
      </c>
      <c r="L134" s="200">
        <f t="shared" si="50"/>
        <v>34.271396012160842</v>
      </c>
      <c r="M134" s="104">
        <f t="shared" si="42"/>
        <v>7.5403214437549915</v>
      </c>
      <c r="N134" s="323">
        <v>0</v>
      </c>
      <c r="O134" s="104"/>
      <c r="P134" s="104">
        <f t="shared" si="51"/>
        <v>28.632884068021134</v>
      </c>
      <c r="Q134" s="104">
        <f t="shared" si="52"/>
        <v>9.0671243485982362</v>
      </c>
      <c r="R134" s="104"/>
      <c r="S134" s="140">
        <f t="shared" si="53"/>
        <v>79.511725872535209</v>
      </c>
      <c r="T134" s="880">
        <v>177.875</v>
      </c>
      <c r="U134" s="104"/>
      <c r="V134" s="148">
        <f t="shared" si="54"/>
        <v>177.875</v>
      </c>
      <c r="W134" s="236"/>
      <c r="X134" s="104"/>
      <c r="Y134" s="45">
        <f t="shared" si="55"/>
        <v>0</v>
      </c>
      <c r="Z134" s="138">
        <f t="shared" si="56"/>
        <v>0</v>
      </c>
      <c r="AA134" s="104">
        <f t="shared" si="43"/>
        <v>0</v>
      </c>
      <c r="AB134" s="323">
        <v>0</v>
      </c>
      <c r="AC134" s="104"/>
      <c r="AD134" s="104">
        <f t="shared" si="57"/>
        <v>0</v>
      </c>
      <c r="AE134" s="104">
        <f t="shared" si="58"/>
        <v>0</v>
      </c>
      <c r="AF134" s="104"/>
      <c r="AG134" s="139">
        <f t="shared" si="59"/>
        <v>0</v>
      </c>
      <c r="AH134" s="200">
        <f t="shared" si="60"/>
        <v>91.30869453495643</v>
      </c>
      <c r="AI134" s="104">
        <f t="shared" si="44"/>
        <v>18.212952050804624</v>
      </c>
      <c r="AJ134" s="323">
        <v>12.28943718915928</v>
      </c>
      <c r="AK134" s="118" t="e">
        <f t="shared" si="45"/>
        <v>#REF!</v>
      </c>
      <c r="AL134" s="408"/>
      <c r="AM134" s="104">
        <f t="shared" si="61"/>
        <v>76.286103551021355</v>
      </c>
      <c r="AN134" s="104" t="e">
        <f t="shared" si="62"/>
        <v>#REF!</v>
      </c>
      <c r="AO134" s="104"/>
      <c r="AP134" s="140" t="e">
        <f t="shared" si="63"/>
        <v>#REF!</v>
      </c>
      <c r="AQ134" s="33"/>
      <c r="AR134" s="28"/>
      <c r="AS134" s="121"/>
      <c r="AT134" s="135" t="e">
        <f t="shared" si="64"/>
        <v>#REF!</v>
      </c>
      <c r="AU134" s="148" t="e">
        <f t="shared" si="65"/>
        <v>#REF!</v>
      </c>
      <c r="AW134" s="1">
        <v>2</v>
      </c>
      <c r="BA134" s="29">
        <v>172.94</v>
      </c>
      <c r="BB134" s="29">
        <v>30.8</v>
      </c>
      <c r="BC134" s="29">
        <v>0</v>
      </c>
      <c r="BD134" s="29">
        <v>88.06</v>
      </c>
      <c r="BF134" s="279">
        <f t="shared" ref="BF134:BF145" si="77">T134*1.2</f>
        <v>213.45</v>
      </c>
      <c r="BI134" s="323">
        <v>0</v>
      </c>
      <c r="BL134" s="107">
        <f>BA$398</f>
        <v>1.0967873225415627</v>
      </c>
      <c r="BM134" s="107">
        <f>BB$398</f>
        <v>1.1127076627324948</v>
      </c>
      <c r="BN134" s="107">
        <f>BC$398</f>
        <v>2.8314493742615632</v>
      </c>
      <c r="BO134" s="107">
        <f>BD$398</f>
        <v>1.036891829831438</v>
      </c>
    </row>
    <row r="135" spans="1:67" x14ac:dyDescent="0.25">
      <c r="A135" s="250" t="s">
        <v>362</v>
      </c>
      <c r="B135" s="227">
        <v>9</v>
      </c>
      <c r="C135" s="226">
        <f>'побудинковий звіт'!E125</f>
        <v>994.80000000000007</v>
      </c>
      <c r="D135" s="138">
        <f t="shared" si="46"/>
        <v>328.61442582247645</v>
      </c>
      <c r="E135" s="104">
        <f t="shared" si="40"/>
        <v>67.736300180665694</v>
      </c>
      <c r="F135" s="323">
        <v>81.529893543446263</v>
      </c>
      <c r="G135" s="104" t="e">
        <f t="shared" si="41"/>
        <v>#REF!</v>
      </c>
      <c r="H135" s="720">
        <f t="shared" si="47"/>
        <v>274.5490365876999</v>
      </c>
      <c r="I135" s="104" t="e">
        <f t="shared" si="48"/>
        <v>#REF!</v>
      </c>
      <c r="J135" s="28"/>
      <c r="K135" s="139" t="e">
        <f t="shared" si="49"/>
        <v>#REF!</v>
      </c>
      <c r="L135" s="200">
        <f t="shared" si="50"/>
        <v>60.699373800996476</v>
      </c>
      <c r="M135" s="104">
        <f t="shared" si="42"/>
        <v>13.354950283663561</v>
      </c>
      <c r="N135" s="323">
        <v>0</v>
      </c>
      <c r="O135" s="104"/>
      <c r="P135" s="104">
        <f t="shared" si="51"/>
        <v>50.712790702447641</v>
      </c>
      <c r="Q135" s="104">
        <f t="shared" si="52"/>
        <v>16.059129016524118</v>
      </c>
      <c r="R135" s="104"/>
      <c r="S135" s="140">
        <f t="shared" si="53"/>
        <v>140.8262438036318</v>
      </c>
      <c r="T135" s="880">
        <v>495.80833333333339</v>
      </c>
      <c r="U135" s="104"/>
      <c r="V135" s="148">
        <f t="shared" si="54"/>
        <v>495.80833333333339</v>
      </c>
      <c r="W135" s="882">
        <v>99.516666666666666</v>
      </c>
      <c r="X135" s="104"/>
      <c r="Y135" s="45">
        <f t="shared" si="55"/>
        <v>99.516666666666666</v>
      </c>
      <c r="Z135" s="138">
        <f t="shared" si="56"/>
        <v>9.4271478874683989</v>
      </c>
      <c r="AA135" s="104">
        <f t="shared" si="43"/>
        <v>2.0721617273868529</v>
      </c>
      <c r="AB135" s="323">
        <v>0</v>
      </c>
      <c r="AC135" s="104"/>
      <c r="AD135" s="104">
        <f t="shared" si="57"/>
        <v>7.8761434888206034</v>
      </c>
      <c r="AE135" s="104">
        <f t="shared" si="58"/>
        <v>2.4938694917845048</v>
      </c>
      <c r="AF135" s="104"/>
      <c r="AG135" s="139">
        <f t="shared" si="59"/>
        <v>21.869322595460361</v>
      </c>
      <c r="AH135" s="200">
        <f t="shared" si="60"/>
        <v>231.53345198364713</v>
      </c>
      <c r="AI135" s="104">
        <f t="shared" si="44"/>
        <v>46.182980499420545</v>
      </c>
      <c r="AJ135" s="323">
        <v>34.913199188299181</v>
      </c>
      <c r="AK135" s="118" t="e">
        <f t="shared" si="45"/>
        <v>#REF!</v>
      </c>
      <c r="AL135" s="408"/>
      <c r="AM135" s="104">
        <f t="shared" si="61"/>
        <v>193.44033975634107</v>
      </c>
      <c r="AN135" s="104" t="e">
        <f t="shared" si="62"/>
        <v>#REF!</v>
      </c>
      <c r="AO135" s="104"/>
      <c r="AP135" s="140" t="e">
        <f t="shared" si="63"/>
        <v>#REF!</v>
      </c>
      <c r="AQ135" s="33"/>
      <c r="AR135" s="28"/>
      <c r="AS135" s="121"/>
      <c r="AT135" s="135" t="e">
        <f t="shared" si="64"/>
        <v>#REF!</v>
      </c>
      <c r="AU135" s="148" t="e">
        <f t="shared" si="65"/>
        <v>#REF!</v>
      </c>
      <c r="AW135" s="1">
        <v>1</v>
      </c>
      <c r="BA135" s="29">
        <v>382.55</v>
      </c>
      <c r="BB135" s="29">
        <v>65.83</v>
      </c>
      <c r="BC135" s="29">
        <v>26.37</v>
      </c>
      <c r="BD135" s="29">
        <v>279.05</v>
      </c>
      <c r="BF135" s="279">
        <f t="shared" si="77"/>
        <v>594.97</v>
      </c>
      <c r="BI135" s="323">
        <v>8.51</v>
      </c>
      <c r="BL135" s="107">
        <f>$BA$397</f>
        <v>0.85901039294857251</v>
      </c>
      <c r="BM135" s="107">
        <f>$BB$397</f>
        <v>0.92206249128051765</v>
      </c>
      <c r="BN135" s="107">
        <f>$BC$397</f>
        <v>0.35749517965371247</v>
      </c>
      <c r="BO135" s="107">
        <f>$BD$397</f>
        <v>0.82972030812989472</v>
      </c>
    </row>
    <row r="136" spans="1:67" x14ac:dyDescent="0.25">
      <c r="A136" s="250" t="s">
        <v>212</v>
      </c>
      <c r="B136" s="227">
        <v>4</v>
      </c>
      <c r="C136" s="226">
        <f>'побудинковий звіт'!E126</f>
        <v>598.30999999999995</v>
      </c>
      <c r="D136" s="138">
        <f t="shared" si="46"/>
        <v>187.55063215460723</v>
      </c>
      <c r="E136" s="104">
        <f t="shared" si="40"/>
        <v>38.659245974676146</v>
      </c>
      <c r="F136" s="323">
        <v>31.282204608567682</v>
      </c>
      <c r="G136" s="104" t="e">
        <f t="shared" si="41"/>
        <v>#REF!</v>
      </c>
      <c r="H136" s="720">
        <f t="shared" si="47"/>
        <v>156.69380685459726</v>
      </c>
      <c r="I136" s="104" t="e">
        <f t="shared" si="48"/>
        <v>#REF!</v>
      </c>
      <c r="J136" s="28"/>
      <c r="K136" s="139" t="e">
        <f t="shared" si="49"/>
        <v>#REF!</v>
      </c>
      <c r="L136" s="200">
        <f t="shared" si="50"/>
        <v>34.271396012160842</v>
      </c>
      <c r="M136" s="104">
        <f t="shared" si="42"/>
        <v>7.5403214437549915</v>
      </c>
      <c r="N136" s="323">
        <v>0</v>
      </c>
      <c r="O136" s="104"/>
      <c r="P136" s="104">
        <f t="shared" si="51"/>
        <v>28.632884068021134</v>
      </c>
      <c r="Q136" s="104">
        <f t="shared" si="52"/>
        <v>9.0671243485982362</v>
      </c>
      <c r="R136" s="104"/>
      <c r="S136" s="140">
        <f t="shared" si="53"/>
        <v>79.511725872535209</v>
      </c>
      <c r="T136" s="880">
        <v>177.875</v>
      </c>
      <c r="U136" s="104"/>
      <c r="V136" s="148">
        <f t="shared" si="54"/>
        <v>177.875</v>
      </c>
      <c r="W136" s="236"/>
      <c r="X136" s="104"/>
      <c r="Y136" s="45">
        <f t="shared" si="55"/>
        <v>0</v>
      </c>
      <c r="Z136" s="138">
        <f t="shared" si="56"/>
        <v>0</v>
      </c>
      <c r="AA136" s="104">
        <f t="shared" si="43"/>
        <v>0</v>
      </c>
      <c r="AB136" s="323">
        <v>0</v>
      </c>
      <c r="AC136" s="104"/>
      <c r="AD136" s="104">
        <f t="shared" si="57"/>
        <v>0</v>
      </c>
      <c r="AE136" s="104">
        <f t="shared" si="58"/>
        <v>0</v>
      </c>
      <c r="AF136" s="104"/>
      <c r="AG136" s="139">
        <f t="shared" si="59"/>
        <v>0</v>
      </c>
      <c r="AH136" s="200">
        <f t="shared" si="60"/>
        <v>91.30869453495643</v>
      </c>
      <c r="AI136" s="104">
        <f t="shared" si="44"/>
        <v>18.212952050804624</v>
      </c>
      <c r="AJ136" s="323">
        <v>12.281992053543874</v>
      </c>
      <c r="AK136" s="118" t="e">
        <f t="shared" si="45"/>
        <v>#REF!</v>
      </c>
      <c r="AL136" s="104"/>
      <c r="AM136" s="104">
        <f t="shared" si="61"/>
        <v>76.286103551021355</v>
      </c>
      <c r="AN136" s="104" t="e">
        <f t="shared" si="62"/>
        <v>#REF!</v>
      </c>
      <c r="AO136" s="104"/>
      <c r="AP136" s="140" t="e">
        <f t="shared" si="63"/>
        <v>#REF!</v>
      </c>
      <c r="AQ136" s="33"/>
      <c r="AR136" s="28"/>
      <c r="AS136" s="121"/>
      <c r="AT136" s="135" t="e">
        <f t="shared" si="64"/>
        <v>#REF!</v>
      </c>
      <c r="AU136" s="148" t="e">
        <f t="shared" si="65"/>
        <v>#REF!</v>
      </c>
      <c r="AW136" s="1">
        <v>2</v>
      </c>
      <c r="BA136" s="29">
        <v>171</v>
      </c>
      <c r="BB136" s="29">
        <v>30.8</v>
      </c>
      <c r="BC136" s="29">
        <v>0</v>
      </c>
      <c r="BD136" s="29">
        <v>88.06</v>
      </c>
      <c r="BF136" s="279">
        <f t="shared" si="77"/>
        <v>213.45</v>
      </c>
      <c r="BI136" s="323">
        <v>0</v>
      </c>
      <c r="BL136" s="107">
        <f t="shared" ref="BL136:BO144" si="78">BA$398</f>
        <v>1.0967873225415627</v>
      </c>
      <c r="BM136" s="107">
        <f t="shared" si="78"/>
        <v>1.1127076627324948</v>
      </c>
      <c r="BN136" s="107">
        <f t="shared" si="78"/>
        <v>2.8314493742615632</v>
      </c>
      <c r="BO136" s="107">
        <f t="shared" si="78"/>
        <v>1.036891829831438</v>
      </c>
    </row>
    <row r="137" spans="1:67" x14ac:dyDescent="0.25">
      <c r="A137" s="250" t="s">
        <v>164</v>
      </c>
      <c r="B137" s="227">
        <v>2</v>
      </c>
      <c r="C137" s="226">
        <f>'побудинковий звіт'!E127</f>
        <v>465.59999999999997</v>
      </c>
      <c r="D137" s="138">
        <f t="shared" si="46"/>
        <v>118.25560911643129</v>
      </c>
      <c r="E137" s="104">
        <f t="shared" ref="E137:E200" si="79">D137*$BA$372</f>
        <v>24.375671935611592</v>
      </c>
      <c r="F137" s="323">
        <v>16.156256815417056</v>
      </c>
      <c r="G137" s="104" t="e">
        <f t="shared" ref="G137:G200" si="80">$G$369/$C$368*C137</f>
        <v>#REF!</v>
      </c>
      <c r="H137" s="720">
        <f t="shared" si="47"/>
        <v>98.799568743056582</v>
      </c>
      <c r="I137" s="104" t="e">
        <f t="shared" si="48"/>
        <v>#REF!</v>
      </c>
      <c r="J137" s="28"/>
      <c r="K137" s="139" t="e">
        <f t="shared" si="49"/>
        <v>#REF!</v>
      </c>
      <c r="L137" s="200">
        <f t="shared" si="50"/>
        <v>26.148630074213628</v>
      </c>
      <c r="M137" s="104">
        <f t="shared" ref="M137:M200" si="81">L137*$BB$372</f>
        <v>5.7531673353325417</v>
      </c>
      <c r="N137" s="323">
        <v>0</v>
      </c>
      <c r="O137" s="104"/>
      <c r="P137" s="104">
        <f t="shared" si="51"/>
        <v>21.846518688262876</v>
      </c>
      <c r="Q137" s="104">
        <f t="shared" si="52"/>
        <v>6.9180981231187841</v>
      </c>
      <c r="R137" s="104"/>
      <c r="S137" s="140">
        <f t="shared" si="53"/>
        <v>60.666414220927827</v>
      </c>
      <c r="T137" s="880">
        <v>84.583333333333343</v>
      </c>
      <c r="U137" s="104"/>
      <c r="V137" s="148">
        <f t="shared" si="54"/>
        <v>84.583333333333343</v>
      </c>
      <c r="W137" s="236"/>
      <c r="X137" s="104"/>
      <c r="Y137" s="45">
        <f t="shared" si="55"/>
        <v>0</v>
      </c>
      <c r="Z137" s="138">
        <f t="shared" si="56"/>
        <v>0</v>
      </c>
      <c r="AA137" s="104">
        <f t="shared" ref="AA137:AA200" si="82">Z137*$BC$372</f>
        <v>0</v>
      </c>
      <c r="AB137" s="323">
        <v>0</v>
      </c>
      <c r="AC137" s="104"/>
      <c r="AD137" s="104">
        <f t="shared" si="57"/>
        <v>0</v>
      </c>
      <c r="AE137" s="104">
        <f t="shared" si="58"/>
        <v>0</v>
      </c>
      <c r="AF137" s="104"/>
      <c r="AG137" s="139">
        <f t="shared" si="59"/>
        <v>0</v>
      </c>
      <c r="AH137" s="200">
        <f t="shared" si="60"/>
        <v>66.889891942426075</v>
      </c>
      <c r="AI137" s="104">
        <f t="shared" ref="AI137:AI200" si="83">AH137*$BD$372</f>
        <v>13.342238664517449</v>
      </c>
      <c r="AJ137" s="323">
        <v>6.3432555443237311</v>
      </c>
      <c r="AK137" s="118" t="e">
        <f t="shared" ref="AK137:AK200" si="84">$AK$369/$C$368*C137</f>
        <v>#REF!</v>
      </c>
      <c r="AL137" s="408"/>
      <c r="AM137" s="104">
        <f t="shared" si="61"/>
        <v>55.884811947267643</v>
      </c>
      <c r="AN137" s="104" t="e">
        <f t="shared" si="62"/>
        <v>#REF!</v>
      </c>
      <c r="AO137" s="104"/>
      <c r="AP137" s="140" t="e">
        <f t="shared" si="63"/>
        <v>#REF!</v>
      </c>
      <c r="AQ137" s="33"/>
      <c r="AR137" s="28"/>
      <c r="AS137" s="121"/>
      <c r="AT137" s="135" t="e">
        <f t="shared" si="64"/>
        <v>#REF!</v>
      </c>
      <c r="AU137" s="148" t="e">
        <f t="shared" si="65"/>
        <v>#REF!</v>
      </c>
      <c r="AW137" s="1">
        <v>2</v>
      </c>
      <c r="BA137" s="29">
        <v>107.82</v>
      </c>
      <c r="BB137" s="29">
        <v>23.5</v>
      </c>
      <c r="BC137" s="29">
        <v>0</v>
      </c>
      <c r="BD137" s="29">
        <v>64.510000000000005</v>
      </c>
      <c r="BF137" s="279">
        <f t="shared" si="77"/>
        <v>101.50000000000001</v>
      </c>
      <c r="BI137" s="323">
        <v>0</v>
      </c>
      <c r="BL137" s="107">
        <f t="shared" si="78"/>
        <v>1.0967873225415627</v>
      </c>
      <c r="BM137" s="107">
        <f t="shared" si="78"/>
        <v>1.1127076627324948</v>
      </c>
      <c r="BN137" s="107">
        <f t="shared" si="78"/>
        <v>2.8314493742615632</v>
      </c>
      <c r="BO137" s="107">
        <f t="shared" si="78"/>
        <v>1.036891829831438</v>
      </c>
    </row>
    <row r="138" spans="1:67" x14ac:dyDescent="0.25">
      <c r="A138" s="250" t="s">
        <v>165</v>
      </c>
      <c r="B138" s="227">
        <v>2</v>
      </c>
      <c r="C138" s="226">
        <f>'побудинковий звіт'!E128</f>
        <v>475.2</v>
      </c>
      <c r="D138" s="138">
        <f t="shared" ref="D138:D201" si="85">BA138*BL138</f>
        <v>76.775112577909397</v>
      </c>
      <c r="E138" s="104">
        <f t="shared" si="79"/>
        <v>15.825422328814799</v>
      </c>
      <c r="F138" s="323">
        <v>8.9103821169012409</v>
      </c>
      <c r="G138" s="104" t="e">
        <f t="shared" si="80"/>
        <v>#REF!</v>
      </c>
      <c r="H138" s="720">
        <f t="shared" ref="H138:H201" si="86">D138*$B$4</f>
        <v>64.143663624688941</v>
      </c>
      <c r="I138" s="104" t="e">
        <f t="shared" ref="I138:I201" si="87">(D138+E138+F138+G138+H138)*$B$5</f>
        <v>#REF!</v>
      </c>
      <c r="J138" s="28"/>
      <c r="K138" s="139" t="e">
        <f t="shared" ref="K138:K201" si="88">D138+E138+F138+G138+H138+I138-J138</f>
        <v>#REF!</v>
      </c>
      <c r="L138" s="200">
        <f t="shared" ref="L138:L201" si="89">BB138*BM138</f>
        <v>12.618104895386491</v>
      </c>
      <c r="M138" s="104">
        <f t="shared" si="81"/>
        <v>2.7762092588370648</v>
      </c>
      <c r="N138" s="323">
        <v>0</v>
      </c>
      <c r="O138" s="104"/>
      <c r="P138" s="104">
        <f t="shared" ref="P138:P201" si="90">L138*$B$4</f>
        <v>10.542107315953235</v>
      </c>
      <c r="Q138" s="104">
        <f t="shared" ref="Q138:Q201" si="91">(L138+M138+N138+O138+P138)*$B$5</f>
        <v>3.3383503283475324</v>
      </c>
      <c r="R138" s="104"/>
      <c r="S138" s="140">
        <f t="shared" ref="S138:S201" si="92">L138+M138+N138+O138+P138+Q138-R138</f>
        <v>29.27477179852432</v>
      </c>
      <c r="T138" s="880">
        <v>47.366666666666674</v>
      </c>
      <c r="U138" s="104"/>
      <c r="V138" s="148">
        <f t="shared" ref="V138:V201" si="93">T138+U138</f>
        <v>47.366666666666674</v>
      </c>
      <c r="W138" s="236"/>
      <c r="X138" s="104"/>
      <c r="Y138" s="45">
        <f t="shared" ref="Y138:Y201" si="94">W138+X138</f>
        <v>0</v>
      </c>
      <c r="Z138" s="138">
        <f t="shared" ref="Z138:Z201" si="95">BC138*BN138</f>
        <v>0</v>
      </c>
      <c r="AA138" s="104">
        <f t="shared" si="82"/>
        <v>0</v>
      </c>
      <c r="AB138" s="323">
        <v>0</v>
      </c>
      <c r="AC138" s="104"/>
      <c r="AD138" s="104">
        <f t="shared" ref="AD138:AD201" si="96">Z138*$B$4</f>
        <v>0</v>
      </c>
      <c r="AE138" s="104">
        <f t="shared" ref="AE138:AE201" si="97">(Z138+AA138+AB138+AC138+AD138)*$B$5</f>
        <v>0</v>
      </c>
      <c r="AF138" s="104"/>
      <c r="AG138" s="139">
        <f t="shared" ref="AG138:AG201" si="98">Z138+AA138+AB138+AC138+AD138+AE138-AF138</f>
        <v>0</v>
      </c>
      <c r="AH138" s="200">
        <f t="shared" ref="AH138:AH201" si="99">BD138*BO138</f>
        <v>29.706950924670696</v>
      </c>
      <c r="AI138" s="104">
        <f t="shared" si="83"/>
        <v>5.9255175591137004</v>
      </c>
      <c r="AJ138" s="323">
        <v>3.498386501949017</v>
      </c>
      <c r="AK138" s="118" t="e">
        <f t="shared" si="84"/>
        <v>#REF!</v>
      </c>
      <c r="AL138" s="408"/>
      <c r="AM138" s="104">
        <f t="shared" ref="AM138:AM201" si="100">AH138*$B$4</f>
        <v>24.819405709025229</v>
      </c>
      <c r="AN138" s="104" t="e">
        <f t="shared" ref="AN138:AN201" si="101">(AH138+AI138+AJ138+AK138+AL138+AM138)*$B$5</f>
        <v>#REF!</v>
      </c>
      <c r="AO138" s="104"/>
      <c r="AP138" s="140" t="e">
        <f t="shared" ref="AP138:AP201" si="102">AH138+AI138+AJ138+AK138+AL138+AM138+AN138-AO138</f>
        <v>#REF!</v>
      </c>
      <c r="AQ138" s="33"/>
      <c r="AR138" s="28"/>
      <c r="AS138" s="121"/>
      <c r="AT138" s="135" t="e">
        <f t="shared" ref="AT138:AT201" si="103">IF(B138&gt;1,C138*$AT$5,0)</f>
        <v>#REF!</v>
      </c>
      <c r="AU138" s="148" t="e">
        <f t="shared" ref="AU138:AU201" si="104">K138+S138+V138+Y138+AG138+AP138+AS138+AT138</f>
        <v>#REF!</v>
      </c>
      <c r="AW138" s="1">
        <v>2</v>
      </c>
      <c r="BA138" s="29">
        <v>70</v>
      </c>
      <c r="BB138" s="29">
        <v>11.34</v>
      </c>
      <c r="BC138" s="29">
        <v>0</v>
      </c>
      <c r="BD138" s="29">
        <v>28.65</v>
      </c>
      <c r="BF138" s="279">
        <f t="shared" si="77"/>
        <v>56.840000000000011</v>
      </c>
      <c r="BI138" s="323">
        <v>0</v>
      </c>
      <c r="BL138" s="107">
        <f t="shared" si="78"/>
        <v>1.0967873225415627</v>
      </c>
      <c r="BM138" s="107">
        <f t="shared" si="78"/>
        <v>1.1127076627324948</v>
      </c>
      <c r="BN138" s="107">
        <f t="shared" si="78"/>
        <v>2.8314493742615632</v>
      </c>
      <c r="BO138" s="107">
        <f t="shared" si="78"/>
        <v>1.036891829831438</v>
      </c>
    </row>
    <row r="139" spans="1:67" x14ac:dyDescent="0.25">
      <c r="A139" s="250" t="s">
        <v>260</v>
      </c>
      <c r="B139" s="227">
        <v>5</v>
      </c>
      <c r="C139" s="226">
        <f>'побудинковий звіт'!E129</f>
        <v>1107.8</v>
      </c>
      <c r="D139" s="138">
        <f t="shared" si="85"/>
        <v>409.41973963153998</v>
      </c>
      <c r="E139" s="104">
        <f t="shared" si="79"/>
        <v>84.392455730332514</v>
      </c>
      <c r="F139" s="323">
        <v>73.017305107454305</v>
      </c>
      <c r="G139" s="104" t="e">
        <f t="shared" si="80"/>
        <v>#REF!</v>
      </c>
      <c r="H139" s="720">
        <f t="shared" si="86"/>
        <v>342.05983134943051</v>
      </c>
      <c r="I139" s="104" t="e">
        <f t="shared" si="87"/>
        <v>#REF!</v>
      </c>
      <c r="J139" s="28"/>
      <c r="K139" s="139" t="e">
        <f t="shared" si="88"/>
        <v>#REF!</v>
      </c>
      <c r="L139" s="200">
        <f t="shared" si="89"/>
        <v>85.856523256439289</v>
      </c>
      <c r="M139" s="104">
        <f t="shared" si="81"/>
        <v>18.889974110393997</v>
      </c>
      <c r="N139" s="323">
        <v>0</v>
      </c>
      <c r="O139" s="104"/>
      <c r="P139" s="104">
        <f t="shared" si="90"/>
        <v>71.730952424951639</v>
      </c>
      <c r="Q139" s="104">
        <f t="shared" si="91"/>
        <v>22.714912816163633</v>
      </c>
      <c r="R139" s="104"/>
      <c r="S139" s="140">
        <f t="shared" si="92"/>
        <v>199.19236260794855</v>
      </c>
      <c r="T139" s="880">
        <v>410.26666666666665</v>
      </c>
      <c r="U139" s="104"/>
      <c r="V139" s="148">
        <f t="shared" si="93"/>
        <v>410.26666666666665</v>
      </c>
      <c r="W139" s="236"/>
      <c r="X139" s="104"/>
      <c r="Y139" s="45">
        <f t="shared" si="94"/>
        <v>0</v>
      </c>
      <c r="Z139" s="138">
        <f t="shared" si="95"/>
        <v>0</v>
      </c>
      <c r="AA139" s="104">
        <f t="shared" si="82"/>
        <v>0</v>
      </c>
      <c r="AB139" s="323">
        <v>0</v>
      </c>
      <c r="AC139" s="104"/>
      <c r="AD139" s="104">
        <f t="shared" si="96"/>
        <v>0</v>
      </c>
      <c r="AE139" s="104">
        <f t="shared" si="97"/>
        <v>0</v>
      </c>
      <c r="AF139" s="104"/>
      <c r="AG139" s="139">
        <f t="shared" si="98"/>
        <v>0</v>
      </c>
      <c r="AH139" s="200">
        <f t="shared" si="99"/>
        <v>242.37346522309863</v>
      </c>
      <c r="AI139" s="104">
        <f t="shared" si="83"/>
        <v>48.345191254548958</v>
      </c>
      <c r="AJ139" s="323">
        <v>28.667991029485307</v>
      </c>
      <c r="AK139" s="118" t="e">
        <f t="shared" si="84"/>
        <v>#REF!</v>
      </c>
      <c r="AL139" s="408"/>
      <c r="AM139" s="104">
        <f t="shared" si="100"/>
        <v>202.49689649161076</v>
      </c>
      <c r="AN139" s="104" t="e">
        <f t="shared" si="101"/>
        <v>#REF!</v>
      </c>
      <c r="AO139" s="104"/>
      <c r="AP139" s="140" t="e">
        <f t="shared" si="102"/>
        <v>#REF!</v>
      </c>
      <c r="AQ139" s="33"/>
      <c r="AR139" s="28"/>
      <c r="AS139" s="121"/>
      <c r="AT139" s="135" t="e">
        <f t="shared" si="103"/>
        <v>#REF!</v>
      </c>
      <c r="AU139" s="148" t="e">
        <f t="shared" si="104"/>
        <v>#REF!</v>
      </c>
      <c r="AW139" s="1">
        <v>2</v>
      </c>
      <c r="BA139" s="29">
        <v>373.29</v>
      </c>
      <c r="BB139" s="29">
        <v>77.16</v>
      </c>
      <c r="BC139" s="29">
        <v>0</v>
      </c>
      <c r="BD139" s="29">
        <v>233.75</v>
      </c>
      <c r="BF139" s="279">
        <f t="shared" si="77"/>
        <v>492.31999999999994</v>
      </c>
      <c r="BG139" s="1">
        <v>393.95</v>
      </c>
      <c r="BI139" s="323">
        <v>0</v>
      </c>
      <c r="BL139" s="107">
        <f t="shared" si="78"/>
        <v>1.0967873225415627</v>
      </c>
      <c r="BM139" s="107">
        <f t="shared" si="78"/>
        <v>1.1127076627324948</v>
      </c>
      <c r="BN139" s="107">
        <f t="shared" si="78"/>
        <v>2.8314493742615632</v>
      </c>
      <c r="BO139" s="107">
        <f t="shared" si="78"/>
        <v>1.036891829831438</v>
      </c>
    </row>
    <row r="140" spans="1:67" x14ac:dyDescent="0.25">
      <c r="A140" s="250" t="s">
        <v>166</v>
      </c>
      <c r="B140" s="227">
        <v>2</v>
      </c>
      <c r="C140" s="226">
        <f>'побудинковий звіт'!E130</f>
        <v>1472.6</v>
      </c>
      <c r="D140" s="138">
        <f t="shared" si="85"/>
        <v>30.359073087950456</v>
      </c>
      <c r="E140" s="104">
        <f t="shared" si="79"/>
        <v>6.257824143737051</v>
      </c>
      <c r="F140" s="323">
        <v>7.1489540133946363</v>
      </c>
      <c r="G140" s="104" t="e">
        <f t="shared" si="80"/>
        <v>#REF!</v>
      </c>
      <c r="H140" s="720">
        <f t="shared" si="86"/>
        <v>25.364237273305566</v>
      </c>
      <c r="I140" s="104" t="e">
        <f t="shared" si="87"/>
        <v>#REF!</v>
      </c>
      <c r="J140" s="28"/>
      <c r="K140" s="139" t="e">
        <f t="shared" si="88"/>
        <v>#REF!</v>
      </c>
      <c r="L140" s="200">
        <f t="shared" si="89"/>
        <v>10.581849872586025</v>
      </c>
      <c r="M140" s="104">
        <f t="shared" si="81"/>
        <v>2.3281966535749987</v>
      </c>
      <c r="N140" s="323">
        <v>0</v>
      </c>
      <c r="O140" s="104"/>
      <c r="P140" s="104">
        <f t="shared" si="90"/>
        <v>8.840867775548082</v>
      </c>
      <c r="Q140" s="104">
        <f t="shared" si="91"/>
        <v>2.7996218362067928</v>
      </c>
      <c r="R140" s="104"/>
      <c r="S140" s="140">
        <f t="shared" si="92"/>
        <v>24.550536137915898</v>
      </c>
      <c r="T140" s="880">
        <v>38.425000000000004</v>
      </c>
      <c r="U140" s="104"/>
      <c r="V140" s="148">
        <f t="shared" si="93"/>
        <v>38.425000000000004</v>
      </c>
      <c r="W140" s="236"/>
      <c r="X140" s="104"/>
      <c r="Y140" s="45">
        <f t="shared" si="94"/>
        <v>0</v>
      </c>
      <c r="Z140" s="138">
        <f t="shared" si="95"/>
        <v>0</v>
      </c>
      <c r="AA140" s="104">
        <f t="shared" si="82"/>
        <v>0</v>
      </c>
      <c r="AB140" s="323">
        <v>0</v>
      </c>
      <c r="AC140" s="104"/>
      <c r="AD140" s="104">
        <f t="shared" si="96"/>
        <v>0</v>
      </c>
      <c r="AE140" s="104">
        <f t="shared" si="97"/>
        <v>0</v>
      </c>
      <c r="AF140" s="104"/>
      <c r="AG140" s="139">
        <f t="shared" si="98"/>
        <v>0</v>
      </c>
      <c r="AH140" s="200">
        <f t="shared" si="99"/>
        <v>14.796446411694619</v>
      </c>
      <c r="AI140" s="104">
        <f t="shared" si="83"/>
        <v>2.9513834404381329</v>
      </c>
      <c r="AJ140" s="323">
        <v>2.8068161270070977</v>
      </c>
      <c r="AK140" s="118" t="e">
        <f t="shared" si="84"/>
        <v>#REF!</v>
      </c>
      <c r="AL140" s="408"/>
      <c r="AM140" s="104">
        <f t="shared" si="100"/>
        <v>12.362056525926354</v>
      </c>
      <c r="AN140" s="104" t="e">
        <f t="shared" si="101"/>
        <v>#REF!</v>
      </c>
      <c r="AO140" s="104"/>
      <c r="AP140" s="140" t="e">
        <f t="shared" si="102"/>
        <v>#REF!</v>
      </c>
      <c r="AQ140" s="33"/>
      <c r="AR140" s="28"/>
      <c r="AS140" s="121"/>
      <c r="AT140" s="135" t="e">
        <f t="shared" si="103"/>
        <v>#REF!</v>
      </c>
      <c r="AU140" s="148" t="e">
        <f t="shared" si="104"/>
        <v>#REF!</v>
      </c>
      <c r="AW140" s="1">
        <v>2</v>
      </c>
      <c r="BA140" s="29">
        <v>27.68</v>
      </c>
      <c r="BB140" s="29">
        <v>9.51</v>
      </c>
      <c r="BC140" s="29">
        <v>0</v>
      </c>
      <c r="BD140" s="29">
        <v>14.27</v>
      </c>
      <c r="BF140" s="279">
        <f t="shared" si="77"/>
        <v>46.110000000000007</v>
      </c>
      <c r="BI140" s="323">
        <v>0</v>
      </c>
      <c r="BL140" s="107">
        <f t="shared" si="78"/>
        <v>1.0967873225415627</v>
      </c>
      <c r="BM140" s="107">
        <f t="shared" si="78"/>
        <v>1.1127076627324948</v>
      </c>
      <c r="BN140" s="107">
        <f t="shared" si="78"/>
        <v>2.8314493742615632</v>
      </c>
      <c r="BO140" s="107">
        <f t="shared" si="78"/>
        <v>1.036891829831438</v>
      </c>
    </row>
    <row r="141" spans="1:67" x14ac:dyDescent="0.25">
      <c r="A141" s="424" t="s">
        <v>99</v>
      </c>
      <c r="B141" s="228">
        <v>1</v>
      </c>
      <c r="C141" s="226">
        <f>'побудинковий звіт'!E131</f>
        <v>498.78</v>
      </c>
      <c r="D141" s="138">
        <f t="shared" si="85"/>
        <v>0</v>
      </c>
      <c r="E141" s="104">
        <f t="shared" si="79"/>
        <v>0</v>
      </c>
      <c r="F141" s="323">
        <v>0</v>
      </c>
      <c r="G141" s="104" t="e">
        <f t="shared" si="80"/>
        <v>#REF!</v>
      </c>
      <c r="H141" s="720">
        <f t="shared" si="86"/>
        <v>0</v>
      </c>
      <c r="I141" s="104" t="e">
        <f t="shared" si="87"/>
        <v>#REF!</v>
      </c>
      <c r="J141" s="28"/>
      <c r="K141" s="139" t="e">
        <f t="shared" si="88"/>
        <v>#REF!</v>
      </c>
      <c r="L141" s="200">
        <f t="shared" si="89"/>
        <v>0</v>
      </c>
      <c r="M141" s="104">
        <f t="shared" si="81"/>
        <v>0</v>
      </c>
      <c r="N141" s="323">
        <v>0</v>
      </c>
      <c r="O141" s="104"/>
      <c r="P141" s="104">
        <f t="shared" si="90"/>
        <v>0</v>
      </c>
      <c r="Q141" s="104">
        <f t="shared" si="91"/>
        <v>0</v>
      </c>
      <c r="R141" s="104"/>
      <c r="S141" s="140">
        <f t="shared" si="92"/>
        <v>0</v>
      </c>
      <c r="T141" s="880">
        <v>42.433333333333337</v>
      </c>
      <c r="U141" s="104"/>
      <c r="V141" s="148">
        <f t="shared" si="93"/>
        <v>42.433333333333337</v>
      </c>
      <c r="W141" s="236"/>
      <c r="X141" s="104"/>
      <c r="Y141" s="45">
        <f t="shared" si="94"/>
        <v>0</v>
      </c>
      <c r="Z141" s="138">
        <f t="shared" si="95"/>
        <v>0</v>
      </c>
      <c r="AA141" s="104">
        <f t="shared" si="82"/>
        <v>0</v>
      </c>
      <c r="AB141" s="323">
        <v>0</v>
      </c>
      <c r="AC141" s="104"/>
      <c r="AD141" s="104">
        <f t="shared" si="96"/>
        <v>0</v>
      </c>
      <c r="AE141" s="104">
        <f t="shared" si="97"/>
        <v>0</v>
      </c>
      <c r="AF141" s="104"/>
      <c r="AG141" s="139">
        <f t="shared" si="98"/>
        <v>0</v>
      </c>
      <c r="AH141" s="200">
        <f t="shared" si="99"/>
        <v>0</v>
      </c>
      <c r="AI141" s="104">
        <f t="shared" si="83"/>
        <v>0</v>
      </c>
      <c r="AJ141" s="323">
        <v>0</v>
      </c>
      <c r="AK141" s="118" t="e">
        <f t="shared" si="84"/>
        <v>#REF!</v>
      </c>
      <c r="AL141" s="104"/>
      <c r="AM141" s="104">
        <f t="shared" si="100"/>
        <v>0</v>
      </c>
      <c r="AN141" s="104" t="e">
        <f t="shared" si="101"/>
        <v>#REF!</v>
      </c>
      <c r="AO141" s="104"/>
      <c r="AP141" s="140" t="e">
        <f t="shared" si="102"/>
        <v>#REF!</v>
      </c>
      <c r="AQ141" s="33"/>
      <c r="AR141" s="28"/>
      <c r="AS141" s="121"/>
      <c r="AT141" s="135">
        <f t="shared" si="103"/>
        <v>0</v>
      </c>
      <c r="AU141" s="148" t="e">
        <f t="shared" si="104"/>
        <v>#REF!</v>
      </c>
      <c r="AW141" s="1">
        <v>2</v>
      </c>
      <c r="BA141" s="29">
        <v>0</v>
      </c>
      <c r="BB141" s="29">
        <v>0</v>
      </c>
      <c r="BC141" s="29">
        <v>0</v>
      </c>
      <c r="BD141" s="29">
        <v>0</v>
      </c>
      <c r="BF141" s="279">
        <f t="shared" si="77"/>
        <v>50.92</v>
      </c>
      <c r="BI141" s="323">
        <v>0</v>
      </c>
      <c r="BL141" s="107">
        <f t="shared" si="78"/>
        <v>1.0967873225415627</v>
      </c>
      <c r="BM141" s="107">
        <f t="shared" si="78"/>
        <v>1.1127076627324948</v>
      </c>
      <c r="BN141" s="107">
        <f t="shared" si="78"/>
        <v>2.8314493742615632</v>
      </c>
      <c r="BO141" s="107">
        <f t="shared" si="78"/>
        <v>1.036891829831438</v>
      </c>
    </row>
    <row r="142" spans="1:67" x14ac:dyDescent="0.25">
      <c r="A142" s="250" t="s">
        <v>261</v>
      </c>
      <c r="B142" s="227">
        <v>5</v>
      </c>
      <c r="C142" s="226">
        <f>'побудинковий звіт'!E132</f>
        <v>1482.7</v>
      </c>
      <c r="D142" s="138">
        <f t="shared" si="85"/>
        <v>220.49812332375578</v>
      </c>
      <c r="E142" s="104">
        <f t="shared" si="79"/>
        <v>45.450612928356101</v>
      </c>
      <c r="F142" s="323">
        <v>67.800865276519303</v>
      </c>
      <c r="G142" s="104" t="e">
        <f t="shared" si="80"/>
        <v>#REF!</v>
      </c>
      <c r="H142" s="720">
        <f t="shared" si="86"/>
        <v>184.22060193010662</v>
      </c>
      <c r="I142" s="104" t="e">
        <f t="shared" si="87"/>
        <v>#REF!</v>
      </c>
      <c r="J142" s="28"/>
      <c r="K142" s="139" t="e">
        <f t="shared" si="88"/>
        <v>#REF!</v>
      </c>
      <c r="L142" s="200">
        <f t="shared" si="89"/>
        <v>45.220439413448588</v>
      </c>
      <c r="M142" s="104">
        <f t="shared" si="81"/>
        <v>9.9493072556559365</v>
      </c>
      <c r="N142" s="323">
        <v>0</v>
      </c>
      <c r="O142" s="104"/>
      <c r="P142" s="104">
        <f t="shared" si="90"/>
        <v>37.780532744298014</v>
      </c>
      <c r="Q142" s="104">
        <f t="shared" si="91"/>
        <v>11.963893945682868</v>
      </c>
      <c r="R142" s="104"/>
      <c r="S142" s="140">
        <f t="shared" si="92"/>
        <v>104.91417335908541</v>
      </c>
      <c r="T142" s="880">
        <v>337.95000000000005</v>
      </c>
      <c r="U142" s="104"/>
      <c r="V142" s="148">
        <f t="shared" si="93"/>
        <v>337.95000000000005</v>
      </c>
      <c r="W142" s="882">
        <v>99.800000000000011</v>
      </c>
      <c r="X142" s="104"/>
      <c r="Y142" s="45">
        <f t="shared" si="94"/>
        <v>99.800000000000011</v>
      </c>
      <c r="Z142" s="138">
        <f t="shared" si="95"/>
        <v>0</v>
      </c>
      <c r="AA142" s="104">
        <f t="shared" si="82"/>
        <v>0</v>
      </c>
      <c r="AB142" s="323">
        <v>0</v>
      </c>
      <c r="AC142" s="104"/>
      <c r="AD142" s="104">
        <f t="shared" si="96"/>
        <v>0</v>
      </c>
      <c r="AE142" s="104">
        <f t="shared" si="97"/>
        <v>0</v>
      </c>
      <c r="AF142" s="104"/>
      <c r="AG142" s="139">
        <f t="shared" si="98"/>
        <v>0</v>
      </c>
      <c r="AH142" s="200">
        <f t="shared" si="99"/>
        <v>171.66781134689288</v>
      </c>
      <c r="AI142" s="104">
        <f t="shared" si="83"/>
        <v>34.241838990815509</v>
      </c>
      <c r="AJ142" s="323">
        <v>26.619916945416882</v>
      </c>
      <c r="AK142" s="118" t="e">
        <f t="shared" si="84"/>
        <v>#REF!</v>
      </c>
      <c r="AL142" s="104"/>
      <c r="AM142" s="104">
        <f t="shared" si="100"/>
        <v>143.42411201348054</v>
      </c>
      <c r="AN142" s="104" t="e">
        <f t="shared" si="101"/>
        <v>#REF!</v>
      </c>
      <c r="AO142" s="104"/>
      <c r="AP142" s="140" t="e">
        <f t="shared" si="102"/>
        <v>#REF!</v>
      </c>
      <c r="AQ142" s="33"/>
      <c r="AR142" s="28"/>
      <c r="AS142" s="121"/>
      <c r="AT142" s="135" t="e">
        <f t="shared" si="103"/>
        <v>#REF!</v>
      </c>
      <c r="AU142" s="148" t="e">
        <f t="shared" si="104"/>
        <v>#REF!</v>
      </c>
      <c r="AW142" s="1">
        <v>2</v>
      </c>
      <c r="BA142" s="29">
        <v>201.04</v>
      </c>
      <c r="BB142" s="29">
        <v>40.64</v>
      </c>
      <c r="BC142" s="29">
        <v>0</v>
      </c>
      <c r="BD142" s="29">
        <v>165.56</v>
      </c>
      <c r="BF142" s="279">
        <f t="shared" si="77"/>
        <v>405.54</v>
      </c>
      <c r="BI142" s="323">
        <v>0</v>
      </c>
      <c r="BL142" s="107">
        <f t="shared" si="78"/>
        <v>1.0967873225415627</v>
      </c>
      <c r="BM142" s="107">
        <f t="shared" si="78"/>
        <v>1.1127076627324948</v>
      </c>
      <c r="BN142" s="107">
        <f t="shared" si="78"/>
        <v>2.8314493742615632</v>
      </c>
      <c r="BO142" s="107">
        <f t="shared" si="78"/>
        <v>1.036891829831438</v>
      </c>
    </row>
    <row r="143" spans="1:67" x14ac:dyDescent="0.25">
      <c r="A143" s="250" t="s">
        <v>213</v>
      </c>
      <c r="B143" s="227">
        <v>4</v>
      </c>
      <c r="C143" s="226">
        <f>'побудинковий звіт'!E133</f>
        <v>626.29999999999995</v>
      </c>
      <c r="D143" s="138">
        <f t="shared" si="85"/>
        <v>288.81700564486971</v>
      </c>
      <c r="E143" s="104">
        <f t="shared" si="79"/>
        <v>59.532978026382864</v>
      </c>
      <c r="F143" s="323">
        <v>43.112849107598301</v>
      </c>
      <c r="G143" s="104" t="e">
        <f t="shared" si="80"/>
        <v>#REF!</v>
      </c>
      <c r="H143" s="720">
        <f t="shared" si="86"/>
        <v>241.29929917556194</v>
      </c>
      <c r="I143" s="104" t="e">
        <f t="shared" si="87"/>
        <v>#REF!</v>
      </c>
      <c r="J143" s="28"/>
      <c r="K143" s="139" t="e">
        <f t="shared" si="88"/>
        <v>#REF!</v>
      </c>
      <c r="L143" s="200">
        <f t="shared" si="89"/>
        <v>54.611692086910843</v>
      </c>
      <c r="M143" s="104">
        <f t="shared" si="81"/>
        <v>12.015551183749837</v>
      </c>
      <c r="N143" s="323">
        <v>0</v>
      </c>
      <c r="O143" s="104"/>
      <c r="P143" s="104">
        <f t="shared" si="90"/>
        <v>45.626686690210299</v>
      </c>
      <c r="Q143" s="104">
        <f t="shared" si="91"/>
        <v>14.448521526922125</v>
      </c>
      <c r="R143" s="104"/>
      <c r="S143" s="140">
        <f t="shared" si="92"/>
        <v>126.7024514877931</v>
      </c>
      <c r="T143" s="880">
        <v>237.60833333333335</v>
      </c>
      <c r="U143" s="104"/>
      <c r="V143" s="148">
        <f t="shared" si="93"/>
        <v>237.60833333333335</v>
      </c>
      <c r="W143" s="236"/>
      <c r="X143" s="104"/>
      <c r="Y143" s="45">
        <f t="shared" si="94"/>
        <v>0</v>
      </c>
      <c r="Z143" s="138">
        <f t="shared" si="95"/>
        <v>0</v>
      </c>
      <c r="AA143" s="104">
        <f t="shared" si="82"/>
        <v>0</v>
      </c>
      <c r="AB143" s="323">
        <v>0</v>
      </c>
      <c r="AC143" s="104"/>
      <c r="AD143" s="104">
        <f t="shared" si="96"/>
        <v>0</v>
      </c>
      <c r="AE143" s="104">
        <f t="shared" si="97"/>
        <v>0</v>
      </c>
      <c r="AF143" s="104"/>
      <c r="AG143" s="139">
        <f t="shared" si="98"/>
        <v>0</v>
      </c>
      <c r="AH143" s="200">
        <f t="shared" si="99"/>
        <v>126.57338566752364</v>
      </c>
      <c r="AI143" s="104">
        <f t="shared" si="83"/>
        <v>25.24704811312424</v>
      </c>
      <c r="AJ143" s="323">
        <v>22.526929440265025</v>
      </c>
      <c r="AK143" s="118" t="e">
        <f t="shared" si="84"/>
        <v>#REF!</v>
      </c>
      <c r="AL143" s="104">
        <v>1850</v>
      </c>
      <c r="AM143" s="104">
        <f t="shared" si="100"/>
        <v>105.7488605549986</v>
      </c>
      <c r="AN143" s="104" t="e">
        <f t="shared" si="101"/>
        <v>#REF!</v>
      </c>
      <c r="AO143" s="104"/>
      <c r="AP143" s="140" t="e">
        <f t="shared" si="102"/>
        <v>#REF!</v>
      </c>
      <c r="AQ143" s="33"/>
      <c r="AR143" s="28"/>
      <c r="AS143" s="121"/>
      <c r="AT143" s="135" t="e">
        <f t="shared" si="103"/>
        <v>#REF!</v>
      </c>
      <c r="AU143" s="148" t="e">
        <f t="shared" si="104"/>
        <v>#REF!</v>
      </c>
      <c r="AW143" s="1">
        <v>2</v>
      </c>
      <c r="BA143" s="29">
        <v>263.33</v>
      </c>
      <c r="BB143" s="29">
        <v>49.08</v>
      </c>
      <c r="BC143" s="29">
        <v>0</v>
      </c>
      <c r="BD143" s="29">
        <v>122.07</v>
      </c>
      <c r="BF143" s="279">
        <f t="shared" si="77"/>
        <v>285.13</v>
      </c>
      <c r="BI143" s="323">
        <v>0</v>
      </c>
      <c r="BL143" s="107">
        <f t="shared" si="78"/>
        <v>1.0967873225415627</v>
      </c>
      <c r="BM143" s="107">
        <f t="shared" si="78"/>
        <v>1.1127076627324948</v>
      </c>
      <c r="BN143" s="107">
        <f t="shared" si="78"/>
        <v>2.8314493742615632</v>
      </c>
      <c r="BO143" s="107">
        <f t="shared" si="78"/>
        <v>1.036891829831438</v>
      </c>
    </row>
    <row r="144" spans="1:67" x14ac:dyDescent="0.25">
      <c r="A144" s="425" t="s">
        <v>429</v>
      </c>
      <c r="B144" s="229">
        <v>5</v>
      </c>
      <c r="C144" s="226">
        <f>'побудинковий звіт'!E134</f>
        <v>2638.46</v>
      </c>
      <c r="D144" s="138">
        <f t="shared" si="85"/>
        <v>233.92280015166452</v>
      </c>
      <c r="E144" s="104">
        <f t="shared" si="79"/>
        <v>48.217801061280291</v>
      </c>
      <c r="F144" s="323">
        <v>59.232655317524134</v>
      </c>
      <c r="G144" s="104" t="e">
        <f t="shared" si="80"/>
        <v>#REF!</v>
      </c>
      <c r="H144" s="720">
        <f t="shared" si="86"/>
        <v>195.4365796839094</v>
      </c>
      <c r="I144" s="104" t="e">
        <f t="shared" si="87"/>
        <v>#REF!</v>
      </c>
      <c r="J144" s="28"/>
      <c r="K144" s="139" t="e">
        <f t="shared" si="88"/>
        <v>#REF!</v>
      </c>
      <c r="L144" s="200">
        <f t="shared" si="89"/>
        <v>48.336020869099571</v>
      </c>
      <c r="M144" s="104">
        <f t="shared" si="81"/>
        <v>10.634791023270026</v>
      </c>
      <c r="N144" s="323">
        <v>0</v>
      </c>
      <c r="O144" s="104"/>
      <c r="P144" s="104">
        <f t="shared" si="90"/>
        <v>40.383522205027205</v>
      </c>
      <c r="Q144" s="104">
        <f t="shared" si="91"/>
        <v>12.788177977373616</v>
      </c>
      <c r="R144" s="104"/>
      <c r="S144" s="140">
        <f t="shared" si="92"/>
        <v>112.14251207477042</v>
      </c>
      <c r="T144" s="880">
        <v>300.07499999999999</v>
      </c>
      <c r="U144" s="104"/>
      <c r="V144" s="148">
        <f t="shared" si="93"/>
        <v>300.07499999999999</v>
      </c>
      <c r="W144" s="882">
        <v>88.658333333333331</v>
      </c>
      <c r="X144" s="104"/>
      <c r="Y144" s="45">
        <f t="shared" si="94"/>
        <v>88.658333333333331</v>
      </c>
      <c r="Z144" s="138">
        <f t="shared" si="95"/>
        <v>0</v>
      </c>
      <c r="AA144" s="104">
        <f t="shared" si="82"/>
        <v>0</v>
      </c>
      <c r="AB144" s="323">
        <v>0</v>
      </c>
      <c r="AC144" s="104"/>
      <c r="AD144" s="104">
        <f t="shared" si="96"/>
        <v>0</v>
      </c>
      <c r="AE144" s="104">
        <f t="shared" si="97"/>
        <v>0</v>
      </c>
      <c r="AF144" s="104"/>
      <c r="AG144" s="139">
        <f t="shared" si="98"/>
        <v>0</v>
      </c>
      <c r="AH144" s="200">
        <f t="shared" si="99"/>
        <v>168.0697966973778</v>
      </c>
      <c r="AI144" s="104">
        <f t="shared" si="83"/>
        <v>33.524158504598248</v>
      </c>
      <c r="AJ144" s="323">
        <v>23.255873779461368</v>
      </c>
      <c r="AK144" s="118" t="e">
        <f t="shared" si="84"/>
        <v>#REF!</v>
      </c>
      <c r="AL144" s="408"/>
      <c r="AM144" s="104">
        <f t="shared" si="100"/>
        <v>140.41806182812914</v>
      </c>
      <c r="AN144" s="104" t="e">
        <f t="shared" si="101"/>
        <v>#REF!</v>
      </c>
      <c r="AO144" s="104"/>
      <c r="AP144" s="140" t="e">
        <f t="shared" si="102"/>
        <v>#REF!</v>
      </c>
      <c r="AQ144" s="33"/>
      <c r="AR144" s="28"/>
      <c r="AS144" s="121"/>
      <c r="AT144" s="135" t="e">
        <f t="shared" si="103"/>
        <v>#REF!</v>
      </c>
      <c r="AU144" s="148" t="e">
        <f t="shared" si="104"/>
        <v>#REF!</v>
      </c>
      <c r="AW144" s="1">
        <v>2</v>
      </c>
      <c r="BA144" s="29">
        <v>213.28</v>
      </c>
      <c r="BB144" s="29">
        <v>43.44</v>
      </c>
      <c r="BC144" s="29">
        <v>0</v>
      </c>
      <c r="BD144" s="29">
        <v>162.09</v>
      </c>
      <c r="BF144" s="279">
        <f t="shared" si="77"/>
        <v>360.09</v>
      </c>
      <c r="BI144" s="323">
        <v>0</v>
      </c>
      <c r="BL144" s="107">
        <f t="shared" si="78"/>
        <v>1.0967873225415627</v>
      </c>
      <c r="BM144" s="107">
        <f t="shared" si="78"/>
        <v>1.1127076627324948</v>
      </c>
      <c r="BN144" s="107">
        <f t="shared" si="78"/>
        <v>2.8314493742615632</v>
      </c>
      <c r="BO144" s="107">
        <f t="shared" si="78"/>
        <v>1.036891829831438</v>
      </c>
    </row>
    <row r="145" spans="1:67" x14ac:dyDescent="0.25">
      <c r="A145" s="250" t="s">
        <v>419</v>
      </c>
      <c r="B145" s="227">
        <v>10</v>
      </c>
      <c r="C145" s="226">
        <f>'побудинковий звіт'!E135</f>
        <v>1892.8</v>
      </c>
      <c r="D145" s="138">
        <f t="shared" si="85"/>
        <v>726.49085962839627</v>
      </c>
      <c r="E145" s="104">
        <f t="shared" si="79"/>
        <v>149.74936910676877</v>
      </c>
      <c r="F145" s="323">
        <v>140.23903461749791</v>
      </c>
      <c r="G145" s="104" t="e">
        <f t="shared" si="80"/>
        <v>#REF!</v>
      </c>
      <c r="H145" s="720">
        <f t="shared" si="86"/>
        <v>606.96472804421751</v>
      </c>
      <c r="I145" s="104" t="e">
        <f t="shared" si="87"/>
        <v>#REF!</v>
      </c>
      <c r="J145" s="28"/>
      <c r="K145" s="139" t="e">
        <f t="shared" si="88"/>
        <v>#REF!</v>
      </c>
      <c r="L145" s="200">
        <f t="shared" si="89"/>
        <v>122.22860384414543</v>
      </c>
      <c r="M145" s="104">
        <f t="shared" si="81"/>
        <v>26.892483815926504</v>
      </c>
      <c r="N145" s="323">
        <v>0</v>
      </c>
      <c r="O145" s="104"/>
      <c r="P145" s="104">
        <f t="shared" si="90"/>
        <v>102.11890529418896</v>
      </c>
      <c r="Q145" s="104">
        <f t="shared" si="91"/>
        <v>32.337811672952107</v>
      </c>
      <c r="R145" s="104"/>
      <c r="S145" s="140">
        <f t="shared" si="92"/>
        <v>283.57780462721303</v>
      </c>
      <c r="T145" s="880">
        <v>866.76666666666665</v>
      </c>
      <c r="U145" s="104"/>
      <c r="V145" s="148">
        <f t="shared" si="93"/>
        <v>866.76666666666665</v>
      </c>
      <c r="W145" s="882">
        <v>182.10833333333335</v>
      </c>
      <c r="X145" s="104"/>
      <c r="Y145" s="45">
        <f t="shared" si="94"/>
        <v>182.10833333333335</v>
      </c>
      <c r="Z145" s="138">
        <f t="shared" si="95"/>
        <v>15.107746292165888</v>
      </c>
      <c r="AA145" s="104">
        <f t="shared" si="82"/>
        <v>3.32080222219827</v>
      </c>
      <c r="AB145" s="323">
        <v>0</v>
      </c>
      <c r="AC145" s="104"/>
      <c r="AD145" s="104">
        <f t="shared" si="96"/>
        <v>12.622139698049248</v>
      </c>
      <c r="AE145" s="104">
        <f t="shared" si="97"/>
        <v>3.9966220979451328</v>
      </c>
      <c r="AF145" s="104"/>
      <c r="AG145" s="139">
        <f t="shared" si="98"/>
        <v>35.04731031035854</v>
      </c>
      <c r="AH145" s="200">
        <f t="shared" si="99"/>
        <v>275.11865976971046</v>
      </c>
      <c r="AI145" s="104">
        <f t="shared" si="83"/>
        <v>54.876734183830358</v>
      </c>
      <c r="AJ145" s="323">
        <v>60.053964708863106</v>
      </c>
      <c r="AK145" s="118" t="e">
        <f t="shared" si="84"/>
        <v>#REF!</v>
      </c>
      <c r="AL145" s="104"/>
      <c r="AM145" s="104">
        <f t="shared" si="100"/>
        <v>229.85467785847541</v>
      </c>
      <c r="AN145" s="104" t="e">
        <f t="shared" si="101"/>
        <v>#REF!</v>
      </c>
      <c r="AO145" s="104"/>
      <c r="AP145" s="140" t="e">
        <f t="shared" si="102"/>
        <v>#REF!</v>
      </c>
      <c r="AQ145" s="33"/>
      <c r="AR145" s="28"/>
      <c r="AS145" s="121"/>
      <c r="AT145" s="135" t="e">
        <f t="shared" si="103"/>
        <v>#REF!</v>
      </c>
      <c r="AU145" s="148" t="e">
        <f t="shared" si="104"/>
        <v>#REF!</v>
      </c>
      <c r="AW145" s="1">
        <v>1</v>
      </c>
      <c r="BA145" s="29">
        <v>845.73</v>
      </c>
      <c r="BB145" s="29">
        <v>132.56</v>
      </c>
      <c r="BC145" s="29">
        <v>42.26</v>
      </c>
      <c r="BD145" s="29">
        <v>331.58</v>
      </c>
      <c r="BF145" s="279">
        <f t="shared" si="77"/>
        <v>1040.1199999999999</v>
      </c>
      <c r="BI145" s="323">
        <v>0</v>
      </c>
      <c r="BL145" s="107">
        <f>$BA$397</f>
        <v>0.85901039294857251</v>
      </c>
      <c r="BM145" s="107">
        <f>$BB$397</f>
        <v>0.92206249128051765</v>
      </c>
      <c r="BN145" s="107">
        <f>$BC$397</f>
        <v>0.35749517965371247</v>
      </c>
      <c r="BO145" s="107">
        <f>$BD$397</f>
        <v>0.82972030812989472</v>
      </c>
    </row>
    <row r="146" spans="1:67" x14ac:dyDescent="0.25">
      <c r="A146" s="424" t="s">
        <v>100</v>
      </c>
      <c r="B146" s="228">
        <v>1</v>
      </c>
      <c r="C146" s="226">
        <f>'побудинковий звіт'!E136</f>
        <v>2858</v>
      </c>
      <c r="D146" s="138">
        <f t="shared" si="85"/>
        <v>0</v>
      </c>
      <c r="E146" s="104">
        <f t="shared" si="79"/>
        <v>0</v>
      </c>
      <c r="F146" s="323">
        <v>0</v>
      </c>
      <c r="G146" s="104" t="e">
        <f t="shared" si="80"/>
        <v>#REF!</v>
      </c>
      <c r="H146" s="720">
        <f t="shared" si="86"/>
        <v>0</v>
      </c>
      <c r="I146" s="104" t="e">
        <f t="shared" si="87"/>
        <v>#REF!</v>
      </c>
      <c r="J146" s="28"/>
      <c r="K146" s="139" t="e">
        <f t="shared" si="88"/>
        <v>#REF!</v>
      </c>
      <c r="L146" s="200">
        <f t="shared" si="89"/>
        <v>0</v>
      </c>
      <c r="M146" s="104">
        <f t="shared" si="81"/>
        <v>0</v>
      </c>
      <c r="N146" s="323">
        <v>0</v>
      </c>
      <c r="O146" s="104"/>
      <c r="P146" s="104">
        <f t="shared" si="90"/>
        <v>0</v>
      </c>
      <c r="Q146" s="104">
        <f t="shared" si="91"/>
        <v>0</v>
      </c>
      <c r="R146" s="104"/>
      <c r="S146" s="140">
        <f t="shared" si="92"/>
        <v>0</v>
      </c>
      <c r="T146" s="235"/>
      <c r="U146" s="104"/>
      <c r="V146" s="148">
        <f t="shared" si="93"/>
        <v>0</v>
      </c>
      <c r="W146" s="236"/>
      <c r="X146" s="104"/>
      <c r="Y146" s="45">
        <f t="shared" si="94"/>
        <v>0</v>
      </c>
      <c r="Z146" s="138">
        <f t="shared" si="95"/>
        <v>0</v>
      </c>
      <c r="AA146" s="104">
        <f t="shared" si="82"/>
        <v>0</v>
      </c>
      <c r="AB146" s="323">
        <v>0</v>
      </c>
      <c r="AC146" s="104"/>
      <c r="AD146" s="104">
        <f t="shared" si="96"/>
        <v>0</v>
      </c>
      <c r="AE146" s="104">
        <f t="shared" si="97"/>
        <v>0</v>
      </c>
      <c r="AF146" s="104"/>
      <c r="AG146" s="139">
        <f t="shared" si="98"/>
        <v>0</v>
      </c>
      <c r="AH146" s="200">
        <f t="shared" si="99"/>
        <v>0</v>
      </c>
      <c r="AI146" s="104">
        <f t="shared" si="83"/>
        <v>0</v>
      </c>
      <c r="AJ146" s="323">
        <v>0</v>
      </c>
      <c r="AK146" s="118" t="e">
        <f t="shared" si="84"/>
        <v>#REF!</v>
      </c>
      <c r="AL146" s="104"/>
      <c r="AM146" s="104">
        <f t="shared" si="100"/>
        <v>0</v>
      </c>
      <c r="AN146" s="104" t="e">
        <f t="shared" si="101"/>
        <v>#REF!</v>
      </c>
      <c r="AO146" s="104"/>
      <c r="AP146" s="140" t="e">
        <f t="shared" si="102"/>
        <v>#REF!</v>
      </c>
      <c r="AQ146" s="33"/>
      <c r="AR146" s="28"/>
      <c r="AS146" s="121"/>
      <c r="AT146" s="135">
        <f t="shared" si="103"/>
        <v>0</v>
      </c>
      <c r="AU146" s="148" t="e">
        <f t="shared" si="104"/>
        <v>#REF!</v>
      </c>
      <c r="AW146" s="1">
        <v>2</v>
      </c>
      <c r="BA146" s="29">
        <v>0</v>
      </c>
      <c r="BB146" s="29">
        <v>0</v>
      </c>
      <c r="BC146" s="29">
        <v>0</v>
      </c>
      <c r="BD146" s="29">
        <v>0</v>
      </c>
      <c r="BI146" s="323">
        <v>0</v>
      </c>
      <c r="BL146" s="107">
        <f>BA$398</f>
        <v>1.0967873225415627</v>
      </c>
      <c r="BM146" s="107">
        <f>BB$398</f>
        <v>1.1127076627324948</v>
      </c>
      <c r="BN146" s="107">
        <f>BC$398</f>
        <v>2.8314493742615632</v>
      </c>
      <c r="BO146" s="107">
        <f>BD$398</f>
        <v>1.036891829831438</v>
      </c>
    </row>
    <row r="147" spans="1:67" x14ac:dyDescent="0.25">
      <c r="A147" s="250" t="s">
        <v>363</v>
      </c>
      <c r="B147" s="227">
        <v>9</v>
      </c>
      <c r="C147" s="226">
        <f>'побудинковий звіт'!E137</f>
        <v>4254.1000000000004</v>
      </c>
      <c r="D147" s="138">
        <f t="shared" si="85"/>
        <v>852.60217541717611</v>
      </c>
      <c r="E147" s="104">
        <f t="shared" si="79"/>
        <v>175.74431415845748</v>
      </c>
      <c r="F147" s="323">
        <v>234.67772667248494</v>
      </c>
      <c r="G147" s="104" t="e">
        <f t="shared" si="80"/>
        <v>#REF!</v>
      </c>
      <c r="H147" s="720">
        <f t="shared" si="86"/>
        <v>712.32754090904609</v>
      </c>
      <c r="I147" s="104" t="e">
        <f t="shared" si="87"/>
        <v>#REF!</v>
      </c>
      <c r="J147" s="28"/>
      <c r="K147" s="139" t="e">
        <f t="shared" si="88"/>
        <v>#REF!</v>
      </c>
      <c r="L147" s="200">
        <f t="shared" si="89"/>
        <v>261.00822940677614</v>
      </c>
      <c r="M147" s="104">
        <f t="shared" si="81"/>
        <v>57.426489090029534</v>
      </c>
      <c r="N147" s="323">
        <v>0</v>
      </c>
      <c r="O147" s="104"/>
      <c r="P147" s="104">
        <f t="shared" si="90"/>
        <v>218.06577038040186</v>
      </c>
      <c r="Q147" s="104">
        <f t="shared" si="91"/>
        <v>69.054498719542494</v>
      </c>
      <c r="R147" s="104"/>
      <c r="S147" s="140">
        <f t="shared" si="92"/>
        <v>605.55498759675004</v>
      </c>
      <c r="T147" s="880">
        <v>1448.6083333333333</v>
      </c>
      <c r="U147" s="104"/>
      <c r="V147" s="148">
        <f t="shared" si="93"/>
        <v>1448.6083333333333</v>
      </c>
      <c r="W147" s="882">
        <v>315.47500000000002</v>
      </c>
      <c r="X147" s="104"/>
      <c r="Y147" s="45">
        <f t="shared" si="94"/>
        <v>315.47500000000002</v>
      </c>
      <c r="Z147" s="138">
        <f t="shared" si="95"/>
        <v>41.784036597925912</v>
      </c>
      <c r="AA147" s="104">
        <f t="shared" si="82"/>
        <v>9.1844619907840475</v>
      </c>
      <c r="AB147" s="323">
        <v>0</v>
      </c>
      <c r="AC147" s="104"/>
      <c r="AD147" s="104">
        <f t="shared" si="96"/>
        <v>34.909505156365263</v>
      </c>
      <c r="AE147" s="104">
        <f t="shared" si="97"/>
        <v>11.053601296919716</v>
      </c>
      <c r="AF147" s="104"/>
      <c r="AG147" s="139">
        <f t="shared" si="98"/>
        <v>96.931605041994942</v>
      </c>
      <c r="AH147" s="200">
        <f t="shared" si="99"/>
        <v>551.57316923551014</v>
      </c>
      <c r="AI147" s="104">
        <f t="shared" si="83"/>
        <v>110.01992455330513</v>
      </c>
      <c r="AJ147" s="323">
        <v>100.49504372292063</v>
      </c>
      <c r="AK147" s="118" t="e">
        <f t="shared" si="84"/>
        <v>#REF!</v>
      </c>
      <c r="AL147" s="104"/>
      <c r="AM147" s="104">
        <f t="shared" si="100"/>
        <v>460.82542433192208</v>
      </c>
      <c r="AN147" s="104" t="e">
        <f t="shared" si="101"/>
        <v>#REF!</v>
      </c>
      <c r="AO147" s="104"/>
      <c r="AP147" s="140" t="e">
        <f t="shared" si="102"/>
        <v>#REF!</v>
      </c>
      <c r="AQ147" s="33"/>
      <c r="AR147" s="28"/>
      <c r="AS147" s="121"/>
      <c r="AT147" s="135" t="e">
        <f t="shared" si="103"/>
        <v>#REF!</v>
      </c>
      <c r="AU147" s="148" t="e">
        <f t="shared" si="104"/>
        <v>#REF!</v>
      </c>
      <c r="AW147" s="1">
        <v>1</v>
      </c>
      <c r="BA147" s="29">
        <v>992.54</v>
      </c>
      <c r="BB147" s="29">
        <v>283.07</v>
      </c>
      <c r="BC147" s="29">
        <v>116.88</v>
      </c>
      <c r="BD147" s="29">
        <v>664.77</v>
      </c>
      <c r="BF147" s="279">
        <f t="shared" ref="BF147:BF154" si="105">T147*1.2</f>
        <v>1738.33</v>
      </c>
      <c r="BI147" s="323">
        <v>0</v>
      </c>
      <c r="BL147" s="107">
        <f t="shared" ref="BL147:BL161" si="106">$BA$397</f>
        <v>0.85901039294857251</v>
      </c>
      <c r="BM147" s="107">
        <f t="shared" ref="BM147:BM161" si="107">$BB$397</f>
        <v>0.92206249128051765</v>
      </c>
      <c r="BN147" s="107">
        <f t="shared" ref="BN147:BN161" si="108">$BC$397</f>
        <v>0.35749517965371247</v>
      </c>
      <c r="BO147" s="107">
        <f t="shared" ref="BO147:BO161" si="109">$BD$397</f>
        <v>0.82972030812989472</v>
      </c>
    </row>
    <row r="148" spans="1:67" x14ac:dyDescent="0.25">
      <c r="A148" s="250" t="s">
        <v>262</v>
      </c>
      <c r="B148" s="227">
        <v>5</v>
      </c>
      <c r="C148" s="226">
        <f>'побудинковий звіт'!E138</f>
        <v>130.1</v>
      </c>
      <c r="D148" s="138">
        <f t="shared" si="85"/>
        <v>303.49696193266016</v>
      </c>
      <c r="E148" s="104">
        <f t="shared" si="79"/>
        <v>62.558913127253938</v>
      </c>
      <c r="F148" s="323">
        <v>57.754899737662726</v>
      </c>
      <c r="G148" s="104" t="e">
        <f t="shared" si="80"/>
        <v>#REF!</v>
      </c>
      <c r="H148" s="720">
        <f t="shared" si="86"/>
        <v>253.56403115096128</v>
      </c>
      <c r="I148" s="104" t="e">
        <f t="shared" si="87"/>
        <v>#REF!</v>
      </c>
      <c r="J148" s="28"/>
      <c r="K148" s="139" t="e">
        <f t="shared" si="88"/>
        <v>#REF!</v>
      </c>
      <c r="L148" s="200">
        <f t="shared" si="89"/>
        <v>62.580381283208737</v>
      </c>
      <c r="M148" s="104">
        <f t="shared" si="81"/>
        <v>13.76880564715549</v>
      </c>
      <c r="N148" s="323">
        <v>0</v>
      </c>
      <c r="O148" s="104"/>
      <c r="P148" s="104">
        <f t="shared" si="90"/>
        <v>52.284324851513318</v>
      </c>
      <c r="Q148" s="104">
        <f t="shared" si="91"/>
        <v>16.556783933639554</v>
      </c>
      <c r="R148" s="104"/>
      <c r="S148" s="140">
        <f t="shared" si="92"/>
        <v>145.1902957155171</v>
      </c>
      <c r="T148" s="880">
        <v>368.62500000000006</v>
      </c>
      <c r="U148" s="104"/>
      <c r="V148" s="148">
        <f t="shared" si="93"/>
        <v>368.62500000000006</v>
      </c>
      <c r="W148" s="882">
        <v>77.858333333333348</v>
      </c>
      <c r="X148" s="104"/>
      <c r="Y148" s="45">
        <f t="shared" si="94"/>
        <v>77.858333333333348</v>
      </c>
      <c r="Z148" s="138">
        <f t="shared" si="95"/>
        <v>8.572734408096025</v>
      </c>
      <c r="AA148" s="104">
        <f t="shared" si="82"/>
        <v>1.8843548814082944</v>
      </c>
      <c r="AB148" s="323">
        <v>0</v>
      </c>
      <c r="AC148" s="104"/>
      <c r="AD148" s="104">
        <f t="shared" si="96"/>
        <v>7.1623026492953379</v>
      </c>
      <c r="AE148" s="104">
        <f t="shared" si="97"/>
        <v>2.2678418814179908</v>
      </c>
      <c r="AF148" s="104"/>
      <c r="AG148" s="139">
        <f t="shared" si="98"/>
        <v>19.887233820217649</v>
      </c>
      <c r="AH148" s="200">
        <f t="shared" si="99"/>
        <v>185.09400633761692</v>
      </c>
      <c r="AI148" s="104">
        <f t="shared" si="83"/>
        <v>36.919904281708419</v>
      </c>
      <c r="AJ148" s="323">
        <v>24.732134815885018</v>
      </c>
      <c r="AK148" s="118" t="e">
        <f t="shared" si="84"/>
        <v>#REF!</v>
      </c>
      <c r="AL148" s="104"/>
      <c r="AM148" s="104">
        <f t="shared" si="100"/>
        <v>154.6413581538956</v>
      </c>
      <c r="AN148" s="104" t="e">
        <f t="shared" si="101"/>
        <v>#REF!</v>
      </c>
      <c r="AO148" s="104"/>
      <c r="AP148" s="140" t="e">
        <f t="shared" si="102"/>
        <v>#REF!</v>
      </c>
      <c r="AQ148" s="33"/>
      <c r="AR148" s="28"/>
      <c r="AS148" s="121"/>
      <c r="AT148" s="135" t="e">
        <f t="shared" si="103"/>
        <v>#REF!</v>
      </c>
      <c r="AU148" s="148" t="e">
        <f t="shared" si="104"/>
        <v>#REF!</v>
      </c>
      <c r="AW148" s="1">
        <v>1</v>
      </c>
      <c r="BA148" s="29">
        <v>353.31</v>
      </c>
      <c r="BB148" s="29">
        <v>67.87</v>
      </c>
      <c r="BC148" s="29">
        <v>23.98</v>
      </c>
      <c r="BD148" s="29">
        <v>223.08</v>
      </c>
      <c r="BF148" s="279">
        <f t="shared" si="105"/>
        <v>442.35000000000008</v>
      </c>
      <c r="BI148" s="323">
        <v>0</v>
      </c>
      <c r="BL148" s="107">
        <f t="shared" si="106"/>
        <v>0.85901039294857251</v>
      </c>
      <c r="BM148" s="107">
        <f t="shared" si="107"/>
        <v>0.92206249128051765</v>
      </c>
      <c r="BN148" s="107">
        <f t="shared" si="108"/>
        <v>0.35749517965371247</v>
      </c>
      <c r="BO148" s="107">
        <f t="shared" si="109"/>
        <v>0.82972030812989472</v>
      </c>
    </row>
    <row r="149" spans="1:67" x14ac:dyDescent="0.25">
      <c r="A149" s="250" t="s">
        <v>364</v>
      </c>
      <c r="B149" s="227">
        <v>9</v>
      </c>
      <c r="C149" s="226">
        <f>'побудинковий звіт'!E139</f>
        <v>373.5</v>
      </c>
      <c r="D149" s="138">
        <f t="shared" si="85"/>
        <v>284.43552131313135</v>
      </c>
      <c r="E149" s="104">
        <f t="shared" si="79"/>
        <v>58.62983587981185</v>
      </c>
      <c r="F149" s="323">
        <v>76.409608767531751</v>
      </c>
      <c r="G149" s="104" t="e">
        <f t="shared" si="80"/>
        <v>#REF!</v>
      </c>
      <c r="H149" s="720">
        <f t="shared" si="86"/>
        <v>237.63867989784129</v>
      </c>
      <c r="I149" s="104" t="e">
        <f t="shared" si="87"/>
        <v>#REF!</v>
      </c>
      <c r="J149" s="28"/>
      <c r="K149" s="139" t="e">
        <f t="shared" si="88"/>
        <v>#REF!</v>
      </c>
      <c r="L149" s="200">
        <f t="shared" si="89"/>
        <v>70.095190587144941</v>
      </c>
      <c r="M149" s="104">
        <f t="shared" si="81"/>
        <v>15.422198398360987</v>
      </c>
      <c r="N149" s="323">
        <v>0</v>
      </c>
      <c r="O149" s="104"/>
      <c r="P149" s="104">
        <f t="shared" si="90"/>
        <v>58.562757849006061</v>
      </c>
      <c r="Q149" s="104">
        <f t="shared" si="91"/>
        <v>18.544964117213478</v>
      </c>
      <c r="R149" s="104"/>
      <c r="S149" s="140">
        <f t="shared" si="92"/>
        <v>162.62511095172547</v>
      </c>
      <c r="T149" s="880">
        <v>447.11666666666667</v>
      </c>
      <c r="U149" s="104"/>
      <c r="V149" s="148">
        <f t="shared" si="93"/>
        <v>447.11666666666667</v>
      </c>
      <c r="W149" s="882">
        <v>95.283333333333346</v>
      </c>
      <c r="X149" s="104"/>
      <c r="Y149" s="45">
        <f t="shared" si="94"/>
        <v>95.283333333333346</v>
      </c>
      <c r="Z149" s="138">
        <f t="shared" si="95"/>
        <v>8.7836565640917161</v>
      </c>
      <c r="AA149" s="104">
        <f t="shared" si="82"/>
        <v>1.9307172408758047</v>
      </c>
      <c r="AB149" s="323">
        <v>0</v>
      </c>
      <c r="AC149" s="104"/>
      <c r="AD149" s="104">
        <f t="shared" si="96"/>
        <v>7.338522772860153</v>
      </c>
      <c r="AE149" s="104">
        <f t="shared" si="97"/>
        <v>2.3236394923452894</v>
      </c>
      <c r="AF149" s="104"/>
      <c r="AG149" s="139">
        <f t="shared" si="98"/>
        <v>20.376536070172964</v>
      </c>
      <c r="AH149" s="200">
        <f t="shared" si="99"/>
        <v>163.91954407414201</v>
      </c>
      <c r="AI149" s="104">
        <f t="shared" si="83"/>
        <v>32.696325488140204</v>
      </c>
      <c r="AJ149" s="323">
        <v>32.72056143896792</v>
      </c>
      <c r="AK149" s="118" t="e">
        <f t="shared" si="84"/>
        <v>#REF!</v>
      </c>
      <c r="AL149" s="104">
        <v>2200</v>
      </c>
      <c r="AM149" s="104">
        <f t="shared" si="100"/>
        <v>136.95063079112253</v>
      </c>
      <c r="AN149" s="104" t="e">
        <f t="shared" si="101"/>
        <v>#REF!</v>
      </c>
      <c r="AO149" s="104"/>
      <c r="AP149" s="140" t="e">
        <f t="shared" si="102"/>
        <v>#REF!</v>
      </c>
      <c r="AQ149" s="33"/>
      <c r="AR149" s="28"/>
      <c r="AS149" s="121"/>
      <c r="AT149" s="135" t="e">
        <f t="shared" si="103"/>
        <v>#REF!</v>
      </c>
      <c r="AU149" s="148" t="e">
        <f t="shared" si="104"/>
        <v>#REF!</v>
      </c>
      <c r="AW149" s="1">
        <v>1</v>
      </c>
      <c r="BA149" s="29">
        <v>331.12</v>
      </c>
      <c r="BB149" s="29">
        <v>76.02</v>
      </c>
      <c r="BC149" s="29">
        <v>24.57</v>
      </c>
      <c r="BD149" s="29">
        <v>197.56</v>
      </c>
      <c r="BF149" s="279">
        <f t="shared" si="105"/>
        <v>536.54</v>
      </c>
      <c r="BI149" s="323">
        <v>8.51</v>
      </c>
      <c r="BL149" s="107">
        <f t="shared" si="106"/>
        <v>0.85901039294857251</v>
      </c>
      <c r="BM149" s="107">
        <f t="shared" si="107"/>
        <v>0.92206249128051765</v>
      </c>
      <c r="BN149" s="107">
        <f t="shared" si="108"/>
        <v>0.35749517965371247</v>
      </c>
      <c r="BO149" s="107">
        <f t="shared" si="109"/>
        <v>0.82972030812989472</v>
      </c>
    </row>
    <row r="150" spans="1:67" x14ac:dyDescent="0.25">
      <c r="A150" s="250" t="s">
        <v>365</v>
      </c>
      <c r="B150" s="227">
        <v>9</v>
      </c>
      <c r="C150" s="226">
        <f>'побудинковий звіт'!E140</f>
        <v>173.75</v>
      </c>
      <c r="D150" s="138">
        <f t="shared" si="85"/>
        <v>284.41834110527236</v>
      </c>
      <c r="E150" s="104">
        <f t="shared" si="79"/>
        <v>58.62629457539775</v>
      </c>
      <c r="F150" s="323">
        <v>76.336267925966411</v>
      </c>
      <c r="G150" s="104" t="e">
        <f t="shared" si="80"/>
        <v>#REF!</v>
      </c>
      <c r="H150" s="720">
        <f t="shared" si="86"/>
        <v>237.62432626895156</v>
      </c>
      <c r="I150" s="104" t="e">
        <f t="shared" si="87"/>
        <v>#REF!</v>
      </c>
      <c r="J150" s="28"/>
      <c r="K150" s="139" t="e">
        <f t="shared" si="88"/>
        <v>#REF!</v>
      </c>
      <c r="L150" s="200">
        <f t="shared" si="89"/>
        <v>70.095190587144941</v>
      </c>
      <c r="M150" s="104">
        <f t="shared" si="81"/>
        <v>15.422198398360987</v>
      </c>
      <c r="N150" s="323">
        <v>0</v>
      </c>
      <c r="O150" s="104"/>
      <c r="P150" s="104">
        <f t="shared" si="90"/>
        <v>58.562757849006061</v>
      </c>
      <c r="Q150" s="104">
        <f t="shared" si="91"/>
        <v>18.544964117213478</v>
      </c>
      <c r="R150" s="104"/>
      <c r="S150" s="140">
        <f t="shared" si="92"/>
        <v>162.62511095172547</v>
      </c>
      <c r="T150" s="880">
        <v>399.17500000000001</v>
      </c>
      <c r="U150" s="104"/>
      <c r="V150" s="148">
        <f t="shared" si="93"/>
        <v>399.17500000000001</v>
      </c>
      <c r="W150" s="882">
        <v>98.13333333333334</v>
      </c>
      <c r="X150" s="104"/>
      <c r="Y150" s="45">
        <f t="shared" si="94"/>
        <v>98.13333333333334</v>
      </c>
      <c r="Z150" s="138">
        <f t="shared" si="95"/>
        <v>8.7836565640917161</v>
      </c>
      <c r="AA150" s="104">
        <f t="shared" si="82"/>
        <v>1.9307172408758047</v>
      </c>
      <c r="AB150" s="323">
        <v>0</v>
      </c>
      <c r="AC150" s="104"/>
      <c r="AD150" s="104">
        <f t="shared" si="96"/>
        <v>7.338522772860153</v>
      </c>
      <c r="AE150" s="104">
        <f t="shared" si="97"/>
        <v>2.3236394923452894</v>
      </c>
      <c r="AF150" s="104"/>
      <c r="AG150" s="139">
        <f t="shared" si="98"/>
        <v>20.376536070172964</v>
      </c>
      <c r="AH150" s="200">
        <f t="shared" si="99"/>
        <v>177.66800957985436</v>
      </c>
      <c r="AI150" s="104">
        <f t="shared" si="83"/>
        <v>35.438672690703889</v>
      </c>
      <c r="AJ150" s="323">
        <v>32.689155002642281</v>
      </c>
      <c r="AK150" s="118" t="e">
        <f t="shared" si="84"/>
        <v>#REF!</v>
      </c>
      <c r="AL150" s="408">
        <v>2200</v>
      </c>
      <c r="AM150" s="104">
        <f t="shared" si="100"/>
        <v>148.43712579116757</v>
      </c>
      <c r="AN150" s="104" t="e">
        <f t="shared" si="101"/>
        <v>#REF!</v>
      </c>
      <c r="AO150" s="104"/>
      <c r="AP150" s="140" t="e">
        <f t="shared" si="102"/>
        <v>#REF!</v>
      </c>
      <c r="AQ150" s="33"/>
      <c r="AR150" s="28"/>
      <c r="AS150" s="121"/>
      <c r="AT150" s="135" t="e">
        <f t="shared" si="103"/>
        <v>#REF!</v>
      </c>
      <c r="AU150" s="148" t="e">
        <f t="shared" si="104"/>
        <v>#REF!</v>
      </c>
      <c r="AW150" s="1">
        <v>1</v>
      </c>
      <c r="BA150" s="29">
        <v>331.1</v>
      </c>
      <c r="BB150" s="29">
        <v>76.02</v>
      </c>
      <c r="BC150" s="29">
        <v>24.57</v>
      </c>
      <c r="BD150" s="29">
        <v>214.13</v>
      </c>
      <c r="BF150" s="279">
        <f t="shared" si="105"/>
        <v>479.01</v>
      </c>
      <c r="BI150" s="323">
        <v>8.51</v>
      </c>
      <c r="BL150" s="107">
        <f t="shared" si="106"/>
        <v>0.85901039294857251</v>
      </c>
      <c r="BM150" s="107">
        <f t="shared" si="107"/>
        <v>0.92206249128051765</v>
      </c>
      <c r="BN150" s="107">
        <f t="shared" si="108"/>
        <v>0.35749517965371247</v>
      </c>
      <c r="BO150" s="107">
        <f t="shared" si="109"/>
        <v>0.82972030812989472</v>
      </c>
    </row>
    <row r="151" spans="1:67" x14ac:dyDescent="0.25">
      <c r="A151" s="250" t="s">
        <v>366</v>
      </c>
      <c r="B151" s="227">
        <v>9</v>
      </c>
      <c r="C151" s="226">
        <f>'побудинковий звіт'!E141</f>
        <v>188.4</v>
      </c>
      <c r="D151" s="138">
        <f t="shared" si="85"/>
        <v>450.22452715220584</v>
      </c>
      <c r="E151" s="104">
        <f t="shared" si="79"/>
        <v>92.803423475860669</v>
      </c>
      <c r="F151" s="323">
        <v>86.957521017301772</v>
      </c>
      <c r="G151" s="104" t="e">
        <f t="shared" si="80"/>
        <v>#REF!</v>
      </c>
      <c r="H151" s="720">
        <f t="shared" si="86"/>
        <v>376.15119868342765</v>
      </c>
      <c r="I151" s="104" t="e">
        <f t="shared" si="87"/>
        <v>#REF!</v>
      </c>
      <c r="J151" s="28"/>
      <c r="K151" s="139" t="e">
        <f t="shared" si="88"/>
        <v>#REF!</v>
      </c>
      <c r="L151" s="200">
        <f t="shared" si="89"/>
        <v>76.199244279421976</v>
      </c>
      <c r="M151" s="104">
        <f t="shared" si="81"/>
        <v>16.765199626947542</v>
      </c>
      <c r="N151" s="323">
        <v>0</v>
      </c>
      <c r="O151" s="104"/>
      <c r="P151" s="104">
        <f t="shared" si="90"/>
        <v>63.66254023469957</v>
      </c>
      <c r="Q151" s="104">
        <f t="shared" si="91"/>
        <v>20.159903112950829</v>
      </c>
      <c r="R151" s="104"/>
      <c r="S151" s="140">
        <f t="shared" si="92"/>
        <v>176.78688725401992</v>
      </c>
      <c r="T151" s="880">
        <v>505.23333333333335</v>
      </c>
      <c r="U151" s="104"/>
      <c r="V151" s="148">
        <f t="shared" si="93"/>
        <v>505.23333333333335</v>
      </c>
      <c r="W151" s="882">
        <v>116.71666666666667</v>
      </c>
      <c r="X151" s="104"/>
      <c r="Y151" s="45">
        <f t="shared" si="94"/>
        <v>116.71666666666667</v>
      </c>
      <c r="Z151" s="138">
        <f t="shared" si="95"/>
        <v>9.4271478874683989</v>
      </c>
      <c r="AA151" s="104">
        <f t="shared" si="82"/>
        <v>2.0721617273868529</v>
      </c>
      <c r="AB151" s="323">
        <v>0</v>
      </c>
      <c r="AC151" s="104"/>
      <c r="AD151" s="104">
        <f t="shared" si="96"/>
        <v>7.8761434888206034</v>
      </c>
      <c r="AE151" s="104">
        <f t="shared" si="97"/>
        <v>2.4938694917845048</v>
      </c>
      <c r="AF151" s="104"/>
      <c r="AG151" s="139">
        <f t="shared" si="98"/>
        <v>21.869322595460361</v>
      </c>
      <c r="AH151" s="200">
        <f t="shared" si="99"/>
        <v>162.28499506712612</v>
      </c>
      <c r="AI151" s="104">
        <f t="shared" si="83"/>
        <v>32.370289037382783</v>
      </c>
      <c r="AJ151" s="323">
        <v>37.237448992619385</v>
      </c>
      <c r="AK151" s="118" t="e">
        <f t="shared" si="84"/>
        <v>#REF!</v>
      </c>
      <c r="AL151" s="104"/>
      <c r="AM151" s="104">
        <f t="shared" si="100"/>
        <v>135.58500646100254</v>
      </c>
      <c r="AN151" s="104" t="e">
        <f t="shared" si="101"/>
        <v>#REF!</v>
      </c>
      <c r="AO151" s="104"/>
      <c r="AP151" s="140" t="e">
        <f t="shared" si="102"/>
        <v>#REF!</v>
      </c>
      <c r="AQ151" s="33"/>
      <c r="AR151" s="28"/>
      <c r="AS151" s="121"/>
      <c r="AT151" s="135" t="e">
        <f t="shared" si="103"/>
        <v>#REF!</v>
      </c>
      <c r="AU151" s="148" t="e">
        <f t="shared" si="104"/>
        <v>#REF!</v>
      </c>
      <c r="AW151" s="1">
        <v>1</v>
      </c>
      <c r="BA151" s="29">
        <v>524.12</v>
      </c>
      <c r="BB151" s="29">
        <v>82.64</v>
      </c>
      <c r="BC151" s="29">
        <v>26.37</v>
      </c>
      <c r="BD151" s="29">
        <v>195.59</v>
      </c>
      <c r="BF151" s="279">
        <f t="shared" si="105"/>
        <v>606.28</v>
      </c>
      <c r="BI151" s="323">
        <v>0</v>
      </c>
      <c r="BL151" s="107">
        <f t="shared" si="106"/>
        <v>0.85901039294857251</v>
      </c>
      <c r="BM151" s="107">
        <f t="shared" si="107"/>
        <v>0.92206249128051765</v>
      </c>
      <c r="BN151" s="107">
        <f t="shared" si="108"/>
        <v>0.35749517965371247</v>
      </c>
      <c r="BO151" s="107">
        <f t="shared" si="109"/>
        <v>0.82972030812989472</v>
      </c>
    </row>
    <row r="152" spans="1:67" x14ac:dyDescent="0.25">
      <c r="A152" s="250" t="s">
        <v>420</v>
      </c>
      <c r="B152" s="227">
        <v>10</v>
      </c>
      <c r="C152" s="226">
        <f>'побудинковий звіт'!E142</f>
        <v>195.4</v>
      </c>
      <c r="D152" s="138">
        <f t="shared" si="85"/>
        <v>535.23219563839655</v>
      </c>
      <c r="E152" s="104">
        <f t="shared" si="79"/>
        <v>110.32579771681917</v>
      </c>
      <c r="F152" s="323">
        <v>106.67648264590775</v>
      </c>
      <c r="G152" s="104" t="e">
        <f t="shared" si="80"/>
        <v>#REF!</v>
      </c>
      <c r="H152" s="720">
        <f t="shared" si="86"/>
        <v>447.17295442965371</v>
      </c>
      <c r="I152" s="104" t="e">
        <f t="shared" si="87"/>
        <v>#REF!</v>
      </c>
      <c r="J152" s="28"/>
      <c r="K152" s="139" t="e">
        <f t="shared" si="88"/>
        <v>#REF!</v>
      </c>
      <c r="L152" s="200">
        <f t="shared" si="89"/>
        <v>96.410854088290932</v>
      </c>
      <c r="M152" s="104">
        <f t="shared" si="81"/>
        <v>21.212116081723561</v>
      </c>
      <c r="N152" s="323">
        <v>0</v>
      </c>
      <c r="O152" s="104"/>
      <c r="P152" s="104">
        <f t="shared" si="90"/>
        <v>80.548828738385623</v>
      </c>
      <c r="Q152" s="104">
        <f t="shared" si="91"/>
        <v>25.507253987053954</v>
      </c>
      <c r="R152" s="104"/>
      <c r="S152" s="140">
        <f t="shared" si="92"/>
        <v>223.67905289545408</v>
      </c>
      <c r="T152" s="880">
        <v>646.54166666666674</v>
      </c>
      <c r="U152" s="104"/>
      <c r="V152" s="148">
        <f t="shared" si="93"/>
        <v>646.54166666666674</v>
      </c>
      <c r="W152" s="882">
        <v>132.49166666666667</v>
      </c>
      <c r="X152" s="104"/>
      <c r="Y152" s="45">
        <f t="shared" si="94"/>
        <v>132.49166666666667</v>
      </c>
      <c r="Z152" s="138">
        <f t="shared" si="95"/>
        <v>10.070639210845082</v>
      </c>
      <c r="AA152" s="104">
        <f t="shared" si="82"/>
        <v>2.2136062138979007</v>
      </c>
      <c r="AB152" s="323">
        <v>0</v>
      </c>
      <c r="AC152" s="104"/>
      <c r="AD152" s="104">
        <f t="shared" si="96"/>
        <v>8.4137642047810548</v>
      </c>
      <c r="AE152" s="104">
        <f t="shared" si="97"/>
        <v>2.6640994912237201</v>
      </c>
      <c r="AF152" s="104"/>
      <c r="AG152" s="139">
        <f t="shared" si="98"/>
        <v>23.362109120747757</v>
      </c>
      <c r="AH152" s="200">
        <f t="shared" si="99"/>
        <v>172.04250589073368</v>
      </c>
      <c r="AI152" s="104">
        <f t="shared" si="83"/>
        <v>34.316577697741806</v>
      </c>
      <c r="AJ152" s="323">
        <v>45.681615974869665</v>
      </c>
      <c r="AK152" s="118" t="e">
        <f t="shared" si="84"/>
        <v>#REF!</v>
      </c>
      <c r="AL152" s="104"/>
      <c r="AM152" s="104">
        <f t="shared" si="100"/>
        <v>143.73715982253117</v>
      </c>
      <c r="AN152" s="104" t="e">
        <f t="shared" si="101"/>
        <v>#REF!</v>
      </c>
      <c r="AO152" s="104"/>
      <c r="AP152" s="140" t="e">
        <f t="shared" si="102"/>
        <v>#REF!</v>
      </c>
      <c r="AQ152" s="33"/>
      <c r="AR152" s="28"/>
      <c r="AS152" s="121"/>
      <c r="AT152" s="135" t="e">
        <f t="shared" si="103"/>
        <v>#REF!</v>
      </c>
      <c r="AU152" s="148" t="e">
        <f t="shared" si="104"/>
        <v>#REF!</v>
      </c>
      <c r="AW152" s="1">
        <v>1</v>
      </c>
      <c r="BA152" s="29">
        <v>623.08000000000004</v>
      </c>
      <c r="BB152" s="29">
        <v>104.56</v>
      </c>
      <c r="BC152" s="29">
        <v>28.17</v>
      </c>
      <c r="BD152" s="29">
        <v>207.35</v>
      </c>
      <c r="BF152" s="279">
        <f t="shared" si="105"/>
        <v>775.85</v>
      </c>
      <c r="BI152" s="323">
        <v>0</v>
      </c>
      <c r="BL152" s="107">
        <f t="shared" si="106"/>
        <v>0.85901039294857251</v>
      </c>
      <c r="BM152" s="107">
        <f t="shared" si="107"/>
        <v>0.92206249128051765</v>
      </c>
      <c r="BN152" s="107">
        <f t="shared" si="108"/>
        <v>0.35749517965371247</v>
      </c>
      <c r="BO152" s="107">
        <f t="shared" si="109"/>
        <v>0.82972030812989472</v>
      </c>
    </row>
    <row r="153" spans="1:67" x14ac:dyDescent="0.25">
      <c r="A153" s="250" t="s">
        <v>334</v>
      </c>
      <c r="B153" s="227">
        <v>8</v>
      </c>
      <c r="C153" s="226">
        <f>'побудинковий звіт'!E143</f>
        <v>181.9</v>
      </c>
      <c r="D153" s="138">
        <f t="shared" si="85"/>
        <v>332.53151321432193</v>
      </c>
      <c r="E153" s="104">
        <f t="shared" si="79"/>
        <v>68.54371758708011</v>
      </c>
      <c r="F153" s="323">
        <v>142.86147620098376</v>
      </c>
      <c r="G153" s="104" t="e">
        <f t="shared" si="80"/>
        <v>#REF!</v>
      </c>
      <c r="H153" s="720">
        <f t="shared" si="86"/>
        <v>277.82166397455103</v>
      </c>
      <c r="I153" s="104" t="e">
        <f t="shared" si="87"/>
        <v>#REF!</v>
      </c>
      <c r="J153" s="28"/>
      <c r="K153" s="139" t="e">
        <f t="shared" si="88"/>
        <v>#REF!</v>
      </c>
      <c r="L153" s="200">
        <f t="shared" si="89"/>
        <v>120.38447886158438</v>
      </c>
      <c r="M153" s="104">
        <f t="shared" si="81"/>
        <v>26.486743263483437</v>
      </c>
      <c r="N153" s="323">
        <v>0</v>
      </c>
      <c r="O153" s="104"/>
      <c r="P153" s="104">
        <f t="shared" si="90"/>
        <v>100.57818554020301</v>
      </c>
      <c r="Q153" s="104">
        <f t="shared" si="91"/>
        <v>31.849914695387948</v>
      </c>
      <c r="R153" s="104"/>
      <c r="S153" s="140">
        <f t="shared" si="92"/>
        <v>279.29932236065878</v>
      </c>
      <c r="T153" s="880">
        <v>841.7833333333333</v>
      </c>
      <c r="U153" s="104"/>
      <c r="V153" s="148">
        <f t="shared" si="93"/>
        <v>841.7833333333333</v>
      </c>
      <c r="W153" s="882">
        <v>190.72500000000002</v>
      </c>
      <c r="X153" s="104"/>
      <c r="Y153" s="45">
        <f t="shared" si="94"/>
        <v>190.72500000000002</v>
      </c>
      <c r="Z153" s="138">
        <f t="shared" si="95"/>
        <v>27.212533075240597</v>
      </c>
      <c r="AA153" s="104">
        <f t="shared" si="82"/>
        <v>5.9815301740116507</v>
      </c>
      <c r="AB153" s="323">
        <v>0</v>
      </c>
      <c r="AC153" s="104"/>
      <c r="AD153" s="104">
        <f t="shared" si="96"/>
        <v>22.735382721616396</v>
      </c>
      <c r="AE153" s="104">
        <f t="shared" si="97"/>
        <v>7.1988375318405948</v>
      </c>
      <c r="AF153" s="104"/>
      <c r="AG153" s="139">
        <f t="shared" si="98"/>
        <v>63.128283502709237</v>
      </c>
      <c r="AH153" s="200">
        <f t="shared" si="99"/>
        <v>463.74727461996071</v>
      </c>
      <c r="AI153" s="104">
        <f t="shared" si="83"/>
        <v>92.501671602709649</v>
      </c>
      <c r="AJ153" s="323">
        <v>61.176961702783252</v>
      </c>
      <c r="AK153" s="118" t="e">
        <f t="shared" si="84"/>
        <v>#REF!</v>
      </c>
      <c r="AL153" s="104"/>
      <c r="AM153" s="104">
        <f t="shared" si="100"/>
        <v>387.44911197496555</v>
      </c>
      <c r="AN153" s="104" t="e">
        <f t="shared" si="101"/>
        <v>#REF!</v>
      </c>
      <c r="AO153" s="104"/>
      <c r="AP153" s="140" t="e">
        <f t="shared" si="102"/>
        <v>#REF!</v>
      </c>
      <c r="AQ153" s="33"/>
      <c r="AR153" s="28"/>
      <c r="AS153" s="121"/>
      <c r="AT153" s="135" t="e">
        <f t="shared" si="103"/>
        <v>#REF!</v>
      </c>
      <c r="AU153" s="148" t="e">
        <f t="shared" si="104"/>
        <v>#REF!</v>
      </c>
      <c r="AW153" s="1">
        <v>1</v>
      </c>
      <c r="BA153" s="29">
        <v>387.11</v>
      </c>
      <c r="BB153" s="29">
        <v>130.56</v>
      </c>
      <c r="BC153" s="29">
        <v>76.12</v>
      </c>
      <c r="BD153" s="29">
        <v>558.91999999999996</v>
      </c>
      <c r="BF153" s="279">
        <f t="shared" si="105"/>
        <v>1010.1399999999999</v>
      </c>
      <c r="BI153" s="323">
        <v>8.51</v>
      </c>
      <c r="BL153" s="107">
        <f t="shared" si="106"/>
        <v>0.85901039294857251</v>
      </c>
      <c r="BM153" s="107">
        <f t="shared" si="107"/>
        <v>0.92206249128051765</v>
      </c>
      <c r="BN153" s="107">
        <f t="shared" si="108"/>
        <v>0.35749517965371247</v>
      </c>
      <c r="BO153" s="107">
        <f t="shared" si="109"/>
        <v>0.82972030812989472</v>
      </c>
    </row>
    <row r="154" spans="1:67" x14ac:dyDescent="0.25">
      <c r="A154" s="250" t="s">
        <v>367</v>
      </c>
      <c r="B154" s="227">
        <v>9</v>
      </c>
      <c r="C154" s="226">
        <f>'побудинковий звіт'!E144</f>
        <v>110.2</v>
      </c>
      <c r="D154" s="138">
        <f t="shared" si="85"/>
        <v>767.9552912960238</v>
      </c>
      <c r="E154" s="104">
        <f t="shared" si="79"/>
        <v>158.29630731019506</v>
      </c>
      <c r="F154" s="323">
        <v>210.38590279257647</v>
      </c>
      <c r="G154" s="104" t="e">
        <f t="shared" si="80"/>
        <v>#REF!</v>
      </c>
      <c r="H154" s="720">
        <f t="shared" si="86"/>
        <v>641.60721136950372</v>
      </c>
      <c r="I154" s="104" t="e">
        <f t="shared" si="87"/>
        <v>#REF!</v>
      </c>
      <c r="J154" s="28"/>
      <c r="K154" s="139" t="e">
        <f t="shared" si="88"/>
        <v>#REF!</v>
      </c>
      <c r="L154" s="200">
        <f t="shared" si="89"/>
        <v>137.58094432396604</v>
      </c>
      <c r="M154" s="104">
        <f t="shared" si="81"/>
        <v>30.270273915015039</v>
      </c>
      <c r="N154" s="323">
        <v>0</v>
      </c>
      <c r="O154" s="104"/>
      <c r="P154" s="104">
        <f t="shared" si="90"/>
        <v>114.94539724612201</v>
      </c>
      <c r="Q154" s="104">
        <f t="shared" si="91"/>
        <v>36.399554011173677</v>
      </c>
      <c r="R154" s="104"/>
      <c r="S154" s="140">
        <f t="shared" si="92"/>
        <v>319.19616949627675</v>
      </c>
      <c r="T154" s="880">
        <v>1294.1416666666667</v>
      </c>
      <c r="U154" s="104"/>
      <c r="V154" s="148">
        <f t="shared" si="93"/>
        <v>1294.1416666666667</v>
      </c>
      <c r="W154" s="882">
        <v>289.24166666666667</v>
      </c>
      <c r="X154" s="104"/>
      <c r="Y154" s="45">
        <f t="shared" si="94"/>
        <v>289.24166666666667</v>
      </c>
      <c r="Z154" s="138">
        <f t="shared" si="95"/>
        <v>55.712048797234552</v>
      </c>
      <c r="AA154" s="104">
        <f t="shared" si="82"/>
        <v>12.245949321045396</v>
      </c>
      <c r="AB154" s="323">
        <v>0</v>
      </c>
      <c r="AC154" s="104"/>
      <c r="AD154" s="104">
        <f t="shared" si="96"/>
        <v>46.546006875153687</v>
      </c>
      <c r="AE154" s="104">
        <f t="shared" si="97"/>
        <v>14.738135062559618</v>
      </c>
      <c r="AF154" s="104"/>
      <c r="AG154" s="139">
        <f t="shared" si="98"/>
        <v>129.24214005599325</v>
      </c>
      <c r="AH154" s="200">
        <f t="shared" si="99"/>
        <v>614.72318188727638</v>
      </c>
      <c r="AI154" s="104">
        <f t="shared" si="83"/>
        <v>122.6161856026185</v>
      </c>
      <c r="AJ154" s="323">
        <v>90.092659408333233</v>
      </c>
      <c r="AK154" s="118" t="e">
        <f t="shared" si="84"/>
        <v>#REF!</v>
      </c>
      <c r="AL154" s="104">
        <v>2820</v>
      </c>
      <c r="AM154" s="104">
        <f t="shared" si="100"/>
        <v>513.58566177630519</v>
      </c>
      <c r="AN154" s="104" t="e">
        <f t="shared" si="101"/>
        <v>#REF!</v>
      </c>
      <c r="AO154" s="104"/>
      <c r="AP154" s="140" t="e">
        <f t="shared" si="102"/>
        <v>#REF!</v>
      </c>
      <c r="AQ154" s="33"/>
      <c r="AR154" s="28"/>
      <c r="AS154" s="121"/>
      <c r="AT154" s="135" t="e">
        <f t="shared" si="103"/>
        <v>#REF!</v>
      </c>
      <c r="AU154" s="148" t="e">
        <f t="shared" si="104"/>
        <v>#REF!</v>
      </c>
      <c r="AW154" s="1">
        <v>1</v>
      </c>
      <c r="BA154" s="29">
        <v>894</v>
      </c>
      <c r="BB154" s="29">
        <v>149.21</v>
      </c>
      <c r="BC154" s="29">
        <v>155.84</v>
      </c>
      <c r="BD154" s="29">
        <v>740.88</v>
      </c>
      <c r="BF154" s="279">
        <f t="shared" si="105"/>
        <v>1552.97</v>
      </c>
      <c r="BI154" s="323">
        <v>8.51</v>
      </c>
      <c r="BL154" s="107">
        <f t="shared" si="106"/>
        <v>0.85901039294857251</v>
      </c>
      <c r="BM154" s="107">
        <f t="shared" si="107"/>
        <v>0.92206249128051765</v>
      </c>
      <c r="BN154" s="107">
        <f t="shared" si="108"/>
        <v>0.35749517965371247</v>
      </c>
      <c r="BO154" s="107">
        <f t="shared" si="109"/>
        <v>0.82972030812989472</v>
      </c>
    </row>
    <row r="155" spans="1:67" x14ac:dyDescent="0.25">
      <c r="A155" s="424" t="s">
        <v>101</v>
      </c>
      <c r="B155" s="228">
        <v>1</v>
      </c>
      <c r="C155" s="226" t="e">
        <f>'побудинковий звіт'!#REF!</f>
        <v>#REF!</v>
      </c>
      <c r="D155" s="138">
        <f t="shared" si="85"/>
        <v>0</v>
      </c>
      <c r="E155" s="104">
        <f t="shared" si="79"/>
        <v>0</v>
      </c>
      <c r="F155" s="323">
        <v>0</v>
      </c>
      <c r="G155" s="104" t="e">
        <f t="shared" si="80"/>
        <v>#REF!</v>
      </c>
      <c r="H155" s="720">
        <f t="shared" si="86"/>
        <v>0</v>
      </c>
      <c r="I155" s="104" t="e">
        <f t="shared" si="87"/>
        <v>#REF!</v>
      </c>
      <c r="J155" s="28"/>
      <c r="K155" s="139" t="e">
        <f t="shared" si="88"/>
        <v>#REF!</v>
      </c>
      <c r="L155" s="200">
        <f t="shared" si="89"/>
        <v>0</v>
      </c>
      <c r="M155" s="104">
        <f t="shared" si="81"/>
        <v>0</v>
      </c>
      <c r="N155" s="323">
        <v>0</v>
      </c>
      <c r="O155" s="104"/>
      <c r="P155" s="104">
        <f t="shared" si="90"/>
        <v>0</v>
      </c>
      <c r="Q155" s="104">
        <f t="shared" si="91"/>
        <v>0</v>
      </c>
      <c r="R155" s="104"/>
      <c r="S155" s="140">
        <f t="shared" si="92"/>
        <v>0</v>
      </c>
      <c r="T155" s="235"/>
      <c r="U155" s="104"/>
      <c r="V155" s="148">
        <f t="shared" si="93"/>
        <v>0</v>
      </c>
      <c r="W155" s="236"/>
      <c r="X155" s="104"/>
      <c r="Y155" s="45">
        <f t="shared" si="94"/>
        <v>0</v>
      </c>
      <c r="Z155" s="138">
        <f t="shared" si="95"/>
        <v>0</v>
      </c>
      <c r="AA155" s="104">
        <f t="shared" si="82"/>
        <v>0</v>
      </c>
      <c r="AB155" s="323">
        <v>0</v>
      </c>
      <c r="AC155" s="104"/>
      <c r="AD155" s="104">
        <f t="shared" si="96"/>
        <v>0</v>
      </c>
      <c r="AE155" s="104">
        <f t="shared" si="97"/>
        <v>0</v>
      </c>
      <c r="AF155" s="104"/>
      <c r="AG155" s="139">
        <f t="shared" si="98"/>
        <v>0</v>
      </c>
      <c r="AH155" s="200">
        <f t="shared" si="99"/>
        <v>0</v>
      </c>
      <c r="AI155" s="104">
        <f t="shared" si="83"/>
        <v>0</v>
      </c>
      <c r="AJ155" s="323">
        <v>0</v>
      </c>
      <c r="AK155" s="118" t="e">
        <f t="shared" si="84"/>
        <v>#REF!</v>
      </c>
      <c r="AL155" s="104"/>
      <c r="AM155" s="104">
        <f t="shared" si="100"/>
        <v>0</v>
      </c>
      <c r="AN155" s="104" t="e">
        <f t="shared" si="101"/>
        <v>#REF!</v>
      </c>
      <c r="AO155" s="104"/>
      <c r="AP155" s="140" t="e">
        <f t="shared" si="102"/>
        <v>#REF!</v>
      </c>
      <c r="AQ155" s="33"/>
      <c r="AR155" s="28"/>
      <c r="AS155" s="121"/>
      <c r="AT155" s="135">
        <f t="shared" si="103"/>
        <v>0</v>
      </c>
      <c r="AU155" s="148" t="e">
        <f t="shared" si="104"/>
        <v>#REF!</v>
      </c>
      <c r="AW155" s="1">
        <v>1</v>
      </c>
      <c r="BA155" s="29">
        <v>0</v>
      </c>
      <c r="BB155" s="29">
        <v>0</v>
      </c>
      <c r="BC155" s="29">
        <v>0</v>
      </c>
      <c r="BD155" s="29">
        <v>0</v>
      </c>
      <c r="BI155" s="323">
        <v>0</v>
      </c>
      <c r="BL155" s="107">
        <f t="shared" si="106"/>
        <v>0.85901039294857251</v>
      </c>
      <c r="BM155" s="107">
        <f t="shared" si="107"/>
        <v>0.92206249128051765</v>
      </c>
      <c r="BN155" s="107">
        <f t="shared" si="108"/>
        <v>0.35749517965371247</v>
      </c>
      <c r="BO155" s="107">
        <f t="shared" si="109"/>
        <v>0.82972030812989472</v>
      </c>
    </row>
    <row r="156" spans="1:67" x14ac:dyDescent="0.25">
      <c r="A156" s="424" t="s">
        <v>102</v>
      </c>
      <c r="B156" s="228">
        <v>1</v>
      </c>
      <c r="C156" s="226">
        <f>'побудинковий звіт'!E145</f>
        <v>3173.2999999999997</v>
      </c>
      <c r="D156" s="138">
        <f t="shared" si="85"/>
        <v>0</v>
      </c>
      <c r="E156" s="104">
        <f t="shared" si="79"/>
        <v>0</v>
      </c>
      <c r="F156" s="323">
        <v>0</v>
      </c>
      <c r="G156" s="104" t="e">
        <f t="shared" si="80"/>
        <v>#REF!</v>
      </c>
      <c r="H156" s="720">
        <f t="shared" si="86"/>
        <v>0</v>
      </c>
      <c r="I156" s="104" t="e">
        <f t="shared" si="87"/>
        <v>#REF!</v>
      </c>
      <c r="J156" s="28"/>
      <c r="K156" s="139" t="e">
        <f t="shared" si="88"/>
        <v>#REF!</v>
      </c>
      <c r="L156" s="200">
        <f t="shared" si="89"/>
        <v>0</v>
      </c>
      <c r="M156" s="104">
        <f t="shared" si="81"/>
        <v>0</v>
      </c>
      <c r="N156" s="323">
        <v>0</v>
      </c>
      <c r="O156" s="104"/>
      <c r="P156" s="104">
        <f t="shared" si="90"/>
        <v>0</v>
      </c>
      <c r="Q156" s="104">
        <f t="shared" si="91"/>
        <v>0</v>
      </c>
      <c r="R156" s="104"/>
      <c r="S156" s="140">
        <f t="shared" si="92"/>
        <v>0</v>
      </c>
      <c r="T156" s="235"/>
      <c r="U156" s="104"/>
      <c r="V156" s="148">
        <f t="shared" si="93"/>
        <v>0</v>
      </c>
      <c r="W156" s="236"/>
      <c r="X156" s="104"/>
      <c r="Y156" s="45">
        <f t="shared" si="94"/>
        <v>0</v>
      </c>
      <c r="Z156" s="138">
        <f t="shared" si="95"/>
        <v>0</v>
      </c>
      <c r="AA156" s="104">
        <f t="shared" si="82"/>
        <v>0</v>
      </c>
      <c r="AB156" s="323">
        <v>0</v>
      </c>
      <c r="AC156" s="104"/>
      <c r="AD156" s="104">
        <f t="shared" si="96"/>
        <v>0</v>
      </c>
      <c r="AE156" s="104">
        <f t="shared" si="97"/>
        <v>0</v>
      </c>
      <c r="AF156" s="104"/>
      <c r="AG156" s="139">
        <f t="shared" si="98"/>
        <v>0</v>
      </c>
      <c r="AH156" s="200">
        <f t="shared" si="99"/>
        <v>0</v>
      </c>
      <c r="AI156" s="104">
        <f t="shared" si="83"/>
        <v>0</v>
      </c>
      <c r="AJ156" s="323">
        <v>0</v>
      </c>
      <c r="AK156" s="118" t="e">
        <f t="shared" si="84"/>
        <v>#REF!</v>
      </c>
      <c r="AL156" s="104"/>
      <c r="AM156" s="104">
        <f t="shared" si="100"/>
        <v>0</v>
      </c>
      <c r="AN156" s="104" t="e">
        <f t="shared" si="101"/>
        <v>#REF!</v>
      </c>
      <c r="AO156" s="104"/>
      <c r="AP156" s="140" t="e">
        <f t="shared" si="102"/>
        <v>#REF!</v>
      </c>
      <c r="AQ156" s="33"/>
      <c r="AR156" s="28"/>
      <c r="AS156" s="121"/>
      <c r="AT156" s="135">
        <f t="shared" si="103"/>
        <v>0</v>
      </c>
      <c r="AU156" s="148" t="e">
        <f t="shared" si="104"/>
        <v>#REF!</v>
      </c>
      <c r="AW156" s="1">
        <v>1</v>
      </c>
      <c r="BA156" s="29">
        <v>0</v>
      </c>
      <c r="BB156" s="29">
        <v>0</v>
      </c>
      <c r="BC156" s="29">
        <v>0</v>
      </c>
      <c r="BD156" s="29">
        <v>0</v>
      </c>
      <c r="BI156" s="323">
        <v>0</v>
      </c>
      <c r="BL156" s="107">
        <f t="shared" si="106"/>
        <v>0.85901039294857251</v>
      </c>
      <c r="BM156" s="107">
        <f t="shared" si="107"/>
        <v>0.92206249128051765</v>
      </c>
      <c r="BN156" s="107">
        <f t="shared" si="108"/>
        <v>0.35749517965371247</v>
      </c>
      <c r="BO156" s="107">
        <f t="shared" si="109"/>
        <v>0.82972030812989472</v>
      </c>
    </row>
    <row r="157" spans="1:67" x14ac:dyDescent="0.25">
      <c r="A157" s="250" t="s">
        <v>368</v>
      </c>
      <c r="B157" s="227">
        <v>9</v>
      </c>
      <c r="C157" s="226">
        <f>'побудинковий звіт'!E146</f>
        <v>7111.58</v>
      </c>
      <c r="D157" s="138">
        <f t="shared" si="85"/>
        <v>592.3220263537587</v>
      </c>
      <c r="E157" s="104">
        <f t="shared" si="79"/>
        <v>122.09355228486791</v>
      </c>
      <c r="F157" s="323">
        <v>150.47737558021859</v>
      </c>
      <c r="G157" s="104" t="e">
        <f t="shared" si="80"/>
        <v>#REF!</v>
      </c>
      <c r="H157" s="720">
        <f t="shared" si="86"/>
        <v>494.87006323012042</v>
      </c>
      <c r="I157" s="104" t="e">
        <f t="shared" si="87"/>
        <v>#REF!</v>
      </c>
      <c r="J157" s="28"/>
      <c r="K157" s="139" t="e">
        <f t="shared" si="88"/>
        <v>#REF!</v>
      </c>
      <c r="L157" s="200">
        <f t="shared" si="89"/>
        <v>109.9098489606377</v>
      </c>
      <c r="M157" s="104">
        <f t="shared" si="81"/>
        <v>24.182136925606812</v>
      </c>
      <c r="N157" s="323">
        <v>36.799999999999997</v>
      </c>
      <c r="O157" s="104"/>
      <c r="P157" s="104">
        <f t="shared" si="90"/>
        <v>91.826897337562798</v>
      </c>
      <c r="Q157" s="104">
        <f t="shared" si="91"/>
        <v>33.815292178289695</v>
      </c>
      <c r="R157" s="104"/>
      <c r="S157" s="140">
        <f t="shared" si="92"/>
        <v>296.53417540209705</v>
      </c>
      <c r="T157" s="880">
        <v>1047.6666666666667</v>
      </c>
      <c r="U157" s="104"/>
      <c r="V157" s="148">
        <f t="shared" si="93"/>
        <v>1047.6666666666667</v>
      </c>
      <c r="W157" s="882">
        <v>195.21666666666667</v>
      </c>
      <c r="X157" s="104"/>
      <c r="Y157" s="45">
        <f t="shared" si="94"/>
        <v>195.21666666666667</v>
      </c>
      <c r="Z157" s="138">
        <f t="shared" si="95"/>
        <v>41.784036597925912</v>
      </c>
      <c r="AA157" s="104">
        <f t="shared" si="82"/>
        <v>9.1844619907840475</v>
      </c>
      <c r="AB157" s="323">
        <v>61.800000000000004</v>
      </c>
      <c r="AC157" s="104"/>
      <c r="AD157" s="104">
        <f t="shared" si="96"/>
        <v>34.909505156365263</v>
      </c>
      <c r="AE157" s="104">
        <f t="shared" si="97"/>
        <v>19.008054478871006</v>
      </c>
      <c r="AF157" s="104"/>
      <c r="AG157" s="139">
        <f t="shared" si="98"/>
        <v>166.68605822394625</v>
      </c>
      <c r="AH157" s="200">
        <f t="shared" si="99"/>
        <v>391.72755187428589</v>
      </c>
      <c r="AI157" s="104">
        <f t="shared" si="83"/>
        <v>78.136207681012095</v>
      </c>
      <c r="AJ157" s="323">
        <v>64.438285868300269</v>
      </c>
      <c r="AK157" s="118" t="e">
        <f t="shared" si="84"/>
        <v>#REF!</v>
      </c>
      <c r="AL157" s="104"/>
      <c r="AM157" s="104">
        <f t="shared" si="100"/>
        <v>327.27845621130172</v>
      </c>
      <c r="AN157" s="104" t="e">
        <f t="shared" si="101"/>
        <v>#REF!</v>
      </c>
      <c r="AO157" s="104"/>
      <c r="AP157" s="140" t="e">
        <f t="shared" si="102"/>
        <v>#REF!</v>
      </c>
      <c r="AQ157" s="33"/>
      <c r="AR157" s="28"/>
      <c r="AS157" s="121"/>
      <c r="AT157" s="135" t="e">
        <f t="shared" si="103"/>
        <v>#REF!</v>
      </c>
      <c r="AU157" s="148" t="e">
        <f t="shared" si="104"/>
        <v>#REF!</v>
      </c>
      <c r="AW157" s="1">
        <v>1</v>
      </c>
      <c r="BA157" s="29">
        <v>689.54</v>
      </c>
      <c r="BB157" s="29">
        <v>119.2</v>
      </c>
      <c r="BC157" s="29">
        <v>116.88</v>
      </c>
      <c r="BD157" s="29">
        <v>472.12</v>
      </c>
      <c r="BF157" s="279">
        <f>T157*1.2</f>
        <v>1257.2</v>
      </c>
      <c r="BI157" s="323">
        <v>0</v>
      </c>
      <c r="BL157" s="107">
        <f t="shared" si="106"/>
        <v>0.85901039294857251</v>
      </c>
      <c r="BM157" s="107">
        <f t="shared" si="107"/>
        <v>0.92206249128051765</v>
      </c>
      <c r="BN157" s="107">
        <f t="shared" si="108"/>
        <v>0.35749517965371247</v>
      </c>
      <c r="BO157" s="107">
        <f t="shared" si="109"/>
        <v>0.82972030812989472</v>
      </c>
    </row>
    <row r="158" spans="1:67" x14ac:dyDescent="0.25">
      <c r="A158" s="250" t="s">
        <v>335</v>
      </c>
      <c r="B158" s="227">
        <v>8</v>
      </c>
      <c r="C158" s="226">
        <f>'побудинковий звіт'!E147</f>
        <v>9483.7999999999993</v>
      </c>
      <c r="D158" s="138">
        <f t="shared" si="85"/>
        <v>289.21161909792539</v>
      </c>
      <c r="E158" s="104">
        <f t="shared" si="79"/>
        <v>59.614318506931177</v>
      </c>
      <c r="F158" s="323">
        <v>124.11924439885992</v>
      </c>
      <c r="G158" s="104" t="e">
        <f t="shared" si="80"/>
        <v>#REF!</v>
      </c>
      <c r="H158" s="720">
        <f t="shared" si="86"/>
        <v>241.62898872917734</v>
      </c>
      <c r="I158" s="104" t="e">
        <f t="shared" si="87"/>
        <v>#REF!</v>
      </c>
      <c r="J158" s="28"/>
      <c r="K158" s="139" t="e">
        <f t="shared" si="88"/>
        <v>#REF!</v>
      </c>
      <c r="L158" s="200">
        <f t="shared" si="89"/>
        <v>87.83567291938212</v>
      </c>
      <c r="M158" s="104">
        <f t="shared" si="81"/>
        <v>19.325422512863298</v>
      </c>
      <c r="N158" s="323">
        <v>55.2</v>
      </c>
      <c r="O158" s="104"/>
      <c r="P158" s="104">
        <f t="shared" si="90"/>
        <v>73.38448188235094</v>
      </c>
      <c r="Q158" s="104">
        <f t="shared" si="91"/>
        <v>30.343481514579846</v>
      </c>
      <c r="R158" s="104"/>
      <c r="S158" s="140">
        <f t="shared" si="92"/>
        <v>266.08905882917617</v>
      </c>
      <c r="T158" s="880">
        <v>792.82500000000005</v>
      </c>
      <c r="U158" s="104"/>
      <c r="V158" s="148">
        <f t="shared" si="93"/>
        <v>792.82500000000005</v>
      </c>
      <c r="W158" s="882">
        <v>161.52500000000001</v>
      </c>
      <c r="X158" s="104"/>
      <c r="Y158" s="45">
        <f t="shared" si="94"/>
        <v>161.52500000000001</v>
      </c>
      <c r="Z158" s="138">
        <f t="shared" si="95"/>
        <v>13.177272322035842</v>
      </c>
      <c r="AA158" s="104">
        <f t="shared" si="82"/>
        <v>2.8964687626651267</v>
      </c>
      <c r="AB158" s="323">
        <v>61.800000000000004</v>
      </c>
      <c r="AC158" s="104"/>
      <c r="AD158" s="104">
        <f t="shared" si="96"/>
        <v>11.009277550167896</v>
      </c>
      <c r="AE158" s="104">
        <f t="shared" si="97"/>
        <v>11.440385281578777</v>
      </c>
      <c r="AF158" s="104"/>
      <c r="AG158" s="139">
        <f t="shared" si="98"/>
        <v>100.32340391644766</v>
      </c>
      <c r="AH158" s="200">
        <f t="shared" si="99"/>
        <v>313.08666106973448</v>
      </c>
      <c r="AI158" s="104">
        <f t="shared" si="83"/>
        <v>62.450047882642352</v>
      </c>
      <c r="AJ158" s="323">
        <v>53.151055575576933</v>
      </c>
      <c r="AK158" s="118" t="e">
        <f t="shared" si="84"/>
        <v>#REF!</v>
      </c>
      <c r="AL158" s="104"/>
      <c r="AM158" s="104">
        <f t="shared" si="100"/>
        <v>261.57598209517198</v>
      </c>
      <c r="AN158" s="104" t="e">
        <f t="shared" si="101"/>
        <v>#REF!</v>
      </c>
      <c r="AO158" s="104"/>
      <c r="AP158" s="140" t="e">
        <f t="shared" si="102"/>
        <v>#REF!</v>
      </c>
      <c r="AQ158" s="33"/>
      <c r="AR158" s="28"/>
      <c r="AS158" s="121"/>
      <c r="AT158" s="135" t="e">
        <f t="shared" si="103"/>
        <v>#REF!</v>
      </c>
      <c r="AU158" s="148" t="e">
        <f t="shared" si="104"/>
        <v>#REF!</v>
      </c>
      <c r="AW158" s="1">
        <v>1</v>
      </c>
      <c r="BA158" s="29">
        <v>336.68</v>
      </c>
      <c r="BB158" s="29">
        <v>95.26</v>
      </c>
      <c r="BC158" s="29">
        <v>36.86</v>
      </c>
      <c r="BD158" s="29">
        <v>377.34</v>
      </c>
      <c r="BF158" s="279">
        <f>T158*1.2</f>
        <v>951.39</v>
      </c>
      <c r="BI158" s="323">
        <v>0</v>
      </c>
      <c r="BL158" s="107">
        <f t="shared" si="106"/>
        <v>0.85901039294857251</v>
      </c>
      <c r="BM158" s="107">
        <f t="shared" si="107"/>
        <v>0.92206249128051765</v>
      </c>
      <c r="BN158" s="107">
        <f t="shared" si="108"/>
        <v>0.35749517965371247</v>
      </c>
      <c r="BO158" s="107">
        <f t="shared" si="109"/>
        <v>0.82972030812989472</v>
      </c>
    </row>
    <row r="159" spans="1:67" x14ac:dyDescent="0.25">
      <c r="A159" s="424" t="s">
        <v>103</v>
      </c>
      <c r="B159" s="228">
        <v>1</v>
      </c>
      <c r="C159" s="226">
        <f>'побудинковий звіт'!E148</f>
        <v>0</v>
      </c>
      <c r="D159" s="138">
        <f t="shared" si="85"/>
        <v>0</v>
      </c>
      <c r="E159" s="104">
        <f t="shared" si="79"/>
        <v>0</v>
      </c>
      <c r="F159" s="323">
        <v>0</v>
      </c>
      <c r="G159" s="104" t="e">
        <f t="shared" si="80"/>
        <v>#REF!</v>
      </c>
      <c r="H159" s="720">
        <f t="shared" si="86"/>
        <v>0</v>
      </c>
      <c r="I159" s="104" t="e">
        <f t="shared" si="87"/>
        <v>#REF!</v>
      </c>
      <c r="J159" s="28"/>
      <c r="K159" s="139" t="e">
        <f t="shared" si="88"/>
        <v>#REF!</v>
      </c>
      <c r="L159" s="200">
        <f t="shared" si="89"/>
        <v>0</v>
      </c>
      <c r="M159" s="104">
        <f t="shared" si="81"/>
        <v>0</v>
      </c>
      <c r="N159" s="323">
        <v>0</v>
      </c>
      <c r="O159" s="104"/>
      <c r="P159" s="104">
        <f t="shared" si="90"/>
        <v>0</v>
      </c>
      <c r="Q159" s="104">
        <f t="shared" si="91"/>
        <v>0</v>
      </c>
      <c r="R159" s="104"/>
      <c r="S159" s="140">
        <f t="shared" si="92"/>
        <v>0</v>
      </c>
      <c r="T159" s="235"/>
      <c r="U159" s="104"/>
      <c r="V159" s="148">
        <f t="shared" si="93"/>
        <v>0</v>
      </c>
      <c r="W159" s="236"/>
      <c r="X159" s="104"/>
      <c r="Y159" s="45">
        <f t="shared" si="94"/>
        <v>0</v>
      </c>
      <c r="Z159" s="138">
        <f t="shared" si="95"/>
        <v>0</v>
      </c>
      <c r="AA159" s="104">
        <f t="shared" si="82"/>
        <v>0</v>
      </c>
      <c r="AB159" s="323">
        <v>0</v>
      </c>
      <c r="AC159" s="104"/>
      <c r="AD159" s="104">
        <f t="shared" si="96"/>
        <v>0</v>
      </c>
      <c r="AE159" s="104">
        <f t="shared" si="97"/>
        <v>0</v>
      </c>
      <c r="AF159" s="104"/>
      <c r="AG159" s="139">
        <f t="shared" si="98"/>
        <v>0</v>
      </c>
      <c r="AH159" s="200">
        <f t="shared" si="99"/>
        <v>0</v>
      </c>
      <c r="AI159" s="104">
        <f t="shared" si="83"/>
        <v>0</v>
      </c>
      <c r="AJ159" s="323">
        <v>0</v>
      </c>
      <c r="AK159" s="118" t="e">
        <f t="shared" si="84"/>
        <v>#REF!</v>
      </c>
      <c r="AL159" s="104"/>
      <c r="AM159" s="104">
        <f t="shared" si="100"/>
        <v>0</v>
      </c>
      <c r="AN159" s="104" t="e">
        <f t="shared" si="101"/>
        <v>#REF!</v>
      </c>
      <c r="AO159" s="104"/>
      <c r="AP159" s="140" t="e">
        <f t="shared" si="102"/>
        <v>#REF!</v>
      </c>
      <c r="AQ159" s="33"/>
      <c r="AR159" s="28"/>
      <c r="AS159" s="121"/>
      <c r="AT159" s="135">
        <f t="shared" si="103"/>
        <v>0</v>
      </c>
      <c r="AU159" s="148" t="e">
        <f t="shared" si="104"/>
        <v>#REF!</v>
      </c>
      <c r="AW159" s="1">
        <v>1</v>
      </c>
      <c r="BA159" s="29">
        <v>0</v>
      </c>
      <c r="BB159" s="29">
        <v>0</v>
      </c>
      <c r="BC159" s="29">
        <v>0</v>
      </c>
      <c r="BD159" s="29">
        <v>0</v>
      </c>
      <c r="BI159" s="323">
        <v>0</v>
      </c>
      <c r="BL159" s="107">
        <f t="shared" si="106"/>
        <v>0.85901039294857251</v>
      </c>
      <c r="BM159" s="107">
        <f t="shared" si="107"/>
        <v>0.92206249128051765</v>
      </c>
      <c r="BN159" s="107">
        <f t="shared" si="108"/>
        <v>0.35749517965371247</v>
      </c>
      <c r="BO159" s="107">
        <f t="shared" si="109"/>
        <v>0.82972030812989472</v>
      </c>
    </row>
    <row r="160" spans="1:67" x14ac:dyDescent="0.25">
      <c r="A160" s="424" t="s">
        <v>104</v>
      </c>
      <c r="B160" s="228">
        <v>1</v>
      </c>
      <c r="C160" s="226">
        <f>'побудинковий звіт'!E149</f>
        <v>0</v>
      </c>
      <c r="D160" s="138">
        <f t="shared" si="85"/>
        <v>0</v>
      </c>
      <c r="E160" s="104">
        <f t="shared" si="79"/>
        <v>0</v>
      </c>
      <c r="F160" s="323">
        <v>0</v>
      </c>
      <c r="G160" s="104" t="e">
        <f t="shared" si="80"/>
        <v>#REF!</v>
      </c>
      <c r="H160" s="720">
        <f t="shared" si="86"/>
        <v>0</v>
      </c>
      <c r="I160" s="104" t="e">
        <f t="shared" si="87"/>
        <v>#REF!</v>
      </c>
      <c r="J160" s="28"/>
      <c r="K160" s="139" t="e">
        <f t="shared" si="88"/>
        <v>#REF!</v>
      </c>
      <c r="L160" s="200">
        <f t="shared" si="89"/>
        <v>0</v>
      </c>
      <c r="M160" s="104">
        <f t="shared" si="81"/>
        <v>0</v>
      </c>
      <c r="N160" s="323">
        <v>0</v>
      </c>
      <c r="O160" s="104"/>
      <c r="P160" s="104">
        <f t="shared" si="90"/>
        <v>0</v>
      </c>
      <c r="Q160" s="104">
        <f t="shared" si="91"/>
        <v>0</v>
      </c>
      <c r="R160" s="104"/>
      <c r="S160" s="140">
        <f t="shared" si="92"/>
        <v>0</v>
      </c>
      <c r="T160" s="235"/>
      <c r="U160" s="104"/>
      <c r="V160" s="148">
        <f t="shared" si="93"/>
        <v>0</v>
      </c>
      <c r="W160" s="236"/>
      <c r="X160" s="104"/>
      <c r="Y160" s="45">
        <f t="shared" si="94"/>
        <v>0</v>
      </c>
      <c r="Z160" s="138">
        <f t="shared" si="95"/>
        <v>0</v>
      </c>
      <c r="AA160" s="104">
        <f t="shared" si="82"/>
        <v>0</v>
      </c>
      <c r="AB160" s="323">
        <v>0</v>
      </c>
      <c r="AC160" s="104"/>
      <c r="AD160" s="104">
        <f t="shared" si="96"/>
        <v>0</v>
      </c>
      <c r="AE160" s="104">
        <f t="shared" si="97"/>
        <v>0</v>
      </c>
      <c r="AF160" s="104"/>
      <c r="AG160" s="139">
        <f t="shared" si="98"/>
        <v>0</v>
      </c>
      <c r="AH160" s="200">
        <f t="shared" si="99"/>
        <v>0</v>
      </c>
      <c r="AI160" s="104">
        <f t="shared" si="83"/>
        <v>0</v>
      </c>
      <c r="AJ160" s="323">
        <v>0</v>
      </c>
      <c r="AK160" s="118" t="e">
        <f t="shared" si="84"/>
        <v>#REF!</v>
      </c>
      <c r="AL160" s="104"/>
      <c r="AM160" s="104">
        <f t="shared" si="100"/>
        <v>0</v>
      </c>
      <c r="AN160" s="104" t="e">
        <f t="shared" si="101"/>
        <v>#REF!</v>
      </c>
      <c r="AO160" s="104"/>
      <c r="AP160" s="140" t="e">
        <f t="shared" si="102"/>
        <v>#REF!</v>
      </c>
      <c r="AQ160" s="33"/>
      <c r="AR160" s="28"/>
      <c r="AS160" s="121"/>
      <c r="AT160" s="135">
        <f t="shared" si="103"/>
        <v>0</v>
      </c>
      <c r="AU160" s="148" t="e">
        <f t="shared" si="104"/>
        <v>#REF!</v>
      </c>
      <c r="AW160" s="1">
        <v>1</v>
      </c>
      <c r="BA160" s="29">
        <v>0</v>
      </c>
      <c r="BB160" s="29">
        <v>0</v>
      </c>
      <c r="BC160" s="29">
        <v>0</v>
      </c>
      <c r="BD160" s="29">
        <v>0</v>
      </c>
      <c r="BI160" s="323">
        <v>0</v>
      </c>
      <c r="BL160" s="107">
        <f t="shared" si="106"/>
        <v>0.85901039294857251</v>
      </c>
      <c r="BM160" s="107">
        <f t="shared" si="107"/>
        <v>0.92206249128051765</v>
      </c>
      <c r="BN160" s="107">
        <f t="shared" si="108"/>
        <v>0.35749517965371247</v>
      </c>
      <c r="BO160" s="107">
        <f t="shared" si="109"/>
        <v>0.82972030812989472</v>
      </c>
    </row>
    <row r="161" spans="1:67" x14ac:dyDescent="0.25">
      <c r="A161" s="250" t="s">
        <v>369</v>
      </c>
      <c r="B161" s="227">
        <v>9</v>
      </c>
      <c r="C161" s="226">
        <f>'побудинковий звіт'!E150</f>
        <v>142.1</v>
      </c>
      <c r="D161" s="138">
        <f t="shared" si="85"/>
        <v>404.19016019409179</v>
      </c>
      <c r="E161" s="104">
        <f t="shared" si="79"/>
        <v>83.314498298284207</v>
      </c>
      <c r="F161" s="323">
        <v>121.98587682514966</v>
      </c>
      <c r="G161" s="104" t="e">
        <f t="shared" si="80"/>
        <v>#REF!</v>
      </c>
      <c r="H161" s="720">
        <f t="shared" si="86"/>
        <v>337.69065007348166</v>
      </c>
      <c r="I161" s="104" t="e">
        <f t="shared" si="87"/>
        <v>#REF!</v>
      </c>
      <c r="J161" s="28"/>
      <c r="K161" s="139" t="e">
        <f t="shared" si="88"/>
        <v>#REF!</v>
      </c>
      <c r="L161" s="200">
        <f t="shared" si="89"/>
        <v>58.089936950672609</v>
      </c>
      <c r="M161" s="104">
        <f t="shared" si="81"/>
        <v>12.780827401956619</v>
      </c>
      <c r="N161" s="323">
        <v>0</v>
      </c>
      <c r="O161" s="104"/>
      <c r="P161" s="104">
        <f t="shared" si="90"/>
        <v>48.532672250557511</v>
      </c>
      <c r="Q161" s="104">
        <f t="shared" si="91"/>
        <v>15.368754793270837</v>
      </c>
      <c r="R161" s="104"/>
      <c r="S161" s="140">
        <f t="shared" si="92"/>
        <v>134.77219139645757</v>
      </c>
      <c r="T161" s="880">
        <v>741.76666666666665</v>
      </c>
      <c r="U161" s="104"/>
      <c r="V161" s="148">
        <f t="shared" si="93"/>
        <v>741.76666666666665</v>
      </c>
      <c r="W161" s="882">
        <v>155.68333333333334</v>
      </c>
      <c r="X161" s="104"/>
      <c r="Y161" s="45">
        <f t="shared" si="94"/>
        <v>155.68333333333334</v>
      </c>
      <c r="Z161" s="138">
        <f t="shared" si="95"/>
        <v>20.892018298962956</v>
      </c>
      <c r="AA161" s="104">
        <f t="shared" si="82"/>
        <v>4.5922309953920237</v>
      </c>
      <c r="AB161" s="323">
        <v>0</v>
      </c>
      <c r="AC161" s="104"/>
      <c r="AD161" s="104">
        <f t="shared" si="96"/>
        <v>17.454752578182632</v>
      </c>
      <c r="AE161" s="104">
        <f t="shared" si="97"/>
        <v>5.526800648459858</v>
      </c>
      <c r="AF161" s="104"/>
      <c r="AG161" s="139">
        <f t="shared" si="98"/>
        <v>48.465802520997471</v>
      </c>
      <c r="AH161" s="200">
        <f t="shared" si="99"/>
        <v>391.27950290789573</v>
      </c>
      <c r="AI161" s="104">
        <f t="shared" si="83"/>
        <v>78.046837283342555</v>
      </c>
      <c r="AJ161" s="323">
        <v>52.237492662568656</v>
      </c>
      <c r="AK161" s="118" t="e">
        <f t="shared" si="84"/>
        <v>#REF!</v>
      </c>
      <c r="AL161" s="104"/>
      <c r="AM161" s="104">
        <f t="shared" si="100"/>
        <v>326.90412263857849</v>
      </c>
      <c r="AN161" s="104" t="e">
        <f t="shared" si="101"/>
        <v>#REF!</v>
      </c>
      <c r="AO161" s="104"/>
      <c r="AP161" s="140" t="e">
        <f t="shared" si="102"/>
        <v>#REF!</v>
      </c>
      <c r="AQ161" s="33"/>
      <c r="AR161" s="28"/>
      <c r="AS161" s="121"/>
      <c r="AT161" s="135" t="e">
        <f t="shared" si="103"/>
        <v>#REF!</v>
      </c>
      <c r="AU161" s="148" t="e">
        <f t="shared" si="104"/>
        <v>#REF!</v>
      </c>
      <c r="AW161" s="1">
        <v>1</v>
      </c>
      <c r="BA161" s="29">
        <v>470.53</v>
      </c>
      <c r="BB161" s="29">
        <v>63</v>
      </c>
      <c r="BC161" s="29">
        <v>58.44</v>
      </c>
      <c r="BD161" s="29">
        <v>471.58</v>
      </c>
      <c r="BF161" s="279">
        <f>T161*1.2</f>
        <v>890.12</v>
      </c>
      <c r="BI161" s="323">
        <v>8.52</v>
      </c>
      <c r="BL161" s="107">
        <f t="shared" si="106"/>
        <v>0.85901039294857251</v>
      </c>
      <c r="BM161" s="107">
        <f t="shared" si="107"/>
        <v>0.92206249128051765</v>
      </c>
      <c r="BN161" s="107">
        <f t="shared" si="108"/>
        <v>0.35749517965371247</v>
      </c>
      <c r="BO161" s="107">
        <f t="shared" si="109"/>
        <v>0.82972030812989472</v>
      </c>
    </row>
    <row r="162" spans="1:67" x14ac:dyDescent="0.25">
      <c r="A162" s="424" t="s">
        <v>105</v>
      </c>
      <c r="B162" s="228">
        <v>1</v>
      </c>
      <c r="C162" s="226">
        <f>'побудинковий звіт'!E151</f>
        <v>4513.3999999999996</v>
      </c>
      <c r="D162" s="138">
        <f t="shared" si="85"/>
        <v>0</v>
      </c>
      <c r="E162" s="104">
        <f t="shared" si="79"/>
        <v>0</v>
      </c>
      <c r="F162" s="323">
        <v>0</v>
      </c>
      <c r="G162" s="104" t="e">
        <f t="shared" si="80"/>
        <v>#REF!</v>
      </c>
      <c r="H162" s="720">
        <f t="shared" si="86"/>
        <v>0</v>
      </c>
      <c r="I162" s="104" t="e">
        <f t="shared" si="87"/>
        <v>#REF!</v>
      </c>
      <c r="J162" s="28"/>
      <c r="K162" s="139" t="e">
        <f t="shared" si="88"/>
        <v>#REF!</v>
      </c>
      <c r="L162" s="200">
        <f t="shared" si="89"/>
        <v>0</v>
      </c>
      <c r="M162" s="104">
        <f t="shared" si="81"/>
        <v>0</v>
      </c>
      <c r="N162" s="323">
        <v>0</v>
      </c>
      <c r="O162" s="104"/>
      <c r="P162" s="104">
        <f t="shared" si="90"/>
        <v>0</v>
      </c>
      <c r="Q162" s="104">
        <f t="shared" si="91"/>
        <v>0</v>
      </c>
      <c r="R162" s="104"/>
      <c r="S162" s="140">
        <f t="shared" si="92"/>
        <v>0</v>
      </c>
      <c r="T162" s="235"/>
      <c r="U162" s="104"/>
      <c r="V162" s="148">
        <f t="shared" si="93"/>
        <v>0</v>
      </c>
      <c r="W162" s="236"/>
      <c r="X162" s="104"/>
      <c r="Y162" s="45">
        <f t="shared" si="94"/>
        <v>0</v>
      </c>
      <c r="Z162" s="138">
        <f t="shared" si="95"/>
        <v>0</v>
      </c>
      <c r="AA162" s="104">
        <f t="shared" si="82"/>
        <v>0</v>
      </c>
      <c r="AB162" s="323">
        <v>0</v>
      </c>
      <c r="AC162" s="104"/>
      <c r="AD162" s="104">
        <f t="shared" si="96"/>
        <v>0</v>
      </c>
      <c r="AE162" s="104">
        <f t="shared" si="97"/>
        <v>0</v>
      </c>
      <c r="AF162" s="104"/>
      <c r="AG162" s="139">
        <f t="shared" si="98"/>
        <v>0</v>
      </c>
      <c r="AH162" s="200">
        <f t="shared" si="99"/>
        <v>0</v>
      </c>
      <c r="AI162" s="104">
        <f t="shared" si="83"/>
        <v>0</v>
      </c>
      <c r="AJ162" s="323">
        <v>0</v>
      </c>
      <c r="AK162" s="118" t="e">
        <f t="shared" si="84"/>
        <v>#REF!</v>
      </c>
      <c r="AL162" s="104"/>
      <c r="AM162" s="104">
        <f t="shared" si="100"/>
        <v>0</v>
      </c>
      <c r="AN162" s="104" t="e">
        <f t="shared" si="101"/>
        <v>#REF!</v>
      </c>
      <c r="AO162" s="104"/>
      <c r="AP162" s="140" t="e">
        <f t="shared" si="102"/>
        <v>#REF!</v>
      </c>
      <c r="AQ162" s="33"/>
      <c r="AR162" s="28"/>
      <c r="AS162" s="121"/>
      <c r="AT162" s="135">
        <f t="shared" si="103"/>
        <v>0</v>
      </c>
      <c r="AU162" s="148" t="e">
        <f t="shared" si="104"/>
        <v>#REF!</v>
      </c>
      <c r="AW162" s="1">
        <v>2</v>
      </c>
      <c r="BA162" s="29">
        <v>0</v>
      </c>
      <c r="BB162" s="29">
        <v>0</v>
      </c>
      <c r="BC162" s="29">
        <v>0</v>
      </c>
      <c r="BD162" s="29">
        <v>0</v>
      </c>
      <c r="BI162" s="323">
        <v>0</v>
      </c>
      <c r="BL162" s="107">
        <f t="shared" ref="BL162:BO164" si="110">BA$398</f>
        <v>1.0967873225415627</v>
      </c>
      <c r="BM162" s="107">
        <f t="shared" si="110"/>
        <v>1.1127076627324948</v>
      </c>
      <c r="BN162" s="107">
        <f t="shared" si="110"/>
        <v>2.8314493742615632</v>
      </c>
      <c r="BO162" s="107">
        <f t="shared" si="110"/>
        <v>1.036891829831438</v>
      </c>
    </row>
    <row r="163" spans="1:67" x14ac:dyDescent="0.25">
      <c r="A163" s="424" t="s">
        <v>106</v>
      </c>
      <c r="B163" s="228">
        <v>1</v>
      </c>
      <c r="C163" s="226" t="e">
        <f>'побудинковий звіт'!#REF!</f>
        <v>#REF!</v>
      </c>
      <c r="D163" s="138">
        <f t="shared" si="85"/>
        <v>0</v>
      </c>
      <c r="E163" s="104">
        <f t="shared" si="79"/>
        <v>0</v>
      </c>
      <c r="F163" s="323">
        <v>0</v>
      </c>
      <c r="G163" s="104" t="e">
        <f t="shared" si="80"/>
        <v>#REF!</v>
      </c>
      <c r="H163" s="720">
        <f t="shared" si="86"/>
        <v>0</v>
      </c>
      <c r="I163" s="104" t="e">
        <f t="shared" si="87"/>
        <v>#REF!</v>
      </c>
      <c r="J163" s="28"/>
      <c r="K163" s="139" t="e">
        <f t="shared" si="88"/>
        <v>#REF!</v>
      </c>
      <c r="L163" s="200">
        <f t="shared" si="89"/>
        <v>0</v>
      </c>
      <c r="M163" s="104">
        <f t="shared" si="81"/>
        <v>0</v>
      </c>
      <c r="N163" s="323">
        <v>0</v>
      </c>
      <c r="O163" s="104"/>
      <c r="P163" s="104">
        <f t="shared" si="90"/>
        <v>0</v>
      </c>
      <c r="Q163" s="104">
        <f t="shared" si="91"/>
        <v>0</v>
      </c>
      <c r="R163" s="104"/>
      <c r="S163" s="140">
        <f t="shared" si="92"/>
        <v>0</v>
      </c>
      <c r="T163" s="235"/>
      <c r="U163" s="104"/>
      <c r="V163" s="148">
        <f t="shared" si="93"/>
        <v>0</v>
      </c>
      <c r="W163" s="236"/>
      <c r="X163" s="104"/>
      <c r="Y163" s="45">
        <f t="shared" si="94"/>
        <v>0</v>
      </c>
      <c r="Z163" s="138">
        <f t="shared" si="95"/>
        <v>0</v>
      </c>
      <c r="AA163" s="104">
        <f t="shared" si="82"/>
        <v>0</v>
      </c>
      <c r="AB163" s="323">
        <v>0</v>
      </c>
      <c r="AC163" s="104"/>
      <c r="AD163" s="104">
        <f t="shared" si="96"/>
        <v>0</v>
      </c>
      <c r="AE163" s="104">
        <f t="shared" si="97"/>
        <v>0</v>
      </c>
      <c r="AF163" s="104"/>
      <c r="AG163" s="139">
        <f t="shared" si="98"/>
        <v>0</v>
      </c>
      <c r="AH163" s="200">
        <f t="shared" si="99"/>
        <v>0</v>
      </c>
      <c r="AI163" s="104">
        <f t="shared" si="83"/>
        <v>0</v>
      </c>
      <c r="AJ163" s="323">
        <v>0</v>
      </c>
      <c r="AK163" s="118" t="e">
        <f t="shared" si="84"/>
        <v>#REF!</v>
      </c>
      <c r="AL163" s="104"/>
      <c r="AM163" s="104">
        <f t="shared" si="100"/>
        <v>0</v>
      </c>
      <c r="AN163" s="104" t="e">
        <f t="shared" si="101"/>
        <v>#REF!</v>
      </c>
      <c r="AO163" s="104"/>
      <c r="AP163" s="140" t="e">
        <f t="shared" si="102"/>
        <v>#REF!</v>
      </c>
      <c r="AQ163" s="33"/>
      <c r="AR163" s="28"/>
      <c r="AS163" s="121"/>
      <c r="AT163" s="135">
        <f t="shared" si="103"/>
        <v>0</v>
      </c>
      <c r="AU163" s="148" t="e">
        <f t="shared" si="104"/>
        <v>#REF!</v>
      </c>
      <c r="AW163" s="1">
        <v>2</v>
      </c>
      <c r="BA163" s="29">
        <v>0</v>
      </c>
      <c r="BB163" s="29">
        <v>0</v>
      </c>
      <c r="BC163" s="29">
        <v>0</v>
      </c>
      <c r="BD163" s="29">
        <v>0</v>
      </c>
      <c r="BI163" s="323">
        <v>0</v>
      </c>
      <c r="BL163" s="107">
        <f t="shared" si="110"/>
        <v>1.0967873225415627</v>
      </c>
      <c r="BM163" s="107">
        <f t="shared" si="110"/>
        <v>1.1127076627324948</v>
      </c>
      <c r="BN163" s="107">
        <f t="shared" si="110"/>
        <v>2.8314493742615632</v>
      </c>
      <c r="BO163" s="107">
        <f t="shared" si="110"/>
        <v>1.036891829831438</v>
      </c>
    </row>
    <row r="164" spans="1:67" x14ac:dyDescent="0.25">
      <c r="A164" s="424" t="s">
        <v>107</v>
      </c>
      <c r="B164" s="228">
        <v>1</v>
      </c>
      <c r="C164" s="226" t="e">
        <f>'побудинковий звіт'!#REF!</f>
        <v>#REF!</v>
      </c>
      <c r="D164" s="138">
        <f t="shared" si="85"/>
        <v>0</v>
      </c>
      <c r="E164" s="104">
        <f t="shared" si="79"/>
        <v>0</v>
      </c>
      <c r="F164" s="323">
        <v>0</v>
      </c>
      <c r="G164" s="104" t="e">
        <f t="shared" si="80"/>
        <v>#REF!</v>
      </c>
      <c r="H164" s="720">
        <f t="shared" si="86"/>
        <v>0</v>
      </c>
      <c r="I164" s="104" t="e">
        <f t="shared" si="87"/>
        <v>#REF!</v>
      </c>
      <c r="J164" s="28"/>
      <c r="K164" s="139" t="e">
        <f t="shared" si="88"/>
        <v>#REF!</v>
      </c>
      <c r="L164" s="200">
        <f t="shared" si="89"/>
        <v>0</v>
      </c>
      <c r="M164" s="104">
        <f t="shared" si="81"/>
        <v>0</v>
      </c>
      <c r="N164" s="323">
        <v>0</v>
      </c>
      <c r="O164" s="104"/>
      <c r="P164" s="104">
        <f t="shared" si="90"/>
        <v>0</v>
      </c>
      <c r="Q164" s="104">
        <f t="shared" si="91"/>
        <v>0</v>
      </c>
      <c r="R164" s="104"/>
      <c r="S164" s="140">
        <f t="shared" si="92"/>
        <v>0</v>
      </c>
      <c r="T164" s="235"/>
      <c r="U164" s="104"/>
      <c r="V164" s="148">
        <f t="shared" si="93"/>
        <v>0</v>
      </c>
      <c r="W164" s="236"/>
      <c r="X164" s="104"/>
      <c r="Y164" s="45">
        <f t="shared" si="94"/>
        <v>0</v>
      </c>
      <c r="Z164" s="138">
        <f t="shared" si="95"/>
        <v>0</v>
      </c>
      <c r="AA164" s="104">
        <f t="shared" si="82"/>
        <v>0</v>
      </c>
      <c r="AB164" s="323">
        <v>0</v>
      </c>
      <c r="AC164" s="104"/>
      <c r="AD164" s="104">
        <f t="shared" si="96"/>
        <v>0</v>
      </c>
      <c r="AE164" s="104">
        <f t="shared" si="97"/>
        <v>0</v>
      </c>
      <c r="AF164" s="104"/>
      <c r="AG164" s="139">
        <f t="shared" si="98"/>
        <v>0</v>
      </c>
      <c r="AH164" s="200">
        <f t="shared" si="99"/>
        <v>0</v>
      </c>
      <c r="AI164" s="104">
        <f t="shared" si="83"/>
        <v>0</v>
      </c>
      <c r="AJ164" s="323">
        <v>0</v>
      </c>
      <c r="AK164" s="118" t="e">
        <f t="shared" si="84"/>
        <v>#REF!</v>
      </c>
      <c r="AL164" s="104"/>
      <c r="AM164" s="104">
        <f t="shared" si="100"/>
        <v>0</v>
      </c>
      <c r="AN164" s="104" t="e">
        <f t="shared" si="101"/>
        <v>#REF!</v>
      </c>
      <c r="AO164" s="104"/>
      <c r="AP164" s="140" t="e">
        <f t="shared" si="102"/>
        <v>#REF!</v>
      </c>
      <c r="AQ164" s="33"/>
      <c r="AR164" s="28"/>
      <c r="AS164" s="121"/>
      <c r="AT164" s="135">
        <f t="shared" si="103"/>
        <v>0</v>
      </c>
      <c r="AU164" s="148" t="e">
        <f t="shared" si="104"/>
        <v>#REF!</v>
      </c>
      <c r="AW164" s="1">
        <v>2</v>
      </c>
      <c r="BA164" s="29">
        <v>0</v>
      </c>
      <c r="BB164" s="29">
        <v>0</v>
      </c>
      <c r="BC164" s="29">
        <v>0</v>
      </c>
      <c r="BD164" s="29">
        <v>0</v>
      </c>
      <c r="BI164" s="323">
        <v>0</v>
      </c>
      <c r="BL164" s="107">
        <f t="shared" si="110"/>
        <v>1.0967873225415627</v>
      </c>
      <c r="BM164" s="107">
        <f t="shared" si="110"/>
        <v>1.1127076627324948</v>
      </c>
      <c r="BN164" s="107">
        <f t="shared" si="110"/>
        <v>2.8314493742615632</v>
      </c>
      <c r="BO164" s="107">
        <f t="shared" si="110"/>
        <v>1.036891829831438</v>
      </c>
    </row>
    <row r="165" spans="1:67" x14ac:dyDescent="0.25">
      <c r="A165" s="424" t="s">
        <v>108</v>
      </c>
      <c r="B165" s="228">
        <v>1</v>
      </c>
      <c r="C165" s="226">
        <f>'побудинковий звіт'!E152</f>
        <v>4752.3</v>
      </c>
      <c r="D165" s="138">
        <f t="shared" si="85"/>
        <v>0</v>
      </c>
      <c r="E165" s="104">
        <f t="shared" si="79"/>
        <v>0</v>
      </c>
      <c r="F165" s="323">
        <v>0</v>
      </c>
      <c r="G165" s="104" t="e">
        <f t="shared" si="80"/>
        <v>#REF!</v>
      </c>
      <c r="H165" s="720">
        <f t="shared" si="86"/>
        <v>0</v>
      </c>
      <c r="I165" s="104" t="e">
        <f t="shared" si="87"/>
        <v>#REF!</v>
      </c>
      <c r="J165" s="28"/>
      <c r="K165" s="139" t="e">
        <f t="shared" si="88"/>
        <v>#REF!</v>
      </c>
      <c r="L165" s="200">
        <f t="shared" si="89"/>
        <v>0</v>
      </c>
      <c r="M165" s="104">
        <f t="shared" si="81"/>
        <v>0</v>
      </c>
      <c r="N165" s="323">
        <v>0</v>
      </c>
      <c r="O165" s="104"/>
      <c r="P165" s="104">
        <f t="shared" si="90"/>
        <v>0</v>
      </c>
      <c r="Q165" s="104">
        <f t="shared" si="91"/>
        <v>0</v>
      </c>
      <c r="R165" s="104"/>
      <c r="S165" s="140">
        <f t="shared" si="92"/>
        <v>0</v>
      </c>
      <c r="T165" s="235"/>
      <c r="U165" s="104"/>
      <c r="V165" s="148">
        <f t="shared" si="93"/>
        <v>0</v>
      </c>
      <c r="W165" s="236"/>
      <c r="X165" s="104"/>
      <c r="Y165" s="45">
        <f t="shared" si="94"/>
        <v>0</v>
      </c>
      <c r="Z165" s="138">
        <f t="shared" si="95"/>
        <v>0</v>
      </c>
      <c r="AA165" s="104">
        <f t="shared" si="82"/>
        <v>0</v>
      </c>
      <c r="AB165" s="323">
        <v>0</v>
      </c>
      <c r="AC165" s="104"/>
      <c r="AD165" s="104">
        <f t="shared" si="96"/>
        <v>0</v>
      </c>
      <c r="AE165" s="104">
        <f t="shared" si="97"/>
        <v>0</v>
      </c>
      <c r="AF165" s="104"/>
      <c r="AG165" s="139">
        <f t="shared" si="98"/>
        <v>0</v>
      </c>
      <c r="AH165" s="200">
        <f t="shared" si="99"/>
        <v>0</v>
      </c>
      <c r="AI165" s="104">
        <f t="shared" si="83"/>
        <v>0</v>
      </c>
      <c r="AJ165" s="323">
        <v>0</v>
      </c>
      <c r="AK165" s="118" t="e">
        <f t="shared" si="84"/>
        <v>#REF!</v>
      </c>
      <c r="AL165" s="104"/>
      <c r="AM165" s="104">
        <f t="shared" si="100"/>
        <v>0</v>
      </c>
      <c r="AN165" s="104" t="e">
        <f t="shared" si="101"/>
        <v>#REF!</v>
      </c>
      <c r="AO165" s="104"/>
      <c r="AP165" s="140" t="e">
        <f t="shared" si="102"/>
        <v>#REF!</v>
      </c>
      <c r="AQ165" s="33"/>
      <c r="AR165" s="28"/>
      <c r="AS165" s="121"/>
      <c r="AT165" s="135">
        <f t="shared" si="103"/>
        <v>0</v>
      </c>
      <c r="AU165" s="148" t="e">
        <f t="shared" si="104"/>
        <v>#REF!</v>
      </c>
      <c r="AW165" s="1">
        <v>3</v>
      </c>
      <c r="BA165" s="29">
        <v>0</v>
      </c>
      <c r="BB165" s="29">
        <v>0</v>
      </c>
      <c r="BC165" s="29">
        <v>0</v>
      </c>
      <c r="BD165" s="29">
        <v>0</v>
      </c>
      <c r="BI165" s="323">
        <v>0</v>
      </c>
      <c r="BL165" s="107">
        <f t="shared" ref="BL165:BO171" si="111">BA$399</f>
        <v>1.2233877438623886</v>
      </c>
      <c r="BM165" s="107">
        <f t="shared" si="111"/>
        <v>1.2807066670574303</v>
      </c>
      <c r="BN165" s="107">
        <f t="shared" si="111"/>
        <v>0.82443024793968056</v>
      </c>
      <c r="BO165" s="107">
        <f t="shared" si="111"/>
        <v>1.2965393422474656</v>
      </c>
    </row>
    <row r="166" spans="1:67" x14ac:dyDescent="0.25">
      <c r="A166" s="424" t="s">
        <v>109</v>
      </c>
      <c r="B166" s="228">
        <v>1</v>
      </c>
      <c r="C166" s="226">
        <f>'побудинковий звіт'!E153</f>
        <v>214.9</v>
      </c>
      <c r="D166" s="138">
        <f t="shared" si="85"/>
        <v>1.2233877438623886E-2</v>
      </c>
      <c r="E166" s="104">
        <f t="shared" si="79"/>
        <v>2.5217322473961262E-3</v>
      </c>
      <c r="F166" s="323">
        <v>0</v>
      </c>
      <c r="G166" s="104" t="e">
        <f t="shared" si="80"/>
        <v>#REF!</v>
      </c>
      <c r="H166" s="720">
        <f t="shared" si="86"/>
        <v>1.0221094999404167E-2</v>
      </c>
      <c r="I166" s="104" t="e">
        <f t="shared" si="87"/>
        <v>#REF!</v>
      </c>
      <c r="J166" s="28"/>
      <c r="K166" s="139" t="e">
        <f t="shared" si="88"/>
        <v>#REF!</v>
      </c>
      <c r="L166" s="200">
        <f t="shared" si="89"/>
        <v>0</v>
      </c>
      <c r="M166" s="104">
        <f t="shared" si="81"/>
        <v>0</v>
      </c>
      <c r="N166" s="323">
        <v>0</v>
      </c>
      <c r="O166" s="104"/>
      <c r="P166" s="104">
        <f t="shared" si="90"/>
        <v>0</v>
      </c>
      <c r="Q166" s="104">
        <f t="shared" si="91"/>
        <v>0</v>
      </c>
      <c r="R166" s="104"/>
      <c r="S166" s="140">
        <f t="shared" si="92"/>
        <v>0</v>
      </c>
      <c r="T166" s="235"/>
      <c r="U166" s="104"/>
      <c r="V166" s="148">
        <f t="shared" si="93"/>
        <v>0</v>
      </c>
      <c r="W166" s="236"/>
      <c r="X166" s="104"/>
      <c r="Y166" s="45">
        <f t="shared" si="94"/>
        <v>0</v>
      </c>
      <c r="Z166" s="138">
        <f t="shared" si="95"/>
        <v>0</v>
      </c>
      <c r="AA166" s="104">
        <f t="shared" si="82"/>
        <v>0</v>
      </c>
      <c r="AB166" s="323">
        <v>0</v>
      </c>
      <c r="AC166" s="104"/>
      <c r="AD166" s="104">
        <f t="shared" si="96"/>
        <v>0</v>
      </c>
      <c r="AE166" s="104">
        <f t="shared" si="97"/>
        <v>0</v>
      </c>
      <c r="AF166" s="104"/>
      <c r="AG166" s="139">
        <f t="shared" si="98"/>
        <v>0</v>
      </c>
      <c r="AH166" s="200">
        <f t="shared" si="99"/>
        <v>0</v>
      </c>
      <c r="AI166" s="104">
        <f t="shared" si="83"/>
        <v>0</v>
      </c>
      <c r="AJ166" s="323">
        <v>0</v>
      </c>
      <c r="AK166" s="118" t="e">
        <f t="shared" si="84"/>
        <v>#REF!</v>
      </c>
      <c r="AL166" s="104"/>
      <c r="AM166" s="104">
        <f t="shared" si="100"/>
        <v>0</v>
      </c>
      <c r="AN166" s="104" t="e">
        <f t="shared" si="101"/>
        <v>#REF!</v>
      </c>
      <c r="AO166" s="104"/>
      <c r="AP166" s="140" t="e">
        <f t="shared" si="102"/>
        <v>#REF!</v>
      </c>
      <c r="AQ166" s="33"/>
      <c r="AR166" s="28"/>
      <c r="AS166" s="121"/>
      <c r="AT166" s="135">
        <f t="shared" si="103"/>
        <v>0</v>
      </c>
      <c r="AU166" s="148" t="e">
        <f t="shared" si="104"/>
        <v>#REF!</v>
      </c>
      <c r="AW166" s="1">
        <v>3</v>
      </c>
      <c r="BA166" s="29">
        <v>0.01</v>
      </c>
      <c r="BB166" s="29">
        <v>0</v>
      </c>
      <c r="BC166" s="29">
        <v>0</v>
      </c>
      <c r="BD166" s="29">
        <v>0</v>
      </c>
      <c r="BI166" s="323">
        <v>0</v>
      </c>
      <c r="BL166" s="107">
        <f t="shared" si="111"/>
        <v>1.2233877438623886</v>
      </c>
      <c r="BM166" s="107">
        <f t="shared" si="111"/>
        <v>1.2807066670574303</v>
      </c>
      <c r="BN166" s="107">
        <f t="shared" si="111"/>
        <v>0.82443024793968056</v>
      </c>
      <c r="BO166" s="107">
        <f t="shared" si="111"/>
        <v>1.2965393422474656</v>
      </c>
    </row>
    <row r="167" spans="1:67" x14ac:dyDescent="0.25">
      <c r="A167" s="424" t="s">
        <v>110</v>
      </c>
      <c r="B167" s="228">
        <v>1</v>
      </c>
      <c r="C167" s="226">
        <f>'побудинковий звіт'!E154</f>
        <v>194.48</v>
      </c>
      <c r="D167" s="138">
        <f t="shared" si="85"/>
        <v>0</v>
      </c>
      <c r="E167" s="104">
        <f t="shared" si="79"/>
        <v>0</v>
      </c>
      <c r="F167" s="323">
        <v>0</v>
      </c>
      <c r="G167" s="104" t="e">
        <f t="shared" si="80"/>
        <v>#REF!</v>
      </c>
      <c r="H167" s="720">
        <f t="shared" si="86"/>
        <v>0</v>
      </c>
      <c r="I167" s="104" t="e">
        <f t="shared" si="87"/>
        <v>#REF!</v>
      </c>
      <c r="J167" s="28"/>
      <c r="K167" s="139" t="e">
        <f t="shared" si="88"/>
        <v>#REF!</v>
      </c>
      <c r="L167" s="200">
        <f t="shared" si="89"/>
        <v>0</v>
      </c>
      <c r="M167" s="104">
        <f t="shared" si="81"/>
        <v>0</v>
      </c>
      <c r="N167" s="323">
        <v>0</v>
      </c>
      <c r="O167" s="104"/>
      <c r="P167" s="104">
        <f t="shared" si="90"/>
        <v>0</v>
      </c>
      <c r="Q167" s="104">
        <f t="shared" si="91"/>
        <v>0</v>
      </c>
      <c r="R167" s="104"/>
      <c r="S167" s="140">
        <f t="shared" si="92"/>
        <v>0</v>
      </c>
      <c r="T167" s="235"/>
      <c r="U167" s="104"/>
      <c r="V167" s="148">
        <f t="shared" si="93"/>
        <v>0</v>
      </c>
      <c r="W167" s="236"/>
      <c r="X167" s="104"/>
      <c r="Y167" s="45">
        <f t="shared" si="94"/>
        <v>0</v>
      </c>
      <c r="Z167" s="138">
        <f t="shared" si="95"/>
        <v>0</v>
      </c>
      <c r="AA167" s="104">
        <f t="shared" si="82"/>
        <v>0</v>
      </c>
      <c r="AB167" s="323">
        <v>0</v>
      </c>
      <c r="AC167" s="104"/>
      <c r="AD167" s="104">
        <f t="shared" si="96"/>
        <v>0</v>
      </c>
      <c r="AE167" s="104">
        <f t="shared" si="97"/>
        <v>0</v>
      </c>
      <c r="AF167" s="104"/>
      <c r="AG167" s="139">
        <f t="shared" si="98"/>
        <v>0</v>
      </c>
      <c r="AH167" s="200">
        <f t="shared" si="99"/>
        <v>0</v>
      </c>
      <c r="AI167" s="104">
        <f t="shared" si="83"/>
        <v>0</v>
      </c>
      <c r="AJ167" s="323">
        <v>0</v>
      </c>
      <c r="AK167" s="118" t="e">
        <f t="shared" si="84"/>
        <v>#REF!</v>
      </c>
      <c r="AL167" s="104"/>
      <c r="AM167" s="104">
        <f t="shared" si="100"/>
        <v>0</v>
      </c>
      <c r="AN167" s="104" t="e">
        <f t="shared" si="101"/>
        <v>#REF!</v>
      </c>
      <c r="AO167" s="104"/>
      <c r="AP167" s="140" t="e">
        <f t="shared" si="102"/>
        <v>#REF!</v>
      </c>
      <c r="AQ167" s="33"/>
      <c r="AR167" s="28"/>
      <c r="AS167" s="121"/>
      <c r="AT167" s="135">
        <f t="shared" si="103"/>
        <v>0</v>
      </c>
      <c r="AU167" s="148" t="e">
        <f t="shared" si="104"/>
        <v>#REF!</v>
      </c>
      <c r="AW167" s="1">
        <v>3</v>
      </c>
      <c r="BA167" s="29">
        <v>0</v>
      </c>
      <c r="BB167" s="29">
        <v>0</v>
      </c>
      <c r="BC167" s="29">
        <v>0</v>
      </c>
      <c r="BD167" s="29">
        <v>0</v>
      </c>
      <c r="BI167" s="323">
        <v>0</v>
      </c>
      <c r="BL167" s="107">
        <f t="shared" si="111"/>
        <v>1.2233877438623886</v>
      </c>
      <c r="BM167" s="107">
        <f t="shared" si="111"/>
        <v>1.2807066670574303</v>
      </c>
      <c r="BN167" s="107">
        <f t="shared" si="111"/>
        <v>0.82443024793968056</v>
      </c>
      <c r="BO167" s="107">
        <f t="shared" si="111"/>
        <v>1.2965393422474656</v>
      </c>
    </row>
    <row r="168" spans="1:67" x14ac:dyDescent="0.25">
      <c r="A168" s="424" t="s">
        <v>111</v>
      </c>
      <c r="B168" s="228">
        <v>1</v>
      </c>
      <c r="C168" s="226">
        <f>'побудинковий звіт'!E155</f>
        <v>1487.5</v>
      </c>
      <c r="D168" s="138">
        <f t="shared" si="85"/>
        <v>0</v>
      </c>
      <c r="E168" s="104">
        <f t="shared" si="79"/>
        <v>0</v>
      </c>
      <c r="F168" s="323">
        <v>0</v>
      </c>
      <c r="G168" s="104" t="e">
        <f t="shared" si="80"/>
        <v>#REF!</v>
      </c>
      <c r="H168" s="720">
        <f t="shared" si="86"/>
        <v>0</v>
      </c>
      <c r="I168" s="104" t="e">
        <f t="shared" si="87"/>
        <v>#REF!</v>
      </c>
      <c r="J168" s="28"/>
      <c r="K168" s="139" t="e">
        <f t="shared" si="88"/>
        <v>#REF!</v>
      </c>
      <c r="L168" s="200">
        <f t="shared" si="89"/>
        <v>0</v>
      </c>
      <c r="M168" s="104">
        <f t="shared" si="81"/>
        <v>0</v>
      </c>
      <c r="N168" s="323">
        <v>0</v>
      </c>
      <c r="O168" s="104"/>
      <c r="P168" s="104">
        <f t="shared" si="90"/>
        <v>0</v>
      </c>
      <c r="Q168" s="104">
        <f t="shared" si="91"/>
        <v>0</v>
      </c>
      <c r="R168" s="104"/>
      <c r="S168" s="140">
        <f t="shared" si="92"/>
        <v>0</v>
      </c>
      <c r="T168" s="235"/>
      <c r="U168" s="104"/>
      <c r="V168" s="148">
        <f t="shared" si="93"/>
        <v>0</v>
      </c>
      <c r="W168" s="236"/>
      <c r="X168" s="104"/>
      <c r="Y168" s="45">
        <f t="shared" si="94"/>
        <v>0</v>
      </c>
      <c r="Z168" s="138">
        <f t="shared" si="95"/>
        <v>0</v>
      </c>
      <c r="AA168" s="104">
        <f t="shared" si="82"/>
        <v>0</v>
      </c>
      <c r="AB168" s="323">
        <v>0</v>
      </c>
      <c r="AC168" s="104"/>
      <c r="AD168" s="104">
        <f t="shared" si="96"/>
        <v>0</v>
      </c>
      <c r="AE168" s="104">
        <f t="shared" si="97"/>
        <v>0</v>
      </c>
      <c r="AF168" s="104"/>
      <c r="AG168" s="139">
        <f t="shared" si="98"/>
        <v>0</v>
      </c>
      <c r="AH168" s="200">
        <f t="shared" si="99"/>
        <v>0</v>
      </c>
      <c r="AI168" s="104">
        <f t="shared" si="83"/>
        <v>0</v>
      </c>
      <c r="AJ168" s="323">
        <v>0</v>
      </c>
      <c r="AK168" s="118" t="e">
        <f t="shared" si="84"/>
        <v>#REF!</v>
      </c>
      <c r="AL168" s="104"/>
      <c r="AM168" s="104">
        <f t="shared" si="100"/>
        <v>0</v>
      </c>
      <c r="AN168" s="104" t="e">
        <f t="shared" si="101"/>
        <v>#REF!</v>
      </c>
      <c r="AO168" s="104"/>
      <c r="AP168" s="140" t="e">
        <f t="shared" si="102"/>
        <v>#REF!</v>
      </c>
      <c r="AQ168" s="33"/>
      <c r="AR168" s="28"/>
      <c r="AS168" s="121"/>
      <c r="AT168" s="135">
        <f t="shared" si="103"/>
        <v>0</v>
      </c>
      <c r="AU168" s="148" t="e">
        <f t="shared" si="104"/>
        <v>#REF!</v>
      </c>
      <c r="AW168" s="1">
        <v>3</v>
      </c>
      <c r="BA168" s="29">
        <v>0</v>
      </c>
      <c r="BB168" s="29">
        <v>0</v>
      </c>
      <c r="BC168" s="29">
        <v>0</v>
      </c>
      <c r="BD168" s="29">
        <v>0</v>
      </c>
      <c r="BI168" s="323">
        <v>0</v>
      </c>
      <c r="BL168" s="107">
        <f t="shared" si="111"/>
        <v>1.2233877438623886</v>
      </c>
      <c r="BM168" s="107">
        <f t="shared" si="111"/>
        <v>1.2807066670574303</v>
      </c>
      <c r="BN168" s="107">
        <f t="shared" si="111"/>
        <v>0.82443024793968056</v>
      </c>
      <c r="BO168" s="107">
        <f t="shared" si="111"/>
        <v>1.2965393422474656</v>
      </c>
    </row>
    <row r="169" spans="1:67" x14ac:dyDescent="0.25">
      <c r="A169" s="424" t="s">
        <v>112</v>
      </c>
      <c r="B169" s="228">
        <v>1</v>
      </c>
      <c r="C169" s="226">
        <f>'побудинковий звіт'!E156</f>
        <v>4024.2</v>
      </c>
      <c r="D169" s="138">
        <f t="shared" si="85"/>
        <v>0</v>
      </c>
      <c r="E169" s="104">
        <f t="shared" si="79"/>
        <v>0</v>
      </c>
      <c r="F169" s="323">
        <v>0</v>
      </c>
      <c r="G169" s="104" t="e">
        <f t="shared" si="80"/>
        <v>#REF!</v>
      </c>
      <c r="H169" s="720">
        <f t="shared" si="86"/>
        <v>0</v>
      </c>
      <c r="I169" s="104" t="e">
        <f t="shared" si="87"/>
        <v>#REF!</v>
      </c>
      <c r="J169" s="28"/>
      <c r="K169" s="139" t="e">
        <f t="shared" si="88"/>
        <v>#REF!</v>
      </c>
      <c r="L169" s="200">
        <f t="shared" si="89"/>
        <v>0</v>
      </c>
      <c r="M169" s="104">
        <f t="shared" si="81"/>
        <v>0</v>
      </c>
      <c r="N169" s="323">
        <v>0</v>
      </c>
      <c r="O169" s="104"/>
      <c r="P169" s="104">
        <f t="shared" si="90"/>
        <v>0</v>
      </c>
      <c r="Q169" s="104">
        <f t="shared" si="91"/>
        <v>0</v>
      </c>
      <c r="R169" s="104"/>
      <c r="S169" s="140">
        <f t="shared" si="92"/>
        <v>0</v>
      </c>
      <c r="T169" s="235"/>
      <c r="U169" s="104"/>
      <c r="V169" s="148">
        <f t="shared" si="93"/>
        <v>0</v>
      </c>
      <c r="W169" s="236"/>
      <c r="X169" s="104"/>
      <c r="Y169" s="45">
        <f t="shared" si="94"/>
        <v>0</v>
      </c>
      <c r="Z169" s="138">
        <f t="shared" si="95"/>
        <v>0</v>
      </c>
      <c r="AA169" s="104">
        <f t="shared" si="82"/>
        <v>0</v>
      </c>
      <c r="AB169" s="323">
        <v>0</v>
      </c>
      <c r="AC169" s="104"/>
      <c r="AD169" s="104">
        <f t="shared" si="96"/>
        <v>0</v>
      </c>
      <c r="AE169" s="104">
        <f t="shared" si="97"/>
        <v>0</v>
      </c>
      <c r="AF169" s="104"/>
      <c r="AG169" s="139">
        <f t="shared" si="98"/>
        <v>0</v>
      </c>
      <c r="AH169" s="200">
        <f t="shared" si="99"/>
        <v>0</v>
      </c>
      <c r="AI169" s="104">
        <f t="shared" si="83"/>
        <v>0</v>
      </c>
      <c r="AJ169" s="323">
        <v>0</v>
      </c>
      <c r="AK169" s="118" t="e">
        <f t="shared" si="84"/>
        <v>#REF!</v>
      </c>
      <c r="AL169" s="104"/>
      <c r="AM169" s="104">
        <f t="shared" si="100"/>
        <v>0</v>
      </c>
      <c r="AN169" s="104" t="e">
        <f t="shared" si="101"/>
        <v>#REF!</v>
      </c>
      <c r="AO169" s="104"/>
      <c r="AP169" s="140" t="e">
        <f t="shared" si="102"/>
        <v>#REF!</v>
      </c>
      <c r="AQ169" s="33"/>
      <c r="AR169" s="28"/>
      <c r="AS169" s="121"/>
      <c r="AT169" s="135">
        <f t="shared" si="103"/>
        <v>0</v>
      </c>
      <c r="AU169" s="148" t="e">
        <f t="shared" si="104"/>
        <v>#REF!</v>
      </c>
      <c r="AW169" s="1">
        <v>3</v>
      </c>
      <c r="BA169" s="29">
        <v>0</v>
      </c>
      <c r="BB169" s="29">
        <v>0</v>
      </c>
      <c r="BC169" s="29">
        <v>0</v>
      </c>
      <c r="BD169" s="29">
        <v>0</v>
      </c>
      <c r="BI169" s="323">
        <v>0</v>
      </c>
      <c r="BL169" s="107">
        <f t="shared" si="111"/>
        <v>1.2233877438623886</v>
      </c>
      <c r="BM169" s="107">
        <f t="shared" si="111"/>
        <v>1.2807066670574303</v>
      </c>
      <c r="BN169" s="107">
        <f t="shared" si="111"/>
        <v>0.82443024793968056</v>
      </c>
      <c r="BO169" s="107">
        <f t="shared" si="111"/>
        <v>1.2965393422474656</v>
      </c>
    </row>
    <row r="170" spans="1:67" x14ac:dyDescent="0.25">
      <c r="A170" s="424" t="s">
        <v>113</v>
      </c>
      <c r="B170" s="228">
        <v>1</v>
      </c>
      <c r="C170" s="226">
        <f>'побудинковий звіт'!E157</f>
        <v>1483.6999999999998</v>
      </c>
      <c r="D170" s="138">
        <f t="shared" si="85"/>
        <v>0</v>
      </c>
      <c r="E170" s="104">
        <f t="shared" si="79"/>
        <v>0</v>
      </c>
      <c r="F170" s="323">
        <v>0</v>
      </c>
      <c r="G170" s="104" t="e">
        <f t="shared" si="80"/>
        <v>#REF!</v>
      </c>
      <c r="H170" s="720">
        <f t="shared" si="86"/>
        <v>0</v>
      </c>
      <c r="I170" s="104" t="e">
        <f t="shared" si="87"/>
        <v>#REF!</v>
      </c>
      <c r="J170" s="28"/>
      <c r="K170" s="139" t="e">
        <f t="shared" si="88"/>
        <v>#REF!</v>
      </c>
      <c r="L170" s="200">
        <f t="shared" si="89"/>
        <v>0</v>
      </c>
      <c r="M170" s="104">
        <f t="shared" si="81"/>
        <v>0</v>
      </c>
      <c r="N170" s="323">
        <v>0</v>
      </c>
      <c r="O170" s="104"/>
      <c r="P170" s="104">
        <f t="shared" si="90"/>
        <v>0</v>
      </c>
      <c r="Q170" s="104">
        <f t="shared" si="91"/>
        <v>0</v>
      </c>
      <c r="R170" s="104"/>
      <c r="S170" s="140">
        <f t="shared" si="92"/>
        <v>0</v>
      </c>
      <c r="T170" s="235"/>
      <c r="U170" s="104"/>
      <c r="V170" s="148">
        <f t="shared" si="93"/>
        <v>0</v>
      </c>
      <c r="W170" s="236"/>
      <c r="X170" s="104"/>
      <c r="Y170" s="45">
        <f t="shared" si="94"/>
        <v>0</v>
      </c>
      <c r="Z170" s="138">
        <f t="shared" si="95"/>
        <v>0</v>
      </c>
      <c r="AA170" s="104">
        <f t="shared" si="82"/>
        <v>0</v>
      </c>
      <c r="AB170" s="323">
        <v>0</v>
      </c>
      <c r="AC170" s="104"/>
      <c r="AD170" s="104">
        <f t="shared" si="96"/>
        <v>0</v>
      </c>
      <c r="AE170" s="104">
        <f t="shared" si="97"/>
        <v>0</v>
      </c>
      <c r="AF170" s="104"/>
      <c r="AG170" s="139">
        <f t="shared" si="98"/>
        <v>0</v>
      </c>
      <c r="AH170" s="200">
        <f t="shared" si="99"/>
        <v>0</v>
      </c>
      <c r="AI170" s="104">
        <f t="shared" si="83"/>
        <v>0</v>
      </c>
      <c r="AJ170" s="323">
        <v>0</v>
      </c>
      <c r="AK170" s="118" t="e">
        <f t="shared" si="84"/>
        <v>#REF!</v>
      </c>
      <c r="AL170" s="104"/>
      <c r="AM170" s="104">
        <f t="shared" si="100"/>
        <v>0</v>
      </c>
      <c r="AN170" s="104" t="e">
        <f t="shared" si="101"/>
        <v>#REF!</v>
      </c>
      <c r="AO170" s="104"/>
      <c r="AP170" s="140" t="e">
        <f t="shared" si="102"/>
        <v>#REF!</v>
      </c>
      <c r="AQ170" s="33"/>
      <c r="AR170" s="28"/>
      <c r="AS170" s="121"/>
      <c r="AT170" s="135">
        <f t="shared" si="103"/>
        <v>0</v>
      </c>
      <c r="AU170" s="148" t="e">
        <f t="shared" si="104"/>
        <v>#REF!</v>
      </c>
      <c r="AW170" s="1">
        <v>3</v>
      </c>
      <c r="BA170" s="29">
        <v>0</v>
      </c>
      <c r="BB170" s="29">
        <v>0</v>
      </c>
      <c r="BC170" s="29">
        <v>0</v>
      </c>
      <c r="BD170" s="29">
        <v>0</v>
      </c>
      <c r="BI170" s="323">
        <v>0</v>
      </c>
      <c r="BL170" s="107">
        <f t="shared" si="111"/>
        <v>1.2233877438623886</v>
      </c>
      <c r="BM170" s="107">
        <f t="shared" si="111"/>
        <v>1.2807066670574303</v>
      </c>
      <c r="BN170" s="107">
        <f t="shared" si="111"/>
        <v>0.82443024793968056</v>
      </c>
      <c r="BO170" s="107">
        <f t="shared" si="111"/>
        <v>1.2965393422474656</v>
      </c>
    </row>
    <row r="171" spans="1:67" x14ac:dyDescent="0.25">
      <c r="A171" s="424" t="s">
        <v>114</v>
      </c>
      <c r="B171" s="228">
        <v>1</v>
      </c>
      <c r="C171" s="226">
        <f>'побудинковий звіт'!E158</f>
        <v>744.59999999999991</v>
      </c>
      <c r="D171" s="138">
        <f t="shared" si="85"/>
        <v>0</v>
      </c>
      <c r="E171" s="104">
        <f t="shared" si="79"/>
        <v>0</v>
      </c>
      <c r="F171" s="323">
        <v>0</v>
      </c>
      <c r="G171" s="104" t="e">
        <f t="shared" si="80"/>
        <v>#REF!</v>
      </c>
      <c r="H171" s="720">
        <f t="shared" si="86"/>
        <v>0</v>
      </c>
      <c r="I171" s="104" t="e">
        <f t="shared" si="87"/>
        <v>#REF!</v>
      </c>
      <c r="J171" s="28"/>
      <c r="K171" s="139" t="e">
        <f t="shared" si="88"/>
        <v>#REF!</v>
      </c>
      <c r="L171" s="200">
        <f t="shared" si="89"/>
        <v>0</v>
      </c>
      <c r="M171" s="104">
        <f t="shared" si="81"/>
        <v>0</v>
      </c>
      <c r="N171" s="323">
        <v>0</v>
      </c>
      <c r="O171" s="104"/>
      <c r="P171" s="104">
        <f t="shared" si="90"/>
        <v>0</v>
      </c>
      <c r="Q171" s="104">
        <f t="shared" si="91"/>
        <v>0</v>
      </c>
      <c r="R171" s="104"/>
      <c r="S171" s="140">
        <f t="shared" si="92"/>
        <v>0</v>
      </c>
      <c r="T171" s="235"/>
      <c r="U171" s="104"/>
      <c r="V171" s="148">
        <f t="shared" si="93"/>
        <v>0</v>
      </c>
      <c r="W171" s="236"/>
      <c r="X171" s="104"/>
      <c r="Y171" s="45">
        <f t="shared" si="94"/>
        <v>0</v>
      </c>
      <c r="Z171" s="138">
        <f t="shared" si="95"/>
        <v>0</v>
      </c>
      <c r="AA171" s="104">
        <f t="shared" si="82"/>
        <v>0</v>
      </c>
      <c r="AB171" s="323">
        <v>0</v>
      </c>
      <c r="AC171" s="104"/>
      <c r="AD171" s="104">
        <f t="shared" si="96"/>
        <v>0</v>
      </c>
      <c r="AE171" s="104">
        <f t="shared" si="97"/>
        <v>0</v>
      </c>
      <c r="AF171" s="104"/>
      <c r="AG171" s="139">
        <f t="shared" si="98"/>
        <v>0</v>
      </c>
      <c r="AH171" s="200">
        <f t="shared" si="99"/>
        <v>0</v>
      </c>
      <c r="AI171" s="104">
        <f t="shared" si="83"/>
        <v>0</v>
      </c>
      <c r="AJ171" s="323">
        <v>0</v>
      </c>
      <c r="AK171" s="118" t="e">
        <f t="shared" si="84"/>
        <v>#REF!</v>
      </c>
      <c r="AL171" s="104"/>
      <c r="AM171" s="104">
        <f t="shared" si="100"/>
        <v>0</v>
      </c>
      <c r="AN171" s="104" t="e">
        <f t="shared" si="101"/>
        <v>#REF!</v>
      </c>
      <c r="AO171" s="104"/>
      <c r="AP171" s="140" t="e">
        <f t="shared" si="102"/>
        <v>#REF!</v>
      </c>
      <c r="AQ171" s="33"/>
      <c r="AR171" s="28"/>
      <c r="AS171" s="121"/>
      <c r="AT171" s="135">
        <f t="shared" si="103"/>
        <v>0</v>
      </c>
      <c r="AU171" s="148" t="e">
        <f t="shared" si="104"/>
        <v>#REF!</v>
      </c>
      <c r="AW171" s="1">
        <v>3</v>
      </c>
      <c r="BA171" s="29">
        <v>0</v>
      </c>
      <c r="BB171" s="29">
        <v>0</v>
      </c>
      <c r="BC171" s="29">
        <v>0</v>
      </c>
      <c r="BD171" s="29">
        <v>0</v>
      </c>
      <c r="BI171" s="323">
        <v>0</v>
      </c>
      <c r="BL171" s="107">
        <f t="shared" si="111"/>
        <v>1.2233877438623886</v>
      </c>
      <c r="BM171" s="107">
        <f t="shared" si="111"/>
        <v>1.2807066670574303</v>
      </c>
      <c r="BN171" s="107">
        <f t="shared" si="111"/>
        <v>0.82443024793968056</v>
      </c>
      <c r="BO171" s="107">
        <f t="shared" si="111"/>
        <v>1.2965393422474656</v>
      </c>
    </row>
    <row r="172" spans="1:67" x14ac:dyDescent="0.25">
      <c r="A172" s="250" t="s">
        <v>263</v>
      </c>
      <c r="B172" s="227">
        <v>5</v>
      </c>
      <c r="C172" s="226">
        <f>'побудинковий звіт'!E159</f>
        <v>422.9</v>
      </c>
      <c r="D172" s="138">
        <f t="shared" si="85"/>
        <v>610.1976268959985</v>
      </c>
      <c r="E172" s="104">
        <f t="shared" si="79"/>
        <v>125.77819589480163</v>
      </c>
      <c r="F172" s="323">
        <v>95.706437494321804</v>
      </c>
      <c r="G172" s="104" t="e">
        <f t="shared" si="80"/>
        <v>#REF!</v>
      </c>
      <c r="H172" s="720">
        <f t="shared" si="86"/>
        <v>509.80467510850991</v>
      </c>
      <c r="I172" s="104" t="e">
        <f t="shared" si="87"/>
        <v>#REF!</v>
      </c>
      <c r="J172" s="28"/>
      <c r="K172" s="139" t="e">
        <f t="shared" si="88"/>
        <v>#REF!</v>
      </c>
      <c r="L172" s="200">
        <f t="shared" si="89"/>
        <v>129.8418571642548</v>
      </c>
      <c r="M172" s="104">
        <f t="shared" si="81"/>
        <v>28.567536015317202</v>
      </c>
      <c r="N172" s="323">
        <v>0</v>
      </c>
      <c r="O172" s="104"/>
      <c r="P172" s="104">
        <f t="shared" si="90"/>
        <v>108.47958577588915</v>
      </c>
      <c r="Q172" s="104">
        <f t="shared" si="91"/>
        <v>34.352037020711954</v>
      </c>
      <c r="R172" s="104"/>
      <c r="S172" s="140">
        <f t="shared" si="92"/>
        <v>301.24101597617317</v>
      </c>
      <c r="T172" s="234">
        <v>498.15</v>
      </c>
      <c r="U172" s="104"/>
      <c r="V172" s="148">
        <f t="shared" si="93"/>
        <v>498.15</v>
      </c>
      <c r="W172" s="236"/>
      <c r="X172" s="104"/>
      <c r="Y172" s="45">
        <f t="shared" si="94"/>
        <v>0</v>
      </c>
      <c r="Z172" s="138">
        <f t="shared" si="95"/>
        <v>0</v>
      </c>
      <c r="AA172" s="104">
        <f t="shared" si="82"/>
        <v>0</v>
      </c>
      <c r="AB172" s="323">
        <v>0</v>
      </c>
      <c r="AC172" s="104"/>
      <c r="AD172" s="104">
        <f t="shared" si="96"/>
        <v>0</v>
      </c>
      <c r="AE172" s="104">
        <f t="shared" si="97"/>
        <v>0</v>
      </c>
      <c r="AF172" s="104"/>
      <c r="AG172" s="139">
        <f t="shared" si="98"/>
        <v>0</v>
      </c>
      <c r="AH172" s="200">
        <f t="shared" si="99"/>
        <v>434.13624023212481</v>
      </c>
      <c r="AI172" s="104">
        <f t="shared" si="83"/>
        <v>86.595286102105263</v>
      </c>
      <c r="AJ172" s="323">
        <v>37.576178517044589</v>
      </c>
      <c r="AK172" s="118" t="e">
        <f t="shared" si="84"/>
        <v>#REF!</v>
      </c>
      <c r="AL172" s="408"/>
      <c r="AM172" s="104">
        <f t="shared" si="100"/>
        <v>362.70984210512302</v>
      </c>
      <c r="AN172" s="104" t="e">
        <f t="shared" si="101"/>
        <v>#REF!</v>
      </c>
      <c r="AO172" s="104"/>
      <c r="AP172" s="140" t="e">
        <f t="shared" si="102"/>
        <v>#REF!</v>
      </c>
      <c r="AQ172" s="33"/>
      <c r="AR172" s="28"/>
      <c r="AS172" s="121"/>
      <c r="AT172" s="135" t="e">
        <f t="shared" si="103"/>
        <v>#REF!</v>
      </c>
      <c r="AU172" s="148" t="e">
        <f t="shared" si="104"/>
        <v>#REF!</v>
      </c>
      <c r="AW172" s="1">
        <v>2</v>
      </c>
      <c r="BA172" s="29">
        <v>556.35</v>
      </c>
      <c r="BB172" s="29">
        <v>116.69</v>
      </c>
      <c r="BC172" s="29">
        <v>0</v>
      </c>
      <c r="BD172" s="29">
        <v>418.69</v>
      </c>
      <c r="BI172" s="323">
        <v>0</v>
      </c>
      <c r="BL172" s="107">
        <f>BA$398</f>
        <v>1.0967873225415627</v>
      </c>
      <c r="BM172" s="107">
        <f>BB$398</f>
        <v>1.1127076627324948</v>
      </c>
      <c r="BN172" s="107">
        <f>BC$398</f>
        <v>2.8314493742615632</v>
      </c>
      <c r="BO172" s="107">
        <f>BD$398</f>
        <v>1.036891829831438</v>
      </c>
    </row>
    <row r="173" spans="1:67" x14ac:dyDescent="0.25">
      <c r="A173" s="250" t="s">
        <v>214</v>
      </c>
      <c r="B173" s="227">
        <v>4</v>
      </c>
      <c r="C173" s="226">
        <f>'побудинковий звіт'!E160</f>
        <v>3603</v>
      </c>
      <c r="D173" s="138">
        <f t="shared" si="85"/>
        <v>296.03536625982076</v>
      </c>
      <c r="E173" s="104">
        <f t="shared" si="79"/>
        <v>61.020876922491453</v>
      </c>
      <c r="F173" s="323">
        <v>53.61297213030776</v>
      </c>
      <c r="G173" s="104" t="e">
        <f t="shared" si="80"/>
        <v>#REF!</v>
      </c>
      <c r="H173" s="720">
        <f t="shared" si="86"/>
        <v>247.33005679558198</v>
      </c>
      <c r="I173" s="104" t="e">
        <f t="shared" si="87"/>
        <v>#REF!</v>
      </c>
      <c r="J173" s="28"/>
      <c r="K173" s="139" t="e">
        <f t="shared" si="88"/>
        <v>#REF!</v>
      </c>
      <c r="L173" s="200">
        <f t="shared" si="89"/>
        <v>58.579522951206862</v>
      </c>
      <c r="M173" s="104">
        <f t="shared" si="81"/>
        <v>12.888545097993301</v>
      </c>
      <c r="N173" s="323">
        <v>0</v>
      </c>
      <c r="O173" s="104"/>
      <c r="P173" s="104">
        <f t="shared" si="90"/>
        <v>48.941708964137817</v>
      </c>
      <c r="Q173" s="104">
        <f t="shared" si="91"/>
        <v>15.498283720093712</v>
      </c>
      <c r="R173" s="104"/>
      <c r="S173" s="140">
        <f t="shared" si="92"/>
        <v>135.90806073343168</v>
      </c>
      <c r="T173" s="234">
        <v>248.82</v>
      </c>
      <c r="U173" s="104"/>
      <c r="V173" s="148">
        <f t="shared" si="93"/>
        <v>248.82</v>
      </c>
      <c r="W173" s="881">
        <v>55.64</v>
      </c>
      <c r="X173" s="104"/>
      <c r="Y173" s="45">
        <f t="shared" si="94"/>
        <v>55.64</v>
      </c>
      <c r="Z173" s="138">
        <f t="shared" si="95"/>
        <v>0</v>
      </c>
      <c r="AA173" s="104">
        <f t="shared" si="82"/>
        <v>0</v>
      </c>
      <c r="AB173" s="323">
        <v>0</v>
      </c>
      <c r="AC173" s="104"/>
      <c r="AD173" s="104">
        <f t="shared" si="96"/>
        <v>0</v>
      </c>
      <c r="AE173" s="104">
        <f t="shared" si="97"/>
        <v>0</v>
      </c>
      <c r="AF173" s="104"/>
      <c r="AG173" s="139">
        <f t="shared" si="98"/>
        <v>0</v>
      </c>
      <c r="AH173" s="200">
        <f t="shared" si="99"/>
        <v>202.26013739060463</v>
      </c>
      <c r="AI173" s="104">
        <f t="shared" si="83"/>
        <v>40.343958511792728</v>
      </c>
      <c r="AJ173" s="323">
        <v>30.177064083400357</v>
      </c>
      <c r="AK173" s="118" t="e">
        <f t="shared" si="84"/>
        <v>#REF!</v>
      </c>
      <c r="AL173" s="104"/>
      <c r="AM173" s="104">
        <f t="shared" si="100"/>
        <v>168.98322622843349</v>
      </c>
      <c r="AN173" s="104" t="e">
        <f t="shared" si="101"/>
        <v>#REF!</v>
      </c>
      <c r="AO173" s="104"/>
      <c r="AP173" s="140" t="e">
        <f t="shared" si="102"/>
        <v>#REF!</v>
      </c>
      <c r="AQ173" s="33"/>
      <c r="AR173" s="28"/>
      <c r="AS173" s="121"/>
      <c r="AT173" s="135" t="e">
        <f t="shared" si="103"/>
        <v>#REF!</v>
      </c>
      <c r="AU173" s="148" t="e">
        <f t="shared" si="104"/>
        <v>#REF!</v>
      </c>
      <c r="AW173" s="1">
        <v>3</v>
      </c>
      <c r="BA173" s="29">
        <v>241.98</v>
      </c>
      <c r="BB173" s="29">
        <v>45.74</v>
      </c>
      <c r="BC173" s="29">
        <v>0</v>
      </c>
      <c r="BD173" s="29">
        <v>156</v>
      </c>
      <c r="BI173" s="323">
        <v>0</v>
      </c>
      <c r="BL173" s="107">
        <f t="shared" ref="BL173:BO179" si="112">BA$399</f>
        <v>1.2233877438623886</v>
      </c>
      <c r="BM173" s="107">
        <f t="shared" si="112"/>
        <v>1.2807066670574303</v>
      </c>
      <c r="BN173" s="107">
        <f t="shared" si="112"/>
        <v>0.82443024793968056</v>
      </c>
      <c r="BO173" s="107">
        <f t="shared" si="112"/>
        <v>1.2965393422474656</v>
      </c>
    </row>
    <row r="174" spans="1:67" x14ac:dyDescent="0.25">
      <c r="A174" s="250" t="s">
        <v>167</v>
      </c>
      <c r="B174" s="227">
        <v>2</v>
      </c>
      <c r="C174" s="226">
        <f>'побудинковий звіт'!E161</f>
        <v>324.7</v>
      </c>
      <c r="D174" s="138">
        <f t="shared" si="85"/>
        <v>72.975078921391471</v>
      </c>
      <c r="E174" s="104">
        <f t="shared" si="79"/>
        <v>15.04213285571789</v>
      </c>
      <c r="F174" s="323">
        <v>9.6056253877176854</v>
      </c>
      <c r="G174" s="104" t="e">
        <f t="shared" si="80"/>
        <v>#REF!</v>
      </c>
      <c r="H174" s="720">
        <f t="shared" si="86"/>
        <v>60.968831671445848</v>
      </c>
      <c r="I174" s="104" t="e">
        <f t="shared" si="87"/>
        <v>#REF!</v>
      </c>
      <c r="J174" s="28"/>
      <c r="K174" s="139" t="e">
        <f t="shared" si="88"/>
        <v>#REF!</v>
      </c>
      <c r="L174" s="200">
        <f t="shared" si="89"/>
        <v>12.486890003809945</v>
      </c>
      <c r="M174" s="104">
        <f t="shared" si="81"/>
        <v>2.7473396306391491</v>
      </c>
      <c r="N174" s="323">
        <v>0</v>
      </c>
      <c r="O174" s="104"/>
      <c r="P174" s="104">
        <f t="shared" si="90"/>
        <v>10.432480594673015</v>
      </c>
      <c r="Q174" s="104">
        <f t="shared" si="91"/>
        <v>3.3036350299718782</v>
      </c>
      <c r="R174" s="104"/>
      <c r="S174" s="140">
        <f t="shared" si="92"/>
        <v>28.970345259093989</v>
      </c>
      <c r="T174" s="234">
        <v>55.33</v>
      </c>
      <c r="U174" s="104"/>
      <c r="V174" s="148">
        <f t="shared" si="93"/>
        <v>55.33</v>
      </c>
      <c r="W174" s="236"/>
      <c r="X174" s="104"/>
      <c r="Y174" s="45">
        <f t="shared" si="94"/>
        <v>0</v>
      </c>
      <c r="Z174" s="138">
        <f t="shared" si="95"/>
        <v>0</v>
      </c>
      <c r="AA174" s="104">
        <f t="shared" si="82"/>
        <v>0</v>
      </c>
      <c r="AB174" s="323">
        <v>0</v>
      </c>
      <c r="AC174" s="104"/>
      <c r="AD174" s="104">
        <f t="shared" si="96"/>
        <v>0</v>
      </c>
      <c r="AE174" s="104">
        <f t="shared" si="97"/>
        <v>0</v>
      </c>
      <c r="AF174" s="104"/>
      <c r="AG174" s="139">
        <f t="shared" si="98"/>
        <v>0</v>
      </c>
      <c r="AH174" s="200">
        <f t="shared" si="99"/>
        <v>47.219962844652699</v>
      </c>
      <c r="AI174" s="104">
        <f t="shared" si="83"/>
        <v>9.4187626217916112</v>
      </c>
      <c r="AJ174" s="323">
        <v>5.4067059028504927</v>
      </c>
      <c r="AK174" s="118" t="e">
        <f t="shared" si="84"/>
        <v>#REF!</v>
      </c>
      <c r="AL174" s="104"/>
      <c r="AM174" s="104">
        <f t="shared" si="100"/>
        <v>39.45108396948428</v>
      </c>
      <c r="AN174" s="104" t="e">
        <f t="shared" si="101"/>
        <v>#REF!</v>
      </c>
      <c r="AO174" s="104"/>
      <c r="AP174" s="140" t="e">
        <f t="shared" si="102"/>
        <v>#REF!</v>
      </c>
      <c r="AQ174" s="33"/>
      <c r="AR174" s="28"/>
      <c r="AS174" s="121"/>
      <c r="AT174" s="135" t="e">
        <f t="shared" si="103"/>
        <v>#REF!</v>
      </c>
      <c r="AU174" s="148" t="e">
        <f t="shared" si="104"/>
        <v>#REF!</v>
      </c>
      <c r="AW174" s="1">
        <v>3</v>
      </c>
      <c r="BA174" s="29">
        <v>59.65</v>
      </c>
      <c r="BB174" s="29">
        <v>9.75</v>
      </c>
      <c r="BC174" s="29">
        <v>0</v>
      </c>
      <c r="BD174" s="29">
        <v>36.42</v>
      </c>
      <c r="BI174" s="323">
        <v>0</v>
      </c>
      <c r="BL174" s="107">
        <f t="shared" si="112"/>
        <v>1.2233877438623886</v>
      </c>
      <c r="BM174" s="107">
        <f t="shared" si="112"/>
        <v>1.2807066670574303</v>
      </c>
      <c r="BN174" s="107">
        <f t="shared" si="112"/>
        <v>0.82443024793968056</v>
      </c>
      <c r="BO174" s="107">
        <f t="shared" si="112"/>
        <v>1.2965393422474656</v>
      </c>
    </row>
    <row r="175" spans="1:67" x14ac:dyDescent="0.25">
      <c r="A175" s="424" t="s">
        <v>116</v>
      </c>
      <c r="B175" s="228">
        <v>1</v>
      </c>
      <c r="C175" s="226">
        <f>'побудинковий звіт'!E162</f>
        <v>398.70000000000005</v>
      </c>
      <c r="D175" s="138">
        <f t="shared" si="85"/>
        <v>0</v>
      </c>
      <c r="E175" s="104">
        <f t="shared" si="79"/>
        <v>0</v>
      </c>
      <c r="F175" s="323">
        <v>0</v>
      </c>
      <c r="G175" s="104" t="e">
        <f t="shared" si="80"/>
        <v>#REF!</v>
      </c>
      <c r="H175" s="720">
        <f t="shared" si="86"/>
        <v>0</v>
      </c>
      <c r="I175" s="104" t="e">
        <f t="shared" si="87"/>
        <v>#REF!</v>
      </c>
      <c r="J175" s="28"/>
      <c r="K175" s="139" t="e">
        <f t="shared" si="88"/>
        <v>#REF!</v>
      </c>
      <c r="L175" s="200">
        <f t="shared" si="89"/>
        <v>0</v>
      </c>
      <c r="M175" s="104">
        <f t="shared" si="81"/>
        <v>0</v>
      </c>
      <c r="N175" s="323">
        <v>0</v>
      </c>
      <c r="O175" s="104"/>
      <c r="P175" s="104">
        <f t="shared" si="90"/>
        <v>0</v>
      </c>
      <c r="Q175" s="104">
        <f t="shared" si="91"/>
        <v>0</v>
      </c>
      <c r="R175" s="104"/>
      <c r="S175" s="140">
        <f t="shared" si="92"/>
        <v>0</v>
      </c>
      <c r="T175" s="235"/>
      <c r="U175" s="104"/>
      <c r="V175" s="148">
        <f t="shared" si="93"/>
        <v>0</v>
      </c>
      <c r="W175" s="236"/>
      <c r="X175" s="104"/>
      <c r="Y175" s="45">
        <f t="shared" si="94"/>
        <v>0</v>
      </c>
      <c r="Z175" s="138">
        <f t="shared" si="95"/>
        <v>0</v>
      </c>
      <c r="AA175" s="104">
        <f t="shared" si="82"/>
        <v>0</v>
      </c>
      <c r="AB175" s="323">
        <v>0</v>
      </c>
      <c r="AC175" s="104"/>
      <c r="AD175" s="104">
        <f t="shared" si="96"/>
        <v>0</v>
      </c>
      <c r="AE175" s="104">
        <f t="shared" si="97"/>
        <v>0</v>
      </c>
      <c r="AF175" s="104"/>
      <c r="AG175" s="139">
        <f t="shared" si="98"/>
        <v>0</v>
      </c>
      <c r="AH175" s="200">
        <f t="shared" si="99"/>
        <v>0</v>
      </c>
      <c r="AI175" s="104">
        <f t="shared" si="83"/>
        <v>0</v>
      </c>
      <c r="AJ175" s="323">
        <v>0</v>
      </c>
      <c r="AK175" s="118" t="e">
        <f t="shared" si="84"/>
        <v>#REF!</v>
      </c>
      <c r="AL175" s="104"/>
      <c r="AM175" s="104">
        <f t="shared" si="100"/>
        <v>0</v>
      </c>
      <c r="AN175" s="104" t="e">
        <f t="shared" si="101"/>
        <v>#REF!</v>
      </c>
      <c r="AO175" s="104"/>
      <c r="AP175" s="140" t="e">
        <f t="shared" si="102"/>
        <v>#REF!</v>
      </c>
      <c r="AQ175" s="33"/>
      <c r="AR175" s="28"/>
      <c r="AS175" s="121"/>
      <c r="AT175" s="135">
        <f t="shared" si="103"/>
        <v>0</v>
      </c>
      <c r="AU175" s="148" t="e">
        <f t="shared" si="104"/>
        <v>#REF!</v>
      </c>
      <c r="AW175" s="1">
        <v>3</v>
      </c>
      <c r="BA175" s="29">
        <v>0</v>
      </c>
      <c r="BB175" s="29">
        <v>0</v>
      </c>
      <c r="BC175" s="29">
        <v>0</v>
      </c>
      <c r="BD175" s="29">
        <v>0</v>
      </c>
      <c r="BI175" s="323">
        <v>0</v>
      </c>
      <c r="BL175" s="107">
        <f t="shared" si="112"/>
        <v>1.2233877438623886</v>
      </c>
      <c r="BM175" s="107">
        <f t="shared" si="112"/>
        <v>1.2807066670574303</v>
      </c>
      <c r="BN175" s="107">
        <f t="shared" si="112"/>
        <v>0.82443024793968056</v>
      </c>
      <c r="BO175" s="107">
        <f t="shared" si="112"/>
        <v>1.2965393422474656</v>
      </c>
    </row>
    <row r="176" spans="1:67" x14ac:dyDescent="0.25">
      <c r="A176" s="424" t="s">
        <v>117</v>
      </c>
      <c r="B176" s="228">
        <v>1</v>
      </c>
      <c r="C176" s="226">
        <f>'побудинковий звіт'!E163</f>
        <v>3391.34</v>
      </c>
      <c r="D176" s="138">
        <f t="shared" si="85"/>
        <v>0</v>
      </c>
      <c r="E176" s="104">
        <f t="shared" si="79"/>
        <v>0</v>
      </c>
      <c r="F176" s="323">
        <v>0</v>
      </c>
      <c r="G176" s="104" t="e">
        <f t="shared" si="80"/>
        <v>#REF!</v>
      </c>
      <c r="H176" s="720">
        <f t="shared" si="86"/>
        <v>0</v>
      </c>
      <c r="I176" s="104" t="e">
        <f t="shared" si="87"/>
        <v>#REF!</v>
      </c>
      <c r="J176" s="28"/>
      <c r="K176" s="139" t="e">
        <f t="shared" si="88"/>
        <v>#REF!</v>
      </c>
      <c r="L176" s="200">
        <f t="shared" si="89"/>
        <v>0</v>
      </c>
      <c r="M176" s="104">
        <f t="shared" si="81"/>
        <v>0</v>
      </c>
      <c r="N176" s="323">
        <v>0</v>
      </c>
      <c r="O176" s="104"/>
      <c r="P176" s="104">
        <f t="shared" si="90"/>
        <v>0</v>
      </c>
      <c r="Q176" s="104">
        <f t="shared" si="91"/>
        <v>0</v>
      </c>
      <c r="R176" s="104"/>
      <c r="S176" s="140">
        <f t="shared" si="92"/>
        <v>0</v>
      </c>
      <c r="T176" s="235"/>
      <c r="U176" s="104"/>
      <c r="V176" s="148">
        <f t="shared" si="93"/>
        <v>0</v>
      </c>
      <c r="W176" s="236"/>
      <c r="X176" s="104"/>
      <c r="Y176" s="45">
        <f t="shared" si="94"/>
        <v>0</v>
      </c>
      <c r="Z176" s="138">
        <f t="shared" si="95"/>
        <v>0</v>
      </c>
      <c r="AA176" s="104">
        <f t="shared" si="82"/>
        <v>0</v>
      </c>
      <c r="AB176" s="323">
        <v>0</v>
      </c>
      <c r="AC176" s="104"/>
      <c r="AD176" s="104">
        <f t="shared" si="96"/>
        <v>0</v>
      </c>
      <c r="AE176" s="104">
        <f t="shared" si="97"/>
        <v>0</v>
      </c>
      <c r="AF176" s="104"/>
      <c r="AG176" s="139">
        <f t="shared" si="98"/>
        <v>0</v>
      </c>
      <c r="AH176" s="200">
        <f t="shared" si="99"/>
        <v>0</v>
      </c>
      <c r="AI176" s="104">
        <f t="shared" si="83"/>
        <v>0</v>
      </c>
      <c r="AJ176" s="323">
        <v>0</v>
      </c>
      <c r="AK176" s="118" t="e">
        <f t="shared" si="84"/>
        <v>#REF!</v>
      </c>
      <c r="AL176" s="104"/>
      <c r="AM176" s="104">
        <f t="shared" si="100"/>
        <v>0</v>
      </c>
      <c r="AN176" s="104" t="e">
        <f t="shared" si="101"/>
        <v>#REF!</v>
      </c>
      <c r="AO176" s="104"/>
      <c r="AP176" s="140" t="e">
        <f t="shared" si="102"/>
        <v>#REF!</v>
      </c>
      <c r="AQ176" s="33"/>
      <c r="AR176" s="28"/>
      <c r="AS176" s="121"/>
      <c r="AT176" s="135">
        <f t="shared" si="103"/>
        <v>0</v>
      </c>
      <c r="AU176" s="148" t="e">
        <f t="shared" si="104"/>
        <v>#REF!</v>
      </c>
      <c r="AW176" s="1">
        <v>3</v>
      </c>
      <c r="BA176" s="29">
        <v>0</v>
      </c>
      <c r="BB176" s="29">
        <v>0</v>
      </c>
      <c r="BC176" s="29">
        <v>0</v>
      </c>
      <c r="BD176" s="29">
        <v>0</v>
      </c>
      <c r="BI176" s="323">
        <v>0</v>
      </c>
      <c r="BL176" s="107">
        <f t="shared" si="112"/>
        <v>1.2233877438623886</v>
      </c>
      <c r="BM176" s="107">
        <f t="shared" si="112"/>
        <v>1.2807066670574303</v>
      </c>
      <c r="BN176" s="107">
        <f t="shared" si="112"/>
        <v>0.82443024793968056</v>
      </c>
      <c r="BO176" s="107">
        <f t="shared" si="112"/>
        <v>1.2965393422474656</v>
      </c>
    </row>
    <row r="177" spans="1:71" x14ac:dyDescent="0.25">
      <c r="A177" s="424" t="s">
        <v>118</v>
      </c>
      <c r="B177" s="228">
        <v>1</v>
      </c>
      <c r="C177" s="226">
        <f>'побудинковий звіт'!E164</f>
        <v>2046.6999999999998</v>
      </c>
      <c r="D177" s="138">
        <f t="shared" si="85"/>
        <v>0</v>
      </c>
      <c r="E177" s="104">
        <f t="shared" si="79"/>
        <v>0</v>
      </c>
      <c r="F177" s="323">
        <v>0</v>
      </c>
      <c r="G177" s="104" t="e">
        <f t="shared" si="80"/>
        <v>#REF!</v>
      </c>
      <c r="H177" s="720">
        <f t="shared" si="86"/>
        <v>0</v>
      </c>
      <c r="I177" s="104" t="e">
        <f t="shared" si="87"/>
        <v>#REF!</v>
      </c>
      <c r="J177" s="28"/>
      <c r="K177" s="139" t="e">
        <f t="shared" si="88"/>
        <v>#REF!</v>
      </c>
      <c r="L177" s="200">
        <f t="shared" si="89"/>
        <v>0</v>
      </c>
      <c r="M177" s="104">
        <f t="shared" si="81"/>
        <v>0</v>
      </c>
      <c r="N177" s="323">
        <v>0</v>
      </c>
      <c r="O177" s="104"/>
      <c r="P177" s="104">
        <f t="shared" si="90"/>
        <v>0</v>
      </c>
      <c r="Q177" s="104">
        <f t="shared" si="91"/>
        <v>0</v>
      </c>
      <c r="R177" s="104"/>
      <c r="S177" s="140">
        <f t="shared" si="92"/>
        <v>0</v>
      </c>
      <c r="T177" s="235"/>
      <c r="U177" s="104"/>
      <c r="V177" s="148">
        <f t="shared" si="93"/>
        <v>0</v>
      </c>
      <c r="W177" s="236"/>
      <c r="X177" s="104"/>
      <c r="Y177" s="45">
        <f t="shared" si="94"/>
        <v>0</v>
      </c>
      <c r="Z177" s="138">
        <f t="shared" si="95"/>
        <v>0</v>
      </c>
      <c r="AA177" s="104">
        <f t="shared" si="82"/>
        <v>0</v>
      </c>
      <c r="AB177" s="323">
        <v>0</v>
      </c>
      <c r="AC177" s="104"/>
      <c r="AD177" s="104">
        <f t="shared" si="96"/>
        <v>0</v>
      </c>
      <c r="AE177" s="104">
        <f t="shared" si="97"/>
        <v>0</v>
      </c>
      <c r="AF177" s="104"/>
      <c r="AG177" s="139">
        <f t="shared" si="98"/>
        <v>0</v>
      </c>
      <c r="AH177" s="200">
        <f t="shared" si="99"/>
        <v>0</v>
      </c>
      <c r="AI177" s="104">
        <f t="shared" si="83"/>
        <v>0</v>
      </c>
      <c r="AJ177" s="323">
        <v>0</v>
      </c>
      <c r="AK177" s="118" t="e">
        <f t="shared" si="84"/>
        <v>#REF!</v>
      </c>
      <c r="AL177" s="104"/>
      <c r="AM177" s="104">
        <f t="shared" si="100"/>
        <v>0</v>
      </c>
      <c r="AN177" s="104" t="e">
        <f t="shared" si="101"/>
        <v>#REF!</v>
      </c>
      <c r="AO177" s="104"/>
      <c r="AP177" s="140" t="e">
        <f t="shared" si="102"/>
        <v>#REF!</v>
      </c>
      <c r="AQ177" s="33"/>
      <c r="AR177" s="28"/>
      <c r="AS177" s="121"/>
      <c r="AT177" s="135">
        <f t="shared" si="103"/>
        <v>0</v>
      </c>
      <c r="AU177" s="148" t="e">
        <f t="shared" si="104"/>
        <v>#REF!</v>
      </c>
      <c r="AW177" s="1">
        <v>3</v>
      </c>
      <c r="BA177" s="29">
        <v>0</v>
      </c>
      <c r="BB177" s="29">
        <v>0</v>
      </c>
      <c r="BC177" s="29">
        <v>0</v>
      </c>
      <c r="BD177" s="29">
        <v>0</v>
      </c>
      <c r="BI177" s="323">
        <v>0</v>
      </c>
      <c r="BL177" s="107">
        <f t="shared" si="112"/>
        <v>1.2233877438623886</v>
      </c>
      <c r="BM177" s="107">
        <f t="shared" si="112"/>
        <v>1.2807066670574303</v>
      </c>
      <c r="BN177" s="107">
        <f t="shared" si="112"/>
        <v>0.82443024793968056</v>
      </c>
      <c r="BO177" s="107">
        <f t="shared" si="112"/>
        <v>1.2965393422474656</v>
      </c>
    </row>
    <row r="178" spans="1:71" x14ac:dyDescent="0.25">
      <c r="A178" s="424" t="s">
        <v>119</v>
      </c>
      <c r="B178" s="228">
        <v>1</v>
      </c>
      <c r="C178" s="226">
        <f>'побудинковий звіт'!E165</f>
        <v>2824.49</v>
      </c>
      <c r="D178" s="138">
        <f t="shared" si="85"/>
        <v>0</v>
      </c>
      <c r="E178" s="104">
        <f t="shared" si="79"/>
        <v>0</v>
      </c>
      <c r="F178" s="323">
        <v>0</v>
      </c>
      <c r="G178" s="104" t="e">
        <f t="shared" si="80"/>
        <v>#REF!</v>
      </c>
      <c r="H178" s="720">
        <f t="shared" si="86"/>
        <v>0</v>
      </c>
      <c r="I178" s="104" t="e">
        <f t="shared" si="87"/>
        <v>#REF!</v>
      </c>
      <c r="J178" s="28"/>
      <c r="K178" s="139" t="e">
        <f t="shared" si="88"/>
        <v>#REF!</v>
      </c>
      <c r="L178" s="200">
        <f t="shared" si="89"/>
        <v>0</v>
      </c>
      <c r="M178" s="104">
        <f t="shared" si="81"/>
        <v>0</v>
      </c>
      <c r="N178" s="323">
        <v>0</v>
      </c>
      <c r="O178" s="104"/>
      <c r="P178" s="104">
        <f t="shared" si="90"/>
        <v>0</v>
      </c>
      <c r="Q178" s="104">
        <f t="shared" si="91"/>
        <v>0</v>
      </c>
      <c r="R178" s="104"/>
      <c r="S178" s="140">
        <f t="shared" si="92"/>
        <v>0</v>
      </c>
      <c r="T178" s="235"/>
      <c r="U178" s="104"/>
      <c r="V178" s="148">
        <f t="shared" si="93"/>
        <v>0</v>
      </c>
      <c r="W178" s="236"/>
      <c r="X178" s="104"/>
      <c r="Y178" s="45">
        <f t="shared" si="94"/>
        <v>0</v>
      </c>
      <c r="Z178" s="138">
        <f t="shared" si="95"/>
        <v>0</v>
      </c>
      <c r="AA178" s="104">
        <f t="shared" si="82"/>
        <v>0</v>
      </c>
      <c r="AB178" s="323">
        <v>0</v>
      </c>
      <c r="AC178" s="104"/>
      <c r="AD178" s="104">
        <f t="shared" si="96"/>
        <v>0</v>
      </c>
      <c r="AE178" s="104">
        <f t="shared" si="97"/>
        <v>0</v>
      </c>
      <c r="AF178" s="104"/>
      <c r="AG178" s="139">
        <f t="shared" si="98"/>
        <v>0</v>
      </c>
      <c r="AH178" s="200">
        <f t="shared" si="99"/>
        <v>0</v>
      </c>
      <c r="AI178" s="104">
        <f t="shared" si="83"/>
        <v>0</v>
      </c>
      <c r="AJ178" s="323">
        <v>0</v>
      </c>
      <c r="AK178" s="118" t="e">
        <f t="shared" si="84"/>
        <v>#REF!</v>
      </c>
      <c r="AL178" s="104"/>
      <c r="AM178" s="104">
        <f t="shared" si="100"/>
        <v>0</v>
      </c>
      <c r="AN178" s="104" t="e">
        <f t="shared" si="101"/>
        <v>#REF!</v>
      </c>
      <c r="AO178" s="104"/>
      <c r="AP178" s="140" t="e">
        <f t="shared" si="102"/>
        <v>#REF!</v>
      </c>
      <c r="AQ178" s="33"/>
      <c r="AR178" s="28"/>
      <c r="AS178" s="121"/>
      <c r="AT178" s="135">
        <f t="shared" si="103"/>
        <v>0</v>
      </c>
      <c r="AU178" s="148" t="e">
        <f t="shared" si="104"/>
        <v>#REF!</v>
      </c>
      <c r="AW178" s="1">
        <v>3</v>
      </c>
      <c r="BA178" s="29">
        <v>0</v>
      </c>
      <c r="BB178" s="29">
        <v>0</v>
      </c>
      <c r="BC178" s="29">
        <v>0</v>
      </c>
      <c r="BD178" s="29">
        <v>0</v>
      </c>
      <c r="BI178" s="323">
        <v>0</v>
      </c>
      <c r="BL178" s="107">
        <f t="shared" si="112"/>
        <v>1.2233877438623886</v>
      </c>
      <c r="BM178" s="107">
        <f t="shared" si="112"/>
        <v>1.2807066670574303</v>
      </c>
      <c r="BN178" s="107">
        <f t="shared" si="112"/>
        <v>0.82443024793968056</v>
      </c>
      <c r="BO178" s="107">
        <f t="shared" si="112"/>
        <v>1.2965393422474656</v>
      </c>
    </row>
    <row r="179" spans="1:71" x14ac:dyDescent="0.25">
      <c r="A179" s="250" t="s">
        <v>168</v>
      </c>
      <c r="B179" s="227">
        <v>2</v>
      </c>
      <c r="C179" s="226">
        <f>'побудинковий звіт'!E166</f>
        <v>6924.5</v>
      </c>
      <c r="D179" s="138">
        <f t="shared" si="85"/>
        <v>60.777903115083461</v>
      </c>
      <c r="E179" s="104">
        <f t="shared" si="79"/>
        <v>12.527965805063953</v>
      </c>
      <c r="F179" s="323">
        <v>10.098201795931441</v>
      </c>
      <c r="G179" s="104" t="e">
        <f t="shared" si="80"/>
        <v>#REF!</v>
      </c>
      <c r="H179" s="720">
        <f t="shared" si="86"/>
        <v>50.778399957039895</v>
      </c>
      <c r="I179" s="104" t="e">
        <f t="shared" si="87"/>
        <v>#REF!</v>
      </c>
      <c r="J179" s="28"/>
      <c r="K179" s="139" t="e">
        <f t="shared" si="88"/>
        <v>#REF!</v>
      </c>
      <c r="L179" s="200">
        <f t="shared" si="89"/>
        <v>9.8486342696716402</v>
      </c>
      <c r="M179" s="104">
        <f t="shared" si="81"/>
        <v>2.1668760779092371</v>
      </c>
      <c r="N179" s="323">
        <v>0</v>
      </c>
      <c r="O179" s="104"/>
      <c r="P179" s="104">
        <f t="shared" si="90"/>
        <v>8.2282846946703074</v>
      </c>
      <c r="Q179" s="104">
        <f t="shared" si="91"/>
        <v>2.6056362441521794</v>
      </c>
      <c r="R179" s="104"/>
      <c r="S179" s="140">
        <f t="shared" si="92"/>
        <v>22.849431286403366</v>
      </c>
      <c r="T179" s="234">
        <v>48.04</v>
      </c>
      <c r="U179" s="104"/>
      <c r="V179" s="148">
        <f t="shared" si="93"/>
        <v>48.04</v>
      </c>
      <c r="W179" s="881">
        <v>9.83</v>
      </c>
      <c r="X179" s="104"/>
      <c r="Y179" s="45">
        <f t="shared" si="94"/>
        <v>9.83</v>
      </c>
      <c r="Z179" s="138">
        <f t="shared" si="95"/>
        <v>0</v>
      </c>
      <c r="AA179" s="104">
        <f t="shared" si="82"/>
        <v>0</v>
      </c>
      <c r="AB179" s="323">
        <v>0</v>
      </c>
      <c r="AC179" s="104"/>
      <c r="AD179" s="104">
        <f t="shared" si="96"/>
        <v>0</v>
      </c>
      <c r="AE179" s="104">
        <f t="shared" si="97"/>
        <v>0</v>
      </c>
      <c r="AF179" s="104"/>
      <c r="AG179" s="139">
        <f t="shared" si="98"/>
        <v>0</v>
      </c>
      <c r="AH179" s="200">
        <f t="shared" si="99"/>
        <v>21.198418245746065</v>
      </c>
      <c r="AI179" s="104">
        <f t="shared" si="83"/>
        <v>4.2283571901782775</v>
      </c>
      <c r="AJ179" s="323">
        <v>5.6839617468374506</v>
      </c>
      <c r="AK179" s="118" t="e">
        <f t="shared" si="84"/>
        <v>#REF!</v>
      </c>
      <c r="AL179" s="104"/>
      <c r="AM179" s="104">
        <f t="shared" si="100"/>
        <v>17.710741979710821</v>
      </c>
      <c r="AN179" s="104" t="e">
        <f t="shared" si="101"/>
        <v>#REF!</v>
      </c>
      <c r="AO179" s="104"/>
      <c r="AP179" s="140" t="e">
        <f t="shared" si="102"/>
        <v>#REF!</v>
      </c>
      <c r="AQ179" s="33"/>
      <c r="AR179" s="28"/>
      <c r="AS179" s="121"/>
      <c r="AT179" s="135" t="e">
        <f t="shared" si="103"/>
        <v>#REF!</v>
      </c>
      <c r="AU179" s="148" t="e">
        <f t="shared" si="104"/>
        <v>#REF!</v>
      </c>
      <c r="AW179" s="1">
        <v>3</v>
      </c>
      <c r="BA179" s="29">
        <v>49.68</v>
      </c>
      <c r="BB179" s="29">
        <v>7.69</v>
      </c>
      <c r="BC179" s="29">
        <v>0</v>
      </c>
      <c r="BD179" s="29">
        <v>16.350000000000001</v>
      </c>
      <c r="BI179" s="323">
        <v>0</v>
      </c>
      <c r="BL179" s="107">
        <f t="shared" si="112"/>
        <v>1.2233877438623886</v>
      </c>
      <c r="BM179" s="107">
        <f t="shared" si="112"/>
        <v>1.2807066670574303</v>
      </c>
      <c r="BN179" s="107">
        <f t="shared" si="112"/>
        <v>0.82443024793968056</v>
      </c>
      <c r="BO179" s="107">
        <f t="shared" si="112"/>
        <v>1.2965393422474656</v>
      </c>
    </row>
    <row r="180" spans="1:71" x14ac:dyDescent="0.25">
      <c r="A180" s="250" t="s">
        <v>264</v>
      </c>
      <c r="B180" s="227">
        <v>5</v>
      </c>
      <c r="C180" s="226">
        <f>'побудинковий звіт'!E167</f>
        <v>320.5</v>
      </c>
      <c r="D180" s="138">
        <f t="shared" si="85"/>
        <v>583.1508515221235</v>
      </c>
      <c r="E180" s="104">
        <f t="shared" si="79"/>
        <v>120.203125685822</v>
      </c>
      <c r="F180" s="323">
        <v>95.311380353882228</v>
      </c>
      <c r="G180" s="104" t="e">
        <f t="shared" si="80"/>
        <v>#REF!</v>
      </c>
      <c r="H180" s="720">
        <f t="shared" si="86"/>
        <v>487.2077787515837</v>
      </c>
      <c r="I180" s="104" t="e">
        <f t="shared" si="87"/>
        <v>#REF!</v>
      </c>
      <c r="J180" s="28"/>
      <c r="K180" s="139" t="e">
        <f t="shared" si="88"/>
        <v>#REF!</v>
      </c>
      <c r="L180" s="200">
        <f t="shared" si="89"/>
        <v>123.39927979703367</v>
      </c>
      <c r="M180" s="104">
        <f t="shared" si="81"/>
        <v>27.150053510143785</v>
      </c>
      <c r="N180" s="323">
        <v>0</v>
      </c>
      <c r="O180" s="104"/>
      <c r="P180" s="104">
        <f t="shared" si="90"/>
        <v>103.09697542673842</v>
      </c>
      <c r="Q180" s="104">
        <f t="shared" si="91"/>
        <v>32.647535398037157</v>
      </c>
      <c r="R180" s="104"/>
      <c r="S180" s="140">
        <f t="shared" si="92"/>
        <v>286.29384413195305</v>
      </c>
      <c r="T180" s="234">
        <v>509.28</v>
      </c>
      <c r="U180" s="104"/>
      <c r="V180" s="148">
        <f t="shared" si="93"/>
        <v>509.28</v>
      </c>
      <c r="W180" s="236"/>
      <c r="X180" s="104"/>
      <c r="Y180" s="45">
        <f t="shared" si="94"/>
        <v>0</v>
      </c>
      <c r="Z180" s="138">
        <f t="shared" si="95"/>
        <v>123.904224617686</v>
      </c>
      <c r="AA180" s="104">
        <f t="shared" si="82"/>
        <v>27.235129349738173</v>
      </c>
      <c r="AB180" s="323">
        <v>0</v>
      </c>
      <c r="AC180" s="104"/>
      <c r="AD180" s="104">
        <f t="shared" si="96"/>
        <v>103.51884404584445</v>
      </c>
      <c r="AE180" s="104">
        <f t="shared" si="97"/>
        <v>32.777778535544108</v>
      </c>
      <c r="AF180" s="104"/>
      <c r="AG180" s="139">
        <f t="shared" si="98"/>
        <v>287.43597654881273</v>
      </c>
      <c r="AH180" s="200">
        <f t="shared" si="99"/>
        <v>387.00950656628595</v>
      </c>
      <c r="AI180" s="104">
        <f t="shared" si="83"/>
        <v>77.195119503092428</v>
      </c>
      <c r="AJ180" s="323">
        <v>37.421071525057016</v>
      </c>
      <c r="AK180" s="118" t="e">
        <f t="shared" si="84"/>
        <v>#REF!</v>
      </c>
      <c r="AL180" s="104"/>
      <c r="AM180" s="104">
        <f t="shared" si="100"/>
        <v>323.33664875520344</v>
      </c>
      <c r="AN180" s="104" t="e">
        <f t="shared" si="101"/>
        <v>#REF!</v>
      </c>
      <c r="AO180" s="104"/>
      <c r="AP180" s="140" t="e">
        <f t="shared" si="102"/>
        <v>#REF!</v>
      </c>
      <c r="AQ180" s="138"/>
      <c r="AR180" s="104"/>
      <c r="AS180" s="139"/>
      <c r="AT180" s="135" t="e">
        <f t="shared" si="103"/>
        <v>#REF!</v>
      </c>
      <c r="AU180" s="148" t="e">
        <f t="shared" si="104"/>
        <v>#REF!</v>
      </c>
      <c r="AW180" s="1">
        <v>2</v>
      </c>
      <c r="BA180" s="29">
        <v>531.69000000000005</v>
      </c>
      <c r="BB180" s="29">
        <v>110.9</v>
      </c>
      <c r="BC180" s="29">
        <v>43.76</v>
      </c>
      <c r="BD180" s="29">
        <v>373.24</v>
      </c>
      <c r="BI180" s="323">
        <v>0</v>
      </c>
      <c r="BL180" s="107">
        <f>BA$398</f>
        <v>1.0967873225415627</v>
      </c>
      <c r="BM180" s="107">
        <f>BB$398</f>
        <v>1.1127076627324948</v>
      </c>
      <c r="BN180" s="107">
        <f>BC$398</f>
        <v>2.8314493742615632</v>
      </c>
      <c r="BO180" s="107">
        <f>BD$398</f>
        <v>1.036891829831438</v>
      </c>
    </row>
    <row r="181" spans="1:71" x14ac:dyDescent="0.25">
      <c r="A181" s="250" t="s">
        <v>370</v>
      </c>
      <c r="B181" s="227">
        <v>9</v>
      </c>
      <c r="C181" s="226">
        <f>'побудинковий звіт'!E168</f>
        <v>11587.55</v>
      </c>
      <c r="D181" s="138">
        <f t="shared" si="85"/>
        <v>907.3010524806632</v>
      </c>
      <c r="E181" s="104">
        <f t="shared" si="79"/>
        <v>187.01922866363887</v>
      </c>
      <c r="F181" s="323">
        <v>161.98106669583208</v>
      </c>
      <c r="G181" s="104" t="e">
        <f t="shared" si="80"/>
        <v>#REF!</v>
      </c>
      <c r="H181" s="720">
        <f t="shared" si="86"/>
        <v>758.02706844081115</v>
      </c>
      <c r="I181" s="104" t="e">
        <f t="shared" si="87"/>
        <v>#REF!</v>
      </c>
      <c r="J181" s="28"/>
      <c r="K181" s="139" t="e">
        <f t="shared" si="88"/>
        <v>#REF!</v>
      </c>
      <c r="L181" s="200">
        <f t="shared" si="89"/>
        <v>178.68419418785268</v>
      </c>
      <c r="M181" s="104">
        <f t="shared" si="81"/>
        <v>39.313725668387093</v>
      </c>
      <c r="N181" s="323">
        <v>0</v>
      </c>
      <c r="O181" s="104"/>
      <c r="P181" s="104">
        <f t="shared" si="90"/>
        <v>149.28612231474659</v>
      </c>
      <c r="Q181" s="104">
        <f t="shared" si="91"/>
        <v>47.274170192992457</v>
      </c>
      <c r="R181" s="104"/>
      <c r="S181" s="140">
        <f t="shared" si="92"/>
        <v>414.55821236397884</v>
      </c>
      <c r="T181" s="234">
        <v>679.25</v>
      </c>
      <c r="U181" s="104"/>
      <c r="V181" s="148">
        <f t="shared" si="93"/>
        <v>679.25</v>
      </c>
      <c r="W181" s="881">
        <v>168.63</v>
      </c>
      <c r="X181" s="104"/>
      <c r="Y181" s="45">
        <f t="shared" si="94"/>
        <v>168.63</v>
      </c>
      <c r="Z181" s="138">
        <f t="shared" si="95"/>
        <v>32.614460608493765</v>
      </c>
      <c r="AA181" s="104">
        <f t="shared" si="82"/>
        <v>7.1689166054268556</v>
      </c>
      <c r="AB181" s="323">
        <v>0</v>
      </c>
      <c r="AC181" s="104"/>
      <c r="AD181" s="104">
        <f t="shared" si="96"/>
        <v>27.248556470027616</v>
      </c>
      <c r="AE181" s="104">
        <f t="shared" si="97"/>
        <v>8.6278701971622951</v>
      </c>
      <c r="AF181" s="104"/>
      <c r="AG181" s="139">
        <f t="shared" si="98"/>
        <v>75.659803881110534</v>
      </c>
      <c r="AH181" s="200">
        <f t="shared" si="99"/>
        <v>507.76370260437494</v>
      </c>
      <c r="AI181" s="104">
        <f t="shared" si="83"/>
        <v>101.28143892290633</v>
      </c>
      <c r="AJ181" s="323">
        <v>91.174072910880255</v>
      </c>
      <c r="AK181" s="118" t="e">
        <f t="shared" si="84"/>
        <v>#REF!</v>
      </c>
      <c r="AL181" s="104"/>
      <c r="AM181" s="104">
        <f t="shared" si="100"/>
        <v>424.22372364000904</v>
      </c>
      <c r="AN181" s="104" t="e">
        <f t="shared" si="101"/>
        <v>#REF!</v>
      </c>
      <c r="AO181" s="104"/>
      <c r="AP181" s="140" t="e">
        <f t="shared" si="102"/>
        <v>#REF!</v>
      </c>
      <c r="AQ181" s="33"/>
      <c r="AR181" s="28"/>
      <c r="AS181" s="121"/>
      <c r="AT181" s="135" t="e">
        <f t="shared" si="103"/>
        <v>#REF!</v>
      </c>
      <c r="AU181" s="148" t="e">
        <f t="shared" si="104"/>
        <v>#REF!</v>
      </c>
      <c r="AW181" s="1">
        <v>3</v>
      </c>
      <c r="BA181" s="29">
        <v>741.63</v>
      </c>
      <c r="BB181" s="29">
        <v>139.52000000000001</v>
      </c>
      <c r="BC181" s="29">
        <v>39.56</v>
      </c>
      <c r="BD181" s="29">
        <v>391.63</v>
      </c>
      <c r="BI181" s="323">
        <v>0</v>
      </c>
      <c r="BL181" s="107">
        <f t="shared" ref="BL181:BO185" si="113">BA$399</f>
        <v>1.2233877438623886</v>
      </c>
      <c r="BM181" s="107">
        <f t="shared" si="113"/>
        <v>1.2807066670574303</v>
      </c>
      <c r="BN181" s="107">
        <f t="shared" si="113"/>
        <v>0.82443024793968056</v>
      </c>
      <c r="BO181" s="107">
        <f t="shared" si="113"/>
        <v>1.2965393422474656</v>
      </c>
    </row>
    <row r="182" spans="1:71" x14ac:dyDescent="0.25">
      <c r="A182" s="250" t="s">
        <v>265</v>
      </c>
      <c r="B182" s="227">
        <v>5</v>
      </c>
      <c r="C182" s="226">
        <f>'побудинковий звіт'!E169</f>
        <v>2850.54</v>
      </c>
      <c r="D182" s="138">
        <f t="shared" si="85"/>
        <v>435.44039967293998</v>
      </c>
      <c r="E182" s="104">
        <f t="shared" si="79"/>
        <v>89.756015881570306</v>
      </c>
      <c r="F182" s="323">
        <v>70.517824449756361</v>
      </c>
      <c r="G182" s="104" t="e">
        <f t="shared" si="80"/>
        <v>#REF!</v>
      </c>
      <c r="H182" s="720">
        <f t="shared" si="86"/>
        <v>363.79943431379252</v>
      </c>
      <c r="I182" s="104" t="e">
        <f t="shared" si="87"/>
        <v>#REF!</v>
      </c>
      <c r="J182" s="28"/>
      <c r="K182" s="139" t="e">
        <f t="shared" si="88"/>
        <v>#REF!</v>
      </c>
      <c r="L182" s="200">
        <f t="shared" si="89"/>
        <v>115.51974136858021</v>
      </c>
      <c r="M182" s="104">
        <f t="shared" si="81"/>
        <v>25.416413813707823</v>
      </c>
      <c r="N182" s="323">
        <v>0</v>
      </c>
      <c r="O182" s="104"/>
      <c r="P182" s="104">
        <f t="shared" si="90"/>
        <v>96.513820475846771</v>
      </c>
      <c r="Q182" s="104">
        <f t="shared" si="91"/>
        <v>30.562859456765477</v>
      </c>
      <c r="R182" s="104"/>
      <c r="S182" s="140">
        <f t="shared" si="92"/>
        <v>268.01283511490027</v>
      </c>
      <c r="T182" s="234">
        <v>338.25</v>
      </c>
      <c r="U182" s="104"/>
      <c r="V182" s="148">
        <f t="shared" si="93"/>
        <v>338.25</v>
      </c>
      <c r="W182" s="881">
        <v>80.73</v>
      </c>
      <c r="X182" s="104"/>
      <c r="Y182" s="45">
        <f t="shared" si="94"/>
        <v>80.73</v>
      </c>
      <c r="Z182" s="138">
        <f t="shared" si="95"/>
        <v>19.76983734559354</v>
      </c>
      <c r="AA182" s="104">
        <f t="shared" si="82"/>
        <v>4.3455667390833161</v>
      </c>
      <c r="AB182" s="323">
        <v>0</v>
      </c>
      <c r="AC182" s="104"/>
      <c r="AD182" s="104">
        <f t="shared" si="96"/>
        <v>16.517198790476801</v>
      </c>
      <c r="AE182" s="104">
        <f t="shared" si="97"/>
        <v>5.2299374956509563</v>
      </c>
      <c r="AF182" s="104"/>
      <c r="AG182" s="139">
        <f t="shared" si="98"/>
        <v>45.862540370804616</v>
      </c>
      <c r="AH182" s="200">
        <f t="shared" si="99"/>
        <v>326.63715649240402</v>
      </c>
      <c r="AI182" s="104">
        <f t="shared" si="83"/>
        <v>65.152906845358615</v>
      </c>
      <c r="AJ182" s="323">
        <v>39.692276381732057</v>
      </c>
      <c r="AK182" s="118" t="e">
        <f t="shared" si="84"/>
        <v>#REF!</v>
      </c>
      <c r="AL182" s="104"/>
      <c r="AM182" s="104">
        <f t="shared" si="100"/>
        <v>272.89707810082854</v>
      </c>
      <c r="AN182" s="104" t="e">
        <f t="shared" si="101"/>
        <v>#REF!</v>
      </c>
      <c r="AO182" s="104"/>
      <c r="AP182" s="140" t="e">
        <f t="shared" si="102"/>
        <v>#REF!</v>
      </c>
      <c r="AQ182" s="33"/>
      <c r="AR182" s="28"/>
      <c r="AS182" s="121"/>
      <c r="AT182" s="135" t="e">
        <f t="shared" si="103"/>
        <v>#REF!</v>
      </c>
      <c r="AU182" s="148" t="e">
        <f t="shared" si="104"/>
        <v>#REF!</v>
      </c>
      <c r="AW182" s="1">
        <v>3</v>
      </c>
      <c r="BA182" s="29">
        <v>355.93</v>
      </c>
      <c r="BB182" s="29">
        <v>90.2</v>
      </c>
      <c r="BC182" s="29">
        <v>23.98</v>
      </c>
      <c r="BD182" s="29">
        <v>251.93</v>
      </c>
      <c r="BI182" s="323">
        <v>0</v>
      </c>
      <c r="BL182" s="107">
        <f t="shared" si="113"/>
        <v>1.2233877438623886</v>
      </c>
      <c r="BM182" s="107">
        <f t="shared" si="113"/>
        <v>1.2807066670574303</v>
      </c>
      <c r="BN182" s="107">
        <f t="shared" si="113"/>
        <v>0.82443024793968056</v>
      </c>
      <c r="BO182" s="107">
        <f t="shared" si="113"/>
        <v>1.2965393422474656</v>
      </c>
    </row>
    <row r="183" spans="1:71" x14ac:dyDescent="0.25">
      <c r="A183" s="250" t="s">
        <v>371</v>
      </c>
      <c r="B183" s="227">
        <v>9</v>
      </c>
      <c r="C183" s="226">
        <f>'побудинковий звіт'!E170</f>
        <v>3771.18</v>
      </c>
      <c r="D183" s="138">
        <f t="shared" si="85"/>
        <v>906.87286677031136</v>
      </c>
      <c r="E183" s="104">
        <f t="shared" si="79"/>
        <v>186.93096803498003</v>
      </c>
      <c r="F183" s="323">
        <v>157.72671740485913</v>
      </c>
      <c r="G183" s="104" t="e">
        <f t="shared" si="80"/>
        <v>#REF!</v>
      </c>
      <c r="H183" s="720">
        <f t="shared" si="86"/>
        <v>757.66933011583194</v>
      </c>
      <c r="I183" s="104" t="e">
        <f t="shared" si="87"/>
        <v>#REF!</v>
      </c>
      <c r="J183" s="28"/>
      <c r="K183" s="139" t="e">
        <f t="shared" si="88"/>
        <v>#REF!</v>
      </c>
      <c r="L183" s="200">
        <f t="shared" si="89"/>
        <v>178.59454472115866</v>
      </c>
      <c r="M183" s="104">
        <f t="shared" si="81"/>
        <v>39.294001178731214</v>
      </c>
      <c r="N183" s="323">
        <v>0</v>
      </c>
      <c r="O183" s="104"/>
      <c r="P183" s="104">
        <f t="shared" si="90"/>
        <v>149.21122245406687</v>
      </c>
      <c r="Q183" s="104">
        <f t="shared" si="91"/>
        <v>47.25045178764907</v>
      </c>
      <c r="R183" s="104"/>
      <c r="S183" s="140">
        <f t="shared" si="92"/>
        <v>414.3502201416058</v>
      </c>
      <c r="T183" s="234">
        <v>662.43</v>
      </c>
      <c r="U183" s="104"/>
      <c r="V183" s="148">
        <f t="shared" si="93"/>
        <v>662.43</v>
      </c>
      <c r="W183" s="881">
        <v>161.63999999999999</v>
      </c>
      <c r="X183" s="104"/>
      <c r="Y183" s="45">
        <f t="shared" si="94"/>
        <v>161.63999999999999</v>
      </c>
      <c r="Z183" s="138">
        <f t="shared" si="95"/>
        <v>32.614460608493765</v>
      </c>
      <c r="AA183" s="104">
        <f t="shared" si="82"/>
        <v>7.1689166054268556</v>
      </c>
      <c r="AB183" s="323">
        <v>0</v>
      </c>
      <c r="AC183" s="104"/>
      <c r="AD183" s="104">
        <f t="shared" si="96"/>
        <v>27.248556470027616</v>
      </c>
      <c r="AE183" s="104">
        <f t="shared" si="97"/>
        <v>8.6278701971622951</v>
      </c>
      <c r="AF183" s="104"/>
      <c r="AG183" s="139">
        <f t="shared" si="98"/>
        <v>75.659803881110534</v>
      </c>
      <c r="AH183" s="200">
        <f t="shared" si="99"/>
        <v>506.71350573715449</v>
      </c>
      <c r="AI183" s="104">
        <f t="shared" si="83"/>
        <v>101.0719606767874</v>
      </c>
      <c r="AJ183" s="323">
        <v>88.779432843643932</v>
      </c>
      <c r="AK183" s="118" t="e">
        <f t="shared" si="84"/>
        <v>#REF!</v>
      </c>
      <c r="AL183" s="104"/>
      <c r="AM183" s="104">
        <f t="shared" si="100"/>
        <v>423.34631073459218</v>
      </c>
      <c r="AN183" s="104" t="e">
        <f t="shared" si="101"/>
        <v>#REF!</v>
      </c>
      <c r="AO183" s="104"/>
      <c r="AP183" s="140" t="e">
        <f t="shared" si="102"/>
        <v>#REF!</v>
      </c>
      <c r="AQ183" s="33"/>
      <c r="AR183" s="28"/>
      <c r="AS183" s="121"/>
      <c r="AT183" s="135" t="e">
        <f t="shared" si="103"/>
        <v>#REF!</v>
      </c>
      <c r="AU183" s="148" t="e">
        <f t="shared" si="104"/>
        <v>#REF!</v>
      </c>
      <c r="AW183" s="1">
        <v>3</v>
      </c>
      <c r="BA183" s="29">
        <v>741.28</v>
      </c>
      <c r="BB183" s="29">
        <v>139.44999999999999</v>
      </c>
      <c r="BC183" s="29">
        <v>39.56</v>
      </c>
      <c r="BD183" s="29">
        <v>390.82</v>
      </c>
      <c r="BI183" s="323">
        <v>0</v>
      </c>
      <c r="BL183" s="107">
        <f t="shared" si="113"/>
        <v>1.2233877438623886</v>
      </c>
      <c r="BM183" s="107">
        <f t="shared" si="113"/>
        <v>1.2807066670574303</v>
      </c>
      <c r="BN183" s="107">
        <f t="shared" si="113"/>
        <v>0.82443024793968056</v>
      </c>
      <c r="BO183" s="107">
        <f t="shared" si="113"/>
        <v>1.2965393422474656</v>
      </c>
    </row>
    <row r="184" spans="1:71" x14ac:dyDescent="0.25">
      <c r="A184" s="250" t="s">
        <v>372</v>
      </c>
      <c r="B184" s="227">
        <v>9</v>
      </c>
      <c r="C184" s="226">
        <f>'побудинковий звіт'!E171</f>
        <v>3769.35</v>
      </c>
      <c r="D184" s="138">
        <f t="shared" si="85"/>
        <v>908.05955288185794</v>
      </c>
      <c r="E184" s="104">
        <f t="shared" si="79"/>
        <v>187.17557606297746</v>
      </c>
      <c r="F184" s="323">
        <v>161.99057390871883</v>
      </c>
      <c r="G184" s="104" t="e">
        <f t="shared" si="80"/>
        <v>#REF!</v>
      </c>
      <c r="H184" s="720">
        <f t="shared" si="86"/>
        <v>758.6607763307743</v>
      </c>
      <c r="I184" s="104" t="e">
        <f t="shared" si="87"/>
        <v>#REF!</v>
      </c>
      <c r="J184" s="28"/>
      <c r="K184" s="139" t="e">
        <f t="shared" si="88"/>
        <v>#REF!</v>
      </c>
      <c r="L184" s="200">
        <f t="shared" si="89"/>
        <v>166.77362218421857</v>
      </c>
      <c r="M184" s="104">
        <f t="shared" si="81"/>
        <v>36.693186328392819</v>
      </c>
      <c r="N184" s="323">
        <v>0</v>
      </c>
      <c r="O184" s="104"/>
      <c r="P184" s="104">
        <f t="shared" si="90"/>
        <v>139.33514082444307</v>
      </c>
      <c r="Q184" s="104">
        <f t="shared" si="91"/>
        <v>44.123010625942349</v>
      </c>
      <c r="R184" s="104"/>
      <c r="S184" s="140">
        <f t="shared" si="92"/>
        <v>386.92495996299681</v>
      </c>
      <c r="T184" s="234">
        <v>679.29</v>
      </c>
      <c r="U184" s="104"/>
      <c r="V184" s="148">
        <f t="shared" si="93"/>
        <v>679.29</v>
      </c>
      <c r="W184" s="881">
        <v>168.64</v>
      </c>
      <c r="X184" s="104"/>
      <c r="Y184" s="45">
        <f t="shared" si="94"/>
        <v>168.64</v>
      </c>
      <c r="Z184" s="138">
        <f t="shared" si="95"/>
        <v>32.614460608493765</v>
      </c>
      <c r="AA184" s="104">
        <f t="shared" si="82"/>
        <v>7.1689166054268556</v>
      </c>
      <c r="AB184" s="323">
        <v>0</v>
      </c>
      <c r="AC184" s="104"/>
      <c r="AD184" s="104">
        <f t="shared" si="96"/>
        <v>27.248556470027616</v>
      </c>
      <c r="AE184" s="104">
        <f t="shared" si="97"/>
        <v>8.6278701971622951</v>
      </c>
      <c r="AF184" s="104"/>
      <c r="AG184" s="139">
        <f t="shared" si="98"/>
        <v>75.659803881110534</v>
      </c>
      <c r="AH184" s="200">
        <f t="shared" si="99"/>
        <v>509.52699610983149</v>
      </c>
      <c r="AI184" s="104">
        <f t="shared" si="83"/>
        <v>101.63315548429118</v>
      </c>
      <c r="AJ184" s="323">
        <v>91.179424223466341</v>
      </c>
      <c r="AK184" s="118" t="e">
        <f t="shared" si="84"/>
        <v>#REF!</v>
      </c>
      <c r="AL184" s="104"/>
      <c r="AM184" s="104">
        <f t="shared" si="100"/>
        <v>425.69691074046204</v>
      </c>
      <c r="AN184" s="104" t="e">
        <f t="shared" si="101"/>
        <v>#REF!</v>
      </c>
      <c r="AO184" s="104"/>
      <c r="AP184" s="140" t="e">
        <f t="shared" si="102"/>
        <v>#REF!</v>
      </c>
      <c r="AQ184" s="33"/>
      <c r="AR184" s="28"/>
      <c r="AS184" s="121"/>
      <c r="AT184" s="135" t="e">
        <f t="shared" si="103"/>
        <v>#REF!</v>
      </c>
      <c r="AU184" s="148" t="e">
        <f t="shared" si="104"/>
        <v>#REF!</v>
      </c>
      <c r="AW184" s="1">
        <v>3</v>
      </c>
      <c r="BA184" s="29">
        <v>742.25</v>
      </c>
      <c r="BB184" s="29">
        <v>130.22</v>
      </c>
      <c r="BC184" s="29">
        <v>39.56</v>
      </c>
      <c r="BD184" s="29">
        <v>392.99</v>
      </c>
      <c r="BI184" s="323">
        <v>0</v>
      </c>
      <c r="BL184" s="107">
        <f t="shared" si="113"/>
        <v>1.2233877438623886</v>
      </c>
      <c r="BM184" s="107">
        <f t="shared" si="113"/>
        <v>1.2807066670574303</v>
      </c>
      <c r="BN184" s="107">
        <f t="shared" si="113"/>
        <v>0.82443024793968056</v>
      </c>
      <c r="BO184" s="107">
        <f t="shared" si="113"/>
        <v>1.2965393422474656</v>
      </c>
    </row>
    <row r="185" spans="1:71" x14ac:dyDescent="0.25">
      <c r="A185" s="250" t="s">
        <v>373</v>
      </c>
      <c r="B185" s="227">
        <v>9</v>
      </c>
      <c r="C185" s="226">
        <f>'побудинковий звіт'!E172</f>
        <v>4718.22</v>
      </c>
      <c r="D185" s="138">
        <f t="shared" si="85"/>
        <v>537.40976812386998</v>
      </c>
      <c r="E185" s="104">
        <f t="shared" si="79"/>
        <v>110.774654163617</v>
      </c>
      <c r="F185" s="323">
        <v>107.6781792519855</v>
      </c>
      <c r="G185" s="104" t="e">
        <f t="shared" si="80"/>
        <v>#REF!</v>
      </c>
      <c r="H185" s="720">
        <f t="shared" si="86"/>
        <v>448.99226113382616</v>
      </c>
      <c r="I185" s="104" t="e">
        <f t="shared" si="87"/>
        <v>#REF!</v>
      </c>
      <c r="J185" s="28"/>
      <c r="K185" s="139" t="e">
        <f t="shared" si="88"/>
        <v>#REF!</v>
      </c>
      <c r="L185" s="200">
        <f t="shared" si="89"/>
        <v>75.267130822965186</v>
      </c>
      <c r="M185" s="104">
        <f t="shared" si="81"/>
        <v>16.560117958221827</v>
      </c>
      <c r="N185" s="323">
        <v>0</v>
      </c>
      <c r="O185" s="104"/>
      <c r="P185" s="104">
        <f t="shared" si="90"/>
        <v>62.883783030659814</v>
      </c>
      <c r="Q185" s="104">
        <f t="shared" si="91"/>
        <v>19.913295457584336</v>
      </c>
      <c r="R185" s="104"/>
      <c r="S185" s="140">
        <f t="shared" si="92"/>
        <v>174.62432726943115</v>
      </c>
      <c r="T185" s="234">
        <v>455.38</v>
      </c>
      <c r="U185" s="104"/>
      <c r="V185" s="148">
        <f t="shared" si="93"/>
        <v>455.38</v>
      </c>
      <c r="W185" s="881">
        <v>109.65</v>
      </c>
      <c r="X185" s="104"/>
      <c r="Y185" s="45">
        <f t="shared" si="94"/>
        <v>109.65</v>
      </c>
      <c r="Z185" s="138">
        <f t="shared" si="95"/>
        <v>21.740225638169377</v>
      </c>
      <c r="AA185" s="104">
        <f t="shared" si="82"/>
        <v>4.7786736826366578</v>
      </c>
      <c r="AB185" s="323">
        <v>0</v>
      </c>
      <c r="AC185" s="104"/>
      <c r="AD185" s="104">
        <f t="shared" si="96"/>
        <v>18.163408344656933</v>
      </c>
      <c r="AE185" s="104">
        <f t="shared" si="97"/>
        <v>5.7511864787454439</v>
      </c>
      <c r="AF185" s="104"/>
      <c r="AG185" s="139">
        <f t="shared" si="98"/>
        <v>50.433494144208417</v>
      </c>
      <c r="AH185" s="200">
        <f t="shared" si="99"/>
        <v>236.79994546807708</v>
      </c>
      <c r="AI185" s="104">
        <f t="shared" si="83"/>
        <v>47.233465273037332</v>
      </c>
      <c r="AJ185" s="323">
        <v>60.6086770898143</v>
      </c>
      <c r="AK185" s="118" t="e">
        <f t="shared" si="84"/>
        <v>#REF!</v>
      </c>
      <c r="AL185" s="104"/>
      <c r="AM185" s="104">
        <f t="shared" si="100"/>
        <v>197.84036178436597</v>
      </c>
      <c r="AN185" s="104" t="e">
        <f t="shared" si="101"/>
        <v>#REF!</v>
      </c>
      <c r="AO185" s="104"/>
      <c r="AP185" s="140" t="e">
        <f t="shared" si="102"/>
        <v>#REF!</v>
      </c>
      <c r="AQ185" s="33"/>
      <c r="AR185" s="28"/>
      <c r="AS185" s="121"/>
      <c r="AT185" s="135" t="e">
        <f t="shared" si="103"/>
        <v>#REF!</v>
      </c>
      <c r="AU185" s="148" t="e">
        <f t="shared" si="104"/>
        <v>#REF!</v>
      </c>
      <c r="AW185" s="1">
        <v>3</v>
      </c>
      <c r="BA185" s="29">
        <v>439.28</v>
      </c>
      <c r="BB185" s="29">
        <v>58.77</v>
      </c>
      <c r="BC185" s="29">
        <v>26.37</v>
      </c>
      <c r="BD185" s="29">
        <v>182.64</v>
      </c>
      <c r="BI185" s="323">
        <v>0</v>
      </c>
      <c r="BL185" s="107">
        <f t="shared" si="113"/>
        <v>1.2233877438623886</v>
      </c>
      <c r="BM185" s="107">
        <f t="shared" si="113"/>
        <v>1.2807066670574303</v>
      </c>
      <c r="BN185" s="107">
        <f t="shared" si="113"/>
        <v>0.82443024793968056</v>
      </c>
      <c r="BO185" s="107">
        <f t="shared" si="113"/>
        <v>1.2965393422474656</v>
      </c>
    </row>
    <row r="186" spans="1:71" x14ac:dyDescent="0.25">
      <c r="A186" s="250" t="s">
        <v>169</v>
      </c>
      <c r="B186" s="227">
        <v>2</v>
      </c>
      <c r="C186" s="226">
        <f>'побудинковий звіт'!E173</f>
        <v>5275.1</v>
      </c>
      <c r="D186" s="138">
        <f t="shared" si="85"/>
        <v>93.490151373442799</v>
      </c>
      <c r="E186" s="104">
        <f t="shared" si="79"/>
        <v>19.270842847259619</v>
      </c>
      <c r="F186" s="323">
        <v>10.12610462374731</v>
      </c>
      <c r="G186" s="104" t="e">
        <f t="shared" si="80"/>
        <v>#REF!</v>
      </c>
      <c r="H186" s="720">
        <f t="shared" si="86"/>
        <v>78.108655533835488</v>
      </c>
      <c r="I186" s="104" t="e">
        <f t="shared" si="87"/>
        <v>#REF!</v>
      </c>
      <c r="J186" s="28"/>
      <c r="K186" s="139" t="e">
        <f t="shared" si="88"/>
        <v>#REF!</v>
      </c>
      <c r="L186" s="200">
        <f t="shared" si="89"/>
        <v>21.152572668544728</v>
      </c>
      <c r="M186" s="104">
        <f t="shared" si="81"/>
        <v>4.6539451508370906</v>
      </c>
      <c r="N186" s="323">
        <v>0</v>
      </c>
      <c r="O186" s="104"/>
      <c r="P186" s="104">
        <f t="shared" si="90"/>
        <v>17.672439160164991</v>
      </c>
      <c r="Q186" s="104">
        <f t="shared" si="91"/>
        <v>5.5962998008718339</v>
      </c>
      <c r="R186" s="104"/>
      <c r="S186" s="140">
        <f t="shared" si="92"/>
        <v>49.075256780418641</v>
      </c>
      <c r="T186" s="880">
        <v>54.366666666666667</v>
      </c>
      <c r="U186" s="104"/>
      <c r="V186" s="148">
        <f t="shared" si="93"/>
        <v>54.366666666666667</v>
      </c>
      <c r="W186" s="236"/>
      <c r="X186" s="104"/>
      <c r="Y186" s="45">
        <f t="shared" si="94"/>
        <v>0</v>
      </c>
      <c r="Z186" s="138">
        <f t="shared" si="95"/>
        <v>0</v>
      </c>
      <c r="AA186" s="104">
        <f t="shared" si="82"/>
        <v>0</v>
      </c>
      <c r="AB186" s="323">
        <v>0</v>
      </c>
      <c r="AC186" s="104"/>
      <c r="AD186" s="104">
        <f t="shared" si="96"/>
        <v>0</v>
      </c>
      <c r="AE186" s="104">
        <f t="shared" si="97"/>
        <v>0</v>
      </c>
      <c r="AF186" s="104"/>
      <c r="AG186" s="139">
        <f t="shared" si="98"/>
        <v>0</v>
      </c>
      <c r="AH186" s="200">
        <f t="shared" si="99"/>
        <v>37.369581547125023</v>
      </c>
      <c r="AI186" s="104">
        <f t="shared" si="83"/>
        <v>7.4539494879740928</v>
      </c>
      <c r="AJ186" s="323">
        <v>3.9757024186254379</v>
      </c>
      <c r="AK186" s="118" t="e">
        <f t="shared" si="84"/>
        <v>#REF!</v>
      </c>
      <c r="AL186" s="104"/>
      <c r="AM186" s="104">
        <f t="shared" si="100"/>
        <v>31.221339677251983</v>
      </c>
      <c r="AN186" s="104" t="e">
        <f t="shared" si="101"/>
        <v>#REF!</v>
      </c>
      <c r="AO186" s="104"/>
      <c r="AP186" s="140" t="e">
        <f t="shared" si="102"/>
        <v>#REF!</v>
      </c>
      <c r="AQ186" s="33"/>
      <c r="AR186" s="28"/>
      <c r="AS186" s="121"/>
      <c r="AT186" s="135" t="e">
        <f t="shared" si="103"/>
        <v>#REF!</v>
      </c>
      <c r="AU186" s="148" t="e">
        <f t="shared" si="104"/>
        <v>#REF!</v>
      </c>
      <c r="AW186" s="1">
        <v>2</v>
      </c>
      <c r="BA186" s="29">
        <v>85.24</v>
      </c>
      <c r="BB186" s="29">
        <v>19.010000000000002</v>
      </c>
      <c r="BC186" s="29">
        <v>0</v>
      </c>
      <c r="BD186" s="29">
        <v>36.04</v>
      </c>
      <c r="BF186" s="279">
        <f>T186*1.2</f>
        <v>65.239999999999995</v>
      </c>
      <c r="BI186" s="323">
        <v>0</v>
      </c>
      <c r="BL186" s="107">
        <f>BA$398</f>
        <v>1.0967873225415627</v>
      </c>
      <c r="BM186" s="107">
        <f>BB$398</f>
        <v>1.1127076627324948</v>
      </c>
      <c r="BN186" s="107">
        <f>BC$398</f>
        <v>2.8314493742615632</v>
      </c>
      <c r="BO186" s="107">
        <f>BD$398</f>
        <v>1.036891829831438</v>
      </c>
    </row>
    <row r="187" spans="1:71" x14ac:dyDescent="0.25">
      <c r="A187" s="250" t="s">
        <v>170</v>
      </c>
      <c r="B187" s="227">
        <v>2</v>
      </c>
      <c r="C187" s="226">
        <f>'побудинковий звіт'!E174</f>
        <v>7055.84</v>
      </c>
      <c r="D187" s="138">
        <f t="shared" si="85"/>
        <v>0</v>
      </c>
      <c r="E187" s="104">
        <f t="shared" si="79"/>
        <v>0</v>
      </c>
      <c r="F187" s="323">
        <v>0</v>
      </c>
      <c r="G187" s="104" t="e">
        <f t="shared" si="80"/>
        <v>#REF!</v>
      </c>
      <c r="H187" s="720">
        <f t="shared" si="86"/>
        <v>0</v>
      </c>
      <c r="I187" s="104" t="e">
        <f t="shared" si="87"/>
        <v>#REF!</v>
      </c>
      <c r="J187" s="28"/>
      <c r="K187" s="139" t="e">
        <f t="shared" si="88"/>
        <v>#REF!</v>
      </c>
      <c r="L187" s="200">
        <f t="shared" si="89"/>
        <v>0</v>
      </c>
      <c r="M187" s="104">
        <f t="shared" si="81"/>
        <v>0</v>
      </c>
      <c r="N187" s="323">
        <v>0</v>
      </c>
      <c r="O187" s="104"/>
      <c r="P187" s="104">
        <f t="shared" si="90"/>
        <v>0</v>
      </c>
      <c r="Q187" s="104">
        <f t="shared" si="91"/>
        <v>0</v>
      </c>
      <c r="R187" s="104"/>
      <c r="S187" s="140">
        <f t="shared" si="92"/>
        <v>0</v>
      </c>
      <c r="T187" s="235"/>
      <c r="U187" s="104"/>
      <c r="V187" s="148">
        <f t="shared" si="93"/>
        <v>0</v>
      </c>
      <c r="W187" s="236"/>
      <c r="X187" s="104"/>
      <c r="Y187" s="45">
        <f t="shared" si="94"/>
        <v>0</v>
      </c>
      <c r="Z187" s="138">
        <f t="shared" si="95"/>
        <v>0</v>
      </c>
      <c r="AA187" s="104">
        <f t="shared" si="82"/>
        <v>0</v>
      </c>
      <c r="AB187" s="323">
        <v>0</v>
      </c>
      <c r="AC187" s="104"/>
      <c r="AD187" s="104">
        <f t="shared" si="96"/>
        <v>0</v>
      </c>
      <c r="AE187" s="104">
        <f t="shared" si="97"/>
        <v>0</v>
      </c>
      <c r="AF187" s="104"/>
      <c r="AG187" s="139">
        <f t="shared" si="98"/>
        <v>0</v>
      </c>
      <c r="AH187" s="200">
        <f t="shared" si="99"/>
        <v>28.310056913392007</v>
      </c>
      <c r="AI187" s="104">
        <f t="shared" si="83"/>
        <v>5.6468851268239701</v>
      </c>
      <c r="AJ187" s="323">
        <v>4.7994587224708294</v>
      </c>
      <c r="AK187" s="118" t="e">
        <f t="shared" si="84"/>
        <v>#REF!</v>
      </c>
      <c r="AL187" s="104"/>
      <c r="AM187" s="104">
        <f t="shared" si="100"/>
        <v>23.652336113550824</v>
      </c>
      <c r="AN187" s="104" t="e">
        <f t="shared" si="101"/>
        <v>#REF!</v>
      </c>
      <c r="AO187" s="104"/>
      <c r="AP187" s="140" t="e">
        <f t="shared" si="102"/>
        <v>#REF!</v>
      </c>
      <c r="AQ187" s="33"/>
      <c r="AR187" s="28"/>
      <c r="AS187" s="121"/>
      <c r="AT187" s="135" t="e">
        <f t="shared" si="103"/>
        <v>#REF!</v>
      </c>
      <c r="AU187" s="148" t="e">
        <f t="shared" si="104"/>
        <v>#REF!</v>
      </c>
      <c r="AW187" s="1">
        <v>1</v>
      </c>
      <c r="BA187" s="29">
        <v>0</v>
      </c>
      <c r="BB187" s="29">
        <v>0</v>
      </c>
      <c r="BC187" s="29">
        <v>0</v>
      </c>
      <c r="BD187" s="29">
        <v>34.119999999999997</v>
      </c>
      <c r="BI187" s="323">
        <v>0</v>
      </c>
      <c r="BL187" s="107">
        <f>$BA$397</f>
        <v>0.85901039294857251</v>
      </c>
      <c r="BM187" s="107">
        <f>$BB$397</f>
        <v>0.92206249128051765</v>
      </c>
      <c r="BN187" s="107">
        <f>$BC$397</f>
        <v>0.35749517965371247</v>
      </c>
      <c r="BO187" s="107">
        <f>$BD$397</f>
        <v>0.82972030812989472</v>
      </c>
    </row>
    <row r="188" spans="1:71" x14ac:dyDescent="0.25">
      <c r="A188" s="250" t="s">
        <v>171</v>
      </c>
      <c r="B188" s="227">
        <v>2</v>
      </c>
      <c r="C188" s="226">
        <f>'побудинковий звіт'!E175</f>
        <v>10354.25</v>
      </c>
      <c r="D188" s="138">
        <f t="shared" si="85"/>
        <v>35.40840839734016</v>
      </c>
      <c r="E188" s="104">
        <f t="shared" si="79"/>
        <v>7.2986283974566453</v>
      </c>
      <c r="F188" s="323">
        <v>7.2700628694225573</v>
      </c>
      <c r="G188" s="104" t="e">
        <f t="shared" si="80"/>
        <v>#REF!</v>
      </c>
      <c r="H188" s="720">
        <f t="shared" si="86"/>
        <v>29.582829141667727</v>
      </c>
      <c r="I188" s="104" t="e">
        <f t="shared" si="87"/>
        <v>#REF!</v>
      </c>
      <c r="J188" s="28"/>
      <c r="K188" s="139" t="e">
        <f t="shared" si="88"/>
        <v>#REF!</v>
      </c>
      <c r="L188" s="200">
        <f t="shared" si="89"/>
        <v>7.5424711786746341</v>
      </c>
      <c r="M188" s="104">
        <f t="shared" si="81"/>
        <v>1.6594788594921452</v>
      </c>
      <c r="N188" s="323">
        <v>0</v>
      </c>
      <c r="O188" s="104"/>
      <c r="P188" s="104">
        <f t="shared" si="90"/>
        <v>6.3015437938025469</v>
      </c>
      <c r="Q188" s="104">
        <f t="shared" si="91"/>
        <v>1.9954986382373883</v>
      </c>
      <c r="R188" s="104"/>
      <c r="S188" s="140">
        <f t="shared" si="92"/>
        <v>17.498992470206716</v>
      </c>
      <c r="T188" s="234">
        <v>44.83</v>
      </c>
      <c r="U188" s="104"/>
      <c r="V188" s="148">
        <f t="shared" si="93"/>
        <v>44.83</v>
      </c>
      <c r="W188" s="236"/>
      <c r="X188" s="104"/>
      <c r="Y188" s="45">
        <f t="shared" si="94"/>
        <v>0</v>
      </c>
      <c r="Z188" s="138">
        <f t="shared" si="95"/>
        <v>0</v>
      </c>
      <c r="AA188" s="104">
        <f t="shared" si="82"/>
        <v>0</v>
      </c>
      <c r="AB188" s="323">
        <v>0</v>
      </c>
      <c r="AC188" s="104"/>
      <c r="AD188" s="104">
        <f t="shared" si="96"/>
        <v>0</v>
      </c>
      <c r="AE188" s="104">
        <f t="shared" si="97"/>
        <v>0</v>
      </c>
      <c r="AF188" s="104"/>
      <c r="AG188" s="139">
        <f t="shared" si="98"/>
        <v>0</v>
      </c>
      <c r="AH188" s="200">
        <f t="shared" si="99"/>
        <v>18.710192948329126</v>
      </c>
      <c r="AI188" s="104">
        <f t="shared" si="83"/>
        <v>3.7320416063857134</v>
      </c>
      <c r="AJ188" s="323">
        <v>3.113228069362675</v>
      </c>
      <c r="AK188" s="118" t="e">
        <f t="shared" si="84"/>
        <v>#REF!</v>
      </c>
      <c r="AL188" s="104"/>
      <c r="AM188" s="104">
        <f t="shared" si="100"/>
        <v>15.631892712795167</v>
      </c>
      <c r="AN188" s="104" t="e">
        <f t="shared" si="101"/>
        <v>#REF!</v>
      </c>
      <c r="AO188" s="104"/>
      <c r="AP188" s="140" t="e">
        <f t="shared" si="102"/>
        <v>#REF!</v>
      </c>
      <c r="AQ188" s="33"/>
      <c r="AR188" s="28"/>
      <c r="AS188" s="121"/>
      <c r="AT188" s="135" t="e">
        <f t="shared" si="103"/>
        <v>#REF!</v>
      </c>
      <c r="AU188" s="148" t="e">
        <f t="shared" si="104"/>
        <v>#REF!</v>
      </c>
      <c r="AW188" s="1">
        <v>1</v>
      </c>
      <c r="BA188" s="29">
        <v>41.22</v>
      </c>
      <c r="BB188" s="29">
        <v>8.18</v>
      </c>
      <c r="BC188" s="29">
        <v>0</v>
      </c>
      <c r="BD188" s="29">
        <v>22.55</v>
      </c>
      <c r="BI188" s="323">
        <v>0</v>
      </c>
      <c r="BL188" s="107">
        <f>$BA$397</f>
        <v>0.85901039294857251</v>
      </c>
      <c r="BM188" s="107">
        <f>$BB$397</f>
        <v>0.92206249128051765</v>
      </c>
      <c r="BN188" s="107">
        <f>$BC$397</f>
        <v>0.35749517965371247</v>
      </c>
      <c r="BO188" s="107">
        <f>$BD$397</f>
        <v>0.82972030812989472</v>
      </c>
    </row>
    <row r="189" spans="1:71" x14ac:dyDescent="0.25">
      <c r="A189" s="250" t="s">
        <v>1094</v>
      </c>
      <c r="B189" s="227">
        <v>2</v>
      </c>
      <c r="C189" s="226">
        <f>'побудинковий звіт'!E176</f>
        <v>211.4</v>
      </c>
      <c r="D189" s="138">
        <f t="shared" si="85"/>
        <v>98.096658128117369</v>
      </c>
      <c r="E189" s="104">
        <f t="shared" si="79"/>
        <v>20.220368186988505</v>
      </c>
      <c r="F189" s="323">
        <v>10.298876279832886</v>
      </c>
      <c r="G189" s="104" t="e">
        <f t="shared" si="80"/>
        <v>#REF!</v>
      </c>
      <c r="H189" s="720">
        <f t="shared" si="86"/>
        <v>81.957275351316838</v>
      </c>
      <c r="I189" s="104" t="e">
        <f>(D189+E189+F189+G189+H189)*$B$5</f>
        <v>#REF!</v>
      </c>
      <c r="J189" s="28"/>
      <c r="K189" s="139" t="e">
        <f>D189+E189+F189+G189+H189+I189-J189</f>
        <v>#REF!</v>
      </c>
      <c r="L189" s="200">
        <f t="shared" si="89"/>
        <v>21.152572668544728</v>
      </c>
      <c r="M189" s="104">
        <f t="shared" si="81"/>
        <v>4.6539451508370906</v>
      </c>
      <c r="N189" s="323">
        <v>0</v>
      </c>
      <c r="O189" s="104"/>
      <c r="P189" s="104">
        <f>L189*$B$4</f>
        <v>17.672439160164991</v>
      </c>
      <c r="Q189" s="104">
        <f>(L189+M189+N189+O189+P189)*$B$5</f>
        <v>5.5962998008718339</v>
      </c>
      <c r="R189" s="104"/>
      <c r="S189" s="140">
        <f>L189+M189+N189+O189+P189+Q189-R189</f>
        <v>49.075256780418641</v>
      </c>
      <c r="T189" s="235"/>
      <c r="U189" s="104"/>
      <c r="V189" s="148">
        <f>T189+U189</f>
        <v>0</v>
      </c>
      <c r="W189" s="236"/>
      <c r="X189" s="104"/>
      <c r="Y189" s="45">
        <f>W189+X189</f>
        <v>0</v>
      </c>
      <c r="Z189" s="138">
        <f t="shared" si="95"/>
        <v>0</v>
      </c>
      <c r="AA189" s="104">
        <f t="shared" si="82"/>
        <v>0</v>
      </c>
      <c r="AB189" s="323">
        <v>0</v>
      </c>
      <c r="AC189" s="104"/>
      <c r="AD189" s="104">
        <f>Z189*$B$4</f>
        <v>0</v>
      </c>
      <c r="AE189" s="104">
        <f>(Z189+AA189+AB189+AC189+AD189)*$B$5</f>
        <v>0</v>
      </c>
      <c r="AF189" s="104"/>
      <c r="AG189" s="139">
        <f>Z189+AA189+AB189+AC189+AD189+AE189-AF189</f>
        <v>0</v>
      </c>
      <c r="AH189" s="200">
        <f t="shared" si="99"/>
        <v>37.369581547125023</v>
      </c>
      <c r="AI189" s="104">
        <f t="shared" si="83"/>
        <v>7.4539494879740928</v>
      </c>
      <c r="AJ189" s="323">
        <v>4.0435358764546692</v>
      </c>
      <c r="AK189" s="118" t="e">
        <f t="shared" si="84"/>
        <v>#REF!</v>
      </c>
      <c r="AL189" s="104"/>
      <c r="AM189" s="104">
        <f>AH189*$B$4</f>
        <v>31.221339677251983</v>
      </c>
      <c r="AN189" s="104" t="e">
        <f>(AH189+AI189+AJ189+AK189+AL189+AM189)*$B$5</f>
        <v>#REF!</v>
      </c>
      <c r="AO189" s="104"/>
      <c r="AP189" s="140" t="e">
        <f>AH189+AI189+AJ189+AK189+AL189+AM189+AN189-AO189</f>
        <v>#REF!</v>
      </c>
      <c r="AQ189" s="33"/>
      <c r="AR189" s="28"/>
      <c r="AS189" s="121"/>
      <c r="AT189" s="135" t="e">
        <f t="shared" si="103"/>
        <v>#REF!</v>
      </c>
      <c r="AU189" s="148" t="e">
        <f>K189+S189+V189+Y189+AG189+AP189+AS189+AT189</f>
        <v>#REF!</v>
      </c>
      <c r="AW189" s="1">
        <v>2</v>
      </c>
      <c r="BA189" s="29">
        <v>89.44</v>
      </c>
      <c r="BB189" s="29">
        <v>19.010000000000002</v>
      </c>
      <c r="BC189" s="29">
        <v>0</v>
      </c>
      <c r="BD189" s="29">
        <v>36.04</v>
      </c>
      <c r="BI189" s="323">
        <v>0</v>
      </c>
      <c r="BL189" s="107">
        <f t="shared" ref="BL189:BO196" si="114">BA$398</f>
        <v>1.0967873225415627</v>
      </c>
      <c r="BM189" s="107">
        <f t="shared" si="114"/>
        <v>1.1127076627324948</v>
      </c>
      <c r="BN189" s="107">
        <f t="shared" si="114"/>
        <v>2.8314493742615632</v>
      </c>
      <c r="BO189" s="107">
        <f t="shared" si="114"/>
        <v>1.036891829831438</v>
      </c>
    </row>
    <row r="190" spans="1:71" x14ac:dyDescent="0.25">
      <c r="A190" s="250" t="s">
        <v>172</v>
      </c>
      <c r="B190" s="227">
        <v>2</v>
      </c>
      <c r="C190" s="226">
        <f>'побудинковий звіт'!E177</f>
        <v>7424.15</v>
      </c>
      <c r="D190" s="138">
        <f t="shared" si="85"/>
        <v>31.071984847602472</v>
      </c>
      <c r="E190" s="104">
        <f t="shared" si="79"/>
        <v>6.4047744939331892</v>
      </c>
      <c r="F190" s="323">
        <v>6.8244804153802603</v>
      </c>
      <c r="G190" s="104" t="e">
        <f t="shared" si="80"/>
        <v>#REF!</v>
      </c>
      <c r="H190" s="720">
        <f t="shared" si="86"/>
        <v>25.959857006963393</v>
      </c>
      <c r="I190" s="104" t="e">
        <f t="shared" si="87"/>
        <v>#REF!</v>
      </c>
      <c r="J190" s="28"/>
      <c r="K190" s="139" t="e">
        <f t="shared" si="88"/>
        <v>#REF!</v>
      </c>
      <c r="L190" s="200">
        <f t="shared" si="89"/>
        <v>12.79613812142369</v>
      </c>
      <c r="M190" s="104">
        <f t="shared" si="81"/>
        <v>2.8153797598435841</v>
      </c>
      <c r="N190" s="323">
        <v>0</v>
      </c>
      <c r="O190" s="104"/>
      <c r="P190" s="104">
        <f t="shared" si="90"/>
        <v>10.690849570852047</v>
      </c>
      <c r="Q190" s="104">
        <f t="shared" si="91"/>
        <v>3.3854522730155754</v>
      </c>
      <c r="R190" s="104"/>
      <c r="S190" s="140">
        <f t="shared" si="92"/>
        <v>29.687819725134894</v>
      </c>
      <c r="T190" s="880">
        <v>41.433333333333337</v>
      </c>
      <c r="U190" s="104"/>
      <c r="V190" s="148">
        <f t="shared" si="93"/>
        <v>41.433333333333337</v>
      </c>
      <c r="W190" s="236"/>
      <c r="X190" s="104"/>
      <c r="Y190" s="45">
        <f t="shared" si="94"/>
        <v>0</v>
      </c>
      <c r="Z190" s="138">
        <f t="shared" si="95"/>
        <v>0</v>
      </c>
      <c r="AA190" s="104">
        <f t="shared" si="82"/>
        <v>0</v>
      </c>
      <c r="AB190" s="323">
        <v>0</v>
      </c>
      <c r="AC190" s="104"/>
      <c r="AD190" s="104">
        <f t="shared" si="96"/>
        <v>0</v>
      </c>
      <c r="AE190" s="104">
        <f t="shared" si="97"/>
        <v>0</v>
      </c>
      <c r="AF190" s="104"/>
      <c r="AG190" s="139">
        <f t="shared" si="98"/>
        <v>0</v>
      </c>
      <c r="AH190" s="200">
        <f t="shared" si="99"/>
        <v>12.784876261821632</v>
      </c>
      <c r="AI190" s="104">
        <f t="shared" si="83"/>
        <v>2.5501442060688286</v>
      </c>
      <c r="AJ190" s="323">
        <v>2.6794215842546381</v>
      </c>
      <c r="AK190" s="118" t="e">
        <f t="shared" si="84"/>
        <v>#REF!</v>
      </c>
      <c r="AL190" s="104"/>
      <c r="AM190" s="104">
        <f t="shared" si="100"/>
        <v>10.68144057215641</v>
      </c>
      <c r="AN190" s="104" t="e">
        <f t="shared" si="101"/>
        <v>#REF!</v>
      </c>
      <c r="AO190" s="104"/>
      <c r="AP190" s="140" t="e">
        <f t="shared" si="102"/>
        <v>#REF!</v>
      </c>
      <c r="AQ190" s="33"/>
      <c r="AR190" s="28"/>
      <c r="AS190" s="121"/>
      <c r="AT190" s="135" t="e">
        <f t="shared" si="103"/>
        <v>#REF!</v>
      </c>
      <c r="AU190" s="148" t="e">
        <f t="shared" si="104"/>
        <v>#REF!</v>
      </c>
      <c r="AW190" s="1">
        <v>2</v>
      </c>
      <c r="BA190" s="29">
        <v>28.33</v>
      </c>
      <c r="BB190" s="29">
        <v>11.5</v>
      </c>
      <c r="BC190" s="29">
        <v>0</v>
      </c>
      <c r="BD190" s="29">
        <v>12.33</v>
      </c>
      <c r="BF190" s="279">
        <f t="shared" ref="BF190:BF196" si="115">T190*1.2</f>
        <v>49.720000000000006</v>
      </c>
      <c r="BI190" s="323">
        <v>0</v>
      </c>
      <c r="BL190" s="107">
        <f t="shared" si="114"/>
        <v>1.0967873225415627</v>
      </c>
      <c r="BM190" s="107">
        <f t="shared" si="114"/>
        <v>1.1127076627324948</v>
      </c>
      <c r="BN190" s="107">
        <f t="shared" si="114"/>
        <v>2.8314493742615632</v>
      </c>
      <c r="BO190" s="107">
        <f t="shared" si="114"/>
        <v>1.036891829831438</v>
      </c>
    </row>
    <row r="191" spans="1:71" x14ac:dyDescent="0.25">
      <c r="A191" s="250" t="s">
        <v>266</v>
      </c>
      <c r="B191" s="227">
        <v>5</v>
      </c>
      <c r="C191" s="226">
        <f>'побудинковий звіт'!E178</f>
        <v>6127.15</v>
      </c>
      <c r="D191" s="138">
        <f t="shared" si="85"/>
        <v>290.5608974877108</v>
      </c>
      <c r="E191" s="104">
        <f t="shared" si="79"/>
        <v>59.892441190708801</v>
      </c>
      <c r="F191" s="323">
        <v>48.298737853005974</v>
      </c>
      <c r="G191" s="104" t="e">
        <f t="shared" si="80"/>
        <v>#REF!</v>
      </c>
      <c r="H191" s="720">
        <f t="shared" si="86"/>
        <v>242.75627667789419</v>
      </c>
      <c r="I191" s="104" t="e">
        <f t="shared" si="87"/>
        <v>#REF!</v>
      </c>
      <c r="J191" s="28"/>
      <c r="K191" s="139" t="e">
        <f t="shared" si="88"/>
        <v>#REF!</v>
      </c>
      <c r="L191" s="200">
        <f t="shared" si="89"/>
        <v>62.18923127011913</v>
      </c>
      <c r="M191" s="104">
        <f t="shared" si="81"/>
        <v>13.682745632839818</v>
      </c>
      <c r="N191" s="323">
        <v>0</v>
      </c>
      <c r="O191" s="104"/>
      <c r="P191" s="104">
        <f t="shared" si="90"/>
        <v>51.957528914340941</v>
      </c>
      <c r="Q191" s="104">
        <f t="shared" si="91"/>
        <v>16.453298046855693</v>
      </c>
      <c r="R191" s="104"/>
      <c r="S191" s="140">
        <f t="shared" si="92"/>
        <v>144.2828038641556</v>
      </c>
      <c r="T191" s="880">
        <v>258.68333333333334</v>
      </c>
      <c r="U191" s="104"/>
      <c r="V191" s="148">
        <f t="shared" si="93"/>
        <v>258.68333333333334</v>
      </c>
      <c r="W191" s="882">
        <v>65.275000000000006</v>
      </c>
      <c r="X191" s="104"/>
      <c r="Y191" s="45">
        <f t="shared" si="94"/>
        <v>65.275000000000006</v>
      </c>
      <c r="Z191" s="138">
        <f t="shared" si="95"/>
        <v>50.909459749222904</v>
      </c>
      <c r="AA191" s="104">
        <f t="shared" si="82"/>
        <v>11.190302232822038</v>
      </c>
      <c r="AB191" s="323">
        <v>0</v>
      </c>
      <c r="AC191" s="104"/>
      <c r="AD191" s="104">
        <f t="shared" si="96"/>
        <v>42.533565263809031</v>
      </c>
      <c r="AE191" s="104">
        <f t="shared" si="97"/>
        <v>13.46765214965912</v>
      </c>
      <c r="AF191" s="104"/>
      <c r="AG191" s="139">
        <f t="shared" si="98"/>
        <v>118.10097939551308</v>
      </c>
      <c r="AH191" s="200">
        <f t="shared" si="99"/>
        <v>187.14860636627625</v>
      </c>
      <c r="AI191" s="104">
        <f t="shared" si="83"/>
        <v>37.329726500678255</v>
      </c>
      <c r="AJ191" s="323">
        <v>18.963008583619747</v>
      </c>
      <c r="AK191" s="118" t="e">
        <f t="shared" si="84"/>
        <v>#REF!</v>
      </c>
      <c r="AL191" s="104"/>
      <c r="AM191" s="104">
        <f t="shared" si="100"/>
        <v>156.35792448244203</v>
      </c>
      <c r="AN191" s="104" t="e">
        <f t="shared" si="101"/>
        <v>#REF!</v>
      </c>
      <c r="AO191" s="104"/>
      <c r="AP191" s="140" t="e">
        <f t="shared" si="102"/>
        <v>#REF!</v>
      </c>
      <c r="AQ191" s="33"/>
      <c r="AR191" s="28"/>
      <c r="AS191" s="121"/>
      <c r="AT191" s="135" t="e">
        <f t="shared" si="103"/>
        <v>#REF!</v>
      </c>
      <c r="AU191" s="148" t="e">
        <f t="shared" si="104"/>
        <v>#REF!</v>
      </c>
      <c r="AW191" s="1">
        <v>2</v>
      </c>
      <c r="BA191" s="29">
        <v>264.92</v>
      </c>
      <c r="BB191" s="29">
        <v>55.89</v>
      </c>
      <c r="BC191" s="29">
        <v>17.98</v>
      </c>
      <c r="BD191" s="29">
        <v>180.49</v>
      </c>
      <c r="BF191" s="279">
        <f t="shared" si="115"/>
        <v>310.42</v>
      </c>
      <c r="BI191" s="323">
        <v>0</v>
      </c>
      <c r="BL191" s="107">
        <f t="shared" si="114"/>
        <v>1.0967873225415627</v>
      </c>
      <c r="BM191" s="107">
        <f t="shared" si="114"/>
        <v>1.1127076627324948</v>
      </c>
      <c r="BN191" s="107">
        <f t="shared" si="114"/>
        <v>2.8314493742615632</v>
      </c>
      <c r="BO191" s="107">
        <f t="shared" si="114"/>
        <v>1.036891829831438</v>
      </c>
      <c r="BS191" s="283"/>
    </row>
    <row r="192" spans="1:71" x14ac:dyDescent="0.25">
      <c r="A192" s="250" t="s">
        <v>173</v>
      </c>
      <c r="B192" s="227">
        <v>2</v>
      </c>
      <c r="C192" s="226">
        <f>'побудинковий звіт'!E179</f>
        <v>159.9</v>
      </c>
      <c r="D192" s="138">
        <f t="shared" si="85"/>
        <v>15.839802512145249</v>
      </c>
      <c r="E192" s="104">
        <f t="shared" si="79"/>
        <v>3.265010703896333</v>
      </c>
      <c r="F192" s="323">
        <v>7.4649997257463001</v>
      </c>
      <c r="G192" s="104" t="e">
        <f t="shared" si="80"/>
        <v>#REF!</v>
      </c>
      <c r="H192" s="720">
        <f t="shared" si="86"/>
        <v>13.233754143825109</v>
      </c>
      <c r="I192" s="104" t="e">
        <f t="shared" si="87"/>
        <v>#REF!</v>
      </c>
      <c r="J192" s="28"/>
      <c r="K192" s="139" t="e">
        <f t="shared" si="88"/>
        <v>#REF!</v>
      </c>
      <c r="L192" s="200">
        <f t="shared" si="89"/>
        <v>9.1019486811518071</v>
      </c>
      <c r="M192" s="104">
        <f t="shared" si="81"/>
        <v>2.002591863958306</v>
      </c>
      <c r="N192" s="323">
        <v>0</v>
      </c>
      <c r="O192" s="104"/>
      <c r="P192" s="104">
        <f t="shared" si="90"/>
        <v>7.6044477817017162</v>
      </c>
      <c r="Q192" s="104">
        <f t="shared" si="91"/>
        <v>2.4080869211536875</v>
      </c>
      <c r="R192" s="104"/>
      <c r="S192" s="140">
        <f t="shared" si="92"/>
        <v>21.117075247965516</v>
      </c>
      <c r="T192" s="880">
        <v>40.31666666666667</v>
      </c>
      <c r="U192" s="104"/>
      <c r="V192" s="148">
        <f t="shared" si="93"/>
        <v>40.31666666666667</v>
      </c>
      <c r="W192" s="236"/>
      <c r="X192" s="104"/>
      <c r="Y192" s="45">
        <f t="shared" si="94"/>
        <v>0</v>
      </c>
      <c r="Z192" s="138">
        <f t="shared" si="95"/>
        <v>0</v>
      </c>
      <c r="AA192" s="104">
        <f t="shared" si="82"/>
        <v>0</v>
      </c>
      <c r="AB192" s="323">
        <v>0</v>
      </c>
      <c r="AC192" s="104"/>
      <c r="AD192" s="104">
        <f t="shared" si="96"/>
        <v>0</v>
      </c>
      <c r="AE192" s="104">
        <f t="shared" si="97"/>
        <v>0</v>
      </c>
      <c r="AF192" s="104"/>
      <c r="AG192" s="139">
        <f t="shared" si="98"/>
        <v>0</v>
      </c>
      <c r="AH192" s="200">
        <f t="shared" si="99"/>
        <v>3.8468686886746348</v>
      </c>
      <c r="AI192" s="104">
        <f t="shared" si="83"/>
        <v>0.76731832964439195</v>
      </c>
      <c r="AJ192" s="323">
        <v>0</v>
      </c>
      <c r="AK192" s="118" t="e">
        <f t="shared" si="84"/>
        <v>#REF!</v>
      </c>
      <c r="AL192" s="104"/>
      <c r="AM192" s="104">
        <f t="shared" si="100"/>
        <v>3.2139614373641745</v>
      </c>
      <c r="AN192" s="104" t="e">
        <f t="shared" si="101"/>
        <v>#REF!</v>
      </c>
      <c r="AO192" s="104"/>
      <c r="AP192" s="140" t="e">
        <f t="shared" si="102"/>
        <v>#REF!</v>
      </c>
      <c r="AQ192" s="33"/>
      <c r="AR192" s="28"/>
      <c r="AS192" s="121"/>
      <c r="AT192" s="135" t="e">
        <f t="shared" si="103"/>
        <v>#REF!</v>
      </c>
      <c r="AU192" s="148" t="e">
        <f t="shared" si="104"/>
        <v>#REF!</v>
      </c>
      <c r="AW192" s="1">
        <v>2</v>
      </c>
      <c r="BA192" s="29">
        <v>14.442</v>
      </c>
      <c r="BB192" s="29">
        <v>8.18</v>
      </c>
      <c r="BC192" s="29">
        <v>0</v>
      </c>
      <c r="BD192" s="29">
        <v>3.71</v>
      </c>
      <c r="BF192" s="279">
        <f t="shared" si="115"/>
        <v>48.38</v>
      </c>
      <c r="BI192" s="323">
        <v>0</v>
      </c>
      <c r="BL192" s="107">
        <f t="shared" si="114"/>
        <v>1.0967873225415627</v>
      </c>
      <c r="BM192" s="107">
        <f t="shared" si="114"/>
        <v>1.1127076627324948</v>
      </c>
      <c r="BN192" s="107">
        <f t="shared" si="114"/>
        <v>2.8314493742615632</v>
      </c>
      <c r="BO192" s="107">
        <f t="shared" si="114"/>
        <v>1.036891829831438</v>
      </c>
    </row>
    <row r="193" spans="1:67" x14ac:dyDescent="0.25">
      <c r="A193" s="250" t="s">
        <v>174</v>
      </c>
      <c r="B193" s="227">
        <v>2</v>
      </c>
      <c r="C193" s="226">
        <f>'побудинковий звіт'!E180</f>
        <v>161.4</v>
      </c>
      <c r="D193" s="138">
        <f t="shared" si="85"/>
        <v>87.830728789128344</v>
      </c>
      <c r="E193" s="104">
        <f t="shared" si="79"/>
        <v>18.104283144164128</v>
      </c>
      <c r="F193" s="323">
        <v>9.9933654245596095</v>
      </c>
      <c r="G193" s="104" t="e">
        <f t="shared" si="80"/>
        <v>#REF!</v>
      </c>
      <c r="H193" s="720">
        <f t="shared" si="86"/>
        <v>73.380351186644148</v>
      </c>
      <c r="I193" s="104" t="e">
        <f t="shared" si="87"/>
        <v>#REF!</v>
      </c>
      <c r="J193" s="28"/>
      <c r="K193" s="139" t="e">
        <f t="shared" si="88"/>
        <v>#REF!</v>
      </c>
      <c r="L193" s="200">
        <f t="shared" si="89"/>
        <v>24.679855959406733</v>
      </c>
      <c r="M193" s="104">
        <f t="shared" si="81"/>
        <v>5.4300107020287562</v>
      </c>
      <c r="N193" s="323">
        <v>0</v>
      </c>
      <c r="O193" s="104"/>
      <c r="P193" s="104">
        <f t="shared" si="90"/>
        <v>20.619395085347684</v>
      </c>
      <c r="Q193" s="104">
        <f t="shared" si="91"/>
        <v>6.5295070796074306</v>
      </c>
      <c r="R193" s="104"/>
      <c r="S193" s="140">
        <f t="shared" si="92"/>
        <v>57.258768826390607</v>
      </c>
      <c r="T193" s="880">
        <v>54.666666666666664</v>
      </c>
      <c r="U193" s="104"/>
      <c r="V193" s="148">
        <f t="shared" si="93"/>
        <v>54.666666666666664</v>
      </c>
      <c r="W193" s="236"/>
      <c r="X193" s="104"/>
      <c r="Y193" s="45">
        <f t="shared" si="94"/>
        <v>0</v>
      </c>
      <c r="Z193" s="138">
        <f t="shared" si="95"/>
        <v>0</v>
      </c>
      <c r="AA193" s="104">
        <f t="shared" si="82"/>
        <v>0</v>
      </c>
      <c r="AB193" s="323">
        <v>0</v>
      </c>
      <c r="AC193" s="104"/>
      <c r="AD193" s="104">
        <f t="shared" si="96"/>
        <v>0</v>
      </c>
      <c r="AE193" s="104">
        <f t="shared" si="97"/>
        <v>0</v>
      </c>
      <c r="AF193" s="104"/>
      <c r="AG193" s="139">
        <f t="shared" si="98"/>
        <v>0</v>
      </c>
      <c r="AH193" s="200">
        <f t="shared" si="99"/>
        <v>37.960609890128943</v>
      </c>
      <c r="AI193" s="104">
        <f t="shared" si="83"/>
        <v>7.5718393661135277</v>
      </c>
      <c r="AJ193" s="323">
        <v>3.923586469317613</v>
      </c>
      <c r="AK193" s="118" t="e">
        <f t="shared" si="84"/>
        <v>#REF!</v>
      </c>
      <c r="AL193" s="720"/>
      <c r="AM193" s="104">
        <f t="shared" si="100"/>
        <v>31.715128900782329</v>
      </c>
      <c r="AN193" s="104" t="e">
        <f t="shared" si="101"/>
        <v>#REF!</v>
      </c>
      <c r="AO193" s="104"/>
      <c r="AP193" s="140" t="e">
        <f t="shared" si="102"/>
        <v>#REF!</v>
      </c>
      <c r="AQ193" s="33"/>
      <c r="AR193" s="28"/>
      <c r="AS193" s="121"/>
      <c r="AT193" s="135" t="e">
        <f t="shared" si="103"/>
        <v>#REF!</v>
      </c>
      <c r="AU193" s="148" t="e">
        <f t="shared" si="104"/>
        <v>#REF!</v>
      </c>
      <c r="AW193" s="1">
        <v>2</v>
      </c>
      <c r="BA193" s="29">
        <v>80.08</v>
      </c>
      <c r="BB193" s="29">
        <v>22.18</v>
      </c>
      <c r="BC193" s="29">
        <v>0</v>
      </c>
      <c r="BD193" s="29">
        <v>36.61</v>
      </c>
      <c r="BF193" s="279">
        <f t="shared" si="115"/>
        <v>65.599999999999994</v>
      </c>
      <c r="BI193" s="323">
        <v>0</v>
      </c>
      <c r="BL193" s="107">
        <f t="shared" si="114"/>
        <v>1.0967873225415627</v>
      </c>
      <c r="BM193" s="107">
        <f t="shared" si="114"/>
        <v>1.1127076627324948</v>
      </c>
      <c r="BN193" s="107">
        <f t="shared" si="114"/>
        <v>2.8314493742615632</v>
      </c>
      <c r="BO193" s="107">
        <f t="shared" si="114"/>
        <v>1.036891829831438</v>
      </c>
    </row>
    <row r="194" spans="1:67" x14ac:dyDescent="0.25">
      <c r="A194" s="250" t="s">
        <v>267</v>
      </c>
      <c r="B194" s="227">
        <v>5</v>
      </c>
      <c r="C194" s="226">
        <f>'побудинковий звіт'!E181</f>
        <v>6019.3</v>
      </c>
      <c r="D194" s="138">
        <f t="shared" si="85"/>
        <v>513.08807735816845</v>
      </c>
      <c r="E194" s="104">
        <f t="shared" si="79"/>
        <v>105.76129742346929</v>
      </c>
      <c r="F194" s="323">
        <v>99.36413987193842</v>
      </c>
      <c r="G194" s="104" t="e">
        <f t="shared" si="80"/>
        <v>#REF!</v>
      </c>
      <c r="H194" s="720">
        <f t="shared" si="86"/>
        <v>428.67210400379616</v>
      </c>
      <c r="I194" s="104" t="e">
        <f t="shared" si="87"/>
        <v>#REF!</v>
      </c>
      <c r="J194" s="28"/>
      <c r="K194" s="139" t="e">
        <f t="shared" si="88"/>
        <v>#REF!</v>
      </c>
      <c r="L194" s="200">
        <f t="shared" si="89"/>
        <v>108.61139495931882</v>
      </c>
      <c r="M194" s="104">
        <f t="shared" si="81"/>
        <v>23.896453770289764</v>
      </c>
      <c r="N194" s="323">
        <v>0</v>
      </c>
      <c r="O194" s="104"/>
      <c r="P194" s="104">
        <f t="shared" si="90"/>
        <v>90.742071879205938</v>
      </c>
      <c r="Q194" s="104">
        <f t="shared" si="91"/>
        <v>28.735130119047856</v>
      </c>
      <c r="R194" s="104"/>
      <c r="S194" s="140">
        <f t="shared" si="92"/>
        <v>251.98505072786239</v>
      </c>
      <c r="T194" s="880">
        <v>539.10833333333335</v>
      </c>
      <c r="U194" s="104"/>
      <c r="V194" s="148">
        <f t="shared" si="93"/>
        <v>539.10833333333335</v>
      </c>
      <c r="W194" s="882">
        <v>128.51666666666668</v>
      </c>
      <c r="X194" s="104"/>
      <c r="Y194" s="45">
        <f t="shared" si="94"/>
        <v>128.51666666666668</v>
      </c>
      <c r="Z194" s="138">
        <f t="shared" si="95"/>
        <v>84.858537746619049</v>
      </c>
      <c r="AA194" s="104">
        <f t="shared" si="82"/>
        <v>18.652578304653865</v>
      </c>
      <c r="AB194" s="323">
        <v>0</v>
      </c>
      <c r="AC194" s="104"/>
      <c r="AD194" s="104">
        <f t="shared" si="96"/>
        <v>70.897160787339075</v>
      </c>
      <c r="AE194" s="104">
        <f t="shared" si="97"/>
        <v>22.448583699960167</v>
      </c>
      <c r="AF194" s="104"/>
      <c r="AG194" s="139">
        <f t="shared" si="98"/>
        <v>196.85686053857216</v>
      </c>
      <c r="AH194" s="200">
        <f t="shared" si="99"/>
        <v>348.63413994422444</v>
      </c>
      <c r="AI194" s="104">
        <f t="shared" si="83"/>
        <v>69.540550397933686</v>
      </c>
      <c r="AJ194" s="323">
        <v>39.012262453526859</v>
      </c>
      <c r="AK194" s="118" t="e">
        <f t="shared" si="84"/>
        <v>#REF!</v>
      </c>
      <c r="AL194" s="104"/>
      <c r="AM194" s="104">
        <f t="shared" si="100"/>
        <v>291.27500110106649</v>
      </c>
      <c r="AN194" s="104" t="e">
        <f t="shared" si="101"/>
        <v>#REF!</v>
      </c>
      <c r="AO194" s="104"/>
      <c r="AP194" s="140" t="e">
        <f t="shared" si="102"/>
        <v>#REF!</v>
      </c>
      <c r="AQ194" s="33"/>
      <c r="AR194" s="28"/>
      <c r="AS194" s="121"/>
      <c r="AT194" s="135" t="e">
        <f t="shared" si="103"/>
        <v>#REF!</v>
      </c>
      <c r="AU194" s="148" t="e">
        <f t="shared" si="104"/>
        <v>#REF!</v>
      </c>
      <c r="AW194" s="1">
        <v>2</v>
      </c>
      <c r="BA194" s="29">
        <v>467.81</v>
      </c>
      <c r="BB194" s="29">
        <v>97.61</v>
      </c>
      <c r="BC194" s="29">
        <v>29.97</v>
      </c>
      <c r="BD194" s="29">
        <v>336.23</v>
      </c>
      <c r="BF194" s="279">
        <f t="shared" si="115"/>
        <v>646.92999999999995</v>
      </c>
      <c r="BI194" s="323">
        <v>0</v>
      </c>
      <c r="BL194" s="107">
        <f t="shared" si="114"/>
        <v>1.0967873225415627</v>
      </c>
      <c r="BM194" s="107">
        <f t="shared" si="114"/>
        <v>1.1127076627324948</v>
      </c>
      <c r="BN194" s="107">
        <f t="shared" si="114"/>
        <v>2.8314493742615632</v>
      </c>
      <c r="BO194" s="107">
        <f t="shared" si="114"/>
        <v>1.036891829831438</v>
      </c>
    </row>
    <row r="195" spans="1:67" x14ac:dyDescent="0.25">
      <c r="A195" s="250" t="s">
        <v>215</v>
      </c>
      <c r="B195" s="227">
        <v>4</v>
      </c>
      <c r="C195" s="226" t="e">
        <f>'побудинковий звіт'!#REF!</f>
        <v>#REF!</v>
      </c>
      <c r="D195" s="138">
        <f t="shared" si="85"/>
        <v>240.36094173498347</v>
      </c>
      <c r="E195" s="104">
        <f t="shared" si="79"/>
        <v>49.544875762282324</v>
      </c>
      <c r="F195" s="323">
        <v>41.742685595983055</v>
      </c>
      <c r="G195" s="104" t="e">
        <f t="shared" si="80"/>
        <v>#REF!</v>
      </c>
      <c r="H195" s="720">
        <f t="shared" si="86"/>
        <v>200.81548404786543</v>
      </c>
      <c r="I195" s="104" t="e">
        <f t="shared" si="87"/>
        <v>#REF!</v>
      </c>
      <c r="J195" s="28"/>
      <c r="K195" s="139" t="e">
        <f t="shared" si="88"/>
        <v>#REF!</v>
      </c>
      <c r="L195" s="200">
        <f t="shared" si="89"/>
        <v>35.250578755365432</v>
      </c>
      <c r="M195" s="104">
        <f t="shared" si="81"/>
        <v>7.7557591992908472</v>
      </c>
      <c r="N195" s="323">
        <v>0</v>
      </c>
      <c r="O195" s="104"/>
      <c r="P195" s="104">
        <f t="shared" si="90"/>
        <v>29.450966469964591</v>
      </c>
      <c r="Q195" s="104">
        <f t="shared" si="91"/>
        <v>9.3261850442724707</v>
      </c>
      <c r="R195" s="104"/>
      <c r="S195" s="140">
        <f t="shared" si="92"/>
        <v>81.78348946889335</v>
      </c>
      <c r="T195" s="880">
        <v>212.44166666666669</v>
      </c>
      <c r="U195" s="104"/>
      <c r="V195" s="148">
        <f t="shared" si="93"/>
        <v>212.44166666666669</v>
      </c>
      <c r="W195" s="236"/>
      <c r="X195" s="104"/>
      <c r="Y195" s="45">
        <f t="shared" si="94"/>
        <v>0</v>
      </c>
      <c r="Z195" s="138">
        <f t="shared" si="95"/>
        <v>0</v>
      </c>
      <c r="AA195" s="104">
        <f t="shared" si="82"/>
        <v>0</v>
      </c>
      <c r="AB195" s="323">
        <v>0</v>
      </c>
      <c r="AC195" s="104"/>
      <c r="AD195" s="104">
        <f t="shared" si="96"/>
        <v>0</v>
      </c>
      <c r="AE195" s="104">
        <f t="shared" si="97"/>
        <v>0</v>
      </c>
      <c r="AF195" s="104"/>
      <c r="AG195" s="139">
        <f t="shared" si="98"/>
        <v>0</v>
      </c>
      <c r="AH195" s="200">
        <f t="shared" si="99"/>
        <v>144.67751701638053</v>
      </c>
      <c r="AI195" s="104">
        <f t="shared" si="83"/>
        <v>28.858201222447981</v>
      </c>
      <c r="AJ195" s="323">
        <v>16.388977030187597</v>
      </c>
      <c r="AK195" s="118" t="e">
        <f t="shared" si="84"/>
        <v>#REF!</v>
      </c>
      <c r="AL195" s="104"/>
      <c r="AM195" s="104">
        <f t="shared" si="100"/>
        <v>120.87440413892811</v>
      </c>
      <c r="AN195" s="104" t="e">
        <f t="shared" si="101"/>
        <v>#REF!</v>
      </c>
      <c r="AO195" s="104"/>
      <c r="AP195" s="140" t="e">
        <f t="shared" si="102"/>
        <v>#REF!</v>
      </c>
      <c r="AQ195" s="33"/>
      <c r="AR195" s="28"/>
      <c r="AS195" s="121"/>
      <c r="AT195" s="135" t="e">
        <f t="shared" si="103"/>
        <v>#REF!</v>
      </c>
      <c r="AU195" s="148" t="e">
        <f t="shared" si="104"/>
        <v>#REF!</v>
      </c>
      <c r="AW195" s="1">
        <v>2</v>
      </c>
      <c r="BA195" s="29">
        <v>219.15</v>
      </c>
      <c r="BB195" s="29">
        <v>31.68</v>
      </c>
      <c r="BC195" s="29">
        <v>0</v>
      </c>
      <c r="BD195" s="29">
        <v>139.53</v>
      </c>
      <c r="BF195" s="279">
        <f t="shared" si="115"/>
        <v>254.93</v>
      </c>
      <c r="BI195" s="323">
        <v>0</v>
      </c>
      <c r="BL195" s="107">
        <f t="shared" si="114"/>
        <v>1.0967873225415627</v>
      </c>
      <c r="BM195" s="107">
        <f t="shared" si="114"/>
        <v>1.1127076627324948</v>
      </c>
      <c r="BN195" s="107">
        <f t="shared" si="114"/>
        <v>2.8314493742615632</v>
      </c>
      <c r="BO195" s="107">
        <f t="shared" si="114"/>
        <v>1.036891829831438</v>
      </c>
    </row>
    <row r="196" spans="1:67" x14ac:dyDescent="0.25">
      <c r="A196" s="250" t="s">
        <v>175</v>
      </c>
      <c r="B196" s="227">
        <v>2</v>
      </c>
      <c r="C196" s="226">
        <f>'побудинковий звіт'!E183</f>
        <v>137.30000000000001</v>
      </c>
      <c r="D196" s="138">
        <f t="shared" si="85"/>
        <v>20.298242978276701</v>
      </c>
      <c r="E196" s="104">
        <f t="shared" si="79"/>
        <v>4.184015586276792</v>
      </c>
      <c r="F196" s="323">
        <v>6.030152191669746</v>
      </c>
      <c r="G196" s="104" t="e">
        <f t="shared" si="80"/>
        <v>#REF!</v>
      </c>
      <c r="H196" s="720">
        <f t="shared" si="86"/>
        <v>16.958668324315973</v>
      </c>
      <c r="I196" s="104" t="e">
        <f t="shared" si="87"/>
        <v>#REF!</v>
      </c>
      <c r="J196" s="28"/>
      <c r="K196" s="139" t="e">
        <f t="shared" si="88"/>
        <v>#REF!</v>
      </c>
      <c r="L196" s="200">
        <f t="shared" si="89"/>
        <v>10.526214489449401</v>
      </c>
      <c r="M196" s="104">
        <f t="shared" si="81"/>
        <v>2.3159558720104618</v>
      </c>
      <c r="N196" s="323">
        <v>0</v>
      </c>
      <c r="O196" s="104"/>
      <c r="P196" s="104">
        <f t="shared" si="90"/>
        <v>8.7943858208922059</v>
      </c>
      <c r="Q196" s="104">
        <f t="shared" si="91"/>
        <v>2.7849024784980303</v>
      </c>
      <c r="R196" s="104"/>
      <c r="S196" s="140">
        <f t="shared" si="92"/>
        <v>24.421458660850099</v>
      </c>
      <c r="T196" s="880">
        <v>31.966666666666669</v>
      </c>
      <c r="U196" s="104"/>
      <c r="V196" s="148">
        <f t="shared" si="93"/>
        <v>31.966666666666669</v>
      </c>
      <c r="W196" s="236"/>
      <c r="X196" s="104"/>
      <c r="Y196" s="45">
        <f t="shared" si="94"/>
        <v>0</v>
      </c>
      <c r="Z196" s="138">
        <f t="shared" si="95"/>
        <v>0</v>
      </c>
      <c r="AA196" s="104">
        <f t="shared" si="82"/>
        <v>0</v>
      </c>
      <c r="AB196" s="323">
        <v>0</v>
      </c>
      <c r="AC196" s="104"/>
      <c r="AD196" s="104">
        <f t="shared" si="96"/>
        <v>0</v>
      </c>
      <c r="AE196" s="104">
        <f t="shared" si="97"/>
        <v>0</v>
      </c>
      <c r="AF196" s="104"/>
      <c r="AG196" s="139">
        <f t="shared" si="98"/>
        <v>0</v>
      </c>
      <c r="AH196" s="200">
        <f t="shared" si="99"/>
        <v>12.572313436706185</v>
      </c>
      <c r="AI196" s="104">
        <f t="shared" si="83"/>
        <v>2.5077452148081543</v>
      </c>
      <c r="AJ196" s="323">
        <v>2.3675531256982945</v>
      </c>
      <c r="AK196" s="118" t="e">
        <f t="shared" si="84"/>
        <v>#REF!</v>
      </c>
      <c r="AL196" s="408"/>
      <c r="AM196" s="104">
        <f t="shared" si="100"/>
        <v>10.503849711062161</v>
      </c>
      <c r="AN196" s="104" t="e">
        <f t="shared" si="101"/>
        <v>#REF!</v>
      </c>
      <c r="AO196" s="104"/>
      <c r="AP196" s="140" t="e">
        <f t="shared" si="102"/>
        <v>#REF!</v>
      </c>
      <c r="AQ196" s="33"/>
      <c r="AR196" s="28"/>
      <c r="AS196" s="121"/>
      <c r="AT196" s="135" t="e">
        <f t="shared" si="103"/>
        <v>#REF!</v>
      </c>
      <c r="AU196" s="148" t="e">
        <f t="shared" si="104"/>
        <v>#REF!</v>
      </c>
      <c r="AW196" s="1">
        <v>2</v>
      </c>
      <c r="BA196" s="29">
        <v>18.506999999999998</v>
      </c>
      <c r="BB196" s="29">
        <v>9.4600000000000009</v>
      </c>
      <c r="BC196" s="29">
        <v>0</v>
      </c>
      <c r="BD196" s="29">
        <v>12.125</v>
      </c>
      <c r="BF196" s="279">
        <f t="shared" si="115"/>
        <v>38.36</v>
      </c>
      <c r="BG196" s="1">
        <v>30.69</v>
      </c>
      <c r="BI196" s="323">
        <v>0</v>
      </c>
      <c r="BL196" s="107">
        <f t="shared" si="114"/>
        <v>1.0967873225415627</v>
      </c>
      <c r="BM196" s="107">
        <f t="shared" si="114"/>
        <v>1.1127076627324948</v>
      </c>
      <c r="BN196" s="107">
        <f t="shared" si="114"/>
        <v>2.8314493742615632</v>
      </c>
      <c r="BO196" s="107">
        <f t="shared" si="114"/>
        <v>1.036891829831438</v>
      </c>
    </row>
    <row r="197" spans="1:67" x14ac:dyDescent="0.25">
      <c r="A197" s="250" t="s">
        <v>374</v>
      </c>
      <c r="B197" s="227">
        <v>9</v>
      </c>
      <c r="C197" s="226">
        <f>'побудинковий звіт'!E184</f>
        <v>211.6</v>
      </c>
      <c r="D197" s="138">
        <f t="shared" si="85"/>
        <v>167.26650371494603</v>
      </c>
      <c r="E197" s="104">
        <f t="shared" si="79"/>
        <v>34.478139775661276</v>
      </c>
      <c r="F197" s="323">
        <v>77.257080425730251</v>
      </c>
      <c r="G197" s="104" t="e">
        <f t="shared" si="80"/>
        <v>#REF!</v>
      </c>
      <c r="H197" s="720">
        <f t="shared" si="86"/>
        <v>139.74693087010041</v>
      </c>
      <c r="I197" s="104" t="e">
        <f t="shared" si="87"/>
        <v>#REF!</v>
      </c>
      <c r="J197" s="28"/>
      <c r="K197" s="139" t="e">
        <f t="shared" si="88"/>
        <v>#REF!</v>
      </c>
      <c r="L197" s="200">
        <f t="shared" si="89"/>
        <v>69.947660588540074</v>
      </c>
      <c r="M197" s="104">
        <f t="shared" si="81"/>
        <v>15.389739154165545</v>
      </c>
      <c r="N197" s="323">
        <v>36.799999999999997</v>
      </c>
      <c r="O197" s="104"/>
      <c r="P197" s="104">
        <f t="shared" si="90"/>
        <v>58.439500268687198</v>
      </c>
      <c r="Q197" s="104">
        <f t="shared" si="91"/>
        <v>23.242564674474487</v>
      </c>
      <c r="R197" s="104"/>
      <c r="S197" s="140">
        <f t="shared" si="92"/>
        <v>203.8194646858673</v>
      </c>
      <c r="T197" s="880">
        <v>441.65000000000003</v>
      </c>
      <c r="U197" s="104"/>
      <c r="V197" s="148">
        <f t="shared" si="93"/>
        <v>441.65000000000003</v>
      </c>
      <c r="W197" s="882">
        <v>103.69166666666668</v>
      </c>
      <c r="X197" s="104"/>
      <c r="Y197" s="45">
        <f t="shared" si="94"/>
        <v>103.69166666666668</v>
      </c>
      <c r="Z197" s="138">
        <f t="shared" si="95"/>
        <v>13.928012199308638</v>
      </c>
      <c r="AA197" s="104">
        <f t="shared" si="82"/>
        <v>3.061487330261349</v>
      </c>
      <c r="AB197" s="323">
        <v>43.4</v>
      </c>
      <c r="AC197" s="104"/>
      <c r="AD197" s="104">
        <f t="shared" si="96"/>
        <v>11.636501718788422</v>
      </c>
      <c r="AE197" s="104">
        <f t="shared" si="97"/>
        <v>9.2706707898581246</v>
      </c>
      <c r="AF197" s="104"/>
      <c r="AG197" s="139">
        <f t="shared" si="98"/>
        <v>81.296672038216542</v>
      </c>
      <c r="AH197" s="200">
        <f t="shared" si="99"/>
        <v>204.97410492040919</v>
      </c>
      <c r="AI197" s="104">
        <f t="shared" si="83"/>
        <v>40.885301926453508</v>
      </c>
      <c r="AJ197" s="323">
        <v>33.083470618940723</v>
      </c>
      <c r="AK197" s="118" t="e">
        <f t="shared" si="84"/>
        <v>#REF!</v>
      </c>
      <c r="AL197" s="408"/>
      <c r="AM197" s="104">
        <f t="shared" si="100"/>
        <v>171.25067741769038</v>
      </c>
      <c r="AN197" s="104" t="e">
        <f t="shared" si="101"/>
        <v>#REF!</v>
      </c>
      <c r="AO197" s="104"/>
      <c r="AP197" s="140" t="e">
        <f t="shared" si="102"/>
        <v>#REF!</v>
      </c>
      <c r="AQ197" s="137"/>
      <c r="AR197" s="104"/>
      <c r="AS197" s="139"/>
      <c r="AT197" s="135" t="e">
        <f t="shared" si="103"/>
        <v>#REF!</v>
      </c>
      <c r="AU197" s="148" t="e">
        <f t="shared" si="104"/>
        <v>#REF!</v>
      </c>
      <c r="AW197" s="1">
        <v>1</v>
      </c>
      <c r="BA197" s="29">
        <v>194.72</v>
      </c>
      <c r="BB197" s="29">
        <v>75.86</v>
      </c>
      <c r="BC197" s="29">
        <v>38.96</v>
      </c>
      <c r="BD197" s="29">
        <v>247.04</v>
      </c>
      <c r="BF197" s="279">
        <f>T197*1.2</f>
        <v>529.98</v>
      </c>
      <c r="BI197" s="323">
        <v>0</v>
      </c>
      <c r="BL197" s="107">
        <f>$BA$397</f>
        <v>0.85901039294857251</v>
      </c>
      <c r="BM197" s="107">
        <f>$BB$397</f>
        <v>0.92206249128051765</v>
      </c>
      <c r="BN197" s="107">
        <f>$BC$397</f>
        <v>0.35749517965371247</v>
      </c>
      <c r="BO197" s="107">
        <f>$BD$397</f>
        <v>0.82972030812989472</v>
      </c>
    </row>
    <row r="198" spans="1:67" x14ac:dyDescent="0.25">
      <c r="A198" s="250" t="s">
        <v>375</v>
      </c>
      <c r="B198" s="227">
        <v>9</v>
      </c>
      <c r="C198" s="226">
        <f>'побудинковий звіт'!E185</f>
        <v>180.6</v>
      </c>
      <c r="D198" s="138">
        <f t="shared" si="85"/>
        <v>1533.0586680874585</v>
      </c>
      <c r="E198" s="104">
        <f t="shared" si="79"/>
        <v>316.00475808764986</v>
      </c>
      <c r="F198" s="323">
        <v>312.61797095942609</v>
      </c>
      <c r="G198" s="104" t="e">
        <f t="shared" si="80"/>
        <v>#REF!</v>
      </c>
      <c r="H198" s="720">
        <f t="shared" si="86"/>
        <v>1280.8317203433178</v>
      </c>
      <c r="I198" s="104" t="e">
        <f t="shared" si="87"/>
        <v>#REF!</v>
      </c>
      <c r="J198" s="28"/>
      <c r="K198" s="139" t="e">
        <f t="shared" si="88"/>
        <v>#REF!</v>
      </c>
      <c r="L198" s="200">
        <f t="shared" si="89"/>
        <v>258.73995567822607</v>
      </c>
      <c r="M198" s="104">
        <f t="shared" si="81"/>
        <v>56.927428210524567</v>
      </c>
      <c r="N198" s="323">
        <v>36.799999999999997</v>
      </c>
      <c r="O198" s="104"/>
      <c r="P198" s="104">
        <f t="shared" si="90"/>
        <v>216.17068508299914</v>
      </c>
      <c r="Q198" s="104">
        <f t="shared" si="91"/>
        <v>73.191017752604722</v>
      </c>
      <c r="R198" s="104"/>
      <c r="S198" s="140">
        <f t="shared" si="92"/>
        <v>641.82908672435451</v>
      </c>
      <c r="T198" s="880">
        <v>1873.7750000000003</v>
      </c>
      <c r="U198" s="104"/>
      <c r="V198" s="148">
        <f t="shared" si="93"/>
        <v>1873.7750000000003</v>
      </c>
      <c r="W198" s="882">
        <v>417.9666666666667</v>
      </c>
      <c r="X198" s="104"/>
      <c r="Y198" s="45">
        <f t="shared" si="94"/>
        <v>417.9666666666667</v>
      </c>
      <c r="Z198" s="138">
        <f t="shared" si="95"/>
        <v>33.000380033834197</v>
      </c>
      <c r="AA198" s="104">
        <f t="shared" si="82"/>
        <v>7.2537447499082424</v>
      </c>
      <c r="AB198" s="323">
        <v>86.8</v>
      </c>
      <c r="AC198" s="104"/>
      <c r="AD198" s="104">
        <f t="shared" si="96"/>
        <v>27.570982383505111</v>
      </c>
      <c r="AE198" s="104">
        <f t="shared" si="97"/>
        <v>19.902235853010865</v>
      </c>
      <c r="AF198" s="104"/>
      <c r="AG198" s="139">
        <f t="shared" si="98"/>
        <v>174.52734302025843</v>
      </c>
      <c r="AH198" s="200">
        <f t="shared" si="99"/>
        <v>934.08252848647282</v>
      </c>
      <c r="AI198" s="104">
        <f t="shared" si="83"/>
        <v>186.31741905263451</v>
      </c>
      <c r="AJ198" s="323">
        <v>133.87106269349135</v>
      </c>
      <c r="AK198" s="118" t="e">
        <f t="shared" si="84"/>
        <v>#REF!</v>
      </c>
      <c r="AL198" s="408"/>
      <c r="AM198" s="104">
        <f t="shared" si="100"/>
        <v>780.40231388960274</v>
      </c>
      <c r="AN198" s="104" t="e">
        <f t="shared" si="101"/>
        <v>#REF!</v>
      </c>
      <c r="AO198" s="104"/>
      <c r="AP198" s="140" t="e">
        <f t="shared" si="102"/>
        <v>#REF!</v>
      </c>
      <c r="AQ198" s="33"/>
      <c r="AR198" s="28"/>
      <c r="AS198" s="121"/>
      <c r="AT198" s="135" t="e">
        <f t="shared" si="103"/>
        <v>#REF!</v>
      </c>
      <c r="AU198" s="148" t="e">
        <f t="shared" si="104"/>
        <v>#REF!</v>
      </c>
      <c r="AW198" s="1">
        <v>1</v>
      </c>
      <c r="BA198" s="29">
        <v>1784.68</v>
      </c>
      <c r="BB198" s="29">
        <v>280.61</v>
      </c>
      <c r="BC198" s="29">
        <v>92.31</v>
      </c>
      <c r="BD198" s="29">
        <v>1125.78</v>
      </c>
      <c r="BF198" s="279">
        <f>T198*1.2</f>
        <v>2248.5300000000002</v>
      </c>
      <c r="BI198" s="323">
        <v>0</v>
      </c>
      <c r="BL198" s="107">
        <f>$BA$397</f>
        <v>0.85901039294857251</v>
      </c>
      <c r="BM198" s="107">
        <f>$BB$397</f>
        <v>0.92206249128051765</v>
      </c>
      <c r="BN198" s="107">
        <f>$BC$397</f>
        <v>0.35749517965371247</v>
      </c>
      <c r="BO198" s="107">
        <f>$BD$397</f>
        <v>0.82972030812989472</v>
      </c>
    </row>
    <row r="199" spans="1:67" x14ac:dyDescent="0.25">
      <c r="A199" s="250" t="s">
        <v>176</v>
      </c>
      <c r="B199" s="227">
        <v>2</v>
      </c>
      <c r="C199" s="226">
        <f>'побудинковий звіт'!E186</f>
        <v>102.4</v>
      </c>
      <c r="D199" s="138">
        <f t="shared" si="85"/>
        <v>87.863632408804591</v>
      </c>
      <c r="E199" s="104">
        <f t="shared" si="79"/>
        <v>18.111065468019333</v>
      </c>
      <c r="F199" s="323">
        <v>8.9504145737991188</v>
      </c>
      <c r="G199" s="104" t="e">
        <f t="shared" si="80"/>
        <v>#REF!</v>
      </c>
      <c r="H199" s="720">
        <f t="shared" si="86"/>
        <v>73.407841328197577</v>
      </c>
      <c r="I199" s="104" t="e">
        <f t="shared" si="87"/>
        <v>#REF!</v>
      </c>
      <c r="J199" s="28"/>
      <c r="K199" s="139" t="e">
        <f t="shared" si="88"/>
        <v>#REF!</v>
      </c>
      <c r="L199" s="200">
        <f t="shared" si="89"/>
        <v>20.240152385104082</v>
      </c>
      <c r="M199" s="104">
        <f t="shared" si="81"/>
        <v>4.4531963331786786</v>
      </c>
      <c r="N199" s="323">
        <v>0</v>
      </c>
      <c r="O199" s="104"/>
      <c r="P199" s="104">
        <f t="shared" si="90"/>
        <v>16.910135103808585</v>
      </c>
      <c r="Q199" s="104">
        <f t="shared" si="91"/>
        <v>5.3549023344481146</v>
      </c>
      <c r="R199" s="104"/>
      <c r="S199" s="140">
        <f t="shared" si="92"/>
        <v>46.958386156539461</v>
      </c>
      <c r="T199" s="880">
        <v>47.933333333333337</v>
      </c>
      <c r="U199" s="104"/>
      <c r="V199" s="148">
        <f t="shared" si="93"/>
        <v>47.933333333333337</v>
      </c>
      <c r="W199" s="236"/>
      <c r="X199" s="104"/>
      <c r="Y199" s="45">
        <f t="shared" si="94"/>
        <v>0</v>
      </c>
      <c r="Z199" s="138">
        <f t="shared" si="95"/>
        <v>0</v>
      </c>
      <c r="AA199" s="104">
        <f t="shared" si="82"/>
        <v>0</v>
      </c>
      <c r="AB199" s="323">
        <v>0</v>
      </c>
      <c r="AC199" s="104"/>
      <c r="AD199" s="104">
        <f t="shared" si="96"/>
        <v>0</v>
      </c>
      <c r="AE199" s="104">
        <f t="shared" si="97"/>
        <v>0</v>
      </c>
      <c r="AF199" s="104"/>
      <c r="AG199" s="139">
        <f t="shared" si="98"/>
        <v>0</v>
      </c>
      <c r="AH199" s="200">
        <f t="shared" si="99"/>
        <v>37.369581547125023</v>
      </c>
      <c r="AI199" s="104">
        <f t="shared" si="83"/>
        <v>7.4539494879740928</v>
      </c>
      <c r="AJ199" s="323">
        <v>3.5141040104704242</v>
      </c>
      <c r="AK199" s="118" t="e">
        <f t="shared" si="84"/>
        <v>#REF!</v>
      </c>
      <c r="AL199" s="104"/>
      <c r="AM199" s="104">
        <f t="shared" si="100"/>
        <v>31.221339677251983</v>
      </c>
      <c r="AN199" s="104" t="e">
        <f t="shared" si="101"/>
        <v>#REF!</v>
      </c>
      <c r="AO199" s="104"/>
      <c r="AP199" s="140" t="e">
        <f t="shared" si="102"/>
        <v>#REF!</v>
      </c>
      <c r="AQ199" s="33"/>
      <c r="AR199" s="28"/>
      <c r="AS199" s="121"/>
      <c r="AT199" s="135" t="e">
        <f t="shared" si="103"/>
        <v>#REF!</v>
      </c>
      <c r="AU199" s="148" t="e">
        <f t="shared" si="104"/>
        <v>#REF!</v>
      </c>
      <c r="AW199" s="1">
        <v>2</v>
      </c>
      <c r="BA199" s="29">
        <v>80.11</v>
      </c>
      <c r="BB199" s="29">
        <v>18.190000000000001</v>
      </c>
      <c r="BC199" s="29">
        <v>0</v>
      </c>
      <c r="BD199" s="29">
        <v>36.04</v>
      </c>
      <c r="BF199" s="147">
        <f>T199*1.2</f>
        <v>57.52</v>
      </c>
      <c r="BI199" s="323">
        <v>0</v>
      </c>
      <c r="BL199" s="107">
        <f>BA$398</f>
        <v>1.0967873225415627</v>
      </c>
      <c r="BM199" s="107">
        <f>BB$398</f>
        <v>1.1127076627324948</v>
      </c>
      <c r="BN199" s="107">
        <f>BC$398</f>
        <v>2.8314493742615632</v>
      </c>
      <c r="BO199" s="107">
        <f>BD$398</f>
        <v>1.036891829831438</v>
      </c>
    </row>
    <row r="200" spans="1:67" x14ac:dyDescent="0.25">
      <c r="A200" s="250" t="s">
        <v>336</v>
      </c>
      <c r="B200" s="227">
        <v>8</v>
      </c>
      <c r="C200" s="226">
        <f>'побудинковий звіт'!E187</f>
        <v>180.22</v>
      </c>
      <c r="D200" s="138">
        <f t="shared" si="85"/>
        <v>384.58754302700538</v>
      </c>
      <c r="E200" s="104">
        <f t="shared" si="79"/>
        <v>79.273869961798027</v>
      </c>
      <c r="F200" s="323">
        <v>104.16425492377978</v>
      </c>
      <c r="G200" s="104" t="e">
        <f t="shared" si="80"/>
        <v>#REF!</v>
      </c>
      <c r="H200" s="720">
        <f t="shared" si="86"/>
        <v>321.31315951033616</v>
      </c>
      <c r="I200" s="104" t="e">
        <f t="shared" si="87"/>
        <v>#REF!</v>
      </c>
      <c r="J200" s="28"/>
      <c r="K200" s="139" t="e">
        <f t="shared" si="88"/>
        <v>#REF!</v>
      </c>
      <c r="L200" s="200">
        <f t="shared" si="89"/>
        <v>71.810226820926715</v>
      </c>
      <c r="M200" s="104">
        <f t="shared" si="81"/>
        <v>15.799537112133041</v>
      </c>
      <c r="N200" s="323">
        <v>0</v>
      </c>
      <c r="O200" s="104"/>
      <c r="P200" s="104">
        <f t="shared" si="90"/>
        <v>59.995627220213009</v>
      </c>
      <c r="Q200" s="104">
        <f t="shared" si="91"/>
        <v>18.998708306348142</v>
      </c>
      <c r="R200" s="104"/>
      <c r="S200" s="140">
        <f t="shared" si="92"/>
        <v>166.6040994596209</v>
      </c>
      <c r="T200" s="880">
        <v>654.11666666666679</v>
      </c>
      <c r="U200" s="104"/>
      <c r="V200" s="148">
        <f t="shared" si="93"/>
        <v>654.11666666666679</v>
      </c>
      <c r="W200" s="882">
        <v>136.59166666666667</v>
      </c>
      <c r="X200" s="104"/>
      <c r="Y200" s="45">
        <f t="shared" si="94"/>
        <v>136.59166666666667</v>
      </c>
      <c r="Z200" s="138">
        <f t="shared" si="95"/>
        <v>27.212533075240597</v>
      </c>
      <c r="AA200" s="104">
        <f t="shared" si="82"/>
        <v>5.9815301740116507</v>
      </c>
      <c r="AB200" s="323">
        <v>0</v>
      </c>
      <c r="AC200" s="104"/>
      <c r="AD200" s="104">
        <f t="shared" si="96"/>
        <v>22.735382721616396</v>
      </c>
      <c r="AE200" s="104">
        <f t="shared" si="97"/>
        <v>7.1988375318405948</v>
      </c>
      <c r="AF200" s="104"/>
      <c r="AG200" s="139">
        <f t="shared" si="98"/>
        <v>63.128283502709237</v>
      </c>
      <c r="AH200" s="200">
        <f t="shared" si="99"/>
        <v>198.98352429571133</v>
      </c>
      <c r="AI200" s="104">
        <f t="shared" si="83"/>
        <v>39.690386609464376</v>
      </c>
      <c r="AJ200" s="323">
        <v>44.605815393549378</v>
      </c>
      <c r="AK200" s="118" t="e">
        <f t="shared" si="84"/>
        <v>#REF!</v>
      </c>
      <c r="AL200" s="104"/>
      <c r="AM200" s="104">
        <f t="shared" si="100"/>
        <v>166.24569890831648</v>
      </c>
      <c r="AN200" s="104" t="e">
        <f t="shared" si="101"/>
        <v>#REF!</v>
      </c>
      <c r="AO200" s="104"/>
      <c r="AP200" s="140" t="e">
        <f t="shared" si="102"/>
        <v>#REF!</v>
      </c>
      <c r="AQ200" s="33"/>
      <c r="AR200" s="28"/>
      <c r="AS200" s="121"/>
      <c r="AT200" s="135" t="e">
        <f t="shared" si="103"/>
        <v>#REF!</v>
      </c>
      <c r="AU200" s="148" t="e">
        <f t="shared" si="104"/>
        <v>#REF!</v>
      </c>
      <c r="AW200" s="1">
        <v>1</v>
      </c>
      <c r="BA200" s="29">
        <v>447.71</v>
      </c>
      <c r="BB200" s="29">
        <v>77.88</v>
      </c>
      <c r="BC200" s="29">
        <v>76.12</v>
      </c>
      <c r="BD200" s="29">
        <v>239.82</v>
      </c>
      <c r="BF200" s="279">
        <f>T200*1.2</f>
        <v>784.94000000000017</v>
      </c>
      <c r="BI200" s="323">
        <v>8.52</v>
      </c>
      <c r="BL200" s="107">
        <f>$BA$397</f>
        <v>0.85901039294857251</v>
      </c>
      <c r="BM200" s="107">
        <f>$BB$397</f>
        <v>0.92206249128051765</v>
      </c>
      <c r="BN200" s="107">
        <f>$BC$397</f>
        <v>0.35749517965371247</v>
      </c>
      <c r="BO200" s="107">
        <f>$BD$397</f>
        <v>0.82972030812989472</v>
      </c>
    </row>
    <row r="201" spans="1:67" x14ac:dyDescent="0.25">
      <c r="A201" s="250" t="s">
        <v>177</v>
      </c>
      <c r="B201" s="227">
        <v>2</v>
      </c>
      <c r="C201" s="226">
        <f>'побудинковий звіт'!E188</f>
        <v>330.4</v>
      </c>
      <c r="D201" s="138">
        <f t="shared" si="85"/>
        <v>52.163205060076727</v>
      </c>
      <c r="E201" s="104">
        <f t="shared" ref="E201:E264" si="116">D201*$BA$372</f>
        <v>10.752244085120454</v>
      </c>
      <c r="F201" s="323">
        <v>8.5311272620792469</v>
      </c>
      <c r="G201" s="104" t="e">
        <f t="shared" ref="G201:G264" si="117">$G$369/$C$368*C201</f>
        <v>#REF!</v>
      </c>
      <c r="H201" s="720">
        <f t="shared" si="86"/>
        <v>43.581037742717228</v>
      </c>
      <c r="I201" s="104" t="e">
        <f t="shared" si="87"/>
        <v>#REF!</v>
      </c>
      <c r="J201" s="28"/>
      <c r="K201" s="139" t="e">
        <f t="shared" si="88"/>
        <v>#REF!</v>
      </c>
      <c r="L201" s="200">
        <f t="shared" si="89"/>
        <v>20.240152385104082</v>
      </c>
      <c r="M201" s="104">
        <f t="shared" ref="M201:M264" si="118">L201*$BB$372</f>
        <v>4.4531963331786786</v>
      </c>
      <c r="N201" s="323">
        <v>0</v>
      </c>
      <c r="O201" s="104"/>
      <c r="P201" s="104">
        <f t="shared" si="90"/>
        <v>16.910135103808585</v>
      </c>
      <c r="Q201" s="104">
        <f t="shared" si="91"/>
        <v>5.3549023344481146</v>
      </c>
      <c r="R201" s="104"/>
      <c r="S201" s="140">
        <f t="shared" si="92"/>
        <v>46.958386156539461</v>
      </c>
      <c r="T201" s="235"/>
      <c r="U201" s="104"/>
      <c r="V201" s="148">
        <f t="shared" si="93"/>
        <v>0</v>
      </c>
      <c r="W201" s="236"/>
      <c r="X201" s="104"/>
      <c r="Y201" s="45">
        <f t="shared" si="94"/>
        <v>0</v>
      </c>
      <c r="Z201" s="138">
        <f t="shared" si="95"/>
        <v>0</v>
      </c>
      <c r="AA201" s="104">
        <f t="shared" ref="AA201:AA264" si="119">Z201*$BC$372</f>
        <v>0</v>
      </c>
      <c r="AB201" s="323">
        <v>0</v>
      </c>
      <c r="AC201" s="104"/>
      <c r="AD201" s="104">
        <f t="shared" si="96"/>
        <v>0</v>
      </c>
      <c r="AE201" s="104">
        <f t="shared" si="97"/>
        <v>0</v>
      </c>
      <c r="AF201" s="104"/>
      <c r="AG201" s="139">
        <f t="shared" si="98"/>
        <v>0</v>
      </c>
      <c r="AH201" s="200">
        <f t="shared" si="99"/>
        <v>37.369581547125023</v>
      </c>
      <c r="AI201" s="104">
        <f t="shared" ref="AI201:AI264" si="120">AH201*$BD$372</f>
        <v>7.4539494879740928</v>
      </c>
      <c r="AJ201" s="323">
        <v>3.3494837896409484</v>
      </c>
      <c r="AK201" s="118" t="e">
        <f t="shared" ref="AK201:AK264" si="121">$AK$369/$C$368*C201</f>
        <v>#REF!</v>
      </c>
      <c r="AL201" s="408"/>
      <c r="AM201" s="104">
        <f t="shared" si="100"/>
        <v>31.221339677251983</v>
      </c>
      <c r="AN201" s="104" t="e">
        <f t="shared" si="101"/>
        <v>#REF!</v>
      </c>
      <c r="AO201" s="104"/>
      <c r="AP201" s="140" t="e">
        <f t="shared" si="102"/>
        <v>#REF!</v>
      </c>
      <c r="AQ201" s="33"/>
      <c r="AR201" s="28"/>
      <c r="AS201" s="121"/>
      <c r="AT201" s="135" t="e">
        <f t="shared" si="103"/>
        <v>#REF!</v>
      </c>
      <c r="AU201" s="148" t="e">
        <f t="shared" si="104"/>
        <v>#REF!</v>
      </c>
      <c r="AW201" s="1">
        <v>2</v>
      </c>
      <c r="BA201" s="29">
        <v>47.56</v>
      </c>
      <c r="BB201" s="29">
        <v>18.190000000000001</v>
      </c>
      <c r="BC201" s="29">
        <v>0</v>
      </c>
      <c r="BD201" s="29">
        <v>36.04</v>
      </c>
      <c r="BI201" s="323">
        <v>0</v>
      </c>
      <c r="BL201" s="107">
        <f>BA$398</f>
        <v>1.0967873225415627</v>
      </c>
      <c r="BM201" s="107">
        <f>BB$398</f>
        <v>1.1127076627324948</v>
      </c>
      <c r="BN201" s="107">
        <f>BC$398</f>
        <v>2.8314493742615632</v>
      </c>
      <c r="BO201" s="107">
        <f>BD$398</f>
        <v>1.036891829831438</v>
      </c>
    </row>
    <row r="202" spans="1:67" x14ac:dyDescent="0.25">
      <c r="A202" s="250" t="s">
        <v>376</v>
      </c>
      <c r="B202" s="227">
        <v>9</v>
      </c>
      <c r="C202" s="226">
        <f>'побудинковий звіт'!E189</f>
        <v>151.80000000000001</v>
      </c>
      <c r="D202" s="138">
        <f t="shared" ref="D202:D265" si="122">BA202*BL202</f>
        <v>590.65554619143848</v>
      </c>
      <c r="E202" s="104">
        <f t="shared" si="116"/>
        <v>121.75004575670037</v>
      </c>
      <c r="F202" s="323">
        <v>151.01426295631853</v>
      </c>
      <c r="G202" s="104" t="e">
        <f t="shared" si="117"/>
        <v>#REF!</v>
      </c>
      <c r="H202" s="720">
        <f t="shared" ref="H202:H265" si="123">D202*$B$4</f>
        <v>493.47776122781971</v>
      </c>
      <c r="I202" s="104" t="e">
        <f t="shared" ref="I202:I265" si="124">(D202+E202+F202+G202+H202)*$B$5</f>
        <v>#REF!</v>
      </c>
      <c r="J202" s="28"/>
      <c r="K202" s="139" t="e">
        <f t="shared" ref="K202:K265" si="125">D202+E202+F202+G202+H202+I202-J202</f>
        <v>#REF!</v>
      </c>
      <c r="L202" s="200">
        <f t="shared" ref="L202:L265" si="126">BB202*BM202</f>
        <v>109.9098489606377</v>
      </c>
      <c r="M202" s="104">
        <f t="shared" si="118"/>
        <v>24.182136925606812</v>
      </c>
      <c r="N202" s="323">
        <v>0</v>
      </c>
      <c r="O202" s="104"/>
      <c r="P202" s="104">
        <f t="shared" ref="P202:P265" si="127">L202*$B$4</f>
        <v>91.826897337562798</v>
      </c>
      <c r="Q202" s="104">
        <f t="shared" ref="Q202:Q265" si="128">(L202+M202+N202+O202+P202)*$B$5</f>
        <v>29.078659862823557</v>
      </c>
      <c r="R202" s="104"/>
      <c r="S202" s="140">
        <f t="shared" ref="S202:S265" si="129">L202+M202+N202+O202+P202+Q202-R202</f>
        <v>254.99754308663086</v>
      </c>
      <c r="T202" s="880">
        <v>1001.6000000000001</v>
      </c>
      <c r="U202" s="104"/>
      <c r="V202" s="148">
        <f t="shared" ref="V202:V265" si="130">T202+U202</f>
        <v>1001.6000000000001</v>
      </c>
      <c r="W202" s="882">
        <v>195.0916666666667</v>
      </c>
      <c r="X202" s="104"/>
      <c r="Y202" s="45">
        <f t="shared" ref="Y202:Y265" si="131">W202+X202</f>
        <v>195.0916666666667</v>
      </c>
      <c r="Z202" s="138">
        <f t="shared" ref="Z202:Z265" si="132">BC202*BN202</f>
        <v>14.142509307100866</v>
      </c>
      <c r="AA202" s="104">
        <f t="shared" si="119"/>
        <v>3.1086354924316986</v>
      </c>
      <c r="AB202" s="323">
        <v>0</v>
      </c>
      <c r="AC202" s="104"/>
      <c r="AD202" s="104">
        <f t="shared" ref="AD202:AD265" si="133">Z202*$B$4</f>
        <v>11.815708624108572</v>
      </c>
      <c r="AE202" s="104">
        <f t="shared" ref="AE202:AE265" si="134">(Z202+AA202+AB202+AC202+AD202)*$B$5</f>
        <v>3.74127709878631</v>
      </c>
      <c r="AF202" s="104"/>
      <c r="AG202" s="139">
        <f t="shared" ref="AG202:AG265" si="135">Z202+AA202+AB202+AC202+AD202+AE202-AF202</f>
        <v>32.808130522427447</v>
      </c>
      <c r="AH202" s="200">
        <f t="shared" ref="AH202:AH265" si="136">BD202*BO202</f>
        <v>392.5821637916597</v>
      </c>
      <c r="AI202" s="104">
        <f t="shared" si="120"/>
        <v>78.306673439529945</v>
      </c>
      <c r="AJ202" s="323">
        <v>64.668194863501782</v>
      </c>
      <c r="AK202" s="118" t="e">
        <f t="shared" si="121"/>
        <v>#REF!</v>
      </c>
      <c r="AL202" s="104"/>
      <c r="AM202" s="104">
        <f t="shared" ref="AM202:AM265" si="137">AH202*$B$4</f>
        <v>327.99246284075537</v>
      </c>
      <c r="AN202" s="104" t="e">
        <f t="shared" ref="AN202:AN265" si="138">(AH202+AI202+AJ202+AK202+AL202+AM202)*$B$5</f>
        <v>#REF!</v>
      </c>
      <c r="AO202" s="104"/>
      <c r="AP202" s="140" t="e">
        <f t="shared" ref="AP202:AP265" si="139">AH202+AI202+AJ202+AK202+AL202+AM202+AN202-AO202</f>
        <v>#REF!</v>
      </c>
      <c r="AQ202" s="33"/>
      <c r="AR202" s="28"/>
      <c r="AS202" s="121"/>
      <c r="AT202" s="135" t="e">
        <f t="shared" ref="AT202:AT265" si="140">IF(B202&gt;1,C202*$AT$5,0)</f>
        <v>#REF!</v>
      </c>
      <c r="AU202" s="148" t="e">
        <f t="shared" ref="AU202:AU265" si="141">K202+S202+V202+Y202+AG202+AP202+AS202+AT202</f>
        <v>#REF!</v>
      </c>
      <c r="AW202" s="1">
        <v>1</v>
      </c>
      <c r="BA202" s="29">
        <v>687.6</v>
      </c>
      <c r="BB202" s="29">
        <v>119.2</v>
      </c>
      <c r="BC202" s="29">
        <v>39.56</v>
      </c>
      <c r="BD202" s="29">
        <v>473.15</v>
      </c>
      <c r="BF202" s="279">
        <f t="shared" ref="BF202:BF210" si="142">T202*1.2</f>
        <v>1201.92</v>
      </c>
      <c r="BI202" s="323">
        <v>0</v>
      </c>
      <c r="BL202" s="107">
        <f>$BA$397</f>
        <v>0.85901039294857251</v>
      </c>
      <c r="BM202" s="107">
        <f>$BB$397</f>
        <v>0.92206249128051765</v>
      </c>
      <c r="BN202" s="107">
        <f>$BC$397</f>
        <v>0.35749517965371247</v>
      </c>
      <c r="BO202" s="107">
        <f>$BD$397</f>
        <v>0.82972030812989472</v>
      </c>
    </row>
    <row r="203" spans="1:67" x14ac:dyDescent="0.25">
      <c r="A203" s="250" t="s">
        <v>337</v>
      </c>
      <c r="B203" s="227">
        <v>8</v>
      </c>
      <c r="C203" s="226">
        <f>'побудинковий звіт'!E190</f>
        <v>4531.93</v>
      </c>
      <c r="D203" s="138">
        <f t="shared" si="122"/>
        <v>289.21161909792539</v>
      </c>
      <c r="E203" s="104">
        <f t="shared" si="116"/>
        <v>59.614318506931177</v>
      </c>
      <c r="F203" s="323">
        <v>124.0068019483937</v>
      </c>
      <c r="G203" s="104" t="e">
        <f t="shared" si="117"/>
        <v>#REF!</v>
      </c>
      <c r="H203" s="720">
        <f t="shared" si="123"/>
        <v>241.62898872917734</v>
      </c>
      <c r="I203" s="104" t="e">
        <f t="shared" si="124"/>
        <v>#REF!</v>
      </c>
      <c r="J203" s="28"/>
      <c r="K203" s="139" t="e">
        <f t="shared" si="125"/>
        <v>#REF!</v>
      </c>
      <c r="L203" s="200">
        <f t="shared" si="126"/>
        <v>87.83567291938212</v>
      </c>
      <c r="M203" s="104">
        <f t="shared" si="118"/>
        <v>19.325422512863298</v>
      </c>
      <c r="N203" s="323">
        <v>0</v>
      </c>
      <c r="O203" s="104"/>
      <c r="P203" s="104">
        <f t="shared" si="127"/>
        <v>73.38448188235094</v>
      </c>
      <c r="Q203" s="104">
        <f t="shared" si="128"/>
        <v>23.238533041380638</v>
      </c>
      <c r="R203" s="104"/>
      <c r="S203" s="140">
        <f t="shared" si="129"/>
        <v>203.78411035597699</v>
      </c>
      <c r="T203" s="880">
        <v>818</v>
      </c>
      <c r="U203" s="104"/>
      <c r="V203" s="148">
        <f t="shared" si="130"/>
        <v>818</v>
      </c>
      <c r="W203" s="882">
        <v>150.96666666666667</v>
      </c>
      <c r="X203" s="104"/>
      <c r="Y203" s="45">
        <f t="shared" si="131"/>
        <v>150.96666666666667</v>
      </c>
      <c r="Z203" s="138">
        <f t="shared" si="132"/>
        <v>13.177272322035842</v>
      </c>
      <c r="AA203" s="104">
        <f t="shared" si="119"/>
        <v>2.8964687626651267</v>
      </c>
      <c r="AB203" s="323">
        <v>0</v>
      </c>
      <c r="AC203" s="104"/>
      <c r="AD203" s="104">
        <f t="shared" si="133"/>
        <v>11.009277550167896</v>
      </c>
      <c r="AE203" s="104">
        <f t="shared" si="134"/>
        <v>3.4859320996274872</v>
      </c>
      <c r="AF203" s="104"/>
      <c r="AG203" s="139">
        <f t="shared" si="135"/>
        <v>30.568950734496351</v>
      </c>
      <c r="AH203" s="200">
        <f t="shared" si="136"/>
        <v>313.94127298710828</v>
      </c>
      <c r="AI203" s="104">
        <f t="shared" si="120"/>
        <v>62.620513641160194</v>
      </c>
      <c r="AJ203" s="323">
        <v>53.102904823751715</v>
      </c>
      <c r="AK203" s="118" t="e">
        <f t="shared" si="121"/>
        <v>#REF!</v>
      </c>
      <c r="AL203" s="104"/>
      <c r="AM203" s="104">
        <f t="shared" si="137"/>
        <v>262.28998872462563</v>
      </c>
      <c r="AN203" s="104" t="e">
        <f t="shared" si="138"/>
        <v>#REF!</v>
      </c>
      <c r="AO203" s="104"/>
      <c r="AP203" s="140" t="e">
        <f t="shared" si="139"/>
        <v>#REF!</v>
      </c>
      <c r="AQ203" s="33"/>
      <c r="AR203" s="28"/>
      <c r="AS203" s="121"/>
      <c r="AT203" s="135" t="e">
        <f t="shared" si="140"/>
        <v>#REF!</v>
      </c>
      <c r="AU203" s="148" t="e">
        <f t="shared" si="141"/>
        <v>#REF!</v>
      </c>
      <c r="AW203" s="1">
        <v>1</v>
      </c>
      <c r="BA203" s="29">
        <v>336.68</v>
      </c>
      <c r="BB203" s="29">
        <v>95.26</v>
      </c>
      <c r="BC203" s="29">
        <v>36.86</v>
      </c>
      <c r="BD203" s="29">
        <v>378.37</v>
      </c>
      <c r="BF203" s="279">
        <f t="shared" si="142"/>
        <v>981.59999999999991</v>
      </c>
      <c r="BI203" s="323">
        <v>0</v>
      </c>
      <c r="BL203" s="107">
        <f>$BA$397</f>
        <v>0.85901039294857251</v>
      </c>
      <c r="BM203" s="107">
        <f>$BB$397</f>
        <v>0.92206249128051765</v>
      </c>
      <c r="BN203" s="107">
        <f>$BC$397</f>
        <v>0.35749517965371247</v>
      </c>
      <c r="BO203" s="107">
        <f>$BD$397</f>
        <v>0.82972030812989472</v>
      </c>
    </row>
    <row r="204" spans="1:67" x14ac:dyDescent="0.25">
      <c r="A204" s="250" t="s">
        <v>377</v>
      </c>
      <c r="B204" s="227">
        <v>9</v>
      </c>
      <c r="C204" s="226">
        <f>'побудинковий звіт'!E191</f>
        <v>2055.6</v>
      </c>
      <c r="D204" s="138">
        <f t="shared" si="122"/>
        <v>229.16679263082014</v>
      </c>
      <c r="E204" s="104">
        <f t="shared" si="116"/>
        <v>47.237459579657532</v>
      </c>
      <c r="F204" s="323">
        <v>43.874031176866332</v>
      </c>
      <c r="G204" s="104" t="e">
        <f t="shared" si="117"/>
        <v>#REF!</v>
      </c>
      <c r="H204" s="720">
        <f t="shared" si="123"/>
        <v>191.46305575968253</v>
      </c>
      <c r="I204" s="104" t="e">
        <f t="shared" si="124"/>
        <v>#REF!</v>
      </c>
      <c r="J204" s="28"/>
      <c r="K204" s="139" t="e">
        <f t="shared" si="125"/>
        <v>#REF!</v>
      </c>
      <c r="L204" s="200">
        <f t="shared" si="126"/>
        <v>37.454178395814623</v>
      </c>
      <c r="M204" s="104">
        <f t="shared" si="118"/>
        <v>8.2405906201186969</v>
      </c>
      <c r="N204" s="323">
        <v>0</v>
      </c>
      <c r="O204" s="104"/>
      <c r="P204" s="104">
        <f t="shared" si="127"/>
        <v>31.292018203454699</v>
      </c>
      <c r="Q204" s="104">
        <f t="shared" si="128"/>
        <v>9.9091876143279585</v>
      </c>
      <c r="R204" s="104"/>
      <c r="S204" s="140">
        <f t="shared" si="129"/>
        <v>86.895974833715982</v>
      </c>
      <c r="T204" s="880">
        <v>263.3416666666667</v>
      </c>
      <c r="U204" s="104"/>
      <c r="V204" s="148">
        <f t="shared" si="130"/>
        <v>263.3416666666667</v>
      </c>
      <c r="W204" s="882">
        <v>61.558333333333337</v>
      </c>
      <c r="X204" s="104"/>
      <c r="Y204" s="45">
        <f t="shared" si="131"/>
        <v>61.558333333333337</v>
      </c>
      <c r="Z204" s="138">
        <f t="shared" si="132"/>
        <v>4.7153614196324671</v>
      </c>
      <c r="AA204" s="104">
        <f t="shared" si="119"/>
        <v>1.0364737650448457</v>
      </c>
      <c r="AB204" s="323">
        <v>0</v>
      </c>
      <c r="AC204" s="104"/>
      <c r="AD204" s="104">
        <f t="shared" si="133"/>
        <v>3.9395651352879688</v>
      </c>
      <c r="AE204" s="104">
        <f t="shared" si="134"/>
        <v>1.2474076070018056</v>
      </c>
      <c r="AF204" s="104"/>
      <c r="AG204" s="139">
        <f t="shared" si="135"/>
        <v>10.938807926967089</v>
      </c>
      <c r="AH204" s="200">
        <f t="shared" si="136"/>
        <v>60.528096478075824</v>
      </c>
      <c r="AI204" s="104">
        <f t="shared" si="120"/>
        <v>12.073278722210102</v>
      </c>
      <c r="AJ204" s="323">
        <v>18.787989571644843</v>
      </c>
      <c r="AK204" s="118" t="e">
        <f t="shared" si="121"/>
        <v>#REF!</v>
      </c>
      <c r="AL204" s="104"/>
      <c r="AM204" s="104">
        <f t="shared" si="137"/>
        <v>50.56969283363226</v>
      </c>
      <c r="AN204" s="104" t="e">
        <f t="shared" si="138"/>
        <v>#REF!</v>
      </c>
      <c r="AO204" s="104"/>
      <c r="AP204" s="140" t="e">
        <f t="shared" si="139"/>
        <v>#REF!</v>
      </c>
      <c r="AQ204" s="33"/>
      <c r="AR204" s="28"/>
      <c r="AS204" s="121"/>
      <c r="AT204" s="135" t="e">
        <f t="shared" si="140"/>
        <v>#REF!</v>
      </c>
      <c r="AU204" s="148" t="e">
        <f t="shared" si="141"/>
        <v>#REF!</v>
      </c>
      <c r="AW204" s="1">
        <v>1</v>
      </c>
      <c r="BA204" s="29">
        <v>266.77999999999997</v>
      </c>
      <c r="BB204" s="29">
        <v>40.619999999999997</v>
      </c>
      <c r="BC204" s="29">
        <v>13.19</v>
      </c>
      <c r="BD204" s="29">
        <v>72.95</v>
      </c>
      <c r="BF204" s="279">
        <f t="shared" si="142"/>
        <v>316.01000000000005</v>
      </c>
      <c r="BI204" s="323">
        <v>8.52</v>
      </c>
      <c r="BL204" s="107">
        <f>$BA$397</f>
        <v>0.85901039294857251</v>
      </c>
      <c r="BM204" s="107">
        <f>$BB$397</f>
        <v>0.92206249128051765</v>
      </c>
      <c r="BN204" s="107">
        <f>$BC$397</f>
        <v>0.35749517965371247</v>
      </c>
      <c r="BO204" s="107">
        <f>$BD$397</f>
        <v>0.82972030812989472</v>
      </c>
    </row>
    <row r="205" spans="1:67" x14ac:dyDescent="0.25">
      <c r="A205" s="250" t="s">
        <v>378</v>
      </c>
      <c r="B205" s="227">
        <v>9</v>
      </c>
      <c r="C205" s="226">
        <f>'побудинковий звіт'!E192</f>
        <v>376.81</v>
      </c>
      <c r="D205" s="138">
        <f t="shared" si="122"/>
        <v>452.81014843498104</v>
      </c>
      <c r="E205" s="104">
        <f t="shared" si="116"/>
        <v>93.336389790182466</v>
      </c>
      <c r="F205" s="323">
        <v>87.408101215206003</v>
      </c>
      <c r="G205" s="104" t="e">
        <f t="shared" si="117"/>
        <v>#REF!</v>
      </c>
      <c r="H205" s="720">
        <f t="shared" si="123"/>
        <v>378.31141983132721</v>
      </c>
      <c r="I205" s="104" t="e">
        <f t="shared" si="124"/>
        <v>#REF!</v>
      </c>
      <c r="J205" s="28"/>
      <c r="K205" s="139" t="e">
        <f t="shared" si="125"/>
        <v>#REF!</v>
      </c>
      <c r="L205" s="200">
        <f t="shared" si="126"/>
        <v>74.908356791629245</v>
      </c>
      <c r="M205" s="104">
        <f t="shared" si="118"/>
        <v>16.481181240237394</v>
      </c>
      <c r="N205" s="323">
        <v>0</v>
      </c>
      <c r="O205" s="104"/>
      <c r="P205" s="104">
        <f t="shared" si="127"/>
        <v>62.584036406909398</v>
      </c>
      <c r="Q205" s="104">
        <f t="shared" si="128"/>
        <v>19.818375228655917</v>
      </c>
      <c r="R205" s="104"/>
      <c r="S205" s="140">
        <f t="shared" si="129"/>
        <v>173.79194966743196</v>
      </c>
      <c r="T205" s="880">
        <v>535.00833333333333</v>
      </c>
      <c r="U205" s="104"/>
      <c r="V205" s="148">
        <f t="shared" si="130"/>
        <v>535.00833333333333</v>
      </c>
      <c r="W205" s="882">
        <v>117.72500000000001</v>
      </c>
      <c r="X205" s="104"/>
      <c r="Y205" s="45">
        <f t="shared" si="131"/>
        <v>117.72500000000001</v>
      </c>
      <c r="Z205" s="138">
        <f t="shared" si="132"/>
        <v>9.4271478874683989</v>
      </c>
      <c r="AA205" s="104">
        <f t="shared" si="119"/>
        <v>2.0721617273868529</v>
      </c>
      <c r="AB205" s="323">
        <v>0</v>
      </c>
      <c r="AC205" s="104"/>
      <c r="AD205" s="104">
        <f t="shared" si="133"/>
        <v>7.8761434888206034</v>
      </c>
      <c r="AE205" s="104">
        <f t="shared" si="134"/>
        <v>2.4938694917845048</v>
      </c>
      <c r="AF205" s="104"/>
      <c r="AG205" s="139">
        <f t="shared" si="135"/>
        <v>21.869322595460361</v>
      </c>
      <c r="AH205" s="200">
        <f t="shared" si="136"/>
        <v>161.82864889765466</v>
      </c>
      <c r="AI205" s="104">
        <f t="shared" si="120"/>
        <v>32.279263632348979</v>
      </c>
      <c r="AJ205" s="323">
        <v>37.430399032365862</v>
      </c>
      <c r="AK205" s="118" t="e">
        <f t="shared" si="121"/>
        <v>#REF!</v>
      </c>
      <c r="AL205" s="408"/>
      <c r="AM205" s="104">
        <f t="shared" si="137"/>
        <v>135.20374078508067</v>
      </c>
      <c r="AN205" s="104" t="e">
        <f t="shared" si="138"/>
        <v>#REF!</v>
      </c>
      <c r="AO205" s="104"/>
      <c r="AP205" s="140" t="e">
        <f t="shared" si="139"/>
        <v>#REF!</v>
      </c>
      <c r="AQ205" s="33"/>
      <c r="AR205" s="28"/>
      <c r="AS205" s="121"/>
      <c r="AT205" s="135" t="e">
        <f t="shared" si="140"/>
        <v>#REF!</v>
      </c>
      <c r="AU205" s="148" t="e">
        <f t="shared" si="141"/>
        <v>#REF!</v>
      </c>
      <c r="AW205" s="1">
        <v>1</v>
      </c>
      <c r="BA205" s="29">
        <v>527.13</v>
      </c>
      <c r="BB205" s="29">
        <v>81.239999999999995</v>
      </c>
      <c r="BC205" s="29">
        <v>26.37</v>
      </c>
      <c r="BD205" s="29">
        <v>195.04</v>
      </c>
      <c r="BF205" s="279">
        <f t="shared" si="142"/>
        <v>642.01</v>
      </c>
      <c r="BI205" s="323">
        <v>8.52</v>
      </c>
      <c r="BL205" s="107">
        <f>$BA$397</f>
        <v>0.85901039294857251</v>
      </c>
      <c r="BM205" s="107">
        <f>$BB$397</f>
        <v>0.92206249128051765</v>
      </c>
      <c r="BN205" s="107">
        <f>$BC$397</f>
        <v>0.35749517965371247</v>
      </c>
      <c r="BO205" s="107">
        <f>$BD$397</f>
        <v>0.82972030812989472</v>
      </c>
    </row>
    <row r="206" spans="1:67" x14ac:dyDescent="0.25">
      <c r="A206" s="250" t="s">
        <v>379</v>
      </c>
      <c r="B206" s="227">
        <v>9</v>
      </c>
      <c r="C206" s="226">
        <f>'побудинковий звіт'!E193</f>
        <v>119.3</v>
      </c>
      <c r="D206" s="138">
        <f t="shared" si="122"/>
        <v>229.16679263082014</v>
      </c>
      <c r="E206" s="104">
        <f t="shared" si="116"/>
        <v>47.237459579657532</v>
      </c>
      <c r="F206" s="323">
        <v>43.38576756313018</v>
      </c>
      <c r="G206" s="104" t="e">
        <f t="shared" si="117"/>
        <v>#REF!</v>
      </c>
      <c r="H206" s="720">
        <f t="shared" si="123"/>
        <v>191.46305575968253</v>
      </c>
      <c r="I206" s="104" t="e">
        <f t="shared" si="124"/>
        <v>#REF!</v>
      </c>
      <c r="J206" s="28"/>
      <c r="K206" s="139" t="e">
        <f t="shared" si="125"/>
        <v>#REF!</v>
      </c>
      <c r="L206" s="200">
        <f t="shared" si="126"/>
        <v>37.454178395814623</v>
      </c>
      <c r="M206" s="104">
        <f t="shared" si="118"/>
        <v>8.2405906201186969</v>
      </c>
      <c r="N206" s="323">
        <v>36.799999999999997</v>
      </c>
      <c r="O206" s="104"/>
      <c r="P206" s="104">
        <f t="shared" si="127"/>
        <v>31.292018203454699</v>
      </c>
      <c r="Q206" s="104">
        <f t="shared" si="128"/>
        <v>14.645819929794099</v>
      </c>
      <c r="R206" s="104"/>
      <c r="S206" s="140">
        <f t="shared" si="129"/>
        <v>128.4326071491821</v>
      </c>
      <c r="T206" s="880">
        <v>263.10833333333335</v>
      </c>
      <c r="U206" s="104"/>
      <c r="V206" s="148">
        <f t="shared" si="130"/>
        <v>263.10833333333335</v>
      </c>
      <c r="W206" s="882">
        <v>58.358333333333334</v>
      </c>
      <c r="X206" s="104"/>
      <c r="Y206" s="45">
        <f t="shared" si="131"/>
        <v>58.358333333333334</v>
      </c>
      <c r="Z206" s="138">
        <f t="shared" si="132"/>
        <v>4.7153614196324671</v>
      </c>
      <c r="AA206" s="104">
        <f t="shared" si="119"/>
        <v>1.0364737650448457</v>
      </c>
      <c r="AB206" s="323">
        <v>40.099999999999994</v>
      </c>
      <c r="AC206" s="104"/>
      <c r="AD206" s="104">
        <f t="shared" si="133"/>
        <v>3.9395651352879688</v>
      </c>
      <c r="AE206" s="104">
        <f t="shared" si="134"/>
        <v>6.4087922768439842</v>
      </c>
      <c r="AF206" s="104"/>
      <c r="AG206" s="139">
        <f t="shared" si="135"/>
        <v>56.200192596809259</v>
      </c>
      <c r="AH206" s="200">
        <f t="shared" si="136"/>
        <v>60.528096478075824</v>
      </c>
      <c r="AI206" s="104">
        <f t="shared" si="120"/>
        <v>12.073278722210102</v>
      </c>
      <c r="AJ206" s="323">
        <v>18.578902523178559</v>
      </c>
      <c r="AK206" s="118" t="e">
        <f t="shared" si="121"/>
        <v>#REF!</v>
      </c>
      <c r="AL206" s="104"/>
      <c r="AM206" s="104">
        <f t="shared" si="137"/>
        <v>50.56969283363226</v>
      </c>
      <c r="AN206" s="104" t="e">
        <f t="shared" si="138"/>
        <v>#REF!</v>
      </c>
      <c r="AO206" s="104"/>
      <c r="AP206" s="140" t="e">
        <f t="shared" si="139"/>
        <v>#REF!</v>
      </c>
      <c r="AQ206" s="33"/>
      <c r="AR206" s="28"/>
      <c r="AS206" s="121"/>
      <c r="AT206" s="135" t="e">
        <f t="shared" si="140"/>
        <v>#REF!</v>
      </c>
      <c r="AU206" s="148" t="e">
        <f t="shared" si="141"/>
        <v>#REF!</v>
      </c>
      <c r="AW206" s="1">
        <v>1</v>
      </c>
      <c r="BA206" s="29">
        <v>266.77999999999997</v>
      </c>
      <c r="BB206" s="29">
        <v>40.619999999999997</v>
      </c>
      <c r="BC206" s="29">
        <v>13.19</v>
      </c>
      <c r="BD206" s="29">
        <v>72.95</v>
      </c>
      <c r="BF206" s="279">
        <f t="shared" si="142"/>
        <v>315.73</v>
      </c>
      <c r="BI206" s="323">
        <v>8.52</v>
      </c>
      <c r="BL206" s="107">
        <f>$BA$397</f>
        <v>0.85901039294857251</v>
      </c>
      <c r="BM206" s="107">
        <f>$BB$397</f>
        <v>0.92206249128051765</v>
      </c>
      <c r="BN206" s="107">
        <f>$BC$397</f>
        <v>0.35749517965371247</v>
      </c>
      <c r="BO206" s="107">
        <f>$BD$397</f>
        <v>0.82972030812989472</v>
      </c>
    </row>
    <row r="207" spans="1:67" x14ac:dyDescent="0.25">
      <c r="A207" s="250" t="s">
        <v>178</v>
      </c>
      <c r="B207" s="227">
        <v>2</v>
      </c>
      <c r="C207" s="226">
        <f>'побудинковий звіт'!E194</f>
        <v>182.8</v>
      </c>
      <c r="D207" s="138">
        <f t="shared" si="122"/>
        <v>103.28446216373897</v>
      </c>
      <c r="E207" s="104">
        <f t="shared" si="116"/>
        <v>21.289714581492706</v>
      </c>
      <c r="F207" s="323">
        <v>14.948962194233701</v>
      </c>
      <c r="G207" s="104" t="e">
        <f t="shared" si="117"/>
        <v>#REF!</v>
      </c>
      <c r="H207" s="720">
        <f t="shared" si="123"/>
        <v>86.291554336242243</v>
      </c>
      <c r="I207" s="104" t="e">
        <f t="shared" si="124"/>
        <v>#REF!</v>
      </c>
      <c r="J207" s="28"/>
      <c r="K207" s="139" t="e">
        <f t="shared" si="125"/>
        <v>#REF!</v>
      </c>
      <c r="L207" s="200">
        <f t="shared" si="126"/>
        <v>26.760619288716502</v>
      </c>
      <c r="M207" s="104">
        <f t="shared" si="118"/>
        <v>5.8878159325424528</v>
      </c>
      <c r="N207" s="323">
        <v>0</v>
      </c>
      <c r="O207" s="104"/>
      <c r="P207" s="104">
        <f t="shared" si="127"/>
        <v>22.357820189477543</v>
      </c>
      <c r="Q207" s="104">
        <f t="shared" si="128"/>
        <v>7.0800110579151827</v>
      </c>
      <c r="R207" s="104"/>
      <c r="S207" s="140">
        <f t="shared" si="129"/>
        <v>62.086266468651687</v>
      </c>
      <c r="T207" s="880">
        <v>75.366666666666674</v>
      </c>
      <c r="U207" s="104"/>
      <c r="V207" s="148">
        <f t="shared" si="130"/>
        <v>75.366666666666674</v>
      </c>
      <c r="W207" s="236"/>
      <c r="X207" s="104"/>
      <c r="Y207" s="45">
        <f t="shared" si="131"/>
        <v>0</v>
      </c>
      <c r="Z207" s="138">
        <f t="shared" si="132"/>
        <v>0</v>
      </c>
      <c r="AA207" s="104">
        <f t="shared" si="119"/>
        <v>0</v>
      </c>
      <c r="AB207" s="323">
        <v>0</v>
      </c>
      <c r="AC207" s="104"/>
      <c r="AD207" s="104">
        <f t="shared" si="133"/>
        <v>0</v>
      </c>
      <c r="AE207" s="104">
        <f t="shared" si="134"/>
        <v>0</v>
      </c>
      <c r="AF207" s="104"/>
      <c r="AG207" s="139">
        <f t="shared" si="135"/>
        <v>0</v>
      </c>
      <c r="AH207" s="200">
        <f t="shared" si="136"/>
        <v>37.960609890128943</v>
      </c>
      <c r="AI207" s="104">
        <f t="shared" si="120"/>
        <v>7.5718393661135277</v>
      </c>
      <c r="AJ207" s="323">
        <v>5.8692485768097136</v>
      </c>
      <c r="AK207" s="118" t="e">
        <f t="shared" si="121"/>
        <v>#REF!</v>
      </c>
      <c r="AL207" s="408"/>
      <c r="AM207" s="104">
        <f t="shared" si="137"/>
        <v>31.715128900782329</v>
      </c>
      <c r="AN207" s="104" t="e">
        <f t="shared" si="138"/>
        <v>#REF!</v>
      </c>
      <c r="AO207" s="104"/>
      <c r="AP207" s="140" t="e">
        <f t="shared" si="139"/>
        <v>#REF!</v>
      </c>
      <c r="AQ207" s="33"/>
      <c r="AR207" s="28"/>
      <c r="AS207" s="121"/>
      <c r="AT207" s="135" t="e">
        <f t="shared" si="140"/>
        <v>#REF!</v>
      </c>
      <c r="AU207" s="148" t="e">
        <f t="shared" si="141"/>
        <v>#REF!</v>
      </c>
      <c r="AW207" s="1">
        <v>2</v>
      </c>
      <c r="BA207" s="29">
        <v>94.17</v>
      </c>
      <c r="BB207" s="29">
        <v>24.05</v>
      </c>
      <c r="BC207" s="29">
        <v>0</v>
      </c>
      <c r="BD207" s="29">
        <v>36.61</v>
      </c>
      <c r="BF207" s="279">
        <f t="shared" si="142"/>
        <v>90.440000000000012</v>
      </c>
      <c r="BI207" s="323">
        <v>0</v>
      </c>
      <c r="BL207" s="107">
        <f>BA$398</f>
        <v>1.0967873225415627</v>
      </c>
      <c r="BM207" s="107">
        <f>BB$398</f>
        <v>1.1127076627324948</v>
      </c>
      <c r="BN207" s="107">
        <f>BC$398</f>
        <v>2.8314493742615632</v>
      </c>
      <c r="BO207" s="107">
        <f>BD$398</f>
        <v>1.036891829831438</v>
      </c>
    </row>
    <row r="208" spans="1:67" x14ac:dyDescent="0.25">
      <c r="A208" s="250" t="s">
        <v>380</v>
      </c>
      <c r="B208" s="227">
        <v>9</v>
      </c>
      <c r="C208" s="226">
        <f>'побудинковий звіт'!E195</f>
        <v>229</v>
      </c>
      <c r="D208" s="138">
        <f t="shared" si="122"/>
        <v>229.16679263082014</v>
      </c>
      <c r="E208" s="104">
        <f t="shared" si="116"/>
        <v>47.237459579657532</v>
      </c>
      <c r="F208" s="323">
        <v>43.275148503752604</v>
      </c>
      <c r="G208" s="104" t="e">
        <f t="shared" si="117"/>
        <v>#REF!</v>
      </c>
      <c r="H208" s="720">
        <f t="shared" si="123"/>
        <v>191.46305575968253</v>
      </c>
      <c r="I208" s="104" t="e">
        <f t="shared" si="124"/>
        <v>#REF!</v>
      </c>
      <c r="J208" s="28"/>
      <c r="K208" s="139" t="e">
        <f t="shared" si="125"/>
        <v>#REF!</v>
      </c>
      <c r="L208" s="200">
        <f t="shared" si="126"/>
        <v>37.454178395814623</v>
      </c>
      <c r="M208" s="104">
        <f t="shared" si="118"/>
        <v>8.2405906201186969</v>
      </c>
      <c r="N208" s="323">
        <v>18.399999999999999</v>
      </c>
      <c r="O208" s="104"/>
      <c r="P208" s="104">
        <f t="shared" si="127"/>
        <v>31.292018203454699</v>
      </c>
      <c r="Q208" s="104">
        <f t="shared" si="128"/>
        <v>12.277503772061028</v>
      </c>
      <c r="R208" s="104"/>
      <c r="S208" s="140">
        <f t="shared" si="129"/>
        <v>107.66429099144904</v>
      </c>
      <c r="T208" s="880">
        <v>258.72500000000002</v>
      </c>
      <c r="U208" s="104"/>
      <c r="V208" s="148">
        <f t="shared" si="130"/>
        <v>258.72500000000002</v>
      </c>
      <c r="W208" s="882">
        <v>58.116666666666667</v>
      </c>
      <c r="X208" s="104"/>
      <c r="Y208" s="45">
        <f t="shared" si="131"/>
        <v>58.116666666666667</v>
      </c>
      <c r="Z208" s="138">
        <f t="shared" si="132"/>
        <v>4.7153614196324671</v>
      </c>
      <c r="AA208" s="104">
        <f t="shared" si="119"/>
        <v>1.0364737650448457</v>
      </c>
      <c r="AB208" s="323">
        <v>40.099999999999994</v>
      </c>
      <c r="AC208" s="104"/>
      <c r="AD208" s="104">
        <f t="shared" si="133"/>
        <v>3.9395651352879688</v>
      </c>
      <c r="AE208" s="104">
        <f t="shared" si="134"/>
        <v>6.4087922768439842</v>
      </c>
      <c r="AF208" s="104"/>
      <c r="AG208" s="139">
        <f t="shared" si="135"/>
        <v>56.200192596809259</v>
      </c>
      <c r="AH208" s="200">
        <f t="shared" si="136"/>
        <v>60.528096478075824</v>
      </c>
      <c r="AI208" s="104">
        <f t="shared" si="120"/>
        <v>12.073278722210102</v>
      </c>
      <c r="AJ208" s="323">
        <v>18.531532594355909</v>
      </c>
      <c r="AK208" s="118" t="e">
        <f t="shared" si="121"/>
        <v>#REF!</v>
      </c>
      <c r="AL208" s="104"/>
      <c r="AM208" s="104">
        <f t="shared" si="137"/>
        <v>50.56969283363226</v>
      </c>
      <c r="AN208" s="104" t="e">
        <f t="shared" si="138"/>
        <v>#REF!</v>
      </c>
      <c r="AO208" s="104"/>
      <c r="AP208" s="140" t="e">
        <f t="shared" si="139"/>
        <v>#REF!</v>
      </c>
      <c r="AQ208" s="33"/>
      <c r="AR208" s="28"/>
      <c r="AS208" s="121"/>
      <c r="AT208" s="135" t="e">
        <f t="shared" si="140"/>
        <v>#REF!</v>
      </c>
      <c r="AU208" s="148" t="e">
        <f t="shared" si="141"/>
        <v>#REF!</v>
      </c>
      <c r="AW208" s="1">
        <v>1</v>
      </c>
      <c r="BA208" s="29">
        <v>266.77999999999997</v>
      </c>
      <c r="BB208" s="29">
        <v>40.619999999999997</v>
      </c>
      <c r="BC208" s="29">
        <v>13.19</v>
      </c>
      <c r="BD208" s="29">
        <v>72.95</v>
      </c>
      <c r="BF208" s="279">
        <f t="shared" si="142"/>
        <v>310.47000000000003</v>
      </c>
      <c r="BI208" s="323">
        <v>8.52</v>
      </c>
      <c r="BL208" s="107">
        <f t="shared" ref="BL208:BL216" si="143">$BA$397</f>
        <v>0.85901039294857251</v>
      </c>
      <c r="BM208" s="107">
        <f t="shared" ref="BM208:BM216" si="144">$BB$397</f>
        <v>0.92206249128051765</v>
      </c>
      <c r="BN208" s="107">
        <f t="shared" ref="BN208:BN216" si="145">$BC$397</f>
        <v>0.35749517965371247</v>
      </c>
      <c r="BO208" s="107">
        <f t="shared" ref="BO208:BO216" si="146">$BD$397</f>
        <v>0.82972030812989472</v>
      </c>
    </row>
    <row r="209" spans="1:67" x14ac:dyDescent="0.25">
      <c r="A209" s="250" t="s">
        <v>381</v>
      </c>
      <c r="B209" s="227">
        <v>9</v>
      </c>
      <c r="C209" s="226">
        <f>'побудинковий звіт'!E196</f>
        <v>144.5</v>
      </c>
      <c r="D209" s="138">
        <f t="shared" si="122"/>
        <v>451.13507816873124</v>
      </c>
      <c r="E209" s="104">
        <f t="shared" si="116"/>
        <v>92.991112609807871</v>
      </c>
      <c r="F209" s="323">
        <v>88.128543294229132</v>
      </c>
      <c r="G209" s="104" t="e">
        <f t="shared" si="117"/>
        <v>#REF!</v>
      </c>
      <c r="H209" s="720">
        <f t="shared" si="123"/>
        <v>376.9119410145816</v>
      </c>
      <c r="I209" s="104" t="e">
        <f t="shared" si="124"/>
        <v>#REF!</v>
      </c>
      <c r="J209" s="28"/>
      <c r="K209" s="139" t="e">
        <f t="shared" si="125"/>
        <v>#REF!</v>
      </c>
      <c r="L209" s="200">
        <f t="shared" si="126"/>
        <v>74.908356791629245</v>
      </c>
      <c r="M209" s="104">
        <f t="shared" si="118"/>
        <v>16.481181240237394</v>
      </c>
      <c r="N209" s="323">
        <v>36.799999999999997</v>
      </c>
      <c r="O209" s="104"/>
      <c r="P209" s="104">
        <f t="shared" si="127"/>
        <v>62.584036406909398</v>
      </c>
      <c r="Q209" s="104">
        <f t="shared" si="128"/>
        <v>24.555007544122056</v>
      </c>
      <c r="R209" s="104"/>
      <c r="S209" s="140">
        <f t="shared" si="129"/>
        <v>215.32858198289807</v>
      </c>
      <c r="T209" s="880">
        <v>542.625</v>
      </c>
      <c r="U209" s="104"/>
      <c r="V209" s="148">
        <f t="shared" si="130"/>
        <v>542.625</v>
      </c>
      <c r="W209" s="882">
        <v>117.24166666666667</v>
      </c>
      <c r="X209" s="104"/>
      <c r="Y209" s="45">
        <f t="shared" si="131"/>
        <v>117.24166666666667</v>
      </c>
      <c r="Z209" s="138">
        <f t="shared" si="132"/>
        <v>9.4271478874683989</v>
      </c>
      <c r="AA209" s="104">
        <f t="shared" si="119"/>
        <v>2.0721617273868529</v>
      </c>
      <c r="AB209" s="323">
        <v>43.4</v>
      </c>
      <c r="AC209" s="104"/>
      <c r="AD209" s="104">
        <f t="shared" si="133"/>
        <v>7.8761434888206034</v>
      </c>
      <c r="AE209" s="104">
        <f t="shared" si="134"/>
        <v>8.0800065160027241</v>
      </c>
      <c r="AF209" s="104"/>
      <c r="AG209" s="139">
        <f t="shared" si="135"/>
        <v>70.85545961967857</v>
      </c>
      <c r="AH209" s="200">
        <f t="shared" si="136"/>
        <v>171.12151634870949</v>
      </c>
      <c r="AI209" s="104">
        <f t="shared" si="120"/>
        <v>34.132871880309956</v>
      </c>
      <c r="AJ209" s="323">
        <v>37.738910876492866</v>
      </c>
      <c r="AK209" s="118" t="e">
        <f t="shared" si="121"/>
        <v>#REF!</v>
      </c>
      <c r="AL209" s="104"/>
      <c r="AM209" s="104">
        <f t="shared" si="137"/>
        <v>142.96769636748891</v>
      </c>
      <c r="AN209" s="104" t="e">
        <f t="shared" si="138"/>
        <v>#REF!</v>
      </c>
      <c r="AO209" s="104"/>
      <c r="AP209" s="140" t="e">
        <f t="shared" si="139"/>
        <v>#REF!</v>
      </c>
      <c r="AQ209" s="33"/>
      <c r="AR209" s="28"/>
      <c r="AS209" s="121"/>
      <c r="AT209" s="135" t="e">
        <f t="shared" si="140"/>
        <v>#REF!</v>
      </c>
      <c r="AU209" s="148" t="e">
        <f t="shared" si="141"/>
        <v>#REF!</v>
      </c>
      <c r="AW209" s="1">
        <v>1</v>
      </c>
      <c r="BA209" s="29">
        <v>525.17999999999995</v>
      </c>
      <c r="BB209" s="29">
        <v>81.239999999999995</v>
      </c>
      <c r="BC209" s="29">
        <v>26.37</v>
      </c>
      <c r="BD209" s="29">
        <v>206.24</v>
      </c>
      <c r="BF209" s="279">
        <f t="shared" si="142"/>
        <v>651.15</v>
      </c>
      <c r="BI209" s="323">
        <v>8.52</v>
      </c>
      <c r="BL209" s="107">
        <f t="shared" si="143"/>
        <v>0.85901039294857251</v>
      </c>
      <c r="BM209" s="107">
        <f t="shared" si="144"/>
        <v>0.92206249128051765</v>
      </c>
      <c r="BN209" s="107">
        <f t="shared" si="145"/>
        <v>0.35749517965371247</v>
      </c>
      <c r="BO209" s="107">
        <f t="shared" si="146"/>
        <v>0.82972030812989472</v>
      </c>
    </row>
    <row r="210" spans="1:67" x14ac:dyDescent="0.25">
      <c r="A210" s="250" t="s">
        <v>382</v>
      </c>
      <c r="B210" s="227">
        <v>9</v>
      </c>
      <c r="C210" s="226">
        <f>'побудинковий звіт'!E197</f>
        <v>393</v>
      </c>
      <c r="D210" s="138">
        <f t="shared" si="122"/>
        <v>229.16679263082014</v>
      </c>
      <c r="E210" s="104">
        <f t="shared" si="116"/>
        <v>47.237459579657532</v>
      </c>
      <c r="F210" s="323">
        <v>43.198160880009972</v>
      </c>
      <c r="G210" s="104" t="e">
        <f t="shared" si="117"/>
        <v>#REF!</v>
      </c>
      <c r="H210" s="720">
        <f t="shared" si="123"/>
        <v>191.46305575968253</v>
      </c>
      <c r="I210" s="104" t="e">
        <f t="shared" si="124"/>
        <v>#REF!</v>
      </c>
      <c r="J210" s="28"/>
      <c r="K210" s="139" t="e">
        <f t="shared" si="125"/>
        <v>#REF!</v>
      </c>
      <c r="L210" s="200">
        <f t="shared" si="126"/>
        <v>37.454178395814623</v>
      </c>
      <c r="M210" s="104">
        <f t="shared" si="118"/>
        <v>8.2405906201186969</v>
      </c>
      <c r="N210" s="323">
        <v>0</v>
      </c>
      <c r="O210" s="104"/>
      <c r="P210" s="104">
        <f t="shared" si="127"/>
        <v>31.292018203454699</v>
      </c>
      <c r="Q210" s="104">
        <f t="shared" si="128"/>
        <v>9.9091876143279585</v>
      </c>
      <c r="R210" s="104"/>
      <c r="S210" s="140">
        <f t="shared" si="129"/>
        <v>86.895974833715982</v>
      </c>
      <c r="T210" s="880">
        <v>263.78333333333336</v>
      </c>
      <c r="U210" s="104"/>
      <c r="V210" s="148">
        <f t="shared" si="130"/>
        <v>263.78333333333336</v>
      </c>
      <c r="W210" s="882">
        <v>58.108333333333341</v>
      </c>
      <c r="X210" s="104"/>
      <c r="Y210" s="45">
        <f t="shared" si="131"/>
        <v>58.108333333333341</v>
      </c>
      <c r="Z210" s="138">
        <f t="shared" si="132"/>
        <v>4.7153614196324671</v>
      </c>
      <c r="AA210" s="104">
        <f t="shared" si="119"/>
        <v>1.0364737650448457</v>
      </c>
      <c r="AB210" s="323">
        <v>0</v>
      </c>
      <c r="AC210" s="104"/>
      <c r="AD210" s="104">
        <f t="shared" si="133"/>
        <v>3.9395651352879688</v>
      </c>
      <c r="AE210" s="104">
        <f t="shared" si="134"/>
        <v>1.2474076070018056</v>
      </c>
      <c r="AF210" s="104"/>
      <c r="AG210" s="139">
        <f t="shared" si="135"/>
        <v>10.938807926967089</v>
      </c>
      <c r="AH210" s="200">
        <f t="shared" si="136"/>
        <v>60.528096478075824</v>
      </c>
      <c r="AI210" s="104">
        <f t="shared" si="120"/>
        <v>12.073278722210102</v>
      </c>
      <c r="AJ210" s="323">
        <v>18.498564512025123</v>
      </c>
      <c r="AK210" s="118" t="e">
        <f t="shared" si="121"/>
        <v>#REF!</v>
      </c>
      <c r="AL210" s="104"/>
      <c r="AM210" s="104">
        <f t="shared" si="137"/>
        <v>50.56969283363226</v>
      </c>
      <c r="AN210" s="104" t="e">
        <f t="shared" si="138"/>
        <v>#REF!</v>
      </c>
      <c r="AO210" s="104"/>
      <c r="AP210" s="140" t="e">
        <f t="shared" si="139"/>
        <v>#REF!</v>
      </c>
      <c r="AQ210" s="33"/>
      <c r="AR210" s="28"/>
      <c r="AS210" s="121"/>
      <c r="AT210" s="135" t="e">
        <f t="shared" si="140"/>
        <v>#REF!</v>
      </c>
      <c r="AU210" s="148" t="e">
        <f t="shared" si="141"/>
        <v>#REF!</v>
      </c>
      <c r="AW210" s="1">
        <v>1</v>
      </c>
      <c r="BA210" s="29">
        <v>266.77999999999997</v>
      </c>
      <c r="BB210" s="29">
        <v>40.619999999999997</v>
      </c>
      <c r="BC210" s="29">
        <v>13.19</v>
      </c>
      <c r="BD210" s="29">
        <v>72.95</v>
      </c>
      <c r="BF210" s="279">
        <f t="shared" si="142"/>
        <v>316.54000000000002</v>
      </c>
      <c r="BI210" s="323">
        <v>8.52</v>
      </c>
      <c r="BL210" s="107">
        <f t="shared" si="143"/>
        <v>0.85901039294857251</v>
      </c>
      <c r="BM210" s="107">
        <f t="shared" si="144"/>
        <v>0.92206249128051765</v>
      </c>
      <c r="BN210" s="107">
        <f t="shared" si="145"/>
        <v>0.35749517965371247</v>
      </c>
      <c r="BO210" s="107">
        <f t="shared" si="146"/>
        <v>0.82972030812989472</v>
      </c>
    </row>
    <row r="211" spans="1:67" x14ac:dyDescent="0.25">
      <c r="A211" s="424" t="s">
        <v>122</v>
      </c>
      <c r="B211" s="228">
        <v>1</v>
      </c>
      <c r="C211" s="226">
        <f>'побудинковий звіт'!E198</f>
        <v>4524.34</v>
      </c>
      <c r="D211" s="138">
        <f t="shared" si="122"/>
        <v>0</v>
      </c>
      <c r="E211" s="104">
        <f t="shared" si="116"/>
        <v>0</v>
      </c>
      <c r="F211" s="323">
        <v>0</v>
      </c>
      <c r="G211" s="104" t="e">
        <f t="shared" si="117"/>
        <v>#REF!</v>
      </c>
      <c r="H211" s="720">
        <f t="shared" si="123"/>
        <v>0</v>
      </c>
      <c r="I211" s="104" t="e">
        <f t="shared" si="124"/>
        <v>#REF!</v>
      </c>
      <c r="J211" s="28"/>
      <c r="K211" s="139" t="e">
        <f t="shared" si="125"/>
        <v>#REF!</v>
      </c>
      <c r="L211" s="200">
        <f t="shared" si="126"/>
        <v>0</v>
      </c>
      <c r="M211" s="104">
        <f t="shared" si="118"/>
        <v>0</v>
      </c>
      <c r="N211" s="323">
        <v>0</v>
      </c>
      <c r="O211" s="104"/>
      <c r="P211" s="104">
        <f t="shared" si="127"/>
        <v>0</v>
      </c>
      <c r="Q211" s="104">
        <f t="shared" si="128"/>
        <v>0</v>
      </c>
      <c r="R211" s="104"/>
      <c r="S211" s="140">
        <f t="shared" si="129"/>
        <v>0</v>
      </c>
      <c r="T211" s="235"/>
      <c r="U211" s="104"/>
      <c r="V211" s="148">
        <f t="shared" si="130"/>
        <v>0</v>
      </c>
      <c r="W211" s="236"/>
      <c r="X211" s="104"/>
      <c r="Y211" s="45">
        <f t="shared" si="131"/>
        <v>0</v>
      </c>
      <c r="Z211" s="138">
        <f t="shared" si="132"/>
        <v>0</v>
      </c>
      <c r="AA211" s="104">
        <f t="shared" si="119"/>
        <v>0</v>
      </c>
      <c r="AB211" s="323">
        <v>0</v>
      </c>
      <c r="AC211" s="104"/>
      <c r="AD211" s="104">
        <f t="shared" si="133"/>
        <v>0</v>
      </c>
      <c r="AE211" s="104">
        <f t="shared" si="134"/>
        <v>0</v>
      </c>
      <c r="AF211" s="104"/>
      <c r="AG211" s="139">
        <f t="shared" si="135"/>
        <v>0</v>
      </c>
      <c r="AH211" s="200">
        <f t="shared" si="136"/>
        <v>0</v>
      </c>
      <c r="AI211" s="104">
        <f t="shared" si="120"/>
        <v>0</v>
      </c>
      <c r="AJ211" s="323">
        <v>0</v>
      </c>
      <c r="AK211" s="118" t="e">
        <f t="shared" si="121"/>
        <v>#REF!</v>
      </c>
      <c r="AL211" s="104"/>
      <c r="AM211" s="104">
        <f t="shared" si="137"/>
        <v>0</v>
      </c>
      <c r="AN211" s="104" t="e">
        <f t="shared" si="138"/>
        <v>#REF!</v>
      </c>
      <c r="AO211" s="104"/>
      <c r="AP211" s="140" t="e">
        <f t="shared" si="139"/>
        <v>#REF!</v>
      </c>
      <c r="AQ211" s="33"/>
      <c r="AR211" s="28"/>
      <c r="AS211" s="121"/>
      <c r="AT211" s="135">
        <f t="shared" si="140"/>
        <v>0</v>
      </c>
      <c r="AU211" s="148" t="e">
        <f t="shared" si="141"/>
        <v>#REF!</v>
      </c>
      <c r="AW211" s="1">
        <v>1</v>
      </c>
      <c r="BA211" s="29">
        <v>0</v>
      </c>
      <c r="BB211" s="29">
        <v>0</v>
      </c>
      <c r="BC211" s="29">
        <v>0</v>
      </c>
      <c r="BD211" s="29">
        <v>0</v>
      </c>
      <c r="BI211" s="323">
        <v>0</v>
      </c>
      <c r="BL211" s="107">
        <f t="shared" si="143"/>
        <v>0.85901039294857251</v>
      </c>
      <c r="BM211" s="107">
        <f t="shared" si="144"/>
        <v>0.92206249128051765</v>
      </c>
      <c r="BN211" s="107">
        <f t="shared" si="145"/>
        <v>0.35749517965371247</v>
      </c>
      <c r="BO211" s="107">
        <f t="shared" si="146"/>
        <v>0.82972030812989472</v>
      </c>
    </row>
    <row r="212" spans="1:67" x14ac:dyDescent="0.25">
      <c r="A212" s="424" t="s">
        <v>123</v>
      </c>
      <c r="B212" s="228">
        <v>1</v>
      </c>
      <c r="C212" s="226">
        <f>'побудинковий звіт'!E199</f>
        <v>6314.18</v>
      </c>
      <c r="D212" s="138">
        <f t="shared" si="122"/>
        <v>0</v>
      </c>
      <c r="E212" s="104">
        <f t="shared" si="116"/>
        <v>0</v>
      </c>
      <c r="F212" s="323">
        <v>0</v>
      </c>
      <c r="G212" s="104" t="e">
        <f t="shared" si="117"/>
        <v>#REF!</v>
      </c>
      <c r="H212" s="720">
        <f t="shared" si="123"/>
        <v>0</v>
      </c>
      <c r="I212" s="104" t="e">
        <f t="shared" si="124"/>
        <v>#REF!</v>
      </c>
      <c r="J212" s="28"/>
      <c r="K212" s="139" t="e">
        <f t="shared" si="125"/>
        <v>#REF!</v>
      </c>
      <c r="L212" s="200">
        <f t="shared" si="126"/>
        <v>0</v>
      </c>
      <c r="M212" s="104">
        <f t="shared" si="118"/>
        <v>0</v>
      </c>
      <c r="N212" s="323">
        <v>0</v>
      </c>
      <c r="O212" s="104"/>
      <c r="P212" s="104">
        <f t="shared" si="127"/>
        <v>0</v>
      </c>
      <c r="Q212" s="104">
        <f t="shared" si="128"/>
        <v>0</v>
      </c>
      <c r="R212" s="104"/>
      <c r="S212" s="140">
        <f t="shared" si="129"/>
        <v>0</v>
      </c>
      <c r="T212" s="235"/>
      <c r="U212" s="104"/>
      <c r="V212" s="148">
        <f t="shared" si="130"/>
        <v>0</v>
      </c>
      <c r="W212" s="236"/>
      <c r="X212" s="104"/>
      <c r="Y212" s="45">
        <f t="shared" si="131"/>
        <v>0</v>
      </c>
      <c r="Z212" s="138">
        <f t="shared" si="132"/>
        <v>0</v>
      </c>
      <c r="AA212" s="104">
        <f t="shared" si="119"/>
        <v>0</v>
      </c>
      <c r="AB212" s="323">
        <v>0</v>
      </c>
      <c r="AC212" s="104"/>
      <c r="AD212" s="104">
        <f t="shared" si="133"/>
        <v>0</v>
      </c>
      <c r="AE212" s="104">
        <f t="shared" si="134"/>
        <v>0</v>
      </c>
      <c r="AF212" s="104"/>
      <c r="AG212" s="139">
        <f t="shared" si="135"/>
        <v>0</v>
      </c>
      <c r="AH212" s="200">
        <f t="shared" si="136"/>
        <v>0</v>
      </c>
      <c r="AI212" s="104">
        <f t="shared" si="120"/>
        <v>0</v>
      </c>
      <c r="AJ212" s="323">
        <v>0</v>
      </c>
      <c r="AK212" s="118" t="e">
        <f t="shared" si="121"/>
        <v>#REF!</v>
      </c>
      <c r="AL212" s="104"/>
      <c r="AM212" s="104">
        <f t="shared" si="137"/>
        <v>0</v>
      </c>
      <c r="AN212" s="104" t="e">
        <f t="shared" si="138"/>
        <v>#REF!</v>
      </c>
      <c r="AO212" s="104"/>
      <c r="AP212" s="140" t="e">
        <f t="shared" si="139"/>
        <v>#REF!</v>
      </c>
      <c r="AQ212" s="33"/>
      <c r="AR212" s="28"/>
      <c r="AS212" s="121"/>
      <c r="AT212" s="135">
        <f t="shared" si="140"/>
        <v>0</v>
      </c>
      <c r="AU212" s="148" t="e">
        <f t="shared" si="141"/>
        <v>#REF!</v>
      </c>
      <c r="AW212" s="1">
        <v>1</v>
      </c>
      <c r="BA212" s="29">
        <v>0</v>
      </c>
      <c r="BB212" s="29">
        <v>0</v>
      </c>
      <c r="BC212" s="29">
        <v>0</v>
      </c>
      <c r="BD212" s="29">
        <v>0</v>
      </c>
      <c r="BI212" s="323">
        <v>0</v>
      </c>
      <c r="BL212" s="107">
        <f t="shared" si="143"/>
        <v>0.85901039294857251</v>
      </c>
      <c r="BM212" s="107">
        <f t="shared" si="144"/>
        <v>0.92206249128051765</v>
      </c>
      <c r="BN212" s="107">
        <f t="shared" si="145"/>
        <v>0.35749517965371247</v>
      </c>
      <c r="BO212" s="107">
        <f t="shared" si="146"/>
        <v>0.82972030812989472</v>
      </c>
    </row>
    <row r="213" spans="1:67" x14ac:dyDescent="0.25">
      <c r="A213" s="250" t="s">
        <v>421</v>
      </c>
      <c r="B213" s="227">
        <v>10</v>
      </c>
      <c r="C213" s="226">
        <f>'побудинковий звіт'!E200</f>
        <v>2743.8</v>
      </c>
      <c r="D213" s="138">
        <f t="shared" si="122"/>
        <v>721.64604101216628</v>
      </c>
      <c r="E213" s="104">
        <f t="shared" si="116"/>
        <v>148.75072126199302</v>
      </c>
      <c r="F213" s="323">
        <v>136.62284489070259</v>
      </c>
      <c r="G213" s="104" t="e">
        <f t="shared" si="117"/>
        <v>#REF!</v>
      </c>
      <c r="H213" s="720">
        <f t="shared" si="123"/>
        <v>602.91700469732257</v>
      </c>
      <c r="I213" s="104" t="e">
        <f t="shared" si="124"/>
        <v>#REF!</v>
      </c>
      <c r="J213" s="28"/>
      <c r="K213" s="139" t="e">
        <f t="shared" si="125"/>
        <v>#REF!</v>
      </c>
      <c r="L213" s="200">
        <f t="shared" si="126"/>
        <v>121.89666134728442</v>
      </c>
      <c r="M213" s="104">
        <f t="shared" si="118"/>
        <v>26.819450516486746</v>
      </c>
      <c r="N213" s="323">
        <v>0</v>
      </c>
      <c r="O213" s="104"/>
      <c r="P213" s="104">
        <f t="shared" si="127"/>
        <v>101.84157573847148</v>
      </c>
      <c r="Q213" s="104">
        <f t="shared" si="128"/>
        <v>32.249990216990554</v>
      </c>
      <c r="R213" s="104"/>
      <c r="S213" s="140">
        <f t="shared" si="129"/>
        <v>282.80767781923322</v>
      </c>
      <c r="T213" s="880">
        <v>808.22500000000002</v>
      </c>
      <c r="U213" s="104"/>
      <c r="V213" s="148">
        <f t="shared" si="130"/>
        <v>808.22500000000002</v>
      </c>
      <c r="W213" s="882">
        <v>175.80833333333334</v>
      </c>
      <c r="X213" s="104"/>
      <c r="Y213" s="45">
        <f t="shared" si="131"/>
        <v>175.80833333333334</v>
      </c>
      <c r="Z213" s="138">
        <f t="shared" si="132"/>
        <v>15.107746292165888</v>
      </c>
      <c r="AA213" s="104">
        <f t="shared" si="119"/>
        <v>3.32080222219827</v>
      </c>
      <c r="AB213" s="323">
        <v>0</v>
      </c>
      <c r="AC213" s="104"/>
      <c r="AD213" s="104">
        <f t="shared" si="133"/>
        <v>12.622139698049248</v>
      </c>
      <c r="AE213" s="104">
        <f t="shared" si="134"/>
        <v>3.9966220979451328</v>
      </c>
      <c r="AF213" s="104"/>
      <c r="AG213" s="139">
        <f t="shared" si="135"/>
        <v>35.04731031035854</v>
      </c>
      <c r="AH213" s="200">
        <f t="shared" si="136"/>
        <v>273.06925060862966</v>
      </c>
      <c r="AI213" s="104">
        <f t="shared" si="120"/>
        <v>54.4679473648604</v>
      </c>
      <c r="AJ213" s="323">
        <v>58.505419178541679</v>
      </c>
      <c r="AK213" s="118" t="e">
        <f t="shared" si="121"/>
        <v>#REF!</v>
      </c>
      <c r="AL213" s="408"/>
      <c r="AM213" s="104">
        <f t="shared" si="137"/>
        <v>228.1424483684265</v>
      </c>
      <c r="AN213" s="104" t="e">
        <f t="shared" si="138"/>
        <v>#REF!</v>
      </c>
      <c r="AO213" s="104"/>
      <c r="AP213" s="140" t="e">
        <f t="shared" si="139"/>
        <v>#REF!</v>
      </c>
      <c r="AQ213" s="33"/>
      <c r="AR213" s="28"/>
      <c r="AS213" s="121"/>
      <c r="AT213" s="135" t="e">
        <f t="shared" si="140"/>
        <v>#REF!</v>
      </c>
      <c r="AU213" s="148" t="e">
        <f t="shared" si="141"/>
        <v>#REF!</v>
      </c>
      <c r="AW213" s="1">
        <v>1</v>
      </c>
      <c r="BA213" s="29">
        <v>840.09</v>
      </c>
      <c r="BB213" s="29">
        <v>132.19999999999999</v>
      </c>
      <c r="BC213" s="29">
        <v>42.26</v>
      </c>
      <c r="BD213" s="29">
        <v>329.11</v>
      </c>
      <c r="BF213" s="279">
        <f>T213*1.2</f>
        <v>969.87</v>
      </c>
      <c r="BI213" s="323">
        <v>8.52</v>
      </c>
      <c r="BL213" s="107">
        <f t="shared" si="143"/>
        <v>0.85901039294857251</v>
      </c>
      <c r="BM213" s="107">
        <f t="shared" si="144"/>
        <v>0.92206249128051765</v>
      </c>
      <c r="BN213" s="107">
        <f t="shared" si="145"/>
        <v>0.35749517965371247</v>
      </c>
      <c r="BO213" s="107">
        <f t="shared" si="146"/>
        <v>0.82972030812989472</v>
      </c>
    </row>
    <row r="214" spans="1:67" x14ac:dyDescent="0.25">
      <c r="A214" s="250" t="s">
        <v>268</v>
      </c>
      <c r="B214" s="227">
        <v>5</v>
      </c>
      <c r="C214" s="226">
        <f>'побудинковий звіт'!E201</f>
        <v>6142.18</v>
      </c>
      <c r="D214" s="138">
        <f t="shared" si="122"/>
        <v>322.88482650150945</v>
      </c>
      <c r="E214" s="104">
        <f t="shared" si="116"/>
        <v>66.555275158563902</v>
      </c>
      <c r="F214" s="323">
        <v>66.195174487973262</v>
      </c>
      <c r="G214" s="104" t="e">
        <f t="shared" si="117"/>
        <v>#REF!</v>
      </c>
      <c r="H214" s="720">
        <f t="shared" si="123"/>
        <v>269.76210135298555</v>
      </c>
      <c r="I214" s="104" t="e">
        <f t="shared" si="124"/>
        <v>#REF!</v>
      </c>
      <c r="J214" s="28"/>
      <c r="K214" s="139" t="e">
        <f t="shared" si="125"/>
        <v>#REF!</v>
      </c>
      <c r="L214" s="200">
        <f t="shared" si="126"/>
        <v>72.981246184852978</v>
      </c>
      <c r="M214" s="104">
        <f t="shared" si="118"/>
        <v>16.057182362934391</v>
      </c>
      <c r="N214" s="323">
        <v>0</v>
      </c>
      <c r="O214" s="104"/>
      <c r="P214" s="104">
        <f t="shared" si="127"/>
        <v>60.97398426399409</v>
      </c>
      <c r="Q214" s="104">
        <f t="shared" si="128"/>
        <v>19.308522887101379</v>
      </c>
      <c r="R214" s="104"/>
      <c r="S214" s="140">
        <f t="shared" si="129"/>
        <v>169.32093569888283</v>
      </c>
      <c r="T214" s="880">
        <v>452.35000000000008</v>
      </c>
      <c r="U214" s="104"/>
      <c r="V214" s="148">
        <f t="shared" si="130"/>
        <v>452.35000000000008</v>
      </c>
      <c r="W214" s="882">
        <v>88.991666666666674</v>
      </c>
      <c r="X214" s="104"/>
      <c r="Y214" s="45">
        <f t="shared" si="131"/>
        <v>88.991666666666674</v>
      </c>
      <c r="Z214" s="138">
        <f t="shared" si="132"/>
        <v>8.572734408096025</v>
      </c>
      <c r="AA214" s="104">
        <f t="shared" si="119"/>
        <v>1.8843548814082944</v>
      </c>
      <c r="AB214" s="323">
        <v>0</v>
      </c>
      <c r="AC214" s="104"/>
      <c r="AD214" s="104">
        <f t="shared" si="133"/>
        <v>7.1623026492953379</v>
      </c>
      <c r="AE214" s="104">
        <f t="shared" si="134"/>
        <v>2.2678418814179908</v>
      </c>
      <c r="AF214" s="104"/>
      <c r="AG214" s="139">
        <f t="shared" si="135"/>
        <v>19.887233820217649</v>
      </c>
      <c r="AH214" s="200">
        <f t="shared" si="136"/>
        <v>209.79477991064388</v>
      </c>
      <c r="AI214" s="104">
        <f t="shared" si="120"/>
        <v>41.846861205083265</v>
      </c>
      <c r="AJ214" s="323">
        <v>28.346477736675595</v>
      </c>
      <c r="AK214" s="118" t="e">
        <f t="shared" si="121"/>
        <v>#REF!</v>
      </c>
      <c r="AL214" s="104"/>
      <c r="AM214" s="104">
        <f t="shared" si="137"/>
        <v>175.27822937606464</v>
      </c>
      <c r="AN214" s="104" t="e">
        <f t="shared" si="138"/>
        <v>#REF!</v>
      </c>
      <c r="AO214" s="104"/>
      <c r="AP214" s="140" t="e">
        <f t="shared" si="139"/>
        <v>#REF!</v>
      </c>
      <c r="AQ214" s="33"/>
      <c r="AR214" s="28"/>
      <c r="AS214" s="121"/>
      <c r="AT214" s="135" t="e">
        <f t="shared" si="140"/>
        <v>#REF!</v>
      </c>
      <c r="AU214" s="148" t="e">
        <f t="shared" si="141"/>
        <v>#REF!</v>
      </c>
      <c r="AW214" s="1">
        <v>1</v>
      </c>
      <c r="BA214" s="29">
        <v>375.88</v>
      </c>
      <c r="BB214" s="29">
        <v>79.150000000000006</v>
      </c>
      <c r="BC214" s="29">
        <v>23.98</v>
      </c>
      <c r="BD214" s="29">
        <v>252.85</v>
      </c>
      <c r="BF214" s="279">
        <f t="shared" ref="BF214:BF222" si="147">T214*1.2</f>
        <v>542.82000000000005</v>
      </c>
      <c r="BI214" s="323">
        <v>0</v>
      </c>
      <c r="BL214" s="107">
        <f t="shared" si="143"/>
        <v>0.85901039294857251</v>
      </c>
      <c r="BM214" s="107">
        <f t="shared" si="144"/>
        <v>0.92206249128051765</v>
      </c>
      <c r="BN214" s="107">
        <f t="shared" si="145"/>
        <v>0.35749517965371247</v>
      </c>
      <c r="BO214" s="107">
        <f t="shared" si="146"/>
        <v>0.82972030812989472</v>
      </c>
    </row>
    <row r="215" spans="1:67" x14ac:dyDescent="0.25">
      <c r="A215" s="250" t="s">
        <v>383</v>
      </c>
      <c r="B215" s="227">
        <v>9</v>
      </c>
      <c r="C215" s="226">
        <f>'побудинковий звіт'!E202</f>
        <v>6313.36</v>
      </c>
      <c r="D215" s="138">
        <f t="shared" si="122"/>
        <v>488.56216098950063</v>
      </c>
      <c r="E215" s="104">
        <f t="shared" si="116"/>
        <v>100.70584427592108</v>
      </c>
      <c r="F215" s="323">
        <v>133.8308279359731</v>
      </c>
      <c r="G215" s="104" t="e">
        <f t="shared" si="117"/>
        <v>#REF!</v>
      </c>
      <c r="H215" s="720">
        <f t="shared" si="123"/>
        <v>408.18132155078888</v>
      </c>
      <c r="I215" s="104" t="e">
        <f t="shared" si="124"/>
        <v>#REF!</v>
      </c>
      <c r="J215" s="28"/>
      <c r="K215" s="139" t="e">
        <f t="shared" si="125"/>
        <v>#REF!</v>
      </c>
      <c r="L215" s="200">
        <f t="shared" si="126"/>
        <v>109.5410239641255</v>
      </c>
      <c r="M215" s="104">
        <f t="shared" si="118"/>
        <v>24.1009888151182</v>
      </c>
      <c r="N215" s="323">
        <v>0</v>
      </c>
      <c r="O215" s="104"/>
      <c r="P215" s="104">
        <f t="shared" si="127"/>
        <v>91.51875338676561</v>
      </c>
      <c r="Q215" s="104">
        <f t="shared" si="128"/>
        <v>28.981080467310729</v>
      </c>
      <c r="R215" s="104"/>
      <c r="S215" s="140">
        <f t="shared" si="129"/>
        <v>254.14184663332006</v>
      </c>
      <c r="T215" s="880">
        <v>817.17500000000007</v>
      </c>
      <c r="U215" s="104"/>
      <c r="V215" s="148">
        <f t="shared" si="130"/>
        <v>817.17500000000007</v>
      </c>
      <c r="W215" s="882">
        <v>167.06666666666666</v>
      </c>
      <c r="X215" s="104"/>
      <c r="Y215" s="45">
        <f t="shared" si="131"/>
        <v>167.06666666666666</v>
      </c>
      <c r="Z215" s="138">
        <f t="shared" si="132"/>
        <v>10.499633426429536</v>
      </c>
      <c r="AA215" s="104">
        <f t="shared" si="119"/>
        <v>2.3079025382385994</v>
      </c>
      <c r="AB215" s="323">
        <v>0</v>
      </c>
      <c r="AC215" s="104"/>
      <c r="AD215" s="104">
        <f t="shared" si="133"/>
        <v>8.7721780154213551</v>
      </c>
      <c r="AE215" s="104">
        <f t="shared" si="134"/>
        <v>2.7775861575165304</v>
      </c>
      <c r="AF215" s="104"/>
      <c r="AG215" s="139">
        <f t="shared" si="135"/>
        <v>24.357300137606021</v>
      </c>
      <c r="AH215" s="200">
        <f t="shared" si="136"/>
        <v>327.45741680654424</v>
      </c>
      <c r="AI215" s="104">
        <f t="shared" si="120"/>
        <v>65.31652063752486</v>
      </c>
      <c r="AJ215" s="323">
        <v>57.309805645382411</v>
      </c>
      <c r="AK215" s="118" t="e">
        <f t="shared" si="121"/>
        <v>#REF!</v>
      </c>
      <c r="AL215" s="104"/>
      <c r="AM215" s="104">
        <f t="shared" si="137"/>
        <v>273.58238483511042</v>
      </c>
      <c r="AN215" s="104" t="e">
        <f t="shared" si="138"/>
        <v>#REF!</v>
      </c>
      <c r="AO215" s="104"/>
      <c r="AP215" s="140" t="e">
        <f t="shared" si="139"/>
        <v>#REF!</v>
      </c>
      <c r="AQ215" s="33"/>
      <c r="AR215" s="28"/>
      <c r="AS215" s="121"/>
      <c r="AT215" s="135" t="e">
        <f t="shared" si="140"/>
        <v>#REF!</v>
      </c>
      <c r="AU215" s="148" t="e">
        <f t="shared" si="141"/>
        <v>#REF!</v>
      </c>
      <c r="AW215" s="1">
        <v>1</v>
      </c>
      <c r="BA215" s="29">
        <v>568.75</v>
      </c>
      <c r="BB215" s="29">
        <v>118.8</v>
      </c>
      <c r="BC215" s="29">
        <v>29.37</v>
      </c>
      <c r="BD215" s="29">
        <v>394.66</v>
      </c>
      <c r="BF215" s="279">
        <f t="shared" si="147"/>
        <v>980.61</v>
      </c>
      <c r="BI215" s="323">
        <v>8.52</v>
      </c>
      <c r="BL215" s="107">
        <f t="shared" si="143"/>
        <v>0.85901039294857251</v>
      </c>
      <c r="BM215" s="107">
        <f t="shared" si="144"/>
        <v>0.92206249128051765</v>
      </c>
      <c r="BN215" s="107">
        <f t="shared" si="145"/>
        <v>0.35749517965371247</v>
      </c>
      <c r="BO215" s="107">
        <f t="shared" si="146"/>
        <v>0.82972030812989472</v>
      </c>
    </row>
    <row r="216" spans="1:67" x14ac:dyDescent="0.25">
      <c r="A216" s="250" t="s">
        <v>384</v>
      </c>
      <c r="B216" s="227">
        <v>9</v>
      </c>
      <c r="C216" s="226">
        <f>'побудинковий звіт'!E203</f>
        <v>4192.5</v>
      </c>
      <c r="D216" s="138">
        <f t="shared" si="122"/>
        <v>693.19561679770959</v>
      </c>
      <c r="E216" s="104">
        <f t="shared" si="116"/>
        <v>142.88632115224621</v>
      </c>
      <c r="F216" s="323">
        <v>190.25060019873072</v>
      </c>
      <c r="G216" s="104" t="e">
        <f t="shared" si="117"/>
        <v>#REF!</v>
      </c>
      <c r="H216" s="720">
        <f t="shared" si="123"/>
        <v>579.14739525598259</v>
      </c>
      <c r="I216" s="104" t="e">
        <f t="shared" si="124"/>
        <v>#REF!</v>
      </c>
      <c r="J216" s="28"/>
      <c r="K216" s="139" t="e">
        <f t="shared" si="125"/>
        <v>#REF!</v>
      </c>
      <c r="L216" s="200">
        <f t="shared" si="126"/>
        <v>152.72121043079213</v>
      </c>
      <c r="M216" s="104">
        <f t="shared" si="118"/>
        <v>33.601403850572616</v>
      </c>
      <c r="N216" s="323">
        <v>0</v>
      </c>
      <c r="O216" s="104"/>
      <c r="P216" s="104">
        <f t="shared" si="127"/>
        <v>127.59470642634668</v>
      </c>
      <c r="Q216" s="104">
        <f t="shared" si="128"/>
        <v>40.405188196975374</v>
      </c>
      <c r="R216" s="104"/>
      <c r="S216" s="140">
        <f t="shared" si="129"/>
        <v>354.32250890468674</v>
      </c>
      <c r="T216" s="880">
        <v>1181.8583333333333</v>
      </c>
      <c r="U216" s="104"/>
      <c r="V216" s="148">
        <f t="shared" si="130"/>
        <v>1181.8583333333333</v>
      </c>
      <c r="W216" s="882">
        <v>243.85833333333335</v>
      </c>
      <c r="X216" s="104"/>
      <c r="Y216" s="45">
        <f t="shared" si="131"/>
        <v>243.85833333333335</v>
      </c>
      <c r="Z216" s="138">
        <f t="shared" si="132"/>
        <v>34.820030498271599</v>
      </c>
      <c r="AA216" s="104">
        <f t="shared" si="119"/>
        <v>7.6537183256533732</v>
      </c>
      <c r="AB216" s="323">
        <v>0</v>
      </c>
      <c r="AC216" s="104"/>
      <c r="AD216" s="104">
        <f t="shared" si="133"/>
        <v>29.091254296971059</v>
      </c>
      <c r="AE216" s="104">
        <f t="shared" si="134"/>
        <v>9.2113344140997615</v>
      </c>
      <c r="AF216" s="104"/>
      <c r="AG216" s="139">
        <f t="shared" si="135"/>
        <v>80.77633753499579</v>
      </c>
      <c r="AH216" s="200">
        <f t="shared" si="136"/>
        <v>583.86588362792565</v>
      </c>
      <c r="AI216" s="104">
        <f t="shared" si="120"/>
        <v>116.46121321496952</v>
      </c>
      <c r="AJ216" s="323">
        <v>81.470204507162535</v>
      </c>
      <c r="AK216" s="118" t="e">
        <f t="shared" si="121"/>
        <v>#REF!</v>
      </c>
      <c r="AL216" s="104"/>
      <c r="AM216" s="104">
        <f t="shared" si="137"/>
        <v>487.80516998079077</v>
      </c>
      <c r="AN216" s="104" t="e">
        <f t="shared" si="138"/>
        <v>#REF!</v>
      </c>
      <c r="AO216" s="104"/>
      <c r="AP216" s="140" t="e">
        <f t="shared" si="139"/>
        <v>#REF!</v>
      </c>
      <c r="AQ216" s="33"/>
      <c r="AR216" s="28"/>
      <c r="AS216" s="121"/>
      <c r="AT216" s="135" t="e">
        <f t="shared" si="140"/>
        <v>#REF!</v>
      </c>
      <c r="AU216" s="148" t="e">
        <f t="shared" si="141"/>
        <v>#REF!</v>
      </c>
      <c r="AW216" s="1">
        <v>1</v>
      </c>
      <c r="BA216" s="29">
        <v>806.97</v>
      </c>
      <c r="BB216" s="29">
        <v>165.63</v>
      </c>
      <c r="BC216" s="29">
        <v>97.4</v>
      </c>
      <c r="BD216" s="29">
        <v>703.69</v>
      </c>
      <c r="BF216" s="279">
        <f t="shared" si="147"/>
        <v>1418.23</v>
      </c>
      <c r="BI216" s="323">
        <v>8.51</v>
      </c>
      <c r="BL216" s="107">
        <f t="shared" si="143"/>
        <v>0.85901039294857251</v>
      </c>
      <c r="BM216" s="107">
        <f t="shared" si="144"/>
        <v>0.92206249128051765</v>
      </c>
      <c r="BN216" s="107">
        <f t="shared" si="145"/>
        <v>0.35749517965371247</v>
      </c>
      <c r="BO216" s="107">
        <f t="shared" si="146"/>
        <v>0.82972030812989472</v>
      </c>
    </row>
    <row r="217" spans="1:67" x14ac:dyDescent="0.25">
      <c r="A217" s="250" t="s">
        <v>269</v>
      </c>
      <c r="B217" s="227">
        <v>5</v>
      </c>
      <c r="C217" s="226">
        <f>'побудинковий звіт'!E204</f>
        <v>477.5</v>
      </c>
      <c r="D217" s="138">
        <f t="shared" si="122"/>
        <v>443.86982943257044</v>
      </c>
      <c r="E217" s="104">
        <f t="shared" si="116"/>
        <v>91.493548806733557</v>
      </c>
      <c r="F217" s="323">
        <v>73.876738747909258</v>
      </c>
      <c r="G217" s="104" t="e">
        <f t="shared" si="117"/>
        <v>#REF!</v>
      </c>
      <c r="H217" s="720">
        <f t="shared" si="123"/>
        <v>370.84200955588017</v>
      </c>
      <c r="I217" s="104" t="e">
        <f t="shared" si="124"/>
        <v>#REF!</v>
      </c>
      <c r="J217" s="28"/>
      <c r="K217" s="139" t="e">
        <f t="shared" si="125"/>
        <v>#REF!</v>
      </c>
      <c r="L217" s="200">
        <f t="shared" si="126"/>
        <v>86.30160632153229</v>
      </c>
      <c r="M217" s="104">
        <f t="shared" si="118"/>
        <v>18.987900362910295</v>
      </c>
      <c r="N217" s="323">
        <v>0</v>
      </c>
      <c r="O217" s="104"/>
      <c r="P217" s="104">
        <f t="shared" si="127"/>
        <v>72.102808062198662</v>
      </c>
      <c r="Q217" s="104">
        <f t="shared" si="128"/>
        <v>22.83266767783374</v>
      </c>
      <c r="R217" s="104"/>
      <c r="S217" s="140">
        <f t="shared" si="129"/>
        <v>200.224982424475</v>
      </c>
      <c r="T217" s="880">
        <v>412.3416666666667</v>
      </c>
      <c r="U217" s="104"/>
      <c r="V217" s="148">
        <f t="shared" si="130"/>
        <v>412.3416666666667</v>
      </c>
      <c r="W217" s="236"/>
      <c r="X217" s="104"/>
      <c r="Y217" s="45">
        <f t="shared" si="131"/>
        <v>0</v>
      </c>
      <c r="Z217" s="138">
        <f t="shared" si="132"/>
        <v>0</v>
      </c>
      <c r="AA217" s="104">
        <f t="shared" si="119"/>
        <v>0</v>
      </c>
      <c r="AB217" s="323">
        <v>0</v>
      </c>
      <c r="AC217" s="104"/>
      <c r="AD217" s="104">
        <f t="shared" si="133"/>
        <v>0</v>
      </c>
      <c r="AE217" s="104">
        <f t="shared" si="134"/>
        <v>0</v>
      </c>
      <c r="AF217" s="104"/>
      <c r="AG217" s="139">
        <f t="shared" si="135"/>
        <v>0</v>
      </c>
      <c r="AH217" s="200">
        <f t="shared" si="136"/>
        <v>244.91385020618566</v>
      </c>
      <c r="AI217" s="104">
        <f t="shared" si="120"/>
        <v>48.851910906200914</v>
      </c>
      <c r="AJ217" s="323">
        <v>29.005421120321202</v>
      </c>
      <c r="AK217" s="118" t="e">
        <f t="shared" si="121"/>
        <v>#REF!</v>
      </c>
      <c r="AL217" s="104"/>
      <c r="AM217" s="104">
        <f t="shared" si="137"/>
        <v>204.61932385590785</v>
      </c>
      <c r="AN217" s="104" t="e">
        <f t="shared" si="138"/>
        <v>#REF!</v>
      </c>
      <c r="AO217" s="104"/>
      <c r="AP217" s="140" t="e">
        <f t="shared" si="139"/>
        <v>#REF!</v>
      </c>
      <c r="AQ217" s="33"/>
      <c r="AR217" s="28"/>
      <c r="AS217" s="121"/>
      <c r="AT217" s="135" t="e">
        <f t="shared" si="140"/>
        <v>#REF!</v>
      </c>
      <c r="AU217" s="148" t="e">
        <f t="shared" si="141"/>
        <v>#REF!</v>
      </c>
      <c r="AW217" s="1">
        <v>2</v>
      </c>
      <c r="BA217" s="29">
        <v>404.7</v>
      </c>
      <c r="BB217" s="29">
        <v>77.56</v>
      </c>
      <c r="BC217" s="29">
        <v>0</v>
      </c>
      <c r="BD217" s="29">
        <v>236.2</v>
      </c>
      <c r="BF217" s="279">
        <f t="shared" si="147"/>
        <v>494.81</v>
      </c>
      <c r="BI217" s="323">
        <v>0</v>
      </c>
      <c r="BL217" s="107">
        <f t="shared" ref="BL217:BO239" si="148">BA$398</f>
        <v>1.0967873225415627</v>
      </c>
      <c r="BM217" s="107">
        <f t="shared" si="148"/>
        <v>1.1127076627324948</v>
      </c>
      <c r="BN217" s="107">
        <f t="shared" si="148"/>
        <v>2.8314493742615632</v>
      </c>
      <c r="BO217" s="107">
        <f t="shared" si="148"/>
        <v>1.036891829831438</v>
      </c>
    </row>
    <row r="218" spans="1:67" x14ac:dyDescent="0.25">
      <c r="A218" s="250" t="s">
        <v>270</v>
      </c>
      <c r="B218" s="227">
        <v>5</v>
      </c>
      <c r="C218" s="226">
        <f>'побудинковий звіт'!E205</f>
        <v>553.20000000000005</v>
      </c>
      <c r="D218" s="138">
        <f t="shared" si="122"/>
        <v>446.78728371053103</v>
      </c>
      <c r="E218" s="104">
        <f t="shared" si="116"/>
        <v>92.094914855228524</v>
      </c>
      <c r="F218" s="323">
        <v>75.081926397676938</v>
      </c>
      <c r="G218" s="104" t="e">
        <f t="shared" si="117"/>
        <v>#REF!</v>
      </c>
      <c r="H218" s="720">
        <f t="shared" si="123"/>
        <v>373.27946877361836</v>
      </c>
      <c r="I218" s="104" t="e">
        <f t="shared" si="124"/>
        <v>#REF!</v>
      </c>
      <c r="J218" s="28"/>
      <c r="K218" s="139" t="e">
        <f t="shared" si="125"/>
        <v>#REF!</v>
      </c>
      <c r="L218" s="200">
        <f t="shared" si="126"/>
        <v>77.889536391274632</v>
      </c>
      <c r="M218" s="104">
        <f t="shared" si="118"/>
        <v>17.137094190352251</v>
      </c>
      <c r="N218" s="323">
        <v>0</v>
      </c>
      <c r="O218" s="104"/>
      <c r="P218" s="104">
        <f t="shared" si="127"/>
        <v>65.074736518229841</v>
      </c>
      <c r="Q218" s="104">
        <f t="shared" si="128"/>
        <v>20.607100792268714</v>
      </c>
      <c r="R218" s="104"/>
      <c r="S218" s="140">
        <f t="shared" si="129"/>
        <v>180.70846789212541</v>
      </c>
      <c r="T218" s="880">
        <v>403.32500000000005</v>
      </c>
      <c r="U218" s="104"/>
      <c r="V218" s="148">
        <f t="shared" si="130"/>
        <v>403.32500000000005</v>
      </c>
      <c r="W218" s="236"/>
      <c r="X218" s="104"/>
      <c r="Y218" s="45">
        <f t="shared" si="131"/>
        <v>0</v>
      </c>
      <c r="Z218" s="138">
        <f t="shared" si="132"/>
        <v>0</v>
      </c>
      <c r="AA218" s="104">
        <f t="shared" si="119"/>
        <v>0</v>
      </c>
      <c r="AB218" s="323">
        <v>0</v>
      </c>
      <c r="AC218" s="104"/>
      <c r="AD218" s="104">
        <f t="shared" si="133"/>
        <v>0</v>
      </c>
      <c r="AE218" s="104">
        <f t="shared" si="134"/>
        <v>0</v>
      </c>
      <c r="AF218" s="104"/>
      <c r="AG218" s="139">
        <f t="shared" si="135"/>
        <v>0</v>
      </c>
      <c r="AH218" s="200">
        <f t="shared" si="136"/>
        <v>248.58444728378896</v>
      </c>
      <c r="AI218" s="104">
        <f t="shared" si="120"/>
        <v>49.584069096751094</v>
      </c>
      <c r="AJ218" s="323">
        <v>29.478600850544627</v>
      </c>
      <c r="AK218" s="118" t="e">
        <f t="shared" si="121"/>
        <v>#REF!</v>
      </c>
      <c r="AL218" s="104"/>
      <c r="AM218" s="104">
        <f t="shared" si="137"/>
        <v>207.68601482309631</v>
      </c>
      <c r="AN218" s="104" t="e">
        <f t="shared" si="138"/>
        <v>#REF!</v>
      </c>
      <c r="AO218" s="104"/>
      <c r="AP218" s="140" t="e">
        <f t="shared" si="139"/>
        <v>#REF!</v>
      </c>
      <c r="AQ218" s="33"/>
      <c r="AR218" s="28"/>
      <c r="AS218" s="121"/>
      <c r="AT218" s="135" t="e">
        <f t="shared" si="140"/>
        <v>#REF!</v>
      </c>
      <c r="AU218" s="148" t="e">
        <f t="shared" si="141"/>
        <v>#REF!</v>
      </c>
      <c r="AW218" s="1">
        <v>2</v>
      </c>
      <c r="BA218" s="29">
        <v>407.36</v>
      </c>
      <c r="BB218" s="29">
        <v>70</v>
      </c>
      <c r="BC218" s="29">
        <v>0</v>
      </c>
      <c r="BD218" s="29">
        <v>239.74</v>
      </c>
      <c r="BF218" s="279">
        <f t="shared" si="147"/>
        <v>483.99</v>
      </c>
      <c r="BI218" s="323">
        <v>0</v>
      </c>
      <c r="BL218" s="107">
        <f t="shared" si="148"/>
        <v>1.0967873225415627</v>
      </c>
      <c r="BM218" s="107">
        <f t="shared" si="148"/>
        <v>1.1127076627324948</v>
      </c>
      <c r="BN218" s="107">
        <f t="shared" si="148"/>
        <v>2.8314493742615632</v>
      </c>
      <c r="BO218" s="107">
        <f t="shared" si="148"/>
        <v>1.036891829831438</v>
      </c>
    </row>
    <row r="219" spans="1:67" x14ac:dyDescent="0.25">
      <c r="A219" s="250" t="s">
        <v>271</v>
      </c>
      <c r="B219" s="227">
        <v>5</v>
      </c>
      <c r="C219" s="226">
        <f>'побудинковий звіт'!E206</f>
        <v>358.84</v>
      </c>
      <c r="D219" s="138">
        <f t="shared" si="122"/>
        <v>433.43938199520016</v>
      </c>
      <c r="E219" s="104">
        <f t="shared" si="116"/>
        <v>89.343552144633136</v>
      </c>
      <c r="F219" s="323">
        <v>75.250484110931154</v>
      </c>
      <c r="G219" s="104" t="e">
        <f t="shared" si="117"/>
        <v>#REF!</v>
      </c>
      <c r="H219" s="720">
        <f t="shared" si="123"/>
        <v>362.12763468344025</v>
      </c>
      <c r="I219" s="104" t="e">
        <f t="shared" si="124"/>
        <v>#REF!</v>
      </c>
      <c r="J219" s="28"/>
      <c r="K219" s="139" t="e">
        <f t="shared" si="125"/>
        <v>#REF!</v>
      </c>
      <c r="L219" s="200">
        <f t="shared" si="126"/>
        <v>77.889536391274632</v>
      </c>
      <c r="M219" s="104">
        <f t="shared" si="118"/>
        <v>17.137094190352251</v>
      </c>
      <c r="N219" s="323">
        <v>0</v>
      </c>
      <c r="O219" s="104"/>
      <c r="P219" s="104">
        <f t="shared" si="127"/>
        <v>65.074736518229841</v>
      </c>
      <c r="Q219" s="104">
        <f t="shared" si="128"/>
        <v>20.607100792268714</v>
      </c>
      <c r="R219" s="104"/>
      <c r="S219" s="140">
        <f t="shared" si="129"/>
        <v>180.70846789212541</v>
      </c>
      <c r="T219" s="880">
        <v>442.03333333333342</v>
      </c>
      <c r="U219" s="104"/>
      <c r="V219" s="148">
        <f t="shared" si="130"/>
        <v>442.03333333333342</v>
      </c>
      <c r="W219" s="236"/>
      <c r="X219" s="104"/>
      <c r="Y219" s="45">
        <f t="shared" si="131"/>
        <v>0</v>
      </c>
      <c r="Z219" s="138">
        <f t="shared" si="132"/>
        <v>0</v>
      </c>
      <c r="AA219" s="104">
        <f t="shared" si="119"/>
        <v>0</v>
      </c>
      <c r="AB219" s="323">
        <v>0</v>
      </c>
      <c r="AC219" s="104"/>
      <c r="AD219" s="104">
        <f t="shared" si="133"/>
        <v>0</v>
      </c>
      <c r="AE219" s="104">
        <f t="shared" si="134"/>
        <v>0</v>
      </c>
      <c r="AF219" s="104"/>
      <c r="AG219" s="139">
        <f t="shared" si="135"/>
        <v>0</v>
      </c>
      <c r="AH219" s="200">
        <f t="shared" si="136"/>
        <v>248.58444728378896</v>
      </c>
      <c r="AI219" s="104">
        <f t="shared" si="120"/>
        <v>49.584069096751094</v>
      </c>
      <c r="AJ219" s="323">
        <v>134.54477983379266</v>
      </c>
      <c r="AK219" s="118" t="e">
        <f t="shared" si="121"/>
        <v>#REF!</v>
      </c>
      <c r="AL219" s="104"/>
      <c r="AM219" s="104">
        <f t="shared" si="137"/>
        <v>207.68601482309631</v>
      </c>
      <c r="AN219" s="104" t="e">
        <f t="shared" si="138"/>
        <v>#REF!</v>
      </c>
      <c r="AO219" s="104"/>
      <c r="AP219" s="140" t="e">
        <f t="shared" si="139"/>
        <v>#REF!</v>
      </c>
      <c r="AQ219" s="33"/>
      <c r="AR219" s="28"/>
      <c r="AS219" s="121"/>
      <c r="AT219" s="135" t="e">
        <f t="shared" si="140"/>
        <v>#REF!</v>
      </c>
      <c r="AU219" s="148" t="e">
        <f t="shared" si="141"/>
        <v>#REF!</v>
      </c>
      <c r="AW219" s="1">
        <v>2</v>
      </c>
      <c r="BA219" s="29">
        <v>395.19</v>
      </c>
      <c r="BB219" s="29">
        <v>70</v>
      </c>
      <c r="BC219" s="29">
        <v>0</v>
      </c>
      <c r="BD219" s="29">
        <v>239.74</v>
      </c>
      <c r="BF219" s="279">
        <f t="shared" si="147"/>
        <v>530.44000000000005</v>
      </c>
      <c r="BI219" s="323">
        <v>0</v>
      </c>
      <c r="BL219" s="107">
        <f t="shared" si="148"/>
        <v>1.0967873225415627</v>
      </c>
      <c r="BM219" s="107">
        <f t="shared" si="148"/>
        <v>1.1127076627324948</v>
      </c>
      <c r="BN219" s="107">
        <f t="shared" si="148"/>
        <v>2.8314493742615632</v>
      </c>
      <c r="BO219" s="107">
        <f t="shared" si="148"/>
        <v>1.036891829831438</v>
      </c>
    </row>
    <row r="220" spans="1:67" x14ac:dyDescent="0.25">
      <c r="A220" s="250" t="s">
        <v>272</v>
      </c>
      <c r="B220" s="227">
        <v>5</v>
      </c>
      <c r="C220" s="226">
        <f>'побудинковий звіт'!E207</f>
        <v>494.3</v>
      </c>
      <c r="D220" s="138">
        <f t="shared" si="122"/>
        <v>315.77603803294136</v>
      </c>
      <c r="E220" s="104">
        <f t="shared" si="116"/>
        <v>65.089962038415266</v>
      </c>
      <c r="F220" s="323">
        <v>55.668291773622066</v>
      </c>
      <c r="G220" s="104" t="e">
        <f t="shared" si="117"/>
        <v>#REF!</v>
      </c>
      <c r="H220" s="720">
        <f t="shared" si="123"/>
        <v>263.8228884883456</v>
      </c>
      <c r="I220" s="104" t="e">
        <f t="shared" si="124"/>
        <v>#REF!</v>
      </c>
      <c r="J220" s="28"/>
      <c r="K220" s="139" t="e">
        <f t="shared" si="125"/>
        <v>#REF!</v>
      </c>
      <c r="L220" s="200">
        <f t="shared" si="126"/>
        <v>67.897421579936832</v>
      </c>
      <c r="M220" s="104">
        <f t="shared" si="118"/>
        <v>14.93864982136135</v>
      </c>
      <c r="N220" s="323">
        <v>0</v>
      </c>
      <c r="O220" s="104"/>
      <c r="P220" s="104">
        <f t="shared" si="127"/>
        <v>56.726577462034072</v>
      </c>
      <c r="Q220" s="104">
        <f t="shared" si="128"/>
        <v>17.963504147774817</v>
      </c>
      <c r="R220" s="104"/>
      <c r="S220" s="140">
        <f t="shared" si="129"/>
        <v>157.52615301110706</v>
      </c>
      <c r="T220" s="880">
        <v>292.125</v>
      </c>
      <c r="U220" s="104"/>
      <c r="V220" s="148">
        <f t="shared" si="130"/>
        <v>292.125</v>
      </c>
      <c r="W220" s="236"/>
      <c r="X220" s="104"/>
      <c r="Y220" s="45">
        <f t="shared" si="131"/>
        <v>0</v>
      </c>
      <c r="Z220" s="138">
        <f t="shared" si="132"/>
        <v>0</v>
      </c>
      <c r="AA220" s="104">
        <f t="shared" si="119"/>
        <v>0</v>
      </c>
      <c r="AB220" s="323">
        <v>0</v>
      </c>
      <c r="AC220" s="104"/>
      <c r="AD220" s="104">
        <f t="shared" si="133"/>
        <v>0</v>
      </c>
      <c r="AE220" s="104">
        <f t="shared" si="134"/>
        <v>0</v>
      </c>
      <c r="AF220" s="104"/>
      <c r="AG220" s="139">
        <f t="shared" si="135"/>
        <v>0</v>
      </c>
      <c r="AH220" s="200">
        <f t="shared" si="136"/>
        <v>183.87202818400891</v>
      </c>
      <c r="AI220" s="104">
        <f t="shared" si="120"/>
        <v>36.676161562221033</v>
      </c>
      <c r="AJ220" s="323">
        <v>21.8564364549527</v>
      </c>
      <c r="AK220" s="118" t="e">
        <f t="shared" si="121"/>
        <v>#REF!</v>
      </c>
      <c r="AL220" s="104"/>
      <c r="AM220" s="104">
        <f t="shared" si="137"/>
        <v>153.62042633094046</v>
      </c>
      <c r="AN220" s="104" t="e">
        <f t="shared" si="138"/>
        <v>#REF!</v>
      </c>
      <c r="AO220" s="104"/>
      <c r="AP220" s="140" t="e">
        <f t="shared" si="139"/>
        <v>#REF!</v>
      </c>
      <c r="AQ220" s="33"/>
      <c r="AR220" s="28"/>
      <c r="AS220" s="121"/>
      <c r="AT220" s="135" t="e">
        <f t="shared" si="140"/>
        <v>#REF!</v>
      </c>
      <c r="AU220" s="148" t="e">
        <f t="shared" si="141"/>
        <v>#REF!</v>
      </c>
      <c r="AW220" s="1">
        <v>2</v>
      </c>
      <c r="BA220" s="29">
        <v>287.91000000000003</v>
      </c>
      <c r="BB220" s="29">
        <v>61.02</v>
      </c>
      <c r="BC220" s="29">
        <v>0</v>
      </c>
      <c r="BD220" s="29">
        <v>177.33</v>
      </c>
      <c r="BF220" s="279">
        <f t="shared" si="147"/>
        <v>350.55</v>
      </c>
      <c r="BI220" s="323">
        <v>0</v>
      </c>
      <c r="BL220" s="107">
        <f t="shared" si="148"/>
        <v>1.0967873225415627</v>
      </c>
      <c r="BM220" s="107">
        <f t="shared" si="148"/>
        <v>1.1127076627324948</v>
      </c>
      <c r="BN220" s="107">
        <f t="shared" si="148"/>
        <v>2.8314493742615632</v>
      </c>
      <c r="BO220" s="107">
        <f t="shared" si="148"/>
        <v>1.036891829831438</v>
      </c>
    </row>
    <row r="221" spans="1:67" x14ac:dyDescent="0.25">
      <c r="A221" s="250" t="s">
        <v>216</v>
      </c>
      <c r="B221" s="227">
        <v>4</v>
      </c>
      <c r="C221" s="226">
        <f>'побудинковий звіт'!E208</f>
        <v>385</v>
      </c>
      <c r="D221" s="138">
        <f t="shared" si="122"/>
        <v>325.87744927354913</v>
      </c>
      <c r="E221" s="104">
        <f t="shared" si="116"/>
        <v>67.172135461963606</v>
      </c>
      <c r="F221" s="323">
        <v>50.702581541152725</v>
      </c>
      <c r="G221" s="104" t="e">
        <f t="shared" si="117"/>
        <v>#REF!</v>
      </c>
      <c r="H221" s="720">
        <f t="shared" si="123"/>
        <v>272.26236194525109</v>
      </c>
      <c r="I221" s="104" t="e">
        <f t="shared" si="124"/>
        <v>#REF!</v>
      </c>
      <c r="J221" s="28"/>
      <c r="K221" s="139" t="e">
        <f t="shared" si="125"/>
        <v>#REF!</v>
      </c>
      <c r="L221" s="200">
        <f t="shared" si="126"/>
        <v>85.678490030402102</v>
      </c>
      <c r="M221" s="104">
        <f t="shared" si="118"/>
        <v>18.85080360938748</v>
      </c>
      <c r="N221" s="323">
        <v>0</v>
      </c>
      <c r="O221" s="104"/>
      <c r="P221" s="104">
        <f t="shared" si="127"/>
        <v>71.582210170052832</v>
      </c>
      <c r="Q221" s="104">
        <f t="shared" si="128"/>
        <v>22.667810871495593</v>
      </c>
      <c r="R221" s="104"/>
      <c r="S221" s="140">
        <f t="shared" si="129"/>
        <v>198.77931468133801</v>
      </c>
      <c r="T221" s="880">
        <v>284.375</v>
      </c>
      <c r="U221" s="104"/>
      <c r="V221" s="148">
        <f t="shared" si="130"/>
        <v>284.375</v>
      </c>
      <c r="W221" s="236"/>
      <c r="X221" s="104"/>
      <c r="Y221" s="45">
        <f t="shared" si="131"/>
        <v>0</v>
      </c>
      <c r="Z221" s="138">
        <f t="shared" si="132"/>
        <v>0</v>
      </c>
      <c r="AA221" s="104">
        <f t="shared" si="119"/>
        <v>0</v>
      </c>
      <c r="AB221" s="323">
        <v>0</v>
      </c>
      <c r="AC221" s="104"/>
      <c r="AD221" s="104">
        <f t="shared" si="133"/>
        <v>0</v>
      </c>
      <c r="AE221" s="104">
        <f t="shared" si="134"/>
        <v>0</v>
      </c>
      <c r="AF221" s="104"/>
      <c r="AG221" s="139">
        <f t="shared" si="135"/>
        <v>0</v>
      </c>
      <c r="AH221" s="200">
        <f t="shared" si="136"/>
        <v>307.10662215947531</v>
      </c>
      <c r="AI221" s="104">
        <f t="shared" si="120"/>
        <v>61.257235276031274</v>
      </c>
      <c r="AJ221" s="323">
        <v>19.906803608465722</v>
      </c>
      <c r="AK221" s="118" t="e">
        <f t="shared" si="121"/>
        <v>#REF!</v>
      </c>
      <c r="AL221" s="104"/>
      <c r="AM221" s="104">
        <f t="shared" si="137"/>
        <v>256.57981092143433</v>
      </c>
      <c r="AN221" s="104" t="e">
        <f t="shared" si="138"/>
        <v>#REF!</v>
      </c>
      <c r="AO221" s="104"/>
      <c r="AP221" s="140" t="e">
        <f t="shared" si="139"/>
        <v>#REF!</v>
      </c>
      <c r="AQ221" s="33"/>
      <c r="AR221" s="28"/>
      <c r="AS221" s="121"/>
      <c r="AT221" s="135" t="e">
        <f t="shared" si="140"/>
        <v>#REF!</v>
      </c>
      <c r="AU221" s="148" t="e">
        <f t="shared" si="141"/>
        <v>#REF!</v>
      </c>
      <c r="AW221" s="1">
        <v>2</v>
      </c>
      <c r="BA221" s="29">
        <v>297.12</v>
      </c>
      <c r="BB221" s="29">
        <v>77</v>
      </c>
      <c r="BC221" s="29">
        <v>0</v>
      </c>
      <c r="BD221" s="29">
        <v>296.18</v>
      </c>
      <c r="BF221" s="279">
        <f t="shared" si="147"/>
        <v>341.25</v>
      </c>
      <c r="BI221" s="323">
        <v>0</v>
      </c>
      <c r="BL221" s="107">
        <f t="shared" si="148"/>
        <v>1.0967873225415627</v>
      </c>
      <c r="BM221" s="107">
        <f t="shared" si="148"/>
        <v>1.1127076627324948</v>
      </c>
      <c r="BN221" s="107">
        <f t="shared" si="148"/>
        <v>2.8314493742615632</v>
      </c>
      <c r="BO221" s="107">
        <f t="shared" si="148"/>
        <v>1.036891829831438</v>
      </c>
    </row>
    <row r="222" spans="1:67" x14ac:dyDescent="0.25">
      <c r="A222" s="250" t="s">
        <v>179</v>
      </c>
      <c r="B222" s="227">
        <v>2</v>
      </c>
      <c r="C222" s="226">
        <f>'побудинковий звіт'!E209</f>
        <v>2291.83</v>
      </c>
      <c r="D222" s="138">
        <f t="shared" si="122"/>
        <v>89.980431941309817</v>
      </c>
      <c r="E222" s="104">
        <f t="shared" si="116"/>
        <v>18.547394969370945</v>
      </c>
      <c r="F222" s="323">
        <v>16.072188655931512</v>
      </c>
      <c r="G222" s="104" t="e">
        <f t="shared" si="117"/>
        <v>#REF!</v>
      </c>
      <c r="H222" s="720">
        <f t="shared" si="123"/>
        <v>75.176373768135434</v>
      </c>
      <c r="I222" s="104" t="e">
        <f t="shared" si="124"/>
        <v>#REF!</v>
      </c>
      <c r="J222" s="28"/>
      <c r="K222" s="139" t="e">
        <f t="shared" si="125"/>
        <v>#REF!</v>
      </c>
      <c r="L222" s="200">
        <f t="shared" si="126"/>
        <v>15.967354960211299</v>
      </c>
      <c r="M222" s="104">
        <f t="shared" si="118"/>
        <v>3.5131043090222116</v>
      </c>
      <c r="N222" s="323">
        <v>0</v>
      </c>
      <c r="O222" s="104"/>
      <c r="P222" s="104">
        <f t="shared" si="127"/>
        <v>13.340320986237117</v>
      </c>
      <c r="Q222" s="104">
        <f t="shared" si="128"/>
        <v>4.2244556624150862</v>
      </c>
      <c r="R222" s="104"/>
      <c r="S222" s="140">
        <f t="shared" si="129"/>
        <v>37.045235917885712</v>
      </c>
      <c r="T222" s="880">
        <v>94.341666666666669</v>
      </c>
      <c r="U222" s="104"/>
      <c r="V222" s="148">
        <f t="shared" si="130"/>
        <v>94.341666666666669</v>
      </c>
      <c r="W222" s="236"/>
      <c r="X222" s="104"/>
      <c r="Y222" s="45">
        <f t="shared" si="131"/>
        <v>0</v>
      </c>
      <c r="Z222" s="138">
        <f t="shared" si="132"/>
        <v>0</v>
      </c>
      <c r="AA222" s="104">
        <f t="shared" si="119"/>
        <v>0</v>
      </c>
      <c r="AB222" s="323">
        <v>0</v>
      </c>
      <c r="AC222" s="104"/>
      <c r="AD222" s="104">
        <f t="shared" si="133"/>
        <v>0</v>
      </c>
      <c r="AE222" s="104">
        <f t="shared" si="134"/>
        <v>0</v>
      </c>
      <c r="AF222" s="104"/>
      <c r="AG222" s="139">
        <f t="shared" si="135"/>
        <v>0</v>
      </c>
      <c r="AH222" s="200">
        <f t="shared" si="136"/>
        <v>36.934086978595822</v>
      </c>
      <c r="AI222" s="104">
        <f t="shared" si="120"/>
        <v>7.3670832619766156</v>
      </c>
      <c r="AJ222" s="323">
        <v>6.3102487764287778</v>
      </c>
      <c r="AK222" s="118" t="e">
        <f t="shared" si="121"/>
        <v>#REF!</v>
      </c>
      <c r="AL222" s="104"/>
      <c r="AM222" s="104">
        <f t="shared" si="137"/>
        <v>30.857494986229625</v>
      </c>
      <c r="AN222" s="104" t="e">
        <f t="shared" si="138"/>
        <v>#REF!</v>
      </c>
      <c r="AO222" s="104"/>
      <c r="AP222" s="140" t="e">
        <f t="shared" si="139"/>
        <v>#REF!</v>
      </c>
      <c r="AQ222" s="33"/>
      <c r="AR222" s="28"/>
      <c r="AS222" s="121"/>
      <c r="AT222" s="135" t="e">
        <f t="shared" si="140"/>
        <v>#REF!</v>
      </c>
      <c r="AU222" s="148" t="e">
        <f t="shared" si="141"/>
        <v>#REF!</v>
      </c>
      <c r="AW222" s="1">
        <v>2</v>
      </c>
      <c r="BA222" s="29">
        <v>82.04</v>
      </c>
      <c r="BB222" s="29">
        <v>14.35</v>
      </c>
      <c r="BC222" s="29">
        <v>0</v>
      </c>
      <c r="BD222" s="29">
        <v>35.619999999999997</v>
      </c>
      <c r="BF222" s="279">
        <f t="shared" si="147"/>
        <v>113.21</v>
      </c>
      <c r="BG222" s="1">
        <v>90.57</v>
      </c>
      <c r="BI222" s="323">
        <v>0</v>
      </c>
      <c r="BL222" s="107">
        <f t="shared" si="148"/>
        <v>1.0967873225415627</v>
      </c>
      <c r="BM222" s="107">
        <f t="shared" si="148"/>
        <v>1.1127076627324948</v>
      </c>
      <c r="BN222" s="107">
        <f t="shared" si="148"/>
        <v>2.8314493742615632</v>
      </c>
      <c r="BO222" s="107">
        <f t="shared" si="148"/>
        <v>1.036891829831438</v>
      </c>
    </row>
    <row r="223" spans="1:67" x14ac:dyDescent="0.25">
      <c r="A223" s="424" t="s">
        <v>125</v>
      </c>
      <c r="B223" s="228">
        <v>1</v>
      </c>
      <c r="C223" s="226">
        <f>'побудинковий звіт'!E210</f>
        <v>354.3</v>
      </c>
      <c r="D223" s="138">
        <f t="shared" si="122"/>
        <v>0</v>
      </c>
      <c r="E223" s="104">
        <f t="shared" si="116"/>
        <v>0</v>
      </c>
      <c r="F223" s="323">
        <v>0</v>
      </c>
      <c r="G223" s="104" t="e">
        <f t="shared" si="117"/>
        <v>#REF!</v>
      </c>
      <c r="H223" s="720">
        <f t="shared" si="123"/>
        <v>0</v>
      </c>
      <c r="I223" s="104" t="e">
        <f t="shared" si="124"/>
        <v>#REF!</v>
      </c>
      <c r="J223" s="28"/>
      <c r="K223" s="139" t="e">
        <f t="shared" si="125"/>
        <v>#REF!</v>
      </c>
      <c r="L223" s="200">
        <f t="shared" si="126"/>
        <v>0</v>
      </c>
      <c r="M223" s="104">
        <f t="shared" si="118"/>
        <v>0</v>
      </c>
      <c r="N223" s="323">
        <v>0</v>
      </c>
      <c r="O223" s="104"/>
      <c r="P223" s="104">
        <f t="shared" si="127"/>
        <v>0</v>
      </c>
      <c r="Q223" s="104">
        <f t="shared" si="128"/>
        <v>0</v>
      </c>
      <c r="R223" s="104"/>
      <c r="S223" s="140">
        <f t="shared" si="129"/>
        <v>0</v>
      </c>
      <c r="T223" s="235"/>
      <c r="U223" s="104"/>
      <c r="V223" s="148">
        <f t="shared" si="130"/>
        <v>0</v>
      </c>
      <c r="W223" s="236"/>
      <c r="X223" s="104"/>
      <c r="Y223" s="45">
        <f t="shared" si="131"/>
        <v>0</v>
      </c>
      <c r="Z223" s="138">
        <f t="shared" si="132"/>
        <v>0</v>
      </c>
      <c r="AA223" s="104">
        <f t="shared" si="119"/>
        <v>0</v>
      </c>
      <c r="AB223" s="323">
        <v>0</v>
      </c>
      <c r="AC223" s="104"/>
      <c r="AD223" s="104">
        <f t="shared" si="133"/>
        <v>0</v>
      </c>
      <c r="AE223" s="104">
        <f t="shared" si="134"/>
        <v>0</v>
      </c>
      <c r="AF223" s="104"/>
      <c r="AG223" s="139">
        <f t="shared" si="135"/>
        <v>0</v>
      </c>
      <c r="AH223" s="200">
        <f t="shared" si="136"/>
        <v>0</v>
      </c>
      <c r="AI223" s="104">
        <f t="shared" si="120"/>
        <v>0</v>
      </c>
      <c r="AJ223" s="323">
        <v>0</v>
      </c>
      <c r="AK223" s="118" t="e">
        <f t="shared" si="121"/>
        <v>#REF!</v>
      </c>
      <c r="AL223" s="104"/>
      <c r="AM223" s="104">
        <f t="shared" si="137"/>
        <v>0</v>
      </c>
      <c r="AN223" s="104" t="e">
        <f t="shared" si="138"/>
        <v>#REF!</v>
      </c>
      <c r="AO223" s="104"/>
      <c r="AP223" s="140" t="e">
        <f t="shared" si="139"/>
        <v>#REF!</v>
      </c>
      <c r="AQ223" s="33"/>
      <c r="AR223" s="28"/>
      <c r="AS223" s="121"/>
      <c r="AT223" s="135">
        <f t="shared" si="140"/>
        <v>0</v>
      </c>
      <c r="AU223" s="148" t="e">
        <f t="shared" si="141"/>
        <v>#REF!</v>
      </c>
      <c r="AW223" s="1">
        <v>2</v>
      </c>
      <c r="BA223" s="29">
        <v>0</v>
      </c>
      <c r="BB223" s="29">
        <v>0</v>
      </c>
      <c r="BC223" s="29">
        <v>0</v>
      </c>
      <c r="BD223" s="29">
        <v>0</v>
      </c>
      <c r="BI223" s="323">
        <v>0</v>
      </c>
      <c r="BL223" s="107">
        <f t="shared" si="148"/>
        <v>1.0967873225415627</v>
      </c>
      <c r="BM223" s="107">
        <f t="shared" si="148"/>
        <v>1.1127076627324948</v>
      </c>
      <c r="BN223" s="107">
        <f t="shared" si="148"/>
        <v>2.8314493742615632</v>
      </c>
      <c r="BO223" s="107">
        <f t="shared" si="148"/>
        <v>1.036891829831438</v>
      </c>
    </row>
    <row r="224" spans="1:67" x14ac:dyDescent="0.25">
      <c r="A224" s="250" t="s">
        <v>180</v>
      </c>
      <c r="B224" s="227">
        <v>2</v>
      </c>
      <c r="C224" s="226">
        <f>'побудинковий звіт'!E211</f>
        <v>474.29999999999995</v>
      </c>
      <c r="D224" s="138">
        <f t="shared" si="122"/>
        <v>25.275463847970315</v>
      </c>
      <c r="E224" s="104">
        <f t="shared" si="116"/>
        <v>5.209955108107672</v>
      </c>
      <c r="F224" s="323">
        <v>5.345386481574474</v>
      </c>
      <c r="G224" s="104" t="e">
        <f t="shared" si="117"/>
        <v>#REF!</v>
      </c>
      <c r="H224" s="720">
        <f t="shared" si="123"/>
        <v>21.117010403299378</v>
      </c>
      <c r="I224" s="104" t="e">
        <f t="shared" si="124"/>
        <v>#REF!</v>
      </c>
      <c r="J224" s="28"/>
      <c r="K224" s="139" t="e">
        <f t="shared" si="125"/>
        <v>#REF!</v>
      </c>
      <c r="L224" s="200">
        <f t="shared" si="126"/>
        <v>8.7347551524500844</v>
      </c>
      <c r="M224" s="104">
        <f t="shared" si="118"/>
        <v>1.9218027056323599</v>
      </c>
      <c r="N224" s="323">
        <v>0</v>
      </c>
      <c r="O224" s="104"/>
      <c r="P224" s="104">
        <f t="shared" si="127"/>
        <v>7.297666880972919</v>
      </c>
      <c r="Q224" s="104">
        <f t="shared" si="128"/>
        <v>2.3109391602758493</v>
      </c>
      <c r="R224" s="104"/>
      <c r="S224" s="140">
        <f t="shared" si="129"/>
        <v>20.265163899331213</v>
      </c>
      <c r="T224" s="235"/>
      <c r="U224" s="104"/>
      <c r="V224" s="148">
        <f t="shared" si="130"/>
        <v>0</v>
      </c>
      <c r="W224" s="236"/>
      <c r="X224" s="104"/>
      <c r="Y224" s="45">
        <f t="shared" si="131"/>
        <v>0</v>
      </c>
      <c r="Z224" s="138">
        <f t="shared" si="132"/>
        <v>0</v>
      </c>
      <c r="AA224" s="104">
        <f t="shared" si="119"/>
        <v>0</v>
      </c>
      <c r="AB224" s="323">
        <v>0</v>
      </c>
      <c r="AC224" s="104"/>
      <c r="AD224" s="104">
        <f t="shared" si="133"/>
        <v>0</v>
      </c>
      <c r="AE224" s="104">
        <f t="shared" si="134"/>
        <v>0</v>
      </c>
      <c r="AF224" s="104"/>
      <c r="AG224" s="139">
        <f t="shared" si="135"/>
        <v>0</v>
      </c>
      <c r="AH224" s="200">
        <f t="shared" si="136"/>
        <v>11.110295956643858</v>
      </c>
      <c r="AI224" s="104">
        <f t="shared" si="120"/>
        <v>2.2161228846737631</v>
      </c>
      <c r="AJ224" s="323">
        <v>7.6987010062531711</v>
      </c>
      <c r="AK224" s="118" t="e">
        <f t="shared" si="121"/>
        <v>#REF!</v>
      </c>
      <c r="AL224" s="104"/>
      <c r="AM224" s="104">
        <f t="shared" si="137"/>
        <v>9.2823711054870977</v>
      </c>
      <c r="AN224" s="104" t="e">
        <f t="shared" si="138"/>
        <v>#REF!</v>
      </c>
      <c r="AO224" s="104"/>
      <c r="AP224" s="140" t="e">
        <f t="shared" si="139"/>
        <v>#REF!</v>
      </c>
      <c r="AQ224" s="33"/>
      <c r="AR224" s="28"/>
      <c r="AS224" s="121"/>
      <c r="AT224" s="135" t="e">
        <f t="shared" si="140"/>
        <v>#REF!</v>
      </c>
      <c r="AU224" s="148" t="e">
        <f t="shared" si="141"/>
        <v>#REF!</v>
      </c>
      <c r="AW224" s="1">
        <v>2</v>
      </c>
      <c r="BA224" s="29">
        <v>23.045000000000002</v>
      </c>
      <c r="BB224" s="29">
        <v>7.85</v>
      </c>
      <c r="BC224" s="29">
        <v>0</v>
      </c>
      <c r="BD224" s="29">
        <v>10.715</v>
      </c>
      <c r="BI224" s="323">
        <v>0</v>
      </c>
      <c r="BL224" s="107">
        <f t="shared" si="148"/>
        <v>1.0967873225415627</v>
      </c>
      <c r="BM224" s="107">
        <f t="shared" si="148"/>
        <v>1.1127076627324948</v>
      </c>
      <c r="BN224" s="107">
        <f t="shared" si="148"/>
        <v>2.8314493742615632</v>
      </c>
      <c r="BO224" s="107">
        <f t="shared" si="148"/>
        <v>1.036891829831438</v>
      </c>
    </row>
    <row r="225" spans="1:67" x14ac:dyDescent="0.25">
      <c r="A225" s="250" t="s">
        <v>196</v>
      </c>
      <c r="B225" s="227">
        <v>3</v>
      </c>
      <c r="C225" s="226">
        <f>'побудинковий звіт'!E212</f>
        <v>4737.87</v>
      </c>
      <c r="D225" s="138">
        <f t="shared" si="122"/>
        <v>89.695267237449002</v>
      </c>
      <c r="E225" s="104">
        <f t="shared" si="116"/>
        <v>18.488614829292487</v>
      </c>
      <c r="F225" s="323">
        <v>12.671326093886043</v>
      </c>
      <c r="G225" s="104" t="e">
        <f t="shared" si="117"/>
        <v>#REF!</v>
      </c>
      <c r="H225" s="720">
        <f t="shared" si="123"/>
        <v>74.938125874672309</v>
      </c>
      <c r="I225" s="104" t="e">
        <f t="shared" si="124"/>
        <v>#REF!</v>
      </c>
      <c r="J225" s="28"/>
      <c r="K225" s="139" t="e">
        <f t="shared" si="125"/>
        <v>#REF!</v>
      </c>
      <c r="L225" s="200">
        <f t="shared" si="126"/>
        <v>13.87546455427421</v>
      </c>
      <c r="M225" s="104">
        <f t="shared" si="118"/>
        <v>3.0528509221956082</v>
      </c>
      <c r="N225" s="323">
        <v>0</v>
      </c>
      <c r="O225" s="104"/>
      <c r="P225" s="104">
        <f t="shared" si="127"/>
        <v>11.592599491176088</v>
      </c>
      <c r="Q225" s="104">
        <f t="shared" si="128"/>
        <v>3.6710078125655849</v>
      </c>
      <c r="R225" s="104"/>
      <c r="S225" s="140">
        <f t="shared" si="129"/>
        <v>32.191922780211492</v>
      </c>
      <c r="T225" s="880">
        <v>74.916666666666671</v>
      </c>
      <c r="U225" s="104"/>
      <c r="V225" s="148">
        <f t="shared" si="130"/>
        <v>74.916666666666671</v>
      </c>
      <c r="W225" s="236"/>
      <c r="X225" s="104"/>
      <c r="Y225" s="45">
        <f t="shared" si="131"/>
        <v>0</v>
      </c>
      <c r="Z225" s="138">
        <f t="shared" si="132"/>
        <v>0</v>
      </c>
      <c r="AA225" s="104">
        <f t="shared" si="119"/>
        <v>0</v>
      </c>
      <c r="AB225" s="323">
        <v>0</v>
      </c>
      <c r="AC225" s="104"/>
      <c r="AD225" s="104">
        <f t="shared" si="133"/>
        <v>0</v>
      </c>
      <c r="AE225" s="104">
        <f t="shared" si="134"/>
        <v>0</v>
      </c>
      <c r="AF225" s="104"/>
      <c r="AG225" s="139">
        <f t="shared" si="135"/>
        <v>0</v>
      </c>
      <c r="AH225" s="200">
        <f t="shared" si="136"/>
        <v>33.678246632925102</v>
      </c>
      <c r="AI225" s="104">
        <f t="shared" si="120"/>
        <v>6.7176548104716574</v>
      </c>
      <c r="AJ225" s="323">
        <v>4.9750050656706994</v>
      </c>
      <c r="AK225" s="118" t="e">
        <f t="shared" si="121"/>
        <v>#REF!</v>
      </c>
      <c r="AL225" s="104"/>
      <c r="AM225" s="104">
        <f t="shared" si="137"/>
        <v>28.137322772395791</v>
      </c>
      <c r="AN225" s="104" t="e">
        <f t="shared" si="138"/>
        <v>#REF!</v>
      </c>
      <c r="AO225" s="104"/>
      <c r="AP225" s="140" t="e">
        <f t="shared" si="139"/>
        <v>#REF!</v>
      </c>
      <c r="AQ225" s="33"/>
      <c r="AR225" s="28"/>
      <c r="AS225" s="121"/>
      <c r="AT225" s="135" t="e">
        <f t="shared" si="140"/>
        <v>#REF!</v>
      </c>
      <c r="AU225" s="148" t="e">
        <f t="shared" si="141"/>
        <v>#REF!</v>
      </c>
      <c r="AW225" s="1">
        <v>2</v>
      </c>
      <c r="BA225" s="29">
        <v>81.78</v>
      </c>
      <c r="BB225" s="29">
        <v>12.47</v>
      </c>
      <c r="BC225" s="29">
        <v>0</v>
      </c>
      <c r="BD225" s="29">
        <v>32.479999999999997</v>
      </c>
      <c r="BF225" s="279">
        <f>T225*1.2</f>
        <v>89.9</v>
      </c>
      <c r="BI225" s="323">
        <v>0</v>
      </c>
      <c r="BL225" s="107">
        <f t="shared" si="148"/>
        <v>1.0967873225415627</v>
      </c>
      <c r="BM225" s="107">
        <f t="shared" si="148"/>
        <v>1.1127076627324948</v>
      </c>
      <c r="BN225" s="107">
        <f t="shared" si="148"/>
        <v>2.8314493742615632</v>
      </c>
      <c r="BO225" s="107">
        <f t="shared" si="148"/>
        <v>1.036891829831438</v>
      </c>
    </row>
    <row r="226" spans="1:67" x14ac:dyDescent="0.25">
      <c r="A226" s="250" t="s">
        <v>181</v>
      </c>
      <c r="B226" s="227">
        <v>2</v>
      </c>
      <c r="C226" s="226">
        <f>'побудинковий звіт'!E213</f>
        <v>0</v>
      </c>
      <c r="D226" s="138">
        <f t="shared" si="122"/>
        <v>81.14032612162481</v>
      </c>
      <c r="E226" s="104">
        <f t="shared" si="116"/>
        <v>16.725210626938839</v>
      </c>
      <c r="F226" s="323">
        <v>8.9988749163597088</v>
      </c>
      <c r="G226" s="104" t="e">
        <f t="shared" si="117"/>
        <v>#REF!</v>
      </c>
      <c r="H226" s="720">
        <f t="shared" si="123"/>
        <v>67.790689070778384</v>
      </c>
      <c r="I226" s="104" t="e">
        <f t="shared" si="124"/>
        <v>#REF!</v>
      </c>
      <c r="J226" s="28"/>
      <c r="K226" s="139" t="e">
        <f t="shared" si="125"/>
        <v>#REF!</v>
      </c>
      <c r="L226" s="200">
        <f t="shared" si="126"/>
        <v>15.666923891273527</v>
      </c>
      <c r="M226" s="104">
        <f t="shared" si="118"/>
        <v>3.4470040885737103</v>
      </c>
      <c r="N226" s="323">
        <v>0</v>
      </c>
      <c r="O226" s="104"/>
      <c r="P226" s="104">
        <f t="shared" si="127"/>
        <v>13.089318431095375</v>
      </c>
      <c r="Q226" s="104">
        <f t="shared" si="128"/>
        <v>4.1449711307877655</v>
      </c>
      <c r="R226" s="104"/>
      <c r="S226" s="140">
        <f t="shared" si="129"/>
        <v>36.348217541730378</v>
      </c>
      <c r="T226" s="234">
        <v>51.43</v>
      </c>
      <c r="U226" s="104"/>
      <c r="V226" s="148">
        <f t="shared" si="130"/>
        <v>51.43</v>
      </c>
      <c r="W226" s="236"/>
      <c r="X226" s="104"/>
      <c r="Y226" s="45">
        <f t="shared" si="131"/>
        <v>0</v>
      </c>
      <c r="Z226" s="138">
        <f t="shared" si="132"/>
        <v>0</v>
      </c>
      <c r="AA226" s="104">
        <f t="shared" si="119"/>
        <v>0</v>
      </c>
      <c r="AB226" s="323">
        <v>0</v>
      </c>
      <c r="AC226" s="104"/>
      <c r="AD226" s="104">
        <f t="shared" si="133"/>
        <v>0</v>
      </c>
      <c r="AE226" s="104">
        <f t="shared" si="134"/>
        <v>0</v>
      </c>
      <c r="AF226" s="104"/>
      <c r="AG226" s="139">
        <f t="shared" si="135"/>
        <v>0</v>
      </c>
      <c r="AH226" s="200">
        <f t="shared" si="136"/>
        <v>37.369581547125023</v>
      </c>
      <c r="AI226" s="104">
        <f t="shared" si="120"/>
        <v>7.4539494879740928</v>
      </c>
      <c r="AJ226" s="323">
        <v>3.533130468154233</v>
      </c>
      <c r="AK226" s="118" t="e">
        <f t="shared" si="121"/>
        <v>#REF!</v>
      </c>
      <c r="AL226" s="104"/>
      <c r="AM226" s="104">
        <f t="shared" si="137"/>
        <v>31.221339677251983</v>
      </c>
      <c r="AN226" s="104" t="e">
        <f t="shared" si="138"/>
        <v>#REF!</v>
      </c>
      <c r="AO226" s="104"/>
      <c r="AP226" s="140" t="e">
        <f t="shared" si="139"/>
        <v>#REF!</v>
      </c>
      <c r="AQ226" s="33"/>
      <c r="AR226" s="28"/>
      <c r="AS226" s="121"/>
      <c r="AT226" s="135" t="e">
        <f t="shared" si="140"/>
        <v>#REF!</v>
      </c>
      <c r="AU226" s="148" t="e">
        <f t="shared" si="141"/>
        <v>#REF!</v>
      </c>
      <c r="AW226" s="1">
        <v>2</v>
      </c>
      <c r="BA226" s="29">
        <v>73.98</v>
      </c>
      <c r="BB226" s="29">
        <v>14.08</v>
      </c>
      <c r="BC226" s="29">
        <v>0</v>
      </c>
      <c r="BD226" s="29">
        <v>36.04</v>
      </c>
      <c r="BI226" s="323">
        <v>0</v>
      </c>
      <c r="BL226" s="107">
        <f t="shared" si="148"/>
        <v>1.0967873225415627</v>
      </c>
      <c r="BM226" s="107">
        <f t="shared" si="148"/>
        <v>1.1127076627324948</v>
      </c>
      <c r="BN226" s="107">
        <f t="shared" si="148"/>
        <v>2.8314493742615632</v>
      </c>
      <c r="BO226" s="107">
        <f t="shared" si="148"/>
        <v>1.036891829831438</v>
      </c>
    </row>
    <row r="227" spans="1:67" x14ac:dyDescent="0.25">
      <c r="A227" s="250" t="s">
        <v>217</v>
      </c>
      <c r="B227" s="227">
        <v>4</v>
      </c>
      <c r="C227" s="226">
        <f>'побудинковий звіт'!E214</f>
        <v>285.5</v>
      </c>
      <c r="D227" s="138">
        <f t="shared" si="122"/>
        <v>170.38591055683176</v>
      </c>
      <c r="E227" s="104">
        <f t="shared" si="116"/>
        <v>35.121133696876839</v>
      </c>
      <c r="F227" s="323">
        <v>27.013480520404546</v>
      </c>
      <c r="G227" s="104" t="e">
        <f t="shared" si="117"/>
        <v>#REF!</v>
      </c>
      <c r="H227" s="720">
        <f t="shared" si="123"/>
        <v>142.35311634422035</v>
      </c>
      <c r="I227" s="104" t="e">
        <f t="shared" si="124"/>
        <v>#REF!</v>
      </c>
      <c r="J227" s="28"/>
      <c r="K227" s="139" t="e">
        <f t="shared" si="125"/>
        <v>#REF!</v>
      </c>
      <c r="L227" s="200">
        <f t="shared" si="126"/>
        <v>34.271396012160842</v>
      </c>
      <c r="M227" s="104">
        <f t="shared" si="118"/>
        <v>7.5403214437549915</v>
      </c>
      <c r="N227" s="323">
        <v>0</v>
      </c>
      <c r="O227" s="104"/>
      <c r="P227" s="104">
        <f t="shared" si="127"/>
        <v>28.632884068021134</v>
      </c>
      <c r="Q227" s="104">
        <f t="shared" si="128"/>
        <v>9.0671243485982362</v>
      </c>
      <c r="R227" s="104"/>
      <c r="S227" s="140">
        <f t="shared" si="129"/>
        <v>79.511725872535209</v>
      </c>
      <c r="T227" s="880">
        <v>159.85833333333335</v>
      </c>
      <c r="U227" s="104"/>
      <c r="V227" s="148">
        <f t="shared" si="130"/>
        <v>159.85833333333335</v>
      </c>
      <c r="W227" s="236"/>
      <c r="X227" s="104"/>
      <c r="Y227" s="45">
        <f t="shared" si="131"/>
        <v>0</v>
      </c>
      <c r="Z227" s="138">
        <f t="shared" si="132"/>
        <v>0</v>
      </c>
      <c r="AA227" s="104">
        <f t="shared" si="119"/>
        <v>0</v>
      </c>
      <c r="AB227" s="323">
        <v>0</v>
      </c>
      <c r="AC227" s="104"/>
      <c r="AD227" s="104">
        <f t="shared" si="133"/>
        <v>0</v>
      </c>
      <c r="AE227" s="104">
        <f t="shared" si="134"/>
        <v>0</v>
      </c>
      <c r="AF227" s="104"/>
      <c r="AG227" s="139">
        <f t="shared" si="135"/>
        <v>0</v>
      </c>
      <c r="AH227" s="200">
        <f t="shared" si="136"/>
        <v>89.380075731469958</v>
      </c>
      <c r="AI227" s="104">
        <f t="shared" si="120"/>
        <v>17.828258764244364</v>
      </c>
      <c r="AJ227" s="323">
        <v>10.606009302787502</v>
      </c>
      <c r="AK227" s="118" t="e">
        <f t="shared" si="121"/>
        <v>#REF!</v>
      </c>
      <c r="AL227" s="104"/>
      <c r="AM227" s="104">
        <f t="shared" si="137"/>
        <v>74.674791347922337</v>
      </c>
      <c r="AN227" s="104" t="e">
        <f t="shared" si="138"/>
        <v>#REF!</v>
      </c>
      <c r="AO227" s="104"/>
      <c r="AP227" s="140" t="e">
        <f t="shared" si="139"/>
        <v>#REF!</v>
      </c>
      <c r="AQ227" s="33"/>
      <c r="AR227" s="28"/>
      <c r="AS227" s="121"/>
      <c r="AT227" s="135" t="e">
        <f t="shared" si="140"/>
        <v>#REF!</v>
      </c>
      <c r="AU227" s="148" t="e">
        <f t="shared" si="141"/>
        <v>#REF!</v>
      </c>
      <c r="AW227" s="1">
        <v>2</v>
      </c>
      <c r="BA227" s="29">
        <v>155.35</v>
      </c>
      <c r="BB227" s="29">
        <v>30.8</v>
      </c>
      <c r="BC227" s="29">
        <v>0</v>
      </c>
      <c r="BD227" s="29">
        <v>86.2</v>
      </c>
      <c r="BF227" s="279">
        <f>T227*1.2</f>
        <v>191.83</v>
      </c>
      <c r="BI227" s="323">
        <v>0</v>
      </c>
      <c r="BL227" s="107">
        <f t="shared" si="148"/>
        <v>1.0967873225415627</v>
      </c>
      <c r="BM227" s="107">
        <f t="shared" si="148"/>
        <v>1.1127076627324948</v>
      </c>
      <c r="BN227" s="107">
        <f t="shared" si="148"/>
        <v>2.8314493742615632</v>
      </c>
      <c r="BO227" s="107">
        <f t="shared" si="148"/>
        <v>1.036891829831438</v>
      </c>
    </row>
    <row r="228" spans="1:67" x14ac:dyDescent="0.25">
      <c r="A228" s="425" t="s">
        <v>428</v>
      </c>
      <c r="B228" s="229">
        <v>5</v>
      </c>
      <c r="C228" s="226">
        <f>'побудинковий звіт'!E215</f>
        <v>3826</v>
      </c>
      <c r="D228" s="138">
        <f t="shared" si="122"/>
        <v>479.10960610583084</v>
      </c>
      <c r="E228" s="104">
        <f t="shared" si="116"/>
        <v>98.757417655659538</v>
      </c>
      <c r="F228" s="323">
        <v>67.722275242714531</v>
      </c>
      <c r="G228" s="104" t="e">
        <f t="shared" si="117"/>
        <v>#REF!</v>
      </c>
      <c r="H228" s="720">
        <f t="shared" si="123"/>
        <v>400.2839511596124</v>
      </c>
      <c r="I228" s="104" t="e">
        <f t="shared" si="124"/>
        <v>#REF!</v>
      </c>
      <c r="J228" s="28"/>
      <c r="K228" s="139" t="e">
        <f t="shared" si="125"/>
        <v>#REF!</v>
      </c>
      <c r="L228" s="200">
        <f t="shared" si="126"/>
        <v>96.927964500627624</v>
      </c>
      <c r="M228" s="104">
        <f t="shared" si="118"/>
        <v>21.325889641736925</v>
      </c>
      <c r="N228" s="323">
        <v>0</v>
      </c>
      <c r="O228" s="104"/>
      <c r="P228" s="104">
        <f t="shared" si="127"/>
        <v>80.980861401471458</v>
      </c>
      <c r="Q228" s="104">
        <f t="shared" si="128"/>
        <v>25.644065000207544</v>
      </c>
      <c r="R228" s="104"/>
      <c r="S228" s="140">
        <f t="shared" si="129"/>
        <v>224.87878054404354</v>
      </c>
      <c r="T228" s="880">
        <v>368.83333333333337</v>
      </c>
      <c r="U228" s="104"/>
      <c r="V228" s="148">
        <f t="shared" si="130"/>
        <v>368.83333333333337</v>
      </c>
      <c r="W228" s="236"/>
      <c r="X228" s="104"/>
      <c r="Y228" s="45">
        <f t="shared" si="131"/>
        <v>0</v>
      </c>
      <c r="Z228" s="138">
        <f t="shared" si="132"/>
        <v>0</v>
      </c>
      <c r="AA228" s="104">
        <f t="shared" si="119"/>
        <v>0</v>
      </c>
      <c r="AB228" s="323">
        <v>0</v>
      </c>
      <c r="AC228" s="104"/>
      <c r="AD228" s="104">
        <f t="shared" si="133"/>
        <v>0</v>
      </c>
      <c r="AE228" s="104">
        <f t="shared" si="134"/>
        <v>0</v>
      </c>
      <c r="AF228" s="104"/>
      <c r="AG228" s="139">
        <f t="shared" si="135"/>
        <v>0</v>
      </c>
      <c r="AH228" s="200">
        <f t="shared" si="136"/>
        <v>241.4091558213554</v>
      </c>
      <c r="AI228" s="104">
        <f t="shared" si="120"/>
        <v>48.152844611268826</v>
      </c>
      <c r="AJ228" s="323">
        <v>26.589060994477492</v>
      </c>
      <c r="AK228" s="118" t="e">
        <f t="shared" si="121"/>
        <v>#REF!</v>
      </c>
      <c r="AL228" s="104"/>
      <c r="AM228" s="104">
        <f t="shared" si="137"/>
        <v>201.69124039006124</v>
      </c>
      <c r="AN228" s="104" t="e">
        <f t="shared" si="138"/>
        <v>#REF!</v>
      </c>
      <c r="AO228" s="104"/>
      <c r="AP228" s="140" t="e">
        <f t="shared" si="139"/>
        <v>#REF!</v>
      </c>
      <c r="AQ228" s="33"/>
      <c r="AR228" s="28"/>
      <c r="AS228" s="121"/>
      <c r="AT228" s="135" t="e">
        <f t="shared" si="140"/>
        <v>#REF!</v>
      </c>
      <c r="AU228" s="148" t="e">
        <f t="shared" si="141"/>
        <v>#REF!</v>
      </c>
      <c r="AW228" s="1">
        <v>2</v>
      </c>
      <c r="BA228" s="29">
        <v>436.83</v>
      </c>
      <c r="BB228" s="29">
        <v>87.11</v>
      </c>
      <c r="BC228" s="29">
        <v>0</v>
      </c>
      <c r="BD228" s="29">
        <v>232.82</v>
      </c>
      <c r="BF228" s="279">
        <f>T228*1.2</f>
        <v>442.6</v>
      </c>
      <c r="BI228" s="323">
        <v>0</v>
      </c>
      <c r="BL228" s="107">
        <f t="shared" si="148"/>
        <v>1.0967873225415627</v>
      </c>
      <c r="BM228" s="107">
        <f t="shared" si="148"/>
        <v>1.1127076627324948</v>
      </c>
      <c r="BN228" s="107">
        <f t="shared" si="148"/>
        <v>2.8314493742615632</v>
      </c>
      <c r="BO228" s="107">
        <f t="shared" si="148"/>
        <v>1.036891829831438</v>
      </c>
    </row>
    <row r="229" spans="1:67" x14ac:dyDescent="0.25">
      <c r="A229" s="250" t="s">
        <v>182</v>
      </c>
      <c r="B229" s="227">
        <v>2</v>
      </c>
      <c r="C229" s="226">
        <f>'побудинковий звіт'!E216</f>
        <v>15465.15</v>
      </c>
      <c r="D229" s="138">
        <f t="shared" si="122"/>
        <v>131.50479997273337</v>
      </c>
      <c r="E229" s="104">
        <f t="shared" si="116"/>
        <v>27.106687674641346</v>
      </c>
      <c r="F229" s="323">
        <v>12.711358550783919</v>
      </c>
      <c r="G229" s="104" t="e">
        <f t="shared" si="117"/>
        <v>#REF!</v>
      </c>
      <c r="H229" s="720">
        <f t="shared" si="123"/>
        <v>109.86893240857432</v>
      </c>
      <c r="I229" s="104" t="e">
        <f t="shared" si="124"/>
        <v>#REF!</v>
      </c>
      <c r="J229" s="28"/>
      <c r="K229" s="139" t="e">
        <f t="shared" si="125"/>
        <v>#REF!</v>
      </c>
      <c r="L229" s="200">
        <f t="shared" si="126"/>
        <v>23.199954767972518</v>
      </c>
      <c r="M229" s="104">
        <f t="shared" si="118"/>
        <v>5.104405912412064</v>
      </c>
      <c r="N229" s="323">
        <v>0</v>
      </c>
      <c r="O229" s="104"/>
      <c r="P229" s="104">
        <f t="shared" si="127"/>
        <v>19.382975091501319</v>
      </c>
      <c r="Q229" s="104">
        <f t="shared" si="128"/>
        <v>6.1379721645543253</v>
      </c>
      <c r="R229" s="104"/>
      <c r="S229" s="140">
        <f t="shared" si="129"/>
        <v>53.825307936440225</v>
      </c>
      <c r="T229" s="880">
        <v>68.88333333333334</v>
      </c>
      <c r="U229" s="104"/>
      <c r="V229" s="148">
        <f t="shared" si="130"/>
        <v>68.88333333333334</v>
      </c>
      <c r="W229" s="236"/>
      <c r="X229" s="104"/>
      <c r="Y229" s="45">
        <f t="shared" si="131"/>
        <v>0</v>
      </c>
      <c r="Z229" s="138">
        <f t="shared" si="132"/>
        <v>0</v>
      </c>
      <c r="AA229" s="104">
        <f t="shared" si="119"/>
        <v>0</v>
      </c>
      <c r="AB229" s="323">
        <v>0</v>
      </c>
      <c r="AC229" s="104"/>
      <c r="AD229" s="104">
        <f t="shared" si="133"/>
        <v>0</v>
      </c>
      <c r="AE229" s="104">
        <f t="shared" si="134"/>
        <v>0</v>
      </c>
      <c r="AF229" s="104"/>
      <c r="AG229" s="139">
        <f t="shared" si="135"/>
        <v>0</v>
      </c>
      <c r="AH229" s="200">
        <f t="shared" si="136"/>
        <v>37.960609890128943</v>
      </c>
      <c r="AI229" s="104">
        <f t="shared" si="120"/>
        <v>7.5718393661135277</v>
      </c>
      <c r="AJ229" s="323">
        <v>4.9907225741921062</v>
      </c>
      <c r="AK229" s="118" t="e">
        <f t="shared" si="121"/>
        <v>#REF!</v>
      </c>
      <c r="AL229" s="104"/>
      <c r="AM229" s="104">
        <f t="shared" si="137"/>
        <v>31.715128900782329</v>
      </c>
      <c r="AN229" s="104" t="e">
        <f t="shared" si="138"/>
        <v>#REF!</v>
      </c>
      <c r="AO229" s="104"/>
      <c r="AP229" s="140" t="e">
        <f t="shared" si="139"/>
        <v>#REF!</v>
      </c>
      <c r="AQ229" s="33"/>
      <c r="AR229" s="28"/>
      <c r="AS229" s="121"/>
      <c r="AT229" s="135" t="e">
        <f t="shared" si="140"/>
        <v>#REF!</v>
      </c>
      <c r="AU229" s="148" t="e">
        <f t="shared" si="141"/>
        <v>#REF!</v>
      </c>
      <c r="AW229" s="1">
        <v>2</v>
      </c>
      <c r="BA229" s="29">
        <v>119.9</v>
      </c>
      <c r="BB229" s="29">
        <v>20.85</v>
      </c>
      <c r="BC229" s="29">
        <v>0</v>
      </c>
      <c r="BD229" s="29">
        <v>36.61</v>
      </c>
      <c r="BF229" s="279">
        <f>T229*1.2</f>
        <v>82.660000000000011</v>
      </c>
      <c r="BI229" s="323">
        <v>0</v>
      </c>
      <c r="BL229" s="107">
        <f t="shared" si="148"/>
        <v>1.0967873225415627</v>
      </c>
      <c r="BM229" s="107">
        <f t="shared" si="148"/>
        <v>1.1127076627324948</v>
      </c>
      <c r="BN229" s="107">
        <f t="shared" si="148"/>
        <v>2.8314493742615632</v>
      </c>
      <c r="BO229" s="107">
        <f t="shared" si="148"/>
        <v>1.036891829831438</v>
      </c>
    </row>
    <row r="230" spans="1:67" x14ac:dyDescent="0.25">
      <c r="A230" s="250" t="s">
        <v>385</v>
      </c>
      <c r="B230" s="227">
        <v>9</v>
      </c>
      <c r="C230" s="226">
        <f>'побудинковий звіт'!E217</f>
        <v>479.4</v>
      </c>
      <c r="D230" s="138">
        <f t="shared" si="122"/>
        <v>571.40425929770333</v>
      </c>
      <c r="E230" s="104">
        <f t="shared" si="116"/>
        <v>117.78183606951333</v>
      </c>
      <c r="F230" s="323">
        <v>88.456980944399362</v>
      </c>
      <c r="G230" s="104" t="e">
        <f t="shared" si="117"/>
        <v>#REF!</v>
      </c>
      <c r="H230" s="720">
        <f t="shared" si="123"/>
        <v>477.39379821700629</v>
      </c>
      <c r="I230" s="104" t="e">
        <f t="shared" si="124"/>
        <v>#REF!</v>
      </c>
      <c r="J230" s="28"/>
      <c r="K230" s="139" t="e">
        <f t="shared" si="125"/>
        <v>#REF!</v>
      </c>
      <c r="L230" s="200">
        <f t="shared" si="126"/>
        <v>89.283662857655372</v>
      </c>
      <c r="M230" s="104">
        <f t="shared" si="118"/>
        <v>19.644006254769494</v>
      </c>
      <c r="N230" s="323">
        <v>0</v>
      </c>
      <c r="O230" s="104"/>
      <c r="P230" s="104">
        <f t="shared" si="127"/>
        <v>74.594240831753751</v>
      </c>
      <c r="Q230" s="104">
        <f t="shared" si="128"/>
        <v>23.621625251023456</v>
      </c>
      <c r="R230" s="104"/>
      <c r="S230" s="140">
        <f t="shared" si="129"/>
        <v>207.14353519520208</v>
      </c>
      <c r="T230" s="880">
        <v>505.67499999999995</v>
      </c>
      <c r="U230" s="104"/>
      <c r="V230" s="148">
        <f t="shared" si="130"/>
        <v>505.67499999999995</v>
      </c>
      <c r="W230" s="882">
        <v>125.85000000000001</v>
      </c>
      <c r="X230" s="104"/>
      <c r="Y230" s="45">
        <f t="shared" si="131"/>
        <v>125.85000000000001</v>
      </c>
      <c r="Z230" s="138">
        <f t="shared" si="132"/>
        <v>74.665319999277429</v>
      </c>
      <c r="AA230" s="104">
        <f t="shared" si="119"/>
        <v>16.412028358148898</v>
      </c>
      <c r="AB230" s="323">
        <v>0</v>
      </c>
      <c r="AC230" s="104"/>
      <c r="AD230" s="104">
        <f t="shared" si="133"/>
        <v>62.380985317388451</v>
      </c>
      <c r="AE230" s="104">
        <f t="shared" si="134"/>
        <v>19.752057129394387</v>
      </c>
      <c r="AF230" s="104"/>
      <c r="AG230" s="139">
        <f t="shared" si="135"/>
        <v>173.21039080420917</v>
      </c>
      <c r="AH230" s="200">
        <f t="shared" si="136"/>
        <v>193.61881138442442</v>
      </c>
      <c r="AI230" s="104">
        <f t="shared" si="120"/>
        <v>38.620310429783643</v>
      </c>
      <c r="AJ230" s="323">
        <v>34.729903171275858</v>
      </c>
      <c r="AK230" s="118" t="e">
        <f t="shared" si="121"/>
        <v>#REF!</v>
      </c>
      <c r="AL230" s="408"/>
      <c r="AM230" s="104">
        <f t="shared" si="137"/>
        <v>161.76361703477423</v>
      </c>
      <c r="AN230" s="104" t="e">
        <f t="shared" si="138"/>
        <v>#REF!</v>
      </c>
      <c r="AO230" s="104"/>
      <c r="AP230" s="140" t="e">
        <f t="shared" si="139"/>
        <v>#REF!</v>
      </c>
      <c r="AQ230" s="33"/>
      <c r="AR230" s="28"/>
      <c r="AS230" s="121"/>
      <c r="AT230" s="135" t="e">
        <f t="shared" si="140"/>
        <v>#REF!</v>
      </c>
      <c r="AU230" s="148" t="e">
        <f t="shared" si="141"/>
        <v>#REF!</v>
      </c>
      <c r="AW230" s="1">
        <v>2</v>
      </c>
      <c r="BA230" s="29">
        <v>520.98</v>
      </c>
      <c r="BB230" s="29">
        <v>80.239999999999995</v>
      </c>
      <c r="BC230" s="29">
        <v>26.37</v>
      </c>
      <c r="BD230" s="29">
        <v>186.73</v>
      </c>
      <c r="BF230" s="279">
        <f>T230*1.2</f>
        <v>606.80999999999995</v>
      </c>
      <c r="BI230" s="323">
        <v>0</v>
      </c>
      <c r="BL230" s="107">
        <f t="shared" si="148"/>
        <v>1.0967873225415627</v>
      </c>
      <c r="BM230" s="107">
        <f t="shared" si="148"/>
        <v>1.1127076627324948</v>
      </c>
      <c r="BN230" s="107">
        <f t="shared" si="148"/>
        <v>2.8314493742615632</v>
      </c>
      <c r="BO230" s="107">
        <f t="shared" si="148"/>
        <v>1.036891829831438</v>
      </c>
    </row>
    <row r="231" spans="1:67" x14ac:dyDescent="0.25">
      <c r="A231" s="424" t="s">
        <v>127</v>
      </c>
      <c r="B231" s="228">
        <v>1</v>
      </c>
      <c r="C231" s="226">
        <f>'побудинковий звіт'!E218</f>
        <v>5144.8999999999996</v>
      </c>
      <c r="D231" s="138">
        <f t="shared" si="122"/>
        <v>0</v>
      </c>
      <c r="E231" s="104">
        <f t="shared" si="116"/>
        <v>0</v>
      </c>
      <c r="F231" s="323">
        <v>0</v>
      </c>
      <c r="G231" s="104" t="e">
        <f t="shared" si="117"/>
        <v>#REF!</v>
      </c>
      <c r="H231" s="720">
        <f t="shared" si="123"/>
        <v>0</v>
      </c>
      <c r="I231" s="104" t="e">
        <f t="shared" si="124"/>
        <v>#REF!</v>
      </c>
      <c r="J231" s="28"/>
      <c r="K231" s="139" t="e">
        <f t="shared" si="125"/>
        <v>#REF!</v>
      </c>
      <c r="L231" s="200">
        <f t="shared" si="126"/>
        <v>0</v>
      </c>
      <c r="M231" s="104">
        <f t="shared" si="118"/>
        <v>0</v>
      </c>
      <c r="N231" s="323">
        <v>0</v>
      </c>
      <c r="O231" s="104"/>
      <c r="P231" s="104">
        <f t="shared" si="127"/>
        <v>0</v>
      </c>
      <c r="Q231" s="104">
        <f t="shared" si="128"/>
        <v>0</v>
      </c>
      <c r="R231" s="104"/>
      <c r="S231" s="140">
        <f t="shared" si="129"/>
        <v>0</v>
      </c>
      <c r="T231" s="235"/>
      <c r="U231" s="104"/>
      <c r="V231" s="148">
        <f t="shared" si="130"/>
        <v>0</v>
      </c>
      <c r="W231" s="236"/>
      <c r="X231" s="104"/>
      <c r="Y231" s="45">
        <f t="shared" si="131"/>
        <v>0</v>
      </c>
      <c r="Z231" s="138">
        <f t="shared" si="132"/>
        <v>0</v>
      </c>
      <c r="AA231" s="104">
        <f t="shared" si="119"/>
        <v>0</v>
      </c>
      <c r="AB231" s="323">
        <v>0</v>
      </c>
      <c r="AC231" s="104"/>
      <c r="AD231" s="104">
        <f t="shared" si="133"/>
        <v>0</v>
      </c>
      <c r="AE231" s="104">
        <f t="shared" si="134"/>
        <v>0</v>
      </c>
      <c r="AF231" s="104"/>
      <c r="AG231" s="139">
        <f t="shared" si="135"/>
        <v>0</v>
      </c>
      <c r="AH231" s="200">
        <f t="shared" si="136"/>
        <v>0</v>
      </c>
      <c r="AI231" s="104">
        <f t="shared" si="120"/>
        <v>0</v>
      </c>
      <c r="AJ231" s="323">
        <v>0</v>
      </c>
      <c r="AK231" s="118" t="e">
        <f t="shared" si="121"/>
        <v>#REF!</v>
      </c>
      <c r="AL231" s="104"/>
      <c r="AM231" s="104">
        <f t="shared" si="137"/>
        <v>0</v>
      </c>
      <c r="AN231" s="104" t="e">
        <f t="shared" si="138"/>
        <v>#REF!</v>
      </c>
      <c r="AO231" s="104"/>
      <c r="AP231" s="140" t="e">
        <f t="shared" si="139"/>
        <v>#REF!</v>
      </c>
      <c r="AQ231" s="33"/>
      <c r="AR231" s="28"/>
      <c r="AS231" s="121"/>
      <c r="AT231" s="135">
        <f t="shared" si="140"/>
        <v>0</v>
      </c>
      <c r="AU231" s="148" t="e">
        <f t="shared" si="141"/>
        <v>#REF!</v>
      </c>
      <c r="AW231" s="1">
        <v>2</v>
      </c>
      <c r="BA231" s="29">
        <v>0</v>
      </c>
      <c r="BB231" s="29">
        <v>0</v>
      </c>
      <c r="BC231" s="29">
        <v>0</v>
      </c>
      <c r="BD231" s="29">
        <v>0</v>
      </c>
      <c r="BI231" s="323">
        <v>0</v>
      </c>
      <c r="BL231" s="107">
        <f t="shared" si="148"/>
        <v>1.0967873225415627</v>
      </c>
      <c r="BM231" s="107">
        <f t="shared" si="148"/>
        <v>1.1127076627324948</v>
      </c>
      <c r="BN231" s="107">
        <f t="shared" si="148"/>
        <v>2.8314493742615632</v>
      </c>
      <c r="BO231" s="107">
        <f t="shared" si="148"/>
        <v>1.036891829831438</v>
      </c>
    </row>
    <row r="232" spans="1:67" x14ac:dyDescent="0.25">
      <c r="A232" s="250" t="s">
        <v>183</v>
      </c>
      <c r="B232" s="227">
        <v>2</v>
      </c>
      <c r="C232" s="226">
        <f>'побудинковий звіт'!E219</f>
        <v>404.5</v>
      </c>
      <c r="D232" s="138">
        <f t="shared" si="122"/>
        <v>71.422790443906578</v>
      </c>
      <c r="E232" s="104">
        <f t="shared" si="116"/>
        <v>14.722164315034568</v>
      </c>
      <c r="F232" s="323">
        <v>8.6111921758750007</v>
      </c>
      <c r="G232" s="104" t="e">
        <f t="shared" si="117"/>
        <v>#REF!</v>
      </c>
      <c r="H232" s="720">
        <f t="shared" si="123"/>
        <v>59.671933931996342</v>
      </c>
      <c r="I232" s="104" t="e">
        <f t="shared" si="124"/>
        <v>#REF!</v>
      </c>
      <c r="J232" s="28"/>
      <c r="K232" s="139" t="e">
        <f t="shared" si="125"/>
        <v>#REF!</v>
      </c>
      <c r="L232" s="200">
        <f t="shared" si="126"/>
        <v>12.618104895386491</v>
      </c>
      <c r="M232" s="104">
        <f t="shared" si="118"/>
        <v>2.7762092588370648</v>
      </c>
      <c r="N232" s="323">
        <v>0</v>
      </c>
      <c r="O232" s="104"/>
      <c r="P232" s="104">
        <f t="shared" si="127"/>
        <v>10.542107315953235</v>
      </c>
      <c r="Q232" s="104">
        <f t="shared" si="128"/>
        <v>3.3383503283475324</v>
      </c>
      <c r="R232" s="104"/>
      <c r="S232" s="140">
        <f t="shared" si="129"/>
        <v>29.27477179852432</v>
      </c>
      <c r="T232" s="880">
        <v>47.75</v>
      </c>
      <c r="U232" s="104"/>
      <c r="V232" s="148">
        <f t="shared" si="130"/>
        <v>47.75</v>
      </c>
      <c r="W232" s="236"/>
      <c r="X232" s="104"/>
      <c r="Y232" s="45">
        <f t="shared" si="131"/>
        <v>0</v>
      </c>
      <c r="Z232" s="138">
        <f t="shared" si="132"/>
        <v>0</v>
      </c>
      <c r="AA232" s="104">
        <f t="shared" si="119"/>
        <v>0</v>
      </c>
      <c r="AB232" s="323">
        <v>0</v>
      </c>
      <c r="AC232" s="104"/>
      <c r="AD232" s="104">
        <f t="shared" si="133"/>
        <v>0</v>
      </c>
      <c r="AE232" s="104">
        <f t="shared" si="134"/>
        <v>0</v>
      </c>
      <c r="AF232" s="104"/>
      <c r="AG232" s="139">
        <f t="shared" si="135"/>
        <v>0</v>
      </c>
      <c r="AH232" s="200">
        <f t="shared" si="136"/>
        <v>29.706950924670696</v>
      </c>
      <c r="AI232" s="104">
        <f t="shared" si="120"/>
        <v>5.9255175591137004</v>
      </c>
      <c r="AJ232" s="323">
        <v>3.3809188066837623</v>
      </c>
      <c r="AK232" s="118" t="e">
        <f t="shared" si="121"/>
        <v>#REF!</v>
      </c>
      <c r="AL232" s="104"/>
      <c r="AM232" s="104">
        <f t="shared" si="137"/>
        <v>24.819405709025229</v>
      </c>
      <c r="AN232" s="104" t="e">
        <f t="shared" si="138"/>
        <v>#REF!</v>
      </c>
      <c r="AO232" s="104"/>
      <c r="AP232" s="140" t="e">
        <f t="shared" si="139"/>
        <v>#REF!</v>
      </c>
      <c r="AQ232" s="33"/>
      <c r="AR232" s="28"/>
      <c r="AS232" s="121"/>
      <c r="AT232" s="135" t="e">
        <f t="shared" si="140"/>
        <v>#REF!</v>
      </c>
      <c r="AU232" s="148" t="e">
        <f t="shared" si="141"/>
        <v>#REF!</v>
      </c>
      <c r="AW232" s="1">
        <v>2</v>
      </c>
      <c r="BA232" s="29">
        <v>65.12</v>
      </c>
      <c r="BB232" s="29">
        <v>11.34</v>
      </c>
      <c r="BC232" s="29">
        <v>0</v>
      </c>
      <c r="BD232" s="29">
        <v>28.65</v>
      </c>
      <c r="BF232" s="279">
        <f>T232*1.2</f>
        <v>57.3</v>
      </c>
      <c r="BI232" s="323">
        <v>0</v>
      </c>
      <c r="BL232" s="107">
        <f t="shared" si="148"/>
        <v>1.0967873225415627</v>
      </c>
      <c r="BM232" s="107">
        <f t="shared" si="148"/>
        <v>1.1127076627324948</v>
      </c>
      <c r="BN232" s="107">
        <f t="shared" si="148"/>
        <v>2.8314493742615632</v>
      </c>
      <c r="BO232" s="107">
        <f t="shared" si="148"/>
        <v>1.036891829831438</v>
      </c>
    </row>
    <row r="233" spans="1:67" x14ac:dyDescent="0.25">
      <c r="A233" s="250" t="s">
        <v>184</v>
      </c>
      <c r="B233" s="227">
        <v>2</v>
      </c>
      <c r="C233" s="226">
        <f>'побудинковий звіт'!E220</f>
        <v>7448.76</v>
      </c>
      <c r="D233" s="138">
        <f t="shared" si="122"/>
        <v>72.771838850632676</v>
      </c>
      <c r="E233" s="104">
        <f t="shared" si="116"/>
        <v>15.000239593098025</v>
      </c>
      <c r="F233" s="323">
        <v>9.494013199043982</v>
      </c>
      <c r="G233" s="104" t="e">
        <f t="shared" si="117"/>
        <v>#REF!</v>
      </c>
      <c r="H233" s="720">
        <f t="shared" si="123"/>
        <v>60.799029735687284</v>
      </c>
      <c r="I233" s="104" t="e">
        <f t="shared" si="124"/>
        <v>#REF!</v>
      </c>
      <c r="J233" s="28"/>
      <c r="K233" s="139" t="e">
        <f t="shared" si="125"/>
        <v>#REF!</v>
      </c>
      <c r="L233" s="200">
        <f t="shared" si="126"/>
        <v>12.618104895386491</v>
      </c>
      <c r="M233" s="104">
        <f t="shared" si="118"/>
        <v>2.7762092588370648</v>
      </c>
      <c r="N233" s="323">
        <v>0</v>
      </c>
      <c r="O233" s="104"/>
      <c r="P233" s="104">
        <f t="shared" si="127"/>
        <v>10.542107315953235</v>
      </c>
      <c r="Q233" s="104">
        <f t="shared" si="128"/>
        <v>3.3383503283475324</v>
      </c>
      <c r="R233" s="104"/>
      <c r="S233" s="140">
        <f t="shared" si="129"/>
        <v>29.27477179852432</v>
      </c>
      <c r="T233" s="880">
        <v>53.75833333333334</v>
      </c>
      <c r="U233" s="104"/>
      <c r="V233" s="148">
        <f t="shared" si="130"/>
        <v>53.75833333333334</v>
      </c>
      <c r="W233" s="236"/>
      <c r="X233" s="104"/>
      <c r="Y233" s="45">
        <f t="shared" si="131"/>
        <v>0</v>
      </c>
      <c r="Z233" s="138">
        <f t="shared" si="132"/>
        <v>0</v>
      </c>
      <c r="AA233" s="104">
        <f t="shared" si="119"/>
        <v>0</v>
      </c>
      <c r="AB233" s="323">
        <v>0</v>
      </c>
      <c r="AC233" s="104"/>
      <c r="AD233" s="104">
        <f t="shared" si="133"/>
        <v>0</v>
      </c>
      <c r="AE233" s="104">
        <f t="shared" si="134"/>
        <v>0</v>
      </c>
      <c r="AF233" s="104"/>
      <c r="AG233" s="139">
        <f t="shared" si="135"/>
        <v>0</v>
      </c>
      <c r="AH233" s="200">
        <f t="shared" si="136"/>
        <v>29.706950924670696</v>
      </c>
      <c r="AI233" s="104">
        <f t="shared" si="120"/>
        <v>5.9255175591137004</v>
      </c>
      <c r="AJ233" s="323">
        <v>3.7275312314453233</v>
      </c>
      <c r="AK233" s="118" t="e">
        <f t="shared" si="121"/>
        <v>#REF!</v>
      </c>
      <c r="AL233" s="104"/>
      <c r="AM233" s="104">
        <f t="shared" si="137"/>
        <v>24.819405709025229</v>
      </c>
      <c r="AN233" s="104" t="e">
        <f t="shared" si="138"/>
        <v>#REF!</v>
      </c>
      <c r="AO233" s="104"/>
      <c r="AP233" s="140" t="e">
        <f t="shared" si="139"/>
        <v>#REF!</v>
      </c>
      <c r="AQ233" s="33"/>
      <c r="AR233" s="28"/>
      <c r="AS233" s="121"/>
      <c r="AT233" s="135" t="e">
        <f t="shared" si="140"/>
        <v>#REF!</v>
      </c>
      <c r="AU233" s="148" t="e">
        <f t="shared" si="141"/>
        <v>#REF!</v>
      </c>
      <c r="AW233" s="1">
        <v>2</v>
      </c>
      <c r="BA233" s="29">
        <v>66.349999999999994</v>
      </c>
      <c r="BB233" s="29">
        <v>11.34</v>
      </c>
      <c r="BC233" s="29">
        <v>0</v>
      </c>
      <c r="BD233" s="29">
        <v>28.65</v>
      </c>
      <c r="BF233" s="279">
        <f t="shared" ref="BF233:BF239" si="149">T233*1.2</f>
        <v>64.510000000000005</v>
      </c>
      <c r="BG233" s="1">
        <v>51.61</v>
      </c>
      <c r="BI233" s="323">
        <v>0</v>
      </c>
      <c r="BL233" s="107">
        <f t="shared" si="148"/>
        <v>1.0967873225415627</v>
      </c>
      <c r="BM233" s="107">
        <f t="shared" si="148"/>
        <v>1.1127076627324948</v>
      </c>
      <c r="BN233" s="107">
        <f t="shared" si="148"/>
        <v>2.8314493742615632</v>
      </c>
      <c r="BO233" s="107">
        <f t="shared" si="148"/>
        <v>1.036891829831438</v>
      </c>
    </row>
    <row r="234" spans="1:67" x14ac:dyDescent="0.25">
      <c r="A234" s="250" t="s">
        <v>273</v>
      </c>
      <c r="B234" s="227">
        <v>5</v>
      </c>
      <c r="C234" s="226">
        <f>'побудинковий звіт'!E221</f>
        <v>6115.75</v>
      </c>
      <c r="D234" s="138">
        <f t="shared" si="122"/>
        <v>309.31596070317153</v>
      </c>
      <c r="E234" s="104">
        <f t="shared" si="116"/>
        <v>63.75836578817642</v>
      </c>
      <c r="F234" s="323">
        <v>44.366497099926562</v>
      </c>
      <c r="G234" s="104" t="e">
        <f t="shared" si="117"/>
        <v>#REF!</v>
      </c>
      <c r="H234" s="720">
        <f t="shared" si="123"/>
        <v>258.42565736335393</v>
      </c>
      <c r="I234" s="104" t="e">
        <f t="shared" si="124"/>
        <v>#REF!</v>
      </c>
      <c r="J234" s="28"/>
      <c r="K234" s="139" t="e">
        <f t="shared" si="125"/>
        <v>#REF!</v>
      </c>
      <c r="L234" s="200">
        <f t="shared" si="126"/>
        <v>67.530228051235099</v>
      </c>
      <c r="M234" s="104">
        <f t="shared" si="118"/>
        <v>14.857860663035401</v>
      </c>
      <c r="N234" s="323">
        <v>0</v>
      </c>
      <c r="O234" s="104"/>
      <c r="P234" s="104">
        <f t="shared" si="127"/>
        <v>56.419796561305269</v>
      </c>
      <c r="Q234" s="104">
        <f t="shared" si="128"/>
        <v>17.866356386896975</v>
      </c>
      <c r="R234" s="104"/>
      <c r="S234" s="140">
        <f t="shared" si="129"/>
        <v>156.67424166247272</v>
      </c>
      <c r="T234" s="880">
        <v>261.98333333333335</v>
      </c>
      <c r="U234" s="104"/>
      <c r="V234" s="148">
        <f t="shared" si="130"/>
        <v>261.98333333333335</v>
      </c>
      <c r="W234" s="236"/>
      <c r="X234" s="104"/>
      <c r="Y234" s="45">
        <f t="shared" si="131"/>
        <v>0</v>
      </c>
      <c r="Z234" s="138">
        <f t="shared" si="132"/>
        <v>0</v>
      </c>
      <c r="AA234" s="104">
        <f t="shared" si="119"/>
        <v>0</v>
      </c>
      <c r="AB234" s="323">
        <v>0</v>
      </c>
      <c r="AC234" s="104"/>
      <c r="AD234" s="104">
        <f t="shared" si="133"/>
        <v>0</v>
      </c>
      <c r="AE234" s="104">
        <f t="shared" si="134"/>
        <v>0</v>
      </c>
      <c r="AF234" s="104"/>
      <c r="AG234" s="139">
        <f t="shared" si="135"/>
        <v>0</v>
      </c>
      <c r="AH234" s="200">
        <f t="shared" si="136"/>
        <v>181.71529317795952</v>
      </c>
      <c r="AI234" s="104">
        <f t="shared" si="120"/>
        <v>36.245966919185904</v>
      </c>
      <c r="AJ234" s="323">
        <v>23.019135628172251</v>
      </c>
      <c r="AK234" s="118" t="e">
        <f t="shared" si="121"/>
        <v>#REF!</v>
      </c>
      <c r="AL234" s="104"/>
      <c r="AM234" s="104">
        <f t="shared" si="137"/>
        <v>151.81852881349641</v>
      </c>
      <c r="AN234" s="104" t="e">
        <f t="shared" si="138"/>
        <v>#REF!</v>
      </c>
      <c r="AO234" s="104"/>
      <c r="AP234" s="140" t="e">
        <f t="shared" si="139"/>
        <v>#REF!</v>
      </c>
      <c r="AQ234" s="33"/>
      <c r="AR234" s="28"/>
      <c r="AS234" s="121"/>
      <c r="AT234" s="135" t="e">
        <f t="shared" si="140"/>
        <v>#REF!</v>
      </c>
      <c r="AU234" s="148" t="e">
        <f t="shared" si="141"/>
        <v>#REF!</v>
      </c>
      <c r="AW234" s="1">
        <v>2</v>
      </c>
      <c r="BA234" s="29">
        <v>282.02</v>
      </c>
      <c r="BB234" s="29">
        <v>60.69</v>
      </c>
      <c r="BC234" s="29">
        <v>0</v>
      </c>
      <c r="BD234" s="29">
        <v>175.25</v>
      </c>
      <c r="BF234" s="279">
        <f t="shared" si="149"/>
        <v>314.38</v>
      </c>
      <c r="BI234" s="323">
        <v>0</v>
      </c>
      <c r="BL234" s="107">
        <f t="shared" si="148"/>
        <v>1.0967873225415627</v>
      </c>
      <c r="BM234" s="107">
        <f t="shared" si="148"/>
        <v>1.1127076627324948</v>
      </c>
      <c r="BN234" s="107">
        <f t="shared" si="148"/>
        <v>2.8314493742615632</v>
      </c>
      <c r="BO234" s="107">
        <f t="shared" si="148"/>
        <v>1.036891829831438</v>
      </c>
    </row>
    <row r="235" spans="1:67" x14ac:dyDescent="0.25">
      <c r="A235" s="250" t="s">
        <v>218</v>
      </c>
      <c r="B235" s="227">
        <v>4</v>
      </c>
      <c r="C235" s="226">
        <f>'побудинковий звіт'!E222</f>
        <v>2163.62</v>
      </c>
      <c r="D235" s="138">
        <f t="shared" si="122"/>
        <v>386.9246316462125</v>
      </c>
      <c r="E235" s="104">
        <f t="shared" si="116"/>
        <v>79.755606987989779</v>
      </c>
      <c r="F235" s="323">
        <v>58.77396764033108</v>
      </c>
      <c r="G235" s="104" t="e">
        <f t="shared" si="117"/>
        <v>#REF!</v>
      </c>
      <c r="H235" s="720">
        <f t="shared" si="123"/>
        <v>323.26573790739661</v>
      </c>
      <c r="I235" s="104" t="e">
        <f t="shared" si="124"/>
        <v>#REF!</v>
      </c>
      <c r="J235" s="28"/>
      <c r="K235" s="139" t="e">
        <f t="shared" si="125"/>
        <v>#REF!</v>
      </c>
      <c r="L235" s="200">
        <f t="shared" si="126"/>
        <v>55.846797592543908</v>
      </c>
      <c r="M235" s="104">
        <f t="shared" si="118"/>
        <v>12.287296534482564</v>
      </c>
      <c r="N235" s="323">
        <v>0</v>
      </c>
      <c r="O235" s="104"/>
      <c r="P235" s="104">
        <f t="shared" si="127"/>
        <v>46.658586083570796</v>
      </c>
      <c r="Q235" s="104">
        <f t="shared" si="128"/>
        <v>14.775291268056669</v>
      </c>
      <c r="R235" s="104"/>
      <c r="S235" s="140">
        <f t="shared" si="129"/>
        <v>129.56797147865393</v>
      </c>
      <c r="T235" s="880">
        <v>312.66666666666669</v>
      </c>
      <c r="U235" s="104"/>
      <c r="V235" s="148">
        <f t="shared" si="130"/>
        <v>312.66666666666669</v>
      </c>
      <c r="W235" s="236"/>
      <c r="X235" s="104"/>
      <c r="Y235" s="45">
        <f t="shared" si="131"/>
        <v>0</v>
      </c>
      <c r="Z235" s="138">
        <f t="shared" si="132"/>
        <v>0</v>
      </c>
      <c r="AA235" s="104">
        <f t="shared" si="119"/>
        <v>0</v>
      </c>
      <c r="AB235" s="323">
        <v>0</v>
      </c>
      <c r="AC235" s="104"/>
      <c r="AD235" s="104">
        <f t="shared" si="133"/>
        <v>0</v>
      </c>
      <c r="AE235" s="104">
        <f t="shared" si="134"/>
        <v>0</v>
      </c>
      <c r="AF235" s="104"/>
      <c r="AG235" s="139">
        <f t="shared" si="135"/>
        <v>0</v>
      </c>
      <c r="AH235" s="200">
        <f t="shared" si="136"/>
        <v>142.37561715415475</v>
      </c>
      <c r="AI235" s="104">
        <f t="shared" si="120"/>
        <v>28.399051170747025</v>
      </c>
      <c r="AJ235" s="323">
        <v>23.075784221297667</v>
      </c>
      <c r="AK235" s="118" t="e">
        <f t="shared" si="121"/>
        <v>#REF!</v>
      </c>
      <c r="AL235" s="104"/>
      <c r="AM235" s="104">
        <f t="shared" si="137"/>
        <v>118.95122505780994</v>
      </c>
      <c r="AN235" s="104" t="e">
        <f t="shared" si="138"/>
        <v>#REF!</v>
      </c>
      <c r="AO235" s="104"/>
      <c r="AP235" s="140" t="e">
        <f t="shared" si="139"/>
        <v>#REF!</v>
      </c>
      <c r="AQ235" s="33"/>
      <c r="AR235" s="28"/>
      <c r="AS235" s="121">
        <f>AQ235</f>
        <v>0</v>
      </c>
      <c r="AT235" s="135" t="e">
        <f t="shared" si="140"/>
        <v>#REF!</v>
      </c>
      <c r="AU235" s="148" t="e">
        <f t="shared" si="141"/>
        <v>#REF!</v>
      </c>
      <c r="AW235" s="1">
        <v>2</v>
      </c>
      <c r="BA235" s="29">
        <v>352.78</v>
      </c>
      <c r="BB235" s="29">
        <v>50.19</v>
      </c>
      <c r="BC235" s="29">
        <v>0</v>
      </c>
      <c r="BD235" s="29">
        <v>137.31</v>
      </c>
      <c r="BF235" s="279">
        <f t="shared" si="149"/>
        <v>375.2</v>
      </c>
      <c r="BI235" s="323">
        <v>0</v>
      </c>
      <c r="BL235" s="107">
        <f t="shared" si="148"/>
        <v>1.0967873225415627</v>
      </c>
      <c r="BM235" s="107">
        <f t="shared" si="148"/>
        <v>1.1127076627324948</v>
      </c>
      <c r="BN235" s="107">
        <f t="shared" si="148"/>
        <v>2.8314493742615632</v>
      </c>
      <c r="BO235" s="107">
        <f t="shared" si="148"/>
        <v>1.036891829831438</v>
      </c>
    </row>
    <row r="236" spans="1:67" x14ac:dyDescent="0.25">
      <c r="A236" s="250" t="s">
        <v>274</v>
      </c>
      <c r="B236" s="227">
        <v>5</v>
      </c>
      <c r="C236" s="226">
        <f>'побудинковий звіт'!E223</f>
        <v>4312.1400000000003</v>
      </c>
      <c r="D236" s="138">
        <f t="shared" si="122"/>
        <v>446.60082986569893</v>
      </c>
      <c r="E236" s="104">
        <f t="shared" si="116"/>
        <v>92.056481686715671</v>
      </c>
      <c r="F236" s="323">
        <v>74.99764754104983</v>
      </c>
      <c r="G236" s="104" t="e">
        <f t="shared" si="117"/>
        <v>#REF!</v>
      </c>
      <c r="H236" s="720">
        <f t="shared" si="123"/>
        <v>373.12369130481551</v>
      </c>
      <c r="I236" s="104" t="e">
        <f t="shared" si="124"/>
        <v>#REF!</v>
      </c>
      <c r="J236" s="28"/>
      <c r="K236" s="139" t="e">
        <f t="shared" si="125"/>
        <v>#REF!</v>
      </c>
      <c r="L236" s="200">
        <f t="shared" si="126"/>
        <v>77.889536391274632</v>
      </c>
      <c r="M236" s="104">
        <f t="shared" si="118"/>
        <v>17.137094190352251</v>
      </c>
      <c r="N236" s="323">
        <v>0</v>
      </c>
      <c r="O236" s="104"/>
      <c r="P236" s="104">
        <f t="shared" si="127"/>
        <v>65.074736518229841</v>
      </c>
      <c r="Q236" s="104">
        <f t="shared" si="128"/>
        <v>20.607100792268714</v>
      </c>
      <c r="R236" s="104"/>
      <c r="S236" s="140">
        <f t="shared" si="129"/>
        <v>180.70846789212541</v>
      </c>
      <c r="T236" s="880">
        <v>406.49166666666667</v>
      </c>
      <c r="U236" s="104"/>
      <c r="V236" s="148">
        <f t="shared" si="130"/>
        <v>406.49166666666667</v>
      </c>
      <c r="W236" s="236"/>
      <c r="X236" s="104"/>
      <c r="Y236" s="45">
        <f t="shared" si="131"/>
        <v>0</v>
      </c>
      <c r="Z236" s="138">
        <f t="shared" si="132"/>
        <v>0</v>
      </c>
      <c r="AA236" s="104">
        <f t="shared" si="119"/>
        <v>0</v>
      </c>
      <c r="AB236" s="323">
        <v>0</v>
      </c>
      <c r="AC236" s="104"/>
      <c r="AD236" s="104">
        <f t="shared" si="133"/>
        <v>0</v>
      </c>
      <c r="AE236" s="104">
        <f t="shared" si="134"/>
        <v>0</v>
      </c>
      <c r="AF236" s="104"/>
      <c r="AG236" s="139">
        <f t="shared" si="135"/>
        <v>0</v>
      </c>
      <c r="AH236" s="200">
        <f t="shared" si="136"/>
        <v>287.3538328011864</v>
      </c>
      <c r="AI236" s="104">
        <f t="shared" si="120"/>
        <v>57.317231454002787</v>
      </c>
      <c r="AJ236" s="323">
        <v>29.445511358920612</v>
      </c>
      <c r="AK236" s="118" t="e">
        <f t="shared" si="121"/>
        <v>#REF!</v>
      </c>
      <c r="AL236" s="104"/>
      <c r="AM236" s="104">
        <f t="shared" si="137"/>
        <v>240.07685529292013</v>
      </c>
      <c r="AN236" s="104" t="e">
        <f t="shared" si="138"/>
        <v>#REF!</v>
      </c>
      <c r="AO236" s="104"/>
      <c r="AP236" s="140" t="e">
        <f t="shared" si="139"/>
        <v>#REF!</v>
      </c>
      <c r="AQ236" s="33"/>
      <c r="AR236" s="28"/>
      <c r="AS236" s="121"/>
      <c r="AT236" s="135" t="e">
        <f t="shared" si="140"/>
        <v>#REF!</v>
      </c>
      <c r="AU236" s="148" t="e">
        <f t="shared" si="141"/>
        <v>#REF!</v>
      </c>
      <c r="AW236" s="1">
        <v>2</v>
      </c>
      <c r="BA236" s="29">
        <v>407.19</v>
      </c>
      <c r="BB236" s="29">
        <v>70</v>
      </c>
      <c r="BC236" s="29">
        <v>0</v>
      </c>
      <c r="BD236" s="29">
        <v>277.13</v>
      </c>
      <c r="BF236" s="279">
        <f t="shared" si="149"/>
        <v>487.78999999999996</v>
      </c>
      <c r="BI236" s="323">
        <v>0</v>
      </c>
      <c r="BL236" s="107">
        <f t="shared" si="148"/>
        <v>1.0967873225415627</v>
      </c>
      <c r="BM236" s="107">
        <f t="shared" si="148"/>
        <v>1.1127076627324948</v>
      </c>
      <c r="BN236" s="107">
        <f t="shared" si="148"/>
        <v>2.8314493742615632</v>
      </c>
      <c r="BO236" s="107">
        <f t="shared" si="148"/>
        <v>1.036891829831438</v>
      </c>
    </row>
    <row r="237" spans="1:67" x14ac:dyDescent="0.25">
      <c r="A237" s="250" t="s">
        <v>275</v>
      </c>
      <c r="B237" s="227">
        <v>5</v>
      </c>
      <c r="C237" s="226">
        <f>'побудинковий звіт'!E224</f>
        <v>2140.64</v>
      </c>
      <c r="D237" s="138">
        <f t="shared" si="122"/>
        <v>446.63373348537522</v>
      </c>
      <c r="E237" s="104">
        <f t="shared" si="116"/>
        <v>92.06326401057089</v>
      </c>
      <c r="F237" s="323">
        <v>75.332655996142591</v>
      </c>
      <c r="G237" s="104" t="e">
        <f t="shared" si="117"/>
        <v>#REF!</v>
      </c>
      <c r="H237" s="720">
        <f t="shared" si="123"/>
        <v>373.15118144636898</v>
      </c>
      <c r="I237" s="104" t="e">
        <f t="shared" si="124"/>
        <v>#REF!</v>
      </c>
      <c r="J237" s="28"/>
      <c r="K237" s="139" t="e">
        <f t="shared" si="125"/>
        <v>#REF!</v>
      </c>
      <c r="L237" s="200">
        <f t="shared" si="126"/>
        <v>77.889536391274632</v>
      </c>
      <c r="M237" s="104">
        <f t="shared" si="118"/>
        <v>17.137094190352251</v>
      </c>
      <c r="N237" s="323">
        <v>0</v>
      </c>
      <c r="O237" s="104"/>
      <c r="P237" s="104">
        <f t="shared" si="127"/>
        <v>65.074736518229841</v>
      </c>
      <c r="Q237" s="104">
        <f t="shared" si="128"/>
        <v>20.607100792268714</v>
      </c>
      <c r="R237" s="104"/>
      <c r="S237" s="140">
        <f t="shared" si="129"/>
        <v>180.70846789212541</v>
      </c>
      <c r="T237" s="880">
        <v>410.14166666666671</v>
      </c>
      <c r="U237" s="104"/>
      <c r="V237" s="148">
        <f t="shared" si="130"/>
        <v>410.14166666666671</v>
      </c>
      <c r="W237" s="236"/>
      <c r="X237" s="104"/>
      <c r="Y237" s="45">
        <f t="shared" si="131"/>
        <v>0</v>
      </c>
      <c r="Z237" s="138">
        <f t="shared" si="132"/>
        <v>0</v>
      </c>
      <c r="AA237" s="104">
        <f t="shared" si="119"/>
        <v>0</v>
      </c>
      <c r="AB237" s="323">
        <v>0</v>
      </c>
      <c r="AC237" s="104"/>
      <c r="AD237" s="104">
        <f t="shared" si="133"/>
        <v>0</v>
      </c>
      <c r="AE237" s="104">
        <f t="shared" si="134"/>
        <v>0</v>
      </c>
      <c r="AF237" s="104"/>
      <c r="AG237" s="139">
        <f t="shared" si="135"/>
        <v>0</v>
      </c>
      <c r="AH237" s="200">
        <f t="shared" si="136"/>
        <v>248.58444728378896</v>
      </c>
      <c r="AI237" s="104">
        <f t="shared" si="120"/>
        <v>49.584069096751094</v>
      </c>
      <c r="AJ237" s="323">
        <v>29.577042088126074</v>
      </c>
      <c r="AK237" s="118" t="e">
        <f t="shared" si="121"/>
        <v>#REF!</v>
      </c>
      <c r="AL237" s="104"/>
      <c r="AM237" s="104">
        <f t="shared" si="137"/>
        <v>207.68601482309631</v>
      </c>
      <c r="AN237" s="104" t="e">
        <f t="shared" si="138"/>
        <v>#REF!</v>
      </c>
      <c r="AO237" s="104"/>
      <c r="AP237" s="140" t="e">
        <f t="shared" si="139"/>
        <v>#REF!</v>
      </c>
      <c r="AQ237" s="33"/>
      <c r="AR237" s="28"/>
      <c r="AS237" s="121"/>
      <c r="AT237" s="135" t="e">
        <f t="shared" si="140"/>
        <v>#REF!</v>
      </c>
      <c r="AU237" s="148" t="e">
        <f t="shared" si="141"/>
        <v>#REF!</v>
      </c>
      <c r="AW237" s="1">
        <v>2</v>
      </c>
      <c r="BA237" s="29">
        <v>407.22</v>
      </c>
      <c r="BB237" s="29">
        <v>70</v>
      </c>
      <c r="BC237" s="29">
        <v>0</v>
      </c>
      <c r="BD237" s="29">
        <v>239.74</v>
      </c>
      <c r="BF237" s="279">
        <f t="shared" si="149"/>
        <v>492.17</v>
      </c>
      <c r="BI237" s="323">
        <v>0</v>
      </c>
      <c r="BL237" s="107">
        <f t="shared" si="148"/>
        <v>1.0967873225415627</v>
      </c>
      <c r="BM237" s="107">
        <f t="shared" si="148"/>
        <v>1.1127076627324948</v>
      </c>
      <c r="BN237" s="107">
        <f t="shared" si="148"/>
        <v>2.8314493742615632</v>
      </c>
      <c r="BO237" s="107">
        <f t="shared" si="148"/>
        <v>1.036891829831438</v>
      </c>
    </row>
    <row r="238" spans="1:67" x14ac:dyDescent="0.25">
      <c r="A238" s="250" t="s">
        <v>276</v>
      </c>
      <c r="B238" s="227">
        <v>5</v>
      </c>
      <c r="C238" s="226">
        <f>'побудинковий звіт'!E225</f>
        <v>605.5</v>
      </c>
      <c r="D238" s="138">
        <f t="shared" si="122"/>
        <v>446.78728371053103</v>
      </c>
      <c r="E238" s="104">
        <f t="shared" si="116"/>
        <v>92.094914855228524</v>
      </c>
      <c r="F238" s="323">
        <v>75.113530968912102</v>
      </c>
      <c r="G238" s="104" t="e">
        <f t="shared" si="117"/>
        <v>#REF!</v>
      </c>
      <c r="H238" s="720">
        <f t="shared" si="123"/>
        <v>373.27946877361836</v>
      </c>
      <c r="I238" s="104" t="e">
        <f t="shared" si="124"/>
        <v>#REF!</v>
      </c>
      <c r="J238" s="28"/>
      <c r="K238" s="139" t="e">
        <f t="shared" si="125"/>
        <v>#REF!</v>
      </c>
      <c r="L238" s="200">
        <f t="shared" si="126"/>
        <v>77.889536391274632</v>
      </c>
      <c r="M238" s="104">
        <f t="shared" si="118"/>
        <v>17.137094190352251</v>
      </c>
      <c r="N238" s="323">
        <v>0</v>
      </c>
      <c r="O238" s="104"/>
      <c r="P238" s="104">
        <f t="shared" si="127"/>
        <v>65.074736518229841</v>
      </c>
      <c r="Q238" s="104">
        <f t="shared" si="128"/>
        <v>20.607100792268714</v>
      </c>
      <c r="R238" s="104"/>
      <c r="S238" s="140">
        <f t="shared" si="129"/>
        <v>180.70846789212541</v>
      </c>
      <c r="T238" s="880">
        <v>410.14166666666671</v>
      </c>
      <c r="U238" s="104"/>
      <c r="V238" s="148">
        <f t="shared" si="130"/>
        <v>410.14166666666671</v>
      </c>
      <c r="W238" s="236"/>
      <c r="X238" s="104"/>
      <c r="Y238" s="45">
        <f t="shared" si="131"/>
        <v>0</v>
      </c>
      <c r="Z238" s="138">
        <f t="shared" si="132"/>
        <v>0</v>
      </c>
      <c r="AA238" s="104">
        <f t="shared" si="119"/>
        <v>0</v>
      </c>
      <c r="AB238" s="323">
        <v>0</v>
      </c>
      <c r="AC238" s="104"/>
      <c r="AD238" s="104">
        <f t="shared" si="133"/>
        <v>0</v>
      </c>
      <c r="AE238" s="104">
        <f t="shared" si="134"/>
        <v>0</v>
      </c>
      <c r="AF238" s="104"/>
      <c r="AG238" s="139">
        <f t="shared" si="135"/>
        <v>0</v>
      </c>
      <c r="AH238" s="200">
        <f t="shared" si="136"/>
        <v>248.58444728378896</v>
      </c>
      <c r="AI238" s="104">
        <f t="shared" si="120"/>
        <v>49.584069096751094</v>
      </c>
      <c r="AJ238" s="323">
        <v>29.491009409903633</v>
      </c>
      <c r="AK238" s="118" t="e">
        <f t="shared" si="121"/>
        <v>#REF!</v>
      </c>
      <c r="AL238" s="104"/>
      <c r="AM238" s="104">
        <f t="shared" si="137"/>
        <v>207.68601482309631</v>
      </c>
      <c r="AN238" s="104" t="e">
        <f t="shared" si="138"/>
        <v>#REF!</v>
      </c>
      <c r="AO238" s="104"/>
      <c r="AP238" s="140" t="e">
        <f t="shared" si="139"/>
        <v>#REF!</v>
      </c>
      <c r="AQ238" s="33"/>
      <c r="AR238" s="28"/>
      <c r="AS238" s="121"/>
      <c r="AT238" s="135" t="e">
        <f t="shared" si="140"/>
        <v>#REF!</v>
      </c>
      <c r="AU238" s="148" t="e">
        <f t="shared" si="141"/>
        <v>#REF!</v>
      </c>
      <c r="AW238" s="1">
        <v>2</v>
      </c>
      <c r="BA238" s="29">
        <v>407.36</v>
      </c>
      <c r="BB238" s="29">
        <v>70</v>
      </c>
      <c r="BC238" s="29">
        <v>0</v>
      </c>
      <c r="BD238" s="29">
        <v>239.74</v>
      </c>
      <c r="BF238" s="279">
        <f t="shared" si="149"/>
        <v>492.17</v>
      </c>
      <c r="BI238" s="323">
        <v>0</v>
      </c>
      <c r="BL238" s="107">
        <f t="shared" si="148"/>
        <v>1.0967873225415627</v>
      </c>
      <c r="BM238" s="107">
        <f t="shared" si="148"/>
        <v>1.1127076627324948</v>
      </c>
      <c r="BN238" s="107">
        <f t="shared" si="148"/>
        <v>2.8314493742615632</v>
      </c>
      <c r="BO238" s="107">
        <f t="shared" si="148"/>
        <v>1.036891829831438</v>
      </c>
    </row>
    <row r="239" spans="1:67" x14ac:dyDescent="0.25">
      <c r="A239" s="250" t="s">
        <v>277</v>
      </c>
      <c r="B239" s="227">
        <v>5</v>
      </c>
      <c r="C239" s="226">
        <f>'побудинковий звіт'!E226</f>
        <v>2135.1</v>
      </c>
      <c r="D239" s="138">
        <f t="shared" si="122"/>
        <v>446.62276561214975</v>
      </c>
      <c r="E239" s="104">
        <f t="shared" si="116"/>
        <v>92.061003235952484</v>
      </c>
      <c r="F239" s="323">
        <v>75.264390122274634</v>
      </c>
      <c r="G239" s="104" t="e">
        <f t="shared" si="117"/>
        <v>#REF!</v>
      </c>
      <c r="H239" s="720">
        <f t="shared" si="123"/>
        <v>373.14201806585118</v>
      </c>
      <c r="I239" s="104" t="e">
        <f t="shared" si="124"/>
        <v>#REF!</v>
      </c>
      <c r="J239" s="28"/>
      <c r="K239" s="139" t="e">
        <f t="shared" si="125"/>
        <v>#REF!</v>
      </c>
      <c r="L239" s="200">
        <f t="shared" si="126"/>
        <v>77.889536391274632</v>
      </c>
      <c r="M239" s="104">
        <f t="shared" si="118"/>
        <v>17.137094190352251</v>
      </c>
      <c r="N239" s="323">
        <v>0</v>
      </c>
      <c r="O239" s="104"/>
      <c r="P239" s="104">
        <f t="shared" si="127"/>
        <v>65.074736518229841</v>
      </c>
      <c r="Q239" s="104">
        <f t="shared" si="128"/>
        <v>20.607100792268714</v>
      </c>
      <c r="R239" s="104"/>
      <c r="S239" s="140">
        <f t="shared" si="129"/>
        <v>180.70846789212541</v>
      </c>
      <c r="T239" s="880">
        <v>405.75833333333338</v>
      </c>
      <c r="U239" s="104"/>
      <c r="V239" s="148">
        <f t="shared" si="130"/>
        <v>405.75833333333338</v>
      </c>
      <c r="W239" s="236"/>
      <c r="X239" s="104"/>
      <c r="Y239" s="45">
        <f t="shared" si="131"/>
        <v>0</v>
      </c>
      <c r="Z239" s="138">
        <f t="shared" si="132"/>
        <v>0</v>
      </c>
      <c r="AA239" s="104">
        <f t="shared" si="119"/>
        <v>0</v>
      </c>
      <c r="AB239" s="323">
        <v>0</v>
      </c>
      <c r="AC239" s="104"/>
      <c r="AD239" s="104">
        <f t="shared" si="133"/>
        <v>0</v>
      </c>
      <c r="AE239" s="104">
        <f t="shared" si="134"/>
        <v>0</v>
      </c>
      <c r="AF239" s="104"/>
      <c r="AG239" s="139">
        <f t="shared" si="135"/>
        <v>0</v>
      </c>
      <c r="AH239" s="200">
        <f t="shared" si="136"/>
        <v>248.58444728378896</v>
      </c>
      <c r="AI239" s="104">
        <f t="shared" si="120"/>
        <v>49.584069096751094</v>
      </c>
      <c r="AJ239" s="323">
        <v>29.550239599910618</v>
      </c>
      <c r="AK239" s="118" t="e">
        <f t="shared" si="121"/>
        <v>#REF!</v>
      </c>
      <c r="AL239" s="104"/>
      <c r="AM239" s="104">
        <f t="shared" si="137"/>
        <v>207.68601482309631</v>
      </c>
      <c r="AN239" s="104" t="e">
        <f t="shared" si="138"/>
        <v>#REF!</v>
      </c>
      <c r="AO239" s="104"/>
      <c r="AP239" s="140" t="e">
        <f t="shared" si="139"/>
        <v>#REF!</v>
      </c>
      <c r="AQ239" s="33"/>
      <c r="AR239" s="28"/>
      <c r="AS239" s="121"/>
      <c r="AT239" s="135" t="e">
        <f t="shared" si="140"/>
        <v>#REF!</v>
      </c>
      <c r="AU239" s="148" t="e">
        <f t="shared" si="141"/>
        <v>#REF!</v>
      </c>
      <c r="AW239" s="1">
        <v>2</v>
      </c>
      <c r="BA239" s="29">
        <v>407.21</v>
      </c>
      <c r="BB239" s="29">
        <v>70</v>
      </c>
      <c r="BC239" s="29">
        <v>0</v>
      </c>
      <c r="BD239" s="29">
        <v>239.74</v>
      </c>
      <c r="BF239" s="279">
        <f t="shared" si="149"/>
        <v>486.91</v>
      </c>
      <c r="BI239" s="323">
        <v>0</v>
      </c>
      <c r="BL239" s="107">
        <f t="shared" si="148"/>
        <v>1.0967873225415627</v>
      </c>
      <c r="BM239" s="107">
        <f t="shared" si="148"/>
        <v>1.1127076627324948</v>
      </c>
      <c r="BN239" s="107">
        <f t="shared" si="148"/>
        <v>2.8314493742615632</v>
      </c>
      <c r="BO239" s="107">
        <f t="shared" si="148"/>
        <v>1.036891829831438</v>
      </c>
    </row>
    <row r="240" spans="1:67" x14ac:dyDescent="0.25">
      <c r="A240" s="250" t="s">
        <v>278</v>
      </c>
      <c r="B240" s="227">
        <v>5</v>
      </c>
      <c r="C240" s="226">
        <f>'побудинковий звіт'!E227</f>
        <v>4354.05</v>
      </c>
      <c r="D240" s="138">
        <f t="shared" si="122"/>
        <v>680.38709374906739</v>
      </c>
      <c r="E240" s="104">
        <f t="shared" si="116"/>
        <v>140.24613893893553</v>
      </c>
      <c r="F240" s="323">
        <v>117.04920773793</v>
      </c>
      <c r="G240" s="104" t="e">
        <f t="shared" si="117"/>
        <v>#REF!</v>
      </c>
      <c r="H240" s="720">
        <f t="shared" si="123"/>
        <v>568.44619839186271</v>
      </c>
      <c r="I240" s="104" t="e">
        <f t="shared" si="124"/>
        <v>#REF!</v>
      </c>
      <c r="J240" s="28"/>
      <c r="K240" s="139" t="e">
        <f t="shared" si="125"/>
        <v>#REF!</v>
      </c>
      <c r="L240" s="200">
        <f t="shared" si="126"/>
        <v>147.15319604489875</v>
      </c>
      <c r="M240" s="104">
        <f t="shared" si="118"/>
        <v>32.37634087799367</v>
      </c>
      <c r="N240" s="323">
        <v>0</v>
      </c>
      <c r="O240" s="104"/>
      <c r="P240" s="104">
        <f t="shared" si="127"/>
        <v>122.94277131568508</v>
      </c>
      <c r="Q240" s="104">
        <f t="shared" si="128"/>
        <v>38.932068199360906</v>
      </c>
      <c r="R240" s="104"/>
      <c r="S240" s="140">
        <f t="shared" si="129"/>
        <v>341.40437643793842</v>
      </c>
      <c r="T240" s="234">
        <v>553.47</v>
      </c>
      <c r="U240" s="104"/>
      <c r="V240" s="148">
        <f t="shared" si="130"/>
        <v>553.47</v>
      </c>
      <c r="W240" s="236"/>
      <c r="X240" s="104"/>
      <c r="Y240" s="45">
        <f t="shared" si="131"/>
        <v>0</v>
      </c>
      <c r="Z240" s="138">
        <f t="shared" si="132"/>
        <v>0</v>
      </c>
      <c r="AA240" s="104">
        <f t="shared" si="119"/>
        <v>0</v>
      </c>
      <c r="AB240" s="323">
        <v>0</v>
      </c>
      <c r="AC240" s="104"/>
      <c r="AD240" s="104">
        <f t="shared" si="133"/>
        <v>0</v>
      </c>
      <c r="AE240" s="104">
        <f t="shared" si="134"/>
        <v>0</v>
      </c>
      <c r="AF240" s="104"/>
      <c r="AG240" s="139">
        <f t="shared" si="135"/>
        <v>0</v>
      </c>
      <c r="AH240" s="200">
        <f t="shared" si="136"/>
        <v>531.6589226819957</v>
      </c>
      <c r="AI240" s="104">
        <f t="shared" si="120"/>
        <v>106.0477155599085</v>
      </c>
      <c r="AJ240" s="323">
        <v>65.8833357388515</v>
      </c>
      <c r="AK240" s="118" t="e">
        <f t="shared" si="121"/>
        <v>#REF!</v>
      </c>
      <c r="AL240" s="104"/>
      <c r="AM240" s="104">
        <f t="shared" si="137"/>
        <v>444.18757530276559</v>
      </c>
      <c r="AN240" s="104" t="e">
        <f t="shared" si="138"/>
        <v>#REF!</v>
      </c>
      <c r="AO240" s="104"/>
      <c r="AP240" s="140" t="e">
        <f t="shared" si="139"/>
        <v>#REF!</v>
      </c>
      <c r="AQ240" s="33"/>
      <c r="AR240" s="28"/>
      <c r="AS240" s="121"/>
      <c r="AT240" s="135" t="e">
        <f t="shared" si="140"/>
        <v>#REF!</v>
      </c>
      <c r="AU240" s="148" t="e">
        <f t="shared" si="141"/>
        <v>#REF!</v>
      </c>
      <c r="AW240" s="1">
        <v>3</v>
      </c>
      <c r="BA240" s="29">
        <v>556.15</v>
      </c>
      <c r="BB240" s="29">
        <v>114.9</v>
      </c>
      <c r="BC240" s="29">
        <v>0</v>
      </c>
      <c r="BD240" s="29">
        <v>410.06</v>
      </c>
      <c r="BI240" s="323">
        <v>0</v>
      </c>
      <c r="BL240" s="107">
        <f t="shared" ref="BL240:BO250" si="150">BA$399</f>
        <v>1.2233877438623886</v>
      </c>
      <c r="BM240" s="107">
        <f t="shared" si="150"/>
        <v>1.2807066670574303</v>
      </c>
      <c r="BN240" s="107">
        <f t="shared" si="150"/>
        <v>0.82443024793968056</v>
      </c>
      <c r="BO240" s="107">
        <f t="shared" si="150"/>
        <v>1.2965393422474656</v>
      </c>
    </row>
    <row r="241" spans="1:67" x14ac:dyDescent="0.25">
      <c r="A241" s="250" t="s">
        <v>279</v>
      </c>
      <c r="B241" s="227">
        <v>5</v>
      </c>
      <c r="C241" s="226">
        <f>'побудинковий звіт'!E228</f>
        <v>2131.65</v>
      </c>
      <c r="D241" s="138">
        <f t="shared" si="122"/>
        <v>680.52166640089229</v>
      </c>
      <c r="E241" s="104">
        <f t="shared" si="116"/>
        <v>140.2738779936569</v>
      </c>
      <c r="F241" s="323">
        <v>117.61193196014602</v>
      </c>
      <c r="G241" s="104" t="e">
        <f t="shared" si="117"/>
        <v>#REF!</v>
      </c>
      <c r="H241" s="720">
        <f t="shared" si="123"/>
        <v>568.55863043685611</v>
      </c>
      <c r="I241" s="104" t="e">
        <f t="shared" si="124"/>
        <v>#REF!</v>
      </c>
      <c r="J241" s="28"/>
      <c r="K241" s="139" t="e">
        <f t="shared" si="125"/>
        <v>#REF!</v>
      </c>
      <c r="L241" s="200">
        <f t="shared" si="126"/>
        <v>147.1788101782399</v>
      </c>
      <c r="M241" s="104">
        <f t="shared" si="118"/>
        <v>32.381976446466773</v>
      </c>
      <c r="N241" s="323">
        <v>0</v>
      </c>
      <c r="O241" s="104"/>
      <c r="P241" s="104">
        <f t="shared" si="127"/>
        <v>122.96417127587928</v>
      </c>
      <c r="Q241" s="104">
        <f t="shared" si="128"/>
        <v>38.938844886601871</v>
      </c>
      <c r="R241" s="104"/>
      <c r="S241" s="140">
        <f t="shared" si="129"/>
        <v>341.46380278718783</v>
      </c>
      <c r="T241" s="234">
        <v>571.39</v>
      </c>
      <c r="U241" s="104"/>
      <c r="V241" s="148">
        <f t="shared" si="130"/>
        <v>571.39</v>
      </c>
      <c r="W241" s="236"/>
      <c r="X241" s="104"/>
      <c r="Y241" s="45">
        <f t="shared" si="131"/>
        <v>0</v>
      </c>
      <c r="Z241" s="138">
        <f t="shared" si="132"/>
        <v>36.077067649840423</v>
      </c>
      <c r="AA241" s="104">
        <f t="shared" si="119"/>
        <v>7.9300250417967435</v>
      </c>
      <c r="AB241" s="323">
        <v>0</v>
      </c>
      <c r="AC241" s="104"/>
      <c r="AD241" s="104">
        <f t="shared" si="133"/>
        <v>30.141477025490609</v>
      </c>
      <c r="AE241" s="104">
        <f t="shared" si="134"/>
        <v>9.5438725942321039</v>
      </c>
      <c r="AF241" s="104"/>
      <c r="AG241" s="139">
        <f t="shared" si="135"/>
        <v>83.692442311359869</v>
      </c>
      <c r="AH241" s="200">
        <f t="shared" si="136"/>
        <v>532.00898830440258</v>
      </c>
      <c r="AI241" s="104">
        <f t="shared" si="120"/>
        <v>106.11754164194815</v>
      </c>
      <c r="AJ241" s="323">
        <v>66.200075591919529</v>
      </c>
      <c r="AK241" s="118" t="e">
        <f t="shared" si="121"/>
        <v>#REF!</v>
      </c>
      <c r="AL241" s="104"/>
      <c r="AM241" s="104">
        <f t="shared" si="137"/>
        <v>444.48004627123794</v>
      </c>
      <c r="AN241" s="104" t="e">
        <f t="shared" si="138"/>
        <v>#REF!</v>
      </c>
      <c r="AO241" s="104"/>
      <c r="AP241" s="140" t="e">
        <f t="shared" si="139"/>
        <v>#REF!</v>
      </c>
      <c r="AQ241" s="33"/>
      <c r="AR241" s="28"/>
      <c r="AS241" s="121">
        <f>AQ241</f>
        <v>0</v>
      </c>
      <c r="AT241" s="135" t="e">
        <f t="shared" si="140"/>
        <v>#REF!</v>
      </c>
      <c r="AU241" s="148" t="e">
        <f t="shared" si="141"/>
        <v>#REF!</v>
      </c>
      <c r="AW241" s="1">
        <v>3</v>
      </c>
      <c r="BA241" s="29">
        <v>556.26</v>
      </c>
      <c r="BB241" s="29">
        <v>114.92</v>
      </c>
      <c r="BC241" s="29">
        <v>43.76</v>
      </c>
      <c r="BD241" s="29">
        <v>410.33</v>
      </c>
      <c r="BI241" s="323">
        <v>0</v>
      </c>
      <c r="BL241" s="107">
        <f t="shared" si="150"/>
        <v>1.2233877438623886</v>
      </c>
      <c r="BM241" s="107">
        <f t="shared" si="150"/>
        <v>1.2807066670574303</v>
      </c>
      <c r="BN241" s="107">
        <f t="shared" si="150"/>
        <v>0.82443024793968056</v>
      </c>
      <c r="BO241" s="107">
        <f t="shared" si="150"/>
        <v>1.2965393422474656</v>
      </c>
    </row>
    <row r="242" spans="1:67" x14ac:dyDescent="0.25">
      <c r="A242" s="250" t="s">
        <v>280</v>
      </c>
      <c r="B242" s="227">
        <v>5</v>
      </c>
      <c r="C242" s="226">
        <f>'побудинковий звіт'!E229</f>
        <v>105</v>
      </c>
      <c r="D242" s="138">
        <f t="shared" si="122"/>
        <v>468.39846549259272</v>
      </c>
      <c r="E242" s="104">
        <f t="shared" si="116"/>
        <v>96.549562556055477</v>
      </c>
      <c r="F242" s="323">
        <v>82.454001753227161</v>
      </c>
      <c r="G242" s="104" t="e">
        <f t="shared" si="117"/>
        <v>#REF!</v>
      </c>
      <c r="H242" s="720">
        <f t="shared" si="123"/>
        <v>391.33506424218729</v>
      </c>
      <c r="I242" s="104" t="e">
        <f t="shared" si="124"/>
        <v>#REF!</v>
      </c>
      <c r="J242" s="28"/>
      <c r="K242" s="139" t="e">
        <f t="shared" si="125"/>
        <v>#REF!</v>
      </c>
      <c r="L242" s="200">
        <f t="shared" si="126"/>
        <v>98.819326430151321</v>
      </c>
      <c r="M242" s="104">
        <f t="shared" si="118"/>
        <v>21.742023169242746</v>
      </c>
      <c r="N242" s="323">
        <v>0</v>
      </c>
      <c r="O242" s="104"/>
      <c r="P242" s="104">
        <f t="shared" si="127"/>
        <v>82.561046429227673</v>
      </c>
      <c r="Q242" s="104">
        <f t="shared" si="128"/>
        <v>26.144459375654368</v>
      </c>
      <c r="R242" s="104"/>
      <c r="S242" s="140">
        <f t="shared" si="129"/>
        <v>229.2668554042761</v>
      </c>
      <c r="T242" s="234">
        <v>397.11</v>
      </c>
      <c r="U242" s="104"/>
      <c r="V242" s="148">
        <f t="shared" si="130"/>
        <v>397.11</v>
      </c>
      <c r="W242" s="236"/>
      <c r="X242" s="104"/>
      <c r="Y242" s="45">
        <f t="shared" si="131"/>
        <v>0</v>
      </c>
      <c r="Z242" s="138">
        <f t="shared" si="132"/>
        <v>0</v>
      </c>
      <c r="AA242" s="104">
        <f t="shared" si="119"/>
        <v>0</v>
      </c>
      <c r="AB242" s="323">
        <v>0</v>
      </c>
      <c r="AC242" s="104"/>
      <c r="AD242" s="104">
        <f t="shared" si="133"/>
        <v>0</v>
      </c>
      <c r="AE242" s="104">
        <f t="shared" si="134"/>
        <v>0</v>
      </c>
      <c r="AF242" s="104"/>
      <c r="AG242" s="139">
        <f t="shared" si="135"/>
        <v>0</v>
      </c>
      <c r="AH242" s="200">
        <f t="shared" si="136"/>
        <v>303.66247934777891</v>
      </c>
      <c r="AI242" s="104">
        <f t="shared" si="120"/>
        <v>60.570246942608819</v>
      </c>
      <c r="AJ242" s="323">
        <v>46.410777018521877</v>
      </c>
      <c r="AK242" s="118" t="e">
        <f t="shared" si="121"/>
        <v>#REF!</v>
      </c>
      <c r="AL242" s="104"/>
      <c r="AM242" s="104">
        <f t="shared" si="137"/>
        <v>253.70231676257313</v>
      </c>
      <c r="AN242" s="104" t="e">
        <f t="shared" si="138"/>
        <v>#REF!</v>
      </c>
      <c r="AO242" s="104"/>
      <c r="AP242" s="140" t="e">
        <f t="shared" si="139"/>
        <v>#REF!</v>
      </c>
      <c r="AQ242" s="33"/>
      <c r="AR242" s="28"/>
      <c r="AS242" s="121"/>
      <c r="AT242" s="135" t="e">
        <f t="shared" si="140"/>
        <v>#REF!</v>
      </c>
      <c r="AU242" s="148" t="e">
        <f t="shared" si="141"/>
        <v>#REF!</v>
      </c>
      <c r="AW242" s="1">
        <v>3</v>
      </c>
      <c r="BA242" s="29">
        <v>382.87</v>
      </c>
      <c r="BB242" s="29">
        <v>77.16</v>
      </c>
      <c r="BC242" s="29">
        <v>0</v>
      </c>
      <c r="BD242" s="29">
        <v>234.21</v>
      </c>
      <c r="BI242" s="323">
        <v>0</v>
      </c>
      <c r="BL242" s="107">
        <f t="shared" si="150"/>
        <v>1.2233877438623886</v>
      </c>
      <c r="BM242" s="107">
        <f t="shared" si="150"/>
        <v>1.2807066670574303</v>
      </c>
      <c r="BN242" s="107">
        <f t="shared" si="150"/>
        <v>0.82443024793968056</v>
      </c>
      <c r="BO242" s="107">
        <f t="shared" si="150"/>
        <v>1.2965393422474656</v>
      </c>
    </row>
    <row r="243" spans="1:67" x14ac:dyDescent="0.25">
      <c r="A243" s="250" t="s">
        <v>281</v>
      </c>
      <c r="B243" s="227">
        <v>5</v>
      </c>
      <c r="C243" s="226">
        <f>'побудинковий звіт'!E230</f>
        <v>140.69999999999999</v>
      </c>
      <c r="D243" s="138">
        <f t="shared" si="122"/>
        <v>890.88318895803002</v>
      </c>
      <c r="E243" s="104">
        <f t="shared" si="116"/>
        <v>183.63506398763329</v>
      </c>
      <c r="F243" s="323">
        <v>159.41283445791009</v>
      </c>
      <c r="G243" s="104" t="e">
        <f t="shared" si="117"/>
        <v>#REF!</v>
      </c>
      <c r="H243" s="720">
        <f t="shared" si="123"/>
        <v>744.31035895161085</v>
      </c>
      <c r="I243" s="104" t="e">
        <f t="shared" si="124"/>
        <v>#REF!</v>
      </c>
      <c r="J243" s="28"/>
      <c r="K243" s="139" t="e">
        <f t="shared" si="125"/>
        <v>#REF!</v>
      </c>
      <c r="L243" s="200">
        <f t="shared" si="126"/>
        <v>196.4219815265981</v>
      </c>
      <c r="M243" s="104">
        <f t="shared" si="118"/>
        <v>43.216356836012963</v>
      </c>
      <c r="N243" s="323">
        <v>0</v>
      </c>
      <c r="O243" s="104"/>
      <c r="P243" s="104">
        <f t="shared" si="127"/>
        <v>164.10559474923082</v>
      </c>
      <c r="Q243" s="104">
        <f t="shared" si="128"/>
        <v>51.96702610736277</v>
      </c>
      <c r="R243" s="104"/>
      <c r="S243" s="140">
        <f t="shared" si="129"/>
        <v>455.71095921920465</v>
      </c>
      <c r="T243" s="234">
        <v>728.97</v>
      </c>
      <c r="U243" s="104"/>
      <c r="V243" s="148">
        <f t="shared" si="130"/>
        <v>728.97</v>
      </c>
      <c r="W243" s="236"/>
      <c r="X243" s="104"/>
      <c r="Y243" s="45">
        <f t="shared" si="131"/>
        <v>0</v>
      </c>
      <c r="Z243" s="138">
        <f t="shared" si="132"/>
        <v>55.838660692954569</v>
      </c>
      <c r="AA243" s="104">
        <f t="shared" si="119"/>
        <v>12.273779617936322</v>
      </c>
      <c r="AB243" s="323">
        <v>0</v>
      </c>
      <c r="AC243" s="104"/>
      <c r="AD243" s="104">
        <f t="shared" si="133"/>
        <v>46.651787909882977</v>
      </c>
      <c r="AE243" s="104">
        <f t="shared" si="134"/>
        <v>14.7716291317948</v>
      </c>
      <c r="AF243" s="104"/>
      <c r="AG243" s="139">
        <f t="shared" si="135"/>
        <v>129.53585735256868</v>
      </c>
      <c r="AH243" s="200">
        <f t="shared" si="136"/>
        <v>848.04045297722234</v>
      </c>
      <c r="AI243" s="104">
        <f t="shared" si="120"/>
        <v>169.1549768166243</v>
      </c>
      <c r="AJ243" s="323">
        <v>89.728495362288896</v>
      </c>
      <c r="AK243" s="118" t="e">
        <f t="shared" si="121"/>
        <v>#REF!</v>
      </c>
      <c r="AL243" s="104"/>
      <c r="AM243" s="104">
        <f t="shared" si="137"/>
        <v>708.51633725316526</v>
      </c>
      <c r="AN243" s="104" t="e">
        <f t="shared" si="138"/>
        <v>#REF!</v>
      </c>
      <c r="AO243" s="104"/>
      <c r="AP243" s="140" t="e">
        <f t="shared" si="139"/>
        <v>#REF!</v>
      </c>
      <c r="AQ243" s="33"/>
      <c r="AR243" s="28"/>
      <c r="AS243" s="121"/>
      <c r="AT243" s="135" t="e">
        <f t="shared" si="140"/>
        <v>#REF!</v>
      </c>
      <c r="AU243" s="148" t="e">
        <f t="shared" si="141"/>
        <v>#REF!</v>
      </c>
      <c r="AW243" s="1">
        <v>3</v>
      </c>
      <c r="BA243" s="29">
        <v>728.21</v>
      </c>
      <c r="BB243" s="29">
        <v>153.37</v>
      </c>
      <c r="BC243" s="29">
        <v>67.73</v>
      </c>
      <c r="BD243" s="29">
        <v>654.08000000000004</v>
      </c>
      <c r="BI243" s="323">
        <v>0</v>
      </c>
      <c r="BL243" s="107">
        <f t="shared" si="150"/>
        <v>1.2233877438623886</v>
      </c>
      <c r="BM243" s="107">
        <f t="shared" si="150"/>
        <v>1.2807066670574303</v>
      </c>
      <c r="BN243" s="107">
        <f t="shared" si="150"/>
        <v>0.82443024793968056</v>
      </c>
      <c r="BO243" s="107">
        <f t="shared" si="150"/>
        <v>1.2965393422474656</v>
      </c>
    </row>
    <row r="244" spans="1:67" x14ac:dyDescent="0.25">
      <c r="A244" s="250" t="s">
        <v>282</v>
      </c>
      <c r="B244" s="227">
        <v>5</v>
      </c>
      <c r="C244" s="226">
        <f>'побудинковий звіт'!E231</f>
        <v>6746.86</v>
      </c>
      <c r="D244" s="138">
        <f t="shared" si="122"/>
        <v>430.9750344078422</v>
      </c>
      <c r="E244" s="104">
        <f t="shared" si="116"/>
        <v>88.835583611270721</v>
      </c>
      <c r="F244" s="323">
        <v>71.077979154975964</v>
      </c>
      <c r="G244" s="104" t="e">
        <f t="shared" si="117"/>
        <v>#REF!</v>
      </c>
      <c r="H244" s="720">
        <f t="shared" si="123"/>
        <v>360.0687346390099</v>
      </c>
      <c r="I244" s="104" t="e">
        <f t="shared" si="124"/>
        <v>#REF!</v>
      </c>
      <c r="J244" s="28"/>
      <c r="K244" s="139" t="e">
        <f t="shared" si="125"/>
        <v>#REF!</v>
      </c>
      <c r="L244" s="200">
        <f t="shared" si="126"/>
        <v>96.526861496118528</v>
      </c>
      <c r="M244" s="104">
        <f t="shared" si="118"/>
        <v>21.237639790899763</v>
      </c>
      <c r="N244" s="323">
        <v>0</v>
      </c>
      <c r="O244" s="104"/>
      <c r="P244" s="104">
        <f t="shared" si="127"/>
        <v>80.645749991846685</v>
      </c>
      <c r="Q244" s="104">
        <f t="shared" si="128"/>
        <v>25.537945867587737</v>
      </c>
      <c r="R244" s="104"/>
      <c r="S244" s="140">
        <f t="shared" si="129"/>
        <v>223.94819714645269</v>
      </c>
      <c r="T244" s="234">
        <v>340.7</v>
      </c>
      <c r="U244" s="104"/>
      <c r="V244" s="148">
        <f t="shared" si="130"/>
        <v>340.7</v>
      </c>
      <c r="W244" s="236"/>
      <c r="X244" s="104"/>
      <c r="Y244" s="45">
        <f t="shared" si="131"/>
        <v>0</v>
      </c>
      <c r="Z244" s="138">
        <f t="shared" si="132"/>
        <v>0</v>
      </c>
      <c r="AA244" s="104">
        <f t="shared" si="119"/>
        <v>0</v>
      </c>
      <c r="AB244" s="323">
        <v>0</v>
      </c>
      <c r="AC244" s="104"/>
      <c r="AD244" s="104">
        <f t="shared" si="133"/>
        <v>0</v>
      </c>
      <c r="AE244" s="104">
        <f t="shared" si="134"/>
        <v>0</v>
      </c>
      <c r="AF244" s="104"/>
      <c r="AG244" s="139">
        <f t="shared" si="135"/>
        <v>0</v>
      </c>
      <c r="AH244" s="200">
        <f t="shared" si="136"/>
        <v>283.94211595219497</v>
      </c>
      <c r="AI244" s="104">
        <f t="shared" si="120"/>
        <v>56.636710987709023</v>
      </c>
      <c r="AJ244" s="323">
        <v>40.007569934101156</v>
      </c>
      <c r="AK244" s="118" t="e">
        <f t="shared" si="121"/>
        <v>#REF!</v>
      </c>
      <c r="AL244" s="104"/>
      <c r="AM244" s="104">
        <f t="shared" si="137"/>
        <v>237.22645220530086</v>
      </c>
      <c r="AN244" s="104" t="e">
        <f t="shared" si="138"/>
        <v>#REF!</v>
      </c>
      <c r="AO244" s="104"/>
      <c r="AP244" s="140" t="e">
        <f t="shared" si="139"/>
        <v>#REF!</v>
      </c>
      <c r="AQ244" s="33"/>
      <c r="AR244" s="28"/>
      <c r="AS244" s="121"/>
      <c r="AT244" s="135" t="e">
        <f t="shared" si="140"/>
        <v>#REF!</v>
      </c>
      <c r="AU244" s="148" t="e">
        <f t="shared" si="141"/>
        <v>#REF!</v>
      </c>
      <c r="AW244" s="1">
        <v>3</v>
      </c>
      <c r="BA244" s="29">
        <v>352.28</v>
      </c>
      <c r="BB244" s="29">
        <v>75.37</v>
      </c>
      <c r="BC244" s="29">
        <v>0</v>
      </c>
      <c r="BD244" s="29">
        <v>219</v>
      </c>
      <c r="BI244" s="323">
        <v>0</v>
      </c>
      <c r="BL244" s="107">
        <f t="shared" si="150"/>
        <v>1.2233877438623886</v>
      </c>
      <c r="BM244" s="107">
        <f t="shared" si="150"/>
        <v>1.2807066670574303</v>
      </c>
      <c r="BN244" s="107">
        <f t="shared" si="150"/>
        <v>0.82443024793968056</v>
      </c>
      <c r="BO244" s="107">
        <f t="shared" si="150"/>
        <v>1.2965393422474656</v>
      </c>
    </row>
    <row r="245" spans="1:67" x14ac:dyDescent="0.25">
      <c r="A245" s="250" t="s">
        <v>283</v>
      </c>
      <c r="B245" s="227">
        <v>5</v>
      </c>
      <c r="C245" s="226">
        <f>'побудинковий звіт'!E232</f>
        <v>3267</v>
      </c>
      <c r="D245" s="138">
        <f t="shared" si="122"/>
        <v>681.64718312524565</v>
      </c>
      <c r="E245" s="104">
        <f t="shared" si="116"/>
        <v>140.50587736041734</v>
      </c>
      <c r="F245" s="323">
        <v>117.69158698703507</v>
      </c>
      <c r="G245" s="104" t="e">
        <f t="shared" si="117"/>
        <v>#REF!</v>
      </c>
      <c r="H245" s="720">
        <f t="shared" si="123"/>
        <v>569.49897117680132</v>
      </c>
      <c r="I245" s="104" t="e">
        <f t="shared" si="124"/>
        <v>#REF!</v>
      </c>
      <c r="J245" s="28"/>
      <c r="K245" s="139" t="e">
        <f t="shared" si="125"/>
        <v>#REF!</v>
      </c>
      <c r="L245" s="200">
        <f t="shared" si="126"/>
        <v>147.34530204495735</v>
      </c>
      <c r="M245" s="104">
        <f t="shared" si="118"/>
        <v>32.418607641541961</v>
      </c>
      <c r="N245" s="323">
        <v>0</v>
      </c>
      <c r="O245" s="104"/>
      <c r="P245" s="104">
        <f t="shared" si="127"/>
        <v>123.10327101714158</v>
      </c>
      <c r="Q245" s="104">
        <f t="shared" si="128"/>
        <v>38.98289335366816</v>
      </c>
      <c r="R245" s="104"/>
      <c r="S245" s="140">
        <f t="shared" si="129"/>
        <v>341.85007405730903</v>
      </c>
      <c r="T245" s="234">
        <v>577.12</v>
      </c>
      <c r="U245" s="104"/>
      <c r="V245" s="148">
        <f t="shared" si="130"/>
        <v>577.12</v>
      </c>
      <c r="W245" s="236"/>
      <c r="X245" s="104"/>
      <c r="Y245" s="45">
        <f t="shared" si="131"/>
        <v>0</v>
      </c>
      <c r="Z245" s="138">
        <f t="shared" si="132"/>
        <v>36.819054872986129</v>
      </c>
      <c r="AA245" s="104">
        <f t="shared" si="119"/>
        <v>8.0931197067331464</v>
      </c>
      <c r="AB245" s="323">
        <v>0</v>
      </c>
      <c r="AC245" s="104"/>
      <c r="AD245" s="104">
        <f t="shared" si="133"/>
        <v>30.761388573089818</v>
      </c>
      <c r="AE245" s="104">
        <f t="shared" si="134"/>
        <v>9.7401588221756334</v>
      </c>
      <c r="AF245" s="104"/>
      <c r="AG245" s="139">
        <f t="shared" si="135"/>
        <v>85.413721974984725</v>
      </c>
      <c r="AH245" s="200">
        <f t="shared" si="136"/>
        <v>534.03158967830859</v>
      </c>
      <c r="AI245" s="104">
        <f t="shared" si="120"/>
        <v>106.52098122706607</v>
      </c>
      <c r="AJ245" s="323">
        <v>66.244910913586708</v>
      </c>
      <c r="AK245" s="118" t="e">
        <f t="shared" si="121"/>
        <v>#REF!</v>
      </c>
      <c r="AL245" s="104"/>
      <c r="AM245" s="104">
        <f t="shared" si="137"/>
        <v>446.16987853352225</v>
      </c>
      <c r="AN245" s="104" t="e">
        <f t="shared" si="138"/>
        <v>#REF!</v>
      </c>
      <c r="AO245" s="104"/>
      <c r="AP245" s="140" t="e">
        <f t="shared" si="139"/>
        <v>#REF!</v>
      </c>
      <c r="AQ245" s="33"/>
      <c r="AR245" s="28"/>
      <c r="AS245" s="121"/>
      <c r="AT245" s="135" t="e">
        <f t="shared" si="140"/>
        <v>#REF!</v>
      </c>
      <c r="AU245" s="148" t="e">
        <f t="shared" si="141"/>
        <v>#REF!</v>
      </c>
      <c r="AW245" s="1">
        <v>3</v>
      </c>
      <c r="BA245" s="29">
        <v>557.17999999999995</v>
      </c>
      <c r="BB245" s="29">
        <v>115.05</v>
      </c>
      <c r="BC245" s="29">
        <v>44.66</v>
      </c>
      <c r="BD245" s="29">
        <v>411.89</v>
      </c>
      <c r="BI245" s="323">
        <v>0</v>
      </c>
      <c r="BL245" s="107">
        <f t="shared" si="150"/>
        <v>1.2233877438623886</v>
      </c>
      <c r="BM245" s="107">
        <f t="shared" si="150"/>
        <v>1.2807066670574303</v>
      </c>
      <c r="BN245" s="107">
        <f t="shared" si="150"/>
        <v>0.82443024793968056</v>
      </c>
      <c r="BO245" s="107">
        <f t="shared" si="150"/>
        <v>1.2965393422474656</v>
      </c>
    </row>
    <row r="246" spans="1:67" x14ac:dyDescent="0.25">
      <c r="A246" s="250" t="s">
        <v>284</v>
      </c>
      <c r="B246" s="227">
        <v>5</v>
      </c>
      <c r="C246" s="226">
        <f>'побудинковий звіт'!E233</f>
        <v>6618.95</v>
      </c>
      <c r="D246" s="138">
        <f t="shared" si="122"/>
        <v>891.77626201104965</v>
      </c>
      <c r="E246" s="104">
        <f t="shared" si="116"/>
        <v>183.81915044169324</v>
      </c>
      <c r="F246" s="323">
        <v>159.59270064765951</v>
      </c>
      <c r="G246" s="104" t="e">
        <f t="shared" si="117"/>
        <v>#REF!</v>
      </c>
      <c r="H246" s="720">
        <f t="shared" si="123"/>
        <v>745.0564988865674</v>
      </c>
      <c r="I246" s="104" t="e">
        <f t="shared" si="124"/>
        <v>#REF!</v>
      </c>
      <c r="J246" s="28"/>
      <c r="K246" s="139" t="e">
        <f t="shared" si="125"/>
        <v>#REF!</v>
      </c>
      <c r="L246" s="200">
        <f t="shared" si="126"/>
        <v>196.5628592599744</v>
      </c>
      <c r="M246" s="104">
        <f t="shared" si="118"/>
        <v>43.247352462615041</v>
      </c>
      <c r="N246" s="323">
        <v>0</v>
      </c>
      <c r="O246" s="104"/>
      <c r="P246" s="104">
        <f t="shared" si="127"/>
        <v>164.22329453029892</v>
      </c>
      <c r="Q246" s="104">
        <f t="shared" si="128"/>
        <v>52.004297887188088</v>
      </c>
      <c r="R246" s="104"/>
      <c r="S246" s="140">
        <f t="shared" si="129"/>
        <v>456.03780414007645</v>
      </c>
      <c r="T246" s="234">
        <v>752.57</v>
      </c>
      <c r="U246" s="104"/>
      <c r="V246" s="148">
        <f t="shared" si="130"/>
        <v>752.57</v>
      </c>
      <c r="W246" s="236"/>
      <c r="X246" s="104"/>
      <c r="Y246" s="45">
        <f t="shared" si="131"/>
        <v>0</v>
      </c>
      <c r="Z246" s="138">
        <f t="shared" si="132"/>
        <v>55.838660692954569</v>
      </c>
      <c r="AA246" s="104">
        <f t="shared" si="119"/>
        <v>12.273779617936322</v>
      </c>
      <c r="AB246" s="323">
        <v>0</v>
      </c>
      <c r="AC246" s="104"/>
      <c r="AD246" s="104">
        <f t="shared" si="133"/>
        <v>46.651787909882977</v>
      </c>
      <c r="AE246" s="104">
        <f t="shared" si="134"/>
        <v>14.7716291317948</v>
      </c>
      <c r="AF246" s="104"/>
      <c r="AG246" s="139">
        <f t="shared" si="135"/>
        <v>129.53585735256868</v>
      </c>
      <c r="AH246" s="200">
        <f t="shared" si="136"/>
        <v>863.79340598552903</v>
      </c>
      <c r="AI246" s="104">
        <f t="shared" si="120"/>
        <v>172.29715050840815</v>
      </c>
      <c r="AJ246" s="323">
        <v>89.829736411214768</v>
      </c>
      <c r="AK246" s="118" t="e">
        <f t="shared" si="121"/>
        <v>#REF!</v>
      </c>
      <c r="AL246" s="104"/>
      <c r="AM246" s="104">
        <f t="shared" si="137"/>
        <v>721.67753083441823</v>
      </c>
      <c r="AN246" s="104" t="e">
        <f t="shared" si="138"/>
        <v>#REF!</v>
      </c>
      <c r="AO246" s="104"/>
      <c r="AP246" s="140" t="e">
        <f t="shared" si="139"/>
        <v>#REF!</v>
      </c>
      <c r="AQ246" s="33"/>
      <c r="AR246" s="28"/>
      <c r="AS246" s="121"/>
      <c r="AT246" s="135" t="e">
        <f t="shared" si="140"/>
        <v>#REF!</v>
      </c>
      <c r="AU246" s="148" t="e">
        <f t="shared" si="141"/>
        <v>#REF!</v>
      </c>
      <c r="AW246" s="1">
        <v>3</v>
      </c>
      <c r="BA246" s="29">
        <v>728.94</v>
      </c>
      <c r="BB246" s="29">
        <v>153.47999999999999</v>
      </c>
      <c r="BC246" s="29">
        <v>67.73</v>
      </c>
      <c r="BD246" s="29">
        <v>666.23</v>
      </c>
      <c r="BI246" s="323">
        <v>0</v>
      </c>
      <c r="BL246" s="107">
        <f t="shared" si="150"/>
        <v>1.2233877438623886</v>
      </c>
      <c r="BM246" s="107">
        <f t="shared" si="150"/>
        <v>1.2807066670574303</v>
      </c>
      <c r="BN246" s="107">
        <f t="shared" si="150"/>
        <v>0.82443024793968056</v>
      </c>
      <c r="BO246" s="107">
        <f t="shared" si="150"/>
        <v>1.2965393422474656</v>
      </c>
    </row>
    <row r="247" spans="1:67" x14ac:dyDescent="0.25">
      <c r="A247" s="250" t="s">
        <v>285</v>
      </c>
      <c r="B247" s="227">
        <v>5</v>
      </c>
      <c r="C247" s="226">
        <f>'побудинковий звіт'!E234</f>
        <v>9392.58</v>
      </c>
      <c r="D247" s="138">
        <f t="shared" si="122"/>
        <v>510.43406837170443</v>
      </c>
      <c r="E247" s="104">
        <f t="shared" si="116"/>
        <v>105.21423455810857</v>
      </c>
      <c r="F247" s="323">
        <v>82.258461509799602</v>
      </c>
      <c r="G247" s="104" t="e">
        <f t="shared" si="117"/>
        <v>#REF!</v>
      </c>
      <c r="H247" s="720">
        <f t="shared" si="123"/>
        <v>426.45474666014007</v>
      </c>
      <c r="I247" s="104" t="e">
        <f t="shared" si="124"/>
        <v>#REF!</v>
      </c>
      <c r="J247" s="28"/>
      <c r="K247" s="139" t="e">
        <f t="shared" si="125"/>
        <v>#REF!</v>
      </c>
      <c r="L247" s="200">
        <f t="shared" si="126"/>
        <v>98.79371229681017</v>
      </c>
      <c r="M247" s="104">
        <f t="shared" si="118"/>
        <v>21.736387600769639</v>
      </c>
      <c r="N247" s="323">
        <v>0</v>
      </c>
      <c r="O247" s="104"/>
      <c r="P247" s="104">
        <f t="shared" si="127"/>
        <v>82.539646469033471</v>
      </c>
      <c r="Q247" s="104">
        <f t="shared" si="128"/>
        <v>26.137682688413403</v>
      </c>
      <c r="R247" s="104"/>
      <c r="S247" s="140">
        <f t="shared" si="129"/>
        <v>229.20742905502669</v>
      </c>
      <c r="T247" s="234">
        <v>387.36</v>
      </c>
      <c r="U247" s="104"/>
      <c r="V247" s="148">
        <f t="shared" si="130"/>
        <v>387.36</v>
      </c>
      <c r="W247" s="236"/>
      <c r="X247" s="104"/>
      <c r="Y247" s="45">
        <f t="shared" si="131"/>
        <v>0</v>
      </c>
      <c r="Z247" s="138">
        <f t="shared" si="132"/>
        <v>0</v>
      </c>
      <c r="AA247" s="104">
        <f t="shared" si="119"/>
        <v>0</v>
      </c>
      <c r="AB247" s="323">
        <v>0</v>
      </c>
      <c r="AC247" s="104"/>
      <c r="AD247" s="104">
        <f t="shared" si="133"/>
        <v>0</v>
      </c>
      <c r="AE247" s="104">
        <f t="shared" si="134"/>
        <v>0</v>
      </c>
      <c r="AF247" s="104"/>
      <c r="AG247" s="139">
        <f t="shared" si="135"/>
        <v>0</v>
      </c>
      <c r="AH247" s="200">
        <f t="shared" si="136"/>
        <v>300.78416200798955</v>
      </c>
      <c r="AI247" s="104">
        <f t="shared" si="120"/>
        <v>59.996121379171768</v>
      </c>
      <c r="AJ247" s="323">
        <v>46.300713535332484</v>
      </c>
      <c r="AK247" s="118" t="e">
        <f t="shared" si="121"/>
        <v>#REF!</v>
      </c>
      <c r="AL247" s="104"/>
      <c r="AM247" s="104">
        <f t="shared" si="137"/>
        <v>251.29755546624543</v>
      </c>
      <c r="AN247" s="104" t="e">
        <f t="shared" si="138"/>
        <v>#REF!</v>
      </c>
      <c r="AO247" s="104"/>
      <c r="AP247" s="140" t="e">
        <f t="shared" si="139"/>
        <v>#REF!</v>
      </c>
      <c r="AQ247" s="33"/>
      <c r="AR247" s="28"/>
      <c r="AS247" s="121"/>
      <c r="AT247" s="135" t="e">
        <f t="shared" si="140"/>
        <v>#REF!</v>
      </c>
      <c r="AU247" s="148" t="e">
        <f t="shared" si="141"/>
        <v>#REF!</v>
      </c>
      <c r="AW247" s="1">
        <v>3</v>
      </c>
      <c r="BA247" s="29">
        <v>417.23</v>
      </c>
      <c r="BB247" s="29">
        <v>77.14</v>
      </c>
      <c r="BC247" s="29">
        <v>0</v>
      </c>
      <c r="BD247" s="29">
        <v>231.99</v>
      </c>
      <c r="BI247" s="323">
        <v>0</v>
      </c>
      <c r="BL247" s="107">
        <f t="shared" si="150"/>
        <v>1.2233877438623886</v>
      </c>
      <c r="BM247" s="107">
        <f t="shared" si="150"/>
        <v>1.2807066670574303</v>
      </c>
      <c r="BN247" s="107">
        <f t="shared" si="150"/>
        <v>0.82443024793968056</v>
      </c>
      <c r="BO247" s="107">
        <f t="shared" si="150"/>
        <v>1.2965393422474656</v>
      </c>
    </row>
    <row r="248" spans="1:67" x14ac:dyDescent="0.25">
      <c r="A248" s="250" t="s">
        <v>286</v>
      </c>
      <c r="B248" s="227">
        <v>5</v>
      </c>
      <c r="C248" s="226">
        <f>'побудинковий звіт'!E235</f>
        <v>11347.12</v>
      </c>
      <c r="D248" s="138">
        <f t="shared" si="122"/>
        <v>501.0751521311571</v>
      </c>
      <c r="E248" s="104">
        <f t="shared" si="116"/>
        <v>103.28510938885053</v>
      </c>
      <c r="F248" s="323">
        <v>81.333692342787955</v>
      </c>
      <c r="G248" s="104" t="e">
        <f t="shared" si="117"/>
        <v>#REF!</v>
      </c>
      <c r="H248" s="720">
        <f t="shared" si="123"/>
        <v>418.63560898559581</v>
      </c>
      <c r="I248" s="104" t="e">
        <f t="shared" si="124"/>
        <v>#REF!</v>
      </c>
      <c r="J248" s="28"/>
      <c r="K248" s="139" t="e">
        <f t="shared" si="125"/>
        <v>#REF!</v>
      </c>
      <c r="L248" s="200">
        <f t="shared" si="126"/>
        <v>98.79371229681017</v>
      </c>
      <c r="M248" s="104">
        <f t="shared" si="118"/>
        <v>21.736387600769639</v>
      </c>
      <c r="N248" s="323">
        <v>0</v>
      </c>
      <c r="O248" s="104"/>
      <c r="P248" s="104">
        <f t="shared" si="127"/>
        <v>82.539646469033471</v>
      </c>
      <c r="Q248" s="104">
        <f t="shared" si="128"/>
        <v>26.137682688413403</v>
      </c>
      <c r="R248" s="104"/>
      <c r="S248" s="140">
        <f t="shared" si="129"/>
        <v>229.20742905502669</v>
      </c>
      <c r="T248" s="234">
        <v>386.17</v>
      </c>
      <c r="U248" s="104"/>
      <c r="V248" s="148">
        <f t="shared" si="130"/>
        <v>386.17</v>
      </c>
      <c r="W248" s="236"/>
      <c r="X248" s="104"/>
      <c r="Y248" s="45">
        <f t="shared" si="131"/>
        <v>0</v>
      </c>
      <c r="Z248" s="138">
        <f t="shared" si="132"/>
        <v>0</v>
      </c>
      <c r="AA248" s="104">
        <f t="shared" si="119"/>
        <v>0</v>
      </c>
      <c r="AB248" s="323">
        <v>0</v>
      </c>
      <c r="AC248" s="104"/>
      <c r="AD248" s="104">
        <f t="shared" si="133"/>
        <v>0</v>
      </c>
      <c r="AE248" s="104">
        <f t="shared" si="134"/>
        <v>0</v>
      </c>
      <c r="AF248" s="104"/>
      <c r="AG248" s="139">
        <f t="shared" si="135"/>
        <v>0</v>
      </c>
      <c r="AH248" s="200">
        <f t="shared" si="136"/>
        <v>300.90085054879182</v>
      </c>
      <c r="AI248" s="104">
        <f t="shared" si="120"/>
        <v>60.019396739851651</v>
      </c>
      <c r="AJ248" s="323">
        <v>45.78018991378368</v>
      </c>
      <c r="AK248" s="118" t="e">
        <f t="shared" si="121"/>
        <v>#REF!</v>
      </c>
      <c r="AL248" s="104"/>
      <c r="AM248" s="104">
        <f t="shared" si="137"/>
        <v>251.39504578906954</v>
      </c>
      <c r="AN248" s="104" t="e">
        <f t="shared" si="138"/>
        <v>#REF!</v>
      </c>
      <c r="AO248" s="104"/>
      <c r="AP248" s="140" t="e">
        <f t="shared" si="139"/>
        <v>#REF!</v>
      </c>
      <c r="AQ248" s="33"/>
      <c r="AR248" s="28"/>
      <c r="AS248" s="121"/>
      <c r="AT248" s="135" t="e">
        <f t="shared" si="140"/>
        <v>#REF!</v>
      </c>
      <c r="AU248" s="148" t="e">
        <f t="shared" si="141"/>
        <v>#REF!</v>
      </c>
      <c r="AW248" s="1">
        <v>3</v>
      </c>
      <c r="BA248" s="29">
        <v>409.58</v>
      </c>
      <c r="BB248" s="29">
        <v>77.14</v>
      </c>
      <c r="BC248" s="29">
        <v>0</v>
      </c>
      <c r="BD248" s="29">
        <v>232.08</v>
      </c>
      <c r="BI248" s="323">
        <v>0</v>
      </c>
      <c r="BL248" s="107">
        <f t="shared" si="150"/>
        <v>1.2233877438623886</v>
      </c>
      <c r="BM248" s="107">
        <f t="shared" si="150"/>
        <v>1.2807066670574303</v>
      </c>
      <c r="BN248" s="107">
        <f t="shared" si="150"/>
        <v>0.82443024793968056</v>
      </c>
      <c r="BO248" s="107">
        <f t="shared" si="150"/>
        <v>1.2965393422474656</v>
      </c>
    </row>
    <row r="249" spans="1:67" x14ac:dyDescent="0.25">
      <c r="A249" s="250" t="s">
        <v>287</v>
      </c>
      <c r="B249" s="227">
        <v>5</v>
      </c>
      <c r="C249" s="226">
        <f>'побудинковий звіт'!E236</f>
        <v>0</v>
      </c>
      <c r="D249" s="138">
        <f t="shared" si="122"/>
        <v>650.48749728907069</v>
      </c>
      <c r="E249" s="104">
        <f t="shared" si="116"/>
        <v>134.08302532629943</v>
      </c>
      <c r="F249" s="323">
        <v>114.51566397945967</v>
      </c>
      <c r="G249" s="104" t="e">
        <f t="shared" si="117"/>
        <v>#REF!</v>
      </c>
      <c r="H249" s="720">
        <f t="shared" si="123"/>
        <v>543.46584221331898</v>
      </c>
      <c r="I249" s="104" t="e">
        <f t="shared" si="124"/>
        <v>#REF!</v>
      </c>
      <c r="J249" s="28"/>
      <c r="K249" s="139" t="e">
        <f t="shared" si="125"/>
        <v>#REF!</v>
      </c>
      <c r="L249" s="200">
        <f t="shared" si="126"/>
        <v>146.10301657791166</v>
      </c>
      <c r="M249" s="104">
        <f t="shared" si="118"/>
        <v>32.145282570596329</v>
      </c>
      <c r="N249" s="323">
        <v>0</v>
      </c>
      <c r="O249" s="104"/>
      <c r="P249" s="104">
        <f t="shared" si="127"/>
        <v>122.06537294772284</v>
      </c>
      <c r="Q249" s="104">
        <f t="shared" si="128"/>
        <v>38.654224022481216</v>
      </c>
      <c r="R249" s="104"/>
      <c r="S249" s="140">
        <f t="shared" si="129"/>
        <v>338.96789611871202</v>
      </c>
      <c r="T249" s="234">
        <v>550.4</v>
      </c>
      <c r="U249" s="104"/>
      <c r="V249" s="148">
        <f t="shared" si="130"/>
        <v>550.4</v>
      </c>
      <c r="W249" s="236"/>
      <c r="X249" s="104"/>
      <c r="Y249" s="45">
        <f t="shared" si="131"/>
        <v>0</v>
      </c>
      <c r="Z249" s="138">
        <f t="shared" si="132"/>
        <v>36.077067649840423</v>
      </c>
      <c r="AA249" s="104">
        <f t="shared" si="119"/>
        <v>7.9300250417967435</v>
      </c>
      <c r="AB249" s="323">
        <v>0</v>
      </c>
      <c r="AC249" s="104"/>
      <c r="AD249" s="104">
        <f t="shared" si="133"/>
        <v>30.141477025490609</v>
      </c>
      <c r="AE249" s="104">
        <f t="shared" si="134"/>
        <v>9.5438725942321039</v>
      </c>
      <c r="AF249" s="104"/>
      <c r="AG249" s="139">
        <f t="shared" si="135"/>
        <v>83.692442311359869</v>
      </c>
      <c r="AH249" s="200">
        <f t="shared" si="136"/>
        <v>563.39820578021374</v>
      </c>
      <c r="AI249" s="104">
        <f t="shared" si="120"/>
        <v>112.378613664836</v>
      </c>
      <c r="AJ249" s="323">
        <v>64.457283249695834</v>
      </c>
      <c r="AK249" s="118" t="e">
        <f t="shared" si="121"/>
        <v>#REF!</v>
      </c>
      <c r="AL249" s="104"/>
      <c r="AM249" s="104">
        <f t="shared" si="137"/>
        <v>470.70494311091983</v>
      </c>
      <c r="AN249" s="104" t="e">
        <f t="shared" si="138"/>
        <v>#REF!</v>
      </c>
      <c r="AO249" s="104"/>
      <c r="AP249" s="140" t="e">
        <f t="shared" si="139"/>
        <v>#REF!</v>
      </c>
      <c r="AQ249" s="33"/>
      <c r="AR249" s="28"/>
      <c r="AS249" s="121"/>
      <c r="AT249" s="135" t="e">
        <f t="shared" si="140"/>
        <v>#REF!</v>
      </c>
      <c r="AU249" s="148" t="e">
        <f t="shared" si="141"/>
        <v>#REF!</v>
      </c>
      <c r="AW249" s="1">
        <v>3</v>
      </c>
      <c r="BA249" s="29">
        <v>531.71</v>
      </c>
      <c r="BB249" s="29">
        <v>114.08</v>
      </c>
      <c r="BC249" s="29">
        <v>43.76</v>
      </c>
      <c r="BD249" s="29">
        <v>434.54</v>
      </c>
      <c r="BI249" s="323">
        <v>0</v>
      </c>
      <c r="BL249" s="107">
        <f t="shared" si="150"/>
        <v>1.2233877438623886</v>
      </c>
      <c r="BM249" s="107">
        <f t="shared" si="150"/>
        <v>1.2807066670574303</v>
      </c>
      <c r="BN249" s="107">
        <f t="shared" si="150"/>
        <v>0.82443024793968056</v>
      </c>
      <c r="BO249" s="107">
        <f t="shared" si="150"/>
        <v>1.2965393422474656</v>
      </c>
    </row>
    <row r="250" spans="1:67" x14ac:dyDescent="0.25">
      <c r="A250" s="250" t="s">
        <v>288</v>
      </c>
      <c r="B250" s="227">
        <v>5</v>
      </c>
      <c r="C250" s="226">
        <f>'побудинковий звіт'!E237</f>
        <v>5689.78</v>
      </c>
      <c r="D250" s="138">
        <f t="shared" si="122"/>
        <v>439.42864371793132</v>
      </c>
      <c r="E250" s="104">
        <f t="shared" si="116"/>
        <v>90.578100594221439</v>
      </c>
      <c r="F250" s="323">
        <v>94.303843285618271</v>
      </c>
      <c r="G250" s="104" t="e">
        <f t="shared" si="117"/>
        <v>#REF!</v>
      </c>
      <c r="H250" s="720">
        <f t="shared" si="123"/>
        <v>367.13151128359823</v>
      </c>
      <c r="I250" s="104" t="e">
        <f t="shared" si="124"/>
        <v>#REF!</v>
      </c>
      <c r="J250" s="28"/>
      <c r="K250" s="139" t="e">
        <f t="shared" si="125"/>
        <v>#REF!</v>
      </c>
      <c r="L250" s="200">
        <f t="shared" si="126"/>
        <v>94.77229336224984</v>
      </c>
      <c r="M250" s="104">
        <f t="shared" si="118"/>
        <v>20.851603350492006</v>
      </c>
      <c r="N250" s="323">
        <v>0</v>
      </c>
      <c r="O250" s="104"/>
      <c r="P250" s="104">
        <f t="shared" si="127"/>
        <v>79.179852718543913</v>
      </c>
      <c r="Q250" s="104">
        <f t="shared" si="128"/>
        <v>25.073742791581434</v>
      </c>
      <c r="R250" s="104"/>
      <c r="S250" s="140">
        <f t="shared" si="129"/>
        <v>219.87749222286718</v>
      </c>
      <c r="T250" s="234">
        <v>437.05</v>
      </c>
      <c r="U250" s="104"/>
      <c r="V250" s="148">
        <f t="shared" si="130"/>
        <v>437.05</v>
      </c>
      <c r="W250" s="881">
        <v>110.41</v>
      </c>
      <c r="X250" s="104"/>
      <c r="Y250" s="45">
        <f t="shared" si="131"/>
        <v>110.41</v>
      </c>
      <c r="Z250" s="138">
        <f t="shared" si="132"/>
        <v>0</v>
      </c>
      <c r="AA250" s="104">
        <f t="shared" si="119"/>
        <v>0</v>
      </c>
      <c r="AB250" s="323">
        <v>0</v>
      </c>
      <c r="AC250" s="104"/>
      <c r="AD250" s="104">
        <f t="shared" si="133"/>
        <v>0</v>
      </c>
      <c r="AE250" s="104">
        <f t="shared" si="134"/>
        <v>0</v>
      </c>
      <c r="AF250" s="104"/>
      <c r="AG250" s="139">
        <f t="shared" si="135"/>
        <v>0</v>
      </c>
      <c r="AH250" s="200">
        <f t="shared" si="136"/>
        <v>167.87591403420183</v>
      </c>
      <c r="AI250" s="104">
        <f t="shared" si="120"/>
        <v>33.485485564787965</v>
      </c>
      <c r="AJ250" s="323">
        <v>53.080681951827287</v>
      </c>
      <c r="AK250" s="118" t="e">
        <f t="shared" si="121"/>
        <v>#REF!</v>
      </c>
      <c r="AL250" s="104"/>
      <c r="AM250" s="104">
        <f t="shared" si="137"/>
        <v>140.25607776959978</v>
      </c>
      <c r="AN250" s="104" t="e">
        <f t="shared" si="138"/>
        <v>#REF!</v>
      </c>
      <c r="AO250" s="104"/>
      <c r="AP250" s="140" t="e">
        <f t="shared" si="139"/>
        <v>#REF!</v>
      </c>
      <c r="AQ250" s="33"/>
      <c r="AR250" s="28"/>
      <c r="AS250" s="121"/>
      <c r="AT250" s="135" t="e">
        <f t="shared" si="140"/>
        <v>#REF!</v>
      </c>
      <c r="AU250" s="148" t="e">
        <f t="shared" si="141"/>
        <v>#REF!</v>
      </c>
      <c r="AW250" s="1">
        <v>3</v>
      </c>
      <c r="BA250" s="29">
        <v>359.19</v>
      </c>
      <c r="BB250" s="29">
        <v>74</v>
      </c>
      <c r="BC250" s="29">
        <v>0</v>
      </c>
      <c r="BD250" s="29">
        <v>129.47999999999999</v>
      </c>
      <c r="BI250" s="323">
        <v>0</v>
      </c>
      <c r="BL250" s="107">
        <f t="shared" si="150"/>
        <v>1.2233877438623886</v>
      </c>
      <c r="BM250" s="107">
        <f t="shared" si="150"/>
        <v>1.2807066670574303</v>
      </c>
      <c r="BN250" s="107">
        <f t="shared" si="150"/>
        <v>0.82443024793968056</v>
      </c>
      <c r="BO250" s="107">
        <f t="shared" si="150"/>
        <v>1.2965393422474656</v>
      </c>
    </row>
    <row r="251" spans="1:67" x14ac:dyDescent="0.25">
      <c r="A251" s="424" t="s">
        <v>129</v>
      </c>
      <c r="B251" s="228">
        <v>1</v>
      </c>
      <c r="C251" s="226">
        <f>'побудинковий звіт'!E238</f>
        <v>6817.01</v>
      </c>
      <c r="D251" s="138">
        <f t="shared" si="122"/>
        <v>0</v>
      </c>
      <c r="E251" s="104">
        <f t="shared" si="116"/>
        <v>0</v>
      </c>
      <c r="F251" s="323">
        <v>0</v>
      </c>
      <c r="G251" s="104" t="e">
        <f t="shared" si="117"/>
        <v>#REF!</v>
      </c>
      <c r="H251" s="720">
        <f t="shared" si="123"/>
        <v>0</v>
      </c>
      <c r="I251" s="104" t="e">
        <f t="shared" si="124"/>
        <v>#REF!</v>
      </c>
      <c r="J251" s="28"/>
      <c r="K251" s="139" t="e">
        <f t="shared" si="125"/>
        <v>#REF!</v>
      </c>
      <c r="L251" s="200">
        <f t="shared" si="126"/>
        <v>0</v>
      </c>
      <c r="M251" s="104">
        <f t="shared" si="118"/>
        <v>0</v>
      </c>
      <c r="N251" s="323">
        <v>0</v>
      </c>
      <c r="O251" s="104"/>
      <c r="P251" s="104">
        <f t="shared" si="127"/>
        <v>0</v>
      </c>
      <c r="Q251" s="104">
        <f t="shared" si="128"/>
        <v>0</v>
      </c>
      <c r="R251" s="104"/>
      <c r="S251" s="140">
        <f t="shared" si="129"/>
        <v>0</v>
      </c>
      <c r="T251" s="235"/>
      <c r="U251" s="104"/>
      <c r="V251" s="148">
        <f t="shared" si="130"/>
        <v>0</v>
      </c>
      <c r="W251" s="236"/>
      <c r="X251" s="104"/>
      <c r="Y251" s="45">
        <f t="shared" si="131"/>
        <v>0</v>
      </c>
      <c r="Z251" s="138">
        <f t="shared" si="132"/>
        <v>0</v>
      </c>
      <c r="AA251" s="104">
        <f t="shared" si="119"/>
        <v>0</v>
      </c>
      <c r="AB251" s="323">
        <v>0</v>
      </c>
      <c r="AC251" s="104"/>
      <c r="AD251" s="104">
        <f t="shared" si="133"/>
        <v>0</v>
      </c>
      <c r="AE251" s="104">
        <f t="shared" si="134"/>
        <v>0</v>
      </c>
      <c r="AF251" s="104"/>
      <c r="AG251" s="139">
        <f t="shared" si="135"/>
        <v>0</v>
      </c>
      <c r="AH251" s="200">
        <f t="shared" si="136"/>
        <v>0</v>
      </c>
      <c r="AI251" s="104">
        <f t="shared" si="120"/>
        <v>0</v>
      </c>
      <c r="AJ251" s="323">
        <v>0</v>
      </c>
      <c r="AK251" s="118" t="e">
        <f t="shared" si="121"/>
        <v>#REF!</v>
      </c>
      <c r="AL251" s="104"/>
      <c r="AM251" s="104">
        <f t="shared" si="137"/>
        <v>0</v>
      </c>
      <c r="AN251" s="104" t="e">
        <f t="shared" si="138"/>
        <v>#REF!</v>
      </c>
      <c r="AO251" s="104"/>
      <c r="AP251" s="140" t="e">
        <f t="shared" si="139"/>
        <v>#REF!</v>
      </c>
      <c r="AQ251" s="33"/>
      <c r="AR251" s="28"/>
      <c r="AS251" s="121"/>
      <c r="AT251" s="135">
        <f t="shared" si="140"/>
        <v>0</v>
      </c>
      <c r="AU251" s="148" t="e">
        <f t="shared" si="141"/>
        <v>#REF!</v>
      </c>
      <c r="AW251" s="1">
        <v>1</v>
      </c>
      <c r="BA251" s="29">
        <v>0</v>
      </c>
      <c r="BB251" s="29">
        <v>0</v>
      </c>
      <c r="BC251" s="29">
        <v>0</v>
      </c>
      <c r="BD251" s="29">
        <v>0</v>
      </c>
      <c r="BI251" s="323">
        <v>0</v>
      </c>
      <c r="BL251" s="107">
        <f>$BA$397</f>
        <v>0.85901039294857251</v>
      </c>
      <c r="BM251" s="107">
        <f>$BB$397</f>
        <v>0.92206249128051765</v>
      </c>
      <c r="BN251" s="107">
        <f>$BC$397</f>
        <v>0.35749517965371247</v>
      </c>
      <c r="BO251" s="107">
        <f>$BD$397</f>
        <v>0.82972030812989472</v>
      </c>
    </row>
    <row r="252" spans="1:67" x14ac:dyDescent="0.25">
      <c r="A252" s="424" t="s">
        <v>130</v>
      </c>
      <c r="B252" s="228">
        <v>1</v>
      </c>
      <c r="C252" s="226">
        <f>'побудинковий звіт'!E239</f>
        <v>2823.9</v>
      </c>
      <c r="D252" s="138">
        <f t="shared" si="122"/>
        <v>0</v>
      </c>
      <c r="E252" s="104">
        <f t="shared" si="116"/>
        <v>0</v>
      </c>
      <c r="F252" s="323">
        <v>0</v>
      </c>
      <c r="G252" s="104" t="e">
        <f t="shared" si="117"/>
        <v>#REF!</v>
      </c>
      <c r="H252" s="720">
        <f t="shared" si="123"/>
        <v>0</v>
      </c>
      <c r="I252" s="104" t="e">
        <f t="shared" si="124"/>
        <v>#REF!</v>
      </c>
      <c r="J252" s="28"/>
      <c r="K252" s="139" t="e">
        <f t="shared" si="125"/>
        <v>#REF!</v>
      </c>
      <c r="L252" s="200">
        <f t="shared" si="126"/>
        <v>0</v>
      </c>
      <c r="M252" s="104">
        <f t="shared" si="118"/>
        <v>0</v>
      </c>
      <c r="N252" s="323">
        <v>0</v>
      </c>
      <c r="O252" s="104"/>
      <c r="P252" s="104">
        <f t="shared" si="127"/>
        <v>0</v>
      </c>
      <c r="Q252" s="104">
        <f t="shared" si="128"/>
        <v>0</v>
      </c>
      <c r="R252" s="104"/>
      <c r="S252" s="140">
        <f t="shared" si="129"/>
        <v>0</v>
      </c>
      <c r="T252" s="235"/>
      <c r="U252" s="104"/>
      <c r="V252" s="148">
        <f t="shared" si="130"/>
        <v>0</v>
      </c>
      <c r="W252" s="236"/>
      <c r="X252" s="104"/>
      <c r="Y252" s="45">
        <f t="shared" si="131"/>
        <v>0</v>
      </c>
      <c r="Z252" s="138">
        <f t="shared" si="132"/>
        <v>0</v>
      </c>
      <c r="AA252" s="104">
        <f t="shared" si="119"/>
        <v>0</v>
      </c>
      <c r="AB252" s="323">
        <v>0</v>
      </c>
      <c r="AC252" s="104"/>
      <c r="AD252" s="104">
        <f t="shared" si="133"/>
        <v>0</v>
      </c>
      <c r="AE252" s="104">
        <f t="shared" si="134"/>
        <v>0</v>
      </c>
      <c r="AF252" s="104"/>
      <c r="AG252" s="139">
        <f t="shared" si="135"/>
        <v>0</v>
      </c>
      <c r="AH252" s="200">
        <f t="shared" si="136"/>
        <v>0</v>
      </c>
      <c r="AI252" s="104">
        <f t="shared" si="120"/>
        <v>0</v>
      </c>
      <c r="AJ252" s="323">
        <v>0</v>
      </c>
      <c r="AK252" s="118" t="e">
        <f t="shared" si="121"/>
        <v>#REF!</v>
      </c>
      <c r="AL252" s="104"/>
      <c r="AM252" s="104">
        <f t="shared" si="137"/>
        <v>0</v>
      </c>
      <c r="AN252" s="104" t="e">
        <f t="shared" si="138"/>
        <v>#REF!</v>
      </c>
      <c r="AO252" s="104"/>
      <c r="AP252" s="140" t="e">
        <f t="shared" si="139"/>
        <v>#REF!</v>
      </c>
      <c r="AQ252" s="33"/>
      <c r="AR252" s="28"/>
      <c r="AS252" s="121"/>
      <c r="AT252" s="135">
        <f t="shared" si="140"/>
        <v>0</v>
      </c>
      <c r="AU252" s="148" t="e">
        <f t="shared" si="141"/>
        <v>#REF!</v>
      </c>
      <c r="AW252" s="1">
        <v>1</v>
      </c>
      <c r="BA252" s="29">
        <v>0</v>
      </c>
      <c r="BB252" s="29">
        <v>0</v>
      </c>
      <c r="BC252" s="29">
        <v>0</v>
      </c>
      <c r="BD252" s="29">
        <v>0</v>
      </c>
      <c r="BI252" s="323">
        <v>0</v>
      </c>
      <c r="BL252" s="107">
        <f>$BA$397</f>
        <v>0.85901039294857251</v>
      </c>
      <c r="BM252" s="107">
        <f>$BB$397</f>
        <v>0.92206249128051765</v>
      </c>
      <c r="BN252" s="107">
        <f>$BC$397</f>
        <v>0.35749517965371247</v>
      </c>
      <c r="BO252" s="107">
        <f>$BD$397</f>
        <v>0.82972030812989472</v>
      </c>
    </row>
    <row r="253" spans="1:67" x14ac:dyDescent="0.25">
      <c r="A253" s="250" t="s">
        <v>386</v>
      </c>
      <c r="B253" s="227">
        <v>9</v>
      </c>
      <c r="C253" s="226">
        <f>'побудинковий звіт'!E240</f>
        <v>3505.5</v>
      </c>
      <c r="D253" s="138">
        <f t="shared" si="122"/>
        <v>332.05905749820022</v>
      </c>
      <c r="E253" s="104">
        <f t="shared" si="116"/>
        <v>68.446331715692409</v>
      </c>
      <c r="F253" s="323">
        <v>80.851186860452032</v>
      </c>
      <c r="G253" s="104" t="e">
        <f t="shared" si="117"/>
        <v>#REF!</v>
      </c>
      <c r="H253" s="720">
        <f t="shared" si="123"/>
        <v>277.42693918008433</v>
      </c>
      <c r="I253" s="104" t="e">
        <f t="shared" si="124"/>
        <v>#REF!</v>
      </c>
      <c r="J253" s="28"/>
      <c r="K253" s="139" t="e">
        <f t="shared" si="125"/>
        <v>#REF!</v>
      </c>
      <c r="L253" s="200">
        <f t="shared" si="126"/>
        <v>60.533402552565988</v>
      </c>
      <c r="M253" s="104">
        <f t="shared" si="118"/>
        <v>13.318433633943686</v>
      </c>
      <c r="N253" s="323">
        <v>36.799999999999997</v>
      </c>
      <c r="O253" s="104"/>
      <c r="P253" s="104">
        <f t="shared" si="127"/>
        <v>50.574125924588905</v>
      </c>
      <c r="Q253" s="104">
        <f t="shared" si="128"/>
        <v>20.751850604009483</v>
      </c>
      <c r="R253" s="104"/>
      <c r="S253" s="140">
        <f t="shared" si="129"/>
        <v>181.97781271510806</v>
      </c>
      <c r="T253" s="880">
        <v>487.43333333333334</v>
      </c>
      <c r="U253" s="104"/>
      <c r="V253" s="148">
        <f t="shared" si="130"/>
        <v>487.43333333333334</v>
      </c>
      <c r="W253" s="882">
        <v>104.95833333333334</v>
      </c>
      <c r="X253" s="104"/>
      <c r="Y253" s="45">
        <f t="shared" si="131"/>
        <v>104.95833333333334</v>
      </c>
      <c r="Z253" s="138">
        <f t="shared" si="132"/>
        <v>9.4271478874683989</v>
      </c>
      <c r="AA253" s="104">
        <f t="shared" si="119"/>
        <v>2.0721617273868529</v>
      </c>
      <c r="AB253" s="323">
        <v>40.099999999999994</v>
      </c>
      <c r="AC253" s="104"/>
      <c r="AD253" s="104">
        <f t="shared" si="133"/>
        <v>7.8761434888206034</v>
      </c>
      <c r="AE253" s="104">
        <f t="shared" si="134"/>
        <v>7.6552541616266829</v>
      </c>
      <c r="AF253" s="104"/>
      <c r="AG253" s="139">
        <f t="shared" si="135"/>
        <v>67.130707265302533</v>
      </c>
      <c r="AH253" s="200">
        <f t="shared" si="136"/>
        <v>196.24544727888272</v>
      </c>
      <c r="AI253" s="104">
        <f t="shared" si="120"/>
        <v>39.144234179261595</v>
      </c>
      <c r="AJ253" s="323">
        <v>67.722559515119926</v>
      </c>
      <c r="AK253" s="118" t="e">
        <f t="shared" si="121"/>
        <v>#REF!</v>
      </c>
      <c r="AL253" s="104"/>
      <c r="AM253" s="104">
        <f t="shared" si="137"/>
        <v>163.95810485278551</v>
      </c>
      <c r="AN253" s="104" t="e">
        <f t="shared" si="138"/>
        <v>#REF!</v>
      </c>
      <c r="AO253" s="104"/>
      <c r="AP253" s="140" t="e">
        <f t="shared" si="139"/>
        <v>#REF!</v>
      </c>
      <c r="AQ253" s="33"/>
      <c r="AR253" s="28"/>
      <c r="AS253" s="121"/>
      <c r="AT253" s="135" t="e">
        <f t="shared" si="140"/>
        <v>#REF!</v>
      </c>
      <c r="AU253" s="148" t="e">
        <f t="shared" si="141"/>
        <v>#REF!</v>
      </c>
      <c r="AW253" s="1">
        <v>1</v>
      </c>
      <c r="BA253" s="29">
        <v>386.56</v>
      </c>
      <c r="BB253" s="29">
        <v>65.650000000000006</v>
      </c>
      <c r="BC253" s="29">
        <v>26.37</v>
      </c>
      <c r="BD253" s="29">
        <v>236.52</v>
      </c>
      <c r="BF253" s="279">
        <f>T253*1.2</f>
        <v>584.91999999999996</v>
      </c>
      <c r="BI253" s="323">
        <v>0</v>
      </c>
      <c r="BL253" s="107">
        <f>$BA$397</f>
        <v>0.85901039294857251</v>
      </c>
      <c r="BM253" s="107">
        <f>$BB$397</f>
        <v>0.92206249128051765</v>
      </c>
      <c r="BN253" s="107">
        <f>$BC$397</f>
        <v>0.35749517965371247</v>
      </c>
      <c r="BO253" s="107">
        <f>$BD$397</f>
        <v>0.82972030812989472</v>
      </c>
    </row>
    <row r="254" spans="1:67" x14ac:dyDescent="0.25">
      <c r="A254" s="250" t="s">
        <v>387</v>
      </c>
      <c r="B254" s="227">
        <v>9</v>
      </c>
      <c r="C254" s="226">
        <f>'побудинковий звіт'!E241</f>
        <v>3564.2</v>
      </c>
      <c r="D254" s="138">
        <f t="shared" si="122"/>
        <v>988.47957444058341</v>
      </c>
      <c r="E254" s="104">
        <f t="shared" si="116"/>
        <v>203.75231248349053</v>
      </c>
      <c r="F254" s="323">
        <v>238.8825195895804</v>
      </c>
      <c r="G254" s="104" t="e">
        <f t="shared" si="117"/>
        <v>#REF!</v>
      </c>
      <c r="H254" s="720">
        <f t="shared" si="123"/>
        <v>825.84966916787005</v>
      </c>
      <c r="I254" s="104" t="e">
        <f t="shared" si="124"/>
        <v>#REF!</v>
      </c>
      <c r="J254" s="28"/>
      <c r="K254" s="139" t="e">
        <f t="shared" si="125"/>
        <v>#REF!</v>
      </c>
      <c r="L254" s="200">
        <f t="shared" si="126"/>
        <v>305.51614295646107</v>
      </c>
      <c r="M254" s="104">
        <f t="shared" si="118"/>
        <v>67.219027883500246</v>
      </c>
      <c r="N254" s="323">
        <v>0</v>
      </c>
      <c r="O254" s="104"/>
      <c r="P254" s="104">
        <f t="shared" si="127"/>
        <v>255.25100579729096</v>
      </c>
      <c r="Q254" s="104">
        <f t="shared" si="128"/>
        <v>80.829880921903168</v>
      </c>
      <c r="R254" s="104"/>
      <c r="S254" s="140">
        <f t="shared" si="129"/>
        <v>708.81605755915541</v>
      </c>
      <c r="T254" s="234">
        <v>1319.9</v>
      </c>
      <c r="U254" s="104"/>
      <c r="V254" s="148">
        <f t="shared" si="130"/>
        <v>1319.9</v>
      </c>
      <c r="W254" s="881">
        <v>300.45</v>
      </c>
      <c r="X254" s="104"/>
      <c r="Y254" s="45">
        <f t="shared" si="131"/>
        <v>300.45</v>
      </c>
      <c r="Z254" s="138">
        <f t="shared" si="132"/>
        <v>112.01213724578744</v>
      </c>
      <c r="AA254" s="104">
        <f t="shared" si="119"/>
        <v>24.621154412149046</v>
      </c>
      <c r="AB254" s="323">
        <v>0</v>
      </c>
      <c r="AC254" s="104"/>
      <c r="AD254" s="104">
        <f t="shared" si="133"/>
        <v>93.583305997568701</v>
      </c>
      <c r="AE254" s="104">
        <f t="shared" si="134"/>
        <v>29.63183086988403</v>
      </c>
      <c r="AF254" s="104"/>
      <c r="AG254" s="139">
        <f t="shared" si="135"/>
        <v>259.84842852538924</v>
      </c>
      <c r="AH254" s="200">
        <f t="shared" si="136"/>
        <v>807.44840572633746</v>
      </c>
      <c r="AI254" s="104">
        <f t="shared" si="120"/>
        <v>161.05825597322936</v>
      </c>
      <c r="AJ254" s="323">
        <v>93.789847743857663</v>
      </c>
      <c r="AK254" s="118" t="e">
        <f t="shared" si="121"/>
        <v>#REF!</v>
      </c>
      <c r="AL254" s="104">
        <v>130.33000000000001</v>
      </c>
      <c r="AM254" s="104">
        <f t="shared" si="137"/>
        <v>674.60270903078981</v>
      </c>
      <c r="AN254" s="104" t="e">
        <f t="shared" si="138"/>
        <v>#REF!</v>
      </c>
      <c r="AO254" s="104"/>
      <c r="AP254" s="140" t="e">
        <f t="shared" si="139"/>
        <v>#REF!</v>
      </c>
      <c r="AQ254" s="33"/>
      <c r="AR254" s="28"/>
      <c r="AS254" s="121"/>
      <c r="AT254" s="135" t="e">
        <f t="shared" si="140"/>
        <v>#REF!</v>
      </c>
      <c r="AU254" s="148" t="e">
        <f t="shared" si="141"/>
        <v>#REF!</v>
      </c>
      <c r="AW254" s="1">
        <v>2</v>
      </c>
      <c r="BA254" s="29">
        <v>901.25</v>
      </c>
      <c r="BB254" s="29">
        <v>274.57</v>
      </c>
      <c r="BC254" s="29">
        <v>39.56</v>
      </c>
      <c r="BD254" s="29">
        <v>778.72</v>
      </c>
      <c r="BI254" s="323">
        <v>0</v>
      </c>
      <c r="BL254" s="107">
        <f t="shared" ref="BL254:BO268" si="151">BA$398</f>
        <v>1.0967873225415627</v>
      </c>
      <c r="BM254" s="107">
        <f t="shared" si="151"/>
        <v>1.1127076627324948</v>
      </c>
      <c r="BN254" s="107">
        <f t="shared" si="151"/>
        <v>2.8314493742615632</v>
      </c>
      <c r="BO254" s="107">
        <f t="shared" si="151"/>
        <v>1.036891829831438</v>
      </c>
    </row>
    <row r="255" spans="1:67" x14ac:dyDescent="0.25">
      <c r="A255" s="250" t="s">
        <v>388</v>
      </c>
      <c r="B255" s="227">
        <v>9</v>
      </c>
      <c r="C255" s="226">
        <f>'побудинковий звіт'!E242</f>
        <v>3572</v>
      </c>
      <c r="D255" s="138">
        <f t="shared" si="122"/>
        <v>1238.3277265155514</v>
      </c>
      <c r="E255" s="104">
        <f t="shared" si="116"/>
        <v>255.25275829069068</v>
      </c>
      <c r="F255" s="323">
        <v>278.31617521112224</v>
      </c>
      <c r="G255" s="104" t="e">
        <f t="shared" si="117"/>
        <v>#REF!</v>
      </c>
      <c r="H255" s="720">
        <f t="shared" si="123"/>
        <v>1034.5914773636434</v>
      </c>
      <c r="I255" s="104" t="e">
        <f t="shared" si="124"/>
        <v>#REF!</v>
      </c>
      <c r="J255" s="28"/>
      <c r="K255" s="139" t="e">
        <f t="shared" si="125"/>
        <v>#REF!</v>
      </c>
      <c r="L255" s="200">
        <f t="shared" si="126"/>
        <v>356.42251852647274</v>
      </c>
      <c r="M255" s="104">
        <f t="shared" si="118"/>
        <v>78.419343015051908</v>
      </c>
      <c r="N255" s="323">
        <v>0</v>
      </c>
      <c r="O255" s="104"/>
      <c r="P255" s="104">
        <f t="shared" si="127"/>
        <v>297.78199430741978</v>
      </c>
      <c r="Q255" s="104">
        <f t="shared" si="128"/>
        <v>94.298093225421667</v>
      </c>
      <c r="R255" s="104"/>
      <c r="S255" s="140">
        <f t="shared" si="129"/>
        <v>826.92194907436613</v>
      </c>
      <c r="T255" s="234">
        <v>1516.55</v>
      </c>
      <c r="U255" s="104"/>
      <c r="V255" s="148">
        <f t="shared" si="130"/>
        <v>1516.55</v>
      </c>
      <c r="W255" s="881">
        <v>329.3</v>
      </c>
      <c r="X255" s="104"/>
      <c r="Y255" s="45">
        <f t="shared" si="131"/>
        <v>329.3</v>
      </c>
      <c r="Z255" s="138">
        <f t="shared" si="132"/>
        <v>130.67138862217115</v>
      </c>
      <c r="AA255" s="104">
        <f t="shared" si="119"/>
        <v>28.722605564223421</v>
      </c>
      <c r="AB255" s="323">
        <v>0</v>
      </c>
      <c r="AC255" s="104"/>
      <c r="AD255" s="104">
        <f t="shared" si="133"/>
        <v>109.17263831617279</v>
      </c>
      <c r="AE255" s="104">
        <f t="shared" si="134"/>
        <v>34.567972564336401</v>
      </c>
      <c r="AF255" s="104"/>
      <c r="AG255" s="139">
        <f t="shared" si="135"/>
        <v>303.13460506690376</v>
      </c>
      <c r="AH255" s="200">
        <f t="shared" si="136"/>
        <v>746.85244719098819</v>
      </c>
      <c r="AI255" s="104">
        <f t="shared" si="120"/>
        <v>148.97144109872309</v>
      </c>
      <c r="AJ255" s="323">
        <v>197.27225542727632</v>
      </c>
      <c r="AK255" s="118" t="e">
        <f t="shared" si="121"/>
        <v>#REF!</v>
      </c>
      <c r="AL255" s="104">
        <f>2*436+130.33*2</f>
        <v>1132.6600000000001</v>
      </c>
      <c r="AM255" s="104">
        <f t="shared" si="137"/>
        <v>623.97631916567866</v>
      </c>
      <c r="AN255" s="104" t="e">
        <f t="shared" si="138"/>
        <v>#REF!</v>
      </c>
      <c r="AO255" s="104"/>
      <c r="AP255" s="140" t="e">
        <f t="shared" si="139"/>
        <v>#REF!</v>
      </c>
      <c r="AQ255" s="33"/>
      <c r="AR255" s="28"/>
      <c r="AS255" s="121"/>
      <c r="AT255" s="135" t="e">
        <f t="shared" si="140"/>
        <v>#REF!</v>
      </c>
      <c r="AU255" s="148" t="e">
        <f t="shared" si="141"/>
        <v>#REF!</v>
      </c>
      <c r="AW255" s="1">
        <v>2</v>
      </c>
      <c r="BA255" s="29">
        <v>1129.05</v>
      </c>
      <c r="BB255" s="29">
        <v>320.32</v>
      </c>
      <c r="BC255" s="29">
        <v>46.15</v>
      </c>
      <c r="BD255" s="29">
        <v>720.28</v>
      </c>
      <c r="BI255" s="323">
        <v>0</v>
      </c>
      <c r="BL255" s="107">
        <f t="shared" si="151"/>
        <v>1.0967873225415627</v>
      </c>
      <c r="BM255" s="107">
        <f t="shared" si="151"/>
        <v>1.1127076627324948</v>
      </c>
      <c r="BN255" s="107">
        <f t="shared" si="151"/>
        <v>2.8314493742615632</v>
      </c>
      <c r="BO255" s="107">
        <f t="shared" si="151"/>
        <v>1.036891829831438</v>
      </c>
    </row>
    <row r="256" spans="1:67" x14ac:dyDescent="0.25">
      <c r="A256" s="250" t="s">
        <v>389</v>
      </c>
      <c r="B256" s="227">
        <v>9</v>
      </c>
      <c r="C256" s="226">
        <f>'побудинковий звіт'!E243</f>
        <v>2689.9</v>
      </c>
      <c r="D256" s="138">
        <f t="shared" si="122"/>
        <v>541.31938304038829</v>
      </c>
      <c r="E256" s="104">
        <f t="shared" si="116"/>
        <v>111.58053129123634</v>
      </c>
      <c r="F256" s="323">
        <v>119.83568484380508</v>
      </c>
      <c r="G256" s="104" t="e">
        <f t="shared" si="117"/>
        <v>#REF!</v>
      </c>
      <c r="H256" s="720">
        <f t="shared" si="123"/>
        <v>452.25864545664604</v>
      </c>
      <c r="I256" s="104" t="e">
        <f t="shared" si="124"/>
        <v>#REF!</v>
      </c>
      <c r="J256" s="28"/>
      <c r="K256" s="139" t="e">
        <f t="shared" si="125"/>
        <v>#REF!</v>
      </c>
      <c r="L256" s="200">
        <f t="shared" si="126"/>
        <v>87.425441060892112</v>
      </c>
      <c r="M256" s="104">
        <f t="shared" si="118"/>
        <v>19.235164150513949</v>
      </c>
      <c r="N256" s="323">
        <v>0</v>
      </c>
      <c r="O256" s="104"/>
      <c r="P256" s="104">
        <f t="shared" si="127"/>
        <v>73.041743546247417</v>
      </c>
      <c r="Q256" s="104">
        <f t="shared" si="128"/>
        <v>23.129998703550761</v>
      </c>
      <c r="R256" s="104"/>
      <c r="S256" s="140">
        <f t="shared" si="129"/>
        <v>202.83234746120425</v>
      </c>
      <c r="T256" s="234">
        <v>700.99</v>
      </c>
      <c r="U256" s="104"/>
      <c r="V256" s="148">
        <f t="shared" si="130"/>
        <v>700.99</v>
      </c>
      <c r="W256" s="881">
        <v>162.1</v>
      </c>
      <c r="X256" s="104"/>
      <c r="Y256" s="45">
        <f t="shared" si="131"/>
        <v>162.1</v>
      </c>
      <c r="Z256" s="138">
        <f t="shared" si="132"/>
        <v>56.006068622893721</v>
      </c>
      <c r="AA256" s="104">
        <f t="shared" si="119"/>
        <v>12.310577206074523</v>
      </c>
      <c r="AB256" s="323">
        <v>0</v>
      </c>
      <c r="AC256" s="104"/>
      <c r="AD256" s="104">
        <f t="shared" si="133"/>
        <v>46.79165299878435</v>
      </c>
      <c r="AE256" s="104">
        <f t="shared" si="134"/>
        <v>14.815915434942015</v>
      </c>
      <c r="AF256" s="104"/>
      <c r="AG256" s="139">
        <f t="shared" si="135"/>
        <v>129.92421426269462</v>
      </c>
      <c r="AH256" s="200">
        <f t="shared" si="136"/>
        <v>385.74449853389154</v>
      </c>
      <c r="AI256" s="104">
        <f t="shared" si="120"/>
        <v>76.942793799004505</v>
      </c>
      <c r="AJ256" s="323">
        <v>47.049782692729231</v>
      </c>
      <c r="AK256" s="118" t="e">
        <f t="shared" si="121"/>
        <v>#REF!</v>
      </c>
      <c r="AL256" s="104"/>
      <c r="AM256" s="104">
        <f t="shared" si="137"/>
        <v>322.27976655747176</v>
      </c>
      <c r="AN256" s="104" t="e">
        <f t="shared" si="138"/>
        <v>#REF!</v>
      </c>
      <c r="AO256" s="104"/>
      <c r="AP256" s="140" t="e">
        <f t="shared" si="139"/>
        <v>#REF!</v>
      </c>
      <c r="AQ256" s="33"/>
      <c r="AR256" s="28"/>
      <c r="AS256" s="121"/>
      <c r="AT256" s="135" t="e">
        <f t="shared" si="140"/>
        <v>#REF!</v>
      </c>
      <c r="AU256" s="148" t="e">
        <f t="shared" si="141"/>
        <v>#REF!</v>
      </c>
      <c r="AW256" s="1">
        <v>2</v>
      </c>
      <c r="BA256" s="29">
        <v>493.55</v>
      </c>
      <c r="BB256" s="29">
        <v>78.569999999999993</v>
      </c>
      <c r="BC256" s="29">
        <v>19.78</v>
      </c>
      <c r="BD256" s="29">
        <v>372.02</v>
      </c>
      <c r="BI256" s="323">
        <v>0</v>
      </c>
      <c r="BL256" s="107">
        <f t="shared" si="151"/>
        <v>1.0967873225415627</v>
      </c>
      <c r="BM256" s="107">
        <f t="shared" si="151"/>
        <v>1.1127076627324948</v>
      </c>
      <c r="BN256" s="107">
        <f t="shared" si="151"/>
        <v>2.8314493742615632</v>
      </c>
      <c r="BO256" s="107">
        <f t="shared" si="151"/>
        <v>1.036891829831438</v>
      </c>
    </row>
    <row r="257" spans="1:67" x14ac:dyDescent="0.25">
      <c r="A257" s="250" t="s">
        <v>390</v>
      </c>
      <c r="B257" s="227">
        <v>9</v>
      </c>
      <c r="C257" s="226">
        <f>'побудинковий звіт'!E244</f>
        <v>2524.1999999999998</v>
      </c>
      <c r="D257" s="138">
        <f t="shared" si="122"/>
        <v>572.555885986372</v>
      </c>
      <c r="E257" s="104">
        <f t="shared" si="116"/>
        <v>118.01921740444556</v>
      </c>
      <c r="F257" s="323">
        <v>141.60512420772926</v>
      </c>
      <c r="G257" s="104" t="e">
        <f t="shared" si="117"/>
        <v>#REF!</v>
      </c>
      <c r="H257" s="720">
        <f t="shared" si="123"/>
        <v>478.35595317137665</v>
      </c>
      <c r="I257" s="104" t="e">
        <f t="shared" si="124"/>
        <v>#REF!</v>
      </c>
      <c r="J257" s="28"/>
      <c r="K257" s="139" t="e">
        <f t="shared" si="125"/>
        <v>#REF!</v>
      </c>
      <c r="L257" s="200">
        <f t="shared" si="126"/>
        <v>89.483950236947237</v>
      </c>
      <c r="M257" s="104">
        <f t="shared" si="118"/>
        <v>19.688073068401831</v>
      </c>
      <c r="N257" s="323">
        <v>0</v>
      </c>
      <c r="O257" s="104"/>
      <c r="P257" s="104">
        <f t="shared" si="127"/>
        <v>74.761575868514925</v>
      </c>
      <c r="Q257" s="104">
        <f t="shared" si="128"/>
        <v>23.674614938775008</v>
      </c>
      <c r="R257" s="104"/>
      <c r="S257" s="140">
        <f t="shared" si="129"/>
        <v>207.60821411263902</v>
      </c>
      <c r="T257" s="234">
        <v>828.07</v>
      </c>
      <c r="U257" s="104"/>
      <c r="V257" s="148">
        <f t="shared" si="130"/>
        <v>828.07</v>
      </c>
      <c r="W257" s="881">
        <v>165.84</v>
      </c>
      <c r="X257" s="104"/>
      <c r="Y257" s="45">
        <f t="shared" si="131"/>
        <v>165.84</v>
      </c>
      <c r="Z257" s="138">
        <f t="shared" si="132"/>
        <v>74.665319999277429</v>
      </c>
      <c r="AA257" s="104">
        <f t="shared" si="119"/>
        <v>16.412028358148898</v>
      </c>
      <c r="AB257" s="323">
        <v>0</v>
      </c>
      <c r="AC257" s="104"/>
      <c r="AD257" s="104">
        <f t="shared" si="133"/>
        <v>62.380985317388451</v>
      </c>
      <c r="AE257" s="104">
        <f t="shared" si="134"/>
        <v>19.752057129394387</v>
      </c>
      <c r="AF257" s="104"/>
      <c r="AG257" s="139">
        <f t="shared" si="135"/>
        <v>173.21039080420917</v>
      </c>
      <c r="AH257" s="200">
        <f t="shared" si="136"/>
        <v>252.44168489076191</v>
      </c>
      <c r="AI257" s="104">
        <f t="shared" si="120"/>
        <v>50.353455669871614</v>
      </c>
      <c r="AJ257" s="323">
        <v>97.596881102941438</v>
      </c>
      <c r="AK257" s="118" t="e">
        <f t="shared" si="121"/>
        <v>#REF!</v>
      </c>
      <c r="AL257" s="104">
        <f>130.33+436</f>
        <v>566.33000000000004</v>
      </c>
      <c r="AM257" s="104">
        <f t="shared" si="137"/>
        <v>210.90863922929435</v>
      </c>
      <c r="AN257" s="104" t="e">
        <f t="shared" si="138"/>
        <v>#REF!</v>
      </c>
      <c r="AO257" s="104"/>
      <c r="AP257" s="140" t="e">
        <f t="shared" si="139"/>
        <v>#REF!</v>
      </c>
      <c r="AQ257" s="33"/>
      <c r="AR257" s="28"/>
      <c r="AS257" s="121"/>
      <c r="AT257" s="135" t="e">
        <f t="shared" si="140"/>
        <v>#REF!</v>
      </c>
      <c r="AU257" s="148" t="e">
        <f t="shared" si="141"/>
        <v>#REF!</v>
      </c>
      <c r="AW257" s="1">
        <v>2</v>
      </c>
      <c r="BA257" s="29">
        <v>522.03</v>
      </c>
      <c r="BB257" s="29">
        <v>80.42</v>
      </c>
      <c r="BC257" s="29">
        <v>26.37</v>
      </c>
      <c r="BD257" s="29">
        <v>243.46</v>
      </c>
      <c r="BI257" s="323">
        <v>0</v>
      </c>
      <c r="BL257" s="107">
        <f t="shared" si="151"/>
        <v>1.0967873225415627</v>
      </c>
      <c r="BM257" s="107">
        <f t="shared" si="151"/>
        <v>1.1127076627324948</v>
      </c>
      <c r="BN257" s="107">
        <f t="shared" si="151"/>
        <v>2.8314493742615632</v>
      </c>
      <c r="BO257" s="107">
        <f t="shared" si="151"/>
        <v>1.036891829831438</v>
      </c>
    </row>
    <row r="258" spans="1:67" x14ac:dyDescent="0.25">
      <c r="A258" s="250" t="s">
        <v>391</v>
      </c>
      <c r="B258" s="227">
        <v>9</v>
      </c>
      <c r="C258" s="226">
        <f>'побудинковий звіт'!E245</f>
        <v>775.96</v>
      </c>
      <c r="D258" s="138">
        <f t="shared" si="122"/>
        <v>316.68637151065082</v>
      </c>
      <c r="E258" s="104">
        <f t="shared" si="116"/>
        <v>65.277606331742632</v>
      </c>
      <c r="F258" s="323">
        <v>59.496658835908562</v>
      </c>
      <c r="G258" s="104" t="e">
        <f t="shared" si="117"/>
        <v>#REF!</v>
      </c>
      <c r="H258" s="720">
        <f t="shared" si="123"/>
        <v>264.58344907132403</v>
      </c>
      <c r="I258" s="104" t="e">
        <f t="shared" si="124"/>
        <v>#REF!</v>
      </c>
      <c r="J258" s="28"/>
      <c r="K258" s="139" t="e">
        <f t="shared" si="125"/>
        <v>#REF!</v>
      </c>
      <c r="L258" s="200">
        <f t="shared" si="126"/>
        <v>52.163735228899355</v>
      </c>
      <c r="M258" s="104">
        <f t="shared" si="118"/>
        <v>11.476956794910194</v>
      </c>
      <c r="N258" s="323">
        <v>0</v>
      </c>
      <c r="O258" s="104"/>
      <c r="P258" s="104">
        <f t="shared" si="127"/>
        <v>43.581480685351643</v>
      </c>
      <c r="Q258" s="104">
        <f t="shared" si="128"/>
        <v>13.800869787736534</v>
      </c>
      <c r="R258" s="104"/>
      <c r="S258" s="140">
        <f t="shared" si="129"/>
        <v>121.02304249689772</v>
      </c>
      <c r="T258" s="235"/>
      <c r="U258" s="104"/>
      <c r="V258" s="148">
        <f t="shared" si="130"/>
        <v>0</v>
      </c>
      <c r="W258" s="236"/>
      <c r="X258" s="104"/>
      <c r="Y258" s="45">
        <f t="shared" si="131"/>
        <v>0</v>
      </c>
      <c r="Z258" s="138">
        <f t="shared" si="132"/>
        <v>37.346817246510014</v>
      </c>
      <c r="AA258" s="104">
        <f t="shared" si="119"/>
        <v>8.2091260540001478</v>
      </c>
      <c r="AB258" s="323">
        <v>0</v>
      </c>
      <c r="AC258" s="104"/>
      <c r="AD258" s="104">
        <f t="shared" si="133"/>
        <v>31.202320680180261</v>
      </c>
      <c r="AE258" s="104">
        <f t="shared" si="134"/>
        <v>9.8797737404896449</v>
      </c>
      <c r="AF258" s="104"/>
      <c r="AG258" s="139">
        <f t="shared" si="135"/>
        <v>86.638037721180069</v>
      </c>
      <c r="AH258" s="200">
        <f t="shared" si="136"/>
        <v>96.669425295184965</v>
      </c>
      <c r="AI258" s="104">
        <f t="shared" si="120"/>
        <v>19.282233927964061</v>
      </c>
      <c r="AJ258" s="323">
        <v>23.3595266119736</v>
      </c>
      <c r="AK258" s="118" t="e">
        <f t="shared" si="121"/>
        <v>#REF!</v>
      </c>
      <c r="AL258" s="104">
        <f>436+130.33</f>
        <v>566.33000000000004</v>
      </c>
      <c r="AM258" s="104">
        <f t="shared" si="137"/>
        <v>80.76485843812992</v>
      </c>
      <c r="AN258" s="104" t="e">
        <f t="shared" si="138"/>
        <v>#REF!</v>
      </c>
      <c r="AO258" s="104"/>
      <c r="AP258" s="140" t="e">
        <f t="shared" si="139"/>
        <v>#REF!</v>
      </c>
      <c r="AQ258" s="33"/>
      <c r="AR258" s="28"/>
      <c r="AS258" s="121"/>
      <c r="AT258" s="135" t="e">
        <f t="shared" si="140"/>
        <v>#REF!</v>
      </c>
      <c r="AU258" s="148" t="e">
        <f t="shared" si="141"/>
        <v>#REF!</v>
      </c>
      <c r="AW258" s="1">
        <v>2</v>
      </c>
      <c r="BA258" s="29">
        <v>288.74</v>
      </c>
      <c r="BB258" s="29">
        <v>46.88</v>
      </c>
      <c r="BC258" s="29">
        <v>13.19</v>
      </c>
      <c r="BD258" s="29">
        <v>93.23</v>
      </c>
      <c r="BI258" s="323">
        <v>0</v>
      </c>
      <c r="BL258" s="107">
        <f t="shared" si="151"/>
        <v>1.0967873225415627</v>
      </c>
      <c r="BM258" s="107">
        <f t="shared" si="151"/>
        <v>1.1127076627324948</v>
      </c>
      <c r="BN258" s="107">
        <f t="shared" si="151"/>
        <v>2.8314493742615632</v>
      </c>
      <c r="BO258" s="107">
        <f t="shared" si="151"/>
        <v>1.036891829831438</v>
      </c>
    </row>
    <row r="259" spans="1:67" x14ac:dyDescent="0.25">
      <c r="A259" s="250" t="s">
        <v>219</v>
      </c>
      <c r="B259" s="227">
        <v>4</v>
      </c>
      <c r="C259" s="226">
        <f>'побудинковий звіт'!E246</f>
        <v>63</v>
      </c>
      <c r="D259" s="138">
        <f t="shared" si="122"/>
        <v>330.74718498563368</v>
      </c>
      <c r="E259" s="104">
        <f t="shared" si="116"/>
        <v>68.175919392534155</v>
      </c>
      <c r="F259" s="323">
        <v>59.983369232930109</v>
      </c>
      <c r="G259" s="104" t="e">
        <f t="shared" si="117"/>
        <v>#REF!</v>
      </c>
      <c r="H259" s="720">
        <f t="shared" si="123"/>
        <v>276.33090289515997</v>
      </c>
      <c r="I259" s="104" t="e">
        <f t="shared" si="124"/>
        <v>#REF!</v>
      </c>
      <c r="J259" s="28"/>
      <c r="K259" s="139" t="e">
        <f t="shared" si="125"/>
        <v>#REF!</v>
      </c>
      <c r="L259" s="200">
        <f t="shared" si="126"/>
        <v>68.809841863377486</v>
      </c>
      <c r="M259" s="104">
        <f t="shared" si="118"/>
        <v>15.139398639019763</v>
      </c>
      <c r="N259" s="323">
        <v>0</v>
      </c>
      <c r="O259" s="104"/>
      <c r="P259" s="104">
        <f t="shared" si="127"/>
        <v>57.488881518390485</v>
      </c>
      <c r="Q259" s="104">
        <f t="shared" si="128"/>
        <v>18.204901614198537</v>
      </c>
      <c r="R259" s="104"/>
      <c r="S259" s="140">
        <f t="shared" si="129"/>
        <v>159.64302363498626</v>
      </c>
      <c r="T259" s="880">
        <v>326.39166666666671</v>
      </c>
      <c r="U259" s="104"/>
      <c r="V259" s="148">
        <f t="shared" si="130"/>
        <v>326.39166666666671</v>
      </c>
      <c r="W259" s="236"/>
      <c r="X259" s="104"/>
      <c r="Y259" s="45">
        <f t="shared" si="131"/>
        <v>0</v>
      </c>
      <c r="Z259" s="138">
        <f t="shared" si="132"/>
        <v>0</v>
      </c>
      <c r="AA259" s="104">
        <f t="shared" si="119"/>
        <v>0</v>
      </c>
      <c r="AB259" s="323">
        <v>0</v>
      </c>
      <c r="AC259" s="104"/>
      <c r="AD259" s="104">
        <f t="shared" si="133"/>
        <v>0</v>
      </c>
      <c r="AE259" s="104">
        <f t="shared" si="134"/>
        <v>0</v>
      </c>
      <c r="AF259" s="104"/>
      <c r="AG259" s="139">
        <f t="shared" si="135"/>
        <v>0</v>
      </c>
      <c r="AH259" s="200">
        <f t="shared" si="136"/>
        <v>224.05158658997715</v>
      </c>
      <c r="AI259" s="104">
        <f t="shared" si="120"/>
        <v>44.690605032226479</v>
      </c>
      <c r="AJ259" s="323">
        <v>23.550618426102286</v>
      </c>
      <c r="AK259" s="118" t="e">
        <f t="shared" si="121"/>
        <v>#REF!</v>
      </c>
      <c r="AL259" s="104"/>
      <c r="AM259" s="104">
        <f t="shared" si="137"/>
        <v>187.18943056217009</v>
      </c>
      <c r="AN259" s="104" t="e">
        <f t="shared" si="138"/>
        <v>#REF!</v>
      </c>
      <c r="AO259" s="104"/>
      <c r="AP259" s="140" t="e">
        <f t="shared" si="139"/>
        <v>#REF!</v>
      </c>
      <c r="AQ259" s="33"/>
      <c r="AR259" s="28"/>
      <c r="AS259" s="121"/>
      <c r="AT259" s="135" t="e">
        <f t="shared" si="140"/>
        <v>#REF!</v>
      </c>
      <c r="AU259" s="148" t="e">
        <f t="shared" si="141"/>
        <v>#REF!</v>
      </c>
      <c r="AW259" s="1">
        <v>2</v>
      </c>
      <c r="BA259" s="29">
        <v>301.56</v>
      </c>
      <c r="BB259" s="29">
        <v>61.84</v>
      </c>
      <c r="BC259" s="29">
        <v>0</v>
      </c>
      <c r="BD259" s="29">
        <v>216.08</v>
      </c>
      <c r="BF259" s="279">
        <f t="shared" ref="BF259:BF267" si="152">T259*1.2</f>
        <v>391.67</v>
      </c>
      <c r="BI259" s="323">
        <v>0</v>
      </c>
      <c r="BL259" s="107">
        <f t="shared" si="151"/>
        <v>1.0967873225415627</v>
      </c>
      <c r="BM259" s="107">
        <f t="shared" si="151"/>
        <v>1.1127076627324948</v>
      </c>
      <c r="BN259" s="107">
        <f t="shared" si="151"/>
        <v>2.8314493742615632</v>
      </c>
      <c r="BO259" s="107">
        <f t="shared" si="151"/>
        <v>1.036891829831438</v>
      </c>
    </row>
    <row r="260" spans="1:67" x14ac:dyDescent="0.25">
      <c r="A260" s="250" t="s">
        <v>220</v>
      </c>
      <c r="B260" s="227">
        <v>4</v>
      </c>
      <c r="C260" s="226">
        <f>'побудинковий звіт'!E247</f>
        <v>253.7</v>
      </c>
      <c r="D260" s="138">
        <f t="shared" si="122"/>
        <v>283.93630205955975</v>
      </c>
      <c r="E260" s="104">
        <f t="shared" si="116"/>
        <v>58.526933321193923</v>
      </c>
      <c r="F260" s="323">
        <v>48.390812503871096</v>
      </c>
      <c r="G260" s="104" t="e">
        <f t="shared" si="117"/>
        <v>#REF!</v>
      </c>
      <c r="H260" s="720">
        <f t="shared" si="123"/>
        <v>237.22159484513529</v>
      </c>
      <c r="I260" s="104" t="e">
        <f t="shared" si="124"/>
        <v>#REF!</v>
      </c>
      <c r="J260" s="28"/>
      <c r="K260" s="139" t="e">
        <f t="shared" si="125"/>
        <v>#REF!</v>
      </c>
      <c r="L260" s="200">
        <f t="shared" si="126"/>
        <v>51.484983554632535</v>
      </c>
      <c r="M260" s="104">
        <f t="shared" si="118"/>
        <v>11.327619259822839</v>
      </c>
      <c r="N260" s="323">
        <v>0</v>
      </c>
      <c r="O260" s="104"/>
      <c r="P260" s="104">
        <f t="shared" si="127"/>
        <v>43.014400838549932</v>
      </c>
      <c r="Q260" s="104">
        <f t="shared" si="128"/>
        <v>13.621293623689624</v>
      </c>
      <c r="R260" s="104"/>
      <c r="S260" s="140">
        <f t="shared" si="129"/>
        <v>119.44829727669493</v>
      </c>
      <c r="T260" s="880">
        <v>237.15833333333333</v>
      </c>
      <c r="U260" s="104"/>
      <c r="V260" s="148">
        <f t="shared" si="130"/>
        <v>237.15833333333333</v>
      </c>
      <c r="W260" s="236"/>
      <c r="X260" s="104"/>
      <c r="Y260" s="45">
        <f t="shared" si="131"/>
        <v>0</v>
      </c>
      <c r="Z260" s="138">
        <f t="shared" si="132"/>
        <v>0</v>
      </c>
      <c r="AA260" s="104">
        <f t="shared" si="119"/>
        <v>0</v>
      </c>
      <c r="AB260" s="323">
        <v>0</v>
      </c>
      <c r="AC260" s="104"/>
      <c r="AD260" s="104">
        <f t="shared" si="133"/>
        <v>0</v>
      </c>
      <c r="AE260" s="104">
        <f t="shared" si="134"/>
        <v>0</v>
      </c>
      <c r="AF260" s="104"/>
      <c r="AG260" s="139">
        <f t="shared" si="135"/>
        <v>0</v>
      </c>
      <c r="AH260" s="200">
        <f t="shared" si="136"/>
        <v>146.09805882324963</v>
      </c>
      <c r="AI260" s="104">
        <f t="shared" si="120"/>
        <v>29.141550578677855</v>
      </c>
      <c r="AJ260" s="323">
        <v>18.999158853218983</v>
      </c>
      <c r="AK260" s="118" t="e">
        <f t="shared" si="121"/>
        <v>#REF!</v>
      </c>
      <c r="AL260" s="104"/>
      <c r="AM260" s="104">
        <f t="shared" si="137"/>
        <v>122.06123086916773</v>
      </c>
      <c r="AN260" s="104" t="e">
        <f t="shared" si="138"/>
        <v>#REF!</v>
      </c>
      <c r="AO260" s="104"/>
      <c r="AP260" s="140" t="e">
        <f t="shared" si="139"/>
        <v>#REF!</v>
      </c>
      <c r="AQ260" s="33"/>
      <c r="AR260" s="28"/>
      <c r="AS260" s="121"/>
      <c r="AT260" s="135" t="e">
        <f t="shared" si="140"/>
        <v>#REF!</v>
      </c>
      <c r="AU260" s="148" t="e">
        <f t="shared" si="141"/>
        <v>#REF!</v>
      </c>
      <c r="AW260" s="1">
        <v>2</v>
      </c>
      <c r="BA260" s="29">
        <v>258.88</v>
      </c>
      <c r="BB260" s="29">
        <v>46.27</v>
      </c>
      <c r="BC260" s="29">
        <v>0</v>
      </c>
      <c r="BD260" s="29">
        <v>140.9</v>
      </c>
      <c r="BF260" s="279">
        <f t="shared" si="152"/>
        <v>284.58999999999997</v>
      </c>
      <c r="BI260" s="323">
        <v>0</v>
      </c>
      <c r="BL260" s="107">
        <f t="shared" si="151"/>
        <v>1.0967873225415627</v>
      </c>
      <c r="BM260" s="107">
        <f t="shared" si="151"/>
        <v>1.1127076627324948</v>
      </c>
      <c r="BN260" s="107">
        <f t="shared" si="151"/>
        <v>2.8314493742615632</v>
      </c>
      <c r="BO260" s="107">
        <f t="shared" si="151"/>
        <v>1.036891829831438</v>
      </c>
    </row>
    <row r="261" spans="1:67" x14ac:dyDescent="0.25">
      <c r="A261" s="250" t="s">
        <v>221</v>
      </c>
      <c r="B261" s="227">
        <v>4</v>
      </c>
      <c r="C261" s="226">
        <f>'побудинковий звіт'!E248</f>
        <v>601.4</v>
      </c>
      <c r="D261" s="138">
        <f t="shared" si="122"/>
        <v>367.98311458591968</v>
      </c>
      <c r="E261" s="104">
        <f t="shared" si="116"/>
        <v>75.851249222009315</v>
      </c>
      <c r="F261" s="323">
        <v>54.235551210961191</v>
      </c>
      <c r="G261" s="104" t="e">
        <f t="shared" si="117"/>
        <v>#REF!</v>
      </c>
      <c r="H261" s="720">
        <f t="shared" si="123"/>
        <v>307.44057975313405</v>
      </c>
      <c r="I261" s="104" t="e">
        <f t="shared" si="124"/>
        <v>#REF!</v>
      </c>
      <c r="J261" s="28"/>
      <c r="K261" s="139" t="e">
        <f t="shared" si="125"/>
        <v>#REF!</v>
      </c>
      <c r="L261" s="200">
        <f t="shared" si="126"/>
        <v>68.186725572247283</v>
      </c>
      <c r="M261" s="104">
        <f t="shared" si="118"/>
        <v>15.002301885496944</v>
      </c>
      <c r="N261" s="323">
        <v>0</v>
      </c>
      <c r="O261" s="104"/>
      <c r="P261" s="104">
        <f t="shared" si="127"/>
        <v>56.968283626244641</v>
      </c>
      <c r="Q261" s="104">
        <f t="shared" si="128"/>
        <v>18.040044807860387</v>
      </c>
      <c r="R261" s="104"/>
      <c r="S261" s="140">
        <f t="shared" si="129"/>
        <v>158.19735589184927</v>
      </c>
      <c r="T261" s="880">
        <v>344.6</v>
      </c>
      <c r="U261" s="104"/>
      <c r="V261" s="148">
        <f t="shared" si="130"/>
        <v>344.6</v>
      </c>
      <c r="W261" s="236"/>
      <c r="X261" s="104"/>
      <c r="Y261" s="45">
        <f t="shared" si="131"/>
        <v>0</v>
      </c>
      <c r="Z261" s="138">
        <f t="shared" si="132"/>
        <v>0</v>
      </c>
      <c r="AA261" s="104">
        <f t="shared" si="119"/>
        <v>0</v>
      </c>
      <c r="AB261" s="323">
        <v>0</v>
      </c>
      <c r="AC261" s="104"/>
      <c r="AD261" s="104">
        <f t="shared" si="133"/>
        <v>0</v>
      </c>
      <c r="AE261" s="104">
        <f t="shared" si="134"/>
        <v>0</v>
      </c>
      <c r="AF261" s="104"/>
      <c r="AG261" s="139">
        <f t="shared" si="135"/>
        <v>0</v>
      </c>
      <c r="AH261" s="200">
        <f t="shared" si="136"/>
        <v>219.14708823487442</v>
      </c>
      <c r="AI261" s="104">
        <f t="shared" si="120"/>
        <v>43.712325868016777</v>
      </c>
      <c r="AJ261" s="323">
        <v>21.293915097344442</v>
      </c>
      <c r="AK261" s="118" t="e">
        <f t="shared" si="121"/>
        <v>#REF!</v>
      </c>
      <c r="AL261" s="408"/>
      <c r="AM261" s="104">
        <f t="shared" si="137"/>
        <v>183.09184630375157</v>
      </c>
      <c r="AN261" s="104" t="e">
        <f t="shared" si="138"/>
        <v>#REF!</v>
      </c>
      <c r="AO261" s="104"/>
      <c r="AP261" s="140" t="e">
        <f t="shared" si="139"/>
        <v>#REF!</v>
      </c>
      <c r="AQ261" s="33"/>
      <c r="AR261" s="28"/>
      <c r="AS261" s="121"/>
      <c r="AT261" s="135" t="e">
        <f t="shared" si="140"/>
        <v>#REF!</v>
      </c>
      <c r="AU261" s="148" t="e">
        <f t="shared" si="141"/>
        <v>#REF!</v>
      </c>
      <c r="AW261" s="1">
        <v>2</v>
      </c>
      <c r="BA261" s="29">
        <v>335.51</v>
      </c>
      <c r="BB261" s="29">
        <v>61.28</v>
      </c>
      <c r="BC261" s="29">
        <v>0</v>
      </c>
      <c r="BD261" s="29">
        <v>211.35</v>
      </c>
      <c r="BF261" s="279">
        <f t="shared" si="152"/>
        <v>413.52000000000004</v>
      </c>
      <c r="BG261" s="1">
        <v>330.81</v>
      </c>
      <c r="BI261" s="323">
        <v>0</v>
      </c>
      <c r="BL261" s="107">
        <f t="shared" si="151"/>
        <v>1.0967873225415627</v>
      </c>
      <c r="BM261" s="107">
        <f t="shared" si="151"/>
        <v>1.1127076627324948</v>
      </c>
      <c r="BN261" s="107">
        <f t="shared" si="151"/>
        <v>2.8314493742615632</v>
      </c>
      <c r="BO261" s="107">
        <f t="shared" si="151"/>
        <v>1.036891829831438</v>
      </c>
    </row>
    <row r="262" spans="1:67" x14ac:dyDescent="0.25">
      <c r="A262" s="250" t="s">
        <v>289</v>
      </c>
      <c r="B262" s="227">
        <v>5</v>
      </c>
      <c r="C262" s="226">
        <f>'побудинковий звіт'!E249</f>
        <v>427.1</v>
      </c>
      <c r="D262" s="138">
        <f t="shared" si="122"/>
        <v>446.84212307665808</v>
      </c>
      <c r="E262" s="104">
        <f t="shared" si="116"/>
        <v>92.106218728320528</v>
      </c>
      <c r="F262" s="323">
        <v>75.178847082798114</v>
      </c>
      <c r="G262" s="104" t="e">
        <f t="shared" si="117"/>
        <v>#REF!</v>
      </c>
      <c r="H262" s="720">
        <f t="shared" si="123"/>
        <v>373.32528567620744</v>
      </c>
      <c r="I262" s="104" t="e">
        <f t="shared" si="124"/>
        <v>#REF!</v>
      </c>
      <c r="J262" s="28"/>
      <c r="K262" s="139" t="e">
        <f t="shared" si="125"/>
        <v>#REF!</v>
      </c>
      <c r="L262" s="200">
        <f t="shared" si="126"/>
        <v>77.911790544529282</v>
      </c>
      <c r="M262" s="104">
        <f t="shared" si="118"/>
        <v>17.141990502978068</v>
      </c>
      <c r="N262" s="323">
        <v>0</v>
      </c>
      <c r="O262" s="104"/>
      <c r="P262" s="104">
        <f t="shared" si="127"/>
        <v>65.093329300092194</v>
      </c>
      <c r="Q262" s="104">
        <f t="shared" si="128"/>
        <v>20.612988535352223</v>
      </c>
      <c r="R262" s="104"/>
      <c r="S262" s="140">
        <f t="shared" si="129"/>
        <v>180.76009888295178</v>
      </c>
      <c r="T262" s="880">
        <v>435.18333333333339</v>
      </c>
      <c r="U262" s="104"/>
      <c r="V262" s="148">
        <f t="shared" si="130"/>
        <v>435.18333333333339</v>
      </c>
      <c r="W262" s="236"/>
      <c r="X262" s="104"/>
      <c r="Y262" s="45">
        <f t="shared" si="131"/>
        <v>0</v>
      </c>
      <c r="Z262" s="138">
        <f t="shared" si="132"/>
        <v>0</v>
      </c>
      <c r="AA262" s="104">
        <f t="shared" si="119"/>
        <v>0</v>
      </c>
      <c r="AB262" s="323">
        <v>0</v>
      </c>
      <c r="AC262" s="104"/>
      <c r="AD262" s="104">
        <f t="shared" si="133"/>
        <v>0</v>
      </c>
      <c r="AE262" s="104">
        <f t="shared" si="134"/>
        <v>0</v>
      </c>
      <c r="AF262" s="104"/>
      <c r="AG262" s="139">
        <f t="shared" si="135"/>
        <v>0</v>
      </c>
      <c r="AH262" s="200">
        <f t="shared" si="136"/>
        <v>248.16969055185638</v>
      </c>
      <c r="AI262" s="104">
        <f t="shared" si="120"/>
        <v>49.501339357705874</v>
      </c>
      <c r="AJ262" s="323">
        <v>29.516653765912242</v>
      </c>
      <c r="AK262" s="118" t="e">
        <f t="shared" si="121"/>
        <v>#REF!</v>
      </c>
      <c r="AL262" s="104"/>
      <c r="AM262" s="104">
        <f t="shared" si="137"/>
        <v>207.33949606974167</v>
      </c>
      <c r="AN262" s="104" t="e">
        <f t="shared" si="138"/>
        <v>#REF!</v>
      </c>
      <c r="AO262" s="104"/>
      <c r="AP262" s="140" t="e">
        <f t="shared" si="139"/>
        <v>#REF!</v>
      </c>
      <c r="AQ262" s="33"/>
      <c r="AR262" s="28"/>
      <c r="AS262" s="121"/>
      <c r="AT262" s="135" t="e">
        <f t="shared" si="140"/>
        <v>#REF!</v>
      </c>
      <c r="AU262" s="148" t="e">
        <f t="shared" si="141"/>
        <v>#REF!</v>
      </c>
      <c r="AW262" s="1">
        <v>2</v>
      </c>
      <c r="BA262" s="29">
        <v>407.41</v>
      </c>
      <c r="BB262" s="29">
        <v>70.02</v>
      </c>
      <c r="BC262" s="29">
        <v>0</v>
      </c>
      <c r="BD262" s="29">
        <v>239.34</v>
      </c>
      <c r="BF262" s="279">
        <f t="shared" si="152"/>
        <v>522.22</v>
      </c>
      <c r="BI262" s="323">
        <v>0</v>
      </c>
      <c r="BL262" s="107">
        <f t="shared" si="151"/>
        <v>1.0967873225415627</v>
      </c>
      <c r="BM262" s="107">
        <f t="shared" si="151"/>
        <v>1.1127076627324948</v>
      </c>
      <c r="BN262" s="107">
        <f t="shared" si="151"/>
        <v>2.8314493742615632</v>
      </c>
      <c r="BO262" s="107">
        <f t="shared" si="151"/>
        <v>1.036891829831438</v>
      </c>
    </row>
    <row r="263" spans="1:67" x14ac:dyDescent="0.25">
      <c r="A263" s="250" t="s">
        <v>222</v>
      </c>
      <c r="B263" s="227">
        <v>4</v>
      </c>
      <c r="C263" s="226">
        <f>'побудинковий звіт'!E250</f>
        <v>1283.3</v>
      </c>
      <c r="D263" s="138">
        <f t="shared" si="122"/>
        <v>470.73015096161333</v>
      </c>
      <c r="E263" s="104">
        <f t="shared" si="116"/>
        <v>97.030185847200329</v>
      </c>
      <c r="F263" s="323">
        <v>76.171230619582346</v>
      </c>
      <c r="G263" s="104" t="e">
        <f t="shared" si="117"/>
        <v>#REF!</v>
      </c>
      <c r="H263" s="720">
        <f t="shared" si="123"/>
        <v>393.28312844400352</v>
      </c>
      <c r="I263" s="104" t="e">
        <f t="shared" si="124"/>
        <v>#REF!</v>
      </c>
      <c r="J263" s="28"/>
      <c r="K263" s="139" t="e">
        <f t="shared" si="125"/>
        <v>#REF!</v>
      </c>
      <c r="L263" s="200">
        <f t="shared" si="126"/>
        <v>86.646545696979373</v>
      </c>
      <c r="M263" s="104">
        <f t="shared" si="118"/>
        <v>19.063793208610427</v>
      </c>
      <c r="N263" s="323">
        <v>0</v>
      </c>
      <c r="O263" s="104"/>
      <c r="P263" s="104">
        <f t="shared" si="127"/>
        <v>72.39099618106512</v>
      </c>
      <c r="Q263" s="104">
        <f t="shared" si="128"/>
        <v>22.923927695628073</v>
      </c>
      <c r="R263" s="104"/>
      <c r="S263" s="140">
        <f t="shared" si="129"/>
        <v>201.02526278228297</v>
      </c>
      <c r="T263" s="880">
        <v>424.61666666666667</v>
      </c>
      <c r="U263" s="104"/>
      <c r="V263" s="148">
        <f t="shared" si="130"/>
        <v>424.61666666666667</v>
      </c>
      <c r="W263" s="236"/>
      <c r="X263" s="104"/>
      <c r="Y263" s="45">
        <f t="shared" si="131"/>
        <v>0</v>
      </c>
      <c r="Z263" s="138">
        <f t="shared" si="132"/>
        <v>0</v>
      </c>
      <c r="AA263" s="104">
        <f t="shared" si="119"/>
        <v>0</v>
      </c>
      <c r="AB263" s="323">
        <v>0</v>
      </c>
      <c r="AC263" s="104"/>
      <c r="AD263" s="104">
        <f t="shared" si="133"/>
        <v>0</v>
      </c>
      <c r="AE263" s="104">
        <f t="shared" si="134"/>
        <v>0</v>
      </c>
      <c r="AF263" s="104"/>
      <c r="AG263" s="139">
        <f t="shared" si="135"/>
        <v>0</v>
      </c>
      <c r="AH263" s="200">
        <f t="shared" si="136"/>
        <v>330.975872082195</v>
      </c>
      <c r="AI263" s="104">
        <f t="shared" si="120"/>
        <v>66.018331758083534</v>
      </c>
      <c r="AJ263" s="323">
        <v>29.906282529785024</v>
      </c>
      <c r="AK263" s="118" t="e">
        <f t="shared" si="121"/>
        <v>#REF!</v>
      </c>
      <c r="AL263" s="104"/>
      <c r="AM263" s="104">
        <f t="shared" si="137"/>
        <v>276.52196517699315</v>
      </c>
      <c r="AN263" s="104" t="e">
        <f t="shared" si="138"/>
        <v>#REF!</v>
      </c>
      <c r="AO263" s="104"/>
      <c r="AP263" s="140" t="e">
        <f t="shared" si="139"/>
        <v>#REF!</v>
      </c>
      <c r="AQ263" s="33"/>
      <c r="AR263" s="28"/>
      <c r="AS263" s="121"/>
      <c r="AT263" s="135" t="e">
        <f t="shared" si="140"/>
        <v>#REF!</v>
      </c>
      <c r="AU263" s="148" t="e">
        <f t="shared" si="141"/>
        <v>#REF!</v>
      </c>
      <c r="AW263" s="1">
        <v>2</v>
      </c>
      <c r="BA263" s="29">
        <v>429.19</v>
      </c>
      <c r="BB263" s="29">
        <v>77.87</v>
      </c>
      <c r="BC263" s="29">
        <v>0</v>
      </c>
      <c r="BD263" s="29">
        <v>319.2</v>
      </c>
      <c r="BF263" s="279">
        <f t="shared" si="152"/>
        <v>509.53999999999996</v>
      </c>
      <c r="BI263" s="323">
        <v>0</v>
      </c>
      <c r="BL263" s="107">
        <f t="shared" si="151"/>
        <v>1.0967873225415627</v>
      </c>
      <c r="BM263" s="107">
        <f t="shared" si="151"/>
        <v>1.1127076627324948</v>
      </c>
      <c r="BN263" s="107">
        <f t="shared" si="151"/>
        <v>2.8314493742615632</v>
      </c>
      <c r="BO263" s="107">
        <f t="shared" si="151"/>
        <v>1.036891829831438</v>
      </c>
    </row>
    <row r="264" spans="1:67" x14ac:dyDescent="0.25">
      <c r="A264" s="250" t="s">
        <v>197</v>
      </c>
      <c r="B264" s="227">
        <v>3</v>
      </c>
      <c r="C264" s="226">
        <f>'побудинковий звіт'!E251</f>
        <v>275.8</v>
      </c>
      <c r="D264" s="138">
        <f t="shared" si="122"/>
        <v>204.97858270979265</v>
      </c>
      <c r="E264" s="104">
        <f t="shared" si="116"/>
        <v>42.251616843317102</v>
      </c>
      <c r="F264" s="323">
        <v>28.783336509573864</v>
      </c>
      <c r="G264" s="104" t="e">
        <f t="shared" si="117"/>
        <v>#REF!</v>
      </c>
      <c r="H264" s="720">
        <f t="shared" si="123"/>
        <v>171.25441849740164</v>
      </c>
      <c r="I264" s="104" t="e">
        <f t="shared" si="124"/>
        <v>#REF!</v>
      </c>
      <c r="J264" s="28"/>
      <c r="K264" s="139" t="e">
        <f t="shared" si="125"/>
        <v>#REF!</v>
      </c>
      <c r="L264" s="200">
        <f t="shared" si="126"/>
        <v>52.575437064110375</v>
      </c>
      <c r="M264" s="104">
        <f t="shared" si="118"/>
        <v>11.56753857848777</v>
      </c>
      <c r="N264" s="323">
        <v>0</v>
      </c>
      <c r="O264" s="104"/>
      <c r="P264" s="104">
        <f t="shared" si="127"/>
        <v>43.925447149805144</v>
      </c>
      <c r="Q264" s="104">
        <f t="shared" si="128"/>
        <v>13.909793034781384</v>
      </c>
      <c r="R264" s="104"/>
      <c r="S264" s="140">
        <f t="shared" si="129"/>
        <v>121.97821582718467</v>
      </c>
      <c r="T264" s="880">
        <v>165.15</v>
      </c>
      <c r="U264" s="104"/>
      <c r="V264" s="148">
        <f t="shared" si="130"/>
        <v>165.15</v>
      </c>
      <c r="W264" s="236"/>
      <c r="X264" s="104"/>
      <c r="Y264" s="45">
        <f t="shared" si="131"/>
        <v>0</v>
      </c>
      <c r="Z264" s="138">
        <f t="shared" si="132"/>
        <v>0</v>
      </c>
      <c r="AA264" s="104">
        <f t="shared" si="119"/>
        <v>0</v>
      </c>
      <c r="AB264" s="323">
        <v>0</v>
      </c>
      <c r="AC264" s="104"/>
      <c r="AD264" s="104">
        <f t="shared" si="133"/>
        <v>0</v>
      </c>
      <c r="AE264" s="104">
        <f t="shared" si="134"/>
        <v>0</v>
      </c>
      <c r="AF264" s="104"/>
      <c r="AG264" s="139">
        <f t="shared" si="135"/>
        <v>0</v>
      </c>
      <c r="AH264" s="200">
        <f t="shared" si="136"/>
        <v>121.85552784179059</v>
      </c>
      <c r="AI264" s="104">
        <f t="shared" si="120"/>
        <v>24.305997331484889</v>
      </c>
      <c r="AJ264" s="323">
        <v>11.300888626891822</v>
      </c>
      <c r="AK264" s="118" t="e">
        <f t="shared" si="121"/>
        <v>#REF!</v>
      </c>
      <c r="AL264" s="104"/>
      <c r="AM264" s="104">
        <f t="shared" si="137"/>
        <v>101.80720973558971</v>
      </c>
      <c r="AN264" s="104" t="e">
        <f t="shared" si="138"/>
        <v>#REF!</v>
      </c>
      <c r="AO264" s="104"/>
      <c r="AP264" s="140" t="e">
        <f t="shared" si="139"/>
        <v>#REF!</v>
      </c>
      <c r="AQ264" s="33"/>
      <c r="AR264" s="28"/>
      <c r="AS264" s="121"/>
      <c r="AT264" s="135" t="e">
        <f t="shared" si="140"/>
        <v>#REF!</v>
      </c>
      <c r="AU264" s="148" t="e">
        <f t="shared" si="141"/>
        <v>#REF!</v>
      </c>
      <c r="AW264" s="1">
        <v>2</v>
      </c>
      <c r="BA264" s="29">
        <v>186.89</v>
      </c>
      <c r="BB264" s="29">
        <v>47.25</v>
      </c>
      <c r="BC264" s="29">
        <v>0</v>
      </c>
      <c r="BD264" s="29">
        <v>117.52</v>
      </c>
      <c r="BF264" s="279">
        <f t="shared" si="152"/>
        <v>198.18</v>
      </c>
      <c r="BI264" s="323">
        <v>0</v>
      </c>
      <c r="BL264" s="107">
        <f t="shared" si="151"/>
        <v>1.0967873225415627</v>
      </c>
      <c r="BM264" s="107">
        <f t="shared" si="151"/>
        <v>1.1127076627324948</v>
      </c>
      <c r="BN264" s="107">
        <f t="shared" si="151"/>
        <v>2.8314493742615632</v>
      </c>
      <c r="BO264" s="107">
        <f t="shared" si="151"/>
        <v>1.036891829831438</v>
      </c>
    </row>
    <row r="265" spans="1:67" x14ac:dyDescent="0.25">
      <c r="A265" s="250" t="s">
        <v>223</v>
      </c>
      <c r="B265" s="227">
        <v>4</v>
      </c>
      <c r="C265" s="226">
        <f>'побудинковий звіт'!E252</f>
        <v>146.1</v>
      </c>
      <c r="D265" s="138">
        <f t="shared" si="122"/>
        <v>208.74056322611023</v>
      </c>
      <c r="E265" s="104">
        <f t="shared" ref="E265:E328" si="153">D265*$BA$372</f>
        <v>43.027062537429032</v>
      </c>
      <c r="F265" s="323">
        <v>31.701491920287559</v>
      </c>
      <c r="G265" s="104" t="e">
        <f t="shared" ref="G265:G328" si="154">$G$369/$C$368*C265</f>
        <v>#REF!</v>
      </c>
      <c r="H265" s="720">
        <f t="shared" si="123"/>
        <v>174.39745801501141</v>
      </c>
      <c r="I265" s="104" t="e">
        <f t="shared" si="124"/>
        <v>#REF!</v>
      </c>
      <c r="J265" s="28"/>
      <c r="K265" s="139" t="e">
        <f t="shared" si="125"/>
        <v>#REF!</v>
      </c>
      <c r="L265" s="200">
        <f t="shared" si="126"/>
        <v>40.958769065183134</v>
      </c>
      <c r="M265" s="104">
        <f t="shared" ref="M265:M328" si="155">L265*$BB$372</f>
        <v>9.0116633878123782</v>
      </c>
      <c r="N265" s="323">
        <v>0</v>
      </c>
      <c r="O265" s="104"/>
      <c r="P265" s="104">
        <f t="shared" si="127"/>
        <v>34.220015017657722</v>
      </c>
      <c r="Q265" s="104">
        <f t="shared" si="128"/>
        <v>10.836391145191593</v>
      </c>
      <c r="R265" s="104"/>
      <c r="S265" s="140">
        <f t="shared" si="129"/>
        <v>95.026838615844824</v>
      </c>
      <c r="T265" s="880">
        <v>183.38333333333335</v>
      </c>
      <c r="U265" s="104"/>
      <c r="V265" s="148">
        <f t="shared" si="130"/>
        <v>183.38333333333335</v>
      </c>
      <c r="W265" s="236"/>
      <c r="X265" s="104"/>
      <c r="Y265" s="45">
        <f t="shared" si="131"/>
        <v>0</v>
      </c>
      <c r="Z265" s="138">
        <f t="shared" si="132"/>
        <v>0</v>
      </c>
      <c r="AA265" s="104">
        <f t="shared" ref="AA265:AA328" si="156">Z265*$BC$372</f>
        <v>0</v>
      </c>
      <c r="AB265" s="323">
        <v>0</v>
      </c>
      <c r="AC265" s="104"/>
      <c r="AD265" s="104">
        <f t="shared" si="133"/>
        <v>0</v>
      </c>
      <c r="AE265" s="104">
        <f t="shared" si="134"/>
        <v>0</v>
      </c>
      <c r="AF265" s="104"/>
      <c r="AG265" s="139">
        <f t="shared" si="135"/>
        <v>0</v>
      </c>
      <c r="AH265" s="200">
        <f t="shared" si="136"/>
        <v>84.475577376367255</v>
      </c>
      <c r="AI265" s="104">
        <f t="shared" ref="AI265:AI328" si="157">AH265*$BD$372</f>
        <v>16.849979600034668</v>
      </c>
      <c r="AJ265" s="323">
        <v>12.446612274373352</v>
      </c>
      <c r="AK265" s="118" t="e">
        <f t="shared" ref="AK265:AK328" si="158">$AK$369/$C$368*C265</f>
        <v>#REF!</v>
      </c>
      <c r="AL265" s="104"/>
      <c r="AM265" s="104">
        <f t="shared" si="137"/>
        <v>70.577207089503858</v>
      </c>
      <c r="AN265" s="104" t="e">
        <f t="shared" si="138"/>
        <v>#REF!</v>
      </c>
      <c r="AO265" s="104"/>
      <c r="AP265" s="140" t="e">
        <f t="shared" si="139"/>
        <v>#REF!</v>
      </c>
      <c r="AQ265" s="33"/>
      <c r="AR265" s="28"/>
      <c r="AS265" s="121"/>
      <c r="AT265" s="135" t="e">
        <f t="shared" si="140"/>
        <v>#REF!</v>
      </c>
      <c r="AU265" s="148" t="e">
        <f t="shared" si="141"/>
        <v>#REF!</v>
      </c>
      <c r="AW265" s="1">
        <v>2</v>
      </c>
      <c r="BA265" s="29">
        <v>190.32</v>
      </c>
      <c r="BB265" s="29">
        <v>36.81</v>
      </c>
      <c r="BC265" s="29">
        <v>0</v>
      </c>
      <c r="BD265" s="29">
        <v>81.47</v>
      </c>
      <c r="BF265" s="279">
        <f t="shared" si="152"/>
        <v>220.06000000000003</v>
      </c>
      <c r="BI265" s="323">
        <v>0</v>
      </c>
      <c r="BL265" s="107">
        <f t="shared" si="151"/>
        <v>1.0967873225415627</v>
      </c>
      <c r="BM265" s="107">
        <f t="shared" si="151"/>
        <v>1.1127076627324948</v>
      </c>
      <c r="BN265" s="107">
        <f t="shared" si="151"/>
        <v>2.8314493742615632</v>
      </c>
      <c r="BO265" s="107">
        <f t="shared" si="151"/>
        <v>1.036891829831438</v>
      </c>
    </row>
    <row r="266" spans="1:67" x14ac:dyDescent="0.25">
      <c r="A266" s="250" t="s">
        <v>224</v>
      </c>
      <c r="B266" s="227">
        <v>4</v>
      </c>
      <c r="C266" s="226">
        <f>'побудинковий звіт'!E253</f>
        <v>3990.61</v>
      </c>
      <c r="D266" s="138">
        <f t="shared" ref="D266:D329" si="159">BA266*BL266</f>
        <v>365.89921867309079</v>
      </c>
      <c r="E266" s="104">
        <f t="shared" si="153"/>
        <v>75.421702044512926</v>
      </c>
      <c r="F266" s="323">
        <v>58.438959185238318</v>
      </c>
      <c r="G266" s="104" t="e">
        <f t="shared" si="154"/>
        <v>#REF!</v>
      </c>
      <c r="H266" s="720">
        <f t="shared" ref="H266:H329" si="160">D266*$B$4</f>
        <v>305.6995374547497</v>
      </c>
      <c r="I266" s="104" t="e">
        <f t="shared" ref="I266:I329" si="161">(D266+E266+F266+G266+H266)*$B$5</f>
        <v>#REF!</v>
      </c>
      <c r="J266" s="28"/>
      <c r="K266" s="139" t="e">
        <f t="shared" ref="K266:K329" si="162">D266+E266+F266+G266+H266+I266-J266</f>
        <v>#REF!</v>
      </c>
      <c r="L266" s="200">
        <f t="shared" ref="L266:L329" si="163">BB266*BM266</f>
        <v>59.340699653523941</v>
      </c>
      <c r="M266" s="104">
        <f t="shared" si="155"/>
        <v>13.056017616735508</v>
      </c>
      <c r="N266" s="323">
        <v>0</v>
      </c>
      <c r="O266" s="104"/>
      <c r="P266" s="104">
        <f t="shared" ref="P266:P329" si="164">L266*$B$4</f>
        <v>49.57765283595996</v>
      </c>
      <c r="Q266" s="104">
        <f t="shared" ref="Q266:Q329" si="165">(L266+M266+N266+O266+P266)*$B$5</f>
        <v>15.699666932167007</v>
      </c>
      <c r="R266" s="104"/>
      <c r="S266" s="140">
        <f t="shared" ref="S266:S329" si="166">L266+M266+N266+O266+P266+Q266-R266</f>
        <v>137.67403703838642</v>
      </c>
      <c r="T266" s="880">
        <v>303.32500000000005</v>
      </c>
      <c r="U266" s="104"/>
      <c r="V266" s="148">
        <f t="shared" ref="V266:V329" si="167">T266+U266</f>
        <v>303.32500000000005</v>
      </c>
      <c r="W266" s="236"/>
      <c r="X266" s="104"/>
      <c r="Y266" s="45">
        <f t="shared" ref="Y266:Y329" si="168">W266+X266</f>
        <v>0</v>
      </c>
      <c r="Z266" s="138">
        <f t="shared" ref="Z266:Z329" si="169">BC266*BN266</f>
        <v>0</v>
      </c>
      <c r="AA266" s="104">
        <f t="shared" si="156"/>
        <v>0</v>
      </c>
      <c r="AB266" s="323">
        <v>0</v>
      </c>
      <c r="AC266" s="104"/>
      <c r="AD266" s="104">
        <f t="shared" ref="AD266:AD329" si="170">Z266*$B$4</f>
        <v>0</v>
      </c>
      <c r="AE266" s="104">
        <f t="shared" ref="AE266:AE329" si="171">(Z266+AA266+AB266+AC266+AD266)*$B$5</f>
        <v>0</v>
      </c>
      <c r="AF266" s="104"/>
      <c r="AG266" s="139">
        <f t="shared" ref="AG266:AG329" si="172">Z266+AA266+AB266+AC266+AD266+AE266-AF266</f>
        <v>0</v>
      </c>
      <c r="AH266" s="200">
        <f t="shared" ref="AH266:AH329" si="173">BD266*BO266</f>
        <v>210.49941037408021</v>
      </c>
      <c r="AI266" s="104">
        <f t="shared" si="157"/>
        <v>41.98741080892399</v>
      </c>
      <c r="AJ266" s="323">
        <v>22.944253492092201</v>
      </c>
      <c r="AK266" s="118" t="e">
        <f t="shared" si="158"/>
        <v>#REF!</v>
      </c>
      <c r="AL266" s="104"/>
      <c r="AM266" s="104">
        <f t="shared" ref="AM266:AM329" si="174">AH266*$B$4</f>
        <v>175.86693029630757</v>
      </c>
      <c r="AN266" s="104" t="e">
        <f t="shared" ref="AN266:AN329" si="175">(AH266+AI266+AJ266+AK266+AL266+AM266)*$B$5</f>
        <v>#REF!</v>
      </c>
      <c r="AO266" s="104"/>
      <c r="AP266" s="140" t="e">
        <f t="shared" ref="AP266:AP329" si="176">AH266+AI266+AJ266+AK266+AL266+AM266+AN266-AO266</f>
        <v>#REF!</v>
      </c>
      <c r="AQ266" s="33"/>
      <c r="AR266" s="28"/>
      <c r="AS266" s="121"/>
      <c r="AT266" s="135" t="e">
        <f t="shared" ref="AT266:AT329" si="177">IF(B266&gt;1,C266*$AT$5,0)</f>
        <v>#REF!</v>
      </c>
      <c r="AU266" s="148" t="e">
        <f t="shared" ref="AU266:AU329" si="178">K266+S266+V266+Y266+AG266+AP266+AS266+AT266</f>
        <v>#REF!</v>
      </c>
      <c r="AW266" s="1">
        <v>2</v>
      </c>
      <c r="BA266" s="29">
        <v>333.61</v>
      </c>
      <c r="BB266" s="29">
        <v>53.33</v>
      </c>
      <c r="BC266" s="29">
        <v>0</v>
      </c>
      <c r="BD266" s="29">
        <v>203.01</v>
      </c>
      <c r="BF266" s="279">
        <f t="shared" si="152"/>
        <v>363.99000000000007</v>
      </c>
      <c r="BI266" s="323">
        <v>0</v>
      </c>
      <c r="BL266" s="107">
        <f t="shared" si="151"/>
        <v>1.0967873225415627</v>
      </c>
      <c r="BM266" s="107">
        <f t="shared" si="151"/>
        <v>1.1127076627324948</v>
      </c>
      <c r="BN266" s="107">
        <f t="shared" si="151"/>
        <v>2.8314493742615632</v>
      </c>
      <c r="BO266" s="107">
        <f t="shared" si="151"/>
        <v>1.036891829831438</v>
      </c>
    </row>
    <row r="267" spans="1:67" x14ac:dyDescent="0.25">
      <c r="A267" s="250" t="s">
        <v>290</v>
      </c>
      <c r="B267" s="227">
        <v>5</v>
      </c>
      <c r="C267" s="226">
        <f>'побудинковий звіт'!E254</f>
        <v>319.39999999999998</v>
      </c>
      <c r="D267" s="138">
        <f t="shared" si="159"/>
        <v>225.92722057033652</v>
      </c>
      <c r="E267" s="104">
        <f t="shared" si="153"/>
        <v>46.569696364465145</v>
      </c>
      <c r="F267" s="323">
        <v>37.689504683643747</v>
      </c>
      <c r="G267" s="104" t="e">
        <f t="shared" si="154"/>
        <v>#REF!</v>
      </c>
      <c r="H267" s="720">
        <f t="shared" si="160"/>
        <v>188.75647528642392</v>
      </c>
      <c r="I267" s="104" t="e">
        <f t="shared" si="161"/>
        <v>#REF!</v>
      </c>
      <c r="J267" s="28"/>
      <c r="K267" s="139" t="e">
        <f t="shared" si="162"/>
        <v>#REF!</v>
      </c>
      <c r="L267" s="200">
        <f t="shared" si="163"/>
        <v>43.940825601306223</v>
      </c>
      <c r="M267" s="104">
        <f t="shared" si="155"/>
        <v>9.6677692796715782</v>
      </c>
      <c r="N267" s="323">
        <v>0</v>
      </c>
      <c r="O267" s="104"/>
      <c r="P267" s="104">
        <f t="shared" si="164"/>
        <v>36.711447787212812</v>
      </c>
      <c r="Q267" s="104">
        <f t="shared" si="165"/>
        <v>11.625348718381311</v>
      </c>
      <c r="R267" s="104"/>
      <c r="S267" s="140">
        <f t="shared" si="166"/>
        <v>101.94539138657191</v>
      </c>
      <c r="T267" s="880">
        <v>214.91666666666666</v>
      </c>
      <c r="U267" s="104"/>
      <c r="V267" s="148">
        <f t="shared" si="167"/>
        <v>214.91666666666666</v>
      </c>
      <c r="W267" s="236"/>
      <c r="X267" s="104"/>
      <c r="Y267" s="45">
        <f t="shared" si="168"/>
        <v>0</v>
      </c>
      <c r="Z267" s="138">
        <f t="shared" si="169"/>
        <v>0</v>
      </c>
      <c r="AA267" s="104">
        <f t="shared" si="156"/>
        <v>0</v>
      </c>
      <c r="AB267" s="323">
        <v>0</v>
      </c>
      <c r="AC267" s="104"/>
      <c r="AD267" s="104">
        <f t="shared" si="170"/>
        <v>0</v>
      </c>
      <c r="AE267" s="104">
        <f t="shared" si="171"/>
        <v>0</v>
      </c>
      <c r="AF267" s="104"/>
      <c r="AG267" s="139">
        <f t="shared" si="172"/>
        <v>0</v>
      </c>
      <c r="AH267" s="200">
        <f t="shared" si="173"/>
        <v>102.94262086566516</v>
      </c>
      <c r="AI267" s="104">
        <f t="shared" si="157"/>
        <v>20.533521231022974</v>
      </c>
      <c r="AJ267" s="323">
        <v>14.797620654259639</v>
      </c>
      <c r="AK267" s="118" t="e">
        <f t="shared" si="158"/>
        <v>#REF!</v>
      </c>
      <c r="AL267" s="408"/>
      <c r="AM267" s="104">
        <f t="shared" si="174"/>
        <v>86.005954582618671</v>
      </c>
      <c r="AN267" s="104" t="e">
        <f t="shared" si="175"/>
        <v>#REF!</v>
      </c>
      <c r="AO267" s="104"/>
      <c r="AP267" s="140" t="e">
        <f t="shared" si="176"/>
        <v>#REF!</v>
      </c>
      <c r="AQ267" s="33"/>
      <c r="AR267" s="28"/>
      <c r="AS267" s="121"/>
      <c r="AT267" s="135" t="e">
        <f t="shared" si="177"/>
        <v>#REF!</v>
      </c>
      <c r="AU267" s="148" t="e">
        <f t="shared" si="178"/>
        <v>#REF!</v>
      </c>
      <c r="AW267" s="1">
        <v>2</v>
      </c>
      <c r="BA267" s="29">
        <v>205.99</v>
      </c>
      <c r="BB267" s="29">
        <v>39.49</v>
      </c>
      <c r="BC267" s="29">
        <v>0</v>
      </c>
      <c r="BD267" s="29">
        <v>99.28</v>
      </c>
      <c r="BF267" s="279">
        <f t="shared" si="152"/>
        <v>257.89999999999998</v>
      </c>
      <c r="BI267" s="323">
        <v>0</v>
      </c>
      <c r="BL267" s="107">
        <f t="shared" si="151"/>
        <v>1.0967873225415627</v>
      </c>
      <c r="BM267" s="107">
        <f t="shared" si="151"/>
        <v>1.1127076627324948</v>
      </c>
      <c r="BN267" s="107">
        <f t="shared" si="151"/>
        <v>2.8314493742615632</v>
      </c>
      <c r="BO267" s="107">
        <f t="shared" si="151"/>
        <v>1.036891829831438</v>
      </c>
    </row>
    <row r="268" spans="1:67" x14ac:dyDescent="0.25">
      <c r="A268" s="424" t="s">
        <v>133</v>
      </c>
      <c r="B268" s="228">
        <v>1</v>
      </c>
      <c r="C268" s="226">
        <f>'побудинковий звіт'!E255</f>
        <v>2762.6</v>
      </c>
      <c r="D268" s="138">
        <f t="shared" si="159"/>
        <v>0</v>
      </c>
      <c r="E268" s="104">
        <f t="shared" si="153"/>
        <v>0</v>
      </c>
      <c r="F268" s="323">
        <v>0</v>
      </c>
      <c r="G268" s="104" t="e">
        <f t="shared" si="154"/>
        <v>#REF!</v>
      </c>
      <c r="H268" s="720">
        <f t="shared" si="160"/>
        <v>0</v>
      </c>
      <c r="I268" s="104" t="e">
        <f t="shared" si="161"/>
        <v>#REF!</v>
      </c>
      <c r="J268" s="28"/>
      <c r="K268" s="139" t="e">
        <f t="shared" si="162"/>
        <v>#REF!</v>
      </c>
      <c r="L268" s="200">
        <f t="shared" si="163"/>
        <v>0</v>
      </c>
      <c r="M268" s="104">
        <f t="shared" si="155"/>
        <v>0</v>
      </c>
      <c r="N268" s="323">
        <v>0</v>
      </c>
      <c r="O268" s="104"/>
      <c r="P268" s="104">
        <f t="shared" si="164"/>
        <v>0</v>
      </c>
      <c r="Q268" s="104">
        <f t="shared" si="165"/>
        <v>0</v>
      </c>
      <c r="R268" s="104"/>
      <c r="S268" s="140">
        <f t="shared" si="166"/>
        <v>0</v>
      </c>
      <c r="T268" s="235"/>
      <c r="U268" s="104"/>
      <c r="V268" s="148">
        <f t="shared" si="167"/>
        <v>0</v>
      </c>
      <c r="W268" s="236"/>
      <c r="X268" s="104"/>
      <c r="Y268" s="45">
        <f t="shared" si="168"/>
        <v>0</v>
      </c>
      <c r="Z268" s="138">
        <f t="shared" si="169"/>
        <v>0</v>
      </c>
      <c r="AA268" s="104">
        <f t="shared" si="156"/>
        <v>0</v>
      </c>
      <c r="AB268" s="323">
        <v>0</v>
      </c>
      <c r="AC268" s="104"/>
      <c r="AD268" s="104">
        <f t="shared" si="170"/>
        <v>0</v>
      </c>
      <c r="AE268" s="104">
        <f t="shared" si="171"/>
        <v>0</v>
      </c>
      <c r="AF268" s="104"/>
      <c r="AG268" s="139">
        <f t="shared" si="172"/>
        <v>0</v>
      </c>
      <c r="AH268" s="200">
        <f t="shared" si="173"/>
        <v>0</v>
      </c>
      <c r="AI268" s="104">
        <f t="shared" si="157"/>
        <v>0</v>
      </c>
      <c r="AJ268" s="323">
        <v>0</v>
      </c>
      <c r="AK268" s="118" t="e">
        <f t="shared" si="158"/>
        <v>#REF!</v>
      </c>
      <c r="AL268" s="104"/>
      <c r="AM268" s="104">
        <f t="shared" si="174"/>
        <v>0</v>
      </c>
      <c r="AN268" s="104" t="e">
        <f t="shared" si="175"/>
        <v>#REF!</v>
      </c>
      <c r="AO268" s="104"/>
      <c r="AP268" s="140" t="e">
        <f t="shared" si="176"/>
        <v>#REF!</v>
      </c>
      <c r="AQ268" s="33"/>
      <c r="AR268" s="28"/>
      <c r="AS268" s="121"/>
      <c r="AT268" s="135">
        <f t="shared" si="177"/>
        <v>0</v>
      </c>
      <c r="AU268" s="148" t="e">
        <f t="shared" si="178"/>
        <v>#REF!</v>
      </c>
      <c r="AW268" s="1">
        <v>2</v>
      </c>
      <c r="BA268" s="29">
        <v>0</v>
      </c>
      <c r="BB268" s="29">
        <v>0</v>
      </c>
      <c r="BC268" s="29">
        <v>0</v>
      </c>
      <c r="BD268" s="29">
        <v>0</v>
      </c>
      <c r="BI268" s="323">
        <v>0</v>
      </c>
      <c r="BL268" s="107">
        <f t="shared" si="151"/>
        <v>1.0967873225415627</v>
      </c>
      <c r="BM268" s="107">
        <f t="shared" si="151"/>
        <v>1.1127076627324948</v>
      </c>
      <c r="BN268" s="107">
        <f t="shared" si="151"/>
        <v>2.8314493742615632</v>
      </c>
      <c r="BO268" s="107">
        <f t="shared" si="151"/>
        <v>1.036891829831438</v>
      </c>
    </row>
    <row r="269" spans="1:67" x14ac:dyDescent="0.25">
      <c r="A269" s="250" t="s">
        <v>185</v>
      </c>
      <c r="B269" s="227">
        <v>2</v>
      </c>
      <c r="C269" s="226">
        <f>'побудинковий звіт'!E256</f>
        <v>1317.8000000000002</v>
      </c>
      <c r="D269" s="138">
        <f t="shared" si="159"/>
        <v>0</v>
      </c>
      <c r="E269" s="104">
        <f t="shared" si="153"/>
        <v>0</v>
      </c>
      <c r="F269" s="323">
        <v>0</v>
      </c>
      <c r="G269" s="104" t="e">
        <f t="shared" si="154"/>
        <v>#REF!</v>
      </c>
      <c r="H269" s="720">
        <f t="shared" si="160"/>
        <v>0</v>
      </c>
      <c r="I269" s="104" t="e">
        <f t="shared" si="161"/>
        <v>#REF!</v>
      </c>
      <c r="J269" s="28"/>
      <c r="K269" s="139" t="e">
        <f t="shared" si="162"/>
        <v>#REF!</v>
      </c>
      <c r="L269" s="200">
        <f t="shared" si="163"/>
        <v>0</v>
      </c>
      <c r="M269" s="104">
        <f t="shared" si="155"/>
        <v>0</v>
      </c>
      <c r="N269" s="323">
        <v>0</v>
      </c>
      <c r="O269" s="104"/>
      <c r="P269" s="104">
        <f t="shared" si="164"/>
        <v>0</v>
      </c>
      <c r="Q269" s="104">
        <f t="shared" si="165"/>
        <v>0</v>
      </c>
      <c r="R269" s="104"/>
      <c r="S269" s="140">
        <f t="shared" si="166"/>
        <v>0</v>
      </c>
      <c r="T269" s="235"/>
      <c r="U269" s="104"/>
      <c r="V269" s="148">
        <f t="shared" si="167"/>
        <v>0</v>
      </c>
      <c r="W269" s="236"/>
      <c r="X269" s="104"/>
      <c r="Y269" s="45">
        <f t="shared" si="168"/>
        <v>0</v>
      </c>
      <c r="Z269" s="138">
        <f t="shared" si="169"/>
        <v>0</v>
      </c>
      <c r="AA269" s="104">
        <f t="shared" si="156"/>
        <v>0</v>
      </c>
      <c r="AB269" s="323">
        <v>0</v>
      </c>
      <c r="AC269" s="104"/>
      <c r="AD269" s="104">
        <f t="shared" si="170"/>
        <v>0</v>
      </c>
      <c r="AE269" s="104">
        <f t="shared" si="171"/>
        <v>0</v>
      </c>
      <c r="AF269" s="104"/>
      <c r="AG269" s="139">
        <f t="shared" si="172"/>
        <v>0</v>
      </c>
      <c r="AH269" s="200">
        <f t="shared" si="173"/>
        <v>10.097696149940818</v>
      </c>
      <c r="AI269" s="104">
        <f t="shared" si="157"/>
        <v>2.0141439622933093</v>
      </c>
      <c r="AJ269" s="323">
        <v>2.6461223976023187</v>
      </c>
      <c r="AK269" s="118" t="e">
        <f t="shared" si="158"/>
        <v>#REF!</v>
      </c>
      <c r="AL269" s="104"/>
      <c r="AM269" s="104">
        <f t="shared" si="174"/>
        <v>8.4363695926703848</v>
      </c>
      <c r="AN269" s="104" t="e">
        <f t="shared" si="175"/>
        <v>#REF!</v>
      </c>
      <c r="AO269" s="104"/>
      <c r="AP269" s="140" t="e">
        <f t="shared" si="176"/>
        <v>#REF!</v>
      </c>
      <c r="AQ269" s="33"/>
      <c r="AR269" s="28"/>
      <c r="AS269" s="121"/>
      <c r="AT269" s="135" t="e">
        <f t="shared" si="177"/>
        <v>#REF!</v>
      </c>
      <c r="AU269" s="148" t="e">
        <f t="shared" si="178"/>
        <v>#REF!</v>
      </c>
      <c r="AW269" s="1">
        <v>1</v>
      </c>
      <c r="BA269" s="29">
        <v>0</v>
      </c>
      <c r="BB269" s="29">
        <v>0</v>
      </c>
      <c r="BC269" s="29">
        <v>0</v>
      </c>
      <c r="BD269" s="29">
        <v>12.17</v>
      </c>
      <c r="BI269" s="323">
        <v>0</v>
      </c>
      <c r="BL269" s="107">
        <f>$BA$397</f>
        <v>0.85901039294857251</v>
      </c>
      <c r="BM269" s="107">
        <f>$BB$397</f>
        <v>0.92206249128051765</v>
      </c>
      <c r="BN269" s="107">
        <f>$BC$397</f>
        <v>0.35749517965371247</v>
      </c>
      <c r="BO269" s="107">
        <f>$BD$397</f>
        <v>0.82972030812989472</v>
      </c>
    </row>
    <row r="270" spans="1:67" x14ac:dyDescent="0.25">
      <c r="A270" s="250" t="s">
        <v>291</v>
      </c>
      <c r="B270" s="227">
        <v>5</v>
      </c>
      <c r="C270" s="226">
        <f>'побудинковий звіт'!E257</f>
        <v>7070.85</v>
      </c>
      <c r="D270" s="138">
        <f t="shared" si="159"/>
        <v>431.03620379503536</v>
      </c>
      <c r="E270" s="104">
        <f t="shared" si="153"/>
        <v>88.848192272507703</v>
      </c>
      <c r="F270" s="323">
        <v>70.976226281917704</v>
      </c>
      <c r="G270" s="104" t="e">
        <f t="shared" si="154"/>
        <v>#REF!</v>
      </c>
      <c r="H270" s="720">
        <f t="shared" si="160"/>
        <v>360.11984011400699</v>
      </c>
      <c r="I270" s="104" t="e">
        <f t="shared" si="161"/>
        <v>#REF!</v>
      </c>
      <c r="J270" s="28"/>
      <c r="K270" s="139" t="e">
        <f t="shared" si="162"/>
        <v>#REF!</v>
      </c>
      <c r="L270" s="200">
        <f t="shared" si="163"/>
        <v>86.332436426341374</v>
      </c>
      <c r="M270" s="104">
        <f t="shared" si="155"/>
        <v>18.994683538603596</v>
      </c>
      <c r="N270" s="323">
        <v>0</v>
      </c>
      <c r="O270" s="104"/>
      <c r="P270" s="104">
        <f t="shared" si="164"/>
        <v>72.128565834554664</v>
      </c>
      <c r="Q270" s="104">
        <f t="shared" si="165"/>
        <v>22.840824345682492</v>
      </c>
      <c r="R270" s="104"/>
      <c r="S270" s="140">
        <f t="shared" si="166"/>
        <v>200.29651014518214</v>
      </c>
      <c r="T270" s="235"/>
      <c r="U270" s="104"/>
      <c r="V270" s="148">
        <f t="shared" si="167"/>
        <v>0</v>
      </c>
      <c r="W270" s="236"/>
      <c r="X270" s="104"/>
      <c r="Y270" s="45">
        <f t="shared" si="168"/>
        <v>0</v>
      </c>
      <c r="Z270" s="138">
        <f t="shared" si="169"/>
        <v>0</v>
      </c>
      <c r="AA270" s="104">
        <f t="shared" si="156"/>
        <v>0</v>
      </c>
      <c r="AB270" s="323">
        <v>0</v>
      </c>
      <c r="AC270" s="104"/>
      <c r="AD270" s="104">
        <f t="shared" si="170"/>
        <v>0</v>
      </c>
      <c r="AE270" s="104">
        <f t="shared" si="171"/>
        <v>0</v>
      </c>
      <c r="AF270" s="104"/>
      <c r="AG270" s="139">
        <f t="shared" si="172"/>
        <v>0</v>
      </c>
      <c r="AH270" s="200">
        <f t="shared" si="173"/>
        <v>285.45906698262451</v>
      </c>
      <c r="AI270" s="104">
        <f t="shared" si="157"/>
        <v>56.939290676547472</v>
      </c>
      <c r="AJ270" s="323">
        <v>39.950296426423101</v>
      </c>
      <c r="AK270" s="118" t="e">
        <f t="shared" si="158"/>
        <v>#REF!</v>
      </c>
      <c r="AL270" s="104"/>
      <c r="AM270" s="104">
        <f t="shared" si="174"/>
        <v>238.49382640201412</v>
      </c>
      <c r="AN270" s="104" t="e">
        <f t="shared" si="175"/>
        <v>#REF!</v>
      </c>
      <c r="AO270" s="104"/>
      <c r="AP270" s="140" t="e">
        <f t="shared" si="176"/>
        <v>#REF!</v>
      </c>
      <c r="AQ270" s="137"/>
      <c r="AR270" s="28"/>
      <c r="AS270" s="121">
        <f>AQ270</f>
        <v>0</v>
      </c>
      <c r="AT270" s="135" t="e">
        <f t="shared" si="177"/>
        <v>#REF!</v>
      </c>
      <c r="AU270" s="148" t="e">
        <f t="shared" si="178"/>
        <v>#REF!</v>
      </c>
      <c r="AW270" s="1">
        <v>3</v>
      </c>
      <c r="BA270" s="29">
        <v>352.33</v>
      </c>
      <c r="BB270" s="29">
        <v>67.41</v>
      </c>
      <c r="BC270" s="29">
        <v>0</v>
      </c>
      <c r="BD270" s="29">
        <v>220.17</v>
      </c>
      <c r="BI270" s="323">
        <v>0</v>
      </c>
      <c r="BL270" s="107">
        <f>BA$399</f>
        <v>1.2233877438623886</v>
      </c>
      <c r="BM270" s="107">
        <f>BB$399</f>
        <v>1.2807066670574303</v>
      </c>
      <c r="BN270" s="107">
        <f>BC$399</f>
        <v>0.82443024793968056</v>
      </c>
      <c r="BO270" s="107">
        <f>BD$399</f>
        <v>1.2965393422474656</v>
      </c>
    </row>
    <row r="271" spans="1:67" x14ac:dyDescent="0.25">
      <c r="A271" s="250" t="s">
        <v>422</v>
      </c>
      <c r="B271" s="227">
        <v>10</v>
      </c>
      <c r="C271" s="226">
        <f>'побудинковий звіт'!E258</f>
        <v>4189.33</v>
      </c>
      <c r="D271" s="138">
        <f t="shared" si="159"/>
        <v>478.40865814484846</v>
      </c>
      <c r="E271" s="104">
        <f t="shared" si="153"/>
        <v>98.612933367188958</v>
      </c>
      <c r="F271" s="323">
        <v>91.418751214177377</v>
      </c>
      <c r="G271" s="104" t="e">
        <f t="shared" si="154"/>
        <v>#REF!</v>
      </c>
      <c r="H271" s="720">
        <f t="shared" si="160"/>
        <v>399.69832687697732</v>
      </c>
      <c r="I271" s="104" t="e">
        <f t="shared" si="161"/>
        <v>#REF!</v>
      </c>
      <c r="J271" s="28"/>
      <c r="K271" s="139" t="e">
        <f t="shared" si="162"/>
        <v>#REF!</v>
      </c>
      <c r="L271" s="200">
        <f t="shared" si="163"/>
        <v>79.730743621026363</v>
      </c>
      <c r="M271" s="104">
        <f t="shared" si="155"/>
        <v>17.542192784876015</v>
      </c>
      <c r="N271" s="323">
        <v>0</v>
      </c>
      <c r="O271" s="104"/>
      <c r="P271" s="104">
        <f t="shared" si="164"/>
        <v>66.613018563582671</v>
      </c>
      <c r="Q271" s="104">
        <f t="shared" si="165"/>
        <v>21.094225824986182</v>
      </c>
      <c r="R271" s="104"/>
      <c r="S271" s="140">
        <f t="shared" si="166"/>
        <v>184.98018079447124</v>
      </c>
      <c r="T271" s="880">
        <v>559.85</v>
      </c>
      <c r="U271" s="104"/>
      <c r="V271" s="148">
        <f>T271+U271</f>
        <v>559.85</v>
      </c>
      <c r="W271" s="882">
        <v>112.31666666666668</v>
      </c>
      <c r="X271" s="104"/>
      <c r="Y271" s="45">
        <f t="shared" si="168"/>
        <v>112.31666666666668</v>
      </c>
      <c r="Z271" s="138">
        <f t="shared" si="169"/>
        <v>6.4277633301737502</v>
      </c>
      <c r="AA271" s="104">
        <f t="shared" si="156"/>
        <v>1.4128732597048013</v>
      </c>
      <c r="AB271" s="323">
        <v>0</v>
      </c>
      <c r="AC271" s="104"/>
      <c r="AD271" s="104">
        <f t="shared" si="170"/>
        <v>5.3702335960938354</v>
      </c>
      <c r="AE271" s="104">
        <f t="shared" si="171"/>
        <v>1.7004085499539394</v>
      </c>
      <c r="AF271" s="104"/>
      <c r="AG271" s="139">
        <f t="shared" si="172"/>
        <v>14.911278735926325</v>
      </c>
      <c r="AH271" s="200">
        <f t="shared" si="173"/>
        <v>163.06493215676821</v>
      </c>
      <c r="AI271" s="104">
        <f t="shared" si="157"/>
        <v>32.525859729622361</v>
      </c>
      <c r="AJ271" s="323">
        <v>39.147862605576861</v>
      </c>
      <c r="AK271" s="118" t="e">
        <f t="shared" si="158"/>
        <v>#REF!</v>
      </c>
      <c r="AL271" s="104"/>
      <c r="AM271" s="104">
        <f t="shared" si="174"/>
        <v>136.23662416166891</v>
      </c>
      <c r="AN271" s="104" t="e">
        <f t="shared" si="175"/>
        <v>#REF!</v>
      </c>
      <c r="AO271" s="104"/>
      <c r="AP271" s="140" t="e">
        <f t="shared" si="176"/>
        <v>#REF!</v>
      </c>
      <c r="AQ271" s="33"/>
      <c r="AR271" s="28"/>
      <c r="AS271" s="121"/>
      <c r="AT271" s="135" t="e">
        <f t="shared" si="177"/>
        <v>#REF!</v>
      </c>
      <c r="AU271" s="148" t="e">
        <f t="shared" si="178"/>
        <v>#REF!</v>
      </c>
      <c r="AW271" s="1">
        <v>1</v>
      </c>
      <c r="BA271" s="29">
        <v>556.92999999999995</v>
      </c>
      <c r="BB271" s="29">
        <v>86.47</v>
      </c>
      <c r="BC271" s="29">
        <v>17.98</v>
      </c>
      <c r="BD271" s="29">
        <v>196.53</v>
      </c>
      <c r="BF271" s="279">
        <f>T271*1.2</f>
        <v>671.82</v>
      </c>
      <c r="BI271" s="323">
        <v>0</v>
      </c>
      <c r="BL271" s="107">
        <f t="shared" ref="BL271:BL277" si="179">$BA$397</f>
        <v>0.85901039294857251</v>
      </c>
      <c r="BM271" s="107">
        <f t="shared" ref="BM271:BM277" si="180">$BB$397</f>
        <v>0.92206249128051765</v>
      </c>
      <c r="BN271" s="107">
        <f t="shared" ref="BN271:BN277" si="181">$BC$397</f>
        <v>0.35749517965371247</v>
      </c>
      <c r="BO271" s="107">
        <f t="shared" ref="BO271:BO277" si="182">$BD$397</f>
        <v>0.82972030812989472</v>
      </c>
    </row>
    <row r="272" spans="1:67" x14ac:dyDescent="0.25">
      <c r="A272" s="250" t="s">
        <v>392</v>
      </c>
      <c r="B272" s="227">
        <v>9</v>
      </c>
      <c r="C272" s="226">
        <f>'побудинковий звіт'!E259</f>
        <v>2066.5</v>
      </c>
      <c r="D272" s="138">
        <f t="shared" si="159"/>
        <v>478.400068040919</v>
      </c>
      <c r="E272" s="104">
        <f t="shared" si="153"/>
        <v>98.611162714981916</v>
      </c>
      <c r="F272" s="323">
        <v>96.277075470357104</v>
      </c>
      <c r="G272" s="104" t="e">
        <f t="shared" si="154"/>
        <v>#REF!</v>
      </c>
      <c r="H272" s="720">
        <f t="shared" si="160"/>
        <v>399.69115006253247</v>
      </c>
      <c r="I272" s="104" t="e">
        <f t="shared" si="161"/>
        <v>#REF!</v>
      </c>
      <c r="J272" s="28"/>
      <c r="K272" s="139" t="e">
        <f>D272+E272+F272+G272+H272+I272-J272</f>
        <v>#REF!</v>
      </c>
      <c r="L272" s="200">
        <f t="shared" si="163"/>
        <v>73.479159930144448</v>
      </c>
      <c r="M272" s="104">
        <f t="shared" si="155"/>
        <v>16.166732312094016</v>
      </c>
      <c r="N272" s="323">
        <v>0</v>
      </c>
      <c r="O272" s="104"/>
      <c r="P272" s="104">
        <f t="shared" si="164"/>
        <v>61.389978597570291</v>
      </c>
      <c r="Q272" s="104">
        <f t="shared" si="165"/>
        <v>19.440255071043701</v>
      </c>
      <c r="R272" s="104"/>
      <c r="S272" s="140">
        <f t="shared" si="166"/>
        <v>170.47612591085246</v>
      </c>
      <c r="T272" s="880">
        <v>587.14166666666677</v>
      </c>
      <c r="U272" s="104"/>
      <c r="V272" s="148">
        <f t="shared" si="167"/>
        <v>587.14166666666677</v>
      </c>
      <c r="W272" s="882">
        <v>121.325</v>
      </c>
      <c r="X272" s="104"/>
      <c r="Y272" s="45">
        <f t="shared" si="168"/>
        <v>121.325</v>
      </c>
      <c r="Z272" s="138">
        <f t="shared" si="169"/>
        <v>10.070639210845082</v>
      </c>
      <c r="AA272" s="104">
        <f t="shared" si="156"/>
        <v>2.2136062138979007</v>
      </c>
      <c r="AB272" s="323">
        <v>0</v>
      </c>
      <c r="AC272" s="104"/>
      <c r="AD272" s="104">
        <f t="shared" si="170"/>
        <v>8.4137642047810548</v>
      </c>
      <c r="AE272" s="104">
        <f t="shared" si="171"/>
        <v>2.6640994912237201</v>
      </c>
      <c r="AF272" s="104"/>
      <c r="AG272" s="139">
        <f t="shared" si="172"/>
        <v>23.362109120747757</v>
      </c>
      <c r="AH272" s="200">
        <f t="shared" si="173"/>
        <v>157.49750888921662</v>
      </c>
      <c r="AI272" s="104">
        <f t="shared" si="157"/>
        <v>31.415349788210026</v>
      </c>
      <c r="AJ272" s="323">
        <v>41.228322116872064</v>
      </c>
      <c r="AK272" s="118" t="e">
        <f t="shared" si="158"/>
        <v>#REF!</v>
      </c>
      <c r="AL272" s="720"/>
      <c r="AM272" s="104">
        <f t="shared" si="174"/>
        <v>131.58518291542256</v>
      </c>
      <c r="AN272" s="104" t="e">
        <f t="shared" si="175"/>
        <v>#REF!</v>
      </c>
      <c r="AO272" s="104"/>
      <c r="AP272" s="140" t="e">
        <f t="shared" si="176"/>
        <v>#REF!</v>
      </c>
      <c r="AQ272" s="33"/>
      <c r="AR272" s="28"/>
      <c r="AS272" s="121"/>
      <c r="AT272" s="135" t="e">
        <f t="shared" si="177"/>
        <v>#REF!</v>
      </c>
      <c r="AU272" s="148" t="e">
        <f t="shared" si="178"/>
        <v>#REF!</v>
      </c>
      <c r="AW272" s="1">
        <v>1</v>
      </c>
      <c r="BA272" s="29">
        <v>556.91999999999996</v>
      </c>
      <c r="BB272" s="29">
        <v>79.69</v>
      </c>
      <c r="BC272" s="29">
        <v>28.17</v>
      </c>
      <c r="BD272" s="29">
        <v>189.82</v>
      </c>
      <c r="BF272" s="279">
        <f>T272*1.2</f>
        <v>704.57</v>
      </c>
      <c r="BI272" s="323">
        <v>0</v>
      </c>
      <c r="BL272" s="107">
        <f t="shared" si="179"/>
        <v>0.85901039294857251</v>
      </c>
      <c r="BM272" s="107">
        <f t="shared" si="180"/>
        <v>0.92206249128051765</v>
      </c>
      <c r="BN272" s="107">
        <f t="shared" si="181"/>
        <v>0.35749517965371247</v>
      </c>
      <c r="BO272" s="107">
        <f t="shared" si="182"/>
        <v>0.82972030812989472</v>
      </c>
    </row>
    <row r="273" spans="1:67" x14ac:dyDescent="0.25">
      <c r="A273" s="250" t="s">
        <v>198</v>
      </c>
      <c r="B273" s="227">
        <v>3</v>
      </c>
      <c r="C273" s="226">
        <f>'побудинковий звіт'!E260</f>
        <v>6669.7999999999993</v>
      </c>
      <c r="D273" s="138">
        <f t="shared" si="159"/>
        <v>186.37948495805179</v>
      </c>
      <c r="E273" s="104">
        <f t="shared" si="153"/>
        <v>38.417840936345669</v>
      </c>
      <c r="F273" s="323">
        <v>31.984305684866218</v>
      </c>
      <c r="G273" s="104" t="e">
        <f t="shared" si="154"/>
        <v>#REF!</v>
      </c>
      <c r="H273" s="720">
        <f t="shared" si="160"/>
        <v>155.71534300988952</v>
      </c>
      <c r="I273" s="104" t="e">
        <f t="shared" si="161"/>
        <v>#REF!</v>
      </c>
      <c r="J273" s="28"/>
      <c r="K273" s="139" t="e">
        <f t="shared" si="162"/>
        <v>#REF!</v>
      </c>
      <c r="L273" s="200">
        <f t="shared" si="163"/>
        <v>44.729251452017913</v>
      </c>
      <c r="M273" s="104">
        <f t="shared" si="155"/>
        <v>9.8412370995065981</v>
      </c>
      <c r="N273" s="323">
        <v>0</v>
      </c>
      <c r="O273" s="104"/>
      <c r="P273" s="104">
        <f t="shared" si="164"/>
        <v>37.370157632929292</v>
      </c>
      <c r="Q273" s="104">
        <f t="shared" si="165"/>
        <v>11.833941190818548</v>
      </c>
      <c r="R273" s="104"/>
      <c r="S273" s="140">
        <f t="shared" si="166"/>
        <v>103.77458737527236</v>
      </c>
      <c r="T273" s="880">
        <v>185.05833333333334</v>
      </c>
      <c r="U273" s="104"/>
      <c r="V273" s="148">
        <f t="shared" si="167"/>
        <v>185.05833333333334</v>
      </c>
      <c r="W273" s="882">
        <v>44.924999999999997</v>
      </c>
      <c r="X273" s="104"/>
      <c r="Y273" s="45">
        <f t="shared" si="168"/>
        <v>44.924999999999997</v>
      </c>
      <c r="Z273" s="138">
        <f t="shared" si="169"/>
        <v>2.5703903417101928</v>
      </c>
      <c r="AA273" s="104">
        <f t="shared" si="156"/>
        <v>0.56499214334135273</v>
      </c>
      <c r="AB273" s="323">
        <v>0</v>
      </c>
      <c r="AC273" s="104"/>
      <c r="AD273" s="104">
        <f t="shared" si="170"/>
        <v>2.1474960820864668</v>
      </c>
      <c r="AE273" s="104">
        <f t="shared" si="171"/>
        <v>0.67997427553775447</v>
      </c>
      <c r="AF273" s="104"/>
      <c r="AG273" s="139">
        <f t="shared" si="172"/>
        <v>5.9628528426757672</v>
      </c>
      <c r="AH273" s="200">
        <f t="shared" si="173"/>
        <v>46.688361738469176</v>
      </c>
      <c r="AI273" s="104">
        <f t="shared" si="157"/>
        <v>9.3127264386396487</v>
      </c>
      <c r="AJ273" s="323">
        <v>13.696503046212396</v>
      </c>
      <c r="AK273" s="118" t="e">
        <f t="shared" si="158"/>
        <v>#REF!</v>
      </c>
      <c r="AL273" s="104"/>
      <c r="AM273" s="104">
        <f t="shared" si="174"/>
        <v>39.00694469840284</v>
      </c>
      <c r="AN273" s="104" t="e">
        <f t="shared" si="175"/>
        <v>#REF!</v>
      </c>
      <c r="AO273" s="104"/>
      <c r="AP273" s="140" t="e">
        <f t="shared" si="176"/>
        <v>#REF!</v>
      </c>
      <c r="AQ273" s="33"/>
      <c r="AR273" s="28"/>
      <c r="AS273" s="121"/>
      <c r="AT273" s="135" t="e">
        <f t="shared" si="177"/>
        <v>#REF!</v>
      </c>
      <c r="AU273" s="148" t="e">
        <f t="shared" si="178"/>
        <v>#REF!</v>
      </c>
      <c r="AW273" s="1">
        <v>1</v>
      </c>
      <c r="BA273" s="29">
        <v>216.97</v>
      </c>
      <c r="BB273" s="29">
        <v>48.51</v>
      </c>
      <c r="BC273" s="29">
        <v>7.19</v>
      </c>
      <c r="BD273" s="29">
        <v>56.27</v>
      </c>
      <c r="BF273" s="279">
        <f>T273*1.2</f>
        <v>222.07</v>
      </c>
      <c r="BI273" s="323">
        <v>0</v>
      </c>
      <c r="BL273" s="107">
        <f t="shared" si="179"/>
        <v>0.85901039294857251</v>
      </c>
      <c r="BM273" s="107">
        <f t="shared" si="180"/>
        <v>0.92206249128051765</v>
      </c>
      <c r="BN273" s="107">
        <f t="shared" si="181"/>
        <v>0.35749517965371247</v>
      </c>
      <c r="BO273" s="107">
        <f t="shared" si="182"/>
        <v>0.82972030812989472</v>
      </c>
    </row>
    <row r="274" spans="1:67" x14ac:dyDescent="0.25">
      <c r="A274" s="250" t="s">
        <v>199</v>
      </c>
      <c r="B274" s="227">
        <v>3</v>
      </c>
      <c r="C274" s="226">
        <f>'побудинковий звіт'!E261</f>
        <v>1452.6</v>
      </c>
      <c r="D274" s="138">
        <f t="shared" si="159"/>
        <v>83.023354478479533</v>
      </c>
      <c r="E274" s="104">
        <f t="shared" si="153"/>
        <v>17.113353581130148</v>
      </c>
      <c r="F274" s="323">
        <v>13.687589105400404</v>
      </c>
      <c r="G274" s="104" t="e">
        <f t="shared" si="154"/>
        <v>#REF!</v>
      </c>
      <c r="H274" s="720">
        <f t="shared" si="160"/>
        <v>69.36391160946593</v>
      </c>
      <c r="I274" s="104" t="e">
        <f t="shared" si="161"/>
        <v>#REF!</v>
      </c>
      <c r="J274" s="28"/>
      <c r="K274" s="139" t="e">
        <f t="shared" si="162"/>
        <v>#REF!</v>
      </c>
      <c r="L274" s="200">
        <f t="shared" si="163"/>
        <v>13.51743612217239</v>
      </c>
      <c r="M274" s="104">
        <f t="shared" si="155"/>
        <v>2.9740782494076838</v>
      </c>
      <c r="N274" s="323">
        <v>0</v>
      </c>
      <c r="O274" s="104"/>
      <c r="P274" s="104">
        <f t="shared" si="164"/>
        <v>11.293475796717036</v>
      </c>
      <c r="Q274" s="104">
        <f t="shared" si="165"/>
        <v>3.5762848455452465</v>
      </c>
      <c r="R274" s="104"/>
      <c r="S274" s="140">
        <f t="shared" si="166"/>
        <v>31.361275013842356</v>
      </c>
      <c r="T274" s="880">
        <v>67.141666666666666</v>
      </c>
      <c r="U274" s="104"/>
      <c r="V274" s="148">
        <f t="shared" si="167"/>
        <v>67.141666666666666</v>
      </c>
      <c r="W274" s="236"/>
      <c r="X274" s="104"/>
      <c r="Y274" s="45">
        <f t="shared" si="168"/>
        <v>0</v>
      </c>
      <c r="Z274" s="138">
        <f t="shared" si="169"/>
        <v>0</v>
      </c>
      <c r="AA274" s="104">
        <f t="shared" si="156"/>
        <v>0</v>
      </c>
      <c r="AB274" s="323">
        <v>0</v>
      </c>
      <c r="AC274" s="104"/>
      <c r="AD274" s="104">
        <f t="shared" si="170"/>
        <v>0</v>
      </c>
      <c r="AE274" s="104">
        <f t="shared" si="171"/>
        <v>0</v>
      </c>
      <c r="AF274" s="104"/>
      <c r="AG274" s="139">
        <f t="shared" si="172"/>
        <v>0</v>
      </c>
      <c r="AH274" s="200">
        <f t="shared" si="173"/>
        <v>31.471291287366906</v>
      </c>
      <c r="AI274" s="104">
        <f t="shared" si="157"/>
        <v>6.2774429326035524</v>
      </c>
      <c r="AJ274" s="323">
        <v>5.8613780059676284</v>
      </c>
      <c r="AK274" s="118" t="e">
        <f t="shared" si="158"/>
        <v>#REF!</v>
      </c>
      <c r="AL274" s="408"/>
      <c r="AM274" s="104">
        <f t="shared" si="174"/>
        <v>26.293467432209344</v>
      </c>
      <c r="AN274" s="104" t="e">
        <f t="shared" si="175"/>
        <v>#REF!</v>
      </c>
      <c r="AO274" s="104"/>
      <c r="AP274" s="140" t="e">
        <f t="shared" si="176"/>
        <v>#REF!</v>
      </c>
      <c r="AQ274" s="33"/>
      <c r="AR274" s="28"/>
      <c r="AS274" s="121"/>
      <c r="AT274" s="135" t="e">
        <f t="shared" si="177"/>
        <v>#REF!</v>
      </c>
      <c r="AU274" s="148" t="e">
        <f t="shared" si="178"/>
        <v>#REF!</v>
      </c>
      <c r="AW274" s="1">
        <v>1</v>
      </c>
      <c r="BA274" s="29">
        <v>96.65</v>
      </c>
      <c r="BB274" s="29">
        <v>14.66</v>
      </c>
      <c r="BC274" s="29">
        <v>0</v>
      </c>
      <c r="BD274" s="29">
        <v>37.93</v>
      </c>
      <c r="BF274" s="279">
        <f>T274*1.2</f>
        <v>80.569999999999993</v>
      </c>
      <c r="BI274" s="323">
        <v>0</v>
      </c>
      <c r="BL274" s="107">
        <f t="shared" si="179"/>
        <v>0.85901039294857251</v>
      </c>
      <c r="BM274" s="107">
        <f t="shared" si="180"/>
        <v>0.92206249128051765</v>
      </c>
      <c r="BN274" s="107">
        <f t="shared" si="181"/>
        <v>0.35749517965371247</v>
      </c>
      <c r="BO274" s="107">
        <f t="shared" si="182"/>
        <v>0.82972030812989472</v>
      </c>
    </row>
    <row r="275" spans="1:67" x14ac:dyDescent="0.25">
      <c r="A275" s="424" t="s">
        <v>135</v>
      </c>
      <c r="B275" s="228">
        <v>1</v>
      </c>
      <c r="C275" s="226">
        <f>'побудинковий звіт'!E262</f>
        <v>4212.2</v>
      </c>
      <c r="D275" s="138">
        <f t="shared" si="159"/>
        <v>0</v>
      </c>
      <c r="E275" s="104">
        <f t="shared" si="153"/>
        <v>0</v>
      </c>
      <c r="F275" s="323">
        <v>0</v>
      </c>
      <c r="G275" s="104" t="e">
        <f t="shared" si="154"/>
        <v>#REF!</v>
      </c>
      <c r="H275" s="720">
        <f t="shared" si="160"/>
        <v>0</v>
      </c>
      <c r="I275" s="104" t="e">
        <f t="shared" si="161"/>
        <v>#REF!</v>
      </c>
      <c r="J275" s="28"/>
      <c r="K275" s="139" t="e">
        <f t="shared" si="162"/>
        <v>#REF!</v>
      </c>
      <c r="L275" s="200">
        <f t="shared" si="163"/>
        <v>0</v>
      </c>
      <c r="M275" s="104">
        <f t="shared" si="155"/>
        <v>0</v>
      </c>
      <c r="N275" s="323">
        <v>0</v>
      </c>
      <c r="O275" s="104"/>
      <c r="P275" s="104">
        <f t="shared" si="164"/>
        <v>0</v>
      </c>
      <c r="Q275" s="104">
        <f t="shared" si="165"/>
        <v>0</v>
      </c>
      <c r="R275" s="104"/>
      <c r="S275" s="140">
        <f t="shared" si="166"/>
        <v>0</v>
      </c>
      <c r="T275" s="235"/>
      <c r="U275" s="104"/>
      <c r="V275" s="148">
        <f t="shared" si="167"/>
        <v>0</v>
      </c>
      <c r="W275" s="236"/>
      <c r="X275" s="104"/>
      <c r="Y275" s="45">
        <f t="shared" si="168"/>
        <v>0</v>
      </c>
      <c r="Z275" s="138">
        <f t="shared" si="169"/>
        <v>0</v>
      </c>
      <c r="AA275" s="104">
        <f t="shared" si="156"/>
        <v>0</v>
      </c>
      <c r="AB275" s="323">
        <v>0</v>
      </c>
      <c r="AC275" s="104"/>
      <c r="AD275" s="104">
        <f t="shared" si="170"/>
        <v>0</v>
      </c>
      <c r="AE275" s="104">
        <f t="shared" si="171"/>
        <v>0</v>
      </c>
      <c r="AF275" s="104"/>
      <c r="AG275" s="139">
        <f t="shared" si="172"/>
        <v>0</v>
      </c>
      <c r="AH275" s="200">
        <f t="shared" si="173"/>
        <v>0</v>
      </c>
      <c r="AI275" s="104">
        <f t="shared" si="157"/>
        <v>0</v>
      </c>
      <c r="AJ275" s="323">
        <v>0</v>
      </c>
      <c r="AK275" s="118" t="e">
        <f t="shared" si="158"/>
        <v>#REF!</v>
      </c>
      <c r="AL275" s="104"/>
      <c r="AM275" s="104">
        <f t="shared" si="174"/>
        <v>0</v>
      </c>
      <c r="AN275" s="104" t="e">
        <f t="shared" si="175"/>
        <v>#REF!</v>
      </c>
      <c r="AO275" s="104"/>
      <c r="AP275" s="140" t="e">
        <f t="shared" si="176"/>
        <v>#REF!</v>
      </c>
      <c r="AQ275" s="33"/>
      <c r="AR275" s="28"/>
      <c r="AS275" s="121"/>
      <c r="AT275" s="135">
        <f t="shared" si="177"/>
        <v>0</v>
      </c>
      <c r="AU275" s="148" t="e">
        <f t="shared" si="178"/>
        <v>#REF!</v>
      </c>
      <c r="AW275" s="1">
        <v>1</v>
      </c>
      <c r="BA275" s="29">
        <v>0</v>
      </c>
      <c r="BB275" s="29">
        <v>0</v>
      </c>
      <c r="BC275" s="29">
        <v>0</v>
      </c>
      <c r="BD275" s="29">
        <v>0</v>
      </c>
      <c r="BI275" s="323">
        <v>0</v>
      </c>
      <c r="BL275" s="107">
        <f t="shared" si="179"/>
        <v>0.85901039294857251</v>
      </c>
      <c r="BM275" s="107">
        <f t="shared" si="180"/>
        <v>0.92206249128051765</v>
      </c>
      <c r="BN275" s="107">
        <f t="shared" si="181"/>
        <v>0.35749517965371247</v>
      </c>
      <c r="BO275" s="107">
        <f t="shared" si="182"/>
        <v>0.82972030812989472</v>
      </c>
    </row>
    <row r="276" spans="1:67" x14ac:dyDescent="0.25">
      <c r="A276" s="250" t="s">
        <v>393</v>
      </c>
      <c r="B276" s="227">
        <v>9</v>
      </c>
      <c r="C276" s="226">
        <f>'побудинковий звіт'!E263</f>
        <v>3203.5</v>
      </c>
      <c r="D276" s="138">
        <f t="shared" si="159"/>
        <v>452.72424739568612</v>
      </c>
      <c r="E276" s="104">
        <f t="shared" si="153"/>
        <v>93.318683268111968</v>
      </c>
      <c r="F276" s="323">
        <v>85.414526958291546</v>
      </c>
      <c r="G276" s="104" t="e">
        <f t="shared" si="154"/>
        <v>#REF!</v>
      </c>
      <c r="H276" s="720">
        <f t="shared" si="160"/>
        <v>378.23965168687869</v>
      </c>
      <c r="I276" s="104" t="e">
        <f t="shared" si="161"/>
        <v>#REF!</v>
      </c>
      <c r="J276" s="28"/>
      <c r="K276" s="139" t="e">
        <f t="shared" si="162"/>
        <v>#REF!</v>
      </c>
      <c r="L276" s="200">
        <f t="shared" si="163"/>
        <v>76.199244279421976</v>
      </c>
      <c r="M276" s="104">
        <f t="shared" si="155"/>
        <v>16.765199626947542</v>
      </c>
      <c r="N276" s="323">
        <v>0</v>
      </c>
      <c r="O276" s="104"/>
      <c r="P276" s="104">
        <f t="shared" si="164"/>
        <v>63.66254023469957</v>
      </c>
      <c r="Q276" s="104">
        <f t="shared" si="165"/>
        <v>20.159903112950829</v>
      </c>
      <c r="R276" s="104"/>
      <c r="S276" s="140">
        <f t="shared" si="166"/>
        <v>176.78688725401992</v>
      </c>
      <c r="T276" s="880">
        <v>495.90833333333336</v>
      </c>
      <c r="U276" s="104"/>
      <c r="V276" s="148">
        <f t="shared" si="167"/>
        <v>495.90833333333336</v>
      </c>
      <c r="W276" s="882">
        <v>110.7</v>
      </c>
      <c r="X276" s="104"/>
      <c r="Y276" s="45">
        <f t="shared" si="168"/>
        <v>110.7</v>
      </c>
      <c r="Z276" s="138">
        <f t="shared" si="169"/>
        <v>9.4271478874683989</v>
      </c>
      <c r="AA276" s="104">
        <f t="shared" si="156"/>
        <v>2.0721617273868529</v>
      </c>
      <c r="AB276" s="323">
        <v>0</v>
      </c>
      <c r="AC276" s="104"/>
      <c r="AD276" s="104">
        <f t="shared" si="170"/>
        <v>7.8761434888206034</v>
      </c>
      <c r="AE276" s="104">
        <f t="shared" si="171"/>
        <v>2.4938694917845048</v>
      </c>
      <c r="AF276" s="104"/>
      <c r="AG276" s="139">
        <f t="shared" si="172"/>
        <v>21.869322595460361</v>
      </c>
      <c r="AH276" s="200">
        <f t="shared" si="173"/>
        <v>162.87409648589835</v>
      </c>
      <c r="AI276" s="104">
        <f t="shared" si="157"/>
        <v>32.487794560244595</v>
      </c>
      <c r="AJ276" s="323">
        <v>36.576699216221371</v>
      </c>
      <c r="AK276" s="118" t="e">
        <f t="shared" si="158"/>
        <v>#REF!</v>
      </c>
      <c r="AL276" s="104"/>
      <c r="AM276" s="104">
        <f t="shared" si="174"/>
        <v>136.07718578810162</v>
      </c>
      <c r="AN276" s="104" t="e">
        <f t="shared" si="175"/>
        <v>#REF!</v>
      </c>
      <c r="AO276" s="104"/>
      <c r="AP276" s="140" t="e">
        <f t="shared" si="176"/>
        <v>#REF!</v>
      </c>
      <c r="AQ276" s="33"/>
      <c r="AR276" s="28"/>
      <c r="AS276" s="121"/>
      <c r="AT276" s="135" t="e">
        <f t="shared" si="177"/>
        <v>#REF!</v>
      </c>
      <c r="AU276" s="148" t="e">
        <f t="shared" si="178"/>
        <v>#REF!</v>
      </c>
      <c r="AW276" s="1">
        <v>1</v>
      </c>
      <c r="BA276" s="29">
        <v>527.03</v>
      </c>
      <c r="BB276" s="29">
        <v>82.64</v>
      </c>
      <c r="BC276" s="29">
        <v>26.37</v>
      </c>
      <c r="BD276" s="29">
        <v>196.3</v>
      </c>
      <c r="BF276" s="279">
        <f>T276*1.2</f>
        <v>595.09</v>
      </c>
      <c r="BI276" s="323">
        <v>0</v>
      </c>
      <c r="BL276" s="107">
        <f t="shared" si="179"/>
        <v>0.85901039294857251</v>
      </c>
      <c r="BM276" s="107">
        <f t="shared" si="180"/>
        <v>0.92206249128051765</v>
      </c>
      <c r="BN276" s="107">
        <f t="shared" si="181"/>
        <v>0.35749517965371247</v>
      </c>
      <c r="BO276" s="107">
        <f t="shared" si="182"/>
        <v>0.82972030812989472</v>
      </c>
    </row>
    <row r="277" spans="1:67" x14ac:dyDescent="0.25">
      <c r="A277" s="424" t="s">
        <v>136</v>
      </c>
      <c r="B277" s="228">
        <v>1</v>
      </c>
      <c r="C277" s="226">
        <f>'побудинковий звіт'!E264</f>
        <v>1563</v>
      </c>
      <c r="D277" s="138">
        <f t="shared" si="159"/>
        <v>0</v>
      </c>
      <c r="E277" s="104">
        <f t="shared" si="153"/>
        <v>0</v>
      </c>
      <c r="F277" s="323">
        <v>0</v>
      </c>
      <c r="G277" s="104" t="e">
        <f t="shared" si="154"/>
        <v>#REF!</v>
      </c>
      <c r="H277" s="720">
        <f t="shared" si="160"/>
        <v>0</v>
      </c>
      <c r="I277" s="104" t="e">
        <f t="shared" si="161"/>
        <v>#REF!</v>
      </c>
      <c r="J277" s="28"/>
      <c r="K277" s="139" t="e">
        <f t="shared" si="162"/>
        <v>#REF!</v>
      </c>
      <c r="L277" s="200">
        <f t="shared" si="163"/>
        <v>0</v>
      </c>
      <c r="M277" s="104">
        <f t="shared" si="155"/>
        <v>0</v>
      </c>
      <c r="N277" s="323">
        <v>0</v>
      </c>
      <c r="O277" s="104"/>
      <c r="P277" s="104">
        <f t="shared" si="164"/>
        <v>0</v>
      </c>
      <c r="Q277" s="104">
        <f t="shared" si="165"/>
        <v>0</v>
      </c>
      <c r="R277" s="104"/>
      <c r="S277" s="140">
        <f t="shared" si="166"/>
        <v>0</v>
      </c>
      <c r="T277" s="235"/>
      <c r="U277" s="104"/>
      <c r="V277" s="148">
        <f t="shared" si="167"/>
        <v>0</v>
      </c>
      <c r="W277" s="236"/>
      <c r="X277" s="104"/>
      <c r="Y277" s="45">
        <f t="shared" si="168"/>
        <v>0</v>
      </c>
      <c r="Z277" s="138">
        <f t="shared" si="169"/>
        <v>0</v>
      </c>
      <c r="AA277" s="104">
        <f t="shared" si="156"/>
        <v>0</v>
      </c>
      <c r="AB277" s="323">
        <v>0</v>
      </c>
      <c r="AC277" s="104"/>
      <c r="AD277" s="104">
        <f t="shared" si="170"/>
        <v>0</v>
      </c>
      <c r="AE277" s="104">
        <f t="shared" si="171"/>
        <v>0</v>
      </c>
      <c r="AF277" s="104"/>
      <c r="AG277" s="139">
        <f t="shared" si="172"/>
        <v>0</v>
      </c>
      <c r="AH277" s="200">
        <f t="shared" si="173"/>
        <v>0</v>
      </c>
      <c r="AI277" s="104">
        <f t="shared" si="157"/>
        <v>0</v>
      </c>
      <c r="AJ277" s="323">
        <v>0</v>
      </c>
      <c r="AK277" s="118" t="e">
        <f t="shared" si="158"/>
        <v>#REF!</v>
      </c>
      <c r="AL277" s="104"/>
      <c r="AM277" s="104">
        <f t="shared" si="174"/>
        <v>0</v>
      </c>
      <c r="AN277" s="104" t="e">
        <f t="shared" si="175"/>
        <v>#REF!</v>
      </c>
      <c r="AO277" s="104"/>
      <c r="AP277" s="140" t="e">
        <f t="shared" si="176"/>
        <v>#REF!</v>
      </c>
      <c r="AQ277" s="33"/>
      <c r="AR277" s="28"/>
      <c r="AS277" s="121"/>
      <c r="AT277" s="135">
        <f t="shared" si="177"/>
        <v>0</v>
      </c>
      <c r="AU277" s="148" t="e">
        <f t="shared" si="178"/>
        <v>#REF!</v>
      </c>
      <c r="AW277" s="1">
        <v>1</v>
      </c>
      <c r="BA277" s="29">
        <v>0</v>
      </c>
      <c r="BB277" s="29">
        <v>0</v>
      </c>
      <c r="BC277" s="29">
        <v>0</v>
      </c>
      <c r="BD277" s="29">
        <v>0</v>
      </c>
      <c r="BI277" s="323">
        <v>0</v>
      </c>
      <c r="BL277" s="107">
        <f t="shared" si="179"/>
        <v>0.85901039294857251</v>
      </c>
      <c r="BM277" s="107">
        <f t="shared" si="180"/>
        <v>0.92206249128051765</v>
      </c>
      <c r="BN277" s="107">
        <f t="shared" si="181"/>
        <v>0.35749517965371247</v>
      </c>
      <c r="BO277" s="107">
        <f t="shared" si="182"/>
        <v>0.82972030812989472</v>
      </c>
    </row>
    <row r="278" spans="1:67" x14ac:dyDescent="0.25">
      <c r="A278" s="250" t="s">
        <v>186</v>
      </c>
      <c r="B278" s="227">
        <v>2</v>
      </c>
      <c r="C278" s="226">
        <f>'побудинковий звіт'!E265</f>
        <v>3710.3599999999997</v>
      </c>
      <c r="D278" s="138">
        <f t="shared" si="159"/>
        <v>18.047635392421412</v>
      </c>
      <c r="E278" s="104">
        <f t="shared" si="153"/>
        <v>3.7201046345806779</v>
      </c>
      <c r="F278" s="323">
        <v>5.5034093377503055</v>
      </c>
      <c r="G278" s="104" t="e">
        <f t="shared" si="154"/>
        <v>#REF!</v>
      </c>
      <c r="H278" s="720">
        <f t="shared" si="160"/>
        <v>15.078342642060804</v>
      </c>
      <c r="I278" s="104" t="e">
        <f t="shared" si="161"/>
        <v>#REF!</v>
      </c>
      <c r="J278" s="28"/>
      <c r="K278" s="139" t="e">
        <f t="shared" si="162"/>
        <v>#REF!</v>
      </c>
      <c r="L278" s="200">
        <f t="shared" si="163"/>
        <v>8.5567219264128855</v>
      </c>
      <c r="M278" s="104">
        <f t="shared" si="155"/>
        <v>1.8826322046258406</v>
      </c>
      <c r="N278" s="323">
        <v>0</v>
      </c>
      <c r="O278" s="104"/>
      <c r="P278" s="104">
        <f t="shared" si="164"/>
        <v>7.1489246260741082</v>
      </c>
      <c r="Q278" s="104">
        <f t="shared" si="165"/>
        <v>2.2638372156078068</v>
      </c>
      <c r="R278" s="104"/>
      <c r="S278" s="140">
        <f t="shared" si="166"/>
        <v>19.852115972720643</v>
      </c>
      <c r="T278" s="235"/>
      <c r="U278" s="104"/>
      <c r="V278" s="148">
        <f t="shared" si="167"/>
        <v>0</v>
      </c>
      <c r="W278" s="236"/>
      <c r="X278" s="104"/>
      <c r="Y278" s="45">
        <f t="shared" si="168"/>
        <v>0</v>
      </c>
      <c r="Z278" s="138">
        <f t="shared" si="169"/>
        <v>0</v>
      </c>
      <c r="AA278" s="104">
        <f t="shared" si="156"/>
        <v>0</v>
      </c>
      <c r="AB278" s="323">
        <v>0</v>
      </c>
      <c r="AC278" s="104"/>
      <c r="AD278" s="104">
        <f t="shared" si="170"/>
        <v>0</v>
      </c>
      <c r="AE278" s="104">
        <f t="shared" si="171"/>
        <v>0</v>
      </c>
      <c r="AF278" s="104"/>
      <c r="AG278" s="139">
        <f t="shared" si="172"/>
        <v>0</v>
      </c>
      <c r="AH278" s="200">
        <f t="shared" si="173"/>
        <v>12.784876261821632</v>
      </c>
      <c r="AI278" s="104">
        <f t="shared" si="157"/>
        <v>2.5501442060688286</v>
      </c>
      <c r="AJ278" s="323">
        <v>2.1607438030481987</v>
      </c>
      <c r="AK278" s="118" t="e">
        <f t="shared" si="158"/>
        <v>#REF!</v>
      </c>
      <c r="AL278" s="104"/>
      <c r="AM278" s="104">
        <f t="shared" si="174"/>
        <v>10.68144057215641</v>
      </c>
      <c r="AN278" s="104" t="e">
        <f t="shared" si="175"/>
        <v>#REF!</v>
      </c>
      <c r="AO278" s="104"/>
      <c r="AP278" s="140" t="e">
        <f t="shared" si="176"/>
        <v>#REF!</v>
      </c>
      <c r="AQ278" s="33"/>
      <c r="AR278" s="28"/>
      <c r="AS278" s="121"/>
      <c r="AT278" s="135" t="e">
        <f t="shared" si="177"/>
        <v>#REF!</v>
      </c>
      <c r="AU278" s="148" t="e">
        <f t="shared" si="178"/>
        <v>#REF!</v>
      </c>
      <c r="AW278" s="1">
        <v>2</v>
      </c>
      <c r="BA278" s="29">
        <v>16.454999999999998</v>
      </c>
      <c r="BB278" s="29">
        <v>7.69</v>
      </c>
      <c r="BC278" s="29">
        <v>0</v>
      </c>
      <c r="BD278" s="29">
        <v>12.33</v>
      </c>
      <c r="BI278" s="323">
        <v>0</v>
      </c>
      <c r="BL278" s="107">
        <f>BA$398</f>
        <v>1.0967873225415627</v>
      </c>
      <c r="BM278" s="107">
        <f>BB$398</f>
        <v>1.1127076627324948</v>
      </c>
      <c r="BN278" s="107">
        <f>BC$398</f>
        <v>2.8314493742615632</v>
      </c>
      <c r="BO278" s="107">
        <f>BD$398</f>
        <v>1.036891829831438</v>
      </c>
    </row>
    <row r="279" spans="1:67" x14ac:dyDescent="0.25">
      <c r="A279" s="424" t="s">
        <v>138</v>
      </c>
      <c r="B279" s="228">
        <v>1</v>
      </c>
      <c r="C279" s="226">
        <f>'побудинковий звіт'!E266</f>
        <v>2749.6000000000004</v>
      </c>
      <c r="D279" s="138">
        <f t="shared" si="159"/>
        <v>0</v>
      </c>
      <c r="E279" s="104">
        <f t="shared" si="153"/>
        <v>0</v>
      </c>
      <c r="F279" s="323">
        <v>0</v>
      </c>
      <c r="G279" s="104" t="e">
        <f t="shared" si="154"/>
        <v>#REF!</v>
      </c>
      <c r="H279" s="720">
        <f t="shared" si="160"/>
        <v>0</v>
      </c>
      <c r="I279" s="104" t="e">
        <f t="shared" si="161"/>
        <v>#REF!</v>
      </c>
      <c r="J279" s="28"/>
      <c r="K279" s="139" t="e">
        <f t="shared" si="162"/>
        <v>#REF!</v>
      </c>
      <c r="L279" s="200">
        <f t="shared" si="163"/>
        <v>0</v>
      </c>
      <c r="M279" s="104">
        <f t="shared" si="155"/>
        <v>0</v>
      </c>
      <c r="N279" s="323">
        <v>0</v>
      </c>
      <c r="O279" s="104"/>
      <c r="P279" s="104">
        <f t="shared" si="164"/>
        <v>0</v>
      </c>
      <c r="Q279" s="104">
        <f t="shared" si="165"/>
        <v>0</v>
      </c>
      <c r="R279" s="104"/>
      <c r="S279" s="140">
        <f t="shared" si="166"/>
        <v>0</v>
      </c>
      <c r="T279" s="235"/>
      <c r="U279" s="104"/>
      <c r="V279" s="148">
        <f t="shared" si="167"/>
        <v>0</v>
      </c>
      <c r="W279" s="236"/>
      <c r="X279" s="104"/>
      <c r="Y279" s="45">
        <f t="shared" si="168"/>
        <v>0</v>
      </c>
      <c r="Z279" s="138">
        <f t="shared" si="169"/>
        <v>0</v>
      </c>
      <c r="AA279" s="104">
        <f t="shared" si="156"/>
        <v>0</v>
      </c>
      <c r="AB279" s="323">
        <v>0</v>
      </c>
      <c r="AC279" s="104"/>
      <c r="AD279" s="104">
        <f t="shared" si="170"/>
        <v>0</v>
      </c>
      <c r="AE279" s="104">
        <f t="shared" si="171"/>
        <v>0</v>
      </c>
      <c r="AF279" s="104"/>
      <c r="AG279" s="139">
        <f t="shared" si="172"/>
        <v>0</v>
      </c>
      <c r="AH279" s="200">
        <f t="shared" si="173"/>
        <v>0</v>
      </c>
      <c r="AI279" s="104">
        <f t="shared" si="157"/>
        <v>0</v>
      </c>
      <c r="AJ279" s="323">
        <v>0</v>
      </c>
      <c r="AK279" s="118" t="e">
        <f t="shared" si="158"/>
        <v>#REF!</v>
      </c>
      <c r="AL279" s="104"/>
      <c r="AM279" s="104">
        <f t="shared" si="174"/>
        <v>0</v>
      </c>
      <c r="AN279" s="104" t="e">
        <f t="shared" si="175"/>
        <v>#REF!</v>
      </c>
      <c r="AO279" s="104"/>
      <c r="AP279" s="140" t="e">
        <f t="shared" si="176"/>
        <v>#REF!</v>
      </c>
      <c r="AQ279" s="33"/>
      <c r="AR279" s="28"/>
      <c r="AS279" s="121"/>
      <c r="AT279" s="135">
        <f t="shared" si="177"/>
        <v>0</v>
      </c>
      <c r="AU279" s="148" t="e">
        <f t="shared" si="178"/>
        <v>#REF!</v>
      </c>
      <c r="AW279" s="1">
        <v>1</v>
      </c>
      <c r="BA279" s="29">
        <v>0</v>
      </c>
      <c r="BB279" s="29">
        <v>0</v>
      </c>
      <c r="BC279" s="29">
        <v>0</v>
      </c>
      <c r="BD279" s="29">
        <v>0</v>
      </c>
      <c r="BI279" s="323">
        <v>0</v>
      </c>
      <c r="BL279" s="107">
        <f>$BA$397</f>
        <v>0.85901039294857251</v>
      </c>
      <c r="BM279" s="107">
        <f>$BB$397</f>
        <v>0.92206249128051765</v>
      </c>
      <c r="BN279" s="107">
        <f>$BC$397</f>
        <v>0.35749517965371247</v>
      </c>
      <c r="BO279" s="107">
        <f>$BD$397</f>
        <v>0.82972030812989472</v>
      </c>
    </row>
    <row r="280" spans="1:67" x14ac:dyDescent="0.25">
      <c r="A280" s="250" t="s">
        <v>225</v>
      </c>
      <c r="B280" s="227">
        <v>4</v>
      </c>
      <c r="C280" s="226">
        <f>'побудинковий звіт'!E267</f>
        <v>300.10000000000002</v>
      </c>
      <c r="D280" s="138">
        <f t="shared" si="159"/>
        <v>143.83268947810052</v>
      </c>
      <c r="E280" s="104">
        <f t="shared" si="153"/>
        <v>29.64779834572532</v>
      </c>
      <c r="F280" s="323">
        <v>27.883659715079464</v>
      </c>
      <c r="G280" s="104" t="e">
        <f t="shared" si="154"/>
        <v>#REF!</v>
      </c>
      <c r="H280" s="720">
        <f t="shared" si="160"/>
        <v>120.1685721105958</v>
      </c>
      <c r="I280" s="104" t="e">
        <f t="shared" si="161"/>
        <v>#REF!</v>
      </c>
      <c r="J280" s="28"/>
      <c r="K280" s="139" t="e">
        <f t="shared" si="162"/>
        <v>#REF!</v>
      </c>
      <c r="L280" s="200">
        <f t="shared" si="163"/>
        <v>26.515823602915347</v>
      </c>
      <c r="M280" s="104">
        <f t="shared" si="155"/>
        <v>5.8339564936584871</v>
      </c>
      <c r="N280" s="323">
        <v>0</v>
      </c>
      <c r="O280" s="104"/>
      <c r="P280" s="104">
        <f t="shared" si="164"/>
        <v>22.153299588991672</v>
      </c>
      <c r="Q280" s="104">
        <f t="shared" si="165"/>
        <v>7.0152458839966219</v>
      </c>
      <c r="R280" s="104"/>
      <c r="S280" s="140">
        <f t="shared" si="166"/>
        <v>61.51832556956213</v>
      </c>
      <c r="T280" s="880">
        <v>157.44166666666669</v>
      </c>
      <c r="U280" s="104"/>
      <c r="V280" s="148">
        <f t="shared" si="167"/>
        <v>157.44166666666669</v>
      </c>
      <c r="W280" s="236"/>
      <c r="X280" s="104"/>
      <c r="Y280" s="45">
        <f t="shared" si="168"/>
        <v>0</v>
      </c>
      <c r="Z280" s="138">
        <f t="shared" si="169"/>
        <v>0</v>
      </c>
      <c r="AA280" s="104">
        <f t="shared" si="156"/>
        <v>0</v>
      </c>
      <c r="AB280" s="323">
        <v>0</v>
      </c>
      <c r="AC280" s="104"/>
      <c r="AD280" s="104">
        <f t="shared" si="170"/>
        <v>0</v>
      </c>
      <c r="AE280" s="104">
        <f t="shared" si="171"/>
        <v>0</v>
      </c>
      <c r="AF280" s="104"/>
      <c r="AG280" s="139">
        <f t="shared" si="172"/>
        <v>0</v>
      </c>
      <c r="AH280" s="200">
        <f t="shared" si="173"/>
        <v>90.645083763864307</v>
      </c>
      <c r="AI280" s="104">
        <f t="shared" si="157"/>
        <v>18.080584468332276</v>
      </c>
      <c r="AJ280" s="323">
        <v>10.94765830380546</v>
      </c>
      <c r="AK280" s="118" t="e">
        <f t="shared" si="158"/>
        <v>#REF!</v>
      </c>
      <c r="AL280" s="104"/>
      <c r="AM280" s="104">
        <f t="shared" si="174"/>
        <v>75.731673545653948</v>
      </c>
      <c r="AN280" s="104" t="e">
        <f t="shared" si="175"/>
        <v>#REF!</v>
      </c>
      <c r="AO280" s="104"/>
      <c r="AP280" s="140" t="e">
        <f t="shared" si="176"/>
        <v>#REF!</v>
      </c>
      <c r="AQ280" s="33"/>
      <c r="AR280" s="28"/>
      <c r="AS280" s="121"/>
      <c r="AT280" s="135" t="e">
        <f t="shared" si="177"/>
        <v>#REF!</v>
      </c>
      <c r="AU280" s="148" t="e">
        <f t="shared" si="178"/>
        <v>#REF!</v>
      </c>
      <c r="AW280" s="1">
        <v>2</v>
      </c>
      <c r="BA280" s="29">
        <v>131.13999999999999</v>
      </c>
      <c r="BB280" s="29">
        <v>23.83</v>
      </c>
      <c r="BC280" s="29">
        <v>0</v>
      </c>
      <c r="BD280" s="29">
        <v>87.42</v>
      </c>
      <c r="BF280" s="279">
        <f>T280*1.2</f>
        <v>188.93000000000004</v>
      </c>
      <c r="BI280" s="323">
        <v>0</v>
      </c>
      <c r="BL280" s="107">
        <f>BA$398</f>
        <v>1.0967873225415627</v>
      </c>
      <c r="BM280" s="107">
        <f>BB$398</f>
        <v>1.1127076627324948</v>
      </c>
      <c r="BN280" s="107">
        <f>BC$398</f>
        <v>2.8314493742615632</v>
      </c>
      <c r="BO280" s="107">
        <f>BD$398</f>
        <v>1.036891829831438</v>
      </c>
    </row>
    <row r="281" spans="1:67" x14ac:dyDescent="0.25">
      <c r="A281" s="250" t="s">
        <v>423</v>
      </c>
      <c r="B281" s="227">
        <v>10</v>
      </c>
      <c r="C281" s="226">
        <f>'побудинковий звіт'!E268</f>
        <v>1950.8</v>
      </c>
      <c r="D281" s="138">
        <f t="shared" si="159"/>
        <v>1083.9093071846376</v>
      </c>
      <c r="E281" s="104">
        <f t="shared" si="153"/>
        <v>223.42295538704934</v>
      </c>
      <c r="F281" s="323">
        <v>174.01411479006794</v>
      </c>
      <c r="G281" s="104" t="e">
        <f t="shared" si="154"/>
        <v>#REF!</v>
      </c>
      <c r="H281" s="720">
        <f t="shared" si="160"/>
        <v>905.57879585220962</v>
      </c>
      <c r="I281" s="104" t="e">
        <f t="shared" si="161"/>
        <v>#REF!</v>
      </c>
      <c r="J281" s="28"/>
      <c r="K281" s="139" t="e">
        <f t="shared" si="162"/>
        <v>#REF!</v>
      </c>
      <c r="L281" s="200">
        <f t="shared" si="163"/>
        <v>194.34723672596505</v>
      </c>
      <c r="M281" s="104">
        <f t="shared" si="155"/>
        <v>42.759875789691378</v>
      </c>
      <c r="N281" s="323">
        <v>0</v>
      </c>
      <c r="O281" s="104"/>
      <c r="P281" s="104">
        <f t="shared" si="164"/>
        <v>162.37219797350053</v>
      </c>
      <c r="Q281" s="104">
        <f t="shared" si="165"/>
        <v>51.418114440844363</v>
      </c>
      <c r="R281" s="104"/>
      <c r="S281" s="140">
        <f t="shared" si="166"/>
        <v>450.89742493000131</v>
      </c>
      <c r="T281" s="234">
        <v>713.91</v>
      </c>
      <c r="U281" s="104"/>
      <c r="V281" s="148">
        <f t="shared" si="167"/>
        <v>713.91</v>
      </c>
      <c r="W281" s="881">
        <v>181.17</v>
      </c>
      <c r="X281" s="104"/>
      <c r="Y281" s="45">
        <f t="shared" si="168"/>
        <v>181.17</v>
      </c>
      <c r="Z281" s="138">
        <f t="shared" si="169"/>
        <v>34.840422277930898</v>
      </c>
      <c r="AA281" s="104">
        <f t="shared" si="156"/>
        <v>7.6582006002360687</v>
      </c>
      <c r="AB281" s="323">
        <v>0</v>
      </c>
      <c r="AC281" s="104"/>
      <c r="AD281" s="104">
        <f t="shared" si="170"/>
        <v>29.108291112825253</v>
      </c>
      <c r="AE281" s="104">
        <f t="shared" si="171"/>
        <v>9.2167288809928873</v>
      </c>
      <c r="AF281" s="104"/>
      <c r="AG281" s="139">
        <f t="shared" si="172"/>
        <v>80.823642871985115</v>
      </c>
      <c r="AH281" s="200">
        <f t="shared" si="173"/>
        <v>404.72772107596887</v>
      </c>
      <c r="AI281" s="104">
        <f t="shared" si="157"/>
        <v>80.729295442571924</v>
      </c>
      <c r="AJ281" s="323">
        <v>97.947099084020167</v>
      </c>
      <c r="AK281" s="118" t="e">
        <f t="shared" si="158"/>
        <v>#REF!</v>
      </c>
      <c r="AL281" s="104"/>
      <c r="AM281" s="104">
        <f t="shared" si="174"/>
        <v>338.13976858633208</v>
      </c>
      <c r="AN281" s="104" t="e">
        <f t="shared" si="175"/>
        <v>#REF!</v>
      </c>
      <c r="AO281" s="104"/>
      <c r="AP281" s="140" t="e">
        <f t="shared" si="176"/>
        <v>#REF!</v>
      </c>
      <c r="AQ281" s="33"/>
      <c r="AR281" s="28"/>
      <c r="AS281" s="121"/>
      <c r="AT281" s="135" t="e">
        <f t="shared" si="177"/>
        <v>#REF!</v>
      </c>
      <c r="AU281" s="148" t="e">
        <f t="shared" si="178"/>
        <v>#REF!</v>
      </c>
      <c r="AW281" s="1">
        <v>3</v>
      </c>
      <c r="BA281" s="29">
        <v>885.99</v>
      </c>
      <c r="BB281" s="29">
        <v>151.75</v>
      </c>
      <c r="BC281" s="29">
        <v>42.26</v>
      </c>
      <c r="BD281" s="29">
        <v>312.16000000000003</v>
      </c>
      <c r="BI281" s="323">
        <v>0</v>
      </c>
      <c r="BL281" s="107">
        <f t="shared" ref="BL281:BO282" si="183">BA$399</f>
        <v>1.2233877438623886</v>
      </c>
      <c r="BM281" s="107">
        <f t="shared" si="183"/>
        <v>1.2807066670574303</v>
      </c>
      <c r="BN281" s="107">
        <f t="shared" si="183"/>
        <v>0.82443024793968056</v>
      </c>
      <c r="BO281" s="107">
        <f t="shared" si="183"/>
        <v>1.2965393422474656</v>
      </c>
    </row>
    <row r="282" spans="1:67" x14ac:dyDescent="0.25">
      <c r="A282" s="250" t="s">
        <v>394</v>
      </c>
      <c r="B282" s="227">
        <v>9</v>
      </c>
      <c r="C282" s="226">
        <f>'побудинковий звіт'!E269</f>
        <v>4491.7</v>
      </c>
      <c r="D282" s="138">
        <f t="shared" si="159"/>
        <v>591.21436109893784</v>
      </c>
      <c r="E282" s="104">
        <f t="shared" si="153"/>
        <v>121.86523258766518</v>
      </c>
      <c r="F282" s="323">
        <v>107.67946401048368</v>
      </c>
      <c r="G282" s="104" t="e">
        <f t="shared" si="154"/>
        <v>#REF!</v>
      </c>
      <c r="H282" s="720">
        <f t="shared" si="160"/>
        <v>493.94463694120566</v>
      </c>
      <c r="I282" s="104" t="e">
        <f t="shared" si="161"/>
        <v>#REF!</v>
      </c>
      <c r="J282" s="28"/>
      <c r="K282" s="139" t="e">
        <f t="shared" si="162"/>
        <v>#REF!</v>
      </c>
      <c r="L282" s="200">
        <f t="shared" si="163"/>
        <v>119.08010590299988</v>
      </c>
      <c r="M282" s="104">
        <f t="shared" si="155"/>
        <v>26.199757831469551</v>
      </c>
      <c r="N282" s="323">
        <v>0</v>
      </c>
      <c r="O282" s="104"/>
      <c r="P282" s="104">
        <f t="shared" si="164"/>
        <v>99.48841494284072</v>
      </c>
      <c r="Q282" s="104">
        <f t="shared" si="165"/>
        <v>31.504818983260026</v>
      </c>
      <c r="R282" s="104"/>
      <c r="S282" s="140">
        <f t="shared" si="166"/>
        <v>276.27309766057016</v>
      </c>
      <c r="T282" s="234">
        <v>458.53</v>
      </c>
      <c r="U282" s="104"/>
      <c r="V282" s="148">
        <f t="shared" si="167"/>
        <v>458.53</v>
      </c>
      <c r="W282" s="881">
        <v>124.67</v>
      </c>
      <c r="X282" s="104"/>
      <c r="Y282" s="45">
        <f t="shared" si="168"/>
        <v>124.67</v>
      </c>
      <c r="Z282" s="138">
        <f t="shared" si="169"/>
        <v>21.740225638169377</v>
      </c>
      <c r="AA282" s="104">
        <f t="shared" si="156"/>
        <v>4.7786736826366578</v>
      </c>
      <c r="AB282" s="323">
        <v>0</v>
      </c>
      <c r="AC282" s="104"/>
      <c r="AD282" s="104">
        <f t="shared" si="170"/>
        <v>18.163408344656933</v>
      </c>
      <c r="AE282" s="104">
        <f t="shared" si="171"/>
        <v>5.7511864787454439</v>
      </c>
      <c r="AF282" s="104"/>
      <c r="AG282" s="139">
        <f t="shared" si="172"/>
        <v>50.433494144208417</v>
      </c>
      <c r="AH282" s="200">
        <f t="shared" si="173"/>
        <v>243.14002285166723</v>
      </c>
      <c r="AI282" s="104">
        <f t="shared" si="157"/>
        <v>48.498093203310837</v>
      </c>
      <c r="AJ282" s="323">
        <v>60.609400240163765</v>
      </c>
      <c r="AK282" s="118" t="e">
        <f t="shared" si="158"/>
        <v>#REF!</v>
      </c>
      <c r="AL282" s="104"/>
      <c r="AM282" s="104">
        <f t="shared" si="174"/>
        <v>203.1373359911419</v>
      </c>
      <c r="AN282" s="104" t="e">
        <f t="shared" si="175"/>
        <v>#REF!</v>
      </c>
      <c r="AO282" s="104"/>
      <c r="AP282" s="140" t="e">
        <f t="shared" si="176"/>
        <v>#REF!</v>
      </c>
      <c r="AQ282" s="33"/>
      <c r="AR282" s="28"/>
      <c r="AS282" s="121"/>
      <c r="AT282" s="135" t="e">
        <f t="shared" si="177"/>
        <v>#REF!</v>
      </c>
      <c r="AU282" s="148" t="e">
        <f t="shared" si="178"/>
        <v>#REF!</v>
      </c>
      <c r="AW282" s="1">
        <v>3</v>
      </c>
      <c r="BA282" s="29">
        <v>483.26</v>
      </c>
      <c r="BB282" s="29">
        <v>92.98</v>
      </c>
      <c r="BC282" s="29">
        <v>26.37</v>
      </c>
      <c r="BD282" s="29">
        <v>187.53</v>
      </c>
      <c r="BI282" s="323">
        <v>0</v>
      </c>
      <c r="BL282" s="107">
        <f t="shared" si="183"/>
        <v>1.2233877438623886</v>
      </c>
      <c r="BM282" s="107">
        <f t="shared" si="183"/>
        <v>1.2807066670574303</v>
      </c>
      <c r="BN282" s="107">
        <f t="shared" si="183"/>
        <v>0.82443024793968056</v>
      </c>
      <c r="BO282" s="107">
        <f t="shared" si="183"/>
        <v>1.2965393422474656</v>
      </c>
    </row>
    <row r="283" spans="1:67" x14ac:dyDescent="0.25">
      <c r="A283" s="250" t="s">
        <v>292</v>
      </c>
      <c r="B283" s="227">
        <v>5</v>
      </c>
      <c r="C283" s="226">
        <f>'побудинковий звіт'!E270</f>
        <v>2575.88</v>
      </c>
      <c r="D283" s="138">
        <f t="shared" si="159"/>
        <v>243.72807881518608</v>
      </c>
      <c r="E283" s="104">
        <f t="shared" si="153"/>
        <v>50.238933570131778</v>
      </c>
      <c r="F283" s="323">
        <v>43.938781902543987</v>
      </c>
      <c r="G283" s="104" t="e">
        <f t="shared" si="154"/>
        <v>#REF!</v>
      </c>
      <c r="H283" s="720">
        <f t="shared" si="160"/>
        <v>203.62864186683393</v>
      </c>
      <c r="I283" s="104" t="e">
        <f t="shared" si="161"/>
        <v>#REF!</v>
      </c>
      <c r="J283" s="28"/>
      <c r="K283" s="139" t="e">
        <f t="shared" si="162"/>
        <v>#REF!</v>
      </c>
      <c r="L283" s="200">
        <f t="shared" si="163"/>
        <v>47.557125505186832</v>
      </c>
      <c r="M283" s="104">
        <f t="shared" si="155"/>
        <v>10.463420081366506</v>
      </c>
      <c r="N283" s="323">
        <v>0</v>
      </c>
      <c r="O283" s="104"/>
      <c r="P283" s="104">
        <f t="shared" si="164"/>
        <v>39.732774839844915</v>
      </c>
      <c r="Q283" s="104">
        <f t="shared" si="165"/>
        <v>12.582106969450932</v>
      </c>
      <c r="R283" s="104"/>
      <c r="S283" s="140">
        <f t="shared" si="166"/>
        <v>110.33542739584919</v>
      </c>
      <c r="T283" s="880">
        <v>230.29166666666669</v>
      </c>
      <c r="U283" s="104"/>
      <c r="V283" s="148">
        <f t="shared" si="167"/>
        <v>230.29166666666669</v>
      </c>
      <c r="W283" s="236"/>
      <c r="X283" s="104"/>
      <c r="Y283" s="45">
        <f t="shared" si="168"/>
        <v>0</v>
      </c>
      <c r="Z283" s="138">
        <f t="shared" si="169"/>
        <v>0</v>
      </c>
      <c r="AA283" s="104">
        <f t="shared" si="156"/>
        <v>0</v>
      </c>
      <c r="AB283" s="323">
        <v>0</v>
      </c>
      <c r="AC283" s="104"/>
      <c r="AD283" s="104">
        <f t="shared" si="170"/>
        <v>0</v>
      </c>
      <c r="AE283" s="104">
        <f t="shared" si="171"/>
        <v>0</v>
      </c>
      <c r="AF283" s="104"/>
      <c r="AG283" s="139">
        <f t="shared" si="172"/>
        <v>0</v>
      </c>
      <c r="AH283" s="200">
        <f t="shared" si="173"/>
        <v>116.02819575813793</v>
      </c>
      <c r="AI283" s="104">
        <f t="shared" si="157"/>
        <v>23.14364449789959</v>
      </c>
      <c r="AJ283" s="323">
        <v>17.251206458180377</v>
      </c>
      <c r="AK283" s="118" t="e">
        <f t="shared" si="158"/>
        <v>#REF!</v>
      </c>
      <c r="AL283" s="408"/>
      <c r="AM283" s="104">
        <f t="shared" si="174"/>
        <v>96.938621250957198</v>
      </c>
      <c r="AN283" s="104" t="e">
        <f t="shared" si="175"/>
        <v>#REF!</v>
      </c>
      <c r="AO283" s="104"/>
      <c r="AP283" s="140" t="e">
        <f t="shared" si="176"/>
        <v>#REF!</v>
      </c>
      <c r="AQ283" s="33"/>
      <c r="AR283" s="104"/>
      <c r="AS283" s="139"/>
      <c r="AT283" s="135" t="e">
        <f t="shared" si="177"/>
        <v>#REF!</v>
      </c>
      <c r="AU283" s="148" t="e">
        <f t="shared" si="178"/>
        <v>#REF!</v>
      </c>
      <c r="AW283" s="1">
        <v>2</v>
      </c>
      <c r="BA283" s="29">
        <v>222.22</v>
      </c>
      <c r="BB283" s="29">
        <v>42.74</v>
      </c>
      <c r="BC283" s="29">
        <v>0</v>
      </c>
      <c r="BD283" s="29">
        <v>111.9</v>
      </c>
      <c r="BF283" s="279">
        <f>T283*1.2</f>
        <v>276.35000000000002</v>
      </c>
      <c r="BI283" s="323">
        <v>0</v>
      </c>
      <c r="BL283" s="107">
        <f>BA$398</f>
        <v>1.0967873225415627</v>
      </c>
      <c r="BM283" s="107">
        <f>BB$398</f>
        <v>1.1127076627324948</v>
      </c>
      <c r="BN283" s="107">
        <f>BC$398</f>
        <v>2.8314493742615632</v>
      </c>
      <c r="BO283" s="107">
        <f>BD$398</f>
        <v>1.036891829831438</v>
      </c>
    </row>
    <row r="284" spans="1:67" x14ac:dyDescent="0.25">
      <c r="A284" s="250" t="s">
        <v>293</v>
      </c>
      <c r="B284" s="227">
        <v>5</v>
      </c>
      <c r="C284" s="226">
        <f>'побудинковий звіт'!E271</f>
        <v>3000.29</v>
      </c>
      <c r="D284" s="138">
        <f t="shared" si="159"/>
        <v>677.35309214428867</v>
      </c>
      <c r="E284" s="104">
        <f t="shared" si="153"/>
        <v>139.6207493415813</v>
      </c>
      <c r="F284" s="323">
        <v>153.17661670759821</v>
      </c>
      <c r="G284" s="104" t="e">
        <f t="shared" si="154"/>
        <v>#REF!</v>
      </c>
      <c r="H284" s="720">
        <f t="shared" si="160"/>
        <v>565.91136683201046</v>
      </c>
      <c r="I284" s="104" t="e">
        <f t="shared" si="161"/>
        <v>#REF!</v>
      </c>
      <c r="J284" s="28"/>
      <c r="K284" s="139" t="e">
        <f t="shared" si="162"/>
        <v>#REF!</v>
      </c>
      <c r="L284" s="200">
        <f t="shared" si="163"/>
        <v>147.06354657820472</v>
      </c>
      <c r="M284" s="104">
        <f t="shared" si="155"/>
        <v>32.356616388337798</v>
      </c>
      <c r="N284" s="323">
        <v>0</v>
      </c>
      <c r="O284" s="104"/>
      <c r="P284" s="104">
        <f t="shared" si="164"/>
        <v>122.86787145500537</v>
      </c>
      <c r="Q284" s="104">
        <f t="shared" si="165"/>
        <v>38.908349794017511</v>
      </c>
      <c r="R284" s="104"/>
      <c r="S284" s="140">
        <f t="shared" si="166"/>
        <v>341.19638421556539</v>
      </c>
      <c r="T284" s="234">
        <v>584.21</v>
      </c>
      <c r="U284" s="104"/>
      <c r="V284" s="148">
        <f t="shared" si="167"/>
        <v>584.21</v>
      </c>
      <c r="W284" s="236"/>
      <c r="X284" s="104"/>
      <c r="Y284" s="45">
        <f t="shared" si="168"/>
        <v>0</v>
      </c>
      <c r="Z284" s="138">
        <f t="shared" si="169"/>
        <v>36.077067649840423</v>
      </c>
      <c r="AA284" s="104">
        <f t="shared" si="156"/>
        <v>7.9300250417967435</v>
      </c>
      <c r="AB284" s="323">
        <v>0</v>
      </c>
      <c r="AC284" s="104"/>
      <c r="AD284" s="104">
        <f t="shared" si="170"/>
        <v>30.141477025490609</v>
      </c>
      <c r="AE284" s="104">
        <f t="shared" si="171"/>
        <v>9.5438725942321039</v>
      </c>
      <c r="AF284" s="104"/>
      <c r="AG284" s="139">
        <f t="shared" si="172"/>
        <v>83.692442311359869</v>
      </c>
      <c r="AH284" s="200">
        <f t="shared" si="173"/>
        <v>549.18813458918146</v>
      </c>
      <c r="AI284" s="104">
        <f t="shared" si="157"/>
        <v>109.54419196426387</v>
      </c>
      <c r="AJ284" s="323">
        <v>86.218323565959523</v>
      </c>
      <c r="AK284" s="118" t="e">
        <f t="shared" si="158"/>
        <v>#REF!</v>
      </c>
      <c r="AL284" s="104"/>
      <c r="AM284" s="104">
        <f t="shared" si="174"/>
        <v>458.8327882425632</v>
      </c>
      <c r="AN284" s="104" t="e">
        <f t="shared" si="175"/>
        <v>#REF!</v>
      </c>
      <c r="AO284" s="104"/>
      <c r="AP284" s="140" t="e">
        <f t="shared" si="176"/>
        <v>#REF!</v>
      </c>
      <c r="AQ284" s="33"/>
      <c r="AR284" s="28"/>
      <c r="AS284" s="121"/>
      <c r="AT284" s="135" t="e">
        <f t="shared" si="177"/>
        <v>#REF!</v>
      </c>
      <c r="AU284" s="148" t="e">
        <f t="shared" si="178"/>
        <v>#REF!</v>
      </c>
      <c r="AW284" s="1">
        <v>3</v>
      </c>
      <c r="BA284" s="29">
        <v>553.66999999999996</v>
      </c>
      <c r="BB284" s="29">
        <v>114.83</v>
      </c>
      <c r="BC284" s="29">
        <v>43.76</v>
      </c>
      <c r="BD284" s="29">
        <v>423.58</v>
      </c>
      <c r="BI284" s="323">
        <v>0</v>
      </c>
      <c r="BL284" s="107">
        <f>BA$399</f>
        <v>1.2233877438623886</v>
      </c>
      <c r="BM284" s="107">
        <f>BB$399</f>
        <v>1.2807066670574303</v>
      </c>
      <c r="BN284" s="107">
        <f>BC$399</f>
        <v>0.82443024793968056</v>
      </c>
      <c r="BO284" s="107">
        <f>BD$399</f>
        <v>1.2965393422474656</v>
      </c>
    </row>
    <row r="285" spans="1:67" x14ac:dyDescent="0.25">
      <c r="A285" s="250" t="s">
        <v>226</v>
      </c>
      <c r="B285" s="227">
        <v>4</v>
      </c>
      <c r="C285" s="226">
        <f>'побудинковий звіт'!E272</f>
        <v>2617.6</v>
      </c>
      <c r="D285" s="138">
        <f t="shared" si="159"/>
        <v>170.56139652843842</v>
      </c>
      <c r="E285" s="104">
        <f t="shared" si="153"/>
        <v>35.157306090771272</v>
      </c>
      <c r="F285" s="323">
        <v>30.610080726966483</v>
      </c>
      <c r="G285" s="104" t="e">
        <f t="shared" si="154"/>
        <v>#REF!</v>
      </c>
      <c r="H285" s="720">
        <f t="shared" si="160"/>
        <v>142.49973043250537</v>
      </c>
      <c r="I285" s="104" t="e">
        <f t="shared" si="161"/>
        <v>#REF!</v>
      </c>
      <c r="J285" s="28"/>
      <c r="K285" s="139" t="e">
        <f t="shared" si="162"/>
        <v>#REF!</v>
      </c>
      <c r="L285" s="200">
        <f t="shared" si="163"/>
        <v>26.883017131617073</v>
      </c>
      <c r="M285" s="104">
        <f t="shared" si="155"/>
        <v>5.9147456519844344</v>
      </c>
      <c r="N285" s="323">
        <v>0</v>
      </c>
      <c r="O285" s="104"/>
      <c r="P285" s="104">
        <f t="shared" si="164"/>
        <v>22.460080489720472</v>
      </c>
      <c r="Q285" s="104">
        <f t="shared" si="165"/>
        <v>7.1123936448744605</v>
      </c>
      <c r="R285" s="104"/>
      <c r="S285" s="140">
        <f t="shared" si="166"/>
        <v>62.37023691819644</v>
      </c>
      <c r="T285" s="880">
        <v>172.76666666666668</v>
      </c>
      <c r="U285" s="104"/>
      <c r="V285" s="148">
        <f t="shared" si="167"/>
        <v>172.76666666666668</v>
      </c>
      <c r="W285" s="236"/>
      <c r="X285" s="104"/>
      <c r="Y285" s="45">
        <f t="shared" si="168"/>
        <v>0</v>
      </c>
      <c r="Z285" s="138">
        <f t="shared" si="169"/>
        <v>0</v>
      </c>
      <c r="AA285" s="104">
        <f t="shared" si="156"/>
        <v>0</v>
      </c>
      <c r="AB285" s="323">
        <v>0</v>
      </c>
      <c r="AC285" s="104"/>
      <c r="AD285" s="104">
        <f t="shared" si="170"/>
        <v>0</v>
      </c>
      <c r="AE285" s="104">
        <f t="shared" si="171"/>
        <v>0</v>
      </c>
      <c r="AF285" s="104"/>
      <c r="AG285" s="139">
        <f t="shared" si="172"/>
        <v>0</v>
      </c>
      <c r="AH285" s="200">
        <f t="shared" si="173"/>
        <v>91.920460714556981</v>
      </c>
      <c r="AI285" s="104">
        <f t="shared" si="157"/>
        <v>18.33497841589632</v>
      </c>
      <c r="AJ285" s="323">
        <v>12.018103357842355</v>
      </c>
      <c r="AK285" s="118" t="e">
        <f t="shared" si="158"/>
        <v>#REF!</v>
      </c>
      <c r="AL285" s="408"/>
      <c r="AM285" s="104">
        <f t="shared" si="174"/>
        <v>76.797218712219433</v>
      </c>
      <c r="AN285" s="104" t="e">
        <f t="shared" si="175"/>
        <v>#REF!</v>
      </c>
      <c r="AO285" s="104"/>
      <c r="AP285" s="140" t="e">
        <f t="shared" si="176"/>
        <v>#REF!</v>
      </c>
      <c r="AQ285" s="33"/>
      <c r="AR285" s="28"/>
      <c r="AS285" s="121"/>
      <c r="AT285" s="135" t="e">
        <f t="shared" si="177"/>
        <v>#REF!</v>
      </c>
      <c r="AU285" s="148" t="e">
        <f t="shared" si="178"/>
        <v>#REF!</v>
      </c>
      <c r="AW285" s="1">
        <v>2</v>
      </c>
      <c r="BA285" s="29">
        <v>155.51</v>
      </c>
      <c r="BB285" s="29">
        <v>24.16</v>
      </c>
      <c r="BC285" s="29">
        <v>0</v>
      </c>
      <c r="BD285" s="29">
        <v>88.65</v>
      </c>
      <c r="BF285" s="279">
        <f>T285*1.2</f>
        <v>207.32000000000002</v>
      </c>
      <c r="BI285" s="323">
        <v>0</v>
      </c>
      <c r="BL285" s="107">
        <f t="shared" ref="BL285:BO288" si="184">BA$398</f>
        <v>1.0967873225415627</v>
      </c>
      <c r="BM285" s="107">
        <f t="shared" si="184"/>
        <v>1.1127076627324948</v>
      </c>
      <c r="BN285" s="107">
        <f t="shared" si="184"/>
        <v>2.8314493742615632</v>
      </c>
      <c r="BO285" s="107">
        <f t="shared" si="184"/>
        <v>1.036891829831438</v>
      </c>
    </row>
    <row r="286" spans="1:67" x14ac:dyDescent="0.25">
      <c r="A286" s="250" t="s">
        <v>294</v>
      </c>
      <c r="B286" s="227">
        <v>5</v>
      </c>
      <c r="C286" s="226">
        <f>'побудинковий звіт'!E273</f>
        <v>2951.96</v>
      </c>
      <c r="D286" s="138">
        <f t="shared" si="159"/>
        <v>534.83736996416769</v>
      </c>
      <c r="E286" s="104">
        <f t="shared" si="153"/>
        <v>110.2444134917607</v>
      </c>
      <c r="F286" s="323">
        <v>88.964971752719265</v>
      </c>
      <c r="G286" s="104" t="e">
        <f t="shared" si="154"/>
        <v>#REF!</v>
      </c>
      <c r="H286" s="720">
        <f t="shared" si="160"/>
        <v>446.84308757061876</v>
      </c>
      <c r="I286" s="104" t="e">
        <f t="shared" si="161"/>
        <v>#REF!</v>
      </c>
      <c r="J286" s="28"/>
      <c r="K286" s="139" t="e">
        <f t="shared" si="162"/>
        <v>#REF!</v>
      </c>
      <c r="L286" s="200">
        <f t="shared" si="163"/>
        <v>107.20938330427586</v>
      </c>
      <c r="M286" s="104">
        <f t="shared" si="155"/>
        <v>23.587986074863419</v>
      </c>
      <c r="N286" s="323">
        <v>0</v>
      </c>
      <c r="O286" s="104"/>
      <c r="P286" s="104">
        <f t="shared" si="164"/>
        <v>89.570726621877782</v>
      </c>
      <c r="Q286" s="104">
        <f t="shared" si="165"/>
        <v>28.36420230478701</v>
      </c>
      <c r="R286" s="104"/>
      <c r="S286" s="140">
        <f t="shared" si="166"/>
        <v>248.73229830580405</v>
      </c>
      <c r="T286" s="880">
        <v>460.79166666666674</v>
      </c>
      <c r="U286" s="104"/>
      <c r="V286" s="148">
        <f t="shared" si="167"/>
        <v>460.79166666666674</v>
      </c>
      <c r="W286" s="236"/>
      <c r="X286" s="104"/>
      <c r="Y286" s="45">
        <f t="shared" si="168"/>
        <v>0</v>
      </c>
      <c r="Z286" s="138">
        <f t="shared" si="169"/>
        <v>0</v>
      </c>
      <c r="AA286" s="104">
        <f t="shared" si="156"/>
        <v>0</v>
      </c>
      <c r="AB286" s="323">
        <v>0</v>
      </c>
      <c r="AC286" s="104"/>
      <c r="AD286" s="104">
        <f t="shared" si="170"/>
        <v>0</v>
      </c>
      <c r="AE286" s="104">
        <f t="shared" si="171"/>
        <v>0</v>
      </c>
      <c r="AF286" s="104"/>
      <c r="AG286" s="139">
        <f t="shared" si="172"/>
        <v>0</v>
      </c>
      <c r="AH286" s="200">
        <f t="shared" si="173"/>
        <v>341.91508088691671</v>
      </c>
      <c r="AI286" s="104">
        <f t="shared" si="157"/>
        <v>68.200328625401156</v>
      </c>
      <c r="AJ286" s="323">
        <v>34.929350082039605</v>
      </c>
      <c r="AK286" s="118" t="e">
        <f t="shared" si="158"/>
        <v>#REF!</v>
      </c>
      <c r="AL286" s="104"/>
      <c r="AM286" s="104">
        <f t="shared" si="174"/>
        <v>285.66139729672147</v>
      </c>
      <c r="AN286" s="104" t="e">
        <f t="shared" si="175"/>
        <v>#REF!</v>
      </c>
      <c r="AO286" s="104"/>
      <c r="AP286" s="140" t="e">
        <f t="shared" si="176"/>
        <v>#REF!</v>
      </c>
      <c r="AQ286" s="33"/>
      <c r="AR286" s="28"/>
      <c r="AS286" s="121"/>
      <c r="AT286" s="135" t="e">
        <f t="shared" si="177"/>
        <v>#REF!</v>
      </c>
      <c r="AU286" s="148" t="e">
        <f t="shared" si="178"/>
        <v>#REF!</v>
      </c>
      <c r="AW286" s="1">
        <v>2</v>
      </c>
      <c r="BA286" s="29">
        <v>487.64</v>
      </c>
      <c r="BB286" s="29">
        <v>96.35</v>
      </c>
      <c r="BC286" s="29">
        <v>0</v>
      </c>
      <c r="BD286" s="29">
        <v>329.75</v>
      </c>
      <c r="BF286" s="279">
        <f>T286*1.2</f>
        <v>552.95000000000005</v>
      </c>
      <c r="BI286" s="323">
        <v>0</v>
      </c>
      <c r="BL286" s="107">
        <f t="shared" si="184"/>
        <v>1.0967873225415627</v>
      </c>
      <c r="BM286" s="107">
        <f t="shared" si="184"/>
        <v>1.1127076627324948</v>
      </c>
      <c r="BN286" s="107">
        <f t="shared" si="184"/>
        <v>2.8314493742615632</v>
      </c>
      <c r="BO286" s="107">
        <f t="shared" si="184"/>
        <v>1.036891829831438</v>
      </c>
    </row>
    <row r="287" spans="1:67" x14ac:dyDescent="0.25">
      <c r="A287" s="250" t="s">
        <v>295</v>
      </c>
      <c r="B287" s="227">
        <v>5</v>
      </c>
      <c r="C287" s="226">
        <f>'побудинковий звіт'!E274</f>
        <v>2595.42</v>
      </c>
      <c r="D287" s="138">
        <f t="shared" si="159"/>
        <v>441.3691543371757</v>
      </c>
      <c r="E287" s="104">
        <f t="shared" si="153"/>
        <v>90.978092193737879</v>
      </c>
      <c r="F287" s="323">
        <v>67.526326901056493</v>
      </c>
      <c r="G287" s="104" t="e">
        <f t="shared" si="154"/>
        <v>#REF!</v>
      </c>
      <c r="H287" s="720">
        <f t="shared" si="160"/>
        <v>368.7527587978189</v>
      </c>
      <c r="I287" s="104" t="e">
        <f t="shared" si="161"/>
        <v>#REF!</v>
      </c>
      <c r="J287" s="28"/>
      <c r="K287" s="139" t="e">
        <f t="shared" si="162"/>
        <v>#REF!</v>
      </c>
      <c r="L287" s="200">
        <f t="shared" si="163"/>
        <v>85.856523256439289</v>
      </c>
      <c r="M287" s="104">
        <f t="shared" si="155"/>
        <v>18.889974110393997</v>
      </c>
      <c r="N287" s="323">
        <v>0</v>
      </c>
      <c r="O287" s="104"/>
      <c r="P287" s="104">
        <f t="shared" si="164"/>
        <v>71.730952424951639</v>
      </c>
      <c r="Q287" s="104">
        <f t="shared" si="165"/>
        <v>22.714912816163633</v>
      </c>
      <c r="R287" s="104"/>
      <c r="S287" s="140">
        <f t="shared" si="166"/>
        <v>199.19236260794855</v>
      </c>
      <c r="T287" s="880">
        <v>346.50833333333333</v>
      </c>
      <c r="U287" s="104"/>
      <c r="V287" s="148">
        <f t="shared" si="167"/>
        <v>346.50833333333333</v>
      </c>
      <c r="W287" s="236"/>
      <c r="X287" s="104"/>
      <c r="Y287" s="45">
        <f t="shared" si="168"/>
        <v>0</v>
      </c>
      <c r="Z287" s="138">
        <f t="shared" si="169"/>
        <v>0</v>
      </c>
      <c r="AA287" s="104">
        <f t="shared" si="156"/>
        <v>0</v>
      </c>
      <c r="AB287" s="323">
        <v>0</v>
      </c>
      <c r="AC287" s="104"/>
      <c r="AD287" s="104">
        <f t="shared" si="170"/>
        <v>0</v>
      </c>
      <c r="AE287" s="104">
        <f t="shared" si="171"/>
        <v>0</v>
      </c>
      <c r="AF287" s="104"/>
      <c r="AG287" s="139">
        <f t="shared" si="172"/>
        <v>0</v>
      </c>
      <c r="AH287" s="200">
        <f t="shared" si="173"/>
        <v>241.4091558213554</v>
      </c>
      <c r="AI287" s="104">
        <f t="shared" si="157"/>
        <v>48.152844611268826</v>
      </c>
      <c r="AJ287" s="323">
        <v>26.512127926451655</v>
      </c>
      <c r="AK287" s="118" t="e">
        <f t="shared" si="158"/>
        <v>#REF!</v>
      </c>
      <c r="AL287" s="104"/>
      <c r="AM287" s="104">
        <f t="shared" si="174"/>
        <v>201.69124039006124</v>
      </c>
      <c r="AN287" s="104" t="e">
        <f t="shared" si="175"/>
        <v>#REF!</v>
      </c>
      <c r="AO287" s="104"/>
      <c r="AP287" s="140" t="e">
        <f t="shared" si="176"/>
        <v>#REF!</v>
      </c>
      <c r="AQ287" s="33"/>
      <c r="AR287" s="28"/>
      <c r="AS287" s="121"/>
      <c r="AT287" s="135" t="e">
        <f t="shared" si="177"/>
        <v>#REF!</v>
      </c>
      <c r="AU287" s="148" t="e">
        <f t="shared" si="178"/>
        <v>#REF!</v>
      </c>
      <c r="AW287" s="1">
        <v>2</v>
      </c>
      <c r="BA287" s="29">
        <v>402.42</v>
      </c>
      <c r="BB287" s="29">
        <v>77.16</v>
      </c>
      <c r="BC287" s="29">
        <v>0</v>
      </c>
      <c r="BD287" s="29">
        <v>232.82</v>
      </c>
      <c r="BF287" s="279">
        <f>T287*1.2</f>
        <v>415.81</v>
      </c>
      <c r="BI287" s="323">
        <v>0</v>
      </c>
      <c r="BL287" s="107">
        <f t="shared" si="184"/>
        <v>1.0967873225415627</v>
      </c>
      <c r="BM287" s="107">
        <f t="shared" si="184"/>
        <v>1.1127076627324948</v>
      </c>
      <c r="BN287" s="107">
        <f t="shared" si="184"/>
        <v>2.8314493742615632</v>
      </c>
      <c r="BO287" s="107">
        <f t="shared" si="184"/>
        <v>1.036891829831438</v>
      </c>
    </row>
    <row r="288" spans="1:67" x14ac:dyDescent="0.25">
      <c r="A288" s="250" t="s">
        <v>227</v>
      </c>
      <c r="B288" s="227">
        <v>4</v>
      </c>
      <c r="C288" s="226">
        <f>'побудинковий звіт'!E275</f>
        <v>374.5</v>
      </c>
      <c r="D288" s="138">
        <f t="shared" si="159"/>
        <v>182.68089644252268</v>
      </c>
      <c r="E288" s="104">
        <f t="shared" si="153"/>
        <v>37.655462044105612</v>
      </c>
      <c r="F288" s="323">
        <v>34.404736246602127</v>
      </c>
      <c r="G288" s="104" t="e">
        <f t="shared" si="154"/>
        <v>#REF!</v>
      </c>
      <c r="H288" s="720">
        <f t="shared" si="160"/>
        <v>152.6252659046884</v>
      </c>
      <c r="I288" s="104" t="e">
        <f t="shared" si="161"/>
        <v>#REF!</v>
      </c>
      <c r="J288" s="28"/>
      <c r="K288" s="139" t="e">
        <f t="shared" si="162"/>
        <v>#REF!</v>
      </c>
      <c r="L288" s="200">
        <f t="shared" si="163"/>
        <v>33.459119418366122</v>
      </c>
      <c r="M288" s="104">
        <f t="shared" si="155"/>
        <v>7.3616060329127473</v>
      </c>
      <c r="N288" s="323">
        <v>0</v>
      </c>
      <c r="O288" s="104"/>
      <c r="P288" s="104">
        <f t="shared" si="164"/>
        <v>27.954247530045308</v>
      </c>
      <c r="Q288" s="104">
        <f t="shared" si="165"/>
        <v>8.8522217260502902</v>
      </c>
      <c r="R288" s="104"/>
      <c r="S288" s="140">
        <f t="shared" si="166"/>
        <v>77.627194707374457</v>
      </c>
      <c r="T288" s="880">
        <v>192.80833333333334</v>
      </c>
      <c r="U288" s="104"/>
      <c r="V288" s="148">
        <f t="shared" si="167"/>
        <v>192.80833333333334</v>
      </c>
      <c r="W288" s="236"/>
      <c r="X288" s="104"/>
      <c r="Y288" s="45">
        <f t="shared" si="168"/>
        <v>0</v>
      </c>
      <c r="Z288" s="138">
        <f t="shared" si="169"/>
        <v>0</v>
      </c>
      <c r="AA288" s="104">
        <f t="shared" si="156"/>
        <v>0</v>
      </c>
      <c r="AB288" s="323">
        <v>0</v>
      </c>
      <c r="AC288" s="104"/>
      <c r="AD288" s="104">
        <f t="shared" si="170"/>
        <v>0</v>
      </c>
      <c r="AE288" s="104">
        <f t="shared" si="171"/>
        <v>0</v>
      </c>
      <c r="AF288" s="104"/>
      <c r="AG288" s="139">
        <f t="shared" si="172"/>
        <v>0</v>
      </c>
      <c r="AH288" s="200">
        <f t="shared" si="173"/>
        <v>86.632312382416643</v>
      </c>
      <c r="AI288" s="104">
        <f t="shared" si="157"/>
        <v>17.280174243069798</v>
      </c>
      <c r="AJ288" s="323">
        <v>13.507957718213644</v>
      </c>
      <c r="AK288" s="118" t="e">
        <f t="shared" si="158"/>
        <v>#REF!</v>
      </c>
      <c r="AL288" s="104"/>
      <c r="AM288" s="104">
        <f t="shared" si="174"/>
        <v>72.379104606947919</v>
      </c>
      <c r="AN288" s="104" t="e">
        <f t="shared" si="175"/>
        <v>#REF!</v>
      </c>
      <c r="AO288" s="104"/>
      <c r="AP288" s="140" t="e">
        <f t="shared" si="176"/>
        <v>#REF!</v>
      </c>
      <c r="AQ288" s="33"/>
      <c r="AR288" s="28"/>
      <c r="AS288" s="121"/>
      <c r="AT288" s="135" t="e">
        <f t="shared" si="177"/>
        <v>#REF!</v>
      </c>
      <c r="AU288" s="148" t="e">
        <f t="shared" si="178"/>
        <v>#REF!</v>
      </c>
      <c r="AW288" s="1">
        <v>2</v>
      </c>
      <c r="BA288" s="29">
        <v>166.56</v>
      </c>
      <c r="BB288" s="29">
        <v>30.07</v>
      </c>
      <c r="BC288" s="29">
        <v>0</v>
      </c>
      <c r="BD288" s="29">
        <v>83.55</v>
      </c>
      <c r="BF288" s="279">
        <f>T288*1.2</f>
        <v>231.37</v>
      </c>
      <c r="BI288" s="323">
        <v>0</v>
      </c>
      <c r="BL288" s="107">
        <f t="shared" si="184"/>
        <v>1.0967873225415627</v>
      </c>
      <c r="BM288" s="107">
        <f t="shared" si="184"/>
        <v>1.1127076627324948</v>
      </c>
      <c r="BN288" s="107">
        <f t="shared" si="184"/>
        <v>2.8314493742615632</v>
      </c>
      <c r="BO288" s="107">
        <f t="shared" si="184"/>
        <v>1.036891829831438</v>
      </c>
    </row>
    <row r="289" spans="1:67" x14ac:dyDescent="0.25">
      <c r="A289" s="250" t="s">
        <v>296</v>
      </c>
      <c r="B289" s="227">
        <v>5</v>
      </c>
      <c r="C289" s="226">
        <f>'побудинковий звіт'!E276</f>
        <v>3609.1000000000004</v>
      </c>
      <c r="D289" s="138">
        <f t="shared" si="159"/>
        <v>472.14203198881165</v>
      </c>
      <c r="E289" s="104">
        <f t="shared" si="153"/>
        <v>97.321212623758697</v>
      </c>
      <c r="F289" s="323">
        <v>92.683505867675692</v>
      </c>
      <c r="G289" s="104" t="e">
        <f t="shared" si="154"/>
        <v>#REF!</v>
      </c>
      <c r="H289" s="720">
        <f t="shared" si="160"/>
        <v>394.46271931200499</v>
      </c>
      <c r="I289" s="104" t="e">
        <f t="shared" si="161"/>
        <v>#REF!</v>
      </c>
      <c r="J289" s="28"/>
      <c r="K289" s="139" t="e">
        <f t="shared" si="162"/>
        <v>#REF!</v>
      </c>
      <c r="L289" s="200">
        <f t="shared" si="163"/>
        <v>99.446872697009468</v>
      </c>
      <c r="M289" s="104">
        <f t="shared" si="155"/>
        <v>21.880094596833843</v>
      </c>
      <c r="N289" s="323">
        <v>0</v>
      </c>
      <c r="O289" s="104"/>
      <c r="P289" s="104">
        <f t="shared" si="164"/>
        <v>83.08534545398561</v>
      </c>
      <c r="Q289" s="104">
        <f t="shared" si="165"/>
        <v>26.31048821305809</v>
      </c>
      <c r="R289" s="104"/>
      <c r="S289" s="140">
        <f t="shared" si="166"/>
        <v>230.72280096088701</v>
      </c>
      <c r="T289" s="234">
        <v>431.94</v>
      </c>
      <c r="U289" s="104"/>
      <c r="V289" s="148">
        <f t="shared" si="167"/>
        <v>431.94</v>
      </c>
      <c r="W289" s="236"/>
      <c r="X289" s="104"/>
      <c r="Y289" s="45">
        <f t="shared" si="168"/>
        <v>0</v>
      </c>
      <c r="Z289" s="138">
        <f t="shared" si="169"/>
        <v>0</v>
      </c>
      <c r="AA289" s="104">
        <f t="shared" si="156"/>
        <v>0</v>
      </c>
      <c r="AB289" s="323">
        <v>0</v>
      </c>
      <c r="AC289" s="104"/>
      <c r="AD289" s="104">
        <f t="shared" si="170"/>
        <v>0</v>
      </c>
      <c r="AE289" s="104">
        <f t="shared" si="171"/>
        <v>0</v>
      </c>
      <c r="AF289" s="104"/>
      <c r="AG289" s="139">
        <f t="shared" si="172"/>
        <v>0</v>
      </c>
      <c r="AH289" s="200">
        <f t="shared" si="173"/>
        <v>312.45301608821677</v>
      </c>
      <c r="AI289" s="104">
        <f t="shared" si="157"/>
        <v>62.323657447159817</v>
      </c>
      <c r="AJ289" s="323">
        <v>52.168644731075204</v>
      </c>
      <c r="AK289" s="118" t="e">
        <f t="shared" si="158"/>
        <v>#REF!</v>
      </c>
      <c r="AL289" s="104"/>
      <c r="AM289" s="104">
        <f t="shared" si="174"/>
        <v>261.0465877486551</v>
      </c>
      <c r="AN289" s="104" t="e">
        <f t="shared" si="175"/>
        <v>#REF!</v>
      </c>
      <c r="AO289" s="104"/>
      <c r="AP289" s="140" t="e">
        <f t="shared" si="176"/>
        <v>#REF!</v>
      </c>
      <c r="AQ289" s="33"/>
      <c r="AR289" s="28"/>
      <c r="AS289" s="121"/>
      <c r="AT289" s="135" t="e">
        <f t="shared" si="177"/>
        <v>#REF!</v>
      </c>
      <c r="AU289" s="148" t="e">
        <f t="shared" si="178"/>
        <v>#REF!</v>
      </c>
      <c r="AW289" s="1">
        <v>3</v>
      </c>
      <c r="BA289" s="29">
        <v>385.93</v>
      </c>
      <c r="BB289" s="29">
        <v>77.650000000000006</v>
      </c>
      <c r="BC289" s="29">
        <v>0</v>
      </c>
      <c r="BD289" s="29">
        <v>240.99</v>
      </c>
      <c r="BI289" s="323">
        <v>0</v>
      </c>
      <c r="BL289" s="107">
        <f>BA$399</f>
        <v>1.2233877438623886</v>
      </c>
      <c r="BM289" s="107">
        <f>BB$399</f>
        <v>1.2807066670574303</v>
      </c>
      <c r="BN289" s="107">
        <f>BC$399</f>
        <v>0.82443024793968056</v>
      </c>
      <c r="BO289" s="107">
        <f>BD$399</f>
        <v>1.2965393422474656</v>
      </c>
    </row>
    <row r="290" spans="1:67" x14ac:dyDescent="0.25">
      <c r="A290" s="250" t="s">
        <v>228</v>
      </c>
      <c r="B290" s="227">
        <v>4</v>
      </c>
      <c r="C290" s="226">
        <f>'побудинковий звіт'!E277</f>
        <v>2652.84</v>
      </c>
      <c r="D290" s="138">
        <f t="shared" si="159"/>
        <v>302.53781504986466</v>
      </c>
      <c r="E290" s="104">
        <f t="shared" si="153"/>
        <v>62.361207074003907</v>
      </c>
      <c r="F290" s="323">
        <v>51.618692712689416</v>
      </c>
      <c r="G290" s="104" t="e">
        <f t="shared" si="154"/>
        <v>#REF!</v>
      </c>
      <c r="H290" s="720">
        <f t="shared" si="160"/>
        <v>252.76268820334565</v>
      </c>
      <c r="I290" s="104" t="e">
        <f t="shared" si="161"/>
        <v>#REF!</v>
      </c>
      <c r="J290" s="28"/>
      <c r="K290" s="139" t="e">
        <f t="shared" si="162"/>
        <v>#REF!</v>
      </c>
      <c r="L290" s="200">
        <f t="shared" si="163"/>
        <v>64.32562998256553</v>
      </c>
      <c r="M290" s="104">
        <f t="shared" si="155"/>
        <v>14.152791644918056</v>
      </c>
      <c r="N290" s="323">
        <v>0</v>
      </c>
      <c r="O290" s="104"/>
      <c r="P290" s="104">
        <f t="shared" si="164"/>
        <v>53.742435973126682</v>
      </c>
      <c r="Q290" s="104">
        <f t="shared" si="165"/>
        <v>17.018521382872208</v>
      </c>
      <c r="R290" s="104"/>
      <c r="S290" s="140">
        <f t="shared" si="166"/>
        <v>149.23937898348248</v>
      </c>
      <c r="T290" s="880">
        <v>271.65000000000003</v>
      </c>
      <c r="U290" s="104"/>
      <c r="V290" s="148">
        <f t="shared" si="167"/>
        <v>271.65000000000003</v>
      </c>
      <c r="W290" s="236"/>
      <c r="X290" s="104"/>
      <c r="Y290" s="45">
        <f t="shared" si="168"/>
        <v>0</v>
      </c>
      <c r="Z290" s="138">
        <f t="shared" si="169"/>
        <v>0</v>
      </c>
      <c r="AA290" s="104">
        <f t="shared" si="156"/>
        <v>0</v>
      </c>
      <c r="AB290" s="323">
        <v>0</v>
      </c>
      <c r="AC290" s="104"/>
      <c r="AD290" s="104">
        <f t="shared" si="170"/>
        <v>0</v>
      </c>
      <c r="AE290" s="104">
        <f t="shared" si="171"/>
        <v>0</v>
      </c>
      <c r="AF290" s="104"/>
      <c r="AG290" s="139">
        <f t="shared" si="172"/>
        <v>0</v>
      </c>
      <c r="AH290" s="200">
        <f t="shared" si="173"/>
        <v>241.16030178219586</v>
      </c>
      <c r="AI290" s="104">
        <f t="shared" si="157"/>
        <v>48.103206767841698</v>
      </c>
      <c r="AJ290" s="323">
        <v>20.266486382418769</v>
      </c>
      <c r="AK290" s="118" t="e">
        <f t="shared" si="158"/>
        <v>#REF!</v>
      </c>
      <c r="AL290" s="104"/>
      <c r="AM290" s="104">
        <f t="shared" si="174"/>
        <v>201.48332913804848</v>
      </c>
      <c r="AN290" s="104" t="e">
        <f t="shared" si="175"/>
        <v>#REF!</v>
      </c>
      <c r="AO290" s="104"/>
      <c r="AP290" s="140" t="e">
        <f t="shared" si="176"/>
        <v>#REF!</v>
      </c>
      <c r="AQ290" s="33"/>
      <c r="AR290" s="28"/>
      <c r="AS290" s="121"/>
      <c r="AT290" s="135" t="e">
        <f t="shared" si="177"/>
        <v>#REF!</v>
      </c>
      <c r="AU290" s="148" t="e">
        <f t="shared" si="178"/>
        <v>#REF!</v>
      </c>
      <c r="AW290" s="1">
        <v>2</v>
      </c>
      <c r="BA290" s="29">
        <v>275.83999999999997</v>
      </c>
      <c r="BB290" s="29">
        <v>57.81</v>
      </c>
      <c r="BC290" s="29">
        <v>0</v>
      </c>
      <c r="BD290" s="29">
        <v>232.58</v>
      </c>
      <c r="BF290" s="279">
        <f>T290*1.2</f>
        <v>325.98</v>
      </c>
      <c r="BI290" s="323">
        <v>0</v>
      </c>
      <c r="BL290" s="107">
        <f>BA$398</f>
        <v>1.0967873225415627</v>
      </c>
      <c r="BM290" s="107">
        <f>BB$398</f>
        <v>1.1127076627324948</v>
      </c>
      <c r="BN290" s="107">
        <f>BC$398</f>
        <v>2.8314493742615632</v>
      </c>
      <c r="BO290" s="107">
        <f>BD$398</f>
        <v>1.036891829831438</v>
      </c>
    </row>
    <row r="291" spans="1:67" x14ac:dyDescent="0.25">
      <c r="A291" s="250" t="s">
        <v>187</v>
      </c>
      <c r="B291" s="227">
        <v>2</v>
      </c>
      <c r="C291" s="226">
        <f>'побудинковий звіт'!E278</f>
        <v>2582.5</v>
      </c>
      <c r="D291" s="138">
        <f t="shared" si="159"/>
        <v>78.553727033403959</v>
      </c>
      <c r="E291" s="104">
        <f t="shared" si="153"/>
        <v>16.192042760530523</v>
      </c>
      <c r="F291" s="323">
        <v>7.7265376082355832</v>
      </c>
      <c r="G291" s="104" t="e">
        <f t="shared" si="154"/>
        <v>#REF!</v>
      </c>
      <c r="H291" s="720">
        <f t="shared" si="160"/>
        <v>65.629650991174145</v>
      </c>
      <c r="I291" s="104" t="e">
        <f t="shared" si="161"/>
        <v>#REF!</v>
      </c>
      <c r="J291" s="28"/>
      <c r="K291" s="139" t="e">
        <f t="shared" si="162"/>
        <v>#REF!</v>
      </c>
      <c r="L291" s="200">
        <f t="shared" si="163"/>
        <v>14.471985337748963</v>
      </c>
      <c r="M291" s="104">
        <f t="shared" si="155"/>
        <v>3.1840961873048603</v>
      </c>
      <c r="N291" s="323">
        <v>0</v>
      </c>
      <c r="O291" s="104"/>
      <c r="P291" s="104">
        <f t="shared" si="164"/>
        <v>12.090977509723597</v>
      </c>
      <c r="Q291" s="104">
        <f t="shared" si="165"/>
        <v>3.8288282911468947</v>
      </c>
      <c r="R291" s="104"/>
      <c r="S291" s="140">
        <f t="shared" si="166"/>
        <v>33.575887325924313</v>
      </c>
      <c r="T291" s="235"/>
      <c r="U291" s="104"/>
      <c r="V291" s="148">
        <f t="shared" si="167"/>
        <v>0</v>
      </c>
      <c r="W291" s="236"/>
      <c r="X291" s="104"/>
      <c r="Y291" s="45">
        <f t="shared" si="168"/>
        <v>0</v>
      </c>
      <c r="Z291" s="138">
        <f t="shared" si="169"/>
        <v>0</v>
      </c>
      <c r="AA291" s="104">
        <f t="shared" si="156"/>
        <v>0</v>
      </c>
      <c r="AB291" s="323">
        <v>0</v>
      </c>
      <c r="AC291" s="104"/>
      <c r="AD291" s="104">
        <f t="shared" si="170"/>
        <v>0</v>
      </c>
      <c r="AE291" s="104">
        <f t="shared" si="171"/>
        <v>0</v>
      </c>
      <c r="AF291" s="104"/>
      <c r="AG291" s="139">
        <f t="shared" si="172"/>
        <v>0</v>
      </c>
      <c r="AH291" s="200">
        <f t="shared" si="173"/>
        <v>14.728686927931209</v>
      </c>
      <c r="AI291" s="104">
        <f t="shared" si="157"/>
        <v>2.93786774803824</v>
      </c>
      <c r="AJ291" s="323">
        <v>4.3490262017150663</v>
      </c>
      <c r="AK291" s="118" t="e">
        <f t="shared" si="158"/>
        <v>#REF!</v>
      </c>
      <c r="AL291" s="104"/>
      <c r="AM291" s="104">
        <f t="shared" si="174"/>
        <v>12.30544519201926</v>
      </c>
      <c r="AN291" s="104" t="e">
        <f t="shared" si="175"/>
        <v>#REF!</v>
      </c>
      <c r="AO291" s="104"/>
      <c r="AP291" s="140" t="e">
        <f t="shared" si="176"/>
        <v>#REF!</v>
      </c>
      <c r="AQ291" s="33"/>
      <c r="AR291" s="28"/>
      <c r="AS291" s="121"/>
      <c r="AT291" s="135" t="e">
        <f t="shared" si="177"/>
        <v>#REF!</v>
      </c>
      <c r="AU291" s="148" t="e">
        <f t="shared" si="178"/>
        <v>#REF!</v>
      </c>
      <c r="AW291" s="1">
        <v>3</v>
      </c>
      <c r="BA291" s="29">
        <v>64.209999999999994</v>
      </c>
      <c r="BB291" s="29">
        <v>11.3</v>
      </c>
      <c r="BC291" s="29">
        <v>0</v>
      </c>
      <c r="BD291" s="29">
        <v>11.36</v>
      </c>
      <c r="BI291" s="323">
        <v>0</v>
      </c>
      <c r="BL291" s="107">
        <f>BA$399</f>
        <v>1.2233877438623886</v>
      </c>
      <c r="BM291" s="107">
        <f>BB$399</f>
        <v>1.2807066670574303</v>
      </c>
      <c r="BN291" s="107">
        <f>BC$399</f>
        <v>0.82443024793968056</v>
      </c>
      <c r="BO291" s="107">
        <f>BD$399</f>
        <v>1.2965393422474656</v>
      </c>
    </row>
    <row r="292" spans="1:67" x14ac:dyDescent="0.25">
      <c r="A292" s="250" t="s">
        <v>297</v>
      </c>
      <c r="B292" s="227">
        <v>5</v>
      </c>
      <c r="C292" s="226">
        <f>'побудинковий звіт'!E279</f>
        <v>5707.2000000000007</v>
      </c>
      <c r="D292" s="138">
        <f t="shared" si="159"/>
        <v>225.49947351454529</v>
      </c>
      <c r="E292" s="104">
        <f t="shared" si="153"/>
        <v>46.481526154347463</v>
      </c>
      <c r="F292" s="323">
        <v>41.132295976861215</v>
      </c>
      <c r="G292" s="104" t="e">
        <f t="shared" si="154"/>
        <v>#REF!</v>
      </c>
      <c r="H292" s="720">
        <f t="shared" si="160"/>
        <v>188.39910344622919</v>
      </c>
      <c r="I292" s="104" t="e">
        <f t="shared" si="161"/>
        <v>#REF!</v>
      </c>
      <c r="J292" s="28"/>
      <c r="K292" s="139" t="e">
        <f t="shared" si="162"/>
        <v>#REF!</v>
      </c>
      <c r="L292" s="200">
        <f t="shared" si="163"/>
        <v>43.862936064914948</v>
      </c>
      <c r="M292" s="104">
        <f t="shared" si="155"/>
        <v>9.6506321854812267</v>
      </c>
      <c r="N292" s="323">
        <v>0</v>
      </c>
      <c r="O292" s="104"/>
      <c r="P292" s="104">
        <f t="shared" si="164"/>
        <v>36.646373050694585</v>
      </c>
      <c r="Q292" s="104">
        <f t="shared" si="165"/>
        <v>11.604741617589042</v>
      </c>
      <c r="R292" s="104"/>
      <c r="S292" s="140">
        <f t="shared" si="166"/>
        <v>101.7646829186798</v>
      </c>
      <c r="T292" s="880">
        <v>228.23333333333335</v>
      </c>
      <c r="U292" s="104"/>
      <c r="V292" s="148">
        <f t="shared" si="167"/>
        <v>228.23333333333335</v>
      </c>
      <c r="W292" s="236"/>
      <c r="X292" s="104"/>
      <c r="Y292" s="45">
        <f t="shared" si="168"/>
        <v>0</v>
      </c>
      <c r="Z292" s="138">
        <f t="shared" si="169"/>
        <v>0</v>
      </c>
      <c r="AA292" s="104">
        <f t="shared" si="156"/>
        <v>0</v>
      </c>
      <c r="AB292" s="323">
        <v>0</v>
      </c>
      <c r="AC292" s="104"/>
      <c r="AD292" s="104">
        <f t="shared" si="170"/>
        <v>0</v>
      </c>
      <c r="AE292" s="104">
        <f t="shared" si="171"/>
        <v>0</v>
      </c>
      <c r="AF292" s="104"/>
      <c r="AG292" s="139">
        <f t="shared" si="172"/>
        <v>0</v>
      </c>
      <c r="AH292" s="200">
        <f t="shared" si="173"/>
        <v>102.66266007161069</v>
      </c>
      <c r="AI292" s="104">
        <f t="shared" si="157"/>
        <v>20.477678657167456</v>
      </c>
      <c r="AJ292" s="323">
        <v>16.149326387100665</v>
      </c>
      <c r="AK292" s="118" t="e">
        <f t="shared" si="158"/>
        <v>#REF!</v>
      </c>
      <c r="AL292" s="104"/>
      <c r="AM292" s="104">
        <f t="shared" si="174"/>
        <v>85.772054424104311</v>
      </c>
      <c r="AN292" s="104" t="e">
        <f t="shared" si="175"/>
        <v>#REF!</v>
      </c>
      <c r="AO292" s="104"/>
      <c r="AP292" s="140" t="e">
        <f t="shared" si="176"/>
        <v>#REF!</v>
      </c>
      <c r="AQ292" s="33"/>
      <c r="AR292" s="28"/>
      <c r="AS292" s="121"/>
      <c r="AT292" s="135" t="e">
        <f t="shared" si="177"/>
        <v>#REF!</v>
      </c>
      <c r="AU292" s="148" t="e">
        <f t="shared" si="178"/>
        <v>#REF!</v>
      </c>
      <c r="AW292" s="1">
        <v>2</v>
      </c>
      <c r="BA292" s="29">
        <v>205.6</v>
      </c>
      <c r="BB292" s="29">
        <v>39.42</v>
      </c>
      <c r="BC292" s="29">
        <v>0</v>
      </c>
      <c r="BD292" s="29">
        <v>99.01</v>
      </c>
      <c r="BF292" s="279">
        <f>T292*1.2</f>
        <v>273.88</v>
      </c>
      <c r="BI292" s="323">
        <v>0</v>
      </c>
      <c r="BL292" s="107">
        <f t="shared" ref="BL292:BO298" si="185">BA$398</f>
        <v>1.0967873225415627</v>
      </c>
      <c r="BM292" s="107">
        <f t="shared" si="185"/>
        <v>1.1127076627324948</v>
      </c>
      <c r="BN292" s="107">
        <f t="shared" si="185"/>
        <v>2.8314493742615632</v>
      </c>
      <c r="BO292" s="107">
        <f t="shared" si="185"/>
        <v>1.036891829831438</v>
      </c>
    </row>
    <row r="293" spans="1:67" x14ac:dyDescent="0.25">
      <c r="A293" s="250" t="s">
        <v>298</v>
      </c>
      <c r="B293" s="227">
        <v>5</v>
      </c>
      <c r="C293" s="226">
        <f>'побудинковий звіт'!E280</f>
        <v>201.1</v>
      </c>
      <c r="D293" s="138">
        <f t="shared" si="159"/>
        <v>534.83736996416769</v>
      </c>
      <c r="E293" s="104">
        <f t="shared" si="153"/>
        <v>110.2444134917607</v>
      </c>
      <c r="F293" s="323">
        <v>92.799449032111227</v>
      </c>
      <c r="G293" s="104" t="e">
        <f t="shared" si="154"/>
        <v>#REF!</v>
      </c>
      <c r="H293" s="720">
        <f t="shared" si="160"/>
        <v>446.84308757061876</v>
      </c>
      <c r="I293" s="104" t="e">
        <f t="shared" si="161"/>
        <v>#REF!</v>
      </c>
      <c r="J293" s="28"/>
      <c r="K293" s="139" t="e">
        <f t="shared" si="162"/>
        <v>#REF!</v>
      </c>
      <c r="L293" s="200">
        <f t="shared" si="163"/>
        <v>107.33178114717644</v>
      </c>
      <c r="M293" s="104">
        <f t="shared" si="155"/>
        <v>23.614915794305404</v>
      </c>
      <c r="N293" s="323">
        <v>0</v>
      </c>
      <c r="O293" s="104"/>
      <c r="P293" s="104">
        <f t="shared" si="164"/>
        <v>89.672986922120728</v>
      </c>
      <c r="Q293" s="104">
        <f t="shared" si="165"/>
        <v>28.396584891746294</v>
      </c>
      <c r="R293" s="104"/>
      <c r="S293" s="140">
        <f t="shared" si="166"/>
        <v>249.01626875534888</v>
      </c>
      <c r="T293" s="880">
        <v>480.42500000000001</v>
      </c>
      <c r="U293" s="104"/>
      <c r="V293" s="148">
        <f t="shared" si="167"/>
        <v>480.42500000000001</v>
      </c>
      <c r="W293" s="236"/>
      <c r="X293" s="104"/>
      <c r="Y293" s="45">
        <f t="shared" si="168"/>
        <v>0</v>
      </c>
      <c r="Z293" s="138">
        <f t="shared" si="169"/>
        <v>0</v>
      </c>
      <c r="AA293" s="104">
        <f t="shared" si="156"/>
        <v>0</v>
      </c>
      <c r="AB293" s="323">
        <v>0</v>
      </c>
      <c r="AC293" s="104"/>
      <c r="AD293" s="104">
        <f t="shared" si="170"/>
        <v>0</v>
      </c>
      <c r="AE293" s="104">
        <f t="shared" si="171"/>
        <v>0</v>
      </c>
      <c r="AF293" s="104"/>
      <c r="AG293" s="139">
        <f t="shared" si="172"/>
        <v>0</v>
      </c>
      <c r="AH293" s="200">
        <f t="shared" si="173"/>
        <v>332.42752064395904</v>
      </c>
      <c r="AI293" s="104">
        <f t="shared" si="157"/>
        <v>66.307885844741804</v>
      </c>
      <c r="AJ293" s="323">
        <v>36.434839227203248</v>
      </c>
      <c r="AK293" s="118" t="e">
        <f t="shared" si="158"/>
        <v>#REF!</v>
      </c>
      <c r="AL293" s="104"/>
      <c r="AM293" s="104">
        <f t="shared" si="174"/>
        <v>277.73478081373435</v>
      </c>
      <c r="AN293" s="104" t="e">
        <f t="shared" si="175"/>
        <v>#REF!</v>
      </c>
      <c r="AO293" s="104"/>
      <c r="AP293" s="140" t="e">
        <f t="shared" si="176"/>
        <v>#REF!</v>
      </c>
      <c r="AQ293" s="33"/>
      <c r="AR293" s="28"/>
      <c r="AS293" s="121"/>
      <c r="AT293" s="135" t="e">
        <f t="shared" si="177"/>
        <v>#REF!</v>
      </c>
      <c r="AU293" s="148" t="e">
        <f t="shared" si="178"/>
        <v>#REF!</v>
      </c>
      <c r="AW293" s="1">
        <v>2</v>
      </c>
      <c r="BA293" s="29">
        <v>487.64</v>
      </c>
      <c r="BB293" s="29">
        <v>96.46</v>
      </c>
      <c r="BC293" s="29">
        <v>0</v>
      </c>
      <c r="BD293" s="29">
        <v>320.60000000000002</v>
      </c>
      <c r="BF293" s="279">
        <f>T293*1.2</f>
        <v>576.51</v>
      </c>
      <c r="BI293" s="323">
        <v>0</v>
      </c>
      <c r="BL293" s="107">
        <f t="shared" si="185"/>
        <v>1.0967873225415627</v>
      </c>
      <c r="BM293" s="107">
        <f t="shared" si="185"/>
        <v>1.1127076627324948</v>
      </c>
      <c r="BN293" s="107">
        <f t="shared" si="185"/>
        <v>2.8314493742615632</v>
      </c>
      <c r="BO293" s="107">
        <f t="shared" si="185"/>
        <v>1.036891829831438</v>
      </c>
    </row>
    <row r="294" spans="1:67" x14ac:dyDescent="0.25">
      <c r="A294" s="250" t="s">
        <v>299</v>
      </c>
      <c r="B294" s="227">
        <v>5</v>
      </c>
      <c r="C294" s="226">
        <f>'побудинковий звіт'!E281</f>
        <v>243.32</v>
      </c>
      <c r="D294" s="138">
        <f t="shared" si="159"/>
        <v>305.31268697589485</v>
      </c>
      <c r="E294" s="104">
        <f t="shared" si="153"/>
        <v>62.933183052459654</v>
      </c>
      <c r="F294" s="323">
        <v>53.837333613398087</v>
      </c>
      <c r="G294" s="104" t="e">
        <f t="shared" si="154"/>
        <v>#REF!</v>
      </c>
      <c r="H294" s="720">
        <f t="shared" si="160"/>
        <v>255.08102347435229</v>
      </c>
      <c r="I294" s="104" t="e">
        <f t="shared" si="161"/>
        <v>#REF!</v>
      </c>
      <c r="J294" s="28"/>
      <c r="K294" s="139" t="e">
        <f t="shared" si="162"/>
        <v>#REF!</v>
      </c>
      <c r="L294" s="200">
        <f t="shared" si="163"/>
        <v>57.816290155580432</v>
      </c>
      <c r="M294" s="104">
        <f t="shared" si="155"/>
        <v>12.720620201867186</v>
      </c>
      <c r="N294" s="323">
        <v>0</v>
      </c>
      <c r="O294" s="104"/>
      <c r="P294" s="104">
        <f t="shared" si="164"/>
        <v>48.3040472783889</v>
      </c>
      <c r="Q294" s="104">
        <f t="shared" si="165"/>
        <v>15.296356530946897</v>
      </c>
      <c r="R294" s="104"/>
      <c r="S294" s="140">
        <f t="shared" si="166"/>
        <v>134.13731416678343</v>
      </c>
      <c r="T294" s="234">
        <v>290.87</v>
      </c>
      <c r="U294" s="104"/>
      <c r="V294" s="148">
        <f t="shared" si="167"/>
        <v>290.87</v>
      </c>
      <c r="W294" s="236"/>
      <c r="X294" s="104"/>
      <c r="Y294" s="45">
        <f t="shared" si="168"/>
        <v>0</v>
      </c>
      <c r="Z294" s="138">
        <f t="shared" si="169"/>
        <v>0</v>
      </c>
      <c r="AA294" s="104">
        <f t="shared" si="156"/>
        <v>0</v>
      </c>
      <c r="AB294" s="323">
        <v>0</v>
      </c>
      <c r="AC294" s="104"/>
      <c r="AD294" s="104">
        <f t="shared" si="170"/>
        <v>0</v>
      </c>
      <c r="AE294" s="104">
        <f t="shared" si="171"/>
        <v>0</v>
      </c>
      <c r="AF294" s="104"/>
      <c r="AG294" s="139">
        <f t="shared" si="172"/>
        <v>0</v>
      </c>
      <c r="AH294" s="200">
        <f t="shared" si="173"/>
        <v>153.92659213847696</v>
      </c>
      <c r="AI294" s="104">
        <f t="shared" si="157"/>
        <v>30.703074403156329</v>
      </c>
      <c r="AJ294" s="323">
        <v>26.73756724942097</v>
      </c>
      <c r="AK294" s="118" t="e">
        <f t="shared" si="158"/>
        <v>#REF!</v>
      </c>
      <c r="AL294" s="408"/>
      <c r="AM294" s="104">
        <f t="shared" si="174"/>
        <v>128.60177233873631</v>
      </c>
      <c r="AN294" s="104" t="e">
        <f t="shared" si="175"/>
        <v>#REF!</v>
      </c>
      <c r="AO294" s="104"/>
      <c r="AP294" s="140" t="e">
        <f t="shared" si="176"/>
        <v>#REF!</v>
      </c>
      <c r="AQ294" s="33"/>
      <c r="AR294" s="28"/>
      <c r="AS294" s="121"/>
      <c r="AT294" s="135" t="e">
        <f t="shared" si="177"/>
        <v>#REF!</v>
      </c>
      <c r="AU294" s="148" t="e">
        <f t="shared" si="178"/>
        <v>#REF!</v>
      </c>
      <c r="AW294" s="1">
        <v>2</v>
      </c>
      <c r="BA294" s="29">
        <v>278.37</v>
      </c>
      <c r="BB294" s="29">
        <v>51.96</v>
      </c>
      <c r="BC294" s="29">
        <v>0</v>
      </c>
      <c r="BD294" s="29">
        <v>148.44999999999999</v>
      </c>
      <c r="BI294" s="323">
        <v>0</v>
      </c>
      <c r="BL294" s="107">
        <f t="shared" si="185"/>
        <v>1.0967873225415627</v>
      </c>
      <c r="BM294" s="107">
        <f t="shared" si="185"/>
        <v>1.1127076627324948</v>
      </c>
      <c r="BN294" s="107">
        <f t="shared" si="185"/>
        <v>2.8314493742615632</v>
      </c>
      <c r="BO294" s="107">
        <f t="shared" si="185"/>
        <v>1.036891829831438</v>
      </c>
    </row>
    <row r="295" spans="1:67" x14ac:dyDescent="0.25">
      <c r="A295" s="250" t="s">
        <v>300</v>
      </c>
      <c r="B295" s="227">
        <v>5</v>
      </c>
      <c r="C295" s="226">
        <f>'побудинковий звіт'!E282</f>
        <v>325</v>
      </c>
      <c r="D295" s="138">
        <f t="shared" si="159"/>
        <v>368.64118697944468</v>
      </c>
      <c r="E295" s="104">
        <f t="shared" si="153"/>
        <v>75.986895699113461</v>
      </c>
      <c r="F295" s="323">
        <v>63.191233213299512</v>
      </c>
      <c r="G295" s="104" t="e">
        <f t="shared" si="154"/>
        <v>#REF!</v>
      </c>
      <c r="H295" s="720">
        <f t="shared" si="160"/>
        <v>307.99038258420285</v>
      </c>
      <c r="I295" s="104" t="e">
        <f t="shared" si="161"/>
        <v>#REF!</v>
      </c>
      <c r="J295" s="28"/>
      <c r="K295" s="139" t="e">
        <f t="shared" si="162"/>
        <v>#REF!</v>
      </c>
      <c r="L295" s="200">
        <f t="shared" si="163"/>
        <v>74.31774479390333</v>
      </c>
      <c r="M295" s="104">
        <f t="shared" si="155"/>
        <v>16.351236013908956</v>
      </c>
      <c r="N295" s="323">
        <v>0</v>
      </c>
      <c r="O295" s="104"/>
      <c r="P295" s="104">
        <f t="shared" si="164"/>
        <v>62.090595029322451</v>
      </c>
      <c r="Q295" s="104">
        <f t="shared" si="165"/>
        <v>19.662118027366112</v>
      </c>
      <c r="R295" s="104"/>
      <c r="S295" s="140">
        <f t="shared" si="166"/>
        <v>172.42169386450087</v>
      </c>
      <c r="T295" s="234">
        <v>304.16000000000003</v>
      </c>
      <c r="U295" s="104"/>
      <c r="V295" s="148">
        <f t="shared" si="167"/>
        <v>304.16000000000003</v>
      </c>
      <c r="W295" s="236"/>
      <c r="X295" s="104"/>
      <c r="Y295" s="45">
        <f t="shared" si="168"/>
        <v>0</v>
      </c>
      <c r="Z295" s="138">
        <f t="shared" si="169"/>
        <v>0</v>
      </c>
      <c r="AA295" s="104">
        <f t="shared" si="156"/>
        <v>0</v>
      </c>
      <c r="AB295" s="323">
        <v>0</v>
      </c>
      <c r="AC295" s="104"/>
      <c r="AD295" s="104">
        <f t="shared" si="170"/>
        <v>0</v>
      </c>
      <c r="AE295" s="104">
        <f t="shared" si="171"/>
        <v>0</v>
      </c>
      <c r="AF295" s="104"/>
      <c r="AG295" s="139">
        <f t="shared" si="172"/>
        <v>0</v>
      </c>
      <c r="AH295" s="200">
        <f t="shared" si="173"/>
        <v>208.23898618504771</v>
      </c>
      <c r="AI295" s="104">
        <f t="shared" si="157"/>
        <v>41.536533731127562</v>
      </c>
      <c r="AJ295" s="323">
        <v>24.81008720104137</v>
      </c>
      <c r="AK295" s="118" t="e">
        <f t="shared" si="158"/>
        <v>#REF!</v>
      </c>
      <c r="AL295" s="408"/>
      <c r="AM295" s="104">
        <f t="shared" si="174"/>
        <v>173.97840309052486</v>
      </c>
      <c r="AN295" s="104" t="e">
        <f t="shared" si="175"/>
        <v>#REF!</v>
      </c>
      <c r="AO295" s="104"/>
      <c r="AP295" s="140" t="e">
        <f t="shared" si="176"/>
        <v>#REF!</v>
      </c>
      <c r="AQ295" s="33"/>
      <c r="AR295" s="28"/>
      <c r="AS295" s="121"/>
      <c r="AT295" s="135" t="e">
        <f t="shared" si="177"/>
        <v>#REF!</v>
      </c>
      <c r="AU295" s="148" t="e">
        <f t="shared" si="178"/>
        <v>#REF!</v>
      </c>
      <c r="AW295" s="1">
        <v>2</v>
      </c>
      <c r="BA295" s="29">
        <v>336.11</v>
      </c>
      <c r="BB295" s="29">
        <v>66.790000000000006</v>
      </c>
      <c r="BC295" s="29">
        <v>0</v>
      </c>
      <c r="BD295" s="29">
        <v>200.83</v>
      </c>
      <c r="BI295" s="323">
        <v>0</v>
      </c>
      <c r="BL295" s="107">
        <f t="shared" si="185"/>
        <v>1.0967873225415627</v>
      </c>
      <c r="BM295" s="107">
        <f t="shared" si="185"/>
        <v>1.1127076627324948</v>
      </c>
      <c r="BN295" s="107">
        <f t="shared" si="185"/>
        <v>2.8314493742615632</v>
      </c>
      <c r="BO295" s="107">
        <f t="shared" si="185"/>
        <v>1.036891829831438</v>
      </c>
    </row>
    <row r="296" spans="1:67" x14ac:dyDescent="0.25">
      <c r="A296" s="250" t="s">
        <v>301</v>
      </c>
      <c r="B296" s="227">
        <v>5</v>
      </c>
      <c r="C296" s="226">
        <f>'побудинковий звіт'!E283</f>
        <v>241.4</v>
      </c>
      <c r="D296" s="138">
        <f t="shared" si="159"/>
        <v>335.48530621901318</v>
      </c>
      <c r="E296" s="104">
        <f t="shared" si="153"/>
        <v>69.152574027683855</v>
      </c>
      <c r="F296" s="323">
        <v>54.777042864790381</v>
      </c>
      <c r="G296" s="104" t="e">
        <f t="shared" si="154"/>
        <v>#REF!</v>
      </c>
      <c r="H296" s="720">
        <f t="shared" si="160"/>
        <v>280.28948327885502</v>
      </c>
      <c r="I296" s="104" t="e">
        <f t="shared" si="161"/>
        <v>#REF!</v>
      </c>
      <c r="J296" s="28"/>
      <c r="K296" s="139" t="e">
        <f t="shared" si="162"/>
        <v>#REF!</v>
      </c>
      <c r="L296" s="200">
        <f t="shared" si="163"/>
        <v>58.205737837536802</v>
      </c>
      <c r="M296" s="104">
        <f t="shared" si="155"/>
        <v>12.806305672818947</v>
      </c>
      <c r="N296" s="323">
        <v>0</v>
      </c>
      <c r="O296" s="104"/>
      <c r="P296" s="104">
        <f t="shared" si="164"/>
        <v>48.629420960980049</v>
      </c>
      <c r="Q296" s="104">
        <f t="shared" si="165"/>
        <v>15.39939203490824</v>
      </c>
      <c r="R296" s="104"/>
      <c r="S296" s="140">
        <f t="shared" si="166"/>
        <v>135.04085650624404</v>
      </c>
      <c r="T296" s="234">
        <v>295.94</v>
      </c>
      <c r="U296" s="104"/>
      <c r="V296" s="148">
        <f t="shared" si="167"/>
        <v>295.94</v>
      </c>
      <c r="W296" s="236"/>
      <c r="X296" s="104"/>
      <c r="Y296" s="45">
        <f t="shared" si="168"/>
        <v>0</v>
      </c>
      <c r="Z296" s="138">
        <f t="shared" si="169"/>
        <v>0</v>
      </c>
      <c r="AA296" s="104">
        <f t="shared" si="156"/>
        <v>0</v>
      </c>
      <c r="AB296" s="323">
        <v>0</v>
      </c>
      <c r="AC296" s="104"/>
      <c r="AD296" s="104">
        <f t="shared" si="170"/>
        <v>0</v>
      </c>
      <c r="AE296" s="104">
        <f t="shared" si="171"/>
        <v>0</v>
      </c>
      <c r="AF296" s="104"/>
      <c r="AG296" s="139">
        <f t="shared" si="172"/>
        <v>0</v>
      </c>
      <c r="AH296" s="200">
        <f t="shared" si="173"/>
        <v>165.97527520111828</v>
      </c>
      <c r="AI296" s="104">
        <f t="shared" si="157"/>
        <v>33.106373322419898</v>
      </c>
      <c r="AJ296" s="323">
        <v>21.506515081028741</v>
      </c>
      <c r="AK296" s="118" t="e">
        <f t="shared" si="158"/>
        <v>#REF!</v>
      </c>
      <c r="AL296" s="104"/>
      <c r="AM296" s="104">
        <f t="shared" si="174"/>
        <v>138.66814212368826</v>
      </c>
      <c r="AN296" s="104" t="e">
        <f t="shared" si="175"/>
        <v>#REF!</v>
      </c>
      <c r="AO296" s="104"/>
      <c r="AP296" s="140" t="e">
        <f t="shared" si="176"/>
        <v>#REF!</v>
      </c>
      <c r="AQ296" s="33"/>
      <c r="AR296" s="28"/>
      <c r="AS296" s="121"/>
      <c r="AT296" s="135" t="e">
        <f t="shared" si="177"/>
        <v>#REF!</v>
      </c>
      <c r="AU296" s="148" t="e">
        <f t="shared" si="178"/>
        <v>#REF!</v>
      </c>
      <c r="AW296" s="1">
        <v>2</v>
      </c>
      <c r="BA296" s="29">
        <v>305.88</v>
      </c>
      <c r="BB296" s="29">
        <v>52.31</v>
      </c>
      <c r="BC296" s="29">
        <v>0</v>
      </c>
      <c r="BD296" s="29">
        <v>160.07</v>
      </c>
      <c r="BI296" s="323">
        <v>0</v>
      </c>
      <c r="BL296" s="107">
        <f t="shared" si="185"/>
        <v>1.0967873225415627</v>
      </c>
      <c r="BM296" s="107">
        <f t="shared" si="185"/>
        <v>1.1127076627324948</v>
      </c>
      <c r="BN296" s="107">
        <f t="shared" si="185"/>
        <v>2.8314493742615632</v>
      </c>
      <c r="BO296" s="107">
        <f t="shared" si="185"/>
        <v>1.036891829831438</v>
      </c>
    </row>
    <row r="297" spans="1:67" x14ac:dyDescent="0.25">
      <c r="A297" s="250" t="s">
        <v>302</v>
      </c>
      <c r="B297" s="227">
        <v>5</v>
      </c>
      <c r="C297" s="226">
        <f>'побудинковий звіт'!E284</f>
        <v>148.69999999999999</v>
      </c>
      <c r="D297" s="138">
        <f t="shared" si="159"/>
        <v>218.01938397481183</v>
      </c>
      <c r="E297" s="104">
        <f t="shared" si="153"/>
        <v>44.939677864597222</v>
      </c>
      <c r="F297" s="323">
        <v>64.391153434527979</v>
      </c>
      <c r="G297" s="104" t="e">
        <f t="shared" si="154"/>
        <v>#REF!</v>
      </c>
      <c r="H297" s="720">
        <f t="shared" si="160"/>
        <v>182.14967793308094</v>
      </c>
      <c r="I297" s="104" t="e">
        <f t="shared" si="161"/>
        <v>#REF!</v>
      </c>
      <c r="J297" s="28"/>
      <c r="K297" s="139" t="e">
        <f t="shared" si="162"/>
        <v>#REF!</v>
      </c>
      <c r="L297" s="200">
        <f t="shared" si="163"/>
        <v>43.740538222014372</v>
      </c>
      <c r="M297" s="104">
        <f t="shared" si="155"/>
        <v>9.6237024660392443</v>
      </c>
      <c r="N297" s="323">
        <v>0</v>
      </c>
      <c r="O297" s="104"/>
      <c r="P297" s="104">
        <f t="shared" si="164"/>
        <v>36.544112750451646</v>
      </c>
      <c r="Q297" s="104">
        <f t="shared" si="165"/>
        <v>11.572359030629762</v>
      </c>
      <c r="R297" s="104"/>
      <c r="S297" s="140">
        <f t="shared" si="166"/>
        <v>101.48071246913503</v>
      </c>
      <c r="T297" s="234">
        <v>347.63</v>
      </c>
      <c r="U297" s="104"/>
      <c r="V297" s="148">
        <f t="shared" si="167"/>
        <v>347.63</v>
      </c>
      <c r="W297" s="236"/>
      <c r="X297" s="104"/>
      <c r="Y297" s="45">
        <f t="shared" si="168"/>
        <v>0</v>
      </c>
      <c r="Z297" s="138">
        <f t="shared" si="169"/>
        <v>0</v>
      </c>
      <c r="AA297" s="104">
        <f t="shared" si="156"/>
        <v>0</v>
      </c>
      <c r="AB297" s="323">
        <v>0</v>
      </c>
      <c r="AC297" s="104"/>
      <c r="AD297" s="104">
        <f t="shared" si="170"/>
        <v>0</v>
      </c>
      <c r="AE297" s="104">
        <f t="shared" si="171"/>
        <v>0</v>
      </c>
      <c r="AF297" s="104"/>
      <c r="AG297" s="139">
        <f t="shared" si="172"/>
        <v>0</v>
      </c>
      <c r="AH297" s="200">
        <f t="shared" si="173"/>
        <v>160.30347689194031</v>
      </c>
      <c r="AI297" s="104">
        <f t="shared" si="157"/>
        <v>31.97504414097655</v>
      </c>
      <c r="AJ297" s="323">
        <v>25.281198838038282</v>
      </c>
      <c r="AK297" s="118" t="e">
        <f t="shared" si="158"/>
        <v>#REF!</v>
      </c>
      <c r="AL297" s="408"/>
      <c r="AM297" s="104">
        <f t="shared" si="174"/>
        <v>133.92949817156372</v>
      </c>
      <c r="AN297" s="104" t="e">
        <f t="shared" si="175"/>
        <v>#REF!</v>
      </c>
      <c r="AO297" s="104"/>
      <c r="AP297" s="140" t="e">
        <f t="shared" si="176"/>
        <v>#REF!</v>
      </c>
      <c r="AQ297" s="33"/>
      <c r="AR297" s="28"/>
      <c r="AS297" s="121"/>
      <c r="AT297" s="135" t="e">
        <f t="shared" si="177"/>
        <v>#REF!</v>
      </c>
      <c r="AU297" s="148" t="e">
        <f t="shared" si="178"/>
        <v>#REF!</v>
      </c>
      <c r="AW297" s="1">
        <v>2</v>
      </c>
      <c r="BA297" s="29">
        <v>198.78</v>
      </c>
      <c r="BB297" s="29">
        <v>39.31</v>
      </c>
      <c r="BC297" s="29">
        <v>0</v>
      </c>
      <c r="BD297" s="29">
        <v>154.6</v>
      </c>
      <c r="BI297" s="323">
        <v>0</v>
      </c>
      <c r="BL297" s="107">
        <f t="shared" si="185"/>
        <v>1.0967873225415627</v>
      </c>
      <c r="BM297" s="107">
        <f t="shared" si="185"/>
        <v>1.1127076627324948</v>
      </c>
      <c r="BN297" s="107">
        <f t="shared" si="185"/>
        <v>2.8314493742615632</v>
      </c>
      <c r="BO297" s="107">
        <f t="shared" si="185"/>
        <v>1.036891829831438</v>
      </c>
    </row>
    <row r="298" spans="1:67" x14ac:dyDescent="0.25">
      <c r="A298" s="250" t="s">
        <v>303</v>
      </c>
      <c r="B298" s="227">
        <v>5</v>
      </c>
      <c r="C298" s="226">
        <f>'побудинковий звіт'!E285</f>
        <v>4572.4000000000005</v>
      </c>
      <c r="D298" s="138">
        <f t="shared" si="159"/>
        <v>335.48530621901318</v>
      </c>
      <c r="E298" s="104">
        <f t="shared" si="153"/>
        <v>69.152574027683855</v>
      </c>
      <c r="F298" s="323">
        <v>54.686864488199369</v>
      </c>
      <c r="G298" s="104" t="e">
        <f t="shared" si="154"/>
        <v>#REF!</v>
      </c>
      <c r="H298" s="720">
        <f t="shared" si="160"/>
        <v>280.28948327885502</v>
      </c>
      <c r="I298" s="104" t="e">
        <f t="shared" si="161"/>
        <v>#REF!</v>
      </c>
      <c r="J298" s="28"/>
      <c r="K298" s="139" t="e">
        <f t="shared" si="162"/>
        <v>#REF!</v>
      </c>
      <c r="L298" s="200">
        <f t="shared" si="163"/>
        <v>58.205737837536802</v>
      </c>
      <c r="M298" s="104">
        <f t="shared" si="155"/>
        <v>12.806305672818947</v>
      </c>
      <c r="N298" s="323">
        <v>0</v>
      </c>
      <c r="O298" s="104"/>
      <c r="P298" s="104">
        <f t="shared" si="164"/>
        <v>48.629420960980049</v>
      </c>
      <c r="Q298" s="104">
        <f t="shared" si="165"/>
        <v>15.39939203490824</v>
      </c>
      <c r="R298" s="104"/>
      <c r="S298" s="140">
        <f t="shared" si="166"/>
        <v>135.04085650624404</v>
      </c>
      <c r="T298" s="234">
        <v>295.45999999999998</v>
      </c>
      <c r="U298" s="104"/>
      <c r="V298" s="148">
        <f t="shared" si="167"/>
        <v>295.45999999999998</v>
      </c>
      <c r="W298" s="236"/>
      <c r="X298" s="104"/>
      <c r="Y298" s="45">
        <f t="shared" si="168"/>
        <v>0</v>
      </c>
      <c r="Z298" s="138">
        <f t="shared" si="169"/>
        <v>0</v>
      </c>
      <c r="AA298" s="104">
        <f t="shared" si="156"/>
        <v>0</v>
      </c>
      <c r="AB298" s="323">
        <v>0</v>
      </c>
      <c r="AC298" s="104"/>
      <c r="AD298" s="104">
        <f t="shared" si="170"/>
        <v>0</v>
      </c>
      <c r="AE298" s="104">
        <f t="shared" si="171"/>
        <v>0</v>
      </c>
      <c r="AF298" s="104"/>
      <c r="AG298" s="139">
        <f t="shared" si="172"/>
        <v>0</v>
      </c>
      <c r="AH298" s="200">
        <f t="shared" si="173"/>
        <v>164.52362663935426</v>
      </c>
      <c r="AI298" s="104">
        <f t="shared" si="157"/>
        <v>32.816819235761635</v>
      </c>
      <c r="AJ298" s="323">
        <v>21.471109324991044</v>
      </c>
      <c r="AK298" s="118" t="e">
        <f t="shared" si="158"/>
        <v>#REF!</v>
      </c>
      <c r="AL298" s="408"/>
      <c r="AM298" s="104">
        <f t="shared" si="174"/>
        <v>137.45532648694706</v>
      </c>
      <c r="AN298" s="104" t="e">
        <f t="shared" si="175"/>
        <v>#REF!</v>
      </c>
      <c r="AO298" s="104"/>
      <c r="AP298" s="140" t="e">
        <f t="shared" si="176"/>
        <v>#REF!</v>
      </c>
      <c r="AQ298" s="33"/>
      <c r="AR298" s="28"/>
      <c r="AS298" s="121"/>
      <c r="AT298" s="135" t="e">
        <f t="shared" si="177"/>
        <v>#REF!</v>
      </c>
      <c r="AU298" s="148" t="e">
        <f t="shared" si="178"/>
        <v>#REF!</v>
      </c>
      <c r="AW298" s="1">
        <v>2</v>
      </c>
      <c r="BA298" s="29">
        <v>305.88</v>
      </c>
      <c r="BB298" s="29">
        <v>52.31</v>
      </c>
      <c r="BC298" s="29">
        <v>0</v>
      </c>
      <c r="BD298" s="29">
        <v>158.66999999999999</v>
      </c>
      <c r="BI298" s="323">
        <v>0</v>
      </c>
      <c r="BL298" s="107">
        <f t="shared" si="185"/>
        <v>1.0967873225415627</v>
      </c>
      <c r="BM298" s="107">
        <f t="shared" si="185"/>
        <v>1.1127076627324948</v>
      </c>
      <c r="BN298" s="107">
        <f t="shared" si="185"/>
        <v>2.8314493742615632</v>
      </c>
      <c r="BO298" s="107">
        <f t="shared" si="185"/>
        <v>1.036891829831438</v>
      </c>
    </row>
    <row r="299" spans="1:67" x14ac:dyDescent="0.25">
      <c r="A299" s="250" t="s">
        <v>188</v>
      </c>
      <c r="B299" s="227">
        <v>2</v>
      </c>
      <c r="C299" s="226">
        <f>'побудинковий звіт'!E286</f>
        <v>4578.4000000000005</v>
      </c>
      <c r="D299" s="138">
        <f t="shared" si="159"/>
        <v>40.200521263318088</v>
      </c>
      <c r="E299" s="104">
        <f t="shared" si="153"/>
        <v>8.2864121649436697</v>
      </c>
      <c r="F299" s="323">
        <v>9.5920069476366603</v>
      </c>
      <c r="G299" s="104" t="e">
        <f t="shared" si="154"/>
        <v>#REF!</v>
      </c>
      <c r="H299" s="720">
        <f t="shared" si="160"/>
        <v>33.58651816804209</v>
      </c>
      <c r="I299" s="104" t="e">
        <f t="shared" si="161"/>
        <v>#REF!</v>
      </c>
      <c r="J299" s="28"/>
      <c r="K299" s="139" t="e">
        <f t="shared" si="162"/>
        <v>#REF!</v>
      </c>
      <c r="L299" s="200">
        <f t="shared" si="163"/>
        <v>14.779354937842745</v>
      </c>
      <c r="M299" s="104">
        <f t="shared" si="155"/>
        <v>3.2517230089821316</v>
      </c>
      <c r="N299" s="323">
        <v>0</v>
      </c>
      <c r="O299" s="104"/>
      <c r="P299" s="104">
        <f t="shared" si="164"/>
        <v>12.34777703205401</v>
      </c>
      <c r="Q299" s="104">
        <f t="shared" si="165"/>
        <v>3.9101485380385097</v>
      </c>
      <c r="R299" s="104"/>
      <c r="S299" s="140">
        <f t="shared" si="166"/>
        <v>34.289003516917397</v>
      </c>
      <c r="T299" s="235"/>
      <c r="U299" s="104"/>
      <c r="V299" s="148">
        <f t="shared" si="167"/>
        <v>0</v>
      </c>
      <c r="W299" s="236"/>
      <c r="X299" s="104"/>
      <c r="Y299" s="45">
        <f t="shared" si="168"/>
        <v>0</v>
      </c>
      <c r="Z299" s="138">
        <f t="shared" si="169"/>
        <v>0</v>
      </c>
      <c r="AA299" s="104">
        <f t="shared" si="156"/>
        <v>0</v>
      </c>
      <c r="AB299" s="323">
        <v>0</v>
      </c>
      <c r="AC299" s="104"/>
      <c r="AD299" s="104">
        <f t="shared" si="170"/>
        <v>0</v>
      </c>
      <c r="AE299" s="104">
        <f t="shared" si="171"/>
        <v>0</v>
      </c>
      <c r="AF299" s="104"/>
      <c r="AG299" s="139">
        <f t="shared" si="172"/>
        <v>0</v>
      </c>
      <c r="AH299" s="200">
        <f t="shared" si="173"/>
        <v>22.36530365376878</v>
      </c>
      <c r="AI299" s="104">
        <f t="shared" si="157"/>
        <v>4.4611107969770805</v>
      </c>
      <c r="AJ299" s="323">
        <v>5.3990405091461069</v>
      </c>
      <c r="AK299" s="118" t="e">
        <f t="shared" si="158"/>
        <v>#REF!</v>
      </c>
      <c r="AL299" s="104"/>
      <c r="AM299" s="104">
        <f t="shared" si="174"/>
        <v>18.685645207951779</v>
      </c>
      <c r="AN299" s="104" t="e">
        <f t="shared" si="175"/>
        <v>#REF!</v>
      </c>
      <c r="AO299" s="104"/>
      <c r="AP299" s="140" t="e">
        <f t="shared" si="176"/>
        <v>#REF!</v>
      </c>
      <c r="AQ299" s="33"/>
      <c r="AR299" s="28"/>
      <c r="AS299" s="121"/>
      <c r="AT299" s="135" t="e">
        <f t="shared" si="177"/>
        <v>#REF!</v>
      </c>
      <c r="AU299" s="148" t="e">
        <f t="shared" si="178"/>
        <v>#REF!</v>
      </c>
      <c r="AW299" s="1">
        <v>3</v>
      </c>
      <c r="BA299" s="29">
        <v>32.86</v>
      </c>
      <c r="BB299" s="29">
        <v>11.54</v>
      </c>
      <c r="BC299" s="29">
        <v>0</v>
      </c>
      <c r="BD299" s="29">
        <v>17.25</v>
      </c>
      <c r="BI299" s="323">
        <v>0</v>
      </c>
      <c r="BL299" s="107">
        <f>BA$399</f>
        <v>1.2233877438623886</v>
      </c>
      <c r="BM299" s="107">
        <f>BB$399</f>
        <v>1.2807066670574303</v>
      </c>
      <c r="BN299" s="107">
        <f>BC$399</f>
        <v>0.82443024793968056</v>
      </c>
      <c r="BO299" s="107">
        <f>BD$399</f>
        <v>1.2965393422474656</v>
      </c>
    </row>
    <row r="300" spans="1:67" x14ac:dyDescent="0.25">
      <c r="A300" s="250" t="s">
        <v>304</v>
      </c>
      <c r="B300" s="227">
        <v>5</v>
      </c>
      <c r="C300" s="226">
        <f>'побудинковий звіт'!E287</f>
        <v>3208.53</v>
      </c>
      <c r="D300" s="138">
        <f t="shared" si="159"/>
        <v>388.17496919390993</v>
      </c>
      <c r="E300" s="104">
        <f t="shared" si="153"/>
        <v>80.013335294487632</v>
      </c>
      <c r="F300" s="323">
        <v>68.105744040367867</v>
      </c>
      <c r="G300" s="104" t="e">
        <f t="shared" si="154"/>
        <v>#REF!</v>
      </c>
      <c r="H300" s="720">
        <f t="shared" si="160"/>
        <v>324.31036328642728</v>
      </c>
      <c r="I300" s="104" t="e">
        <f t="shared" si="161"/>
        <v>#REF!</v>
      </c>
      <c r="J300" s="28"/>
      <c r="K300" s="139" t="e">
        <f t="shared" si="162"/>
        <v>#REF!</v>
      </c>
      <c r="L300" s="200">
        <f t="shared" si="163"/>
        <v>82.729814724160974</v>
      </c>
      <c r="M300" s="104">
        <f t="shared" si="155"/>
        <v>18.202042186466997</v>
      </c>
      <c r="N300" s="323">
        <v>0</v>
      </c>
      <c r="O300" s="104"/>
      <c r="P300" s="104">
        <f t="shared" si="164"/>
        <v>69.118666573291264</v>
      </c>
      <c r="Q300" s="104">
        <f t="shared" si="165"/>
        <v>21.887684912931128</v>
      </c>
      <c r="R300" s="104"/>
      <c r="S300" s="140">
        <f t="shared" si="166"/>
        <v>191.93820839685034</v>
      </c>
      <c r="T300" s="234">
        <v>319.47000000000003</v>
      </c>
      <c r="U300" s="104"/>
      <c r="V300" s="148">
        <f t="shared" si="167"/>
        <v>319.47000000000003</v>
      </c>
      <c r="W300" s="236"/>
      <c r="X300" s="104"/>
      <c r="Y300" s="45">
        <f t="shared" si="168"/>
        <v>0</v>
      </c>
      <c r="Z300" s="138">
        <f t="shared" si="169"/>
        <v>0</v>
      </c>
      <c r="AA300" s="104">
        <f t="shared" si="156"/>
        <v>0</v>
      </c>
      <c r="AB300" s="323">
        <v>0</v>
      </c>
      <c r="AC300" s="104"/>
      <c r="AD300" s="104">
        <f t="shared" si="170"/>
        <v>0</v>
      </c>
      <c r="AE300" s="104">
        <f t="shared" si="171"/>
        <v>0</v>
      </c>
      <c r="AF300" s="104"/>
      <c r="AG300" s="139">
        <f t="shared" si="172"/>
        <v>0</v>
      </c>
      <c r="AH300" s="200">
        <f t="shared" si="173"/>
        <v>214.15963853338519</v>
      </c>
      <c r="AI300" s="104">
        <f t="shared" si="157"/>
        <v>42.717500755998039</v>
      </c>
      <c r="AJ300" s="323">
        <v>26.739618181366758</v>
      </c>
      <c r="AK300" s="118" t="e">
        <f t="shared" si="158"/>
        <v>#REF!</v>
      </c>
      <c r="AL300" s="104"/>
      <c r="AM300" s="104">
        <f t="shared" si="174"/>
        <v>178.92495829466216</v>
      </c>
      <c r="AN300" s="104" t="e">
        <f t="shared" si="175"/>
        <v>#REF!</v>
      </c>
      <c r="AO300" s="104"/>
      <c r="AP300" s="140" t="e">
        <f t="shared" si="176"/>
        <v>#REF!</v>
      </c>
      <c r="AQ300" s="33"/>
      <c r="AR300" s="28"/>
      <c r="AS300" s="121"/>
      <c r="AT300" s="135" t="e">
        <f t="shared" si="177"/>
        <v>#REF!</v>
      </c>
      <c r="AU300" s="148" t="e">
        <f t="shared" si="178"/>
        <v>#REF!</v>
      </c>
      <c r="AW300" s="1">
        <v>2</v>
      </c>
      <c r="BA300" s="29">
        <v>353.92</v>
      </c>
      <c r="BB300" s="29">
        <v>74.349999999999994</v>
      </c>
      <c r="BC300" s="29">
        <v>0</v>
      </c>
      <c r="BD300" s="29">
        <v>206.54</v>
      </c>
      <c r="BI300" s="323">
        <v>0</v>
      </c>
      <c r="BL300" s="107">
        <f t="shared" ref="BL300:BO303" si="186">BA$398</f>
        <v>1.0967873225415627</v>
      </c>
      <c r="BM300" s="107">
        <f t="shared" si="186"/>
        <v>1.1127076627324948</v>
      </c>
      <c r="BN300" s="107">
        <f t="shared" si="186"/>
        <v>2.8314493742615632</v>
      </c>
      <c r="BO300" s="107">
        <f t="shared" si="186"/>
        <v>1.036891829831438</v>
      </c>
    </row>
    <row r="301" spans="1:67" x14ac:dyDescent="0.25">
      <c r="A301" s="250" t="s">
        <v>229</v>
      </c>
      <c r="B301" s="227">
        <v>4</v>
      </c>
      <c r="C301" s="226">
        <f>'побудинковий звіт'!E288</f>
        <v>6255.8</v>
      </c>
      <c r="D301" s="138">
        <f t="shared" si="159"/>
        <v>340.38794555077402</v>
      </c>
      <c r="E301" s="104">
        <f t="shared" si="153"/>
        <v>70.163140282109609</v>
      </c>
      <c r="F301" s="323">
        <v>51.563068667315527</v>
      </c>
      <c r="G301" s="104" t="e">
        <f t="shared" si="154"/>
        <v>#REF!</v>
      </c>
      <c r="H301" s="720">
        <f t="shared" si="160"/>
        <v>284.38551437031731</v>
      </c>
      <c r="I301" s="104" t="e">
        <f t="shared" si="161"/>
        <v>#REF!</v>
      </c>
      <c r="J301" s="28"/>
      <c r="K301" s="139" t="e">
        <f t="shared" si="162"/>
        <v>#REF!</v>
      </c>
      <c r="L301" s="200">
        <f t="shared" si="163"/>
        <v>56.53667634343806</v>
      </c>
      <c r="M301" s="104">
        <f t="shared" si="155"/>
        <v>12.439082225882828</v>
      </c>
      <c r="N301" s="323">
        <v>0</v>
      </c>
      <c r="O301" s="104"/>
      <c r="P301" s="104">
        <f t="shared" si="164"/>
        <v>47.234962321303691</v>
      </c>
      <c r="Q301" s="104">
        <f t="shared" si="165"/>
        <v>14.957811303645336</v>
      </c>
      <c r="R301" s="104"/>
      <c r="S301" s="140">
        <f t="shared" si="166"/>
        <v>131.16853219426991</v>
      </c>
      <c r="T301" s="234">
        <v>287.35000000000002</v>
      </c>
      <c r="U301" s="104"/>
      <c r="V301" s="148">
        <f t="shared" si="167"/>
        <v>287.35000000000002</v>
      </c>
      <c r="W301" s="881">
        <v>74.23</v>
      </c>
      <c r="X301" s="104"/>
      <c r="Y301" s="45">
        <f t="shared" si="168"/>
        <v>74.23</v>
      </c>
      <c r="Z301" s="138">
        <f t="shared" si="169"/>
        <v>0</v>
      </c>
      <c r="AA301" s="104">
        <f t="shared" si="156"/>
        <v>0</v>
      </c>
      <c r="AB301" s="323">
        <v>0</v>
      </c>
      <c r="AC301" s="104"/>
      <c r="AD301" s="104">
        <f t="shared" si="170"/>
        <v>0</v>
      </c>
      <c r="AE301" s="104">
        <f t="shared" si="171"/>
        <v>0</v>
      </c>
      <c r="AF301" s="104"/>
      <c r="AG301" s="139">
        <f t="shared" si="172"/>
        <v>0</v>
      </c>
      <c r="AH301" s="200">
        <f t="shared" si="173"/>
        <v>188.40324548037228</v>
      </c>
      <c r="AI301" s="104">
        <f t="shared" si="157"/>
        <v>37.579983961290033</v>
      </c>
      <c r="AJ301" s="323">
        <v>20.244647317946921</v>
      </c>
      <c r="AK301" s="118" t="e">
        <f t="shared" si="158"/>
        <v>#REF!</v>
      </c>
      <c r="AL301" s="104"/>
      <c r="AM301" s="104">
        <f t="shared" si="174"/>
        <v>157.40614371133978</v>
      </c>
      <c r="AN301" s="104" t="e">
        <f t="shared" si="175"/>
        <v>#REF!</v>
      </c>
      <c r="AO301" s="104"/>
      <c r="AP301" s="140" t="e">
        <f t="shared" si="176"/>
        <v>#REF!</v>
      </c>
      <c r="AQ301" s="33"/>
      <c r="AR301" s="28"/>
      <c r="AS301" s="121"/>
      <c r="AT301" s="135" t="e">
        <f t="shared" si="177"/>
        <v>#REF!</v>
      </c>
      <c r="AU301" s="148" t="e">
        <f t="shared" si="178"/>
        <v>#REF!</v>
      </c>
      <c r="AW301" s="1">
        <v>2</v>
      </c>
      <c r="BA301" s="29">
        <v>310.35000000000002</v>
      </c>
      <c r="BB301" s="29">
        <v>50.81</v>
      </c>
      <c r="BC301" s="29">
        <v>0</v>
      </c>
      <c r="BD301" s="29">
        <v>181.7</v>
      </c>
      <c r="BI301" s="323">
        <v>0</v>
      </c>
      <c r="BL301" s="107">
        <f t="shared" si="186"/>
        <v>1.0967873225415627</v>
      </c>
      <c r="BM301" s="107">
        <f t="shared" si="186"/>
        <v>1.1127076627324948</v>
      </c>
      <c r="BN301" s="107">
        <f t="shared" si="186"/>
        <v>2.8314493742615632</v>
      </c>
      <c r="BO301" s="107">
        <f t="shared" si="186"/>
        <v>1.036891829831438</v>
      </c>
    </row>
    <row r="302" spans="1:67" x14ac:dyDescent="0.25">
      <c r="A302" s="250" t="s">
        <v>230</v>
      </c>
      <c r="B302" s="227">
        <v>4</v>
      </c>
      <c r="C302" s="226">
        <f>'побудинковий звіт'!E289</f>
        <v>2767.8</v>
      </c>
      <c r="D302" s="138">
        <f t="shared" si="159"/>
        <v>355.7429680663559</v>
      </c>
      <c r="E302" s="104">
        <f t="shared" si="153"/>
        <v>73.328224747872568</v>
      </c>
      <c r="F302" s="323">
        <v>54.410429838462449</v>
      </c>
      <c r="G302" s="104" t="e">
        <f t="shared" si="154"/>
        <v>#REF!</v>
      </c>
      <c r="H302" s="720">
        <f t="shared" si="160"/>
        <v>297.21424709525513</v>
      </c>
      <c r="I302" s="104" t="e">
        <f t="shared" si="161"/>
        <v>#REF!</v>
      </c>
      <c r="J302" s="28"/>
      <c r="K302" s="139" t="e">
        <f t="shared" si="162"/>
        <v>#REF!</v>
      </c>
      <c r="L302" s="200">
        <f t="shared" si="163"/>
        <v>56.748090799357236</v>
      </c>
      <c r="M302" s="104">
        <f t="shared" si="155"/>
        <v>12.48559719582807</v>
      </c>
      <c r="N302" s="323">
        <v>0</v>
      </c>
      <c r="O302" s="104"/>
      <c r="P302" s="104">
        <f t="shared" si="164"/>
        <v>47.411593748996033</v>
      </c>
      <c r="Q302" s="104">
        <f t="shared" si="165"/>
        <v>15.013744862938639</v>
      </c>
      <c r="R302" s="104"/>
      <c r="S302" s="140">
        <f t="shared" si="166"/>
        <v>131.65902660711998</v>
      </c>
      <c r="T302" s="234">
        <v>317.42</v>
      </c>
      <c r="U302" s="104"/>
      <c r="V302" s="148">
        <f t="shared" si="167"/>
        <v>317.42</v>
      </c>
      <c r="W302" s="236"/>
      <c r="X302" s="104"/>
      <c r="Y302" s="45">
        <f t="shared" si="168"/>
        <v>0</v>
      </c>
      <c r="Z302" s="138">
        <f t="shared" si="169"/>
        <v>0</v>
      </c>
      <c r="AA302" s="104">
        <f t="shared" si="156"/>
        <v>0</v>
      </c>
      <c r="AB302" s="323">
        <v>0</v>
      </c>
      <c r="AC302" s="104"/>
      <c r="AD302" s="104">
        <f t="shared" si="170"/>
        <v>0</v>
      </c>
      <c r="AE302" s="104">
        <f t="shared" si="171"/>
        <v>0</v>
      </c>
      <c r="AF302" s="104"/>
      <c r="AG302" s="139">
        <f t="shared" si="172"/>
        <v>0</v>
      </c>
      <c r="AH302" s="200">
        <f t="shared" si="173"/>
        <v>188.02996442163297</v>
      </c>
      <c r="AI302" s="104">
        <f t="shared" si="157"/>
        <v>37.505527196149337</v>
      </c>
      <c r="AJ302" s="323">
        <v>21.362575792464273</v>
      </c>
      <c r="AK302" s="118" t="e">
        <f t="shared" si="158"/>
        <v>#REF!</v>
      </c>
      <c r="AL302" s="104"/>
      <c r="AM302" s="104">
        <f t="shared" si="174"/>
        <v>157.09427683332061</v>
      </c>
      <c r="AN302" s="104" t="e">
        <f t="shared" si="175"/>
        <v>#REF!</v>
      </c>
      <c r="AO302" s="104"/>
      <c r="AP302" s="140" t="e">
        <f t="shared" si="176"/>
        <v>#REF!</v>
      </c>
      <c r="AQ302" s="33"/>
      <c r="AR302" s="28"/>
      <c r="AS302" s="121"/>
      <c r="AT302" s="135" t="e">
        <f t="shared" si="177"/>
        <v>#REF!</v>
      </c>
      <c r="AU302" s="148" t="e">
        <f t="shared" si="178"/>
        <v>#REF!</v>
      </c>
      <c r="AW302" s="1">
        <v>2</v>
      </c>
      <c r="BA302" s="29">
        <v>324.35000000000002</v>
      </c>
      <c r="BB302" s="29">
        <v>51</v>
      </c>
      <c r="BC302" s="29">
        <v>0</v>
      </c>
      <c r="BD302" s="29">
        <v>181.34</v>
      </c>
      <c r="BI302" s="323">
        <v>0</v>
      </c>
      <c r="BL302" s="107">
        <f t="shared" si="186"/>
        <v>1.0967873225415627</v>
      </c>
      <c r="BM302" s="107">
        <f t="shared" si="186"/>
        <v>1.1127076627324948</v>
      </c>
      <c r="BN302" s="107">
        <f t="shared" si="186"/>
        <v>2.8314493742615632</v>
      </c>
      <c r="BO302" s="107">
        <f t="shared" si="186"/>
        <v>1.036891829831438</v>
      </c>
    </row>
    <row r="303" spans="1:67" x14ac:dyDescent="0.25">
      <c r="A303" s="250" t="s">
        <v>231</v>
      </c>
      <c r="B303" s="227">
        <v>4</v>
      </c>
      <c r="C303" s="226">
        <f>'побудинковий звіт'!E290</f>
        <v>4580.1000000000004</v>
      </c>
      <c r="D303" s="138">
        <f t="shared" si="159"/>
        <v>635.11663486414284</v>
      </c>
      <c r="E303" s="104">
        <f t="shared" si="153"/>
        <v>130.91467582781124</v>
      </c>
      <c r="F303" s="323">
        <v>95.738674156981688</v>
      </c>
      <c r="G303" s="104" t="e">
        <f t="shared" si="154"/>
        <v>#REF!</v>
      </c>
      <c r="H303" s="720">
        <f t="shared" si="160"/>
        <v>530.62387564498044</v>
      </c>
      <c r="I303" s="104" t="e">
        <f t="shared" si="161"/>
        <v>#REF!</v>
      </c>
      <c r="J303" s="28"/>
      <c r="K303" s="139" t="e">
        <f t="shared" si="162"/>
        <v>#REF!</v>
      </c>
      <c r="L303" s="200">
        <f t="shared" si="163"/>
        <v>139.11071199481648</v>
      </c>
      <c r="M303" s="104">
        <f t="shared" si="155"/>
        <v>30.606850223969118</v>
      </c>
      <c r="N303" s="323">
        <v>0</v>
      </c>
      <c r="O303" s="104"/>
      <c r="P303" s="104">
        <f t="shared" si="164"/>
        <v>116.22347942155849</v>
      </c>
      <c r="Q303" s="104">
        <f t="shared" si="165"/>
        <v>36.804282014991927</v>
      </c>
      <c r="R303" s="104"/>
      <c r="S303" s="140">
        <f t="shared" si="166"/>
        <v>322.74532365533605</v>
      </c>
      <c r="T303" s="880">
        <v>493.65000000000003</v>
      </c>
      <c r="U303" s="104"/>
      <c r="V303" s="148">
        <f t="shared" si="167"/>
        <v>493.65000000000003</v>
      </c>
      <c r="W303" s="236"/>
      <c r="X303" s="104"/>
      <c r="Y303" s="45">
        <f t="shared" si="168"/>
        <v>0</v>
      </c>
      <c r="Z303" s="138">
        <f t="shared" si="169"/>
        <v>0</v>
      </c>
      <c r="AA303" s="104">
        <f t="shared" si="156"/>
        <v>0</v>
      </c>
      <c r="AB303" s="323">
        <v>0</v>
      </c>
      <c r="AC303" s="104"/>
      <c r="AD303" s="104">
        <f t="shared" si="170"/>
        <v>0</v>
      </c>
      <c r="AE303" s="104">
        <f t="shared" si="171"/>
        <v>0</v>
      </c>
      <c r="AF303" s="104"/>
      <c r="AG303" s="139">
        <f t="shared" si="172"/>
        <v>0</v>
      </c>
      <c r="AH303" s="200">
        <f t="shared" si="173"/>
        <v>690.13446409920857</v>
      </c>
      <c r="AI303" s="104">
        <f t="shared" si="157"/>
        <v>137.65814928428961</v>
      </c>
      <c r="AJ303" s="323">
        <v>37.588835247590772</v>
      </c>
      <c r="AK303" s="118" t="e">
        <f t="shared" si="158"/>
        <v>#REF!</v>
      </c>
      <c r="AL303" s="104"/>
      <c r="AM303" s="104">
        <f t="shared" si="174"/>
        <v>576.58987964443338</v>
      </c>
      <c r="AN303" s="104" t="e">
        <f t="shared" si="175"/>
        <v>#REF!</v>
      </c>
      <c r="AO303" s="104"/>
      <c r="AP303" s="140" t="e">
        <f t="shared" si="176"/>
        <v>#REF!</v>
      </c>
      <c r="AQ303" s="33"/>
      <c r="AR303" s="28"/>
      <c r="AS303" s="121"/>
      <c r="AT303" s="135" t="e">
        <f t="shared" si="177"/>
        <v>#REF!</v>
      </c>
      <c r="AU303" s="148" t="e">
        <f t="shared" si="178"/>
        <v>#REF!</v>
      </c>
      <c r="AW303" s="1">
        <v>2</v>
      </c>
      <c r="BA303" s="29">
        <v>579.07000000000005</v>
      </c>
      <c r="BB303" s="29">
        <v>125.02</v>
      </c>
      <c r="BC303" s="29">
        <v>0</v>
      </c>
      <c r="BD303" s="29">
        <v>665.58</v>
      </c>
      <c r="BF303" s="279">
        <f>T303*1.2</f>
        <v>592.38</v>
      </c>
      <c r="BI303" s="323">
        <v>0</v>
      </c>
      <c r="BL303" s="107">
        <f t="shared" si="186"/>
        <v>1.0967873225415627</v>
      </c>
      <c r="BM303" s="107">
        <f t="shared" si="186"/>
        <v>1.1127076627324948</v>
      </c>
      <c r="BN303" s="107">
        <f t="shared" si="186"/>
        <v>2.8314493742615632</v>
      </c>
      <c r="BO303" s="107">
        <f t="shared" si="186"/>
        <v>1.036891829831438</v>
      </c>
    </row>
    <row r="304" spans="1:67" x14ac:dyDescent="0.25">
      <c r="A304" s="424" t="s">
        <v>142</v>
      </c>
      <c r="B304" s="228">
        <v>1</v>
      </c>
      <c r="C304" s="226">
        <f>'побудинковий звіт'!E291</f>
        <v>6210.5999999999995</v>
      </c>
      <c r="D304" s="138">
        <f t="shared" si="159"/>
        <v>0</v>
      </c>
      <c r="E304" s="104">
        <f t="shared" si="153"/>
        <v>0</v>
      </c>
      <c r="F304" s="323">
        <v>0</v>
      </c>
      <c r="G304" s="104" t="e">
        <f t="shared" si="154"/>
        <v>#REF!</v>
      </c>
      <c r="H304" s="720">
        <f t="shared" si="160"/>
        <v>0</v>
      </c>
      <c r="I304" s="104" t="e">
        <f t="shared" si="161"/>
        <v>#REF!</v>
      </c>
      <c r="J304" s="28"/>
      <c r="K304" s="139" t="e">
        <f t="shared" si="162"/>
        <v>#REF!</v>
      </c>
      <c r="L304" s="200">
        <f t="shared" si="163"/>
        <v>0</v>
      </c>
      <c r="M304" s="104">
        <f t="shared" si="155"/>
        <v>0</v>
      </c>
      <c r="N304" s="323">
        <v>0</v>
      </c>
      <c r="O304" s="104"/>
      <c r="P304" s="104">
        <f t="shared" si="164"/>
        <v>0</v>
      </c>
      <c r="Q304" s="104">
        <f t="shared" si="165"/>
        <v>0</v>
      </c>
      <c r="R304" s="104"/>
      <c r="S304" s="140">
        <f t="shared" si="166"/>
        <v>0</v>
      </c>
      <c r="T304" s="235"/>
      <c r="U304" s="104"/>
      <c r="V304" s="148">
        <f t="shared" si="167"/>
        <v>0</v>
      </c>
      <c r="W304" s="236"/>
      <c r="X304" s="104"/>
      <c r="Y304" s="45">
        <f t="shared" si="168"/>
        <v>0</v>
      </c>
      <c r="Z304" s="138">
        <f t="shared" si="169"/>
        <v>0</v>
      </c>
      <c r="AA304" s="104">
        <f t="shared" si="156"/>
        <v>0</v>
      </c>
      <c r="AB304" s="323">
        <v>0</v>
      </c>
      <c r="AC304" s="104"/>
      <c r="AD304" s="104">
        <f t="shared" si="170"/>
        <v>0</v>
      </c>
      <c r="AE304" s="104">
        <f t="shared" si="171"/>
        <v>0</v>
      </c>
      <c r="AF304" s="104"/>
      <c r="AG304" s="139">
        <f t="shared" si="172"/>
        <v>0</v>
      </c>
      <c r="AH304" s="200">
        <f t="shared" si="173"/>
        <v>0</v>
      </c>
      <c r="AI304" s="104">
        <f t="shared" si="157"/>
        <v>0</v>
      </c>
      <c r="AJ304" s="323">
        <v>0</v>
      </c>
      <c r="AK304" s="118" t="e">
        <f t="shared" si="158"/>
        <v>#REF!</v>
      </c>
      <c r="AL304" s="104"/>
      <c r="AM304" s="104">
        <f t="shared" si="174"/>
        <v>0</v>
      </c>
      <c r="AN304" s="104" t="e">
        <f t="shared" si="175"/>
        <v>#REF!</v>
      </c>
      <c r="AO304" s="104"/>
      <c r="AP304" s="140" t="e">
        <f t="shared" si="176"/>
        <v>#REF!</v>
      </c>
      <c r="AQ304" s="33"/>
      <c r="AR304" s="28"/>
      <c r="AS304" s="121"/>
      <c r="AT304" s="135">
        <f t="shared" si="177"/>
        <v>0</v>
      </c>
      <c r="AU304" s="148" t="e">
        <f t="shared" si="178"/>
        <v>#REF!</v>
      </c>
      <c r="AW304" s="1">
        <v>3</v>
      </c>
      <c r="BA304" s="29">
        <v>0</v>
      </c>
      <c r="BB304" s="29">
        <v>0</v>
      </c>
      <c r="BC304" s="29">
        <v>0</v>
      </c>
      <c r="BD304" s="29">
        <v>0</v>
      </c>
      <c r="BI304" s="323">
        <v>0</v>
      </c>
      <c r="BL304" s="107">
        <f t="shared" ref="BL304:BO308" si="187">BA$399</f>
        <v>1.2233877438623886</v>
      </c>
      <c r="BM304" s="107">
        <f t="shared" si="187"/>
        <v>1.2807066670574303</v>
      </c>
      <c r="BN304" s="107">
        <f t="shared" si="187"/>
        <v>0.82443024793968056</v>
      </c>
      <c r="BO304" s="107">
        <f t="shared" si="187"/>
        <v>1.2965393422474656</v>
      </c>
    </row>
    <row r="305" spans="1:67" x14ac:dyDescent="0.25">
      <c r="A305" s="424" t="s">
        <v>143</v>
      </c>
      <c r="B305" s="228">
        <v>1</v>
      </c>
      <c r="C305" s="226">
        <f>'побудинковий звіт'!E292</f>
        <v>3177.92</v>
      </c>
      <c r="D305" s="138">
        <f t="shared" si="159"/>
        <v>0</v>
      </c>
      <c r="E305" s="104">
        <f t="shared" si="153"/>
        <v>0</v>
      </c>
      <c r="F305" s="323">
        <v>0</v>
      </c>
      <c r="G305" s="104" t="e">
        <f t="shared" si="154"/>
        <v>#REF!</v>
      </c>
      <c r="H305" s="720">
        <f t="shared" si="160"/>
        <v>0</v>
      </c>
      <c r="I305" s="104" t="e">
        <f t="shared" si="161"/>
        <v>#REF!</v>
      </c>
      <c r="J305" s="28"/>
      <c r="K305" s="139" t="e">
        <f t="shared" si="162"/>
        <v>#REF!</v>
      </c>
      <c r="L305" s="200">
        <f t="shared" si="163"/>
        <v>0</v>
      </c>
      <c r="M305" s="104">
        <f t="shared" si="155"/>
        <v>0</v>
      </c>
      <c r="N305" s="323">
        <v>0</v>
      </c>
      <c r="O305" s="104"/>
      <c r="P305" s="104">
        <f t="shared" si="164"/>
        <v>0</v>
      </c>
      <c r="Q305" s="104">
        <f t="shared" si="165"/>
        <v>0</v>
      </c>
      <c r="R305" s="104"/>
      <c r="S305" s="140">
        <f t="shared" si="166"/>
        <v>0</v>
      </c>
      <c r="T305" s="235"/>
      <c r="U305" s="104"/>
      <c r="V305" s="148">
        <f t="shared" si="167"/>
        <v>0</v>
      </c>
      <c r="W305" s="236"/>
      <c r="X305" s="104"/>
      <c r="Y305" s="45">
        <f t="shared" si="168"/>
        <v>0</v>
      </c>
      <c r="Z305" s="138">
        <f t="shared" si="169"/>
        <v>0</v>
      </c>
      <c r="AA305" s="104">
        <f t="shared" si="156"/>
        <v>0</v>
      </c>
      <c r="AB305" s="323">
        <v>0</v>
      </c>
      <c r="AC305" s="104"/>
      <c r="AD305" s="104">
        <f t="shared" si="170"/>
        <v>0</v>
      </c>
      <c r="AE305" s="104">
        <f t="shared" si="171"/>
        <v>0</v>
      </c>
      <c r="AF305" s="104"/>
      <c r="AG305" s="139">
        <f t="shared" si="172"/>
        <v>0</v>
      </c>
      <c r="AH305" s="200">
        <f t="shared" si="173"/>
        <v>0</v>
      </c>
      <c r="AI305" s="104">
        <f t="shared" si="157"/>
        <v>0</v>
      </c>
      <c r="AJ305" s="323">
        <v>0</v>
      </c>
      <c r="AK305" s="118" t="e">
        <f t="shared" si="158"/>
        <v>#REF!</v>
      </c>
      <c r="AL305" s="104"/>
      <c r="AM305" s="104">
        <f t="shared" si="174"/>
        <v>0</v>
      </c>
      <c r="AN305" s="104" t="e">
        <f t="shared" si="175"/>
        <v>#REF!</v>
      </c>
      <c r="AO305" s="104"/>
      <c r="AP305" s="140" t="e">
        <f t="shared" si="176"/>
        <v>#REF!</v>
      </c>
      <c r="AQ305" s="33"/>
      <c r="AR305" s="28"/>
      <c r="AS305" s="121"/>
      <c r="AT305" s="135">
        <f t="shared" si="177"/>
        <v>0</v>
      </c>
      <c r="AU305" s="148" t="e">
        <f t="shared" si="178"/>
        <v>#REF!</v>
      </c>
      <c r="AW305" s="1">
        <v>3</v>
      </c>
      <c r="BA305" s="29">
        <v>0</v>
      </c>
      <c r="BB305" s="29">
        <v>0</v>
      </c>
      <c r="BC305" s="29">
        <v>0</v>
      </c>
      <c r="BD305" s="29">
        <v>0</v>
      </c>
      <c r="BI305" s="323">
        <v>0</v>
      </c>
      <c r="BL305" s="107">
        <f t="shared" si="187"/>
        <v>1.2233877438623886</v>
      </c>
      <c r="BM305" s="107">
        <f t="shared" si="187"/>
        <v>1.2807066670574303</v>
      </c>
      <c r="BN305" s="107">
        <f t="shared" si="187"/>
        <v>0.82443024793968056</v>
      </c>
      <c r="BO305" s="107">
        <f t="shared" si="187"/>
        <v>1.2965393422474656</v>
      </c>
    </row>
    <row r="306" spans="1:67" x14ac:dyDescent="0.25">
      <c r="A306" s="424" t="s">
        <v>144</v>
      </c>
      <c r="B306" s="228">
        <v>1</v>
      </c>
      <c r="C306" s="226">
        <f>'побудинковий звіт'!E293</f>
        <v>3167.7000000000003</v>
      </c>
      <c r="D306" s="138">
        <f t="shared" si="159"/>
        <v>0</v>
      </c>
      <c r="E306" s="104">
        <f t="shared" si="153"/>
        <v>0</v>
      </c>
      <c r="F306" s="323">
        <v>0</v>
      </c>
      <c r="G306" s="104" t="e">
        <f t="shared" si="154"/>
        <v>#REF!</v>
      </c>
      <c r="H306" s="720">
        <f t="shared" si="160"/>
        <v>0</v>
      </c>
      <c r="I306" s="104" t="e">
        <f t="shared" si="161"/>
        <v>#REF!</v>
      </c>
      <c r="J306" s="28"/>
      <c r="K306" s="139" t="e">
        <f t="shared" si="162"/>
        <v>#REF!</v>
      </c>
      <c r="L306" s="200">
        <f t="shared" si="163"/>
        <v>0</v>
      </c>
      <c r="M306" s="104">
        <f t="shared" si="155"/>
        <v>0</v>
      </c>
      <c r="N306" s="323">
        <v>0</v>
      </c>
      <c r="O306" s="104"/>
      <c r="P306" s="104">
        <f t="shared" si="164"/>
        <v>0</v>
      </c>
      <c r="Q306" s="104">
        <f t="shared" si="165"/>
        <v>0</v>
      </c>
      <c r="R306" s="104"/>
      <c r="S306" s="140">
        <f t="shared" si="166"/>
        <v>0</v>
      </c>
      <c r="T306" s="235"/>
      <c r="U306" s="104"/>
      <c r="V306" s="148">
        <f t="shared" si="167"/>
        <v>0</v>
      </c>
      <c r="W306" s="236"/>
      <c r="X306" s="104"/>
      <c r="Y306" s="45">
        <f t="shared" si="168"/>
        <v>0</v>
      </c>
      <c r="Z306" s="138">
        <f t="shared" si="169"/>
        <v>0</v>
      </c>
      <c r="AA306" s="104">
        <f t="shared" si="156"/>
        <v>0</v>
      </c>
      <c r="AB306" s="323">
        <v>0</v>
      </c>
      <c r="AC306" s="104"/>
      <c r="AD306" s="104">
        <f t="shared" si="170"/>
        <v>0</v>
      </c>
      <c r="AE306" s="104">
        <f t="shared" si="171"/>
        <v>0</v>
      </c>
      <c r="AF306" s="104"/>
      <c r="AG306" s="139">
        <f t="shared" si="172"/>
        <v>0</v>
      </c>
      <c r="AH306" s="200">
        <f t="shared" si="173"/>
        <v>0</v>
      </c>
      <c r="AI306" s="104">
        <f t="shared" si="157"/>
        <v>0</v>
      </c>
      <c r="AJ306" s="323">
        <v>0</v>
      </c>
      <c r="AK306" s="118" t="e">
        <f t="shared" si="158"/>
        <v>#REF!</v>
      </c>
      <c r="AL306" s="104"/>
      <c r="AM306" s="104">
        <f t="shared" si="174"/>
        <v>0</v>
      </c>
      <c r="AN306" s="104" t="e">
        <f t="shared" si="175"/>
        <v>#REF!</v>
      </c>
      <c r="AO306" s="104"/>
      <c r="AP306" s="140" t="e">
        <f t="shared" si="176"/>
        <v>#REF!</v>
      </c>
      <c r="AQ306" s="33"/>
      <c r="AR306" s="28"/>
      <c r="AS306" s="121"/>
      <c r="AT306" s="135">
        <f t="shared" si="177"/>
        <v>0</v>
      </c>
      <c r="AU306" s="148" t="e">
        <f t="shared" si="178"/>
        <v>#REF!</v>
      </c>
      <c r="AW306" s="1">
        <v>3</v>
      </c>
      <c r="BA306" s="29">
        <v>0</v>
      </c>
      <c r="BB306" s="29">
        <v>0</v>
      </c>
      <c r="BC306" s="29">
        <v>0</v>
      </c>
      <c r="BD306" s="29">
        <v>0</v>
      </c>
      <c r="BI306" s="323">
        <v>0</v>
      </c>
      <c r="BL306" s="107">
        <f t="shared" si="187"/>
        <v>1.2233877438623886</v>
      </c>
      <c r="BM306" s="107">
        <f t="shared" si="187"/>
        <v>1.2807066670574303</v>
      </c>
      <c r="BN306" s="107">
        <f t="shared" si="187"/>
        <v>0.82443024793968056</v>
      </c>
      <c r="BO306" s="107">
        <f t="shared" si="187"/>
        <v>1.2965393422474656</v>
      </c>
    </row>
    <row r="307" spans="1:67" x14ac:dyDescent="0.25">
      <c r="A307" s="424" t="s">
        <v>145</v>
      </c>
      <c r="B307" s="228">
        <v>1</v>
      </c>
      <c r="C307" s="226">
        <f>'побудинковий звіт'!E294</f>
        <v>4457.7</v>
      </c>
      <c r="D307" s="138">
        <f t="shared" si="159"/>
        <v>0</v>
      </c>
      <c r="E307" s="104">
        <f t="shared" si="153"/>
        <v>0</v>
      </c>
      <c r="F307" s="323">
        <v>0</v>
      </c>
      <c r="G307" s="104" t="e">
        <f t="shared" si="154"/>
        <v>#REF!</v>
      </c>
      <c r="H307" s="720">
        <f t="shared" si="160"/>
        <v>0</v>
      </c>
      <c r="I307" s="104" t="e">
        <f t="shared" si="161"/>
        <v>#REF!</v>
      </c>
      <c r="J307" s="28"/>
      <c r="K307" s="139" t="e">
        <f t="shared" si="162"/>
        <v>#REF!</v>
      </c>
      <c r="L307" s="200">
        <f t="shared" si="163"/>
        <v>0</v>
      </c>
      <c r="M307" s="104">
        <f t="shared" si="155"/>
        <v>0</v>
      </c>
      <c r="N307" s="323">
        <v>0</v>
      </c>
      <c r="O307" s="104"/>
      <c r="P307" s="104">
        <f t="shared" si="164"/>
        <v>0</v>
      </c>
      <c r="Q307" s="104">
        <f t="shared" si="165"/>
        <v>0</v>
      </c>
      <c r="R307" s="104"/>
      <c r="S307" s="140">
        <f t="shared" si="166"/>
        <v>0</v>
      </c>
      <c r="T307" s="235"/>
      <c r="U307" s="104"/>
      <c r="V307" s="148">
        <f t="shared" si="167"/>
        <v>0</v>
      </c>
      <c r="W307" s="236"/>
      <c r="X307" s="104"/>
      <c r="Y307" s="45">
        <f t="shared" si="168"/>
        <v>0</v>
      </c>
      <c r="Z307" s="138">
        <f t="shared" si="169"/>
        <v>0</v>
      </c>
      <c r="AA307" s="104">
        <f t="shared" si="156"/>
        <v>0</v>
      </c>
      <c r="AB307" s="323">
        <v>0</v>
      </c>
      <c r="AC307" s="104"/>
      <c r="AD307" s="104">
        <f t="shared" si="170"/>
        <v>0</v>
      </c>
      <c r="AE307" s="104">
        <f t="shared" si="171"/>
        <v>0</v>
      </c>
      <c r="AF307" s="104"/>
      <c r="AG307" s="139">
        <f t="shared" si="172"/>
        <v>0</v>
      </c>
      <c r="AH307" s="200">
        <f t="shared" si="173"/>
        <v>0</v>
      </c>
      <c r="AI307" s="104">
        <f t="shared" si="157"/>
        <v>0</v>
      </c>
      <c r="AJ307" s="323">
        <v>0</v>
      </c>
      <c r="AK307" s="118" t="e">
        <f t="shared" si="158"/>
        <v>#REF!</v>
      </c>
      <c r="AL307" s="104"/>
      <c r="AM307" s="104">
        <f t="shared" si="174"/>
        <v>0</v>
      </c>
      <c r="AN307" s="104" t="e">
        <f t="shared" si="175"/>
        <v>#REF!</v>
      </c>
      <c r="AO307" s="104"/>
      <c r="AP307" s="140" t="e">
        <f t="shared" si="176"/>
        <v>#REF!</v>
      </c>
      <c r="AQ307" s="33"/>
      <c r="AR307" s="28"/>
      <c r="AS307" s="121"/>
      <c r="AT307" s="135">
        <f t="shared" si="177"/>
        <v>0</v>
      </c>
      <c r="AU307" s="148" t="e">
        <f t="shared" si="178"/>
        <v>#REF!</v>
      </c>
      <c r="AW307" s="1">
        <v>3</v>
      </c>
      <c r="BA307" s="29">
        <v>0</v>
      </c>
      <c r="BB307" s="29">
        <v>0</v>
      </c>
      <c r="BC307" s="29">
        <v>0</v>
      </c>
      <c r="BD307" s="29">
        <v>0</v>
      </c>
      <c r="BI307" s="323">
        <v>0</v>
      </c>
      <c r="BL307" s="107">
        <f t="shared" si="187"/>
        <v>1.2233877438623886</v>
      </c>
      <c r="BM307" s="107">
        <f t="shared" si="187"/>
        <v>1.2807066670574303</v>
      </c>
      <c r="BN307" s="107">
        <f t="shared" si="187"/>
        <v>0.82443024793968056</v>
      </c>
      <c r="BO307" s="107">
        <f t="shared" si="187"/>
        <v>1.2965393422474656</v>
      </c>
    </row>
    <row r="308" spans="1:67" x14ac:dyDescent="0.25">
      <c r="A308" s="250" t="s">
        <v>191</v>
      </c>
      <c r="B308" s="227">
        <v>2</v>
      </c>
      <c r="C308" s="226">
        <f>'побудинковий звіт'!E295</f>
        <v>3670.1</v>
      </c>
      <c r="D308" s="138">
        <f t="shared" si="159"/>
        <v>38.365439647524504</v>
      </c>
      <c r="E308" s="104">
        <f t="shared" si="153"/>
        <v>7.9081523278342507</v>
      </c>
      <c r="F308" s="323">
        <v>3.8131632226875976</v>
      </c>
      <c r="G308" s="104" t="e">
        <f t="shared" si="154"/>
        <v>#REF!</v>
      </c>
      <c r="H308" s="720">
        <f t="shared" si="160"/>
        <v>32.053353918131464</v>
      </c>
      <c r="I308" s="104" t="e">
        <f t="shared" si="161"/>
        <v>#REF!</v>
      </c>
      <c r="J308" s="28"/>
      <c r="K308" s="139" t="e">
        <f t="shared" si="162"/>
        <v>#REF!</v>
      </c>
      <c r="L308" s="200">
        <f t="shared" si="163"/>
        <v>7.0823078688275896</v>
      </c>
      <c r="M308" s="104">
        <f t="shared" si="155"/>
        <v>1.5582346828137945</v>
      </c>
      <c r="N308" s="323">
        <v>0</v>
      </c>
      <c r="O308" s="104"/>
      <c r="P308" s="104">
        <f t="shared" si="164"/>
        <v>5.9170889936965922</v>
      </c>
      <c r="Q308" s="104">
        <f t="shared" si="165"/>
        <v>1.8737540221276396</v>
      </c>
      <c r="R308" s="104"/>
      <c r="S308" s="140">
        <f t="shared" si="166"/>
        <v>16.431385567465615</v>
      </c>
      <c r="T308" s="234">
        <v>20.64</v>
      </c>
      <c r="U308" s="104"/>
      <c r="V308" s="148">
        <f t="shared" si="167"/>
        <v>20.64</v>
      </c>
      <c r="W308" s="881">
        <v>6.22</v>
      </c>
      <c r="X308" s="104"/>
      <c r="Y308" s="45">
        <f t="shared" si="168"/>
        <v>6.22</v>
      </c>
      <c r="Z308" s="138">
        <f t="shared" si="169"/>
        <v>0</v>
      </c>
      <c r="AA308" s="104">
        <f t="shared" si="156"/>
        <v>0</v>
      </c>
      <c r="AB308" s="323">
        <v>0</v>
      </c>
      <c r="AC308" s="104"/>
      <c r="AD308" s="104">
        <f t="shared" si="170"/>
        <v>0</v>
      </c>
      <c r="AE308" s="104">
        <f t="shared" si="171"/>
        <v>0</v>
      </c>
      <c r="AF308" s="104"/>
      <c r="AG308" s="139">
        <f t="shared" si="172"/>
        <v>0</v>
      </c>
      <c r="AH308" s="200">
        <f t="shared" si="173"/>
        <v>15.921503122798876</v>
      </c>
      <c r="AI308" s="104">
        <f t="shared" si="157"/>
        <v>3.1757936572103507</v>
      </c>
      <c r="AJ308" s="323">
        <v>2.1463102372281875</v>
      </c>
      <c r="AK308" s="118" t="e">
        <f t="shared" si="158"/>
        <v>#REF!</v>
      </c>
      <c r="AL308" s="104"/>
      <c r="AM308" s="104">
        <f t="shared" si="174"/>
        <v>13.302012936443354</v>
      </c>
      <c r="AN308" s="104" t="e">
        <f t="shared" si="175"/>
        <v>#REF!</v>
      </c>
      <c r="AO308" s="104"/>
      <c r="AP308" s="140" t="e">
        <f t="shared" si="176"/>
        <v>#REF!</v>
      </c>
      <c r="AQ308" s="33"/>
      <c r="AR308" s="28"/>
      <c r="AS308" s="121"/>
      <c r="AT308" s="135" t="e">
        <f t="shared" si="177"/>
        <v>#REF!</v>
      </c>
      <c r="AU308" s="148" t="e">
        <f t="shared" si="178"/>
        <v>#REF!</v>
      </c>
      <c r="AW308" s="1">
        <v>3</v>
      </c>
      <c r="BA308" s="29">
        <v>31.36</v>
      </c>
      <c r="BB308" s="29">
        <v>5.53</v>
      </c>
      <c r="BC308" s="29">
        <v>0</v>
      </c>
      <c r="BD308" s="29">
        <v>12.28</v>
      </c>
      <c r="BI308" s="323">
        <v>0</v>
      </c>
      <c r="BL308" s="107">
        <f t="shared" si="187"/>
        <v>1.2233877438623886</v>
      </c>
      <c r="BM308" s="107">
        <f t="shared" si="187"/>
        <v>1.2807066670574303</v>
      </c>
      <c r="BN308" s="107">
        <f t="shared" si="187"/>
        <v>0.82443024793968056</v>
      </c>
      <c r="BO308" s="107">
        <f t="shared" si="187"/>
        <v>1.2965393422474656</v>
      </c>
    </row>
    <row r="309" spans="1:67" x14ac:dyDescent="0.25">
      <c r="A309" s="250" t="s">
        <v>232</v>
      </c>
      <c r="B309" s="227">
        <v>4</v>
      </c>
      <c r="C309" s="226">
        <f>'побудинковий звіт'!E296</f>
        <v>3503.3</v>
      </c>
      <c r="D309" s="138">
        <f t="shared" si="159"/>
        <v>438.24331046793225</v>
      </c>
      <c r="E309" s="104">
        <f t="shared" si="153"/>
        <v>90.333771427493275</v>
      </c>
      <c r="F309" s="323">
        <v>69.721791116192719</v>
      </c>
      <c r="G309" s="104" t="e">
        <f t="shared" si="154"/>
        <v>#REF!</v>
      </c>
      <c r="H309" s="720">
        <f t="shared" si="160"/>
        <v>366.1411953502423</v>
      </c>
      <c r="I309" s="104" t="e">
        <f t="shared" si="161"/>
        <v>#REF!</v>
      </c>
      <c r="J309" s="28"/>
      <c r="K309" s="139" t="e">
        <f t="shared" si="162"/>
        <v>#REF!</v>
      </c>
      <c r="L309" s="200">
        <f t="shared" si="163"/>
        <v>91.831763405312799</v>
      </c>
      <c r="M309" s="104">
        <f t="shared" si="155"/>
        <v>20.204634050425305</v>
      </c>
      <c r="N309" s="323">
        <v>0</v>
      </c>
      <c r="O309" s="104"/>
      <c r="P309" s="104">
        <f t="shared" si="164"/>
        <v>76.723114354992987</v>
      </c>
      <c r="Q309" s="104">
        <f t="shared" si="165"/>
        <v>24.295771834084817</v>
      </c>
      <c r="R309" s="104"/>
      <c r="S309" s="140">
        <f t="shared" si="166"/>
        <v>213.05528364481592</v>
      </c>
      <c r="T309" s="880">
        <v>383.61666666666667</v>
      </c>
      <c r="U309" s="104"/>
      <c r="V309" s="148">
        <f t="shared" si="167"/>
        <v>383.61666666666667</v>
      </c>
      <c r="W309" s="236"/>
      <c r="X309" s="104"/>
      <c r="Y309" s="45">
        <f t="shared" si="168"/>
        <v>0</v>
      </c>
      <c r="Z309" s="138">
        <f t="shared" si="169"/>
        <v>0</v>
      </c>
      <c r="AA309" s="104">
        <f t="shared" si="156"/>
        <v>0</v>
      </c>
      <c r="AB309" s="323">
        <v>0</v>
      </c>
      <c r="AC309" s="104"/>
      <c r="AD309" s="104">
        <f t="shared" si="170"/>
        <v>0</v>
      </c>
      <c r="AE309" s="104">
        <f t="shared" si="171"/>
        <v>0</v>
      </c>
      <c r="AF309" s="104"/>
      <c r="AG309" s="139">
        <f t="shared" si="172"/>
        <v>0</v>
      </c>
      <c r="AH309" s="200">
        <f t="shared" si="173"/>
        <v>369.66230625320594</v>
      </c>
      <c r="AI309" s="104">
        <f t="shared" si="157"/>
        <v>73.734948167526198</v>
      </c>
      <c r="AJ309" s="323">
        <v>27.374109183257254</v>
      </c>
      <c r="AK309" s="118" t="e">
        <f t="shared" si="158"/>
        <v>#REF!</v>
      </c>
      <c r="AL309" s="104"/>
      <c r="AM309" s="104">
        <f t="shared" si="174"/>
        <v>308.84350189614605</v>
      </c>
      <c r="AN309" s="104" t="e">
        <f t="shared" si="175"/>
        <v>#REF!</v>
      </c>
      <c r="AO309" s="104"/>
      <c r="AP309" s="140" t="e">
        <f t="shared" si="176"/>
        <v>#REF!</v>
      </c>
      <c r="AQ309" s="33"/>
      <c r="AR309" s="28"/>
      <c r="AS309" s="121"/>
      <c r="AT309" s="135" t="e">
        <f t="shared" si="177"/>
        <v>#REF!</v>
      </c>
      <c r="AU309" s="148" t="e">
        <f t="shared" si="178"/>
        <v>#REF!</v>
      </c>
      <c r="AW309" s="1">
        <v>2</v>
      </c>
      <c r="BA309" s="29">
        <v>399.57</v>
      </c>
      <c r="BB309" s="29">
        <v>82.53</v>
      </c>
      <c r="BC309" s="29">
        <v>0</v>
      </c>
      <c r="BD309" s="29">
        <v>356.51</v>
      </c>
      <c r="BF309" s="279">
        <f t="shared" ref="BF309:BF321" si="188">T309*1.2</f>
        <v>460.34</v>
      </c>
      <c r="BI309" s="323">
        <v>0</v>
      </c>
      <c r="BL309" s="107">
        <f t="shared" ref="BL309:BO316" si="189">BA$398</f>
        <v>1.0967873225415627</v>
      </c>
      <c r="BM309" s="107">
        <f t="shared" si="189"/>
        <v>1.1127076627324948</v>
      </c>
      <c r="BN309" s="107">
        <f t="shared" si="189"/>
        <v>2.8314493742615632</v>
      </c>
      <c r="BO309" s="107">
        <f t="shared" si="189"/>
        <v>1.036891829831438</v>
      </c>
    </row>
    <row r="310" spans="1:67" x14ac:dyDescent="0.25">
      <c r="A310" s="250" t="s">
        <v>233</v>
      </c>
      <c r="B310" s="227">
        <v>4</v>
      </c>
      <c r="C310" s="226">
        <f>'побудинковий звіт'!E297</f>
        <v>1209.7</v>
      </c>
      <c r="D310" s="138">
        <f t="shared" si="159"/>
        <v>280.94207266902129</v>
      </c>
      <c r="E310" s="104">
        <f t="shared" si="153"/>
        <v>57.909741850370146</v>
      </c>
      <c r="F310" s="323">
        <v>25.481501604065251</v>
      </c>
      <c r="G310" s="104" t="e">
        <f t="shared" si="154"/>
        <v>#REF!</v>
      </c>
      <c r="H310" s="720">
        <f t="shared" si="160"/>
        <v>234.71999196377243</v>
      </c>
      <c r="I310" s="104" t="e">
        <f t="shared" si="161"/>
        <v>#REF!</v>
      </c>
      <c r="J310" s="28"/>
      <c r="K310" s="139" t="e">
        <f t="shared" si="162"/>
        <v>#REF!</v>
      </c>
      <c r="L310" s="200">
        <f t="shared" si="163"/>
        <v>70.278615978184362</v>
      </c>
      <c r="M310" s="104">
        <f t="shared" si="155"/>
        <v>15.462555272323545</v>
      </c>
      <c r="N310" s="323">
        <v>0</v>
      </c>
      <c r="O310" s="104"/>
      <c r="P310" s="104">
        <f t="shared" si="164"/>
        <v>58.716005121305663</v>
      </c>
      <c r="Q310" s="104">
        <f t="shared" si="165"/>
        <v>18.593492657709888</v>
      </c>
      <c r="R310" s="104"/>
      <c r="S310" s="140">
        <f t="shared" si="166"/>
        <v>163.05066902952348</v>
      </c>
      <c r="T310" s="880">
        <v>139.38333333333333</v>
      </c>
      <c r="U310" s="104"/>
      <c r="V310" s="148">
        <f t="shared" si="167"/>
        <v>139.38333333333333</v>
      </c>
      <c r="W310" s="882">
        <v>33.975000000000001</v>
      </c>
      <c r="X310" s="104"/>
      <c r="Y310" s="45">
        <f t="shared" si="168"/>
        <v>33.975000000000001</v>
      </c>
      <c r="Z310" s="138">
        <f t="shared" si="169"/>
        <v>0</v>
      </c>
      <c r="AA310" s="104">
        <f t="shared" si="156"/>
        <v>0</v>
      </c>
      <c r="AB310" s="323">
        <v>0</v>
      </c>
      <c r="AC310" s="104"/>
      <c r="AD310" s="104">
        <f t="shared" si="170"/>
        <v>0</v>
      </c>
      <c r="AE310" s="104">
        <f t="shared" si="171"/>
        <v>0</v>
      </c>
      <c r="AF310" s="104"/>
      <c r="AG310" s="139">
        <f t="shared" si="172"/>
        <v>0</v>
      </c>
      <c r="AH310" s="200">
        <f t="shared" si="173"/>
        <v>89.597823015734562</v>
      </c>
      <c r="AI310" s="104">
        <f t="shared" si="157"/>
        <v>17.871691877243105</v>
      </c>
      <c r="AJ310" s="323">
        <v>10.004525068791965</v>
      </c>
      <c r="AK310" s="118" t="e">
        <f t="shared" si="158"/>
        <v>#REF!</v>
      </c>
      <c r="AL310" s="104"/>
      <c r="AM310" s="104">
        <f t="shared" si="174"/>
        <v>74.85671369343352</v>
      </c>
      <c r="AN310" s="104" t="e">
        <f t="shared" si="175"/>
        <v>#REF!</v>
      </c>
      <c r="AO310" s="104"/>
      <c r="AP310" s="140" t="e">
        <f t="shared" si="176"/>
        <v>#REF!</v>
      </c>
      <c r="AQ310" s="33"/>
      <c r="AR310" s="28"/>
      <c r="AS310" s="121"/>
      <c r="AT310" s="135" t="e">
        <f t="shared" si="177"/>
        <v>#REF!</v>
      </c>
      <c r="AU310" s="148" t="e">
        <f t="shared" si="178"/>
        <v>#REF!</v>
      </c>
      <c r="AW310" s="1">
        <v>2</v>
      </c>
      <c r="BA310" s="29">
        <v>256.14999999999998</v>
      </c>
      <c r="BB310" s="29">
        <v>63.16</v>
      </c>
      <c r="BC310" s="29">
        <v>0</v>
      </c>
      <c r="BD310" s="29">
        <v>86.41</v>
      </c>
      <c r="BF310" s="279">
        <f t="shared" si="188"/>
        <v>167.26</v>
      </c>
      <c r="BI310" s="323">
        <v>0</v>
      </c>
      <c r="BL310" s="107">
        <f t="shared" si="189"/>
        <v>1.0967873225415627</v>
      </c>
      <c r="BM310" s="107">
        <f t="shared" si="189"/>
        <v>1.1127076627324948</v>
      </c>
      <c r="BN310" s="107">
        <f t="shared" si="189"/>
        <v>2.8314493742615632</v>
      </c>
      <c r="BO310" s="107">
        <f t="shared" si="189"/>
        <v>1.036891829831438</v>
      </c>
    </row>
    <row r="311" spans="1:67" x14ac:dyDescent="0.25">
      <c r="A311" s="250" t="s">
        <v>234</v>
      </c>
      <c r="B311" s="227">
        <v>4</v>
      </c>
      <c r="C311" s="226">
        <f>'побудинковий звіт'!E298</f>
        <v>4885.3</v>
      </c>
      <c r="D311" s="138">
        <f t="shared" si="159"/>
        <v>521.13849630562356</v>
      </c>
      <c r="E311" s="104">
        <f t="shared" si="153"/>
        <v>107.42070599337644</v>
      </c>
      <c r="F311" s="323">
        <v>91.676433267554984</v>
      </c>
      <c r="G311" s="104" t="e">
        <f t="shared" si="154"/>
        <v>#REF!</v>
      </c>
      <c r="H311" s="720">
        <f t="shared" si="160"/>
        <v>435.39802530387072</v>
      </c>
      <c r="I311" s="104" t="e">
        <f t="shared" si="161"/>
        <v>#REF!</v>
      </c>
      <c r="J311" s="28"/>
      <c r="K311" s="139" t="e">
        <f t="shared" si="162"/>
        <v>#REF!</v>
      </c>
      <c r="L311" s="200">
        <f t="shared" si="163"/>
        <v>107.75461005901479</v>
      </c>
      <c r="M311" s="104">
        <f t="shared" si="155"/>
        <v>23.707945734195889</v>
      </c>
      <c r="N311" s="323">
        <v>0</v>
      </c>
      <c r="O311" s="104"/>
      <c r="P311" s="104">
        <f t="shared" si="164"/>
        <v>90.026249777505399</v>
      </c>
      <c r="Q311" s="104">
        <f t="shared" si="165"/>
        <v>28.508452010332899</v>
      </c>
      <c r="R311" s="104"/>
      <c r="S311" s="140">
        <f t="shared" si="166"/>
        <v>249.99725758104898</v>
      </c>
      <c r="T311" s="880">
        <v>453.19166666666672</v>
      </c>
      <c r="U311" s="104"/>
      <c r="V311" s="148">
        <f t="shared" si="167"/>
        <v>453.19166666666672</v>
      </c>
      <c r="W311" s="236"/>
      <c r="X311" s="104"/>
      <c r="Y311" s="45">
        <f t="shared" si="168"/>
        <v>0</v>
      </c>
      <c r="Z311" s="138">
        <f t="shared" si="169"/>
        <v>0</v>
      </c>
      <c r="AA311" s="104">
        <f t="shared" si="156"/>
        <v>0</v>
      </c>
      <c r="AB311" s="323">
        <v>0</v>
      </c>
      <c r="AC311" s="104"/>
      <c r="AD311" s="104">
        <f t="shared" si="170"/>
        <v>0</v>
      </c>
      <c r="AE311" s="104">
        <f t="shared" si="171"/>
        <v>0</v>
      </c>
      <c r="AF311" s="104"/>
      <c r="AG311" s="139">
        <f t="shared" si="172"/>
        <v>0</v>
      </c>
      <c r="AH311" s="200">
        <f t="shared" si="173"/>
        <v>471.31918124988016</v>
      </c>
      <c r="AI311" s="104">
        <f t="shared" si="157"/>
        <v>94.012007207509001</v>
      </c>
      <c r="AJ311" s="323">
        <v>35.993921751313238</v>
      </c>
      <c r="AK311" s="118" t="e">
        <f t="shared" si="158"/>
        <v>#REF!</v>
      </c>
      <c r="AL311" s="104"/>
      <c r="AM311" s="104">
        <f t="shared" si="174"/>
        <v>393.77524834336543</v>
      </c>
      <c r="AN311" s="104" t="e">
        <f t="shared" si="175"/>
        <v>#REF!</v>
      </c>
      <c r="AO311" s="104"/>
      <c r="AP311" s="140" t="e">
        <f t="shared" si="176"/>
        <v>#REF!</v>
      </c>
      <c r="AQ311" s="33"/>
      <c r="AR311" s="28"/>
      <c r="AS311" s="121"/>
      <c r="AT311" s="135" t="e">
        <f t="shared" si="177"/>
        <v>#REF!</v>
      </c>
      <c r="AU311" s="148" t="e">
        <f t="shared" si="178"/>
        <v>#REF!</v>
      </c>
      <c r="AW311" s="1">
        <v>2</v>
      </c>
      <c r="BA311" s="29">
        <v>475.15</v>
      </c>
      <c r="BB311" s="29">
        <v>96.84</v>
      </c>
      <c r="BC311" s="29">
        <v>0</v>
      </c>
      <c r="BD311" s="29">
        <v>454.55</v>
      </c>
      <c r="BF311" s="279">
        <f t="shared" si="188"/>
        <v>543.83000000000004</v>
      </c>
      <c r="BI311" s="323">
        <v>0</v>
      </c>
      <c r="BL311" s="107">
        <f t="shared" si="189"/>
        <v>1.0967873225415627</v>
      </c>
      <c r="BM311" s="107">
        <f t="shared" si="189"/>
        <v>1.1127076627324948</v>
      </c>
      <c r="BN311" s="107">
        <f t="shared" si="189"/>
        <v>2.8314493742615632</v>
      </c>
      <c r="BO311" s="107">
        <f t="shared" si="189"/>
        <v>1.036891829831438</v>
      </c>
    </row>
    <row r="312" spans="1:67" x14ac:dyDescent="0.25">
      <c r="A312" s="250" t="s">
        <v>235</v>
      </c>
      <c r="B312" s="227">
        <v>4</v>
      </c>
      <c r="C312" s="226">
        <f>'побудинковий звіт'!E299</f>
        <v>3279.2999999999997</v>
      </c>
      <c r="D312" s="138">
        <f t="shared" si="159"/>
        <v>396.58732795780367</v>
      </c>
      <c r="E312" s="104">
        <f t="shared" si="153"/>
        <v>81.747349426802032</v>
      </c>
      <c r="F312" s="323">
        <v>67.523166443932979</v>
      </c>
      <c r="G312" s="104" t="e">
        <f t="shared" si="154"/>
        <v>#REF!</v>
      </c>
      <c r="H312" s="720">
        <f t="shared" si="160"/>
        <v>331.33867614358962</v>
      </c>
      <c r="I312" s="104" t="e">
        <f t="shared" si="161"/>
        <v>#REF!</v>
      </c>
      <c r="J312" s="28"/>
      <c r="K312" s="139" t="e">
        <f t="shared" si="162"/>
        <v>#REF!</v>
      </c>
      <c r="L312" s="200">
        <f t="shared" si="163"/>
        <v>86.424004164432873</v>
      </c>
      <c r="M312" s="104">
        <f t="shared" si="155"/>
        <v>19.01483008235228</v>
      </c>
      <c r="N312" s="323">
        <v>0</v>
      </c>
      <c r="O312" s="104"/>
      <c r="P312" s="104">
        <f t="shared" si="164"/>
        <v>72.205068362441608</v>
      </c>
      <c r="Q312" s="104">
        <f t="shared" si="165"/>
        <v>22.86505026479302</v>
      </c>
      <c r="R312" s="104"/>
      <c r="S312" s="140">
        <f t="shared" si="166"/>
        <v>200.50895287401977</v>
      </c>
      <c r="T312" s="880">
        <v>340.83333333333337</v>
      </c>
      <c r="U312" s="104"/>
      <c r="V312" s="148">
        <f t="shared" si="167"/>
        <v>340.83333333333337</v>
      </c>
      <c r="W312" s="882">
        <v>98.125</v>
      </c>
      <c r="X312" s="104"/>
      <c r="Y312" s="45">
        <f t="shared" si="168"/>
        <v>98.125</v>
      </c>
      <c r="Z312" s="138">
        <f t="shared" si="169"/>
        <v>0</v>
      </c>
      <c r="AA312" s="104">
        <f t="shared" si="156"/>
        <v>0</v>
      </c>
      <c r="AB312" s="323">
        <v>0</v>
      </c>
      <c r="AC312" s="104"/>
      <c r="AD312" s="104">
        <f t="shared" si="170"/>
        <v>0</v>
      </c>
      <c r="AE312" s="104">
        <f t="shared" si="171"/>
        <v>0</v>
      </c>
      <c r="AF312" s="104"/>
      <c r="AG312" s="139">
        <f t="shared" si="172"/>
        <v>0</v>
      </c>
      <c r="AH312" s="200">
        <f t="shared" si="173"/>
        <v>338.07858111654036</v>
      </c>
      <c r="AI312" s="104">
        <f t="shared" si="157"/>
        <v>67.43507853923289</v>
      </c>
      <c r="AJ312" s="323">
        <v>26.510887070515757</v>
      </c>
      <c r="AK312" s="118" t="e">
        <f t="shared" si="158"/>
        <v>#REF!</v>
      </c>
      <c r="AL312" s="104"/>
      <c r="AM312" s="104">
        <f t="shared" si="174"/>
        <v>282.45609882819116</v>
      </c>
      <c r="AN312" s="104" t="e">
        <f t="shared" si="175"/>
        <v>#REF!</v>
      </c>
      <c r="AO312" s="104"/>
      <c r="AP312" s="140" t="e">
        <f t="shared" si="176"/>
        <v>#REF!</v>
      </c>
      <c r="AQ312" s="33"/>
      <c r="AR312" s="28"/>
      <c r="AS312" s="121"/>
      <c r="AT312" s="135" t="e">
        <f t="shared" si="177"/>
        <v>#REF!</v>
      </c>
      <c r="AU312" s="148" t="e">
        <f t="shared" si="178"/>
        <v>#REF!</v>
      </c>
      <c r="AW312" s="1">
        <v>2</v>
      </c>
      <c r="BA312" s="29">
        <v>361.59</v>
      </c>
      <c r="BB312" s="29">
        <v>77.67</v>
      </c>
      <c r="BC312" s="29">
        <v>0</v>
      </c>
      <c r="BD312" s="29">
        <v>326.05</v>
      </c>
      <c r="BF312" s="279">
        <f t="shared" si="188"/>
        <v>409.00000000000006</v>
      </c>
      <c r="BI312" s="323">
        <v>0</v>
      </c>
      <c r="BL312" s="107">
        <f t="shared" si="189"/>
        <v>1.0967873225415627</v>
      </c>
      <c r="BM312" s="107">
        <f t="shared" si="189"/>
        <v>1.1127076627324948</v>
      </c>
      <c r="BN312" s="107">
        <f t="shared" si="189"/>
        <v>2.8314493742615632</v>
      </c>
      <c r="BO312" s="107">
        <f t="shared" si="189"/>
        <v>1.036891829831438</v>
      </c>
    </row>
    <row r="313" spans="1:67" x14ac:dyDescent="0.25">
      <c r="A313" s="250" t="s">
        <v>200</v>
      </c>
      <c r="B313" s="227">
        <v>3</v>
      </c>
      <c r="C313" s="226">
        <f>'побудинковий звіт'!E300</f>
        <v>3971.86</v>
      </c>
      <c r="D313" s="138">
        <f t="shared" si="159"/>
        <v>390.93887324671465</v>
      </c>
      <c r="E313" s="104">
        <f t="shared" si="153"/>
        <v>80.583050498324951</v>
      </c>
      <c r="F313" s="323">
        <v>82.333279221873511</v>
      </c>
      <c r="G313" s="104" t="e">
        <f t="shared" si="154"/>
        <v>#REF!</v>
      </c>
      <c r="H313" s="720">
        <f t="shared" si="160"/>
        <v>326.61953517691609</v>
      </c>
      <c r="I313" s="104" t="e">
        <f t="shared" si="161"/>
        <v>#REF!</v>
      </c>
      <c r="J313" s="28"/>
      <c r="K313" s="139" t="e">
        <f t="shared" si="162"/>
        <v>#REF!</v>
      </c>
      <c r="L313" s="200">
        <f t="shared" si="163"/>
        <v>75.107767234443401</v>
      </c>
      <c r="M313" s="104">
        <f t="shared" si="155"/>
        <v>16.525055112125386</v>
      </c>
      <c r="N313" s="323">
        <v>0</v>
      </c>
      <c r="O313" s="104"/>
      <c r="P313" s="104">
        <f t="shared" si="164"/>
        <v>62.750638785435925</v>
      </c>
      <c r="Q313" s="104">
        <f t="shared" si="165"/>
        <v>19.87113290683055</v>
      </c>
      <c r="R313" s="104"/>
      <c r="S313" s="140">
        <f t="shared" si="166"/>
        <v>174.25459403883525</v>
      </c>
      <c r="T313" s="880">
        <v>383.88333333333338</v>
      </c>
      <c r="U313" s="104"/>
      <c r="V313" s="148">
        <f t="shared" si="167"/>
        <v>383.88333333333338</v>
      </c>
      <c r="W313" s="236"/>
      <c r="X313" s="104"/>
      <c r="Y313" s="45">
        <f t="shared" si="168"/>
        <v>0</v>
      </c>
      <c r="Z313" s="138">
        <f t="shared" si="169"/>
        <v>0</v>
      </c>
      <c r="AA313" s="104">
        <f t="shared" si="156"/>
        <v>0</v>
      </c>
      <c r="AB313" s="323">
        <v>0</v>
      </c>
      <c r="AC313" s="104"/>
      <c r="AD313" s="104">
        <f t="shared" si="170"/>
        <v>0</v>
      </c>
      <c r="AE313" s="104">
        <f t="shared" si="171"/>
        <v>0</v>
      </c>
      <c r="AF313" s="104"/>
      <c r="AG313" s="139">
        <f t="shared" si="172"/>
        <v>0</v>
      </c>
      <c r="AH313" s="200">
        <f t="shared" si="173"/>
        <v>452.08483780650698</v>
      </c>
      <c r="AI313" s="104">
        <f t="shared" si="157"/>
        <v>90.175415559287046</v>
      </c>
      <c r="AJ313" s="323">
        <v>32.325620709874897</v>
      </c>
      <c r="AK313" s="118" t="e">
        <f t="shared" si="158"/>
        <v>#REF!</v>
      </c>
      <c r="AL313" s="104"/>
      <c r="AM313" s="104">
        <f t="shared" si="174"/>
        <v>377.70544115654457</v>
      </c>
      <c r="AN313" s="104" t="e">
        <f t="shared" si="175"/>
        <v>#REF!</v>
      </c>
      <c r="AO313" s="104"/>
      <c r="AP313" s="140" t="e">
        <f t="shared" si="176"/>
        <v>#REF!</v>
      </c>
      <c r="AQ313" s="33"/>
      <c r="AR313" s="28"/>
      <c r="AS313" s="121"/>
      <c r="AT313" s="135" t="e">
        <f t="shared" si="177"/>
        <v>#REF!</v>
      </c>
      <c r="AU313" s="148" t="e">
        <f t="shared" si="178"/>
        <v>#REF!</v>
      </c>
      <c r="AW313" s="1">
        <v>2</v>
      </c>
      <c r="BA313" s="29">
        <v>356.44</v>
      </c>
      <c r="BB313" s="29">
        <v>67.5</v>
      </c>
      <c r="BC313" s="29">
        <v>0</v>
      </c>
      <c r="BD313" s="29">
        <v>436</v>
      </c>
      <c r="BF313" s="279">
        <f t="shared" si="188"/>
        <v>460.66</v>
      </c>
      <c r="BG313" s="1">
        <v>368.53</v>
      </c>
      <c r="BI313" s="323">
        <v>0</v>
      </c>
      <c r="BL313" s="107">
        <f t="shared" si="189"/>
        <v>1.0967873225415627</v>
      </c>
      <c r="BM313" s="107">
        <f t="shared" si="189"/>
        <v>1.1127076627324948</v>
      </c>
      <c r="BN313" s="107">
        <f t="shared" si="189"/>
        <v>2.8314493742615632</v>
      </c>
      <c r="BO313" s="107">
        <f t="shared" si="189"/>
        <v>1.036891829831438</v>
      </c>
    </row>
    <row r="314" spans="1:67" x14ac:dyDescent="0.25">
      <c r="A314" s="250" t="s">
        <v>305</v>
      </c>
      <c r="B314" s="227">
        <v>5</v>
      </c>
      <c r="C314" s="226">
        <f>'побудинковий звіт'!E301</f>
        <v>9136.98</v>
      </c>
      <c r="D314" s="138">
        <f t="shared" si="159"/>
        <v>1015.3289280964009</v>
      </c>
      <c r="E314" s="104">
        <f t="shared" si="153"/>
        <v>209.28668874933891</v>
      </c>
      <c r="F314" s="323">
        <v>193.21854949187943</v>
      </c>
      <c r="G314" s="104" t="e">
        <f t="shared" si="154"/>
        <v>#REF!</v>
      </c>
      <c r="H314" s="720">
        <f t="shared" si="160"/>
        <v>848.28162467547554</v>
      </c>
      <c r="I314" s="104" t="e">
        <f t="shared" si="161"/>
        <v>#REF!</v>
      </c>
      <c r="J314" s="28"/>
      <c r="K314" s="139" t="e">
        <f t="shared" si="162"/>
        <v>#REF!</v>
      </c>
      <c r="L314" s="200">
        <f t="shared" si="163"/>
        <v>215.20878904909182</v>
      </c>
      <c r="M314" s="104">
        <f t="shared" si="155"/>
        <v>47.349791247943273</v>
      </c>
      <c r="N314" s="323">
        <v>0</v>
      </c>
      <c r="O314" s="104"/>
      <c r="P314" s="104">
        <f t="shared" si="164"/>
        <v>179.80149699986907</v>
      </c>
      <c r="Q314" s="104">
        <f t="shared" si="165"/>
        <v>56.937419489038469</v>
      </c>
      <c r="R314" s="104"/>
      <c r="S314" s="140">
        <f t="shared" si="166"/>
        <v>499.2974967859426</v>
      </c>
      <c r="T314" s="880">
        <v>1035.0916666666667</v>
      </c>
      <c r="U314" s="104"/>
      <c r="V314" s="148">
        <f t="shared" si="167"/>
        <v>1035.0916666666667</v>
      </c>
      <c r="W314" s="236"/>
      <c r="X314" s="104"/>
      <c r="Y314" s="45">
        <f t="shared" si="168"/>
        <v>0</v>
      </c>
      <c r="Z314" s="138">
        <f t="shared" si="169"/>
        <v>0</v>
      </c>
      <c r="AA314" s="104">
        <f t="shared" si="156"/>
        <v>0</v>
      </c>
      <c r="AB314" s="323">
        <v>0</v>
      </c>
      <c r="AC314" s="104"/>
      <c r="AD314" s="104">
        <f t="shared" si="170"/>
        <v>0</v>
      </c>
      <c r="AE314" s="104">
        <f t="shared" si="171"/>
        <v>0</v>
      </c>
      <c r="AF314" s="104"/>
      <c r="AG314" s="139">
        <f t="shared" si="172"/>
        <v>0</v>
      </c>
      <c r="AH314" s="200">
        <f t="shared" si="173"/>
        <v>1037.5554406025301</v>
      </c>
      <c r="AI314" s="104">
        <f t="shared" si="157"/>
        <v>206.95671519551601</v>
      </c>
      <c r="AJ314" s="323">
        <v>81.461299392133682</v>
      </c>
      <c r="AK314" s="118" t="e">
        <f t="shared" si="158"/>
        <v>#REF!</v>
      </c>
      <c r="AL314" s="408"/>
      <c r="AM314" s="104">
        <f t="shared" si="174"/>
        <v>866.85131339193742</v>
      </c>
      <c r="AN314" s="104" t="e">
        <f t="shared" si="175"/>
        <v>#REF!</v>
      </c>
      <c r="AO314" s="104"/>
      <c r="AP314" s="140" t="e">
        <f t="shared" si="176"/>
        <v>#REF!</v>
      </c>
      <c r="AQ314" s="137"/>
      <c r="AR314" s="104"/>
      <c r="AS314" s="139">
        <f>AQ314+AR314</f>
        <v>0</v>
      </c>
      <c r="AT314" s="135" t="e">
        <f t="shared" si="177"/>
        <v>#REF!</v>
      </c>
      <c r="AU314" s="148" t="e">
        <f t="shared" si="178"/>
        <v>#REF!</v>
      </c>
      <c r="AW314" s="1">
        <v>2</v>
      </c>
      <c r="BA314" s="29">
        <v>925.73</v>
      </c>
      <c r="BB314" s="29">
        <v>193.41</v>
      </c>
      <c r="BC314" s="29">
        <v>0</v>
      </c>
      <c r="BD314" s="29">
        <v>1000.64</v>
      </c>
      <c r="BF314" s="279">
        <f t="shared" si="188"/>
        <v>1242.1099999999999</v>
      </c>
      <c r="BI314" s="323">
        <v>0</v>
      </c>
      <c r="BL314" s="107">
        <f t="shared" si="189"/>
        <v>1.0967873225415627</v>
      </c>
      <c r="BM314" s="107">
        <f t="shared" si="189"/>
        <v>1.1127076627324948</v>
      </c>
      <c r="BN314" s="107">
        <f t="shared" si="189"/>
        <v>2.8314493742615632</v>
      </c>
      <c r="BO314" s="107">
        <f t="shared" si="189"/>
        <v>1.036891829831438</v>
      </c>
    </row>
    <row r="315" spans="1:67" x14ac:dyDescent="0.25">
      <c r="A315" s="250" t="s">
        <v>306</v>
      </c>
      <c r="B315" s="227">
        <v>5</v>
      </c>
      <c r="C315" s="226">
        <f>'побудинковий звіт'!E302</f>
        <v>2608.3199999999997</v>
      </c>
      <c r="D315" s="138">
        <f t="shared" si="159"/>
        <v>331.89881167430229</v>
      </c>
      <c r="E315" s="104">
        <f t="shared" si="153"/>
        <v>68.413300727466364</v>
      </c>
      <c r="F315" s="323">
        <v>54.980576303544851</v>
      </c>
      <c r="G315" s="104" t="e">
        <f t="shared" si="154"/>
        <v>#REF!</v>
      </c>
      <c r="H315" s="720">
        <f t="shared" si="160"/>
        <v>277.29305784953027</v>
      </c>
      <c r="I315" s="104" t="e">
        <f t="shared" si="161"/>
        <v>#REF!</v>
      </c>
      <c r="J315" s="28"/>
      <c r="K315" s="139" t="e">
        <f t="shared" si="162"/>
        <v>#REF!</v>
      </c>
      <c r="L315" s="200">
        <f t="shared" si="163"/>
        <v>64.948746273695718</v>
      </c>
      <c r="M315" s="104">
        <f t="shared" si="155"/>
        <v>14.289888398440871</v>
      </c>
      <c r="N315" s="323">
        <v>0</v>
      </c>
      <c r="O315" s="104"/>
      <c r="P315" s="104">
        <f t="shared" si="164"/>
        <v>54.263033865272511</v>
      </c>
      <c r="Q315" s="104">
        <f t="shared" si="165"/>
        <v>17.183378189210359</v>
      </c>
      <c r="R315" s="104"/>
      <c r="S315" s="140">
        <f t="shared" si="166"/>
        <v>150.68504672661948</v>
      </c>
      <c r="T315" s="880">
        <v>293.68333333333334</v>
      </c>
      <c r="U315" s="104"/>
      <c r="V315" s="148">
        <f t="shared" si="167"/>
        <v>293.68333333333334</v>
      </c>
      <c r="W315" s="236"/>
      <c r="X315" s="104"/>
      <c r="Y315" s="45">
        <f t="shared" si="168"/>
        <v>0</v>
      </c>
      <c r="Z315" s="138">
        <f t="shared" si="169"/>
        <v>0</v>
      </c>
      <c r="AA315" s="104">
        <f t="shared" si="156"/>
        <v>0</v>
      </c>
      <c r="AB315" s="323">
        <v>0</v>
      </c>
      <c r="AC315" s="104"/>
      <c r="AD315" s="104">
        <f t="shared" si="170"/>
        <v>0</v>
      </c>
      <c r="AE315" s="104">
        <f t="shared" si="171"/>
        <v>0</v>
      </c>
      <c r="AF315" s="104"/>
      <c r="AG315" s="139">
        <f t="shared" si="172"/>
        <v>0</v>
      </c>
      <c r="AH315" s="200">
        <f t="shared" si="173"/>
        <v>168.0697966973778</v>
      </c>
      <c r="AI315" s="104">
        <f t="shared" si="157"/>
        <v>33.524158504598248</v>
      </c>
      <c r="AJ315" s="323">
        <v>21.586426203300739</v>
      </c>
      <c r="AK315" s="118" t="e">
        <f t="shared" si="158"/>
        <v>#REF!</v>
      </c>
      <c r="AL315" s="408"/>
      <c r="AM315" s="104">
        <f t="shared" si="174"/>
        <v>140.41806182812914</v>
      </c>
      <c r="AN315" s="104" t="e">
        <f t="shared" si="175"/>
        <v>#REF!</v>
      </c>
      <c r="AO315" s="104"/>
      <c r="AP315" s="140" t="e">
        <f t="shared" si="176"/>
        <v>#REF!</v>
      </c>
      <c r="AQ315" s="33"/>
      <c r="AR315" s="28"/>
      <c r="AS315" s="121"/>
      <c r="AT315" s="135" t="e">
        <f t="shared" si="177"/>
        <v>#REF!</v>
      </c>
      <c r="AU315" s="148" t="e">
        <f t="shared" si="178"/>
        <v>#REF!</v>
      </c>
      <c r="AW315" s="1">
        <v>2</v>
      </c>
      <c r="BA315" s="29">
        <v>302.61</v>
      </c>
      <c r="BB315" s="29">
        <v>58.37</v>
      </c>
      <c r="BC315" s="29">
        <v>0</v>
      </c>
      <c r="BD315" s="29">
        <v>162.09</v>
      </c>
      <c r="BF315" s="279">
        <f t="shared" si="188"/>
        <v>352.42</v>
      </c>
      <c r="BI315" s="323">
        <v>0</v>
      </c>
      <c r="BL315" s="107">
        <f t="shared" si="189"/>
        <v>1.0967873225415627</v>
      </c>
      <c r="BM315" s="107">
        <f t="shared" si="189"/>
        <v>1.1127076627324948</v>
      </c>
      <c r="BN315" s="107">
        <f t="shared" si="189"/>
        <v>2.8314493742615632</v>
      </c>
      <c r="BO315" s="107">
        <f t="shared" si="189"/>
        <v>1.036891829831438</v>
      </c>
    </row>
    <row r="316" spans="1:67" x14ac:dyDescent="0.25">
      <c r="A316" s="250" t="s">
        <v>307</v>
      </c>
      <c r="B316" s="227">
        <v>5</v>
      </c>
      <c r="C316" s="226">
        <f>'побудинковий звіт'!E303</f>
        <v>2600.1999999999998</v>
      </c>
      <c r="D316" s="138">
        <f t="shared" si="159"/>
        <v>299.96036484189199</v>
      </c>
      <c r="E316" s="104">
        <f t="shared" si="153"/>
        <v>61.829925038679413</v>
      </c>
      <c r="F316" s="323">
        <v>48.0199855347118</v>
      </c>
      <c r="G316" s="104" t="e">
        <f t="shared" si="154"/>
        <v>#REF!</v>
      </c>
      <c r="H316" s="720">
        <f t="shared" si="160"/>
        <v>250.60929378165966</v>
      </c>
      <c r="I316" s="104" t="e">
        <f t="shared" si="161"/>
        <v>#REF!</v>
      </c>
      <c r="J316" s="28"/>
      <c r="K316" s="139" t="e">
        <f t="shared" si="162"/>
        <v>#REF!</v>
      </c>
      <c r="L316" s="200">
        <f t="shared" si="163"/>
        <v>64.948746273695718</v>
      </c>
      <c r="M316" s="104">
        <f t="shared" si="155"/>
        <v>14.289888398440871</v>
      </c>
      <c r="N316" s="323">
        <v>0</v>
      </c>
      <c r="O316" s="104"/>
      <c r="P316" s="104">
        <f t="shared" si="164"/>
        <v>54.263033865272511</v>
      </c>
      <c r="Q316" s="104">
        <f t="shared" si="165"/>
        <v>17.183378189210359</v>
      </c>
      <c r="R316" s="104"/>
      <c r="S316" s="140">
        <f t="shared" si="166"/>
        <v>150.68504672661948</v>
      </c>
      <c r="T316" s="880">
        <v>266.27499999999998</v>
      </c>
      <c r="U316" s="104"/>
      <c r="V316" s="148">
        <f t="shared" si="167"/>
        <v>266.27499999999998</v>
      </c>
      <c r="W316" s="882">
        <v>60.28</v>
      </c>
      <c r="X316" s="104"/>
      <c r="Y316" s="45">
        <f t="shared" si="168"/>
        <v>60.28</v>
      </c>
      <c r="Z316" s="138">
        <f t="shared" si="169"/>
        <v>50.909459749222904</v>
      </c>
      <c r="AA316" s="104">
        <f t="shared" si="156"/>
        <v>11.190302232822038</v>
      </c>
      <c r="AB316" s="323">
        <v>0</v>
      </c>
      <c r="AC316" s="104"/>
      <c r="AD316" s="104">
        <f t="shared" si="170"/>
        <v>42.533565263809031</v>
      </c>
      <c r="AE316" s="104">
        <f t="shared" si="171"/>
        <v>13.46765214965912</v>
      </c>
      <c r="AF316" s="104"/>
      <c r="AG316" s="139">
        <f t="shared" si="172"/>
        <v>118.10097939551308</v>
      </c>
      <c r="AH316" s="200">
        <f t="shared" si="173"/>
        <v>170.9730938209058</v>
      </c>
      <c r="AI316" s="104">
        <f t="shared" si="157"/>
        <v>34.103266677914768</v>
      </c>
      <c r="AJ316" s="323">
        <v>18.853565090073314</v>
      </c>
      <c r="AK316" s="118" t="e">
        <f t="shared" si="158"/>
        <v>#REF!</v>
      </c>
      <c r="AL316" s="408"/>
      <c r="AM316" s="104">
        <f t="shared" si="174"/>
        <v>142.84369310161154</v>
      </c>
      <c r="AN316" s="104" t="e">
        <f t="shared" si="175"/>
        <v>#REF!</v>
      </c>
      <c r="AO316" s="104"/>
      <c r="AP316" s="140" t="e">
        <f t="shared" si="176"/>
        <v>#REF!</v>
      </c>
      <c r="AQ316" s="33"/>
      <c r="AR316" s="28"/>
      <c r="AS316" s="121"/>
      <c r="AT316" s="135" t="e">
        <f t="shared" si="177"/>
        <v>#REF!</v>
      </c>
      <c r="AU316" s="148" t="e">
        <f t="shared" si="178"/>
        <v>#REF!</v>
      </c>
      <c r="AW316" s="1">
        <v>2</v>
      </c>
      <c r="BA316" s="29">
        <v>273.49</v>
      </c>
      <c r="BB316" s="29">
        <v>58.37</v>
      </c>
      <c r="BC316" s="29">
        <v>17.98</v>
      </c>
      <c r="BD316" s="29">
        <v>164.89</v>
      </c>
      <c r="BF316" s="279">
        <f t="shared" si="188"/>
        <v>319.52999999999997</v>
      </c>
      <c r="BG316" s="1">
        <v>255.63</v>
      </c>
      <c r="BI316" s="323">
        <v>0</v>
      </c>
      <c r="BL316" s="107">
        <f t="shared" si="189"/>
        <v>1.0967873225415627</v>
      </c>
      <c r="BM316" s="107">
        <f t="shared" si="189"/>
        <v>1.1127076627324948</v>
      </c>
      <c r="BN316" s="107">
        <f t="shared" si="189"/>
        <v>2.8314493742615632</v>
      </c>
      <c r="BO316" s="107">
        <f t="shared" si="189"/>
        <v>1.036891829831438</v>
      </c>
    </row>
    <row r="317" spans="1:67" x14ac:dyDescent="0.25">
      <c r="A317" s="250" t="s">
        <v>308</v>
      </c>
      <c r="B317" s="227">
        <v>5</v>
      </c>
      <c r="C317" s="226">
        <f>'побудинковий звіт'!E304</f>
        <v>5026.91</v>
      </c>
      <c r="D317" s="138">
        <f t="shared" si="159"/>
        <v>507.78681358368965</v>
      </c>
      <c r="E317" s="104">
        <f t="shared" si="153"/>
        <v>104.6685639152971</v>
      </c>
      <c r="F317" s="323">
        <v>101.84510405803798</v>
      </c>
      <c r="G317" s="104" t="e">
        <f t="shared" si="154"/>
        <v>#REF!</v>
      </c>
      <c r="H317" s="720">
        <f t="shared" si="160"/>
        <v>424.243032278361</v>
      </c>
      <c r="I317" s="104" t="e">
        <f t="shared" si="161"/>
        <v>#REF!</v>
      </c>
      <c r="J317" s="28"/>
      <c r="K317" s="139" t="e">
        <f t="shared" si="162"/>
        <v>#REF!</v>
      </c>
      <c r="L317" s="200">
        <f t="shared" si="163"/>
        <v>106.7195127408071</v>
      </c>
      <c r="M317" s="104">
        <f t="shared" si="155"/>
        <v>23.480205769880303</v>
      </c>
      <c r="N317" s="323">
        <v>0</v>
      </c>
      <c r="O317" s="104"/>
      <c r="P317" s="104">
        <f t="shared" si="164"/>
        <v>89.161452163167084</v>
      </c>
      <c r="Q317" s="104">
        <f t="shared" si="165"/>
        <v>28.234598091637565</v>
      </c>
      <c r="R317" s="104"/>
      <c r="S317" s="140">
        <f t="shared" si="166"/>
        <v>247.59576876549204</v>
      </c>
      <c r="T317" s="880">
        <v>635.70000000000005</v>
      </c>
      <c r="U317" s="104"/>
      <c r="V317" s="148">
        <f t="shared" si="167"/>
        <v>635.70000000000005</v>
      </c>
      <c r="W317" s="236"/>
      <c r="X317" s="104"/>
      <c r="Y317" s="45">
        <f t="shared" si="168"/>
        <v>0</v>
      </c>
      <c r="Z317" s="138">
        <f t="shared" si="169"/>
        <v>0</v>
      </c>
      <c r="AA317" s="104">
        <f t="shared" si="156"/>
        <v>0</v>
      </c>
      <c r="AB317" s="323">
        <v>0</v>
      </c>
      <c r="AC317" s="104"/>
      <c r="AD317" s="104">
        <f t="shared" si="170"/>
        <v>0</v>
      </c>
      <c r="AE317" s="104">
        <f t="shared" si="171"/>
        <v>0</v>
      </c>
      <c r="AF317" s="104"/>
      <c r="AG317" s="139">
        <f t="shared" si="172"/>
        <v>0</v>
      </c>
      <c r="AH317" s="200">
        <f t="shared" si="173"/>
        <v>363.88213833344662</v>
      </c>
      <c r="AI317" s="104">
        <f t="shared" si="157"/>
        <v>72.582002966586174</v>
      </c>
      <c r="AJ317" s="323">
        <v>43.612695292390242</v>
      </c>
      <c r="AK317" s="118" t="e">
        <f t="shared" si="158"/>
        <v>#REF!</v>
      </c>
      <c r="AL317" s="104"/>
      <c r="AM317" s="104">
        <f t="shared" si="174"/>
        <v>304.0143178768713</v>
      </c>
      <c r="AN317" s="104" t="e">
        <f t="shared" si="175"/>
        <v>#REF!</v>
      </c>
      <c r="AO317" s="104"/>
      <c r="AP317" s="140" t="e">
        <f t="shared" si="176"/>
        <v>#REF!</v>
      </c>
      <c r="AQ317" s="33"/>
      <c r="AR317" s="28"/>
      <c r="AS317" s="121"/>
      <c r="AT317" s="135" t="e">
        <f t="shared" si="177"/>
        <v>#REF!</v>
      </c>
      <c r="AU317" s="148" t="e">
        <f t="shared" si="178"/>
        <v>#REF!</v>
      </c>
      <c r="AW317" s="1">
        <v>1</v>
      </c>
      <c r="BA317" s="29">
        <v>591.13</v>
      </c>
      <c r="BB317" s="29">
        <v>115.74</v>
      </c>
      <c r="BC317" s="29">
        <v>0</v>
      </c>
      <c r="BD317" s="29">
        <v>438.56</v>
      </c>
      <c r="BF317" s="279">
        <f t="shared" si="188"/>
        <v>762.84</v>
      </c>
      <c r="BI317" s="323">
        <v>0</v>
      </c>
      <c r="BL317" s="107">
        <f>$BA$397</f>
        <v>0.85901039294857251</v>
      </c>
      <c r="BM317" s="107">
        <f>$BB$397</f>
        <v>0.92206249128051765</v>
      </c>
      <c r="BN317" s="107">
        <f>$BC$397</f>
        <v>0.35749517965371247</v>
      </c>
      <c r="BO317" s="107">
        <f>$BD$397</f>
        <v>0.82972030812989472</v>
      </c>
    </row>
    <row r="318" spans="1:67" x14ac:dyDescent="0.25">
      <c r="A318" s="250" t="s">
        <v>309</v>
      </c>
      <c r="B318" s="227">
        <v>5</v>
      </c>
      <c r="C318" s="226">
        <f>'побудинковий звіт'!E305</f>
        <v>2839.58</v>
      </c>
      <c r="D318" s="138">
        <f t="shared" si="159"/>
        <v>250.23831756984865</v>
      </c>
      <c r="E318" s="104">
        <f t="shared" si="153"/>
        <v>51.580869443549133</v>
      </c>
      <c r="F318" s="323">
        <v>57.53629540603562</v>
      </c>
      <c r="G318" s="104" t="e">
        <f t="shared" si="154"/>
        <v>#REF!</v>
      </c>
      <c r="H318" s="720">
        <f t="shared" si="160"/>
        <v>209.06778159289723</v>
      </c>
      <c r="I318" s="104" t="e">
        <f t="shared" si="161"/>
        <v>#REF!</v>
      </c>
      <c r="J318" s="28"/>
      <c r="K318" s="139" t="e">
        <f t="shared" si="162"/>
        <v>#REF!</v>
      </c>
      <c r="L318" s="200">
        <f t="shared" si="163"/>
        <v>54.73362948241153</v>
      </c>
      <c r="M318" s="104">
        <f t="shared" si="155"/>
        <v>12.042379596510239</v>
      </c>
      <c r="N318" s="323">
        <v>0</v>
      </c>
      <c r="O318" s="104"/>
      <c r="P318" s="104">
        <f t="shared" si="164"/>
        <v>45.728562298303082</v>
      </c>
      <c r="Q318" s="104">
        <f t="shared" si="165"/>
        <v>14.480782294104081</v>
      </c>
      <c r="R318" s="104"/>
      <c r="S318" s="140">
        <f t="shared" si="166"/>
        <v>126.98535367132894</v>
      </c>
      <c r="T318" s="880">
        <v>388.4083333333333</v>
      </c>
      <c r="U318" s="104"/>
      <c r="V318" s="148">
        <f t="shared" si="167"/>
        <v>388.4083333333333</v>
      </c>
      <c r="W318" s="236"/>
      <c r="X318" s="104"/>
      <c r="Y318" s="45">
        <f t="shared" si="168"/>
        <v>0</v>
      </c>
      <c r="Z318" s="138">
        <f t="shared" si="169"/>
        <v>0</v>
      </c>
      <c r="AA318" s="104">
        <f t="shared" si="156"/>
        <v>0</v>
      </c>
      <c r="AB318" s="323">
        <v>0</v>
      </c>
      <c r="AC318" s="104"/>
      <c r="AD318" s="104">
        <f t="shared" si="170"/>
        <v>0</v>
      </c>
      <c r="AE318" s="104">
        <f t="shared" si="171"/>
        <v>0</v>
      </c>
      <c r="AF318" s="104"/>
      <c r="AG318" s="139">
        <f t="shared" si="172"/>
        <v>0</v>
      </c>
      <c r="AH318" s="200">
        <f t="shared" si="173"/>
        <v>140.59610621261066</v>
      </c>
      <c r="AI318" s="104">
        <f t="shared" si="157"/>
        <v>28.044099787231001</v>
      </c>
      <c r="AJ318" s="323">
        <v>24.638522813687874</v>
      </c>
      <c r="AK318" s="118" t="e">
        <f t="shared" si="158"/>
        <v>#REF!</v>
      </c>
      <c r="AL318" s="408"/>
      <c r="AM318" s="104">
        <f t="shared" si="174"/>
        <v>117.46448869991757</v>
      </c>
      <c r="AN318" s="104" t="e">
        <f t="shared" si="175"/>
        <v>#REF!</v>
      </c>
      <c r="AO318" s="104"/>
      <c r="AP318" s="140" t="e">
        <f t="shared" si="176"/>
        <v>#REF!</v>
      </c>
      <c r="AQ318" s="33"/>
      <c r="AR318" s="28"/>
      <c r="AS318" s="121"/>
      <c r="AT318" s="135" t="e">
        <f t="shared" si="177"/>
        <v>#REF!</v>
      </c>
      <c r="AU318" s="148" t="e">
        <f t="shared" si="178"/>
        <v>#REF!</v>
      </c>
      <c r="AW318" s="1">
        <v>1</v>
      </c>
      <c r="BA318" s="29">
        <v>291.31</v>
      </c>
      <c r="BB318" s="29">
        <v>59.36</v>
      </c>
      <c r="BC318" s="29">
        <v>0</v>
      </c>
      <c r="BD318" s="29">
        <v>169.45</v>
      </c>
      <c r="BF318" s="279">
        <f t="shared" si="188"/>
        <v>466.08999999999992</v>
      </c>
      <c r="BI318" s="323">
        <v>0</v>
      </c>
      <c r="BL318" s="107">
        <f>$BA$397</f>
        <v>0.85901039294857251</v>
      </c>
      <c r="BM318" s="107">
        <f>$BB$397</f>
        <v>0.92206249128051765</v>
      </c>
      <c r="BN318" s="107">
        <f>$BC$397</f>
        <v>0.35749517965371247</v>
      </c>
      <c r="BO318" s="107">
        <f>$BD$397</f>
        <v>0.82972030812989472</v>
      </c>
    </row>
    <row r="319" spans="1:67" x14ac:dyDescent="0.25">
      <c r="A319" s="250" t="s">
        <v>310</v>
      </c>
      <c r="B319" s="227">
        <v>5</v>
      </c>
      <c r="C319" s="226">
        <f>'побудинковий звіт'!E306</f>
        <v>3295.32</v>
      </c>
      <c r="D319" s="138">
        <f t="shared" si="159"/>
        <v>320.62562916805467</v>
      </c>
      <c r="E319" s="104">
        <f t="shared" si="153"/>
        <v>66.089593628109967</v>
      </c>
      <c r="F319" s="323">
        <v>66.779470032377859</v>
      </c>
      <c r="G319" s="104" t="e">
        <f t="shared" si="154"/>
        <v>#REF!</v>
      </c>
      <c r="H319" s="720">
        <f t="shared" si="160"/>
        <v>267.87459915399023</v>
      </c>
      <c r="I319" s="104" t="e">
        <f t="shared" si="161"/>
        <v>#REF!</v>
      </c>
      <c r="J319" s="28"/>
      <c r="K319" s="139" t="e">
        <f t="shared" si="162"/>
        <v>#REF!</v>
      </c>
      <c r="L319" s="200">
        <f t="shared" si="163"/>
        <v>71.450622449327312</v>
      </c>
      <c r="M319" s="104">
        <f t="shared" si="155"/>
        <v>15.720417704406644</v>
      </c>
      <c r="N319" s="323">
        <v>0</v>
      </c>
      <c r="O319" s="104"/>
      <c r="P319" s="104">
        <f t="shared" si="164"/>
        <v>59.695186868185743</v>
      </c>
      <c r="Q319" s="104">
        <f t="shared" si="165"/>
        <v>18.903568395723134</v>
      </c>
      <c r="R319" s="104"/>
      <c r="S319" s="140">
        <f t="shared" si="166"/>
        <v>165.76979541764285</v>
      </c>
      <c r="T319" s="880">
        <v>435.74166666666667</v>
      </c>
      <c r="U319" s="104"/>
      <c r="V319" s="148">
        <f t="shared" si="167"/>
        <v>435.74166666666667</v>
      </c>
      <c r="W319" s="236"/>
      <c r="X319" s="104"/>
      <c r="Y319" s="45">
        <f t="shared" si="168"/>
        <v>0</v>
      </c>
      <c r="Z319" s="138">
        <f t="shared" si="169"/>
        <v>0</v>
      </c>
      <c r="AA319" s="104">
        <f t="shared" si="156"/>
        <v>0</v>
      </c>
      <c r="AB319" s="323">
        <v>0</v>
      </c>
      <c r="AC319" s="104"/>
      <c r="AD319" s="104">
        <f t="shared" si="170"/>
        <v>0</v>
      </c>
      <c r="AE319" s="104">
        <f t="shared" si="171"/>
        <v>0</v>
      </c>
      <c r="AF319" s="104"/>
      <c r="AG319" s="139">
        <f t="shared" si="172"/>
        <v>0</v>
      </c>
      <c r="AH319" s="200">
        <f t="shared" si="173"/>
        <v>196.2371500758014</v>
      </c>
      <c r="AI319" s="104">
        <f t="shared" si="157"/>
        <v>39.142579171897339</v>
      </c>
      <c r="AJ319" s="323">
        <v>28.596688129943956</v>
      </c>
      <c r="AK319" s="118" t="e">
        <f t="shared" si="158"/>
        <v>#REF!</v>
      </c>
      <c r="AL319" s="104"/>
      <c r="AM319" s="104">
        <f t="shared" si="174"/>
        <v>163.9511727495869</v>
      </c>
      <c r="AN319" s="104" t="e">
        <f t="shared" si="175"/>
        <v>#REF!</v>
      </c>
      <c r="AO319" s="104"/>
      <c r="AP319" s="140" t="e">
        <f t="shared" si="176"/>
        <v>#REF!</v>
      </c>
      <c r="AQ319" s="33"/>
      <c r="AR319" s="28"/>
      <c r="AS319" s="121"/>
      <c r="AT319" s="135" t="e">
        <f t="shared" si="177"/>
        <v>#REF!</v>
      </c>
      <c r="AU319" s="148" t="e">
        <f t="shared" si="178"/>
        <v>#REF!</v>
      </c>
      <c r="AW319" s="1">
        <v>1</v>
      </c>
      <c r="BA319" s="29">
        <v>373.25</v>
      </c>
      <c r="BB319" s="29">
        <v>77.489999999999995</v>
      </c>
      <c r="BC319" s="29">
        <v>0</v>
      </c>
      <c r="BD319" s="29">
        <v>236.51</v>
      </c>
      <c r="BF319" s="279">
        <f t="shared" si="188"/>
        <v>522.89</v>
      </c>
      <c r="BI319" s="323">
        <v>0</v>
      </c>
      <c r="BL319" s="107">
        <f>$BA$397</f>
        <v>0.85901039294857251</v>
      </c>
      <c r="BM319" s="107">
        <f>$BB$397</f>
        <v>0.92206249128051765</v>
      </c>
      <c r="BN319" s="107">
        <f>$BC$397</f>
        <v>0.35749517965371247</v>
      </c>
      <c r="BO319" s="107">
        <f>$BD$397</f>
        <v>0.82972030812989472</v>
      </c>
    </row>
    <row r="320" spans="1:67" x14ac:dyDescent="0.25">
      <c r="A320" s="250" t="s">
        <v>311</v>
      </c>
      <c r="B320" s="227">
        <v>5</v>
      </c>
      <c r="C320" s="226">
        <f>'побудинковий звіт'!E307</f>
        <v>5801.57</v>
      </c>
      <c r="D320" s="138">
        <f t="shared" si="159"/>
        <v>520.13938303429018</v>
      </c>
      <c r="E320" s="104">
        <f t="shared" si="153"/>
        <v>107.2147617890338</v>
      </c>
      <c r="F320" s="323">
        <v>116.74281704926662</v>
      </c>
      <c r="G320" s="104" t="e">
        <f t="shared" si="154"/>
        <v>#REF!</v>
      </c>
      <c r="H320" s="720">
        <f t="shared" si="160"/>
        <v>434.56329145005395</v>
      </c>
      <c r="I320" s="104" t="e">
        <f t="shared" si="161"/>
        <v>#REF!</v>
      </c>
      <c r="J320" s="28"/>
      <c r="K320" s="139" t="e">
        <f t="shared" si="162"/>
        <v>#REF!</v>
      </c>
      <c r="L320" s="200">
        <f t="shared" si="163"/>
        <v>127.66877254270048</v>
      </c>
      <c r="M320" s="104">
        <f t="shared" si="155"/>
        <v>28.089418445633552</v>
      </c>
      <c r="N320" s="323">
        <v>0</v>
      </c>
      <c r="O320" s="104"/>
      <c r="P320" s="104">
        <f t="shared" si="164"/>
        <v>106.66402856844752</v>
      </c>
      <c r="Q320" s="104">
        <f t="shared" si="165"/>
        <v>33.777107756766355</v>
      </c>
      <c r="R320" s="104"/>
      <c r="S320" s="140">
        <f t="shared" si="166"/>
        <v>296.19932731354788</v>
      </c>
      <c r="T320" s="880">
        <v>657.4083333333333</v>
      </c>
      <c r="U320" s="104"/>
      <c r="V320" s="148">
        <f t="shared" si="167"/>
        <v>657.4083333333333</v>
      </c>
      <c r="W320" s="882">
        <v>149.166</v>
      </c>
      <c r="X320" s="104"/>
      <c r="Y320" s="45">
        <f t="shared" si="168"/>
        <v>149.166</v>
      </c>
      <c r="Z320" s="138">
        <f t="shared" si="169"/>
        <v>15.000497738269775</v>
      </c>
      <c r="AA320" s="104">
        <f t="shared" si="156"/>
        <v>3.2972281411130955</v>
      </c>
      <c r="AB320" s="323">
        <v>0</v>
      </c>
      <c r="AC320" s="104"/>
      <c r="AD320" s="104">
        <f t="shared" si="170"/>
        <v>12.532536245389172</v>
      </c>
      <c r="AE320" s="104">
        <f t="shared" si="171"/>
        <v>3.96825043137193</v>
      </c>
      <c r="AF320" s="104"/>
      <c r="AG320" s="139">
        <f t="shared" si="172"/>
        <v>34.798512556143969</v>
      </c>
      <c r="AH320" s="200">
        <f t="shared" si="173"/>
        <v>470.17760700796742</v>
      </c>
      <c r="AI320" s="104">
        <f t="shared" si="157"/>
        <v>93.78430231000408</v>
      </c>
      <c r="AJ320" s="323">
        <v>49.992279497730941</v>
      </c>
      <c r="AK320" s="118" t="e">
        <f t="shared" si="158"/>
        <v>#REF!</v>
      </c>
      <c r="AL320" s="104"/>
      <c r="AM320" s="104">
        <f t="shared" si="174"/>
        <v>392.82149195386415</v>
      </c>
      <c r="AN320" s="104" t="e">
        <f t="shared" si="175"/>
        <v>#REF!</v>
      </c>
      <c r="AO320" s="104"/>
      <c r="AP320" s="140" t="e">
        <f t="shared" si="176"/>
        <v>#REF!</v>
      </c>
      <c r="AQ320" s="33"/>
      <c r="AR320" s="28"/>
      <c r="AS320" s="121"/>
      <c r="AT320" s="135" t="e">
        <f t="shared" si="177"/>
        <v>#REF!</v>
      </c>
      <c r="AU320" s="148" t="e">
        <f t="shared" si="178"/>
        <v>#REF!</v>
      </c>
      <c r="AW320" s="1">
        <v>1</v>
      </c>
      <c r="BA320" s="29">
        <v>605.51</v>
      </c>
      <c r="BB320" s="29">
        <v>138.46</v>
      </c>
      <c r="BC320" s="29">
        <v>41.96</v>
      </c>
      <c r="BD320" s="29">
        <v>566.66999999999996</v>
      </c>
      <c r="BF320" s="279">
        <f t="shared" si="188"/>
        <v>788.89</v>
      </c>
      <c r="BI320" s="323">
        <v>0</v>
      </c>
      <c r="BL320" s="107">
        <f>$BA$397</f>
        <v>0.85901039294857251</v>
      </c>
      <c r="BM320" s="107">
        <f>$BB$397</f>
        <v>0.92206249128051765</v>
      </c>
      <c r="BN320" s="107">
        <f>$BC$397</f>
        <v>0.35749517965371247</v>
      </c>
      <c r="BO320" s="107">
        <f>$BD$397</f>
        <v>0.82972030812989472</v>
      </c>
    </row>
    <row r="321" spans="1:67" x14ac:dyDescent="0.25">
      <c r="A321" s="250" t="s">
        <v>312</v>
      </c>
      <c r="B321" s="227">
        <v>5</v>
      </c>
      <c r="C321" s="226">
        <f>'побудинковий звіт'!E308</f>
        <v>3191.4</v>
      </c>
      <c r="D321" s="138">
        <f t="shared" si="159"/>
        <v>369.57204135826436</v>
      </c>
      <c r="E321" s="104">
        <f t="shared" si="153"/>
        <v>76.178769903876088</v>
      </c>
      <c r="F321" s="323">
        <v>64.634149117086494</v>
      </c>
      <c r="G321" s="104" t="e">
        <f t="shared" si="154"/>
        <v>#REF!</v>
      </c>
      <c r="H321" s="720">
        <f t="shared" si="160"/>
        <v>308.76808786074008</v>
      </c>
      <c r="I321" s="104" t="e">
        <f t="shared" si="161"/>
        <v>#REF!</v>
      </c>
      <c r="J321" s="28"/>
      <c r="K321" s="139" t="e">
        <f t="shared" si="162"/>
        <v>#REF!</v>
      </c>
      <c r="L321" s="200">
        <f t="shared" si="163"/>
        <v>80.320863615445887</v>
      </c>
      <c r="M321" s="104">
        <f t="shared" si="155"/>
        <v>17.672029761657797</v>
      </c>
      <c r="N321" s="323">
        <v>0</v>
      </c>
      <c r="O321" s="104"/>
      <c r="P321" s="104">
        <f t="shared" si="164"/>
        <v>67.106048884858168</v>
      </c>
      <c r="Q321" s="104">
        <f t="shared" si="165"/>
        <v>21.250352857806707</v>
      </c>
      <c r="R321" s="104"/>
      <c r="S321" s="140">
        <f t="shared" si="166"/>
        <v>186.34929511976856</v>
      </c>
      <c r="T321" s="880">
        <v>411.54166666666669</v>
      </c>
      <c r="U321" s="104"/>
      <c r="V321" s="148">
        <f t="shared" si="167"/>
        <v>411.54166666666669</v>
      </c>
      <c r="W321" s="236"/>
      <c r="X321" s="104"/>
      <c r="Y321" s="45">
        <f t="shared" si="168"/>
        <v>0</v>
      </c>
      <c r="Z321" s="138">
        <f t="shared" si="169"/>
        <v>0</v>
      </c>
      <c r="AA321" s="104">
        <f t="shared" si="156"/>
        <v>0</v>
      </c>
      <c r="AB321" s="323">
        <v>0</v>
      </c>
      <c r="AC321" s="104"/>
      <c r="AD321" s="104">
        <f t="shared" si="170"/>
        <v>0</v>
      </c>
      <c r="AE321" s="104">
        <f t="shared" si="171"/>
        <v>0</v>
      </c>
      <c r="AF321" s="104"/>
      <c r="AG321" s="139">
        <f t="shared" si="172"/>
        <v>0</v>
      </c>
      <c r="AH321" s="200">
        <f t="shared" si="173"/>
        <v>193.85585279146858</v>
      </c>
      <c r="AI321" s="104">
        <f t="shared" si="157"/>
        <v>38.667592058357336</v>
      </c>
      <c r="AJ321" s="323">
        <v>27.678006488363266</v>
      </c>
      <c r="AK321" s="118" t="e">
        <f t="shared" si="158"/>
        <v>#REF!</v>
      </c>
      <c r="AL321" s="104"/>
      <c r="AM321" s="104">
        <f t="shared" si="174"/>
        <v>161.96165913159479</v>
      </c>
      <c r="AN321" s="104" t="e">
        <f t="shared" si="175"/>
        <v>#REF!</v>
      </c>
      <c r="AO321" s="104"/>
      <c r="AP321" s="140" t="e">
        <f t="shared" si="176"/>
        <v>#REF!</v>
      </c>
      <c r="AQ321" s="33"/>
      <c r="AR321" s="28"/>
      <c r="AS321" s="121"/>
      <c r="AT321" s="135" t="e">
        <f t="shared" si="177"/>
        <v>#REF!</v>
      </c>
      <c r="AU321" s="148" t="e">
        <f t="shared" si="178"/>
        <v>#REF!</v>
      </c>
      <c r="AW321" s="1">
        <v>1</v>
      </c>
      <c r="BA321" s="29">
        <v>430.23</v>
      </c>
      <c r="BB321" s="29">
        <v>87.11</v>
      </c>
      <c r="BC321" s="29">
        <v>0</v>
      </c>
      <c r="BD321" s="29">
        <v>233.64</v>
      </c>
      <c r="BF321" s="279">
        <f t="shared" si="188"/>
        <v>493.85</v>
      </c>
      <c r="BI321" s="323">
        <v>0</v>
      </c>
      <c r="BL321" s="107">
        <f>$BA$397</f>
        <v>0.85901039294857251</v>
      </c>
      <c r="BM321" s="107">
        <f>$BB$397</f>
        <v>0.92206249128051765</v>
      </c>
      <c r="BN321" s="107">
        <f>$BC$397</f>
        <v>0.35749517965371247</v>
      </c>
      <c r="BO321" s="107">
        <f>$BD$397</f>
        <v>0.82972030812989472</v>
      </c>
    </row>
    <row r="322" spans="1:67" x14ac:dyDescent="0.25">
      <c r="A322" s="424" t="s">
        <v>140</v>
      </c>
      <c r="B322" s="228">
        <v>1</v>
      </c>
      <c r="C322" s="226">
        <f>'побудинковий звіт'!E309</f>
        <v>152.6</v>
      </c>
      <c r="D322" s="138">
        <f t="shared" si="159"/>
        <v>0</v>
      </c>
      <c r="E322" s="104">
        <f t="shared" si="153"/>
        <v>0</v>
      </c>
      <c r="F322" s="323">
        <v>0</v>
      </c>
      <c r="G322" s="104" t="e">
        <f t="shared" si="154"/>
        <v>#REF!</v>
      </c>
      <c r="H322" s="720">
        <f t="shared" si="160"/>
        <v>0</v>
      </c>
      <c r="I322" s="104" t="e">
        <f t="shared" si="161"/>
        <v>#REF!</v>
      </c>
      <c r="J322" s="28"/>
      <c r="K322" s="139" t="e">
        <f t="shared" si="162"/>
        <v>#REF!</v>
      </c>
      <c r="L322" s="200">
        <f t="shared" si="163"/>
        <v>0</v>
      </c>
      <c r="M322" s="104">
        <f t="shared" si="155"/>
        <v>0</v>
      </c>
      <c r="N322" s="323">
        <v>0</v>
      </c>
      <c r="O322" s="104"/>
      <c r="P322" s="104">
        <f t="shared" si="164"/>
        <v>0</v>
      </c>
      <c r="Q322" s="104">
        <f t="shared" si="165"/>
        <v>0</v>
      </c>
      <c r="R322" s="104"/>
      <c r="S322" s="140">
        <f t="shared" si="166"/>
        <v>0</v>
      </c>
      <c r="T322" s="235"/>
      <c r="U322" s="104"/>
      <c r="V322" s="148">
        <f t="shared" si="167"/>
        <v>0</v>
      </c>
      <c r="W322" s="236"/>
      <c r="X322" s="104"/>
      <c r="Y322" s="45">
        <f t="shared" si="168"/>
        <v>0</v>
      </c>
      <c r="Z322" s="138">
        <f t="shared" si="169"/>
        <v>0</v>
      </c>
      <c r="AA322" s="104">
        <f t="shared" si="156"/>
        <v>0</v>
      </c>
      <c r="AB322" s="323">
        <v>0</v>
      </c>
      <c r="AC322" s="104"/>
      <c r="AD322" s="104">
        <f t="shared" si="170"/>
        <v>0</v>
      </c>
      <c r="AE322" s="104">
        <f t="shared" si="171"/>
        <v>0</v>
      </c>
      <c r="AF322" s="104"/>
      <c r="AG322" s="139">
        <f t="shared" si="172"/>
        <v>0</v>
      </c>
      <c r="AH322" s="200">
        <f t="shared" si="173"/>
        <v>0</v>
      </c>
      <c r="AI322" s="104">
        <f t="shared" si="157"/>
        <v>0</v>
      </c>
      <c r="AJ322" s="323">
        <v>0</v>
      </c>
      <c r="AK322" s="118" t="e">
        <f t="shared" si="158"/>
        <v>#REF!</v>
      </c>
      <c r="AL322" s="104"/>
      <c r="AM322" s="104">
        <f t="shared" si="174"/>
        <v>0</v>
      </c>
      <c r="AN322" s="104" t="e">
        <f t="shared" si="175"/>
        <v>#REF!</v>
      </c>
      <c r="AO322" s="104"/>
      <c r="AP322" s="140" t="e">
        <f t="shared" si="176"/>
        <v>#REF!</v>
      </c>
      <c r="AQ322" s="33"/>
      <c r="AR322" s="28"/>
      <c r="AS322" s="121"/>
      <c r="AT322" s="135">
        <f t="shared" si="177"/>
        <v>0</v>
      </c>
      <c r="AU322" s="148" t="e">
        <f t="shared" si="178"/>
        <v>#REF!</v>
      </c>
      <c r="AW322" s="1">
        <v>2</v>
      </c>
      <c r="BA322" s="29">
        <v>0</v>
      </c>
      <c r="BB322" s="29">
        <v>0</v>
      </c>
      <c r="BC322" s="29">
        <v>0</v>
      </c>
      <c r="BD322" s="29">
        <v>0</v>
      </c>
      <c r="BI322" s="323">
        <v>0</v>
      </c>
      <c r="BL322" s="107">
        <f t="shared" ref="BL322:BO329" si="190">BA$398</f>
        <v>1.0967873225415627</v>
      </c>
      <c r="BM322" s="107">
        <f t="shared" si="190"/>
        <v>1.1127076627324948</v>
      </c>
      <c r="BN322" s="107">
        <f t="shared" si="190"/>
        <v>2.8314493742615632</v>
      </c>
      <c r="BO322" s="107">
        <f t="shared" si="190"/>
        <v>1.036891829831438</v>
      </c>
    </row>
    <row r="323" spans="1:67" x14ac:dyDescent="0.25">
      <c r="A323" s="250" t="s">
        <v>396</v>
      </c>
      <c r="B323" s="227">
        <v>9</v>
      </c>
      <c r="C323" s="226">
        <f>'побудинковий звіт'!E310</f>
        <v>3185.0699999999997</v>
      </c>
      <c r="D323" s="138">
        <f t="shared" si="159"/>
        <v>250.95590727073497</v>
      </c>
      <c r="E323" s="104">
        <f t="shared" si="153"/>
        <v>51.72878404365877</v>
      </c>
      <c r="F323" s="323">
        <v>44.94738911922893</v>
      </c>
      <c r="G323" s="104" t="e">
        <f t="shared" si="154"/>
        <v>#REF!</v>
      </c>
      <c r="H323" s="720">
        <f t="shared" si="160"/>
        <v>209.6673096280725</v>
      </c>
      <c r="I323" s="104" t="e">
        <f t="shared" si="161"/>
        <v>#REF!</v>
      </c>
      <c r="J323" s="28"/>
      <c r="K323" s="139" t="e">
        <f t="shared" si="162"/>
        <v>#REF!</v>
      </c>
      <c r="L323" s="200">
        <f t="shared" si="163"/>
        <v>37.4203586976938</v>
      </c>
      <c r="M323" s="104">
        <f t="shared" si="155"/>
        <v>8.2331496803078039</v>
      </c>
      <c r="N323" s="323">
        <v>0</v>
      </c>
      <c r="O323" s="104"/>
      <c r="P323" s="104">
        <f t="shared" si="164"/>
        <v>31.263762701543854</v>
      </c>
      <c r="Q323" s="104">
        <f t="shared" si="165"/>
        <v>9.9002399949142426</v>
      </c>
      <c r="R323" s="104"/>
      <c r="S323" s="140">
        <f t="shared" si="166"/>
        <v>86.817511074459702</v>
      </c>
      <c r="T323" s="880">
        <v>240.54166666666666</v>
      </c>
      <c r="U323" s="104"/>
      <c r="V323" s="148">
        <f t="shared" si="167"/>
        <v>240.54166666666666</v>
      </c>
      <c r="W323" s="882">
        <v>60.88</v>
      </c>
      <c r="X323" s="104"/>
      <c r="Y323" s="45">
        <f t="shared" si="168"/>
        <v>60.88</v>
      </c>
      <c r="Z323" s="138">
        <f t="shared" si="169"/>
        <v>37.346817246510014</v>
      </c>
      <c r="AA323" s="104">
        <f t="shared" si="156"/>
        <v>8.2091260540001478</v>
      </c>
      <c r="AB323" s="323">
        <v>0</v>
      </c>
      <c r="AC323" s="104"/>
      <c r="AD323" s="104">
        <f t="shared" si="170"/>
        <v>31.202320680180261</v>
      </c>
      <c r="AE323" s="104">
        <f t="shared" si="171"/>
        <v>9.8797737404896449</v>
      </c>
      <c r="AF323" s="104"/>
      <c r="AG323" s="139">
        <f t="shared" si="172"/>
        <v>86.638037721180069</v>
      </c>
      <c r="AH323" s="200">
        <f t="shared" si="173"/>
        <v>118.81743478038449</v>
      </c>
      <c r="AI323" s="104">
        <f t="shared" si="157"/>
        <v>23.700001992978674</v>
      </c>
      <c r="AJ323" s="323">
        <v>61.647204949190773</v>
      </c>
      <c r="AK323" s="118" t="e">
        <f t="shared" si="158"/>
        <v>#REF!</v>
      </c>
      <c r="AL323" s="408"/>
      <c r="AM323" s="104">
        <f t="shared" si="174"/>
        <v>99.268959867267071</v>
      </c>
      <c r="AN323" s="104" t="e">
        <f t="shared" si="175"/>
        <v>#REF!</v>
      </c>
      <c r="AO323" s="104"/>
      <c r="AP323" s="140" t="e">
        <f t="shared" si="176"/>
        <v>#REF!</v>
      </c>
      <c r="AQ323" s="33"/>
      <c r="AR323" s="28"/>
      <c r="AS323" s="121"/>
      <c r="AT323" s="135" t="e">
        <f t="shared" si="177"/>
        <v>#REF!</v>
      </c>
      <c r="AU323" s="148" t="e">
        <f t="shared" si="178"/>
        <v>#REF!</v>
      </c>
      <c r="AW323" s="1">
        <v>2</v>
      </c>
      <c r="BA323" s="29">
        <v>228.81</v>
      </c>
      <c r="BB323" s="29">
        <v>33.630000000000003</v>
      </c>
      <c r="BC323" s="29">
        <v>13.19</v>
      </c>
      <c r="BD323" s="29">
        <v>114.59</v>
      </c>
      <c r="BF323" s="279">
        <f>T323*1.2</f>
        <v>288.64999999999998</v>
      </c>
      <c r="BI323" s="323">
        <v>0</v>
      </c>
      <c r="BL323" s="107">
        <f t="shared" si="190"/>
        <v>1.0967873225415627</v>
      </c>
      <c r="BM323" s="107">
        <f t="shared" si="190"/>
        <v>1.1127076627324948</v>
      </c>
      <c r="BN323" s="107">
        <f t="shared" si="190"/>
        <v>2.8314493742615632</v>
      </c>
      <c r="BO323" s="107">
        <f t="shared" si="190"/>
        <v>1.036891829831438</v>
      </c>
    </row>
    <row r="324" spans="1:67" x14ac:dyDescent="0.25">
      <c r="A324" s="250" t="s">
        <v>397</v>
      </c>
      <c r="B324" s="227">
        <v>9</v>
      </c>
      <c r="C324" s="226">
        <f>'побудинковий звіт'!E311</f>
        <v>6424.13</v>
      </c>
      <c r="D324" s="138">
        <f t="shared" si="159"/>
        <v>856.60186677818592</v>
      </c>
      <c r="E324" s="104">
        <f t="shared" si="153"/>
        <v>176.56875847182351</v>
      </c>
      <c r="F324" s="323">
        <v>135.30043364059671</v>
      </c>
      <c r="G324" s="104" t="e">
        <f t="shared" si="154"/>
        <v>#REF!</v>
      </c>
      <c r="H324" s="720">
        <f t="shared" si="160"/>
        <v>715.66918182169013</v>
      </c>
      <c r="I324" s="104" t="e">
        <f t="shared" si="161"/>
        <v>#REF!</v>
      </c>
      <c r="J324" s="28"/>
      <c r="K324" s="139" t="e">
        <f t="shared" si="162"/>
        <v>#REF!</v>
      </c>
      <c r="L324" s="200">
        <f t="shared" si="163"/>
        <v>135.41652255454463</v>
      </c>
      <c r="M324" s="104">
        <f t="shared" si="155"/>
        <v>29.794062328083847</v>
      </c>
      <c r="N324" s="323">
        <v>0</v>
      </c>
      <c r="O324" s="104"/>
      <c r="P324" s="104">
        <f t="shared" si="164"/>
        <v>113.13707763240818</v>
      </c>
      <c r="Q324" s="104">
        <f t="shared" si="165"/>
        <v>35.826916663130042</v>
      </c>
      <c r="R324" s="104"/>
      <c r="S324" s="140">
        <f t="shared" si="166"/>
        <v>314.17457917816665</v>
      </c>
      <c r="T324" s="880">
        <v>796.00833333333344</v>
      </c>
      <c r="U324" s="104"/>
      <c r="V324" s="148">
        <f t="shared" si="167"/>
        <v>796.00833333333344</v>
      </c>
      <c r="W324" s="882">
        <v>168.89</v>
      </c>
      <c r="X324" s="104"/>
      <c r="Y324" s="45">
        <f t="shared" si="168"/>
        <v>168.89</v>
      </c>
      <c r="Z324" s="138">
        <f t="shared" si="169"/>
        <v>112.01213724578744</v>
      </c>
      <c r="AA324" s="104">
        <f t="shared" si="156"/>
        <v>24.621154412149046</v>
      </c>
      <c r="AB324" s="323">
        <v>0</v>
      </c>
      <c r="AC324" s="104"/>
      <c r="AD324" s="104">
        <f t="shared" si="170"/>
        <v>93.583305997568701</v>
      </c>
      <c r="AE324" s="104">
        <f t="shared" si="171"/>
        <v>29.63183086988403</v>
      </c>
      <c r="AF324" s="104"/>
      <c r="AG324" s="139">
        <f t="shared" si="172"/>
        <v>259.84842852538924</v>
      </c>
      <c r="AH324" s="200">
        <f t="shared" si="173"/>
        <v>332.83190845759327</v>
      </c>
      <c r="AI324" s="104">
        <f t="shared" si="157"/>
        <v>66.388547340310879</v>
      </c>
      <c r="AJ324" s="323">
        <v>53.121538958277917</v>
      </c>
      <c r="AK324" s="118" t="e">
        <f t="shared" si="158"/>
        <v>#REF!</v>
      </c>
      <c r="AL324" s="408"/>
      <c r="AM324" s="104">
        <f t="shared" si="174"/>
        <v>278.07263659825509</v>
      </c>
      <c r="AN324" s="104" t="e">
        <f t="shared" si="175"/>
        <v>#REF!</v>
      </c>
      <c r="AO324" s="104"/>
      <c r="AP324" s="140" t="e">
        <f t="shared" si="176"/>
        <v>#REF!</v>
      </c>
      <c r="AQ324" s="33"/>
      <c r="AR324" s="28"/>
      <c r="AS324" s="121"/>
      <c r="AT324" s="135" t="e">
        <f t="shared" si="177"/>
        <v>#REF!</v>
      </c>
      <c r="AU324" s="148" t="e">
        <f t="shared" si="178"/>
        <v>#REF!</v>
      </c>
      <c r="AW324" s="1">
        <v>2</v>
      </c>
      <c r="BA324" s="29">
        <v>781.01</v>
      </c>
      <c r="BB324" s="29">
        <v>121.7</v>
      </c>
      <c r="BC324" s="29">
        <v>39.56</v>
      </c>
      <c r="BD324" s="29">
        <v>320.99</v>
      </c>
      <c r="BF324" s="279">
        <f>T324*1.2</f>
        <v>955.21</v>
      </c>
      <c r="BI324" s="323">
        <v>0</v>
      </c>
      <c r="BL324" s="107">
        <f t="shared" si="190"/>
        <v>1.0967873225415627</v>
      </c>
      <c r="BM324" s="107">
        <f t="shared" si="190"/>
        <v>1.1127076627324948</v>
      </c>
      <c r="BN324" s="107">
        <f t="shared" si="190"/>
        <v>2.8314493742615632</v>
      </c>
      <c r="BO324" s="107">
        <f t="shared" si="190"/>
        <v>1.036891829831438</v>
      </c>
    </row>
    <row r="325" spans="1:67" x14ac:dyDescent="0.25">
      <c r="A325" s="250" t="s">
        <v>313</v>
      </c>
      <c r="B325" s="227">
        <v>5</v>
      </c>
      <c r="C325" s="226">
        <f>'побудинковий звіт'!E312</f>
        <v>3375.56</v>
      </c>
      <c r="D325" s="138">
        <f t="shared" si="159"/>
        <v>407.29197222580933</v>
      </c>
      <c r="E325" s="104">
        <f t="shared" si="153"/>
        <v>83.9538654543625</v>
      </c>
      <c r="F325" s="323">
        <v>71.109231793416527</v>
      </c>
      <c r="G325" s="104" t="e">
        <f t="shared" si="154"/>
        <v>#REF!</v>
      </c>
      <c r="H325" s="720">
        <f t="shared" si="160"/>
        <v>340.28213552897483</v>
      </c>
      <c r="I325" s="104" t="e">
        <f t="shared" si="161"/>
        <v>#REF!</v>
      </c>
      <c r="J325" s="28"/>
      <c r="K325" s="139" t="e">
        <f t="shared" si="162"/>
        <v>#REF!</v>
      </c>
      <c r="L325" s="200">
        <f t="shared" si="163"/>
        <v>85.856523256439289</v>
      </c>
      <c r="M325" s="104">
        <f t="shared" si="155"/>
        <v>18.889974110393997</v>
      </c>
      <c r="N325" s="323">
        <v>0</v>
      </c>
      <c r="O325" s="104"/>
      <c r="P325" s="104">
        <f t="shared" si="164"/>
        <v>71.730952424951639</v>
      </c>
      <c r="Q325" s="104">
        <f t="shared" si="165"/>
        <v>22.714912816163633</v>
      </c>
      <c r="R325" s="104"/>
      <c r="S325" s="140">
        <f t="shared" si="166"/>
        <v>199.19236260794855</v>
      </c>
      <c r="T325" s="880">
        <v>382.55833333333334</v>
      </c>
      <c r="U325" s="104"/>
      <c r="V325" s="148">
        <f t="shared" si="167"/>
        <v>382.55833333333334</v>
      </c>
      <c r="W325" s="236"/>
      <c r="X325" s="104"/>
      <c r="Y325" s="45">
        <f t="shared" si="168"/>
        <v>0</v>
      </c>
      <c r="Z325" s="138">
        <f t="shared" si="169"/>
        <v>0</v>
      </c>
      <c r="AA325" s="104">
        <f t="shared" si="156"/>
        <v>0</v>
      </c>
      <c r="AB325" s="323">
        <v>0</v>
      </c>
      <c r="AC325" s="104"/>
      <c r="AD325" s="104">
        <f t="shared" si="170"/>
        <v>0</v>
      </c>
      <c r="AE325" s="104">
        <f t="shared" si="171"/>
        <v>0</v>
      </c>
      <c r="AF325" s="104"/>
      <c r="AG325" s="139">
        <f t="shared" si="172"/>
        <v>0</v>
      </c>
      <c r="AH325" s="200">
        <f t="shared" si="173"/>
        <v>243.82511378486265</v>
      </c>
      <c r="AI325" s="104">
        <f t="shared" si="157"/>
        <v>48.634745341207221</v>
      </c>
      <c r="AJ325" s="323">
        <v>27.918844939117605</v>
      </c>
      <c r="AK325" s="118" t="e">
        <f t="shared" si="158"/>
        <v>#REF!</v>
      </c>
      <c r="AL325" s="408"/>
      <c r="AM325" s="104">
        <f t="shared" si="174"/>
        <v>203.70971212835195</v>
      </c>
      <c r="AN325" s="104" t="e">
        <f t="shared" si="175"/>
        <v>#REF!</v>
      </c>
      <c r="AO325" s="104"/>
      <c r="AP325" s="140" t="e">
        <f t="shared" si="176"/>
        <v>#REF!</v>
      </c>
      <c r="AQ325" s="33"/>
      <c r="AR325" s="28"/>
      <c r="AS325" s="121"/>
      <c r="AT325" s="135" t="e">
        <f t="shared" si="177"/>
        <v>#REF!</v>
      </c>
      <c r="AU325" s="148" t="e">
        <f t="shared" si="178"/>
        <v>#REF!</v>
      </c>
      <c r="AW325" s="1">
        <v>2</v>
      </c>
      <c r="BA325" s="29">
        <v>371.35</v>
      </c>
      <c r="BB325" s="29">
        <v>77.16</v>
      </c>
      <c r="BC325" s="29">
        <v>0</v>
      </c>
      <c r="BD325" s="29">
        <v>235.15</v>
      </c>
      <c r="BF325" s="279">
        <f>T325*1.2</f>
        <v>459.07</v>
      </c>
      <c r="BI325" s="323">
        <v>0</v>
      </c>
      <c r="BL325" s="107">
        <f t="shared" si="190"/>
        <v>1.0967873225415627</v>
      </c>
      <c r="BM325" s="107">
        <f t="shared" si="190"/>
        <v>1.1127076627324948</v>
      </c>
      <c r="BN325" s="107">
        <f t="shared" si="190"/>
        <v>2.8314493742615632</v>
      </c>
      <c r="BO325" s="107">
        <f t="shared" si="190"/>
        <v>1.036891829831438</v>
      </c>
    </row>
    <row r="326" spans="1:67" x14ac:dyDescent="0.25">
      <c r="A326" s="250" t="s">
        <v>427</v>
      </c>
      <c r="B326" s="227">
        <v>16</v>
      </c>
      <c r="C326" s="226">
        <f>'побудинковий звіт'!E313</f>
        <v>5272.67</v>
      </c>
      <c r="D326" s="138">
        <f t="shared" si="159"/>
        <v>813.60780373455657</v>
      </c>
      <c r="E326" s="104">
        <f t="shared" si="153"/>
        <v>167.70652196768719</v>
      </c>
      <c r="F326" s="323">
        <v>110.79045655630046</v>
      </c>
      <c r="G326" s="104" t="e">
        <f t="shared" si="154"/>
        <v>#REF!</v>
      </c>
      <c r="H326" s="720">
        <f t="shared" si="160"/>
        <v>679.74873019186418</v>
      </c>
      <c r="I326" s="104" t="e">
        <f t="shared" si="161"/>
        <v>#REF!</v>
      </c>
      <c r="J326" s="28"/>
      <c r="K326" s="139" t="e">
        <f t="shared" si="162"/>
        <v>#REF!</v>
      </c>
      <c r="L326" s="200">
        <f t="shared" si="163"/>
        <v>132.55686386132209</v>
      </c>
      <c r="M326" s="104">
        <f t="shared" si="155"/>
        <v>29.164886155666622</v>
      </c>
      <c r="N326" s="323">
        <v>0</v>
      </c>
      <c r="O326" s="104"/>
      <c r="P326" s="104">
        <f t="shared" si="164"/>
        <v>110.74790516309601</v>
      </c>
      <c r="Q326" s="104">
        <f t="shared" si="165"/>
        <v>35.070341676899602</v>
      </c>
      <c r="R326" s="104"/>
      <c r="S326" s="140">
        <f t="shared" si="166"/>
        <v>307.53999685698432</v>
      </c>
      <c r="T326" s="880">
        <v>568.875</v>
      </c>
      <c r="U326" s="104"/>
      <c r="V326" s="148">
        <f t="shared" si="167"/>
        <v>568.875</v>
      </c>
      <c r="W326" s="882">
        <v>131.99</v>
      </c>
      <c r="X326" s="104"/>
      <c r="Y326" s="45">
        <f t="shared" si="168"/>
        <v>131.99</v>
      </c>
      <c r="Z326" s="138">
        <f t="shared" si="169"/>
        <v>84.858537746619049</v>
      </c>
      <c r="AA326" s="104">
        <f t="shared" si="156"/>
        <v>18.652578304653865</v>
      </c>
      <c r="AB326" s="323">
        <v>0</v>
      </c>
      <c r="AC326" s="104"/>
      <c r="AD326" s="104">
        <f t="shared" si="170"/>
        <v>70.897160787339075</v>
      </c>
      <c r="AE326" s="104">
        <f t="shared" si="171"/>
        <v>22.448583699960167</v>
      </c>
      <c r="AF326" s="104"/>
      <c r="AG326" s="139">
        <f t="shared" si="172"/>
        <v>196.85686053857216</v>
      </c>
      <c r="AH326" s="200">
        <f t="shared" si="173"/>
        <v>199.40466779488384</v>
      </c>
      <c r="AI326" s="104">
        <f t="shared" si="157"/>
        <v>39.774390289464428</v>
      </c>
      <c r="AJ326" s="323">
        <v>137.99845300418178</v>
      </c>
      <c r="AK326" s="118" t="e">
        <f t="shared" si="158"/>
        <v>#REF!</v>
      </c>
      <c r="AL326" s="408"/>
      <c r="AM326" s="104">
        <f t="shared" si="174"/>
        <v>166.59755364407127</v>
      </c>
      <c r="AN326" s="104" t="e">
        <f t="shared" si="175"/>
        <v>#REF!</v>
      </c>
      <c r="AO326" s="104"/>
      <c r="AP326" s="140" t="e">
        <f t="shared" si="176"/>
        <v>#REF!</v>
      </c>
      <c r="AQ326" s="33"/>
      <c r="AR326" s="28"/>
      <c r="AS326" s="121"/>
      <c r="AT326" s="135" t="e">
        <f t="shared" si="177"/>
        <v>#REF!</v>
      </c>
      <c r="AU326" s="148" t="e">
        <f t="shared" si="178"/>
        <v>#REF!</v>
      </c>
      <c r="AW326" s="1">
        <v>2</v>
      </c>
      <c r="BA326" s="29">
        <v>741.81</v>
      </c>
      <c r="BB326" s="29">
        <v>119.13</v>
      </c>
      <c r="BC326" s="29">
        <v>29.97</v>
      </c>
      <c r="BD326" s="29">
        <v>192.31</v>
      </c>
      <c r="BF326" s="279">
        <f>T326*1.2</f>
        <v>682.65</v>
      </c>
      <c r="BI326" s="323">
        <v>0</v>
      </c>
      <c r="BL326" s="107">
        <f t="shared" si="190"/>
        <v>1.0967873225415627</v>
      </c>
      <c r="BM326" s="107">
        <f t="shared" si="190"/>
        <v>1.1127076627324948</v>
      </c>
      <c r="BN326" s="107">
        <f t="shared" si="190"/>
        <v>2.8314493742615632</v>
      </c>
      <c r="BO326" s="107">
        <f t="shared" si="190"/>
        <v>1.036891829831438</v>
      </c>
    </row>
    <row r="327" spans="1:67" x14ac:dyDescent="0.25">
      <c r="A327" s="250" t="s">
        <v>398</v>
      </c>
      <c r="B327" s="227">
        <v>9</v>
      </c>
      <c r="C327" s="226">
        <f>'побудинковий звіт'!E314</f>
        <v>8461.5199999999986</v>
      </c>
      <c r="D327" s="138">
        <f t="shared" si="159"/>
        <v>758.01165435492487</v>
      </c>
      <c r="E327" s="104">
        <f t="shared" si="153"/>
        <v>156.24665542700691</v>
      </c>
      <c r="F327" s="323">
        <v>175.35606722404657</v>
      </c>
      <c r="G327" s="104" t="e">
        <f t="shared" si="154"/>
        <v>#REF!</v>
      </c>
      <c r="H327" s="720">
        <f t="shared" si="160"/>
        <v>633.29955434707165</v>
      </c>
      <c r="I327" s="104" t="e">
        <f t="shared" si="161"/>
        <v>#REF!</v>
      </c>
      <c r="J327" s="28"/>
      <c r="K327" s="139" t="e">
        <f t="shared" si="162"/>
        <v>#REF!</v>
      </c>
      <c r="L327" s="200">
        <f t="shared" si="163"/>
        <v>153.43125961418369</v>
      </c>
      <c r="M327" s="104">
        <f t="shared" si="155"/>
        <v>33.757627398681024</v>
      </c>
      <c r="N327" s="323">
        <v>0</v>
      </c>
      <c r="O327" s="104"/>
      <c r="P327" s="104">
        <f t="shared" si="164"/>
        <v>128.18793454998161</v>
      </c>
      <c r="Q327" s="104">
        <f t="shared" si="165"/>
        <v>40.593044689227618</v>
      </c>
      <c r="R327" s="104"/>
      <c r="S327" s="140">
        <f t="shared" si="166"/>
        <v>355.96986625207393</v>
      </c>
      <c r="T327" s="880">
        <v>1044.7833333333333</v>
      </c>
      <c r="U327" s="104"/>
      <c r="V327" s="148">
        <f>T327+U327</f>
        <v>1044.7833333333333</v>
      </c>
      <c r="W327" s="882">
        <v>246.15</v>
      </c>
      <c r="X327" s="104"/>
      <c r="Y327" s="45">
        <f t="shared" si="168"/>
        <v>246.15</v>
      </c>
      <c r="Z327" s="138">
        <f t="shared" si="169"/>
        <v>149.35895449229747</v>
      </c>
      <c r="AA327" s="104">
        <f t="shared" si="156"/>
        <v>32.830280466149198</v>
      </c>
      <c r="AB327" s="323">
        <v>0</v>
      </c>
      <c r="AC327" s="104"/>
      <c r="AD327" s="104">
        <f t="shared" si="170"/>
        <v>124.78562667774898</v>
      </c>
      <c r="AE327" s="104">
        <f t="shared" si="171"/>
        <v>39.511604610373681</v>
      </c>
      <c r="AF327" s="104"/>
      <c r="AG327" s="139">
        <f t="shared" si="172"/>
        <v>346.48646624656936</v>
      </c>
      <c r="AH327" s="200">
        <f t="shared" si="173"/>
        <v>475.05199183727331</v>
      </c>
      <c r="AI327" s="104">
        <f t="shared" si="157"/>
        <v>94.756574858915954</v>
      </c>
      <c r="AJ327" s="323">
        <v>68.848147089881792</v>
      </c>
      <c r="AK327" s="118" t="e">
        <f t="shared" si="158"/>
        <v>#REF!</v>
      </c>
      <c r="AL327" s="408"/>
      <c r="AM327" s="104">
        <f t="shared" si="174"/>
        <v>396.89391712355706</v>
      </c>
      <c r="AN327" s="104" t="e">
        <f t="shared" si="175"/>
        <v>#REF!</v>
      </c>
      <c r="AO327" s="104"/>
      <c r="AP327" s="140" t="e">
        <f t="shared" si="176"/>
        <v>#REF!</v>
      </c>
      <c r="AQ327" s="33"/>
      <c r="AR327" s="28"/>
      <c r="AS327" s="121"/>
      <c r="AT327" s="135" t="e">
        <f t="shared" si="177"/>
        <v>#REF!</v>
      </c>
      <c r="AU327" s="148" t="e">
        <f t="shared" si="178"/>
        <v>#REF!</v>
      </c>
      <c r="AW327" s="1">
        <v>2</v>
      </c>
      <c r="BA327" s="29">
        <v>691.12</v>
      </c>
      <c r="BB327" s="29">
        <v>137.88999999999999</v>
      </c>
      <c r="BC327" s="29">
        <v>52.75</v>
      </c>
      <c r="BD327" s="29">
        <v>458.15</v>
      </c>
      <c r="BF327" s="279">
        <f>T327*1.2</f>
        <v>1253.74</v>
      </c>
      <c r="BI327" s="323">
        <v>0</v>
      </c>
      <c r="BL327" s="107">
        <f t="shared" si="190"/>
        <v>1.0967873225415627</v>
      </c>
      <c r="BM327" s="107">
        <f t="shared" si="190"/>
        <v>1.1127076627324948</v>
      </c>
      <c r="BN327" s="107">
        <f t="shared" si="190"/>
        <v>2.8314493742615632</v>
      </c>
      <c r="BO327" s="107">
        <f t="shared" si="190"/>
        <v>1.036891829831438</v>
      </c>
    </row>
    <row r="328" spans="1:67" x14ac:dyDescent="0.25">
      <c r="A328" s="250" t="s">
        <v>189</v>
      </c>
      <c r="B328" s="227">
        <v>2</v>
      </c>
      <c r="C328" s="226" t="e">
        <f>'побудинковий звіт'!#REF!</f>
        <v>#REF!</v>
      </c>
      <c r="D328" s="138">
        <f t="shared" si="159"/>
        <v>34.910740476497942</v>
      </c>
      <c r="E328" s="104">
        <f t="shared" si="153"/>
        <v>7.196045610373929</v>
      </c>
      <c r="F328" s="323">
        <v>15.19252808988605</v>
      </c>
      <c r="G328" s="104" t="e">
        <f t="shared" si="154"/>
        <v>#REF!</v>
      </c>
      <c r="H328" s="720">
        <f t="shared" si="160"/>
        <v>29.167040188197841</v>
      </c>
      <c r="I328" s="104" t="e">
        <f t="shared" si="161"/>
        <v>#REF!</v>
      </c>
      <c r="J328" s="28"/>
      <c r="K328" s="139" t="e">
        <f t="shared" si="162"/>
        <v>#REF!</v>
      </c>
      <c r="L328" s="200">
        <f t="shared" si="163"/>
        <v>11.516524309281321</v>
      </c>
      <c r="M328" s="104">
        <f t="shared" si="155"/>
        <v>2.5338417838592258</v>
      </c>
      <c r="N328" s="323">
        <v>0</v>
      </c>
      <c r="O328" s="104"/>
      <c r="P328" s="104">
        <f t="shared" si="164"/>
        <v>9.6217646137668407</v>
      </c>
      <c r="Q328" s="104">
        <f t="shared" si="165"/>
        <v>3.0469070457140179</v>
      </c>
      <c r="R328" s="104"/>
      <c r="S328" s="140">
        <f t="shared" si="166"/>
        <v>26.719037752621407</v>
      </c>
      <c r="T328" s="235"/>
      <c r="U328" s="104"/>
      <c r="V328" s="148">
        <f t="shared" si="167"/>
        <v>0</v>
      </c>
      <c r="W328" s="236"/>
      <c r="X328" s="104"/>
      <c r="Y328" s="45">
        <f t="shared" si="168"/>
        <v>0</v>
      </c>
      <c r="Z328" s="138">
        <f t="shared" si="169"/>
        <v>0</v>
      </c>
      <c r="AA328" s="104">
        <f t="shared" si="156"/>
        <v>0</v>
      </c>
      <c r="AB328" s="323">
        <v>0</v>
      </c>
      <c r="AC328" s="104"/>
      <c r="AD328" s="104">
        <f t="shared" si="170"/>
        <v>0</v>
      </c>
      <c r="AE328" s="104">
        <f t="shared" si="171"/>
        <v>0</v>
      </c>
      <c r="AF328" s="104"/>
      <c r="AG328" s="139">
        <f t="shared" si="172"/>
        <v>0</v>
      </c>
      <c r="AH328" s="200">
        <f t="shared" si="173"/>
        <v>1.0265229115331236</v>
      </c>
      <c r="AI328" s="104">
        <f t="shared" si="157"/>
        <v>0.20475610413691323</v>
      </c>
      <c r="AJ328" s="323">
        <v>5.9648772076031173</v>
      </c>
      <c r="AK328" s="118" t="e">
        <f t="shared" si="158"/>
        <v>#REF!</v>
      </c>
      <c r="AL328" s="104"/>
      <c r="AM328" s="104">
        <f t="shared" si="174"/>
        <v>0.85763391455270432</v>
      </c>
      <c r="AN328" s="104" t="e">
        <f t="shared" si="175"/>
        <v>#REF!</v>
      </c>
      <c r="AO328" s="104"/>
      <c r="AP328" s="140" t="e">
        <f t="shared" si="176"/>
        <v>#REF!</v>
      </c>
      <c r="AQ328" s="33"/>
      <c r="AR328" s="28"/>
      <c r="AS328" s="121"/>
      <c r="AT328" s="135" t="e">
        <f t="shared" si="177"/>
        <v>#REF!</v>
      </c>
      <c r="AU328" s="148" t="e">
        <f t="shared" si="178"/>
        <v>#REF!</v>
      </c>
      <c r="AW328" s="1">
        <v>2</v>
      </c>
      <c r="BA328" s="29">
        <v>31.83</v>
      </c>
      <c r="BB328" s="29">
        <v>10.35</v>
      </c>
      <c r="BC328" s="29">
        <v>0</v>
      </c>
      <c r="BD328" s="29">
        <v>0.99</v>
      </c>
      <c r="BI328" s="323">
        <v>0</v>
      </c>
      <c r="BL328" s="107">
        <f t="shared" si="190"/>
        <v>1.0967873225415627</v>
      </c>
      <c r="BM328" s="107">
        <f t="shared" si="190"/>
        <v>1.1127076627324948</v>
      </c>
      <c r="BN328" s="107">
        <f t="shared" si="190"/>
        <v>2.8314493742615632</v>
      </c>
      <c r="BO328" s="107">
        <f t="shared" si="190"/>
        <v>1.036891829831438</v>
      </c>
    </row>
    <row r="329" spans="1:67" x14ac:dyDescent="0.25">
      <c r="A329" s="250" t="s">
        <v>399</v>
      </c>
      <c r="B329" s="227">
        <v>9</v>
      </c>
      <c r="C329" s="226">
        <f>'побудинковий звіт'!E315</f>
        <v>3560.6</v>
      </c>
      <c r="D329" s="138">
        <f t="shared" si="159"/>
        <v>720.24926683981892</v>
      </c>
      <c r="E329" s="104">
        <f t="shared" ref="E329:E367" si="191">D329*$BA$372</f>
        <v>148.46280841584843</v>
      </c>
      <c r="F329" s="323">
        <v>73.979980347277461</v>
      </c>
      <c r="G329" s="104" t="e">
        <f t="shared" ref="G329:G362" si="192">$G$369/$C$368*C329</f>
        <v>#REF!</v>
      </c>
      <c r="H329" s="720">
        <f t="shared" si="160"/>
        <v>601.75003522424254</v>
      </c>
      <c r="I329" s="104" t="e">
        <f t="shared" si="161"/>
        <v>#REF!</v>
      </c>
      <c r="J329" s="28"/>
      <c r="K329" s="139" t="e">
        <f t="shared" si="162"/>
        <v>#REF!</v>
      </c>
      <c r="L329" s="200">
        <f t="shared" si="163"/>
        <v>116.60063597773814</v>
      </c>
      <c r="M329" s="104">
        <f t="shared" ref="M329:M367" si="193">L329*$BB$372</f>
        <v>25.654230002957323</v>
      </c>
      <c r="N329" s="323">
        <v>0</v>
      </c>
      <c r="O329" s="104"/>
      <c r="P329" s="104">
        <f t="shared" si="164"/>
        <v>97.416880567790088</v>
      </c>
      <c r="Q329" s="104">
        <f t="shared" si="165"/>
        <v>30.848829886026273</v>
      </c>
      <c r="R329" s="104"/>
      <c r="S329" s="140">
        <f t="shared" si="166"/>
        <v>270.52057643451184</v>
      </c>
      <c r="T329" s="235"/>
      <c r="U329" s="104"/>
      <c r="V329" s="148">
        <f t="shared" si="167"/>
        <v>0</v>
      </c>
      <c r="W329" s="236"/>
      <c r="X329" s="104"/>
      <c r="Y329" s="45">
        <f t="shared" si="168"/>
        <v>0</v>
      </c>
      <c r="Z329" s="138">
        <f t="shared" si="169"/>
        <v>25.454729874611452</v>
      </c>
      <c r="AA329" s="104">
        <f t="shared" ref="AA329:AA367" si="194">Z329*$BC$372</f>
        <v>5.595151116411019</v>
      </c>
      <c r="AB329" s="323">
        <v>0</v>
      </c>
      <c r="AC329" s="104"/>
      <c r="AD329" s="104">
        <f t="shared" si="170"/>
        <v>21.266782631904515</v>
      </c>
      <c r="AE329" s="104">
        <f t="shared" si="171"/>
        <v>6.73382607482956</v>
      </c>
      <c r="AF329" s="104"/>
      <c r="AG329" s="139">
        <f t="shared" si="172"/>
        <v>59.050489697756539</v>
      </c>
      <c r="AH329" s="200">
        <f t="shared" si="173"/>
        <v>221.98817184861258</v>
      </c>
      <c r="AI329" s="104">
        <f t="shared" ref="AI329:AI367" si="195">AH329*$BD$372</f>
        <v>44.279024580476523</v>
      </c>
      <c r="AJ329" s="323">
        <v>29.045955747560622</v>
      </c>
      <c r="AK329" s="118" t="e">
        <f t="shared" ref="AK329:AK367" si="196">$AK$369/$C$368*C329</f>
        <v>#REF!</v>
      </c>
      <c r="AL329" s="104"/>
      <c r="AM329" s="104">
        <f t="shared" si="174"/>
        <v>185.4654997642308</v>
      </c>
      <c r="AN329" s="104" t="e">
        <f t="shared" si="175"/>
        <v>#REF!</v>
      </c>
      <c r="AO329" s="104"/>
      <c r="AP329" s="140" t="e">
        <f t="shared" si="176"/>
        <v>#REF!</v>
      </c>
      <c r="AQ329" s="33"/>
      <c r="AR329" s="28"/>
      <c r="AS329" s="121"/>
      <c r="AT329" s="135" t="e">
        <f t="shared" si="177"/>
        <v>#REF!</v>
      </c>
      <c r="AU329" s="148" t="e">
        <f t="shared" si="178"/>
        <v>#REF!</v>
      </c>
      <c r="AW329" s="1">
        <v>2</v>
      </c>
      <c r="BA329" s="29">
        <v>656.69</v>
      </c>
      <c r="BB329" s="29">
        <v>104.79</v>
      </c>
      <c r="BC329" s="29">
        <v>8.99</v>
      </c>
      <c r="BD329" s="29">
        <v>214.09</v>
      </c>
      <c r="BI329" s="323">
        <v>0</v>
      </c>
      <c r="BL329" s="107">
        <f t="shared" si="190"/>
        <v>1.0967873225415627</v>
      </c>
      <c r="BM329" s="107">
        <f t="shared" si="190"/>
        <v>1.1127076627324948</v>
      </c>
      <c r="BN329" s="107">
        <f t="shared" si="190"/>
        <v>2.8314493742615632</v>
      </c>
      <c r="BO329" s="107">
        <f t="shared" si="190"/>
        <v>1.036891829831438</v>
      </c>
    </row>
    <row r="330" spans="1:67" x14ac:dyDescent="0.25">
      <c r="A330" s="250" t="s">
        <v>400</v>
      </c>
      <c r="B330" s="227">
        <v>9</v>
      </c>
      <c r="C330" s="226">
        <f>'побудинковий звіт'!E316</f>
        <v>4158.7</v>
      </c>
      <c r="D330" s="138">
        <f t="shared" ref="D330:D367" si="197">BA330*BL330</f>
        <v>683.15195005019632</v>
      </c>
      <c r="E330" s="104">
        <f t="shared" si="191"/>
        <v>140.81605042684706</v>
      </c>
      <c r="F330" s="323">
        <v>106.73516651429927</v>
      </c>
      <c r="G330" s="104" t="e">
        <f t="shared" si="192"/>
        <v>#REF!</v>
      </c>
      <c r="H330" s="720">
        <f t="shared" ref="H330:H367" si="198">D330*$B$4</f>
        <v>570.75616586172794</v>
      </c>
      <c r="I330" s="104" t="e">
        <f t="shared" ref="I330:I367" si="199">(D330+E330+F330+G330+H330)*$B$5</f>
        <v>#REF!</v>
      </c>
      <c r="J330" s="28"/>
      <c r="K330" s="139" t="e">
        <f t="shared" ref="K330:K367" si="200">D330+E330+F330+G330+H330+I330-J330</f>
        <v>#REF!</v>
      </c>
      <c r="L330" s="200">
        <f t="shared" ref="L330:L367" si="201">BB330*BM330</f>
        <v>117.86343456929531</v>
      </c>
      <c r="M330" s="104">
        <f t="shared" si="193"/>
        <v>25.932068328997016</v>
      </c>
      <c r="N330" s="323">
        <v>18.400000000000002</v>
      </c>
      <c r="O330" s="104"/>
      <c r="P330" s="104">
        <f t="shared" ref="P330:P367" si="202">L330*$B$4</f>
        <v>98.471916833616163</v>
      </c>
      <c r="Q330" s="104">
        <f t="shared" ref="Q330:Q367" si="203">(L330+M330+N330+O330+P330)*$B$5</f>
        <v>33.551242497047113</v>
      </c>
      <c r="R330" s="104"/>
      <c r="S330" s="140">
        <f t="shared" ref="S330:S367" si="204">L330+M330+N330+O330+P330+Q330-R330</f>
        <v>294.21866222895557</v>
      </c>
      <c r="T330" s="234">
        <v>449.66</v>
      </c>
      <c r="U330" s="104"/>
      <c r="V330" s="148">
        <f t="shared" ref="V330:V367" si="205">T330+U330</f>
        <v>449.66</v>
      </c>
      <c r="W330" s="881">
        <v>111.12</v>
      </c>
      <c r="X330" s="104"/>
      <c r="Y330" s="45">
        <f t="shared" ref="Y330:Y367" si="206">W330+X330</f>
        <v>111.12</v>
      </c>
      <c r="Z330" s="138">
        <f t="shared" ref="Z330:Z367" si="207">BC330*BN330</f>
        <v>21.740225638169377</v>
      </c>
      <c r="AA330" s="104">
        <f t="shared" si="194"/>
        <v>4.7786736826366578</v>
      </c>
      <c r="AB330" s="323">
        <v>31.312500000000004</v>
      </c>
      <c r="AC330" s="104"/>
      <c r="AD330" s="104">
        <f t="shared" ref="AD330:AD367" si="208">Z330*$B$4</f>
        <v>18.163408344656933</v>
      </c>
      <c r="AE330" s="104">
        <f t="shared" ref="AE330:AE367" si="209">(Z330+AA330+AB330+AC330+AD330)*$B$5</f>
        <v>9.7815071140180923</v>
      </c>
      <c r="AF330" s="104"/>
      <c r="AG330" s="139">
        <f t="shared" ref="AG330:AG367" si="210">Z330+AA330+AB330+AC330+AD330+AE330-AF330</f>
        <v>85.776314779481069</v>
      </c>
      <c r="AH330" s="200">
        <f t="shared" ref="AH330:AH367" si="211">BD330*BO330</f>
        <v>229.26705188961935</v>
      </c>
      <c r="AI330" s="104">
        <f t="shared" si="195"/>
        <v>45.730911433591722</v>
      </c>
      <c r="AJ330" s="323">
        <v>84.130384733303018</v>
      </c>
      <c r="AK330" s="118" t="e">
        <f t="shared" si="196"/>
        <v>#REF!</v>
      </c>
      <c r="AL330" s="104"/>
      <c r="AM330" s="104">
        <f t="shared" ref="AM330:AM367" si="212">AH330*$B$4</f>
        <v>191.54681983316601</v>
      </c>
      <c r="AN330" s="104" t="e">
        <f t="shared" ref="AN330:AN367" si="213">(AH330+AI330+AJ330+AK330+AL330+AM330)*$B$5</f>
        <v>#REF!</v>
      </c>
      <c r="AO330" s="104"/>
      <c r="AP330" s="140" t="e">
        <f t="shared" ref="AP330:AP367" si="214">AH330+AI330+AJ330+AK330+AL330+AM330+AN330-AO330</f>
        <v>#REF!</v>
      </c>
      <c r="AQ330" s="33"/>
      <c r="AR330" s="28"/>
      <c r="AS330" s="121"/>
      <c r="AT330" s="135" t="e">
        <f t="shared" ref="AT330:AT367" si="215">IF(B330&gt;1,C330*$AT$5,0)</f>
        <v>#REF!</v>
      </c>
      <c r="AU330" s="148" t="e">
        <f t="shared" ref="AU330:AU367" si="216">K330+S330+V330+Y330+AG330+AP330+AS330+AT330</f>
        <v>#REF!</v>
      </c>
      <c r="AW330" s="1">
        <v>3</v>
      </c>
      <c r="BA330" s="29">
        <v>558.41</v>
      </c>
      <c r="BB330" s="29">
        <v>92.03</v>
      </c>
      <c r="BC330" s="29">
        <v>26.37</v>
      </c>
      <c r="BD330" s="29">
        <v>176.83</v>
      </c>
      <c r="BI330" s="323">
        <v>0</v>
      </c>
      <c r="BL330" s="107">
        <f t="shared" ref="BL330:BO359" si="217">BA$399</f>
        <v>1.2233877438623886</v>
      </c>
      <c r="BM330" s="107">
        <f t="shared" si="217"/>
        <v>1.2807066670574303</v>
      </c>
      <c r="BN330" s="107">
        <f t="shared" si="217"/>
        <v>0.82443024793968056</v>
      </c>
      <c r="BO330" s="107">
        <f t="shared" si="217"/>
        <v>1.2965393422474656</v>
      </c>
    </row>
    <row r="331" spans="1:67" x14ac:dyDescent="0.25">
      <c r="A331" s="250" t="s">
        <v>314</v>
      </c>
      <c r="B331" s="227">
        <v>5</v>
      </c>
      <c r="C331" s="226">
        <f>'побудинковий звіт'!E317</f>
        <v>2749.1</v>
      </c>
      <c r="D331" s="138">
        <f t="shared" si="197"/>
        <v>431.13407481454436</v>
      </c>
      <c r="E331" s="104">
        <f t="shared" si="191"/>
        <v>88.868366130486876</v>
      </c>
      <c r="F331" s="323">
        <v>70.654008850566626</v>
      </c>
      <c r="G331" s="104" t="e">
        <f t="shared" si="192"/>
        <v>#REF!</v>
      </c>
      <c r="H331" s="720">
        <f t="shared" si="198"/>
        <v>360.2016088740022</v>
      </c>
      <c r="I331" s="104" t="e">
        <f t="shared" si="199"/>
        <v>#REF!</v>
      </c>
      <c r="J331" s="28"/>
      <c r="K331" s="139" t="e">
        <f t="shared" si="200"/>
        <v>#REF!</v>
      </c>
      <c r="L331" s="200">
        <f t="shared" si="201"/>
        <v>86.332436426341374</v>
      </c>
      <c r="M331" s="104">
        <f t="shared" si="193"/>
        <v>18.994683538603596</v>
      </c>
      <c r="N331" s="323">
        <v>0</v>
      </c>
      <c r="O331" s="104"/>
      <c r="P331" s="104">
        <f t="shared" si="202"/>
        <v>72.128565834554664</v>
      </c>
      <c r="Q331" s="104">
        <f t="shared" si="203"/>
        <v>22.840824345682492</v>
      </c>
      <c r="R331" s="104"/>
      <c r="S331" s="140">
        <f t="shared" si="204"/>
        <v>200.29651014518214</v>
      </c>
      <c r="T331" s="234">
        <v>332.48</v>
      </c>
      <c r="U331" s="104"/>
      <c r="V331" s="148">
        <f t="shared" si="205"/>
        <v>332.48</v>
      </c>
      <c r="W331" s="236"/>
      <c r="X331" s="104"/>
      <c r="Y331" s="45">
        <f t="shared" si="206"/>
        <v>0</v>
      </c>
      <c r="Z331" s="138">
        <f t="shared" si="207"/>
        <v>19.76983734559354</v>
      </c>
      <c r="AA331" s="104">
        <f t="shared" si="194"/>
        <v>4.3455667390833161</v>
      </c>
      <c r="AB331" s="323">
        <v>0</v>
      </c>
      <c r="AC331" s="104"/>
      <c r="AD331" s="104">
        <f t="shared" si="208"/>
        <v>16.517198790476801</v>
      </c>
      <c r="AE331" s="104">
        <f t="shared" si="209"/>
        <v>5.2299374956509563</v>
      </c>
      <c r="AF331" s="104"/>
      <c r="AG331" s="139">
        <f t="shared" si="210"/>
        <v>45.862540370804616</v>
      </c>
      <c r="AH331" s="200">
        <f t="shared" si="211"/>
        <v>284.56445483647371</v>
      </c>
      <c r="AI331" s="104">
        <f t="shared" si="195"/>
        <v>56.760846244668379</v>
      </c>
      <c r="AJ331" s="323">
        <v>39.768930318775922</v>
      </c>
      <c r="AK331" s="118" t="e">
        <f t="shared" si="196"/>
        <v>#REF!</v>
      </c>
      <c r="AL331" s="104"/>
      <c r="AM331" s="104">
        <f t="shared" si="212"/>
        <v>237.74640059369602</v>
      </c>
      <c r="AN331" s="104" t="e">
        <f t="shared" si="213"/>
        <v>#REF!</v>
      </c>
      <c r="AO331" s="104"/>
      <c r="AP331" s="140" t="e">
        <f t="shared" si="214"/>
        <v>#REF!</v>
      </c>
      <c r="AQ331" s="33"/>
      <c r="AR331" s="28"/>
      <c r="AS331" s="121"/>
      <c r="AT331" s="135" t="e">
        <f t="shared" si="215"/>
        <v>#REF!</v>
      </c>
      <c r="AU331" s="148" t="e">
        <f t="shared" si="216"/>
        <v>#REF!</v>
      </c>
      <c r="AW331" s="1">
        <v>3</v>
      </c>
      <c r="BA331" s="29">
        <v>352.41</v>
      </c>
      <c r="BB331" s="29">
        <v>67.41</v>
      </c>
      <c r="BC331" s="29">
        <v>23.98</v>
      </c>
      <c r="BD331" s="29">
        <v>219.48</v>
      </c>
      <c r="BI331" s="323">
        <v>0</v>
      </c>
      <c r="BL331" s="107">
        <f t="shared" si="217"/>
        <v>1.2233877438623886</v>
      </c>
      <c r="BM331" s="107">
        <f t="shared" si="217"/>
        <v>1.2807066670574303</v>
      </c>
      <c r="BN331" s="107">
        <f t="shared" si="217"/>
        <v>0.82443024793968056</v>
      </c>
      <c r="BO331" s="107">
        <f t="shared" si="217"/>
        <v>1.2965393422474656</v>
      </c>
    </row>
    <row r="332" spans="1:67" x14ac:dyDescent="0.25">
      <c r="A332" s="250" t="s">
        <v>315</v>
      </c>
      <c r="B332" s="227">
        <v>5</v>
      </c>
      <c r="C332" s="226">
        <f>'побудинковий звіт'!E318</f>
        <v>4409.3999999999996</v>
      </c>
      <c r="D332" s="138">
        <f t="shared" si="197"/>
        <v>600.25519652608091</v>
      </c>
      <c r="E332" s="104">
        <f t="shared" si="191"/>
        <v>123.72879271849091</v>
      </c>
      <c r="F332" s="323">
        <v>107.29249475082283</v>
      </c>
      <c r="G332" s="104" t="e">
        <f t="shared" si="192"/>
        <v>#REF!</v>
      </c>
      <c r="H332" s="720">
        <f t="shared" si="198"/>
        <v>501.49802614576538</v>
      </c>
      <c r="I332" s="104" t="e">
        <f t="shared" si="199"/>
        <v>#REF!</v>
      </c>
      <c r="J332" s="28"/>
      <c r="K332" s="139" t="e">
        <f t="shared" si="200"/>
        <v>#REF!</v>
      </c>
      <c r="L332" s="200">
        <f t="shared" si="201"/>
        <v>147.24284551159275</v>
      </c>
      <c r="M332" s="104">
        <f t="shared" si="193"/>
        <v>32.396065367649534</v>
      </c>
      <c r="N332" s="323">
        <v>18.400000000000002</v>
      </c>
      <c r="O332" s="104"/>
      <c r="P332" s="104">
        <f t="shared" si="202"/>
        <v>123.01767117636477</v>
      </c>
      <c r="Q332" s="104">
        <f t="shared" si="203"/>
        <v>41.324102762437356</v>
      </c>
      <c r="R332" s="104"/>
      <c r="S332" s="140">
        <f t="shared" si="204"/>
        <v>362.38068481804441</v>
      </c>
      <c r="T332" s="234">
        <v>468.71</v>
      </c>
      <c r="U332" s="104"/>
      <c r="V332" s="148">
        <f t="shared" si="205"/>
        <v>468.71</v>
      </c>
      <c r="W332" s="236"/>
      <c r="X332" s="104"/>
      <c r="Y332" s="45">
        <f t="shared" si="206"/>
        <v>0</v>
      </c>
      <c r="Z332" s="138">
        <f t="shared" si="207"/>
        <v>29.646511715910915</v>
      </c>
      <c r="AA332" s="104">
        <f t="shared" si="194"/>
        <v>6.5165379456812369</v>
      </c>
      <c r="AB332" s="323">
        <v>0</v>
      </c>
      <c r="AC332" s="104"/>
      <c r="AD332" s="104">
        <f t="shared" si="208"/>
        <v>24.768910279630767</v>
      </c>
      <c r="AE332" s="104">
        <f t="shared" si="209"/>
        <v>7.8427252853881742</v>
      </c>
      <c r="AF332" s="104"/>
      <c r="AG332" s="139">
        <f t="shared" si="210"/>
        <v>68.774685226611098</v>
      </c>
      <c r="AH332" s="200">
        <f t="shared" si="211"/>
        <v>537.42852275499695</v>
      </c>
      <c r="AI332" s="104">
        <f t="shared" si="195"/>
        <v>107.19855283796926</v>
      </c>
      <c r="AJ332" s="323">
        <v>126.04408735490328</v>
      </c>
      <c r="AK332" s="118" t="e">
        <f t="shared" si="196"/>
        <v>#REF!</v>
      </c>
      <c r="AL332" s="104"/>
      <c r="AM332" s="104">
        <f t="shared" si="212"/>
        <v>449.00793015351263</v>
      </c>
      <c r="AN332" s="104" t="e">
        <f t="shared" si="213"/>
        <v>#REF!</v>
      </c>
      <c r="AO332" s="104"/>
      <c r="AP332" s="140" t="e">
        <f t="shared" si="214"/>
        <v>#REF!</v>
      </c>
      <c r="AQ332" s="33"/>
      <c r="AR332" s="28"/>
      <c r="AS332" s="121"/>
      <c r="AT332" s="135" t="e">
        <f t="shared" si="215"/>
        <v>#REF!</v>
      </c>
      <c r="AU332" s="148" t="e">
        <f t="shared" si="216"/>
        <v>#REF!</v>
      </c>
      <c r="AW332" s="1">
        <v>3</v>
      </c>
      <c r="BA332" s="29">
        <v>490.65</v>
      </c>
      <c r="BB332" s="29">
        <v>114.97</v>
      </c>
      <c r="BC332" s="29">
        <v>35.96</v>
      </c>
      <c r="BD332" s="29">
        <v>414.51</v>
      </c>
      <c r="BI332" s="323">
        <v>0</v>
      </c>
      <c r="BL332" s="107">
        <f t="shared" si="217"/>
        <v>1.2233877438623886</v>
      </c>
      <c r="BM332" s="107">
        <f t="shared" si="217"/>
        <v>1.2807066670574303</v>
      </c>
      <c r="BN332" s="107">
        <f t="shared" si="217"/>
        <v>0.82443024793968056</v>
      </c>
      <c r="BO332" s="107">
        <f t="shared" si="217"/>
        <v>1.2965393422474656</v>
      </c>
    </row>
    <row r="333" spans="1:67" x14ac:dyDescent="0.25">
      <c r="A333" s="250" t="s">
        <v>316</v>
      </c>
      <c r="B333" s="227">
        <v>5</v>
      </c>
      <c r="C333" s="226">
        <f>'побудинковий звіт'!E319</f>
        <v>2741.6</v>
      </c>
      <c r="D333" s="138">
        <f t="shared" si="197"/>
        <v>427.4394438280799</v>
      </c>
      <c r="E333" s="104">
        <f t="shared" si="191"/>
        <v>88.106802991773236</v>
      </c>
      <c r="F333" s="323">
        <v>70.443308456860166</v>
      </c>
      <c r="G333" s="104" t="e">
        <f t="shared" si="192"/>
        <v>#REF!</v>
      </c>
      <c r="H333" s="720">
        <f t="shared" si="198"/>
        <v>357.11483818418213</v>
      </c>
      <c r="I333" s="104" t="e">
        <f t="shared" si="199"/>
        <v>#REF!</v>
      </c>
      <c r="J333" s="28"/>
      <c r="K333" s="139" t="e">
        <f t="shared" si="200"/>
        <v>#REF!</v>
      </c>
      <c r="L333" s="200">
        <f t="shared" si="201"/>
        <v>85.397520559389463</v>
      </c>
      <c r="M333" s="104">
        <f t="shared" si="193"/>
        <v>18.78898528933523</v>
      </c>
      <c r="N333" s="323">
        <v>18.400000000000002</v>
      </c>
      <c r="O333" s="104"/>
      <c r="P333" s="104">
        <f t="shared" si="202"/>
        <v>71.34746728746633</v>
      </c>
      <c r="Q333" s="104">
        <f t="shared" si="203"/>
        <v>24.961791419120235</v>
      </c>
      <c r="R333" s="104"/>
      <c r="S333" s="140">
        <f t="shared" si="204"/>
        <v>218.89576455531125</v>
      </c>
      <c r="T333" s="234">
        <v>330.35</v>
      </c>
      <c r="U333" s="104"/>
      <c r="V333" s="148">
        <f t="shared" si="205"/>
        <v>330.35</v>
      </c>
      <c r="W333" s="236"/>
      <c r="X333" s="104"/>
      <c r="Y333" s="45">
        <f t="shared" si="206"/>
        <v>0</v>
      </c>
      <c r="Z333" s="138">
        <f t="shared" si="207"/>
        <v>0</v>
      </c>
      <c r="AA333" s="104">
        <f t="shared" si="194"/>
        <v>0</v>
      </c>
      <c r="AB333" s="323">
        <v>7.644333333333333</v>
      </c>
      <c r="AC333" s="104"/>
      <c r="AD333" s="104">
        <f t="shared" si="208"/>
        <v>0</v>
      </c>
      <c r="AE333" s="104">
        <f t="shared" si="209"/>
        <v>0.98392381241471905</v>
      </c>
      <c r="AF333" s="104"/>
      <c r="AG333" s="139">
        <f t="shared" si="210"/>
        <v>8.6282571457480515</v>
      </c>
      <c r="AH333" s="200">
        <f t="shared" si="211"/>
        <v>275.15157921175717</v>
      </c>
      <c r="AI333" s="104">
        <f t="shared" si="195"/>
        <v>54.883300483158038</v>
      </c>
      <c r="AJ333" s="323">
        <v>105.50283366146279</v>
      </c>
      <c r="AK333" s="118" t="e">
        <f t="shared" si="196"/>
        <v>#REF!</v>
      </c>
      <c r="AL333" s="104"/>
      <c r="AM333" s="104">
        <f t="shared" si="212"/>
        <v>229.88218121921898</v>
      </c>
      <c r="AN333" s="104" t="e">
        <f t="shared" si="213"/>
        <v>#REF!</v>
      </c>
      <c r="AO333" s="104"/>
      <c r="AP333" s="140" t="e">
        <f t="shared" si="214"/>
        <v>#REF!</v>
      </c>
      <c r="AQ333" s="33"/>
      <c r="AR333" s="28"/>
      <c r="AS333" s="121"/>
      <c r="AT333" s="135" t="e">
        <f t="shared" si="215"/>
        <v>#REF!</v>
      </c>
      <c r="AU333" s="148" t="e">
        <f t="shared" si="216"/>
        <v>#REF!</v>
      </c>
      <c r="AW333" s="1">
        <v>3</v>
      </c>
      <c r="BA333" s="29">
        <v>349.39</v>
      </c>
      <c r="BB333" s="29">
        <v>66.680000000000007</v>
      </c>
      <c r="BC333" s="29">
        <v>0</v>
      </c>
      <c r="BD333" s="29">
        <v>212.22</v>
      </c>
      <c r="BI333" s="323">
        <v>0</v>
      </c>
      <c r="BL333" s="107">
        <f t="shared" si="217"/>
        <v>1.2233877438623886</v>
      </c>
      <c r="BM333" s="107">
        <f t="shared" si="217"/>
        <v>1.2807066670574303</v>
      </c>
      <c r="BN333" s="107">
        <f t="shared" si="217"/>
        <v>0.82443024793968056</v>
      </c>
      <c r="BO333" s="107">
        <f t="shared" si="217"/>
        <v>1.2965393422474656</v>
      </c>
    </row>
    <row r="334" spans="1:67" x14ac:dyDescent="0.25">
      <c r="A334" s="250" t="s">
        <v>401</v>
      </c>
      <c r="B334" s="227">
        <v>9</v>
      </c>
      <c r="C334" s="226">
        <f>'побудинковий звіт'!E320</f>
        <v>4244.42</v>
      </c>
      <c r="D334" s="138">
        <f t="shared" si="197"/>
        <v>685.92904022876394</v>
      </c>
      <c r="E334" s="104">
        <f t="shared" si="191"/>
        <v>141.38848364700598</v>
      </c>
      <c r="F334" s="323">
        <v>110.96330673190873</v>
      </c>
      <c r="G334" s="104" t="e">
        <f t="shared" si="192"/>
        <v>#REF!</v>
      </c>
      <c r="H334" s="720">
        <f t="shared" si="198"/>
        <v>573.07635442659273</v>
      </c>
      <c r="I334" s="104" t="e">
        <f t="shared" si="199"/>
        <v>#REF!</v>
      </c>
      <c r="J334" s="28"/>
      <c r="K334" s="139" t="e">
        <f t="shared" si="200"/>
        <v>#REF!</v>
      </c>
      <c r="L334" s="200">
        <f t="shared" si="201"/>
        <v>118.73431510289436</v>
      </c>
      <c r="M334" s="104">
        <f t="shared" si="193"/>
        <v>26.123677657082617</v>
      </c>
      <c r="N334" s="323">
        <v>0</v>
      </c>
      <c r="O334" s="104"/>
      <c r="P334" s="104">
        <f t="shared" si="202"/>
        <v>99.199515480218992</v>
      </c>
      <c r="Q334" s="104">
        <f t="shared" si="203"/>
        <v>31.413333705506954</v>
      </c>
      <c r="R334" s="104"/>
      <c r="S334" s="140">
        <f t="shared" si="204"/>
        <v>275.47084194570294</v>
      </c>
      <c r="T334" s="234">
        <v>459.2</v>
      </c>
      <c r="U334" s="104"/>
      <c r="V334" s="148">
        <f t="shared" si="205"/>
        <v>459.2</v>
      </c>
      <c r="W334" s="881">
        <v>114.44</v>
      </c>
      <c r="X334" s="104"/>
      <c r="Y334" s="45">
        <f t="shared" si="206"/>
        <v>114.44</v>
      </c>
      <c r="Z334" s="138">
        <f t="shared" si="207"/>
        <v>21.740225638169377</v>
      </c>
      <c r="AA334" s="104">
        <f t="shared" si="194"/>
        <v>4.7786736826366578</v>
      </c>
      <c r="AB334" s="323">
        <v>0</v>
      </c>
      <c r="AC334" s="104"/>
      <c r="AD334" s="104">
        <f t="shared" si="208"/>
        <v>18.163408344656933</v>
      </c>
      <c r="AE334" s="104">
        <f t="shared" si="209"/>
        <v>5.7511864787454439</v>
      </c>
      <c r="AF334" s="104"/>
      <c r="AG334" s="139">
        <f t="shared" si="210"/>
        <v>50.433494144208417</v>
      </c>
      <c r="AH334" s="200">
        <f t="shared" si="211"/>
        <v>233.24742767031907</v>
      </c>
      <c r="AI334" s="104">
        <f t="shared" si="195"/>
        <v>46.524859847894312</v>
      </c>
      <c r="AJ334" s="323">
        <v>62.457772533410143</v>
      </c>
      <c r="AK334" s="118" t="e">
        <f t="shared" si="196"/>
        <v>#REF!</v>
      </c>
      <c r="AL334" s="104"/>
      <c r="AM334" s="104">
        <f t="shared" si="212"/>
        <v>194.87232306727685</v>
      </c>
      <c r="AN334" s="104" t="e">
        <f t="shared" si="213"/>
        <v>#REF!</v>
      </c>
      <c r="AO334" s="104"/>
      <c r="AP334" s="140" t="e">
        <f t="shared" si="214"/>
        <v>#REF!</v>
      </c>
      <c r="AQ334" s="33"/>
      <c r="AR334" s="28"/>
      <c r="AS334" s="121"/>
      <c r="AT334" s="135" t="e">
        <f t="shared" si="215"/>
        <v>#REF!</v>
      </c>
      <c r="AU334" s="148" t="e">
        <f t="shared" si="216"/>
        <v>#REF!</v>
      </c>
      <c r="AW334" s="1">
        <v>3</v>
      </c>
      <c r="BA334" s="29">
        <v>560.67999999999995</v>
      </c>
      <c r="BB334" s="29">
        <v>92.71</v>
      </c>
      <c r="BC334" s="29">
        <v>26.37</v>
      </c>
      <c r="BD334" s="29">
        <v>179.9</v>
      </c>
      <c r="BI334" s="323">
        <v>0</v>
      </c>
      <c r="BL334" s="107">
        <f t="shared" si="217"/>
        <v>1.2233877438623886</v>
      </c>
      <c r="BM334" s="107">
        <f t="shared" si="217"/>
        <v>1.2807066670574303</v>
      </c>
      <c r="BN334" s="107">
        <f t="shared" si="217"/>
        <v>0.82443024793968056</v>
      </c>
      <c r="BO334" s="107">
        <f t="shared" si="217"/>
        <v>1.2965393422474656</v>
      </c>
    </row>
    <row r="335" spans="1:67" x14ac:dyDescent="0.25">
      <c r="A335" s="250" t="s">
        <v>317</v>
      </c>
      <c r="B335" s="227">
        <v>5</v>
      </c>
      <c r="C335" s="226">
        <f>'побудинковий звіт'!E321</f>
        <v>2712.45</v>
      </c>
      <c r="D335" s="138">
        <f t="shared" si="197"/>
        <v>432.84681765595172</v>
      </c>
      <c r="E335" s="104">
        <f t="shared" si="191"/>
        <v>89.221408645122338</v>
      </c>
      <c r="F335" s="323">
        <v>69.689155218410832</v>
      </c>
      <c r="G335" s="104" t="e">
        <f t="shared" si="192"/>
        <v>#REF!</v>
      </c>
      <c r="H335" s="720">
        <f t="shared" si="198"/>
        <v>361.63256217391881</v>
      </c>
      <c r="I335" s="104" t="e">
        <f t="shared" si="199"/>
        <v>#REF!</v>
      </c>
      <c r="J335" s="28"/>
      <c r="K335" s="139" t="e">
        <f t="shared" si="200"/>
        <v>#REF!</v>
      </c>
      <c r="L335" s="200">
        <f t="shared" si="201"/>
        <v>86.332436426341374</v>
      </c>
      <c r="M335" s="104">
        <f t="shared" si="193"/>
        <v>18.994683538603596</v>
      </c>
      <c r="N335" s="323">
        <v>0</v>
      </c>
      <c r="O335" s="104"/>
      <c r="P335" s="104">
        <f t="shared" si="202"/>
        <v>72.128565834554664</v>
      </c>
      <c r="Q335" s="104">
        <f t="shared" si="203"/>
        <v>22.840824345682492</v>
      </c>
      <c r="R335" s="104"/>
      <c r="S335" s="140">
        <f t="shared" si="204"/>
        <v>200.29651014518214</v>
      </c>
      <c r="T335" s="234">
        <v>339.47</v>
      </c>
      <c r="U335" s="104"/>
      <c r="V335" s="148">
        <f t="shared" si="205"/>
        <v>339.47</v>
      </c>
      <c r="W335" s="236"/>
      <c r="X335" s="104"/>
      <c r="Y335" s="45">
        <f t="shared" si="206"/>
        <v>0</v>
      </c>
      <c r="Z335" s="138">
        <f t="shared" si="207"/>
        <v>0</v>
      </c>
      <c r="AA335" s="104">
        <f t="shared" si="194"/>
        <v>0</v>
      </c>
      <c r="AB335" s="323">
        <v>7.644333333333333</v>
      </c>
      <c r="AC335" s="104"/>
      <c r="AD335" s="104">
        <f t="shared" si="208"/>
        <v>0</v>
      </c>
      <c r="AE335" s="104">
        <f t="shared" si="209"/>
        <v>0.98392381241471905</v>
      </c>
      <c r="AF335" s="104"/>
      <c r="AG335" s="139">
        <f t="shared" si="210"/>
        <v>8.6282571457480515</v>
      </c>
      <c r="AH335" s="200">
        <f t="shared" si="211"/>
        <v>283.83839280481516</v>
      </c>
      <c r="AI335" s="104">
        <f t="shared" si="195"/>
        <v>56.616021778215796</v>
      </c>
      <c r="AJ335" s="323">
        <v>39.225844406323638</v>
      </c>
      <c r="AK335" s="118" t="e">
        <f t="shared" si="196"/>
        <v>#REF!</v>
      </c>
      <c r="AL335" s="104"/>
      <c r="AM335" s="104">
        <f t="shared" si="212"/>
        <v>237.13979414056834</v>
      </c>
      <c r="AN335" s="104" t="e">
        <f t="shared" si="213"/>
        <v>#REF!</v>
      </c>
      <c r="AO335" s="104"/>
      <c r="AP335" s="140" t="e">
        <f t="shared" si="214"/>
        <v>#REF!</v>
      </c>
      <c r="AQ335" s="33"/>
      <c r="AR335" s="28"/>
      <c r="AS335" s="121"/>
      <c r="AT335" s="135" t="e">
        <f t="shared" si="215"/>
        <v>#REF!</v>
      </c>
      <c r="AU335" s="148" t="e">
        <f t="shared" si="216"/>
        <v>#REF!</v>
      </c>
      <c r="AW335" s="1">
        <v>3</v>
      </c>
      <c r="BA335" s="29">
        <v>353.81</v>
      </c>
      <c r="BB335" s="29">
        <v>67.41</v>
      </c>
      <c r="BC335" s="29">
        <v>0</v>
      </c>
      <c r="BD335" s="29">
        <v>218.92</v>
      </c>
      <c r="BI335" s="323">
        <v>0</v>
      </c>
      <c r="BL335" s="107">
        <f t="shared" si="217"/>
        <v>1.2233877438623886</v>
      </c>
      <c r="BM335" s="107">
        <f t="shared" si="217"/>
        <v>1.2807066670574303</v>
      </c>
      <c r="BN335" s="107">
        <f t="shared" si="217"/>
        <v>0.82443024793968056</v>
      </c>
      <c r="BO335" s="107">
        <f t="shared" si="217"/>
        <v>1.2965393422474656</v>
      </c>
    </row>
    <row r="336" spans="1:67" x14ac:dyDescent="0.25">
      <c r="A336" s="250" t="s">
        <v>190</v>
      </c>
      <c r="B336" s="227">
        <v>2</v>
      </c>
      <c r="C336" s="226">
        <f>'побудинковий звіт'!E322</f>
        <v>472.1</v>
      </c>
      <c r="D336" s="138">
        <f t="shared" si="197"/>
        <v>79.348929066914522</v>
      </c>
      <c r="E336" s="104">
        <f t="shared" si="191"/>
        <v>16.355955356611272</v>
      </c>
      <c r="F336" s="323">
        <v>12.130689740099831</v>
      </c>
      <c r="G336" s="104" t="e">
        <f t="shared" si="192"/>
        <v>#REF!</v>
      </c>
      <c r="H336" s="720">
        <f t="shared" si="198"/>
        <v>66.29402216613542</v>
      </c>
      <c r="I336" s="104" t="e">
        <f t="shared" si="199"/>
        <v>#REF!</v>
      </c>
      <c r="J336" s="28"/>
      <c r="K336" s="139" t="e">
        <f t="shared" si="200"/>
        <v>#REF!</v>
      </c>
      <c r="L336" s="200">
        <f t="shared" si="201"/>
        <v>19.082529339155712</v>
      </c>
      <c r="M336" s="104">
        <f t="shared" si="193"/>
        <v>4.1984985124639307</v>
      </c>
      <c r="N336" s="323">
        <v>18.400000000000002</v>
      </c>
      <c r="O336" s="104"/>
      <c r="P336" s="104">
        <f t="shared" si="202"/>
        <v>15.942970344679788</v>
      </c>
      <c r="Q336" s="104">
        <f t="shared" si="203"/>
        <v>7.4169481522541965</v>
      </c>
      <c r="R336" s="104"/>
      <c r="S336" s="140">
        <f t="shared" si="204"/>
        <v>65.040946348553632</v>
      </c>
      <c r="T336" s="234">
        <v>53.62</v>
      </c>
      <c r="U336" s="104"/>
      <c r="V336" s="148">
        <f t="shared" si="205"/>
        <v>53.62</v>
      </c>
      <c r="W336" s="236"/>
      <c r="X336" s="104"/>
      <c r="Y336" s="45">
        <f t="shared" si="206"/>
        <v>0</v>
      </c>
      <c r="Z336" s="138">
        <f t="shared" si="207"/>
        <v>0</v>
      </c>
      <c r="AA336" s="104">
        <f t="shared" si="194"/>
        <v>0</v>
      </c>
      <c r="AB336" s="323">
        <v>7.644333333333333</v>
      </c>
      <c r="AC336" s="104"/>
      <c r="AD336" s="104">
        <f t="shared" si="208"/>
        <v>0</v>
      </c>
      <c r="AE336" s="104">
        <f t="shared" si="209"/>
        <v>0.98392381241471905</v>
      </c>
      <c r="AF336" s="104"/>
      <c r="AG336" s="139">
        <f t="shared" si="210"/>
        <v>8.6282571457480515</v>
      </c>
      <c r="AH336" s="200">
        <f t="shared" si="211"/>
        <v>27.382910908266474</v>
      </c>
      <c r="AI336" s="104">
        <f t="shared" si="195"/>
        <v>5.4619513062119394</v>
      </c>
      <c r="AJ336" s="323">
        <v>28.110485599699647</v>
      </c>
      <c r="AK336" s="118" t="e">
        <f t="shared" si="196"/>
        <v>#REF!</v>
      </c>
      <c r="AL336" s="104"/>
      <c r="AM336" s="104">
        <f t="shared" si="212"/>
        <v>22.87772908938792</v>
      </c>
      <c r="AN336" s="104" t="e">
        <f t="shared" si="213"/>
        <v>#REF!</v>
      </c>
      <c r="AO336" s="104"/>
      <c r="AP336" s="140" t="e">
        <f t="shared" si="214"/>
        <v>#REF!</v>
      </c>
      <c r="AQ336" s="33"/>
      <c r="AR336" s="28"/>
      <c r="AS336" s="121"/>
      <c r="AT336" s="135" t="e">
        <f t="shared" si="215"/>
        <v>#REF!</v>
      </c>
      <c r="AU336" s="148" t="e">
        <f t="shared" si="216"/>
        <v>#REF!</v>
      </c>
      <c r="AW336" s="1">
        <v>3</v>
      </c>
      <c r="BA336" s="29">
        <v>64.86</v>
      </c>
      <c r="BB336" s="29">
        <v>14.9</v>
      </c>
      <c r="BC336" s="29">
        <v>0</v>
      </c>
      <c r="BD336" s="29">
        <v>21.12</v>
      </c>
      <c r="BI336" s="323">
        <v>0</v>
      </c>
      <c r="BL336" s="107">
        <f t="shared" si="217"/>
        <v>1.2233877438623886</v>
      </c>
      <c r="BM336" s="107">
        <f t="shared" si="217"/>
        <v>1.2807066670574303</v>
      </c>
      <c r="BN336" s="107">
        <f t="shared" si="217"/>
        <v>0.82443024793968056</v>
      </c>
      <c r="BO336" s="107">
        <f t="shared" si="217"/>
        <v>1.2965393422474656</v>
      </c>
    </row>
    <row r="337" spans="1:67" x14ac:dyDescent="0.25">
      <c r="A337" s="250" t="s">
        <v>402</v>
      </c>
      <c r="B337" s="227">
        <v>9</v>
      </c>
      <c r="C337" s="226">
        <f>'побудинковий звіт'!E323</f>
        <v>6211.85</v>
      </c>
      <c r="D337" s="138">
        <f t="shared" si="197"/>
        <v>1046.0699242669739</v>
      </c>
      <c r="E337" s="104">
        <f t="shared" si="191"/>
        <v>215.62323754585313</v>
      </c>
      <c r="F337" s="323">
        <v>159.59141588916128</v>
      </c>
      <c r="G337" s="104" t="e">
        <f t="shared" si="192"/>
        <v>#REF!</v>
      </c>
      <c r="H337" s="720">
        <f t="shared" si="198"/>
        <v>873.9649490190526</v>
      </c>
      <c r="I337" s="104" t="e">
        <f t="shared" si="199"/>
        <v>#REF!</v>
      </c>
      <c r="J337" s="28"/>
      <c r="K337" s="139" t="e">
        <f t="shared" si="200"/>
        <v>#REF!</v>
      </c>
      <c r="L337" s="200">
        <f t="shared" si="201"/>
        <v>178.85068605457016</v>
      </c>
      <c r="M337" s="104">
        <f t="shared" si="193"/>
        <v>39.350356863462281</v>
      </c>
      <c r="N337" s="323">
        <v>0</v>
      </c>
      <c r="O337" s="104"/>
      <c r="P337" s="104">
        <f t="shared" si="202"/>
        <v>149.42522205600889</v>
      </c>
      <c r="Q337" s="104">
        <f t="shared" si="203"/>
        <v>47.318218660058747</v>
      </c>
      <c r="R337" s="104"/>
      <c r="S337" s="140">
        <f t="shared" si="204"/>
        <v>414.94448363410004</v>
      </c>
      <c r="T337" s="234">
        <v>666.64</v>
      </c>
      <c r="U337" s="104"/>
      <c r="V337" s="148">
        <f t="shared" si="205"/>
        <v>666.64</v>
      </c>
      <c r="W337" s="881">
        <v>163.04</v>
      </c>
      <c r="X337" s="104"/>
      <c r="Y337" s="45">
        <f t="shared" si="206"/>
        <v>163.04</v>
      </c>
      <c r="Z337" s="138">
        <f t="shared" si="207"/>
        <v>32.614460608493765</v>
      </c>
      <c r="AA337" s="104">
        <f t="shared" si="194"/>
        <v>7.1689166054268556</v>
      </c>
      <c r="AB337" s="323">
        <v>0</v>
      </c>
      <c r="AC337" s="104"/>
      <c r="AD337" s="104">
        <f t="shared" si="208"/>
        <v>27.248556470027616</v>
      </c>
      <c r="AE337" s="104">
        <f t="shared" si="209"/>
        <v>8.6278701971622951</v>
      </c>
      <c r="AF337" s="104"/>
      <c r="AG337" s="139">
        <f t="shared" si="210"/>
        <v>75.659803881110534</v>
      </c>
      <c r="AH337" s="200">
        <f t="shared" si="211"/>
        <v>392.60507822595508</v>
      </c>
      <c r="AI337" s="104">
        <f t="shared" si="195"/>
        <v>78.311244083051008</v>
      </c>
      <c r="AJ337" s="323">
        <v>89.829013260865295</v>
      </c>
      <c r="AK337" s="118" t="e">
        <f t="shared" si="196"/>
        <v>#REF!</v>
      </c>
      <c r="AL337" s="104"/>
      <c r="AM337" s="104">
        <f t="shared" si="212"/>
        <v>328.0116072707176</v>
      </c>
      <c r="AN337" s="104" t="e">
        <f t="shared" si="213"/>
        <v>#REF!</v>
      </c>
      <c r="AO337" s="104"/>
      <c r="AP337" s="140" t="e">
        <f t="shared" si="214"/>
        <v>#REF!</v>
      </c>
      <c r="AQ337" s="33"/>
      <c r="AR337" s="28"/>
      <c r="AS337" s="121"/>
      <c r="AT337" s="135" t="e">
        <f t="shared" si="215"/>
        <v>#REF!</v>
      </c>
      <c r="AU337" s="148" t="e">
        <f t="shared" si="216"/>
        <v>#REF!</v>
      </c>
      <c r="AW337" s="1">
        <v>3</v>
      </c>
      <c r="BA337" s="29">
        <v>855.06</v>
      </c>
      <c r="BB337" s="29">
        <v>139.65</v>
      </c>
      <c r="BC337" s="29">
        <v>39.56</v>
      </c>
      <c r="BD337" s="29">
        <v>302.81</v>
      </c>
      <c r="BI337" s="323">
        <v>8.7200000000000006</v>
      </c>
      <c r="BL337" s="107">
        <f t="shared" si="217"/>
        <v>1.2233877438623886</v>
      </c>
      <c r="BM337" s="107">
        <f t="shared" si="217"/>
        <v>1.2807066670574303</v>
      </c>
      <c r="BN337" s="107">
        <f t="shared" si="217"/>
        <v>0.82443024793968056</v>
      </c>
      <c r="BO337" s="107">
        <f t="shared" si="217"/>
        <v>1.2965393422474656</v>
      </c>
    </row>
    <row r="338" spans="1:67" x14ac:dyDescent="0.25">
      <c r="A338" s="250" t="s">
        <v>425</v>
      </c>
      <c r="B338" s="227">
        <v>14</v>
      </c>
      <c r="C338" s="226">
        <f>'побудинковий звіт'!E324</f>
        <v>4358.51</v>
      </c>
      <c r="D338" s="138">
        <f t="shared" si="197"/>
        <v>464.82617328051452</v>
      </c>
      <c r="E338" s="104">
        <f t="shared" si="191"/>
        <v>95.8132167398158</v>
      </c>
      <c r="F338" s="323">
        <v>111.58358813484458</v>
      </c>
      <c r="G338" s="104" t="e">
        <f t="shared" si="192"/>
        <v>#REF!</v>
      </c>
      <c r="H338" s="720">
        <f t="shared" si="198"/>
        <v>388.35050450236128</v>
      </c>
      <c r="I338" s="104" t="e">
        <f t="shared" si="199"/>
        <v>#REF!</v>
      </c>
      <c r="J338" s="28"/>
      <c r="K338" s="139" t="e">
        <f t="shared" si="200"/>
        <v>#REF!</v>
      </c>
      <c r="L338" s="200">
        <f t="shared" si="201"/>
        <v>63.625507219413137</v>
      </c>
      <c r="M338" s="104">
        <f t="shared" si="193"/>
        <v>13.998752087195173</v>
      </c>
      <c r="N338" s="323">
        <v>0</v>
      </c>
      <c r="O338" s="104"/>
      <c r="P338" s="104">
        <f t="shared" si="202"/>
        <v>53.157501122395423</v>
      </c>
      <c r="Q338" s="104">
        <f t="shared" si="203"/>
        <v>16.833291106564399</v>
      </c>
      <c r="R338" s="104"/>
      <c r="S338" s="140">
        <f t="shared" si="204"/>
        <v>147.61505153556811</v>
      </c>
      <c r="T338" s="234">
        <v>428.83</v>
      </c>
      <c r="U338" s="104"/>
      <c r="V338" s="148">
        <f t="shared" si="205"/>
        <v>428.83</v>
      </c>
      <c r="W338" s="881">
        <v>108.93</v>
      </c>
      <c r="X338" s="104"/>
      <c r="Y338" s="45">
        <f t="shared" si="206"/>
        <v>108.93</v>
      </c>
      <c r="Z338" s="138">
        <f t="shared" si="207"/>
        <v>22.234883786933185</v>
      </c>
      <c r="AA338" s="104">
        <f t="shared" si="194"/>
        <v>4.887403459260927</v>
      </c>
      <c r="AB338" s="323">
        <v>0</v>
      </c>
      <c r="AC338" s="104"/>
      <c r="AD338" s="104">
        <f t="shared" si="208"/>
        <v>18.576682709723073</v>
      </c>
      <c r="AE338" s="104">
        <f t="shared" si="209"/>
        <v>5.8820439640411299</v>
      </c>
      <c r="AF338" s="104"/>
      <c r="AG338" s="139">
        <f t="shared" si="210"/>
        <v>51.581013919958316</v>
      </c>
      <c r="AH338" s="200">
        <f t="shared" si="211"/>
        <v>215.45890789468385</v>
      </c>
      <c r="AI338" s="104">
        <f t="shared" si="195"/>
        <v>42.976660419805874</v>
      </c>
      <c r="AJ338" s="323">
        <v>62.806909522134461</v>
      </c>
      <c r="AK338" s="118" t="e">
        <f t="shared" si="196"/>
        <v>#REF!</v>
      </c>
      <c r="AL338" s="104"/>
      <c r="AM338" s="104">
        <f t="shared" si="212"/>
        <v>180.01046496564794</v>
      </c>
      <c r="AN338" s="104" t="e">
        <f t="shared" si="213"/>
        <v>#REF!</v>
      </c>
      <c r="AO338" s="104"/>
      <c r="AP338" s="140" t="e">
        <f t="shared" si="214"/>
        <v>#REF!</v>
      </c>
      <c r="AQ338" s="33"/>
      <c r="AR338" s="28"/>
      <c r="AS338" s="121"/>
      <c r="AT338" s="135" t="e">
        <f t="shared" si="215"/>
        <v>#REF!</v>
      </c>
      <c r="AU338" s="148" t="e">
        <f t="shared" si="216"/>
        <v>#REF!</v>
      </c>
      <c r="AW338" s="1">
        <v>3</v>
      </c>
      <c r="BA338" s="29">
        <v>379.95</v>
      </c>
      <c r="BB338" s="29">
        <v>49.68</v>
      </c>
      <c r="BC338" s="29">
        <v>26.97</v>
      </c>
      <c r="BD338" s="29">
        <v>166.18</v>
      </c>
      <c r="BI338" s="323">
        <v>0</v>
      </c>
      <c r="BL338" s="107">
        <f t="shared" si="217"/>
        <v>1.2233877438623886</v>
      </c>
      <c r="BM338" s="107">
        <f t="shared" si="217"/>
        <v>1.2807066670574303</v>
      </c>
      <c r="BN338" s="107">
        <f t="shared" si="217"/>
        <v>0.82443024793968056</v>
      </c>
      <c r="BO338" s="107">
        <f t="shared" si="217"/>
        <v>1.2965393422474656</v>
      </c>
    </row>
    <row r="339" spans="1:67" x14ac:dyDescent="0.25">
      <c r="A339" s="250" t="s">
        <v>424</v>
      </c>
      <c r="B339" s="227">
        <v>10</v>
      </c>
      <c r="C339" s="226">
        <f>'побудинковий звіт'!E325</f>
        <v>10089.4</v>
      </c>
      <c r="D339" s="138">
        <f t="shared" si="197"/>
        <v>1409.8320360270168</v>
      </c>
      <c r="E339" s="104">
        <f t="shared" si="191"/>
        <v>290.6044241899296</v>
      </c>
      <c r="F339" s="323">
        <v>254.9371983168279</v>
      </c>
      <c r="G339" s="104" t="e">
        <f t="shared" si="192"/>
        <v>#REF!</v>
      </c>
      <c r="H339" s="720">
        <f t="shared" si="198"/>
        <v>1177.8789877313363</v>
      </c>
      <c r="I339" s="104" t="e">
        <f t="shared" si="199"/>
        <v>#REF!</v>
      </c>
      <c r="J339" s="28"/>
      <c r="K339" s="139" t="e">
        <f t="shared" si="200"/>
        <v>#REF!</v>
      </c>
      <c r="L339" s="200">
        <f t="shared" si="201"/>
        <v>259.12537994572989</v>
      </c>
      <c r="M339" s="104">
        <f t="shared" si="193"/>
        <v>57.012228458176317</v>
      </c>
      <c r="N339" s="323">
        <v>0</v>
      </c>
      <c r="O339" s="104"/>
      <c r="P339" s="104">
        <f t="shared" si="202"/>
        <v>216.49269730463502</v>
      </c>
      <c r="Q339" s="104">
        <f t="shared" si="203"/>
        <v>68.556356473252322</v>
      </c>
      <c r="R339" s="104"/>
      <c r="S339" s="140">
        <f t="shared" si="204"/>
        <v>601.18666218179351</v>
      </c>
      <c r="T339" s="234">
        <v>973.14</v>
      </c>
      <c r="U339" s="104"/>
      <c r="V339" s="148">
        <f t="shared" si="205"/>
        <v>973.14</v>
      </c>
      <c r="W339" s="881">
        <v>239.77</v>
      </c>
      <c r="X339" s="104"/>
      <c r="Y339" s="45">
        <f t="shared" si="206"/>
        <v>239.77</v>
      </c>
      <c r="Z339" s="138">
        <f t="shared" si="207"/>
        <v>46.448400168921609</v>
      </c>
      <c r="AA339" s="104">
        <f t="shared" si="194"/>
        <v>10.209726025018934</v>
      </c>
      <c r="AB339" s="323">
        <v>0</v>
      </c>
      <c r="AC339" s="104"/>
      <c r="AD339" s="104">
        <f t="shared" si="208"/>
        <v>38.806462879710722</v>
      </c>
      <c r="AE339" s="104">
        <f t="shared" si="209"/>
        <v>12.28751786926501</v>
      </c>
      <c r="AF339" s="104"/>
      <c r="AG339" s="139">
        <f t="shared" si="210"/>
        <v>107.75210694291627</v>
      </c>
      <c r="AH339" s="200">
        <f t="shared" si="211"/>
        <v>591.70165962147587</v>
      </c>
      <c r="AI339" s="104">
        <f t="shared" si="195"/>
        <v>118.02418170530031</v>
      </c>
      <c r="AJ339" s="323">
        <v>143.49617014611306</v>
      </c>
      <c r="AK339" s="118" t="e">
        <f t="shared" si="196"/>
        <v>#REF!</v>
      </c>
      <c r="AL339" s="104"/>
      <c r="AM339" s="104">
        <f t="shared" si="212"/>
        <v>494.35176252480892</v>
      </c>
      <c r="AN339" s="104" t="e">
        <f t="shared" si="213"/>
        <v>#REF!</v>
      </c>
      <c r="AO339" s="104"/>
      <c r="AP339" s="140" t="e">
        <f t="shared" si="214"/>
        <v>#REF!</v>
      </c>
      <c r="AQ339" s="33"/>
      <c r="AR339" s="28"/>
      <c r="AS339" s="121"/>
      <c r="AT339" s="135" t="e">
        <f t="shared" si="215"/>
        <v>#REF!</v>
      </c>
      <c r="AU339" s="148" t="e">
        <f t="shared" si="216"/>
        <v>#REF!</v>
      </c>
      <c r="AW339" s="1">
        <v>3</v>
      </c>
      <c r="BA339" s="29">
        <v>1152.4000000000001</v>
      </c>
      <c r="BB339" s="29">
        <v>202.33</v>
      </c>
      <c r="BC339" s="29">
        <v>56.34</v>
      </c>
      <c r="BD339" s="29">
        <v>456.37</v>
      </c>
      <c r="BI339" s="323">
        <v>8.7200000000000006</v>
      </c>
      <c r="BL339" s="107">
        <f t="shared" si="217"/>
        <v>1.2233877438623886</v>
      </c>
      <c r="BM339" s="107">
        <f t="shared" si="217"/>
        <v>1.2807066670574303</v>
      </c>
      <c r="BN339" s="107">
        <f t="shared" si="217"/>
        <v>0.82443024793968056</v>
      </c>
      <c r="BO339" s="107">
        <f t="shared" si="217"/>
        <v>1.2965393422474656</v>
      </c>
    </row>
    <row r="340" spans="1:67" x14ac:dyDescent="0.25">
      <c r="A340" s="250" t="s">
        <v>403</v>
      </c>
      <c r="B340" s="227">
        <v>9</v>
      </c>
      <c r="C340" s="226">
        <f>'побудинковий звіт'!E326</f>
        <v>3581.3</v>
      </c>
      <c r="D340" s="138">
        <f t="shared" si="197"/>
        <v>442.35254042576247</v>
      </c>
      <c r="E340" s="104">
        <f t="shared" si="191"/>
        <v>91.18079460134912</v>
      </c>
      <c r="F340" s="323">
        <v>92.022112192797138</v>
      </c>
      <c r="G340" s="104" t="e">
        <f t="shared" si="192"/>
        <v>#REF!</v>
      </c>
      <c r="H340" s="720">
        <f t="shared" si="198"/>
        <v>369.57435298845587</v>
      </c>
      <c r="I340" s="104" t="e">
        <f t="shared" si="199"/>
        <v>#REF!</v>
      </c>
      <c r="J340" s="28"/>
      <c r="K340" s="139" t="e">
        <f t="shared" si="200"/>
        <v>#REF!</v>
      </c>
      <c r="L340" s="200">
        <f t="shared" si="201"/>
        <v>118.00431230267164</v>
      </c>
      <c r="M340" s="104">
        <f t="shared" si="193"/>
        <v>25.9630639555991</v>
      </c>
      <c r="N340" s="323">
        <v>18.400000000000002</v>
      </c>
      <c r="O340" s="104"/>
      <c r="P340" s="104">
        <f t="shared" si="202"/>
        <v>98.589616614684275</v>
      </c>
      <c r="Q340" s="104">
        <f t="shared" si="203"/>
        <v>33.588514276872445</v>
      </c>
      <c r="R340" s="104"/>
      <c r="S340" s="140">
        <f t="shared" si="204"/>
        <v>294.54550714982747</v>
      </c>
      <c r="T340" s="234">
        <v>386.48</v>
      </c>
      <c r="U340" s="104"/>
      <c r="V340" s="148">
        <f t="shared" si="205"/>
        <v>386.48</v>
      </c>
      <c r="W340" s="881">
        <v>95.2</v>
      </c>
      <c r="X340" s="104"/>
      <c r="Y340" s="45">
        <f t="shared" si="206"/>
        <v>95.2</v>
      </c>
      <c r="Z340" s="138">
        <f t="shared" si="207"/>
        <v>21.740225638169377</v>
      </c>
      <c r="AA340" s="104">
        <f t="shared" si="194"/>
        <v>4.7786736826366578</v>
      </c>
      <c r="AB340" s="323">
        <v>31.125</v>
      </c>
      <c r="AC340" s="104"/>
      <c r="AD340" s="104">
        <f t="shared" si="208"/>
        <v>18.163408344656933</v>
      </c>
      <c r="AE340" s="104">
        <f t="shared" si="209"/>
        <v>9.7573734575194546</v>
      </c>
      <c r="AF340" s="104"/>
      <c r="AG340" s="139">
        <f t="shared" si="210"/>
        <v>85.564681122982421</v>
      </c>
      <c r="AH340" s="200">
        <f t="shared" si="211"/>
        <v>371.17328289860444</v>
      </c>
      <c r="AI340" s="104">
        <f t="shared" si="195"/>
        <v>74.036336171512971</v>
      </c>
      <c r="AJ340" s="323">
        <v>117.05886693116784</v>
      </c>
      <c r="AK340" s="118" t="e">
        <f t="shared" si="196"/>
        <v>#REF!</v>
      </c>
      <c r="AL340" s="104"/>
      <c r="AM340" s="104">
        <f t="shared" si="212"/>
        <v>310.10588464535857</v>
      </c>
      <c r="AN340" s="104" t="e">
        <f t="shared" si="213"/>
        <v>#REF!</v>
      </c>
      <c r="AO340" s="104"/>
      <c r="AP340" s="140" t="e">
        <f t="shared" si="214"/>
        <v>#REF!</v>
      </c>
      <c r="AQ340" s="33"/>
      <c r="AR340" s="28"/>
      <c r="AS340" s="121"/>
      <c r="AT340" s="135" t="e">
        <f t="shared" si="215"/>
        <v>#REF!</v>
      </c>
      <c r="AU340" s="148" t="e">
        <f t="shared" si="216"/>
        <v>#REF!</v>
      </c>
      <c r="AW340" s="1">
        <v>3</v>
      </c>
      <c r="BA340" s="29">
        <v>361.58</v>
      </c>
      <c r="BB340" s="29">
        <v>92.14</v>
      </c>
      <c r="BC340" s="29">
        <v>26.37</v>
      </c>
      <c r="BD340" s="29">
        <v>286.27999999999997</v>
      </c>
      <c r="BI340" s="323">
        <v>8.7200000000000006</v>
      </c>
      <c r="BL340" s="107">
        <f t="shared" si="217"/>
        <v>1.2233877438623886</v>
      </c>
      <c r="BM340" s="107">
        <f t="shared" si="217"/>
        <v>1.2807066670574303</v>
      </c>
      <c r="BN340" s="107">
        <f t="shared" si="217"/>
        <v>0.82443024793968056</v>
      </c>
      <c r="BO340" s="107">
        <f t="shared" si="217"/>
        <v>1.2965393422474656</v>
      </c>
    </row>
    <row r="341" spans="1:67" x14ac:dyDescent="0.25">
      <c r="A341" s="250" t="s">
        <v>404</v>
      </c>
      <c r="B341" s="227">
        <v>9</v>
      </c>
      <c r="C341" s="226">
        <f>'побудинковий звіт'!E327</f>
        <v>4073.8</v>
      </c>
      <c r="D341" s="138">
        <f t="shared" si="197"/>
        <v>445.50888080492746</v>
      </c>
      <c r="E341" s="104">
        <f t="shared" si="191"/>
        <v>91.831401521177327</v>
      </c>
      <c r="F341" s="323">
        <v>104.66413581518458</v>
      </c>
      <c r="G341" s="104" t="e">
        <f t="shared" si="192"/>
        <v>#REF!</v>
      </c>
      <c r="H341" s="720">
        <f t="shared" si="198"/>
        <v>372.21139549830212</v>
      </c>
      <c r="I341" s="104" t="e">
        <f t="shared" si="199"/>
        <v>#REF!</v>
      </c>
      <c r="J341" s="28"/>
      <c r="K341" s="139" t="e">
        <f t="shared" si="200"/>
        <v>#REF!</v>
      </c>
      <c r="L341" s="200">
        <f t="shared" si="201"/>
        <v>67.570083753950016</v>
      </c>
      <c r="M341" s="104">
        <f t="shared" si="193"/>
        <v>14.866629632053488</v>
      </c>
      <c r="N341" s="323">
        <v>0</v>
      </c>
      <c r="O341" s="104"/>
      <c r="P341" s="104">
        <f t="shared" si="202"/>
        <v>56.453094992302383</v>
      </c>
      <c r="Q341" s="104">
        <f t="shared" si="203"/>
        <v>17.876900941673462</v>
      </c>
      <c r="R341" s="104"/>
      <c r="S341" s="140">
        <f t="shared" si="204"/>
        <v>156.76670931997933</v>
      </c>
      <c r="T341" s="234">
        <v>445.01</v>
      </c>
      <c r="U341" s="104"/>
      <c r="V341" s="148">
        <f t="shared" si="205"/>
        <v>445.01</v>
      </c>
      <c r="W341" s="881">
        <v>114.73</v>
      </c>
      <c r="X341" s="104"/>
      <c r="Y341" s="45">
        <f t="shared" si="206"/>
        <v>114.73</v>
      </c>
      <c r="Z341" s="138">
        <f t="shared" si="207"/>
        <v>21.740225638169377</v>
      </c>
      <c r="AA341" s="104">
        <f t="shared" si="194"/>
        <v>4.7786736826366578</v>
      </c>
      <c r="AB341" s="323">
        <v>0</v>
      </c>
      <c r="AC341" s="104"/>
      <c r="AD341" s="104">
        <f t="shared" si="208"/>
        <v>18.163408344656933</v>
      </c>
      <c r="AE341" s="104">
        <f t="shared" si="209"/>
        <v>5.7511864787454439</v>
      </c>
      <c r="AF341" s="104"/>
      <c r="AG341" s="139">
        <f t="shared" si="210"/>
        <v>50.433494144208417</v>
      </c>
      <c r="AH341" s="200">
        <f t="shared" si="211"/>
        <v>374.86842002400971</v>
      </c>
      <c r="AI341" s="104">
        <f t="shared" si="195"/>
        <v>74.773389259709177</v>
      </c>
      <c r="AJ341" s="323">
        <v>58.912166369956708</v>
      </c>
      <c r="AK341" s="118" t="e">
        <f t="shared" si="196"/>
        <v>#REF!</v>
      </c>
      <c r="AL341" s="104"/>
      <c r="AM341" s="104">
        <f t="shared" si="212"/>
        <v>313.19307820145497</v>
      </c>
      <c r="AN341" s="104" t="e">
        <f t="shared" si="213"/>
        <v>#REF!</v>
      </c>
      <c r="AO341" s="104"/>
      <c r="AP341" s="140" t="e">
        <f t="shared" si="214"/>
        <v>#REF!</v>
      </c>
      <c r="AQ341" s="33"/>
      <c r="AR341" s="28"/>
      <c r="AS341" s="121"/>
      <c r="AT341" s="135" t="e">
        <f t="shared" si="215"/>
        <v>#REF!</v>
      </c>
      <c r="AU341" s="148" t="e">
        <f t="shared" si="216"/>
        <v>#REF!</v>
      </c>
      <c r="AW341" s="1">
        <v>3</v>
      </c>
      <c r="BA341" s="29">
        <v>364.16</v>
      </c>
      <c r="BB341" s="29">
        <v>52.76</v>
      </c>
      <c r="BC341" s="29">
        <v>26.37</v>
      </c>
      <c r="BD341" s="29">
        <v>289.13</v>
      </c>
      <c r="BI341" s="323">
        <v>8.7200000000000006</v>
      </c>
      <c r="BL341" s="107">
        <f t="shared" si="217"/>
        <v>1.2233877438623886</v>
      </c>
      <c r="BM341" s="107">
        <f t="shared" si="217"/>
        <v>1.2807066670574303</v>
      </c>
      <c r="BN341" s="107">
        <f t="shared" si="217"/>
        <v>0.82443024793968056</v>
      </c>
      <c r="BO341" s="107">
        <f t="shared" si="217"/>
        <v>1.2965393422474656</v>
      </c>
    </row>
    <row r="342" spans="1:67" x14ac:dyDescent="0.25">
      <c r="A342" s="250" t="s">
        <v>405</v>
      </c>
      <c r="B342" s="227">
        <v>9</v>
      </c>
      <c r="C342" s="226">
        <f>'побудинковий звіт'!E328</f>
        <v>4388.5</v>
      </c>
      <c r="D342" s="138">
        <f t="shared" si="197"/>
        <v>661.02086576372585</v>
      </c>
      <c r="E342" s="104">
        <f t="shared" si="191"/>
        <v>136.25423679130748</v>
      </c>
      <c r="F342" s="323">
        <v>112.73241918394406</v>
      </c>
      <c r="G342" s="104" t="e">
        <f t="shared" si="192"/>
        <v>#REF!</v>
      </c>
      <c r="H342" s="720">
        <f t="shared" si="198"/>
        <v>552.26620500780598</v>
      </c>
      <c r="I342" s="104" t="e">
        <f t="shared" si="199"/>
        <v>#REF!</v>
      </c>
      <c r="J342" s="28"/>
      <c r="K342" s="139" t="e">
        <f t="shared" si="200"/>
        <v>#REF!</v>
      </c>
      <c r="L342" s="200">
        <f t="shared" si="201"/>
        <v>119.52835323646997</v>
      </c>
      <c r="M342" s="104">
        <f t="shared" si="193"/>
        <v>26.298380279748901</v>
      </c>
      <c r="N342" s="323">
        <v>18.400000000000002</v>
      </c>
      <c r="O342" s="104"/>
      <c r="P342" s="104">
        <f t="shared" si="202"/>
        <v>99.862914246239228</v>
      </c>
      <c r="Q342" s="104">
        <f t="shared" si="203"/>
        <v>33.991727167710032</v>
      </c>
      <c r="R342" s="104"/>
      <c r="S342" s="140">
        <f t="shared" si="204"/>
        <v>298.08137493016812</v>
      </c>
      <c r="T342" s="234">
        <v>473.1</v>
      </c>
      <c r="U342" s="104"/>
      <c r="V342" s="148">
        <f t="shared" si="205"/>
        <v>473.1</v>
      </c>
      <c r="W342" s="881">
        <v>114.07</v>
      </c>
      <c r="X342" s="104"/>
      <c r="Y342" s="45">
        <f t="shared" si="206"/>
        <v>114.07</v>
      </c>
      <c r="Z342" s="138">
        <f t="shared" si="207"/>
        <v>21.740225638169377</v>
      </c>
      <c r="AA342" s="104">
        <f t="shared" si="194"/>
        <v>4.7786736826366578</v>
      </c>
      <c r="AB342" s="323">
        <v>31.687500000000004</v>
      </c>
      <c r="AC342" s="104"/>
      <c r="AD342" s="104">
        <f t="shared" si="208"/>
        <v>18.163408344656933</v>
      </c>
      <c r="AE342" s="104">
        <f t="shared" si="209"/>
        <v>9.8297744270153711</v>
      </c>
      <c r="AF342" s="104"/>
      <c r="AG342" s="139">
        <f t="shared" si="210"/>
        <v>86.199582092478337</v>
      </c>
      <c r="AH342" s="200">
        <f t="shared" si="211"/>
        <v>245.73310153616217</v>
      </c>
      <c r="AI342" s="104">
        <f t="shared" si="195"/>
        <v>49.015323440641517</v>
      </c>
      <c r="AJ342" s="323">
        <v>129.09855056463093</v>
      </c>
      <c r="AK342" s="118" t="e">
        <f t="shared" si="196"/>
        <v>#REF!</v>
      </c>
      <c r="AL342" s="104">
        <v>130.33000000000001</v>
      </c>
      <c r="AM342" s="104">
        <f t="shared" si="212"/>
        <v>205.30378760945513</v>
      </c>
      <c r="AN342" s="104" t="e">
        <f t="shared" si="213"/>
        <v>#REF!</v>
      </c>
      <c r="AO342" s="104"/>
      <c r="AP342" s="140" t="e">
        <f t="shared" si="214"/>
        <v>#REF!</v>
      </c>
      <c r="AQ342" s="33"/>
      <c r="AR342" s="28"/>
      <c r="AS342" s="121"/>
      <c r="AT342" s="135" t="e">
        <f t="shared" si="215"/>
        <v>#REF!</v>
      </c>
      <c r="AU342" s="148" t="e">
        <f t="shared" si="216"/>
        <v>#REF!</v>
      </c>
      <c r="AW342" s="1">
        <v>3</v>
      </c>
      <c r="BA342" s="29">
        <v>540.32000000000005</v>
      </c>
      <c r="BB342" s="29">
        <v>93.33</v>
      </c>
      <c r="BC342" s="29">
        <v>26.37</v>
      </c>
      <c r="BD342" s="29">
        <v>189.53</v>
      </c>
      <c r="BI342" s="323">
        <v>8.7200000000000006</v>
      </c>
      <c r="BL342" s="107">
        <f t="shared" si="217"/>
        <v>1.2233877438623886</v>
      </c>
      <c r="BM342" s="107">
        <f t="shared" si="217"/>
        <v>1.2807066670574303</v>
      </c>
      <c r="BN342" s="107">
        <f t="shared" si="217"/>
        <v>0.82443024793968056</v>
      </c>
      <c r="BO342" s="107">
        <f t="shared" si="217"/>
        <v>1.2965393422474656</v>
      </c>
    </row>
    <row r="343" spans="1:67" x14ac:dyDescent="0.25">
      <c r="A343" s="250" t="s">
        <v>426</v>
      </c>
      <c r="B343" s="227">
        <v>14</v>
      </c>
      <c r="C343" s="226">
        <f>'побудинковий звіт'!E329</f>
        <v>5221.3</v>
      </c>
      <c r="D343" s="138">
        <f t="shared" si="197"/>
        <v>479.92277803977646</v>
      </c>
      <c r="E343" s="104">
        <f t="shared" si="191"/>
        <v>98.92503433310263</v>
      </c>
      <c r="F343" s="323">
        <v>134.20330320603136</v>
      </c>
      <c r="G343" s="104" t="e">
        <f t="shared" si="192"/>
        <v>#REF!</v>
      </c>
      <c r="H343" s="720">
        <f t="shared" si="198"/>
        <v>400.96333573162605</v>
      </c>
      <c r="I343" s="104" t="e">
        <f t="shared" si="199"/>
        <v>#REF!</v>
      </c>
      <c r="J343" s="28"/>
      <c r="K343" s="139" t="e">
        <f t="shared" si="200"/>
        <v>#REF!</v>
      </c>
      <c r="L343" s="200">
        <f t="shared" si="201"/>
        <v>86.575770693082276</v>
      </c>
      <c r="M343" s="104">
        <f t="shared" si="193"/>
        <v>19.0482214390981</v>
      </c>
      <c r="N343" s="323">
        <v>18.400000000000002</v>
      </c>
      <c r="O343" s="104"/>
      <c r="P343" s="104">
        <f t="shared" si="202"/>
        <v>72.331865456399569</v>
      </c>
      <c r="Q343" s="104">
        <f t="shared" si="203"/>
        <v>25.27351903220476</v>
      </c>
      <c r="R343" s="104"/>
      <c r="S343" s="140">
        <f t="shared" si="204"/>
        <v>221.62937662078474</v>
      </c>
      <c r="T343" s="234">
        <v>556.66999999999996</v>
      </c>
      <c r="U343" s="104"/>
      <c r="V343" s="148">
        <f t="shared" si="205"/>
        <v>556.66999999999996</v>
      </c>
      <c r="W343" s="881">
        <v>129.27000000000001</v>
      </c>
      <c r="X343" s="104"/>
      <c r="Y343" s="45">
        <f t="shared" si="206"/>
        <v>129.27000000000001</v>
      </c>
      <c r="Z343" s="138">
        <f t="shared" si="207"/>
        <v>22.234883786933185</v>
      </c>
      <c r="AA343" s="104">
        <f t="shared" si="194"/>
        <v>4.887403459260927</v>
      </c>
      <c r="AB343" s="323">
        <v>31.125</v>
      </c>
      <c r="AC343" s="104"/>
      <c r="AD343" s="104">
        <f t="shared" si="208"/>
        <v>18.576682709723073</v>
      </c>
      <c r="AE343" s="104">
        <f t="shared" si="209"/>
        <v>9.8882309428151416</v>
      </c>
      <c r="AF343" s="104"/>
      <c r="AG343" s="139">
        <f t="shared" si="210"/>
        <v>86.712200898732334</v>
      </c>
      <c r="AH343" s="200">
        <f t="shared" si="211"/>
        <v>314.94237162533187</v>
      </c>
      <c r="AI343" s="104">
        <f t="shared" si="195"/>
        <v>62.820198474997255</v>
      </c>
      <c r="AJ343" s="323">
        <v>141.39133920498048</v>
      </c>
      <c r="AK343" s="118" t="e">
        <f t="shared" si="196"/>
        <v>#REF!</v>
      </c>
      <c r="AL343" s="104"/>
      <c r="AM343" s="104">
        <f t="shared" si="212"/>
        <v>263.12638130223576</v>
      </c>
      <c r="AN343" s="104" t="e">
        <f t="shared" si="213"/>
        <v>#REF!</v>
      </c>
      <c r="AO343" s="104"/>
      <c r="AP343" s="140" t="e">
        <f t="shared" si="214"/>
        <v>#REF!</v>
      </c>
      <c r="AQ343" s="33"/>
      <c r="AR343" s="28"/>
      <c r="AS343" s="121"/>
      <c r="AT343" s="135" t="e">
        <f t="shared" si="215"/>
        <v>#REF!</v>
      </c>
      <c r="AU343" s="148" t="e">
        <f t="shared" si="216"/>
        <v>#REF!</v>
      </c>
      <c r="AW343" s="1">
        <v>3</v>
      </c>
      <c r="BA343" s="29">
        <v>392.29</v>
      </c>
      <c r="BB343" s="29">
        <v>67.599999999999994</v>
      </c>
      <c r="BC343" s="29">
        <v>26.97</v>
      </c>
      <c r="BD343" s="29">
        <v>242.91</v>
      </c>
      <c r="BI343" s="323">
        <v>0</v>
      </c>
      <c r="BL343" s="107">
        <f t="shared" si="217"/>
        <v>1.2233877438623886</v>
      </c>
      <c r="BM343" s="107">
        <f t="shared" si="217"/>
        <v>1.2807066670574303</v>
      </c>
      <c r="BN343" s="107">
        <f t="shared" si="217"/>
        <v>0.82443024793968056</v>
      </c>
      <c r="BO343" s="107">
        <f t="shared" si="217"/>
        <v>1.2965393422474656</v>
      </c>
    </row>
    <row r="344" spans="1:67" x14ac:dyDescent="0.25">
      <c r="A344" s="250" t="s">
        <v>406</v>
      </c>
      <c r="B344" s="227">
        <v>9</v>
      </c>
      <c r="C344" s="226">
        <f>'побудинковий звіт'!E330</f>
        <v>3937.18</v>
      </c>
      <c r="D344" s="138">
        <f t="shared" si="197"/>
        <v>434.09467315469129</v>
      </c>
      <c r="E344" s="104">
        <f t="shared" si="191"/>
        <v>89.478625334356721</v>
      </c>
      <c r="F344" s="323">
        <v>101.12693871791251</v>
      </c>
      <c r="G344" s="104" t="e">
        <f t="shared" si="192"/>
        <v>#REF!</v>
      </c>
      <c r="H344" s="720">
        <f t="shared" si="198"/>
        <v>362.67511386385797</v>
      </c>
      <c r="I344" s="104" t="e">
        <f t="shared" si="199"/>
        <v>#REF!</v>
      </c>
      <c r="J344" s="28"/>
      <c r="K344" s="139" t="e">
        <f t="shared" si="200"/>
        <v>#REF!</v>
      </c>
      <c r="L344" s="200">
        <f t="shared" si="201"/>
        <v>117.79939923594245</v>
      </c>
      <c r="M344" s="104">
        <f t="shared" si="193"/>
        <v>25.917979407814254</v>
      </c>
      <c r="N344" s="323">
        <v>0</v>
      </c>
      <c r="O344" s="104"/>
      <c r="P344" s="104">
        <f t="shared" si="202"/>
        <v>98.418416933130672</v>
      </c>
      <c r="Q344" s="104">
        <f t="shared" si="203"/>
        <v>31.165984621211624</v>
      </c>
      <c r="R344" s="104"/>
      <c r="S344" s="140">
        <f t="shared" si="204"/>
        <v>273.30178019809898</v>
      </c>
      <c r="T344" s="234">
        <v>418.82</v>
      </c>
      <c r="U344" s="104"/>
      <c r="V344" s="148">
        <f t="shared" si="205"/>
        <v>418.82</v>
      </c>
      <c r="W344" s="881">
        <v>101.67</v>
      </c>
      <c r="X344" s="104"/>
      <c r="Y344" s="45">
        <f t="shared" si="206"/>
        <v>101.67</v>
      </c>
      <c r="Z344" s="138">
        <f t="shared" si="207"/>
        <v>21.740225638169377</v>
      </c>
      <c r="AA344" s="104">
        <f t="shared" si="194"/>
        <v>4.7786736826366578</v>
      </c>
      <c r="AB344" s="323">
        <v>0</v>
      </c>
      <c r="AC344" s="104"/>
      <c r="AD344" s="104">
        <f t="shared" si="208"/>
        <v>18.163408344656933</v>
      </c>
      <c r="AE344" s="104">
        <f t="shared" si="209"/>
        <v>5.7511864787454439</v>
      </c>
      <c r="AF344" s="104"/>
      <c r="AG344" s="139">
        <f t="shared" si="210"/>
        <v>50.433494144208417</v>
      </c>
      <c r="AH344" s="200">
        <f t="shared" si="211"/>
        <v>369.92860513004689</v>
      </c>
      <c r="AI344" s="104">
        <f t="shared" si="195"/>
        <v>73.788065657594245</v>
      </c>
      <c r="AJ344" s="323">
        <v>56.921188827794765</v>
      </c>
      <c r="AK344" s="118" t="e">
        <f t="shared" si="196"/>
        <v>#REF!</v>
      </c>
      <c r="AL344" s="104"/>
      <c r="AM344" s="104">
        <f t="shared" si="212"/>
        <v>309.06598786856824</v>
      </c>
      <c r="AN344" s="104" t="e">
        <f t="shared" si="213"/>
        <v>#REF!</v>
      </c>
      <c r="AO344" s="104"/>
      <c r="AP344" s="140" t="e">
        <f t="shared" si="214"/>
        <v>#REF!</v>
      </c>
      <c r="AQ344" s="33"/>
      <c r="AR344" s="28"/>
      <c r="AS344" s="121"/>
      <c r="AT344" s="135" t="e">
        <f t="shared" si="215"/>
        <v>#REF!</v>
      </c>
      <c r="AU344" s="148" t="e">
        <f t="shared" si="216"/>
        <v>#REF!</v>
      </c>
      <c r="AW344" s="1">
        <v>3</v>
      </c>
      <c r="BA344" s="29">
        <v>354.83</v>
      </c>
      <c r="BB344" s="29">
        <v>91.98</v>
      </c>
      <c r="BC344" s="29">
        <v>26.37</v>
      </c>
      <c r="BD344" s="29">
        <v>285.32</v>
      </c>
      <c r="BI344" s="323">
        <v>8.7200000000000006</v>
      </c>
      <c r="BL344" s="107">
        <f t="shared" si="217"/>
        <v>1.2233877438623886</v>
      </c>
      <c r="BM344" s="107">
        <f t="shared" si="217"/>
        <v>1.2807066670574303</v>
      </c>
      <c r="BN344" s="107">
        <f t="shared" si="217"/>
        <v>0.82443024793968056</v>
      </c>
      <c r="BO344" s="107">
        <f t="shared" si="217"/>
        <v>1.2965393422474656</v>
      </c>
    </row>
    <row r="345" spans="1:67" x14ac:dyDescent="0.25">
      <c r="A345" s="250" t="s">
        <v>407</v>
      </c>
      <c r="B345" s="227">
        <v>9</v>
      </c>
      <c r="C345" s="226">
        <f>'побудинковий звіт'!E331</f>
        <v>6309.2</v>
      </c>
      <c r="D345" s="138">
        <f t="shared" si="197"/>
        <v>1038.46045250015</v>
      </c>
      <c r="E345" s="104">
        <f t="shared" si="191"/>
        <v>214.05472008797278</v>
      </c>
      <c r="F345" s="323">
        <v>162.08770165118352</v>
      </c>
      <c r="G345" s="104" t="e">
        <f t="shared" si="192"/>
        <v>#REF!</v>
      </c>
      <c r="H345" s="720">
        <f t="shared" si="198"/>
        <v>867.60742792942335</v>
      </c>
      <c r="I345" s="104" t="e">
        <f t="shared" si="199"/>
        <v>#REF!</v>
      </c>
      <c r="J345" s="28"/>
      <c r="K345" s="139" t="e">
        <f t="shared" si="200"/>
        <v>#REF!</v>
      </c>
      <c r="L345" s="200">
        <f t="shared" si="201"/>
        <v>179.17086272133452</v>
      </c>
      <c r="M345" s="104">
        <f t="shared" si="193"/>
        <v>39.420801469376102</v>
      </c>
      <c r="N345" s="323">
        <v>0</v>
      </c>
      <c r="O345" s="104"/>
      <c r="P345" s="104">
        <f t="shared" si="202"/>
        <v>149.6927215584364</v>
      </c>
      <c r="Q345" s="104">
        <f t="shared" si="203"/>
        <v>47.402927250570848</v>
      </c>
      <c r="R345" s="104"/>
      <c r="S345" s="140">
        <f t="shared" si="204"/>
        <v>415.68731299971785</v>
      </c>
      <c r="T345" s="234">
        <v>684.43</v>
      </c>
      <c r="U345" s="104"/>
      <c r="V345" s="148">
        <f t="shared" si="205"/>
        <v>684.43</v>
      </c>
      <c r="W345" s="881">
        <v>161.38</v>
      </c>
      <c r="X345" s="104"/>
      <c r="Y345" s="45">
        <f t="shared" si="206"/>
        <v>161.38</v>
      </c>
      <c r="Z345" s="138">
        <f t="shared" si="207"/>
        <v>32.614460608493765</v>
      </c>
      <c r="AA345" s="104">
        <f t="shared" si="194"/>
        <v>7.1689166054268556</v>
      </c>
      <c r="AB345" s="323">
        <v>0</v>
      </c>
      <c r="AC345" s="104"/>
      <c r="AD345" s="104">
        <f t="shared" si="208"/>
        <v>27.248556470027616</v>
      </c>
      <c r="AE345" s="104">
        <f t="shared" si="209"/>
        <v>8.6278701971622951</v>
      </c>
      <c r="AF345" s="104"/>
      <c r="AG345" s="139">
        <f t="shared" si="210"/>
        <v>75.659803881110534</v>
      </c>
      <c r="AH345" s="200">
        <f t="shared" si="211"/>
        <v>396.79290030141442</v>
      </c>
      <c r="AI345" s="104">
        <f t="shared" si="195"/>
        <v>79.146570916340053</v>
      </c>
      <c r="AJ345" s="323">
        <v>91.234094389886309</v>
      </c>
      <c r="AK345" s="118" t="e">
        <f t="shared" si="196"/>
        <v>#REF!</v>
      </c>
      <c r="AL345" s="104"/>
      <c r="AM345" s="104">
        <f t="shared" si="212"/>
        <v>331.51042663429354</v>
      </c>
      <c r="AN345" s="104" t="e">
        <f t="shared" si="213"/>
        <v>#REF!</v>
      </c>
      <c r="AO345" s="104"/>
      <c r="AP345" s="140" t="e">
        <f t="shared" si="214"/>
        <v>#REF!</v>
      </c>
      <c r="AQ345" s="33"/>
      <c r="AR345" s="28"/>
      <c r="AS345" s="121"/>
      <c r="AT345" s="135" t="e">
        <f t="shared" si="215"/>
        <v>#REF!</v>
      </c>
      <c r="AU345" s="148" t="e">
        <f t="shared" si="216"/>
        <v>#REF!</v>
      </c>
      <c r="AW345" s="1">
        <v>3</v>
      </c>
      <c r="BA345" s="29">
        <v>848.84</v>
      </c>
      <c r="BB345" s="29">
        <v>139.9</v>
      </c>
      <c r="BC345" s="29">
        <v>39.56</v>
      </c>
      <c r="BD345" s="29">
        <v>306.04000000000002</v>
      </c>
      <c r="BI345" s="323">
        <v>8.7200000000000006</v>
      </c>
      <c r="BL345" s="107">
        <f t="shared" si="217"/>
        <v>1.2233877438623886</v>
      </c>
      <c r="BM345" s="107">
        <f t="shared" si="217"/>
        <v>1.2807066670574303</v>
      </c>
      <c r="BN345" s="107">
        <f t="shared" si="217"/>
        <v>0.82443024793968056</v>
      </c>
      <c r="BO345" s="107">
        <f t="shared" si="217"/>
        <v>1.2965393422474656</v>
      </c>
    </row>
    <row r="346" spans="1:67" x14ac:dyDescent="0.25">
      <c r="A346" s="250" t="s">
        <v>408</v>
      </c>
      <c r="B346" s="227">
        <v>9</v>
      </c>
      <c r="C346" s="226">
        <f>'побудинковий звіт'!E332</f>
        <v>6324.72</v>
      </c>
      <c r="D346" s="138">
        <f t="shared" si="197"/>
        <v>1035.8179349734071</v>
      </c>
      <c r="E346" s="104">
        <f t="shared" si="191"/>
        <v>213.51002592253516</v>
      </c>
      <c r="F346" s="323">
        <v>162.31202048497099</v>
      </c>
      <c r="G346" s="104" t="e">
        <f t="shared" si="192"/>
        <v>#REF!</v>
      </c>
      <c r="H346" s="720">
        <f t="shared" si="198"/>
        <v>865.39967140955184</v>
      </c>
      <c r="I346" s="104" t="e">
        <f t="shared" si="199"/>
        <v>#REF!</v>
      </c>
      <c r="J346" s="28"/>
      <c r="K346" s="139" t="e">
        <f t="shared" si="200"/>
        <v>#REF!</v>
      </c>
      <c r="L346" s="200">
        <f t="shared" si="201"/>
        <v>179.5294605881106</v>
      </c>
      <c r="M346" s="104">
        <f t="shared" si="193"/>
        <v>39.499699427999587</v>
      </c>
      <c r="N346" s="323">
        <v>0</v>
      </c>
      <c r="O346" s="104"/>
      <c r="P346" s="104">
        <f t="shared" si="202"/>
        <v>149.99232100115523</v>
      </c>
      <c r="Q346" s="104">
        <f t="shared" si="203"/>
        <v>47.497800871944399</v>
      </c>
      <c r="R346" s="104"/>
      <c r="S346" s="140">
        <f t="shared" si="204"/>
        <v>416.51928188920976</v>
      </c>
      <c r="T346" s="234">
        <v>686.43</v>
      </c>
      <c r="U346" s="104"/>
      <c r="V346" s="148">
        <f t="shared" si="205"/>
        <v>686.43</v>
      </c>
      <c r="W346" s="881">
        <v>161.08000000000001</v>
      </c>
      <c r="X346" s="104"/>
      <c r="Y346" s="45">
        <f t="shared" si="206"/>
        <v>161.08000000000001</v>
      </c>
      <c r="Z346" s="138">
        <f t="shared" si="207"/>
        <v>32.614460608493765</v>
      </c>
      <c r="AA346" s="104">
        <f t="shared" si="194"/>
        <v>7.1689166054268556</v>
      </c>
      <c r="AB346" s="323">
        <v>0</v>
      </c>
      <c r="AC346" s="104"/>
      <c r="AD346" s="104">
        <f t="shared" si="208"/>
        <v>27.248556470027616</v>
      </c>
      <c r="AE346" s="104">
        <f t="shared" si="209"/>
        <v>8.6278701971622951</v>
      </c>
      <c r="AF346" s="104"/>
      <c r="AG346" s="139">
        <f t="shared" si="210"/>
        <v>75.659803881110534</v>
      </c>
      <c r="AH346" s="200">
        <f t="shared" si="211"/>
        <v>399.77494078858348</v>
      </c>
      <c r="AI346" s="104">
        <f t="shared" si="195"/>
        <v>79.741385689270317</v>
      </c>
      <c r="AJ346" s="323">
        <v>91.360356440903843</v>
      </c>
      <c r="AK346" s="118" t="e">
        <f t="shared" si="196"/>
        <v>#REF!</v>
      </c>
      <c r="AL346" s="104"/>
      <c r="AM346" s="104">
        <f t="shared" si="212"/>
        <v>334.00184599535368</v>
      </c>
      <c r="AN346" s="104" t="e">
        <f t="shared" si="213"/>
        <v>#REF!</v>
      </c>
      <c r="AO346" s="104"/>
      <c r="AP346" s="140" t="e">
        <f t="shared" si="214"/>
        <v>#REF!</v>
      </c>
      <c r="AQ346" s="33"/>
      <c r="AR346" s="28"/>
      <c r="AS346" s="121"/>
      <c r="AT346" s="135" t="e">
        <f t="shared" si="215"/>
        <v>#REF!</v>
      </c>
      <c r="AU346" s="148" t="e">
        <f t="shared" si="216"/>
        <v>#REF!</v>
      </c>
      <c r="AW346" s="1">
        <v>3</v>
      </c>
      <c r="BA346" s="29">
        <v>846.68</v>
      </c>
      <c r="BB346" s="29">
        <v>140.18</v>
      </c>
      <c r="BC346" s="29">
        <v>39.56</v>
      </c>
      <c r="BD346" s="29">
        <v>308.33999999999997</v>
      </c>
      <c r="BI346" s="323">
        <v>8.7100000000000009</v>
      </c>
      <c r="BL346" s="107">
        <f t="shared" si="217"/>
        <v>1.2233877438623886</v>
      </c>
      <c r="BM346" s="107">
        <f t="shared" si="217"/>
        <v>1.2807066670574303</v>
      </c>
      <c r="BN346" s="107">
        <f t="shared" si="217"/>
        <v>0.82443024793968056</v>
      </c>
      <c r="BO346" s="107">
        <f t="shared" si="217"/>
        <v>1.2965393422474656</v>
      </c>
    </row>
    <row r="347" spans="1:67" x14ac:dyDescent="0.25">
      <c r="A347" s="250" t="s">
        <v>409</v>
      </c>
      <c r="B347" s="227">
        <v>9</v>
      </c>
      <c r="C347" s="226">
        <f>'побудинковий звіт'!E333</f>
        <v>6336.6</v>
      </c>
      <c r="D347" s="138">
        <f t="shared" si="197"/>
        <v>1034.7413537588081</v>
      </c>
      <c r="E347" s="104">
        <f t="shared" si="191"/>
        <v>213.2881134847643</v>
      </c>
      <c r="F347" s="323">
        <v>162.79226321160195</v>
      </c>
      <c r="G347" s="104" t="e">
        <f t="shared" si="192"/>
        <v>#REF!</v>
      </c>
      <c r="H347" s="720">
        <f t="shared" si="198"/>
        <v>864.50021504960432</v>
      </c>
      <c r="I347" s="104" t="e">
        <f t="shared" si="199"/>
        <v>#REF!</v>
      </c>
      <c r="J347" s="28"/>
      <c r="K347" s="139" t="e">
        <f t="shared" si="200"/>
        <v>#REF!</v>
      </c>
      <c r="L347" s="200">
        <f t="shared" si="201"/>
        <v>178.54331645447635</v>
      </c>
      <c r="M347" s="104">
        <f t="shared" si="193"/>
        <v>39.282730041785008</v>
      </c>
      <c r="N347" s="323">
        <v>0</v>
      </c>
      <c r="O347" s="104"/>
      <c r="P347" s="104">
        <f t="shared" si="202"/>
        <v>149.16842253367847</v>
      </c>
      <c r="Q347" s="104">
        <f t="shared" si="203"/>
        <v>47.236898413167133</v>
      </c>
      <c r="R347" s="104"/>
      <c r="S347" s="140">
        <f t="shared" si="204"/>
        <v>414.23136744310699</v>
      </c>
      <c r="T347" s="234">
        <v>687.93</v>
      </c>
      <c r="U347" s="104"/>
      <c r="V347" s="148">
        <f t="shared" si="205"/>
        <v>687.93</v>
      </c>
      <c r="W347" s="881">
        <v>166.31</v>
      </c>
      <c r="X347" s="104"/>
      <c r="Y347" s="45">
        <f t="shared" si="206"/>
        <v>166.31</v>
      </c>
      <c r="Z347" s="138">
        <f t="shared" si="207"/>
        <v>32.614460608493765</v>
      </c>
      <c r="AA347" s="104">
        <f t="shared" si="194"/>
        <v>7.1689166054268556</v>
      </c>
      <c r="AB347" s="323">
        <v>0</v>
      </c>
      <c r="AC347" s="104"/>
      <c r="AD347" s="104">
        <f t="shared" si="208"/>
        <v>27.248556470027616</v>
      </c>
      <c r="AE347" s="104">
        <f t="shared" si="209"/>
        <v>8.6278701971622951</v>
      </c>
      <c r="AF347" s="104"/>
      <c r="AG347" s="139">
        <f t="shared" si="210"/>
        <v>75.659803881110534</v>
      </c>
      <c r="AH347" s="200">
        <f t="shared" si="211"/>
        <v>391.5678467521571</v>
      </c>
      <c r="AI347" s="104">
        <f t="shared" si="195"/>
        <v>78.104351988118736</v>
      </c>
      <c r="AJ347" s="323">
        <v>91.630670041535893</v>
      </c>
      <c r="AK347" s="118" t="e">
        <f t="shared" si="196"/>
        <v>#REF!</v>
      </c>
      <c r="AL347" s="104"/>
      <c r="AM347" s="104">
        <f t="shared" si="212"/>
        <v>327.14502662339231</v>
      </c>
      <c r="AN347" s="104" t="e">
        <f t="shared" si="213"/>
        <v>#REF!</v>
      </c>
      <c r="AO347" s="104"/>
      <c r="AP347" s="140" t="e">
        <f t="shared" si="214"/>
        <v>#REF!</v>
      </c>
      <c r="AQ347" s="33"/>
      <c r="AR347" s="28"/>
      <c r="AS347" s="121"/>
      <c r="AT347" s="135" t="e">
        <f t="shared" si="215"/>
        <v>#REF!</v>
      </c>
      <c r="AU347" s="148" t="e">
        <f t="shared" si="216"/>
        <v>#REF!</v>
      </c>
      <c r="AW347" s="1">
        <v>3</v>
      </c>
      <c r="BA347" s="29">
        <v>845.8</v>
      </c>
      <c r="BB347" s="29">
        <v>139.41</v>
      </c>
      <c r="BC347" s="29">
        <v>39.56</v>
      </c>
      <c r="BD347" s="29">
        <v>302.01</v>
      </c>
      <c r="BI347" s="323">
        <v>8.7100000000000009</v>
      </c>
      <c r="BL347" s="107">
        <f t="shared" si="217"/>
        <v>1.2233877438623886</v>
      </c>
      <c r="BM347" s="107">
        <f t="shared" si="217"/>
        <v>1.2807066670574303</v>
      </c>
      <c r="BN347" s="107">
        <f t="shared" si="217"/>
        <v>0.82443024793968056</v>
      </c>
      <c r="BO347" s="107">
        <f t="shared" si="217"/>
        <v>1.2965393422474656</v>
      </c>
    </row>
    <row r="348" spans="1:67" x14ac:dyDescent="0.25">
      <c r="A348" s="250" t="s">
        <v>410</v>
      </c>
      <c r="B348" s="227">
        <v>9</v>
      </c>
      <c r="C348" s="226">
        <f>'побудинковий звіт'!E334</f>
        <v>6347.25</v>
      </c>
      <c r="D348" s="138">
        <f t="shared" si="197"/>
        <v>1029.9946093126221</v>
      </c>
      <c r="E348" s="104">
        <f t="shared" si="191"/>
        <v>212.30968137277461</v>
      </c>
      <c r="F348" s="323">
        <v>163.09366755528202</v>
      </c>
      <c r="G348" s="104" t="e">
        <f t="shared" si="192"/>
        <v>#REF!</v>
      </c>
      <c r="H348" s="720">
        <f t="shared" si="198"/>
        <v>860.53443018983546</v>
      </c>
      <c r="I348" s="104" t="e">
        <f t="shared" si="199"/>
        <v>#REF!</v>
      </c>
      <c r="J348" s="28"/>
      <c r="K348" s="139" t="e">
        <f t="shared" si="200"/>
        <v>#REF!</v>
      </c>
      <c r="L348" s="200">
        <f t="shared" si="201"/>
        <v>178.85068605457016</v>
      </c>
      <c r="M348" s="104">
        <f t="shared" si="193"/>
        <v>39.350356863462281</v>
      </c>
      <c r="N348" s="323">
        <v>0</v>
      </c>
      <c r="O348" s="104"/>
      <c r="P348" s="104">
        <f t="shared" si="202"/>
        <v>149.42522205600889</v>
      </c>
      <c r="Q348" s="104">
        <f t="shared" si="203"/>
        <v>47.318218660058747</v>
      </c>
      <c r="R348" s="104"/>
      <c r="S348" s="140">
        <f t="shared" si="204"/>
        <v>414.94448363410004</v>
      </c>
      <c r="T348" s="234">
        <v>688.15</v>
      </c>
      <c r="U348" s="104"/>
      <c r="V348" s="148">
        <f t="shared" si="205"/>
        <v>688.15</v>
      </c>
      <c r="W348" s="881">
        <v>162.38</v>
      </c>
      <c r="X348" s="104"/>
      <c r="Y348" s="45">
        <f t="shared" si="206"/>
        <v>162.38</v>
      </c>
      <c r="Z348" s="138">
        <f t="shared" si="207"/>
        <v>32.614460608493765</v>
      </c>
      <c r="AA348" s="104">
        <f t="shared" si="194"/>
        <v>7.1689166054268556</v>
      </c>
      <c r="AB348" s="323">
        <v>0</v>
      </c>
      <c r="AC348" s="104"/>
      <c r="AD348" s="104">
        <f t="shared" si="208"/>
        <v>27.248556470027616</v>
      </c>
      <c r="AE348" s="104">
        <f t="shared" si="209"/>
        <v>8.6278701971622951</v>
      </c>
      <c r="AF348" s="104"/>
      <c r="AG348" s="139">
        <f t="shared" si="210"/>
        <v>75.659803881110534</v>
      </c>
      <c r="AH348" s="200">
        <f t="shared" si="211"/>
        <v>394.17389083007447</v>
      </c>
      <c r="AI348" s="104">
        <f t="shared" si="195"/>
        <v>78.624168376636064</v>
      </c>
      <c r="AJ348" s="323">
        <v>91.800321113521633</v>
      </c>
      <c r="AK348" s="118" t="e">
        <f t="shared" si="196"/>
        <v>#REF!</v>
      </c>
      <c r="AL348" s="104"/>
      <c r="AM348" s="104">
        <f t="shared" si="212"/>
        <v>329.32231049979708</v>
      </c>
      <c r="AN348" s="104" t="e">
        <f t="shared" si="213"/>
        <v>#REF!</v>
      </c>
      <c r="AO348" s="104"/>
      <c r="AP348" s="140" t="e">
        <f t="shared" si="214"/>
        <v>#REF!</v>
      </c>
      <c r="AQ348" s="33"/>
      <c r="AR348" s="28"/>
      <c r="AS348" s="121"/>
      <c r="AT348" s="135" t="e">
        <f t="shared" si="215"/>
        <v>#REF!</v>
      </c>
      <c r="AU348" s="148" t="e">
        <f t="shared" si="216"/>
        <v>#REF!</v>
      </c>
      <c r="AW348" s="1">
        <v>3</v>
      </c>
      <c r="BA348" s="29">
        <v>841.92</v>
      </c>
      <c r="BB348" s="29">
        <v>139.65</v>
      </c>
      <c r="BC348" s="29">
        <v>39.56</v>
      </c>
      <c r="BD348" s="29">
        <v>304.02</v>
      </c>
      <c r="BI348" s="323">
        <v>8.7100000000000009</v>
      </c>
      <c r="BL348" s="107">
        <f t="shared" si="217"/>
        <v>1.2233877438623886</v>
      </c>
      <c r="BM348" s="107">
        <f t="shared" si="217"/>
        <v>1.2807066670574303</v>
      </c>
      <c r="BN348" s="107">
        <f t="shared" si="217"/>
        <v>0.82443024793968056</v>
      </c>
      <c r="BO348" s="107">
        <f t="shared" si="217"/>
        <v>1.2965393422474656</v>
      </c>
    </row>
    <row r="349" spans="1:67" x14ac:dyDescent="0.25">
      <c r="A349" s="250" t="s">
        <v>318</v>
      </c>
      <c r="B349" s="227">
        <v>5</v>
      </c>
      <c r="C349" s="226">
        <f>'побудинковий звіт'!E335</f>
        <v>5865.08</v>
      </c>
      <c r="D349" s="138">
        <f t="shared" si="197"/>
        <v>827.87872014911704</v>
      </c>
      <c r="E349" s="104">
        <f t="shared" si="191"/>
        <v>170.64814291354324</v>
      </c>
      <c r="F349" s="323">
        <v>150.67853228367849</v>
      </c>
      <c r="G349" s="104" t="e">
        <f t="shared" si="192"/>
        <v>#REF!</v>
      </c>
      <c r="H349" s="720">
        <f t="shared" si="198"/>
        <v>691.67171970467939</v>
      </c>
      <c r="I349" s="104" t="e">
        <f t="shared" si="199"/>
        <v>#REF!</v>
      </c>
      <c r="J349" s="28"/>
      <c r="K349" s="139" t="e">
        <f t="shared" si="200"/>
        <v>#REF!</v>
      </c>
      <c r="L349" s="200">
        <f t="shared" si="201"/>
        <v>173.99680778642249</v>
      </c>
      <c r="M349" s="104">
        <f t="shared" si="193"/>
        <v>38.282416637808701</v>
      </c>
      <c r="N349" s="323">
        <v>0</v>
      </c>
      <c r="O349" s="104"/>
      <c r="P349" s="104">
        <f t="shared" si="202"/>
        <v>145.36992959920778</v>
      </c>
      <c r="Q349" s="104">
        <f t="shared" si="203"/>
        <v>46.034036427895323</v>
      </c>
      <c r="R349" s="104"/>
      <c r="S349" s="140">
        <f t="shared" si="204"/>
        <v>403.68319045133433</v>
      </c>
      <c r="T349" s="234">
        <v>729.59</v>
      </c>
      <c r="U349" s="104"/>
      <c r="V349" s="148">
        <f t="shared" si="205"/>
        <v>729.59</v>
      </c>
      <c r="W349" s="236"/>
      <c r="X349" s="104"/>
      <c r="Y349" s="45">
        <f t="shared" si="206"/>
        <v>0</v>
      </c>
      <c r="Z349" s="138">
        <f t="shared" si="207"/>
        <v>55.838660692954569</v>
      </c>
      <c r="AA349" s="104">
        <f t="shared" si="194"/>
        <v>12.273779617936322</v>
      </c>
      <c r="AB349" s="323">
        <v>0</v>
      </c>
      <c r="AC349" s="104"/>
      <c r="AD349" s="104">
        <f t="shared" si="208"/>
        <v>46.651787909882977</v>
      </c>
      <c r="AE349" s="104">
        <f t="shared" si="209"/>
        <v>14.7716291317948</v>
      </c>
      <c r="AF349" s="104"/>
      <c r="AG349" s="139">
        <f t="shared" si="210"/>
        <v>129.53585735256868</v>
      </c>
      <c r="AH349" s="200">
        <f t="shared" si="211"/>
        <v>805.11203535540869</v>
      </c>
      <c r="AI349" s="104">
        <f t="shared" si="195"/>
        <v>160.59223023761496</v>
      </c>
      <c r="AJ349" s="323">
        <v>84.812230026449257</v>
      </c>
      <c r="AK349" s="118" t="e">
        <f t="shared" si="196"/>
        <v>#REF!</v>
      </c>
      <c r="AL349" s="104"/>
      <c r="AM349" s="104">
        <f t="shared" si="212"/>
        <v>672.65073071198935</v>
      </c>
      <c r="AN349" s="104" t="e">
        <f t="shared" si="213"/>
        <v>#REF!</v>
      </c>
      <c r="AO349" s="104"/>
      <c r="AP349" s="140" t="e">
        <f t="shared" si="214"/>
        <v>#REF!</v>
      </c>
      <c r="AQ349" s="689">
        <v>0</v>
      </c>
      <c r="AR349" s="28"/>
      <c r="AS349" s="121"/>
      <c r="AT349" s="135" t="e">
        <f t="shared" si="215"/>
        <v>#REF!</v>
      </c>
      <c r="AU349" s="148" t="e">
        <f t="shared" si="216"/>
        <v>#REF!</v>
      </c>
      <c r="AW349" s="1">
        <v>3</v>
      </c>
      <c r="BA349" s="29">
        <v>676.71</v>
      </c>
      <c r="BB349" s="29">
        <v>135.86000000000001</v>
      </c>
      <c r="BC349" s="29">
        <v>67.73</v>
      </c>
      <c r="BD349" s="29">
        <v>620.97</v>
      </c>
      <c r="BI349" s="323">
        <v>0</v>
      </c>
      <c r="BL349" s="107">
        <f t="shared" si="217"/>
        <v>1.2233877438623886</v>
      </c>
      <c r="BM349" s="107">
        <f t="shared" si="217"/>
        <v>1.2807066670574303</v>
      </c>
      <c r="BN349" s="107">
        <f t="shared" si="217"/>
        <v>0.82443024793968056</v>
      </c>
      <c r="BO349" s="107">
        <f t="shared" si="217"/>
        <v>1.2965393422474656</v>
      </c>
    </row>
    <row r="350" spans="1:67" x14ac:dyDescent="0.25">
      <c r="A350" s="250" t="s">
        <v>319</v>
      </c>
      <c r="B350" s="227">
        <v>5</v>
      </c>
      <c r="C350" s="226">
        <f>'побудинковий звіт'!E336</f>
        <v>4467.0200000000004</v>
      </c>
      <c r="D350" s="138">
        <f>BA350*BL350</f>
        <v>649.54548872629664</v>
      </c>
      <c r="E350" s="104">
        <f t="shared" si="191"/>
        <v>133.88885194324993</v>
      </c>
      <c r="F350" s="323">
        <v>114.79111620147592</v>
      </c>
      <c r="G350" s="104" t="e">
        <f t="shared" si="192"/>
        <v>#REF!</v>
      </c>
      <c r="H350" s="720">
        <f t="shared" si="198"/>
        <v>542.67881789836485</v>
      </c>
      <c r="I350" s="104" t="e">
        <f t="shared" si="199"/>
        <v>#REF!</v>
      </c>
      <c r="J350" s="28"/>
      <c r="K350" s="139" t="e">
        <f t="shared" si="200"/>
        <v>#REF!</v>
      </c>
      <c r="L350" s="200">
        <f t="shared" si="201"/>
        <v>130.64488710652847</v>
      </c>
      <c r="M350" s="104">
        <f t="shared" si="193"/>
        <v>28.744216997076887</v>
      </c>
      <c r="N350" s="323">
        <v>0</v>
      </c>
      <c r="O350" s="104"/>
      <c r="P350" s="104">
        <f t="shared" si="202"/>
        <v>109.1504969705225</v>
      </c>
      <c r="Q350" s="104">
        <f t="shared" si="203"/>
        <v>34.564493272557058</v>
      </c>
      <c r="R350" s="104"/>
      <c r="S350" s="140">
        <f t="shared" si="204"/>
        <v>303.10409434668492</v>
      </c>
      <c r="T350" s="234">
        <v>522.32000000000005</v>
      </c>
      <c r="U350" s="104"/>
      <c r="V350" s="148">
        <f t="shared" si="205"/>
        <v>522.32000000000005</v>
      </c>
      <c r="W350" s="236"/>
      <c r="X350" s="104"/>
      <c r="Y350" s="45">
        <f t="shared" si="206"/>
        <v>0</v>
      </c>
      <c r="Z350" s="138">
        <f t="shared" si="207"/>
        <v>26.686807125807459</v>
      </c>
      <c r="AA350" s="104">
        <f t="shared" si="194"/>
        <v>5.8659714488793551</v>
      </c>
      <c r="AB350" s="323">
        <v>0</v>
      </c>
      <c r="AC350" s="104"/>
      <c r="AD350" s="104">
        <f t="shared" si="208"/>
        <v>22.29615199531835</v>
      </c>
      <c r="AE350" s="104">
        <f t="shared" si="209"/>
        <v>7.0597613317023127</v>
      </c>
      <c r="AF350" s="104"/>
      <c r="AG350" s="139">
        <f t="shared" si="210"/>
        <v>61.908691901707478</v>
      </c>
      <c r="AH350" s="200">
        <f t="shared" si="211"/>
        <v>515.64666180523955</v>
      </c>
      <c r="AI350" s="104">
        <f t="shared" si="195"/>
        <v>102.85381884439158</v>
      </c>
      <c r="AJ350" s="323">
        <v>64.612326684622289</v>
      </c>
      <c r="AK350" s="118" t="e">
        <f t="shared" si="196"/>
        <v>#REF!</v>
      </c>
      <c r="AL350" s="104"/>
      <c r="AM350" s="104">
        <f t="shared" si="212"/>
        <v>430.80973655968131</v>
      </c>
      <c r="AN350" s="104" t="e">
        <f t="shared" si="213"/>
        <v>#REF!</v>
      </c>
      <c r="AO350" s="104"/>
      <c r="AP350" s="140" t="e">
        <f t="shared" si="214"/>
        <v>#REF!</v>
      </c>
      <c r="AQ350" s="33"/>
      <c r="AR350" s="28"/>
      <c r="AS350" s="121"/>
      <c r="AT350" s="135" t="e">
        <f t="shared" si="215"/>
        <v>#REF!</v>
      </c>
      <c r="AU350" s="148" t="e">
        <f t="shared" si="216"/>
        <v>#REF!</v>
      </c>
      <c r="AW350" s="1">
        <v>3</v>
      </c>
      <c r="BA350" s="29">
        <v>530.94000000000005</v>
      </c>
      <c r="BB350" s="29">
        <v>102.01</v>
      </c>
      <c r="BC350" s="29">
        <v>32.369999999999997</v>
      </c>
      <c r="BD350" s="29">
        <v>397.71</v>
      </c>
      <c r="BI350" s="323">
        <v>0</v>
      </c>
      <c r="BL350" s="107">
        <f t="shared" si="217"/>
        <v>1.2233877438623886</v>
      </c>
      <c r="BM350" s="107">
        <f t="shared" si="217"/>
        <v>1.2807066670574303</v>
      </c>
      <c r="BN350" s="107">
        <f t="shared" si="217"/>
        <v>0.82443024793968056</v>
      </c>
      <c r="BO350" s="107">
        <f t="shared" si="217"/>
        <v>1.2965393422474656</v>
      </c>
    </row>
    <row r="351" spans="1:67" x14ac:dyDescent="0.25">
      <c r="A351" s="250" t="s">
        <v>320</v>
      </c>
      <c r="B351" s="227">
        <v>5</v>
      </c>
      <c r="C351" s="226">
        <f>'побудинковий звіт'!E337</f>
        <v>2778.22</v>
      </c>
      <c r="D351" s="138">
        <f t="shared" si="197"/>
        <v>431.09737318222847</v>
      </c>
      <c r="E351" s="104">
        <f t="shared" si="191"/>
        <v>88.860800933744684</v>
      </c>
      <c r="F351" s="323">
        <v>71.422808335895553</v>
      </c>
      <c r="G351" s="104" t="e">
        <f t="shared" si="192"/>
        <v>#REF!</v>
      </c>
      <c r="H351" s="720">
        <f t="shared" si="198"/>
        <v>360.17094558900396</v>
      </c>
      <c r="I351" s="104" t="e">
        <f t="shared" si="199"/>
        <v>#REF!</v>
      </c>
      <c r="J351" s="28"/>
      <c r="K351" s="139" t="e">
        <f t="shared" si="200"/>
        <v>#REF!</v>
      </c>
      <c r="L351" s="200">
        <f t="shared" si="201"/>
        <v>86.332436426341374</v>
      </c>
      <c r="M351" s="104">
        <f t="shared" si="193"/>
        <v>18.994683538603596</v>
      </c>
      <c r="N351" s="323">
        <v>0</v>
      </c>
      <c r="O351" s="104"/>
      <c r="P351" s="104">
        <f t="shared" si="202"/>
        <v>72.128565834554664</v>
      </c>
      <c r="Q351" s="104">
        <f t="shared" si="203"/>
        <v>22.840824345682492</v>
      </c>
      <c r="R351" s="104"/>
      <c r="S351" s="140">
        <f t="shared" si="204"/>
        <v>200.29651014518214</v>
      </c>
      <c r="T351" s="234">
        <v>344.44</v>
      </c>
      <c r="U351" s="104"/>
      <c r="V351" s="148">
        <f t="shared" si="205"/>
        <v>344.44</v>
      </c>
      <c r="W351" s="236"/>
      <c r="X351" s="104"/>
      <c r="Y351" s="45">
        <f t="shared" si="206"/>
        <v>0</v>
      </c>
      <c r="Z351" s="138">
        <f t="shared" si="207"/>
        <v>26.686807125807459</v>
      </c>
      <c r="AA351" s="104">
        <f t="shared" si="194"/>
        <v>5.8659714488793551</v>
      </c>
      <c r="AB351" s="323">
        <v>0</v>
      </c>
      <c r="AC351" s="104"/>
      <c r="AD351" s="104">
        <f t="shared" si="208"/>
        <v>22.29615199531835</v>
      </c>
      <c r="AE351" s="104">
        <f t="shared" si="209"/>
        <v>7.0597613317023127</v>
      </c>
      <c r="AF351" s="104"/>
      <c r="AG351" s="139">
        <f t="shared" si="210"/>
        <v>61.908691901707478</v>
      </c>
      <c r="AH351" s="200">
        <f t="shared" si="211"/>
        <v>284.39590472198159</v>
      </c>
      <c r="AI351" s="104">
        <f t="shared" si="195"/>
        <v>56.727226279241897</v>
      </c>
      <c r="AJ351" s="323">
        <v>40.201663487899019</v>
      </c>
      <c r="AK351" s="118" t="e">
        <f t="shared" si="196"/>
        <v>#REF!</v>
      </c>
      <c r="AL351" s="104"/>
      <c r="AM351" s="104">
        <f t="shared" si="212"/>
        <v>237.60558123850569</v>
      </c>
      <c r="AN351" s="104" t="e">
        <f t="shared" si="213"/>
        <v>#REF!</v>
      </c>
      <c r="AO351" s="104"/>
      <c r="AP351" s="140" t="e">
        <f t="shared" si="214"/>
        <v>#REF!</v>
      </c>
      <c r="AQ351" s="33"/>
      <c r="AR351" s="28"/>
      <c r="AS351" s="121"/>
      <c r="AT351" s="135" t="e">
        <f t="shared" si="215"/>
        <v>#REF!</v>
      </c>
      <c r="AU351" s="148" t="e">
        <f t="shared" si="216"/>
        <v>#REF!</v>
      </c>
      <c r="AW351" s="1">
        <v>3</v>
      </c>
      <c r="BA351" s="29">
        <v>352.38</v>
      </c>
      <c r="BB351" s="29">
        <v>67.41</v>
      </c>
      <c r="BC351" s="29">
        <v>32.369999999999997</v>
      </c>
      <c r="BD351" s="29">
        <v>219.35</v>
      </c>
      <c r="BI351" s="323">
        <v>0</v>
      </c>
      <c r="BL351" s="107">
        <f t="shared" si="217"/>
        <v>1.2233877438623886</v>
      </c>
      <c r="BM351" s="107">
        <f t="shared" si="217"/>
        <v>1.2807066670574303</v>
      </c>
      <c r="BN351" s="107">
        <f t="shared" si="217"/>
        <v>0.82443024793968056</v>
      </c>
      <c r="BO351" s="107">
        <f t="shared" si="217"/>
        <v>1.2965393422474656</v>
      </c>
    </row>
    <row r="352" spans="1:67" x14ac:dyDescent="0.25">
      <c r="A352" s="250" t="s">
        <v>321</v>
      </c>
      <c r="B352" s="227">
        <v>5</v>
      </c>
      <c r="C352" s="226">
        <f>'побудинковий звіт'!E338</f>
        <v>2763.5</v>
      </c>
      <c r="D352" s="138">
        <f t="shared" si="197"/>
        <v>431.09737318222847</v>
      </c>
      <c r="E352" s="104">
        <f t="shared" si="191"/>
        <v>88.860800933744684</v>
      </c>
      <c r="F352" s="323">
        <v>70.977767992115574</v>
      </c>
      <c r="G352" s="104" t="e">
        <f t="shared" si="192"/>
        <v>#REF!</v>
      </c>
      <c r="H352" s="720">
        <f t="shared" si="198"/>
        <v>360.17094558900396</v>
      </c>
      <c r="I352" s="104" t="e">
        <f t="shared" si="199"/>
        <v>#REF!</v>
      </c>
      <c r="J352" s="28"/>
      <c r="K352" s="139" t="e">
        <f t="shared" si="200"/>
        <v>#REF!</v>
      </c>
      <c r="L352" s="200">
        <f t="shared" si="201"/>
        <v>86.332436426341374</v>
      </c>
      <c r="M352" s="104">
        <f t="shared" si="193"/>
        <v>18.994683538603596</v>
      </c>
      <c r="N352" s="323">
        <v>0</v>
      </c>
      <c r="O352" s="104"/>
      <c r="P352" s="104">
        <f t="shared" si="202"/>
        <v>72.128565834554664</v>
      </c>
      <c r="Q352" s="104">
        <f t="shared" si="203"/>
        <v>22.840824345682492</v>
      </c>
      <c r="R352" s="104"/>
      <c r="S352" s="140">
        <f t="shared" si="204"/>
        <v>200.29651014518214</v>
      </c>
      <c r="T352" s="234">
        <v>344.6</v>
      </c>
      <c r="U352" s="104"/>
      <c r="V352" s="148">
        <f t="shared" si="205"/>
        <v>344.6</v>
      </c>
      <c r="W352" s="236"/>
      <c r="X352" s="104"/>
      <c r="Y352" s="45">
        <f t="shared" si="206"/>
        <v>0</v>
      </c>
      <c r="Z352" s="138">
        <f t="shared" si="207"/>
        <v>26.686807125807459</v>
      </c>
      <c r="AA352" s="104">
        <f t="shared" si="194"/>
        <v>5.8659714488793551</v>
      </c>
      <c r="AB352" s="323">
        <v>0</v>
      </c>
      <c r="AC352" s="104"/>
      <c r="AD352" s="104">
        <f t="shared" si="208"/>
        <v>22.29615199531835</v>
      </c>
      <c r="AE352" s="104">
        <f t="shared" si="209"/>
        <v>7.0597613317023127</v>
      </c>
      <c r="AF352" s="104"/>
      <c r="AG352" s="139">
        <f t="shared" si="210"/>
        <v>61.908691901707478</v>
      </c>
      <c r="AH352" s="200">
        <f t="shared" si="211"/>
        <v>284.39590472198159</v>
      </c>
      <c r="AI352" s="104">
        <f t="shared" si="195"/>
        <v>56.727226279241897</v>
      </c>
      <c r="AJ352" s="323">
        <v>39.951164206842463</v>
      </c>
      <c r="AK352" s="118" t="e">
        <f t="shared" si="196"/>
        <v>#REF!</v>
      </c>
      <c r="AL352" s="104"/>
      <c r="AM352" s="104">
        <f t="shared" si="212"/>
        <v>237.60558123850569</v>
      </c>
      <c r="AN352" s="104" t="e">
        <f t="shared" si="213"/>
        <v>#REF!</v>
      </c>
      <c r="AO352" s="104"/>
      <c r="AP352" s="140" t="e">
        <f t="shared" si="214"/>
        <v>#REF!</v>
      </c>
      <c r="AQ352" s="33"/>
      <c r="AR352" s="28"/>
      <c r="AS352" s="121"/>
      <c r="AT352" s="135" t="e">
        <f t="shared" si="215"/>
        <v>#REF!</v>
      </c>
      <c r="AU352" s="148" t="e">
        <f t="shared" si="216"/>
        <v>#REF!</v>
      </c>
      <c r="AW352" s="1">
        <v>3</v>
      </c>
      <c r="BA352" s="29">
        <v>352.38</v>
      </c>
      <c r="BB352" s="29">
        <v>67.41</v>
      </c>
      <c r="BC352" s="29">
        <v>32.369999999999997</v>
      </c>
      <c r="BD352" s="29">
        <v>219.35</v>
      </c>
      <c r="BI352" s="323">
        <v>0</v>
      </c>
      <c r="BL352" s="107">
        <f t="shared" si="217"/>
        <v>1.2233877438623886</v>
      </c>
      <c r="BM352" s="107">
        <f t="shared" si="217"/>
        <v>1.2807066670574303</v>
      </c>
      <c r="BN352" s="107">
        <f t="shared" si="217"/>
        <v>0.82443024793968056</v>
      </c>
      <c r="BO352" s="107">
        <f t="shared" si="217"/>
        <v>1.2965393422474656</v>
      </c>
    </row>
    <row r="353" spans="1:67" x14ac:dyDescent="0.25">
      <c r="A353" s="250" t="s">
        <v>322</v>
      </c>
      <c r="B353" s="227">
        <v>5</v>
      </c>
      <c r="C353" s="226">
        <f>'побудинковий звіт'!E339</f>
        <v>2745.7</v>
      </c>
      <c r="D353" s="138">
        <f t="shared" si="197"/>
        <v>431.04843767247394</v>
      </c>
      <c r="E353" s="104">
        <f t="shared" si="191"/>
        <v>88.850714004755091</v>
      </c>
      <c r="F353" s="323">
        <v>70.492129279792152</v>
      </c>
      <c r="G353" s="104" t="e">
        <f t="shared" si="192"/>
        <v>#REF!</v>
      </c>
      <c r="H353" s="720">
        <f t="shared" si="198"/>
        <v>360.13006120900633</v>
      </c>
      <c r="I353" s="104" t="e">
        <f t="shared" si="199"/>
        <v>#REF!</v>
      </c>
      <c r="J353" s="28"/>
      <c r="K353" s="139" t="e">
        <f t="shared" si="200"/>
        <v>#REF!</v>
      </c>
      <c r="L353" s="200">
        <f t="shared" si="201"/>
        <v>86.332436426341374</v>
      </c>
      <c r="M353" s="104">
        <f t="shared" si="193"/>
        <v>18.994683538603596</v>
      </c>
      <c r="N353" s="323">
        <v>0</v>
      </c>
      <c r="O353" s="104"/>
      <c r="P353" s="104">
        <f t="shared" si="202"/>
        <v>72.128565834554664</v>
      </c>
      <c r="Q353" s="104">
        <f t="shared" si="203"/>
        <v>22.840824345682492</v>
      </c>
      <c r="R353" s="104"/>
      <c r="S353" s="140">
        <f t="shared" si="204"/>
        <v>200.29651014518214</v>
      </c>
      <c r="T353" s="234">
        <v>344.53</v>
      </c>
      <c r="U353" s="104"/>
      <c r="V353" s="148">
        <f t="shared" si="205"/>
        <v>344.53</v>
      </c>
      <c r="W353" s="236"/>
      <c r="X353" s="104"/>
      <c r="Y353" s="45">
        <f t="shared" si="206"/>
        <v>0</v>
      </c>
      <c r="Z353" s="138">
        <f t="shared" si="207"/>
        <v>26.686807125807459</v>
      </c>
      <c r="AA353" s="104">
        <f t="shared" si="194"/>
        <v>5.8659714488793551</v>
      </c>
      <c r="AB353" s="323">
        <v>0</v>
      </c>
      <c r="AC353" s="104"/>
      <c r="AD353" s="104">
        <f t="shared" si="208"/>
        <v>22.29615199531835</v>
      </c>
      <c r="AE353" s="104">
        <f t="shared" si="209"/>
        <v>7.0597613317023127</v>
      </c>
      <c r="AF353" s="104"/>
      <c r="AG353" s="139">
        <f t="shared" si="210"/>
        <v>61.908691901707478</v>
      </c>
      <c r="AH353" s="200">
        <f t="shared" si="211"/>
        <v>284.34404314829169</v>
      </c>
      <c r="AI353" s="104">
        <f t="shared" si="195"/>
        <v>56.716881674495284</v>
      </c>
      <c r="AJ353" s="323">
        <v>39.677813374742648</v>
      </c>
      <c r="AK353" s="118" t="e">
        <f t="shared" si="196"/>
        <v>#REF!</v>
      </c>
      <c r="AL353" s="104"/>
      <c r="AM353" s="104">
        <f t="shared" si="212"/>
        <v>237.56225220613942</v>
      </c>
      <c r="AN353" s="104" t="e">
        <f t="shared" si="213"/>
        <v>#REF!</v>
      </c>
      <c r="AO353" s="104"/>
      <c r="AP353" s="140" t="e">
        <f t="shared" si="214"/>
        <v>#REF!</v>
      </c>
      <c r="AQ353" s="33"/>
      <c r="AR353" s="28"/>
      <c r="AS353" s="121"/>
      <c r="AT353" s="135" t="e">
        <f t="shared" si="215"/>
        <v>#REF!</v>
      </c>
      <c r="AU353" s="148" t="e">
        <f t="shared" si="216"/>
        <v>#REF!</v>
      </c>
      <c r="AW353" s="1">
        <v>3</v>
      </c>
      <c r="BA353" s="29">
        <v>352.34</v>
      </c>
      <c r="BB353" s="29">
        <v>67.41</v>
      </c>
      <c r="BC353" s="29">
        <v>32.369999999999997</v>
      </c>
      <c r="BD353" s="29">
        <v>219.31</v>
      </c>
      <c r="BI353" s="323">
        <v>0</v>
      </c>
      <c r="BL353" s="107">
        <f t="shared" si="217"/>
        <v>1.2233877438623886</v>
      </c>
      <c r="BM353" s="107">
        <f t="shared" si="217"/>
        <v>1.2807066670574303</v>
      </c>
      <c r="BN353" s="107">
        <f t="shared" si="217"/>
        <v>0.82443024793968056</v>
      </c>
      <c r="BO353" s="107">
        <f t="shared" si="217"/>
        <v>1.2965393422474656</v>
      </c>
    </row>
    <row r="354" spans="1:67" x14ac:dyDescent="0.25">
      <c r="A354" s="250" t="s">
        <v>323</v>
      </c>
      <c r="B354" s="227">
        <v>5</v>
      </c>
      <c r="C354" s="226">
        <f>'побудинковий звіт'!E340</f>
        <v>5790.5</v>
      </c>
      <c r="D354" s="138">
        <f t="shared" si="197"/>
        <v>850.02203831302609</v>
      </c>
      <c r="E354" s="104">
        <f t="shared" si="191"/>
        <v>175.21247828133019</v>
      </c>
      <c r="F354" s="323">
        <v>150.38612124948588</v>
      </c>
      <c r="G354" s="104" t="e">
        <f t="shared" si="192"/>
        <v>#REF!</v>
      </c>
      <c r="H354" s="720">
        <f t="shared" si="198"/>
        <v>710.1719016536008</v>
      </c>
      <c r="I354" s="104" t="e">
        <f t="shared" si="199"/>
        <v>#REF!</v>
      </c>
      <c r="J354" s="28"/>
      <c r="K354" s="139" t="e">
        <f t="shared" si="200"/>
        <v>#REF!</v>
      </c>
      <c r="L354" s="200">
        <f t="shared" si="201"/>
        <v>173.93277245306962</v>
      </c>
      <c r="M354" s="104">
        <f t="shared" si="193"/>
        <v>38.26832771662594</v>
      </c>
      <c r="N354" s="323">
        <v>0</v>
      </c>
      <c r="O354" s="104"/>
      <c r="P354" s="104">
        <f t="shared" si="202"/>
        <v>145.31642969872229</v>
      </c>
      <c r="Q354" s="104">
        <f t="shared" si="203"/>
        <v>46.0170947097929</v>
      </c>
      <c r="R354" s="104"/>
      <c r="S354" s="140">
        <f t="shared" si="204"/>
        <v>403.53462457821075</v>
      </c>
      <c r="T354" s="234">
        <v>722.32</v>
      </c>
      <c r="U354" s="104"/>
      <c r="V354" s="148">
        <f t="shared" si="205"/>
        <v>722.32</v>
      </c>
      <c r="W354" s="236"/>
      <c r="X354" s="104"/>
      <c r="Y354" s="45">
        <f t="shared" si="206"/>
        <v>0</v>
      </c>
      <c r="Z354" s="138">
        <f t="shared" si="207"/>
        <v>55.838660692954569</v>
      </c>
      <c r="AA354" s="104">
        <f t="shared" si="194"/>
        <v>12.273779617936322</v>
      </c>
      <c r="AB354" s="323">
        <v>0</v>
      </c>
      <c r="AC354" s="104"/>
      <c r="AD354" s="104">
        <f t="shared" si="208"/>
        <v>46.651787909882977</v>
      </c>
      <c r="AE354" s="104">
        <f t="shared" si="209"/>
        <v>14.7716291317948</v>
      </c>
      <c r="AF354" s="104"/>
      <c r="AG354" s="139">
        <f t="shared" si="210"/>
        <v>129.53585735256868</v>
      </c>
      <c r="AH354" s="200">
        <f t="shared" si="211"/>
        <v>810.46674283889081</v>
      </c>
      <c r="AI354" s="104">
        <f t="shared" si="195"/>
        <v>161.6603106777028</v>
      </c>
      <c r="AJ354" s="323">
        <v>84.64764100690978</v>
      </c>
      <c r="AK354" s="118" t="e">
        <f t="shared" si="196"/>
        <v>#REF!</v>
      </c>
      <c r="AL354" s="104"/>
      <c r="AM354" s="104">
        <f t="shared" si="212"/>
        <v>677.12445330380638</v>
      </c>
      <c r="AN354" s="104" t="e">
        <f t="shared" si="213"/>
        <v>#REF!</v>
      </c>
      <c r="AO354" s="104"/>
      <c r="AP354" s="140" t="e">
        <f t="shared" si="214"/>
        <v>#REF!</v>
      </c>
      <c r="AQ354" s="33"/>
      <c r="AR354" s="28"/>
      <c r="AS354" s="121"/>
      <c r="AT354" s="135" t="e">
        <f t="shared" si="215"/>
        <v>#REF!</v>
      </c>
      <c r="AU354" s="148" t="e">
        <f t="shared" si="216"/>
        <v>#REF!</v>
      </c>
      <c r="AW354" s="1">
        <v>3</v>
      </c>
      <c r="BA354" s="29">
        <v>694.81</v>
      </c>
      <c r="BB354" s="29">
        <v>135.81</v>
      </c>
      <c r="BC354" s="29">
        <v>67.73</v>
      </c>
      <c r="BD354" s="29">
        <v>625.1</v>
      </c>
      <c r="BI354" s="323">
        <v>0</v>
      </c>
      <c r="BL354" s="107">
        <f t="shared" si="217"/>
        <v>1.2233877438623886</v>
      </c>
      <c r="BM354" s="107">
        <f t="shared" si="217"/>
        <v>1.2807066670574303</v>
      </c>
      <c r="BN354" s="107">
        <f t="shared" si="217"/>
        <v>0.82443024793968056</v>
      </c>
      <c r="BO354" s="107">
        <f t="shared" si="217"/>
        <v>1.2965393422474656</v>
      </c>
    </row>
    <row r="355" spans="1:67" x14ac:dyDescent="0.25">
      <c r="A355" s="250" t="s">
        <v>324</v>
      </c>
      <c r="B355" s="227">
        <v>5</v>
      </c>
      <c r="C355" s="226">
        <f>'побудинковий звіт'!E341</f>
        <v>4446.8999999999996</v>
      </c>
      <c r="D355" s="138">
        <f t="shared" si="197"/>
        <v>650.54866667626379</v>
      </c>
      <c r="E355" s="104">
        <f t="shared" si="191"/>
        <v>134.09563398753639</v>
      </c>
      <c r="F355" s="323">
        <v>114.23301710985345</v>
      </c>
      <c r="G355" s="104" t="e">
        <f t="shared" si="192"/>
        <v>#REF!</v>
      </c>
      <c r="H355" s="720">
        <f t="shared" si="198"/>
        <v>543.51694768831601</v>
      </c>
      <c r="I355" s="104" t="e">
        <f t="shared" si="199"/>
        <v>#REF!</v>
      </c>
      <c r="J355" s="28"/>
      <c r="K355" s="139" t="e">
        <f t="shared" si="200"/>
        <v>#REF!</v>
      </c>
      <c r="L355" s="200">
        <f t="shared" si="201"/>
        <v>130.81137897324592</v>
      </c>
      <c r="M355" s="104">
        <f t="shared" si="193"/>
        <v>28.780848192152071</v>
      </c>
      <c r="N355" s="323">
        <v>18.400000000000002</v>
      </c>
      <c r="O355" s="104"/>
      <c r="P355" s="104">
        <f t="shared" si="202"/>
        <v>109.2895967117848</v>
      </c>
      <c r="Q355" s="104">
        <f t="shared" si="203"/>
        <v>36.97685789735641</v>
      </c>
      <c r="R355" s="104"/>
      <c r="S355" s="140">
        <f t="shared" si="204"/>
        <v>324.25868177453918</v>
      </c>
      <c r="T355" s="234">
        <v>540.15</v>
      </c>
      <c r="U355" s="104"/>
      <c r="V355" s="148">
        <f t="shared" si="205"/>
        <v>540.15</v>
      </c>
      <c r="W355" s="236"/>
      <c r="X355" s="104"/>
      <c r="Y355" s="45">
        <f t="shared" si="206"/>
        <v>0</v>
      </c>
      <c r="Z355" s="138">
        <f t="shared" si="207"/>
        <v>36.077067649840423</v>
      </c>
      <c r="AA355" s="104">
        <f t="shared" si="194"/>
        <v>7.9300250417967435</v>
      </c>
      <c r="AB355" s="323">
        <v>0</v>
      </c>
      <c r="AC355" s="104"/>
      <c r="AD355" s="104">
        <f t="shared" si="208"/>
        <v>30.141477025490609</v>
      </c>
      <c r="AE355" s="104">
        <f t="shared" si="209"/>
        <v>9.5438725942321039</v>
      </c>
      <c r="AF355" s="104"/>
      <c r="AG355" s="139">
        <f t="shared" si="210"/>
        <v>83.692442311359869</v>
      </c>
      <c r="AH355" s="200">
        <f t="shared" si="211"/>
        <v>518.01932880155243</v>
      </c>
      <c r="AI355" s="104">
        <f t="shared" si="195"/>
        <v>103.32708451154916</v>
      </c>
      <c r="AJ355" s="323">
        <v>130.15069017281235</v>
      </c>
      <c r="AK355" s="118" t="e">
        <f t="shared" si="196"/>
        <v>#REF!</v>
      </c>
      <c r="AL355" s="104"/>
      <c r="AM355" s="104">
        <f t="shared" si="212"/>
        <v>432.79203979043797</v>
      </c>
      <c r="AN355" s="104" t="e">
        <f t="shared" si="213"/>
        <v>#REF!</v>
      </c>
      <c r="AO355" s="104"/>
      <c r="AP355" s="140" t="e">
        <f t="shared" si="214"/>
        <v>#REF!</v>
      </c>
      <c r="AQ355" s="33"/>
      <c r="AR355" s="28"/>
      <c r="AS355" s="121"/>
      <c r="AT355" s="135" t="e">
        <f t="shared" si="215"/>
        <v>#REF!</v>
      </c>
      <c r="AU355" s="148" t="e">
        <f t="shared" si="216"/>
        <v>#REF!</v>
      </c>
      <c r="AW355" s="1">
        <v>3</v>
      </c>
      <c r="BA355" s="29">
        <v>531.76</v>
      </c>
      <c r="BB355" s="29">
        <v>102.14</v>
      </c>
      <c r="BC355" s="29">
        <v>43.76</v>
      </c>
      <c r="BD355" s="29">
        <v>399.54</v>
      </c>
      <c r="BI355" s="323">
        <v>0</v>
      </c>
      <c r="BL355" s="107">
        <f t="shared" si="217"/>
        <v>1.2233877438623886</v>
      </c>
      <c r="BM355" s="107">
        <f t="shared" si="217"/>
        <v>1.2807066670574303</v>
      </c>
      <c r="BN355" s="107">
        <f t="shared" si="217"/>
        <v>0.82443024793968056</v>
      </c>
      <c r="BO355" s="107">
        <f t="shared" si="217"/>
        <v>1.2965393422474656</v>
      </c>
    </row>
    <row r="356" spans="1:67" x14ac:dyDescent="0.25">
      <c r="A356" s="250" t="s">
        <v>325</v>
      </c>
      <c r="B356" s="227">
        <v>5</v>
      </c>
      <c r="C356" s="226">
        <f>'побудинковий звіт'!E342</f>
        <v>4596.3999999999996</v>
      </c>
      <c r="D356" s="138">
        <f t="shared" si="197"/>
        <v>675.76268807726763</v>
      </c>
      <c r="E356" s="104">
        <f t="shared" si="191"/>
        <v>139.29292414941983</v>
      </c>
      <c r="F356" s="323">
        <v>117.90485689773794</v>
      </c>
      <c r="G356" s="104" t="e">
        <f t="shared" si="192"/>
        <v>#REF!</v>
      </c>
      <c r="H356" s="720">
        <f t="shared" si="198"/>
        <v>564.58262448208791</v>
      </c>
      <c r="I356" s="104" t="e">
        <f t="shared" si="199"/>
        <v>#REF!</v>
      </c>
      <c r="J356" s="28"/>
      <c r="K356" s="139" t="e">
        <f t="shared" si="200"/>
        <v>#REF!</v>
      </c>
      <c r="L356" s="200">
        <f t="shared" si="201"/>
        <v>147.1788101782399</v>
      </c>
      <c r="M356" s="104">
        <f t="shared" si="193"/>
        <v>32.381976446466773</v>
      </c>
      <c r="N356" s="323">
        <v>0</v>
      </c>
      <c r="O356" s="104"/>
      <c r="P356" s="104">
        <f t="shared" si="202"/>
        <v>122.96417127587928</v>
      </c>
      <c r="Q356" s="104">
        <f t="shared" si="203"/>
        <v>38.938844886601871</v>
      </c>
      <c r="R356" s="104"/>
      <c r="S356" s="140">
        <f t="shared" si="204"/>
        <v>341.46380278718783</v>
      </c>
      <c r="T356" s="234">
        <v>559.80999999999995</v>
      </c>
      <c r="U356" s="104"/>
      <c r="V356" s="148">
        <f t="shared" si="205"/>
        <v>559.80999999999995</v>
      </c>
      <c r="W356" s="236"/>
      <c r="X356" s="104"/>
      <c r="Y356" s="45">
        <f t="shared" si="206"/>
        <v>0</v>
      </c>
      <c r="Z356" s="138">
        <f t="shared" si="207"/>
        <v>36.077067649840423</v>
      </c>
      <c r="AA356" s="104">
        <f t="shared" si="194"/>
        <v>7.9300250417967435</v>
      </c>
      <c r="AB356" s="323">
        <v>0</v>
      </c>
      <c r="AC356" s="104"/>
      <c r="AD356" s="104">
        <f t="shared" si="208"/>
        <v>30.141477025490609</v>
      </c>
      <c r="AE356" s="104">
        <f t="shared" si="209"/>
        <v>9.5438725942321039</v>
      </c>
      <c r="AF356" s="104"/>
      <c r="AG356" s="139">
        <f t="shared" si="210"/>
        <v>83.692442311359869</v>
      </c>
      <c r="AH356" s="200">
        <f t="shared" si="211"/>
        <v>532.29422695969697</v>
      </c>
      <c r="AI356" s="104">
        <f t="shared" si="195"/>
        <v>106.17443696805452</v>
      </c>
      <c r="AJ356" s="323">
        <v>66.3649538715988</v>
      </c>
      <c r="AK356" s="118" t="e">
        <f t="shared" si="196"/>
        <v>#REF!</v>
      </c>
      <c r="AL356" s="104"/>
      <c r="AM356" s="104">
        <f t="shared" si="212"/>
        <v>444.71835594925238</v>
      </c>
      <c r="AN356" s="104" t="e">
        <f t="shared" si="213"/>
        <v>#REF!</v>
      </c>
      <c r="AO356" s="104"/>
      <c r="AP356" s="140" t="e">
        <f t="shared" si="214"/>
        <v>#REF!</v>
      </c>
      <c r="AQ356" s="33"/>
      <c r="AR356" s="28"/>
      <c r="AS356" s="121"/>
      <c r="AT356" s="135" t="e">
        <f t="shared" si="215"/>
        <v>#REF!</v>
      </c>
      <c r="AU356" s="148" t="e">
        <f t="shared" si="216"/>
        <v>#REF!</v>
      </c>
      <c r="AW356" s="1">
        <v>3</v>
      </c>
      <c r="BA356" s="29">
        <v>552.37</v>
      </c>
      <c r="BB356" s="29">
        <v>114.92</v>
      </c>
      <c r="BC356" s="29">
        <v>43.76</v>
      </c>
      <c r="BD356" s="29">
        <v>410.55</v>
      </c>
      <c r="BI356" s="323">
        <v>0</v>
      </c>
      <c r="BL356" s="107">
        <f t="shared" si="217"/>
        <v>1.2233877438623886</v>
      </c>
      <c r="BM356" s="107">
        <f t="shared" si="217"/>
        <v>1.2807066670574303</v>
      </c>
      <c r="BN356" s="107">
        <f t="shared" si="217"/>
        <v>0.82443024793968056</v>
      </c>
      <c r="BO356" s="107">
        <f t="shared" si="217"/>
        <v>1.2965393422474656</v>
      </c>
    </row>
    <row r="357" spans="1:67" x14ac:dyDescent="0.25">
      <c r="A357" s="250" t="s">
        <v>326</v>
      </c>
      <c r="B357" s="227">
        <v>5</v>
      </c>
      <c r="C357" s="226">
        <f>'побудинковий звіт'!E343</f>
        <v>4567.8</v>
      </c>
      <c r="D357" s="138">
        <f t="shared" si="197"/>
        <v>680.38709374906739</v>
      </c>
      <c r="E357" s="104">
        <f t="shared" si="191"/>
        <v>140.24613893893553</v>
      </c>
      <c r="F357" s="323">
        <v>117.34727170951474</v>
      </c>
      <c r="G357" s="104" t="e">
        <f t="shared" si="192"/>
        <v>#REF!</v>
      </c>
      <c r="H357" s="720">
        <f t="shared" si="198"/>
        <v>568.44619839186271</v>
      </c>
      <c r="I357" s="104" t="e">
        <f t="shared" si="199"/>
        <v>#REF!</v>
      </c>
      <c r="J357" s="28"/>
      <c r="K357" s="139" t="e">
        <f t="shared" si="200"/>
        <v>#REF!</v>
      </c>
      <c r="L357" s="200">
        <f t="shared" si="201"/>
        <v>147.15319604489875</v>
      </c>
      <c r="M357" s="104">
        <f t="shared" si="193"/>
        <v>32.37634087799367</v>
      </c>
      <c r="N357" s="323">
        <v>0</v>
      </c>
      <c r="O357" s="104"/>
      <c r="P357" s="104">
        <f t="shared" si="202"/>
        <v>122.94277131568508</v>
      </c>
      <c r="Q357" s="104">
        <f t="shared" si="203"/>
        <v>38.932068199360906</v>
      </c>
      <c r="R357" s="104"/>
      <c r="S357" s="140">
        <f t="shared" si="204"/>
        <v>341.40437643793842</v>
      </c>
      <c r="T357" s="234">
        <v>550.30999999999995</v>
      </c>
      <c r="U357" s="104"/>
      <c r="V357" s="148">
        <f t="shared" si="205"/>
        <v>550.30999999999995</v>
      </c>
      <c r="W357" s="236"/>
      <c r="X357" s="104"/>
      <c r="Y357" s="45">
        <f t="shared" si="206"/>
        <v>0</v>
      </c>
      <c r="Z357" s="138">
        <f t="shared" si="207"/>
        <v>36.077067649840423</v>
      </c>
      <c r="AA357" s="104">
        <f t="shared" si="194"/>
        <v>7.9300250417967435</v>
      </c>
      <c r="AB357" s="323">
        <v>0</v>
      </c>
      <c r="AC357" s="104"/>
      <c r="AD357" s="104">
        <f t="shared" si="208"/>
        <v>30.141477025490609</v>
      </c>
      <c r="AE357" s="104">
        <f t="shared" si="209"/>
        <v>9.5438725942321039</v>
      </c>
      <c r="AF357" s="104"/>
      <c r="AG357" s="139">
        <f t="shared" si="210"/>
        <v>83.692442311359869</v>
      </c>
      <c r="AH357" s="200">
        <f t="shared" si="211"/>
        <v>538.05086163927581</v>
      </c>
      <c r="AI357" s="104">
        <f t="shared" si="195"/>
        <v>107.32268809492864</v>
      </c>
      <c r="AJ357" s="323">
        <v>66.051106619928632</v>
      </c>
      <c r="AK357" s="118" t="e">
        <f t="shared" si="196"/>
        <v>#REF!</v>
      </c>
      <c r="AL357" s="104"/>
      <c r="AM357" s="104">
        <f t="shared" si="212"/>
        <v>449.52787854190785</v>
      </c>
      <c r="AN357" s="104" t="e">
        <f t="shared" si="213"/>
        <v>#REF!</v>
      </c>
      <c r="AO357" s="104"/>
      <c r="AP357" s="140" t="e">
        <f t="shared" si="214"/>
        <v>#REF!</v>
      </c>
      <c r="AQ357" s="33"/>
      <c r="AR357" s="28"/>
      <c r="AS357" s="121"/>
      <c r="AT357" s="135" t="e">
        <f t="shared" si="215"/>
        <v>#REF!</v>
      </c>
      <c r="AU357" s="148" t="e">
        <f t="shared" si="216"/>
        <v>#REF!</v>
      </c>
      <c r="AW357" s="1">
        <v>3</v>
      </c>
      <c r="BA357" s="29">
        <v>556.15</v>
      </c>
      <c r="BB357" s="29">
        <v>114.9</v>
      </c>
      <c r="BC357" s="29">
        <v>43.76</v>
      </c>
      <c r="BD357" s="29">
        <v>414.99</v>
      </c>
      <c r="BI357" s="323">
        <v>0</v>
      </c>
      <c r="BL357" s="107">
        <f t="shared" si="217"/>
        <v>1.2233877438623886</v>
      </c>
      <c r="BM357" s="107">
        <f t="shared" si="217"/>
        <v>1.2807066670574303</v>
      </c>
      <c r="BN357" s="107">
        <f t="shared" si="217"/>
        <v>0.82443024793968056</v>
      </c>
      <c r="BO357" s="107">
        <f t="shared" si="217"/>
        <v>1.2965393422474656</v>
      </c>
    </row>
    <row r="358" spans="1:67" x14ac:dyDescent="0.25">
      <c r="A358" s="250" t="s">
        <v>327</v>
      </c>
      <c r="B358" s="227">
        <v>5</v>
      </c>
      <c r="C358" s="226">
        <f>'побудинковий звіт'!E344</f>
        <v>4553.3</v>
      </c>
      <c r="D358" s="138">
        <f t="shared" si="197"/>
        <v>680.52166640089229</v>
      </c>
      <c r="E358" s="104">
        <f t="shared" si="191"/>
        <v>140.2738779936569</v>
      </c>
      <c r="F358" s="323">
        <v>117.01323449998011</v>
      </c>
      <c r="G358" s="104" t="e">
        <f t="shared" si="192"/>
        <v>#REF!</v>
      </c>
      <c r="H358" s="720">
        <f t="shared" si="198"/>
        <v>568.55863043685611</v>
      </c>
      <c r="I358" s="104" t="e">
        <f t="shared" si="199"/>
        <v>#REF!</v>
      </c>
      <c r="J358" s="28"/>
      <c r="K358" s="139" t="e">
        <f t="shared" si="200"/>
        <v>#REF!</v>
      </c>
      <c r="L358" s="200">
        <f t="shared" si="201"/>
        <v>147.1788101782399</v>
      </c>
      <c r="M358" s="104">
        <f t="shared" si="193"/>
        <v>32.381976446466773</v>
      </c>
      <c r="N358" s="323">
        <v>0</v>
      </c>
      <c r="O358" s="104"/>
      <c r="P358" s="104">
        <f t="shared" si="202"/>
        <v>122.96417127587928</v>
      </c>
      <c r="Q358" s="104">
        <f t="shared" si="203"/>
        <v>38.938844886601871</v>
      </c>
      <c r="R358" s="104"/>
      <c r="S358" s="140">
        <f t="shared" si="204"/>
        <v>341.46380278718783</v>
      </c>
      <c r="T358" s="234">
        <v>554.05999999999995</v>
      </c>
      <c r="U358" s="104"/>
      <c r="V358" s="148">
        <f t="shared" si="205"/>
        <v>554.05999999999995</v>
      </c>
      <c r="W358" s="236"/>
      <c r="X358" s="104"/>
      <c r="Y358" s="45">
        <f t="shared" si="206"/>
        <v>0</v>
      </c>
      <c r="Z358" s="138">
        <f t="shared" si="207"/>
        <v>36.077067649840423</v>
      </c>
      <c r="AA358" s="104">
        <f t="shared" si="194"/>
        <v>7.9300250417967435</v>
      </c>
      <c r="AB358" s="323">
        <v>0</v>
      </c>
      <c r="AC358" s="104"/>
      <c r="AD358" s="104">
        <f t="shared" si="208"/>
        <v>30.141477025490609</v>
      </c>
      <c r="AE358" s="104">
        <f t="shared" si="209"/>
        <v>9.5438725942321039</v>
      </c>
      <c r="AF358" s="104"/>
      <c r="AG358" s="139">
        <f t="shared" si="210"/>
        <v>83.692442311359869</v>
      </c>
      <c r="AH358" s="200">
        <f t="shared" si="211"/>
        <v>538.5176158024849</v>
      </c>
      <c r="AI358" s="104">
        <f t="shared" si="195"/>
        <v>107.41578953764815</v>
      </c>
      <c r="AJ358" s="323">
        <v>65.86308752906632</v>
      </c>
      <c r="AK358" s="118" t="e">
        <f t="shared" si="196"/>
        <v>#REF!</v>
      </c>
      <c r="AL358" s="104"/>
      <c r="AM358" s="104">
        <f t="shared" si="212"/>
        <v>449.91783983320425</v>
      </c>
      <c r="AN358" s="104" t="e">
        <f t="shared" si="213"/>
        <v>#REF!</v>
      </c>
      <c r="AO358" s="104"/>
      <c r="AP358" s="140" t="e">
        <f t="shared" si="214"/>
        <v>#REF!</v>
      </c>
      <c r="AQ358" s="33"/>
      <c r="AR358" s="28"/>
      <c r="AS358" s="121"/>
      <c r="AT358" s="135" t="e">
        <f t="shared" si="215"/>
        <v>#REF!</v>
      </c>
      <c r="AU358" s="148" t="e">
        <f t="shared" si="216"/>
        <v>#REF!</v>
      </c>
      <c r="AW358" s="1">
        <v>3</v>
      </c>
      <c r="BA358" s="29">
        <v>556.26</v>
      </c>
      <c r="BB358" s="29">
        <v>114.92</v>
      </c>
      <c r="BC358" s="29">
        <v>43.76</v>
      </c>
      <c r="BD358" s="29">
        <v>415.35</v>
      </c>
      <c r="BI358" s="323">
        <v>0</v>
      </c>
      <c r="BL358" s="107">
        <f t="shared" si="217"/>
        <v>1.2233877438623886</v>
      </c>
      <c r="BM358" s="107">
        <f t="shared" si="217"/>
        <v>1.2807066670574303</v>
      </c>
      <c r="BN358" s="107">
        <f t="shared" si="217"/>
        <v>0.82443024793968056</v>
      </c>
      <c r="BO358" s="107">
        <f t="shared" si="217"/>
        <v>1.2965393422474656</v>
      </c>
    </row>
    <row r="359" spans="1:67" x14ac:dyDescent="0.25">
      <c r="A359" s="250" t="s">
        <v>328</v>
      </c>
      <c r="B359" s="227">
        <v>5</v>
      </c>
      <c r="C359" s="226">
        <f>'побудинковий звіт'!E345</f>
        <v>6174.13</v>
      </c>
      <c r="D359" s="138">
        <f t="shared" si="197"/>
        <v>893.90495668537005</v>
      </c>
      <c r="E359" s="104">
        <f t="shared" si="191"/>
        <v>184.25793185274011</v>
      </c>
      <c r="F359" s="323">
        <v>158.63761118009009</v>
      </c>
      <c r="G359" s="104" t="e">
        <f t="shared" si="192"/>
        <v>#REF!</v>
      </c>
      <c r="H359" s="720">
        <f t="shared" si="198"/>
        <v>746.83496941646354</v>
      </c>
      <c r="I359" s="104" t="e">
        <f t="shared" si="199"/>
        <v>#REF!</v>
      </c>
      <c r="J359" s="28"/>
      <c r="K359" s="139" t="e">
        <f t="shared" si="200"/>
        <v>#REF!</v>
      </c>
      <c r="L359" s="200">
        <f t="shared" si="201"/>
        <v>196.53724512663325</v>
      </c>
      <c r="M359" s="104">
        <f t="shared" si="193"/>
        <v>43.241716894141931</v>
      </c>
      <c r="N359" s="323">
        <v>0</v>
      </c>
      <c r="O359" s="104"/>
      <c r="P359" s="104">
        <f t="shared" si="202"/>
        <v>164.20189457010471</v>
      </c>
      <c r="Q359" s="104">
        <f t="shared" si="203"/>
        <v>51.997521199947116</v>
      </c>
      <c r="R359" s="104"/>
      <c r="S359" s="140">
        <f t="shared" si="204"/>
        <v>455.97837779082698</v>
      </c>
      <c r="T359" s="234">
        <v>763.5</v>
      </c>
      <c r="U359" s="104"/>
      <c r="V359" s="148">
        <f t="shared" si="205"/>
        <v>763.5</v>
      </c>
      <c r="W359" s="236"/>
      <c r="X359" s="104"/>
      <c r="Y359" s="45">
        <f t="shared" si="206"/>
        <v>0</v>
      </c>
      <c r="Z359" s="138">
        <f t="shared" si="207"/>
        <v>55.838660692954569</v>
      </c>
      <c r="AA359" s="104">
        <f t="shared" si="194"/>
        <v>12.273779617936322</v>
      </c>
      <c r="AB359" s="323">
        <v>0</v>
      </c>
      <c r="AC359" s="104"/>
      <c r="AD359" s="104">
        <f t="shared" si="208"/>
        <v>46.651787909882977</v>
      </c>
      <c r="AE359" s="104">
        <f t="shared" si="209"/>
        <v>14.7716291317948</v>
      </c>
      <c r="AF359" s="104"/>
      <c r="AG359" s="139">
        <f t="shared" si="210"/>
        <v>129.53585735256868</v>
      </c>
      <c r="AH359" s="200">
        <f t="shared" si="211"/>
        <v>854.28977260685508</v>
      </c>
      <c r="AI359" s="104">
        <f t="shared" si="195"/>
        <v>170.40150168859122</v>
      </c>
      <c r="AJ359" s="323">
        <v>89.292146441418453</v>
      </c>
      <c r="AK359" s="118" t="e">
        <f t="shared" si="196"/>
        <v>#REF!</v>
      </c>
      <c r="AL359" s="104"/>
      <c r="AM359" s="104">
        <f t="shared" si="212"/>
        <v>713.73748565330015</v>
      </c>
      <c r="AN359" s="104" t="e">
        <f t="shared" si="213"/>
        <v>#REF!</v>
      </c>
      <c r="AO359" s="104"/>
      <c r="AP359" s="140" t="e">
        <f t="shared" si="214"/>
        <v>#REF!</v>
      </c>
      <c r="AQ359" s="33"/>
      <c r="AR359" s="28"/>
      <c r="AS359" s="121"/>
      <c r="AT359" s="135" t="e">
        <f t="shared" si="215"/>
        <v>#REF!</v>
      </c>
      <c r="AU359" s="148" t="e">
        <f t="shared" si="216"/>
        <v>#REF!</v>
      </c>
      <c r="AW359" s="1">
        <v>3</v>
      </c>
      <c r="BA359" s="29">
        <v>730.68</v>
      </c>
      <c r="BB359" s="29">
        <v>153.46</v>
      </c>
      <c r="BC359" s="29">
        <v>67.73</v>
      </c>
      <c r="BD359" s="29">
        <v>658.9</v>
      </c>
      <c r="BI359" s="323">
        <v>0</v>
      </c>
      <c r="BL359" s="107">
        <f t="shared" si="217"/>
        <v>1.2233877438623886</v>
      </c>
      <c r="BM359" s="107">
        <f t="shared" si="217"/>
        <v>1.2807066670574303</v>
      </c>
      <c r="BN359" s="107">
        <f t="shared" si="217"/>
        <v>0.82443024793968056</v>
      </c>
      <c r="BO359" s="107">
        <f t="shared" si="217"/>
        <v>1.2965393422474656</v>
      </c>
    </row>
    <row r="360" spans="1:67" x14ac:dyDescent="0.25">
      <c r="A360" s="250" t="s">
        <v>236</v>
      </c>
      <c r="B360" s="227">
        <v>4</v>
      </c>
      <c r="C360" s="226">
        <f>'побудинковий звіт'!E346</f>
        <v>2114.4899999999998</v>
      </c>
      <c r="D360" s="138">
        <f t="shared" si="197"/>
        <v>247.38038059924949</v>
      </c>
      <c r="E360" s="104">
        <f t="shared" si="191"/>
        <v>50.991771518059686</v>
      </c>
      <c r="F360" s="323">
        <v>51.171171983999457</v>
      </c>
      <c r="G360" s="104" t="e">
        <f t="shared" si="192"/>
        <v>#REF!</v>
      </c>
      <c r="H360" s="720">
        <f t="shared" si="198"/>
        <v>206.68004757926556</v>
      </c>
      <c r="I360" s="104" t="e">
        <f t="shared" si="199"/>
        <v>#REF!</v>
      </c>
      <c r="J360" s="28"/>
      <c r="K360" s="139" t="e">
        <f t="shared" si="200"/>
        <v>#REF!</v>
      </c>
      <c r="L360" s="200">
        <f t="shared" si="201"/>
        <v>41.403852130276128</v>
      </c>
      <c r="M360" s="104">
        <f t="shared" si="193"/>
        <v>9.1095896403286751</v>
      </c>
      <c r="N360" s="323">
        <v>0</v>
      </c>
      <c r="O360" s="104"/>
      <c r="P360" s="104">
        <f t="shared" si="202"/>
        <v>34.591870654904746</v>
      </c>
      <c r="Q360" s="104">
        <f t="shared" si="203"/>
        <v>10.954146006861698</v>
      </c>
      <c r="R360" s="104"/>
      <c r="S360" s="140">
        <f t="shared" si="204"/>
        <v>96.05945843237123</v>
      </c>
      <c r="T360" s="880">
        <v>285.93</v>
      </c>
      <c r="U360" s="104"/>
      <c r="V360" s="148">
        <f t="shared" si="205"/>
        <v>285.93</v>
      </c>
      <c r="W360" s="236"/>
      <c r="X360" s="104"/>
      <c r="Y360" s="45">
        <f t="shared" si="206"/>
        <v>0</v>
      </c>
      <c r="Z360" s="138">
        <f t="shared" si="207"/>
        <v>0</v>
      </c>
      <c r="AA360" s="104">
        <f t="shared" si="194"/>
        <v>0</v>
      </c>
      <c r="AB360" s="323">
        <v>0</v>
      </c>
      <c r="AC360" s="104"/>
      <c r="AD360" s="104">
        <f t="shared" si="208"/>
        <v>0</v>
      </c>
      <c r="AE360" s="104">
        <f t="shared" si="209"/>
        <v>0</v>
      </c>
      <c r="AF360" s="104"/>
      <c r="AG360" s="139">
        <f t="shared" si="210"/>
        <v>0</v>
      </c>
      <c r="AH360" s="200">
        <f t="shared" si="211"/>
        <v>157.58682029778194</v>
      </c>
      <c r="AI360" s="104">
        <f t="shared" si="195"/>
        <v>31.433164350230374</v>
      </c>
      <c r="AJ360" s="323">
        <v>20.090781181895245</v>
      </c>
      <c r="AK360" s="118" t="e">
        <f t="shared" si="196"/>
        <v>#REF!</v>
      </c>
      <c r="AL360" s="104"/>
      <c r="AM360" s="104">
        <f t="shared" si="212"/>
        <v>131.6598003370909</v>
      </c>
      <c r="AN360" s="104" t="e">
        <f t="shared" si="213"/>
        <v>#REF!</v>
      </c>
      <c r="AO360" s="104"/>
      <c r="AP360" s="140" t="e">
        <f t="shared" si="214"/>
        <v>#REF!</v>
      </c>
      <c r="AQ360" s="33"/>
      <c r="AR360" s="28"/>
      <c r="AS360" s="121"/>
      <c r="AT360" s="135" t="e">
        <f t="shared" si="215"/>
        <v>#REF!</v>
      </c>
      <c r="AU360" s="148" t="e">
        <f t="shared" si="216"/>
        <v>#REF!</v>
      </c>
      <c r="AW360" s="1">
        <v>2</v>
      </c>
      <c r="BA360" s="29">
        <v>225.55</v>
      </c>
      <c r="BB360" s="29">
        <v>37.21</v>
      </c>
      <c r="BC360" s="29">
        <v>0</v>
      </c>
      <c r="BD360" s="29">
        <v>151.97999999999999</v>
      </c>
      <c r="BF360" s="279">
        <f t="shared" ref="BF360:BF367" si="218">T360*1.2</f>
        <v>343.11599999999999</v>
      </c>
      <c r="BI360" s="323">
        <v>0</v>
      </c>
      <c r="BL360" s="107">
        <f t="shared" ref="BL360:BO367" si="219">BA$398</f>
        <v>1.0967873225415627</v>
      </c>
      <c r="BM360" s="107">
        <f t="shared" si="219"/>
        <v>1.1127076627324948</v>
      </c>
      <c r="BN360" s="107">
        <f t="shared" si="219"/>
        <v>2.8314493742615632</v>
      </c>
      <c r="BO360" s="107">
        <f t="shared" si="219"/>
        <v>1.036891829831438</v>
      </c>
    </row>
    <row r="361" spans="1:67" x14ac:dyDescent="0.25">
      <c r="A361" s="250" t="s">
        <v>329</v>
      </c>
      <c r="B361" s="227">
        <v>5</v>
      </c>
      <c r="C361" s="226">
        <f>'побудинковий звіт'!E347</f>
        <v>4509.08</v>
      </c>
      <c r="D361" s="138">
        <f t="shared" si="197"/>
        <v>476.74054548914108</v>
      </c>
      <c r="E361" s="104">
        <f t="shared" si="191"/>
        <v>98.269090338084695</v>
      </c>
      <c r="F361" s="323">
        <v>95.956324304221212</v>
      </c>
      <c r="G361" s="104" t="e">
        <f t="shared" si="192"/>
        <v>#REF!</v>
      </c>
      <c r="H361" s="720">
        <f t="shared" si="198"/>
        <v>398.30466096776485</v>
      </c>
      <c r="I361" s="104" t="e">
        <f t="shared" si="199"/>
        <v>#REF!</v>
      </c>
      <c r="J361" s="28"/>
      <c r="K361" s="139" t="e">
        <f t="shared" si="200"/>
        <v>#REF!</v>
      </c>
      <c r="L361" s="200">
        <f t="shared" si="201"/>
        <v>90.529895439915776</v>
      </c>
      <c r="M361" s="104">
        <f t="shared" si="193"/>
        <v>19.918199761815131</v>
      </c>
      <c r="N361" s="323">
        <v>0</v>
      </c>
      <c r="O361" s="104"/>
      <c r="P361" s="104">
        <f t="shared" si="202"/>
        <v>75.635436616045439</v>
      </c>
      <c r="Q361" s="104">
        <f t="shared" si="203"/>
        <v>23.95133886369976</v>
      </c>
      <c r="R361" s="104"/>
      <c r="S361" s="140">
        <f t="shared" si="204"/>
        <v>210.03487068147612</v>
      </c>
      <c r="T361" s="880">
        <v>546.98</v>
      </c>
      <c r="U361" s="104"/>
      <c r="V361" s="148">
        <f t="shared" si="205"/>
        <v>546.98</v>
      </c>
      <c r="W361" s="236"/>
      <c r="X361" s="104"/>
      <c r="Y361" s="45">
        <f t="shared" si="206"/>
        <v>0</v>
      </c>
      <c r="Z361" s="138">
        <f t="shared" si="207"/>
        <v>0</v>
      </c>
      <c r="AA361" s="104">
        <f t="shared" si="194"/>
        <v>0</v>
      </c>
      <c r="AB361" s="323">
        <v>0</v>
      </c>
      <c r="AC361" s="104"/>
      <c r="AD361" s="104">
        <f t="shared" si="208"/>
        <v>0</v>
      </c>
      <c r="AE361" s="104">
        <f t="shared" si="209"/>
        <v>0</v>
      </c>
      <c r="AF361" s="104"/>
      <c r="AG361" s="139">
        <f t="shared" si="210"/>
        <v>0</v>
      </c>
      <c r="AH361" s="200">
        <f t="shared" si="211"/>
        <v>342.2779930273577</v>
      </c>
      <c r="AI361" s="104">
        <f t="shared" si="195"/>
        <v>68.27271714706572</v>
      </c>
      <c r="AJ361" s="323">
        <v>37.674288859709797</v>
      </c>
      <c r="AK361" s="118" t="e">
        <f t="shared" si="196"/>
        <v>#REF!</v>
      </c>
      <c r="AL361" s="104"/>
      <c r="AM361" s="104">
        <f t="shared" si="212"/>
        <v>285.96460120590677</v>
      </c>
      <c r="AN361" s="104" t="e">
        <f t="shared" si="213"/>
        <v>#REF!</v>
      </c>
      <c r="AO361" s="104"/>
      <c r="AP361" s="140" t="e">
        <f t="shared" si="214"/>
        <v>#REF!</v>
      </c>
      <c r="AQ361" s="33"/>
      <c r="AR361" s="28"/>
      <c r="AS361" s="121"/>
      <c r="AT361" s="135" t="e">
        <f t="shared" si="215"/>
        <v>#REF!</v>
      </c>
      <c r="AU361" s="148" t="e">
        <f t="shared" si="216"/>
        <v>#REF!</v>
      </c>
      <c r="AW361" s="1">
        <v>2</v>
      </c>
      <c r="BA361" s="29">
        <v>434.67</v>
      </c>
      <c r="BB361" s="29">
        <v>81.36</v>
      </c>
      <c r="BC361" s="29">
        <v>0</v>
      </c>
      <c r="BD361" s="29">
        <v>330.1</v>
      </c>
      <c r="BF361" s="279">
        <f t="shared" si="218"/>
        <v>656.37599999999998</v>
      </c>
      <c r="BI361" s="323">
        <v>0</v>
      </c>
      <c r="BL361" s="107">
        <f t="shared" si="219"/>
        <v>1.0967873225415627</v>
      </c>
      <c r="BM361" s="107">
        <f t="shared" si="219"/>
        <v>1.1127076627324948</v>
      </c>
      <c r="BN361" s="107">
        <f t="shared" si="219"/>
        <v>2.8314493742615632</v>
      </c>
      <c r="BO361" s="107">
        <f t="shared" si="219"/>
        <v>1.036891829831438</v>
      </c>
    </row>
    <row r="362" spans="1:67" x14ac:dyDescent="0.25">
      <c r="A362" s="250" t="s">
        <v>237</v>
      </c>
      <c r="B362" s="227">
        <v>4</v>
      </c>
      <c r="C362" s="226">
        <f>'побудинковий звіт'!E348</f>
        <v>2732.15</v>
      </c>
      <c r="D362" s="138">
        <f t="shared" si="197"/>
        <v>326.39293931514362</v>
      </c>
      <c r="E362" s="104">
        <f t="shared" si="191"/>
        <v>67.278391869028496</v>
      </c>
      <c r="F362" s="323">
        <v>57.44341519133058</v>
      </c>
      <c r="G362" s="104" t="e">
        <f t="shared" si="192"/>
        <v>#REF!</v>
      </c>
      <c r="H362" s="720">
        <f t="shared" si="198"/>
        <v>272.69304082958826</v>
      </c>
      <c r="I362" s="104" t="e">
        <f t="shared" si="199"/>
        <v>#REF!</v>
      </c>
      <c r="J362" s="28"/>
      <c r="K362" s="139" t="e">
        <f t="shared" si="200"/>
        <v>#REF!</v>
      </c>
      <c r="L362" s="200">
        <f t="shared" si="201"/>
        <v>64.08083429676438</v>
      </c>
      <c r="M362" s="104">
        <f t="shared" si="193"/>
        <v>14.098932206034091</v>
      </c>
      <c r="N362" s="323">
        <v>0</v>
      </c>
      <c r="O362" s="104"/>
      <c r="P362" s="104">
        <f t="shared" si="202"/>
        <v>53.537915372640818</v>
      </c>
      <c r="Q362" s="104">
        <f t="shared" si="203"/>
        <v>16.953756208953653</v>
      </c>
      <c r="R362" s="104"/>
      <c r="S362" s="140">
        <f t="shared" si="204"/>
        <v>148.67143808439295</v>
      </c>
      <c r="T362" s="880">
        <v>329.04</v>
      </c>
      <c r="U362" s="104"/>
      <c r="V362" s="148">
        <f t="shared" si="205"/>
        <v>329.04</v>
      </c>
      <c r="W362" s="236"/>
      <c r="X362" s="104"/>
      <c r="Y362" s="45">
        <f t="shared" si="206"/>
        <v>0</v>
      </c>
      <c r="Z362" s="138">
        <f t="shared" si="207"/>
        <v>0</v>
      </c>
      <c r="AA362" s="104">
        <f t="shared" si="194"/>
        <v>0</v>
      </c>
      <c r="AB362" s="323">
        <v>0</v>
      </c>
      <c r="AC362" s="104"/>
      <c r="AD362" s="104">
        <f t="shared" si="208"/>
        <v>0</v>
      </c>
      <c r="AE362" s="104">
        <f t="shared" si="209"/>
        <v>0</v>
      </c>
      <c r="AF362" s="104"/>
      <c r="AG362" s="139">
        <f t="shared" si="210"/>
        <v>0</v>
      </c>
      <c r="AH362" s="200">
        <f t="shared" si="211"/>
        <v>242.12461118393909</v>
      </c>
      <c r="AI362" s="104">
        <f t="shared" si="195"/>
        <v>48.29555341112183</v>
      </c>
      <c r="AJ362" s="323">
        <v>22.553383872283522</v>
      </c>
      <c r="AK362" s="118" t="e">
        <f t="shared" si="196"/>
        <v>#REF!</v>
      </c>
      <c r="AL362" s="104"/>
      <c r="AM362" s="104">
        <f t="shared" si="212"/>
        <v>202.28898523959796</v>
      </c>
      <c r="AN362" s="104" t="e">
        <f t="shared" si="213"/>
        <v>#REF!</v>
      </c>
      <c r="AO362" s="104"/>
      <c r="AP362" s="140" t="e">
        <f t="shared" si="214"/>
        <v>#REF!</v>
      </c>
      <c r="AQ362" s="33"/>
      <c r="AR362" s="28"/>
      <c r="AS362" s="121"/>
      <c r="AT362" s="135" t="e">
        <f t="shared" si="215"/>
        <v>#REF!</v>
      </c>
      <c r="AU362" s="148" t="e">
        <f t="shared" si="216"/>
        <v>#REF!</v>
      </c>
      <c r="AW362" s="1">
        <v>2</v>
      </c>
      <c r="BA362" s="29">
        <v>297.58999999999997</v>
      </c>
      <c r="BB362" s="29">
        <v>57.59</v>
      </c>
      <c r="BC362" s="29">
        <v>0</v>
      </c>
      <c r="BD362" s="29">
        <v>233.51</v>
      </c>
      <c r="BF362" s="279">
        <f t="shared" si="218"/>
        <v>394.84800000000001</v>
      </c>
      <c r="BI362" s="323">
        <v>0</v>
      </c>
      <c r="BL362" s="107">
        <f t="shared" si="219"/>
        <v>1.0967873225415627</v>
      </c>
      <c r="BM362" s="107">
        <f t="shared" si="219"/>
        <v>1.1127076627324948</v>
      </c>
      <c r="BN362" s="107">
        <f t="shared" si="219"/>
        <v>2.8314493742615632</v>
      </c>
      <c r="BO362" s="107">
        <f t="shared" si="219"/>
        <v>1.036891829831438</v>
      </c>
    </row>
    <row r="363" spans="1:67" x14ac:dyDescent="0.25">
      <c r="A363" s="250" t="s">
        <v>411</v>
      </c>
      <c r="B363" s="227">
        <v>9</v>
      </c>
      <c r="C363" s="226">
        <f>'побудинковий звіт'!E349</f>
        <v>2405.4</v>
      </c>
      <c r="D363" s="138">
        <f t="shared" si="197"/>
        <v>250.95590727073497</v>
      </c>
      <c r="E363" s="104">
        <f t="shared" si="191"/>
        <v>51.72878404365877</v>
      </c>
      <c r="F363" s="323">
        <v>50.681090432712814</v>
      </c>
      <c r="G363" s="104">
        <v>0</v>
      </c>
      <c r="H363" s="720">
        <f t="shared" si="198"/>
        <v>209.6673096280725</v>
      </c>
      <c r="I363" s="104">
        <f t="shared" si="199"/>
        <v>72.469585197947637</v>
      </c>
      <c r="J363" s="28"/>
      <c r="K363" s="139">
        <f t="shared" si="200"/>
        <v>635.50267657312668</v>
      </c>
      <c r="L363" s="200">
        <f t="shared" si="201"/>
        <v>37.44261285094845</v>
      </c>
      <c r="M363" s="104">
        <f t="shared" si="193"/>
        <v>8.2380459929336194</v>
      </c>
      <c r="N363" s="323">
        <v>0</v>
      </c>
      <c r="O363" s="104"/>
      <c r="P363" s="104">
        <f t="shared" si="202"/>
        <v>31.282355483406207</v>
      </c>
      <c r="Q363" s="104">
        <f t="shared" si="203"/>
        <v>9.9061277379977497</v>
      </c>
      <c r="R363" s="104"/>
      <c r="S363" s="140">
        <f t="shared" si="204"/>
        <v>86.869142065286027</v>
      </c>
      <c r="T363" s="880">
        <v>276.22500000000002</v>
      </c>
      <c r="U363" s="104"/>
      <c r="V363" s="148">
        <f t="shared" si="205"/>
        <v>276.22500000000002</v>
      </c>
      <c r="W363" s="882">
        <v>64.040000000000006</v>
      </c>
      <c r="X363" s="104"/>
      <c r="Y363" s="45">
        <f t="shared" si="206"/>
        <v>64.040000000000006</v>
      </c>
      <c r="Z363" s="138">
        <f t="shared" si="207"/>
        <v>37.346817246510014</v>
      </c>
      <c r="AA363" s="104">
        <f t="shared" si="194"/>
        <v>8.2091260540001478</v>
      </c>
      <c r="AB363" s="323">
        <v>0</v>
      </c>
      <c r="AC363" s="104"/>
      <c r="AD363" s="104">
        <f t="shared" si="208"/>
        <v>31.202320680180261</v>
      </c>
      <c r="AE363" s="104">
        <f t="shared" si="209"/>
        <v>9.8797737404896449</v>
      </c>
      <c r="AF363" s="104"/>
      <c r="AG363" s="139">
        <f t="shared" si="210"/>
        <v>86.638037721180069</v>
      </c>
      <c r="AH363" s="200">
        <f t="shared" si="211"/>
        <v>115.42679849683567</v>
      </c>
      <c r="AI363" s="104">
        <f t="shared" si="195"/>
        <v>23.023686376284019</v>
      </c>
      <c r="AJ363" s="323">
        <v>19.898365788101597</v>
      </c>
      <c r="AK363" s="118" t="e">
        <f t="shared" si="196"/>
        <v>#REF!</v>
      </c>
      <c r="AL363" s="104"/>
      <c r="AM363" s="104">
        <f t="shared" si="212"/>
        <v>96.436169058592967</v>
      </c>
      <c r="AN363" s="104" t="e">
        <f t="shared" si="213"/>
        <v>#REF!</v>
      </c>
      <c r="AO363" s="104"/>
      <c r="AP363" s="140" t="e">
        <f t="shared" si="214"/>
        <v>#REF!</v>
      </c>
      <c r="AQ363" s="33"/>
      <c r="AR363" s="28"/>
      <c r="AS363" s="121"/>
      <c r="AT363" s="135" t="e">
        <f t="shared" si="215"/>
        <v>#REF!</v>
      </c>
      <c r="AU363" s="148" t="e">
        <f t="shared" si="216"/>
        <v>#REF!</v>
      </c>
      <c r="AW363" s="1">
        <v>2</v>
      </c>
      <c r="BA363" s="29">
        <v>228.81</v>
      </c>
      <c r="BB363" s="29">
        <v>33.65</v>
      </c>
      <c r="BC363" s="29">
        <v>13.19</v>
      </c>
      <c r="BD363" s="29">
        <v>111.32</v>
      </c>
      <c r="BF363" s="279">
        <f t="shared" si="218"/>
        <v>331.47</v>
      </c>
      <c r="BI363" s="323">
        <v>0</v>
      </c>
      <c r="BL363" s="107">
        <f t="shared" si="219"/>
        <v>1.0967873225415627</v>
      </c>
      <c r="BM363" s="107">
        <f t="shared" si="219"/>
        <v>1.1127076627324948</v>
      </c>
      <c r="BN363" s="107">
        <f t="shared" si="219"/>
        <v>2.8314493742615632</v>
      </c>
      <c r="BO363" s="107">
        <f t="shared" si="219"/>
        <v>1.036891829831438</v>
      </c>
    </row>
    <row r="364" spans="1:67" x14ac:dyDescent="0.25">
      <c r="A364" s="250" t="s">
        <v>330</v>
      </c>
      <c r="B364" s="227">
        <v>5</v>
      </c>
      <c r="C364" s="226">
        <f>'побудинковий звіт'!E350</f>
        <v>3011.4300000000003</v>
      </c>
      <c r="D364" s="138">
        <f t="shared" si="197"/>
        <v>317.23476517192159</v>
      </c>
      <c r="E364" s="104">
        <f t="shared" si="191"/>
        <v>65.390645062662742</v>
      </c>
      <c r="F364" s="323">
        <v>64.548544199279107</v>
      </c>
      <c r="G364" s="104" t="e">
        <f>$G$369/$C$368*C364</f>
        <v>#REF!</v>
      </c>
      <c r="H364" s="720">
        <f t="shared" si="198"/>
        <v>265.04161809721467</v>
      </c>
      <c r="I364" s="104" t="e">
        <f t="shared" si="199"/>
        <v>#REF!</v>
      </c>
      <c r="J364" s="28"/>
      <c r="K364" s="139" t="e">
        <f t="shared" si="200"/>
        <v>#REF!</v>
      </c>
      <c r="L364" s="200">
        <f t="shared" si="201"/>
        <v>65.683133331099171</v>
      </c>
      <c r="M364" s="104">
        <f t="shared" si="193"/>
        <v>14.451466715092765</v>
      </c>
      <c r="N364" s="323">
        <v>0</v>
      </c>
      <c r="O364" s="104"/>
      <c r="P364" s="104">
        <f t="shared" si="202"/>
        <v>54.876595666730111</v>
      </c>
      <c r="Q364" s="104">
        <f t="shared" si="203"/>
        <v>17.377673710966036</v>
      </c>
      <c r="R364" s="104"/>
      <c r="S364" s="140">
        <f t="shared" si="204"/>
        <v>152.38886942388808</v>
      </c>
      <c r="T364" s="880">
        <v>360.85</v>
      </c>
      <c r="U364" s="104"/>
      <c r="V364" s="148">
        <f t="shared" si="205"/>
        <v>360.85</v>
      </c>
      <c r="W364" s="236"/>
      <c r="X364" s="104"/>
      <c r="Y364" s="45">
        <f t="shared" si="206"/>
        <v>0</v>
      </c>
      <c r="Z364" s="138">
        <f t="shared" si="207"/>
        <v>0</v>
      </c>
      <c r="AA364" s="104">
        <f t="shared" si="194"/>
        <v>0</v>
      </c>
      <c r="AB364" s="323">
        <v>0</v>
      </c>
      <c r="AC364" s="104"/>
      <c r="AD364" s="104">
        <f t="shared" si="208"/>
        <v>0</v>
      </c>
      <c r="AE364" s="104">
        <f t="shared" si="209"/>
        <v>0</v>
      </c>
      <c r="AF364" s="104"/>
      <c r="AG364" s="139">
        <f t="shared" si="210"/>
        <v>0</v>
      </c>
      <c r="AH364" s="200">
        <f t="shared" si="211"/>
        <v>184.77412407596225</v>
      </c>
      <c r="AI364" s="104">
        <f t="shared" si="195"/>
        <v>36.856098744644378</v>
      </c>
      <c r="AJ364" s="323">
        <v>25.342993463646135</v>
      </c>
      <c r="AK364" s="118" t="e">
        <f t="shared" si="196"/>
        <v>#REF!</v>
      </c>
      <c r="AL364" s="408"/>
      <c r="AM364" s="104">
        <f t="shared" si="212"/>
        <v>154.37410461948679</v>
      </c>
      <c r="AN364" s="104" t="e">
        <f t="shared" si="213"/>
        <v>#REF!</v>
      </c>
      <c r="AO364" s="104"/>
      <c r="AP364" s="140" t="e">
        <f t="shared" si="214"/>
        <v>#REF!</v>
      </c>
      <c r="AQ364" s="33"/>
      <c r="AR364" s="28"/>
      <c r="AS364" s="121"/>
      <c r="AT364" s="135" t="e">
        <f t="shared" si="215"/>
        <v>#REF!</v>
      </c>
      <c r="AU364" s="148" t="e">
        <f t="shared" si="216"/>
        <v>#REF!</v>
      </c>
      <c r="AW364" s="1">
        <v>2</v>
      </c>
      <c r="BA364" s="29">
        <v>289.24</v>
      </c>
      <c r="BB364" s="29">
        <v>59.03</v>
      </c>
      <c r="BC364" s="29">
        <v>0</v>
      </c>
      <c r="BD364" s="29">
        <v>178.2</v>
      </c>
      <c r="BF364" s="279">
        <f t="shared" si="218"/>
        <v>433.02000000000004</v>
      </c>
      <c r="BI364" s="323">
        <v>0</v>
      </c>
      <c r="BL364" s="107">
        <f t="shared" si="219"/>
        <v>1.0967873225415627</v>
      </c>
      <c r="BM364" s="107">
        <f t="shared" si="219"/>
        <v>1.1127076627324948</v>
      </c>
      <c r="BN364" s="107">
        <f t="shared" si="219"/>
        <v>2.8314493742615632</v>
      </c>
      <c r="BO364" s="107">
        <f t="shared" si="219"/>
        <v>1.036891829831438</v>
      </c>
    </row>
    <row r="365" spans="1:67" x14ac:dyDescent="0.25">
      <c r="A365" s="250" t="s">
        <v>331</v>
      </c>
      <c r="B365" s="227">
        <v>5</v>
      </c>
      <c r="C365" s="226">
        <f>'побудинковий звіт'!E351</f>
        <v>1851.98</v>
      </c>
      <c r="D365" s="138">
        <f t="shared" si="197"/>
        <v>227.58336942737427</v>
      </c>
      <c r="E365" s="104">
        <f t="shared" si="191"/>
        <v>46.911073331843866</v>
      </c>
      <c r="F365" s="323">
        <v>39.019846435502693</v>
      </c>
      <c r="G365" s="104" t="e">
        <f>$G$369/$C$368*C365</f>
        <v>#REF!</v>
      </c>
      <c r="H365" s="720">
        <f t="shared" si="198"/>
        <v>190.14014574461362</v>
      </c>
      <c r="I365" s="104" t="e">
        <f t="shared" si="199"/>
        <v>#REF!</v>
      </c>
      <c r="J365" s="28"/>
      <c r="K365" s="139" t="e">
        <f t="shared" si="200"/>
        <v>#REF!</v>
      </c>
      <c r="L365" s="200">
        <f t="shared" si="201"/>
        <v>39.067166038537891</v>
      </c>
      <c r="M365" s="104">
        <f t="shared" si="193"/>
        <v>8.5954768146181078</v>
      </c>
      <c r="N365" s="323">
        <v>0</v>
      </c>
      <c r="O365" s="104"/>
      <c r="P365" s="104">
        <f t="shared" si="202"/>
        <v>32.639628559357853</v>
      </c>
      <c r="Q365" s="104">
        <f t="shared" si="203"/>
        <v>10.335932983093638</v>
      </c>
      <c r="R365" s="104"/>
      <c r="S365" s="140">
        <f t="shared" si="204"/>
        <v>90.638204395607488</v>
      </c>
      <c r="T365" s="880">
        <v>228.90799999999999</v>
      </c>
      <c r="U365" s="104"/>
      <c r="V365" s="148">
        <f t="shared" si="205"/>
        <v>228.90799999999999</v>
      </c>
      <c r="W365" s="236"/>
      <c r="X365" s="104"/>
      <c r="Y365" s="45">
        <f t="shared" si="206"/>
        <v>0</v>
      </c>
      <c r="Z365" s="138">
        <f t="shared" si="207"/>
        <v>0</v>
      </c>
      <c r="AA365" s="104">
        <f t="shared" si="194"/>
        <v>0</v>
      </c>
      <c r="AB365" s="323">
        <v>0</v>
      </c>
      <c r="AC365" s="104"/>
      <c r="AD365" s="104">
        <f t="shared" si="208"/>
        <v>0</v>
      </c>
      <c r="AE365" s="104">
        <f t="shared" si="209"/>
        <v>0</v>
      </c>
      <c r="AF365" s="104"/>
      <c r="AG365" s="139">
        <f t="shared" si="210"/>
        <v>0</v>
      </c>
      <c r="AH365" s="200">
        <f t="shared" si="211"/>
        <v>98.784684628041092</v>
      </c>
      <c r="AI365" s="104">
        <f t="shared" si="195"/>
        <v>19.704155597094669</v>
      </c>
      <c r="AJ365" s="323">
        <v>15.319938279544722</v>
      </c>
      <c r="AK365" s="118" t="e">
        <f t="shared" si="196"/>
        <v>#REF!</v>
      </c>
      <c r="AL365" s="28"/>
      <c r="AM365" s="104">
        <f t="shared" si="212"/>
        <v>82.532104080238526</v>
      </c>
      <c r="AN365" s="104" t="e">
        <f t="shared" si="213"/>
        <v>#REF!</v>
      </c>
      <c r="AO365" s="104"/>
      <c r="AP365" s="140" t="e">
        <f t="shared" si="214"/>
        <v>#REF!</v>
      </c>
      <c r="AQ365" s="33"/>
      <c r="AR365" s="28"/>
      <c r="AS365" s="121"/>
      <c r="AT365" s="135" t="e">
        <f t="shared" si="215"/>
        <v>#REF!</v>
      </c>
      <c r="AU365" s="148" t="e">
        <f t="shared" si="216"/>
        <v>#REF!</v>
      </c>
      <c r="AW365" s="1">
        <v>2</v>
      </c>
      <c r="BA365" s="29">
        <v>207.5</v>
      </c>
      <c r="BB365" s="29">
        <v>35.11</v>
      </c>
      <c r="BC365" s="29">
        <v>0</v>
      </c>
      <c r="BD365" s="29">
        <v>95.27</v>
      </c>
      <c r="BF365" s="279">
        <f t="shared" si="218"/>
        <v>274.68959999999998</v>
      </c>
      <c r="BI365" s="323">
        <v>0</v>
      </c>
      <c r="BL365" s="107">
        <f t="shared" si="219"/>
        <v>1.0967873225415627</v>
      </c>
      <c r="BM365" s="107">
        <f t="shared" si="219"/>
        <v>1.1127076627324948</v>
      </c>
      <c r="BN365" s="107">
        <f t="shared" si="219"/>
        <v>2.8314493742615632</v>
      </c>
      <c r="BO365" s="107">
        <f t="shared" si="219"/>
        <v>1.036891829831438</v>
      </c>
    </row>
    <row r="366" spans="1:67" x14ac:dyDescent="0.25">
      <c r="A366" s="250" t="s">
        <v>332</v>
      </c>
      <c r="B366" s="227">
        <v>5</v>
      </c>
      <c r="C366" s="226">
        <f>'побудинковий звіт'!E352</f>
        <v>3396.3</v>
      </c>
      <c r="D366" s="138">
        <f t="shared" si="197"/>
        <v>408.41069529480171</v>
      </c>
      <c r="E366" s="104">
        <f t="shared" si="191"/>
        <v>84.184464465439518</v>
      </c>
      <c r="F366" s="323">
        <v>71.631760704504615</v>
      </c>
      <c r="G366" s="104" t="e">
        <f>$G$369/$C$368*C366</f>
        <v>#REF!</v>
      </c>
      <c r="H366" s="720">
        <f t="shared" si="198"/>
        <v>341.21680034179167</v>
      </c>
      <c r="I366" s="104" t="e">
        <f t="shared" si="199"/>
        <v>#REF!</v>
      </c>
      <c r="J366" s="28"/>
      <c r="K366" s="139" t="e">
        <f t="shared" si="200"/>
        <v>#REF!</v>
      </c>
      <c r="L366" s="200">
        <f t="shared" si="201"/>
        <v>86.056810635731154</v>
      </c>
      <c r="M366" s="104">
        <f t="shared" si="193"/>
        <v>18.934040924026334</v>
      </c>
      <c r="N366" s="323">
        <v>0</v>
      </c>
      <c r="O366" s="104"/>
      <c r="P366" s="104">
        <f t="shared" si="202"/>
        <v>71.898287461712812</v>
      </c>
      <c r="Q366" s="104">
        <f t="shared" si="203"/>
        <v>22.767902503915185</v>
      </c>
      <c r="R366" s="104"/>
      <c r="S366" s="140">
        <f t="shared" si="204"/>
        <v>199.65704152538549</v>
      </c>
      <c r="T366" s="880">
        <v>391.89</v>
      </c>
      <c r="U366" s="104"/>
      <c r="V366" s="148">
        <f t="shared" si="205"/>
        <v>391.89</v>
      </c>
      <c r="W366" s="236"/>
      <c r="X366" s="104"/>
      <c r="Y366" s="45">
        <f t="shared" si="206"/>
        <v>0</v>
      </c>
      <c r="Z366" s="138">
        <f t="shared" si="207"/>
        <v>0</v>
      </c>
      <c r="AA366" s="104">
        <f t="shared" si="194"/>
        <v>0</v>
      </c>
      <c r="AB366" s="323">
        <v>0</v>
      </c>
      <c r="AC366" s="104"/>
      <c r="AD366" s="104">
        <f t="shared" si="208"/>
        <v>0</v>
      </c>
      <c r="AE366" s="104">
        <f t="shared" si="209"/>
        <v>0</v>
      </c>
      <c r="AF366" s="104"/>
      <c r="AG366" s="139">
        <f t="shared" si="210"/>
        <v>0</v>
      </c>
      <c r="AH366" s="200">
        <f t="shared" si="211"/>
        <v>245.31823801981992</v>
      </c>
      <c r="AI366" s="104">
        <f t="shared" si="195"/>
        <v>48.932572401770003</v>
      </c>
      <c r="AJ366" s="323">
        <v>28.123999787186499</v>
      </c>
      <c r="AK366" s="118" t="e">
        <f t="shared" si="196"/>
        <v>#REF!</v>
      </c>
      <c r="AL366" s="485"/>
      <c r="AM366" s="104">
        <f t="shared" si="212"/>
        <v>204.95717964042859</v>
      </c>
      <c r="AN366" s="104" t="e">
        <f t="shared" si="213"/>
        <v>#REF!</v>
      </c>
      <c r="AO366" s="104"/>
      <c r="AP366" s="140" t="e">
        <f t="shared" si="214"/>
        <v>#REF!</v>
      </c>
      <c r="AQ366" s="33"/>
      <c r="AR366" s="28"/>
      <c r="AS366" s="121"/>
      <c r="AT366" s="135" t="e">
        <f t="shared" si="215"/>
        <v>#REF!</v>
      </c>
      <c r="AU366" s="148" t="e">
        <f t="shared" si="216"/>
        <v>#REF!</v>
      </c>
      <c r="AW366" s="1">
        <v>2</v>
      </c>
      <c r="BA366" s="29">
        <v>372.37</v>
      </c>
      <c r="BB366" s="29">
        <v>77.34</v>
      </c>
      <c r="BC366" s="29">
        <v>0</v>
      </c>
      <c r="BD366" s="29">
        <v>236.59</v>
      </c>
      <c r="BF366" s="279">
        <f t="shared" si="218"/>
        <v>470.26799999999997</v>
      </c>
      <c r="BI366" s="323">
        <v>0</v>
      </c>
      <c r="BL366" s="107">
        <f t="shared" si="219"/>
        <v>1.0967873225415627</v>
      </c>
      <c r="BM366" s="107">
        <f t="shared" si="219"/>
        <v>1.1127076627324948</v>
      </c>
      <c r="BN366" s="107">
        <f t="shared" si="219"/>
        <v>2.8314493742615632</v>
      </c>
      <c r="BO366" s="107">
        <f t="shared" si="219"/>
        <v>1.036891829831438</v>
      </c>
    </row>
    <row r="367" spans="1:67" ht="14.4" thickBot="1" x14ac:dyDescent="0.3">
      <c r="A367" s="426" t="s">
        <v>238</v>
      </c>
      <c r="B367" s="230">
        <v>4</v>
      </c>
      <c r="C367" s="226">
        <f>'побудинковий звіт'!E353</f>
        <v>1494.66</v>
      </c>
      <c r="D367" s="138">
        <f t="shared" si="197"/>
        <v>196.30299498848888</v>
      </c>
      <c r="E367" s="110">
        <f t="shared" si="191"/>
        <v>40.463344120161032</v>
      </c>
      <c r="F367" s="323">
        <v>31.490794778719788</v>
      </c>
      <c r="G367" s="104" t="e">
        <f>$G$369/$C$368*C367</f>
        <v>#REF!</v>
      </c>
      <c r="H367" s="720">
        <f t="shared" si="198"/>
        <v>164.00618450781178</v>
      </c>
      <c r="I367" s="110" t="e">
        <f t="shared" si="199"/>
        <v>#REF!</v>
      </c>
      <c r="J367" s="49"/>
      <c r="K367" s="202" t="e">
        <f t="shared" si="200"/>
        <v>#REF!</v>
      </c>
      <c r="L367" s="200">
        <f t="shared" si="201"/>
        <v>35.005783069564288</v>
      </c>
      <c r="M367" s="110">
        <f t="shared" si="193"/>
        <v>7.7018997604068842</v>
      </c>
      <c r="N367" s="323">
        <v>0</v>
      </c>
      <c r="O367" s="110"/>
      <c r="P367" s="110">
        <f t="shared" si="202"/>
        <v>29.24644586947873</v>
      </c>
      <c r="Q367" s="110">
        <f t="shared" si="203"/>
        <v>9.2614198703539135</v>
      </c>
      <c r="R367" s="110"/>
      <c r="S367" s="203">
        <f t="shared" si="204"/>
        <v>81.215548569803815</v>
      </c>
      <c r="T367" s="880">
        <v>181.625</v>
      </c>
      <c r="U367" s="104"/>
      <c r="V367" s="191">
        <f t="shared" si="205"/>
        <v>181.625</v>
      </c>
      <c r="W367" s="236"/>
      <c r="X367" s="110"/>
      <c r="Y367" s="199">
        <f t="shared" si="206"/>
        <v>0</v>
      </c>
      <c r="Z367" s="138">
        <f t="shared" si="207"/>
        <v>0</v>
      </c>
      <c r="AA367" s="110">
        <f t="shared" si="194"/>
        <v>0</v>
      </c>
      <c r="AB367" s="323">
        <v>0</v>
      </c>
      <c r="AC367" s="110"/>
      <c r="AD367" s="110">
        <f t="shared" si="208"/>
        <v>0</v>
      </c>
      <c r="AE367" s="110">
        <f t="shared" si="209"/>
        <v>0</v>
      </c>
      <c r="AF367" s="110"/>
      <c r="AG367" s="202">
        <f t="shared" si="210"/>
        <v>0</v>
      </c>
      <c r="AH367" s="200">
        <f t="shared" si="211"/>
        <v>93.859448436341765</v>
      </c>
      <c r="AI367" s="110">
        <f t="shared" si="195"/>
        <v>18.721739945932711</v>
      </c>
      <c r="AJ367" s="323">
        <v>12.363888545313316</v>
      </c>
      <c r="AK367" s="118" t="e">
        <f t="shared" si="196"/>
        <v>#REF!</v>
      </c>
      <c r="AL367" s="49"/>
      <c r="AM367" s="110">
        <f t="shared" si="212"/>
        <v>78.417193884152312</v>
      </c>
      <c r="AN367" s="104" t="e">
        <f t="shared" si="213"/>
        <v>#REF!</v>
      </c>
      <c r="AO367" s="104"/>
      <c r="AP367" s="140" t="e">
        <f t="shared" si="214"/>
        <v>#REF!</v>
      </c>
      <c r="AQ367" s="34"/>
      <c r="AR367" s="49"/>
      <c r="AS367" s="146"/>
      <c r="AT367" s="135" t="e">
        <f t="shared" si="215"/>
        <v>#REF!</v>
      </c>
      <c r="AU367" s="191" t="e">
        <f t="shared" si="216"/>
        <v>#REF!</v>
      </c>
      <c r="AW367" s="1">
        <v>2</v>
      </c>
      <c r="BA367" s="29">
        <v>178.98</v>
      </c>
      <c r="BB367" s="29">
        <v>31.46</v>
      </c>
      <c r="BC367" s="29">
        <v>0</v>
      </c>
      <c r="BD367" s="29">
        <v>90.52</v>
      </c>
      <c r="BF367" s="279">
        <f t="shared" si="218"/>
        <v>217.95</v>
      </c>
      <c r="BI367" s="324">
        <v>0</v>
      </c>
      <c r="BL367" s="107">
        <f t="shared" si="219"/>
        <v>1.0967873225415627</v>
      </c>
      <c r="BM367" s="107">
        <f t="shared" si="219"/>
        <v>1.1127076627324948</v>
      </c>
      <c r="BN367" s="107">
        <f t="shared" si="219"/>
        <v>2.8314493742615632</v>
      </c>
      <c r="BO367" s="107">
        <f t="shared" si="219"/>
        <v>1.036891829831438</v>
      </c>
    </row>
    <row r="368" spans="1:67" s="4" customFormat="1" ht="14.4" thickBot="1" x14ac:dyDescent="0.35">
      <c r="A368" s="213" t="s">
        <v>824</v>
      </c>
      <c r="B368" s="231"/>
      <c r="C368" s="145" t="e">
        <f t="shared" ref="C368:AU368" si="220">SUM(C9:C367)</f>
        <v>#REF!</v>
      </c>
      <c r="D368" s="145">
        <f t="shared" si="220"/>
        <v>113546.51222256162</v>
      </c>
      <c r="E368" s="111">
        <f t="shared" si="220"/>
        <v>23404.999999999996</v>
      </c>
      <c r="F368" s="111">
        <f t="shared" si="220"/>
        <v>21967.45</v>
      </c>
      <c r="G368" s="111" t="e">
        <f t="shared" si="220"/>
        <v>#REF!</v>
      </c>
      <c r="H368" s="111">
        <f t="shared" si="220"/>
        <v>94865.237460508244</v>
      </c>
      <c r="I368" s="111" t="e">
        <f t="shared" si="220"/>
        <v>#REF!</v>
      </c>
      <c r="J368" s="111">
        <f t="shared" si="220"/>
        <v>0</v>
      </c>
      <c r="K368" s="206" t="e">
        <f t="shared" si="220"/>
        <v>#REF!</v>
      </c>
      <c r="L368" s="195">
        <f t="shared" si="220"/>
        <v>22484.531639241439</v>
      </c>
      <c r="M368" s="111">
        <f t="shared" si="220"/>
        <v>4947.0000000000018</v>
      </c>
      <c r="N368" s="111">
        <f t="shared" si="220"/>
        <v>551.99999999999989</v>
      </c>
      <c r="O368" s="111">
        <f t="shared" si="220"/>
        <v>0</v>
      </c>
      <c r="P368" s="111">
        <f t="shared" si="220"/>
        <v>18785.257172532714</v>
      </c>
      <c r="Q368" s="111">
        <f t="shared" si="220"/>
        <v>6019.7433815505592</v>
      </c>
      <c r="R368" s="111">
        <f t="shared" si="220"/>
        <v>0</v>
      </c>
      <c r="S368" s="204">
        <f t="shared" si="220"/>
        <v>52788.532193324696</v>
      </c>
      <c r="T368" s="145">
        <f t="shared" si="220"/>
        <v>115234.04133333337</v>
      </c>
      <c r="U368" s="111">
        <f t="shared" si="220"/>
        <v>0</v>
      </c>
      <c r="V368" s="109">
        <f t="shared" si="220"/>
        <v>115234.04133333337</v>
      </c>
      <c r="W368" s="111">
        <f t="shared" si="220"/>
        <v>15747.309333333338</v>
      </c>
      <c r="X368" s="111">
        <f t="shared" si="220"/>
        <v>0</v>
      </c>
      <c r="Y368" s="193">
        <f t="shared" si="220"/>
        <v>15747.309333333338</v>
      </c>
      <c r="Z368" s="145">
        <f t="shared" si="220"/>
        <v>4139.9782961992114</v>
      </c>
      <c r="AA368" s="111">
        <f t="shared" si="220"/>
        <v>909.99999999999943</v>
      </c>
      <c r="AB368" s="111">
        <f t="shared" si="220"/>
        <v>759.36599999999987</v>
      </c>
      <c r="AC368" s="111">
        <f t="shared" si="220"/>
        <v>0</v>
      </c>
      <c r="AD368" s="111">
        <f t="shared" si="220"/>
        <v>3458.84709677812</v>
      </c>
      <c r="AE368" s="111">
        <f t="shared" si="220"/>
        <v>1192.9351863560216</v>
      </c>
      <c r="AF368" s="111">
        <f t="shared" si="220"/>
        <v>0</v>
      </c>
      <c r="AG368" s="109">
        <f t="shared" si="220"/>
        <v>10461.126579333357</v>
      </c>
      <c r="AH368" s="195">
        <f t="shared" si="220"/>
        <v>68593.249196638746</v>
      </c>
      <c r="AI368" s="111">
        <f t="shared" si="220"/>
        <v>13681.999999999993</v>
      </c>
      <c r="AJ368" s="111">
        <f t="shared" si="220"/>
        <v>11653.509999999998</v>
      </c>
      <c r="AK368" s="111" t="e">
        <f t="shared" si="220"/>
        <v>#REF!</v>
      </c>
      <c r="AL368" s="249">
        <f t="shared" si="220"/>
        <v>26845.980000000007</v>
      </c>
      <c r="AM368" s="111">
        <f t="shared" si="220"/>
        <v>57307.923826602455</v>
      </c>
      <c r="AN368" s="111" t="e">
        <f t="shared" si="220"/>
        <v>#REF!</v>
      </c>
      <c r="AO368" s="111">
        <f t="shared" si="220"/>
        <v>0</v>
      </c>
      <c r="AP368" s="193" t="e">
        <f t="shared" si="220"/>
        <v>#REF!</v>
      </c>
      <c r="AQ368" s="292">
        <f t="shared" si="220"/>
        <v>0</v>
      </c>
      <c r="AR368" s="193">
        <f t="shared" si="220"/>
        <v>0</v>
      </c>
      <c r="AS368" s="109">
        <f t="shared" si="220"/>
        <v>0</v>
      </c>
      <c r="AT368" s="145" t="e">
        <f t="shared" si="220"/>
        <v>#REF!</v>
      </c>
      <c r="AU368" s="109" t="e">
        <f t="shared" si="220"/>
        <v>#REF!</v>
      </c>
      <c r="AW368" s="1"/>
      <c r="BA368" s="583">
        <f>SUM(BA9:BA367)</f>
        <v>106563.89399999999</v>
      </c>
      <c r="BB368" s="583">
        <f>SUM(BB9:BB367)</f>
        <v>20237.090000000004</v>
      </c>
      <c r="BC368" s="583">
        <f>SUM(BC9:BC367)</f>
        <v>5378.93</v>
      </c>
      <c r="BD368" s="583">
        <f>SUM(BD9:BD367)</f>
        <v>65163.959999999992</v>
      </c>
      <c r="BI368" s="325">
        <f>SUM(BI9:BI367)</f>
        <v>378.81000000000006</v>
      </c>
      <c r="BL368" s="584"/>
      <c r="BM368" s="584"/>
      <c r="BN368" s="584"/>
      <c r="BO368" s="584"/>
    </row>
    <row r="369" spans="1:67" s="115" customFormat="1" x14ac:dyDescent="0.25">
      <c r="A369" s="214" t="s">
        <v>985</v>
      </c>
      <c r="B369" s="112"/>
      <c r="C369" s="113"/>
      <c r="D369" s="197"/>
      <c r="E369" s="114"/>
      <c r="F369" s="114"/>
      <c r="G369" s="114">
        <v>0</v>
      </c>
      <c r="H369" s="114"/>
      <c r="I369" s="114"/>
      <c r="J369" s="114"/>
      <c r="K369" s="198"/>
      <c r="L369" s="201"/>
      <c r="M369" s="114"/>
      <c r="N369" s="114"/>
      <c r="O369" s="114"/>
      <c r="P369" s="114"/>
      <c r="Q369" s="114"/>
      <c r="R369" s="114"/>
      <c r="S369" s="194"/>
      <c r="T369" s="235"/>
      <c r="U369" s="114"/>
      <c r="V369" s="198"/>
      <c r="W369" s="236"/>
      <c r="X369" s="114"/>
      <c r="Y369" s="194"/>
      <c r="Z369" s="197"/>
      <c r="AA369" s="114"/>
      <c r="AB369" s="114"/>
      <c r="AC369" s="114"/>
      <c r="AD369" s="114"/>
      <c r="AE369" s="114"/>
      <c r="AF369" s="114"/>
      <c r="AG369" s="198"/>
      <c r="AH369" s="201"/>
      <c r="AI369" s="114"/>
      <c r="AJ369" s="114"/>
      <c r="AK369" s="114">
        <v>0</v>
      </c>
      <c r="AL369" s="114"/>
      <c r="AM369" s="114"/>
      <c r="AN369" s="114"/>
      <c r="AO369" s="114"/>
      <c r="AP369" s="194"/>
      <c r="AQ369" s="197"/>
      <c r="AR369" s="114"/>
      <c r="AS369" s="198"/>
      <c r="AT369" s="196"/>
      <c r="AU369" s="192"/>
      <c r="AW369" s="1"/>
      <c r="AZ369" s="115" t="s">
        <v>983</v>
      </c>
      <c r="BA369" s="116">
        <f>BA394</f>
        <v>113546.51222256164</v>
      </c>
      <c r="BB369" s="116">
        <f>BB394</f>
        <v>22484.531639241424</v>
      </c>
      <c r="BC369" s="116">
        <f>BC394</f>
        <v>4139.9782961992141</v>
      </c>
      <c r="BD369" s="116">
        <f>BD394</f>
        <v>68593.249196638717</v>
      </c>
      <c r="BI369" s="114"/>
      <c r="BL369" s="108"/>
      <c r="BM369" s="108"/>
      <c r="BN369" s="108"/>
      <c r="BO369" s="108"/>
    </row>
    <row r="370" spans="1:67" x14ac:dyDescent="0.25">
      <c r="A370" s="214"/>
      <c r="B370" s="112"/>
      <c r="C370" s="113"/>
      <c r="D370" s="197"/>
      <c r="E370" s="114"/>
      <c r="F370" s="114"/>
      <c r="G370" s="114"/>
      <c r="H370" s="114"/>
      <c r="I370" s="114"/>
      <c r="J370" s="114"/>
      <c r="K370" s="198"/>
      <c r="L370" s="201"/>
      <c r="M370" s="114"/>
      <c r="N370" s="114"/>
      <c r="O370" s="114"/>
      <c r="P370" s="114"/>
      <c r="Q370" s="114"/>
      <c r="R370" s="114"/>
      <c r="S370" s="194"/>
      <c r="T370" s="235"/>
      <c r="U370" s="114"/>
      <c r="V370" s="198"/>
      <c r="W370" s="236"/>
      <c r="X370" s="114"/>
      <c r="Y370" s="194"/>
      <c r="Z370" s="197"/>
      <c r="AA370" s="114"/>
      <c r="AB370" s="114"/>
      <c r="AC370" s="114"/>
      <c r="AD370" s="114"/>
      <c r="AE370" s="114"/>
      <c r="AF370" s="114"/>
      <c r="AG370" s="198"/>
      <c r="AH370" s="201"/>
      <c r="AI370" s="114"/>
      <c r="AJ370" s="114"/>
      <c r="AK370" s="114"/>
      <c r="AL370" s="114"/>
      <c r="AM370" s="114"/>
      <c r="AN370" s="114"/>
      <c r="AO370" s="114"/>
      <c r="AP370" s="194"/>
      <c r="AQ370" s="197"/>
      <c r="AR370" s="114"/>
      <c r="AS370" s="198">
        <v>0</v>
      </c>
      <c r="AT370" s="196"/>
      <c r="AU370" s="192"/>
      <c r="BA370" s="29">
        <f>BA369/BA368</f>
        <v>1.0655251789368887</v>
      </c>
      <c r="BB370" s="29">
        <f>BB369/BB368</f>
        <v>1.1110555736640704</v>
      </c>
      <c r="BC370" s="29">
        <f>BC369/BC368</f>
        <v>0.76966576925135932</v>
      </c>
      <c r="BD370" s="29">
        <f>BD369/BD368</f>
        <v>1.0526255494085799</v>
      </c>
      <c r="BI370" s="114"/>
    </row>
    <row r="371" spans="1:67" x14ac:dyDescent="0.25">
      <c r="A371" s="214"/>
      <c r="B371" s="112"/>
      <c r="C371" s="113"/>
      <c r="D371" s="197"/>
      <c r="E371" s="114"/>
      <c r="F371" s="114"/>
      <c r="G371" s="114"/>
      <c r="H371" s="114"/>
      <c r="I371" s="114"/>
      <c r="J371" s="114"/>
      <c r="K371" s="198">
        <v>286451</v>
      </c>
      <c r="L371" s="201"/>
      <c r="M371" s="114"/>
      <c r="N371" s="114"/>
      <c r="O371" s="114"/>
      <c r="P371" s="114"/>
      <c r="Q371" s="114"/>
      <c r="R371" s="114"/>
      <c r="S371" s="194">
        <v>52788</v>
      </c>
      <c r="T371" s="235"/>
      <c r="U371" s="114"/>
      <c r="V371" s="198">
        <v>115234</v>
      </c>
      <c r="W371" s="236"/>
      <c r="X371" s="114"/>
      <c r="Y371" s="194">
        <v>15747</v>
      </c>
      <c r="Z371" s="197"/>
      <c r="AA371" s="114"/>
      <c r="AB371" s="114"/>
      <c r="AC371" s="114"/>
      <c r="AD371" s="114"/>
      <c r="AE371" s="114"/>
      <c r="AF371" s="114"/>
      <c r="AG371" s="198">
        <v>10460</v>
      </c>
      <c r="AH371" s="201"/>
      <c r="AI371" s="114"/>
      <c r="AJ371" s="114"/>
      <c r="AK371" s="114"/>
      <c r="AL371" s="114"/>
      <c r="AM371" s="114"/>
      <c r="AN371" s="114"/>
      <c r="AO371" s="114"/>
      <c r="AP371" s="194">
        <v>201003</v>
      </c>
      <c r="AQ371" s="197"/>
      <c r="AR371" s="114"/>
      <c r="AS371" s="198"/>
      <c r="AT371" s="196"/>
      <c r="AU371" s="192"/>
      <c r="AZ371" s="1" t="s">
        <v>984</v>
      </c>
      <c r="BA371" s="29">
        <f>21470+1935</f>
        <v>23405</v>
      </c>
      <c r="BB371" s="29">
        <f>4559+388</f>
        <v>4947</v>
      </c>
      <c r="BC371" s="29">
        <f>839+71</f>
        <v>910</v>
      </c>
      <c r="BD371" s="29">
        <f>12520+1162</f>
        <v>13682</v>
      </c>
      <c r="BF371" s="147"/>
      <c r="BI371" s="114">
        <v>87</v>
      </c>
    </row>
    <row r="372" spans="1:67" ht="14.4" thickBot="1" x14ac:dyDescent="0.3">
      <c r="A372" s="214"/>
      <c r="B372" s="112"/>
      <c r="C372" s="113"/>
      <c r="D372" s="197"/>
      <c r="E372" s="114"/>
      <c r="F372" s="114"/>
      <c r="G372" s="114"/>
      <c r="H372" s="114"/>
      <c r="I372" s="114"/>
      <c r="J372" s="114"/>
      <c r="K372" s="198"/>
      <c r="L372" s="201"/>
      <c r="M372" s="114"/>
      <c r="N372" s="114"/>
      <c r="O372" s="114"/>
      <c r="P372" s="114"/>
      <c r="Q372" s="114"/>
      <c r="R372" s="114"/>
      <c r="S372" s="194"/>
      <c r="T372" s="235"/>
      <c r="U372" s="114"/>
      <c r="V372" s="198"/>
      <c r="W372" s="236"/>
      <c r="X372" s="114"/>
      <c r="Y372" s="194"/>
      <c r="Z372" s="197"/>
      <c r="AA372" s="114"/>
      <c r="AB372" s="114"/>
      <c r="AC372" s="114"/>
      <c r="AD372" s="114"/>
      <c r="AE372" s="114"/>
      <c r="AF372" s="114"/>
      <c r="AG372" s="198"/>
      <c r="AH372" s="201"/>
      <c r="AI372" s="114"/>
      <c r="AJ372" s="114"/>
      <c r="AK372" s="114"/>
      <c r="AL372" s="114"/>
      <c r="AM372" s="114"/>
      <c r="AN372" s="114"/>
      <c r="AO372" s="114"/>
      <c r="AP372" s="194"/>
      <c r="AQ372" s="197"/>
      <c r="AR372" s="114"/>
      <c r="AS372" s="198">
        <v>0</v>
      </c>
      <c r="AT372" s="196"/>
      <c r="AU372" s="192"/>
      <c r="BA372" s="107">
        <f>BA371/BA369</f>
        <v>0.20612698304747609</v>
      </c>
      <c r="BB372" s="107">
        <f>BB371/BB369</f>
        <v>0.22001792518400443</v>
      </c>
      <c r="BC372" s="107">
        <f>BC371/BC369</f>
        <v>0.21980791562009946</v>
      </c>
      <c r="BD372" s="107">
        <f>BD371/BD369</f>
        <v>0.19946569320221763</v>
      </c>
      <c r="BF372" s="147"/>
      <c r="BI372" s="114"/>
    </row>
    <row r="373" spans="1:67" x14ac:dyDescent="0.3">
      <c r="A373" s="215"/>
      <c r="B373" s="216"/>
      <c r="C373" s="216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8"/>
      <c r="U373" s="217"/>
      <c r="V373" s="217"/>
      <c r="W373" s="218"/>
      <c r="X373" s="217">
        <f>SUBTOTAL(9,X33:X363)</f>
        <v>0</v>
      </c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9"/>
      <c r="AU373" s="220"/>
      <c r="AW373" s="2"/>
      <c r="BI373" s="217"/>
    </row>
    <row r="374" spans="1:67" x14ac:dyDescent="0.3">
      <c r="A374" s="221"/>
      <c r="AS374" s="2">
        <v>0</v>
      </c>
      <c r="AU374" s="232">
        <v>1074851</v>
      </c>
      <c r="AW374" s="2"/>
      <c r="BA374" s="100">
        <f>BA369+BB369+BC369</f>
        <v>140171.02215800228</v>
      </c>
    </row>
    <row r="375" spans="1:67" ht="14.4" thickBot="1" x14ac:dyDescent="0.35">
      <c r="A375" s="222"/>
      <c r="B375" s="223"/>
      <c r="C375" s="223"/>
      <c r="D375" s="224"/>
      <c r="E375" s="224"/>
      <c r="F375" s="224"/>
      <c r="G375" s="224"/>
      <c r="H375" s="224"/>
      <c r="I375" s="224"/>
      <c r="J375" s="224"/>
      <c r="K375" s="224"/>
      <c r="L375" s="224"/>
      <c r="M375" s="224"/>
      <c r="N375" s="224"/>
      <c r="O375" s="224"/>
      <c r="P375" s="224"/>
      <c r="Q375" s="224"/>
      <c r="R375" s="326"/>
      <c r="S375" s="326"/>
      <c r="T375" s="327"/>
      <c r="U375" s="326"/>
      <c r="V375" s="326"/>
      <c r="W375" s="327"/>
      <c r="X375" s="224"/>
      <c r="Y375" s="224"/>
      <c r="Z375" s="224"/>
      <c r="AA375" s="224"/>
      <c r="AB375" s="224"/>
      <c r="AC375" s="224"/>
      <c r="AD375" s="224"/>
      <c r="AE375" s="224"/>
      <c r="AF375" s="224"/>
      <c r="AG375" s="224"/>
      <c r="AH375" s="224"/>
      <c r="AI375" s="224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5"/>
      <c r="AU375" s="328">
        <f>AU374-T382-W382</f>
        <v>1074851</v>
      </c>
      <c r="AW375" s="4"/>
      <c r="BA375" s="100">
        <f>BA374/1.09</f>
        <v>128597.26803486446</v>
      </c>
      <c r="BI375" s="224"/>
    </row>
    <row r="376" spans="1:67" s="290" customFormat="1" x14ac:dyDescent="0.3">
      <c r="A376" s="15" t="s">
        <v>1005</v>
      </c>
      <c r="B376" s="1"/>
      <c r="C376" s="1"/>
      <c r="D376" s="207">
        <f t="shared" ref="D376:AS376" si="221">SUMIF($AW$9:$AW$367,1,D$9:D$367)</f>
        <v>28086.951146888408</v>
      </c>
      <c r="E376" s="207">
        <f t="shared" si="221"/>
        <v>5789.4785029099539</v>
      </c>
      <c r="F376" s="207">
        <f t="shared" si="221"/>
        <v>6755.7899999999963</v>
      </c>
      <c r="G376" s="207" t="e">
        <f t="shared" si="221"/>
        <v>#REF!</v>
      </c>
      <c r="H376" s="207">
        <f t="shared" si="221"/>
        <v>23465.936891735117</v>
      </c>
      <c r="I376" s="207" t="e">
        <f t="shared" si="221"/>
        <v>#REF!</v>
      </c>
      <c r="J376" s="207">
        <f t="shared" si="221"/>
        <v>0</v>
      </c>
      <c r="K376" s="207" t="e">
        <f t="shared" si="221"/>
        <v>#REF!</v>
      </c>
      <c r="L376" s="207">
        <f t="shared" si="221"/>
        <v>5551.7567012498212</v>
      </c>
      <c r="M376" s="207">
        <f t="shared" si="221"/>
        <v>1221.485990535379</v>
      </c>
      <c r="N376" s="207">
        <f t="shared" si="221"/>
        <v>368</v>
      </c>
      <c r="O376" s="207">
        <f t="shared" si="221"/>
        <v>0</v>
      </c>
      <c r="P376" s="207">
        <f t="shared" si="221"/>
        <v>4638.3522265722495</v>
      </c>
      <c r="Q376" s="207">
        <f t="shared" si="221"/>
        <v>1516.1850530813206</v>
      </c>
      <c r="R376" s="207">
        <f t="shared" si="221"/>
        <v>0</v>
      </c>
      <c r="S376" s="207">
        <f t="shared" si="221"/>
        <v>13295.779971438771</v>
      </c>
      <c r="T376" s="207">
        <f t="shared" si="221"/>
        <v>41917.468333333338</v>
      </c>
      <c r="U376" s="207">
        <f t="shared" si="221"/>
        <v>0</v>
      </c>
      <c r="V376" s="207">
        <f t="shared" si="221"/>
        <v>41917.468333333338</v>
      </c>
      <c r="W376" s="207">
        <f t="shared" si="221"/>
        <v>8223.8393333333333</v>
      </c>
      <c r="X376" s="207">
        <f t="shared" si="221"/>
        <v>0</v>
      </c>
      <c r="Y376" s="207">
        <f t="shared" si="221"/>
        <v>8223.8393333333333</v>
      </c>
      <c r="Z376" s="207">
        <f t="shared" si="221"/>
        <v>1041.5979554390569</v>
      </c>
      <c r="AA376" s="207">
        <f t="shared" si="221"/>
        <v>228.95147549921626</v>
      </c>
      <c r="AB376" s="207">
        <f t="shared" si="221"/>
        <v>526</v>
      </c>
      <c r="AC376" s="207">
        <f t="shared" si="221"/>
        <v>0</v>
      </c>
      <c r="AD376" s="207">
        <f t="shared" si="221"/>
        <v>870.22873223464944</v>
      </c>
      <c r="AE376" s="207">
        <f t="shared" si="221"/>
        <v>343.24857678979066</v>
      </c>
      <c r="AF376" s="207">
        <f t="shared" si="221"/>
        <v>0</v>
      </c>
      <c r="AG376" s="207">
        <f t="shared" si="221"/>
        <v>3010.0267399627141</v>
      </c>
      <c r="AH376" s="207">
        <f t="shared" si="221"/>
        <v>17394.878829866215</v>
      </c>
      <c r="AI376" s="207">
        <f t="shared" si="221"/>
        <v>3469.6815639678448</v>
      </c>
      <c r="AJ376" s="207">
        <f t="shared" si="221"/>
        <v>3427.9599999999991</v>
      </c>
      <c r="AK376" s="207" t="e">
        <f t="shared" si="221"/>
        <v>#REF!</v>
      </c>
      <c r="AL376" s="207">
        <f t="shared" si="221"/>
        <v>12040</v>
      </c>
      <c r="AM376" s="207">
        <f t="shared" si="221"/>
        <v>14532.981053240464</v>
      </c>
      <c r="AN376" s="207" t="e">
        <f t="shared" si="221"/>
        <v>#REF!</v>
      </c>
      <c r="AO376" s="207">
        <f t="shared" si="221"/>
        <v>0</v>
      </c>
      <c r="AP376" s="207" t="e">
        <f t="shared" si="221"/>
        <v>#REF!</v>
      </c>
      <c r="AQ376" s="207">
        <f t="shared" si="221"/>
        <v>0</v>
      </c>
      <c r="AR376" s="207">
        <f t="shared" si="221"/>
        <v>0</v>
      </c>
      <c r="AS376" s="207">
        <f t="shared" si="221"/>
        <v>0</v>
      </c>
      <c r="AT376" s="207" t="e">
        <f t="shared" ref="AT376:AU376" si="222">SUMIF($AW$9:$AW$367,1,AT$9:AT$367)</f>
        <v>#REF!</v>
      </c>
      <c r="AU376" s="207" t="e">
        <f t="shared" si="222"/>
        <v>#REF!</v>
      </c>
      <c r="AW376" s="290">
        <v>1</v>
      </c>
      <c r="AY376" s="290" t="s">
        <v>1611</v>
      </c>
      <c r="BA376" s="207">
        <f>SUMIF($AW$9:$AW$367,1,BA$9:BA$367)</f>
        <v>32696.870000000003</v>
      </c>
      <c r="BB376" s="207">
        <f>SUMIF($AW$9:$AW$367,1,BB$9:BB$367)</f>
        <v>6021.0199999999968</v>
      </c>
      <c r="BC376" s="207">
        <f>SUMIF($AW$9:$AW$367,1,BC$9:BC$367)</f>
        <v>2913.5999999999995</v>
      </c>
      <c r="BD376" s="207">
        <f>SUMIF($AW$9:$AW$367,1,BD$9:BD$367)</f>
        <v>20964.75</v>
      </c>
      <c r="BI376" s="207">
        <f>SUMIF($AW$9:$AW$367,1,$AB$9:$AB$367)</f>
        <v>526</v>
      </c>
      <c r="BL376" s="585"/>
      <c r="BM376" s="585"/>
      <c r="BN376" s="585"/>
      <c r="BO376" s="585"/>
    </row>
    <row r="377" spans="1:67" x14ac:dyDescent="0.3">
      <c r="A377" s="15" t="s">
        <v>1006</v>
      </c>
      <c r="D377" s="207">
        <f t="shared" ref="D377:AS377" si="223">SUMIF($AW$9:$AW$367,2,D$9:D$367)</f>
        <v>42523.765026872708</v>
      </c>
      <c r="E377" s="207">
        <f t="shared" si="223"/>
        <v>8765.2953928090465</v>
      </c>
      <c r="F377" s="207">
        <f t="shared" si="223"/>
        <v>7432.880000000001</v>
      </c>
      <c r="G377" s="207" t="e">
        <f t="shared" si="223"/>
        <v>#REF!</v>
      </c>
      <c r="H377" s="207">
        <f t="shared" si="223"/>
        <v>35527.529538574192</v>
      </c>
      <c r="I377" s="207" t="e">
        <f t="shared" si="223"/>
        <v>#REF!</v>
      </c>
      <c r="J377" s="207">
        <f t="shared" si="223"/>
        <v>0</v>
      </c>
      <c r="K377" s="207" t="e">
        <f t="shared" si="223"/>
        <v>#REF!</v>
      </c>
      <c r="L377" s="207">
        <f t="shared" si="223"/>
        <v>8437.0279631327503</v>
      </c>
      <c r="M377" s="207">
        <f t="shared" si="223"/>
        <v>1856.2973871678953</v>
      </c>
      <c r="N377" s="207">
        <f t="shared" si="223"/>
        <v>0</v>
      </c>
      <c r="O377" s="207">
        <f t="shared" si="223"/>
        <v>0</v>
      </c>
      <c r="P377" s="207">
        <f t="shared" si="223"/>
        <v>7048.9233488274531</v>
      </c>
      <c r="Q377" s="207">
        <f t="shared" si="223"/>
        <v>2232.1699894331728</v>
      </c>
      <c r="R377" s="207">
        <f t="shared" si="223"/>
        <v>0</v>
      </c>
      <c r="S377" s="207">
        <f t="shared" si="223"/>
        <v>19574.418688561258</v>
      </c>
      <c r="T377" s="207">
        <f t="shared" si="223"/>
        <v>39450.693000000007</v>
      </c>
      <c r="U377" s="207">
        <f t="shared" si="223"/>
        <v>0</v>
      </c>
      <c r="V377" s="207">
        <f t="shared" si="223"/>
        <v>39450.693000000007</v>
      </c>
      <c r="W377" s="207">
        <f t="shared" si="223"/>
        <v>2852.7999999999997</v>
      </c>
      <c r="X377" s="207">
        <f t="shared" si="223"/>
        <v>0</v>
      </c>
      <c r="Y377" s="207">
        <f t="shared" si="223"/>
        <v>2852.7999999999997</v>
      </c>
      <c r="Z377" s="207">
        <f t="shared" si="223"/>
        <v>1503.7261336828312</v>
      </c>
      <c r="AA377" s="207">
        <f t="shared" si="223"/>
        <v>330.53090710829406</v>
      </c>
      <c r="AB377" s="207">
        <f t="shared" si="223"/>
        <v>22.933</v>
      </c>
      <c r="AC377" s="207">
        <f t="shared" si="223"/>
        <v>0</v>
      </c>
      <c r="AD377" s="207">
        <f t="shared" si="223"/>
        <v>1256.325130161496</v>
      </c>
      <c r="AE377" s="207">
        <f t="shared" si="223"/>
        <v>400.74936340837695</v>
      </c>
      <c r="AF377" s="207">
        <f t="shared" si="223"/>
        <v>0</v>
      </c>
      <c r="AG377" s="207">
        <f t="shared" si="223"/>
        <v>3514.2645343609975</v>
      </c>
      <c r="AH377" s="207">
        <f t="shared" si="223"/>
        <v>24390.630241513842</v>
      </c>
      <c r="AI377" s="207">
        <f t="shared" si="223"/>
        <v>4865.0939687625296</v>
      </c>
      <c r="AJ377" s="207">
        <f t="shared" si="223"/>
        <v>3344.8600000000015</v>
      </c>
      <c r="AK377" s="207" t="e">
        <f t="shared" si="223"/>
        <v>#REF!</v>
      </c>
      <c r="AL377" s="207">
        <f t="shared" si="223"/>
        <v>8295.65</v>
      </c>
      <c r="AM377" s="207">
        <f t="shared" si="223"/>
        <v>20377.754317432107</v>
      </c>
      <c r="AN377" s="207" t="e">
        <f t="shared" si="223"/>
        <v>#REF!</v>
      </c>
      <c r="AO377" s="207">
        <f t="shared" si="223"/>
        <v>0</v>
      </c>
      <c r="AP377" s="207" t="e">
        <f t="shared" si="223"/>
        <v>#REF!</v>
      </c>
      <c r="AQ377" s="207">
        <f t="shared" si="223"/>
        <v>0</v>
      </c>
      <c r="AR377" s="207">
        <f t="shared" si="223"/>
        <v>0</v>
      </c>
      <c r="AS377" s="207">
        <f t="shared" si="223"/>
        <v>0</v>
      </c>
      <c r="AT377" s="207" t="e">
        <f t="shared" ref="AT377:AU377" si="224">SUMIF($AW$9:$AW$367,2,AT$9:AT$367)</f>
        <v>#REF!</v>
      </c>
      <c r="AU377" s="207" t="e">
        <f t="shared" si="224"/>
        <v>#REF!</v>
      </c>
      <c r="AW377" s="1">
        <v>2</v>
      </c>
      <c r="AY377" s="290" t="s">
        <v>1612</v>
      </c>
      <c r="BA377" s="207">
        <f>SUMIF($AW$9:$AW$367,2,BA$9:BA$367)</f>
        <v>38771.204000000005</v>
      </c>
      <c r="BB377" s="207">
        <f>SUMIF($AW$9:$AW$367,2,BB$9:BB$367)</f>
        <v>7582.4300000000012</v>
      </c>
      <c r="BC377" s="207">
        <f>SUMIF($AW$9:$AW$367,2,BC$9:BC$367)</f>
        <v>531.08000000000004</v>
      </c>
      <c r="BD377" s="207">
        <f>SUMIF($AW$9:$AW$367,2,BD$9:BD$367)</f>
        <v>23522.83</v>
      </c>
      <c r="BI377" s="207">
        <f>SUMIF($AW$9:$AW$367,2,$AB$9:$AB$367)</f>
        <v>22.933</v>
      </c>
      <c r="BL377" s="585"/>
      <c r="BM377" s="585"/>
      <c r="BN377" s="585"/>
      <c r="BO377" s="585"/>
    </row>
    <row r="378" spans="1:67" x14ac:dyDescent="0.3">
      <c r="A378" s="15" t="s">
        <v>1007</v>
      </c>
      <c r="D378" s="207">
        <f t="shared" ref="D378:AS378" si="225">SUMIF($AW$9:$AW$367,3,D$9:D$367)</f>
        <v>42935.796048800483</v>
      </c>
      <c r="E378" s="207">
        <f t="shared" si="225"/>
        <v>8850.2261042809914</v>
      </c>
      <c r="F378" s="207">
        <f t="shared" si="225"/>
        <v>7778.7800000000025</v>
      </c>
      <c r="G378" s="207" t="e">
        <f t="shared" si="225"/>
        <v>#REF!</v>
      </c>
      <c r="H378" s="207">
        <f t="shared" si="225"/>
        <v>35871.771030198877</v>
      </c>
      <c r="I378" s="207" t="e">
        <f t="shared" si="225"/>
        <v>#REF!</v>
      </c>
      <c r="J378" s="207">
        <f t="shared" si="225"/>
        <v>0</v>
      </c>
      <c r="K378" s="207" t="e">
        <f t="shared" si="225"/>
        <v>#REF!</v>
      </c>
      <c r="L378" s="207">
        <f t="shared" si="225"/>
        <v>8495.7469748588555</v>
      </c>
      <c r="M378" s="207">
        <f t="shared" si="225"/>
        <v>1869.2166222967269</v>
      </c>
      <c r="N378" s="207">
        <f t="shared" si="225"/>
        <v>184.00000000000003</v>
      </c>
      <c r="O378" s="207">
        <f t="shared" si="225"/>
        <v>0</v>
      </c>
      <c r="P378" s="207">
        <f t="shared" si="225"/>
        <v>7097.981597132999</v>
      </c>
      <c r="Q378" s="207">
        <f t="shared" si="225"/>
        <v>2271.3883390360652</v>
      </c>
      <c r="R378" s="207">
        <f t="shared" si="225"/>
        <v>0</v>
      </c>
      <c r="S378" s="207">
        <f t="shared" si="225"/>
        <v>19918.333533324636</v>
      </c>
      <c r="T378" s="207">
        <f t="shared" si="225"/>
        <v>33865.87999999999</v>
      </c>
      <c r="U378" s="207">
        <f t="shared" si="225"/>
        <v>0</v>
      </c>
      <c r="V378" s="207">
        <f t="shared" si="225"/>
        <v>33865.87999999999</v>
      </c>
      <c r="W378" s="207">
        <f t="shared" si="225"/>
        <v>4670.67</v>
      </c>
      <c r="X378" s="207">
        <f t="shared" si="225"/>
        <v>0</v>
      </c>
      <c r="Y378" s="207">
        <f t="shared" si="225"/>
        <v>4670.67</v>
      </c>
      <c r="Z378" s="207">
        <f t="shared" si="225"/>
        <v>1594.6542070773278</v>
      </c>
      <c r="AA378" s="207">
        <f t="shared" si="225"/>
        <v>350.51761739248968</v>
      </c>
      <c r="AB378" s="207">
        <f t="shared" si="225"/>
        <v>210.43299999999999</v>
      </c>
      <c r="AC378" s="207">
        <f t="shared" si="225"/>
        <v>0</v>
      </c>
      <c r="AD378" s="207">
        <f t="shared" si="225"/>
        <v>1332.2932343819741</v>
      </c>
      <c r="AE378" s="207">
        <f t="shared" si="225"/>
        <v>448.93724615785362</v>
      </c>
      <c r="AF378" s="207">
        <f t="shared" si="225"/>
        <v>0</v>
      </c>
      <c r="AG378" s="207">
        <f t="shared" si="225"/>
        <v>3936.8353050096484</v>
      </c>
      <c r="AH378" s="207">
        <f t="shared" si="225"/>
        <v>26807.740125258657</v>
      </c>
      <c r="AI378" s="207">
        <f t="shared" si="225"/>
        <v>5347.2244672696233</v>
      </c>
      <c r="AJ378" s="207">
        <f t="shared" si="225"/>
        <v>4880.6900000000023</v>
      </c>
      <c r="AK378" s="207" t="e">
        <f t="shared" si="225"/>
        <v>#REF!</v>
      </c>
      <c r="AL378" s="207">
        <f t="shared" si="225"/>
        <v>6510.33</v>
      </c>
      <c r="AM378" s="207">
        <f t="shared" si="225"/>
        <v>22397.188455929856</v>
      </c>
      <c r="AN378" s="207" t="e">
        <f t="shared" si="225"/>
        <v>#REF!</v>
      </c>
      <c r="AO378" s="207">
        <f t="shared" si="225"/>
        <v>0</v>
      </c>
      <c r="AP378" s="207" t="e">
        <f t="shared" si="225"/>
        <v>#REF!</v>
      </c>
      <c r="AQ378" s="207">
        <f t="shared" si="225"/>
        <v>0</v>
      </c>
      <c r="AR378" s="207">
        <f t="shared" si="225"/>
        <v>0</v>
      </c>
      <c r="AS378" s="207">
        <f t="shared" si="225"/>
        <v>0</v>
      </c>
      <c r="AT378" s="207" t="e">
        <f t="shared" ref="AT378:AU378" si="226">SUMIF($AW$9:$AW$367,3,AT$9:AT$367)</f>
        <v>#REF!</v>
      </c>
      <c r="AU378" s="207" t="e">
        <f t="shared" si="226"/>
        <v>#REF!</v>
      </c>
      <c r="AW378" s="1">
        <v>3</v>
      </c>
      <c r="AY378" s="290" t="s">
        <v>1613</v>
      </c>
      <c r="BA378" s="207">
        <f>SUMIF($AW$9:$AW$367,3,BA$9:BA$367)</f>
        <v>35095.820000000014</v>
      </c>
      <c r="BB378" s="207">
        <f>SUMIF($AW$9:$AW$367,3,BB$9:BB$367)</f>
        <v>6633.6399999999994</v>
      </c>
      <c r="BC378" s="207">
        <f>SUMIF($AW$9:$AW$367,3,BC$9:BC$367)</f>
        <v>1934.2499999999991</v>
      </c>
      <c r="BD378" s="207">
        <f>SUMIF($AW$9:$AW$367,3,BD$9:BD$367)</f>
        <v>20676.38</v>
      </c>
      <c r="BI378" s="207">
        <f>SUMIF($AW$9:$AW$367,3,$AB$9:$AB$367)</f>
        <v>210.43299999999999</v>
      </c>
      <c r="BL378" s="585"/>
      <c r="BM378" s="585"/>
      <c r="BN378" s="585"/>
      <c r="BO378" s="585"/>
    </row>
    <row r="379" spans="1:67" s="133" customFormat="1" x14ac:dyDescent="0.3">
      <c r="A379" s="277"/>
      <c r="D379" s="388">
        <f t="shared" ref="D379:AS379" si="227">SUM(D376:D378)</f>
        <v>113546.51222256161</v>
      </c>
      <c r="E379" s="388">
        <f t="shared" si="227"/>
        <v>23404.999999999993</v>
      </c>
      <c r="F379" s="688">
        <f t="shared" si="227"/>
        <v>21967.45</v>
      </c>
      <c r="G379" s="388" t="e">
        <f t="shared" si="227"/>
        <v>#REF!</v>
      </c>
      <c r="H379" s="388">
        <f t="shared" si="227"/>
        <v>94865.237460508186</v>
      </c>
      <c r="I379" s="388" t="e">
        <f t="shared" si="227"/>
        <v>#REF!</v>
      </c>
      <c r="J379" s="388">
        <f t="shared" si="227"/>
        <v>0</v>
      </c>
      <c r="K379" s="388" t="e">
        <f t="shared" si="227"/>
        <v>#REF!</v>
      </c>
      <c r="L379" s="388">
        <f t="shared" si="227"/>
        <v>22484.531639241428</v>
      </c>
      <c r="M379" s="388">
        <f t="shared" si="227"/>
        <v>4947.0000000000009</v>
      </c>
      <c r="N379" s="670">
        <f t="shared" si="227"/>
        <v>552</v>
      </c>
      <c r="O379" s="388">
        <f t="shared" si="227"/>
        <v>0</v>
      </c>
      <c r="P379" s="388">
        <f t="shared" si="227"/>
        <v>18785.2571725327</v>
      </c>
      <c r="Q379" s="388">
        <f t="shared" si="227"/>
        <v>6019.7433815505583</v>
      </c>
      <c r="R379" s="388">
        <f t="shared" si="227"/>
        <v>0</v>
      </c>
      <c r="S379" s="388">
        <f t="shared" si="227"/>
        <v>52788.532193324667</v>
      </c>
      <c r="T379" s="688">
        <f t="shared" si="227"/>
        <v>115234.04133333334</v>
      </c>
      <c r="U379" s="388">
        <f t="shared" si="227"/>
        <v>0</v>
      </c>
      <c r="V379" s="388">
        <f t="shared" si="227"/>
        <v>115234.04133333334</v>
      </c>
      <c r="W379" s="688">
        <f t="shared" si="227"/>
        <v>15747.309333333333</v>
      </c>
      <c r="X379" s="388">
        <f t="shared" si="227"/>
        <v>0</v>
      </c>
      <c r="Y379" s="388">
        <f t="shared" si="227"/>
        <v>15747.309333333333</v>
      </c>
      <c r="Z379" s="388">
        <f t="shared" si="227"/>
        <v>4139.9782961992159</v>
      </c>
      <c r="AA379" s="388">
        <f t="shared" si="227"/>
        <v>910</v>
      </c>
      <c r="AB379" s="670">
        <f t="shared" si="227"/>
        <v>759.36599999999999</v>
      </c>
      <c r="AC379" s="388">
        <f t="shared" si="227"/>
        <v>0</v>
      </c>
      <c r="AD379" s="388">
        <f t="shared" si="227"/>
        <v>3458.8470967781195</v>
      </c>
      <c r="AE379" s="388">
        <f t="shared" si="227"/>
        <v>1192.9351863560212</v>
      </c>
      <c r="AF379" s="388">
        <f t="shared" si="227"/>
        <v>0</v>
      </c>
      <c r="AG379" s="388">
        <f t="shared" si="227"/>
        <v>10461.12657933336</v>
      </c>
      <c r="AH379" s="388">
        <f t="shared" si="227"/>
        <v>68593.249196638717</v>
      </c>
      <c r="AI379" s="388">
        <f t="shared" si="227"/>
        <v>13681.999999999998</v>
      </c>
      <c r="AJ379" s="670">
        <f t="shared" si="227"/>
        <v>11653.510000000002</v>
      </c>
      <c r="AK379" s="388" t="e">
        <f t="shared" si="227"/>
        <v>#REF!</v>
      </c>
      <c r="AL379" s="670">
        <f t="shared" si="227"/>
        <v>26845.980000000003</v>
      </c>
      <c r="AM379" s="388">
        <f t="shared" si="227"/>
        <v>57307.923826602426</v>
      </c>
      <c r="AN379" s="388" t="e">
        <f t="shared" si="227"/>
        <v>#REF!</v>
      </c>
      <c r="AO379" s="388">
        <f t="shared" si="227"/>
        <v>0</v>
      </c>
      <c r="AP379" s="388" t="e">
        <f t="shared" si="227"/>
        <v>#REF!</v>
      </c>
      <c r="AQ379" s="670">
        <f t="shared" si="227"/>
        <v>0</v>
      </c>
      <c r="AR379" s="388">
        <f t="shared" si="227"/>
        <v>0</v>
      </c>
      <c r="AS379" s="388">
        <f t="shared" si="227"/>
        <v>0</v>
      </c>
      <c r="AT379" s="388" t="e">
        <f t="shared" ref="AT379:AU379" si="228">SUM(AT376:AT378)</f>
        <v>#REF!</v>
      </c>
      <c r="AU379" s="388" t="e">
        <f t="shared" si="228"/>
        <v>#REF!</v>
      </c>
      <c r="BA379" s="667">
        <f>SUM(BA376:BA378)</f>
        <v>106563.89400000003</v>
      </c>
      <c r="BB379" s="667">
        <f>SUM(BB376:BB378)</f>
        <v>20237.089999999997</v>
      </c>
      <c r="BC379" s="667">
        <f>SUM(BC376:BC378)</f>
        <v>5378.9299999999985</v>
      </c>
      <c r="BD379" s="667">
        <f>SUM(BD376:BD378)</f>
        <v>65163.960000000006</v>
      </c>
      <c r="BI379" s="388">
        <f>SUM(BI376:BI378)</f>
        <v>759.36599999999999</v>
      </c>
      <c r="BL379" s="668"/>
      <c r="BM379" s="668"/>
      <c r="BN379" s="668"/>
      <c r="BO379" s="668"/>
    </row>
    <row r="381" spans="1:67" x14ac:dyDescent="0.3">
      <c r="B381" s="1" t="s">
        <v>1774</v>
      </c>
      <c r="C381" s="1" t="e">
        <f>SUMIF(B9:B367,1,C9:C367)</f>
        <v>#REF!</v>
      </c>
      <c r="T381" s="102"/>
      <c r="W381" s="102"/>
      <c r="AY381" s="3" t="s">
        <v>1608</v>
      </c>
      <c r="AZ381" s="3" t="s">
        <v>1614</v>
      </c>
      <c r="BA381" s="29">
        <v>25911.67</v>
      </c>
      <c r="BB381" s="29">
        <v>5116.93</v>
      </c>
      <c r="BC381" s="29">
        <v>959.83</v>
      </c>
      <c r="BD381" s="29">
        <v>16054.88</v>
      </c>
    </row>
    <row r="382" spans="1:67" x14ac:dyDescent="0.3">
      <c r="AY382" s="3" t="s">
        <v>1609</v>
      </c>
      <c r="AZ382" s="3" t="s">
        <v>1614</v>
      </c>
      <c r="BA382" s="29">
        <v>39230.379999999997</v>
      </c>
      <c r="BB382" s="29">
        <v>7776.22</v>
      </c>
      <c r="BC382" s="29">
        <v>1385.68</v>
      </c>
      <c r="BD382" s="29">
        <v>22511.72</v>
      </c>
    </row>
    <row r="383" spans="1:67" x14ac:dyDescent="0.3">
      <c r="B383" s="1" t="s">
        <v>1775</v>
      </c>
      <c r="C383" s="101" t="e">
        <f>C368-C381</f>
        <v>#REF!</v>
      </c>
      <c r="AY383" s="3" t="s">
        <v>1610</v>
      </c>
      <c r="AZ383" s="3" t="s">
        <v>1614</v>
      </c>
      <c r="BA383" s="29">
        <v>39610.5</v>
      </c>
      <c r="BB383" s="29">
        <v>7830.34</v>
      </c>
      <c r="BC383" s="29">
        <v>1469.47</v>
      </c>
      <c r="BD383" s="29">
        <v>24742.63</v>
      </c>
    </row>
    <row r="384" spans="1:67" x14ac:dyDescent="0.3">
      <c r="AY384" s="30"/>
      <c r="AZ384" s="30"/>
      <c r="BA384" s="103">
        <f>SUM(BA381:BA383)</f>
        <v>104752.54999999999</v>
      </c>
      <c r="BB384" s="103">
        <f>SUM(BB381:BB383)</f>
        <v>20723.490000000002</v>
      </c>
      <c r="BC384" s="103">
        <f>SUM(BC381:BC383)</f>
        <v>3814.9800000000005</v>
      </c>
      <c r="BD384" s="103">
        <f>SUM(BD381:BD383)</f>
        <v>63309.229999999996</v>
      </c>
      <c r="BL384" s="584"/>
      <c r="BM384" s="584"/>
      <c r="BN384" s="584"/>
      <c r="BO384" s="584"/>
    </row>
    <row r="385" spans="51:67" x14ac:dyDescent="0.3">
      <c r="BA385" s="100">
        <f>8794/104753</f>
        <v>8.3949863011083217E-2</v>
      </c>
      <c r="BB385" s="100">
        <f>1761/20723</f>
        <v>8.4978043719538682E-2</v>
      </c>
      <c r="BC385" s="100">
        <f>325/3815</f>
        <v>8.5190039318479682E-2</v>
      </c>
      <c r="BD385" s="100">
        <f>5284/63309</f>
        <v>8.3463646558941063E-2</v>
      </c>
    </row>
    <row r="386" spans="51:67" x14ac:dyDescent="0.3">
      <c r="AY386" s="3" t="s">
        <v>1608</v>
      </c>
      <c r="AZ386" s="3" t="s">
        <v>1615</v>
      </c>
      <c r="BA386" s="29">
        <f>BA381*$BA$385</f>
        <v>2175.2811468883947</v>
      </c>
      <c r="BB386" s="29">
        <f>BB381*$BB$385</f>
        <v>434.82670124981911</v>
      </c>
      <c r="BC386" s="29">
        <f>BC381*$BC$385</f>
        <v>81.767955439056351</v>
      </c>
      <c r="BD386" s="29">
        <f>BD381*$BD$385</f>
        <v>1339.9988298662115</v>
      </c>
    </row>
    <row r="387" spans="51:67" x14ac:dyDescent="0.3">
      <c r="AY387" s="3" t="s">
        <v>1609</v>
      </c>
      <c r="AZ387" s="3" t="s">
        <v>1615</v>
      </c>
      <c r="BA387" s="29">
        <f>BA382*$BA$385</f>
        <v>3293.3850268727388</v>
      </c>
      <c r="BB387" s="29">
        <f>BB382*$BB$385</f>
        <v>660.80796313275107</v>
      </c>
      <c r="BC387" s="29">
        <f>BC382*$BC$385</f>
        <v>118.04613368283093</v>
      </c>
      <c r="BD387" s="29">
        <f>BD382*$BD$385</f>
        <v>1878.9102415138448</v>
      </c>
    </row>
    <row r="388" spans="51:67" x14ac:dyDescent="0.3">
      <c r="AY388" s="3" t="s">
        <v>1610</v>
      </c>
      <c r="AZ388" s="3" t="s">
        <v>1615</v>
      </c>
      <c r="BA388" s="29">
        <f>BA383*$BA$385</f>
        <v>3325.2960488005119</v>
      </c>
      <c r="BB388" s="29">
        <f>BB383*$BB$385</f>
        <v>665.40697485885255</v>
      </c>
      <c r="BC388" s="29">
        <f>BC383*$BC$385</f>
        <v>125.18420707732633</v>
      </c>
      <c r="BD388" s="29">
        <f>BD383*$BD$385</f>
        <v>2065.1101252586518</v>
      </c>
    </row>
    <row r="389" spans="51:67" x14ac:dyDescent="0.3">
      <c r="AY389" s="30"/>
      <c r="AZ389" s="30"/>
      <c r="BA389" s="103">
        <f>SUM(BA386:BA388)</f>
        <v>8793.9622225616458</v>
      </c>
      <c r="BB389" s="103">
        <f>SUM(BB386:BB388)</f>
        <v>1761.0416392414227</v>
      </c>
      <c r="BC389" s="103">
        <f>SUM(BC386:BC388)</f>
        <v>324.9982961992136</v>
      </c>
      <c r="BD389" s="103">
        <f>SUM(BD386:BD388)</f>
        <v>5284.0191966387083</v>
      </c>
      <c r="BL389" s="584"/>
      <c r="BM389" s="584"/>
      <c r="BN389" s="584"/>
      <c r="BO389" s="584"/>
    </row>
    <row r="391" spans="51:67" x14ac:dyDescent="0.3">
      <c r="AY391" s="3" t="s">
        <v>1608</v>
      </c>
      <c r="AZ391" s="3" t="s">
        <v>1616</v>
      </c>
      <c r="BA391" s="29">
        <f>BA381+BA386</f>
        <v>28086.951146888394</v>
      </c>
      <c r="BB391" s="29">
        <f>BB381+BB386</f>
        <v>5551.7567012498193</v>
      </c>
      <c r="BC391" s="29">
        <f>BC381+BC386</f>
        <v>1041.5979554390565</v>
      </c>
      <c r="BD391" s="29">
        <f>BD381+BD386</f>
        <v>17394.878829866211</v>
      </c>
    </row>
    <row r="392" spans="51:67" x14ac:dyDescent="0.3">
      <c r="AY392" s="3" t="s">
        <v>1609</v>
      </c>
      <c r="AZ392" s="3" t="s">
        <v>1616</v>
      </c>
      <c r="BA392" s="29">
        <f t="shared" ref="BA392:BC393" si="229">BA382+BA387</f>
        <v>42523.765026872738</v>
      </c>
      <c r="BB392" s="29">
        <f t="shared" si="229"/>
        <v>8437.0279631327521</v>
      </c>
      <c r="BC392" s="29">
        <f t="shared" si="229"/>
        <v>1503.726133682831</v>
      </c>
      <c r="BD392" s="29">
        <f>BD382+BD387</f>
        <v>24390.630241513845</v>
      </c>
    </row>
    <row r="393" spans="51:67" x14ac:dyDescent="0.3">
      <c r="AY393" s="3" t="s">
        <v>1610</v>
      </c>
      <c r="AZ393" s="3" t="s">
        <v>1616</v>
      </c>
      <c r="BA393" s="29">
        <f t="shared" si="229"/>
        <v>42935.796048800512</v>
      </c>
      <c r="BB393" s="29">
        <f t="shared" si="229"/>
        <v>8495.7469748588519</v>
      </c>
      <c r="BC393" s="29">
        <f t="shared" si="229"/>
        <v>1594.6542070773264</v>
      </c>
      <c r="BD393" s="29">
        <f>BD383+BD388</f>
        <v>26807.740125258653</v>
      </c>
    </row>
    <row r="394" spans="51:67" x14ac:dyDescent="0.3">
      <c r="AY394" s="30"/>
      <c r="AZ394" s="30"/>
      <c r="BA394" s="116">
        <f>SUM(BA391:BA393)</f>
        <v>113546.51222256164</v>
      </c>
      <c r="BB394" s="116">
        <f>SUM(BB391:BB393)</f>
        <v>22484.531639241424</v>
      </c>
      <c r="BC394" s="116">
        <f>SUM(BC391:BC393)</f>
        <v>4139.9782961992141</v>
      </c>
      <c r="BD394" s="116">
        <f>SUM(BD391:BD393)</f>
        <v>68593.249196638717</v>
      </c>
      <c r="BL394" s="108"/>
      <c r="BM394" s="108"/>
      <c r="BN394" s="108"/>
      <c r="BO394" s="108"/>
    </row>
    <row r="397" spans="51:67" x14ac:dyDescent="0.3">
      <c r="AY397" s="3" t="s">
        <v>1617</v>
      </c>
      <c r="AZ397" s="28">
        <v>1</v>
      </c>
      <c r="BA397" s="107">
        <f>BA391/BA376</f>
        <v>0.85901039294857251</v>
      </c>
      <c r="BB397" s="29">
        <f>BB391/BB376</f>
        <v>0.92206249128051765</v>
      </c>
      <c r="BC397" s="29">
        <f>BC391/BC376</f>
        <v>0.35749517965371247</v>
      </c>
      <c r="BD397" s="29">
        <f>BD391/BD376</f>
        <v>0.82972030812989472</v>
      </c>
    </row>
    <row r="398" spans="51:67" x14ac:dyDescent="0.3">
      <c r="AY398" s="3" t="s">
        <v>1618</v>
      </c>
      <c r="AZ398" s="28">
        <v>2</v>
      </c>
      <c r="BA398" s="107">
        <f t="shared" ref="BA398:BC399" si="230">BA392/BA377</f>
        <v>1.0967873225415627</v>
      </c>
      <c r="BB398" s="29">
        <f t="shared" si="230"/>
        <v>1.1127076627324948</v>
      </c>
      <c r="BC398" s="29">
        <f t="shared" si="230"/>
        <v>2.8314493742615632</v>
      </c>
      <c r="BD398" s="29">
        <f>BD392/BD377</f>
        <v>1.036891829831438</v>
      </c>
    </row>
    <row r="399" spans="51:67" x14ac:dyDescent="0.3">
      <c r="AY399" s="3" t="s">
        <v>1619</v>
      </c>
      <c r="AZ399" s="28">
        <v>3</v>
      </c>
      <c r="BA399" s="107">
        <f t="shared" si="230"/>
        <v>1.2233877438623886</v>
      </c>
      <c r="BB399" s="29">
        <f t="shared" si="230"/>
        <v>1.2807066670574303</v>
      </c>
      <c r="BC399" s="29">
        <f t="shared" si="230"/>
        <v>0.82443024793968056</v>
      </c>
      <c r="BD399" s="29">
        <f>BD393/BD378</f>
        <v>1.2965393422474656</v>
      </c>
    </row>
  </sheetData>
  <autoFilter ref="A8:BQ372" xr:uid="{00000000-0001-0000-0A00-000000000000}"/>
  <mergeCells count="16">
    <mergeCell ref="J4:J5"/>
    <mergeCell ref="Z7:AG7"/>
    <mergeCell ref="AH7:AP7"/>
    <mergeCell ref="A7:A8"/>
    <mergeCell ref="B7:B8"/>
    <mergeCell ref="D7:K7"/>
    <mergeCell ref="C7:C8"/>
    <mergeCell ref="W7:Y7"/>
    <mergeCell ref="L7:S7"/>
    <mergeCell ref="T7:V7"/>
    <mergeCell ref="AQ7:AS7"/>
    <mergeCell ref="AP4:AS4"/>
    <mergeCell ref="BL7:BO7"/>
    <mergeCell ref="BA7:BD7"/>
    <mergeCell ref="AT7:AT8"/>
    <mergeCell ref="AU7:AU8"/>
  </mergeCells>
  <pageMargins left="0.7" right="0.7" top="0.75" bottom="0.75" header="0.3" footer="0.3"/>
  <pageSetup paperSize="9"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617C-ACF3-45BF-B92D-84CB8E01F2F5}">
  <sheetPr codeName="Лист9"/>
  <dimension ref="A1"/>
  <sheetViews>
    <sheetView workbookViewId="0">
      <selection activeCell="L32" sqref="L32"/>
    </sheetView>
  </sheetViews>
  <sheetFormatPr defaultRowHeight="14.4" x14ac:dyDescent="0.3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/>
  <dimension ref="A5:C404"/>
  <sheetViews>
    <sheetView topLeftCell="A276" workbookViewId="0">
      <selection activeCell="I312" sqref="I312"/>
    </sheetView>
  </sheetViews>
  <sheetFormatPr defaultColWidth="8.6640625" defaultRowHeight="14.4" x14ac:dyDescent="0.3"/>
  <cols>
    <col min="1" max="1" width="13.5546875" style="1" customWidth="1"/>
    <col min="2" max="2" width="34.44140625" style="1" customWidth="1"/>
    <col min="4" max="16384" width="8.6640625" style="152"/>
  </cols>
  <sheetData>
    <row r="5" spans="1:2" ht="15" thickBot="1" x14ac:dyDescent="0.35"/>
    <row r="6" spans="1:2" x14ac:dyDescent="0.3">
      <c r="A6" s="676" t="s">
        <v>1101</v>
      </c>
      <c r="B6" s="675" t="s">
        <v>1</v>
      </c>
    </row>
    <row r="7" spans="1:2" x14ac:dyDescent="0.3">
      <c r="A7" s="315">
        <v>150000488</v>
      </c>
      <c r="B7" s="83" t="s">
        <v>34</v>
      </c>
    </row>
    <row r="8" spans="1:2" x14ac:dyDescent="0.3">
      <c r="A8" s="315">
        <v>150000490</v>
      </c>
      <c r="B8" s="44" t="s">
        <v>36</v>
      </c>
    </row>
    <row r="9" spans="1:2" x14ac:dyDescent="0.3">
      <c r="A9" s="315">
        <v>150000492</v>
      </c>
      <c r="B9" s="44" t="s">
        <v>35</v>
      </c>
    </row>
    <row r="10" spans="1:2" x14ac:dyDescent="0.3">
      <c r="A10" s="315">
        <v>150000493</v>
      </c>
      <c r="B10" s="44" t="s">
        <v>417</v>
      </c>
    </row>
    <row r="11" spans="1:2" x14ac:dyDescent="0.3">
      <c r="A11" s="315">
        <v>150000494</v>
      </c>
      <c r="B11" s="44" t="s">
        <v>418</v>
      </c>
    </row>
    <row r="12" spans="1:2" x14ac:dyDescent="0.3">
      <c r="A12" s="315">
        <v>150000495</v>
      </c>
      <c r="B12" s="44" t="s">
        <v>147</v>
      </c>
    </row>
    <row r="13" spans="1:2" x14ac:dyDescent="0.3">
      <c r="A13" s="315">
        <v>150000496</v>
      </c>
      <c r="B13" s="44" t="s">
        <v>148</v>
      </c>
    </row>
    <row r="14" spans="1:2" x14ac:dyDescent="0.3">
      <c r="A14" s="315">
        <v>150000497</v>
      </c>
      <c r="B14" s="44" t="s">
        <v>340</v>
      </c>
    </row>
    <row r="15" spans="1:2" x14ac:dyDescent="0.3">
      <c r="A15" s="315">
        <v>150000498</v>
      </c>
      <c r="B15" s="44" t="s">
        <v>241</v>
      </c>
    </row>
    <row r="16" spans="1:2" x14ac:dyDescent="0.3">
      <c r="A16" s="315">
        <v>150000501</v>
      </c>
      <c r="B16" s="44" t="s">
        <v>263</v>
      </c>
    </row>
    <row r="17" spans="1:2" x14ac:dyDescent="0.3">
      <c r="A17" s="315">
        <v>150000502</v>
      </c>
      <c r="B17" s="44" t="s">
        <v>108</v>
      </c>
    </row>
    <row r="18" spans="1:2" x14ac:dyDescent="0.3">
      <c r="A18" s="315">
        <v>150000503</v>
      </c>
      <c r="B18" s="44" t="s">
        <v>109</v>
      </c>
    </row>
    <row r="19" spans="1:2" x14ac:dyDescent="0.3">
      <c r="A19" s="315">
        <v>150000504</v>
      </c>
      <c r="B19" s="44" t="s">
        <v>110</v>
      </c>
    </row>
    <row r="20" spans="1:2" x14ac:dyDescent="0.3">
      <c r="A20" s="315">
        <v>150000505</v>
      </c>
      <c r="B20" s="44" t="s">
        <v>112</v>
      </c>
    </row>
    <row r="21" spans="1:2" x14ac:dyDescent="0.3">
      <c r="A21" s="315">
        <v>150000506</v>
      </c>
      <c r="B21" s="44" t="s">
        <v>111</v>
      </c>
    </row>
    <row r="22" spans="1:2" x14ac:dyDescent="0.3">
      <c r="A22" s="315">
        <v>150000507</v>
      </c>
      <c r="B22" s="44" t="s">
        <v>113</v>
      </c>
    </row>
    <row r="23" spans="1:2" x14ac:dyDescent="0.3">
      <c r="A23" s="315">
        <v>150000508</v>
      </c>
      <c r="B23" s="44" t="s">
        <v>114</v>
      </c>
    </row>
    <row r="24" spans="1:2" x14ac:dyDescent="0.3">
      <c r="A24" s="315">
        <v>150000509</v>
      </c>
      <c r="B24" s="44" t="s">
        <v>52</v>
      </c>
    </row>
    <row r="25" spans="1:2" x14ac:dyDescent="0.3">
      <c r="A25" s="315">
        <v>150000510</v>
      </c>
      <c r="B25" s="44" t="s">
        <v>248</v>
      </c>
    </row>
    <row r="26" spans="1:2" x14ac:dyDescent="0.3">
      <c r="A26" s="315">
        <v>150000511</v>
      </c>
      <c r="B26" s="44" t="s">
        <v>249</v>
      </c>
    </row>
    <row r="27" spans="1:2" x14ac:dyDescent="0.3">
      <c r="A27" s="315">
        <v>150000512</v>
      </c>
      <c r="B27" s="44" t="s">
        <v>250</v>
      </c>
    </row>
    <row r="28" spans="1:2" x14ac:dyDescent="0.3">
      <c r="A28" s="315">
        <v>150000513</v>
      </c>
      <c r="B28" s="44" t="s">
        <v>333</v>
      </c>
    </row>
    <row r="29" spans="1:2" x14ac:dyDescent="0.3">
      <c r="A29" s="315">
        <v>150000514</v>
      </c>
      <c r="B29" s="44" t="s">
        <v>151</v>
      </c>
    </row>
    <row r="30" spans="1:2" x14ac:dyDescent="0.3">
      <c r="A30" s="315">
        <v>150000515</v>
      </c>
      <c r="B30" s="44" t="s">
        <v>53</v>
      </c>
    </row>
    <row r="31" spans="1:2" x14ac:dyDescent="0.3">
      <c r="A31" s="315">
        <v>150000516</v>
      </c>
      <c r="B31" s="44" t="s">
        <v>55</v>
      </c>
    </row>
    <row r="32" spans="1:2" x14ac:dyDescent="0.3">
      <c r="A32" s="315">
        <v>150000517</v>
      </c>
      <c r="B32" s="44" t="s">
        <v>251</v>
      </c>
    </row>
    <row r="33" spans="1:2" x14ac:dyDescent="0.3">
      <c r="A33" s="315">
        <v>150000518</v>
      </c>
      <c r="B33" s="44" t="s">
        <v>194</v>
      </c>
    </row>
    <row r="34" spans="1:2" x14ac:dyDescent="0.3">
      <c r="A34" s="315">
        <v>150000519</v>
      </c>
      <c r="B34" s="44" t="s">
        <v>412</v>
      </c>
    </row>
    <row r="35" spans="1:2" x14ac:dyDescent="0.3">
      <c r="A35" s="315">
        <v>150000521</v>
      </c>
      <c r="B35" s="44" t="s">
        <v>252</v>
      </c>
    </row>
    <row r="36" spans="1:2" x14ac:dyDescent="0.3">
      <c r="A36" s="315">
        <v>150000522</v>
      </c>
      <c r="B36" s="44" t="s">
        <v>56</v>
      </c>
    </row>
    <row r="37" spans="1:2" x14ac:dyDescent="0.3">
      <c r="A37" s="315">
        <v>150000523</v>
      </c>
      <c r="B37" s="44" t="s">
        <v>57</v>
      </c>
    </row>
    <row r="38" spans="1:2" x14ac:dyDescent="0.3">
      <c r="A38" s="315">
        <v>150000524</v>
      </c>
      <c r="B38" s="44" t="s">
        <v>58</v>
      </c>
    </row>
    <row r="39" spans="1:2" x14ac:dyDescent="0.3">
      <c r="A39" s="315">
        <v>150000527</v>
      </c>
      <c r="B39" s="44" t="s">
        <v>60</v>
      </c>
    </row>
    <row r="40" spans="1:2" x14ac:dyDescent="0.3">
      <c r="A40" s="315">
        <v>150000529</v>
      </c>
      <c r="B40" s="44" t="s">
        <v>347</v>
      </c>
    </row>
    <row r="41" spans="1:2" x14ac:dyDescent="0.3">
      <c r="A41" s="315">
        <v>150000530</v>
      </c>
      <c r="B41" s="44" t="s">
        <v>62</v>
      </c>
    </row>
    <row r="42" spans="1:2" x14ac:dyDescent="0.3">
      <c r="A42" s="315">
        <v>150000531</v>
      </c>
      <c r="B42" s="44" t="s">
        <v>348</v>
      </c>
    </row>
    <row r="43" spans="1:2" x14ac:dyDescent="0.3">
      <c r="A43" s="315">
        <v>150000532</v>
      </c>
      <c r="B43" s="44" t="s">
        <v>253</v>
      </c>
    </row>
    <row r="44" spans="1:2" x14ac:dyDescent="0.3">
      <c r="A44" s="315">
        <v>150000533</v>
      </c>
      <c r="B44" s="44" t="s">
        <v>349</v>
      </c>
    </row>
    <row r="45" spans="1:2" x14ac:dyDescent="0.3">
      <c r="A45" s="315">
        <v>150000534</v>
      </c>
      <c r="B45" s="44" t="s">
        <v>254</v>
      </c>
    </row>
    <row r="46" spans="1:2" x14ac:dyDescent="0.3">
      <c r="A46" s="315">
        <v>150000535</v>
      </c>
      <c r="B46" s="44" t="s">
        <v>350</v>
      </c>
    </row>
    <row r="47" spans="1:2" x14ac:dyDescent="0.3">
      <c r="A47" s="315">
        <v>150000537</v>
      </c>
      <c r="B47" s="44" t="s">
        <v>105</v>
      </c>
    </row>
    <row r="48" spans="1:2" x14ac:dyDescent="0.3">
      <c r="A48" s="315">
        <v>150000538</v>
      </c>
      <c r="B48" s="44" t="s">
        <v>207</v>
      </c>
    </row>
    <row r="49" spans="1:2" x14ac:dyDescent="0.3">
      <c r="A49" s="315">
        <v>150000539</v>
      </c>
      <c r="B49" s="44" t="s">
        <v>54</v>
      </c>
    </row>
    <row r="50" spans="1:2" x14ac:dyDescent="0.3">
      <c r="A50" s="315">
        <v>150000541</v>
      </c>
      <c r="B50" s="44" t="s">
        <v>59</v>
      </c>
    </row>
    <row r="51" spans="1:2" x14ac:dyDescent="0.3">
      <c r="A51" s="315">
        <v>150000542</v>
      </c>
      <c r="B51" s="44" t="s">
        <v>61</v>
      </c>
    </row>
    <row r="52" spans="1:2" x14ac:dyDescent="0.3">
      <c r="A52" s="315">
        <v>150000543</v>
      </c>
      <c r="B52" s="44" t="s">
        <v>63</v>
      </c>
    </row>
    <row r="53" spans="1:2" x14ac:dyDescent="0.3">
      <c r="A53" s="315">
        <v>150000544</v>
      </c>
      <c r="B53" s="44" t="s">
        <v>64</v>
      </c>
    </row>
    <row r="54" spans="1:2" x14ac:dyDescent="0.3">
      <c r="A54" s="315">
        <v>150000545</v>
      </c>
      <c r="B54" s="44" t="s">
        <v>106</v>
      </c>
    </row>
    <row r="55" spans="1:2" x14ac:dyDescent="0.3">
      <c r="A55" s="315">
        <v>150000546</v>
      </c>
      <c r="B55" s="44" t="s">
        <v>107</v>
      </c>
    </row>
    <row r="56" spans="1:2" x14ac:dyDescent="0.3">
      <c r="A56" s="315">
        <v>150000547</v>
      </c>
      <c r="B56" s="44" t="s">
        <v>247</v>
      </c>
    </row>
    <row r="57" spans="1:2" x14ac:dyDescent="0.3">
      <c r="A57" s="315">
        <v>150000548</v>
      </c>
      <c r="B57" s="44" t="s">
        <v>246</v>
      </c>
    </row>
    <row r="58" spans="1:2" x14ac:dyDescent="0.3">
      <c r="A58" s="315">
        <v>150000549</v>
      </c>
      <c r="B58" s="44" t="s">
        <v>206</v>
      </c>
    </row>
    <row r="59" spans="1:2" x14ac:dyDescent="0.3">
      <c r="A59" s="315">
        <v>150000552</v>
      </c>
      <c r="B59" s="44" t="s">
        <v>91</v>
      </c>
    </row>
    <row r="60" spans="1:2" x14ac:dyDescent="0.3">
      <c r="A60" s="315">
        <v>150000553</v>
      </c>
      <c r="B60" s="44" t="s">
        <v>259</v>
      </c>
    </row>
    <row r="61" spans="1:2" x14ac:dyDescent="0.3">
      <c r="A61" s="315">
        <v>150000555</v>
      </c>
      <c r="B61" s="44" t="s">
        <v>88</v>
      </c>
    </row>
    <row r="62" spans="1:2" x14ac:dyDescent="0.3">
      <c r="A62" s="315">
        <v>150000556</v>
      </c>
      <c r="B62" s="44" t="s">
        <v>89</v>
      </c>
    </row>
    <row r="63" spans="1:2" x14ac:dyDescent="0.3">
      <c r="A63" s="315">
        <v>150000557</v>
      </c>
      <c r="B63" s="44" t="s">
        <v>90</v>
      </c>
    </row>
    <row r="64" spans="1:2" x14ac:dyDescent="0.3">
      <c r="A64" s="315">
        <v>150000561</v>
      </c>
      <c r="B64" s="44" t="s">
        <v>71</v>
      </c>
    </row>
    <row r="65" spans="1:2" x14ac:dyDescent="0.3">
      <c r="A65" s="315">
        <v>150000562</v>
      </c>
      <c r="B65" s="44" t="s">
        <v>73</v>
      </c>
    </row>
    <row r="66" spans="1:2" x14ac:dyDescent="0.3">
      <c r="A66" s="315">
        <v>150000566</v>
      </c>
      <c r="B66" s="44" t="s">
        <v>68</v>
      </c>
    </row>
    <row r="67" spans="1:2" x14ac:dyDescent="0.3">
      <c r="A67" s="315">
        <v>150000567</v>
      </c>
      <c r="B67" s="44" t="s">
        <v>70</v>
      </c>
    </row>
    <row r="68" spans="1:2" x14ac:dyDescent="0.3">
      <c r="A68" s="315">
        <v>150000569</v>
      </c>
      <c r="B68" s="44" t="s">
        <v>72</v>
      </c>
    </row>
    <row r="69" spans="1:2" x14ac:dyDescent="0.3">
      <c r="A69" s="315">
        <v>150000570</v>
      </c>
      <c r="B69" s="44" t="s">
        <v>74</v>
      </c>
    </row>
    <row r="70" spans="1:2" x14ac:dyDescent="0.3">
      <c r="A70" s="315">
        <v>150000571</v>
      </c>
      <c r="B70" s="44" t="s">
        <v>69</v>
      </c>
    </row>
    <row r="71" spans="1:2" x14ac:dyDescent="0.3">
      <c r="A71" s="315">
        <v>150000572</v>
      </c>
      <c r="B71" s="44" t="s">
        <v>152</v>
      </c>
    </row>
    <row r="72" spans="1:2" x14ac:dyDescent="0.3">
      <c r="A72" s="315">
        <v>150000573</v>
      </c>
      <c r="B72" s="44" t="s">
        <v>75</v>
      </c>
    </row>
    <row r="73" spans="1:2" x14ac:dyDescent="0.3">
      <c r="A73" s="315">
        <v>150000578</v>
      </c>
      <c r="B73" s="44" t="s">
        <v>83</v>
      </c>
    </row>
    <row r="74" spans="1:2" x14ac:dyDescent="0.3">
      <c r="A74" s="315">
        <v>150000580</v>
      </c>
      <c r="B74" s="44" t="s">
        <v>84</v>
      </c>
    </row>
    <row r="75" spans="1:2" x14ac:dyDescent="0.3">
      <c r="A75" s="315">
        <v>150000587</v>
      </c>
      <c r="B75" s="44" t="s">
        <v>82</v>
      </c>
    </row>
    <row r="76" spans="1:2" x14ac:dyDescent="0.3">
      <c r="A76" s="315">
        <v>150000590</v>
      </c>
      <c r="B76" s="44" t="s">
        <v>163</v>
      </c>
    </row>
    <row r="77" spans="1:2" x14ac:dyDescent="0.3">
      <c r="A77" s="315">
        <v>150000591</v>
      </c>
      <c r="B77" s="44" t="s">
        <v>191</v>
      </c>
    </row>
    <row r="78" spans="1:2" x14ac:dyDescent="0.3">
      <c r="A78" s="315">
        <v>150000592</v>
      </c>
      <c r="B78" s="44" t="s">
        <v>353</v>
      </c>
    </row>
    <row r="79" spans="1:2" x14ac:dyDescent="0.3">
      <c r="A79" s="315">
        <v>150000593</v>
      </c>
      <c r="B79" s="44" t="s">
        <v>255</v>
      </c>
    </row>
    <row r="80" spans="1:2" x14ac:dyDescent="0.3">
      <c r="A80" s="315">
        <v>150000594</v>
      </c>
      <c r="B80" s="44" t="s">
        <v>354</v>
      </c>
    </row>
    <row r="81" spans="1:2" x14ac:dyDescent="0.3">
      <c r="A81" s="315">
        <v>150000597</v>
      </c>
      <c r="B81" s="44" t="s">
        <v>352</v>
      </c>
    </row>
    <row r="82" spans="1:2" x14ac:dyDescent="0.3">
      <c r="A82" s="315">
        <v>150000598</v>
      </c>
      <c r="B82" s="44" t="s">
        <v>76</v>
      </c>
    </row>
    <row r="83" spans="1:2" x14ac:dyDescent="0.3">
      <c r="A83" s="315">
        <v>150000599</v>
      </c>
      <c r="B83" s="44" t="s">
        <v>77</v>
      </c>
    </row>
    <row r="84" spans="1:2" x14ac:dyDescent="0.3">
      <c r="A84" s="315">
        <v>150000601</v>
      </c>
      <c r="B84" s="44" t="s">
        <v>78</v>
      </c>
    </row>
    <row r="85" spans="1:2" x14ac:dyDescent="0.3">
      <c r="A85" s="315">
        <v>150000603</v>
      </c>
      <c r="B85" s="44" t="s">
        <v>153</v>
      </c>
    </row>
    <row r="86" spans="1:2" x14ac:dyDescent="0.3">
      <c r="A86" s="315">
        <v>150000604</v>
      </c>
      <c r="B86" s="44" t="s">
        <v>154</v>
      </c>
    </row>
    <row r="87" spans="1:2" x14ac:dyDescent="0.3">
      <c r="A87" s="315">
        <v>150000605</v>
      </c>
      <c r="B87" s="44" t="s">
        <v>155</v>
      </c>
    </row>
    <row r="88" spans="1:2" x14ac:dyDescent="0.3">
      <c r="A88" s="315">
        <v>150000606</v>
      </c>
      <c r="B88" s="44" t="s">
        <v>156</v>
      </c>
    </row>
    <row r="89" spans="1:2" x14ac:dyDescent="0.3">
      <c r="A89" s="315">
        <v>150000607</v>
      </c>
      <c r="B89" s="44" t="s">
        <v>157</v>
      </c>
    </row>
    <row r="90" spans="1:2" x14ac:dyDescent="0.3">
      <c r="A90" s="315">
        <v>150000608</v>
      </c>
      <c r="B90" s="44" t="s">
        <v>158</v>
      </c>
    </row>
    <row r="91" spans="1:2" x14ac:dyDescent="0.3">
      <c r="A91" s="315">
        <v>150000609</v>
      </c>
      <c r="B91" s="44" t="s">
        <v>159</v>
      </c>
    </row>
    <row r="92" spans="1:2" x14ac:dyDescent="0.3">
      <c r="A92" s="315">
        <v>150000610</v>
      </c>
      <c r="B92" s="44" t="s">
        <v>160</v>
      </c>
    </row>
    <row r="93" spans="1:2" x14ac:dyDescent="0.3">
      <c r="A93" s="315">
        <v>150000611</v>
      </c>
      <c r="B93" s="44" t="s">
        <v>195</v>
      </c>
    </row>
    <row r="94" spans="1:2" x14ac:dyDescent="0.3">
      <c r="A94" s="315">
        <v>150000612</v>
      </c>
      <c r="B94" s="44" t="s">
        <v>161</v>
      </c>
    </row>
    <row r="95" spans="1:2" x14ac:dyDescent="0.3">
      <c r="A95" s="315">
        <v>150000613</v>
      </c>
      <c r="B95" s="44" t="s">
        <v>210</v>
      </c>
    </row>
    <row r="96" spans="1:2" x14ac:dyDescent="0.3">
      <c r="A96" s="315">
        <v>150000614</v>
      </c>
      <c r="B96" s="44" t="s">
        <v>162</v>
      </c>
    </row>
    <row r="97" spans="1:2" x14ac:dyDescent="0.3">
      <c r="A97" s="315">
        <v>150000615</v>
      </c>
      <c r="B97" s="44" t="s">
        <v>256</v>
      </c>
    </row>
    <row r="98" spans="1:2" x14ac:dyDescent="0.3">
      <c r="A98" s="315">
        <v>150000616</v>
      </c>
      <c r="B98" s="44" t="s">
        <v>257</v>
      </c>
    </row>
    <row r="99" spans="1:2" x14ac:dyDescent="0.3">
      <c r="A99" s="315">
        <v>150000618</v>
      </c>
      <c r="B99" s="44" t="s">
        <v>416</v>
      </c>
    </row>
    <row r="100" spans="1:2" x14ac:dyDescent="0.3">
      <c r="A100" s="315">
        <v>150000619</v>
      </c>
      <c r="B100" s="44" t="s">
        <v>359</v>
      </c>
    </row>
    <row r="101" spans="1:2" x14ac:dyDescent="0.3">
      <c r="A101" s="315">
        <v>150000620</v>
      </c>
      <c r="B101" s="44" t="s">
        <v>360</v>
      </c>
    </row>
    <row r="102" spans="1:2" x14ac:dyDescent="0.3">
      <c r="A102" s="315">
        <v>150000621</v>
      </c>
      <c r="B102" s="44" t="s">
        <v>80</v>
      </c>
    </row>
    <row r="103" spans="1:2" x14ac:dyDescent="0.3">
      <c r="A103" s="315">
        <v>150000622</v>
      </c>
      <c r="B103" s="44" t="s">
        <v>81</v>
      </c>
    </row>
    <row r="104" spans="1:2" x14ac:dyDescent="0.3">
      <c r="A104" s="315">
        <v>150000623</v>
      </c>
      <c r="B104" s="44" t="s">
        <v>209</v>
      </c>
    </row>
    <row r="105" spans="1:2" x14ac:dyDescent="0.3">
      <c r="A105" s="315">
        <v>150000625</v>
      </c>
      <c r="B105" s="44" t="s">
        <v>415</v>
      </c>
    </row>
    <row r="106" spans="1:2" x14ac:dyDescent="0.3">
      <c r="A106" s="315">
        <v>150000626</v>
      </c>
      <c r="B106" s="44" t="s">
        <v>358</v>
      </c>
    </row>
    <row r="107" spans="1:2" x14ac:dyDescent="0.3">
      <c r="A107" s="315">
        <v>150000627</v>
      </c>
      <c r="B107" s="44" t="s">
        <v>355</v>
      </c>
    </row>
    <row r="108" spans="1:2" x14ac:dyDescent="0.3">
      <c r="A108" s="315">
        <v>150000628</v>
      </c>
      <c r="B108" s="44" t="s">
        <v>356</v>
      </c>
    </row>
    <row r="109" spans="1:2" x14ac:dyDescent="0.3">
      <c r="A109" s="315">
        <v>150000629</v>
      </c>
      <c r="B109" s="44" t="s">
        <v>357</v>
      </c>
    </row>
    <row r="110" spans="1:2" x14ac:dyDescent="0.3">
      <c r="A110" s="315">
        <v>150000634</v>
      </c>
      <c r="B110" s="44" t="s">
        <v>86</v>
      </c>
    </row>
    <row r="111" spans="1:2" x14ac:dyDescent="0.3">
      <c r="A111" s="315">
        <v>150000636</v>
      </c>
      <c r="B111" s="44" t="s">
        <v>258</v>
      </c>
    </row>
    <row r="112" spans="1:2" x14ac:dyDescent="0.3">
      <c r="A112" s="315">
        <v>150000637</v>
      </c>
      <c r="B112" s="44" t="s">
        <v>87</v>
      </c>
    </row>
    <row r="113" spans="1:2" x14ac:dyDescent="0.3">
      <c r="A113" s="315">
        <v>150000638</v>
      </c>
      <c r="B113" s="44" t="s">
        <v>131</v>
      </c>
    </row>
    <row r="114" spans="1:2" x14ac:dyDescent="0.3">
      <c r="A114" s="315">
        <v>150000639</v>
      </c>
      <c r="B114" s="44" t="s">
        <v>132</v>
      </c>
    </row>
    <row r="115" spans="1:2" x14ac:dyDescent="0.3">
      <c r="A115" s="315">
        <v>150000643</v>
      </c>
      <c r="B115" s="44" t="s">
        <v>66</v>
      </c>
    </row>
    <row r="116" spans="1:2" x14ac:dyDescent="0.3">
      <c r="A116" s="315">
        <v>150000644</v>
      </c>
      <c r="B116" s="44" t="s">
        <v>67</v>
      </c>
    </row>
    <row r="117" spans="1:2" x14ac:dyDescent="0.3">
      <c r="A117" s="315">
        <v>150000645</v>
      </c>
      <c r="B117" s="44" t="s">
        <v>65</v>
      </c>
    </row>
    <row r="118" spans="1:2" x14ac:dyDescent="0.3">
      <c r="A118" s="315">
        <v>150000647</v>
      </c>
      <c r="B118" s="44" t="s">
        <v>96</v>
      </c>
    </row>
    <row r="119" spans="1:2" x14ac:dyDescent="0.3">
      <c r="A119" s="315">
        <v>150000648</v>
      </c>
      <c r="B119" s="44" t="s">
        <v>361</v>
      </c>
    </row>
    <row r="120" spans="1:2" x14ac:dyDescent="0.3">
      <c r="A120" s="315">
        <v>150000658</v>
      </c>
      <c r="B120" s="44" t="s">
        <v>351</v>
      </c>
    </row>
    <row r="121" spans="1:2" x14ac:dyDescent="0.3">
      <c r="A121" s="315">
        <v>150000659</v>
      </c>
      <c r="B121" s="44" t="s">
        <v>413</v>
      </c>
    </row>
    <row r="122" spans="1:2" x14ac:dyDescent="0.3">
      <c r="A122" s="315">
        <v>150000660</v>
      </c>
      <c r="B122" s="44" t="s">
        <v>414</v>
      </c>
    </row>
    <row r="123" spans="1:2" x14ac:dyDescent="0.3">
      <c r="A123" s="315">
        <v>150000670</v>
      </c>
      <c r="B123" s="44" t="s">
        <v>126</v>
      </c>
    </row>
    <row r="124" spans="1:2" x14ac:dyDescent="0.3">
      <c r="A124" s="315">
        <v>150000671</v>
      </c>
      <c r="B124" s="44" t="s">
        <v>127</v>
      </c>
    </row>
    <row r="125" spans="1:2" x14ac:dyDescent="0.3">
      <c r="A125" s="315">
        <v>150000672</v>
      </c>
      <c r="B125" s="46" t="s">
        <v>428</v>
      </c>
    </row>
    <row r="126" spans="1:2" x14ac:dyDescent="0.3">
      <c r="A126" s="315">
        <v>150000673</v>
      </c>
      <c r="B126" s="44" t="s">
        <v>182</v>
      </c>
    </row>
    <row r="127" spans="1:2" x14ac:dyDescent="0.3">
      <c r="A127" s="315">
        <v>150000676</v>
      </c>
      <c r="B127" s="44" t="s">
        <v>385</v>
      </c>
    </row>
    <row r="128" spans="1:2" x14ac:dyDescent="0.3">
      <c r="A128" s="315">
        <v>150000683</v>
      </c>
      <c r="B128" s="44" t="s">
        <v>115</v>
      </c>
    </row>
    <row r="129" spans="1:2" x14ac:dyDescent="0.3">
      <c r="A129" s="315">
        <v>150000686</v>
      </c>
      <c r="B129" s="44" t="s">
        <v>97</v>
      </c>
    </row>
    <row r="130" spans="1:2" x14ac:dyDescent="0.3">
      <c r="A130" s="315">
        <v>150000688</v>
      </c>
      <c r="B130" s="44" t="s">
        <v>92</v>
      </c>
    </row>
    <row r="131" spans="1:2" x14ac:dyDescent="0.3">
      <c r="A131" s="315">
        <v>150000689</v>
      </c>
      <c r="B131" s="44" t="s">
        <v>93</v>
      </c>
    </row>
    <row r="132" spans="1:2" x14ac:dyDescent="0.3">
      <c r="A132" s="315">
        <v>150000690</v>
      </c>
      <c r="B132" s="44" t="s">
        <v>95</v>
      </c>
    </row>
    <row r="133" spans="1:2" x14ac:dyDescent="0.3">
      <c r="A133" s="315">
        <v>150000693</v>
      </c>
      <c r="B133" s="44" t="s">
        <v>94</v>
      </c>
    </row>
    <row r="134" spans="1:2" x14ac:dyDescent="0.3">
      <c r="A134" s="315">
        <v>150000694</v>
      </c>
      <c r="B134" s="44" t="s">
        <v>371</v>
      </c>
    </row>
    <row r="135" spans="1:2" x14ac:dyDescent="0.3">
      <c r="A135" s="315">
        <v>150000695</v>
      </c>
      <c r="B135" s="44" t="s">
        <v>372</v>
      </c>
    </row>
    <row r="136" spans="1:2" x14ac:dyDescent="0.3">
      <c r="A136" s="315">
        <v>150000696</v>
      </c>
      <c r="B136" s="44" t="s">
        <v>370</v>
      </c>
    </row>
    <row r="137" spans="1:2" x14ac:dyDescent="0.3">
      <c r="A137" s="315">
        <v>150000697</v>
      </c>
      <c r="B137" s="44" t="s">
        <v>265</v>
      </c>
    </row>
    <row r="138" spans="1:2" x14ac:dyDescent="0.3">
      <c r="A138" s="315">
        <v>150000698</v>
      </c>
      <c r="B138" s="44" t="s">
        <v>120</v>
      </c>
    </row>
    <row r="139" spans="1:2" x14ac:dyDescent="0.3">
      <c r="A139" s="315">
        <v>150000699</v>
      </c>
      <c r="B139" s="44" t="s">
        <v>373</v>
      </c>
    </row>
    <row r="140" spans="1:2" x14ac:dyDescent="0.3">
      <c r="A140" s="315">
        <v>150000702</v>
      </c>
      <c r="B140" s="44" t="s">
        <v>338</v>
      </c>
    </row>
    <row r="141" spans="1:2" x14ac:dyDescent="0.3">
      <c r="A141" s="315">
        <v>150000703</v>
      </c>
      <c r="B141" s="44" t="s">
        <v>339</v>
      </c>
    </row>
    <row r="142" spans="1:2" x14ac:dyDescent="0.3">
      <c r="A142" s="315">
        <v>150000705</v>
      </c>
      <c r="B142" s="44" t="s">
        <v>141</v>
      </c>
    </row>
    <row r="143" spans="1:2" x14ac:dyDescent="0.3">
      <c r="A143" s="315">
        <v>150000706</v>
      </c>
      <c r="B143" s="44" t="s">
        <v>143</v>
      </c>
    </row>
    <row r="144" spans="1:2" x14ac:dyDescent="0.3">
      <c r="A144" s="315">
        <v>150000707</v>
      </c>
      <c r="B144" s="44" t="s">
        <v>144</v>
      </c>
    </row>
    <row r="145" spans="1:2" x14ac:dyDescent="0.3">
      <c r="A145" s="315">
        <v>150000708</v>
      </c>
      <c r="B145" s="44" t="s">
        <v>145</v>
      </c>
    </row>
    <row r="146" spans="1:2" x14ac:dyDescent="0.3">
      <c r="A146" s="315">
        <v>150000709</v>
      </c>
      <c r="B146" s="44" t="s">
        <v>142</v>
      </c>
    </row>
    <row r="147" spans="1:2" x14ac:dyDescent="0.3">
      <c r="A147" s="315">
        <v>150000710</v>
      </c>
      <c r="B147" s="44" t="s">
        <v>278</v>
      </c>
    </row>
    <row r="148" spans="1:2" x14ac:dyDescent="0.3">
      <c r="A148" s="315">
        <v>150000711</v>
      </c>
      <c r="B148" s="44" t="s">
        <v>279</v>
      </c>
    </row>
    <row r="149" spans="1:2" x14ac:dyDescent="0.3">
      <c r="A149" s="315">
        <v>150000712</v>
      </c>
      <c r="B149" s="44" t="s">
        <v>280</v>
      </c>
    </row>
    <row r="150" spans="1:2" x14ac:dyDescent="0.3">
      <c r="A150" s="315">
        <v>150000713</v>
      </c>
      <c r="B150" s="44" t="s">
        <v>281</v>
      </c>
    </row>
    <row r="151" spans="1:2" x14ac:dyDescent="0.3">
      <c r="A151" s="315">
        <v>150000714</v>
      </c>
      <c r="B151" s="44" t="s">
        <v>282</v>
      </c>
    </row>
    <row r="152" spans="1:2" x14ac:dyDescent="0.3">
      <c r="A152" s="315">
        <v>150000715</v>
      </c>
      <c r="B152" s="44" t="s">
        <v>283</v>
      </c>
    </row>
    <row r="153" spans="1:2" x14ac:dyDescent="0.3">
      <c r="A153" s="315">
        <v>150000716</v>
      </c>
      <c r="B153" s="44" t="s">
        <v>285</v>
      </c>
    </row>
    <row r="154" spans="1:2" x14ac:dyDescent="0.3">
      <c r="A154" s="315">
        <v>150000717</v>
      </c>
      <c r="B154" s="44" t="s">
        <v>286</v>
      </c>
    </row>
    <row r="155" spans="1:2" x14ac:dyDescent="0.3">
      <c r="A155" s="315">
        <v>150000718</v>
      </c>
      <c r="B155" s="44" t="s">
        <v>287</v>
      </c>
    </row>
    <row r="156" spans="1:2" x14ac:dyDescent="0.3">
      <c r="A156" s="315">
        <v>150000719</v>
      </c>
      <c r="B156" s="44" t="s">
        <v>284</v>
      </c>
    </row>
    <row r="157" spans="1:2" x14ac:dyDescent="0.3">
      <c r="A157" s="315">
        <v>150000720</v>
      </c>
      <c r="B157" s="44" t="s">
        <v>288</v>
      </c>
    </row>
    <row r="158" spans="1:2" x14ac:dyDescent="0.3">
      <c r="A158" s="315">
        <v>150000721</v>
      </c>
      <c r="B158" s="44" t="s">
        <v>218</v>
      </c>
    </row>
    <row r="159" spans="1:2" x14ac:dyDescent="0.3">
      <c r="A159" s="315">
        <v>150000722</v>
      </c>
      <c r="B159" s="44" t="s">
        <v>274</v>
      </c>
    </row>
    <row r="160" spans="1:2" x14ac:dyDescent="0.3">
      <c r="A160" s="315">
        <v>150000723</v>
      </c>
      <c r="B160" s="44" t="s">
        <v>275</v>
      </c>
    </row>
    <row r="161" spans="1:2" x14ac:dyDescent="0.3">
      <c r="A161" s="315">
        <v>150000724</v>
      </c>
      <c r="B161" s="44" t="s">
        <v>276</v>
      </c>
    </row>
    <row r="162" spans="1:2" x14ac:dyDescent="0.3">
      <c r="A162" s="315">
        <v>150000725</v>
      </c>
      <c r="B162" s="44" t="s">
        <v>277</v>
      </c>
    </row>
    <row r="163" spans="1:2" x14ac:dyDescent="0.3">
      <c r="A163" s="315">
        <v>150000726</v>
      </c>
      <c r="B163" s="44" t="s">
        <v>183</v>
      </c>
    </row>
    <row r="164" spans="1:2" x14ac:dyDescent="0.3">
      <c r="A164" s="315">
        <v>150000727</v>
      </c>
      <c r="B164" s="44" t="s">
        <v>128</v>
      </c>
    </row>
    <row r="165" spans="1:2" x14ac:dyDescent="0.3">
      <c r="A165" s="315">
        <v>150000728</v>
      </c>
      <c r="B165" s="44" t="s">
        <v>184</v>
      </c>
    </row>
    <row r="166" spans="1:2" x14ac:dyDescent="0.3">
      <c r="A166" s="315">
        <v>150000729</v>
      </c>
      <c r="B166" s="44" t="s">
        <v>273</v>
      </c>
    </row>
    <row r="167" spans="1:2" x14ac:dyDescent="0.3">
      <c r="A167" s="315">
        <v>150000736</v>
      </c>
      <c r="B167" s="44" t="s">
        <v>219</v>
      </c>
    </row>
    <row r="168" spans="1:2" x14ac:dyDescent="0.3">
      <c r="A168" s="315">
        <v>150000737</v>
      </c>
      <c r="B168" s="44" t="s">
        <v>221</v>
      </c>
    </row>
    <row r="169" spans="1:2" x14ac:dyDescent="0.3">
      <c r="A169" s="315">
        <v>150000738</v>
      </c>
      <c r="B169" s="44" t="s">
        <v>289</v>
      </c>
    </row>
    <row r="170" spans="1:2" x14ac:dyDescent="0.3">
      <c r="A170" s="315">
        <v>150000739</v>
      </c>
      <c r="B170" s="44" t="s">
        <v>222</v>
      </c>
    </row>
    <row r="171" spans="1:2" x14ac:dyDescent="0.3">
      <c r="A171" s="315">
        <v>150000740</v>
      </c>
      <c r="B171" s="44" t="s">
        <v>197</v>
      </c>
    </row>
    <row r="172" spans="1:2" x14ac:dyDescent="0.3">
      <c r="A172" s="315">
        <v>150000741</v>
      </c>
      <c r="B172" s="44" t="s">
        <v>224</v>
      </c>
    </row>
    <row r="173" spans="1:2" x14ac:dyDescent="0.3">
      <c r="A173" s="315">
        <v>150000742</v>
      </c>
      <c r="B173" s="44" t="s">
        <v>290</v>
      </c>
    </row>
    <row r="174" spans="1:2" x14ac:dyDescent="0.3">
      <c r="A174" s="315">
        <v>150000743</v>
      </c>
      <c r="B174" s="44" t="s">
        <v>220</v>
      </c>
    </row>
    <row r="175" spans="1:2" x14ac:dyDescent="0.3">
      <c r="A175" s="315">
        <v>150000744</v>
      </c>
      <c r="B175" s="44" t="s">
        <v>223</v>
      </c>
    </row>
    <row r="176" spans="1:2" x14ac:dyDescent="0.3">
      <c r="A176" s="315">
        <v>150000745</v>
      </c>
      <c r="B176" s="44" t="s">
        <v>133</v>
      </c>
    </row>
    <row r="177" spans="1:2" x14ac:dyDescent="0.3">
      <c r="A177" s="315">
        <v>150000750</v>
      </c>
      <c r="B177" s="44" t="s">
        <v>129</v>
      </c>
    </row>
    <row r="178" spans="1:2" x14ac:dyDescent="0.3">
      <c r="A178" s="315">
        <v>150000751</v>
      </c>
      <c r="B178" s="44" t="s">
        <v>130</v>
      </c>
    </row>
    <row r="179" spans="1:2" x14ac:dyDescent="0.3">
      <c r="A179" s="315">
        <v>150000752</v>
      </c>
      <c r="B179" s="44" t="s">
        <v>386</v>
      </c>
    </row>
    <row r="180" spans="1:2" x14ac:dyDescent="0.3">
      <c r="A180" s="315">
        <v>150000753</v>
      </c>
      <c r="B180" s="44" t="s">
        <v>239</v>
      </c>
    </row>
    <row r="181" spans="1:2" x14ac:dyDescent="0.3">
      <c r="A181" s="315">
        <v>150000754</v>
      </c>
      <c r="B181" s="44" t="s">
        <v>240</v>
      </c>
    </row>
    <row r="182" spans="1:2" x14ac:dyDescent="0.3">
      <c r="A182" s="315">
        <v>150000758</v>
      </c>
      <c r="B182" s="44" t="s">
        <v>388</v>
      </c>
    </row>
    <row r="183" spans="1:2" x14ac:dyDescent="0.3">
      <c r="A183" s="315">
        <v>150000759</v>
      </c>
      <c r="B183" s="44" t="s">
        <v>389</v>
      </c>
    </row>
    <row r="184" spans="1:2" x14ac:dyDescent="0.3">
      <c r="A184" s="315">
        <v>150000760</v>
      </c>
      <c r="B184" s="44" t="s">
        <v>387</v>
      </c>
    </row>
    <row r="185" spans="1:2" x14ac:dyDescent="0.3">
      <c r="A185" s="315">
        <v>150000761</v>
      </c>
      <c r="B185" s="44" t="s">
        <v>390</v>
      </c>
    </row>
    <row r="186" spans="1:2" x14ac:dyDescent="0.3">
      <c r="A186" s="315">
        <v>150000762</v>
      </c>
      <c r="B186" s="44" t="s">
        <v>391</v>
      </c>
    </row>
    <row r="187" spans="1:2" x14ac:dyDescent="0.3">
      <c r="A187" s="315">
        <v>150000763</v>
      </c>
      <c r="B187" s="44" t="s">
        <v>117</v>
      </c>
    </row>
    <row r="188" spans="1:2" x14ac:dyDescent="0.3">
      <c r="A188" s="315">
        <v>150000764</v>
      </c>
      <c r="B188" s="44" t="s">
        <v>118</v>
      </c>
    </row>
    <row r="189" spans="1:2" x14ac:dyDescent="0.3">
      <c r="A189" s="315">
        <v>150000765</v>
      </c>
      <c r="B189" s="44" t="s">
        <v>264</v>
      </c>
    </row>
    <row r="190" spans="1:2" x14ac:dyDescent="0.3">
      <c r="A190" s="315">
        <v>150000768</v>
      </c>
      <c r="B190" s="44" t="s">
        <v>116</v>
      </c>
    </row>
    <row r="191" spans="1:2" x14ac:dyDescent="0.3">
      <c r="A191" s="315">
        <v>150000770</v>
      </c>
      <c r="B191" s="44" t="s">
        <v>119</v>
      </c>
    </row>
    <row r="192" spans="1:2" x14ac:dyDescent="0.3">
      <c r="A192" s="315">
        <v>150000777</v>
      </c>
      <c r="B192" s="44" t="s">
        <v>168</v>
      </c>
    </row>
    <row r="193" spans="1:2" x14ac:dyDescent="0.3">
      <c r="A193" s="315">
        <v>150000778</v>
      </c>
      <c r="B193" s="44" t="s">
        <v>214</v>
      </c>
    </row>
    <row r="194" spans="1:2" x14ac:dyDescent="0.3">
      <c r="A194" s="315">
        <v>150000781</v>
      </c>
      <c r="B194" s="44" t="s">
        <v>33</v>
      </c>
    </row>
    <row r="195" spans="1:2" x14ac:dyDescent="0.3">
      <c r="A195" s="315">
        <v>150000795</v>
      </c>
      <c r="B195" s="44" t="s">
        <v>291</v>
      </c>
    </row>
    <row r="196" spans="1:2" x14ac:dyDescent="0.3">
      <c r="A196" s="315">
        <v>150000796</v>
      </c>
      <c r="B196" s="44" t="s">
        <v>98</v>
      </c>
    </row>
    <row r="197" spans="1:2" x14ac:dyDescent="0.3">
      <c r="A197" s="315">
        <v>150000797</v>
      </c>
      <c r="B197" s="44" t="s">
        <v>231</v>
      </c>
    </row>
    <row r="198" spans="1:2" x14ac:dyDescent="0.3">
      <c r="A198" s="315">
        <v>150000798</v>
      </c>
      <c r="B198" s="44" t="s">
        <v>225</v>
      </c>
    </row>
    <row r="199" spans="1:2" x14ac:dyDescent="0.3">
      <c r="A199" s="315">
        <v>150000799</v>
      </c>
      <c r="B199" s="44" t="s">
        <v>292</v>
      </c>
    </row>
    <row r="200" spans="1:2" x14ac:dyDescent="0.3">
      <c r="A200" s="315">
        <v>150000800</v>
      </c>
      <c r="B200" s="44" t="s">
        <v>226</v>
      </c>
    </row>
    <row r="201" spans="1:2" x14ac:dyDescent="0.3">
      <c r="A201" s="315">
        <v>150000801</v>
      </c>
      <c r="B201" s="44" t="s">
        <v>294</v>
      </c>
    </row>
    <row r="202" spans="1:2" x14ac:dyDescent="0.3">
      <c r="A202" s="315">
        <v>150000802</v>
      </c>
      <c r="B202" s="44" t="s">
        <v>295</v>
      </c>
    </row>
    <row r="203" spans="1:2" x14ac:dyDescent="0.3">
      <c r="A203" s="315">
        <v>150000803</v>
      </c>
      <c r="B203" s="44" t="s">
        <v>227</v>
      </c>
    </row>
    <row r="204" spans="1:2" x14ac:dyDescent="0.3">
      <c r="A204" s="315">
        <v>150000805</v>
      </c>
      <c r="B204" s="44" t="s">
        <v>296</v>
      </c>
    </row>
    <row r="205" spans="1:2" x14ac:dyDescent="0.3">
      <c r="A205" s="315">
        <v>150000806</v>
      </c>
      <c r="B205" s="44" t="s">
        <v>228</v>
      </c>
    </row>
    <row r="206" spans="1:2" x14ac:dyDescent="0.3">
      <c r="A206" s="315">
        <v>150000807</v>
      </c>
      <c r="B206" s="44" t="s">
        <v>187</v>
      </c>
    </row>
    <row r="207" spans="1:2" x14ac:dyDescent="0.3">
      <c r="A207" s="315">
        <v>150000808</v>
      </c>
      <c r="B207" s="44" t="s">
        <v>297</v>
      </c>
    </row>
    <row r="208" spans="1:2" x14ac:dyDescent="0.3">
      <c r="A208" s="315">
        <v>150000809</v>
      </c>
      <c r="B208" s="44" t="s">
        <v>299</v>
      </c>
    </row>
    <row r="209" spans="1:2" x14ac:dyDescent="0.3">
      <c r="A209" s="315">
        <v>150000810</v>
      </c>
      <c r="B209" s="44" t="s">
        <v>300</v>
      </c>
    </row>
    <row r="210" spans="1:2" x14ac:dyDescent="0.3">
      <c r="A210" s="315">
        <v>150000811</v>
      </c>
      <c r="B210" s="44" t="s">
        <v>301</v>
      </c>
    </row>
    <row r="211" spans="1:2" x14ac:dyDescent="0.3">
      <c r="A211" s="315">
        <v>150000812</v>
      </c>
      <c r="B211" s="44" t="s">
        <v>302</v>
      </c>
    </row>
    <row r="212" spans="1:2" x14ac:dyDescent="0.3">
      <c r="A212" s="315">
        <v>150000813</v>
      </c>
      <c r="B212" s="44" t="s">
        <v>188</v>
      </c>
    </row>
    <row r="213" spans="1:2" x14ac:dyDescent="0.3">
      <c r="A213" s="315">
        <v>150000814</v>
      </c>
      <c r="B213" s="44" t="s">
        <v>304</v>
      </c>
    </row>
    <row r="214" spans="1:2" x14ac:dyDescent="0.3">
      <c r="A214" s="315">
        <v>150000816</v>
      </c>
      <c r="B214" s="44" t="s">
        <v>229</v>
      </c>
    </row>
    <row r="215" spans="1:2" x14ac:dyDescent="0.3">
      <c r="A215" s="315">
        <v>150000819</v>
      </c>
      <c r="B215" s="44" t="s">
        <v>423</v>
      </c>
    </row>
    <row r="216" spans="1:2" x14ac:dyDescent="0.3">
      <c r="A216" s="315">
        <v>150000820</v>
      </c>
      <c r="B216" s="44" t="s">
        <v>394</v>
      </c>
    </row>
    <row r="217" spans="1:2" x14ac:dyDescent="0.3">
      <c r="A217" s="315">
        <v>150000821</v>
      </c>
      <c r="B217" s="44" t="s">
        <v>395</v>
      </c>
    </row>
    <row r="218" spans="1:2" x14ac:dyDescent="0.3">
      <c r="A218" s="315">
        <v>150000827</v>
      </c>
      <c r="B218" s="44" t="s">
        <v>298</v>
      </c>
    </row>
    <row r="219" spans="1:2" x14ac:dyDescent="0.3">
      <c r="A219" s="315">
        <v>150000828</v>
      </c>
      <c r="B219" s="44" t="s">
        <v>303</v>
      </c>
    </row>
    <row r="220" spans="1:2" x14ac:dyDescent="0.3">
      <c r="A220" s="315">
        <v>150000829</v>
      </c>
      <c r="B220" s="44" t="s">
        <v>230</v>
      </c>
    </row>
    <row r="221" spans="1:2" x14ac:dyDescent="0.3">
      <c r="A221" s="315">
        <v>150000830</v>
      </c>
      <c r="B221" s="44" t="s">
        <v>293</v>
      </c>
    </row>
    <row r="222" spans="1:2" x14ac:dyDescent="0.3">
      <c r="A222" s="315">
        <v>150000832</v>
      </c>
      <c r="B222" s="44" t="s">
        <v>422</v>
      </c>
    </row>
    <row r="223" spans="1:2" x14ac:dyDescent="0.3">
      <c r="A223" s="315">
        <v>150000833</v>
      </c>
      <c r="B223" s="44" t="s">
        <v>392</v>
      </c>
    </row>
    <row r="224" spans="1:2" x14ac:dyDescent="0.3">
      <c r="A224" s="315">
        <v>150000834</v>
      </c>
      <c r="B224" s="44" t="s">
        <v>79</v>
      </c>
    </row>
    <row r="225" spans="1:2" x14ac:dyDescent="0.3">
      <c r="A225" s="315">
        <v>150000835</v>
      </c>
      <c r="B225" s="44" t="s">
        <v>137</v>
      </c>
    </row>
    <row r="226" spans="1:2" x14ac:dyDescent="0.3">
      <c r="A226" s="315">
        <v>150000836</v>
      </c>
      <c r="B226" s="44" t="s">
        <v>198</v>
      </c>
    </row>
    <row r="227" spans="1:2" x14ac:dyDescent="0.3">
      <c r="A227" s="315">
        <v>150000837</v>
      </c>
      <c r="B227" s="44" t="s">
        <v>199</v>
      </c>
    </row>
    <row r="228" spans="1:2" x14ac:dyDescent="0.3">
      <c r="A228" s="315">
        <v>150000839</v>
      </c>
      <c r="B228" s="44" t="s">
        <v>135</v>
      </c>
    </row>
    <row r="229" spans="1:2" x14ac:dyDescent="0.3">
      <c r="A229" s="315">
        <v>150000840</v>
      </c>
      <c r="B229" s="44" t="s">
        <v>393</v>
      </c>
    </row>
    <row r="230" spans="1:2" x14ac:dyDescent="0.3">
      <c r="A230" s="315">
        <v>150000841</v>
      </c>
      <c r="B230" s="44" t="s">
        <v>136</v>
      </c>
    </row>
    <row r="231" spans="1:2" x14ac:dyDescent="0.3">
      <c r="A231" s="315">
        <v>150000845</v>
      </c>
      <c r="B231" s="44" t="s">
        <v>138</v>
      </c>
    </row>
    <row r="232" spans="1:2" x14ac:dyDescent="0.3">
      <c r="A232" s="315">
        <v>150000846</v>
      </c>
      <c r="B232" s="44" t="s">
        <v>139</v>
      </c>
    </row>
    <row r="233" spans="1:2" x14ac:dyDescent="0.3">
      <c r="A233" s="315">
        <v>150000848</v>
      </c>
      <c r="B233" s="44" t="s">
        <v>186</v>
      </c>
    </row>
    <row r="234" spans="1:2" x14ac:dyDescent="0.3">
      <c r="A234" s="315">
        <v>150000851</v>
      </c>
      <c r="B234" s="44" t="s">
        <v>134</v>
      </c>
    </row>
    <row r="235" spans="1:2" x14ac:dyDescent="0.3">
      <c r="A235" s="315">
        <v>150000861</v>
      </c>
      <c r="B235" s="44" t="s">
        <v>232</v>
      </c>
    </row>
    <row r="236" spans="1:2" x14ac:dyDescent="0.3">
      <c r="A236" s="315">
        <v>150000862</v>
      </c>
      <c r="B236" s="44" t="s">
        <v>234</v>
      </c>
    </row>
    <row r="237" spans="1:2" x14ac:dyDescent="0.3">
      <c r="A237" s="315">
        <v>150000863</v>
      </c>
      <c r="B237" s="44" t="s">
        <v>235</v>
      </c>
    </row>
    <row r="238" spans="1:2" x14ac:dyDescent="0.3">
      <c r="A238" s="315">
        <v>150000864</v>
      </c>
      <c r="B238" s="44" t="s">
        <v>200</v>
      </c>
    </row>
    <row r="239" spans="1:2" x14ac:dyDescent="0.3">
      <c r="A239" s="315">
        <v>150000865</v>
      </c>
      <c r="B239" s="44" t="s">
        <v>305</v>
      </c>
    </row>
    <row r="240" spans="1:2" x14ac:dyDescent="0.3">
      <c r="A240" s="315">
        <v>150000866</v>
      </c>
      <c r="B240" s="44" t="s">
        <v>308</v>
      </c>
    </row>
    <row r="241" spans="1:2" x14ac:dyDescent="0.3">
      <c r="A241" s="315">
        <v>150000867</v>
      </c>
      <c r="B241" s="44" t="s">
        <v>309</v>
      </c>
    </row>
    <row r="242" spans="1:2" x14ac:dyDescent="0.3">
      <c r="A242" s="315">
        <v>150000868</v>
      </c>
      <c r="B242" s="44" t="s">
        <v>310</v>
      </c>
    </row>
    <row r="243" spans="1:2" x14ac:dyDescent="0.3">
      <c r="A243" s="315">
        <v>150000869</v>
      </c>
      <c r="B243" s="44" t="s">
        <v>311</v>
      </c>
    </row>
    <row r="244" spans="1:2" x14ac:dyDescent="0.3">
      <c r="A244" s="315">
        <v>150000871</v>
      </c>
      <c r="B244" s="44" t="s">
        <v>140</v>
      </c>
    </row>
    <row r="245" spans="1:2" x14ac:dyDescent="0.3">
      <c r="A245" s="315">
        <v>150000872</v>
      </c>
      <c r="B245" s="44" t="s">
        <v>233</v>
      </c>
    </row>
    <row r="246" spans="1:2" x14ac:dyDescent="0.3">
      <c r="A246" s="315">
        <v>150000873</v>
      </c>
      <c r="B246" s="44" t="s">
        <v>306</v>
      </c>
    </row>
    <row r="247" spans="1:2" x14ac:dyDescent="0.3">
      <c r="A247" s="315">
        <v>150000874</v>
      </c>
      <c r="B247" s="44" t="s">
        <v>307</v>
      </c>
    </row>
    <row r="248" spans="1:2" x14ac:dyDescent="0.3">
      <c r="A248" s="315">
        <v>150000875</v>
      </c>
      <c r="B248" s="44" t="s">
        <v>312</v>
      </c>
    </row>
    <row r="249" spans="1:2" x14ac:dyDescent="0.3">
      <c r="A249" s="315">
        <v>150000878</v>
      </c>
      <c r="B249" s="44" t="s">
        <v>236</v>
      </c>
    </row>
    <row r="250" spans="1:2" x14ac:dyDescent="0.3">
      <c r="A250" s="315">
        <v>150000879</v>
      </c>
      <c r="B250" s="44" t="s">
        <v>329</v>
      </c>
    </row>
    <row r="251" spans="1:2" x14ac:dyDescent="0.3">
      <c r="A251" s="315">
        <v>150000880</v>
      </c>
      <c r="B251" s="44" t="s">
        <v>237</v>
      </c>
    </row>
    <row r="252" spans="1:2" x14ac:dyDescent="0.3">
      <c r="A252" s="315">
        <v>150000881</v>
      </c>
      <c r="B252" s="44" t="s">
        <v>411</v>
      </c>
    </row>
    <row r="253" spans="1:2" x14ac:dyDescent="0.3">
      <c r="A253" s="315">
        <v>150000882</v>
      </c>
      <c r="B253" s="44" t="s">
        <v>330</v>
      </c>
    </row>
    <row r="254" spans="1:2" x14ac:dyDescent="0.3">
      <c r="A254" s="315">
        <v>150000883</v>
      </c>
      <c r="B254" s="44" t="s">
        <v>331</v>
      </c>
    </row>
    <row r="255" spans="1:2" x14ac:dyDescent="0.3">
      <c r="A255" s="315">
        <v>150000884</v>
      </c>
      <c r="B255" s="44" t="s">
        <v>332</v>
      </c>
    </row>
    <row r="256" spans="1:2" x14ac:dyDescent="0.3">
      <c r="A256" s="315">
        <v>150000885</v>
      </c>
      <c r="B256" s="44" t="s">
        <v>238</v>
      </c>
    </row>
    <row r="257" spans="1:2" x14ac:dyDescent="0.3">
      <c r="A257" s="315">
        <v>150000886</v>
      </c>
      <c r="B257" s="44" t="s">
        <v>396</v>
      </c>
    </row>
    <row r="258" spans="1:2" x14ac:dyDescent="0.3">
      <c r="A258" s="315">
        <v>150000887</v>
      </c>
      <c r="B258" s="44" t="s">
        <v>397</v>
      </c>
    </row>
    <row r="259" spans="1:2" x14ac:dyDescent="0.3">
      <c r="A259" s="315">
        <v>150000888</v>
      </c>
      <c r="B259" s="44" t="s">
        <v>313</v>
      </c>
    </row>
    <row r="260" spans="1:2" x14ac:dyDescent="0.3">
      <c r="A260" s="315">
        <v>150000889</v>
      </c>
      <c r="B260" s="44" t="s">
        <v>427</v>
      </c>
    </row>
    <row r="261" spans="1:2" x14ac:dyDescent="0.3">
      <c r="A261" s="315">
        <v>150000890</v>
      </c>
      <c r="B261" s="44" t="s">
        <v>398</v>
      </c>
    </row>
    <row r="262" spans="1:2" x14ac:dyDescent="0.3">
      <c r="A262" s="315">
        <v>150000891</v>
      </c>
      <c r="B262" s="44" t="s">
        <v>189</v>
      </c>
    </row>
    <row r="263" spans="1:2" x14ac:dyDescent="0.3">
      <c r="A263" s="315">
        <v>150000892</v>
      </c>
      <c r="B263" s="44" t="s">
        <v>400</v>
      </c>
    </row>
    <row r="264" spans="1:2" x14ac:dyDescent="0.3">
      <c r="A264" s="315">
        <v>150000893</v>
      </c>
      <c r="B264" s="44" t="s">
        <v>314</v>
      </c>
    </row>
    <row r="265" spans="1:2" x14ac:dyDescent="0.3">
      <c r="A265" s="315">
        <v>150000894</v>
      </c>
      <c r="B265" s="44" t="s">
        <v>315</v>
      </c>
    </row>
    <row r="266" spans="1:2" x14ac:dyDescent="0.3">
      <c r="A266" s="315">
        <v>150000895</v>
      </c>
      <c r="B266" s="44" t="s">
        <v>316</v>
      </c>
    </row>
    <row r="267" spans="1:2" x14ac:dyDescent="0.3">
      <c r="A267" s="315">
        <v>150000896</v>
      </c>
      <c r="B267" s="44" t="s">
        <v>317</v>
      </c>
    </row>
    <row r="268" spans="1:2" x14ac:dyDescent="0.3">
      <c r="A268" s="315">
        <v>150000898</v>
      </c>
      <c r="B268" s="44" t="s">
        <v>190</v>
      </c>
    </row>
    <row r="269" spans="1:2" x14ac:dyDescent="0.3">
      <c r="A269" s="315">
        <v>150000899</v>
      </c>
      <c r="B269" s="44" t="s">
        <v>402</v>
      </c>
    </row>
    <row r="270" spans="1:2" x14ac:dyDescent="0.3">
      <c r="A270" s="315">
        <v>150000900</v>
      </c>
      <c r="B270" s="44" t="s">
        <v>425</v>
      </c>
    </row>
    <row r="271" spans="1:2" x14ac:dyDescent="0.3">
      <c r="A271" s="315">
        <v>150000901</v>
      </c>
      <c r="B271" s="44" t="s">
        <v>424</v>
      </c>
    </row>
    <row r="272" spans="1:2" x14ac:dyDescent="0.3">
      <c r="A272" s="315">
        <v>150000902</v>
      </c>
      <c r="B272" s="44" t="s">
        <v>403</v>
      </c>
    </row>
    <row r="273" spans="1:2" x14ac:dyDescent="0.3">
      <c r="A273" s="315">
        <v>150000903</v>
      </c>
      <c r="B273" s="44" t="s">
        <v>404</v>
      </c>
    </row>
    <row r="274" spans="1:2" x14ac:dyDescent="0.3">
      <c r="A274" s="315">
        <v>150000904</v>
      </c>
      <c r="B274" s="44" t="s">
        <v>405</v>
      </c>
    </row>
    <row r="275" spans="1:2" x14ac:dyDescent="0.3">
      <c r="A275" s="315">
        <v>150000905</v>
      </c>
      <c r="B275" s="44" t="s">
        <v>426</v>
      </c>
    </row>
    <row r="276" spans="1:2" x14ac:dyDescent="0.3">
      <c r="A276" s="315">
        <v>150000906</v>
      </c>
      <c r="B276" s="44" t="s">
        <v>406</v>
      </c>
    </row>
    <row r="277" spans="1:2" x14ac:dyDescent="0.3">
      <c r="A277" s="315">
        <v>150000907</v>
      </c>
      <c r="B277" s="44" t="s">
        <v>407</v>
      </c>
    </row>
    <row r="278" spans="1:2" x14ac:dyDescent="0.3">
      <c r="A278" s="315">
        <v>150000908</v>
      </c>
      <c r="B278" s="44" t="s">
        <v>408</v>
      </c>
    </row>
    <row r="279" spans="1:2" x14ac:dyDescent="0.3">
      <c r="A279" s="315">
        <v>150000909</v>
      </c>
      <c r="B279" s="44" t="s">
        <v>409</v>
      </c>
    </row>
    <row r="280" spans="1:2" x14ac:dyDescent="0.3">
      <c r="A280" s="315">
        <v>150000910</v>
      </c>
      <c r="B280" s="44" t="s">
        <v>410</v>
      </c>
    </row>
    <row r="281" spans="1:2" x14ac:dyDescent="0.3">
      <c r="A281" s="315">
        <v>150000911</v>
      </c>
      <c r="B281" s="44" t="s">
        <v>318</v>
      </c>
    </row>
    <row r="282" spans="1:2" x14ac:dyDescent="0.3">
      <c r="A282" s="315">
        <v>150000912</v>
      </c>
      <c r="B282" s="44" t="s">
        <v>319</v>
      </c>
    </row>
    <row r="283" spans="1:2" x14ac:dyDescent="0.3">
      <c r="A283" s="315">
        <v>150000913</v>
      </c>
      <c r="B283" s="44" t="s">
        <v>320</v>
      </c>
    </row>
    <row r="284" spans="1:2" x14ac:dyDescent="0.3">
      <c r="A284" s="315">
        <v>150000914</v>
      </c>
      <c r="B284" s="44" t="s">
        <v>321</v>
      </c>
    </row>
    <row r="285" spans="1:2" x14ac:dyDescent="0.3">
      <c r="A285" s="315">
        <v>150000915</v>
      </c>
      <c r="B285" s="44" t="s">
        <v>322</v>
      </c>
    </row>
    <row r="286" spans="1:2" x14ac:dyDescent="0.3">
      <c r="A286" s="315">
        <v>150000916</v>
      </c>
      <c r="B286" s="44" t="s">
        <v>323</v>
      </c>
    </row>
    <row r="287" spans="1:2" x14ac:dyDescent="0.3">
      <c r="A287" s="315">
        <v>150000917</v>
      </c>
      <c r="B287" s="44" t="s">
        <v>324</v>
      </c>
    </row>
    <row r="288" spans="1:2" x14ac:dyDescent="0.3">
      <c r="A288" s="315">
        <v>150000918</v>
      </c>
      <c r="B288" s="44" t="s">
        <v>325</v>
      </c>
    </row>
    <row r="289" spans="1:2" x14ac:dyDescent="0.3">
      <c r="A289" s="315">
        <v>150000919</v>
      </c>
      <c r="B289" s="44" t="s">
        <v>326</v>
      </c>
    </row>
    <row r="290" spans="1:2" x14ac:dyDescent="0.3">
      <c r="A290" s="315">
        <v>150000920</v>
      </c>
      <c r="B290" s="44" t="s">
        <v>327</v>
      </c>
    </row>
    <row r="291" spans="1:2" x14ac:dyDescent="0.3">
      <c r="A291" s="315">
        <v>150000921</v>
      </c>
      <c r="B291" s="44" t="s">
        <v>328</v>
      </c>
    </row>
    <row r="292" spans="1:2" x14ac:dyDescent="0.3">
      <c r="A292" s="315">
        <v>150000922</v>
      </c>
      <c r="B292" s="44" t="s">
        <v>401</v>
      </c>
    </row>
    <row r="293" spans="1:2" x14ac:dyDescent="0.3">
      <c r="A293" s="315">
        <v>150000924</v>
      </c>
      <c r="B293" s="44" t="s">
        <v>174</v>
      </c>
    </row>
    <row r="294" spans="1:2" x14ac:dyDescent="0.3">
      <c r="A294" s="315">
        <v>150000925</v>
      </c>
      <c r="B294" s="44" t="s">
        <v>176</v>
      </c>
    </row>
    <row r="295" spans="1:2" x14ac:dyDescent="0.3">
      <c r="A295" s="315">
        <v>150000926</v>
      </c>
      <c r="B295" s="44" t="s">
        <v>177</v>
      </c>
    </row>
    <row r="296" spans="1:2" x14ac:dyDescent="0.3">
      <c r="A296" s="315">
        <v>150000927</v>
      </c>
      <c r="B296" s="44" t="s">
        <v>178</v>
      </c>
    </row>
    <row r="297" spans="1:2" x14ac:dyDescent="0.3">
      <c r="A297" s="315">
        <v>150000928</v>
      </c>
      <c r="B297" s="44" t="s">
        <v>169</v>
      </c>
    </row>
    <row r="298" spans="1:2" x14ac:dyDescent="0.3">
      <c r="A298" s="315">
        <v>150000929</v>
      </c>
      <c r="B298" s="44" t="s">
        <v>1094</v>
      </c>
    </row>
    <row r="299" spans="1:2" x14ac:dyDescent="0.3">
      <c r="A299" s="315">
        <v>150000930</v>
      </c>
      <c r="B299" s="44" t="s">
        <v>172</v>
      </c>
    </row>
    <row r="300" spans="1:2" x14ac:dyDescent="0.3">
      <c r="A300" s="315">
        <v>150000931</v>
      </c>
      <c r="B300" s="44" t="s">
        <v>266</v>
      </c>
    </row>
    <row r="301" spans="1:2" x14ac:dyDescent="0.3">
      <c r="A301" s="315">
        <v>150000932</v>
      </c>
      <c r="B301" s="44" t="s">
        <v>173</v>
      </c>
    </row>
    <row r="302" spans="1:2" x14ac:dyDescent="0.3">
      <c r="A302" s="315">
        <v>150000933</v>
      </c>
      <c r="B302" s="44" t="s">
        <v>267</v>
      </c>
    </row>
    <row r="303" spans="1:2" x14ac:dyDescent="0.3">
      <c r="A303" s="315">
        <v>150000934</v>
      </c>
      <c r="B303" s="44" t="s">
        <v>215</v>
      </c>
    </row>
    <row r="304" spans="1:2" x14ac:dyDescent="0.3">
      <c r="A304" s="315">
        <v>150000935</v>
      </c>
      <c r="B304" s="44" t="s">
        <v>175</v>
      </c>
    </row>
    <row r="305" spans="1:2" x14ac:dyDescent="0.3">
      <c r="A305" s="315">
        <v>150000936</v>
      </c>
      <c r="B305" s="44" t="s">
        <v>121</v>
      </c>
    </row>
    <row r="306" spans="1:2" x14ac:dyDescent="0.3">
      <c r="A306" s="315">
        <v>150000937</v>
      </c>
      <c r="B306" s="44" t="s">
        <v>374</v>
      </c>
    </row>
    <row r="307" spans="1:2" x14ac:dyDescent="0.3">
      <c r="A307" s="315">
        <v>150000938</v>
      </c>
      <c r="B307" s="44" t="s">
        <v>375</v>
      </c>
    </row>
    <row r="308" spans="1:2" x14ac:dyDescent="0.3">
      <c r="A308" s="315">
        <v>150000939</v>
      </c>
      <c r="B308" s="44" t="s">
        <v>336</v>
      </c>
    </row>
    <row r="309" spans="1:2" x14ac:dyDescent="0.3">
      <c r="A309" s="315">
        <v>150000940</v>
      </c>
      <c r="B309" s="44" t="s">
        <v>376</v>
      </c>
    </row>
    <row r="310" spans="1:2" x14ac:dyDescent="0.3">
      <c r="A310" s="315">
        <v>150000941</v>
      </c>
      <c r="B310" s="44" t="s">
        <v>337</v>
      </c>
    </row>
    <row r="311" spans="1:2" x14ac:dyDescent="0.3">
      <c r="A311" s="315">
        <v>150000943</v>
      </c>
      <c r="B311" s="44" t="s">
        <v>122</v>
      </c>
    </row>
    <row r="312" spans="1:2" x14ac:dyDescent="0.3">
      <c r="A312" s="315">
        <v>150000944</v>
      </c>
      <c r="B312" s="44" t="s">
        <v>123</v>
      </c>
    </row>
    <row r="313" spans="1:2" x14ac:dyDescent="0.3">
      <c r="A313" s="315">
        <v>150000945</v>
      </c>
      <c r="B313" s="44" t="s">
        <v>421</v>
      </c>
    </row>
    <row r="314" spans="1:2" x14ac:dyDescent="0.3">
      <c r="A314" s="315">
        <v>150000946</v>
      </c>
      <c r="B314" s="44" t="s">
        <v>124</v>
      </c>
    </row>
    <row r="315" spans="1:2" x14ac:dyDescent="0.3">
      <c r="A315" s="315">
        <v>150000947</v>
      </c>
      <c r="B315" s="44" t="s">
        <v>268</v>
      </c>
    </row>
    <row r="316" spans="1:2" x14ac:dyDescent="0.3">
      <c r="A316" s="315">
        <v>150000948</v>
      </c>
      <c r="B316" s="44" t="s">
        <v>383</v>
      </c>
    </row>
    <row r="317" spans="1:2" x14ac:dyDescent="0.3">
      <c r="A317" s="315">
        <v>150000949</v>
      </c>
      <c r="B317" s="44" t="s">
        <v>384</v>
      </c>
    </row>
    <row r="318" spans="1:2" x14ac:dyDescent="0.3">
      <c r="A318" s="315">
        <v>150000951</v>
      </c>
      <c r="B318" s="44" t="s">
        <v>170</v>
      </c>
    </row>
    <row r="319" spans="1:2" x14ac:dyDescent="0.3">
      <c r="A319" s="315">
        <v>150000954</v>
      </c>
      <c r="B319" s="44" t="s">
        <v>171</v>
      </c>
    </row>
    <row r="320" spans="1:2" x14ac:dyDescent="0.3">
      <c r="A320" s="315">
        <v>150000957</v>
      </c>
      <c r="B320" s="44" t="s">
        <v>377</v>
      </c>
    </row>
    <row r="321" spans="1:2" x14ac:dyDescent="0.3">
      <c r="A321" s="315">
        <v>150000958</v>
      </c>
      <c r="B321" s="44" t="s">
        <v>380</v>
      </c>
    </row>
    <row r="322" spans="1:2" x14ac:dyDescent="0.3">
      <c r="A322" s="315">
        <v>150000960</v>
      </c>
      <c r="B322" s="44" t="s">
        <v>378</v>
      </c>
    </row>
    <row r="323" spans="1:2" x14ac:dyDescent="0.3">
      <c r="A323" s="315">
        <v>150000961</v>
      </c>
      <c r="B323" s="44" t="s">
        <v>381</v>
      </c>
    </row>
    <row r="324" spans="1:2" x14ac:dyDescent="0.3">
      <c r="A324" s="315">
        <v>150000963</v>
      </c>
      <c r="B324" s="44" t="s">
        <v>379</v>
      </c>
    </row>
    <row r="325" spans="1:2" x14ac:dyDescent="0.3">
      <c r="A325" s="315">
        <v>150000964</v>
      </c>
      <c r="B325" s="44" t="s">
        <v>382</v>
      </c>
    </row>
    <row r="326" spans="1:2" x14ac:dyDescent="0.3">
      <c r="A326" s="315">
        <v>150000966</v>
      </c>
      <c r="B326" s="44" t="s">
        <v>204</v>
      </c>
    </row>
    <row r="327" spans="1:2" x14ac:dyDescent="0.3">
      <c r="A327" s="315">
        <v>150000967</v>
      </c>
      <c r="B327" s="44" t="s">
        <v>205</v>
      </c>
    </row>
    <row r="328" spans="1:2" x14ac:dyDescent="0.3">
      <c r="A328" s="315">
        <v>150000968</v>
      </c>
      <c r="B328" s="44" t="s">
        <v>244</v>
      </c>
    </row>
    <row r="329" spans="1:2" x14ac:dyDescent="0.3">
      <c r="A329" s="315">
        <v>150000969</v>
      </c>
      <c r="B329" s="44" t="s">
        <v>192</v>
      </c>
    </row>
    <row r="330" spans="1:2" x14ac:dyDescent="0.3">
      <c r="A330" s="315">
        <v>150000970</v>
      </c>
      <c r="B330" s="44" t="s">
        <v>242</v>
      </c>
    </row>
    <row r="331" spans="1:2" x14ac:dyDescent="0.3">
      <c r="A331" s="315">
        <v>150000971</v>
      </c>
      <c r="B331" s="44" t="s">
        <v>193</v>
      </c>
    </row>
    <row r="332" spans="1:2" x14ac:dyDescent="0.3">
      <c r="A332" s="315">
        <v>150000972</v>
      </c>
      <c r="B332" s="44" t="s">
        <v>201</v>
      </c>
    </row>
    <row r="333" spans="1:2" x14ac:dyDescent="0.3">
      <c r="A333" s="315">
        <v>150000973</v>
      </c>
      <c r="B333" s="44" t="s">
        <v>49</v>
      </c>
    </row>
    <row r="334" spans="1:2" x14ac:dyDescent="0.3">
      <c r="A334" s="315">
        <v>150000974</v>
      </c>
      <c r="B334" s="44" t="s">
        <v>202</v>
      </c>
    </row>
    <row r="335" spans="1:2" x14ac:dyDescent="0.3">
      <c r="A335" s="315">
        <v>150000975</v>
      </c>
      <c r="B335" s="44" t="s">
        <v>203</v>
      </c>
    </row>
    <row r="336" spans="1:2" x14ac:dyDescent="0.3">
      <c r="A336" s="315">
        <v>150000976</v>
      </c>
      <c r="B336" s="44" t="s">
        <v>149</v>
      </c>
    </row>
    <row r="337" spans="1:2" x14ac:dyDescent="0.3">
      <c r="A337" s="315">
        <v>150000977</v>
      </c>
      <c r="B337" s="44" t="s">
        <v>150</v>
      </c>
    </row>
    <row r="338" spans="1:2" x14ac:dyDescent="0.3">
      <c r="A338" s="315">
        <v>150000978</v>
      </c>
      <c r="B338" s="44" t="s">
        <v>243</v>
      </c>
    </row>
    <row r="339" spans="1:2" x14ac:dyDescent="0.3">
      <c r="A339" s="315">
        <v>150000981</v>
      </c>
      <c r="B339" s="44" t="s">
        <v>342</v>
      </c>
    </row>
    <row r="340" spans="1:2" x14ac:dyDescent="0.3">
      <c r="A340" s="315">
        <v>150000982</v>
      </c>
      <c r="B340" s="44" t="s">
        <v>343</v>
      </c>
    </row>
    <row r="341" spans="1:2" x14ac:dyDescent="0.3">
      <c r="A341" s="315">
        <v>150000983</v>
      </c>
      <c r="B341" s="44" t="s">
        <v>344</v>
      </c>
    </row>
    <row r="342" spans="1:2" x14ac:dyDescent="0.3">
      <c r="A342" s="315">
        <v>150000984</v>
      </c>
      <c r="B342" s="44" t="s">
        <v>345</v>
      </c>
    </row>
    <row r="343" spans="1:2" x14ac:dyDescent="0.3">
      <c r="A343" s="315">
        <v>150000986</v>
      </c>
      <c r="B343" s="44" t="s">
        <v>346</v>
      </c>
    </row>
    <row r="344" spans="1:2" x14ac:dyDescent="0.3">
      <c r="A344" s="315">
        <v>150000987</v>
      </c>
      <c r="B344" s="44" t="s">
        <v>50</v>
      </c>
    </row>
    <row r="345" spans="1:2" x14ac:dyDescent="0.3">
      <c r="A345" s="315">
        <v>150000988</v>
      </c>
      <c r="B345" s="44" t="s">
        <v>51</v>
      </c>
    </row>
    <row r="346" spans="1:2" x14ac:dyDescent="0.3">
      <c r="A346" s="315">
        <v>150000989</v>
      </c>
      <c r="B346" s="44" t="s">
        <v>37</v>
      </c>
    </row>
    <row r="347" spans="1:2" x14ac:dyDescent="0.3">
      <c r="A347" s="315">
        <v>150000990</v>
      </c>
      <c r="B347" s="44" t="s">
        <v>38</v>
      </c>
    </row>
    <row r="348" spans="1:2" x14ac:dyDescent="0.3">
      <c r="A348" s="315">
        <v>150000991</v>
      </c>
      <c r="B348" s="44" t="s">
        <v>341</v>
      </c>
    </row>
    <row r="349" spans="1:2" x14ac:dyDescent="0.3">
      <c r="A349" s="315">
        <v>150000992</v>
      </c>
      <c r="B349" s="44" t="s">
        <v>39</v>
      </c>
    </row>
    <row r="350" spans="1:2" x14ac:dyDescent="0.3">
      <c r="A350" s="315">
        <v>150000993</v>
      </c>
      <c r="B350" s="44" t="s">
        <v>41</v>
      </c>
    </row>
    <row r="351" spans="1:2" x14ac:dyDescent="0.3">
      <c r="A351" s="315">
        <v>150000994</v>
      </c>
      <c r="B351" s="44" t="s">
        <v>44</v>
      </c>
    </row>
    <row r="352" spans="1:2" x14ac:dyDescent="0.3">
      <c r="A352" s="315">
        <v>150000995</v>
      </c>
      <c r="B352" s="44" t="s">
        <v>47</v>
      </c>
    </row>
    <row r="353" spans="1:2" x14ac:dyDescent="0.3">
      <c r="A353" s="315">
        <v>150000996</v>
      </c>
      <c r="B353" s="44" t="s">
        <v>245</v>
      </c>
    </row>
    <row r="354" spans="1:2" x14ac:dyDescent="0.3">
      <c r="A354" s="315">
        <v>150000999</v>
      </c>
      <c r="B354" s="44" t="s">
        <v>40</v>
      </c>
    </row>
    <row r="355" spans="1:2" x14ac:dyDescent="0.3">
      <c r="A355" s="315">
        <v>150001000</v>
      </c>
      <c r="B355" s="44" t="s">
        <v>42</v>
      </c>
    </row>
    <row r="356" spans="1:2" x14ac:dyDescent="0.3">
      <c r="A356" s="315">
        <v>150001001</v>
      </c>
      <c r="B356" s="44" t="s">
        <v>45</v>
      </c>
    </row>
    <row r="357" spans="1:2" x14ac:dyDescent="0.3">
      <c r="A357" s="315">
        <v>150001002</v>
      </c>
      <c r="B357" s="44" t="s">
        <v>48</v>
      </c>
    </row>
    <row r="358" spans="1:2" x14ac:dyDescent="0.3">
      <c r="A358" s="315">
        <v>150001004</v>
      </c>
      <c r="B358" s="44" t="s">
        <v>43</v>
      </c>
    </row>
    <row r="359" spans="1:2" x14ac:dyDescent="0.3">
      <c r="A359" s="315">
        <v>150001005</v>
      </c>
      <c r="B359" s="44" t="s">
        <v>46</v>
      </c>
    </row>
    <row r="360" spans="1:2" x14ac:dyDescent="0.3">
      <c r="A360" s="315">
        <v>150001007</v>
      </c>
      <c r="B360" s="44" t="s">
        <v>213</v>
      </c>
    </row>
    <row r="361" spans="1:2" x14ac:dyDescent="0.3">
      <c r="A361" s="315">
        <v>150001008</v>
      </c>
      <c r="B361" s="44" t="s">
        <v>211</v>
      </c>
    </row>
    <row r="362" spans="1:2" x14ac:dyDescent="0.3">
      <c r="A362" s="315">
        <v>150001009</v>
      </c>
      <c r="B362" s="44" t="s">
        <v>212</v>
      </c>
    </row>
    <row r="363" spans="1:2" x14ac:dyDescent="0.3">
      <c r="A363" s="315">
        <v>150001010</v>
      </c>
      <c r="B363" s="44" t="s">
        <v>164</v>
      </c>
    </row>
    <row r="364" spans="1:2" x14ac:dyDescent="0.3">
      <c r="A364" s="315">
        <v>150001011</v>
      </c>
      <c r="B364" s="44" t="s">
        <v>165</v>
      </c>
    </row>
    <row r="365" spans="1:2" x14ac:dyDescent="0.3">
      <c r="A365" s="315">
        <v>150001014</v>
      </c>
      <c r="B365" s="44" t="s">
        <v>166</v>
      </c>
    </row>
    <row r="366" spans="1:2" x14ac:dyDescent="0.3">
      <c r="A366" s="315">
        <v>150001015</v>
      </c>
      <c r="B366" s="44" t="s">
        <v>99</v>
      </c>
    </row>
    <row r="367" spans="1:2" x14ac:dyDescent="0.3">
      <c r="A367" s="315">
        <v>150001016</v>
      </c>
      <c r="B367" s="44" t="s">
        <v>261</v>
      </c>
    </row>
    <row r="368" spans="1:2" x14ac:dyDescent="0.3">
      <c r="A368" s="315">
        <v>150001018</v>
      </c>
      <c r="B368" s="46" t="s">
        <v>429</v>
      </c>
    </row>
    <row r="369" spans="1:2" x14ac:dyDescent="0.3">
      <c r="A369" s="315">
        <v>150001019</v>
      </c>
      <c r="B369" s="44" t="s">
        <v>419</v>
      </c>
    </row>
    <row r="370" spans="1:2" x14ac:dyDescent="0.3">
      <c r="A370" s="315">
        <v>150001020</v>
      </c>
      <c r="B370" s="44" t="s">
        <v>100</v>
      </c>
    </row>
    <row r="371" spans="1:2" x14ac:dyDescent="0.3">
      <c r="A371" s="315">
        <v>150001021</v>
      </c>
      <c r="B371" s="44" t="s">
        <v>363</v>
      </c>
    </row>
    <row r="372" spans="1:2" x14ac:dyDescent="0.3">
      <c r="A372" s="315">
        <v>150001022</v>
      </c>
      <c r="B372" s="44" t="s">
        <v>364</v>
      </c>
    </row>
    <row r="373" spans="1:2" x14ac:dyDescent="0.3">
      <c r="A373" s="315">
        <v>150001023</v>
      </c>
      <c r="B373" s="44" t="s">
        <v>365</v>
      </c>
    </row>
    <row r="374" spans="1:2" x14ac:dyDescent="0.3">
      <c r="A374" s="315">
        <v>150001024</v>
      </c>
      <c r="B374" s="44" t="s">
        <v>366</v>
      </c>
    </row>
    <row r="375" spans="1:2" x14ac:dyDescent="0.3">
      <c r="A375" s="315">
        <v>150001025</v>
      </c>
      <c r="B375" s="44" t="s">
        <v>420</v>
      </c>
    </row>
    <row r="376" spans="1:2" x14ac:dyDescent="0.3">
      <c r="A376" s="315">
        <v>150001026</v>
      </c>
      <c r="B376" s="44" t="s">
        <v>334</v>
      </c>
    </row>
    <row r="377" spans="1:2" x14ac:dyDescent="0.3">
      <c r="A377" s="315">
        <v>150001027</v>
      </c>
      <c r="B377" s="44" t="s">
        <v>367</v>
      </c>
    </row>
    <row r="378" spans="1:2" x14ac:dyDescent="0.3">
      <c r="A378" s="315">
        <v>150001028</v>
      </c>
      <c r="B378" s="44" t="s">
        <v>101</v>
      </c>
    </row>
    <row r="379" spans="1:2" x14ac:dyDescent="0.3">
      <c r="A379" s="315">
        <v>150001029</v>
      </c>
      <c r="B379" s="44" t="s">
        <v>368</v>
      </c>
    </row>
    <row r="380" spans="1:2" x14ac:dyDescent="0.3">
      <c r="A380" s="315">
        <v>150001030</v>
      </c>
      <c r="B380" s="44" t="s">
        <v>335</v>
      </c>
    </row>
    <row r="381" spans="1:2" x14ac:dyDescent="0.3">
      <c r="A381" s="315">
        <v>150001031</v>
      </c>
      <c r="B381" s="44" t="s">
        <v>103</v>
      </c>
    </row>
    <row r="382" spans="1:2" x14ac:dyDescent="0.3">
      <c r="A382" s="315">
        <v>150001032</v>
      </c>
      <c r="B382" s="44" t="s">
        <v>369</v>
      </c>
    </row>
    <row r="383" spans="1:2" x14ac:dyDescent="0.3">
      <c r="A383" s="315">
        <v>150001033</v>
      </c>
      <c r="B383" s="44" t="s">
        <v>362</v>
      </c>
    </row>
    <row r="384" spans="1:2" x14ac:dyDescent="0.3">
      <c r="A384" s="315">
        <v>150001035</v>
      </c>
      <c r="B384" s="44" t="s">
        <v>262</v>
      </c>
    </row>
    <row r="385" spans="1:2" x14ac:dyDescent="0.3">
      <c r="A385" s="315">
        <v>150001036</v>
      </c>
      <c r="B385" s="44" t="s">
        <v>102</v>
      </c>
    </row>
    <row r="386" spans="1:2" x14ac:dyDescent="0.3">
      <c r="A386" s="315">
        <v>150001037</v>
      </c>
      <c r="B386" s="44" t="s">
        <v>104</v>
      </c>
    </row>
    <row r="387" spans="1:2" x14ac:dyDescent="0.3">
      <c r="A387" s="315">
        <v>150001040</v>
      </c>
      <c r="B387" s="44" t="s">
        <v>216</v>
      </c>
    </row>
    <row r="388" spans="1:2" x14ac:dyDescent="0.3">
      <c r="A388" s="315">
        <v>150001041</v>
      </c>
      <c r="B388" s="44" t="s">
        <v>196</v>
      </c>
    </row>
    <row r="389" spans="1:2" x14ac:dyDescent="0.3">
      <c r="A389" s="315">
        <v>150001042</v>
      </c>
      <c r="B389" s="44" t="s">
        <v>181</v>
      </c>
    </row>
    <row r="390" spans="1:2" x14ac:dyDescent="0.3">
      <c r="A390" s="315">
        <v>150001043</v>
      </c>
      <c r="B390" s="44" t="s">
        <v>217</v>
      </c>
    </row>
    <row r="391" spans="1:2" x14ac:dyDescent="0.3">
      <c r="A391" s="315">
        <v>150001044</v>
      </c>
      <c r="B391" s="44" t="s">
        <v>269</v>
      </c>
    </row>
    <row r="392" spans="1:2" x14ac:dyDescent="0.3">
      <c r="A392" s="315">
        <v>150001045</v>
      </c>
      <c r="B392" s="44" t="s">
        <v>271</v>
      </c>
    </row>
    <row r="393" spans="1:2" x14ac:dyDescent="0.3">
      <c r="A393" s="315">
        <v>150001046</v>
      </c>
      <c r="B393" s="44" t="s">
        <v>272</v>
      </c>
    </row>
    <row r="394" spans="1:2" x14ac:dyDescent="0.3">
      <c r="A394" s="315">
        <v>150001047</v>
      </c>
      <c r="B394" s="44" t="s">
        <v>179</v>
      </c>
    </row>
    <row r="395" spans="1:2" x14ac:dyDescent="0.3">
      <c r="A395" s="315">
        <v>150001048</v>
      </c>
      <c r="B395" s="44" t="s">
        <v>125</v>
      </c>
    </row>
    <row r="396" spans="1:2" x14ac:dyDescent="0.3">
      <c r="A396" s="315">
        <v>150001049</v>
      </c>
      <c r="B396" s="44" t="s">
        <v>180</v>
      </c>
    </row>
    <row r="397" spans="1:2" x14ac:dyDescent="0.3">
      <c r="A397" s="315">
        <v>150001050</v>
      </c>
      <c r="B397" s="44" t="s">
        <v>270</v>
      </c>
    </row>
    <row r="398" spans="1:2" x14ac:dyDescent="0.3">
      <c r="A398" s="315">
        <v>150001053</v>
      </c>
      <c r="B398" s="44" t="s">
        <v>146</v>
      </c>
    </row>
    <row r="399" spans="1:2" x14ac:dyDescent="0.3">
      <c r="A399" s="315">
        <v>150001054</v>
      </c>
      <c r="B399" s="44" t="s">
        <v>85</v>
      </c>
    </row>
    <row r="400" spans="1:2" x14ac:dyDescent="0.3">
      <c r="A400" s="315">
        <v>150001071</v>
      </c>
      <c r="B400" s="44" t="s">
        <v>167</v>
      </c>
    </row>
    <row r="401" spans="1:2" ht="22.8" x14ac:dyDescent="0.3">
      <c r="A401" s="315">
        <v>150001094</v>
      </c>
      <c r="B401" s="44" t="s">
        <v>185</v>
      </c>
    </row>
    <row r="402" spans="1:2" x14ac:dyDescent="0.3">
      <c r="A402" s="315">
        <v>150001561</v>
      </c>
      <c r="B402" s="44" t="s">
        <v>399</v>
      </c>
    </row>
    <row r="403" spans="1:2" x14ac:dyDescent="0.3">
      <c r="A403" s="315">
        <v>150001562</v>
      </c>
      <c r="B403" s="44" t="s">
        <v>208</v>
      </c>
    </row>
    <row r="404" spans="1:2" x14ac:dyDescent="0.3">
      <c r="A404" s="316"/>
      <c r="B404" s="677" t="s">
        <v>260</v>
      </c>
    </row>
  </sheetData>
  <sortState xmlns:xlrd2="http://schemas.microsoft.com/office/spreadsheetml/2017/richdata2" ref="A7:B404">
    <sortCondition ref="A7:A40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1:G415"/>
  <sheetViews>
    <sheetView workbookViewId="0">
      <selection activeCell="E7" sqref="E7:G402"/>
    </sheetView>
  </sheetViews>
  <sheetFormatPr defaultColWidth="9.109375" defaultRowHeight="14.4" x14ac:dyDescent="0.3"/>
  <cols>
    <col min="1" max="1" width="13.5546875" style="119" customWidth="1"/>
    <col min="2" max="2" width="16.88671875" style="481" customWidth="1"/>
    <col min="3" max="3" width="36.109375" style="461" customWidth="1"/>
    <col min="4" max="4" width="7" style="461" customWidth="1"/>
    <col min="5" max="5" width="13.44140625" style="483" customWidth="1"/>
    <col min="6" max="6" width="14.33203125" style="483" customWidth="1"/>
    <col min="7" max="7" width="14" style="483" customWidth="1"/>
    <col min="8" max="8" width="36.109375" style="461" customWidth="1"/>
    <col min="9" max="9" width="33.5546875" style="461" customWidth="1"/>
    <col min="10" max="16384" width="9.109375" style="461"/>
  </cols>
  <sheetData>
    <row r="1" spans="1:7" x14ac:dyDescent="0.3">
      <c r="E1" s="482" t="s">
        <v>1156</v>
      </c>
      <c r="F1" s="482"/>
      <c r="G1" s="482"/>
    </row>
    <row r="2" spans="1:7" ht="61.5" customHeight="1" x14ac:dyDescent="0.3">
      <c r="A2" s="1403" t="s">
        <v>1157</v>
      </c>
      <c r="B2" s="1404"/>
      <c r="C2" s="1404"/>
      <c r="D2" s="1404"/>
      <c r="E2" s="1404"/>
      <c r="F2" s="1404"/>
      <c r="G2" s="1404"/>
    </row>
    <row r="4" spans="1:7" s="4" customFormat="1" ht="33" customHeight="1" x14ac:dyDescent="0.3">
      <c r="A4" s="1405" t="s">
        <v>1158</v>
      </c>
      <c r="B4" s="1407" t="s">
        <v>1159</v>
      </c>
      <c r="C4" s="1409" t="s">
        <v>1160</v>
      </c>
      <c r="D4" s="1411" t="s">
        <v>1161</v>
      </c>
      <c r="E4" s="1413" t="s">
        <v>1162</v>
      </c>
      <c r="F4" s="1414"/>
      <c r="G4" s="1415"/>
    </row>
    <row r="5" spans="1:7" s="4" customFormat="1" ht="37.5" customHeight="1" x14ac:dyDescent="0.3">
      <c r="A5" s="1406"/>
      <c r="B5" s="1408"/>
      <c r="C5" s="1410"/>
      <c r="D5" s="1412"/>
      <c r="E5" s="484" t="s">
        <v>1163</v>
      </c>
      <c r="F5" s="484" t="s">
        <v>1164</v>
      </c>
      <c r="G5" s="484" t="s">
        <v>1090</v>
      </c>
    </row>
    <row r="6" spans="1:7" s="4" customFormat="1" ht="14.25" customHeight="1" x14ac:dyDescent="0.3">
      <c r="A6" s="485">
        <v>1</v>
      </c>
      <c r="B6" s="486">
        <v>2</v>
      </c>
      <c r="C6" s="485">
        <v>3</v>
      </c>
      <c r="D6" s="485"/>
      <c r="E6" s="300">
        <v>4</v>
      </c>
      <c r="F6" s="300">
        <v>5</v>
      </c>
      <c r="G6" s="300">
        <v>6</v>
      </c>
    </row>
    <row r="7" spans="1:7" ht="17.100000000000001" customHeight="1" x14ac:dyDescent="0.3">
      <c r="A7" s="487">
        <v>150000488</v>
      </c>
      <c r="B7" s="488" t="s">
        <v>1172</v>
      </c>
      <c r="C7" s="467" t="s">
        <v>34</v>
      </c>
      <c r="D7" s="489">
        <v>1</v>
      </c>
      <c r="E7" s="490">
        <v>1.6413503944111532</v>
      </c>
      <c r="F7" s="490"/>
      <c r="G7" s="490">
        <v>1.6413503944111532</v>
      </c>
    </row>
    <row r="8" spans="1:7" ht="17.100000000000001" customHeight="1" x14ac:dyDescent="0.3">
      <c r="A8" s="487">
        <v>150000490</v>
      </c>
      <c r="B8" s="488" t="s">
        <v>1174</v>
      </c>
      <c r="C8" s="467" t="s">
        <v>36</v>
      </c>
      <c r="D8" s="489">
        <v>1</v>
      </c>
      <c r="E8" s="490">
        <v>1.902553366582159</v>
      </c>
      <c r="F8" s="490"/>
      <c r="G8" s="490">
        <v>1.902553366582159</v>
      </c>
    </row>
    <row r="9" spans="1:7" ht="17.100000000000001" customHeight="1" x14ac:dyDescent="0.3">
      <c r="A9" s="487">
        <v>150000492</v>
      </c>
      <c r="B9" s="488" t="s">
        <v>1173</v>
      </c>
      <c r="C9" s="467" t="s">
        <v>35</v>
      </c>
      <c r="D9" s="489">
        <v>1</v>
      </c>
      <c r="E9" s="490">
        <v>1.5234565169609646</v>
      </c>
      <c r="F9" s="490"/>
      <c r="G9" s="490">
        <v>1.5234565169609646</v>
      </c>
    </row>
    <row r="10" spans="1:7" ht="17.100000000000001" customHeight="1" x14ac:dyDescent="0.3">
      <c r="A10" s="487">
        <v>150000493</v>
      </c>
      <c r="B10" s="488" t="s">
        <v>1305</v>
      </c>
      <c r="C10" s="467" t="s">
        <v>417</v>
      </c>
      <c r="D10" s="489">
        <v>10</v>
      </c>
      <c r="E10" s="490">
        <v>6.0491207709564545</v>
      </c>
      <c r="F10" s="490">
        <v>7.3155104406192235</v>
      </c>
      <c r="G10" s="490">
        <v>4.9652115560307077</v>
      </c>
    </row>
    <row r="11" spans="1:7" ht="17.100000000000001" customHeight="1" x14ac:dyDescent="0.3">
      <c r="A11" s="487">
        <v>150000494</v>
      </c>
      <c r="B11" s="488" t="s">
        <v>1306</v>
      </c>
      <c r="C11" s="467" t="s">
        <v>418</v>
      </c>
      <c r="D11" s="489">
        <v>10</v>
      </c>
      <c r="E11" s="490">
        <v>5.1194379001858374</v>
      </c>
      <c r="F11" s="490">
        <v>5.9117166673935442</v>
      </c>
      <c r="G11" s="490">
        <v>4.2805997984186082</v>
      </c>
    </row>
    <row r="12" spans="1:7" ht="17.100000000000001" customHeight="1" x14ac:dyDescent="0.3">
      <c r="A12" s="487">
        <v>150000495</v>
      </c>
      <c r="B12" s="488" t="s">
        <v>1176</v>
      </c>
      <c r="C12" s="467" t="s">
        <v>147</v>
      </c>
      <c r="D12" s="489">
        <v>2</v>
      </c>
      <c r="E12" s="490">
        <v>6.2858646455867451</v>
      </c>
      <c r="F12" s="490">
        <v>6.2858646455867451</v>
      </c>
      <c r="G12" s="490">
        <v>5.378504172439234</v>
      </c>
    </row>
    <row r="13" spans="1:7" ht="17.100000000000001" customHeight="1" x14ac:dyDescent="0.3">
      <c r="A13" s="487">
        <v>150000496</v>
      </c>
      <c r="B13" s="488" t="s">
        <v>1177</v>
      </c>
      <c r="C13" s="467" t="s">
        <v>148</v>
      </c>
      <c r="D13" s="489">
        <v>2</v>
      </c>
      <c r="E13" s="490">
        <v>6.3800198499533733</v>
      </c>
      <c r="F13" s="490">
        <v>6.3800198499533733</v>
      </c>
      <c r="G13" s="490">
        <v>5.4179558879841263</v>
      </c>
    </row>
    <row r="14" spans="1:7" ht="17.100000000000001" customHeight="1" x14ac:dyDescent="0.3">
      <c r="A14" s="487">
        <v>150000497</v>
      </c>
      <c r="B14" s="488" t="s">
        <v>1175</v>
      </c>
      <c r="C14" s="467" t="s">
        <v>340</v>
      </c>
      <c r="D14" s="489">
        <v>9</v>
      </c>
      <c r="E14" s="490">
        <v>6.2696809416747836</v>
      </c>
      <c r="F14" s="490">
        <v>8.1563556617458719</v>
      </c>
      <c r="G14" s="490">
        <v>5.2675480835534882</v>
      </c>
    </row>
    <row r="15" spans="1:7" ht="17.100000000000001" customHeight="1" x14ac:dyDescent="0.3">
      <c r="A15" s="487">
        <v>150000498</v>
      </c>
      <c r="B15" s="488" t="s">
        <v>1178</v>
      </c>
      <c r="C15" s="467" t="s">
        <v>241</v>
      </c>
      <c r="D15" s="489">
        <v>5</v>
      </c>
      <c r="E15" s="490">
        <v>6.1564262684822832</v>
      </c>
      <c r="F15" s="490">
        <v>6.1564262684822832</v>
      </c>
      <c r="G15" s="490">
        <v>5.5962141110437216</v>
      </c>
    </row>
    <row r="16" spans="1:7" ht="17.100000000000001" customHeight="1" x14ac:dyDescent="0.3">
      <c r="A16" s="487">
        <v>150000501</v>
      </c>
      <c r="B16" s="488" t="s">
        <v>1353</v>
      </c>
      <c r="C16" s="467" t="s">
        <v>263</v>
      </c>
      <c r="D16" s="489">
        <v>5</v>
      </c>
      <c r="E16" s="490">
        <v>5.2506784230692372</v>
      </c>
      <c r="F16" s="490">
        <v>5.2506784230692372</v>
      </c>
      <c r="G16" s="490">
        <v>4.6669479569063004</v>
      </c>
    </row>
    <row r="17" spans="1:7" ht="17.100000000000001" customHeight="1" x14ac:dyDescent="0.3">
      <c r="A17" s="487">
        <v>150000502</v>
      </c>
      <c r="B17" s="488" t="s">
        <v>1346</v>
      </c>
      <c r="C17" s="467" t="s">
        <v>108</v>
      </c>
      <c r="D17" s="489">
        <v>1</v>
      </c>
      <c r="E17" s="490">
        <v>1.690540024043897</v>
      </c>
      <c r="F17" s="490"/>
      <c r="G17" s="490">
        <v>1.690540024043897</v>
      </c>
    </row>
    <row r="18" spans="1:7" ht="17.100000000000001" customHeight="1" x14ac:dyDescent="0.3">
      <c r="A18" s="487">
        <v>150000503</v>
      </c>
      <c r="B18" s="488" t="s">
        <v>1347</v>
      </c>
      <c r="C18" s="467" t="s">
        <v>109</v>
      </c>
      <c r="D18" s="489">
        <v>1</v>
      </c>
      <c r="E18" s="490">
        <v>1.611673123366997</v>
      </c>
      <c r="F18" s="490"/>
      <c r="G18" s="490">
        <v>1.611673123366997</v>
      </c>
    </row>
    <row r="19" spans="1:7" ht="17.100000000000001" customHeight="1" x14ac:dyDescent="0.3">
      <c r="A19" s="487">
        <v>150000504</v>
      </c>
      <c r="B19" s="488" t="s">
        <v>1348</v>
      </c>
      <c r="C19" s="467" t="s">
        <v>110</v>
      </c>
      <c r="D19" s="489">
        <v>1</v>
      </c>
      <c r="E19" s="490">
        <v>1.644929904675474</v>
      </c>
      <c r="F19" s="490"/>
      <c r="G19" s="490">
        <v>1.644929904675474</v>
      </c>
    </row>
    <row r="20" spans="1:7" ht="17.100000000000001" customHeight="1" x14ac:dyDescent="0.3">
      <c r="A20" s="487">
        <v>150000505</v>
      </c>
      <c r="B20" s="488" t="s">
        <v>1350</v>
      </c>
      <c r="C20" s="467" t="s">
        <v>112</v>
      </c>
      <c r="D20" s="489">
        <v>1</v>
      </c>
      <c r="E20" s="490">
        <v>1.7820282231431257</v>
      </c>
      <c r="F20" s="490"/>
      <c r="G20" s="490">
        <v>1.7820282231431257</v>
      </c>
    </row>
    <row r="21" spans="1:7" ht="17.100000000000001" customHeight="1" x14ac:dyDescent="0.3">
      <c r="A21" s="487">
        <v>150000506</v>
      </c>
      <c r="B21" s="488" t="s">
        <v>1349</v>
      </c>
      <c r="C21" s="467" t="s">
        <v>111</v>
      </c>
      <c r="D21" s="489">
        <v>1</v>
      </c>
      <c r="E21" s="490">
        <v>2.0530693369657347</v>
      </c>
      <c r="F21" s="490"/>
      <c r="G21" s="490">
        <v>2.0530693369657347</v>
      </c>
    </row>
    <row r="22" spans="1:7" ht="17.100000000000001" customHeight="1" x14ac:dyDescent="0.3">
      <c r="A22" s="487">
        <v>150000507</v>
      </c>
      <c r="B22" s="488" t="s">
        <v>1351</v>
      </c>
      <c r="C22" s="467" t="s">
        <v>113</v>
      </c>
      <c r="D22" s="489">
        <v>1</v>
      </c>
      <c r="E22" s="490">
        <v>1.4228946380189329</v>
      </c>
      <c r="F22" s="490"/>
      <c r="G22" s="490">
        <v>1.4228946380189329</v>
      </c>
    </row>
    <row r="23" spans="1:7" ht="17.100000000000001" customHeight="1" x14ac:dyDescent="0.3">
      <c r="A23" s="487">
        <v>150000508</v>
      </c>
      <c r="B23" s="488" t="s">
        <v>1352</v>
      </c>
      <c r="C23" s="467" t="s">
        <v>114</v>
      </c>
      <c r="D23" s="489">
        <v>1</v>
      </c>
      <c r="E23" s="490">
        <v>1.3155528924424846</v>
      </c>
      <c r="F23" s="490"/>
      <c r="G23" s="490">
        <v>1.3155528924424846</v>
      </c>
    </row>
    <row r="24" spans="1:7" ht="17.100000000000001" customHeight="1" x14ac:dyDescent="0.3">
      <c r="A24" s="487">
        <v>150000509</v>
      </c>
      <c r="B24" s="488" t="s">
        <v>1215</v>
      </c>
      <c r="C24" s="467" t="s">
        <v>52</v>
      </c>
      <c r="D24" s="489">
        <v>1</v>
      </c>
      <c r="E24" s="490">
        <v>1.5666531911539874</v>
      </c>
      <c r="F24" s="490"/>
      <c r="G24" s="490">
        <v>1.5666531911539874</v>
      </c>
    </row>
    <row r="25" spans="1:7" ht="17.100000000000001" customHeight="1" x14ac:dyDescent="0.3">
      <c r="A25" s="487">
        <v>150000510</v>
      </c>
      <c r="B25" s="488" t="s">
        <v>1216</v>
      </c>
      <c r="C25" s="467" t="s">
        <v>248</v>
      </c>
      <c r="D25" s="489">
        <v>5</v>
      </c>
      <c r="E25" s="490">
        <v>4.436472521918235</v>
      </c>
      <c r="F25" s="490">
        <v>4.436472521918235</v>
      </c>
      <c r="G25" s="490">
        <v>3.8105298396722849</v>
      </c>
    </row>
    <row r="26" spans="1:7" ht="17.100000000000001" customHeight="1" x14ac:dyDescent="0.3">
      <c r="A26" s="487">
        <v>150000511</v>
      </c>
      <c r="B26" s="488" t="s">
        <v>1217</v>
      </c>
      <c r="C26" s="467" t="s">
        <v>249</v>
      </c>
      <c r="D26" s="489">
        <v>5</v>
      </c>
      <c r="E26" s="490">
        <v>5.4029260836942266</v>
      </c>
      <c r="F26" s="490">
        <v>5.4029260836942266</v>
      </c>
      <c r="G26" s="490">
        <v>4.7934303155311877</v>
      </c>
    </row>
    <row r="27" spans="1:7" ht="17.100000000000001" customHeight="1" x14ac:dyDescent="0.3">
      <c r="A27" s="487">
        <v>150000512</v>
      </c>
      <c r="B27" s="488" t="s">
        <v>1218</v>
      </c>
      <c r="C27" s="467" t="s">
        <v>250</v>
      </c>
      <c r="D27" s="489">
        <v>5</v>
      </c>
      <c r="E27" s="490">
        <v>4.4879986430011209</v>
      </c>
      <c r="F27" s="490">
        <v>4.4879986430011209</v>
      </c>
      <c r="G27" s="490">
        <v>4.0043396248731922</v>
      </c>
    </row>
    <row r="28" spans="1:7" ht="17.100000000000001" customHeight="1" x14ac:dyDescent="0.3">
      <c r="A28" s="487">
        <v>150000513</v>
      </c>
      <c r="B28" s="488" t="s">
        <v>1219</v>
      </c>
      <c r="C28" s="467" t="s">
        <v>333</v>
      </c>
      <c r="D28" s="489">
        <v>6</v>
      </c>
      <c r="E28" s="490">
        <v>4.0880641528656323</v>
      </c>
      <c r="F28" s="490">
        <v>4.0880641528656323</v>
      </c>
      <c r="G28" s="490">
        <v>3.3317503467073935</v>
      </c>
    </row>
    <row r="29" spans="1:7" ht="17.100000000000001" customHeight="1" x14ac:dyDescent="0.3">
      <c r="A29" s="487">
        <v>150000514</v>
      </c>
      <c r="B29" s="488" t="s">
        <v>1221</v>
      </c>
      <c r="C29" s="467" t="s">
        <v>151</v>
      </c>
      <c r="D29" s="489">
        <v>2</v>
      </c>
      <c r="E29" s="490">
        <v>4.4249344228538501</v>
      </c>
      <c r="F29" s="490">
        <v>4.4249344228538501</v>
      </c>
      <c r="G29" s="490">
        <v>4.3493583605973685</v>
      </c>
    </row>
    <row r="30" spans="1:7" ht="17.100000000000001" customHeight="1" x14ac:dyDescent="0.3">
      <c r="A30" s="487">
        <v>150000515</v>
      </c>
      <c r="B30" s="488" t="s">
        <v>1222</v>
      </c>
      <c r="C30" s="467" t="s">
        <v>53</v>
      </c>
      <c r="D30" s="489">
        <v>1</v>
      </c>
      <c r="E30" s="490">
        <v>1.7545506160710569</v>
      </c>
      <c r="F30" s="490"/>
      <c r="G30" s="490">
        <v>1.7545506160710569</v>
      </c>
    </row>
    <row r="31" spans="1:7" ht="17.100000000000001" customHeight="1" x14ac:dyDescent="0.3">
      <c r="A31" s="487">
        <v>150000516</v>
      </c>
      <c r="B31" s="488" t="s">
        <v>1224</v>
      </c>
      <c r="C31" s="467" t="s">
        <v>55</v>
      </c>
      <c r="D31" s="489">
        <v>1</v>
      </c>
      <c r="E31" s="490">
        <v>1.4954204814940097</v>
      </c>
      <c r="F31" s="490"/>
      <c r="G31" s="490">
        <v>1.4954204814940097</v>
      </c>
    </row>
    <row r="32" spans="1:7" ht="17.100000000000001" customHeight="1" x14ac:dyDescent="0.3">
      <c r="A32" s="487">
        <v>150000517</v>
      </c>
      <c r="B32" s="488" t="s">
        <v>1225</v>
      </c>
      <c r="C32" s="467" t="s">
        <v>251</v>
      </c>
      <c r="D32" s="489">
        <v>5</v>
      </c>
      <c r="E32" s="490">
        <v>4.3713752884997348</v>
      </c>
      <c r="F32" s="490">
        <v>4.3713752884997348</v>
      </c>
      <c r="G32" s="490">
        <v>3.8446119887343126</v>
      </c>
    </row>
    <row r="33" spans="1:7" ht="17.100000000000001" customHeight="1" x14ac:dyDescent="0.3">
      <c r="A33" s="487">
        <v>150000518</v>
      </c>
      <c r="B33" s="488" t="s">
        <v>1226</v>
      </c>
      <c r="C33" s="467" t="s">
        <v>194</v>
      </c>
      <c r="D33" s="489">
        <v>3</v>
      </c>
      <c r="E33" s="490">
        <v>6.2120546099631921</v>
      </c>
      <c r="F33" s="490">
        <v>6.2120546099631921</v>
      </c>
      <c r="G33" s="490">
        <v>5.3868556514365888</v>
      </c>
    </row>
    <row r="34" spans="1:7" ht="17.100000000000001" customHeight="1" x14ac:dyDescent="0.3">
      <c r="A34" s="487">
        <v>150000519</v>
      </c>
      <c r="B34" s="488" t="s">
        <v>1227</v>
      </c>
      <c r="C34" s="467" t="s">
        <v>412</v>
      </c>
      <c r="D34" s="489">
        <v>10</v>
      </c>
      <c r="E34" s="490">
        <v>5.7581864649161858</v>
      </c>
      <c r="F34" s="490">
        <v>6.7581178773099033</v>
      </c>
      <c r="G34" s="490">
        <v>4.7370028337625154</v>
      </c>
    </row>
    <row r="35" spans="1:7" ht="17.100000000000001" customHeight="1" x14ac:dyDescent="0.3">
      <c r="A35" s="487">
        <v>150000521</v>
      </c>
      <c r="B35" s="488" t="s">
        <v>1228</v>
      </c>
      <c r="C35" s="467" t="s">
        <v>252</v>
      </c>
      <c r="D35" s="489">
        <v>5</v>
      </c>
      <c r="E35" s="490">
        <v>5.3086850710747431</v>
      </c>
      <c r="F35" s="490">
        <v>5.3086850710747431</v>
      </c>
      <c r="G35" s="490">
        <v>4.8066002419498535</v>
      </c>
    </row>
    <row r="36" spans="1:7" ht="17.100000000000001" customHeight="1" x14ac:dyDescent="0.3">
      <c r="A36" s="487">
        <v>150000522</v>
      </c>
      <c r="B36" s="488" t="s">
        <v>1229</v>
      </c>
      <c r="C36" s="467" t="s">
        <v>56</v>
      </c>
      <c r="D36" s="489">
        <v>1</v>
      </c>
      <c r="E36" s="490">
        <v>1.54589653157544</v>
      </c>
      <c r="F36" s="490"/>
      <c r="G36" s="490">
        <v>1.54589653157544</v>
      </c>
    </row>
    <row r="37" spans="1:7" ht="17.100000000000001" customHeight="1" x14ac:dyDescent="0.3">
      <c r="A37" s="487">
        <v>150000523</v>
      </c>
      <c r="B37" s="488" t="s">
        <v>1230</v>
      </c>
      <c r="C37" s="467" t="s">
        <v>57</v>
      </c>
      <c r="D37" s="489">
        <v>1</v>
      </c>
      <c r="E37" s="490">
        <v>1.5092530569042515</v>
      </c>
      <c r="F37" s="490"/>
      <c r="G37" s="490">
        <v>1.5092530569042515</v>
      </c>
    </row>
    <row r="38" spans="1:7" ht="17.100000000000001" customHeight="1" x14ac:dyDescent="0.3">
      <c r="A38" s="487">
        <v>150000524</v>
      </c>
      <c r="B38" s="488" t="s">
        <v>1231</v>
      </c>
      <c r="C38" s="467" t="s">
        <v>58</v>
      </c>
      <c r="D38" s="489">
        <v>1</v>
      </c>
      <c r="E38" s="490">
        <v>1.4772134280283631</v>
      </c>
      <c r="F38" s="490"/>
      <c r="G38" s="490">
        <v>1.4772134280283631</v>
      </c>
    </row>
    <row r="39" spans="1:7" ht="17.100000000000001" customHeight="1" x14ac:dyDescent="0.3">
      <c r="A39" s="487">
        <v>150000527</v>
      </c>
      <c r="B39" s="488" t="s">
        <v>1233</v>
      </c>
      <c r="C39" s="467" t="s">
        <v>60</v>
      </c>
      <c r="D39" s="489">
        <v>1</v>
      </c>
      <c r="E39" s="490">
        <v>1.7108473464346663</v>
      </c>
      <c r="F39" s="490"/>
      <c r="G39" s="490">
        <v>1.7108473464346663</v>
      </c>
    </row>
    <row r="40" spans="1:7" ht="17.100000000000001" customHeight="1" x14ac:dyDescent="0.3">
      <c r="A40" s="487">
        <v>150000529</v>
      </c>
      <c r="B40" s="488" t="s">
        <v>1235</v>
      </c>
      <c r="C40" s="467" t="s">
        <v>347</v>
      </c>
      <c r="D40" s="489">
        <v>9</v>
      </c>
      <c r="E40" s="490">
        <v>5.822074067045433</v>
      </c>
      <c r="F40" s="490">
        <v>7.4971048378928344</v>
      </c>
      <c r="G40" s="490">
        <v>4.760442269285809</v>
      </c>
    </row>
    <row r="41" spans="1:7" ht="17.100000000000001" customHeight="1" x14ac:dyDescent="0.3">
      <c r="A41" s="487">
        <v>150000530</v>
      </c>
      <c r="B41" s="488" t="s">
        <v>1236</v>
      </c>
      <c r="C41" s="467" t="s">
        <v>62</v>
      </c>
      <c r="D41" s="489">
        <v>1</v>
      </c>
      <c r="E41" s="490">
        <v>2.3048288414903602</v>
      </c>
      <c r="F41" s="490"/>
      <c r="G41" s="490">
        <v>2.3048288414903602</v>
      </c>
    </row>
    <row r="42" spans="1:7" ht="17.100000000000001" customHeight="1" x14ac:dyDescent="0.3">
      <c r="A42" s="487">
        <v>150000531</v>
      </c>
      <c r="B42" s="488" t="s">
        <v>1239</v>
      </c>
      <c r="C42" s="467" t="s">
        <v>348</v>
      </c>
      <c r="D42" s="489">
        <v>9</v>
      </c>
      <c r="E42" s="490">
        <v>5.4491718287396145</v>
      </c>
      <c r="F42" s="490">
        <v>6.84085517130515</v>
      </c>
      <c r="G42" s="490">
        <v>4.6050019566650464</v>
      </c>
    </row>
    <row r="43" spans="1:7" ht="17.100000000000001" customHeight="1" x14ac:dyDescent="0.3">
      <c r="A43" s="487">
        <v>150000532</v>
      </c>
      <c r="B43" s="488" t="s">
        <v>1240</v>
      </c>
      <c r="C43" s="467" t="s">
        <v>253</v>
      </c>
      <c r="D43" s="489">
        <v>5</v>
      </c>
      <c r="E43" s="490">
        <v>6.3802508227835402</v>
      </c>
      <c r="F43" s="490">
        <v>6.3802508227835402</v>
      </c>
      <c r="G43" s="490">
        <v>5.4732005689174654</v>
      </c>
    </row>
    <row r="44" spans="1:7" ht="17.100000000000001" customHeight="1" x14ac:dyDescent="0.3">
      <c r="A44" s="487">
        <v>150000533</v>
      </c>
      <c r="B44" s="488" t="s">
        <v>1241</v>
      </c>
      <c r="C44" s="467" t="s">
        <v>349</v>
      </c>
      <c r="D44" s="489">
        <v>9</v>
      </c>
      <c r="E44" s="490">
        <v>6.1644153124520153</v>
      </c>
      <c r="F44" s="490">
        <v>7.62598673902089</v>
      </c>
      <c r="G44" s="490">
        <v>5.2331751037908516</v>
      </c>
    </row>
    <row r="45" spans="1:7" ht="17.100000000000001" customHeight="1" x14ac:dyDescent="0.3">
      <c r="A45" s="487">
        <v>150000534</v>
      </c>
      <c r="B45" s="488" t="s">
        <v>1242</v>
      </c>
      <c r="C45" s="467" t="s">
        <v>254</v>
      </c>
      <c r="D45" s="489">
        <v>5</v>
      </c>
      <c r="E45" s="490">
        <v>6.4897474247438218</v>
      </c>
      <c r="F45" s="490">
        <v>6.4897474247438218</v>
      </c>
      <c r="G45" s="490">
        <v>5.6341950364621942</v>
      </c>
    </row>
    <row r="46" spans="1:7" ht="17.100000000000001" customHeight="1" x14ac:dyDescent="0.3">
      <c r="A46" s="487">
        <v>150000535</v>
      </c>
      <c r="B46" s="488" t="s">
        <v>1243</v>
      </c>
      <c r="C46" s="467" t="s">
        <v>350</v>
      </c>
      <c r="D46" s="489">
        <v>9</v>
      </c>
      <c r="E46" s="490">
        <v>5.9455573650150901</v>
      </c>
      <c r="F46" s="490">
        <v>7.5119009751263075</v>
      </c>
      <c r="G46" s="490">
        <v>5.0405269584626557</v>
      </c>
    </row>
    <row r="47" spans="1:7" ht="17.100000000000001" customHeight="1" x14ac:dyDescent="0.3">
      <c r="A47" s="487">
        <v>150000537</v>
      </c>
      <c r="B47" s="488" t="s">
        <v>1343</v>
      </c>
      <c r="C47" s="467" t="s">
        <v>105</v>
      </c>
      <c r="D47" s="489">
        <v>1</v>
      </c>
      <c r="E47" s="490">
        <v>0.543503175717583</v>
      </c>
      <c r="F47" s="490"/>
      <c r="G47" s="490">
        <v>0.543503175717583</v>
      </c>
    </row>
    <row r="48" spans="1:7" ht="17.100000000000001" customHeight="1" x14ac:dyDescent="0.3">
      <c r="A48" s="487">
        <v>150000538</v>
      </c>
      <c r="B48" s="488" t="s">
        <v>1220</v>
      </c>
      <c r="C48" s="467" t="s">
        <v>207</v>
      </c>
      <c r="D48" s="489">
        <v>4</v>
      </c>
      <c r="E48" s="490">
        <v>5.5532017714898343</v>
      </c>
      <c r="F48" s="490">
        <v>5.5532017714898343</v>
      </c>
      <c r="G48" s="490">
        <v>5.0544500086809743</v>
      </c>
    </row>
    <row r="49" spans="1:7" ht="17.100000000000001" customHeight="1" x14ac:dyDescent="0.3">
      <c r="A49" s="487">
        <v>150000539</v>
      </c>
      <c r="B49" s="488" t="s">
        <v>1223</v>
      </c>
      <c r="C49" s="467" t="s">
        <v>54</v>
      </c>
      <c r="D49" s="489">
        <v>1</v>
      </c>
      <c r="E49" s="490">
        <v>1.8365793789168912</v>
      </c>
      <c r="F49" s="490"/>
      <c r="G49" s="490">
        <v>1.8365793789168912</v>
      </c>
    </row>
    <row r="50" spans="1:7" ht="17.100000000000001" customHeight="1" x14ac:dyDescent="0.3">
      <c r="A50" s="487">
        <v>150000541</v>
      </c>
      <c r="B50" s="488" t="s">
        <v>1232</v>
      </c>
      <c r="C50" s="467" t="s">
        <v>59</v>
      </c>
      <c r="D50" s="489">
        <v>1</v>
      </c>
      <c r="E50" s="490">
        <v>2.0852554609653322</v>
      </c>
      <c r="F50" s="490"/>
      <c r="G50" s="490">
        <v>2.0852554609653322</v>
      </c>
    </row>
    <row r="51" spans="1:7" ht="17.100000000000001" customHeight="1" x14ac:dyDescent="0.3">
      <c r="A51" s="487">
        <v>150000542</v>
      </c>
      <c r="B51" s="488" t="s">
        <v>1234</v>
      </c>
      <c r="C51" s="467" t="s">
        <v>61</v>
      </c>
      <c r="D51" s="489">
        <v>1</v>
      </c>
      <c r="E51" s="490">
        <v>2.3182436627598815</v>
      </c>
      <c r="F51" s="490"/>
      <c r="G51" s="490">
        <v>2.3182436627598815</v>
      </c>
    </row>
    <row r="52" spans="1:7" ht="17.100000000000001" customHeight="1" x14ac:dyDescent="0.3">
      <c r="A52" s="487">
        <v>150000543</v>
      </c>
      <c r="B52" s="488" t="s">
        <v>1237</v>
      </c>
      <c r="C52" s="467" t="s">
        <v>63</v>
      </c>
      <c r="D52" s="489">
        <v>1</v>
      </c>
      <c r="E52" s="490">
        <v>1.796680369515375</v>
      </c>
      <c r="F52" s="490"/>
      <c r="G52" s="490">
        <v>1.796680369515375</v>
      </c>
    </row>
    <row r="53" spans="1:7" ht="17.100000000000001" customHeight="1" x14ac:dyDescent="0.3">
      <c r="A53" s="487">
        <v>150000544</v>
      </c>
      <c r="B53" s="488" t="s">
        <v>1238</v>
      </c>
      <c r="C53" s="467" t="s">
        <v>64</v>
      </c>
      <c r="D53" s="489">
        <v>1</v>
      </c>
      <c r="E53" s="490">
        <v>1.7732731263615662</v>
      </c>
      <c r="F53" s="490"/>
      <c r="G53" s="490">
        <v>1.7732731263615662</v>
      </c>
    </row>
    <row r="54" spans="1:7" ht="17.100000000000001" customHeight="1" x14ac:dyDescent="0.3">
      <c r="A54" s="487">
        <v>150000545</v>
      </c>
      <c r="B54" s="488" t="s">
        <v>1344</v>
      </c>
      <c r="C54" s="467" t="s">
        <v>106</v>
      </c>
      <c r="D54" s="489">
        <v>1</v>
      </c>
      <c r="E54" s="490">
        <v>1.7553880148170384</v>
      </c>
      <c r="F54" s="490"/>
      <c r="G54" s="490">
        <v>1.7553880148170384</v>
      </c>
    </row>
    <row r="55" spans="1:7" ht="17.100000000000001" customHeight="1" x14ac:dyDescent="0.3">
      <c r="A55" s="487">
        <v>150000546</v>
      </c>
      <c r="B55" s="488" t="s">
        <v>1345</v>
      </c>
      <c r="C55" s="467" t="s">
        <v>107</v>
      </c>
      <c r="D55" s="489">
        <v>1</v>
      </c>
      <c r="E55" s="490">
        <v>1.6192570833462641</v>
      </c>
      <c r="F55" s="490"/>
      <c r="G55" s="490">
        <v>1.6192570833462641</v>
      </c>
    </row>
    <row r="56" spans="1:7" ht="17.100000000000001" customHeight="1" x14ac:dyDescent="0.3">
      <c r="A56" s="487">
        <v>150000547</v>
      </c>
      <c r="B56" s="488" t="s">
        <v>1214</v>
      </c>
      <c r="C56" s="467" t="s">
        <v>247</v>
      </c>
      <c r="D56" s="489">
        <v>5</v>
      </c>
      <c r="E56" s="490">
        <v>5.9643898425231026</v>
      </c>
      <c r="F56" s="490">
        <v>5.9643898425231026</v>
      </c>
      <c r="G56" s="490">
        <v>5.2881823614970447</v>
      </c>
    </row>
    <row r="57" spans="1:7" ht="17.100000000000001" customHeight="1" x14ac:dyDescent="0.3">
      <c r="A57" s="487">
        <v>150000548</v>
      </c>
      <c r="B57" s="488" t="s">
        <v>1212</v>
      </c>
      <c r="C57" s="467" t="s">
        <v>246</v>
      </c>
      <c r="D57" s="489">
        <v>5</v>
      </c>
      <c r="E57" s="490">
        <v>6.36027604072597</v>
      </c>
      <c r="F57" s="490">
        <v>6.36027604072597</v>
      </c>
      <c r="G57" s="490">
        <v>5.516066245261352</v>
      </c>
    </row>
    <row r="58" spans="1:7" ht="17.100000000000001" customHeight="1" x14ac:dyDescent="0.3">
      <c r="A58" s="487">
        <v>150000549</v>
      </c>
      <c r="B58" s="488" t="s">
        <v>1213</v>
      </c>
      <c r="C58" s="467" t="s">
        <v>206</v>
      </c>
      <c r="D58" s="489">
        <v>4</v>
      </c>
      <c r="E58" s="490">
        <v>6.1477471658533833</v>
      </c>
      <c r="F58" s="490">
        <v>6.1477471658533833</v>
      </c>
      <c r="G58" s="490">
        <v>5.4746973002745358</v>
      </c>
    </row>
    <row r="59" spans="1:7" ht="17.100000000000001" customHeight="1" x14ac:dyDescent="0.3">
      <c r="A59" s="487">
        <v>150000552</v>
      </c>
      <c r="B59" s="488" t="s">
        <v>1303</v>
      </c>
      <c r="C59" s="467" t="s">
        <v>91</v>
      </c>
      <c r="D59" s="489">
        <v>1</v>
      </c>
      <c r="E59" s="490">
        <v>1.8089600308686467</v>
      </c>
      <c r="F59" s="490"/>
      <c r="G59" s="490">
        <v>1.8089600308686467</v>
      </c>
    </row>
    <row r="60" spans="1:7" ht="17.100000000000001" customHeight="1" x14ac:dyDescent="0.3">
      <c r="A60" s="487">
        <v>150000553</v>
      </c>
      <c r="B60" s="488" t="s">
        <v>1304</v>
      </c>
      <c r="C60" s="467" t="s">
        <v>259</v>
      </c>
      <c r="D60" s="489">
        <v>5</v>
      </c>
      <c r="E60" s="490">
        <v>4.6703907097448614</v>
      </c>
      <c r="F60" s="490">
        <v>4.6703907097448614</v>
      </c>
      <c r="G60" s="490">
        <v>4.098427216415967</v>
      </c>
    </row>
    <row r="61" spans="1:7" ht="17.100000000000001" customHeight="1" x14ac:dyDescent="0.3">
      <c r="A61" s="487">
        <v>150000555</v>
      </c>
      <c r="B61" s="488" t="s">
        <v>1300</v>
      </c>
      <c r="C61" s="467" t="s">
        <v>88</v>
      </c>
      <c r="D61" s="489">
        <v>1</v>
      </c>
      <c r="E61" s="490">
        <v>1.6928821717946567</v>
      </c>
      <c r="F61" s="490"/>
      <c r="G61" s="490">
        <v>1.6928821717946567</v>
      </c>
    </row>
    <row r="62" spans="1:7" ht="17.100000000000001" customHeight="1" x14ac:dyDescent="0.3">
      <c r="A62" s="487">
        <v>150000556</v>
      </c>
      <c r="B62" s="488" t="s">
        <v>1301</v>
      </c>
      <c r="C62" s="467" t="s">
        <v>89</v>
      </c>
      <c r="D62" s="489">
        <v>1</v>
      </c>
      <c r="E62" s="490">
        <v>1.6269001721267109</v>
      </c>
      <c r="F62" s="490"/>
      <c r="G62" s="490">
        <v>1.6269001721267109</v>
      </c>
    </row>
    <row r="63" spans="1:7" ht="17.100000000000001" customHeight="1" x14ac:dyDescent="0.3">
      <c r="A63" s="487">
        <v>150000557</v>
      </c>
      <c r="B63" s="488" t="s">
        <v>1302</v>
      </c>
      <c r="C63" s="467" t="s">
        <v>90</v>
      </c>
      <c r="D63" s="489">
        <v>1</v>
      </c>
      <c r="E63" s="490">
        <v>1.6692578273143692</v>
      </c>
      <c r="F63" s="490"/>
      <c r="G63" s="490">
        <v>1.6692578273143692</v>
      </c>
    </row>
    <row r="64" spans="1:7" ht="17.100000000000001" customHeight="1" x14ac:dyDescent="0.3">
      <c r="A64" s="487">
        <v>150000561</v>
      </c>
      <c r="B64" s="488" t="s">
        <v>1250</v>
      </c>
      <c r="C64" s="467" t="s">
        <v>71</v>
      </c>
      <c r="D64" s="489">
        <v>1</v>
      </c>
      <c r="E64" s="490">
        <v>1.7568396312442016</v>
      </c>
      <c r="F64" s="490"/>
      <c r="G64" s="490">
        <v>1.7568396312442016</v>
      </c>
    </row>
    <row r="65" spans="1:7" ht="17.100000000000001" customHeight="1" x14ac:dyDescent="0.3">
      <c r="A65" s="487">
        <v>150000562</v>
      </c>
      <c r="B65" s="488" t="s">
        <v>1252</v>
      </c>
      <c r="C65" s="467" t="s">
        <v>73</v>
      </c>
      <c r="D65" s="489">
        <v>1</v>
      </c>
      <c r="E65" s="490">
        <v>1.7977905583303428</v>
      </c>
      <c r="F65" s="490"/>
      <c r="G65" s="490">
        <v>1.7977905583303428</v>
      </c>
    </row>
    <row r="66" spans="1:7" ht="17.100000000000001" customHeight="1" x14ac:dyDescent="0.3">
      <c r="A66" s="487">
        <v>150000566</v>
      </c>
      <c r="B66" s="488" t="s">
        <v>1247</v>
      </c>
      <c r="C66" s="467" t="s">
        <v>68</v>
      </c>
      <c r="D66" s="489">
        <v>1</v>
      </c>
      <c r="E66" s="490">
        <v>1.8330828798819481</v>
      </c>
      <c r="F66" s="490"/>
      <c r="G66" s="490">
        <v>1.8330828798819481</v>
      </c>
    </row>
    <row r="67" spans="1:7" ht="17.100000000000001" customHeight="1" x14ac:dyDescent="0.3">
      <c r="A67" s="487">
        <v>150000567</v>
      </c>
      <c r="B67" s="488" t="s">
        <v>1249</v>
      </c>
      <c r="C67" s="467" t="s">
        <v>70</v>
      </c>
      <c r="D67" s="489">
        <v>1</v>
      </c>
      <c r="E67" s="490">
        <v>1.4519901994526354</v>
      </c>
      <c r="F67" s="490"/>
      <c r="G67" s="490">
        <v>1.4519901994526354</v>
      </c>
    </row>
    <row r="68" spans="1:7" ht="17.100000000000001" customHeight="1" x14ac:dyDescent="0.3">
      <c r="A68" s="487">
        <v>150000569</v>
      </c>
      <c r="B68" s="488" t="s">
        <v>1251</v>
      </c>
      <c r="C68" s="467" t="s">
        <v>72</v>
      </c>
      <c r="D68" s="489">
        <v>1</v>
      </c>
      <c r="E68" s="490">
        <v>1.9346308512029315</v>
      </c>
      <c r="F68" s="490"/>
      <c r="G68" s="490">
        <v>1.9346308512029315</v>
      </c>
    </row>
    <row r="69" spans="1:7" ht="17.100000000000001" customHeight="1" x14ac:dyDescent="0.3">
      <c r="A69" s="487">
        <v>150000570</v>
      </c>
      <c r="B69" s="488" t="s">
        <v>1253</v>
      </c>
      <c r="C69" s="467" t="s">
        <v>74</v>
      </c>
      <c r="D69" s="489">
        <v>1</v>
      </c>
      <c r="E69" s="490">
        <v>1.6570608792255355</v>
      </c>
      <c r="F69" s="490"/>
      <c r="G69" s="490">
        <v>1.6570608792255355</v>
      </c>
    </row>
    <row r="70" spans="1:7" ht="17.100000000000001" customHeight="1" x14ac:dyDescent="0.3">
      <c r="A70" s="487">
        <v>150000571</v>
      </c>
      <c r="B70" s="488" t="s">
        <v>1248</v>
      </c>
      <c r="C70" s="467" t="s">
        <v>69</v>
      </c>
      <c r="D70" s="489">
        <v>1</v>
      </c>
      <c r="E70" s="490">
        <v>2.0897396454588542</v>
      </c>
      <c r="F70" s="490"/>
      <c r="G70" s="490">
        <v>2.0897396454588542</v>
      </c>
    </row>
    <row r="71" spans="1:7" ht="17.100000000000001" customHeight="1" x14ac:dyDescent="0.3">
      <c r="A71" s="487">
        <v>150000572</v>
      </c>
      <c r="B71" s="488" t="s">
        <v>1254</v>
      </c>
      <c r="C71" s="467" t="s">
        <v>152</v>
      </c>
      <c r="D71" s="489">
        <v>2</v>
      </c>
      <c r="E71" s="490">
        <v>3.8783824144809778</v>
      </c>
      <c r="F71" s="490">
        <v>3.8783824144809778</v>
      </c>
      <c r="G71" s="490">
        <v>3.7935640062584599</v>
      </c>
    </row>
    <row r="72" spans="1:7" ht="17.100000000000001" customHeight="1" x14ac:dyDescent="0.3">
      <c r="A72" s="487">
        <v>150000573</v>
      </c>
      <c r="B72" s="488" t="s">
        <v>1255</v>
      </c>
      <c r="C72" s="467" t="s">
        <v>75</v>
      </c>
      <c r="D72" s="489">
        <v>1</v>
      </c>
      <c r="E72" s="490">
        <v>1.6187064647578502</v>
      </c>
      <c r="F72" s="490"/>
      <c r="G72" s="490">
        <v>1.6187064647578502</v>
      </c>
    </row>
    <row r="73" spans="1:7" ht="17.100000000000001" customHeight="1" x14ac:dyDescent="0.3">
      <c r="A73" s="487">
        <v>150000578</v>
      </c>
      <c r="B73" s="488" t="s">
        <v>1294</v>
      </c>
      <c r="C73" s="467" t="s">
        <v>83</v>
      </c>
      <c r="D73" s="489">
        <v>1</v>
      </c>
      <c r="E73" s="490">
        <v>1.6206727363332911</v>
      </c>
      <c r="F73" s="490"/>
      <c r="G73" s="490">
        <v>1.6206727363332911</v>
      </c>
    </row>
    <row r="74" spans="1:7" ht="17.100000000000001" customHeight="1" x14ac:dyDescent="0.3">
      <c r="A74" s="487">
        <v>150000580</v>
      </c>
      <c r="B74" s="488" t="s">
        <v>1295</v>
      </c>
      <c r="C74" s="467" t="s">
        <v>84</v>
      </c>
      <c r="D74" s="489">
        <v>1</v>
      </c>
      <c r="E74" s="490">
        <v>1.324307269953604</v>
      </c>
      <c r="F74" s="490"/>
      <c r="G74" s="490">
        <v>1.324307269953604</v>
      </c>
    </row>
    <row r="75" spans="1:7" ht="17.100000000000001" customHeight="1" x14ac:dyDescent="0.3">
      <c r="A75" s="487">
        <v>150000587</v>
      </c>
      <c r="B75" s="488" t="s">
        <v>1292</v>
      </c>
      <c r="C75" s="467" t="s">
        <v>82</v>
      </c>
      <c r="D75" s="489">
        <v>1</v>
      </c>
      <c r="E75" s="490">
        <v>1.6687528323821212</v>
      </c>
      <c r="F75" s="490"/>
      <c r="G75" s="490">
        <v>1.6687528323821212</v>
      </c>
    </row>
    <row r="76" spans="1:7" ht="17.100000000000001" customHeight="1" x14ac:dyDescent="0.3">
      <c r="A76" s="487">
        <v>150000590</v>
      </c>
      <c r="B76" s="488" t="s">
        <v>1293</v>
      </c>
      <c r="C76" s="467" t="s">
        <v>163</v>
      </c>
      <c r="D76" s="489">
        <v>2</v>
      </c>
      <c r="E76" s="490">
        <v>3.6793047036957969</v>
      </c>
      <c r="F76" s="490">
        <v>3.6793047036957969</v>
      </c>
      <c r="G76" s="490">
        <v>3.5831688454069908</v>
      </c>
    </row>
    <row r="77" spans="1:7" ht="17.100000000000001" customHeight="1" x14ac:dyDescent="0.3">
      <c r="A77" s="487">
        <v>150000591</v>
      </c>
      <c r="B77" s="488" t="s">
        <v>1418</v>
      </c>
      <c r="C77" s="467" t="s">
        <v>191</v>
      </c>
      <c r="D77" s="489">
        <v>2</v>
      </c>
      <c r="E77" s="490">
        <v>4.8167851364638761</v>
      </c>
      <c r="F77" s="490">
        <v>4.8167851364638761</v>
      </c>
      <c r="G77" s="490">
        <v>4.6942600319299839</v>
      </c>
    </row>
    <row r="78" spans="1:7" ht="17.100000000000001" customHeight="1" x14ac:dyDescent="0.3">
      <c r="A78" s="487">
        <v>150000592</v>
      </c>
      <c r="B78" s="488" t="s">
        <v>1261</v>
      </c>
      <c r="C78" s="467" t="s">
        <v>353</v>
      </c>
      <c r="D78" s="489">
        <v>9</v>
      </c>
      <c r="E78" s="490">
        <v>6.1471917140243795</v>
      </c>
      <c r="F78" s="490">
        <v>7.5380650430600795</v>
      </c>
      <c r="G78" s="490">
        <v>5.2374602260338383</v>
      </c>
    </row>
    <row r="79" spans="1:7" ht="17.100000000000001" customHeight="1" x14ac:dyDescent="0.3">
      <c r="A79" s="487">
        <v>150000593</v>
      </c>
      <c r="B79" s="488" t="s">
        <v>1264</v>
      </c>
      <c r="C79" s="467" t="s">
        <v>255</v>
      </c>
      <c r="D79" s="489">
        <v>5</v>
      </c>
      <c r="E79" s="490">
        <v>4.5347119380148131</v>
      </c>
      <c r="F79" s="490">
        <v>4.5347119380148131</v>
      </c>
      <c r="G79" s="490">
        <v>4.0693585040154279</v>
      </c>
    </row>
    <row r="80" spans="1:7" ht="17.100000000000001" customHeight="1" x14ac:dyDescent="0.3">
      <c r="A80" s="487">
        <v>150000594</v>
      </c>
      <c r="B80" s="488" t="s">
        <v>1265</v>
      </c>
      <c r="C80" s="467" t="s">
        <v>354</v>
      </c>
      <c r="D80" s="489">
        <v>9</v>
      </c>
      <c r="E80" s="490">
        <v>6.0576674010013409</v>
      </c>
      <c r="F80" s="490">
        <v>7.3922848837902277</v>
      </c>
      <c r="G80" s="490">
        <v>5.2078051804044563</v>
      </c>
    </row>
    <row r="81" spans="1:7" ht="17.100000000000001" customHeight="1" x14ac:dyDescent="0.3">
      <c r="A81" s="487">
        <v>150000597</v>
      </c>
      <c r="B81" s="488" t="s">
        <v>1259</v>
      </c>
      <c r="C81" s="467" t="s">
        <v>352</v>
      </c>
      <c r="D81" s="489">
        <v>9</v>
      </c>
      <c r="E81" s="490">
        <v>6.6294862560427266</v>
      </c>
      <c r="F81" s="490">
        <v>8.175610255673357</v>
      </c>
      <c r="G81" s="490">
        <v>5.7403322039736526</v>
      </c>
    </row>
    <row r="82" spans="1:7" ht="17.100000000000001" customHeight="1" x14ac:dyDescent="0.3">
      <c r="A82" s="487">
        <v>150000598</v>
      </c>
      <c r="B82" s="488" t="s">
        <v>1260</v>
      </c>
      <c r="C82" s="467" t="s">
        <v>76</v>
      </c>
      <c r="D82" s="489">
        <v>1</v>
      </c>
      <c r="E82" s="490">
        <v>1.684616771293028</v>
      </c>
      <c r="F82" s="490"/>
      <c r="G82" s="490">
        <v>1.684616771293028</v>
      </c>
    </row>
    <row r="83" spans="1:7" ht="17.100000000000001" customHeight="1" x14ac:dyDescent="0.3">
      <c r="A83" s="487">
        <v>150000599</v>
      </c>
      <c r="B83" s="488" t="s">
        <v>1262</v>
      </c>
      <c r="C83" s="467" t="s">
        <v>77</v>
      </c>
      <c r="D83" s="489">
        <v>1</v>
      </c>
      <c r="E83" s="490">
        <v>2.1170217763247021</v>
      </c>
      <c r="F83" s="490"/>
      <c r="G83" s="490">
        <v>2.1170217763247021</v>
      </c>
    </row>
    <row r="84" spans="1:7" ht="17.100000000000001" customHeight="1" x14ac:dyDescent="0.3">
      <c r="A84" s="487">
        <v>150000601</v>
      </c>
      <c r="B84" s="488" t="s">
        <v>1263</v>
      </c>
      <c r="C84" s="467" t="s">
        <v>78</v>
      </c>
      <c r="D84" s="489">
        <v>1</v>
      </c>
      <c r="E84" s="490">
        <v>1.8522332448924348</v>
      </c>
      <c r="F84" s="490"/>
      <c r="G84" s="490">
        <v>1.8522332448924348</v>
      </c>
    </row>
    <row r="85" spans="1:7" ht="17.100000000000001" customHeight="1" x14ac:dyDescent="0.3">
      <c r="A85" s="487">
        <v>150000603</v>
      </c>
      <c r="B85" s="488" t="s">
        <v>1272</v>
      </c>
      <c r="C85" s="467" t="s">
        <v>153</v>
      </c>
      <c r="D85" s="489">
        <v>2</v>
      </c>
      <c r="E85" s="490">
        <v>6.3456408334079217</v>
      </c>
      <c r="F85" s="490">
        <v>6.3456408334079217</v>
      </c>
      <c r="G85" s="490">
        <v>5.1515516438840621</v>
      </c>
    </row>
    <row r="86" spans="1:7" ht="17.100000000000001" customHeight="1" x14ac:dyDescent="0.3">
      <c r="A86" s="487">
        <v>150000604</v>
      </c>
      <c r="B86" s="488" t="s">
        <v>1274</v>
      </c>
      <c r="C86" s="467" t="s">
        <v>154</v>
      </c>
      <c r="D86" s="489">
        <v>2</v>
      </c>
      <c r="E86" s="490">
        <v>6.0302660374661228</v>
      </c>
      <c r="F86" s="490">
        <v>6.0302660374661228</v>
      </c>
      <c r="G86" s="490">
        <v>4.940238089916317</v>
      </c>
    </row>
    <row r="87" spans="1:7" ht="17.100000000000001" customHeight="1" x14ac:dyDescent="0.3">
      <c r="A87" s="487">
        <v>150000605</v>
      </c>
      <c r="B87" s="488" t="s">
        <v>1275</v>
      </c>
      <c r="C87" s="467" t="s">
        <v>155</v>
      </c>
      <c r="D87" s="489">
        <v>2</v>
      </c>
      <c r="E87" s="490">
        <v>6.6226300973245644</v>
      </c>
      <c r="F87" s="490">
        <v>6.6226300973245644</v>
      </c>
      <c r="G87" s="490">
        <v>5.535879983089635</v>
      </c>
    </row>
    <row r="88" spans="1:7" ht="17.100000000000001" customHeight="1" x14ac:dyDescent="0.3">
      <c r="A88" s="487">
        <v>150000606</v>
      </c>
      <c r="B88" s="488" t="s">
        <v>1276</v>
      </c>
      <c r="C88" s="467" t="s">
        <v>156</v>
      </c>
      <c r="D88" s="489">
        <v>2</v>
      </c>
      <c r="E88" s="490">
        <v>6.6057754514453189</v>
      </c>
      <c r="F88" s="490">
        <v>6.6057754514453189</v>
      </c>
      <c r="G88" s="490">
        <v>5.5369698990524654</v>
      </c>
    </row>
    <row r="89" spans="1:7" ht="17.100000000000001" customHeight="1" x14ac:dyDescent="0.3">
      <c r="A89" s="487">
        <v>150000607</v>
      </c>
      <c r="B89" s="488" t="s">
        <v>1277</v>
      </c>
      <c r="C89" s="467" t="s">
        <v>157</v>
      </c>
      <c r="D89" s="489">
        <v>2</v>
      </c>
      <c r="E89" s="490">
        <v>6.2785072280668155</v>
      </c>
      <c r="F89" s="490">
        <v>6.2785072280668155</v>
      </c>
      <c r="G89" s="490">
        <v>5.1737788490054317</v>
      </c>
    </row>
    <row r="90" spans="1:7" ht="17.100000000000001" customHeight="1" x14ac:dyDescent="0.3">
      <c r="A90" s="487">
        <v>150000608</v>
      </c>
      <c r="B90" s="488" t="s">
        <v>1278</v>
      </c>
      <c r="C90" s="467" t="s">
        <v>158</v>
      </c>
      <c r="D90" s="489">
        <v>2</v>
      </c>
      <c r="E90" s="490">
        <v>6.7645870028965929</v>
      </c>
      <c r="F90" s="490">
        <v>6.7645870028965929</v>
      </c>
      <c r="G90" s="490">
        <v>5.6372265545623286</v>
      </c>
    </row>
    <row r="91" spans="1:7" ht="17.100000000000001" customHeight="1" x14ac:dyDescent="0.3">
      <c r="A91" s="487">
        <v>150000609</v>
      </c>
      <c r="B91" s="488" t="s">
        <v>1279</v>
      </c>
      <c r="C91" s="467" t="s">
        <v>159</v>
      </c>
      <c r="D91" s="489">
        <v>2</v>
      </c>
      <c r="E91" s="490">
        <v>6.5630854893787074</v>
      </c>
      <c r="F91" s="490">
        <v>6.5630854893787074</v>
      </c>
      <c r="G91" s="490">
        <v>5.9156048061018733</v>
      </c>
    </row>
    <row r="92" spans="1:7" ht="17.100000000000001" customHeight="1" x14ac:dyDescent="0.3">
      <c r="A92" s="487">
        <v>150000610</v>
      </c>
      <c r="B92" s="488" t="s">
        <v>1280</v>
      </c>
      <c r="C92" s="467" t="s">
        <v>160</v>
      </c>
      <c r="D92" s="489">
        <v>2</v>
      </c>
      <c r="E92" s="490">
        <v>6.0751423572743111</v>
      </c>
      <c r="F92" s="490">
        <v>6.0751423572743111</v>
      </c>
      <c r="G92" s="490">
        <v>5.435399494773046</v>
      </c>
    </row>
    <row r="93" spans="1:7" ht="17.100000000000001" customHeight="1" x14ac:dyDescent="0.3">
      <c r="A93" s="487">
        <v>150000611</v>
      </c>
      <c r="B93" s="488" t="s">
        <v>1281</v>
      </c>
      <c r="C93" s="467" t="s">
        <v>195</v>
      </c>
      <c r="D93" s="489">
        <v>3</v>
      </c>
      <c r="E93" s="490">
        <v>5.7311449339674434</v>
      </c>
      <c r="F93" s="490">
        <v>5.7311449339674434</v>
      </c>
      <c r="G93" s="490">
        <v>5.0207430837945832</v>
      </c>
    </row>
    <row r="94" spans="1:7" ht="17.100000000000001" customHeight="1" x14ac:dyDescent="0.3">
      <c r="A94" s="487">
        <v>150000612</v>
      </c>
      <c r="B94" s="488" t="s">
        <v>1283</v>
      </c>
      <c r="C94" s="467" t="s">
        <v>161</v>
      </c>
      <c r="D94" s="489">
        <v>2</v>
      </c>
      <c r="E94" s="490">
        <v>6.4811721504626352</v>
      </c>
      <c r="F94" s="490">
        <v>6.4811721504626352</v>
      </c>
      <c r="G94" s="490">
        <v>5.8829514606088829</v>
      </c>
    </row>
    <row r="95" spans="1:7" ht="17.100000000000001" customHeight="1" x14ac:dyDescent="0.3">
      <c r="A95" s="487">
        <v>150000613</v>
      </c>
      <c r="B95" s="488" t="s">
        <v>1284</v>
      </c>
      <c r="C95" s="467" t="s">
        <v>210</v>
      </c>
      <c r="D95" s="489">
        <v>4</v>
      </c>
      <c r="E95" s="490">
        <v>5.866371037291259</v>
      </c>
      <c r="F95" s="490">
        <v>5.866371037291259</v>
      </c>
      <c r="G95" s="490">
        <v>5.1035829961136523</v>
      </c>
    </row>
    <row r="96" spans="1:7" ht="17.100000000000001" customHeight="1" x14ac:dyDescent="0.3">
      <c r="A96" s="487">
        <v>150000614</v>
      </c>
      <c r="B96" s="488" t="s">
        <v>1285</v>
      </c>
      <c r="C96" s="467" t="s">
        <v>162</v>
      </c>
      <c r="D96" s="489">
        <v>2</v>
      </c>
      <c r="E96" s="490">
        <v>5.8471042932241941</v>
      </c>
      <c r="F96" s="490">
        <v>5.8471042932241941</v>
      </c>
      <c r="G96" s="490">
        <v>5.1320407658629588</v>
      </c>
    </row>
    <row r="97" spans="1:7" ht="17.100000000000001" customHeight="1" x14ac:dyDescent="0.3">
      <c r="A97" s="487">
        <v>150000615</v>
      </c>
      <c r="B97" s="488" t="s">
        <v>1286</v>
      </c>
      <c r="C97" s="467" t="s">
        <v>256</v>
      </c>
      <c r="D97" s="489">
        <v>5</v>
      </c>
      <c r="E97" s="490">
        <v>6.184618749980368</v>
      </c>
      <c r="F97" s="490">
        <v>6.184618749980368</v>
      </c>
      <c r="G97" s="490">
        <v>5.6788324379905797</v>
      </c>
    </row>
    <row r="98" spans="1:7" ht="17.100000000000001" customHeight="1" x14ac:dyDescent="0.3">
      <c r="A98" s="487">
        <v>150000616</v>
      </c>
      <c r="B98" s="488" t="s">
        <v>1287</v>
      </c>
      <c r="C98" s="467" t="s">
        <v>257</v>
      </c>
      <c r="D98" s="489">
        <v>5</v>
      </c>
      <c r="E98" s="490">
        <v>4.9648754143195308</v>
      </c>
      <c r="F98" s="490">
        <v>4.9648754143195308</v>
      </c>
      <c r="G98" s="490">
        <v>4.5022507776612253</v>
      </c>
    </row>
    <row r="99" spans="1:7" ht="17.100000000000001" customHeight="1" x14ac:dyDescent="0.3">
      <c r="A99" s="487">
        <v>150000618</v>
      </c>
      <c r="B99" s="488" t="s">
        <v>1288</v>
      </c>
      <c r="C99" s="467" t="s">
        <v>416</v>
      </c>
      <c r="D99" s="489">
        <v>10</v>
      </c>
      <c r="E99" s="490">
        <v>5.7372100487444637</v>
      </c>
      <c r="F99" s="490">
        <v>6.6602222196741758</v>
      </c>
      <c r="G99" s="490">
        <v>4.6225127097030141</v>
      </c>
    </row>
    <row r="100" spans="1:7" ht="17.100000000000001" customHeight="1" x14ac:dyDescent="0.3">
      <c r="A100" s="487">
        <v>150000619</v>
      </c>
      <c r="B100" s="488" t="s">
        <v>1289</v>
      </c>
      <c r="C100" s="467" t="s">
        <v>359</v>
      </c>
      <c r="D100" s="489">
        <v>9</v>
      </c>
      <c r="E100" s="490">
        <v>5.7142649342403882</v>
      </c>
      <c r="F100" s="490">
        <v>6.8745531608894224</v>
      </c>
      <c r="G100" s="490">
        <v>4.8120846614703217</v>
      </c>
    </row>
    <row r="101" spans="1:7" ht="17.100000000000001" customHeight="1" x14ac:dyDescent="0.3">
      <c r="A101" s="487">
        <v>150000621</v>
      </c>
      <c r="B101" s="488" t="s">
        <v>1290</v>
      </c>
      <c r="C101" s="467" t="s">
        <v>80</v>
      </c>
      <c r="D101" s="489">
        <v>1</v>
      </c>
      <c r="E101" s="490">
        <v>1.7588275147206651</v>
      </c>
      <c r="F101" s="490"/>
      <c r="G101" s="490">
        <v>1.7588275147206651</v>
      </c>
    </row>
    <row r="102" spans="1:7" ht="17.100000000000001" customHeight="1" x14ac:dyDescent="0.3">
      <c r="A102" s="487">
        <v>150000622</v>
      </c>
      <c r="B102" s="488" t="s">
        <v>1291</v>
      </c>
      <c r="C102" s="467" t="s">
        <v>81</v>
      </c>
      <c r="D102" s="489">
        <v>1</v>
      </c>
      <c r="E102" s="490">
        <v>1.8142553542753523</v>
      </c>
      <c r="F102" s="490"/>
      <c r="G102" s="490">
        <v>1.8142553542753523</v>
      </c>
    </row>
    <row r="103" spans="1:7" ht="17.100000000000001" customHeight="1" x14ac:dyDescent="0.3">
      <c r="A103" s="487">
        <v>150000623</v>
      </c>
      <c r="B103" s="488" t="s">
        <v>1282</v>
      </c>
      <c r="C103" s="467" t="s">
        <v>209</v>
      </c>
      <c r="D103" s="489">
        <v>4</v>
      </c>
      <c r="E103" s="490">
        <v>5.7028305415081881</v>
      </c>
      <c r="F103" s="490">
        <v>5.7028305415081881</v>
      </c>
      <c r="G103" s="490">
        <v>5.0548843288208483</v>
      </c>
    </row>
    <row r="104" spans="1:7" ht="17.100000000000001" customHeight="1" x14ac:dyDescent="0.3">
      <c r="A104" s="487">
        <v>150000625</v>
      </c>
      <c r="B104" s="488" t="s">
        <v>1269</v>
      </c>
      <c r="C104" s="467" t="s">
        <v>415</v>
      </c>
      <c r="D104" s="489">
        <v>10</v>
      </c>
      <c r="E104" s="490">
        <v>6.0773222204467352</v>
      </c>
      <c r="F104" s="490">
        <v>7.3107802438272094</v>
      </c>
      <c r="G104" s="490">
        <v>5.1044215029353008</v>
      </c>
    </row>
    <row r="105" spans="1:7" ht="17.100000000000001" customHeight="1" x14ac:dyDescent="0.3">
      <c r="A105" s="487">
        <v>150000626</v>
      </c>
      <c r="B105" s="488" t="s">
        <v>1271</v>
      </c>
      <c r="C105" s="467" t="s">
        <v>358</v>
      </c>
      <c r="D105" s="489">
        <v>9</v>
      </c>
      <c r="E105" s="490">
        <v>5.9239491863961771</v>
      </c>
      <c r="F105" s="490">
        <v>7.1290165351185877</v>
      </c>
      <c r="G105" s="490">
        <v>4.9645502632445</v>
      </c>
    </row>
    <row r="106" spans="1:7" ht="17.100000000000001" customHeight="1" x14ac:dyDescent="0.3">
      <c r="A106" s="487">
        <v>150000627</v>
      </c>
      <c r="B106" s="488" t="s">
        <v>1267</v>
      </c>
      <c r="C106" s="467" t="s">
        <v>355</v>
      </c>
      <c r="D106" s="489">
        <v>9</v>
      </c>
      <c r="E106" s="490">
        <v>6.0277309476763064</v>
      </c>
      <c r="F106" s="490">
        <v>8.0145246455458583</v>
      </c>
      <c r="G106" s="490">
        <v>4.9030147260832395</v>
      </c>
    </row>
    <row r="107" spans="1:7" ht="17.100000000000001" customHeight="1" x14ac:dyDescent="0.3">
      <c r="A107" s="487">
        <v>150000628</v>
      </c>
      <c r="B107" s="488" t="s">
        <v>1268</v>
      </c>
      <c r="C107" s="467" t="s">
        <v>356</v>
      </c>
      <c r="D107" s="489">
        <v>9</v>
      </c>
      <c r="E107" s="490">
        <v>5.4027984175394712</v>
      </c>
      <c r="F107" s="490">
        <v>6.7452619071701587</v>
      </c>
      <c r="G107" s="490">
        <v>4.4755062204342035</v>
      </c>
    </row>
    <row r="108" spans="1:7" ht="17.100000000000001" customHeight="1" x14ac:dyDescent="0.3">
      <c r="A108" s="487">
        <v>150000629</v>
      </c>
      <c r="B108" s="488" t="s">
        <v>1270</v>
      </c>
      <c r="C108" s="467" t="s">
        <v>357</v>
      </c>
      <c r="D108" s="489">
        <v>9</v>
      </c>
      <c r="E108" s="490">
        <v>6.3798267896686252</v>
      </c>
      <c r="F108" s="490">
        <v>7.6950798582384534</v>
      </c>
      <c r="G108" s="490">
        <v>5.3385458810754143</v>
      </c>
    </row>
    <row r="109" spans="1:7" ht="17.100000000000001" customHeight="1" x14ac:dyDescent="0.3">
      <c r="A109" s="487">
        <v>150000634</v>
      </c>
      <c r="B109" s="488" t="s">
        <v>1297</v>
      </c>
      <c r="C109" s="467" t="s">
        <v>86</v>
      </c>
      <c r="D109" s="489">
        <v>1</v>
      </c>
      <c r="E109" s="490">
        <v>1.7682783738285588</v>
      </c>
      <c r="F109" s="490"/>
      <c r="G109" s="490">
        <v>1.7682783738285588</v>
      </c>
    </row>
    <row r="110" spans="1:7" ht="17.100000000000001" customHeight="1" x14ac:dyDescent="0.3">
      <c r="A110" s="487">
        <v>150000636</v>
      </c>
      <c r="B110" s="488" t="s">
        <v>1298</v>
      </c>
      <c r="C110" s="467" t="s">
        <v>258</v>
      </c>
      <c r="D110" s="489">
        <v>5</v>
      </c>
      <c r="E110" s="490">
        <v>5.3690295231826006</v>
      </c>
      <c r="F110" s="490">
        <v>5.3690295231826006</v>
      </c>
      <c r="G110" s="490">
        <v>4.7920728764902458</v>
      </c>
    </row>
    <row r="111" spans="1:7" ht="17.100000000000001" customHeight="1" x14ac:dyDescent="0.3">
      <c r="A111" s="487">
        <v>150000637</v>
      </c>
      <c r="B111" s="488" t="s">
        <v>1299</v>
      </c>
      <c r="C111" s="467" t="s">
        <v>87</v>
      </c>
      <c r="D111" s="489">
        <v>1</v>
      </c>
      <c r="E111" s="490">
        <v>1.7431164569797635</v>
      </c>
      <c r="F111" s="490"/>
      <c r="G111" s="490">
        <v>1.7431164569797635</v>
      </c>
    </row>
    <row r="112" spans="1:7" ht="17.100000000000001" customHeight="1" x14ac:dyDescent="0.3">
      <c r="A112" s="487">
        <v>150000638</v>
      </c>
      <c r="B112" s="488" t="s">
        <v>1511</v>
      </c>
      <c r="C112" s="467" t="s">
        <v>131</v>
      </c>
      <c r="D112" s="489">
        <v>1</v>
      </c>
      <c r="E112" s="490">
        <v>2.2118700155933562</v>
      </c>
      <c r="F112" s="490"/>
      <c r="G112" s="490">
        <v>2.2118700155933562</v>
      </c>
    </row>
    <row r="113" spans="1:7" ht="17.100000000000001" customHeight="1" x14ac:dyDescent="0.3">
      <c r="A113" s="487">
        <v>150000639</v>
      </c>
      <c r="B113" s="488" t="s">
        <v>1512</v>
      </c>
      <c r="C113" s="467" t="s">
        <v>132</v>
      </c>
      <c r="D113" s="489">
        <v>1</v>
      </c>
      <c r="E113" s="490">
        <v>1.6256358617467512</v>
      </c>
      <c r="F113" s="490"/>
      <c r="G113" s="490">
        <v>1.6256358617467512</v>
      </c>
    </row>
    <row r="114" spans="1:7" ht="17.100000000000001" customHeight="1" x14ac:dyDescent="0.3">
      <c r="A114" s="487">
        <v>150000643</v>
      </c>
      <c r="B114" s="488" t="s">
        <v>1245</v>
      </c>
      <c r="C114" s="467" t="s">
        <v>66</v>
      </c>
      <c r="D114" s="489">
        <v>1</v>
      </c>
      <c r="E114" s="490">
        <v>1.5806432733209343</v>
      </c>
      <c r="F114" s="490"/>
      <c r="G114" s="490">
        <v>1.5806432733209343</v>
      </c>
    </row>
    <row r="115" spans="1:7" ht="17.100000000000001" customHeight="1" x14ac:dyDescent="0.3">
      <c r="A115" s="487">
        <v>150000644</v>
      </c>
      <c r="B115" s="488" t="s">
        <v>1246</v>
      </c>
      <c r="C115" s="467" t="s">
        <v>67</v>
      </c>
      <c r="D115" s="489">
        <v>1</v>
      </c>
      <c r="E115" s="490">
        <v>1.7731766328010157</v>
      </c>
      <c r="F115" s="490"/>
      <c r="G115" s="490">
        <v>1.7731766328010157</v>
      </c>
    </row>
    <row r="116" spans="1:7" ht="17.100000000000001" customHeight="1" x14ac:dyDescent="0.3">
      <c r="A116" s="487">
        <v>150000645</v>
      </c>
      <c r="B116" s="488" t="s">
        <v>1244</v>
      </c>
      <c r="C116" s="467" t="s">
        <v>65</v>
      </c>
      <c r="D116" s="489">
        <v>1</v>
      </c>
      <c r="E116" s="490">
        <v>1.8265379679378997</v>
      </c>
      <c r="F116" s="490"/>
      <c r="G116" s="490">
        <v>1.8265379679378997</v>
      </c>
    </row>
    <row r="117" spans="1:7" ht="17.100000000000001" customHeight="1" x14ac:dyDescent="0.3">
      <c r="A117" s="487">
        <v>150000647</v>
      </c>
      <c r="B117" s="488" t="s">
        <v>1312</v>
      </c>
      <c r="C117" s="467" t="s">
        <v>96</v>
      </c>
      <c r="D117" s="489">
        <v>1</v>
      </c>
      <c r="E117" s="490">
        <v>1.5609098533985379</v>
      </c>
      <c r="F117" s="490"/>
      <c r="G117" s="490">
        <v>1.5609098533985379</v>
      </c>
    </row>
    <row r="118" spans="1:7" ht="17.100000000000001" customHeight="1" x14ac:dyDescent="0.3">
      <c r="A118" s="487">
        <v>150000648</v>
      </c>
      <c r="B118" s="488" t="s">
        <v>1311</v>
      </c>
      <c r="C118" s="467" t="s">
        <v>361</v>
      </c>
      <c r="D118" s="489">
        <v>9</v>
      </c>
      <c r="E118" s="490">
        <v>4.2390227110725087</v>
      </c>
      <c r="F118" s="490">
        <v>4.7721578758562746</v>
      </c>
      <c r="G118" s="490">
        <v>3.4077530996326342</v>
      </c>
    </row>
    <row r="119" spans="1:7" ht="17.100000000000001" customHeight="1" x14ac:dyDescent="0.3">
      <c r="A119" s="487">
        <v>150000658</v>
      </c>
      <c r="B119" s="488" t="s">
        <v>1256</v>
      </c>
      <c r="C119" s="467" t="s">
        <v>351</v>
      </c>
      <c r="D119" s="489">
        <v>9</v>
      </c>
      <c r="E119" s="490">
        <v>5.7342707965241306</v>
      </c>
      <c r="F119" s="490">
        <v>6.8233940530873998</v>
      </c>
      <c r="G119" s="490">
        <v>4.7961368545514738</v>
      </c>
    </row>
    <row r="120" spans="1:7" ht="17.100000000000001" customHeight="1" x14ac:dyDescent="0.3">
      <c r="A120" s="487">
        <v>150000659</v>
      </c>
      <c r="B120" s="488" t="s">
        <v>1257</v>
      </c>
      <c r="C120" s="467" t="s">
        <v>413</v>
      </c>
      <c r="D120" s="489">
        <v>10</v>
      </c>
      <c r="E120" s="490">
        <v>4.9300761577349173</v>
      </c>
      <c r="F120" s="490">
        <v>6.0963945000550783</v>
      </c>
      <c r="G120" s="490">
        <v>4.1099550521118413</v>
      </c>
    </row>
    <row r="121" spans="1:7" ht="17.100000000000001" customHeight="1" x14ac:dyDescent="0.3">
      <c r="A121" s="487">
        <v>150000660</v>
      </c>
      <c r="B121" s="488" t="s">
        <v>1258</v>
      </c>
      <c r="C121" s="467" t="s">
        <v>414</v>
      </c>
      <c r="D121" s="489">
        <v>10</v>
      </c>
      <c r="E121" s="490">
        <v>5.3167171664701067</v>
      </c>
      <c r="F121" s="490">
        <v>6.3418827730202789</v>
      </c>
      <c r="G121" s="490">
        <v>4.3583262556390219</v>
      </c>
    </row>
    <row r="122" spans="1:7" ht="17.100000000000001" customHeight="1" x14ac:dyDescent="0.3">
      <c r="A122" s="487">
        <v>150000670</v>
      </c>
      <c r="B122" s="488" t="s">
        <v>1480</v>
      </c>
      <c r="C122" s="467" t="s">
        <v>126</v>
      </c>
      <c r="D122" s="489">
        <v>1</v>
      </c>
      <c r="E122" s="490">
        <v>1.7872299068067135</v>
      </c>
      <c r="F122" s="490"/>
      <c r="G122" s="490">
        <v>1.7872299068067135</v>
      </c>
    </row>
    <row r="123" spans="1:7" ht="17.100000000000001" customHeight="1" x14ac:dyDescent="0.3">
      <c r="A123" s="487">
        <v>150000671</v>
      </c>
      <c r="B123" s="488" t="s">
        <v>1482</v>
      </c>
      <c r="C123" s="467" t="s">
        <v>127</v>
      </c>
      <c r="D123" s="489">
        <v>1</v>
      </c>
      <c r="E123" s="490">
        <v>1.9352210423766256</v>
      </c>
      <c r="F123" s="490"/>
      <c r="G123" s="490">
        <v>1.9352210423766256</v>
      </c>
    </row>
    <row r="124" spans="1:7" ht="17.100000000000001" customHeight="1" x14ac:dyDescent="0.3">
      <c r="A124" s="487">
        <v>150000672</v>
      </c>
      <c r="B124" s="488" t="s">
        <v>1478</v>
      </c>
      <c r="C124" s="467" t="s">
        <v>428</v>
      </c>
      <c r="D124" s="489"/>
      <c r="E124" s="490"/>
      <c r="F124" s="490"/>
      <c r="G124" s="490"/>
    </row>
    <row r="125" spans="1:7" ht="17.100000000000001" customHeight="1" x14ac:dyDescent="0.3">
      <c r="A125" s="487">
        <v>150000673</v>
      </c>
      <c r="B125" s="488" t="s">
        <v>1479</v>
      </c>
      <c r="C125" s="467" t="s">
        <v>182</v>
      </c>
      <c r="D125" s="489">
        <v>2</v>
      </c>
      <c r="E125" s="490">
        <v>6.4217042466165477</v>
      </c>
      <c r="F125" s="490">
        <v>6.4217042466165477</v>
      </c>
      <c r="G125" s="490">
        <v>5.5984128955008901</v>
      </c>
    </row>
    <row r="126" spans="1:7" ht="17.100000000000001" customHeight="1" x14ac:dyDescent="0.3">
      <c r="A126" s="487">
        <v>150000676</v>
      </c>
      <c r="B126" s="488" t="s">
        <v>1481</v>
      </c>
      <c r="C126" s="467" t="s">
        <v>385</v>
      </c>
      <c r="D126" s="489">
        <v>9</v>
      </c>
      <c r="E126" s="490">
        <v>5.8748293012241479</v>
      </c>
      <c r="F126" s="490">
        <v>7.2237288269659246</v>
      </c>
      <c r="G126" s="490">
        <v>5.0025819474508628</v>
      </c>
    </row>
    <row r="127" spans="1:7" ht="17.100000000000001" customHeight="1" x14ac:dyDescent="0.3">
      <c r="A127" s="487">
        <v>150000683</v>
      </c>
      <c r="B127" s="488" t="s">
        <v>1362</v>
      </c>
      <c r="C127" s="467" t="s">
        <v>115</v>
      </c>
      <c r="D127" s="489">
        <v>1</v>
      </c>
      <c r="E127" s="490">
        <v>1.8071956697600151</v>
      </c>
      <c r="F127" s="490"/>
      <c r="G127" s="490">
        <v>1.8071956697600151</v>
      </c>
    </row>
    <row r="128" spans="1:7" ht="17.100000000000001" customHeight="1" x14ac:dyDescent="0.3">
      <c r="A128" s="487">
        <v>150000686</v>
      </c>
      <c r="B128" s="488" t="s">
        <v>1313</v>
      </c>
      <c r="C128" s="467" t="s">
        <v>97</v>
      </c>
      <c r="D128" s="489">
        <v>1</v>
      </c>
      <c r="E128" s="490">
        <v>1.1691321519002329</v>
      </c>
      <c r="F128" s="490"/>
      <c r="G128" s="490">
        <v>1.1691321519002329</v>
      </c>
    </row>
    <row r="129" spans="1:7" ht="17.100000000000001" customHeight="1" x14ac:dyDescent="0.3">
      <c r="A129" s="487">
        <v>150000688</v>
      </c>
      <c r="B129" s="488" t="s">
        <v>1307</v>
      </c>
      <c r="C129" s="467" t="s">
        <v>92</v>
      </c>
      <c r="D129" s="489">
        <v>1</v>
      </c>
      <c r="E129" s="490">
        <v>1.6779577522296552</v>
      </c>
      <c r="F129" s="490"/>
      <c r="G129" s="490">
        <v>1.6779577522296552</v>
      </c>
    </row>
    <row r="130" spans="1:7" ht="17.100000000000001" customHeight="1" x14ac:dyDescent="0.3">
      <c r="A130" s="487">
        <v>150000689</v>
      </c>
      <c r="B130" s="488" t="s">
        <v>1308</v>
      </c>
      <c r="C130" s="467" t="s">
        <v>93</v>
      </c>
      <c r="D130" s="489">
        <v>1</v>
      </c>
      <c r="E130" s="490">
        <v>1.5000996711992209</v>
      </c>
      <c r="F130" s="490"/>
      <c r="G130" s="490">
        <v>1.5000996711992209</v>
      </c>
    </row>
    <row r="131" spans="1:7" ht="17.100000000000001" customHeight="1" x14ac:dyDescent="0.3">
      <c r="A131" s="487">
        <v>150000690</v>
      </c>
      <c r="B131" s="488" t="s">
        <v>1310</v>
      </c>
      <c r="C131" s="467" t="s">
        <v>95</v>
      </c>
      <c r="D131" s="489">
        <v>1</v>
      </c>
      <c r="E131" s="490">
        <v>1.5715703739586471</v>
      </c>
      <c r="F131" s="490"/>
      <c r="G131" s="490">
        <v>1.5715703739586471</v>
      </c>
    </row>
    <row r="132" spans="1:7" ht="17.100000000000001" customHeight="1" x14ac:dyDescent="0.3">
      <c r="A132" s="487">
        <v>150000693</v>
      </c>
      <c r="B132" s="488" t="s">
        <v>1309</v>
      </c>
      <c r="C132" s="467" t="s">
        <v>94</v>
      </c>
      <c r="D132" s="489">
        <v>1</v>
      </c>
      <c r="E132" s="490">
        <v>1.4584268088800576</v>
      </c>
      <c r="F132" s="490"/>
      <c r="G132" s="490">
        <v>1.4584268088800576</v>
      </c>
    </row>
    <row r="133" spans="1:7" ht="17.100000000000001" customHeight="1" x14ac:dyDescent="0.3">
      <c r="A133" s="487">
        <v>150000694</v>
      </c>
      <c r="B133" s="488" t="s">
        <v>1365</v>
      </c>
      <c r="C133" s="467" t="s">
        <v>371</v>
      </c>
      <c r="D133" s="489">
        <v>9</v>
      </c>
      <c r="E133" s="490">
        <v>5.7650516342765643</v>
      </c>
      <c r="F133" s="490">
        <v>7.5958284493054347</v>
      </c>
      <c r="G133" s="490">
        <v>4.8092176637448931</v>
      </c>
    </row>
    <row r="134" spans="1:7" ht="17.100000000000001" customHeight="1" x14ac:dyDescent="0.3">
      <c r="A134" s="487">
        <v>150000695</v>
      </c>
      <c r="B134" s="488" t="s">
        <v>1366</v>
      </c>
      <c r="C134" s="467" t="s">
        <v>372</v>
      </c>
      <c r="D134" s="489">
        <v>9</v>
      </c>
      <c r="E134" s="490">
        <v>6.0501823572175848</v>
      </c>
      <c r="F134" s="490">
        <v>7.9414138237659628</v>
      </c>
      <c r="G134" s="490">
        <v>5.0750474729442931</v>
      </c>
    </row>
    <row r="135" spans="1:7" ht="17.100000000000001" customHeight="1" x14ac:dyDescent="0.3">
      <c r="A135" s="487">
        <v>150000696</v>
      </c>
      <c r="B135" s="488" t="s">
        <v>1363</v>
      </c>
      <c r="C135" s="467" t="s">
        <v>370</v>
      </c>
      <c r="D135" s="489">
        <v>9</v>
      </c>
      <c r="E135" s="490">
        <v>6.3038884358153524</v>
      </c>
      <c r="F135" s="490">
        <v>7.9973209930616314</v>
      </c>
      <c r="G135" s="490">
        <v>5.3673448094976353</v>
      </c>
    </row>
    <row r="136" spans="1:7" ht="17.100000000000001" customHeight="1" x14ac:dyDescent="0.3">
      <c r="A136" s="487">
        <v>150000697</v>
      </c>
      <c r="B136" s="488" t="s">
        <v>1364</v>
      </c>
      <c r="C136" s="467" t="s">
        <v>265</v>
      </c>
      <c r="D136" s="489">
        <v>5</v>
      </c>
      <c r="E136" s="490">
        <v>6.1431822225819293</v>
      </c>
      <c r="F136" s="490">
        <v>6.1431822225819293</v>
      </c>
      <c r="G136" s="490">
        <v>5.4474483437758305</v>
      </c>
    </row>
    <row r="137" spans="1:7" ht="17.100000000000001" customHeight="1" x14ac:dyDescent="0.3">
      <c r="A137" s="487">
        <v>150000698</v>
      </c>
      <c r="B137" s="488" t="s">
        <v>1367</v>
      </c>
      <c r="C137" s="467" t="s">
        <v>120</v>
      </c>
      <c r="D137" s="489">
        <v>1</v>
      </c>
      <c r="E137" s="490">
        <v>1.6540824985067126</v>
      </c>
      <c r="F137" s="490"/>
      <c r="G137" s="490">
        <v>1.6540824985067126</v>
      </c>
    </row>
    <row r="138" spans="1:7" ht="17.100000000000001" customHeight="1" x14ac:dyDescent="0.3">
      <c r="A138" s="487">
        <v>150000699</v>
      </c>
      <c r="B138" s="488" t="s">
        <v>1368</v>
      </c>
      <c r="C138" s="467" t="s">
        <v>373</v>
      </c>
      <c r="D138" s="489">
        <v>9</v>
      </c>
      <c r="E138" s="490">
        <v>6.0879806508452941</v>
      </c>
      <c r="F138" s="490">
        <v>6.6600676014318809</v>
      </c>
      <c r="G138" s="490">
        <v>4.7380400447763327</v>
      </c>
    </row>
    <row r="139" spans="1:7" ht="17.100000000000001" customHeight="1" x14ac:dyDescent="0.3">
      <c r="A139" s="487">
        <v>150000702</v>
      </c>
      <c r="B139" s="488" t="s">
        <v>1169</v>
      </c>
      <c r="C139" s="467" t="s">
        <v>338</v>
      </c>
      <c r="D139" s="489">
        <v>9</v>
      </c>
      <c r="E139" s="490">
        <v>5.9482476944041096</v>
      </c>
      <c r="F139" s="490">
        <v>7.4855383352065115</v>
      </c>
      <c r="G139" s="490">
        <v>4.9623037621392525</v>
      </c>
    </row>
    <row r="140" spans="1:7" ht="17.100000000000001" customHeight="1" x14ac:dyDescent="0.3">
      <c r="A140" s="487">
        <v>150000703</v>
      </c>
      <c r="B140" s="488" t="s">
        <v>1170</v>
      </c>
      <c r="C140" s="467" t="s">
        <v>339</v>
      </c>
      <c r="D140" s="489">
        <v>9</v>
      </c>
      <c r="E140" s="490">
        <v>5.8452632836205494</v>
      </c>
      <c r="F140" s="490">
        <v>7.2555558792146861</v>
      </c>
      <c r="G140" s="490">
        <v>4.8749049911248123</v>
      </c>
    </row>
    <row r="141" spans="1:7" ht="17.100000000000001" customHeight="1" x14ac:dyDescent="0.3">
      <c r="A141" s="487">
        <v>150000705</v>
      </c>
      <c r="B141" s="488" t="s">
        <v>1413</v>
      </c>
      <c r="C141" s="467" t="s">
        <v>141</v>
      </c>
      <c r="D141" s="489">
        <v>1</v>
      </c>
      <c r="E141" s="490">
        <v>1.5179210977088418</v>
      </c>
      <c r="F141" s="490"/>
      <c r="G141" s="490">
        <v>1.5179210977088418</v>
      </c>
    </row>
    <row r="142" spans="1:7" ht="17.100000000000001" customHeight="1" x14ac:dyDescent="0.3">
      <c r="A142" s="487">
        <v>150000706</v>
      </c>
      <c r="B142" s="488" t="s">
        <v>1415</v>
      </c>
      <c r="C142" s="467" t="s">
        <v>143</v>
      </c>
      <c r="D142" s="489">
        <v>1</v>
      </c>
      <c r="E142" s="490">
        <v>1.5354979944367424</v>
      </c>
      <c r="F142" s="490"/>
      <c r="G142" s="490">
        <v>1.5354979944367424</v>
      </c>
    </row>
    <row r="143" spans="1:7" ht="17.100000000000001" customHeight="1" x14ac:dyDescent="0.3">
      <c r="A143" s="487">
        <v>150000707</v>
      </c>
      <c r="B143" s="488" t="s">
        <v>1416</v>
      </c>
      <c r="C143" s="467" t="s">
        <v>144</v>
      </c>
      <c r="D143" s="489">
        <v>1</v>
      </c>
      <c r="E143" s="490">
        <v>1.5240404811933463</v>
      </c>
      <c r="F143" s="490"/>
      <c r="G143" s="490">
        <v>1.5240404811933463</v>
      </c>
    </row>
    <row r="144" spans="1:7" ht="17.100000000000001" customHeight="1" x14ac:dyDescent="0.3">
      <c r="A144" s="487">
        <v>150000708</v>
      </c>
      <c r="B144" s="488" t="s">
        <v>1417</v>
      </c>
      <c r="C144" s="467" t="s">
        <v>145</v>
      </c>
      <c r="D144" s="489">
        <v>1</v>
      </c>
      <c r="E144" s="490">
        <v>1.5170005432818441</v>
      </c>
      <c r="F144" s="490"/>
      <c r="G144" s="490">
        <v>1.5170005432818441</v>
      </c>
    </row>
    <row r="145" spans="1:7" ht="17.100000000000001" customHeight="1" x14ac:dyDescent="0.3">
      <c r="A145" s="487">
        <v>150000709</v>
      </c>
      <c r="B145" s="488" t="s">
        <v>1414</v>
      </c>
      <c r="C145" s="467" t="s">
        <v>142</v>
      </c>
      <c r="D145" s="489">
        <v>1</v>
      </c>
      <c r="E145" s="490">
        <v>1.5293545563330364</v>
      </c>
      <c r="F145" s="490"/>
      <c r="G145" s="490">
        <v>1.5293545563330364</v>
      </c>
    </row>
    <row r="146" spans="1:7" ht="17.100000000000001" customHeight="1" x14ac:dyDescent="0.3">
      <c r="A146" s="487">
        <v>150000710</v>
      </c>
      <c r="B146" s="488" t="s">
        <v>1492</v>
      </c>
      <c r="C146" s="467" t="s">
        <v>278</v>
      </c>
      <c r="D146" s="489">
        <v>5</v>
      </c>
      <c r="E146" s="490">
        <v>5.2439480293555603</v>
      </c>
      <c r="F146" s="490">
        <v>5.2439480293555603</v>
      </c>
      <c r="G146" s="490">
        <v>4.6564001441959633</v>
      </c>
    </row>
    <row r="147" spans="1:7" ht="17.100000000000001" customHeight="1" x14ac:dyDescent="0.3">
      <c r="A147" s="487">
        <v>150000711</v>
      </c>
      <c r="B147" s="488" t="s">
        <v>1493</v>
      </c>
      <c r="C147" s="467" t="s">
        <v>279</v>
      </c>
      <c r="D147" s="489">
        <v>5</v>
      </c>
      <c r="E147" s="490">
        <v>5.5186451981587474</v>
      </c>
      <c r="F147" s="490">
        <v>5.5186451981587474</v>
      </c>
      <c r="G147" s="490">
        <v>4.9392914458008939</v>
      </c>
    </row>
    <row r="148" spans="1:7" ht="17.100000000000001" customHeight="1" x14ac:dyDescent="0.3">
      <c r="A148" s="487">
        <v>150000712</v>
      </c>
      <c r="B148" s="488" t="s">
        <v>1494</v>
      </c>
      <c r="C148" s="467" t="s">
        <v>280</v>
      </c>
      <c r="D148" s="489">
        <v>5</v>
      </c>
      <c r="E148" s="490">
        <v>5.6579725678770103</v>
      </c>
      <c r="F148" s="490">
        <v>5.6579725678770103</v>
      </c>
      <c r="G148" s="490">
        <v>5.0529896741435163</v>
      </c>
    </row>
    <row r="149" spans="1:7" ht="17.100000000000001" customHeight="1" x14ac:dyDescent="0.3">
      <c r="A149" s="487">
        <v>150000713</v>
      </c>
      <c r="B149" s="488" t="s">
        <v>1495</v>
      </c>
      <c r="C149" s="467" t="s">
        <v>281</v>
      </c>
      <c r="D149" s="489">
        <v>5</v>
      </c>
      <c r="E149" s="490">
        <v>5.3818515896628938</v>
      </c>
      <c r="F149" s="490">
        <v>5.3818515896628938</v>
      </c>
      <c r="G149" s="490">
        <v>4.7244378147372768</v>
      </c>
    </row>
    <row r="150" spans="1:7" ht="17.100000000000001" customHeight="1" x14ac:dyDescent="0.3">
      <c r="A150" s="487">
        <v>150000714</v>
      </c>
      <c r="B150" s="488" t="s">
        <v>1496</v>
      </c>
      <c r="C150" s="467" t="s">
        <v>282</v>
      </c>
      <c r="D150" s="489">
        <v>5</v>
      </c>
      <c r="E150" s="490">
        <v>6.0418213251025001</v>
      </c>
      <c r="F150" s="490">
        <v>6.0418213251025001</v>
      </c>
      <c r="G150" s="490">
        <v>5.360875588508736</v>
      </c>
    </row>
    <row r="151" spans="1:7" ht="17.100000000000001" customHeight="1" x14ac:dyDescent="0.3">
      <c r="A151" s="487">
        <v>150000715</v>
      </c>
      <c r="B151" s="488" t="s">
        <v>1497</v>
      </c>
      <c r="C151" s="467" t="s">
        <v>283</v>
      </c>
      <c r="D151" s="489">
        <v>5</v>
      </c>
      <c r="E151" s="490">
        <v>5.438579381905285</v>
      </c>
      <c r="F151" s="490">
        <v>5.438579381905285</v>
      </c>
      <c r="G151" s="490">
        <v>4.9063521981529528</v>
      </c>
    </row>
    <row r="152" spans="1:7" ht="17.100000000000001" customHeight="1" x14ac:dyDescent="0.3">
      <c r="A152" s="487">
        <v>150000716</v>
      </c>
      <c r="B152" s="488" t="s">
        <v>1499</v>
      </c>
      <c r="C152" s="467" t="s">
        <v>285</v>
      </c>
      <c r="D152" s="489">
        <v>5</v>
      </c>
      <c r="E152" s="490">
        <v>5.271166016720386</v>
      </c>
      <c r="F152" s="490">
        <v>5.271166016720386</v>
      </c>
      <c r="G152" s="490">
        <v>4.4423680694273306</v>
      </c>
    </row>
    <row r="153" spans="1:7" ht="17.100000000000001" customHeight="1" x14ac:dyDescent="0.3">
      <c r="A153" s="487">
        <v>150000717</v>
      </c>
      <c r="B153" s="488" t="s">
        <v>1500</v>
      </c>
      <c r="C153" s="467" t="s">
        <v>286</v>
      </c>
      <c r="D153" s="489">
        <v>5</v>
      </c>
      <c r="E153" s="490">
        <v>5.6199840461890558</v>
      </c>
      <c r="F153" s="490">
        <v>5.6199840461890558</v>
      </c>
      <c r="G153" s="490">
        <v>4.7731792545017298</v>
      </c>
    </row>
    <row r="154" spans="1:7" ht="17.100000000000001" customHeight="1" x14ac:dyDescent="0.3">
      <c r="A154" s="487">
        <v>150000718</v>
      </c>
      <c r="B154" s="488" t="s">
        <v>1501</v>
      </c>
      <c r="C154" s="467" t="s">
        <v>287</v>
      </c>
      <c r="D154" s="489">
        <v>5</v>
      </c>
      <c r="E154" s="490">
        <v>5.5671771059392858</v>
      </c>
      <c r="F154" s="490">
        <v>5.5671771059392858</v>
      </c>
      <c r="G154" s="490">
        <v>4.9547402969218979</v>
      </c>
    </row>
    <row r="155" spans="1:7" ht="17.100000000000001" customHeight="1" x14ac:dyDescent="0.3">
      <c r="A155" s="487">
        <v>150000719</v>
      </c>
      <c r="B155" s="488" t="s">
        <v>1498</v>
      </c>
      <c r="C155" s="467" t="s">
        <v>284</v>
      </c>
      <c r="D155" s="489">
        <v>5</v>
      </c>
      <c r="E155" s="490">
        <v>5.7645850492323483</v>
      </c>
      <c r="F155" s="490">
        <v>5.7645850492323483</v>
      </c>
      <c r="G155" s="490">
        <v>5.1547427731802626</v>
      </c>
    </row>
    <row r="156" spans="1:7" ht="17.100000000000001" customHeight="1" x14ac:dyDescent="0.3">
      <c r="A156" s="487">
        <v>150000720</v>
      </c>
      <c r="B156" s="488" t="s">
        <v>1502</v>
      </c>
      <c r="C156" s="467" t="s">
        <v>288</v>
      </c>
      <c r="D156" s="489">
        <v>5</v>
      </c>
      <c r="E156" s="490">
        <v>4.7885260108503545</v>
      </c>
      <c r="F156" s="490">
        <v>4.7885260108503545</v>
      </c>
      <c r="G156" s="490">
        <v>4.1946327537629511</v>
      </c>
    </row>
    <row r="157" spans="1:7" ht="17.100000000000001" customHeight="1" x14ac:dyDescent="0.3">
      <c r="A157" s="487">
        <v>150000721</v>
      </c>
      <c r="B157" s="488" t="s">
        <v>1487</v>
      </c>
      <c r="C157" s="467" t="s">
        <v>218</v>
      </c>
      <c r="D157" s="489">
        <v>4</v>
      </c>
      <c r="E157" s="490">
        <v>5.412183677476607</v>
      </c>
      <c r="F157" s="490">
        <v>5.412183677476607</v>
      </c>
      <c r="G157" s="490">
        <v>4.7493381917185538</v>
      </c>
    </row>
    <row r="158" spans="1:7" ht="17.100000000000001" customHeight="1" x14ac:dyDescent="0.3">
      <c r="A158" s="487">
        <v>150000722</v>
      </c>
      <c r="B158" s="488" t="s">
        <v>1488</v>
      </c>
      <c r="C158" s="467" t="s">
        <v>274</v>
      </c>
      <c r="D158" s="489">
        <v>5</v>
      </c>
      <c r="E158" s="490">
        <v>5.1633683075088053</v>
      </c>
      <c r="F158" s="490">
        <v>5.1633683075088053</v>
      </c>
      <c r="G158" s="490">
        <v>4.6558978922695511</v>
      </c>
    </row>
    <row r="159" spans="1:7" ht="17.100000000000001" customHeight="1" x14ac:dyDescent="0.3">
      <c r="A159" s="487">
        <v>150000723</v>
      </c>
      <c r="B159" s="488" t="s">
        <v>1489</v>
      </c>
      <c r="C159" s="467" t="s">
        <v>275</v>
      </c>
      <c r="D159" s="489">
        <v>5</v>
      </c>
      <c r="E159" s="490">
        <v>5.4232935634209927</v>
      </c>
      <c r="F159" s="490">
        <v>5.4232935634209927</v>
      </c>
      <c r="G159" s="490">
        <v>4.8748839818913812</v>
      </c>
    </row>
    <row r="160" spans="1:7" ht="17.100000000000001" customHeight="1" x14ac:dyDescent="0.3">
      <c r="A160" s="487">
        <v>150000724</v>
      </c>
      <c r="B160" s="488" t="s">
        <v>1490</v>
      </c>
      <c r="C160" s="467" t="s">
        <v>276</v>
      </c>
      <c r="D160" s="489">
        <v>5</v>
      </c>
      <c r="E160" s="490">
        <v>5.3773670925745289</v>
      </c>
      <c r="F160" s="490">
        <v>5.3773670925745289</v>
      </c>
      <c r="G160" s="490">
        <v>4.8367878208860198</v>
      </c>
    </row>
    <row r="161" spans="1:7" ht="17.100000000000001" customHeight="1" x14ac:dyDescent="0.3">
      <c r="A161" s="487">
        <v>150000725</v>
      </c>
      <c r="B161" s="488" t="s">
        <v>1491</v>
      </c>
      <c r="C161" s="467" t="s">
        <v>277</v>
      </c>
      <c r="D161" s="489">
        <v>5</v>
      </c>
      <c r="E161" s="490">
        <v>5.6579919666857323</v>
      </c>
      <c r="F161" s="490">
        <v>5.6579919666857323</v>
      </c>
      <c r="G161" s="490">
        <v>5.1170141560784481</v>
      </c>
    </row>
    <row r="162" spans="1:7" ht="17.100000000000001" customHeight="1" x14ac:dyDescent="0.3">
      <c r="A162" s="487">
        <v>150000726</v>
      </c>
      <c r="B162" s="488" t="s">
        <v>1483</v>
      </c>
      <c r="C162" s="467" t="s">
        <v>183</v>
      </c>
      <c r="D162" s="489">
        <v>2</v>
      </c>
      <c r="E162" s="490">
        <v>5.9990956689241246</v>
      </c>
      <c r="F162" s="490">
        <v>5.9990956689241246</v>
      </c>
      <c r="G162" s="490">
        <v>5.1469121147530057</v>
      </c>
    </row>
    <row r="163" spans="1:7" ht="17.100000000000001" customHeight="1" x14ac:dyDescent="0.3">
      <c r="A163" s="487">
        <v>150000727</v>
      </c>
      <c r="B163" s="488" t="s">
        <v>1484</v>
      </c>
      <c r="C163" s="467" t="s">
        <v>128</v>
      </c>
      <c r="D163" s="489">
        <v>1</v>
      </c>
      <c r="E163" s="490">
        <v>1.924900241016922</v>
      </c>
      <c r="F163" s="490"/>
      <c r="G163" s="490">
        <v>1.924900241016922</v>
      </c>
    </row>
    <row r="164" spans="1:7" ht="17.100000000000001" customHeight="1" x14ac:dyDescent="0.3">
      <c r="A164" s="487">
        <v>150000728</v>
      </c>
      <c r="B164" s="488" t="s">
        <v>1485</v>
      </c>
      <c r="C164" s="467" t="s">
        <v>184</v>
      </c>
      <c r="D164" s="489">
        <v>2</v>
      </c>
      <c r="E164" s="490">
        <v>5.8458989361671208</v>
      </c>
      <c r="F164" s="490">
        <v>5.8458989361671208</v>
      </c>
      <c r="G164" s="490">
        <v>4.5682773891497535</v>
      </c>
    </row>
    <row r="165" spans="1:7" ht="17.100000000000001" customHeight="1" x14ac:dyDescent="0.3">
      <c r="A165" s="487">
        <v>150000729</v>
      </c>
      <c r="B165" s="488" t="s">
        <v>1486</v>
      </c>
      <c r="C165" s="467" t="s">
        <v>273</v>
      </c>
      <c r="D165" s="489">
        <v>5</v>
      </c>
      <c r="E165" s="490">
        <v>5.0768975040353022</v>
      </c>
      <c r="F165" s="490">
        <v>5.0768975040353022</v>
      </c>
      <c r="G165" s="490">
        <v>4.4996697982394105</v>
      </c>
    </row>
    <row r="166" spans="1:7" ht="17.100000000000001" customHeight="1" x14ac:dyDescent="0.3">
      <c r="A166" s="491">
        <v>150000736</v>
      </c>
      <c r="B166" s="488" t="s">
        <v>1513</v>
      </c>
      <c r="C166" s="467" t="s">
        <v>219</v>
      </c>
      <c r="D166" s="489">
        <v>4</v>
      </c>
      <c r="E166" s="490">
        <v>4.804489651453598</v>
      </c>
      <c r="F166" s="490">
        <v>4.804489651453598</v>
      </c>
      <c r="G166" s="490">
        <v>4.0643608440068304</v>
      </c>
    </row>
    <row r="167" spans="1:7" ht="17.100000000000001" customHeight="1" x14ac:dyDescent="0.3">
      <c r="A167" s="487">
        <v>150000737</v>
      </c>
      <c r="B167" s="488" t="s">
        <v>1515</v>
      </c>
      <c r="C167" s="467" t="s">
        <v>221</v>
      </c>
      <c r="D167" s="489">
        <v>4</v>
      </c>
      <c r="E167" s="490">
        <v>5.1095284410893109</v>
      </c>
      <c r="F167" s="490">
        <v>5.1095284410893109</v>
      </c>
      <c r="G167" s="490">
        <v>4.4654726586412927</v>
      </c>
    </row>
    <row r="168" spans="1:7" ht="17.100000000000001" customHeight="1" x14ac:dyDescent="0.3">
      <c r="A168" s="487">
        <v>150000738</v>
      </c>
      <c r="B168" s="488" t="s">
        <v>1516</v>
      </c>
      <c r="C168" s="467" t="s">
        <v>289</v>
      </c>
      <c r="D168" s="489">
        <v>5</v>
      </c>
      <c r="E168" s="490">
        <v>5.2939561703431135</v>
      </c>
      <c r="F168" s="490">
        <v>5.2939561703431135</v>
      </c>
      <c r="G168" s="490">
        <v>4.7751456948794209</v>
      </c>
    </row>
    <row r="169" spans="1:7" ht="17.100000000000001" customHeight="1" x14ac:dyDescent="0.3">
      <c r="A169" s="487">
        <v>150000739</v>
      </c>
      <c r="B169" s="488" t="s">
        <v>1517</v>
      </c>
      <c r="C169" s="467" t="s">
        <v>222</v>
      </c>
      <c r="D169" s="489">
        <v>4</v>
      </c>
      <c r="E169" s="490">
        <v>5.0013359736375955</v>
      </c>
      <c r="F169" s="490">
        <v>5.0013359736375955</v>
      </c>
      <c r="G169" s="490">
        <v>4.3509291581916338</v>
      </c>
    </row>
    <row r="170" spans="1:7" ht="17.100000000000001" customHeight="1" x14ac:dyDescent="0.3">
      <c r="A170" s="487">
        <v>150000740</v>
      </c>
      <c r="B170" s="488" t="s">
        <v>1518</v>
      </c>
      <c r="C170" s="467" t="s">
        <v>197</v>
      </c>
      <c r="D170" s="489">
        <v>3</v>
      </c>
      <c r="E170" s="490">
        <v>5.8327960145512847</v>
      </c>
      <c r="F170" s="490">
        <v>5.8327960145512847</v>
      </c>
      <c r="G170" s="490">
        <v>4.8098673269430785</v>
      </c>
    </row>
    <row r="171" spans="1:7" ht="17.100000000000001" customHeight="1" x14ac:dyDescent="0.3">
      <c r="A171" s="487">
        <v>150000741</v>
      </c>
      <c r="B171" s="488" t="s">
        <v>1520</v>
      </c>
      <c r="C171" s="467" t="s">
        <v>224</v>
      </c>
      <c r="D171" s="489">
        <v>4</v>
      </c>
      <c r="E171" s="490">
        <v>5.4404260807513758</v>
      </c>
      <c r="F171" s="490">
        <v>5.4404260807513758</v>
      </c>
      <c r="G171" s="490">
        <v>4.6456589083713071</v>
      </c>
    </row>
    <row r="172" spans="1:7" ht="17.100000000000001" customHeight="1" x14ac:dyDescent="0.3">
      <c r="A172" s="487">
        <v>150000742</v>
      </c>
      <c r="B172" s="488" t="s">
        <v>1521</v>
      </c>
      <c r="C172" s="467" t="s">
        <v>290</v>
      </c>
      <c r="D172" s="489">
        <v>5</v>
      </c>
      <c r="E172" s="490">
        <v>5.0443858289526151</v>
      </c>
      <c r="F172" s="490">
        <v>5.0443858289526151</v>
      </c>
      <c r="G172" s="490">
        <v>4.502480217145993</v>
      </c>
    </row>
    <row r="173" spans="1:7" ht="17.100000000000001" customHeight="1" x14ac:dyDescent="0.3">
      <c r="A173" s="487">
        <v>150000743</v>
      </c>
      <c r="B173" s="488" t="s">
        <v>1514</v>
      </c>
      <c r="C173" s="467" t="s">
        <v>220</v>
      </c>
      <c r="D173" s="489">
        <v>4</v>
      </c>
      <c r="E173" s="490">
        <v>4.4179691940324739</v>
      </c>
      <c r="F173" s="490">
        <v>4.4179691940324739</v>
      </c>
      <c r="G173" s="490">
        <v>3.7450587753252771</v>
      </c>
    </row>
    <row r="174" spans="1:7" ht="17.100000000000001" customHeight="1" x14ac:dyDescent="0.3">
      <c r="A174" s="487">
        <v>150000744</v>
      </c>
      <c r="B174" s="488" t="s">
        <v>1519</v>
      </c>
      <c r="C174" s="467" t="s">
        <v>223</v>
      </c>
      <c r="D174" s="489">
        <v>4</v>
      </c>
      <c r="E174" s="490">
        <v>5.5829425561848733</v>
      </c>
      <c r="F174" s="490">
        <v>5.5829425561848733</v>
      </c>
      <c r="G174" s="490">
        <v>5.0687000046261232</v>
      </c>
    </row>
    <row r="175" spans="1:7" ht="17.100000000000001" customHeight="1" x14ac:dyDescent="0.3">
      <c r="A175" s="487">
        <v>150000745</v>
      </c>
      <c r="B175" s="488" t="s">
        <v>1522</v>
      </c>
      <c r="C175" s="467" t="s">
        <v>133</v>
      </c>
      <c r="D175" s="489">
        <v>1</v>
      </c>
      <c r="E175" s="490">
        <v>1.5500580569100968</v>
      </c>
      <c r="F175" s="490"/>
      <c r="G175" s="490">
        <v>1.5500580569100968</v>
      </c>
    </row>
    <row r="176" spans="1:7" ht="17.100000000000001" customHeight="1" x14ac:dyDescent="0.3">
      <c r="A176" s="487">
        <v>150000750</v>
      </c>
      <c r="B176" s="488" t="s">
        <v>1503</v>
      </c>
      <c r="C176" s="467" t="s">
        <v>129</v>
      </c>
      <c r="D176" s="489">
        <v>1</v>
      </c>
      <c r="E176" s="490">
        <v>1.9844166737057194</v>
      </c>
      <c r="F176" s="490"/>
      <c r="G176" s="490">
        <v>1.9844166737057194</v>
      </c>
    </row>
    <row r="177" spans="1:7" ht="17.100000000000001" customHeight="1" x14ac:dyDescent="0.3">
      <c r="A177" s="487">
        <v>150000751</v>
      </c>
      <c r="B177" s="488" t="s">
        <v>1504</v>
      </c>
      <c r="C177" s="467" t="s">
        <v>130</v>
      </c>
      <c r="D177" s="489">
        <v>1</v>
      </c>
      <c r="E177" s="490">
        <v>1.7706663792811317</v>
      </c>
      <c r="F177" s="490"/>
      <c r="G177" s="490">
        <v>1.7706663792811317</v>
      </c>
    </row>
    <row r="178" spans="1:7" ht="17.100000000000001" customHeight="1" x14ac:dyDescent="0.3">
      <c r="A178" s="487">
        <v>150000752</v>
      </c>
      <c r="B178" s="488" t="s">
        <v>1505</v>
      </c>
      <c r="C178" s="467" t="s">
        <v>386</v>
      </c>
      <c r="D178" s="489">
        <v>9</v>
      </c>
      <c r="E178" s="490">
        <v>6.1147289173784554</v>
      </c>
      <c r="F178" s="490">
        <v>7.6627541647294617</v>
      </c>
      <c r="G178" s="490">
        <v>4.8161420196182156</v>
      </c>
    </row>
    <row r="179" spans="1:7" ht="17.100000000000001" customHeight="1" x14ac:dyDescent="0.3">
      <c r="A179" s="487">
        <v>150000753</v>
      </c>
      <c r="B179" s="488" t="s">
        <v>1167</v>
      </c>
      <c r="C179" s="467" t="s">
        <v>239</v>
      </c>
      <c r="D179" s="489">
        <v>5</v>
      </c>
      <c r="E179" s="490">
        <v>5.65630394841358</v>
      </c>
      <c r="F179" s="490">
        <v>5.65630394841358</v>
      </c>
      <c r="G179" s="490">
        <v>4.8573719650353837</v>
      </c>
    </row>
    <row r="180" spans="1:7" ht="17.100000000000001" customHeight="1" x14ac:dyDescent="0.3">
      <c r="A180" s="487">
        <v>150000754</v>
      </c>
      <c r="B180" s="488" t="s">
        <v>1168</v>
      </c>
      <c r="C180" s="467" t="s">
        <v>240</v>
      </c>
      <c r="D180" s="489">
        <v>5</v>
      </c>
      <c r="E180" s="490">
        <v>6.1299571249096054</v>
      </c>
      <c r="F180" s="490">
        <v>6.1299571249096054</v>
      </c>
      <c r="G180" s="490">
        <v>5.5157034613044331</v>
      </c>
    </row>
    <row r="181" spans="1:7" ht="17.100000000000001" customHeight="1" x14ac:dyDescent="0.3">
      <c r="A181" s="487">
        <v>150000758</v>
      </c>
      <c r="B181" s="488" t="s">
        <v>1507</v>
      </c>
      <c r="C181" s="467" t="s">
        <v>388</v>
      </c>
      <c r="D181" s="489">
        <v>9</v>
      </c>
      <c r="E181" s="490">
        <v>5.6783670549528935</v>
      </c>
      <c r="F181" s="490">
        <v>7.4045391561487488</v>
      </c>
      <c r="G181" s="490">
        <v>4.7961480039910986</v>
      </c>
    </row>
    <row r="182" spans="1:7" ht="17.100000000000001" customHeight="1" x14ac:dyDescent="0.3">
      <c r="A182" s="487">
        <v>150000759</v>
      </c>
      <c r="B182" s="488" t="s">
        <v>1508</v>
      </c>
      <c r="C182" s="467" t="s">
        <v>389</v>
      </c>
      <c r="D182" s="489">
        <v>9</v>
      </c>
      <c r="E182" s="490">
        <v>5.7222200775467051</v>
      </c>
      <c r="F182" s="490">
        <v>7.6428375702846045</v>
      </c>
      <c r="G182" s="490">
        <v>5.1367542031353928</v>
      </c>
    </row>
    <row r="183" spans="1:7" ht="17.100000000000001" customHeight="1" x14ac:dyDescent="0.3">
      <c r="A183" s="487">
        <v>150000760</v>
      </c>
      <c r="B183" s="488" t="s">
        <v>1506</v>
      </c>
      <c r="C183" s="467" t="s">
        <v>387</v>
      </c>
      <c r="D183" s="489">
        <v>9</v>
      </c>
      <c r="E183" s="490">
        <v>5.7553237519541813</v>
      </c>
      <c r="F183" s="490">
        <v>6.975985510146641</v>
      </c>
      <c r="G183" s="490">
        <v>4.6123696798518656</v>
      </c>
    </row>
    <row r="184" spans="1:7" ht="17.100000000000001" customHeight="1" x14ac:dyDescent="0.3">
      <c r="A184" s="487">
        <v>150000761</v>
      </c>
      <c r="B184" s="488" t="s">
        <v>1509</v>
      </c>
      <c r="C184" s="467" t="s">
        <v>390</v>
      </c>
      <c r="D184" s="489">
        <v>9</v>
      </c>
      <c r="E184" s="490">
        <v>5.0613510014502827</v>
      </c>
      <c r="F184" s="490">
        <v>6.1907993480077117</v>
      </c>
      <c r="G184" s="490">
        <v>4.3181934991117972</v>
      </c>
    </row>
    <row r="185" spans="1:7" ht="17.100000000000001" customHeight="1" x14ac:dyDescent="0.3">
      <c r="A185" s="487">
        <v>150000762</v>
      </c>
      <c r="B185" s="488" t="s">
        <v>1510</v>
      </c>
      <c r="C185" s="467" t="s">
        <v>391</v>
      </c>
      <c r="D185" s="489">
        <v>9</v>
      </c>
      <c r="E185" s="490">
        <v>5.149648230635222</v>
      </c>
      <c r="F185" s="490">
        <v>5.9258935229594369</v>
      </c>
      <c r="G185" s="490">
        <v>4.3143303011559286</v>
      </c>
    </row>
    <row r="186" spans="1:7" ht="17.100000000000001" customHeight="1" x14ac:dyDescent="0.3">
      <c r="A186" s="487">
        <v>150000763</v>
      </c>
      <c r="B186" s="488" t="s">
        <v>1357</v>
      </c>
      <c r="C186" s="467" t="s">
        <v>117</v>
      </c>
      <c r="D186" s="489">
        <v>1</v>
      </c>
      <c r="E186" s="490">
        <v>1.6170674728926762</v>
      </c>
      <c r="F186" s="490"/>
      <c r="G186" s="490">
        <v>1.6170674728926762</v>
      </c>
    </row>
    <row r="187" spans="1:7" ht="17.100000000000001" customHeight="1" x14ac:dyDescent="0.3">
      <c r="A187" s="487">
        <v>150000764</v>
      </c>
      <c r="B187" s="488" t="s">
        <v>1358</v>
      </c>
      <c r="C187" s="467" t="s">
        <v>118</v>
      </c>
      <c r="D187" s="489">
        <v>1</v>
      </c>
      <c r="E187" s="490">
        <v>1.5107770497353641</v>
      </c>
      <c r="F187" s="490"/>
      <c r="G187" s="490">
        <v>1.5107770497353641</v>
      </c>
    </row>
    <row r="188" spans="1:7" ht="17.100000000000001" customHeight="1" x14ac:dyDescent="0.3">
      <c r="A188" s="487">
        <v>150000765</v>
      </c>
      <c r="B188" s="488" t="s">
        <v>1361</v>
      </c>
      <c r="C188" s="467" t="s">
        <v>264</v>
      </c>
      <c r="D188" s="489">
        <v>5</v>
      </c>
      <c r="E188" s="490">
        <v>5.4903847577795872</v>
      </c>
      <c r="F188" s="490">
        <v>5.4903847577795872</v>
      </c>
      <c r="G188" s="490">
        <v>4.9122524257158977</v>
      </c>
    </row>
    <row r="189" spans="1:7" ht="17.100000000000001" customHeight="1" x14ac:dyDescent="0.3">
      <c r="A189" s="487">
        <v>150000768</v>
      </c>
      <c r="B189" s="488" t="s">
        <v>1356</v>
      </c>
      <c r="C189" s="467" t="s">
        <v>116</v>
      </c>
      <c r="D189" s="489">
        <v>1</v>
      </c>
      <c r="E189" s="490">
        <v>1.945296198552116</v>
      </c>
      <c r="F189" s="490"/>
      <c r="G189" s="490">
        <v>1.945296198552116</v>
      </c>
    </row>
    <row r="190" spans="1:7" ht="17.100000000000001" customHeight="1" x14ac:dyDescent="0.3">
      <c r="A190" s="487">
        <v>150000770</v>
      </c>
      <c r="B190" s="488" t="s">
        <v>1359</v>
      </c>
      <c r="C190" s="467" t="s">
        <v>119</v>
      </c>
      <c r="D190" s="489">
        <v>1</v>
      </c>
      <c r="E190" s="490">
        <v>1.8163362842817203</v>
      </c>
      <c r="F190" s="490"/>
      <c r="G190" s="490">
        <v>1.8163362842817203</v>
      </c>
    </row>
    <row r="191" spans="1:7" ht="17.100000000000001" customHeight="1" x14ac:dyDescent="0.3">
      <c r="A191" s="487">
        <v>150000777</v>
      </c>
      <c r="B191" s="488" t="s">
        <v>1360</v>
      </c>
      <c r="C191" s="467" t="s">
        <v>168</v>
      </c>
      <c r="D191" s="489">
        <v>2</v>
      </c>
      <c r="E191" s="490">
        <v>4.6599149060805107</v>
      </c>
      <c r="F191" s="490">
        <v>4.6599149060805107</v>
      </c>
      <c r="G191" s="490">
        <v>3.9898510872216142</v>
      </c>
    </row>
    <row r="192" spans="1:7" ht="17.100000000000001" customHeight="1" x14ac:dyDescent="0.3">
      <c r="A192" s="487">
        <v>150000778</v>
      </c>
      <c r="B192" s="488" t="s">
        <v>1354</v>
      </c>
      <c r="C192" s="467" t="s">
        <v>214</v>
      </c>
      <c r="D192" s="489">
        <v>4</v>
      </c>
      <c r="E192" s="490">
        <v>5.3368116535638697</v>
      </c>
      <c r="F192" s="490">
        <v>5.3368116535638697</v>
      </c>
      <c r="G192" s="490">
        <v>4.8009832408318216</v>
      </c>
    </row>
    <row r="193" spans="1:7" ht="17.100000000000001" customHeight="1" x14ac:dyDescent="0.3">
      <c r="A193" s="487">
        <v>150000781</v>
      </c>
      <c r="B193" s="488" t="s">
        <v>1171</v>
      </c>
      <c r="C193" s="467" t="s">
        <v>33</v>
      </c>
      <c r="D193" s="489">
        <v>1</v>
      </c>
      <c r="E193" s="490">
        <v>1.6614874811389189</v>
      </c>
      <c r="F193" s="490"/>
      <c r="G193" s="490">
        <v>1.6614874811389189</v>
      </c>
    </row>
    <row r="194" spans="1:7" ht="17.100000000000001" customHeight="1" x14ac:dyDescent="0.3">
      <c r="A194" s="487">
        <v>150000795</v>
      </c>
      <c r="B194" s="488" t="s">
        <v>1525</v>
      </c>
      <c r="C194" s="467" t="s">
        <v>291</v>
      </c>
      <c r="D194" s="489">
        <v>5</v>
      </c>
      <c r="E194" s="490">
        <v>5.674494394366671</v>
      </c>
      <c r="F194" s="490">
        <v>5.674494394366671</v>
      </c>
      <c r="G194" s="490">
        <v>5.0270406300424497</v>
      </c>
    </row>
    <row r="195" spans="1:7" ht="17.100000000000001" customHeight="1" x14ac:dyDescent="0.3">
      <c r="A195" s="487">
        <v>150000796</v>
      </c>
      <c r="B195" s="488" t="s">
        <v>1314</v>
      </c>
      <c r="C195" s="467" t="s">
        <v>98</v>
      </c>
      <c r="D195" s="489">
        <v>1</v>
      </c>
      <c r="E195" s="490">
        <v>1.440168815243601</v>
      </c>
      <c r="F195" s="490"/>
      <c r="G195" s="490">
        <v>1.440168815243601</v>
      </c>
    </row>
    <row r="196" spans="1:7" ht="17.100000000000001" customHeight="1" x14ac:dyDescent="0.3">
      <c r="A196" s="487">
        <v>150000797</v>
      </c>
      <c r="B196" s="488" t="s">
        <v>1560</v>
      </c>
      <c r="C196" s="467" t="s">
        <v>231</v>
      </c>
      <c r="D196" s="489">
        <v>4</v>
      </c>
      <c r="E196" s="490">
        <v>5.7036347198296253</v>
      </c>
      <c r="F196" s="490">
        <v>5.7036347198296253</v>
      </c>
      <c r="G196" s="490">
        <v>4.5135526400458943</v>
      </c>
    </row>
    <row r="197" spans="1:7" ht="17.100000000000001" customHeight="1" x14ac:dyDescent="0.3">
      <c r="A197" s="487">
        <v>150000798</v>
      </c>
      <c r="B197" s="488" t="s">
        <v>1537</v>
      </c>
      <c r="C197" s="467" t="s">
        <v>225</v>
      </c>
      <c r="D197" s="489">
        <v>4</v>
      </c>
      <c r="E197" s="490">
        <v>5.2752042217648372</v>
      </c>
      <c r="F197" s="490">
        <v>5.2752042217648372</v>
      </c>
      <c r="G197" s="490">
        <v>4.3538781191186189</v>
      </c>
    </row>
    <row r="198" spans="1:7" ht="17.100000000000001" customHeight="1" x14ac:dyDescent="0.3">
      <c r="A198" s="487">
        <v>150000799</v>
      </c>
      <c r="B198" s="488" t="s">
        <v>1540</v>
      </c>
      <c r="C198" s="467" t="s">
        <v>292</v>
      </c>
      <c r="D198" s="489">
        <v>5</v>
      </c>
      <c r="E198" s="490">
        <v>3.7917691659095452</v>
      </c>
      <c r="F198" s="490">
        <v>3.7917691659095452</v>
      </c>
      <c r="G198" s="490">
        <v>3.1954646446723847</v>
      </c>
    </row>
    <row r="199" spans="1:7" ht="17.100000000000001" customHeight="1" x14ac:dyDescent="0.3">
      <c r="A199" s="487">
        <v>150000800</v>
      </c>
      <c r="B199" s="488" t="s">
        <v>1542</v>
      </c>
      <c r="C199" s="467" t="s">
        <v>226</v>
      </c>
      <c r="D199" s="489">
        <v>4</v>
      </c>
      <c r="E199" s="490">
        <v>4.8361515500994212</v>
      </c>
      <c r="F199" s="490">
        <v>4.8361515500994212</v>
      </c>
      <c r="G199" s="490">
        <v>4.1680281540345065</v>
      </c>
    </row>
    <row r="200" spans="1:7" ht="17.100000000000001" customHeight="1" x14ac:dyDescent="0.3">
      <c r="A200" s="487">
        <v>150000801</v>
      </c>
      <c r="B200" s="488" t="s">
        <v>1543</v>
      </c>
      <c r="C200" s="467" t="s">
        <v>294</v>
      </c>
      <c r="D200" s="489">
        <v>5</v>
      </c>
      <c r="E200" s="490">
        <v>4.8145216258326915</v>
      </c>
      <c r="F200" s="490">
        <v>4.8145216258326915</v>
      </c>
      <c r="G200" s="490">
        <v>4.2464994781914625</v>
      </c>
    </row>
    <row r="201" spans="1:7" ht="17.100000000000001" customHeight="1" x14ac:dyDescent="0.3">
      <c r="A201" s="487">
        <v>150000802</v>
      </c>
      <c r="B201" s="488" t="s">
        <v>1544</v>
      </c>
      <c r="C201" s="467" t="s">
        <v>295</v>
      </c>
      <c r="D201" s="489">
        <v>5</v>
      </c>
      <c r="E201" s="490">
        <v>5.1628425537870744</v>
      </c>
      <c r="F201" s="490">
        <v>5.1628425537870744</v>
      </c>
      <c r="G201" s="490">
        <v>4.6165674077947267</v>
      </c>
    </row>
    <row r="202" spans="1:7" ht="17.100000000000001" customHeight="1" x14ac:dyDescent="0.3">
      <c r="A202" s="487">
        <v>150000803</v>
      </c>
      <c r="B202" s="488" t="s">
        <v>1545</v>
      </c>
      <c r="C202" s="467" t="s">
        <v>227</v>
      </c>
      <c r="D202" s="489">
        <v>4</v>
      </c>
      <c r="E202" s="490">
        <v>4.0870949915294226</v>
      </c>
      <c r="F202" s="490">
        <v>4.0870949915294226</v>
      </c>
      <c r="G202" s="490">
        <v>3.2119647868117376</v>
      </c>
    </row>
    <row r="203" spans="1:7" ht="17.100000000000001" customHeight="1" x14ac:dyDescent="0.3">
      <c r="A203" s="487">
        <v>150000805</v>
      </c>
      <c r="B203" s="488" t="s">
        <v>1546</v>
      </c>
      <c r="C203" s="467" t="s">
        <v>296</v>
      </c>
      <c r="D203" s="489">
        <v>5</v>
      </c>
      <c r="E203" s="490">
        <v>4.4606305881309396</v>
      </c>
      <c r="F203" s="490">
        <v>4.4606305881309396</v>
      </c>
      <c r="G203" s="490">
        <v>3.8434720195423342</v>
      </c>
    </row>
    <row r="204" spans="1:7" ht="17.100000000000001" customHeight="1" x14ac:dyDescent="0.3">
      <c r="A204" s="487">
        <v>150000806</v>
      </c>
      <c r="B204" s="488" t="s">
        <v>1547</v>
      </c>
      <c r="C204" s="467" t="s">
        <v>228</v>
      </c>
      <c r="D204" s="489">
        <v>4</v>
      </c>
      <c r="E204" s="490">
        <v>4.903809189333252</v>
      </c>
      <c r="F204" s="490">
        <v>4.903809189333252</v>
      </c>
      <c r="G204" s="490">
        <v>4.1500698164682417</v>
      </c>
    </row>
    <row r="205" spans="1:7" ht="17.100000000000001" customHeight="1" x14ac:dyDescent="0.3">
      <c r="A205" s="487">
        <v>150000807</v>
      </c>
      <c r="B205" s="488" t="s">
        <v>1548</v>
      </c>
      <c r="C205" s="467" t="s">
        <v>187</v>
      </c>
      <c r="D205" s="489">
        <v>2</v>
      </c>
      <c r="E205" s="490">
        <v>5.732574189327484</v>
      </c>
      <c r="F205" s="490">
        <v>5.732574189327484</v>
      </c>
      <c r="G205" s="490">
        <v>4.5760266102731739</v>
      </c>
    </row>
    <row r="206" spans="1:7" ht="17.100000000000001" customHeight="1" x14ac:dyDescent="0.3">
      <c r="A206" s="487">
        <v>150000808</v>
      </c>
      <c r="B206" s="488" t="s">
        <v>1549</v>
      </c>
      <c r="C206" s="467" t="s">
        <v>297</v>
      </c>
      <c r="D206" s="489">
        <v>5</v>
      </c>
      <c r="E206" s="490">
        <v>4.7613040774596502</v>
      </c>
      <c r="F206" s="490">
        <v>4.7613040774596502</v>
      </c>
      <c r="G206" s="490">
        <v>4.2349150675195375</v>
      </c>
    </row>
    <row r="207" spans="1:7" ht="17.100000000000001" customHeight="1" x14ac:dyDescent="0.3">
      <c r="A207" s="487">
        <v>150000809</v>
      </c>
      <c r="B207" s="488" t="s">
        <v>1551</v>
      </c>
      <c r="C207" s="467" t="s">
        <v>299</v>
      </c>
      <c r="D207" s="489">
        <v>5</v>
      </c>
      <c r="E207" s="490">
        <v>5.1171917827416857</v>
      </c>
      <c r="F207" s="490">
        <v>5.1171917827416857</v>
      </c>
      <c r="G207" s="490">
        <v>4.6468125290441584</v>
      </c>
    </row>
    <row r="208" spans="1:7" ht="17.100000000000001" customHeight="1" x14ac:dyDescent="0.3">
      <c r="A208" s="487">
        <v>150000810</v>
      </c>
      <c r="B208" s="488" t="s">
        <v>1552</v>
      </c>
      <c r="C208" s="467" t="s">
        <v>300</v>
      </c>
      <c r="D208" s="489">
        <v>5</v>
      </c>
      <c r="E208" s="490">
        <v>4.712047123641339</v>
      </c>
      <c r="F208" s="490">
        <v>4.712047123641339</v>
      </c>
      <c r="G208" s="490">
        <v>4.1965383325561358</v>
      </c>
    </row>
    <row r="209" spans="1:7" ht="17.100000000000001" customHeight="1" x14ac:dyDescent="0.3">
      <c r="A209" s="487">
        <v>150000811</v>
      </c>
      <c r="B209" s="488" t="s">
        <v>1553</v>
      </c>
      <c r="C209" s="467" t="s">
        <v>301</v>
      </c>
      <c r="D209" s="489">
        <v>5</v>
      </c>
      <c r="E209" s="490">
        <v>5.7061555803966506</v>
      </c>
      <c r="F209" s="490">
        <v>5.7061555803966506</v>
      </c>
      <c r="G209" s="490">
        <v>5.1599262939453032</v>
      </c>
    </row>
    <row r="210" spans="1:7" ht="17.100000000000001" customHeight="1" x14ac:dyDescent="0.3">
      <c r="A210" s="487">
        <v>150000812</v>
      </c>
      <c r="B210" s="488" t="s">
        <v>1554</v>
      </c>
      <c r="C210" s="467" t="s">
        <v>302</v>
      </c>
      <c r="D210" s="489">
        <v>5</v>
      </c>
      <c r="E210" s="490">
        <v>4.716661081670888</v>
      </c>
      <c r="F210" s="490">
        <v>4.716661081670888</v>
      </c>
      <c r="G210" s="490">
        <v>4.1948833472676768</v>
      </c>
    </row>
    <row r="211" spans="1:7" ht="17.100000000000001" customHeight="1" x14ac:dyDescent="0.3">
      <c r="A211" s="487">
        <v>150000813</v>
      </c>
      <c r="B211" s="488" t="s">
        <v>1556</v>
      </c>
      <c r="C211" s="467" t="s">
        <v>188</v>
      </c>
      <c r="D211" s="489">
        <v>2</v>
      </c>
      <c r="E211" s="490">
        <v>4.7742846238930143</v>
      </c>
      <c r="F211" s="490">
        <v>4.7742846238930143</v>
      </c>
      <c r="G211" s="490">
        <v>4.0822833867114667</v>
      </c>
    </row>
    <row r="212" spans="1:7" ht="17.100000000000001" customHeight="1" x14ac:dyDescent="0.3">
      <c r="A212" s="487">
        <v>150000814</v>
      </c>
      <c r="B212" s="488" t="s">
        <v>1557</v>
      </c>
      <c r="C212" s="467" t="s">
        <v>304</v>
      </c>
      <c r="D212" s="489">
        <v>5</v>
      </c>
      <c r="E212" s="490">
        <v>4.8274624107530091</v>
      </c>
      <c r="F212" s="490">
        <v>4.8274624107530091</v>
      </c>
      <c r="G212" s="490">
        <v>4.3188564253450021</v>
      </c>
    </row>
    <row r="213" spans="1:7" ht="17.100000000000001" customHeight="1" x14ac:dyDescent="0.3">
      <c r="A213" s="487">
        <v>150000816</v>
      </c>
      <c r="B213" s="488" t="s">
        <v>1558</v>
      </c>
      <c r="C213" s="467" t="s">
        <v>229</v>
      </c>
      <c r="D213" s="489">
        <v>4</v>
      </c>
      <c r="E213" s="490">
        <v>5.5233537686495229</v>
      </c>
      <c r="F213" s="490">
        <v>5.5233537686495229</v>
      </c>
      <c r="G213" s="490">
        <v>4.8351805674947572</v>
      </c>
    </row>
    <row r="214" spans="1:7" ht="17.100000000000001" customHeight="1" x14ac:dyDescent="0.3">
      <c r="A214" s="487">
        <v>150000819</v>
      </c>
      <c r="B214" s="488" t="s">
        <v>1538</v>
      </c>
      <c r="C214" s="467" t="s">
        <v>423</v>
      </c>
      <c r="D214" s="489">
        <v>10</v>
      </c>
      <c r="E214" s="490">
        <v>5.5386908077964438</v>
      </c>
      <c r="F214" s="490">
        <v>6.7255476956885545</v>
      </c>
      <c r="G214" s="490">
        <v>4.5745983957241814</v>
      </c>
    </row>
    <row r="215" spans="1:7" ht="17.100000000000001" customHeight="1" x14ac:dyDescent="0.3">
      <c r="A215" s="487">
        <v>150000820</v>
      </c>
      <c r="B215" s="488" t="s">
        <v>1539</v>
      </c>
      <c r="C215" s="467" t="s">
        <v>394</v>
      </c>
      <c r="D215" s="489">
        <v>9</v>
      </c>
      <c r="E215" s="490">
        <v>6.6549573341133863</v>
      </c>
      <c r="F215" s="490">
        <v>8.03051213994625</v>
      </c>
      <c r="G215" s="490">
        <v>5.6622874178296785</v>
      </c>
    </row>
    <row r="216" spans="1:7" ht="17.100000000000001" customHeight="1" x14ac:dyDescent="0.3">
      <c r="A216" s="487">
        <v>150000827</v>
      </c>
      <c r="B216" s="488" t="s">
        <v>1550</v>
      </c>
      <c r="C216" s="467" t="s">
        <v>298</v>
      </c>
      <c r="D216" s="489">
        <v>5</v>
      </c>
      <c r="E216" s="490">
        <v>4.7125515217207568</v>
      </c>
      <c r="F216" s="490">
        <v>4.7125515217207568</v>
      </c>
      <c r="G216" s="490">
        <v>4.1051637053992236</v>
      </c>
    </row>
    <row r="217" spans="1:7" ht="17.100000000000001" customHeight="1" x14ac:dyDescent="0.3">
      <c r="A217" s="487">
        <v>150000828</v>
      </c>
      <c r="B217" s="488" t="s">
        <v>1555</v>
      </c>
      <c r="C217" s="467" t="s">
        <v>303</v>
      </c>
      <c r="D217" s="489">
        <v>5</v>
      </c>
      <c r="E217" s="490">
        <v>5.5923802251568073</v>
      </c>
      <c r="F217" s="490">
        <v>5.5923802251568073</v>
      </c>
      <c r="G217" s="490">
        <v>5.0369452414504492</v>
      </c>
    </row>
    <row r="218" spans="1:7" ht="17.100000000000001" customHeight="1" x14ac:dyDescent="0.3">
      <c r="A218" s="487">
        <v>150000829</v>
      </c>
      <c r="B218" s="488" t="s">
        <v>1559</v>
      </c>
      <c r="C218" s="467" t="s">
        <v>230</v>
      </c>
      <c r="D218" s="489">
        <v>4</v>
      </c>
      <c r="E218" s="490">
        <v>5.3654231187447206</v>
      </c>
      <c r="F218" s="490">
        <v>5.3654231187447206</v>
      </c>
      <c r="G218" s="490">
        <v>4.8258439438760563</v>
      </c>
    </row>
    <row r="219" spans="1:7" ht="17.100000000000001" customHeight="1" x14ac:dyDescent="0.3">
      <c r="A219" s="487">
        <v>150000830</v>
      </c>
      <c r="B219" s="488" t="s">
        <v>1541</v>
      </c>
      <c r="C219" s="467" t="s">
        <v>293</v>
      </c>
      <c r="D219" s="489">
        <v>5</v>
      </c>
      <c r="E219" s="490">
        <v>4.4507393775632353</v>
      </c>
      <c r="F219" s="490">
        <v>4.4507393775632353</v>
      </c>
      <c r="G219" s="490">
        <v>3.8401268147631495</v>
      </c>
    </row>
    <row r="220" spans="1:7" ht="17.100000000000001" customHeight="1" x14ac:dyDescent="0.3">
      <c r="A220" s="487">
        <v>150000832</v>
      </c>
      <c r="B220" s="488" t="s">
        <v>1526</v>
      </c>
      <c r="C220" s="467" t="s">
        <v>422</v>
      </c>
      <c r="D220" s="489">
        <v>10</v>
      </c>
      <c r="E220" s="490">
        <v>6.163043273014793</v>
      </c>
      <c r="F220" s="490">
        <v>7.3873026986706289</v>
      </c>
      <c r="G220" s="490">
        <v>5.0695039878876198</v>
      </c>
    </row>
    <row r="221" spans="1:7" ht="17.100000000000001" customHeight="1" x14ac:dyDescent="0.3">
      <c r="A221" s="487">
        <v>150000833</v>
      </c>
      <c r="B221" s="488" t="s">
        <v>1527</v>
      </c>
      <c r="C221" s="467" t="s">
        <v>392</v>
      </c>
      <c r="D221" s="489">
        <v>9</v>
      </c>
      <c r="E221" s="490">
        <v>5.3920382333823982</v>
      </c>
      <c r="F221" s="490">
        <v>6.7983711324661655</v>
      </c>
      <c r="G221" s="490">
        <v>4.5123446787150341</v>
      </c>
    </row>
    <row r="222" spans="1:7" ht="17.100000000000001" customHeight="1" x14ac:dyDescent="0.3">
      <c r="A222" s="487">
        <v>150000834</v>
      </c>
      <c r="B222" s="488" t="s">
        <v>1266</v>
      </c>
      <c r="C222" s="467" t="s">
        <v>79</v>
      </c>
      <c r="D222" s="489">
        <v>1</v>
      </c>
      <c r="E222" s="490">
        <v>1.7637527488085709</v>
      </c>
      <c r="F222" s="490"/>
      <c r="G222" s="490">
        <v>1.7637527488085709</v>
      </c>
    </row>
    <row r="223" spans="1:7" ht="17.100000000000001" customHeight="1" x14ac:dyDescent="0.3">
      <c r="A223" s="487">
        <v>150000835</v>
      </c>
      <c r="B223" s="488" t="s">
        <v>1534</v>
      </c>
      <c r="C223" s="467" t="s">
        <v>137</v>
      </c>
      <c r="D223" s="489">
        <v>1</v>
      </c>
      <c r="E223" s="490">
        <v>1.9248292779510208</v>
      </c>
      <c r="F223" s="490"/>
      <c r="G223" s="490">
        <v>1.9248292779510208</v>
      </c>
    </row>
    <row r="224" spans="1:7" ht="17.100000000000001" customHeight="1" x14ac:dyDescent="0.3">
      <c r="A224" s="487">
        <v>150000836</v>
      </c>
      <c r="B224" s="488" t="s">
        <v>1528</v>
      </c>
      <c r="C224" s="467" t="s">
        <v>198</v>
      </c>
      <c r="D224" s="489">
        <v>3</v>
      </c>
      <c r="E224" s="490">
        <v>7.0816261043675368</v>
      </c>
      <c r="F224" s="490">
        <v>7.0816261043675368</v>
      </c>
      <c r="G224" s="490">
        <v>6.3052884635276909</v>
      </c>
    </row>
    <row r="225" spans="1:7" ht="17.100000000000001" customHeight="1" x14ac:dyDescent="0.3">
      <c r="A225" s="487">
        <v>150000837</v>
      </c>
      <c r="B225" s="488" t="s">
        <v>1529</v>
      </c>
      <c r="C225" s="467" t="s">
        <v>199</v>
      </c>
      <c r="D225" s="489">
        <v>3</v>
      </c>
      <c r="E225" s="490">
        <v>5.6693432290313046</v>
      </c>
      <c r="F225" s="490">
        <v>5.6693432290313046</v>
      </c>
      <c r="G225" s="490">
        <v>4.8314762905949848</v>
      </c>
    </row>
    <row r="226" spans="1:7" ht="17.100000000000001" customHeight="1" x14ac:dyDescent="0.3">
      <c r="A226" s="487">
        <v>150000839</v>
      </c>
      <c r="B226" s="488" t="s">
        <v>1530</v>
      </c>
      <c r="C226" s="467" t="s">
        <v>135</v>
      </c>
      <c r="D226" s="489">
        <v>1</v>
      </c>
      <c r="E226" s="490">
        <v>2.4174996594691889</v>
      </c>
      <c r="F226" s="490"/>
      <c r="G226" s="490">
        <v>2.4174996594691889</v>
      </c>
    </row>
    <row r="227" spans="1:7" ht="17.100000000000001" customHeight="1" x14ac:dyDescent="0.3">
      <c r="A227" s="487">
        <v>150000840</v>
      </c>
      <c r="B227" s="488" t="s">
        <v>1531</v>
      </c>
      <c r="C227" s="467" t="s">
        <v>393</v>
      </c>
      <c r="D227" s="489">
        <v>9</v>
      </c>
      <c r="E227" s="490">
        <v>5.9691141416610618</v>
      </c>
      <c r="F227" s="490">
        <v>7.0807264587919336</v>
      </c>
      <c r="G227" s="490">
        <v>5.0847417551530754</v>
      </c>
    </row>
    <row r="228" spans="1:7" ht="17.100000000000001" customHeight="1" x14ac:dyDescent="0.3">
      <c r="A228" s="487">
        <v>150000841</v>
      </c>
      <c r="B228" s="488" t="s">
        <v>1532</v>
      </c>
      <c r="C228" s="467" t="s">
        <v>136</v>
      </c>
      <c r="D228" s="489">
        <v>1</v>
      </c>
      <c r="E228" s="490">
        <v>1.7513836521904724</v>
      </c>
      <c r="F228" s="490"/>
      <c r="G228" s="490">
        <v>1.7513836521904724</v>
      </c>
    </row>
    <row r="229" spans="1:7" ht="17.100000000000001" customHeight="1" x14ac:dyDescent="0.3">
      <c r="A229" s="487">
        <v>150000845</v>
      </c>
      <c r="B229" s="488" t="s">
        <v>1535</v>
      </c>
      <c r="C229" s="467" t="s">
        <v>138</v>
      </c>
      <c r="D229" s="489">
        <v>1</v>
      </c>
      <c r="E229" s="490">
        <v>1.8455457071186456</v>
      </c>
      <c r="F229" s="490"/>
      <c r="G229" s="490">
        <v>1.8455457071186456</v>
      </c>
    </row>
    <row r="230" spans="1:7" ht="17.100000000000001" customHeight="1" x14ac:dyDescent="0.3">
      <c r="A230" s="487">
        <v>150000846</v>
      </c>
      <c r="B230" s="488" t="s">
        <v>1536</v>
      </c>
      <c r="C230" s="467" t="s">
        <v>139</v>
      </c>
      <c r="D230" s="489">
        <v>1</v>
      </c>
      <c r="E230" s="490">
        <v>1.8559264279300138</v>
      </c>
      <c r="F230" s="490"/>
      <c r="G230" s="490">
        <v>1.8559264279300138</v>
      </c>
    </row>
    <row r="231" spans="1:7" ht="17.100000000000001" customHeight="1" x14ac:dyDescent="0.3">
      <c r="A231" s="487">
        <v>150000848</v>
      </c>
      <c r="B231" s="488" t="s">
        <v>1533</v>
      </c>
      <c r="C231" s="467" t="s">
        <v>186</v>
      </c>
      <c r="D231" s="489">
        <v>2</v>
      </c>
      <c r="E231" s="490">
        <v>6.4296295107265111</v>
      </c>
      <c r="F231" s="490">
        <v>6.4296295107265111</v>
      </c>
      <c r="G231" s="490">
        <v>5.5283194960805897</v>
      </c>
    </row>
    <row r="232" spans="1:7" ht="17.100000000000001" customHeight="1" x14ac:dyDescent="0.3">
      <c r="A232" s="487">
        <v>150000851</v>
      </c>
      <c r="B232" s="488" t="s">
        <v>1524</v>
      </c>
      <c r="C232" s="467" t="s">
        <v>134</v>
      </c>
      <c r="D232" s="489">
        <v>1</v>
      </c>
      <c r="E232" s="490">
        <v>1.40709386586791</v>
      </c>
      <c r="F232" s="490"/>
      <c r="G232" s="490">
        <v>1.40709386586791</v>
      </c>
    </row>
    <row r="233" spans="1:7" ht="17.100000000000001" customHeight="1" x14ac:dyDescent="0.3">
      <c r="A233" s="487">
        <v>150000861</v>
      </c>
      <c r="B233" s="488" t="s">
        <v>1419</v>
      </c>
      <c r="C233" s="467" t="s">
        <v>232</v>
      </c>
      <c r="D233" s="489">
        <v>4</v>
      </c>
      <c r="E233" s="490">
        <v>5.7206388233162944</v>
      </c>
      <c r="F233" s="490">
        <v>5.7206388233162944</v>
      </c>
      <c r="G233" s="490">
        <v>4.7473600296969378</v>
      </c>
    </row>
    <row r="234" spans="1:7" ht="17.100000000000001" customHeight="1" x14ac:dyDescent="0.3">
      <c r="A234" s="487">
        <v>150000862</v>
      </c>
      <c r="B234" s="488" t="s">
        <v>1421</v>
      </c>
      <c r="C234" s="467" t="s">
        <v>234</v>
      </c>
      <c r="D234" s="489">
        <v>4</v>
      </c>
      <c r="E234" s="490">
        <v>5.7042060920261077</v>
      </c>
      <c r="F234" s="490">
        <v>5.7042060920261077</v>
      </c>
      <c r="G234" s="490">
        <v>4.820415314860254</v>
      </c>
    </row>
    <row r="235" spans="1:7" ht="17.100000000000001" customHeight="1" x14ac:dyDescent="0.3">
      <c r="A235" s="487">
        <v>150000863</v>
      </c>
      <c r="B235" s="488" t="s">
        <v>1422</v>
      </c>
      <c r="C235" s="467" t="s">
        <v>235</v>
      </c>
      <c r="D235" s="489">
        <v>4</v>
      </c>
      <c r="E235" s="490">
        <v>6.5461162390413481</v>
      </c>
      <c r="F235" s="490">
        <v>6.5461162390413481</v>
      </c>
      <c r="G235" s="490">
        <v>5.2956631321030141</v>
      </c>
    </row>
    <row r="236" spans="1:7" ht="17.100000000000001" customHeight="1" x14ac:dyDescent="0.3">
      <c r="A236" s="487">
        <v>150000864</v>
      </c>
      <c r="B236" s="488" t="s">
        <v>1423</v>
      </c>
      <c r="C236" s="467" t="s">
        <v>200</v>
      </c>
      <c r="D236" s="489">
        <v>3</v>
      </c>
      <c r="E236" s="490">
        <v>6.0799727871404237</v>
      </c>
      <c r="F236" s="490">
        <v>6.0799727871404237</v>
      </c>
      <c r="G236" s="490">
        <v>4.7386799655169565</v>
      </c>
    </row>
    <row r="237" spans="1:7" ht="17.100000000000001" customHeight="1" x14ac:dyDescent="0.3">
      <c r="A237" s="487">
        <v>150000865</v>
      </c>
      <c r="B237" s="488" t="s">
        <v>1424</v>
      </c>
      <c r="C237" s="467" t="s">
        <v>305</v>
      </c>
      <c r="D237" s="489">
        <v>5</v>
      </c>
      <c r="E237" s="490">
        <v>5.2089896575112862</v>
      </c>
      <c r="F237" s="490">
        <v>5.2089896575112862</v>
      </c>
      <c r="G237" s="490">
        <v>4.3623531756012008</v>
      </c>
    </row>
    <row r="238" spans="1:7" ht="17.100000000000001" customHeight="1" x14ac:dyDescent="0.3">
      <c r="A238" s="487">
        <v>150000866</v>
      </c>
      <c r="B238" s="488" t="s">
        <v>1427</v>
      </c>
      <c r="C238" s="467" t="s">
        <v>308</v>
      </c>
      <c r="D238" s="489">
        <v>5</v>
      </c>
      <c r="E238" s="490">
        <v>5.1772511448632956</v>
      </c>
      <c r="F238" s="490">
        <v>5.1772511448632956</v>
      </c>
      <c r="G238" s="490">
        <v>4.527127533153835</v>
      </c>
    </row>
    <row r="239" spans="1:7" ht="17.100000000000001" customHeight="1" x14ac:dyDescent="0.3">
      <c r="A239" s="487">
        <v>150000867</v>
      </c>
      <c r="B239" s="488" t="s">
        <v>1428</v>
      </c>
      <c r="C239" s="467" t="s">
        <v>309</v>
      </c>
      <c r="D239" s="489">
        <v>5</v>
      </c>
      <c r="E239" s="490">
        <v>4.3275805873427178</v>
      </c>
      <c r="F239" s="490">
        <v>4.3275805873427178</v>
      </c>
      <c r="G239" s="490">
        <v>3.7072582943394874</v>
      </c>
    </row>
    <row r="240" spans="1:7" ht="17.100000000000001" customHeight="1" x14ac:dyDescent="0.3">
      <c r="A240" s="487">
        <v>150000868</v>
      </c>
      <c r="B240" s="488" t="s">
        <v>1429</v>
      </c>
      <c r="C240" s="467" t="s">
        <v>310</v>
      </c>
      <c r="D240" s="489">
        <v>5</v>
      </c>
      <c r="E240" s="490">
        <v>5.4740029818249178</v>
      </c>
      <c r="F240" s="490">
        <v>5.4740029818249178</v>
      </c>
      <c r="G240" s="490">
        <v>4.8677808051616198</v>
      </c>
    </row>
    <row r="241" spans="1:7" ht="17.100000000000001" customHeight="1" x14ac:dyDescent="0.3">
      <c r="A241" s="487">
        <v>150000869</v>
      </c>
      <c r="B241" s="488" t="s">
        <v>1430</v>
      </c>
      <c r="C241" s="467" t="s">
        <v>311</v>
      </c>
      <c r="D241" s="489">
        <v>5</v>
      </c>
      <c r="E241" s="490">
        <v>5.4989569093650967</v>
      </c>
      <c r="F241" s="490">
        <v>5.4989569093650967</v>
      </c>
      <c r="G241" s="490">
        <v>4.7254886619596475</v>
      </c>
    </row>
    <row r="242" spans="1:7" ht="17.100000000000001" customHeight="1" x14ac:dyDescent="0.3">
      <c r="A242" s="487">
        <v>150000871</v>
      </c>
      <c r="B242" s="488" t="s">
        <v>1432</v>
      </c>
      <c r="C242" s="467" t="s">
        <v>140</v>
      </c>
      <c r="D242" s="489">
        <v>1</v>
      </c>
      <c r="E242" s="490">
        <v>1.6887191271692688</v>
      </c>
      <c r="F242" s="490"/>
      <c r="G242" s="490">
        <v>1.6887191271692688</v>
      </c>
    </row>
    <row r="243" spans="1:7" ht="17.100000000000001" customHeight="1" x14ac:dyDescent="0.3">
      <c r="A243" s="487">
        <v>150000872</v>
      </c>
      <c r="B243" s="488" t="s">
        <v>1420</v>
      </c>
      <c r="C243" s="467" t="s">
        <v>233</v>
      </c>
      <c r="D243" s="489">
        <v>4</v>
      </c>
      <c r="E243" s="490">
        <v>6.2745301597153826</v>
      </c>
      <c r="F243" s="490">
        <v>6.2745301597153826</v>
      </c>
      <c r="G243" s="490">
        <v>5.5385040171360194</v>
      </c>
    </row>
    <row r="244" spans="1:7" ht="17.100000000000001" customHeight="1" x14ac:dyDescent="0.3">
      <c r="A244" s="487">
        <v>150000873</v>
      </c>
      <c r="B244" s="488" t="s">
        <v>1425</v>
      </c>
      <c r="C244" s="467" t="s">
        <v>306</v>
      </c>
      <c r="D244" s="489">
        <v>5</v>
      </c>
      <c r="E244" s="490">
        <v>5.3904882433774226</v>
      </c>
      <c r="F244" s="490">
        <v>5.3904882433774226</v>
      </c>
      <c r="G244" s="490">
        <v>4.8454663973447607</v>
      </c>
    </row>
    <row r="245" spans="1:7" ht="17.100000000000001" customHeight="1" x14ac:dyDescent="0.3">
      <c r="A245" s="487">
        <v>150000874</v>
      </c>
      <c r="B245" s="488" t="s">
        <v>1426</v>
      </c>
      <c r="C245" s="467" t="s">
        <v>307</v>
      </c>
      <c r="D245" s="489">
        <v>5</v>
      </c>
      <c r="E245" s="490">
        <v>6.1917479549284433</v>
      </c>
      <c r="F245" s="490">
        <v>6.1917479549284433</v>
      </c>
      <c r="G245" s="490">
        <v>5.2842236348845537</v>
      </c>
    </row>
    <row r="246" spans="1:7" ht="17.100000000000001" customHeight="1" x14ac:dyDescent="0.3">
      <c r="A246" s="487">
        <v>150000875</v>
      </c>
      <c r="B246" s="488" t="s">
        <v>1431</v>
      </c>
      <c r="C246" s="467" t="s">
        <v>312</v>
      </c>
      <c r="D246" s="489">
        <v>5</v>
      </c>
      <c r="E246" s="490">
        <v>5.0739162843374102</v>
      </c>
      <c r="F246" s="490">
        <v>5.0739162843374102</v>
      </c>
      <c r="G246" s="490">
        <v>4.5259470896596294</v>
      </c>
    </row>
    <row r="247" spans="1:7" ht="17.100000000000001" customHeight="1" x14ac:dyDescent="0.3">
      <c r="A247" s="487">
        <v>150000878</v>
      </c>
      <c r="B247" s="488" t="s">
        <v>1470</v>
      </c>
      <c r="C247" s="467" t="s">
        <v>236</v>
      </c>
      <c r="D247" s="489">
        <v>4</v>
      </c>
      <c r="E247" s="490">
        <v>5.7070139531473894</v>
      </c>
      <c r="F247" s="490">
        <v>5.7070139531473894</v>
      </c>
      <c r="G247" s="490">
        <v>4.3072006714946287</v>
      </c>
    </row>
    <row r="248" spans="1:7" ht="17.100000000000001" customHeight="1" x14ac:dyDescent="0.3">
      <c r="A248" s="487">
        <v>150000879</v>
      </c>
      <c r="B248" s="488" t="s">
        <v>1471</v>
      </c>
      <c r="C248" s="467" t="s">
        <v>329</v>
      </c>
      <c r="D248" s="489">
        <v>5</v>
      </c>
      <c r="E248" s="490">
        <v>4.3163709991757031</v>
      </c>
      <c r="F248" s="490">
        <v>4.3163709991757031</v>
      </c>
      <c r="G248" s="490">
        <v>3.7158463973119575</v>
      </c>
    </row>
    <row r="249" spans="1:7" ht="17.100000000000001" customHeight="1" x14ac:dyDescent="0.3">
      <c r="A249" s="487">
        <v>150000880</v>
      </c>
      <c r="B249" s="488" t="s">
        <v>1472</v>
      </c>
      <c r="C249" s="467" t="s">
        <v>237</v>
      </c>
      <c r="D249" s="489">
        <v>4</v>
      </c>
      <c r="E249" s="490">
        <v>5.4922818295720166</v>
      </c>
      <c r="F249" s="490">
        <v>5.4922818295720166</v>
      </c>
      <c r="G249" s="490">
        <v>4.4900775110277635</v>
      </c>
    </row>
    <row r="250" spans="1:7" ht="17.100000000000001" customHeight="1" x14ac:dyDescent="0.3">
      <c r="A250" s="487">
        <v>150000881</v>
      </c>
      <c r="B250" s="488" t="s">
        <v>1473</v>
      </c>
      <c r="C250" s="467" t="s">
        <v>411</v>
      </c>
      <c r="D250" s="489">
        <v>9</v>
      </c>
      <c r="E250" s="490">
        <v>6.0331237061610556</v>
      </c>
      <c r="F250" s="490">
        <v>7.3708661190956599</v>
      </c>
      <c r="G250" s="490">
        <v>4.8640086323768257</v>
      </c>
    </row>
    <row r="251" spans="1:7" ht="17.100000000000001" customHeight="1" x14ac:dyDescent="0.3">
      <c r="A251" s="487">
        <v>150000882</v>
      </c>
      <c r="B251" s="488" t="s">
        <v>1474</v>
      </c>
      <c r="C251" s="467" t="s">
        <v>330</v>
      </c>
      <c r="D251" s="489">
        <v>5</v>
      </c>
      <c r="E251" s="490">
        <v>4.7845064703142004</v>
      </c>
      <c r="F251" s="490">
        <v>4.7845064703142004</v>
      </c>
      <c r="G251" s="490">
        <v>4.1877423872422943</v>
      </c>
    </row>
    <row r="252" spans="1:7" ht="17.100000000000001" customHeight="1" x14ac:dyDescent="0.3">
      <c r="A252" s="487">
        <v>150000883</v>
      </c>
      <c r="B252" s="488" t="s">
        <v>1475</v>
      </c>
      <c r="C252" s="467" t="s">
        <v>331</v>
      </c>
      <c r="D252" s="489">
        <v>5</v>
      </c>
      <c r="E252" s="490">
        <v>4.9902955220122482</v>
      </c>
      <c r="F252" s="490">
        <v>4.9902955220122482</v>
      </c>
      <c r="G252" s="490">
        <v>4.5453637618351932</v>
      </c>
    </row>
    <row r="253" spans="1:7" ht="17.100000000000001" customHeight="1" x14ac:dyDescent="0.3">
      <c r="A253" s="487">
        <v>150000884</v>
      </c>
      <c r="B253" s="488" t="s">
        <v>1476</v>
      </c>
      <c r="C253" s="467" t="s">
        <v>332</v>
      </c>
      <c r="D253" s="489">
        <v>5</v>
      </c>
      <c r="E253" s="490">
        <v>4.7928717224484174</v>
      </c>
      <c r="F253" s="490">
        <v>4.7928717224484174</v>
      </c>
      <c r="G253" s="490">
        <v>3.9668603481678271</v>
      </c>
    </row>
    <row r="254" spans="1:7" ht="17.100000000000001" customHeight="1" x14ac:dyDescent="0.3">
      <c r="A254" s="487">
        <v>150000885</v>
      </c>
      <c r="B254" s="488" t="s">
        <v>1477</v>
      </c>
      <c r="C254" s="467" t="s">
        <v>238</v>
      </c>
      <c r="D254" s="489">
        <v>4</v>
      </c>
      <c r="E254" s="490">
        <v>5.7187957935822613</v>
      </c>
      <c r="F254" s="490">
        <v>5.7187957935822613</v>
      </c>
      <c r="G254" s="490">
        <v>5.0466959695985496</v>
      </c>
    </row>
    <row r="255" spans="1:7" ht="17.100000000000001" customHeight="1" x14ac:dyDescent="0.3">
      <c r="A255" s="487">
        <v>150000886</v>
      </c>
      <c r="B255" s="488" t="s">
        <v>1433</v>
      </c>
      <c r="C255" s="467" t="s">
        <v>396</v>
      </c>
      <c r="D255" s="489">
        <v>9</v>
      </c>
      <c r="E255" s="490">
        <v>6.5566543950479614</v>
      </c>
      <c r="F255" s="490">
        <v>8.0215613090101101</v>
      </c>
      <c r="G255" s="490">
        <v>5.6380448354316508</v>
      </c>
    </row>
    <row r="256" spans="1:7" ht="17.100000000000001" customHeight="1" x14ac:dyDescent="0.3">
      <c r="A256" s="487">
        <v>150000887</v>
      </c>
      <c r="B256" s="488" t="s">
        <v>1434</v>
      </c>
      <c r="C256" s="467" t="s">
        <v>397</v>
      </c>
      <c r="D256" s="489">
        <v>9</v>
      </c>
      <c r="E256" s="490">
        <v>5.2395745962922504</v>
      </c>
      <c r="F256" s="490">
        <v>7.0389830495256023</v>
      </c>
      <c r="G256" s="490">
        <v>4.40626019608266</v>
      </c>
    </row>
    <row r="257" spans="1:7" ht="17.100000000000001" customHeight="1" x14ac:dyDescent="0.3">
      <c r="A257" s="487">
        <v>150000888</v>
      </c>
      <c r="B257" s="488" t="s">
        <v>1435</v>
      </c>
      <c r="C257" s="467" t="s">
        <v>313</v>
      </c>
      <c r="D257" s="489">
        <v>5</v>
      </c>
      <c r="E257" s="490">
        <v>5.344014140206613</v>
      </c>
      <c r="F257" s="490">
        <v>5.344014140206613</v>
      </c>
      <c r="G257" s="490">
        <v>4.4089826950038677</v>
      </c>
    </row>
    <row r="258" spans="1:7" ht="17.100000000000001" customHeight="1" x14ac:dyDescent="0.3">
      <c r="A258" s="487">
        <v>150000889</v>
      </c>
      <c r="B258" s="488" t="s">
        <v>1436</v>
      </c>
      <c r="C258" s="467" t="s">
        <v>427</v>
      </c>
      <c r="D258" s="489">
        <v>16</v>
      </c>
      <c r="E258" s="490">
        <v>5.9076034224481102</v>
      </c>
      <c r="F258" s="490">
        <v>7.8217347072966099</v>
      </c>
      <c r="G258" s="490">
        <v>4.4481474417672597</v>
      </c>
    </row>
    <row r="259" spans="1:7" ht="17.100000000000001" customHeight="1" x14ac:dyDescent="0.3">
      <c r="A259" s="487">
        <v>150000890</v>
      </c>
      <c r="B259" s="488" t="s">
        <v>1437</v>
      </c>
      <c r="C259" s="467" t="s">
        <v>398</v>
      </c>
      <c r="D259" s="489">
        <v>9</v>
      </c>
      <c r="E259" s="490">
        <v>5.7748612903465926</v>
      </c>
      <c r="F259" s="490">
        <v>6.967979940489295</v>
      </c>
      <c r="G259" s="490">
        <v>4.7955675854231004</v>
      </c>
    </row>
    <row r="260" spans="1:7" ht="17.100000000000001" customHeight="1" x14ac:dyDescent="0.3">
      <c r="A260" s="487">
        <v>150000891</v>
      </c>
      <c r="B260" s="488" t="s">
        <v>1438</v>
      </c>
      <c r="C260" s="467" t="s">
        <v>189</v>
      </c>
      <c r="D260" s="489">
        <v>2</v>
      </c>
      <c r="E260" s="490">
        <v>3.2987477403459833</v>
      </c>
      <c r="F260" s="490">
        <v>3.2987477403459833</v>
      </c>
      <c r="G260" s="490">
        <v>3.2609420218085963</v>
      </c>
    </row>
    <row r="261" spans="1:7" ht="17.100000000000001" customHeight="1" x14ac:dyDescent="0.3">
      <c r="A261" s="487">
        <v>150000892</v>
      </c>
      <c r="B261" s="488" t="s">
        <v>1440</v>
      </c>
      <c r="C261" s="467" t="s">
        <v>400</v>
      </c>
      <c r="D261" s="489">
        <v>9</v>
      </c>
      <c r="E261" s="490">
        <v>5.8821644209143864</v>
      </c>
      <c r="F261" s="490">
        <v>7.6184247042062072</v>
      </c>
      <c r="G261" s="490">
        <v>4.9164996750464756</v>
      </c>
    </row>
    <row r="262" spans="1:7" ht="17.100000000000001" customHeight="1" x14ac:dyDescent="0.3">
      <c r="A262" s="487">
        <v>150000893</v>
      </c>
      <c r="B262" s="488" t="s">
        <v>1441</v>
      </c>
      <c r="C262" s="467" t="s">
        <v>314</v>
      </c>
      <c r="D262" s="489">
        <v>5</v>
      </c>
      <c r="E262" s="490">
        <v>6.165342607461052</v>
      </c>
      <c r="F262" s="490">
        <v>6.165342607461052</v>
      </c>
      <c r="G262" s="490">
        <v>5.4818204994810511</v>
      </c>
    </row>
    <row r="263" spans="1:7" ht="17.100000000000001" customHeight="1" x14ac:dyDescent="0.3">
      <c r="A263" s="487">
        <v>150000894</v>
      </c>
      <c r="B263" s="488" t="s">
        <v>1442</v>
      </c>
      <c r="C263" s="467" t="s">
        <v>315</v>
      </c>
      <c r="D263" s="489">
        <v>5</v>
      </c>
      <c r="E263" s="490">
        <v>5.5088308451767816</v>
      </c>
      <c r="F263" s="490">
        <v>5.5088308451767816</v>
      </c>
      <c r="G263" s="490">
        <v>4.7081085471236435</v>
      </c>
    </row>
    <row r="264" spans="1:7" ht="17.100000000000001" customHeight="1" x14ac:dyDescent="0.3">
      <c r="A264" s="487">
        <v>150000895</v>
      </c>
      <c r="B264" s="488" t="s">
        <v>1443</v>
      </c>
      <c r="C264" s="467" t="s">
        <v>316</v>
      </c>
      <c r="D264" s="489">
        <v>5</v>
      </c>
      <c r="E264" s="490">
        <v>5.8189593334713248</v>
      </c>
      <c r="F264" s="490">
        <v>5.8189593334713248</v>
      </c>
      <c r="G264" s="490">
        <v>5.1320772158934558</v>
      </c>
    </row>
    <row r="265" spans="1:7" ht="17.100000000000001" customHeight="1" x14ac:dyDescent="0.3">
      <c r="A265" s="487">
        <v>150000896</v>
      </c>
      <c r="B265" s="488" t="s">
        <v>1445</v>
      </c>
      <c r="C265" s="467" t="s">
        <v>317</v>
      </c>
      <c r="D265" s="489">
        <v>5</v>
      </c>
      <c r="E265" s="490">
        <v>6.2817820034721361</v>
      </c>
      <c r="F265" s="490">
        <v>6.2817820034721361</v>
      </c>
      <c r="G265" s="490">
        <v>5.580869867366494</v>
      </c>
    </row>
    <row r="266" spans="1:7" ht="17.100000000000001" customHeight="1" x14ac:dyDescent="0.3">
      <c r="A266" s="487">
        <v>150000898</v>
      </c>
      <c r="B266" s="488" t="s">
        <v>1446</v>
      </c>
      <c r="C266" s="467" t="s">
        <v>190</v>
      </c>
      <c r="D266" s="489">
        <v>2</v>
      </c>
      <c r="E266" s="490">
        <v>5.4696178033779219</v>
      </c>
      <c r="F266" s="490">
        <v>5.4696178033779219</v>
      </c>
      <c r="G266" s="490">
        <v>4.6881384371343771</v>
      </c>
    </row>
    <row r="267" spans="1:7" ht="17.100000000000001" customHeight="1" x14ac:dyDescent="0.3">
      <c r="A267" s="487">
        <v>150000899</v>
      </c>
      <c r="B267" s="488" t="s">
        <v>1447</v>
      </c>
      <c r="C267" s="467" t="s">
        <v>402</v>
      </c>
      <c r="D267" s="489">
        <v>9</v>
      </c>
      <c r="E267" s="490">
        <v>6.2296637976742595</v>
      </c>
      <c r="F267" s="490">
        <v>8.0908032830489489</v>
      </c>
      <c r="G267" s="490">
        <v>5.4072836861622067</v>
      </c>
    </row>
    <row r="268" spans="1:7" ht="17.100000000000001" customHeight="1" x14ac:dyDescent="0.3">
      <c r="A268" s="487">
        <v>150000900</v>
      </c>
      <c r="B268" s="488" t="s">
        <v>1448</v>
      </c>
      <c r="C268" s="467" t="s">
        <v>425</v>
      </c>
      <c r="D268" s="489">
        <v>14</v>
      </c>
      <c r="E268" s="490">
        <v>5.1806639281683786</v>
      </c>
      <c r="F268" s="490">
        <v>6.7321105722838386</v>
      </c>
      <c r="G268" s="490">
        <v>4.364488486649468</v>
      </c>
    </row>
    <row r="269" spans="1:7" ht="17.100000000000001" customHeight="1" x14ac:dyDescent="0.3">
      <c r="A269" s="487">
        <v>150000901</v>
      </c>
      <c r="B269" s="488" t="s">
        <v>1449</v>
      </c>
      <c r="C269" s="467" t="s">
        <v>424</v>
      </c>
      <c r="D269" s="489">
        <v>10</v>
      </c>
      <c r="E269" s="490">
        <v>5.374989922114926</v>
      </c>
      <c r="F269" s="490">
        <v>6.5807678963577816</v>
      </c>
      <c r="G269" s="490">
        <v>4.4043739097732315</v>
      </c>
    </row>
    <row r="270" spans="1:7" ht="17.100000000000001" customHeight="1" x14ac:dyDescent="0.3">
      <c r="A270" s="487">
        <v>150000902</v>
      </c>
      <c r="B270" s="488" t="s">
        <v>1450</v>
      </c>
      <c r="C270" s="467" t="s">
        <v>403</v>
      </c>
      <c r="D270" s="489">
        <v>9</v>
      </c>
      <c r="E270" s="490">
        <v>6.263815729270541</v>
      </c>
      <c r="F270" s="490">
        <v>7.5754373747045127</v>
      </c>
      <c r="G270" s="490">
        <v>4.8720094565163663</v>
      </c>
    </row>
    <row r="271" spans="1:7" ht="17.100000000000001" customHeight="1" x14ac:dyDescent="0.3">
      <c r="A271" s="487">
        <v>150000903</v>
      </c>
      <c r="B271" s="488" t="s">
        <v>1451</v>
      </c>
      <c r="C271" s="467" t="s">
        <v>404</v>
      </c>
      <c r="D271" s="489">
        <v>9</v>
      </c>
      <c r="E271" s="490">
        <v>6.0210613147364924</v>
      </c>
      <c r="F271" s="490">
        <v>7.4159370485171348</v>
      </c>
      <c r="G271" s="490">
        <v>4.902761195731947</v>
      </c>
    </row>
    <row r="272" spans="1:7" ht="17.100000000000001" customHeight="1" x14ac:dyDescent="0.3">
      <c r="A272" s="487">
        <v>150000904</v>
      </c>
      <c r="B272" s="488" t="s">
        <v>1452</v>
      </c>
      <c r="C272" s="467" t="s">
        <v>405</v>
      </c>
      <c r="D272" s="489">
        <v>9</v>
      </c>
      <c r="E272" s="490">
        <v>5.4974410792531181</v>
      </c>
      <c r="F272" s="490">
        <v>6.4004330780873575</v>
      </c>
      <c r="G272" s="490">
        <v>4.7058646823917085</v>
      </c>
    </row>
    <row r="273" spans="1:7" ht="17.100000000000001" customHeight="1" x14ac:dyDescent="0.3">
      <c r="A273" s="487">
        <v>150000905</v>
      </c>
      <c r="B273" s="488" t="s">
        <v>1453</v>
      </c>
      <c r="C273" s="467" t="s">
        <v>426</v>
      </c>
      <c r="D273" s="489">
        <v>14</v>
      </c>
      <c r="E273" s="490">
        <v>5.1778941873449247</v>
      </c>
      <c r="F273" s="490">
        <v>6.1836081891955024</v>
      </c>
      <c r="G273" s="490">
        <v>4.0581384682186332</v>
      </c>
    </row>
    <row r="274" spans="1:7" ht="17.100000000000001" customHeight="1" x14ac:dyDescent="0.3">
      <c r="A274" s="487">
        <v>150000906</v>
      </c>
      <c r="B274" s="488" t="s">
        <v>1454</v>
      </c>
      <c r="C274" s="467" t="s">
        <v>406</v>
      </c>
      <c r="D274" s="489">
        <v>9</v>
      </c>
      <c r="E274" s="490">
        <v>6.1892263626777879</v>
      </c>
      <c r="F274" s="490">
        <v>7.5756691616216321</v>
      </c>
      <c r="G274" s="490">
        <v>5.0288090620344281</v>
      </c>
    </row>
    <row r="275" spans="1:7" ht="17.100000000000001" customHeight="1" x14ac:dyDescent="0.3">
      <c r="A275" s="487">
        <v>150000907</v>
      </c>
      <c r="B275" s="488" t="s">
        <v>1455</v>
      </c>
      <c r="C275" s="467" t="s">
        <v>407</v>
      </c>
      <c r="D275" s="489">
        <v>9</v>
      </c>
      <c r="E275" s="490">
        <v>5.3860259371296442</v>
      </c>
      <c r="F275" s="490">
        <v>7.1563209055226125</v>
      </c>
      <c r="G275" s="490">
        <v>4.8064439073401326</v>
      </c>
    </row>
    <row r="276" spans="1:7" ht="17.100000000000001" customHeight="1" x14ac:dyDescent="0.3">
      <c r="A276" s="487">
        <v>150000908</v>
      </c>
      <c r="B276" s="488" t="s">
        <v>1456</v>
      </c>
      <c r="C276" s="467" t="s">
        <v>408</v>
      </c>
      <c r="D276" s="489">
        <v>9</v>
      </c>
      <c r="E276" s="490">
        <v>5.2437824865425959</v>
      </c>
      <c r="F276" s="490">
        <v>6.9989410142182269</v>
      </c>
      <c r="G276" s="490">
        <v>4.6037864559490425</v>
      </c>
    </row>
    <row r="277" spans="1:7" ht="17.100000000000001" customHeight="1" x14ac:dyDescent="0.3">
      <c r="A277" s="487">
        <v>150000909</v>
      </c>
      <c r="B277" s="488" t="s">
        <v>1457</v>
      </c>
      <c r="C277" s="467" t="s">
        <v>409</v>
      </c>
      <c r="D277" s="489">
        <v>9</v>
      </c>
      <c r="E277" s="490">
        <v>5.2080976301342128</v>
      </c>
      <c r="F277" s="490">
        <v>6.5253518145646332</v>
      </c>
      <c r="G277" s="490">
        <v>4.551304042874766</v>
      </c>
    </row>
    <row r="278" spans="1:7" ht="17.100000000000001" customHeight="1" x14ac:dyDescent="0.3">
      <c r="A278" s="487">
        <v>150000910</v>
      </c>
      <c r="B278" s="488" t="s">
        <v>1458</v>
      </c>
      <c r="C278" s="467" t="s">
        <v>410</v>
      </c>
      <c r="D278" s="489">
        <v>9</v>
      </c>
      <c r="E278" s="490">
        <v>5.2631576008344529</v>
      </c>
      <c r="F278" s="490">
        <v>6.404074630678072</v>
      </c>
      <c r="G278" s="490">
        <v>4.6865611955464042</v>
      </c>
    </row>
    <row r="279" spans="1:7" ht="17.100000000000001" customHeight="1" x14ac:dyDescent="0.3">
      <c r="A279" s="487">
        <v>150000911</v>
      </c>
      <c r="B279" s="488" t="s">
        <v>1459</v>
      </c>
      <c r="C279" s="467" t="s">
        <v>318</v>
      </c>
      <c r="D279" s="489">
        <v>5</v>
      </c>
      <c r="E279" s="490">
        <v>5.580107755872346</v>
      </c>
      <c r="F279" s="490">
        <v>5.580107755872346</v>
      </c>
      <c r="G279" s="490">
        <v>4.9377507063391226</v>
      </c>
    </row>
    <row r="280" spans="1:7" ht="17.100000000000001" customHeight="1" x14ac:dyDescent="0.3">
      <c r="A280" s="487">
        <v>150000912</v>
      </c>
      <c r="B280" s="488" t="s">
        <v>1460</v>
      </c>
      <c r="C280" s="467" t="s">
        <v>319</v>
      </c>
      <c r="D280" s="489">
        <v>5</v>
      </c>
      <c r="E280" s="490">
        <v>5.7663118305513743</v>
      </c>
      <c r="F280" s="490">
        <v>5.7663118305513743</v>
      </c>
      <c r="G280" s="490">
        <v>5.1495663880205864</v>
      </c>
    </row>
    <row r="281" spans="1:7" ht="17.100000000000001" customHeight="1" x14ac:dyDescent="0.3">
      <c r="A281" s="487">
        <v>150000913</v>
      </c>
      <c r="B281" s="488" t="s">
        <v>1461</v>
      </c>
      <c r="C281" s="467" t="s">
        <v>320</v>
      </c>
      <c r="D281" s="489">
        <v>5</v>
      </c>
      <c r="E281" s="490">
        <v>6.0966466025054391</v>
      </c>
      <c r="F281" s="490">
        <v>6.0966466025054391</v>
      </c>
      <c r="G281" s="490">
        <v>5.4299600760667888</v>
      </c>
    </row>
    <row r="282" spans="1:7" ht="17.100000000000001" customHeight="1" x14ac:dyDescent="0.3">
      <c r="A282" s="487">
        <v>150000914</v>
      </c>
      <c r="B282" s="488" t="s">
        <v>1462</v>
      </c>
      <c r="C282" s="467" t="s">
        <v>321</v>
      </c>
      <c r="D282" s="489">
        <v>5</v>
      </c>
      <c r="E282" s="490">
        <v>6.1136456425927124</v>
      </c>
      <c r="F282" s="490">
        <v>6.1136456425927124</v>
      </c>
      <c r="G282" s="490">
        <v>5.4404742435281017</v>
      </c>
    </row>
    <row r="283" spans="1:7" ht="17.100000000000001" customHeight="1" x14ac:dyDescent="0.3">
      <c r="A283" s="487">
        <v>150000915</v>
      </c>
      <c r="B283" s="488" t="s">
        <v>1463</v>
      </c>
      <c r="C283" s="467" t="s">
        <v>322</v>
      </c>
      <c r="D283" s="489">
        <v>5</v>
      </c>
      <c r="E283" s="490">
        <v>6.2843408309969666</v>
      </c>
      <c r="F283" s="490">
        <v>6.2843408309969666</v>
      </c>
      <c r="G283" s="490">
        <v>5.6363329424725261</v>
      </c>
    </row>
    <row r="284" spans="1:7" ht="17.100000000000001" customHeight="1" x14ac:dyDescent="0.3">
      <c r="A284" s="487">
        <v>150000916</v>
      </c>
      <c r="B284" s="488" t="s">
        <v>1464</v>
      </c>
      <c r="C284" s="467" t="s">
        <v>323</v>
      </c>
      <c r="D284" s="489">
        <v>5</v>
      </c>
      <c r="E284" s="490">
        <v>5.5906855284391614</v>
      </c>
      <c r="F284" s="490">
        <v>5.5906855284391614</v>
      </c>
      <c r="G284" s="490">
        <v>4.9113862438411564</v>
      </c>
    </row>
    <row r="285" spans="1:7" ht="17.100000000000001" customHeight="1" x14ac:dyDescent="0.3">
      <c r="A285" s="487">
        <v>150000917</v>
      </c>
      <c r="B285" s="488" t="s">
        <v>1465</v>
      </c>
      <c r="C285" s="467" t="s">
        <v>324</v>
      </c>
      <c r="D285" s="489">
        <v>5</v>
      </c>
      <c r="E285" s="490">
        <v>5.8258217005018338</v>
      </c>
      <c r="F285" s="490">
        <v>5.8258217005018338</v>
      </c>
      <c r="G285" s="490">
        <v>5.2027302836150042</v>
      </c>
    </row>
    <row r="286" spans="1:7" ht="17.100000000000001" customHeight="1" x14ac:dyDescent="0.3">
      <c r="A286" s="487">
        <v>150000918</v>
      </c>
      <c r="B286" s="488" t="s">
        <v>1466</v>
      </c>
      <c r="C286" s="467" t="s">
        <v>325</v>
      </c>
      <c r="D286" s="489">
        <v>5</v>
      </c>
      <c r="E286" s="490">
        <v>5.365435271005575</v>
      </c>
      <c r="F286" s="490">
        <v>5.365435271005575</v>
      </c>
      <c r="G286" s="490">
        <v>4.7751047071439183</v>
      </c>
    </row>
    <row r="287" spans="1:7" ht="17.100000000000001" customHeight="1" x14ac:dyDescent="0.3">
      <c r="A287" s="487">
        <v>150000919</v>
      </c>
      <c r="B287" s="488" t="s">
        <v>1467</v>
      </c>
      <c r="C287" s="467" t="s">
        <v>326</v>
      </c>
      <c r="D287" s="489">
        <v>5</v>
      </c>
      <c r="E287" s="490">
        <v>5.4337172846068142</v>
      </c>
      <c r="F287" s="490">
        <v>5.4337172846068142</v>
      </c>
      <c r="G287" s="490">
        <v>4.8415828141983965</v>
      </c>
    </row>
    <row r="288" spans="1:7" ht="17.100000000000001" customHeight="1" x14ac:dyDescent="0.3">
      <c r="A288" s="487">
        <v>150000920</v>
      </c>
      <c r="B288" s="488" t="s">
        <v>1468</v>
      </c>
      <c r="C288" s="467" t="s">
        <v>327</v>
      </c>
      <c r="D288" s="489">
        <v>5</v>
      </c>
      <c r="E288" s="490">
        <v>5.5996264193501846</v>
      </c>
      <c r="F288" s="490">
        <v>5.5996264193501846</v>
      </c>
      <c r="G288" s="490">
        <v>5.0142062075803944</v>
      </c>
    </row>
    <row r="289" spans="1:7" ht="17.100000000000001" customHeight="1" x14ac:dyDescent="0.3">
      <c r="A289" s="487">
        <v>150000921</v>
      </c>
      <c r="B289" s="488" t="s">
        <v>1469</v>
      </c>
      <c r="C289" s="467" t="s">
        <v>328</v>
      </c>
      <c r="D289" s="489">
        <v>5</v>
      </c>
      <c r="E289" s="490">
        <v>5.1933939812784011</v>
      </c>
      <c r="F289" s="490">
        <v>5.1933939812784011</v>
      </c>
      <c r="G289" s="490">
        <v>4.5927724053466585</v>
      </c>
    </row>
    <row r="290" spans="1:7" ht="17.100000000000001" customHeight="1" x14ac:dyDescent="0.3">
      <c r="A290" s="487">
        <v>150000922</v>
      </c>
      <c r="B290" s="488" t="s">
        <v>1444</v>
      </c>
      <c r="C290" s="467" t="s">
        <v>401</v>
      </c>
      <c r="D290" s="489">
        <v>9</v>
      </c>
      <c r="E290" s="490">
        <v>5.8433255881341406</v>
      </c>
      <c r="F290" s="490">
        <v>7.593242094691961</v>
      </c>
      <c r="G290" s="490">
        <v>4.9145443183519957</v>
      </c>
    </row>
    <row r="291" spans="1:7" ht="17.100000000000001" customHeight="1" x14ac:dyDescent="0.3">
      <c r="A291" s="487">
        <v>150000924</v>
      </c>
      <c r="B291" s="488" t="s">
        <v>1376</v>
      </c>
      <c r="C291" s="467" t="s">
        <v>174</v>
      </c>
      <c r="D291" s="489">
        <v>2</v>
      </c>
      <c r="E291" s="490">
        <v>6.6759927290331005</v>
      </c>
      <c r="F291" s="490">
        <v>6.6759927290331005</v>
      </c>
      <c r="G291" s="490">
        <v>6.0714082225956307</v>
      </c>
    </row>
    <row r="292" spans="1:7" ht="17.100000000000001" customHeight="1" x14ac:dyDescent="0.3">
      <c r="A292" s="487">
        <v>150000925</v>
      </c>
      <c r="B292" s="488" t="s">
        <v>1383</v>
      </c>
      <c r="C292" s="467" t="s">
        <v>176</v>
      </c>
      <c r="D292" s="489">
        <v>2</v>
      </c>
      <c r="E292" s="490">
        <v>6.7602509110912328</v>
      </c>
      <c r="F292" s="490">
        <v>6.7602509110912328</v>
      </c>
      <c r="G292" s="490">
        <v>6.1547841019014857</v>
      </c>
    </row>
    <row r="293" spans="1:7" ht="17.100000000000001" customHeight="1" x14ac:dyDescent="0.3">
      <c r="A293" s="487">
        <v>150000926</v>
      </c>
      <c r="B293" s="488" t="s">
        <v>1385</v>
      </c>
      <c r="C293" s="467" t="s">
        <v>177</v>
      </c>
      <c r="D293" s="489">
        <v>2</v>
      </c>
      <c r="E293" s="490">
        <v>6.6907072500777263</v>
      </c>
      <c r="F293" s="490">
        <v>6.6907072500777263</v>
      </c>
      <c r="G293" s="490">
        <v>5.9332380993136402</v>
      </c>
    </row>
    <row r="294" spans="1:7" ht="17.100000000000001" customHeight="1" x14ac:dyDescent="0.3">
      <c r="A294" s="487">
        <v>150000927</v>
      </c>
      <c r="B294" s="488" t="s">
        <v>1391</v>
      </c>
      <c r="C294" s="467" t="s">
        <v>178</v>
      </c>
      <c r="D294" s="489">
        <v>2</v>
      </c>
      <c r="E294" s="490">
        <v>6.2749403713151359</v>
      </c>
      <c r="F294" s="490">
        <v>6.2749403713151359</v>
      </c>
      <c r="G294" s="490">
        <v>4.8255448833660886</v>
      </c>
    </row>
    <row r="295" spans="1:7" ht="17.100000000000001" customHeight="1" x14ac:dyDescent="0.3">
      <c r="A295" s="487">
        <v>150000928</v>
      </c>
      <c r="B295" s="488" t="s">
        <v>1369</v>
      </c>
      <c r="C295" s="467" t="s">
        <v>169</v>
      </c>
      <c r="D295" s="489">
        <v>2</v>
      </c>
      <c r="E295" s="490">
        <v>6.6193110667870476</v>
      </c>
      <c r="F295" s="490">
        <v>6.6193110667870476</v>
      </c>
      <c r="G295" s="490">
        <v>5.4110289544240073</v>
      </c>
    </row>
    <row r="296" spans="1:7" ht="17.100000000000001" customHeight="1" x14ac:dyDescent="0.3">
      <c r="A296" s="487">
        <v>150000929</v>
      </c>
      <c r="B296" s="488" t="s">
        <v>1372</v>
      </c>
      <c r="C296" s="467" t="s">
        <v>1094</v>
      </c>
      <c r="D296" s="489">
        <v>2</v>
      </c>
      <c r="E296" s="490">
        <v>6.4864049415581411</v>
      </c>
      <c r="F296" s="490">
        <v>6.4864049415581411</v>
      </c>
      <c r="G296" s="490">
        <v>5.3130248116096013</v>
      </c>
    </row>
    <row r="297" spans="1:7" ht="17.100000000000001" customHeight="1" x14ac:dyDescent="0.3">
      <c r="A297" s="487">
        <v>150000930</v>
      </c>
      <c r="B297" s="488" t="s">
        <v>1373</v>
      </c>
      <c r="C297" s="467" t="s">
        <v>172</v>
      </c>
      <c r="D297" s="489">
        <v>2</v>
      </c>
      <c r="E297" s="490">
        <v>7.2629055045102007</v>
      </c>
      <c r="F297" s="490">
        <v>7.2629055045102007</v>
      </c>
      <c r="G297" s="490">
        <v>5.7225306602392569</v>
      </c>
    </row>
    <row r="298" spans="1:7" ht="17.100000000000001" customHeight="1" x14ac:dyDescent="0.3">
      <c r="A298" s="487">
        <v>150000931</v>
      </c>
      <c r="B298" s="488" t="s">
        <v>1374</v>
      </c>
      <c r="C298" s="467" t="s">
        <v>266</v>
      </c>
      <c r="D298" s="489">
        <v>5</v>
      </c>
      <c r="E298" s="490">
        <v>5.9322754752678852</v>
      </c>
      <c r="F298" s="490">
        <v>5.9322754752678852</v>
      </c>
      <c r="G298" s="490">
        <v>4.8176938471256321</v>
      </c>
    </row>
    <row r="299" spans="1:7" ht="17.100000000000001" customHeight="1" x14ac:dyDescent="0.3">
      <c r="A299" s="487">
        <v>150000932</v>
      </c>
      <c r="B299" s="488" t="s">
        <v>1375</v>
      </c>
      <c r="C299" s="467" t="s">
        <v>173</v>
      </c>
      <c r="D299" s="489">
        <v>2</v>
      </c>
      <c r="E299" s="490">
        <v>5.3779254637922085</v>
      </c>
      <c r="F299" s="490">
        <v>5.3779254637922085</v>
      </c>
      <c r="G299" s="490">
        <v>5.2997657462911807</v>
      </c>
    </row>
    <row r="300" spans="1:7" ht="17.100000000000001" customHeight="1" x14ac:dyDescent="0.3">
      <c r="A300" s="487">
        <v>150000933</v>
      </c>
      <c r="B300" s="488" t="s">
        <v>1377</v>
      </c>
      <c r="C300" s="467" t="s">
        <v>267</v>
      </c>
      <c r="D300" s="489">
        <v>5</v>
      </c>
      <c r="E300" s="490">
        <v>5.5279015960138524</v>
      </c>
      <c r="F300" s="490">
        <v>5.5279015960138524</v>
      </c>
      <c r="G300" s="490">
        <v>4.8087382599962156</v>
      </c>
    </row>
    <row r="301" spans="1:7" ht="17.100000000000001" customHeight="1" x14ac:dyDescent="0.3">
      <c r="A301" s="487">
        <v>150000934</v>
      </c>
      <c r="B301" s="488" t="s">
        <v>1378</v>
      </c>
      <c r="C301" s="467" t="s">
        <v>215</v>
      </c>
      <c r="D301" s="489">
        <v>4</v>
      </c>
      <c r="E301" s="490">
        <v>5.8489643168303616</v>
      </c>
      <c r="F301" s="490">
        <v>5.8489643168303616</v>
      </c>
      <c r="G301" s="490">
        <v>5.0890944801119566</v>
      </c>
    </row>
    <row r="302" spans="1:7" ht="17.100000000000001" customHeight="1" x14ac:dyDescent="0.3">
      <c r="A302" s="487">
        <v>150000935</v>
      </c>
      <c r="B302" s="488" t="s">
        <v>1379</v>
      </c>
      <c r="C302" s="467" t="s">
        <v>175</v>
      </c>
      <c r="D302" s="489">
        <v>2</v>
      </c>
      <c r="E302" s="490">
        <v>6.5412780168068663</v>
      </c>
      <c r="F302" s="490">
        <v>6.5412780168068663</v>
      </c>
      <c r="G302" s="490">
        <v>6.1423626080611413</v>
      </c>
    </row>
    <row r="303" spans="1:7" ht="17.100000000000001" customHeight="1" x14ac:dyDescent="0.3">
      <c r="A303" s="487">
        <v>150000936</v>
      </c>
      <c r="B303" s="488" t="s">
        <v>1380</v>
      </c>
      <c r="C303" s="467" t="s">
        <v>121</v>
      </c>
      <c r="D303" s="489">
        <v>1</v>
      </c>
      <c r="E303" s="490">
        <v>1.2874848774224199</v>
      </c>
      <c r="F303" s="490"/>
      <c r="G303" s="490">
        <v>1.2874848774224199</v>
      </c>
    </row>
    <row r="304" spans="1:7" ht="17.100000000000001" customHeight="1" x14ac:dyDescent="0.3">
      <c r="A304" s="487">
        <v>150000937</v>
      </c>
      <c r="B304" s="488" t="s">
        <v>1381</v>
      </c>
      <c r="C304" s="467" t="s">
        <v>374</v>
      </c>
      <c r="D304" s="489">
        <v>9</v>
      </c>
      <c r="E304" s="490">
        <v>5.8706639677490982</v>
      </c>
      <c r="F304" s="490">
        <v>7.1588742181482861</v>
      </c>
      <c r="G304" s="490">
        <v>5.0752130724542273</v>
      </c>
    </row>
    <row r="305" spans="1:7" ht="17.100000000000001" customHeight="1" x14ac:dyDescent="0.3">
      <c r="A305" s="487">
        <v>150000938</v>
      </c>
      <c r="B305" s="488" t="s">
        <v>1382</v>
      </c>
      <c r="C305" s="467" t="s">
        <v>375</v>
      </c>
      <c r="D305" s="489">
        <v>9</v>
      </c>
      <c r="E305" s="490">
        <v>5.8029918821323241</v>
      </c>
      <c r="F305" s="490">
        <v>6.785891222453202</v>
      </c>
      <c r="G305" s="490">
        <v>4.8876750678859526</v>
      </c>
    </row>
    <row r="306" spans="1:7" ht="17.100000000000001" customHeight="1" x14ac:dyDescent="0.3">
      <c r="A306" s="487">
        <v>150000939</v>
      </c>
      <c r="B306" s="488" t="s">
        <v>1384</v>
      </c>
      <c r="C306" s="467" t="s">
        <v>336</v>
      </c>
      <c r="D306" s="489">
        <v>8</v>
      </c>
      <c r="E306" s="490">
        <v>6.2849997864631355</v>
      </c>
      <c r="F306" s="490">
        <v>7.3295455383421553</v>
      </c>
      <c r="G306" s="490">
        <v>5.5503817432426166</v>
      </c>
    </row>
    <row r="307" spans="1:7" ht="17.100000000000001" customHeight="1" x14ac:dyDescent="0.3">
      <c r="A307" s="487">
        <v>150000940</v>
      </c>
      <c r="B307" s="488" t="s">
        <v>1386</v>
      </c>
      <c r="C307" s="467" t="s">
        <v>376</v>
      </c>
      <c r="D307" s="489">
        <v>9</v>
      </c>
      <c r="E307" s="490">
        <v>5.9786604375016941</v>
      </c>
      <c r="F307" s="490">
        <v>7.5749399607295995</v>
      </c>
      <c r="G307" s="490">
        <v>5.1698747787574808</v>
      </c>
    </row>
    <row r="308" spans="1:7" ht="17.100000000000001" customHeight="1" x14ac:dyDescent="0.3">
      <c r="A308" s="487">
        <v>150000941</v>
      </c>
      <c r="B308" s="488" t="s">
        <v>1387</v>
      </c>
      <c r="C308" s="467" t="s">
        <v>337</v>
      </c>
      <c r="D308" s="489">
        <v>8</v>
      </c>
      <c r="E308" s="490">
        <v>5.7183398893793296</v>
      </c>
      <c r="F308" s="490">
        <v>6.9982593610983361</v>
      </c>
      <c r="G308" s="490">
        <v>4.8271945726534469</v>
      </c>
    </row>
    <row r="309" spans="1:7" ht="17.100000000000001" customHeight="1" x14ac:dyDescent="0.3">
      <c r="A309" s="487">
        <v>150000943</v>
      </c>
      <c r="B309" s="488" t="s">
        <v>1395</v>
      </c>
      <c r="C309" s="467" t="s">
        <v>122</v>
      </c>
      <c r="D309" s="489">
        <v>1</v>
      </c>
      <c r="E309" s="490">
        <v>2.0572853504956119</v>
      </c>
      <c r="F309" s="490"/>
      <c r="G309" s="490">
        <v>2.0572853504956119</v>
      </c>
    </row>
    <row r="310" spans="1:7" ht="17.100000000000001" customHeight="1" x14ac:dyDescent="0.3">
      <c r="A310" s="487">
        <v>150000944</v>
      </c>
      <c r="B310" s="488" t="s">
        <v>1396</v>
      </c>
      <c r="C310" s="467" t="s">
        <v>123</v>
      </c>
      <c r="D310" s="489">
        <v>1</v>
      </c>
      <c r="E310" s="490">
        <v>2.301277428158182</v>
      </c>
      <c r="F310" s="490"/>
      <c r="G310" s="490">
        <v>2.301277428158182</v>
      </c>
    </row>
    <row r="311" spans="1:7" ht="17.100000000000001" customHeight="1" x14ac:dyDescent="0.3">
      <c r="A311" s="487">
        <v>150000945</v>
      </c>
      <c r="B311" s="488" t="s">
        <v>1397</v>
      </c>
      <c r="C311" s="467" t="s">
        <v>421</v>
      </c>
      <c r="D311" s="489">
        <v>10</v>
      </c>
      <c r="E311" s="490">
        <v>6.1638691886409589</v>
      </c>
      <c r="F311" s="490">
        <v>7.0827901464063849</v>
      </c>
      <c r="G311" s="490">
        <v>5.0421398789081495</v>
      </c>
    </row>
    <row r="312" spans="1:7" ht="17.100000000000001" customHeight="1" x14ac:dyDescent="0.3">
      <c r="A312" s="487">
        <v>150000946</v>
      </c>
      <c r="B312" s="488" t="s">
        <v>1398</v>
      </c>
      <c r="C312" s="467" t="s">
        <v>124</v>
      </c>
      <c r="D312" s="489">
        <v>1</v>
      </c>
      <c r="E312" s="490">
        <v>2.0081809217969679</v>
      </c>
      <c r="F312" s="490"/>
      <c r="G312" s="490">
        <v>2.0081809217969679</v>
      </c>
    </row>
    <row r="313" spans="1:7" ht="17.100000000000001" customHeight="1" x14ac:dyDescent="0.3">
      <c r="A313" s="487">
        <v>150000947</v>
      </c>
      <c r="B313" s="488" t="s">
        <v>1399</v>
      </c>
      <c r="C313" s="467" t="s">
        <v>268</v>
      </c>
      <c r="D313" s="489">
        <v>5</v>
      </c>
      <c r="E313" s="490">
        <v>5.8205260297486223</v>
      </c>
      <c r="F313" s="490">
        <v>5.8205260297486223</v>
      </c>
      <c r="G313" s="490">
        <v>5.2051000669991927</v>
      </c>
    </row>
    <row r="314" spans="1:7" ht="17.100000000000001" customHeight="1" x14ac:dyDescent="0.3">
      <c r="A314" s="487">
        <v>150000948</v>
      </c>
      <c r="B314" s="488" t="s">
        <v>1400</v>
      </c>
      <c r="C314" s="467" t="s">
        <v>383</v>
      </c>
      <c r="D314" s="489">
        <v>9</v>
      </c>
      <c r="E314" s="490">
        <v>5.7972584118578867</v>
      </c>
      <c r="F314" s="490">
        <v>7.5670710797245171</v>
      </c>
      <c r="G314" s="490">
        <v>4.7391552306308311</v>
      </c>
    </row>
    <row r="315" spans="1:7" ht="17.100000000000001" customHeight="1" x14ac:dyDescent="0.3">
      <c r="A315" s="487">
        <v>150000949</v>
      </c>
      <c r="B315" s="488" t="s">
        <v>1401</v>
      </c>
      <c r="C315" s="467" t="s">
        <v>384</v>
      </c>
      <c r="D315" s="489">
        <v>9</v>
      </c>
      <c r="E315" s="490">
        <v>5.8862007677600197</v>
      </c>
      <c r="F315" s="490">
        <v>7.7337608825549449</v>
      </c>
      <c r="G315" s="490">
        <v>4.8979731199421837</v>
      </c>
    </row>
    <row r="316" spans="1:7" ht="17.100000000000001" customHeight="1" x14ac:dyDescent="0.3">
      <c r="A316" s="487">
        <v>150000951</v>
      </c>
      <c r="B316" s="488" t="s">
        <v>1370</v>
      </c>
      <c r="C316" s="467" t="s">
        <v>170</v>
      </c>
      <c r="D316" s="489">
        <v>2</v>
      </c>
      <c r="E316" s="490">
        <v>1.8043309708955932</v>
      </c>
      <c r="F316" s="490">
        <v>1.8043309708955932</v>
      </c>
      <c r="G316" s="490">
        <v>1.8043309708955932</v>
      </c>
    </row>
    <row r="317" spans="1:7" ht="17.100000000000001" customHeight="1" x14ac:dyDescent="0.3">
      <c r="A317" s="487">
        <v>150000954</v>
      </c>
      <c r="B317" s="488" t="s">
        <v>1371</v>
      </c>
      <c r="C317" s="467" t="s">
        <v>171</v>
      </c>
      <c r="D317" s="489">
        <v>2</v>
      </c>
      <c r="E317" s="490">
        <v>4.2613214273511044</v>
      </c>
      <c r="F317" s="490">
        <v>4.2613214273511044</v>
      </c>
      <c r="G317" s="490">
        <v>4.1999855776374595</v>
      </c>
    </row>
    <row r="318" spans="1:7" ht="17.100000000000001" customHeight="1" x14ac:dyDescent="0.3">
      <c r="A318" s="487">
        <v>150000957</v>
      </c>
      <c r="B318" s="488" t="s">
        <v>1388</v>
      </c>
      <c r="C318" s="467" t="s">
        <v>377</v>
      </c>
      <c r="D318" s="489">
        <v>9</v>
      </c>
      <c r="E318" s="490">
        <v>5.809827008005727</v>
      </c>
      <c r="F318" s="490">
        <v>7.0076229544282311</v>
      </c>
      <c r="G318" s="490">
        <v>4.9476341243264237</v>
      </c>
    </row>
    <row r="319" spans="1:7" ht="17.100000000000001" customHeight="1" x14ac:dyDescent="0.3">
      <c r="A319" s="491">
        <v>150000958</v>
      </c>
      <c r="B319" s="488" t="s">
        <v>1392</v>
      </c>
      <c r="C319" s="467" t="s">
        <v>380</v>
      </c>
      <c r="D319" s="489">
        <v>9</v>
      </c>
      <c r="E319" s="490">
        <v>5.9416176560694929</v>
      </c>
      <c r="F319" s="490">
        <v>7.3617400284574916</v>
      </c>
      <c r="G319" s="490">
        <v>5.0772184690353361</v>
      </c>
    </row>
    <row r="320" spans="1:7" ht="17.100000000000001" customHeight="1" x14ac:dyDescent="0.3">
      <c r="A320" s="487">
        <v>150000960</v>
      </c>
      <c r="B320" s="488" t="s">
        <v>1389</v>
      </c>
      <c r="C320" s="467" t="s">
        <v>378</v>
      </c>
      <c r="D320" s="489">
        <v>9</v>
      </c>
      <c r="E320" s="490">
        <v>5.6836987719722512</v>
      </c>
      <c r="F320" s="490">
        <v>6.9432815822234044</v>
      </c>
      <c r="G320" s="490">
        <v>4.8203134468006077</v>
      </c>
    </row>
    <row r="321" spans="1:7" ht="17.100000000000001" customHeight="1" x14ac:dyDescent="0.3">
      <c r="A321" s="487">
        <v>150000961</v>
      </c>
      <c r="B321" s="488" t="s">
        <v>1393</v>
      </c>
      <c r="C321" s="467" t="s">
        <v>381</v>
      </c>
      <c r="D321" s="489">
        <v>9</v>
      </c>
      <c r="E321" s="490">
        <v>5.4419018691347851</v>
      </c>
      <c r="F321" s="490">
        <v>6.843691351662434</v>
      </c>
      <c r="G321" s="490">
        <v>4.5933468496019625</v>
      </c>
    </row>
    <row r="322" spans="1:7" ht="17.100000000000001" customHeight="1" x14ac:dyDescent="0.3">
      <c r="A322" s="487">
        <v>150000963</v>
      </c>
      <c r="B322" s="488" t="s">
        <v>1390</v>
      </c>
      <c r="C322" s="467" t="s">
        <v>379</v>
      </c>
      <c r="D322" s="489">
        <v>9</v>
      </c>
      <c r="E322" s="490">
        <v>6.1152942221564306</v>
      </c>
      <c r="F322" s="490">
        <v>7.4523967592929017</v>
      </c>
      <c r="G322" s="490">
        <v>5.2453065466542226</v>
      </c>
    </row>
    <row r="323" spans="1:7" ht="17.100000000000001" customHeight="1" x14ac:dyDescent="0.3">
      <c r="A323" s="487">
        <v>150000964</v>
      </c>
      <c r="B323" s="488" t="s">
        <v>1394</v>
      </c>
      <c r="C323" s="467" t="s">
        <v>382</v>
      </c>
      <c r="D323" s="489">
        <v>9</v>
      </c>
      <c r="E323" s="490">
        <v>5.7176837039105264</v>
      </c>
      <c r="F323" s="490">
        <v>7.1385903143758922</v>
      </c>
      <c r="G323" s="490">
        <v>4.8512977476068508</v>
      </c>
    </row>
    <row r="324" spans="1:7" ht="17.100000000000001" customHeight="1" x14ac:dyDescent="0.3">
      <c r="A324" s="487">
        <v>150000966</v>
      </c>
      <c r="B324" s="488" t="s">
        <v>1201</v>
      </c>
      <c r="C324" s="467" t="s">
        <v>204</v>
      </c>
      <c r="D324" s="489">
        <v>4</v>
      </c>
      <c r="E324" s="490">
        <v>6.4919833611606617</v>
      </c>
      <c r="F324" s="490">
        <v>6.4919833611606617</v>
      </c>
      <c r="G324" s="490">
        <v>5.6091247455764019</v>
      </c>
    </row>
    <row r="325" spans="1:7" ht="17.100000000000001" customHeight="1" x14ac:dyDescent="0.3">
      <c r="A325" s="487">
        <v>150000967</v>
      </c>
      <c r="B325" s="488" t="s">
        <v>1202</v>
      </c>
      <c r="C325" s="467" t="s">
        <v>205</v>
      </c>
      <c r="D325" s="489">
        <v>4</v>
      </c>
      <c r="E325" s="490">
        <v>6.3165607457523425</v>
      </c>
      <c r="F325" s="490">
        <v>6.3165607457523425</v>
      </c>
      <c r="G325" s="490">
        <v>5.606524644556921</v>
      </c>
    </row>
    <row r="326" spans="1:7" ht="17.100000000000001" customHeight="1" x14ac:dyDescent="0.3">
      <c r="A326" s="487">
        <v>150000968</v>
      </c>
      <c r="B326" s="488" t="s">
        <v>1203</v>
      </c>
      <c r="C326" s="467" t="s">
        <v>244</v>
      </c>
      <c r="D326" s="489">
        <v>5</v>
      </c>
      <c r="E326" s="490">
        <v>4.4768819785430631</v>
      </c>
      <c r="F326" s="490">
        <v>4.4768819785430631</v>
      </c>
      <c r="G326" s="490">
        <v>3.9123767778049143</v>
      </c>
    </row>
    <row r="327" spans="1:7" ht="17.100000000000001" customHeight="1" x14ac:dyDescent="0.3">
      <c r="A327" s="487">
        <v>150000969</v>
      </c>
      <c r="B327" s="488" t="s">
        <v>1179</v>
      </c>
      <c r="C327" s="467" t="s">
        <v>192</v>
      </c>
      <c r="D327" s="489">
        <v>3</v>
      </c>
      <c r="E327" s="490">
        <v>6.2252083390203738</v>
      </c>
      <c r="F327" s="490">
        <v>6.2252083390203738</v>
      </c>
      <c r="G327" s="490">
        <v>5.3892276703556599</v>
      </c>
    </row>
    <row r="328" spans="1:7" ht="17.100000000000001" customHeight="1" x14ac:dyDescent="0.3">
      <c r="A328" s="487">
        <v>150000970</v>
      </c>
      <c r="B328" s="488" t="s">
        <v>1181</v>
      </c>
      <c r="C328" s="467" t="s">
        <v>242</v>
      </c>
      <c r="D328" s="489">
        <v>5</v>
      </c>
      <c r="E328" s="490">
        <v>4.7575133213467931</v>
      </c>
      <c r="F328" s="490">
        <v>4.7575133213467931</v>
      </c>
      <c r="G328" s="490">
        <v>4.2813897154735692</v>
      </c>
    </row>
    <row r="329" spans="1:7" ht="17.100000000000001" customHeight="1" x14ac:dyDescent="0.3">
      <c r="A329" s="487">
        <v>150000971</v>
      </c>
      <c r="B329" s="488" t="s">
        <v>1182</v>
      </c>
      <c r="C329" s="467" t="s">
        <v>193</v>
      </c>
      <c r="D329" s="489">
        <v>3</v>
      </c>
      <c r="E329" s="490">
        <v>6.3478899867385463</v>
      </c>
      <c r="F329" s="490">
        <v>6.3478899867385463</v>
      </c>
      <c r="G329" s="490">
        <v>5.1376180195544219</v>
      </c>
    </row>
    <row r="330" spans="1:7" ht="17.100000000000001" customHeight="1" x14ac:dyDescent="0.3">
      <c r="A330" s="487">
        <v>150000972</v>
      </c>
      <c r="B330" s="488" t="s">
        <v>1194</v>
      </c>
      <c r="C330" s="467" t="s">
        <v>201</v>
      </c>
      <c r="D330" s="489">
        <v>4</v>
      </c>
      <c r="E330" s="490">
        <v>5.2441445196085343</v>
      </c>
      <c r="F330" s="490">
        <v>5.2441445196085343</v>
      </c>
      <c r="G330" s="490">
        <v>4.5218109909630009</v>
      </c>
    </row>
    <row r="331" spans="1:7" ht="17.100000000000001" customHeight="1" x14ac:dyDescent="0.3">
      <c r="A331" s="487">
        <v>150000973</v>
      </c>
      <c r="B331" s="488" t="s">
        <v>1195</v>
      </c>
      <c r="C331" s="467" t="s">
        <v>49</v>
      </c>
      <c r="D331" s="489">
        <v>1</v>
      </c>
      <c r="E331" s="490">
        <v>2.1344555881140197</v>
      </c>
      <c r="F331" s="490"/>
      <c r="G331" s="490">
        <v>2.1344555881140197</v>
      </c>
    </row>
    <row r="332" spans="1:7" ht="17.100000000000001" customHeight="1" x14ac:dyDescent="0.3">
      <c r="A332" s="487">
        <v>150000974</v>
      </c>
      <c r="B332" s="488" t="s">
        <v>1196</v>
      </c>
      <c r="C332" s="467" t="s">
        <v>202</v>
      </c>
      <c r="D332" s="489">
        <v>4</v>
      </c>
      <c r="E332" s="490">
        <v>6.4365451255800847</v>
      </c>
      <c r="F332" s="490">
        <v>6.4365451255800847</v>
      </c>
      <c r="G332" s="490">
        <v>5.2366527951354618</v>
      </c>
    </row>
    <row r="333" spans="1:7" ht="17.100000000000001" customHeight="1" x14ac:dyDescent="0.3">
      <c r="A333" s="487">
        <v>150000975</v>
      </c>
      <c r="B333" s="488" t="s">
        <v>1197</v>
      </c>
      <c r="C333" s="467" t="s">
        <v>203</v>
      </c>
      <c r="D333" s="489">
        <v>4</v>
      </c>
      <c r="E333" s="490">
        <v>5.2504992648654643</v>
      </c>
      <c r="F333" s="490">
        <v>5.2504992648654643</v>
      </c>
      <c r="G333" s="490">
        <v>4.3290859710518665</v>
      </c>
    </row>
    <row r="334" spans="1:7" ht="17.100000000000001" customHeight="1" x14ac:dyDescent="0.3">
      <c r="A334" s="487">
        <v>150000976</v>
      </c>
      <c r="B334" s="488" t="s">
        <v>1198</v>
      </c>
      <c r="C334" s="467" t="s">
        <v>149</v>
      </c>
      <c r="D334" s="489">
        <v>2</v>
      </c>
      <c r="E334" s="490">
        <v>6.0968567486052896</v>
      </c>
      <c r="F334" s="490">
        <v>6.0968567486052896</v>
      </c>
      <c r="G334" s="490">
        <v>5.1902077922694545</v>
      </c>
    </row>
    <row r="335" spans="1:7" ht="17.100000000000001" customHeight="1" x14ac:dyDescent="0.3">
      <c r="A335" s="487">
        <v>150000977</v>
      </c>
      <c r="B335" s="488" t="s">
        <v>1199</v>
      </c>
      <c r="C335" s="467" t="s">
        <v>150</v>
      </c>
      <c r="D335" s="489">
        <v>2</v>
      </c>
      <c r="E335" s="490">
        <v>6.5275952569415638</v>
      </c>
      <c r="F335" s="490">
        <v>6.5275952569415638</v>
      </c>
      <c r="G335" s="490">
        <v>5.4881508638699055</v>
      </c>
    </row>
    <row r="336" spans="1:7" ht="17.100000000000001" customHeight="1" x14ac:dyDescent="0.3">
      <c r="A336" s="487">
        <v>150000978</v>
      </c>
      <c r="B336" s="488" t="s">
        <v>1200</v>
      </c>
      <c r="C336" s="467" t="s">
        <v>243</v>
      </c>
      <c r="D336" s="489">
        <v>5</v>
      </c>
      <c r="E336" s="490">
        <v>4.7774743238734203</v>
      </c>
      <c r="F336" s="490">
        <v>4.7774743238734203</v>
      </c>
      <c r="G336" s="490">
        <v>4.2696882477374931</v>
      </c>
    </row>
    <row r="337" spans="1:7" ht="17.100000000000001" customHeight="1" x14ac:dyDescent="0.3">
      <c r="A337" s="487">
        <v>150000981</v>
      </c>
      <c r="B337" s="488" t="s">
        <v>1204</v>
      </c>
      <c r="C337" s="467" t="s">
        <v>342</v>
      </c>
      <c r="D337" s="489">
        <v>9</v>
      </c>
      <c r="E337" s="490">
        <v>6.0421169690571013</v>
      </c>
      <c r="F337" s="490">
        <v>7.3961234000275127</v>
      </c>
      <c r="G337" s="490">
        <v>5.0321242600402067</v>
      </c>
    </row>
    <row r="338" spans="1:7" ht="17.100000000000001" customHeight="1" x14ac:dyDescent="0.3">
      <c r="A338" s="487">
        <v>150000982</v>
      </c>
      <c r="B338" s="488" t="s">
        <v>1205</v>
      </c>
      <c r="C338" s="467" t="s">
        <v>343</v>
      </c>
      <c r="D338" s="489">
        <v>9</v>
      </c>
      <c r="E338" s="490">
        <v>5.9306016635307897</v>
      </c>
      <c r="F338" s="490">
        <v>7.7551963358194227</v>
      </c>
      <c r="G338" s="490">
        <v>4.7935738498184897</v>
      </c>
    </row>
    <row r="339" spans="1:7" ht="17.100000000000001" customHeight="1" x14ac:dyDescent="0.3">
      <c r="A339" s="487">
        <v>150000983</v>
      </c>
      <c r="B339" s="488" t="s">
        <v>1206</v>
      </c>
      <c r="C339" s="467" t="s">
        <v>344</v>
      </c>
      <c r="D339" s="489">
        <v>9</v>
      </c>
      <c r="E339" s="490">
        <v>5.5021858027701382</v>
      </c>
      <c r="F339" s="490">
        <v>7.3450029807116461</v>
      </c>
      <c r="G339" s="490">
        <v>4.2929902431640103</v>
      </c>
    </row>
    <row r="340" spans="1:7" ht="17.100000000000001" customHeight="1" x14ac:dyDescent="0.3">
      <c r="A340" s="487">
        <v>150000984</v>
      </c>
      <c r="B340" s="488" t="s">
        <v>1207</v>
      </c>
      <c r="C340" s="467" t="s">
        <v>345</v>
      </c>
      <c r="D340" s="489">
        <v>9</v>
      </c>
      <c r="E340" s="490">
        <v>5.5224091950364445</v>
      </c>
      <c r="F340" s="490">
        <v>6.4042584908005491</v>
      </c>
      <c r="G340" s="490">
        <v>4.7781747592983397</v>
      </c>
    </row>
    <row r="341" spans="1:7" ht="17.100000000000001" customHeight="1" x14ac:dyDescent="0.3">
      <c r="A341" s="487">
        <v>150000986</v>
      </c>
      <c r="B341" s="488" t="s">
        <v>1208</v>
      </c>
      <c r="C341" s="467" t="s">
        <v>346</v>
      </c>
      <c r="D341" s="489">
        <v>9</v>
      </c>
      <c r="E341" s="490">
        <v>5.8918966216855715</v>
      </c>
      <c r="F341" s="490">
        <v>6.5150228100437317</v>
      </c>
      <c r="G341" s="490">
        <v>5.1906796835539026</v>
      </c>
    </row>
    <row r="342" spans="1:7" ht="17.100000000000001" customHeight="1" x14ac:dyDescent="0.3">
      <c r="A342" s="487">
        <v>150000987</v>
      </c>
      <c r="B342" s="488" t="s">
        <v>1210</v>
      </c>
      <c r="C342" s="467" t="s">
        <v>50</v>
      </c>
      <c r="D342" s="489">
        <v>1</v>
      </c>
      <c r="E342" s="490">
        <v>0.34186296172848551</v>
      </c>
      <c r="F342" s="490"/>
      <c r="G342" s="490">
        <v>0.34186296172848551</v>
      </c>
    </row>
    <row r="343" spans="1:7" ht="17.100000000000001" customHeight="1" x14ac:dyDescent="0.3">
      <c r="A343" s="487">
        <v>150000988</v>
      </c>
      <c r="B343" s="488" t="s">
        <v>1211</v>
      </c>
      <c r="C343" s="467" t="s">
        <v>51</v>
      </c>
      <c r="D343" s="489">
        <v>1</v>
      </c>
      <c r="E343" s="490">
        <v>1.3434664307198401</v>
      </c>
      <c r="F343" s="490"/>
      <c r="G343" s="490">
        <v>1.3434664307198401</v>
      </c>
    </row>
    <row r="344" spans="1:7" ht="17.100000000000001" customHeight="1" x14ac:dyDescent="0.3">
      <c r="A344" s="487">
        <v>150000989</v>
      </c>
      <c r="B344" s="488" t="s">
        <v>1180</v>
      </c>
      <c r="C344" s="467" t="s">
        <v>37</v>
      </c>
      <c r="D344" s="489">
        <v>1</v>
      </c>
      <c r="E344" s="490">
        <v>1.3386677419003647</v>
      </c>
      <c r="F344" s="490"/>
      <c r="G344" s="490">
        <v>1.3386677419003647</v>
      </c>
    </row>
    <row r="345" spans="1:7" ht="17.100000000000001" customHeight="1" x14ac:dyDescent="0.3">
      <c r="A345" s="487">
        <v>150000991</v>
      </c>
      <c r="B345" s="488" t="s">
        <v>1183</v>
      </c>
      <c r="C345" s="467" t="s">
        <v>341</v>
      </c>
      <c r="D345" s="489">
        <v>9</v>
      </c>
      <c r="E345" s="490">
        <v>5.5669406455463317</v>
      </c>
      <c r="F345" s="490">
        <v>6.9086241200423295</v>
      </c>
      <c r="G345" s="490">
        <v>4.9320505683068916</v>
      </c>
    </row>
    <row r="346" spans="1:7" ht="17.100000000000001" customHeight="1" x14ac:dyDescent="0.3">
      <c r="A346" s="487">
        <v>150000992</v>
      </c>
      <c r="B346" s="488" t="s">
        <v>1184</v>
      </c>
      <c r="C346" s="467" t="s">
        <v>39</v>
      </c>
      <c r="D346" s="489">
        <v>1</v>
      </c>
      <c r="E346" s="490">
        <v>1.4415260545941542</v>
      </c>
      <c r="F346" s="490"/>
      <c r="G346" s="490">
        <v>1.4415260545941542</v>
      </c>
    </row>
    <row r="347" spans="1:7" ht="17.100000000000001" customHeight="1" x14ac:dyDescent="0.3">
      <c r="A347" s="487">
        <v>150000993</v>
      </c>
      <c r="B347" s="488" t="s">
        <v>1186</v>
      </c>
      <c r="C347" s="467" t="s">
        <v>41</v>
      </c>
      <c r="D347" s="489">
        <v>1</v>
      </c>
      <c r="E347" s="490">
        <v>1.4144370817680472</v>
      </c>
      <c r="F347" s="490"/>
      <c r="G347" s="490">
        <v>1.4144370817680472</v>
      </c>
    </row>
    <row r="348" spans="1:7" ht="17.100000000000001" customHeight="1" x14ac:dyDescent="0.3">
      <c r="A348" s="487">
        <v>150000994</v>
      </c>
      <c r="B348" s="488" t="s">
        <v>1189</v>
      </c>
      <c r="C348" s="467" t="s">
        <v>44</v>
      </c>
      <c r="D348" s="489">
        <v>1</v>
      </c>
      <c r="E348" s="490">
        <v>1.7554230957844135</v>
      </c>
      <c r="F348" s="490"/>
      <c r="G348" s="490">
        <v>1.7554230957844135</v>
      </c>
    </row>
    <row r="349" spans="1:7" ht="17.100000000000001" customHeight="1" x14ac:dyDescent="0.3">
      <c r="A349" s="487">
        <v>150000995</v>
      </c>
      <c r="B349" s="488" t="s">
        <v>1192</v>
      </c>
      <c r="C349" s="467" t="s">
        <v>47</v>
      </c>
      <c r="D349" s="489">
        <v>1</v>
      </c>
      <c r="E349" s="490">
        <v>1.9070205753112273</v>
      </c>
      <c r="F349" s="490"/>
      <c r="G349" s="490">
        <v>1.9070205753112273</v>
      </c>
    </row>
    <row r="350" spans="1:7" ht="17.100000000000001" customHeight="1" x14ac:dyDescent="0.3">
      <c r="A350" s="487">
        <v>150000996</v>
      </c>
      <c r="B350" s="488" t="s">
        <v>1209</v>
      </c>
      <c r="C350" s="467" t="s">
        <v>245</v>
      </c>
      <c r="D350" s="489">
        <v>5</v>
      </c>
      <c r="E350" s="490">
        <v>5.7910334285544476</v>
      </c>
      <c r="F350" s="490">
        <v>5.7910334285544476</v>
      </c>
      <c r="G350" s="490">
        <v>4.8512069893767888</v>
      </c>
    </row>
    <row r="351" spans="1:7" ht="17.100000000000001" customHeight="1" x14ac:dyDescent="0.3">
      <c r="A351" s="487">
        <v>150000999</v>
      </c>
      <c r="B351" s="488" t="s">
        <v>1185</v>
      </c>
      <c r="C351" s="467" t="s">
        <v>40</v>
      </c>
      <c r="D351" s="489">
        <v>1</v>
      </c>
      <c r="E351" s="490">
        <v>1.4062583882304156</v>
      </c>
      <c r="F351" s="490"/>
      <c r="G351" s="490">
        <v>1.4062583882304156</v>
      </c>
    </row>
    <row r="352" spans="1:7" ht="17.100000000000001" customHeight="1" x14ac:dyDescent="0.3">
      <c r="A352" s="487">
        <v>150001000</v>
      </c>
      <c r="B352" s="488" t="s">
        <v>1187</v>
      </c>
      <c r="C352" s="467" t="s">
        <v>42</v>
      </c>
      <c r="D352" s="489">
        <v>1</v>
      </c>
      <c r="E352" s="490">
        <v>1.7250643611717429</v>
      </c>
      <c r="F352" s="490"/>
      <c r="G352" s="490">
        <v>1.7250643611717429</v>
      </c>
    </row>
    <row r="353" spans="1:7" ht="17.100000000000001" customHeight="1" x14ac:dyDescent="0.3">
      <c r="A353" s="487">
        <v>150001001</v>
      </c>
      <c r="B353" s="488" t="s">
        <v>1190</v>
      </c>
      <c r="C353" s="467" t="s">
        <v>45</v>
      </c>
      <c r="D353" s="489">
        <v>1</v>
      </c>
      <c r="E353" s="490">
        <v>1.6367179255433204</v>
      </c>
      <c r="F353" s="490"/>
      <c r="G353" s="490">
        <v>1.6367179255433204</v>
      </c>
    </row>
    <row r="354" spans="1:7" ht="17.100000000000001" customHeight="1" x14ac:dyDescent="0.3">
      <c r="A354" s="487">
        <v>150001002</v>
      </c>
      <c r="B354" s="488" t="s">
        <v>1193</v>
      </c>
      <c r="C354" s="467" t="s">
        <v>48</v>
      </c>
      <c r="D354" s="489">
        <v>1</v>
      </c>
      <c r="E354" s="490">
        <v>1.8386945499976419</v>
      </c>
      <c r="F354" s="490"/>
      <c r="G354" s="490">
        <v>1.8386945499976419</v>
      </c>
    </row>
    <row r="355" spans="1:7" ht="17.100000000000001" customHeight="1" x14ac:dyDescent="0.3">
      <c r="A355" s="487">
        <v>150001004</v>
      </c>
      <c r="B355" s="488" t="s">
        <v>1188</v>
      </c>
      <c r="C355" s="467" t="s">
        <v>43</v>
      </c>
      <c r="D355" s="489">
        <v>1</v>
      </c>
      <c r="E355" s="490">
        <v>1.3881003482150942</v>
      </c>
      <c r="F355" s="490"/>
      <c r="G355" s="490">
        <v>1.3881003482150942</v>
      </c>
    </row>
    <row r="356" spans="1:7" ht="17.100000000000001" customHeight="1" x14ac:dyDescent="0.3">
      <c r="A356" s="487">
        <v>150001005</v>
      </c>
      <c r="B356" s="488" t="s">
        <v>1191</v>
      </c>
      <c r="C356" s="467" t="s">
        <v>46</v>
      </c>
      <c r="D356" s="489">
        <v>1</v>
      </c>
      <c r="E356" s="490">
        <v>1.6038103976968501</v>
      </c>
      <c r="F356" s="490"/>
      <c r="G356" s="490">
        <v>1.6038103976968501</v>
      </c>
    </row>
    <row r="357" spans="1:7" ht="17.100000000000001" customHeight="1" x14ac:dyDescent="0.3">
      <c r="A357" s="487">
        <v>150001007</v>
      </c>
      <c r="B357" s="488" t="s">
        <v>1324</v>
      </c>
      <c r="C357" s="467" t="s">
        <v>213</v>
      </c>
      <c r="D357" s="489">
        <v>4</v>
      </c>
      <c r="E357" s="490">
        <v>4.94877875343595</v>
      </c>
      <c r="F357" s="490">
        <v>4.94877875343595</v>
      </c>
      <c r="G357" s="490">
        <v>4.385060273977655</v>
      </c>
    </row>
    <row r="358" spans="1:7" ht="17.100000000000001" customHeight="1" x14ac:dyDescent="0.3">
      <c r="A358" s="487">
        <v>150001008</v>
      </c>
      <c r="B358" s="488" t="s">
        <v>1315</v>
      </c>
      <c r="C358" s="467" t="s">
        <v>211</v>
      </c>
      <c r="D358" s="489">
        <v>4</v>
      </c>
      <c r="E358" s="490">
        <v>5.9016042392444232</v>
      </c>
      <c r="F358" s="490">
        <v>5.9016042392444232</v>
      </c>
      <c r="G358" s="490">
        <v>5.2289228490920916</v>
      </c>
    </row>
    <row r="359" spans="1:7" ht="17.100000000000001" customHeight="1" x14ac:dyDescent="0.3">
      <c r="A359" s="487">
        <v>150001009</v>
      </c>
      <c r="B359" s="488" t="s">
        <v>1317</v>
      </c>
      <c r="C359" s="467" t="s">
        <v>212</v>
      </c>
      <c r="D359" s="489">
        <v>4</v>
      </c>
      <c r="E359" s="490">
        <v>5.0007609672117503</v>
      </c>
      <c r="F359" s="490">
        <v>5.0007609672117503</v>
      </c>
      <c r="G359" s="490">
        <v>4.4096566451578711</v>
      </c>
    </row>
    <row r="360" spans="1:7" ht="17.100000000000001" customHeight="1" x14ac:dyDescent="0.3">
      <c r="A360" s="487">
        <v>150001010</v>
      </c>
      <c r="B360" s="488" t="s">
        <v>1318</v>
      </c>
      <c r="C360" s="467" t="s">
        <v>164</v>
      </c>
      <c r="D360" s="489">
        <v>2</v>
      </c>
      <c r="E360" s="490">
        <v>6.0338954791067447</v>
      </c>
      <c r="F360" s="490">
        <v>6.0338954791067447</v>
      </c>
      <c r="G360" s="490">
        <v>5.1033195815048291</v>
      </c>
    </row>
    <row r="361" spans="1:7" ht="17.100000000000001" customHeight="1" x14ac:dyDescent="0.3">
      <c r="A361" s="487">
        <v>150001011</v>
      </c>
      <c r="B361" s="488" t="s">
        <v>1319</v>
      </c>
      <c r="C361" s="467" t="s">
        <v>165</v>
      </c>
      <c r="D361" s="489">
        <v>2</v>
      </c>
      <c r="E361" s="490">
        <v>6.0735229049139887</v>
      </c>
      <c r="F361" s="490">
        <v>6.0735229049139887</v>
      </c>
      <c r="G361" s="490">
        <v>5.2974938384425112</v>
      </c>
    </row>
    <row r="362" spans="1:7" ht="17.100000000000001" customHeight="1" x14ac:dyDescent="0.3">
      <c r="A362" s="487">
        <v>150001013</v>
      </c>
      <c r="B362" s="488" t="s">
        <v>1320</v>
      </c>
      <c r="C362" s="467" t="s">
        <v>260</v>
      </c>
      <c r="D362" s="489">
        <v>5</v>
      </c>
      <c r="E362" s="490">
        <v>4.9065532376532737</v>
      </c>
      <c r="F362" s="490">
        <v>4.9065532376532737</v>
      </c>
      <c r="G362" s="490">
        <v>4.1032899300370742</v>
      </c>
    </row>
    <row r="363" spans="1:7" ht="17.100000000000001" customHeight="1" x14ac:dyDescent="0.3">
      <c r="A363" s="487">
        <v>150001014</v>
      </c>
      <c r="B363" s="488" t="s">
        <v>1321</v>
      </c>
      <c r="C363" s="467" t="s">
        <v>166</v>
      </c>
      <c r="D363" s="489">
        <v>2</v>
      </c>
      <c r="E363" s="490">
        <v>5.3708735679172532</v>
      </c>
      <c r="F363" s="490">
        <v>5.3708735679172532</v>
      </c>
      <c r="G363" s="490">
        <v>4.6106554953044894</v>
      </c>
    </row>
    <row r="364" spans="1:7" ht="17.100000000000001" customHeight="1" x14ac:dyDescent="0.3">
      <c r="A364" s="487">
        <v>150001015</v>
      </c>
      <c r="B364" s="488" t="s">
        <v>1322</v>
      </c>
      <c r="C364" s="467" t="s">
        <v>99</v>
      </c>
      <c r="D364" s="489">
        <v>1</v>
      </c>
      <c r="E364" s="490">
        <v>1.2699987905552541</v>
      </c>
      <c r="F364" s="490"/>
      <c r="G364" s="490">
        <v>1.2699987905552541</v>
      </c>
    </row>
    <row r="365" spans="1:7" ht="17.100000000000001" customHeight="1" x14ac:dyDescent="0.3">
      <c r="A365" s="487">
        <v>150001016</v>
      </c>
      <c r="B365" s="488" t="s">
        <v>1323</v>
      </c>
      <c r="C365" s="467" t="s">
        <v>261</v>
      </c>
      <c r="D365" s="489">
        <v>5</v>
      </c>
      <c r="E365" s="490">
        <v>5.0208612816706939</v>
      </c>
      <c r="F365" s="490">
        <v>5.0208612816706939</v>
      </c>
      <c r="G365" s="490">
        <v>4.2913911110361864</v>
      </c>
    </row>
    <row r="366" spans="1:7" ht="17.100000000000001" customHeight="1" x14ac:dyDescent="0.3">
      <c r="A366" s="487">
        <v>150001018</v>
      </c>
      <c r="B366" s="488" t="s">
        <v>1325</v>
      </c>
      <c r="C366" s="467" t="s">
        <v>429</v>
      </c>
      <c r="D366" s="489">
        <v>5</v>
      </c>
      <c r="E366" s="490"/>
      <c r="F366" s="490"/>
      <c r="G366" s="490"/>
    </row>
    <row r="367" spans="1:7" ht="17.100000000000001" customHeight="1" x14ac:dyDescent="0.3">
      <c r="A367" s="487">
        <v>150001019</v>
      </c>
      <c r="B367" s="488" t="s">
        <v>1326</v>
      </c>
      <c r="C367" s="467" t="s">
        <v>419</v>
      </c>
      <c r="D367" s="489">
        <v>10</v>
      </c>
      <c r="E367" s="490">
        <v>5.8561150322212265</v>
      </c>
      <c r="F367" s="490">
        <v>7.0313988248854233</v>
      </c>
      <c r="G367" s="490">
        <v>4.8367636983827786</v>
      </c>
    </row>
    <row r="368" spans="1:7" ht="17.100000000000001" customHeight="1" x14ac:dyDescent="0.3">
      <c r="A368" s="487">
        <v>150001020</v>
      </c>
      <c r="B368" s="488" t="s">
        <v>1327</v>
      </c>
      <c r="C368" s="467" t="s">
        <v>100</v>
      </c>
      <c r="D368" s="489">
        <v>1</v>
      </c>
      <c r="E368" s="490">
        <v>1.581927671370402</v>
      </c>
      <c r="F368" s="490"/>
      <c r="G368" s="490">
        <v>1.581927671370402</v>
      </c>
    </row>
    <row r="369" spans="1:7" ht="17.100000000000001" customHeight="1" x14ac:dyDescent="0.3">
      <c r="A369" s="487">
        <v>150001021</v>
      </c>
      <c r="B369" s="488" t="s">
        <v>1328</v>
      </c>
      <c r="C369" s="467" t="s">
        <v>363</v>
      </c>
      <c r="D369" s="489">
        <v>9</v>
      </c>
      <c r="E369" s="490">
        <v>5.454300738822873</v>
      </c>
      <c r="F369" s="490">
        <v>7.0069922192172074</v>
      </c>
      <c r="G369" s="490">
        <v>4.676506445336793</v>
      </c>
    </row>
    <row r="370" spans="1:7" ht="17.100000000000001" customHeight="1" x14ac:dyDescent="0.3">
      <c r="A370" s="487">
        <v>150001022</v>
      </c>
      <c r="B370" s="488" t="s">
        <v>1330</v>
      </c>
      <c r="C370" s="467" t="s">
        <v>364</v>
      </c>
      <c r="D370" s="489">
        <v>9</v>
      </c>
      <c r="E370" s="490">
        <v>5.8725312662303164</v>
      </c>
      <c r="F370" s="490">
        <v>7.3537990358006748</v>
      </c>
      <c r="G370" s="490">
        <v>5.1404164974221018</v>
      </c>
    </row>
    <row r="371" spans="1:7" ht="17.100000000000001" customHeight="1" x14ac:dyDescent="0.3">
      <c r="A371" s="487">
        <v>150001023</v>
      </c>
      <c r="B371" s="488" t="s">
        <v>1331</v>
      </c>
      <c r="C371" s="467" t="s">
        <v>365</v>
      </c>
      <c r="D371" s="489">
        <v>9</v>
      </c>
      <c r="E371" s="490">
        <v>5.8139382288998096</v>
      </c>
      <c r="F371" s="490">
        <v>6.9834541852383785</v>
      </c>
      <c r="G371" s="490">
        <v>4.8096127611270356</v>
      </c>
    </row>
    <row r="372" spans="1:7" ht="17.100000000000001" customHeight="1" x14ac:dyDescent="0.3">
      <c r="A372" s="487">
        <v>150001024</v>
      </c>
      <c r="B372" s="488" t="s">
        <v>1332</v>
      </c>
      <c r="C372" s="467" t="s">
        <v>366</v>
      </c>
      <c r="D372" s="489">
        <v>9</v>
      </c>
      <c r="E372" s="490">
        <v>6.0411627952491722</v>
      </c>
      <c r="F372" s="490">
        <v>7.3946462589418207</v>
      </c>
      <c r="G372" s="490">
        <v>5.0439020557213281</v>
      </c>
    </row>
    <row r="373" spans="1:7" ht="17.100000000000001" customHeight="1" x14ac:dyDescent="0.3">
      <c r="A373" s="487">
        <v>150001025</v>
      </c>
      <c r="B373" s="488" t="s">
        <v>1333</v>
      </c>
      <c r="C373" s="467" t="s">
        <v>420</v>
      </c>
      <c r="D373" s="489">
        <v>10</v>
      </c>
      <c r="E373" s="490">
        <v>5.7690279049624094</v>
      </c>
      <c r="F373" s="490">
        <v>6.9079426600288008</v>
      </c>
      <c r="G373" s="490">
        <v>4.8471662313009372</v>
      </c>
    </row>
    <row r="374" spans="1:7" ht="17.100000000000001" customHeight="1" x14ac:dyDescent="0.3">
      <c r="A374" s="487">
        <v>150001026</v>
      </c>
      <c r="B374" s="488" t="s">
        <v>1334</v>
      </c>
      <c r="C374" s="467" t="s">
        <v>334</v>
      </c>
      <c r="D374" s="489">
        <v>8</v>
      </c>
      <c r="E374" s="490">
        <v>6.1519542693028075</v>
      </c>
      <c r="F374" s="490">
        <v>7.7151568376438355</v>
      </c>
      <c r="G374" s="490">
        <v>5.4054494663395838</v>
      </c>
    </row>
    <row r="375" spans="1:7" ht="17.100000000000001" customHeight="1" x14ac:dyDescent="0.3">
      <c r="A375" s="487">
        <v>150001027</v>
      </c>
      <c r="B375" s="488" t="s">
        <v>1335</v>
      </c>
      <c r="C375" s="467" t="s">
        <v>367</v>
      </c>
      <c r="D375" s="489">
        <v>9</v>
      </c>
      <c r="E375" s="490">
        <v>5.8523338005686236</v>
      </c>
      <c r="F375" s="490">
        <v>7.0700781193831848</v>
      </c>
      <c r="G375" s="490">
        <v>5.005275604704031</v>
      </c>
    </row>
    <row r="376" spans="1:7" ht="17.100000000000001" customHeight="1" x14ac:dyDescent="0.3">
      <c r="A376" s="487">
        <v>150001028</v>
      </c>
      <c r="B376" s="488" t="s">
        <v>1336</v>
      </c>
      <c r="C376" s="467" t="s">
        <v>101</v>
      </c>
      <c r="D376" s="489">
        <v>1</v>
      </c>
      <c r="E376" s="490">
        <v>2.3292843571470194</v>
      </c>
      <c r="F376" s="490"/>
      <c r="G376" s="490">
        <v>2.3292843571470194</v>
      </c>
    </row>
    <row r="377" spans="1:7" ht="17.100000000000001" customHeight="1" x14ac:dyDescent="0.3">
      <c r="A377" s="487">
        <v>150001029</v>
      </c>
      <c r="B377" s="488" t="s">
        <v>1338</v>
      </c>
      <c r="C377" s="467" t="s">
        <v>368</v>
      </c>
      <c r="D377" s="489">
        <v>9</v>
      </c>
      <c r="E377" s="490">
        <v>6.3200055743525345</v>
      </c>
      <c r="F377" s="490">
        <v>7.6075024938781581</v>
      </c>
      <c r="G377" s="490">
        <v>5.7199924102816881</v>
      </c>
    </row>
    <row r="378" spans="1:7" ht="17.100000000000001" customHeight="1" x14ac:dyDescent="0.3">
      <c r="A378" s="487">
        <v>150001030</v>
      </c>
      <c r="B378" s="488" t="s">
        <v>1339</v>
      </c>
      <c r="C378" s="467" t="s">
        <v>335</v>
      </c>
      <c r="D378" s="489">
        <v>8</v>
      </c>
      <c r="E378" s="490">
        <v>5.6436686827549165</v>
      </c>
      <c r="F378" s="490">
        <v>7.2435965931885855</v>
      </c>
      <c r="G378" s="490">
        <v>5.0131020224758327</v>
      </c>
    </row>
    <row r="379" spans="1:7" ht="17.100000000000001" customHeight="1" x14ac:dyDescent="0.3">
      <c r="A379" s="487">
        <v>150001031</v>
      </c>
      <c r="B379" s="488" t="s">
        <v>1340</v>
      </c>
      <c r="C379" s="467" t="s">
        <v>103</v>
      </c>
      <c r="D379" s="489">
        <v>1</v>
      </c>
      <c r="E379" s="490">
        <v>2.2050756335787618</v>
      </c>
      <c r="F379" s="490"/>
      <c r="G379" s="490">
        <v>2.2050756335787618</v>
      </c>
    </row>
    <row r="380" spans="1:7" ht="17.100000000000001" customHeight="1" x14ac:dyDescent="0.3">
      <c r="A380" s="487">
        <v>150001032</v>
      </c>
      <c r="B380" s="488" t="s">
        <v>1342</v>
      </c>
      <c r="C380" s="467" t="s">
        <v>369</v>
      </c>
      <c r="D380" s="489">
        <v>9</v>
      </c>
      <c r="E380" s="490">
        <v>6.321812078880054</v>
      </c>
      <c r="F380" s="490">
        <v>8.2220993330953238</v>
      </c>
      <c r="G380" s="490">
        <v>5.2760407988167168</v>
      </c>
    </row>
    <row r="381" spans="1:7" ht="17.100000000000001" customHeight="1" x14ac:dyDescent="0.3">
      <c r="A381" s="487">
        <v>150001033</v>
      </c>
      <c r="B381" s="488" t="s">
        <v>1316</v>
      </c>
      <c r="C381" s="467" t="s">
        <v>362</v>
      </c>
      <c r="D381" s="489">
        <v>9</v>
      </c>
      <c r="E381" s="490">
        <v>6.1951520626011511</v>
      </c>
      <c r="F381" s="490">
        <v>7.5825658751556722</v>
      </c>
      <c r="G381" s="490">
        <v>4.9562478843693736</v>
      </c>
    </row>
    <row r="382" spans="1:7" ht="17.100000000000001" customHeight="1" x14ac:dyDescent="0.3">
      <c r="A382" s="487">
        <v>150001035</v>
      </c>
      <c r="B382" s="488" t="s">
        <v>1329</v>
      </c>
      <c r="C382" s="467" t="s">
        <v>262</v>
      </c>
      <c r="D382" s="489">
        <v>5</v>
      </c>
      <c r="E382" s="490">
        <v>6.2707229469166439</v>
      </c>
      <c r="F382" s="490">
        <v>6.2707229469166439</v>
      </c>
      <c r="G382" s="490">
        <v>5.6248499255027671</v>
      </c>
    </row>
    <row r="383" spans="1:7" ht="17.100000000000001" customHeight="1" x14ac:dyDescent="0.3">
      <c r="A383" s="487">
        <v>150001036</v>
      </c>
      <c r="B383" s="488" t="s">
        <v>1337</v>
      </c>
      <c r="C383" s="467" t="s">
        <v>102</v>
      </c>
      <c r="D383" s="489">
        <v>1</v>
      </c>
      <c r="E383" s="490">
        <v>1.8650399843337748</v>
      </c>
      <c r="F383" s="490"/>
      <c r="G383" s="490">
        <v>1.8650399843337748</v>
      </c>
    </row>
    <row r="384" spans="1:7" ht="17.100000000000001" customHeight="1" x14ac:dyDescent="0.3">
      <c r="A384" s="487">
        <v>150001037</v>
      </c>
      <c r="B384" s="488" t="s">
        <v>1341</v>
      </c>
      <c r="C384" s="467" t="s">
        <v>104</v>
      </c>
      <c r="D384" s="489">
        <v>1</v>
      </c>
      <c r="E384" s="490">
        <v>2.0799687734351764</v>
      </c>
      <c r="F384" s="490"/>
      <c r="G384" s="490">
        <v>2.0799687734351764</v>
      </c>
    </row>
    <row r="385" spans="1:7" ht="17.100000000000001" customHeight="1" x14ac:dyDescent="0.3">
      <c r="A385" s="487">
        <v>150001040</v>
      </c>
      <c r="B385" s="488" t="s">
        <v>1406</v>
      </c>
      <c r="C385" s="467" t="s">
        <v>216</v>
      </c>
      <c r="D385" s="489">
        <v>4</v>
      </c>
      <c r="E385" s="490">
        <v>5.4584264701558043</v>
      </c>
      <c r="F385" s="490">
        <v>5.4584264701558043</v>
      </c>
      <c r="G385" s="490">
        <v>4.6143457503492114</v>
      </c>
    </row>
    <row r="386" spans="1:7" ht="17.100000000000001" customHeight="1" x14ac:dyDescent="0.3">
      <c r="A386" s="487">
        <v>150001041</v>
      </c>
      <c r="B386" s="488" t="s">
        <v>1410</v>
      </c>
      <c r="C386" s="467" t="s">
        <v>196</v>
      </c>
      <c r="D386" s="489">
        <v>3</v>
      </c>
      <c r="E386" s="490">
        <v>5.5425740958296386</v>
      </c>
      <c r="F386" s="490">
        <v>5.5425740958296386</v>
      </c>
      <c r="G386" s="490">
        <v>4.6944804630737345</v>
      </c>
    </row>
    <row r="387" spans="1:7" ht="17.100000000000001" customHeight="1" x14ac:dyDescent="0.3">
      <c r="A387" s="487">
        <v>150001042</v>
      </c>
      <c r="B387" s="488" t="s">
        <v>1411</v>
      </c>
      <c r="C387" s="467" t="s">
        <v>181</v>
      </c>
      <c r="D387" s="489">
        <v>2</v>
      </c>
      <c r="E387" s="490">
        <v>6.4085588488890757</v>
      </c>
      <c r="F387" s="490">
        <v>6.4085588488890757</v>
      </c>
      <c r="G387" s="490">
        <v>5.3301031982827869</v>
      </c>
    </row>
    <row r="388" spans="1:7" ht="17.100000000000001" customHeight="1" x14ac:dyDescent="0.3">
      <c r="A388" s="487">
        <v>150001043</v>
      </c>
      <c r="B388" s="488" t="s">
        <v>1412</v>
      </c>
      <c r="C388" s="467" t="s">
        <v>217</v>
      </c>
      <c r="D388" s="489">
        <v>4</v>
      </c>
      <c r="E388" s="490">
        <v>5.615974057354018</v>
      </c>
      <c r="F388" s="490">
        <v>5.615974057354018</v>
      </c>
      <c r="G388" s="490">
        <v>5.0380969556443516</v>
      </c>
    </row>
    <row r="389" spans="1:7" ht="17.100000000000001" customHeight="1" x14ac:dyDescent="0.3">
      <c r="A389" s="487">
        <v>150001044</v>
      </c>
      <c r="B389" s="488" t="s">
        <v>1402</v>
      </c>
      <c r="C389" s="467" t="s">
        <v>269</v>
      </c>
      <c r="D389" s="489">
        <v>5</v>
      </c>
      <c r="E389" s="490">
        <v>4.3348059431117818</v>
      </c>
      <c r="F389" s="490">
        <v>4.3348059431117818</v>
      </c>
      <c r="G389" s="490">
        <v>3.8683241544870275</v>
      </c>
    </row>
    <row r="390" spans="1:7" ht="17.100000000000001" customHeight="1" x14ac:dyDescent="0.3">
      <c r="A390" s="487">
        <v>150001045</v>
      </c>
      <c r="B390" s="488" t="s">
        <v>1404</v>
      </c>
      <c r="C390" s="467" t="s">
        <v>271</v>
      </c>
      <c r="D390" s="489">
        <v>5</v>
      </c>
      <c r="E390" s="490">
        <v>4.9278371046074234</v>
      </c>
      <c r="F390" s="490">
        <v>4.9278371046074234</v>
      </c>
      <c r="G390" s="490">
        <v>4.4113507681397683</v>
      </c>
    </row>
    <row r="391" spans="1:7" ht="17.100000000000001" customHeight="1" x14ac:dyDescent="0.3">
      <c r="A391" s="487">
        <v>150001046</v>
      </c>
      <c r="B391" s="488" t="s">
        <v>1405</v>
      </c>
      <c r="C391" s="467" t="s">
        <v>272</v>
      </c>
      <c r="D391" s="489">
        <v>5</v>
      </c>
      <c r="E391" s="490">
        <v>4.6448983654265206</v>
      </c>
      <c r="F391" s="490">
        <v>4.6448983654265206</v>
      </c>
      <c r="G391" s="490">
        <v>4.1839873461391299</v>
      </c>
    </row>
    <row r="392" spans="1:7" ht="17.100000000000001" customHeight="1" x14ac:dyDescent="0.3">
      <c r="A392" s="487">
        <v>150001047</v>
      </c>
      <c r="B392" s="488" t="s">
        <v>1407</v>
      </c>
      <c r="C392" s="467" t="s">
        <v>179</v>
      </c>
      <c r="D392" s="489">
        <v>2</v>
      </c>
      <c r="E392" s="490">
        <v>4.4604448610865148</v>
      </c>
      <c r="F392" s="490">
        <v>4.4604448610865148</v>
      </c>
      <c r="G392" s="490">
        <v>4.4276807929863091</v>
      </c>
    </row>
    <row r="393" spans="1:7" ht="17.100000000000001" customHeight="1" x14ac:dyDescent="0.3">
      <c r="A393" s="487">
        <v>150001048</v>
      </c>
      <c r="B393" s="488" t="s">
        <v>1408</v>
      </c>
      <c r="C393" s="467" t="s">
        <v>125</v>
      </c>
      <c r="D393" s="489">
        <v>1</v>
      </c>
      <c r="E393" s="490">
        <v>2.2469760757547279</v>
      </c>
      <c r="F393" s="490"/>
      <c r="G393" s="490">
        <v>2.2469760757547279</v>
      </c>
    </row>
    <row r="394" spans="1:7" ht="17.100000000000001" customHeight="1" x14ac:dyDescent="0.3">
      <c r="A394" s="487">
        <v>150001049</v>
      </c>
      <c r="B394" s="488" t="s">
        <v>1409</v>
      </c>
      <c r="C394" s="467" t="s">
        <v>180</v>
      </c>
      <c r="D394" s="489">
        <v>2</v>
      </c>
      <c r="E394" s="490">
        <v>5.7256110785667111</v>
      </c>
      <c r="F394" s="490">
        <v>5.7256110785667111</v>
      </c>
      <c r="G394" s="490">
        <v>4.859066662679175</v>
      </c>
    </row>
    <row r="395" spans="1:7" ht="17.100000000000001" customHeight="1" x14ac:dyDescent="0.3">
      <c r="A395" s="487">
        <v>150001050</v>
      </c>
      <c r="B395" s="488" t="s">
        <v>1403</v>
      </c>
      <c r="C395" s="467" t="s">
        <v>270</v>
      </c>
      <c r="D395" s="489">
        <v>5</v>
      </c>
      <c r="E395" s="490">
        <v>4.7754037248512429</v>
      </c>
      <c r="F395" s="490">
        <v>4.7754037248512429</v>
      </c>
      <c r="G395" s="490">
        <v>4.3313456255871632</v>
      </c>
    </row>
    <row r="396" spans="1:7" ht="17.100000000000001" customHeight="1" x14ac:dyDescent="0.3">
      <c r="A396" s="487">
        <v>150001053</v>
      </c>
      <c r="B396" s="488" t="s">
        <v>1166</v>
      </c>
      <c r="C396" s="467" t="s">
        <v>146</v>
      </c>
      <c r="D396" s="489">
        <v>2</v>
      </c>
      <c r="E396" s="490">
        <v>5.7005824203229967</v>
      </c>
      <c r="F396" s="490">
        <v>5.7005824203229967</v>
      </c>
      <c r="G396" s="490">
        <v>5.1294110528349899</v>
      </c>
    </row>
    <row r="397" spans="1:7" ht="17.100000000000001" customHeight="1" x14ac:dyDescent="0.3">
      <c r="A397" s="487">
        <v>150001054</v>
      </c>
      <c r="B397" s="488" t="s">
        <v>1296</v>
      </c>
      <c r="C397" s="467" t="s">
        <v>85</v>
      </c>
      <c r="D397" s="489">
        <v>1</v>
      </c>
      <c r="E397" s="490">
        <v>1.4503202773270134</v>
      </c>
      <c r="F397" s="490"/>
      <c r="G397" s="490">
        <v>1.4503202773270134</v>
      </c>
    </row>
    <row r="398" spans="1:7" ht="17.100000000000001" customHeight="1" x14ac:dyDescent="0.3">
      <c r="A398" s="487">
        <v>150001071</v>
      </c>
      <c r="B398" s="488" t="s">
        <v>1355</v>
      </c>
      <c r="C398" s="467" t="s">
        <v>167</v>
      </c>
      <c r="D398" s="489">
        <v>2</v>
      </c>
      <c r="E398" s="490">
        <v>3.6780811131855971</v>
      </c>
      <c r="F398" s="490">
        <v>3.6780811131855971</v>
      </c>
      <c r="G398" s="490">
        <v>3.6218949365235571</v>
      </c>
    </row>
    <row r="399" spans="1:7" ht="17.100000000000001" customHeight="1" x14ac:dyDescent="0.3">
      <c r="A399" s="487">
        <v>150001094</v>
      </c>
      <c r="B399" s="488" t="s">
        <v>1523</v>
      </c>
      <c r="C399" s="467" t="s">
        <v>185</v>
      </c>
      <c r="D399" s="489">
        <v>2</v>
      </c>
      <c r="E399" s="490">
        <v>2.4698805922598757</v>
      </c>
      <c r="F399" s="490">
        <v>2.4698805922598757</v>
      </c>
      <c r="G399" s="490">
        <v>2.391290120978494</v>
      </c>
    </row>
    <row r="400" spans="1:7" ht="17.100000000000001" customHeight="1" x14ac:dyDescent="0.3">
      <c r="A400" s="487">
        <v>150001561</v>
      </c>
      <c r="B400" s="488" t="s">
        <v>1439</v>
      </c>
      <c r="C400" s="467" t="s">
        <v>399</v>
      </c>
      <c r="D400" s="489">
        <v>9</v>
      </c>
      <c r="E400" s="490">
        <v>4.6285575368843217</v>
      </c>
      <c r="F400" s="490">
        <v>5.2575302079328505</v>
      </c>
      <c r="G400" s="490">
        <v>3.7346500935356937</v>
      </c>
    </row>
    <row r="401" spans="1:7" ht="17.100000000000001" customHeight="1" x14ac:dyDescent="0.3">
      <c r="A401" s="487">
        <v>150001562</v>
      </c>
      <c r="B401" s="488" t="s">
        <v>1273</v>
      </c>
      <c r="C401" s="467" t="s">
        <v>208</v>
      </c>
      <c r="D401" s="489">
        <v>4</v>
      </c>
      <c r="E401" s="490">
        <v>5.1751876602087608</v>
      </c>
      <c r="F401" s="490">
        <v>5.1751876602087608</v>
      </c>
      <c r="G401" s="490">
        <v>4.7652041874748914</v>
      </c>
    </row>
    <row r="402" spans="1:7" ht="17.100000000000001" customHeight="1" x14ac:dyDescent="0.3">
      <c r="A402" s="492"/>
      <c r="B402" s="493" t="s">
        <v>1561</v>
      </c>
      <c r="C402" s="494"/>
      <c r="D402" s="494"/>
      <c r="E402" s="495">
        <v>5.2800193965106246</v>
      </c>
      <c r="F402" s="495">
        <v>7.1592094690006567</v>
      </c>
      <c r="G402" s="495">
        <v>4.4657661253855281</v>
      </c>
    </row>
    <row r="405" spans="1:7" ht="18" x14ac:dyDescent="0.3">
      <c r="A405" s="496"/>
      <c r="B405" s="497">
        <v>44335</v>
      </c>
      <c r="C405" s="498"/>
      <c r="D405" s="498"/>
      <c r="E405" s="499"/>
      <c r="F405" s="499"/>
      <c r="G405" s="499"/>
    </row>
    <row r="406" spans="1:7" ht="18" x14ac:dyDescent="0.3">
      <c r="A406" s="500"/>
      <c r="C406" s="498"/>
      <c r="D406" s="498"/>
      <c r="E406" s="499"/>
      <c r="F406" s="499"/>
      <c r="G406" s="499"/>
    </row>
    <row r="415" spans="1:7" x14ac:dyDescent="0.3">
      <c r="A415" s="4"/>
      <c r="E415" s="461"/>
      <c r="F415" s="461"/>
      <c r="G415" s="461"/>
    </row>
  </sheetData>
  <autoFilter ref="A5:G5" xr:uid="{00000000-0009-0000-0000-00000C000000}"/>
  <sortState xmlns:xlrd2="http://schemas.microsoft.com/office/spreadsheetml/2017/richdata2" ref="A7:G401">
    <sortCondition ref="A7:A401"/>
  </sortState>
  <mergeCells count="6">
    <mergeCell ref="A2:G2"/>
    <mergeCell ref="A4:A5"/>
    <mergeCell ref="B4:B5"/>
    <mergeCell ref="C4:C5"/>
    <mergeCell ref="D4:D5"/>
    <mergeCell ref="E4:G4"/>
  </mergeCells>
  <pageMargins left="0.70866141732283472" right="0.11811023622047245" top="0.15748031496062992" bottom="0.15748031496062992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2:B407"/>
  <sheetViews>
    <sheetView workbookViewId="0">
      <selection activeCell="U29" sqref="U29"/>
    </sheetView>
  </sheetViews>
  <sheetFormatPr defaultRowHeight="14.4" x14ac:dyDescent="0.3"/>
  <cols>
    <col min="1" max="1" width="34.44140625" style="1" customWidth="1"/>
    <col min="2" max="2" width="22.88671875" style="8" customWidth="1"/>
  </cols>
  <sheetData>
    <row r="2" spans="1:2" x14ac:dyDescent="0.3">
      <c r="A2" s="4" t="s">
        <v>1097</v>
      </c>
    </row>
    <row r="5" spans="1:2" ht="15" thickBot="1" x14ac:dyDescent="0.35">
      <c r="B5" s="312" t="s">
        <v>1095</v>
      </c>
    </row>
    <row r="6" spans="1:2" x14ac:dyDescent="0.3">
      <c r="A6" s="1228" t="s">
        <v>1</v>
      </c>
      <c r="B6" s="1256" t="s">
        <v>1096</v>
      </c>
    </row>
    <row r="7" spans="1:2" x14ac:dyDescent="0.3">
      <c r="A7" s="1229"/>
      <c r="B7" s="1257"/>
    </row>
    <row r="8" spans="1:2" ht="55.95" customHeight="1" thickBot="1" x14ac:dyDescent="0.35">
      <c r="A8" s="1230"/>
      <c r="B8" s="1258"/>
    </row>
    <row r="9" spans="1:2" x14ac:dyDescent="0.3">
      <c r="A9" s="83" t="s">
        <v>146</v>
      </c>
      <c r="B9" s="313">
        <v>-1294.7781160952381</v>
      </c>
    </row>
    <row r="10" spans="1:2" x14ac:dyDescent="0.3">
      <c r="A10" s="44" t="s">
        <v>239</v>
      </c>
      <c r="B10" s="313">
        <v>70765.657991191052</v>
      </c>
    </row>
    <row r="11" spans="1:2" x14ac:dyDescent="0.3">
      <c r="A11" s="44" t="s">
        <v>240</v>
      </c>
      <c r="B11" s="313">
        <v>-12458.738520082312</v>
      </c>
    </row>
    <row r="12" spans="1:2" x14ac:dyDescent="0.3">
      <c r="A12" s="44" t="s">
        <v>338</v>
      </c>
      <c r="B12" s="313">
        <v>106971.17398295092</v>
      </c>
    </row>
    <row r="13" spans="1:2" x14ac:dyDescent="0.3">
      <c r="A13" s="44" t="s">
        <v>339</v>
      </c>
      <c r="B13" s="313">
        <v>4167.4546463684637</v>
      </c>
    </row>
    <row r="14" spans="1:2" x14ac:dyDescent="0.3">
      <c r="A14" s="44" t="s">
        <v>33</v>
      </c>
      <c r="B14" s="313">
        <v>-5087.9980893170741</v>
      </c>
    </row>
    <row r="15" spans="1:2" x14ac:dyDescent="0.3">
      <c r="A15" s="44" t="s">
        <v>34</v>
      </c>
      <c r="B15" s="313">
        <v>-2696.6859839767171</v>
      </c>
    </row>
    <row r="16" spans="1:2" x14ac:dyDescent="0.3">
      <c r="A16" s="44" t="s">
        <v>35</v>
      </c>
      <c r="B16" s="313">
        <v>-1475.5621906743368</v>
      </c>
    </row>
    <row r="17" spans="1:2" x14ac:dyDescent="0.3">
      <c r="A17" s="44" t="s">
        <v>36</v>
      </c>
      <c r="B17" s="313">
        <v>860.38289379885782</v>
      </c>
    </row>
    <row r="18" spans="1:2" x14ac:dyDescent="0.3">
      <c r="A18" s="44" t="s">
        <v>340</v>
      </c>
      <c r="B18" s="313">
        <v>3926.1674043306666</v>
      </c>
    </row>
    <row r="19" spans="1:2" x14ac:dyDescent="0.3">
      <c r="A19" s="44" t="s">
        <v>147</v>
      </c>
      <c r="B19" s="313">
        <v>2636.1991623067479</v>
      </c>
    </row>
    <row r="20" spans="1:2" x14ac:dyDescent="0.3">
      <c r="A20" s="44" t="s">
        <v>148</v>
      </c>
      <c r="B20" s="313">
        <v>30156.473284759355</v>
      </c>
    </row>
    <row r="21" spans="1:2" x14ac:dyDescent="0.3">
      <c r="A21" s="44" t="s">
        <v>241</v>
      </c>
      <c r="B21" s="313">
        <v>-58084.109815016913</v>
      </c>
    </row>
    <row r="22" spans="1:2" x14ac:dyDescent="0.3">
      <c r="A22" s="44" t="s">
        <v>192</v>
      </c>
      <c r="B22" s="313">
        <v>-331.38096688206861</v>
      </c>
    </row>
    <row r="23" spans="1:2" x14ac:dyDescent="0.3">
      <c r="A23" s="44" t="s">
        <v>37</v>
      </c>
      <c r="B23" s="313">
        <v>-1850.5525597112535</v>
      </c>
    </row>
    <row r="24" spans="1:2" x14ac:dyDescent="0.3">
      <c r="A24" s="44" t="s">
        <v>38</v>
      </c>
      <c r="B24" s="313">
        <v>1237.1889017815415</v>
      </c>
    </row>
    <row r="25" spans="1:2" x14ac:dyDescent="0.3">
      <c r="A25" s="44" t="s">
        <v>242</v>
      </c>
      <c r="B25" s="313">
        <v>66221.607901605355</v>
      </c>
    </row>
    <row r="26" spans="1:2" x14ac:dyDescent="0.3">
      <c r="A26" s="44" t="s">
        <v>193</v>
      </c>
      <c r="B26" s="313">
        <v>11272.948186680871</v>
      </c>
    </row>
    <row r="27" spans="1:2" x14ac:dyDescent="0.3">
      <c r="A27" s="44" t="s">
        <v>341</v>
      </c>
      <c r="B27" s="313">
        <v>6346.1492217753585</v>
      </c>
    </row>
    <row r="28" spans="1:2" x14ac:dyDescent="0.3">
      <c r="A28" s="44" t="s">
        <v>39</v>
      </c>
      <c r="B28" s="313">
        <v>-2907.9407554146833</v>
      </c>
    </row>
    <row r="29" spans="1:2" x14ac:dyDescent="0.3">
      <c r="A29" s="44" t="s">
        <v>40</v>
      </c>
      <c r="B29" s="313">
        <v>-2267.7228341369082</v>
      </c>
    </row>
    <row r="30" spans="1:2" x14ac:dyDescent="0.3">
      <c r="A30" s="44" t="s">
        <v>41</v>
      </c>
      <c r="B30" s="313">
        <v>-2387.3976071398392</v>
      </c>
    </row>
    <row r="31" spans="1:2" x14ac:dyDescent="0.3">
      <c r="A31" s="44" t="s">
        <v>42</v>
      </c>
      <c r="B31" s="313">
        <v>1451.8620019371083</v>
      </c>
    </row>
    <row r="32" spans="1:2" x14ac:dyDescent="0.3">
      <c r="A32" s="44" t="s">
        <v>43</v>
      </c>
      <c r="B32" s="313">
        <v>-1599.0278946254953</v>
      </c>
    </row>
    <row r="33" spans="1:2" x14ac:dyDescent="0.3">
      <c r="A33" s="44" t="s">
        <v>44</v>
      </c>
      <c r="B33" s="313">
        <v>976.99267456387247</v>
      </c>
    </row>
    <row r="34" spans="1:2" x14ac:dyDescent="0.3">
      <c r="A34" s="44" t="s">
        <v>45</v>
      </c>
      <c r="B34" s="313">
        <v>-2187.6466705988223</v>
      </c>
    </row>
    <row r="35" spans="1:2" x14ac:dyDescent="0.3">
      <c r="A35" s="44" t="s">
        <v>46</v>
      </c>
      <c r="B35" s="313">
        <v>-3487.2238220562722</v>
      </c>
    </row>
    <row r="36" spans="1:2" x14ac:dyDescent="0.3">
      <c r="A36" s="44" t="s">
        <v>47</v>
      </c>
      <c r="B36" s="313">
        <v>1681.325314312021</v>
      </c>
    </row>
    <row r="37" spans="1:2" x14ac:dyDescent="0.3">
      <c r="A37" s="44" t="s">
        <v>48</v>
      </c>
      <c r="B37" s="313">
        <v>2144.5791071716749</v>
      </c>
    </row>
    <row r="38" spans="1:2" x14ac:dyDescent="0.3">
      <c r="A38" s="44" t="s">
        <v>201</v>
      </c>
      <c r="B38" s="313">
        <v>34834.357033863977</v>
      </c>
    </row>
    <row r="39" spans="1:2" x14ac:dyDescent="0.3">
      <c r="A39" s="44" t="s">
        <v>49</v>
      </c>
      <c r="B39" s="313">
        <v>-3784.7789511934047</v>
      </c>
    </row>
    <row r="40" spans="1:2" x14ac:dyDescent="0.3">
      <c r="A40" s="44" t="s">
        <v>202</v>
      </c>
      <c r="B40" s="313">
        <v>-65624.389894819673</v>
      </c>
    </row>
    <row r="41" spans="1:2" x14ac:dyDescent="0.3">
      <c r="A41" s="44" t="s">
        <v>203</v>
      </c>
      <c r="B41" s="313">
        <v>5604.0790203478209</v>
      </c>
    </row>
    <row r="42" spans="1:2" x14ac:dyDescent="0.3">
      <c r="A42" s="44" t="s">
        <v>149</v>
      </c>
      <c r="B42" s="313">
        <v>28347.360366821929</v>
      </c>
    </row>
    <row r="43" spans="1:2" x14ac:dyDescent="0.3">
      <c r="A43" s="44" t="s">
        <v>150</v>
      </c>
      <c r="B43" s="313">
        <v>-11404.467976235966</v>
      </c>
    </row>
    <row r="44" spans="1:2" x14ac:dyDescent="0.3">
      <c r="A44" s="44" t="s">
        <v>243</v>
      </c>
      <c r="B44" s="313">
        <v>6090.5345122223725</v>
      </c>
    </row>
    <row r="45" spans="1:2" x14ac:dyDescent="0.3">
      <c r="A45" s="44" t="s">
        <v>204</v>
      </c>
      <c r="B45" s="313">
        <v>22228.251574694288</v>
      </c>
    </row>
    <row r="46" spans="1:2" x14ac:dyDescent="0.3">
      <c r="A46" s="44" t="s">
        <v>205</v>
      </c>
      <c r="B46" s="313">
        <v>36374.876936041328</v>
      </c>
    </row>
    <row r="47" spans="1:2" x14ac:dyDescent="0.3">
      <c r="A47" s="44" t="s">
        <v>244</v>
      </c>
      <c r="B47" s="313">
        <v>33421.601431468618</v>
      </c>
    </row>
    <row r="48" spans="1:2" x14ac:dyDescent="0.3">
      <c r="A48" s="44" t="s">
        <v>342</v>
      </c>
      <c r="B48" s="313">
        <v>4608.9233473622462</v>
      </c>
    </row>
    <row r="49" spans="1:2" x14ac:dyDescent="0.3">
      <c r="A49" s="44" t="s">
        <v>343</v>
      </c>
      <c r="B49" s="313">
        <v>117370.17201331639</v>
      </c>
    </row>
    <row r="50" spans="1:2" x14ac:dyDescent="0.3">
      <c r="A50" s="44" t="s">
        <v>344</v>
      </c>
      <c r="B50" s="313">
        <v>11760.990816564701</v>
      </c>
    </row>
    <row r="51" spans="1:2" x14ac:dyDescent="0.3">
      <c r="A51" s="44" t="s">
        <v>345</v>
      </c>
      <c r="B51" s="313">
        <v>137035.84395361683</v>
      </c>
    </row>
    <row r="52" spans="1:2" x14ac:dyDescent="0.3">
      <c r="A52" s="44" t="s">
        <v>346</v>
      </c>
      <c r="B52" s="313">
        <v>74323.141585556616</v>
      </c>
    </row>
    <row r="53" spans="1:2" x14ac:dyDescent="0.3">
      <c r="A53" s="44" t="s">
        <v>245</v>
      </c>
      <c r="B53" s="313">
        <v>-14083.282266845734</v>
      </c>
    </row>
    <row r="54" spans="1:2" x14ac:dyDescent="0.3">
      <c r="A54" s="44" t="s">
        <v>50</v>
      </c>
      <c r="B54" s="313">
        <v>567.32436976125905</v>
      </c>
    </row>
    <row r="55" spans="1:2" x14ac:dyDescent="0.3">
      <c r="A55" s="44" t="s">
        <v>51</v>
      </c>
      <c r="B55" s="313">
        <v>-2434.7371685742719</v>
      </c>
    </row>
    <row r="56" spans="1:2" x14ac:dyDescent="0.3">
      <c r="A56" s="44" t="s">
        <v>246</v>
      </c>
      <c r="B56" s="313">
        <v>-10707.956478210799</v>
      </c>
    </row>
    <row r="57" spans="1:2" x14ac:dyDescent="0.3">
      <c r="A57" s="44" t="s">
        <v>206</v>
      </c>
      <c r="B57" s="313">
        <v>-7717.5163333766923</v>
      </c>
    </row>
    <row r="58" spans="1:2" x14ac:dyDescent="0.3">
      <c r="A58" s="44" t="s">
        <v>247</v>
      </c>
      <c r="B58" s="313">
        <v>-91931.535221700033</v>
      </c>
    </row>
    <row r="59" spans="1:2" x14ac:dyDescent="0.3">
      <c r="A59" s="44" t="s">
        <v>52</v>
      </c>
      <c r="B59" s="313">
        <v>14077.17625510994</v>
      </c>
    </row>
    <row r="60" spans="1:2" x14ac:dyDescent="0.3">
      <c r="A60" s="44" t="s">
        <v>248</v>
      </c>
      <c r="B60" s="313">
        <v>47957.958840315645</v>
      </c>
    </row>
    <row r="61" spans="1:2" x14ac:dyDescent="0.3">
      <c r="A61" s="44" t="s">
        <v>249</v>
      </c>
      <c r="B61" s="313">
        <v>40855.166099704998</v>
      </c>
    </row>
    <row r="62" spans="1:2" x14ac:dyDescent="0.3">
      <c r="A62" s="44" t="s">
        <v>250</v>
      </c>
      <c r="B62" s="313">
        <v>-10726.366032897477</v>
      </c>
    </row>
    <row r="63" spans="1:2" x14ac:dyDescent="0.3">
      <c r="A63" s="44" t="s">
        <v>333</v>
      </c>
      <c r="B63" s="313">
        <v>-94341.763982441043</v>
      </c>
    </row>
    <row r="64" spans="1:2" x14ac:dyDescent="0.3">
      <c r="A64" s="44" t="s">
        <v>207</v>
      </c>
      <c r="B64" s="313">
        <v>5266.3262268242543</v>
      </c>
    </row>
    <row r="65" spans="1:2" x14ac:dyDescent="0.3">
      <c r="A65" s="44" t="s">
        <v>151</v>
      </c>
      <c r="B65" s="313">
        <v>-10109.896153647082</v>
      </c>
    </row>
    <row r="66" spans="1:2" x14ac:dyDescent="0.3">
      <c r="A66" s="44" t="s">
        <v>53</v>
      </c>
      <c r="B66" s="313">
        <v>788.67207169215089</v>
      </c>
    </row>
    <row r="67" spans="1:2" x14ac:dyDescent="0.3">
      <c r="A67" s="44" t="s">
        <v>54</v>
      </c>
      <c r="B67" s="313">
        <v>11576.474067544979</v>
      </c>
    </row>
    <row r="68" spans="1:2" x14ac:dyDescent="0.3">
      <c r="A68" s="44" t="s">
        <v>55</v>
      </c>
      <c r="B68" s="313">
        <v>2284.2993403399068</v>
      </c>
    </row>
    <row r="69" spans="1:2" x14ac:dyDescent="0.3">
      <c r="A69" s="44" t="s">
        <v>251</v>
      </c>
      <c r="B69" s="313">
        <v>-10802.374074971569</v>
      </c>
    </row>
    <row r="70" spans="1:2" x14ac:dyDescent="0.3">
      <c r="A70" s="44" t="s">
        <v>194</v>
      </c>
      <c r="B70" s="313">
        <v>-7799.5291839591873</v>
      </c>
    </row>
    <row r="71" spans="1:2" x14ac:dyDescent="0.3">
      <c r="A71" s="44" t="s">
        <v>412</v>
      </c>
      <c r="B71" s="313">
        <v>99932.858860255204</v>
      </c>
    </row>
    <row r="72" spans="1:2" x14ac:dyDescent="0.3">
      <c r="A72" s="44" t="s">
        <v>252</v>
      </c>
      <c r="B72" s="313">
        <v>50687.291460770408</v>
      </c>
    </row>
    <row r="73" spans="1:2" x14ac:dyDescent="0.3">
      <c r="A73" s="44" t="s">
        <v>56</v>
      </c>
      <c r="B73" s="313">
        <v>8991.6911668920038</v>
      </c>
    </row>
    <row r="74" spans="1:2" x14ac:dyDescent="0.3">
      <c r="A74" s="44" t="s">
        <v>57</v>
      </c>
      <c r="B74" s="313">
        <v>-2228.9267708978959</v>
      </c>
    </row>
    <row r="75" spans="1:2" x14ac:dyDescent="0.3">
      <c r="A75" s="44" t="s">
        <v>58</v>
      </c>
      <c r="B75" s="313">
        <v>-2949.5689641668255</v>
      </c>
    </row>
    <row r="76" spans="1:2" x14ac:dyDescent="0.3">
      <c r="A76" s="44" t="s">
        <v>59</v>
      </c>
      <c r="B76" s="313">
        <v>1101.9380971271444</v>
      </c>
    </row>
    <row r="77" spans="1:2" x14ac:dyDescent="0.3">
      <c r="A77" s="44" t="s">
        <v>60</v>
      </c>
      <c r="B77" s="313">
        <v>12612.541525079872</v>
      </c>
    </row>
    <row r="78" spans="1:2" x14ac:dyDescent="0.3">
      <c r="A78" s="44" t="s">
        <v>61</v>
      </c>
      <c r="B78" s="313">
        <v>43.879565225434362</v>
      </c>
    </row>
    <row r="79" spans="1:2" x14ac:dyDescent="0.3">
      <c r="A79" s="44" t="s">
        <v>347</v>
      </c>
      <c r="B79" s="313">
        <v>-96481.790225276374</v>
      </c>
    </row>
    <row r="80" spans="1:2" x14ac:dyDescent="0.3">
      <c r="A80" s="44" t="s">
        <v>62</v>
      </c>
      <c r="B80" s="313">
        <v>9038.4033948822489</v>
      </c>
    </row>
    <row r="81" spans="1:2" x14ac:dyDescent="0.3">
      <c r="A81" s="44" t="s">
        <v>63</v>
      </c>
      <c r="B81" s="313">
        <v>-2667.6434656711035</v>
      </c>
    </row>
    <row r="82" spans="1:2" x14ac:dyDescent="0.3">
      <c r="A82" s="44" t="s">
        <v>64</v>
      </c>
      <c r="B82" s="313">
        <v>8190.5549237277919</v>
      </c>
    </row>
    <row r="83" spans="1:2" x14ac:dyDescent="0.3">
      <c r="A83" s="44" t="s">
        <v>348</v>
      </c>
      <c r="B83" s="313">
        <v>35860.440366492199</v>
      </c>
    </row>
    <row r="84" spans="1:2" x14ac:dyDescent="0.3">
      <c r="A84" s="44" t="s">
        <v>253</v>
      </c>
      <c r="B84" s="313">
        <v>-5747.2983849585107</v>
      </c>
    </row>
    <row r="85" spans="1:2" x14ac:dyDescent="0.3">
      <c r="A85" s="44" t="s">
        <v>349</v>
      </c>
      <c r="B85" s="313">
        <v>1691.5575787764974</v>
      </c>
    </row>
    <row r="86" spans="1:2" x14ac:dyDescent="0.3">
      <c r="A86" s="44" t="s">
        <v>254</v>
      </c>
      <c r="B86" s="313">
        <v>-29577.942140916053</v>
      </c>
    </row>
    <row r="87" spans="1:2" x14ac:dyDescent="0.3">
      <c r="A87" s="44" t="s">
        <v>350</v>
      </c>
      <c r="B87" s="313">
        <v>-104018.84284774943</v>
      </c>
    </row>
    <row r="88" spans="1:2" x14ac:dyDescent="0.3">
      <c r="A88" s="44" t="s">
        <v>65</v>
      </c>
      <c r="B88" s="313">
        <v>-3045.5105661455627</v>
      </c>
    </row>
    <row r="89" spans="1:2" x14ac:dyDescent="0.3">
      <c r="A89" s="44" t="s">
        <v>66</v>
      </c>
      <c r="B89" s="313">
        <v>-3723.5932951564982</v>
      </c>
    </row>
    <row r="90" spans="1:2" x14ac:dyDescent="0.3">
      <c r="A90" s="44" t="s">
        <v>67</v>
      </c>
      <c r="B90" s="313">
        <v>-3227.8538419198303</v>
      </c>
    </row>
    <row r="91" spans="1:2" x14ac:dyDescent="0.3">
      <c r="A91" s="44" t="s">
        <v>68</v>
      </c>
      <c r="B91" s="313">
        <v>-7955.5276058532618</v>
      </c>
    </row>
    <row r="92" spans="1:2" x14ac:dyDescent="0.3">
      <c r="A92" s="44" t="s">
        <v>69</v>
      </c>
      <c r="B92" s="313">
        <v>-6653.9749797658187</v>
      </c>
    </row>
    <row r="93" spans="1:2" x14ac:dyDescent="0.3">
      <c r="A93" s="44" t="s">
        <v>70</v>
      </c>
      <c r="B93" s="313">
        <v>-1954.1982637225587</v>
      </c>
    </row>
    <row r="94" spans="1:2" x14ac:dyDescent="0.3">
      <c r="A94" s="44" t="s">
        <v>71</v>
      </c>
      <c r="B94" s="313">
        <v>9145.2614267538611</v>
      </c>
    </row>
    <row r="95" spans="1:2" x14ac:dyDescent="0.3">
      <c r="A95" s="44" t="s">
        <v>72</v>
      </c>
      <c r="B95" s="313">
        <v>1855.5859891862092</v>
      </c>
    </row>
    <row r="96" spans="1:2" x14ac:dyDescent="0.3">
      <c r="A96" s="44" t="s">
        <v>73</v>
      </c>
      <c r="B96" s="313">
        <v>-4284.6208840441459</v>
      </c>
    </row>
    <row r="97" spans="1:2" x14ac:dyDescent="0.3">
      <c r="A97" s="44" t="s">
        <v>74</v>
      </c>
      <c r="B97" s="313">
        <v>-4806.1570024641051</v>
      </c>
    </row>
    <row r="98" spans="1:2" x14ac:dyDescent="0.3">
      <c r="A98" s="44" t="s">
        <v>152</v>
      </c>
      <c r="B98" s="313">
        <v>-9098.1943295403707</v>
      </c>
    </row>
    <row r="99" spans="1:2" x14ac:dyDescent="0.3">
      <c r="A99" s="44" t="s">
        <v>75</v>
      </c>
      <c r="B99" s="313">
        <v>-2627.5246810463191</v>
      </c>
    </row>
    <row r="100" spans="1:2" x14ac:dyDescent="0.3">
      <c r="A100" s="44" t="s">
        <v>351</v>
      </c>
      <c r="B100" s="313">
        <v>-39663.895867009996</v>
      </c>
    </row>
    <row r="101" spans="1:2" x14ac:dyDescent="0.3">
      <c r="A101" s="44" t="s">
        <v>413</v>
      </c>
      <c r="B101" s="313">
        <v>-36921.60542397805</v>
      </c>
    </row>
    <row r="102" spans="1:2" x14ac:dyDescent="0.3">
      <c r="A102" s="44" t="s">
        <v>414</v>
      </c>
      <c r="B102" s="313">
        <v>-82346.743000407936</v>
      </c>
    </row>
    <row r="103" spans="1:2" x14ac:dyDescent="0.3">
      <c r="A103" s="44" t="s">
        <v>352</v>
      </c>
      <c r="B103" s="313">
        <v>115732.69864237808</v>
      </c>
    </row>
    <row r="104" spans="1:2" x14ac:dyDescent="0.3">
      <c r="A104" s="44" t="s">
        <v>76</v>
      </c>
      <c r="B104" s="313">
        <v>13184.221399404743</v>
      </c>
    </row>
    <row r="105" spans="1:2" x14ac:dyDescent="0.3">
      <c r="A105" s="44" t="s">
        <v>353</v>
      </c>
      <c r="B105" s="313">
        <v>-31606.226489901077</v>
      </c>
    </row>
    <row r="106" spans="1:2" x14ac:dyDescent="0.3">
      <c r="A106" s="44" t="s">
        <v>77</v>
      </c>
      <c r="B106" s="313">
        <v>10947.050698946452</v>
      </c>
    </row>
    <row r="107" spans="1:2" x14ac:dyDescent="0.3">
      <c r="A107" s="44" t="s">
        <v>78</v>
      </c>
      <c r="B107" s="313">
        <v>-1641.4945762849543</v>
      </c>
    </row>
    <row r="108" spans="1:2" x14ac:dyDescent="0.3">
      <c r="A108" s="44" t="s">
        <v>255</v>
      </c>
      <c r="B108" s="313">
        <v>-28144.565345749743</v>
      </c>
    </row>
    <row r="109" spans="1:2" x14ac:dyDescent="0.3">
      <c r="A109" s="44" t="s">
        <v>354</v>
      </c>
      <c r="B109" s="313">
        <v>-36139.291279823927</v>
      </c>
    </row>
    <row r="110" spans="1:2" x14ac:dyDescent="0.3">
      <c r="A110" s="44" t="s">
        <v>79</v>
      </c>
      <c r="B110" s="313">
        <v>-3836.8354156020819</v>
      </c>
    </row>
    <row r="111" spans="1:2" x14ac:dyDescent="0.3">
      <c r="A111" s="44" t="s">
        <v>355</v>
      </c>
      <c r="B111" s="313">
        <v>46523.255263857915</v>
      </c>
    </row>
    <row r="112" spans="1:2" x14ac:dyDescent="0.3">
      <c r="A112" s="44" t="s">
        <v>356</v>
      </c>
      <c r="B112" s="313">
        <v>-22299.040364477587</v>
      </c>
    </row>
    <row r="113" spans="1:2" x14ac:dyDescent="0.3">
      <c r="A113" s="44" t="s">
        <v>415</v>
      </c>
      <c r="B113" s="313">
        <v>3769.1082019246096</v>
      </c>
    </row>
    <row r="114" spans="1:2" x14ac:dyDescent="0.3">
      <c r="A114" s="44" t="s">
        <v>357</v>
      </c>
      <c r="B114" s="313">
        <v>154568.33927222478</v>
      </c>
    </row>
    <row r="115" spans="1:2" x14ac:dyDescent="0.3">
      <c r="A115" s="44" t="s">
        <v>358</v>
      </c>
      <c r="B115" s="313">
        <v>100923.6471259032</v>
      </c>
    </row>
    <row r="116" spans="1:2" x14ac:dyDescent="0.3">
      <c r="A116" s="44" t="s">
        <v>153</v>
      </c>
      <c r="B116" s="313">
        <v>11165.449763891069</v>
      </c>
    </row>
    <row r="117" spans="1:2" x14ac:dyDescent="0.3">
      <c r="A117" s="44" t="s">
        <v>208</v>
      </c>
      <c r="B117" s="313">
        <v>-53893.476723613421</v>
      </c>
    </row>
    <row r="118" spans="1:2" x14ac:dyDescent="0.3">
      <c r="A118" s="44" t="s">
        <v>154</v>
      </c>
      <c r="B118" s="313">
        <v>39862.890906519424</v>
      </c>
    </row>
    <row r="119" spans="1:2" x14ac:dyDescent="0.3">
      <c r="A119" s="44" t="s">
        <v>155</v>
      </c>
      <c r="B119" s="313">
        <v>11355.641462485753</v>
      </c>
    </row>
    <row r="120" spans="1:2" x14ac:dyDescent="0.3">
      <c r="A120" s="44" t="s">
        <v>156</v>
      </c>
      <c r="B120" s="313">
        <v>24420.781062481678</v>
      </c>
    </row>
    <row r="121" spans="1:2" x14ac:dyDescent="0.3">
      <c r="A121" s="44" t="s">
        <v>157</v>
      </c>
      <c r="B121" s="313">
        <v>-27526.641597485319</v>
      </c>
    </row>
    <row r="122" spans="1:2" x14ac:dyDescent="0.3">
      <c r="A122" s="44" t="s">
        <v>158</v>
      </c>
      <c r="B122" s="313">
        <v>9324.8791507767473</v>
      </c>
    </row>
    <row r="123" spans="1:2" x14ac:dyDescent="0.3">
      <c r="A123" s="44" t="s">
        <v>159</v>
      </c>
      <c r="B123" s="313">
        <v>15807.349394978424</v>
      </c>
    </row>
    <row r="124" spans="1:2" x14ac:dyDescent="0.3">
      <c r="A124" s="44" t="s">
        <v>160</v>
      </c>
      <c r="B124" s="313">
        <v>-6981.5426316935518</v>
      </c>
    </row>
    <row r="125" spans="1:2" x14ac:dyDescent="0.3">
      <c r="A125" s="44" t="s">
        <v>195</v>
      </c>
      <c r="B125" s="313">
        <v>21863.897444827697</v>
      </c>
    </row>
    <row r="126" spans="1:2" x14ac:dyDescent="0.3">
      <c r="A126" s="44" t="s">
        <v>209</v>
      </c>
      <c r="B126" s="313">
        <v>-18832.941522536657</v>
      </c>
    </row>
    <row r="127" spans="1:2" x14ac:dyDescent="0.3">
      <c r="A127" s="44" t="s">
        <v>161</v>
      </c>
      <c r="B127" s="313">
        <v>-11465.05995684687</v>
      </c>
    </row>
    <row r="128" spans="1:2" x14ac:dyDescent="0.3">
      <c r="A128" s="44" t="s">
        <v>210</v>
      </c>
      <c r="B128" s="313">
        <v>669.39150002536189</v>
      </c>
    </row>
    <row r="129" spans="1:2" x14ac:dyDescent="0.3">
      <c r="A129" s="44" t="s">
        <v>162</v>
      </c>
      <c r="B129" s="313">
        <v>-2635.2194954105944</v>
      </c>
    </row>
    <row r="130" spans="1:2" x14ac:dyDescent="0.3">
      <c r="A130" s="44" t="s">
        <v>256</v>
      </c>
      <c r="B130" s="313">
        <v>31902.929956793047</v>
      </c>
    </row>
    <row r="131" spans="1:2" x14ac:dyDescent="0.3">
      <c r="A131" s="44" t="s">
        <v>257</v>
      </c>
      <c r="B131" s="313">
        <v>-9380.2160402195041</v>
      </c>
    </row>
    <row r="132" spans="1:2" x14ac:dyDescent="0.3">
      <c r="A132" s="44" t="s">
        <v>416</v>
      </c>
      <c r="B132" s="313">
        <v>43109.722701595907</v>
      </c>
    </row>
    <row r="133" spans="1:2" x14ac:dyDescent="0.3">
      <c r="A133" s="44" t="s">
        <v>359</v>
      </c>
      <c r="B133" s="313">
        <v>194026.20734971677</v>
      </c>
    </row>
    <row r="134" spans="1:2" x14ac:dyDescent="0.3">
      <c r="A134" s="44" t="s">
        <v>360</v>
      </c>
      <c r="B134" s="313">
        <v>44757.477207376724</v>
      </c>
    </row>
    <row r="135" spans="1:2" x14ac:dyDescent="0.3">
      <c r="A135" s="44" t="s">
        <v>80</v>
      </c>
      <c r="B135" s="313">
        <v>-3241.8667499600892</v>
      </c>
    </row>
    <row r="136" spans="1:2" x14ac:dyDescent="0.3">
      <c r="A136" s="44" t="s">
        <v>81</v>
      </c>
      <c r="B136" s="313">
        <v>-3147.7519151978822</v>
      </c>
    </row>
    <row r="137" spans="1:2" x14ac:dyDescent="0.3">
      <c r="A137" s="44" t="s">
        <v>82</v>
      </c>
      <c r="B137" s="313">
        <v>-2749.4970457068794</v>
      </c>
    </row>
    <row r="138" spans="1:2" x14ac:dyDescent="0.3">
      <c r="A138" s="44" t="s">
        <v>163</v>
      </c>
      <c r="B138" s="313">
        <v>4271.7316161271056</v>
      </c>
    </row>
    <row r="139" spans="1:2" x14ac:dyDescent="0.3">
      <c r="A139" s="44" t="s">
        <v>83</v>
      </c>
      <c r="B139" s="313">
        <v>-433.18569893676442</v>
      </c>
    </row>
    <row r="140" spans="1:2" x14ac:dyDescent="0.3">
      <c r="A140" s="44" t="s">
        <v>84</v>
      </c>
      <c r="B140" s="313">
        <v>-2720.2985376798238</v>
      </c>
    </row>
    <row r="141" spans="1:2" x14ac:dyDescent="0.3">
      <c r="A141" s="44" t="s">
        <v>85</v>
      </c>
      <c r="B141" s="313">
        <v>-695.3364582452964</v>
      </c>
    </row>
    <row r="142" spans="1:2" x14ac:dyDescent="0.3">
      <c r="A142" s="44" t="s">
        <v>86</v>
      </c>
      <c r="B142" s="313">
        <v>-5126.1490954868359</v>
      </c>
    </row>
    <row r="143" spans="1:2" x14ac:dyDescent="0.3">
      <c r="A143" s="44" t="s">
        <v>258</v>
      </c>
      <c r="B143" s="313">
        <v>-23810.221326833103</v>
      </c>
    </row>
    <row r="144" spans="1:2" x14ac:dyDescent="0.3">
      <c r="A144" s="44" t="s">
        <v>87</v>
      </c>
      <c r="B144" s="313">
        <v>-4208.3082171047099</v>
      </c>
    </row>
    <row r="145" spans="1:2" x14ac:dyDescent="0.3">
      <c r="A145" s="44" t="s">
        <v>88</v>
      </c>
      <c r="B145" s="313">
        <v>-4463.1812077707009</v>
      </c>
    </row>
    <row r="146" spans="1:2" x14ac:dyDescent="0.3">
      <c r="A146" s="44" t="s">
        <v>89</v>
      </c>
      <c r="B146" s="313">
        <v>-3977.1505538676424</v>
      </c>
    </row>
    <row r="147" spans="1:2" x14ac:dyDescent="0.3">
      <c r="A147" s="44" t="s">
        <v>90</v>
      </c>
      <c r="B147" s="313">
        <v>-2654.8199733524402</v>
      </c>
    </row>
    <row r="148" spans="1:2" x14ac:dyDescent="0.3">
      <c r="A148" s="44" t="s">
        <v>91</v>
      </c>
      <c r="B148" s="313">
        <v>-2561.8430342082775</v>
      </c>
    </row>
    <row r="149" spans="1:2" x14ac:dyDescent="0.3">
      <c r="A149" s="44" t="s">
        <v>259</v>
      </c>
      <c r="B149" s="313">
        <v>47915.998302098043</v>
      </c>
    </row>
    <row r="150" spans="1:2" x14ac:dyDescent="0.3">
      <c r="A150" s="44" t="s">
        <v>417</v>
      </c>
      <c r="B150" s="313">
        <v>-120165.79187529894</v>
      </c>
    </row>
    <row r="151" spans="1:2" x14ac:dyDescent="0.3">
      <c r="A151" s="44" t="s">
        <v>418</v>
      </c>
      <c r="B151" s="313">
        <v>-16613.26344249821</v>
      </c>
    </row>
    <row r="152" spans="1:2" x14ac:dyDescent="0.3">
      <c r="A152" s="44" t="s">
        <v>92</v>
      </c>
      <c r="B152" s="313">
        <v>-5527.855054942469</v>
      </c>
    </row>
    <row r="153" spans="1:2" x14ac:dyDescent="0.3">
      <c r="A153" s="44" t="s">
        <v>93</v>
      </c>
      <c r="B153" s="313">
        <v>-2861.5210927587432</v>
      </c>
    </row>
    <row r="154" spans="1:2" x14ac:dyDescent="0.3">
      <c r="A154" s="44" t="s">
        <v>94</v>
      </c>
      <c r="B154" s="313">
        <v>-2603.569270267084</v>
      </c>
    </row>
    <row r="155" spans="1:2" x14ac:dyDescent="0.3">
      <c r="A155" s="44" t="s">
        <v>95</v>
      </c>
      <c r="B155" s="313">
        <v>-2816.5099424327359</v>
      </c>
    </row>
    <row r="156" spans="1:2" x14ac:dyDescent="0.3">
      <c r="A156" s="44" t="s">
        <v>361</v>
      </c>
      <c r="B156" s="313">
        <v>-30740.102413359447</v>
      </c>
    </row>
    <row r="157" spans="1:2" x14ac:dyDescent="0.3">
      <c r="A157" s="44" t="s">
        <v>96</v>
      </c>
      <c r="B157" s="313">
        <v>1399.6461790112796</v>
      </c>
    </row>
    <row r="158" spans="1:2" x14ac:dyDescent="0.3">
      <c r="A158" s="44" t="s">
        <v>97</v>
      </c>
      <c r="B158" s="313">
        <v>-882.31038002638059</v>
      </c>
    </row>
    <row r="159" spans="1:2" x14ac:dyDescent="0.3">
      <c r="A159" s="44" t="s">
        <v>98</v>
      </c>
      <c r="B159" s="313">
        <v>-306.36276734271399</v>
      </c>
    </row>
    <row r="160" spans="1:2" x14ac:dyDescent="0.3">
      <c r="A160" s="44" t="s">
        <v>211</v>
      </c>
      <c r="B160" s="313">
        <v>-15532.775413154919</v>
      </c>
    </row>
    <row r="161" spans="1:2" x14ac:dyDescent="0.3">
      <c r="A161" s="44" t="s">
        <v>362</v>
      </c>
      <c r="B161" s="313">
        <v>-31978.134733191691</v>
      </c>
    </row>
    <row r="162" spans="1:2" x14ac:dyDescent="0.3">
      <c r="A162" s="44" t="s">
        <v>212</v>
      </c>
      <c r="B162" s="313">
        <v>17028.179363848605</v>
      </c>
    </row>
    <row r="163" spans="1:2" x14ac:dyDescent="0.3">
      <c r="A163" s="44" t="s">
        <v>164</v>
      </c>
      <c r="B163" s="313">
        <v>15440.620681751672</v>
      </c>
    </row>
    <row r="164" spans="1:2" x14ac:dyDescent="0.3">
      <c r="A164" s="44" t="s">
        <v>165</v>
      </c>
      <c r="B164" s="313">
        <v>-6336.0187503572824</v>
      </c>
    </row>
    <row r="165" spans="1:2" x14ac:dyDescent="0.3">
      <c r="A165" s="44" t="s">
        <v>260</v>
      </c>
      <c r="B165" s="313">
        <v>-32947.733814622618</v>
      </c>
    </row>
    <row r="166" spans="1:2" x14ac:dyDescent="0.3">
      <c r="A166" s="44" t="s">
        <v>166</v>
      </c>
      <c r="B166" s="313">
        <v>1965.2538635713154</v>
      </c>
    </row>
    <row r="167" spans="1:2" x14ac:dyDescent="0.3">
      <c r="A167" s="44" t="s">
        <v>99</v>
      </c>
      <c r="B167" s="313">
        <v>235.17343434867962</v>
      </c>
    </row>
    <row r="168" spans="1:2" x14ac:dyDescent="0.3">
      <c r="A168" s="44" t="s">
        <v>261</v>
      </c>
      <c r="B168" s="313">
        <v>41587.971575961121</v>
      </c>
    </row>
    <row r="169" spans="1:2" x14ac:dyDescent="0.3">
      <c r="A169" s="44" t="s">
        <v>213</v>
      </c>
      <c r="B169" s="313">
        <v>-13454.819526009393</v>
      </c>
    </row>
    <row r="170" spans="1:2" x14ac:dyDescent="0.3">
      <c r="A170" s="46" t="s">
        <v>429</v>
      </c>
      <c r="B170" s="313">
        <v>-83774.612579423949</v>
      </c>
    </row>
    <row r="171" spans="1:2" x14ac:dyDescent="0.3">
      <c r="A171" s="44" t="s">
        <v>419</v>
      </c>
      <c r="B171" s="313">
        <v>-88875.094183951529</v>
      </c>
    </row>
    <row r="172" spans="1:2" x14ac:dyDescent="0.3">
      <c r="A172" s="44" t="s">
        <v>100</v>
      </c>
      <c r="B172" s="313">
        <v>-6156.2102914276584</v>
      </c>
    </row>
    <row r="173" spans="1:2" x14ac:dyDescent="0.3">
      <c r="A173" s="44" t="s">
        <v>363</v>
      </c>
      <c r="B173" s="313">
        <v>12788.756639393454</v>
      </c>
    </row>
    <row r="174" spans="1:2" x14ac:dyDescent="0.3">
      <c r="A174" s="44" t="s">
        <v>262</v>
      </c>
      <c r="B174" s="313">
        <v>-24830.220981961342</v>
      </c>
    </row>
    <row r="175" spans="1:2" x14ac:dyDescent="0.3">
      <c r="A175" s="44" t="s">
        <v>364</v>
      </c>
      <c r="B175" s="313">
        <v>66686.170487617899</v>
      </c>
    </row>
    <row r="176" spans="1:2" x14ac:dyDescent="0.3">
      <c r="A176" s="44" t="s">
        <v>365</v>
      </c>
      <c r="B176" s="313">
        <v>-30755.780692639593</v>
      </c>
    </row>
    <row r="177" spans="1:2" x14ac:dyDescent="0.3">
      <c r="A177" s="44" t="s">
        <v>366</v>
      </c>
      <c r="B177" s="313">
        <v>-6386.2796844294062</v>
      </c>
    </row>
    <row r="178" spans="1:2" x14ac:dyDescent="0.3">
      <c r="A178" s="44" t="s">
        <v>420</v>
      </c>
      <c r="B178" s="313">
        <v>-23593.273924216468</v>
      </c>
    </row>
    <row r="179" spans="1:2" x14ac:dyDescent="0.3">
      <c r="A179" s="44" t="s">
        <v>334</v>
      </c>
      <c r="B179" s="313">
        <v>130460.11697759054</v>
      </c>
    </row>
    <row r="180" spans="1:2" x14ac:dyDescent="0.3">
      <c r="A180" s="44" t="s">
        <v>367</v>
      </c>
      <c r="B180" s="313">
        <v>-57240.662401787456</v>
      </c>
    </row>
    <row r="181" spans="1:2" x14ac:dyDescent="0.3">
      <c r="A181" s="44" t="s">
        <v>101</v>
      </c>
      <c r="B181" s="313">
        <v>-2738.2197123146307</v>
      </c>
    </row>
    <row r="182" spans="1:2" x14ac:dyDescent="0.3">
      <c r="A182" s="44" t="s">
        <v>102</v>
      </c>
      <c r="B182" s="313">
        <v>-4741.2084674956714</v>
      </c>
    </row>
    <row r="183" spans="1:2" x14ac:dyDescent="0.3">
      <c r="A183" s="44" t="s">
        <v>368</v>
      </c>
      <c r="B183" s="313">
        <v>44644.067483023609</v>
      </c>
    </row>
    <row r="184" spans="1:2" x14ac:dyDescent="0.3">
      <c r="A184" s="44" t="s">
        <v>335</v>
      </c>
      <c r="B184" s="313">
        <v>-30045.16564011258</v>
      </c>
    </row>
    <row r="185" spans="1:2" x14ac:dyDescent="0.3">
      <c r="A185" s="44" t="s">
        <v>103</v>
      </c>
      <c r="B185" s="313">
        <v>-4172.3516543104688</v>
      </c>
    </row>
    <row r="186" spans="1:2" x14ac:dyDescent="0.3">
      <c r="A186" s="44" t="s">
        <v>104</v>
      </c>
      <c r="B186" s="313">
        <v>-2122.8046687430401</v>
      </c>
    </row>
    <row r="187" spans="1:2" x14ac:dyDescent="0.3">
      <c r="A187" s="44" t="s">
        <v>369</v>
      </c>
      <c r="B187" s="313">
        <v>-20727.175093138696</v>
      </c>
    </row>
    <row r="188" spans="1:2" x14ac:dyDescent="0.3">
      <c r="A188" s="44" t="s">
        <v>105</v>
      </c>
      <c r="B188" s="313">
        <v>318.2139187341719</v>
      </c>
    </row>
    <row r="189" spans="1:2" x14ac:dyDescent="0.3">
      <c r="A189" s="44" t="s">
        <v>106</v>
      </c>
      <c r="B189" s="313">
        <v>-1658.6998276536203</v>
      </c>
    </row>
    <row r="190" spans="1:2" x14ac:dyDescent="0.3">
      <c r="A190" s="44" t="s">
        <v>107</v>
      </c>
      <c r="B190" s="313">
        <v>-1938.1549684243882</v>
      </c>
    </row>
    <row r="191" spans="1:2" x14ac:dyDescent="0.3">
      <c r="A191" s="44" t="s">
        <v>108</v>
      </c>
      <c r="B191" s="313">
        <v>-3030.1088997514253</v>
      </c>
    </row>
    <row r="192" spans="1:2" x14ac:dyDescent="0.3">
      <c r="A192" s="44" t="s">
        <v>109</v>
      </c>
      <c r="B192" s="313">
        <v>-1975.8513665932501</v>
      </c>
    </row>
    <row r="193" spans="1:2" x14ac:dyDescent="0.3">
      <c r="A193" s="44" t="s">
        <v>110</v>
      </c>
      <c r="B193" s="313">
        <v>-3872.0116419982305</v>
      </c>
    </row>
    <row r="194" spans="1:2" x14ac:dyDescent="0.3">
      <c r="A194" s="44" t="s">
        <v>111</v>
      </c>
      <c r="B194" s="313">
        <v>-2755.9274156818419</v>
      </c>
    </row>
    <row r="195" spans="1:2" x14ac:dyDescent="0.3">
      <c r="A195" s="44" t="s">
        <v>112</v>
      </c>
      <c r="B195" s="313">
        <v>-4452.3236299815062</v>
      </c>
    </row>
    <row r="196" spans="1:2" x14ac:dyDescent="0.3">
      <c r="A196" s="44" t="s">
        <v>113</v>
      </c>
      <c r="B196" s="313">
        <v>-6072.7130631141845</v>
      </c>
    </row>
    <row r="197" spans="1:2" x14ac:dyDescent="0.3">
      <c r="A197" s="44" t="s">
        <v>114</v>
      </c>
      <c r="B197" s="313">
        <v>-2410.8731290972491</v>
      </c>
    </row>
    <row r="198" spans="1:2" x14ac:dyDescent="0.3">
      <c r="A198" s="44" t="s">
        <v>263</v>
      </c>
      <c r="B198" s="313">
        <v>46361.075761034939</v>
      </c>
    </row>
    <row r="199" spans="1:2" x14ac:dyDescent="0.3">
      <c r="A199" s="44" t="s">
        <v>214</v>
      </c>
      <c r="B199" s="313">
        <v>-34951.882915740869</v>
      </c>
    </row>
    <row r="200" spans="1:2" x14ac:dyDescent="0.3">
      <c r="A200" s="44" t="s">
        <v>167</v>
      </c>
      <c r="B200" s="313">
        <v>16354.436143371624</v>
      </c>
    </row>
    <row r="201" spans="1:2" x14ac:dyDescent="0.3">
      <c r="A201" s="44" t="s">
        <v>116</v>
      </c>
      <c r="B201" s="313">
        <v>-751.68908938980007</v>
      </c>
    </row>
    <row r="202" spans="1:2" x14ac:dyDescent="0.3">
      <c r="A202" s="44" t="s">
        <v>117</v>
      </c>
      <c r="B202" s="313">
        <v>-750.68960490687391</v>
      </c>
    </row>
    <row r="203" spans="1:2" x14ac:dyDescent="0.3">
      <c r="A203" s="44" t="s">
        <v>118</v>
      </c>
      <c r="B203" s="313">
        <v>-3848.8922741026954</v>
      </c>
    </row>
    <row r="204" spans="1:2" x14ac:dyDescent="0.3">
      <c r="A204" s="44" t="s">
        <v>119</v>
      </c>
      <c r="B204" s="313">
        <v>-3843.710387977148</v>
      </c>
    </row>
    <row r="205" spans="1:2" x14ac:dyDescent="0.3">
      <c r="A205" s="44" t="s">
        <v>168</v>
      </c>
      <c r="B205" s="313">
        <v>-11544.928649293954</v>
      </c>
    </row>
    <row r="206" spans="1:2" x14ac:dyDescent="0.3">
      <c r="A206" s="44" t="s">
        <v>264</v>
      </c>
      <c r="B206" s="313">
        <v>67395.53605099651</v>
      </c>
    </row>
    <row r="207" spans="1:2" x14ac:dyDescent="0.3">
      <c r="A207" s="44" t="s">
        <v>115</v>
      </c>
      <c r="B207" s="313">
        <v>1186.2412012826871</v>
      </c>
    </row>
    <row r="208" spans="1:2" x14ac:dyDescent="0.3">
      <c r="A208" s="44" t="s">
        <v>370</v>
      </c>
      <c r="B208" s="313">
        <v>133456.23992386635</v>
      </c>
    </row>
    <row r="209" spans="1:2" x14ac:dyDescent="0.3">
      <c r="A209" s="44" t="s">
        <v>265</v>
      </c>
      <c r="B209" s="313">
        <v>-61925.65418756556</v>
      </c>
    </row>
    <row r="210" spans="1:2" x14ac:dyDescent="0.3">
      <c r="A210" s="44" t="s">
        <v>371</v>
      </c>
      <c r="B210" s="313">
        <v>51940.821438521823</v>
      </c>
    </row>
    <row r="211" spans="1:2" x14ac:dyDescent="0.3">
      <c r="A211" s="44" t="s">
        <v>372</v>
      </c>
      <c r="B211" s="313">
        <v>17714.843340028601</v>
      </c>
    </row>
    <row r="212" spans="1:2" x14ac:dyDescent="0.3">
      <c r="A212" s="44" t="s">
        <v>120</v>
      </c>
      <c r="B212" s="313">
        <v>-4333.1027136260427</v>
      </c>
    </row>
    <row r="213" spans="1:2" x14ac:dyDescent="0.3">
      <c r="A213" s="44" t="s">
        <v>373</v>
      </c>
      <c r="B213" s="313">
        <v>265409.97742095322</v>
      </c>
    </row>
    <row r="214" spans="1:2" x14ac:dyDescent="0.3">
      <c r="A214" s="44" t="s">
        <v>169</v>
      </c>
      <c r="B214" s="313">
        <v>12519.330665178199</v>
      </c>
    </row>
    <row r="215" spans="1:2" x14ac:dyDescent="0.3">
      <c r="A215" s="44" t="s">
        <v>170</v>
      </c>
      <c r="B215" s="313">
        <v>-3411.1458211325034</v>
      </c>
    </row>
    <row r="216" spans="1:2" x14ac:dyDescent="0.3">
      <c r="A216" s="44" t="s">
        <v>171</v>
      </c>
      <c r="B216" s="313">
        <v>19157.226925994913</v>
      </c>
    </row>
    <row r="217" spans="1:2" x14ac:dyDescent="0.3">
      <c r="A217" s="44" t="s">
        <v>1094</v>
      </c>
      <c r="B217" s="313">
        <v>-15748.877708276832</v>
      </c>
    </row>
    <row r="218" spans="1:2" x14ac:dyDescent="0.3">
      <c r="A218" s="44" t="s">
        <v>172</v>
      </c>
      <c r="B218" s="313">
        <v>14410.658148795988</v>
      </c>
    </row>
    <row r="219" spans="1:2" x14ac:dyDescent="0.3">
      <c r="A219" s="44" t="s">
        <v>266</v>
      </c>
      <c r="B219" s="313">
        <v>-11182.179157154122</v>
      </c>
    </row>
    <row r="220" spans="1:2" x14ac:dyDescent="0.3">
      <c r="A220" s="44" t="s">
        <v>173</v>
      </c>
      <c r="B220" s="313">
        <v>4247.2683031774986</v>
      </c>
    </row>
    <row r="221" spans="1:2" x14ac:dyDescent="0.3">
      <c r="A221" s="44" t="s">
        <v>174</v>
      </c>
      <c r="B221" s="313">
        <v>-4949.3814879538277</v>
      </c>
    </row>
    <row r="222" spans="1:2" x14ac:dyDescent="0.3">
      <c r="A222" s="44" t="s">
        <v>267</v>
      </c>
      <c r="B222" s="313">
        <v>-25572.44261937651</v>
      </c>
    </row>
    <row r="223" spans="1:2" x14ac:dyDescent="0.3">
      <c r="A223" s="44" t="s">
        <v>215</v>
      </c>
      <c r="B223" s="313">
        <v>18784.907743289765</v>
      </c>
    </row>
    <row r="224" spans="1:2" x14ac:dyDescent="0.3">
      <c r="A224" s="44" t="s">
        <v>175</v>
      </c>
      <c r="B224" s="313">
        <v>-10158.593182874807</v>
      </c>
    </row>
    <row r="225" spans="1:2" x14ac:dyDescent="0.3">
      <c r="A225" s="44" t="s">
        <v>121</v>
      </c>
      <c r="B225" s="313">
        <v>5189.8062626816172</v>
      </c>
    </row>
    <row r="226" spans="1:2" x14ac:dyDescent="0.3">
      <c r="A226" s="44" t="s">
        <v>374</v>
      </c>
      <c r="B226" s="313">
        <v>80027.142170770894</v>
      </c>
    </row>
    <row r="227" spans="1:2" x14ac:dyDescent="0.3">
      <c r="A227" s="44" t="s">
        <v>375</v>
      </c>
      <c r="B227" s="313">
        <v>-41405.43206028155</v>
      </c>
    </row>
    <row r="228" spans="1:2" x14ac:dyDescent="0.3">
      <c r="A228" s="44" t="s">
        <v>176</v>
      </c>
      <c r="B228" s="313">
        <v>2295.5803981330628</v>
      </c>
    </row>
    <row r="229" spans="1:2" x14ac:dyDescent="0.3">
      <c r="A229" s="44" t="s">
        <v>336</v>
      </c>
      <c r="B229" s="313">
        <v>27727.664647060574</v>
      </c>
    </row>
    <row r="230" spans="1:2" x14ac:dyDescent="0.3">
      <c r="A230" s="44" t="s">
        <v>177</v>
      </c>
      <c r="B230" s="313">
        <v>24458.151028254884</v>
      </c>
    </row>
    <row r="231" spans="1:2" x14ac:dyDescent="0.3">
      <c r="A231" s="44" t="s">
        <v>376</v>
      </c>
      <c r="B231" s="313">
        <v>16309.246749088619</v>
      </c>
    </row>
    <row r="232" spans="1:2" x14ac:dyDescent="0.3">
      <c r="A232" s="44" t="s">
        <v>337</v>
      </c>
      <c r="B232" s="313">
        <v>35436.402843070216</v>
      </c>
    </row>
    <row r="233" spans="1:2" x14ac:dyDescent="0.3">
      <c r="A233" s="44" t="s">
        <v>377</v>
      </c>
      <c r="B233" s="313">
        <v>8390.7022111580591</v>
      </c>
    </row>
    <row r="234" spans="1:2" x14ac:dyDescent="0.3">
      <c r="A234" s="44" t="s">
        <v>378</v>
      </c>
      <c r="B234" s="313">
        <v>-78258.809867363583</v>
      </c>
    </row>
    <row r="235" spans="1:2" x14ac:dyDescent="0.3">
      <c r="A235" s="44" t="s">
        <v>379</v>
      </c>
      <c r="B235" s="313">
        <v>-29188.612644238929</v>
      </c>
    </row>
    <row r="236" spans="1:2" x14ac:dyDescent="0.3">
      <c r="A236" s="44" t="s">
        <v>178</v>
      </c>
      <c r="B236" s="313">
        <v>-20482.390117137627</v>
      </c>
    </row>
    <row r="237" spans="1:2" x14ac:dyDescent="0.3">
      <c r="A237" s="44" t="s">
        <v>380</v>
      </c>
      <c r="B237" s="313">
        <v>-1411.147026562885</v>
      </c>
    </row>
    <row r="238" spans="1:2" x14ac:dyDescent="0.3">
      <c r="A238" s="44" t="s">
        <v>381</v>
      </c>
      <c r="B238" s="313">
        <v>-37394.015702555102</v>
      </c>
    </row>
    <row r="239" spans="1:2" x14ac:dyDescent="0.3">
      <c r="A239" s="44" t="s">
        <v>382</v>
      </c>
      <c r="B239" s="313">
        <v>-81577.915368777816</v>
      </c>
    </row>
    <row r="240" spans="1:2" x14ac:dyDescent="0.3">
      <c r="A240" s="44" t="s">
        <v>122</v>
      </c>
      <c r="B240" s="313">
        <v>1740.9054203588269</v>
      </c>
    </row>
    <row r="241" spans="1:2" x14ac:dyDescent="0.3">
      <c r="A241" s="44" t="s">
        <v>123</v>
      </c>
      <c r="B241" s="313">
        <v>11537.929251423064</v>
      </c>
    </row>
    <row r="242" spans="1:2" x14ac:dyDescent="0.3">
      <c r="A242" s="44" t="s">
        <v>421</v>
      </c>
      <c r="B242" s="313">
        <v>28611.539147811491</v>
      </c>
    </row>
    <row r="243" spans="1:2" x14ac:dyDescent="0.3">
      <c r="A243" s="44" t="s">
        <v>124</v>
      </c>
      <c r="B243" s="313">
        <v>-2894.916857352438</v>
      </c>
    </row>
    <row r="244" spans="1:2" x14ac:dyDescent="0.3">
      <c r="A244" s="44" t="s">
        <v>268</v>
      </c>
      <c r="B244" s="313">
        <v>2338.5299649703393</v>
      </c>
    </row>
    <row r="245" spans="1:2" x14ac:dyDescent="0.3">
      <c r="A245" s="44" t="s">
        <v>383</v>
      </c>
      <c r="B245" s="313">
        <v>-7758.3008314594408</v>
      </c>
    </row>
    <row r="246" spans="1:2" x14ac:dyDescent="0.3">
      <c r="A246" s="44" t="s">
        <v>384</v>
      </c>
      <c r="B246" s="313">
        <v>-72098.553029169852</v>
      </c>
    </row>
    <row r="247" spans="1:2" x14ac:dyDescent="0.3">
      <c r="A247" s="44" t="s">
        <v>269</v>
      </c>
      <c r="B247" s="313">
        <v>52148.584140836552</v>
      </c>
    </row>
    <row r="248" spans="1:2" x14ac:dyDescent="0.3">
      <c r="A248" s="44" t="s">
        <v>270</v>
      </c>
      <c r="B248" s="313">
        <v>-34750.228771861191</v>
      </c>
    </row>
    <row r="249" spans="1:2" x14ac:dyDescent="0.3">
      <c r="A249" s="44" t="s">
        <v>271</v>
      </c>
      <c r="B249" s="313">
        <v>-43695.113962520263</v>
      </c>
    </row>
    <row r="250" spans="1:2" x14ac:dyDescent="0.3">
      <c r="A250" s="44" t="s">
        <v>272</v>
      </c>
      <c r="B250" s="313">
        <v>-7005.9873227057087</v>
      </c>
    </row>
    <row r="251" spans="1:2" x14ac:dyDescent="0.3">
      <c r="A251" s="44" t="s">
        <v>216</v>
      </c>
      <c r="B251" s="313">
        <v>50829.550216587384</v>
      </c>
    </row>
    <row r="252" spans="1:2" x14ac:dyDescent="0.3">
      <c r="A252" s="44" t="s">
        <v>179</v>
      </c>
      <c r="B252" s="313">
        <v>34127.542691991577</v>
      </c>
    </row>
    <row r="253" spans="1:2" x14ac:dyDescent="0.3">
      <c r="A253" s="44" t="s">
        <v>125</v>
      </c>
      <c r="B253" s="313">
        <v>-1619.8985893769766</v>
      </c>
    </row>
    <row r="254" spans="1:2" x14ac:dyDescent="0.3">
      <c r="A254" s="44" t="s">
        <v>180</v>
      </c>
      <c r="B254" s="313">
        <v>7730.3728397101495</v>
      </c>
    </row>
    <row r="255" spans="1:2" x14ac:dyDescent="0.3">
      <c r="A255" s="44" t="s">
        <v>196</v>
      </c>
      <c r="B255" s="313">
        <v>4776.0840431174965</v>
      </c>
    </row>
    <row r="256" spans="1:2" x14ac:dyDescent="0.3">
      <c r="A256" s="44" t="s">
        <v>181</v>
      </c>
      <c r="B256" s="313">
        <v>5459.0582198445354</v>
      </c>
    </row>
    <row r="257" spans="1:2" x14ac:dyDescent="0.3">
      <c r="A257" s="44" t="s">
        <v>217</v>
      </c>
      <c r="B257" s="313">
        <v>18979.613316855881</v>
      </c>
    </row>
    <row r="258" spans="1:2" x14ac:dyDescent="0.3">
      <c r="A258" s="46" t="s">
        <v>428</v>
      </c>
      <c r="B258" s="313">
        <v>32463.42058370763</v>
      </c>
    </row>
    <row r="259" spans="1:2" x14ac:dyDescent="0.3">
      <c r="A259" s="44" t="s">
        <v>182</v>
      </c>
      <c r="B259" s="313">
        <v>-4168.5669994463215</v>
      </c>
    </row>
    <row r="260" spans="1:2" x14ac:dyDescent="0.3">
      <c r="A260" s="44" t="s">
        <v>126</v>
      </c>
      <c r="B260" s="313">
        <v>-4947.8152477619496</v>
      </c>
    </row>
    <row r="261" spans="1:2" x14ac:dyDescent="0.3">
      <c r="A261" s="44" t="s">
        <v>385</v>
      </c>
      <c r="B261" s="313">
        <v>54841.834993527722</v>
      </c>
    </row>
    <row r="262" spans="1:2" x14ac:dyDescent="0.3">
      <c r="A262" s="44" t="s">
        <v>127</v>
      </c>
      <c r="B262" s="313">
        <v>-6134.0028454945559</v>
      </c>
    </row>
    <row r="263" spans="1:2" x14ac:dyDescent="0.3">
      <c r="A263" s="44" t="s">
        <v>183</v>
      </c>
      <c r="B263" s="313">
        <v>-2375.6894417913409</v>
      </c>
    </row>
    <row r="264" spans="1:2" x14ac:dyDescent="0.3">
      <c r="A264" s="44" t="s">
        <v>128</v>
      </c>
      <c r="B264" s="313">
        <v>-3949.7897459897258</v>
      </c>
    </row>
    <row r="265" spans="1:2" x14ac:dyDescent="0.3">
      <c r="A265" s="44" t="s">
        <v>184</v>
      </c>
      <c r="B265" s="313">
        <v>-5904.3263651682146</v>
      </c>
    </row>
    <row r="266" spans="1:2" x14ac:dyDescent="0.3">
      <c r="A266" s="44" t="s">
        <v>273</v>
      </c>
      <c r="B266" s="313">
        <v>10452.663635201618</v>
      </c>
    </row>
    <row r="267" spans="1:2" x14ac:dyDescent="0.3">
      <c r="A267" s="44" t="s">
        <v>218</v>
      </c>
      <c r="B267" s="313">
        <v>30640.981388067754</v>
      </c>
    </row>
    <row r="268" spans="1:2" x14ac:dyDescent="0.3">
      <c r="A268" s="44" t="s">
        <v>274</v>
      </c>
      <c r="B268" s="313">
        <v>1867.3567453412397</v>
      </c>
    </row>
    <row r="269" spans="1:2" x14ac:dyDescent="0.3">
      <c r="A269" s="44" t="s">
        <v>275</v>
      </c>
      <c r="B269" s="313">
        <v>-72247.761618738266</v>
      </c>
    </row>
    <row r="270" spans="1:2" x14ac:dyDescent="0.3">
      <c r="A270" s="44" t="s">
        <v>276</v>
      </c>
      <c r="B270" s="313">
        <v>-68837.15054738136</v>
      </c>
    </row>
    <row r="271" spans="1:2" x14ac:dyDescent="0.3">
      <c r="A271" s="44" t="s">
        <v>277</v>
      </c>
      <c r="B271" s="313">
        <v>-13168.337453942588</v>
      </c>
    </row>
    <row r="272" spans="1:2" x14ac:dyDescent="0.3">
      <c r="A272" s="44" t="s">
        <v>278</v>
      </c>
      <c r="B272" s="313">
        <v>2145.8479075563137</v>
      </c>
    </row>
    <row r="273" spans="1:2" x14ac:dyDescent="0.3">
      <c r="A273" s="44" t="s">
        <v>279</v>
      </c>
      <c r="B273" s="313">
        <v>5578.8841651014882</v>
      </c>
    </row>
    <row r="274" spans="1:2" x14ac:dyDescent="0.3">
      <c r="A274" s="44" t="s">
        <v>280</v>
      </c>
      <c r="B274" s="313">
        <v>17494.958382704157</v>
      </c>
    </row>
    <row r="275" spans="1:2" x14ac:dyDescent="0.3">
      <c r="A275" s="44" t="s">
        <v>281</v>
      </c>
      <c r="B275" s="313">
        <v>9711.5393007118655</v>
      </c>
    </row>
    <row r="276" spans="1:2" x14ac:dyDescent="0.3">
      <c r="A276" s="44" t="s">
        <v>282</v>
      </c>
      <c r="B276" s="313">
        <v>114342.50110686746</v>
      </c>
    </row>
    <row r="277" spans="1:2" x14ac:dyDescent="0.3">
      <c r="A277" s="44" t="s">
        <v>283</v>
      </c>
      <c r="B277" s="313">
        <v>41819.653571427552</v>
      </c>
    </row>
    <row r="278" spans="1:2" x14ac:dyDescent="0.3">
      <c r="A278" s="44" t="s">
        <v>284</v>
      </c>
      <c r="B278" s="313">
        <v>-41428.637249539257</v>
      </c>
    </row>
    <row r="279" spans="1:2" x14ac:dyDescent="0.3">
      <c r="A279" s="44" t="s">
        <v>285</v>
      </c>
      <c r="B279" s="313">
        <v>-37786.5010035823</v>
      </c>
    </row>
    <row r="280" spans="1:2" x14ac:dyDescent="0.3">
      <c r="A280" s="44" t="s">
        <v>286</v>
      </c>
      <c r="B280" s="313">
        <v>-10383.833201603564</v>
      </c>
    </row>
    <row r="281" spans="1:2" x14ac:dyDescent="0.3">
      <c r="A281" s="44" t="s">
        <v>287</v>
      </c>
      <c r="B281" s="313">
        <v>-60164.347097913596</v>
      </c>
    </row>
    <row r="282" spans="1:2" x14ac:dyDescent="0.3">
      <c r="A282" s="44" t="s">
        <v>288</v>
      </c>
      <c r="B282" s="313">
        <v>27780.038529262911</v>
      </c>
    </row>
    <row r="283" spans="1:2" x14ac:dyDescent="0.3">
      <c r="A283" s="44" t="s">
        <v>129</v>
      </c>
      <c r="B283" s="313">
        <v>-6165.3695332093321</v>
      </c>
    </row>
    <row r="284" spans="1:2" x14ac:dyDescent="0.3">
      <c r="A284" s="44" t="s">
        <v>130</v>
      </c>
      <c r="B284" s="313">
        <v>-2240.0830915776205</v>
      </c>
    </row>
    <row r="285" spans="1:2" x14ac:dyDescent="0.3">
      <c r="A285" s="44" t="s">
        <v>386</v>
      </c>
      <c r="B285" s="313">
        <v>1096.9421258767943</v>
      </c>
    </row>
    <row r="286" spans="1:2" x14ac:dyDescent="0.3">
      <c r="A286" s="44" t="s">
        <v>387</v>
      </c>
      <c r="B286" s="313">
        <v>78093.355183338164</v>
      </c>
    </row>
    <row r="287" spans="1:2" x14ac:dyDescent="0.3">
      <c r="A287" s="44" t="s">
        <v>388</v>
      </c>
      <c r="B287" s="313">
        <v>-26220.010742889863</v>
      </c>
    </row>
    <row r="288" spans="1:2" x14ac:dyDescent="0.3">
      <c r="A288" s="44" t="s">
        <v>389</v>
      </c>
      <c r="B288" s="313">
        <v>10377.051541261346</v>
      </c>
    </row>
    <row r="289" spans="1:2" x14ac:dyDescent="0.3">
      <c r="A289" s="44" t="s">
        <v>390</v>
      </c>
      <c r="B289" s="313">
        <v>38212.834533103101</v>
      </c>
    </row>
    <row r="290" spans="1:2" x14ac:dyDescent="0.3">
      <c r="A290" s="44" t="s">
        <v>391</v>
      </c>
      <c r="B290" s="313">
        <v>22378.704082453598</v>
      </c>
    </row>
    <row r="291" spans="1:2" x14ac:dyDescent="0.3">
      <c r="A291" s="44" t="s">
        <v>131</v>
      </c>
      <c r="B291" s="313">
        <v>-2960.994432469477</v>
      </c>
    </row>
    <row r="292" spans="1:2" x14ac:dyDescent="0.3">
      <c r="A292" s="44" t="s">
        <v>132</v>
      </c>
      <c r="B292" s="313">
        <v>-3586.2045114305602</v>
      </c>
    </row>
    <row r="293" spans="1:2" x14ac:dyDescent="0.3">
      <c r="A293" s="44" t="s">
        <v>219</v>
      </c>
      <c r="B293" s="313">
        <v>-22881.500736182821</v>
      </c>
    </row>
    <row r="294" spans="1:2" x14ac:dyDescent="0.3">
      <c r="A294" s="44" t="s">
        <v>220</v>
      </c>
      <c r="B294" s="313">
        <v>52472.556944864373</v>
      </c>
    </row>
    <row r="295" spans="1:2" x14ac:dyDescent="0.3">
      <c r="A295" s="44" t="s">
        <v>221</v>
      </c>
      <c r="B295" s="313">
        <v>8593.6641475588694</v>
      </c>
    </row>
    <row r="296" spans="1:2" x14ac:dyDescent="0.3">
      <c r="A296" s="44" t="s">
        <v>289</v>
      </c>
      <c r="B296" s="313">
        <v>50227.294595843763</v>
      </c>
    </row>
    <row r="297" spans="1:2" x14ac:dyDescent="0.3">
      <c r="A297" s="44" t="s">
        <v>222</v>
      </c>
      <c r="B297" s="313">
        <v>9042.6997269288768</v>
      </c>
    </row>
    <row r="298" spans="1:2" x14ac:dyDescent="0.3">
      <c r="A298" s="44" t="s">
        <v>197</v>
      </c>
      <c r="B298" s="313">
        <v>-14517.263011535473</v>
      </c>
    </row>
    <row r="299" spans="1:2" x14ac:dyDescent="0.3">
      <c r="A299" s="44" t="s">
        <v>223</v>
      </c>
      <c r="B299" s="313">
        <v>-3882.6457384639834</v>
      </c>
    </row>
    <row r="300" spans="1:2" x14ac:dyDescent="0.3">
      <c r="A300" s="44" t="s">
        <v>224</v>
      </c>
      <c r="B300" s="313">
        <v>4348.9079702763011</v>
      </c>
    </row>
    <row r="301" spans="1:2" x14ac:dyDescent="0.3">
      <c r="A301" s="44" t="s">
        <v>290</v>
      </c>
      <c r="B301" s="313">
        <v>28456.784616263754</v>
      </c>
    </row>
    <row r="302" spans="1:2" x14ac:dyDescent="0.3">
      <c r="A302" s="44" t="s">
        <v>133</v>
      </c>
      <c r="B302" s="313">
        <v>-4311.1669132401412</v>
      </c>
    </row>
    <row r="303" spans="1:2" ht="22.8" x14ac:dyDescent="0.3">
      <c r="A303" s="44" t="s">
        <v>185</v>
      </c>
      <c r="B303" s="313">
        <v>2323.4134986025747</v>
      </c>
    </row>
    <row r="304" spans="1:2" x14ac:dyDescent="0.3">
      <c r="A304" s="44" t="s">
        <v>134</v>
      </c>
      <c r="B304" s="313">
        <v>-2838.0166205772493</v>
      </c>
    </row>
    <row r="305" spans="1:2" x14ac:dyDescent="0.3">
      <c r="A305" s="44" t="s">
        <v>291</v>
      </c>
      <c r="B305" s="313">
        <v>3476.8640158891449</v>
      </c>
    </row>
    <row r="306" spans="1:2" x14ac:dyDescent="0.3">
      <c r="A306" s="44" t="s">
        <v>422</v>
      </c>
      <c r="B306" s="313">
        <v>-11302.01251298553</v>
      </c>
    </row>
    <row r="307" spans="1:2" x14ac:dyDescent="0.3">
      <c r="A307" s="44" t="s">
        <v>392</v>
      </c>
      <c r="B307" s="313">
        <v>-35057.635144168147</v>
      </c>
    </row>
    <row r="308" spans="1:2" x14ac:dyDescent="0.3">
      <c r="A308" s="44" t="s">
        <v>198</v>
      </c>
      <c r="B308" s="313">
        <v>29408.749391087338</v>
      </c>
    </row>
    <row r="309" spans="1:2" x14ac:dyDescent="0.3">
      <c r="A309" s="44" t="s">
        <v>199</v>
      </c>
      <c r="B309" s="313">
        <v>7118.9615361380338</v>
      </c>
    </row>
    <row r="310" spans="1:2" x14ac:dyDescent="0.3">
      <c r="A310" s="44" t="s">
        <v>135</v>
      </c>
      <c r="B310" s="313">
        <v>443.27605877095971</v>
      </c>
    </row>
    <row r="311" spans="1:2" x14ac:dyDescent="0.3">
      <c r="A311" s="44" t="s">
        <v>393</v>
      </c>
      <c r="B311" s="313">
        <v>-58237.573978822569</v>
      </c>
    </row>
    <row r="312" spans="1:2" x14ac:dyDescent="0.3">
      <c r="A312" s="44" t="s">
        <v>136</v>
      </c>
      <c r="B312" s="313">
        <v>-541.9247094401112</v>
      </c>
    </row>
    <row r="313" spans="1:2" x14ac:dyDescent="0.3">
      <c r="A313" s="44" t="s">
        <v>186</v>
      </c>
      <c r="B313" s="313">
        <v>-13331.883083443001</v>
      </c>
    </row>
    <row r="314" spans="1:2" x14ac:dyDescent="0.3">
      <c r="A314" s="44" t="s">
        <v>137</v>
      </c>
      <c r="B314" s="313">
        <v>5307.1986957772187</v>
      </c>
    </row>
    <row r="315" spans="1:2" x14ac:dyDescent="0.3">
      <c r="A315" s="44" t="s">
        <v>138</v>
      </c>
      <c r="B315" s="313">
        <v>1342.5193145253124</v>
      </c>
    </row>
    <row r="316" spans="1:2" x14ac:dyDescent="0.3">
      <c r="A316" s="44" t="s">
        <v>139</v>
      </c>
      <c r="B316" s="313">
        <v>-2750.6936039083589</v>
      </c>
    </row>
    <row r="317" spans="1:2" x14ac:dyDescent="0.3">
      <c r="A317" s="44" t="s">
        <v>225</v>
      </c>
      <c r="B317" s="313">
        <v>10402.659418976555</v>
      </c>
    </row>
    <row r="318" spans="1:2" x14ac:dyDescent="0.3">
      <c r="A318" s="44" t="s">
        <v>423</v>
      </c>
      <c r="B318" s="313">
        <v>20705.925892333817</v>
      </c>
    </row>
    <row r="319" spans="1:2" x14ac:dyDescent="0.3">
      <c r="A319" s="44" t="s">
        <v>394</v>
      </c>
      <c r="B319" s="313">
        <v>89504.622343863462</v>
      </c>
    </row>
    <row r="320" spans="1:2" x14ac:dyDescent="0.3">
      <c r="A320" s="44" t="s">
        <v>292</v>
      </c>
      <c r="B320" s="313">
        <v>-11110.469403238385</v>
      </c>
    </row>
    <row r="321" spans="1:2" x14ac:dyDescent="0.3">
      <c r="A321" s="44" t="s">
        <v>395</v>
      </c>
      <c r="B321" s="313">
        <v>-16120.280951409157</v>
      </c>
    </row>
    <row r="322" spans="1:2" x14ac:dyDescent="0.3">
      <c r="A322" s="44" t="s">
        <v>293</v>
      </c>
      <c r="B322" s="313">
        <v>-12855.651827720547</v>
      </c>
    </row>
    <row r="323" spans="1:2" x14ac:dyDescent="0.3">
      <c r="A323" s="44" t="s">
        <v>226</v>
      </c>
      <c r="B323" s="313">
        <v>22834.504421620135</v>
      </c>
    </row>
    <row r="324" spans="1:2" x14ac:dyDescent="0.3">
      <c r="A324" s="44" t="s">
        <v>294</v>
      </c>
      <c r="B324" s="313">
        <v>5080.5746685007907</v>
      </c>
    </row>
    <row r="325" spans="1:2" x14ac:dyDescent="0.3">
      <c r="A325" s="44" t="s">
        <v>295</v>
      </c>
      <c r="B325" s="313">
        <v>52844.694053223597</v>
      </c>
    </row>
    <row r="326" spans="1:2" x14ac:dyDescent="0.3">
      <c r="A326" s="44" t="s">
        <v>227</v>
      </c>
      <c r="B326" s="313">
        <v>-23001.325936764824</v>
      </c>
    </row>
    <row r="327" spans="1:2" x14ac:dyDescent="0.3">
      <c r="A327" s="44" t="s">
        <v>296</v>
      </c>
      <c r="B327" s="313">
        <v>-26118.897809876944</v>
      </c>
    </row>
    <row r="328" spans="1:2" x14ac:dyDescent="0.3">
      <c r="A328" s="44" t="s">
        <v>228</v>
      </c>
      <c r="B328" s="313">
        <v>-25177.338500332342</v>
      </c>
    </row>
    <row r="329" spans="1:2" x14ac:dyDescent="0.3">
      <c r="A329" s="44" t="s">
        <v>187</v>
      </c>
      <c r="B329" s="313">
        <v>5234.0015507983298</v>
      </c>
    </row>
    <row r="330" spans="1:2" x14ac:dyDescent="0.3">
      <c r="A330" s="44" t="s">
        <v>297</v>
      </c>
      <c r="B330" s="313">
        <v>4390.4545830315983</v>
      </c>
    </row>
    <row r="331" spans="1:2" x14ac:dyDescent="0.3">
      <c r="A331" s="44" t="s">
        <v>298</v>
      </c>
      <c r="B331" s="313">
        <v>-21049.867983573888</v>
      </c>
    </row>
    <row r="332" spans="1:2" x14ac:dyDescent="0.3">
      <c r="A332" s="44" t="s">
        <v>299</v>
      </c>
      <c r="B332" s="313">
        <v>50249.812913279915</v>
      </c>
    </row>
    <row r="333" spans="1:2" x14ac:dyDescent="0.3">
      <c r="A333" s="44" t="s">
        <v>300</v>
      </c>
      <c r="B333" s="313">
        <v>20319.661246878495</v>
      </c>
    </row>
    <row r="334" spans="1:2" x14ac:dyDescent="0.3">
      <c r="A334" s="44" t="s">
        <v>301</v>
      </c>
      <c r="B334" s="313">
        <v>-23065.847281157294</v>
      </c>
    </row>
    <row r="335" spans="1:2" x14ac:dyDescent="0.3">
      <c r="A335" s="44" t="s">
        <v>302</v>
      </c>
      <c r="B335" s="313">
        <v>29678.87265234864</v>
      </c>
    </row>
    <row r="336" spans="1:2" x14ac:dyDescent="0.3">
      <c r="A336" s="44" t="s">
        <v>303</v>
      </c>
      <c r="B336" s="313">
        <v>-55307.903528451796</v>
      </c>
    </row>
    <row r="337" spans="1:2" x14ac:dyDescent="0.3">
      <c r="A337" s="44" t="s">
        <v>188</v>
      </c>
      <c r="B337" s="313">
        <v>-1126.6484421175778</v>
      </c>
    </row>
    <row r="338" spans="1:2" x14ac:dyDescent="0.3">
      <c r="A338" s="44" t="s">
        <v>304</v>
      </c>
      <c r="B338" s="313">
        <v>5108.9661389292196</v>
      </c>
    </row>
    <row r="339" spans="1:2" x14ac:dyDescent="0.3">
      <c r="A339" s="44" t="s">
        <v>229</v>
      </c>
      <c r="B339" s="313">
        <v>-33061.310431170161</v>
      </c>
    </row>
    <row r="340" spans="1:2" x14ac:dyDescent="0.3">
      <c r="A340" s="44" t="s">
        <v>230</v>
      </c>
      <c r="B340" s="313">
        <v>44893.347001396847</v>
      </c>
    </row>
    <row r="341" spans="1:2" x14ac:dyDescent="0.3">
      <c r="A341" s="44" t="s">
        <v>231</v>
      </c>
      <c r="B341" s="313">
        <v>48351.041566588261</v>
      </c>
    </row>
    <row r="342" spans="1:2" x14ac:dyDescent="0.3">
      <c r="A342" s="44" t="s">
        <v>141</v>
      </c>
      <c r="B342" s="313">
        <v>-2568.0338416763848</v>
      </c>
    </row>
    <row r="343" spans="1:2" x14ac:dyDescent="0.3">
      <c r="A343" s="44" t="s">
        <v>142</v>
      </c>
      <c r="B343" s="313">
        <v>-2932.2139368340559</v>
      </c>
    </row>
    <row r="344" spans="1:2" x14ac:dyDescent="0.3">
      <c r="A344" s="44" t="s">
        <v>143</v>
      </c>
      <c r="B344" s="313">
        <v>2151.0544705569459</v>
      </c>
    </row>
    <row r="345" spans="1:2" x14ac:dyDescent="0.3">
      <c r="A345" s="44" t="s">
        <v>144</v>
      </c>
      <c r="B345" s="313">
        <v>-4982.4488735435079</v>
      </c>
    </row>
    <row r="346" spans="1:2" x14ac:dyDescent="0.3">
      <c r="A346" s="44" t="s">
        <v>145</v>
      </c>
      <c r="B346" s="313">
        <v>-1684.9861657746908</v>
      </c>
    </row>
    <row r="347" spans="1:2" x14ac:dyDescent="0.3">
      <c r="A347" s="44" t="s">
        <v>191</v>
      </c>
      <c r="B347" s="313">
        <v>-5025.5966773732907</v>
      </c>
    </row>
    <row r="348" spans="1:2" x14ac:dyDescent="0.3">
      <c r="A348" s="44" t="s">
        <v>232</v>
      </c>
      <c r="B348" s="313">
        <v>-15658.266024667464</v>
      </c>
    </row>
    <row r="349" spans="1:2" x14ac:dyDescent="0.3">
      <c r="A349" s="44" t="s">
        <v>233</v>
      </c>
      <c r="B349" s="313">
        <v>-3521.8226127372577</v>
      </c>
    </row>
    <row r="350" spans="1:2" x14ac:dyDescent="0.3">
      <c r="A350" s="44" t="s">
        <v>234</v>
      </c>
      <c r="B350" s="313">
        <v>308215.72267989028</v>
      </c>
    </row>
    <row r="351" spans="1:2" x14ac:dyDescent="0.3">
      <c r="A351" s="44" t="s">
        <v>235</v>
      </c>
      <c r="B351" s="313">
        <v>-32155.243716401848</v>
      </c>
    </row>
    <row r="352" spans="1:2" x14ac:dyDescent="0.3">
      <c r="A352" s="44" t="s">
        <v>200</v>
      </c>
      <c r="B352" s="313">
        <v>25032.335112737663</v>
      </c>
    </row>
    <row r="353" spans="1:2" x14ac:dyDescent="0.3">
      <c r="A353" s="44" t="s">
        <v>305</v>
      </c>
      <c r="B353" s="313">
        <v>126053.74307665952</v>
      </c>
    </row>
    <row r="354" spans="1:2" x14ac:dyDescent="0.3">
      <c r="A354" s="44" t="s">
        <v>306</v>
      </c>
      <c r="B354" s="313">
        <v>48081.118220302917</v>
      </c>
    </row>
    <row r="355" spans="1:2" x14ac:dyDescent="0.3">
      <c r="A355" s="44" t="s">
        <v>307</v>
      </c>
      <c r="B355" s="313">
        <v>40635.619076161507</v>
      </c>
    </row>
    <row r="356" spans="1:2" x14ac:dyDescent="0.3">
      <c r="A356" s="44" t="s">
        <v>308</v>
      </c>
      <c r="B356" s="313">
        <v>6874.8404744491181</v>
      </c>
    </row>
    <row r="357" spans="1:2" x14ac:dyDescent="0.3">
      <c r="A357" s="44" t="s">
        <v>309</v>
      </c>
      <c r="B357" s="313">
        <v>4906.7124347014797</v>
      </c>
    </row>
    <row r="358" spans="1:2" x14ac:dyDescent="0.3">
      <c r="A358" s="44" t="s">
        <v>310</v>
      </c>
      <c r="B358" s="313">
        <v>31674.92382384144</v>
      </c>
    </row>
    <row r="359" spans="1:2" x14ac:dyDescent="0.3">
      <c r="A359" s="44" t="s">
        <v>311</v>
      </c>
      <c r="B359" s="313">
        <v>-23838.599498017607</v>
      </c>
    </row>
    <row r="360" spans="1:2" x14ac:dyDescent="0.3">
      <c r="A360" s="44" t="s">
        <v>312</v>
      </c>
      <c r="B360" s="313">
        <v>60833.880763089488</v>
      </c>
    </row>
    <row r="361" spans="1:2" x14ac:dyDescent="0.3">
      <c r="A361" s="44" t="s">
        <v>140</v>
      </c>
      <c r="B361" s="313">
        <v>-1523.8775594804542</v>
      </c>
    </row>
    <row r="362" spans="1:2" x14ac:dyDescent="0.3">
      <c r="A362" s="44" t="s">
        <v>396</v>
      </c>
      <c r="B362" s="313">
        <v>133435.38974346415</v>
      </c>
    </row>
    <row r="363" spans="1:2" x14ac:dyDescent="0.3">
      <c r="A363" s="44" t="s">
        <v>397</v>
      </c>
      <c r="B363" s="313">
        <v>132772.71366927735</v>
      </c>
    </row>
    <row r="364" spans="1:2" x14ac:dyDescent="0.3">
      <c r="A364" s="44" t="s">
        <v>313</v>
      </c>
      <c r="B364" s="313">
        <v>15222.898904278198</v>
      </c>
    </row>
    <row r="365" spans="1:2" x14ac:dyDescent="0.3">
      <c r="A365" s="44" t="s">
        <v>427</v>
      </c>
      <c r="B365" s="313">
        <v>88228.744153200401</v>
      </c>
    </row>
    <row r="366" spans="1:2" x14ac:dyDescent="0.3">
      <c r="A366" s="44" t="s">
        <v>398</v>
      </c>
      <c r="B366" s="313">
        <v>50387.063084631409</v>
      </c>
    </row>
    <row r="367" spans="1:2" x14ac:dyDescent="0.3">
      <c r="A367" s="44" t="s">
        <v>189</v>
      </c>
      <c r="B367" s="313">
        <v>-2130.5902725902251</v>
      </c>
    </row>
    <row r="368" spans="1:2" x14ac:dyDescent="0.3">
      <c r="A368" s="44" t="s">
        <v>399</v>
      </c>
      <c r="B368" s="313">
        <v>-45080.252862166562</v>
      </c>
    </row>
    <row r="369" spans="1:2" x14ac:dyDescent="0.3">
      <c r="A369" s="44" t="s">
        <v>400</v>
      </c>
      <c r="B369" s="313">
        <v>29075.809991979419</v>
      </c>
    </row>
    <row r="370" spans="1:2" x14ac:dyDescent="0.3">
      <c r="A370" s="44" t="s">
        <v>314</v>
      </c>
      <c r="B370" s="313">
        <v>-37343.294753472066</v>
      </c>
    </row>
    <row r="371" spans="1:2" x14ac:dyDescent="0.3">
      <c r="A371" s="44" t="s">
        <v>315</v>
      </c>
      <c r="B371" s="313">
        <v>-75722.472544723016</v>
      </c>
    </row>
    <row r="372" spans="1:2" x14ac:dyDescent="0.3">
      <c r="A372" s="44" t="s">
        <v>316</v>
      </c>
      <c r="B372" s="313">
        <v>-41135.654855199849</v>
      </c>
    </row>
    <row r="373" spans="1:2" x14ac:dyDescent="0.3">
      <c r="A373" s="44" t="s">
        <v>401</v>
      </c>
      <c r="B373" s="313">
        <v>2116.3833129715458</v>
      </c>
    </row>
    <row r="374" spans="1:2" x14ac:dyDescent="0.3">
      <c r="A374" s="44" t="s">
        <v>317</v>
      </c>
      <c r="B374" s="313">
        <v>-62945.037998928514</v>
      </c>
    </row>
    <row r="375" spans="1:2" x14ac:dyDescent="0.3">
      <c r="A375" s="44" t="s">
        <v>190</v>
      </c>
      <c r="B375" s="313">
        <v>-10825.53275336403</v>
      </c>
    </row>
    <row r="376" spans="1:2" x14ac:dyDescent="0.3">
      <c r="A376" s="44" t="s">
        <v>402</v>
      </c>
      <c r="B376" s="313">
        <v>94880.460033200419</v>
      </c>
    </row>
    <row r="377" spans="1:2" x14ac:dyDescent="0.3">
      <c r="A377" s="44" t="s">
        <v>425</v>
      </c>
      <c r="B377" s="313">
        <v>66132.56586033295</v>
      </c>
    </row>
    <row r="378" spans="1:2" x14ac:dyDescent="0.3">
      <c r="A378" s="44" t="s">
        <v>424</v>
      </c>
      <c r="B378" s="313">
        <v>30307.749913706211</v>
      </c>
    </row>
    <row r="379" spans="1:2" x14ac:dyDescent="0.3">
      <c r="A379" s="44" t="s">
        <v>403</v>
      </c>
      <c r="B379" s="313">
        <v>175602.45510154823</v>
      </c>
    </row>
    <row r="380" spans="1:2" x14ac:dyDescent="0.3">
      <c r="A380" s="44" t="s">
        <v>404</v>
      </c>
      <c r="B380" s="313">
        <v>42027.180929808004</v>
      </c>
    </row>
    <row r="381" spans="1:2" x14ac:dyDescent="0.3">
      <c r="A381" s="44" t="s">
        <v>405</v>
      </c>
      <c r="B381" s="313">
        <v>-66997.143920662042</v>
      </c>
    </row>
    <row r="382" spans="1:2" x14ac:dyDescent="0.3">
      <c r="A382" s="44" t="s">
        <v>426</v>
      </c>
      <c r="B382" s="313">
        <v>102582.89116188695</v>
      </c>
    </row>
    <row r="383" spans="1:2" x14ac:dyDescent="0.3">
      <c r="A383" s="44" t="s">
        <v>406</v>
      </c>
      <c r="B383" s="313">
        <v>98053.129628535302</v>
      </c>
    </row>
    <row r="384" spans="1:2" x14ac:dyDescent="0.3">
      <c r="A384" s="44" t="s">
        <v>407</v>
      </c>
      <c r="B384" s="313">
        <v>63859.543497020451</v>
      </c>
    </row>
    <row r="385" spans="1:2" x14ac:dyDescent="0.3">
      <c r="A385" s="44" t="s">
        <v>408</v>
      </c>
      <c r="B385" s="313">
        <v>105301.50172932954</v>
      </c>
    </row>
    <row r="386" spans="1:2" x14ac:dyDescent="0.3">
      <c r="A386" s="44" t="s">
        <v>409</v>
      </c>
      <c r="B386" s="313">
        <v>1168.3082463747305</v>
      </c>
    </row>
    <row r="387" spans="1:2" x14ac:dyDescent="0.3">
      <c r="A387" s="44" t="s">
        <v>410</v>
      </c>
      <c r="B387" s="313">
        <v>32743.408685609094</v>
      </c>
    </row>
    <row r="388" spans="1:2" x14ac:dyDescent="0.3">
      <c r="A388" s="44" t="s">
        <v>318</v>
      </c>
      <c r="B388" s="313">
        <v>-106488.28604405263</v>
      </c>
    </row>
    <row r="389" spans="1:2" x14ac:dyDescent="0.3">
      <c r="A389" s="44" t="s">
        <v>319</v>
      </c>
      <c r="B389" s="313">
        <v>21644.404204050279</v>
      </c>
    </row>
    <row r="390" spans="1:2" x14ac:dyDescent="0.3">
      <c r="A390" s="44" t="s">
        <v>320</v>
      </c>
      <c r="B390" s="313">
        <v>-44408.093998915181</v>
      </c>
    </row>
    <row r="391" spans="1:2" x14ac:dyDescent="0.3">
      <c r="A391" s="44" t="s">
        <v>321</v>
      </c>
      <c r="B391" s="313">
        <v>-28534.099539050432</v>
      </c>
    </row>
    <row r="392" spans="1:2" x14ac:dyDescent="0.3">
      <c r="A392" s="44" t="s">
        <v>322</v>
      </c>
      <c r="B392" s="313">
        <v>28714.196773694704</v>
      </c>
    </row>
    <row r="393" spans="1:2" x14ac:dyDescent="0.3">
      <c r="A393" s="44" t="s">
        <v>323</v>
      </c>
      <c r="B393" s="313">
        <v>55172.539682145871</v>
      </c>
    </row>
    <row r="394" spans="1:2" x14ac:dyDescent="0.3">
      <c r="A394" s="44" t="s">
        <v>324</v>
      </c>
      <c r="B394" s="313">
        <v>-19145.383589734403</v>
      </c>
    </row>
    <row r="395" spans="1:2" x14ac:dyDescent="0.3">
      <c r="A395" s="44" t="s">
        <v>325</v>
      </c>
      <c r="B395" s="313">
        <v>-98411.674257270817</v>
      </c>
    </row>
    <row r="396" spans="1:2" x14ac:dyDescent="0.3">
      <c r="A396" s="44" t="s">
        <v>326</v>
      </c>
      <c r="B396" s="313">
        <v>-47218.359814074851</v>
      </c>
    </row>
    <row r="397" spans="1:2" x14ac:dyDescent="0.3">
      <c r="A397" s="44" t="s">
        <v>327</v>
      </c>
      <c r="B397" s="313">
        <v>-23621.97066906144</v>
      </c>
    </row>
    <row r="398" spans="1:2" x14ac:dyDescent="0.3">
      <c r="A398" s="44" t="s">
        <v>328</v>
      </c>
      <c r="B398" s="313">
        <v>40787.896529030288</v>
      </c>
    </row>
    <row r="399" spans="1:2" x14ac:dyDescent="0.3">
      <c r="A399" s="44" t="s">
        <v>236</v>
      </c>
      <c r="B399" s="313">
        <v>-1509.638307116983</v>
      </c>
    </row>
    <row r="400" spans="1:2" x14ac:dyDescent="0.3">
      <c r="A400" s="44" t="s">
        <v>329</v>
      </c>
      <c r="B400" s="313">
        <v>-798.86251403194728</v>
      </c>
    </row>
    <row r="401" spans="1:2" x14ac:dyDescent="0.3">
      <c r="A401" s="44" t="s">
        <v>237</v>
      </c>
      <c r="B401" s="313">
        <v>61590.972898895336</v>
      </c>
    </row>
    <row r="402" spans="1:2" x14ac:dyDescent="0.3">
      <c r="A402" s="44" t="s">
        <v>411</v>
      </c>
      <c r="B402" s="313">
        <v>141842.27286980243</v>
      </c>
    </row>
    <row r="403" spans="1:2" x14ac:dyDescent="0.3">
      <c r="A403" s="44" t="s">
        <v>330</v>
      </c>
      <c r="B403" s="313">
        <v>-60441.367778229287</v>
      </c>
    </row>
    <row r="404" spans="1:2" x14ac:dyDescent="0.3">
      <c r="A404" s="44" t="s">
        <v>331</v>
      </c>
      <c r="B404" s="313">
        <v>-2908.0650749366323</v>
      </c>
    </row>
    <row r="405" spans="1:2" x14ac:dyDescent="0.3">
      <c r="A405" s="44" t="s">
        <v>332</v>
      </c>
      <c r="B405" s="313">
        <v>19403.071290685206</v>
      </c>
    </row>
    <row r="406" spans="1:2" ht="15" thickBot="1" x14ac:dyDescent="0.35">
      <c r="A406" s="48" t="s">
        <v>238</v>
      </c>
      <c r="B406" s="313">
        <v>9628.4814482895308</v>
      </c>
    </row>
    <row r="407" spans="1:2" ht="15" thickBot="1" x14ac:dyDescent="0.35">
      <c r="A407" s="51" t="s">
        <v>824</v>
      </c>
      <c r="B407" s="314">
        <f>SUM(B9:B406)</f>
        <v>2746434.0173520907</v>
      </c>
    </row>
  </sheetData>
  <autoFilter ref="A8:B8" xr:uid="{00000000-0009-0000-0000-00000D000000}"/>
  <mergeCells count="2">
    <mergeCell ref="A6:A8"/>
    <mergeCell ref="B6:B8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BDA9C-A39F-4BB9-8310-9E17359DD55F}">
  <sheetPr codeName="Лист10"/>
  <dimension ref="A1"/>
  <sheetViews>
    <sheetView zoomScaleNormal="100" workbookViewId="0">
      <selection activeCell="V21" sqref="V21"/>
    </sheetView>
  </sheetViews>
  <sheetFormatPr defaultRowHeight="14.4" x14ac:dyDescent="0.3"/>
  <sheetData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rgb="FF66FFFF"/>
  </sheetPr>
  <dimension ref="A1:X62"/>
  <sheetViews>
    <sheetView zoomScale="90" zoomScaleNormal="90" workbookViewId="0">
      <selection activeCell="AD17" sqref="AD17"/>
    </sheetView>
  </sheetViews>
  <sheetFormatPr defaultColWidth="8.6640625" defaultRowHeight="13.8" x14ac:dyDescent="0.3"/>
  <cols>
    <col min="1" max="1" width="7.33203125" style="1" customWidth="1"/>
    <col min="2" max="2" width="55.6640625" style="1" customWidth="1"/>
    <col min="3" max="3" width="14.6640625" style="8" customWidth="1"/>
    <col min="4" max="4" width="15" style="1" customWidth="1"/>
    <col min="5" max="5" width="12" style="1" customWidth="1"/>
    <col min="6" max="6" width="13.44140625" style="1" customWidth="1"/>
    <col min="7" max="7" width="11.44140625" style="2" hidden="1" customWidth="1"/>
    <col min="8" max="8" width="11.109375" style="2" hidden="1" customWidth="1"/>
    <col min="9" max="9" width="11.109375" style="1" hidden="1" customWidth="1"/>
    <col min="10" max="10" width="11.44140625" style="2" hidden="1" customWidth="1"/>
    <col min="11" max="11" width="11.109375" style="2" hidden="1" customWidth="1"/>
    <col min="12" max="12" width="11.109375" style="1" hidden="1" customWidth="1"/>
    <col min="13" max="13" width="11.44140625" style="2" hidden="1" customWidth="1"/>
    <col min="14" max="14" width="11.109375" style="2" hidden="1" customWidth="1"/>
    <col min="15" max="15" width="11.109375" style="1" hidden="1" customWidth="1"/>
    <col min="16" max="16" width="8.6640625" style="1"/>
    <col min="17" max="17" width="16.5546875" style="8" hidden="1" customWidth="1"/>
    <col min="18" max="18" width="16.6640625" style="8" hidden="1" customWidth="1"/>
    <col min="19" max="19" width="16.5546875" style="8" hidden="1" customWidth="1"/>
    <col min="20" max="20" width="16.44140625" style="8" hidden="1" customWidth="1"/>
    <col min="21" max="21" width="16.5546875" style="8" hidden="1" customWidth="1"/>
    <col min="22" max="22" width="16.44140625" style="8" hidden="1" customWidth="1"/>
    <col min="23" max="23" width="16.5546875" style="8" hidden="1" customWidth="1"/>
    <col min="24" max="24" width="16.44140625" style="8" hidden="1" customWidth="1"/>
    <col min="25" max="16384" width="8.6640625" style="1"/>
  </cols>
  <sheetData>
    <row r="1" spans="1:24" x14ac:dyDescent="0.3">
      <c r="A1" s="1" t="s">
        <v>0</v>
      </c>
    </row>
    <row r="3" spans="1:24" ht="20.399999999999999" x14ac:dyDescent="0.3">
      <c r="A3" s="6" t="s">
        <v>1081</v>
      </c>
      <c r="E3" s="1069" t="str">
        <f>місяць!A2</f>
        <v>2024 рік</v>
      </c>
      <c r="H3" s="155" t="s">
        <v>1789</v>
      </c>
    </row>
    <row r="4" spans="1:24" ht="14.4" thickBot="1" x14ac:dyDescent="0.35"/>
    <row r="5" spans="1:24" ht="18" customHeight="1" x14ac:dyDescent="0.3">
      <c r="A5" s="1122" t="s">
        <v>827</v>
      </c>
      <c r="B5" s="1156" t="s">
        <v>828</v>
      </c>
      <c r="C5" s="805"/>
      <c r="D5" s="1027" t="str">
        <f>E3</f>
        <v>2024 рік</v>
      </c>
      <c r="E5" s="806"/>
      <c r="F5" s="807"/>
      <c r="G5" s="1143" t="s">
        <v>1070</v>
      </c>
      <c r="H5" s="1144"/>
      <c r="I5" s="1144"/>
      <c r="J5" s="1151" t="s">
        <v>1071</v>
      </c>
      <c r="K5" s="1144"/>
      <c r="L5" s="1145"/>
      <c r="M5" s="1143" t="s">
        <v>1072</v>
      </c>
      <c r="N5" s="1144"/>
      <c r="O5" s="1145"/>
      <c r="Q5" s="1154" t="s">
        <v>1073</v>
      </c>
      <c r="R5" s="1155"/>
      <c r="S5" s="1154" t="s">
        <v>1076</v>
      </c>
      <c r="T5" s="1155"/>
      <c r="U5" s="1154" t="s">
        <v>1077</v>
      </c>
      <c r="V5" s="1155"/>
      <c r="W5" s="1154" t="s">
        <v>1079</v>
      </c>
      <c r="X5" s="1155"/>
    </row>
    <row r="6" spans="1:24" ht="34.950000000000003" customHeight="1" thickBot="1" x14ac:dyDescent="0.35">
      <c r="A6" s="1123"/>
      <c r="B6" s="1157"/>
      <c r="C6" s="91" t="s">
        <v>870</v>
      </c>
      <c r="D6" s="808" t="s">
        <v>440</v>
      </c>
      <c r="E6" s="808" t="s">
        <v>441</v>
      </c>
      <c r="F6" s="809" t="s">
        <v>1033</v>
      </c>
      <c r="G6" s="810" t="s">
        <v>1013</v>
      </c>
      <c r="H6" s="811" t="s">
        <v>440</v>
      </c>
      <c r="I6" s="812" t="s">
        <v>441</v>
      </c>
      <c r="J6" s="813" t="s">
        <v>1013</v>
      </c>
      <c r="K6" s="811" t="s">
        <v>440</v>
      </c>
      <c r="L6" s="814" t="s">
        <v>441</v>
      </c>
      <c r="M6" s="810" t="s">
        <v>1013</v>
      </c>
      <c r="N6" s="811" t="s">
        <v>440</v>
      </c>
      <c r="O6" s="814" t="s">
        <v>441</v>
      </c>
      <c r="Q6" s="5" t="s">
        <v>1074</v>
      </c>
      <c r="R6" s="5" t="s">
        <v>1075</v>
      </c>
      <c r="S6" s="5" t="s">
        <v>1074</v>
      </c>
      <c r="T6" s="5" t="s">
        <v>1075</v>
      </c>
      <c r="U6" s="5" t="s">
        <v>1074</v>
      </c>
      <c r="V6" s="5" t="s">
        <v>1075</v>
      </c>
      <c r="W6" s="5" t="s">
        <v>1074</v>
      </c>
      <c r="X6" s="5" t="s">
        <v>1075</v>
      </c>
    </row>
    <row r="7" spans="1:24" ht="16.649999999999999" customHeight="1" x14ac:dyDescent="0.3">
      <c r="A7" s="256"/>
      <c r="B7" s="815" t="s">
        <v>829</v>
      </c>
      <c r="C7" s="1138">
        <f>'побудинковий звіт'!E354</f>
        <v>994162.49999999988</v>
      </c>
      <c r="D7" s="1139"/>
      <c r="E7" s="1140"/>
      <c r="F7" s="130"/>
      <c r="G7" s="1146">
        <f>'побудинковий звіт'!E357</f>
        <v>338389.14999999997</v>
      </c>
      <c r="H7" s="1147"/>
      <c r="I7" s="1147"/>
      <c r="J7" s="1152">
        <f>'побудинковий звіт'!E358</f>
        <v>342428.52999999997</v>
      </c>
      <c r="K7" s="1147"/>
      <c r="L7" s="1148"/>
      <c r="M7" s="1146">
        <f>'побудинковий звіт'!E359</f>
        <v>313344.82000000018</v>
      </c>
      <c r="N7" s="1147"/>
      <c r="O7" s="1148"/>
      <c r="Q7" s="5"/>
      <c r="R7" s="5"/>
      <c r="S7" s="5"/>
      <c r="T7" s="5"/>
      <c r="U7" s="5"/>
      <c r="V7" s="5"/>
      <c r="W7" s="5"/>
      <c r="X7" s="5"/>
    </row>
    <row r="8" spans="1:24" ht="15" customHeight="1" x14ac:dyDescent="0.3">
      <c r="A8" s="257" t="s">
        <v>830</v>
      </c>
      <c r="B8" s="816" t="s">
        <v>831</v>
      </c>
      <c r="C8" s="660"/>
      <c r="D8" s="3"/>
      <c r="E8" s="3"/>
      <c r="F8" s="131"/>
      <c r="G8" s="799"/>
      <c r="H8" s="28"/>
      <c r="I8" s="817"/>
      <c r="J8" s="33"/>
      <c r="K8" s="28"/>
      <c r="L8" s="131"/>
      <c r="M8" s="799"/>
      <c r="N8" s="28"/>
      <c r="O8" s="131"/>
      <c r="Q8" s="5"/>
      <c r="R8" s="5"/>
      <c r="S8" s="5"/>
      <c r="T8" s="5"/>
      <c r="U8" s="5"/>
      <c r="V8" s="5"/>
      <c r="W8" s="5"/>
      <c r="X8" s="5"/>
    </row>
    <row r="9" spans="1:24" ht="15" customHeight="1" x14ac:dyDescent="0.3">
      <c r="A9" s="258" t="s">
        <v>832</v>
      </c>
      <c r="B9" s="818" t="s">
        <v>6</v>
      </c>
      <c r="C9" s="819">
        <f>C10+C11+C12+C13+C14+C15+C16+C17</f>
        <v>12165214.548356201</v>
      </c>
      <c r="D9" s="9">
        <f>D10+D11+D12+D13+D14+D15+D16+D17</f>
        <v>11872882.503155563</v>
      </c>
      <c r="E9" s="9">
        <f>D9-C9</f>
        <v>-292332.04520063847</v>
      </c>
      <c r="F9" s="259">
        <f>D9/C9</f>
        <v>0.9759698405614935</v>
      </c>
      <c r="G9" s="820">
        <f>G10+G11+G12+G13+G14+G15+G16+G17</f>
        <v>4063003.9116431777</v>
      </c>
      <c r="H9" s="820">
        <f>H10+H11+H12+H13+H14+H15+H16+H17</f>
        <v>3613418.5756717538</v>
      </c>
      <c r="I9" s="156">
        <f>H9-G9</f>
        <v>-449585.33597142389</v>
      </c>
      <c r="J9" s="661">
        <f>J10+J11+J12+J13+J14+J15+J16+J17</f>
        <v>4251622.1356657967</v>
      </c>
      <c r="K9" s="9">
        <f>K10+K11+K12+K13+K14+K15+K16+K17</f>
        <v>4316221.1183352144</v>
      </c>
      <c r="L9" s="57">
        <f>K9-J9</f>
        <v>64598.982669417746</v>
      </c>
      <c r="M9" s="820">
        <f>M10+M11+M12+M13+M14+M15+M16+M17</f>
        <v>3850588.5010472275</v>
      </c>
      <c r="N9" s="9">
        <f>N10+N11+N12+N13+N14+N15+N16+N17</f>
        <v>3943242.8091485938</v>
      </c>
      <c r="O9" s="57">
        <f>N9-M9</f>
        <v>92654.308101366274</v>
      </c>
      <c r="Q9" s="5">
        <v>859153</v>
      </c>
      <c r="R9" s="5">
        <v>903486</v>
      </c>
      <c r="S9" s="5">
        <v>859153</v>
      </c>
      <c r="T9" s="5">
        <v>845518</v>
      </c>
      <c r="U9" s="5">
        <v>859153</v>
      </c>
      <c r="V9" s="5">
        <v>845518</v>
      </c>
      <c r="W9" s="5">
        <f>U9+C9</f>
        <v>13024367.548356201</v>
      </c>
      <c r="X9" s="5">
        <f>V9+D9</f>
        <v>12718400.503155563</v>
      </c>
    </row>
    <row r="10" spans="1:24" ht="15" customHeight="1" x14ac:dyDescent="0.3">
      <c r="A10" s="260" t="s">
        <v>833</v>
      </c>
      <c r="B10" s="821" t="s">
        <v>23</v>
      </c>
      <c r="C10" s="822">
        <f>'побудинковий звіт'!I354</f>
        <v>3311715.1115615927</v>
      </c>
      <c r="D10" s="5">
        <f>'побудинковий звіт'!J354</f>
        <v>3177354.5507150814</v>
      </c>
      <c r="E10" s="5">
        <f t="shared" ref="E10:E43" si="0">D10-C10</f>
        <v>-134360.56084651127</v>
      </c>
      <c r="F10" s="262">
        <f t="shared" ref="F10:F46" si="1">D10/C10</f>
        <v>0.95942870798957236</v>
      </c>
      <c r="G10" s="823">
        <f>'побудинковий звіт'!I357</f>
        <v>1017536.8305048784</v>
      </c>
      <c r="H10" s="823">
        <f>'побудинковий звіт'!J357</f>
        <v>803959.27099714568</v>
      </c>
      <c r="I10" s="36">
        <f t="shared" ref="I10:I42" si="2">H10-G10</f>
        <v>-213577.55950773275</v>
      </c>
      <c r="J10" s="660">
        <f>'побудинковий звіт'!I358</f>
        <v>1191809.8481974772</v>
      </c>
      <c r="K10" s="5">
        <f>'побудинковий звіт'!J358</f>
        <v>1225523.005162773</v>
      </c>
      <c r="L10" s="55">
        <f t="shared" ref="L10:L42" si="3">K10-J10</f>
        <v>33713.156965295784</v>
      </c>
      <c r="M10" s="823">
        <f>'побудинковий звіт'!I359</f>
        <v>1102368.4328592373</v>
      </c>
      <c r="N10" s="5">
        <f>'побудинковий звіт'!J359</f>
        <v>1147872.2745551621</v>
      </c>
      <c r="O10" s="55">
        <f t="shared" ref="O10:O42" si="4">N10-M10</f>
        <v>45503.841695924755</v>
      </c>
      <c r="Q10" s="5"/>
      <c r="R10" s="5"/>
      <c r="S10" s="5"/>
      <c r="T10" s="5"/>
      <c r="U10" s="5"/>
      <c r="V10" s="5"/>
      <c r="W10" s="5"/>
      <c r="X10" s="5"/>
    </row>
    <row r="11" spans="1:24" ht="15" customHeight="1" x14ac:dyDescent="0.3">
      <c r="A11" s="260" t="s">
        <v>834</v>
      </c>
      <c r="B11" s="821" t="s">
        <v>24</v>
      </c>
      <c r="C11" s="822">
        <f>'побудинковий звіт'!L354</f>
        <v>622335.04140350374</v>
      </c>
      <c r="D11" s="5">
        <f>'побудинковий звіт'!M354</f>
        <v>627022.25621157314</v>
      </c>
      <c r="E11" s="5">
        <f t="shared" si="0"/>
        <v>4687.2148080694024</v>
      </c>
      <c r="F11" s="262">
        <f t="shared" si="1"/>
        <v>1.0075316581844704</v>
      </c>
      <c r="G11" s="823">
        <f>'побудинковий звіт'!L357</f>
        <v>186377.88907671042</v>
      </c>
      <c r="H11" s="823">
        <f>'побудинковий звіт'!M357</f>
        <v>161105.31689232509</v>
      </c>
      <c r="I11" s="36">
        <f t="shared" si="2"/>
        <v>-25272.572184385324</v>
      </c>
      <c r="J11" s="660">
        <f>'побудинковий звіт'!L358</f>
        <v>229865.81300557355</v>
      </c>
      <c r="K11" s="5">
        <f>'побудинковий звіт'!M358</f>
        <v>241558.62543749207</v>
      </c>
      <c r="L11" s="55">
        <f t="shared" si="3"/>
        <v>11692.812431918515</v>
      </c>
      <c r="M11" s="823">
        <f>'побудинковий звіт'!L359</f>
        <v>206091.33932121968</v>
      </c>
      <c r="N11" s="5">
        <f>'побудинковий звіт'!M359</f>
        <v>224358.31388175557</v>
      </c>
      <c r="O11" s="55">
        <f t="shared" si="4"/>
        <v>18266.974560535891</v>
      </c>
      <c r="Q11" s="5"/>
      <c r="R11" s="5"/>
      <c r="S11" s="5"/>
      <c r="T11" s="5"/>
      <c r="U11" s="5"/>
      <c r="V11" s="5"/>
      <c r="W11" s="5"/>
      <c r="X11" s="5"/>
    </row>
    <row r="12" spans="1:24" ht="15" customHeight="1" x14ac:dyDescent="0.3">
      <c r="A12" s="260" t="s">
        <v>835</v>
      </c>
      <c r="B12" s="821" t="s">
        <v>25</v>
      </c>
      <c r="C12" s="822">
        <f>'побудинковий звіт'!O354</f>
        <v>1452074.9707288723</v>
      </c>
      <c r="D12" s="5">
        <f>'побудинковий звіт'!P354</f>
        <v>1456359.9763036193</v>
      </c>
      <c r="E12" s="5">
        <f t="shared" si="0"/>
        <v>4285.0055747469887</v>
      </c>
      <c r="F12" s="262">
        <f t="shared" si="1"/>
        <v>1.0029509534019418</v>
      </c>
      <c r="G12" s="823">
        <f>'побудинковий звіт'!O357</f>
        <v>531657.80273252621</v>
      </c>
      <c r="H12" s="823">
        <f>'побудинковий звіт'!P357</f>
        <v>533348.94876360672</v>
      </c>
      <c r="I12" s="36">
        <f t="shared" si="2"/>
        <v>1691.1460310805123</v>
      </c>
      <c r="J12" s="660">
        <f>'побудинковий звіт'!O358</f>
        <v>490924.79623813881</v>
      </c>
      <c r="K12" s="5">
        <f>'побудинковий звіт'!P358</f>
        <v>492284.07411032153</v>
      </c>
      <c r="L12" s="55">
        <f t="shared" si="3"/>
        <v>1359.2778721827199</v>
      </c>
      <c r="M12" s="823">
        <f>'побудинковий звіт'!O359</f>
        <v>429492.37175820704</v>
      </c>
      <c r="N12" s="5">
        <f>'побудинковий звіт'!P359</f>
        <v>430726.95342969144</v>
      </c>
      <c r="O12" s="55">
        <f t="shared" si="4"/>
        <v>1234.5816714843968</v>
      </c>
      <c r="Q12" s="5"/>
      <c r="R12" s="5"/>
      <c r="S12" s="5"/>
      <c r="T12" s="5"/>
      <c r="U12" s="5"/>
      <c r="V12" s="5"/>
      <c r="W12" s="5"/>
      <c r="X12" s="5"/>
    </row>
    <row r="13" spans="1:24" ht="15" customHeight="1" x14ac:dyDescent="0.3">
      <c r="A13" s="260" t="s">
        <v>836</v>
      </c>
      <c r="B13" s="821" t="s">
        <v>26</v>
      </c>
      <c r="C13" s="822">
        <f>'побудинковий звіт'!R354</f>
        <v>198052.73422126586</v>
      </c>
      <c r="D13" s="5">
        <f>'побудинковий звіт'!S354</f>
        <v>198562.08235543856</v>
      </c>
      <c r="E13" s="5">
        <f t="shared" si="0"/>
        <v>509.34813417270198</v>
      </c>
      <c r="F13" s="262">
        <f t="shared" si="1"/>
        <v>1.002571780370392</v>
      </c>
      <c r="G13" s="823">
        <f>'побудинковий звіт'!R357</f>
        <v>104205.76215620602</v>
      </c>
      <c r="H13" s="823">
        <f>'побудинковий звіт'!S357</f>
        <v>104466.6859711649</v>
      </c>
      <c r="I13" s="36">
        <f t="shared" si="2"/>
        <v>260.92381495887821</v>
      </c>
      <c r="J13" s="660">
        <f>'побудинковий звіт'!R358</f>
        <v>34574.333594975149</v>
      </c>
      <c r="K13" s="5">
        <f>'побудинковий звіт'!S358</f>
        <v>34666.756942079104</v>
      </c>
      <c r="L13" s="55">
        <f t="shared" si="3"/>
        <v>92.423347103955166</v>
      </c>
      <c r="M13" s="823">
        <f>'побудинковий звіт'!R359</f>
        <v>59272.638470084836</v>
      </c>
      <c r="N13" s="5">
        <f>'побудинковий звіт'!S359</f>
        <v>59428.639442194566</v>
      </c>
      <c r="O13" s="55">
        <f t="shared" si="4"/>
        <v>156.00097210973036</v>
      </c>
      <c r="Q13" s="5"/>
      <c r="R13" s="5"/>
      <c r="S13" s="5"/>
      <c r="T13" s="5"/>
      <c r="U13" s="5"/>
      <c r="V13" s="5"/>
      <c r="W13" s="5"/>
      <c r="X13" s="5"/>
    </row>
    <row r="14" spans="1:24" ht="15" customHeight="1" x14ac:dyDescent="0.3">
      <c r="A14" s="260" t="s">
        <v>837</v>
      </c>
      <c r="B14" s="821" t="s">
        <v>27</v>
      </c>
      <c r="C14" s="822">
        <f>'побудинковий звіт'!U354</f>
        <v>170840.29028594564</v>
      </c>
      <c r="D14" s="5">
        <f>'побудинковий звіт'!V354</f>
        <v>122655.01149471398</v>
      </c>
      <c r="E14" s="5">
        <f t="shared" si="0"/>
        <v>-48185.278791231656</v>
      </c>
      <c r="F14" s="262">
        <f t="shared" si="1"/>
        <v>0.71795131751075192</v>
      </c>
      <c r="G14" s="823">
        <f>'побудинковий звіт'!U357</f>
        <v>85180.161977913507</v>
      </c>
      <c r="H14" s="823">
        <f>'побудинковий звіт'!V357</f>
        <v>38075.781964999958</v>
      </c>
      <c r="I14" s="36">
        <f t="shared" si="2"/>
        <v>-47104.380012913549</v>
      </c>
      <c r="J14" s="660">
        <f>'побудинковий звіт'!U358</f>
        <v>29756.609608078998</v>
      </c>
      <c r="K14" s="5">
        <f>'побудинковий звіт'!V358</f>
        <v>44162.941574819772</v>
      </c>
      <c r="L14" s="55">
        <f t="shared" si="3"/>
        <v>14406.331966740774</v>
      </c>
      <c r="M14" s="823">
        <f>'побудинковий звіт'!U359</f>
        <v>55903.518699953231</v>
      </c>
      <c r="N14" s="5">
        <f>'побудинковий звіт'!V359</f>
        <v>40416.287954894302</v>
      </c>
      <c r="O14" s="55">
        <f t="shared" si="4"/>
        <v>-15487.230745058929</v>
      </c>
      <c r="Q14" s="5"/>
      <c r="R14" s="5"/>
      <c r="S14" s="5"/>
      <c r="T14" s="5"/>
      <c r="U14" s="5"/>
      <c r="V14" s="5"/>
      <c r="W14" s="5"/>
      <c r="X14" s="5"/>
    </row>
    <row r="15" spans="1:24" ht="15" customHeight="1" x14ac:dyDescent="0.3">
      <c r="A15" s="260" t="s">
        <v>838</v>
      </c>
      <c r="B15" s="821" t="s">
        <v>28</v>
      </c>
      <c r="C15" s="822">
        <f>'побудинковий звіт'!X354</f>
        <v>2134146.1222038427</v>
      </c>
      <c r="D15" s="5">
        <f>'побудинковий звіт'!Y354</f>
        <v>2018202.6880407769</v>
      </c>
      <c r="E15" s="5">
        <f t="shared" si="0"/>
        <v>-115943.43416306586</v>
      </c>
      <c r="F15" s="262">
        <f t="shared" si="1"/>
        <v>0.94567221383916489</v>
      </c>
      <c r="G15" s="823">
        <f>'побудинковий звіт'!X357</f>
        <v>688917.81114942546</v>
      </c>
      <c r="H15" s="823">
        <f>'побудинковий звіт'!Y357</f>
        <v>527121.62120042485</v>
      </c>
      <c r="I15" s="36">
        <f t="shared" si="2"/>
        <v>-161796.1899490006</v>
      </c>
      <c r="J15" s="660">
        <f>'побудинковий звіт'!X358</f>
        <v>769538.59151144407</v>
      </c>
      <c r="K15" s="5">
        <f>'побудинковий звіт'!Y358</f>
        <v>771701.38804010022</v>
      </c>
      <c r="L15" s="55">
        <f t="shared" si="3"/>
        <v>2162.7965286561521</v>
      </c>
      <c r="M15" s="823">
        <f>'побудинковий звіт'!X359</f>
        <v>675689.71954297298</v>
      </c>
      <c r="N15" s="5">
        <f>'побудинковий звіт'!Y359</f>
        <v>719379.67880025296</v>
      </c>
      <c r="O15" s="55">
        <f t="shared" si="4"/>
        <v>43689.959257279988</v>
      </c>
      <c r="Q15" s="5"/>
      <c r="R15" s="5"/>
      <c r="S15" s="5"/>
      <c r="T15" s="5"/>
      <c r="U15" s="5"/>
      <c r="V15" s="5"/>
      <c r="W15" s="5"/>
      <c r="X15" s="5"/>
    </row>
    <row r="16" spans="1:24" ht="15" customHeight="1" x14ac:dyDescent="0.3">
      <c r="A16" s="260" t="s">
        <v>839</v>
      </c>
      <c r="B16" s="821" t="s">
        <v>29</v>
      </c>
      <c r="C16" s="824">
        <f>'побудинковий звіт'!AA354</f>
        <v>0</v>
      </c>
      <c r="D16" s="5">
        <f>'побудинковий звіт'!AB354</f>
        <v>0</v>
      </c>
      <c r="E16" s="5">
        <f t="shared" si="0"/>
        <v>0</v>
      </c>
      <c r="F16" s="262"/>
      <c r="G16" s="823">
        <f>'побудинковий звіт'!AA357</f>
        <v>0</v>
      </c>
      <c r="H16" s="823">
        <f>'побудинковий звіт'!AB357</f>
        <v>0</v>
      </c>
      <c r="I16" s="36">
        <f t="shared" si="2"/>
        <v>0</v>
      </c>
      <c r="J16" s="660">
        <f>'побудинковий звіт'!AA358</f>
        <v>0</v>
      </c>
      <c r="K16" s="5">
        <f>'побудинковий звіт'!AB358</f>
        <v>0</v>
      </c>
      <c r="L16" s="55">
        <f t="shared" si="3"/>
        <v>0</v>
      </c>
      <c r="M16" s="823">
        <f>'побудинковий звіт'!AA359</f>
        <v>0</v>
      </c>
      <c r="N16" s="5">
        <f>'побудинковий звіт'!AB359</f>
        <v>0</v>
      </c>
      <c r="O16" s="55">
        <f t="shared" si="4"/>
        <v>0</v>
      </c>
      <c r="Q16" s="5"/>
      <c r="R16" s="5"/>
      <c r="S16" s="5"/>
      <c r="T16" s="5"/>
      <c r="U16" s="5"/>
      <c r="V16" s="5"/>
      <c r="W16" s="5"/>
      <c r="X16" s="5"/>
    </row>
    <row r="17" spans="1:24" ht="15" customHeight="1" x14ac:dyDescent="0.3">
      <c r="A17" s="260" t="s">
        <v>840</v>
      </c>
      <c r="B17" s="825" t="s">
        <v>30</v>
      </c>
      <c r="C17" s="822">
        <f>'побудинковий звіт'!AD354</f>
        <v>4276050.2779511781</v>
      </c>
      <c r="D17" s="5">
        <f>'побудинковий звіт'!AE354</f>
        <v>4272725.9380343584</v>
      </c>
      <c r="E17" s="5">
        <f t="shared" si="0"/>
        <v>-3324.3399168197066</v>
      </c>
      <c r="F17" s="262">
        <f t="shared" si="1"/>
        <v>0.99922256762649375</v>
      </c>
      <c r="G17" s="823">
        <f>'побудинковий звіт'!AD357</f>
        <v>1449127.654045518</v>
      </c>
      <c r="H17" s="823">
        <f>'побудинковий звіт'!AE357</f>
        <v>1445340.9498820866</v>
      </c>
      <c r="I17" s="36">
        <f t="shared" si="2"/>
        <v>-3786.7041634314228</v>
      </c>
      <c r="J17" s="660">
        <f>'побудинковий звіт'!AD358</f>
        <v>1505152.1435101088</v>
      </c>
      <c r="K17" s="5">
        <f>'побудинковий звіт'!AE358</f>
        <v>1506324.3270676283</v>
      </c>
      <c r="L17" s="55">
        <f t="shared" si="3"/>
        <v>1172.1835575194564</v>
      </c>
      <c r="M17" s="823">
        <f>'побудинковий звіт'!AD359</f>
        <v>1321770.4803955529</v>
      </c>
      <c r="N17" s="5">
        <f>'побудинковий звіт'!AE359</f>
        <v>1321060.6610846424</v>
      </c>
      <c r="O17" s="55">
        <f t="shared" si="4"/>
        <v>-709.81931091053411</v>
      </c>
      <c r="Q17" s="5"/>
      <c r="R17" s="5"/>
      <c r="S17" s="5"/>
      <c r="T17" s="5"/>
      <c r="U17" s="5"/>
      <c r="V17" s="5"/>
      <c r="W17" s="5"/>
      <c r="X17" s="5"/>
    </row>
    <row r="18" spans="1:24" ht="16.2" customHeight="1" x14ac:dyDescent="0.3">
      <c r="A18" s="257" t="s">
        <v>841</v>
      </c>
      <c r="B18" s="826" t="s">
        <v>7</v>
      </c>
      <c r="C18" s="819">
        <f>'побудинковий звіт'!AJ354</f>
        <v>5402652.8418001449</v>
      </c>
      <c r="D18" s="9">
        <f>'побудинковий звіт'!AK354</f>
        <v>5089658.0648654494</v>
      </c>
      <c r="E18" s="9">
        <f t="shared" si="0"/>
        <v>-312994.77693469543</v>
      </c>
      <c r="F18" s="259">
        <f t="shared" si="1"/>
        <v>0.94206646510524139</v>
      </c>
      <c r="G18" s="820">
        <f>'побудинковий звіт'!AJ357</f>
        <v>2903046.9747426175</v>
      </c>
      <c r="H18" s="820">
        <f>'побудинковий звіт'!AK357</f>
        <v>2703609.3204441103</v>
      </c>
      <c r="I18" s="156">
        <f t="shared" si="2"/>
        <v>-199437.65429850714</v>
      </c>
      <c r="J18" s="661">
        <f>'побудинковий звіт'!AJ358</f>
        <v>778330.83580916724</v>
      </c>
      <c r="K18" s="9">
        <f>'побудинковий звіт'!AK358</f>
        <v>734493.45171308238</v>
      </c>
      <c r="L18" s="57">
        <f t="shared" si="3"/>
        <v>-43837.384096084861</v>
      </c>
      <c r="M18" s="820">
        <f>'побудинковий звіт'!AJ359</f>
        <v>1721275.031248359</v>
      </c>
      <c r="N18" s="9">
        <f>'побудинковий звіт'!AK359</f>
        <v>1651555.2927082584</v>
      </c>
      <c r="O18" s="57">
        <f t="shared" si="4"/>
        <v>-69719.738540100632</v>
      </c>
      <c r="Q18" s="5">
        <v>224296</v>
      </c>
      <c r="R18" s="5">
        <v>214387</v>
      </c>
      <c r="S18" s="5">
        <v>224296</v>
      </c>
      <c r="T18" s="5">
        <v>220289</v>
      </c>
      <c r="U18" s="5">
        <v>224296</v>
      </c>
      <c r="V18" s="5">
        <v>220289</v>
      </c>
      <c r="W18" s="5">
        <f t="shared" ref="W18:X20" si="5">U18+C18</f>
        <v>5626948.8418001449</v>
      </c>
      <c r="X18" s="5">
        <f t="shared" si="5"/>
        <v>5309947.0648654494</v>
      </c>
    </row>
    <row r="19" spans="1:24" ht="14.4" customHeight="1" x14ac:dyDescent="0.3">
      <c r="A19" s="257" t="s">
        <v>842</v>
      </c>
      <c r="B19" s="826" t="s">
        <v>8</v>
      </c>
      <c r="C19" s="819">
        <f>'побудинковий звіт'!AM354</f>
        <v>98391.790442063939</v>
      </c>
      <c r="D19" s="9">
        <f>'побудинковий звіт'!AN354</f>
        <v>133479.41651030706</v>
      </c>
      <c r="E19" s="9">
        <f t="shared" si="0"/>
        <v>35087.626068243117</v>
      </c>
      <c r="F19" s="259">
        <f t="shared" si="1"/>
        <v>1.3566113179829142</v>
      </c>
      <c r="G19" s="820">
        <f>'побудинковий звіт'!AM357</f>
        <v>69484.732988186704</v>
      </c>
      <c r="H19" s="820">
        <f>'побудинковий звіт'!AN357</f>
        <v>83653.976755487762</v>
      </c>
      <c r="I19" s="156">
        <f t="shared" si="2"/>
        <v>14169.243767301057</v>
      </c>
      <c r="J19" s="661">
        <f>'побудинковий звіт'!AM358</f>
        <v>16787.831435471911</v>
      </c>
      <c r="K19" s="9">
        <f>'побудинковий звіт'!AN358</f>
        <v>23562.076599591564</v>
      </c>
      <c r="L19" s="57">
        <f t="shared" si="3"/>
        <v>6774.2451641196531</v>
      </c>
      <c r="M19" s="820">
        <f>'побудинковий звіт'!AM359</f>
        <v>12119.226018405327</v>
      </c>
      <c r="N19" s="9">
        <f>'побудинковий звіт'!AN359</f>
        <v>26263.363155227744</v>
      </c>
      <c r="O19" s="57">
        <f t="shared" si="4"/>
        <v>14144.137136822417</v>
      </c>
      <c r="Q19" s="5">
        <v>2918</v>
      </c>
      <c r="R19" s="5">
        <v>2248</v>
      </c>
      <c r="S19" s="5">
        <v>2918</v>
      </c>
      <c r="T19" s="5">
        <v>2272</v>
      </c>
      <c r="U19" s="5">
        <v>2918</v>
      </c>
      <c r="V19" s="5">
        <v>2272</v>
      </c>
      <c r="W19" s="5">
        <f t="shared" si="5"/>
        <v>101309.79044206394</v>
      </c>
      <c r="X19" s="5">
        <f t="shared" si="5"/>
        <v>135751.41651030706</v>
      </c>
    </row>
    <row r="20" spans="1:24" ht="19.2" customHeight="1" x14ac:dyDescent="0.3">
      <c r="A20" s="257" t="s">
        <v>843</v>
      </c>
      <c r="B20" s="818" t="s">
        <v>9</v>
      </c>
      <c r="C20" s="819">
        <f>'побудинковий звіт'!AP354</f>
        <v>1580055.5050484759</v>
      </c>
      <c r="D20" s="9">
        <f>'побудинковий звіт'!AQ354</f>
        <v>1521680.5155787659</v>
      </c>
      <c r="E20" s="9">
        <f t="shared" si="0"/>
        <v>-58374.989469710039</v>
      </c>
      <c r="F20" s="259">
        <f t="shared" si="1"/>
        <v>0.96305510199914202</v>
      </c>
      <c r="G20" s="820">
        <f>'побудинковий звіт'!AP357</f>
        <v>333329.29107377527</v>
      </c>
      <c r="H20" s="820">
        <f>'побудинковий звіт'!AQ357</f>
        <v>318900.54988766398</v>
      </c>
      <c r="I20" s="156">
        <f t="shared" si="2"/>
        <v>-14428.741186111292</v>
      </c>
      <c r="J20" s="661">
        <f>'побудинковий звіт'!AP358</f>
        <v>758774.40208221937</v>
      </c>
      <c r="K20" s="9">
        <f>'побудинковий звіт'!AQ358</f>
        <v>721663.98658715072</v>
      </c>
      <c r="L20" s="57">
        <f t="shared" si="3"/>
        <v>-37110.41549506865</v>
      </c>
      <c r="M20" s="820">
        <f>'побудинковий звіт'!AP359</f>
        <v>487951.81189248152</v>
      </c>
      <c r="N20" s="9">
        <f>'побудинковий звіт'!AQ359</f>
        <v>481115.97910395119</v>
      </c>
      <c r="O20" s="57">
        <f t="shared" si="4"/>
        <v>-6835.8327885303297</v>
      </c>
      <c r="Q20" s="5">
        <v>111628</v>
      </c>
      <c r="R20" s="5">
        <v>64874</v>
      </c>
      <c r="S20" s="5">
        <v>111628</v>
      </c>
      <c r="T20" s="5">
        <v>206969</v>
      </c>
      <c r="U20" s="5">
        <v>111628</v>
      </c>
      <c r="V20" s="5">
        <v>206969</v>
      </c>
      <c r="W20" s="5">
        <f t="shared" si="5"/>
        <v>1691683.5050484759</v>
      </c>
      <c r="X20" s="5">
        <f t="shared" si="5"/>
        <v>1728649.5155787659</v>
      </c>
    </row>
    <row r="21" spans="1:24" ht="19.2" customHeight="1" x14ac:dyDescent="0.3">
      <c r="A21" s="257" t="s">
        <v>844</v>
      </c>
      <c r="B21" s="818" t="s">
        <v>10</v>
      </c>
      <c r="C21" s="661">
        <v>0</v>
      </c>
      <c r="D21" s="9">
        <v>0</v>
      </c>
      <c r="E21" s="9">
        <f t="shared" si="0"/>
        <v>0</v>
      </c>
      <c r="F21" s="262"/>
      <c r="G21" s="820">
        <v>0</v>
      </c>
      <c r="H21" s="820">
        <v>0</v>
      </c>
      <c r="I21" s="156">
        <f t="shared" si="2"/>
        <v>0</v>
      </c>
      <c r="J21" s="661">
        <v>0</v>
      </c>
      <c r="K21" s="9">
        <v>0</v>
      </c>
      <c r="L21" s="57">
        <f t="shared" si="3"/>
        <v>0</v>
      </c>
      <c r="M21" s="820">
        <v>0</v>
      </c>
      <c r="N21" s="9">
        <v>0</v>
      </c>
      <c r="O21" s="57">
        <f t="shared" si="4"/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</row>
    <row r="22" spans="1:24" ht="58.95" customHeight="1" x14ac:dyDescent="0.3">
      <c r="A22" s="257" t="s">
        <v>845</v>
      </c>
      <c r="B22" s="818" t="s">
        <v>846</v>
      </c>
      <c r="C22" s="819">
        <f>'побудинковий звіт'!AS354</f>
        <v>16352639.368544394</v>
      </c>
      <c r="D22" s="9">
        <f>'побудинковий звіт'!AT354</f>
        <v>11204500.932172565</v>
      </c>
      <c r="E22" s="9">
        <f t="shared" si="0"/>
        <v>-5148138.4363718294</v>
      </c>
      <c r="F22" s="259">
        <f t="shared" si="1"/>
        <v>0.68517996878995058</v>
      </c>
      <c r="G22" s="820">
        <f>'побудинковий звіт'!AS357</f>
        <v>5701543.7570188949</v>
      </c>
      <c r="H22" s="820">
        <f>'побудинковий звіт'!AT357</f>
        <v>4328796.2026218539</v>
      </c>
      <c r="I22" s="156">
        <f t="shared" si="2"/>
        <v>-1372747.554397041</v>
      </c>
      <c r="J22" s="661">
        <f>'побудинковий звіт'!AS358</f>
        <v>4753046.1470317161</v>
      </c>
      <c r="K22" s="9">
        <f>'побудинковий звіт'!AT358</f>
        <v>3286083.0741833304</v>
      </c>
      <c r="L22" s="57">
        <f t="shared" si="3"/>
        <v>-1466963.0728483857</v>
      </c>
      <c r="M22" s="820">
        <f>'побудинковий звіт'!AS359</f>
        <v>5898049.4644937841</v>
      </c>
      <c r="N22" s="9">
        <f>'побудинковий звіт'!AT359</f>
        <v>3589621.6553673809</v>
      </c>
      <c r="O22" s="57">
        <f t="shared" si="4"/>
        <v>-2308427.8091264032</v>
      </c>
      <c r="Q22" s="5">
        <f>861088+523</f>
        <v>861611</v>
      </c>
      <c r="R22" s="5">
        <v>750099</v>
      </c>
      <c r="S22" s="5">
        <f>861088+523</f>
        <v>861611</v>
      </c>
      <c r="T22" s="5">
        <v>597460</v>
      </c>
      <c r="U22" s="5">
        <f>861088+523</f>
        <v>861611</v>
      </c>
      <c r="V22" s="5">
        <v>597460</v>
      </c>
      <c r="W22" s="5">
        <f>U22+C22</f>
        <v>17214250.368544392</v>
      </c>
      <c r="X22" s="5">
        <f>V22+D22</f>
        <v>11801960.932172565</v>
      </c>
    </row>
    <row r="23" spans="1:24" ht="15" customHeight="1" x14ac:dyDescent="0.3">
      <c r="A23" s="257" t="s">
        <v>847</v>
      </c>
      <c r="B23" s="818" t="s">
        <v>12</v>
      </c>
      <c r="C23" s="819">
        <f>C24+C25+C26+C27+C28+C29+C30</f>
        <v>2094912.7372429532</v>
      </c>
      <c r="D23" s="9">
        <f>D24+D25+D26+D27+D28+D29+D30</f>
        <v>2257055.5551912547</v>
      </c>
      <c r="E23" s="9">
        <f t="shared" si="0"/>
        <v>162142.81794830156</v>
      </c>
      <c r="F23" s="259">
        <f t="shared" si="1"/>
        <v>1.077398363695899</v>
      </c>
      <c r="G23" s="820">
        <f>G24+G25+G26+G27+G28+G29+G30</f>
        <v>557427.97082196281</v>
      </c>
      <c r="H23" s="820">
        <f>H24+H25+H26+H27+H28+H29+H30</f>
        <v>979462.83972677973</v>
      </c>
      <c r="I23" s="156">
        <f t="shared" si="2"/>
        <v>422034.86890481692</v>
      </c>
      <c r="J23" s="661">
        <f>J24+J25+J26+J27+J28+J29+J30</f>
        <v>827275.83162056364</v>
      </c>
      <c r="K23" s="9">
        <f>K24+K25+K26+K27+K28+K29+K30</f>
        <v>524767.36487687333</v>
      </c>
      <c r="L23" s="57">
        <f t="shared" si="3"/>
        <v>-302508.46674369031</v>
      </c>
      <c r="M23" s="820">
        <f>M24+M25+M26+M27+M28+M29+M30</f>
        <v>710208.93480042659</v>
      </c>
      <c r="N23" s="9">
        <f>N24+N25+N26+N27+N28+N29+N30</f>
        <v>752825.35058760142</v>
      </c>
      <c r="O23" s="57">
        <f t="shared" si="4"/>
        <v>42616.415787174832</v>
      </c>
      <c r="Q23" s="5"/>
      <c r="R23" s="5"/>
      <c r="S23" s="5"/>
      <c r="T23" s="5"/>
      <c r="U23" s="5"/>
      <c r="V23" s="5"/>
      <c r="W23" s="5"/>
      <c r="X23" s="5"/>
    </row>
    <row r="24" spans="1:24" ht="15" customHeight="1" x14ac:dyDescent="0.3">
      <c r="A24" s="260" t="s">
        <v>848</v>
      </c>
      <c r="B24" s="821" t="s">
        <v>23</v>
      </c>
      <c r="C24" s="822">
        <f>'побудинковий звіт'!AV354</f>
        <v>421966.92190779053</v>
      </c>
      <c r="D24" s="5">
        <f>'побудинковий звіт'!AW354</f>
        <v>244892.87890789806</v>
      </c>
      <c r="E24" s="5">
        <f t="shared" si="0"/>
        <v>-177074.04299989247</v>
      </c>
      <c r="F24" s="262">
        <f t="shared" si="1"/>
        <v>0.5803603699567067</v>
      </c>
      <c r="G24" s="823">
        <f>'побудинковий звіт'!AV357</f>
        <v>99661.577580134588</v>
      </c>
      <c r="H24" s="823">
        <f>'побудинковий звіт'!AW357</f>
        <v>80393.228406372597</v>
      </c>
      <c r="I24" s="36">
        <f t="shared" si="2"/>
        <v>-19268.349173761992</v>
      </c>
      <c r="J24" s="660">
        <f>'побудинковий звіт'!AV358</f>
        <v>180959.4931666691</v>
      </c>
      <c r="K24" s="5">
        <f>'побудинковий звіт'!AW358</f>
        <v>103811.55315050317</v>
      </c>
      <c r="L24" s="55">
        <f t="shared" si="3"/>
        <v>-77147.940016165929</v>
      </c>
      <c r="M24" s="823">
        <f>'побудинковий звіт'!AV359</f>
        <v>141345.85116098711</v>
      </c>
      <c r="N24" s="5">
        <f>'побудинковий звіт'!AW359</f>
        <v>60688.097351022436</v>
      </c>
      <c r="O24" s="55">
        <f t="shared" si="4"/>
        <v>-80657.753809964663</v>
      </c>
      <c r="Q24" s="5"/>
      <c r="R24" s="5"/>
      <c r="S24" s="5"/>
      <c r="T24" s="5"/>
      <c r="U24" s="5"/>
      <c r="V24" s="5"/>
      <c r="W24" s="5"/>
      <c r="X24" s="5"/>
    </row>
    <row r="25" spans="1:24" ht="15" customHeight="1" x14ac:dyDescent="0.3">
      <c r="A25" s="260" t="s">
        <v>849</v>
      </c>
      <c r="B25" s="821" t="s">
        <v>24</v>
      </c>
      <c r="C25" s="822">
        <f>'побудинковий звіт'!AY354</f>
        <v>574133.98984974972</v>
      </c>
      <c r="D25" s="5">
        <f>'побудинковий звіт'!AZ354</f>
        <v>384304.46552992502</v>
      </c>
      <c r="E25" s="5">
        <f t="shared" si="0"/>
        <v>-189829.5243198247</v>
      </c>
      <c r="F25" s="262">
        <f t="shared" si="1"/>
        <v>0.66936372401588196</v>
      </c>
      <c r="G25" s="823">
        <f>'побудинковий звіт'!AY357</f>
        <v>121925.9687431608</v>
      </c>
      <c r="H25" s="823">
        <f>'побудинковий звіт'!AZ357</f>
        <v>186812.62037296352</v>
      </c>
      <c r="I25" s="36">
        <f t="shared" si="2"/>
        <v>64886.651629802713</v>
      </c>
      <c r="J25" s="660">
        <f>'побудинковий звіт'!AY358</f>
        <v>257526.70390676308</v>
      </c>
      <c r="K25" s="5">
        <f>'побудинковий звіт'!AZ358</f>
        <v>55393.274341891098</v>
      </c>
      <c r="L25" s="55">
        <f t="shared" si="3"/>
        <v>-202133.429564872</v>
      </c>
      <c r="M25" s="823">
        <f>'побудинковий звіт'!AY359</f>
        <v>194681.3171998256</v>
      </c>
      <c r="N25" s="5">
        <f>'побудинковий звіт'!AZ359</f>
        <v>142098.57081507021</v>
      </c>
      <c r="O25" s="55">
        <f t="shared" si="4"/>
        <v>-52582.746384755388</v>
      </c>
      <c r="Q25" s="5"/>
      <c r="R25" s="5"/>
      <c r="S25" s="5"/>
      <c r="T25" s="5"/>
      <c r="U25" s="5"/>
      <c r="V25" s="5"/>
      <c r="W25" s="5"/>
      <c r="X25" s="5"/>
    </row>
    <row r="26" spans="1:24" ht="15" customHeight="1" x14ac:dyDescent="0.3">
      <c r="A26" s="260" t="s">
        <v>850</v>
      </c>
      <c r="B26" s="821" t="s">
        <v>25</v>
      </c>
      <c r="C26" s="822">
        <f>'побудинковий звіт'!BB354</f>
        <v>497539.55376403802</v>
      </c>
      <c r="D26" s="5">
        <f>'побудинковий звіт'!BC354</f>
        <v>247315.59304122449</v>
      </c>
      <c r="E26" s="5">
        <f t="shared" si="0"/>
        <v>-250223.96072281353</v>
      </c>
      <c r="F26" s="262">
        <f t="shared" si="1"/>
        <v>0.49707724977885037</v>
      </c>
      <c r="G26" s="823">
        <f>'побудинковий звіт'!BB357</f>
        <v>112349.2003329803</v>
      </c>
      <c r="H26" s="823">
        <f>'побудинковий звіт'!BC357</f>
        <v>70570.797661763601</v>
      </c>
      <c r="I26" s="36">
        <f t="shared" si="2"/>
        <v>-41778.402671216696</v>
      </c>
      <c r="J26" s="660">
        <f>'побудинковий звіт'!BB358</f>
        <v>213636.56239625521</v>
      </c>
      <c r="K26" s="5">
        <f>'побудинковий звіт'!BC358</f>
        <v>47202.477530361517</v>
      </c>
      <c r="L26" s="55">
        <f t="shared" si="3"/>
        <v>-166434.0848658937</v>
      </c>
      <c r="M26" s="823">
        <f>'побудинковий звіт'!BB359</f>
        <v>171553.79103480268</v>
      </c>
      <c r="N26" s="5">
        <f>'побудинковий звіт'!BC359</f>
        <v>129542.31784909936</v>
      </c>
      <c r="O26" s="55">
        <f t="shared" si="4"/>
        <v>-42011.473185703318</v>
      </c>
      <c r="Q26" s="5"/>
      <c r="R26" s="5"/>
      <c r="S26" s="5"/>
      <c r="T26" s="5"/>
      <c r="U26" s="5"/>
      <c r="V26" s="5"/>
      <c r="W26" s="5"/>
      <c r="X26" s="5"/>
    </row>
    <row r="27" spans="1:24" ht="15" customHeight="1" x14ac:dyDescent="0.3">
      <c r="A27" s="260" t="s">
        <v>851</v>
      </c>
      <c r="B27" s="821" t="s">
        <v>26</v>
      </c>
      <c r="C27" s="822">
        <f>'побудинковий звіт'!BE354</f>
        <v>96781.425671792575</v>
      </c>
      <c r="D27" s="5">
        <f>'побудинковий звіт'!BF354</f>
        <v>103201.87268114887</v>
      </c>
      <c r="E27" s="5">
        <f t="shared" si="0"/>
        <v>6420.4470093562995</v>
      </c>
      <c r="F27" s="262">
        <f t="shared" si="1"/>
        <v>1.0663396614049629</v>
      </c>
      <c r="G27" s="823">
        <f>'побудинковий звіт'!BE357</f>
        <v>43170.835076022755</v>
      </c>
      <c r="H27" s="823">
        <f>'побудинковий звіт'!BF357</f>
        <v>59676.550498720222</v>
      </c>
      <c r="I27" s="36">
        <f t="shared" si="2"/>
        <v>16505.715422697467</v>
      </c>
      <c r="J27" s="660">
        <f>'побудинковий звіт'!BE358</f>
        <v>20524.117846379322</v>
      </c>
      <c r="K27" s="5">
        <f>'побудинковий звіт'!BF358</f>
        <v>17918.169130650713</v>
      </c>
      <c r="L27" s="55">
        <f t="shared" si="3"/>
        <v>-2605.9487157286094</v>
      </c>
      <c r="M27" s="823">
        <f>'побудинковий звіт'!BE359</f>
        <v>33086.47274939053</v>
      </c>
      <c r="N27" s="5">
        <f>'побудинковий звіт'!BF359</f>
        <v>25607.153051777936</v>
      </c>
      <c r="O27" s="55">
        <f t="shared" si="4"/>
        <v>-7479.3196976125946</v>
      </c>
      <c r="Q27" s="5"/>
      <c r="R27" s="5"/>
      <c r="S27" s="5"/>
      <c r="T27" s="5"/>
      <c r="U27" s="5"/>
      <c r="V27" s="5"/>
      <c r="W27" s="5"/>
      <c r="X27" s="5"/>
    </row>
    <row r="28" spans="1:24" ht="15" customHeight="1" x14ac:dyDescent="0.3">
      <c r="A28" s="260" t="s">
        <v>852</v>
      </c>
      <c r="B28" s="821" t="s">
        <v>27</v>
      </c>
      <c r="C28" s="822">
        <f>'побудинковий звіт'!BH354</f>
        <v>95370.580491616536</v>
      </c>
      <c r="D28" s="5">
        <f>'побудинковий звіт'!BI354</f>
        <v>102762.3376754139</v>
      </c>
      <c r="E28" s="5">
        <f t="shared" si="0"/>
        <v>7391.7571837973665</v>
      </c>
      <c r="F28" s="262">
        <f t="shared" si="1"/>
        <v>1.077505632719171</v>
      </c>
      <c r="G28" s="823">
        <f>'побудинковий звіт'!BH357</f>
        <v>38182.683844623229</v>
      </c>
      <c r="H28" s="823">
        <f>'побудинковий звіт'!BI357</f>
        <v>27335.29947475508</v>
      </c>
      <c r="I28" s="36">
        <f t="shared" si="2"/>
        <v>-10847.384369868148</v>
      </c>
      <c r="J28" s="660">
        <f>'побудинковий звіт'!BH358</f>
        <v>17734.725800418848</v>
      </c>
      <c r="K28" s="5">
        <f>'побудинковий звіт'!BI358</f>
        <v>33163.534456270543</v>
      </c>
      <c r="L28" s="55">
        <f t="shared" si="3"/>
        <v>15428.808655851695</v>
      </c>
      <c r="M28" s="823">
        <f>'побудинковий звіт'!BH359</f>
        <v>39453.170846574394</v>
      </c>
      <c r="N28" s="5">
        <f>'побудинковий звіт'!BI359</f>
        <v>42263.503744388261</v>
      </c>
      <c r="O28" s="55">
        <f t="shared" si="4"/>
        <v>2810.332897813867</v>
      </c>
      <c r="Q28" s="5"/>
      <c r="R28" s="5"/>
      <c r="S28" s="5"/>
      <c r="T28" s="5"/>
      <c r="U28" s="5"/>
      <c r="V28" s="5"/>
      <c r="W28" s="5"/>
      <c r="X28" s="5"/>
    </row>
    <row r="29" spans="1:24" ht="15" customHeight="1" x14ac:dyDescent="0.3">
      <c r="A29" s="260" t="s">
        <v>853</v>
      </c>
      <c r="B29" s="821" t="s">
        <v>28</v>
      </c>
      <c r="C29" s="822">
        <f>'побудинковий звіт'!BK354</f>
        <v>351678.52569531574</v>
      </c>
      <c r="D29" s="5">
        <f>'побудинковий звіт'!BL354</f>
        <v>588315.96175667353</v>
      </c>
      <c r="E29" s="5">
        <f t="shared" si="0"/>
        <v>236637.43606135779</v>
      </c>
      <c r="F29" s="262">
        <f t="shared" si="1"/>
        <v>1.6728799706877004</v>
      </c>
      <c r="G29" s="823">
        <f>'побудинковий звіт'!BK357</f>
        <v>99880.524501163207</v>
      </c>
      <c r="H29" s="823">
        <f>'побудинковий звіт'!BL357</f>
        <v>321585.86096226203</v>
      </c>
      <c r="I29" s="36">
        <f t="shared" si="2"/>
        <v>221705.33646109881</v>
      </c>
      <c r="J29" s="660">
        <f>'побудинковий звіт'!BK358</f>
        <v>128699.62845590546</v>
      </c>
      <c r="K29" s="5">
        <f>'побудинковий звіт'!BL358</f>
        <v>106414.03722973254</v>
      </c>
      <c r="L29" s="55">
        <f t="shared" si="3"/>
        <v>-22285.591226172925</v>
      </c>
      <c r="M29" s="823">
        <f>'побудинковий звіт'!BK359</f>
        <v>123098.37273824692</v>
      </c>
      <c r="N29" s="5">
        <f>'побудинковий звіт'!BL359</f>
        <v>160316.06356467886</v>
      </c>
      <c r="O29" s="55">
        <f t="shared" si="4"/>
        <v>37217.690826431935</v>
      </c>
      <c r="Q29" s="5"/>
      <c r="R29" s="5"/>
      <c r="S29" s="5"/>
      <c r="T29" s="5"/>
      <c r="U29" s="5"/>
      <c r="V29" s="5"/>
      <c r="W29" s="5"/>
      <c r="X29" s="5"/>
    </row>
    <row r="30" spans="1:24" ht="15" customHeight="1" x14ac:dyDescent="0.3">
      <c r="A30" s="260" t="s">
        <v>854</v>
      </c>
      <c r="B30" s="821" t="s">
        <v>29</v>
      </c>
      <c r="C30" s="822">
        <f>'побудинковий звіт'!BN354</f>
        <v>57441.739862650022</v>
      </c>
      <c r="D30" s="5">
        <f>'побудинковий звіт'!BO354</f>
        <v>586262.44559897098</v>
      </c>
      <c r="E30" s="5">
        <f t="shared" si="0"/>
        <v>528820.70573632093</v>
      </c>
      <c r="F30" s="262">
        <f t="shared" si="1"/>
        <v>10.206209752712812</v>
      </c>
      <c r="G30" s="823">
        <f>'побудинковий звіт'!BN357</f>
        <v>42257.180743877929</v>
      </c>
      <c r="H30" s="823">
        <f>'побудинковий звіт'!BO357</f>
        <v>233088.48234994279</v>
      </c>
      <c r="I30" s="36">
        <f t="shared" si="2"/>
        <v>190831.30160606487</v>
      </c>
      <c r="J30" s="660">
        <f>'побудинковий звіт'!BN358</f>
        <v>8194.6000481726223</v>
      </c>
      <c r="K30" s="5">
        <f>'побудинковий звіт'!BO358</f>
        <v>160864.31903746378</v>
      </c>
      <c r="L30" s="55">
        <f t="shared" si="3"/>
        <v>152669.71898929117</v>
      </c>
      <c r="M30" s="823">
        <f>'побудинковий звіт'!BN359</f>
        <v>6989.9590705994542</v>
      </c>
      <c r="N30" s="5">
        <f>'побудинковий звіт'!BO359</f>
        <v>192309.64421156436</v>
      </c>
      <c r="O30" s="55">
        <f t="shared" si="4"/>
        <v>185319.6851409649</v>
      </c>
      <c r="Q30" s="5"/>
      <c r="R30" s="5"/>
      <c r="S30" s="5"/>
      <c r="T30" s="5"/>
      <c r="U30" s="5"/>
      <c r="V30" s="5"/>
      <c r="W30" s="5"/>
      <c r="X30" s="5"/>
    </row>
    <row r="31" spans="1:24" ht="17.399999999999999" customHeight="1" x14ac:dyDescent="0.3">
      <c r="A31" s="257" t="s">
        <v>855</v>
      </c>
      <c r="B31" s="818" t="s">
        <v>13</v>
      </c>
      <c r="C31" s="819">
        <v>0</v>
      </c>
      <c r="D31" s="9">
        <v>0</v>
      </c>
      <c r="E31" s="5">
        <f t="shared" si="0"/>
        <v>0</v>
      </c>
      <c r="F31" s="262"/>
      <c r="G31" s="820">
        <v>0</v>
      </c>
      <c r="H31" s="820">
        <v>0</v>
      </c>
      <c r="I31" s="36">
        <f t="shared" si="2"/>
        <v>0</v>
      </c>
      <c r="J31" s="661">
        <v>0</v>
      </c>
      <c r="K31" s="9">
        <v>0</v>
      </c>
      <c r="L31" s="55">
        <f t="shared" si="3"/>
        <v>0</v>
      </c>
      <c r="M31" s="820">
        <v>0</v>
      </c>
      <c r="N31" s="9">
        <v>0</v>
      </c>
      <c r="O31" s="55">
        <f t="shared" si="4"/>
        <v>0</v>
      </c>
      <c r="Q31" s="5"/>
      <c r="R31" s="5"/>
      <c r="S31" s="5"/>
      <c r="T31" s="5"/>
      <c r="U31" s="5"/>
      <c r="V31" s="5"/>
      <c r="W31" s="5"/>
      <c r="X31" s="5"/>
    </row>
    <row r="32" spans="1:24" ht="17.399999999999999" customHeight="1" x14ac:dyDescent="0.3">
      <c r="A32" s="257" t="s">
        <v>856</v>
      </c>
      <c r="B32" s="818" t="s">
        <v>14</v>
      </c>
      <c r="C32" s="819">
        <f>'побудинковий звіт'!BT354</f>
        <v>11540743.291122673</v>
      </c>
      <c r="D32" s="9">
        <f>'побудинковий звіт'!BU354</f>
        <v>15917350.034858778</v>
      </c>
      <c r="E32" s="9">
        <f t="shared" si="0"/>
        <v>4376606.743736105</v>
      </c>
      <c r="F32" s="259">
        <f t="shared" si="1"/>
        <v>1.3792309241556964</v>
      </c>
      <c r="G32" s="820">
        <f>'побудинковий звіт'!BT357</f>
        <v>4736451.7074554199</v>
      </c>
      <c r="H32" s="820">
        <f>'побудинковий звіт'!BU357</f>
        <v>5861703.8135351781</v>
      </c>
      <c r="I32" s="156">
        <f t="shared" si="2"/>
        <v>1125252.1060797581</v>
      </c>
      <c r="J32" s="661">
        <f>'побудинковий звіт'!BT358</f>
        <v>3906709.7468087585</v>
      </c>
      <c r="K32" s="9">
        <f>'побудинковий звіт'!BU358</f>
        <v>6014600.1374168433</v>
      </c>
      <c r="L32" s="57">
        <f t="shared" si="3"/>
        <v>2107890.3906080849</v>
      </c>
      <c r="M32" s="820">
        <f>'побудинковий звіт'!BT359</f>
        <v>2897581.8368584989</v>
      </c>
      <c r="N32" s="9">
        <f>'побудинковий звіт'!BU359</f>
        <v>4041046.0839067693</v>
      </c>
      <c r="O32" s="57">
        <f t="shared" si="4"/>
        <v>1143464.2470482704</v>
      </c>
      <c r="Q32" s="5">
        <v>581143</v>
      </c>
      <c r="R32" s="5">
        <v>540163</v>
      </c>
      <c r="S32" s="5">
        <v>581143</v>
      </c>
      <c r="T32" s="5">
        <v>665975</v>
      </c>
      <c r="U32" s="5">
        <v>581143</v>
      </c>
      <c r="V32" s="5">
        <v>665975</v>
      </c>
      <c r="W32" s="5">
        <v>581143</v>
      </c>
      <c r="X32" s="5">
        <v>665975</v>
      </c>
    </row>
    <row r="33" spans="1:24" ht="21.6" customHeight="1" x14ac:dyDescent="0.3">
      <c r="A33" s="257" t="s">
        <v>857</v>
      </c>
      <c r="B33" s="818" t="s">
        <v>15</v>
      </c>
      <c r="C33" s="819">
        <f>'побудинковий звіт'!BW354</f>
        <v>7623233.8333113128</v>
      </c>
      <c r="D33" s="9">
        <f>'побудинковий звіт'!BX354</f>
        <v>8451312.1277017295</v>
      </c>
      <c r="E33" s="9">
        <f t="shared" si="0"/>
        <v>828078.2943904167</v>
      </c>
      <c r="F33" s="259">
        <f t="shared" si="1"/>
        <v>1.1086255928254432</v>
      </c>
      <c r="G33" s="820">
        <f>'побудинковий звіт'!BW357</f>
        <v>2957036.1057510353</v>
      </c>
      <c r="H33" s="820">
        <f>'побудинковий звіт'!BX357</f>
        <v>3166431.1851140894</v>
      </c>
      <c r="I33" s="156">
        <f t="shared" si="2"/>
        <v>209395.07936305413</v>
      </c>
      <c r="J33" s="661">
        <f>'побудинковий звіт'!BW358</f>
        <v>2419577.6620333544</v>
      </c>
      <c r="K33" s="9">
        <f>'побудинковий звіт'!BX358</f>
        <v>2797903.1449247473</v>
      </c>
      <c r="L33" s="57">
        <f t="shared" si="3"/>
        <v>378325.48289139289</v>
      </c>
      <c r="M33" s="820">
        <f>'побудинковий звіт'!BW359</f>
        <v>2246620.0655269208</v>
      </c>
      <c r="N33" s="9">
        <f>'побудинковий звіт'!BX359</f>
        <v>2486977.7976628998</v>
      </c>
      <c r="O33" s="57">
        <f t="shared" si="4"/>
        <v>240357.73213597899</v>
      </c>
      <c r="Q33" s="5">
        <v>344348</v>
      </c>
      <c r="R33" s="5">
        <v>415901</v>
      </c>
      <c r="S33" s="5">
        <v>344348</v>
      </c>
      <c r="T33" s="5">
        <v>418373</v>
      </c>
      <c r="U33" s="5">
        <v>344348</v>
      </c>
      <c r="V33" s="5">
        <v>418373</v>
      </c>
      <c r="W33" s="5">
        <v>344348</v>
      </c>
      <c r="X33" s="5">
        <v>418373</v>
      </c>
    </row>
    <row r="34" spans="1:24" ht="31.2" customHeight="1" x14ac:dyDescent="0.3">
      <c r="A34" s="257" t="s">
        <v>858</v>
      </c>
      <c r="B34" s="818" t="s">
        <v>16</v>
      </c>
      <c r="C34" s="819">
        <f>'побудинковий звіт'!BZ354</f>
        <v>2854531.3481160784</v>
      </c>
      <c r="D34" s="9">
        <f>'побудинковий звіт'!CA354</f>
        <v>1425738.7889488135</v>
      </c>
      <c r="E34" s="9">
        <f t="shared" si="0"/>
        <v>-1428792.559167265</v>
      </c>
      <c r="F34" s="259">
        <f t="shared" si="1"/>
        <v>0.49946510129929611</v>
      </c>
      <c r="G34" s="820">
        <f>'побудинковий звіт'!BZ357</f>
        <v>975146.63404585957</v>
      </c>
      <c r="H34" s="820">
        <f>'побудинковий звіт'!CA357</f>
        <v>514976.77536283428</v>
      </c>
      <c r="I34" s="156">
        <f t="shared" si="2"/>
        <v>-460169.85868302529</v>
      </c>
      <c r="J34" s="661">
        <f>'побудинковий звіт'!BZ358</f>
        <v>1333330.9498261763</v>
      </c>
      <c r="K34" s="9">
        <f>'побудинковий звіт'!CA358</f>
        <v>552597.74880645843</v>
      </c>
      <c r="L34" s="57">
        <f t="shared" si="3"/>
        <v>-780733.20101971785</v>
      </c>
      <c r="M34" s="820">
        <f>'побудинковий звіт'!BZ359</f>
        <v>546053.76424404257</v>
      </c>
      <c r="N34" s="9">
        <f>'побудинковий звіт'!CA359</f>
        <v>358164.26477952226</v>
      </c>
      <c r="O34" s="57">
        <f t="shared" si="4"/>
        <v>-187889.49946452031</v>
      </c>
      <c r="Q34" s="5">
        <v>145286</v>
      </c>
      <c r="R34" s="5">
        <v>231498</v>
      </c>
      <c r="S34" s="5">
        <v>145286</v>
      </c>
      <c r="T34" s="5">
        <v>117525</v>
      </c>
      <c r="U34" s="5">
        <v>145286</v>
      </c>
      <c r="V34" s="5">
        <v>117525</v>
      </c>
      <c r="W34" s="5">
        <v>145286</v>
      </c>
      <c r="X34" s="5">
        <v>117525</v>
      </c>
    </row>
    <row r="35" spans="1:24" ht="16.2" customHeight="1" x14ac:dyDescent="0.3">
      <c r="A35" s="257" t="s">
        <v>859</v>
      </c>
      <c r="B35" s="818" t="s">
        <v>17</v>
      </c>
      <c r="C35" s="819">
        <f>'побудинковий звіт'!CC354</f>
        <v>341087.99914859264</v>
      </c>
      <c r="D35" s="9">
        <f>'побудинковий звіт'!CD354</f>
        <v>342223.90080519114</v>
      </c>
      <c r="E35" s="9">
        <f t="shared" si="0"/>
        <v>1135.901656598493</v>
      </c>
      <c r="F35" s="259">
        <f t="shared" si="1"/>
        <v>1.0033302304960416</v>
      </c>
      <c r="G35" s="820">
        <f>'побудинковий звіт'!CC357</f>
        <v>100813.37517610262</v>
      </c>
      <c r="H35" s="820">
        <f>'побудинковий звіт'!CD357</f>
        <v>101155.22208623101</v>
      </c>
      <c r="I35" s="156">
        <f t="shared" si="2"/>
        <v>341.84691012838448</v>
      </c>
      <c r="J35" s="661">
        <f>'побудинковий звіт'!CC358</f>
        <v>118665.44093088573</v>
      </c>
      <c r="K35" s="9">
        <f>'побудинковий звіт'!CD358</f>
        <v>119047.1702892329</v>
      </c>
      <c r="L35" s="57">
        <f t="shared" si="3"/>
        <v>381.72935834717646</v>
      </c>
      <c r="M35" s="820">
        <f>'побудинковий звіт'!CC359</f>
        <v>121609.18304160442</v>
      </c>
      <c r="N35" s="9">
        <f>'побудинковий звіт'!CD359</f>
        <v>122021.50842972699</v>
      </c>
      <c r="O35" s="57">
        <f t="shared" si="4"/>
        <v>412.32538812256826</v>
      </c>
      <c r="Q35" s="5">
        <v>23023</v>
      </c>
      <c r="R35" s="5">
        <v>21805</v>
      </c>
      <c r="S35" s="5">
        <v>23023</v>
      </c>
      <c r="T35" s="5">
        <v>22367</v>
      </c>
      <c r="U35" s="5">
        <v>23023</v>
      </c>
      <c r="V35" s="5">
        <v>22367</v>
      </c>
      <c r="W35" s="5">
        <v>23023</v>
      </c>
      <c r="X35" s="5">
        <v>22367</v>
      </c>
    </row>
    <row r="36" spans="1:24" ht="16.2" customHeight="1" x14ac:dyDescent="0.3">
      <c r="A36" s="257" t="s">
        <v>860</v>
      </c>
      <c r="B36" s="818" t="s">
        <v>18</v>
      </c>
      <c r="C36" s="819">
        <f>'побудинковий звіт'!CF354</f>
        <v>42256.626279358665</v>
      </c>
      <c r="D36" s="9">
        <f>'побудинковий звіт'!CG354</f>
        <v>39744.79631349392</v>
      </c>
      <c r="E36" s="9">
        <f t="shared" si="0"/>
        <v>-2511.8299658647447</v>
      </c>
      <c r="F36" s="259">
        <f t="shared" si="1"/>
        <v>0.94055772580472874</v>
      </c>
      <c r="G36" s="820">
        <f>'побудинковий звіт'!CF357</f>
        <v>12490.241342560372</v>
      </c>
      <c r="H36" s="820">
        <f>'побудинковий звіт'!CG357</f>
        <v>21062.797355371946</v>
      </c>
      <c r="I36" s="156">
        <f t="shared" si="2"/>
        <v>8572.556012811574</v>
      </c>
      <c r="J36" s="661">
        <f>'побудинковий звіт'!CF358</f>
        <v>14699.651100849926</v>
      </c>
      <c r="K36" s="9">
        <f>'побудинковий звіт'!CG358</f>
        <v>11687.652490377479</v>
      </c>
      <c r="L36" s="57">
        <f t="shared" si="3"/>
        <v>-3011.9986104724467</v>
      </c>
      <c r="M36" s="820">
        <f>'побудинковий звіт'!CF359</f>
        <v>15066.733835948351</v>
      </c>
      <c r="N36" s="9">
        <f>'побудинковий звіт'!CG359</f>
        <v>6994.3464677444772</v>
      </c>
      <c r="O36" s="57">
        <f t="shared" si="4"/>
        <v>-8072.3873682038738</v>
      </c>
      <c r="Q36" s="5">
        <v>853</v>
      </c>
      <c r="R36" s="5">
        <v>0</v>
      </c>
      <c r="S36" s="5">
        <v>853</v>
      </c>
      <c r="T36" s="5">
        <v>0</v>
      </c>
      <c r="U36" s="5">
        <v>853</v>
      </c>
      <c r="V36" s="5">
        <v>0</v>
      </c>
      <c r="W36" s="5">
        <v>853</v>
      </c>
      <c r="X36" s="5">
        <v>0</v>
      </c>
    </row>
    <row r="37" spans="1:24" ht="34.200000000000003" customHeight="1" x14ac:dyDescent="0.3">
      <c r="A37" s="257" t="s">
        <v>861</v>
      </c>
      <c r="B37" s="818" t="s">
        <v>862</v>
      </c>
      <c r="C37" s="819">
        <f>C38+C39</f>
        <v>3604014.4071694892</v>
      </c>
      <c r="D37" s="9">
        <f>D38+D39</f>
        <v>3922719.263068126</v>
      </c>
      <c r="E37" s="9">
        <f t="shared" si="0"/>
        <v>318704.85589863686</v>
      </c>
      <c r="F37" s="259">
        <f t="shared" si="1"/>
        <v>1.0884305166107646</v>
      </c>
      <c r="G37" s="820">
        <f>G38+G39</f>
        <v>1560058.390569217</v>
      </c>
      <c r="H37" s="820">
        <f>H38+H39</f>
        <v>1663394.9335572599</v>
      </c>
      <c r="I37" s="156">
        <f t="shared" si="2"/>
        <v>103336.54298804281</v>
      </c>
      <c r="J37" s="661">
        <f>J38+J39</f>
        <v>811515.00621674664</v>
      </c>
      <c r="K37" s="9">
        <f>K38+K39</f>
        <v>873637.61752301932</v>
      </c>
      <c r="L37" s="57">
        <f t="shared" si="3"/>
        <v>62122.61130627268</v>
      </c>
      <c r="M37" s="820">
        <f>M38+M39</f>
        <v>1232441.0103835259</v>
      </c>
      <c r="N37" s="9">
        <f>N38+N39</f>
        <v>1385686.7119878447</v>
      </c>
      <c r="O37" s="57">
        <f t="shared" si="4"/>
        <v>153245.70160431881</v>
      </c>
      <c r="Q37" s="5"/>
      <c r="R37" s="5"/>
      <c r="S37" s="5"/>
      <c r="T37" s="5"/>
      <c r="U37" s="5"/>
      <c r="V37" s="5"/>
      <c r="W37" s="5"/>
      <c r="X37" s="5"/>
    </row>
    <row r="38" spans="1:24" ht="15" customHeight="1" x14ac:dyDescent="0.3">
      <c r="A38" s="263" t="s">
        <v>863</v>
      </c>
      <c r="B38" s="827" t="s">
        <v>31</v>
      </c>
      <c r="C38" s="822">
        <f>'побудинковий звіт'!CI354</f>
        <v>2246886.6537402445</v>
      </c>
      <c r="D38" s="5">
        <f>'побудинковий звіт'!CJ354</f>
        <v>2041475.9760328296</v>
      </c>
      <c r="E38" s="5">
        <f t="shared" si="0"/>
        <v>-205410.67770741484</v>
      </c>
      <c r="F38" s="262">
        <f t="shared" si="1"/>
        <v>0.90857986656092282</v>
      </c>
      <c r="G38" s="823">
        <f>'побудинковий звіт'!CI357</f>
        <v>839252.55751841865</v>
      </c>
      <c r="H38" s="823">
        <f>'побудинковий звіт'!CJ357</f>
        <v>718120.25352197897</v>
      </c>
      <c r="I38" s="36">
        <f t="shared" si="2"/>
        <v>-121132.30399643967</v>
      </c>
      <c r="J38" s="660">
        <f>'побудинковий звіт'!CI358</f>
        <v>608659.36392267211</v>
      </c>
      <c r="K38" s="5">
        <f>'побудинковий звіт'!CJ358</f>
        <v>566682.47999885271</v>
      </c>
      <c r="L38" s="55">
        <f t="shared" si="3"/>
        <v>-41976.883923819405</v>
      </c>
      <c r="M38" s="823">
        <f>'побудинковий звіт'!CI359</f>
        <v>798974.73229915369</v>
      </c>
      <c r="N38" s="5">
        <f>'побудинковий звіт'!CJ359</f>
        <v>756673.24251199595</v>
      </c>
      <c r="O38" s="55">
        <f t="shared" si="4"/>
        <v>-42301.489787157741</v>
      </c>
      <c r="Q38" s="5">
        <v>235151</v>
      </c>
      <c r="R38" s="5">
        <v>247971</v>
      </c>
      <c r="S38" s="5">
        <v>235151</v>
      </c>
      <c r="T38" s="5">
        <v>231680</v>
      </c>
      <c r="U38" s="5">
        <v>235151</v>
      </c>
      <c r="V38" s="5">
        <v>231680</v>
      </c>
      <c r="W38" s="5">
        <v>235151</v>
      </c>
      <c r="X38" s="5">
        <v>231680</v>
      </c>
    </row>
    <row r="39" spans="1:24" ht="15" customHeight="1" x14ac:dyDescent="0.3">
      <c r="A39" s="263" t="s">
        <v>864</v>
      </c>
      <c r="B39" s="827" t="s">
        <v>32</v>
      </c>
      <c r="C39" s="822">
        <f>'побудинковий звіт'!CL354</f>
        <v>1357127.753429245</v>
      </c>
      <c r="D39" s="5">
        <f>'побудинковий звіт'!CM354</f>
        <v>1881243.2870352964</v>
      </c>
      <c r="E39" s="5">
        <f t="shared" si="0"/>
        <v>524115.53360605147</v>
      </c>
      <c r="F39" s="262">
        <f t="shared" si="1"/>
        <v>1.3861946911642586</v>
      </c>
      <c r="G39" s="823">
        <f>'побудинковий звіт'!CL357</f>
        <v>720805.83305079828</v>
      </c>
      <c r="H39" s="823">
        <f>'побудинковий звіт'!CM357</f>
        <v>945274.680035281</v>
      </c>
      <c r="I39" s="36">
        <f t="shared" si="2"/>
        <v>224468.84698448272</v>
      </c>
      <c r="J39" s="660">
        <f>'побудинковий звіт'!CL358</f>
        <v>202855.6422940745</v>
      </c>
      <c r="K39" s="5">
        <f>'побудинковий звіт'!CM358</f>
        <v>306955.13752416661</v>
      </c>
      <c r="L39" s="55">
        <f t="shared" si="3"/>
        <v>104099.49523009211</v>
      </c>
      <c r="M39" s="823">
        <f>'побудинковий звіт'!CL359</f>
        <v>433466.27808437229</v>
      </c>
      <c r="N39" s="5">
        <f>'побудинковий звіт'!CM359</f>
        <v>629013.46947584883</v>
      </c>
      <c r="O39" s="55">
        <f t="shared" si="4"/>
        <v>195547.19139147655</v>
      </c>
      <c r="Q39" s="5">
        <v>128687</v>
      </c>
      <c r="R39" s="5">
        <v>112627</v>
      </c>
      <c r="S39" s="5">
        <v>128687</v>
      </c>
      <c r="T39" s="5">
        <v>111144</v>
      </c>
      <c r="U39" s="5">
        <v>128687</v>
      </c>
      <c r="V39" s="5">
        <v>111144</v>
      </c>
      <c r="W39" s="5">
        <v>128687</v>
      </c>
      <c r="X39" s="5">
        <v>111144</v>
      </c>
    </row>
    <row r="40" spans="1:24" ht="16.8" customHeight="1" x14ac:dyDescent="0.3">
      <c r="A40" s="257" t="s">
        <v>865</v>
      </c>
      <c r="B40" s="828" t="s">
        <v>20</v>
      </c>
      <c r="C40" s="922">
        <f>'побудинковий звіт'!DX354</f>
        <v>22192.799999999999</v>
      </c>
      <c r="D40" s="5">
        <v>0</v>
      </c>
      <c r="E40" s="5">
        <f t="shared" si="0"/>
        <v>-22192.799999999999</v>
      </c>
      <c r="F40" s="262"/>
      <c r="G40" s="823">
        <v>0</v>
      </c>
      <c r="H40" s="823">
        <v>0</v>
      </c>
      <c r="I40" s="36">
        <f t="shared" si="2"/>
        <v>0</v>
      </c>
      <c r="J40" s="660">
        <v>0</v>
      </c>
      <c r="K40" s="5">
        <v>0</v>
      </c>
      <c r="L40" s="55">
        <f t="shared" si="3"/>
        <v>0</v>
      </c>
      <c r="M40" s="823">
        <v>0</v>
      </c>
      <c r="N40" s="5">
        <v>0</v>
      </c>
      <c r="O40" s="55">
        <f t="shared" si="4"/>
        <v>0</v>
      </c>
      <c r="Q40" s="5"/>
      <c r="R40" s="5"/>
      <c r="S40" s="5"/>
      <c r="T40" s="5"/>
      <c r="U40" s="5"/>
      <c r="V40" s="5"/>
      <c r="W40" s="5"/>
      <c r="X40" s="5"/>
    </row>
    <row r="41" spans="1:24" ht="18" customHeight="1" thickBot="1" x14ac:dyDescent="0.35">
      <c r="A41" s="1051" t="s">
        <v>866</v>
      </c>
      <c r="B41" s="1070" t="s">
        <v>21</v>
      </c>
      <c r="C41" s="61">
        <f>C9+C18+C19+C20+C21+C22+C23+C31+C32+C33+C34+C35+C36+C37+C40</f>
        <v>63721927.096581742</v>
      </c>
      <c r="D41" s="1053">
        <f>D9+D18+D19+D20+D21+D22+D23+D31+D32+D33+D34+D35+D36+D37</f>
        <v>62178345.899170034</v>
      </c>
      <c r="E41" s="1053">
        <f t="shared" si="0"/>
        <v>-1543581.1974117085</v>
      </c>
      <c r="F41" s="1054">
        <f t="shared" si="1"/>
        <v>0.9757762944759637</v>
      </c>
      <c r="G41" s="1071">
        <f>G9+G18+G19+G20+G21+G22+G23+G31+G32+G33+G34+G35+G36+G37</f>
        <v>23969833.092628807</v>
      </c>
      <c r="H41" s="1071">
        <f>H9+H18+H19+H20+H21+H22+H23+H31+H32+H33+H34+H35+H36+H37</f>
        <v>23356566.192118615</v>
      </c>
      <c r="I41" s="1072">
        <f t="shared" si="2"/>
        <v>-613266.90051019192</v>
      </c>
      <c r="J41" s="61">
        <f>J9+J18+J19+J20+J21+J22+J23+J31+J32+J33+J34+J35+J36+J37</f>
        <v>19990335.640561707</v>
      </c>
      <c r="K41" s="1053">
        <f>K9+K18+K19+K20+K21+K22+K23+K31+K32+K33+K34+K35+K36+K37</f>
        <v>19976264.54374592</v>
      </c>
      <c r="L41" s="62">
        <f t="shared" si="3"/>
        <v>-14071.096815787256</v>
      </c>
      <c r="M41" s="1071">
        <f>M9+M18+M19+M20+M21+M22+M23+M31+M32+M33+M34+M35+M36+M37</f>
        <v>19739565.563391224</v>
      </c>
      <c r="N41" s="1053">
        <f>N9+N18+N19+N20+N21+N22+N23+N31+N32+N33+N34+N35+N36+N37</f>
        <v>18845515.163305525</v>
      </c>
      <c r="O41" s="62">
        <f t="shared" si="4"/>
        <v>-894050.40008569881</v>
      </c>
      <c r="Q41" s="9">
        <f t="shared" ref="Q41:V41" si="6">SUM(Q9:Q40)</f>
        <v>3518097</v>
      </c>
      <c r="R41" s="9">
        <f t="shared" si="6"/>
        <v>3505059</v>
      </c>
      <c r="S41" s="9">
        <f t="shared" si="6"/>
        <v>3518097</v>
      </c>
      <c r="T41" s="9">
        <f t="shared" si="6"/>
        <v>3439572</v>
      </c>
      <c r="U41" s="9">
        <f t="shared" si="6"/>
        <v>3518097</v>
      </c>
      <c r="V41" s="9">
        <f t="shared" si="6"/>
        <v>3439572</v>
      </c>
      <c r="W41" s="9">
        <f>SUM(W9:W40)</f>
        <v>39117051.054191276</v>
      </c>
      <c r="X41" s="9">
        <f>SUM(X9:X40)</f>
        <v>33261773.432282649</v>
      </c>
    </row>
    <row r="42" spans="1:24" ht="22.2" customHeight="1" thickBot="1" x14ac:dyDescent="0.35">
      <c r="A42" s="1081" t="s">
        <v>867</v>
      </c>
      <c r="B42" s="1082" t="s">
        <v>22</v>
      </c>
      <c r="C42" s="1083">
        <f>C41*1.2</f>
        <v>76466312.515898094</v>
      </c>
      <c r="D42" s="1084">
        <f>D41*1.2</f>
        <v>74614015.079004034</v>
      </c>
      <c r="E42" s="1084">
        <f t="shared" si="0"/>
        <v>-1852297.4368940592</v>
      </c>
      <c r="F42" s="1089">
        <f t="shared" si="1"/>
        <v>0.97577629447596359</v>
      </c>
      <c r="G42" s="1085">
        <f>G41*1.2</f>
        <v>28763799.711154569</v>
      </c>
      <c r="H42" s="1085">
        <f>H41*1.2</f>
        <v>28027879.430542339</v>
      </c>
      <c r="I42" s="1086">
        <f t="shared" si="2"/>
        <v>-735920.2806122303</v>
      </c>
      <c r="J42" s="1083">
        <f>J41*1.2</f>
        <v>23988402.76867405</v>
      </c>
      <c r="K42" s="1084">
        <f>K41*1.2</f>
        <v>23971517.452495102</v>
      </c>
      <c r="L42" s="1087">
        <f t="shared" si="3"/>
        <v>-16885.316178947687</v>
      </c>
      <c r="M42" s="1085">
        <f>M41*1.2</f>
        <v>23687478.676069468</v>
      </c>
      <c r="N42" s="1084">
        <f>N41*1.2</f>
        <v>22614618.195966627</v>
      </c>
      <c r="O42" s="1087">
        <f t="shared" si="4"/>
        <v>-1072860.4801028408</v>
      </c>
      <c r="Q42" s="5"/>
      <c r="R42" s="5"/>
      <c r="S42" s="5"/>
      <c r="T42" s="5"/>
      <c r="U42" s="5"/>
      <c r="V42" s="5"/>
      <c r="W42" s="5"/>
      <c r="X42" s="5"/>
    </row>
    <row r="43" spans="1:24" s="829" customFormat="1" ht="21.6" hidden="1" customHeight="1" x14ac:dyDescent="0.3">
      <c r="A43" s="1073" t="s">
        <v>868</v>
      </c>
      <c r="B43" s="1074" t="s">
        <v>1708</v>
      </c>
      <c r="C43" s="1075">
        <f>'побудинковий звіт'!DW354</f>
        <v>297492.95000000007</v>
      </c>
      <c r="D43" s="1076">
        <f>C43</f>
        <v>297492.95000000007</v>
      </c>
      <c r="E43" s="1076">
        <f t="shared" si="0"/>
        <v>0</v>
      </c>
      <c r="F43" s="1077">
        <f t="shared" si="1"/>
        <v>1</v>
      </c>
      <c r="G43" s="1078">
        <f>'побудинковий звіт'!DW357</f>
        <v>70543.350000000006</v>
      </c>
      <c r="H43" s="1076">
        <f>G43*F43</f>
        <v>70543.350000000006</v>
      </c>
      <c r="I43" s="1079"/>
      <c r="J43" s="1075">
        <f>'побудинковий звіт'!DW358</f>
        <v>139395.70000000001</v>
      </c>
      <c r="K43" s="1076">
        <f>J43*F43</f>
        <v>139395.70000000001</v>
      </c>
      <c r="L43" s="1080"/>
      <c r="M43" s="1078">
        <f>'побудинковий звіт'!DW359</f>
        <v>87553.9</v>
      </c>
      <c r="N43" s="1076">
        <f>M43*F43</f>
        <v>87553.9</v>
      </c>
      <c r="O43" s="1080"/>
      <c r="Q43" s="830"/>
      <c r="R43" s="830"/>
      <c r="S43" s="830"/>
      <c r="T43" s="830"/>
      <c r="U43" s="830"/>
      <c r="V43" s="830"/>
      <c r="W43" s="830"/>
      <c r="X43" s="830"/>
    </row>
    <row r="44" spans="1:24" s="839" customFormat="1" ht="21.6" hidden="1" customHeight="1" thickBot="1" x14ac:dyDescent="0.35">
      <c r="A44" s="831"/>
      <c r="B44" s="832" t="s">
        <v>1704</v>
      </c>
      <c r="C44" s="833">
        <f>'побудинковий звіт'!DI354</f>
        <v>0</v>
      </c>
      <c r="D44" s="834"/>
      <c r="E44" s="834"/>
      <c r="F44" s="835"/>
      <c r="G44" s="836">
        <f>'побудинковий звіт'!DI357</f>
        <v>0</v>
      </c>
      <c r="H44" s="834"/>
      <c r="I44" s="837"/>
      <c r="J44" s="833">
        <f>'побудинковий звіт'!DI358</f>
        <v>0</v>
      </c>
      <c r="K44" s="834"/>
      <c r="L44" s="838"/>
      <c r="M44" s="836">
        <f>'побудинковий звіт'!DI359</f>
        <v>0</v>
      </c>
      <c r="N44" s="834"/>
      <c r="O44" s="838"/>
      <c r="Q44" s="840"/>
      <c r="R44" s="840"/>
      <c r="S44" s="840"/>
      <c r="T44" s="840"/>
      <c r="U44" s="840"/>
      <c r="V44" s="840"/>
      <c r="W44" s="840"/>
      <c r="X44" s="840"/>
    </row>
    <row r="45" spans="1:24" ht="18.899999999999999" hidden="1" customHeight="1" thickBot="1" x14ac:dyDescent="0.35">
      <c r="A45" s="841"/>
      <c r="B45" s="842" t="s">
        <v>948</v>
      </c>
      <c r="C45" s="843">
        <f>C42+C43+C44</f>
        <v>76763805.465898097</v>
      </c>
      <c r="D45" s="844">
        <f>D42+D43+D44</f>
        <v>74911508.029004037</v>
      </c>
      <c r="E45" s="844">
        <f>D45-C45</f>
        <v>-1852297.4368940592</v>
      </c>
      <c r="F45" s="845">
        <f>D45/C45</f>
        <v>0.97587017181271796</v>
      </c>
      <c r="G45" s="843">
        <f>G42+G43+G44</f>
        <v>28834343.06115457</v>
      </c>
      <c r="H45" s="844">
        <f>H42+H43+H44</f>
        <v>28098422.78054234</v>
      </c>
      <c r="I45" s="844">
        <f>H45-G45</f>
        <v>-735920.2806122303</v>
      </c>
      <c r="J45" s="843">
        <f>J42+J43+J44</f>
        <v>24127798.468674049</v>
      </c>
      <c r="K45" s="844">
        <f>K42+K43+K44</f>
        <v>24110913.152495101</v>
      </c>
      <c r="L45" s="844">
        <f>K45-J45</f>
        <v>-16885.316178947687</v>
      </c>
      <c r="M45" s="843">
        <f>M42+M43+M44</f>
        <v>23775032.576069467</v>
      </c>
      <c r="N45" s="844">
        <f>N42+N43+N44</f>
        <v>22702172.095966626</v>
      </c>
      <c r="O45" s="846">
        <f>N45-M45</f>
        <v>-1072860.4801028408</v>
      </c>
      <c r="Q45" s="5"/>
      <c r="R45" s="5"/>
      <c r="S45" s="5"/>
      <c r="T45" s="5"/>
      <c r="U45" s="5"/>
      <c r="V45" s="5"/>
      <c r="W45" s="5"/>
      <c r="X45" s="5"/>
    </row>
    <row r="46" spans="1:24" ht="14.7" hidden="1" customHeight="1" x14ac:dyDescent="0.3">
      <c r="A46" s="847"/>
      <c r="B46" s="848" t="s">
        <v>872</v>
      </c>
      <c r="C46" s="849">
        <f>C44/C7</f>
        <v>0</v>
      </c>
      <c r="D46" s="850">
        <f>D44/C7</f>
        <v>0</v>
      </c>
      <c r="E46" s="850"/>
      <c r="F46" s="259" t="e">
        <f t="shared" si="1"/>
        <v>#DIV/0!</v>
      </c>
      <c r="G46" s="851">
        <f>G44/G7</f>
        <v>0</v>
      </c>
      <c r="H46" s="850">
        <f>H44/G7</f>
        <v>0</v>
      </c>
      <c r="I46" s="852"/>
      <c r="J46" s="849">
        <f>J44/J7</f>
        <v>0</v>
      </c>
      <c r="K46" s="850">
        <f>K44/J7</f>
        <v>0</v>
      </c>
      <c r="L46" s="853"/>
      <c r="M46" s="851">
        <f>M44/M7</f>
        <v>0</v>
      </c>
      <c r="N46" s="850">
        <f>N44/M7</f>
        <v>0</v>
      </c>
      <c r="O46" s="853"/>
      <c r="Q46" s="5"/>
      <c r="R46" s="5"/>
      <c r="S46" s="5"/>
      <c r="T46" s="5"/>
      <c r="U46" s="5"/>
      <c r="V46" s="5"/>
      <c r="W46" s="5"/>
      <c r="X46" s="5"/>
    </row>
    <row r="47" spans="1:24" s="272" customFormat="1" ht="14.4" hidden="1" x14ac:dyDescent="0.3">
      <c r="A47" s="854"/>
      <c r="B47" s="855" t="s">
        <v>1065</v>
      </c>
      <c r="C47" s="856">
        <f>C42/C7/9</f>
        <v>8.5461450680456164</v>
      </c>
      <c r="D47" s="857">
        <f>D42/C7/9</f>
        <v>8.3391257665515823</v>
      </c>
      <c r="E47" s="858"/>
      <c r="F47" s="859"/>
      <c r="G47" s="860">
        <f>G42/G7/9</f>
        <v>9.4446815025949888</v>
      </c>
      <c r="H47" s="861">
        <f>H42/G7/9</f>
        <v>9.2030398303722674</v>
      </c>
      <c r="I47" s="855"/>
      <c r="J47" s="862">
        <f>J42/J7</f>
        <v>70.053750394787642</v>
      </c>
      <c r="K47" s="861">
        <f>K42/J7</f>
        <v>70.004439911870378</v>
      </c>
      <c r="L47" s="859"/>
      <c r="M47" s="860">
        <f>M42/M7</f>
        <v>75.595564898980797</v>
      </c>
      <c r="N47" s="861">
        <f>N42/M7</f>
        <v>72.17166760875962</v>
      </c>
      <c r="O47" s="859"/>
      <c r="Q47" s="863"/>
      <c r="R47" s="863"/>
      <c r="S47" s="863"/>
      <c r="T47" s="863"/>
      <c r="U47" s="863"/>
      <c r="V47" s="863"/>
      <c r="W47" s="863"/>
      <c r="X47" s="863"/>
    </row>
    <row r="48" spans="1:24" s="4" customFormat="1" ht="14.4" hidden="1" x14ac:dyDescent="0.3">
      <c r="A48" s="864"/>
      <c r="B48" s="865" t="s">
        <v>1067</v>
      </c>
      <c r="C48" s="1141">
        <f>C47*C49+C47</f>
        <v>8.8015451572952692</v>
      </c>
      <c r="D48" s="1142"/>
      <c r="E48" s="30"/>
      <c r="F48" s="866"/>
      <c r="G48" s="1149">
        <f>G47*1.05</f>
        <v>9.9169155777247386</v>
      </c>
      <c r="H48" s="1150"/>
      <c r="I48" s="865"/>
      <c r="J48" s="1153">
        <f>J47*1.05</f>
        <v>73.556437914527024</v>
      </c>
      <c r="K48" s="1150"/>
      <c r="L48" s="866"/>
      <c r="M48" s="1149">
        <f>M47*1.05</f>
        <v>79.37534314392984</v>
      </c>
      <c r="N48" s="1150"/>
      <c r="O48" s="866"/>
      <c r="Q48" s="9"/>
      <c r="R48" s="9"/>
      <c r="S48" s="9"/>
      <c r="T48" s="9"/>
      <c r="U48" s="9"/>
      <c r="V48" s="9"/>
      <c r="W48" s="9"/>
      <c r="X48" s="9"/>
    </row>
    <row r="49" spans="1:24" ht="14.4" hidden="1" thickBot="1" x14ac:dyDescent="0.35">
      <c r="A49" s="867"/>
      <c r="B49" s="812" t="s">
        <v>1066</v>
      </c>
      <c r="C49" s="868">
        <f>C52/C42-100%</f>
        <v>2.9884829618046727E-2</v>
      </c>
      <c r="D49" s="869">
        <f>C48/D47-100%</f>
        <v>5.5451782799398552E-2</v>
      </c>
      <c r="E49" s="870"/>
      <c r="F49" s="814"/>
      <c r="G49" s="871">
        <f>G48/G47-100%</f>
        <v>5.0000000000000044E-2</v>
      </c>
      <c r="H49" s="872">
        <f>G48/H47-100%</f>
        <v>7.7569559679238509E-2</v>
      </c>
      <c r="I49" s="812"/>
      <c r="J49" s="873">
        <f>J48/J47-100%</f>
        <v>5.0000000000000044E-2</v>
      </c>
      <c r="K49" s="872">
        <f>J48/K47-100%</f>
        <v>5.0739610332263263E-2</v>
      </c>
      <c r="L49" s="814"/>
      <c r="M49" s="871">
        <f>M48/M47-100%</f>
        <v>5.0000000000000044E-2</v>
      </c>
      <c r="N49" s="872">
        <f>M48/N47-100%</f>
        <v>9.9813067563037539E-2</v>
      </c>
      <c r="O49" s="814"/>
      <c r="Q49" s="5"/>
      <c r="R49" s="5"/>
      <c r="S49" s="5"/>
      <c r="T49" s="5"/>
      <c r="U49" s="5"/>
      <c r="V49" s="5"/>
      <c r="W49" s="5"/>
      <c r="X49" s="5"/>
    </row>
    <row r="50" spans="1:24" ht="18" customHeight="1" x14ac:dyDescent="0.3">
      <c r="C50" s="874"/>
      <c r="D50" s="875"/>
      <c r="I50" s="1088">
        <f>H42/G42</f>
        <v>0.97441505336560796</v>
      </c>
      <c r="J50" s="155"/>
      <c r="K50" s="155"/>
      <c r="L50" s="1088">
        <f>K42/J42</f>
        <v>0.99929610502450805</v>
      </c>
      <c r="M50" s="155"/>
      <c r="N50" s="155"/>
      <c r="O50" s="1088">
        <f>N42/M42</f>
        <v>0.95470769621476392</v>
      </c>
    </row>
    <row r="51" spans="1:24" ht="15.6" x14ac:dyDescent="0.3">
      <c r="B51" s="876" t="s">
        <v>1104</v>
      </c>
      <c r="C51" s="877">
        <f>'побудинковий звіт'!CX354</f>
        <v>2311814.0810579555</v>
      </c>
      <c r="D51" s="6"/>
      <c r="E51" s="6"/>
      <c r="F51" s="6"/>
    </row>
    <row r="52" spans="1:24" ht="15.6" x14ac:dyDescent="0.3">
      <c r="B52" s="876" t="s">
        <v>1105</v>
      </c>
      <c r="C52" s="9">
        <f>'побудинковий звіт'!CX355</f>
        <v>78751495.236956015</v>
      </c>
      <c r="D52" s="6"/>
      <c r="E52" s="6"/>
      <c r="F52" s="6"/>
    </row>
    <row r="53" spans="1:24" ht="15.6" x14ac:dyDescent="0.3">
      <c r="B53" s="6"/>
      <c r="C53" s="10"/>
      <c r="D53" s="6"/>
      <c r="E53" s="6"/>
      <c r="F53" s="6"/>
    </row>
    <row r="54" spans="1:24" s="4" customFormat="1" ht="18.45" customHeight="1" x14ac:dyDescent="0.3">
      <c r="A54" s="30"/>
      <c r="B54" s="30" t="s">
        <v>1778</v>
      </c>
      <c r="C54" s="265">
        <f>(C22+C23)*1.2</f>
        <v>22137062.526944816</v>
      </c>
      <c r="D54" s="265">
        <f>(D22+D23)*1.2</f>
        <v>16153867.784836583</v>
      </c>
      <c r="E54" s="265">
        <f>D54-C54</f>
        <v>-5983194.7421082333</v>
      </c>
      <c r="F54" s="329">
        <f t="shared" ref="F54" si="7">D54/C54</f>
        <v>0.72972047511608185</v>
      </c>
      <c r="G54" s="1092">
        <f>(G22+G23)*1.2</f>
        <v>7510766.0734090293</v>
      </c>
      <c r="H54" s="265">
        <f>(H22+H23)*1.2</f>
        <v>6369910.8508183602</v>
      </c>
      <c r="I54" s="265">
        <f>H54-G54</f>
        <v>-1140855.2225906691</v>
      </c>
      <c r="J54" s="265">
        <f>(J22+J23)*1.2</f>
        <v>6696386.3743827352</v>
      </c>
      <c r="K54" s="265">
        <f>(K22+K23)*1.2</f>
        <v>4573020.5268722447</v>
      </c>
      <c r="L54" s="265">
        <f>K54-J54</f>
        <v>-2123365.8475104906</v>
      </c>
      <c r="M54" s="265">
        <f>(M22+M23)*1.2</f>
        <v>7929910.0791530525</v>
      </c>
      <c r="N54" s="265">
        <f>(N22+N23)*1.2</f>
        <v>5210936.4071459789</v>
      </c>
      <c r="O54" s="265">
        <f>N54-M54</f>
        <v>-2718973.6720070736</v>
      </c>
      <c r="Q54" s="53"/>
      <c r="R54" s="53"/>
      <c r="S54" s="53"/>
      <c r="T54" s="53"/>
      <c r="U54" s="53"/>
      <c r="V54" s="53"/>
      <c r="W54" s="53"/>
      <c r="X54" s="53"/>
    </row>
    <row r="61" spans="1:24" x14ac:dyDescent="0.3">
      <c r="B61" s="1" t="s">
        <v>1114</v>
      </c>
    </row>
    <row r="62" spans="1:24" x14ac:dyDescent="0.3">
      <c r="B62" s="336">
        <v>45687</v>
      </c>
    </row>
  </sheetData>
  <mergeCells count="17">
    <mergeCell ref="W5:X5"/>
    <mergeCell ref="Q5:R5"/>
    <mergeCell ref="S5:T5"/>
    <mergeCell ref="U5:V5"/>
    <mergeCell ref="B5:B6"/>
    <mergeCell ref="A5:A6"/>
    <mergeCell ref="C7:E7"/>
    <mergeCell ref="C48:D48"/>
    <mergeCell ref="M5:O5"/>
    <mergeCell ref="M7:O7"/>
    <mergeCell ref="M48:N48"/>
    <mergeCell ref="G48:H48"/>
    <mergeCell ref="G5:I5"/>
    <mergeCell ref="G7:I7"/>
    <mergeCell ref="J5:L5"/>
    <mergeCell ref="J7:L7"/>
    <mergeCell ref="J48:K48"/>
  </mergeCells>
  <pageMargins left="0.51181102362204722" right="0.11811023622047245" top="0.15748031496062992" bottom="0.15748031496062992" header="0.31496062992125984" footer="0.31496062992125984"/>
  <pageSetup paperSize="9" scale="80" orientation="portrait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N379"/>
  <sheetViews>
    <sheetView topLeftCell="F1" workbookViewId="0">
      <selection activeCell="N7" sqref="N7"/>
    </sheetView>
  </sheetViews>
  <sheetFormatPr defaultColWidth="8.88671875" defaultRowHeight="13.8" x14ac:dyDescent="0.3"/>
  <cols>
    <col min="1" max="1" width="8.88671875" style="1" customWidth="1"/>
    <col min="2" max="2" width="34.44140625" style="1" customWidth="1"/>
    <col min="3" max="3" width="6.109375" style="150" customWidth="1"/>
    <col min="4" max="4" width="11.33203125" style="331" customWidth="1"/>
    <col min="5" max="7" width="8.109375" style="331" customWidth="1"/>
    <col min="8" max="10" width="8.109375" style="332" customWidth="1"/>
    <col min="11" max="11" width="8.109375" style="289" customWidth="1"/>
    <col min="12" max="12" width="11.5546875" style="335" customWidth="1"/>
    <col min="13" max="13" width="11" style="1" customWidth="1"/>
    <col min="14" max="14" width="12.109375" style="1" customWidth="1"/>
    <col min="15" max="16384" width="8.88671875" style="1"/>
  </cols>
  <sheetData>
    <row r="1" spans="1:14" x14ac:dyDescent="0.3">
      <c r="A1" s="1" t="s">
        <v>0</v>
      </c>
    </row>
    <row r="3" spans="1:14" ht="15.6" x14ac:dyDescent="0.3">
      <c r="A3" s="6" t="s">
        <v>1082</v>
      </c>
      <c r="I3" s="557" t="str">
        <f>місяць!A2</f>
        <v>2024 рік</v>
      </c>
      <c r="J3" s="558">
        <v>2022</v>
      </c>
    </row>
    <row r="5" spans="1:14" ht="15" thickBot="1" x14ac:dyDescent="0.35">
      <c r="C5" s="337"/>
      <c r="L5" s="1418" t="s">
        <v>1700</v>
      </c>
      <c r="M5" s="1419"/>
    </row>
    <row r="6" spans="1:14" ht="28.5" customHeight="1" x14ac:dyDescent="0.3">
      <c r="A6" s="1228" t="s">
        <v>821</v>
      </c>
      <c r="B6" s="1231" t="s">
        <v>1</v>
      </c>
      <c r="C6" s="1420" t="s">
        <v>2</v>
      </c>
      <c r="D6" s="1422" t="s">
        <v>1108</v>
      </c>
      <c r="E6" s="1423"/>
      <c r="F6" s="1423"/>
      <c r="G6" s="1424"/>
      <c r="H6" s="1425" t="s">
        <v>1111</v>
      </c>
      <c r="I6" s="1426"/>
      <c r="J6" s="1426"/>
      <c r="K6" s="1427"/>
      <c r="L6" s="1428" t="s">
        <v>1112</v>
      </c>
      <c r="M6" s="1416" t="s">
        <v>1113</v>
      </c>
    </row>
    <row r="7" spans="1:14" ht="29.7" customHeight="1" thickBot="1" x14ac:dyDescent="0.35">
      <c r="A7" s="1230"/>
      <c r="B7" s="1233"/>
      <c r="C7" s="1421"/>
      <c r="D7" s="346" t="s">
        <v>439</v>
      </c>
      <c r="E7" s="341" t="s">
        <v>440</v>
      </c>
      <c r="F7" s="341" t="s">
        <v>1109</v>
      </c>
      <c r="G7" s="347" t="s">
        <v>1110</v>
      </c>
      <c r="H7" s="343" t="s">
        <v>439</v>
      </c>
      <c r="I7" s="342" t="s">
        <v>440</v>
      </c>
      <c r="J7" s="342" t="s">
        <v>1109</v>
      </c>
      <c r="K7" s="352" t="s">
        <v>1110</v>
      </c>
      <c r="L7" s="1429"/>
      <c r="M7" s="1417"/>
    </row>
    <row r="8" spans="1:14" ht="20.100000000000001" customHeight="1" x14ac:dyDescent="0.3">
      <c r="A8" s="357" t="s">
        <v>457</v>
      </c>
      <c r="B8" s="338" t="s">
        <v>146</v>
      </c>
      <c r="C8" s="358">
        <v>2</v>
      </c>
      <c r="D8" s="348">
        <f>'побудинковий звіт'!CU9</f>
        <v>26968.346163986967</v>
      </c>
      <c r="E8" s="339">
        <f>'побудинковий звіт'!CV9</f>
        <v>29348.977866211131</v>
      </c>
      <c r="F8" s="339">
        <f>E8-D8</f>
        <v>2380.6317022241637</v>
      </c>
      <c r="G8" s="349">
        <f>E8/D8</f>
        <v>1.0882750350261825</v>
      </c>
      <c r="H8" s="344">
        <f>('побудинковий звіт'!AS9+'побудинковий звіт'!BQ9)*1.2</f>
        <v>9602.5776348958061</v>
      </c>
      <c r="I8" s="340">
        <f>('побудинковий звіт'!AT9+'побудинковий звіт'!BR9)*1.2</f>
        <v>298.19129671003691</v>
      </c>
      <c r="J8" s="340">
        <f>I8-H8</f>
        <v>-9304.38633818577</v>
      </c>
      <c r="K8" s="353">
        <f>I8/H8</f>
        <v>3.1053255495317064E-2</v>
      </c>
      <c r="L8" s="355">
        <f>'побудинковий звіт'!DE9</f>
        <v>861.79999999999973</v>
      </c>
      <c r="M8" s="362">
        <f>'побудинковий звіт'!DA9*-1</f>
        <v>-21000.690439034672</v>
      </c>
    </row>
    <row r="9" spans="1:14" ht="20.100000000000001" customHeight="1" x14ac:dyDescent="0.3">
      <c r="A9" s="359" t="s">
        <v>458</v>
      </c>
      <c r="B9" s="298" t="s">
        <v>239</v>
      </c>
      <c r="C9" s="360">
        <v>5</v>
      </c>
      <c r="D9" s="350">
        <f>'побудинковий звіт'!CU10</f>
        <v>129708.13250720662</v>
      </c>
      <c r="E9" s="334">
        <f>'побудинковий звіт'!CV10</f>
        <v>117828.61180727296</v>
      </c>
      <c r="F9" s="334">
        <f t="shared" ref="F9:F64" si="0">E9-D9</f>
        <v>-11879.520699933666</v>
      </c>
      <c r="G9" s="351">
        <f t="shared" ref="G9:G64" si="1">E9/D9</f>
        <v>0.90841344740451313</v>
      </c>
      <c r="H9" s="345">
        <f>('побудинковий звіт'!AS10+'побудинковий звіт'!BQ10)*1.2</f>
        <v>41992.798314049083</v>
      </c>
      <c r="I9" s="333">
        <f>('побудинковий звіт'!AT10+'побудинковий звіт'!BR10)*1.2</f>
        <v>17956.992778972239</v>
      </c>
      <c r="J9" s="333">
        <f t="shared" ref="J9:J64" si="2">I9-H9</f>
        <v>-24035.805535076845</v>
      </c>
      <c r="K9" s="354">
        <f t="shared" ref="K9:K64" si="3">I9/H9</f>
        <v>0.42762077070164095</v>
      </c>
      <c r="L9" s="356">
        <f>'побудинковий звіт'!DE10</f>
        <v>13963.250000000002</v>
      </c>
      <c r="M9" s="363">
        <f>'побудинковий звіт'!DA10*-1</f>
        <v>-6140.8802858769195</v>
      </c>
    </row>
    <row r="10" spans="1:14" ht="20.100000000000001" customHeight="1" x14ac:dyDescent="0.3">
      <c r="A10" s="359" t="s">
        <v>459</v>
      </c>
      <c r="B10" s="298" t="s">
        <v>240</v>
      </c>
      <c r="C10" s="360">
        <v>5</v>
      </c>
      <c r="D10" s="350">
        <f>'побудинковий звіт'!CU11</f>
        <v>209144.67371048083</v>
      </c>
      <c r="E10" s="334">
        <f>'побудинковий звіт'!CV11</f>
        <v>163307.36055045461</v>
      </c>
      <c r="F10" s="334">
        <f t="shared" si="0"/>
        <v>-45837.313160026213</v>
      </c>
      <c r="G10" s="351">
        <f t="shared" si="1"/>
        <v>0.78083442266629821</v>
      </c>
      <c r="H10" s="345">
        <f>('побудинковий звіт'!AS11+'побудинковий звіт'!BQ11)*1.2</f>
        <v>72201.377437180854</v>
      </c>
      <c r="I10" s="333">
        <f>('побудинковий звіт'!AT11+'побудинковий звіт'!BR11)*1.2</f>
        <v>8566.5745057898039</v>
      </c>
      <c r="J10" s="333">
        <f t="shared" si="2"/>
        <v>-63634.802931391052</v>
      </c>
      <c r="K10" s="354">
        <f t="shared" si="3"/>
        <v>0.11864835284123482</v>
      </c>
      <c r="L10" s="356">
        <f>'побудинковий звіт'!DE11</f>
        <v>49485.45</v>
      </c>
      <c r="M10" s="363">
        <f>'побудинковий звіт'!DA11*-1</f>
        <v>-48694.698266782987</v>
      </c>
    </row>
    <row r="11" spans="1:14" ht="20.100000000000001" customHeight="1" x14ac:dyDescent="0.3">
      <c r="A11" s="359" t="s">
        <v>460</v>
      </c>
      <c r="B11" s="298" t="s">
        <v>338</v>
      </c>
      <c r="C11" s="360">
        <v>9</v>
      </c>
      <c r="D11" s="350">
        <f>'побудинковий звіт'!CU12</f>
        <v>555588.94335095817</v>
      </c>
      <c r="E11" s="334">
        <f>'побудинковий звіт'!CV12</f>
        <v>387792.15971176611</v>
      </c>
      <c r="F11" s="334">
        <f t="shared" si="0"/>
        <v>-167796.78363919206</v>
      </c>
      <c r="G11" s="351">
        <f t="shared" si="1"/>
        <v>0.69798394002020836</v>
      </c>
      <c r="H11" s="345">
        <f>('побудинковий звіт'!AS12+'побудинковий звіт'!BQ12)*1.2</f>
        <v>193341.83002199445</v>
      </c>
      <c r="I11" s="333">
        <f>('побудинковий звіт'!AT12+'побудинковий звіт'!BR12)*1.2</f>
        <v>22713.689260714513</v>
      </c>
      <c r="J11" s="333">
        <f t="shared" si="2"/>
        <v>-170628.14076127994</v>
      </c>
      <c r="K11" s="354">
        <f t="shared" si="3"/>
        <v>0.11747943659233295</v>
      </c>
      <c r="L11" s="356">
        <f>'побудинковий звіт'!DE12</f>
        <v>86470.080000000002</v>
      </c>
      <c r="M11" s="364">
        <f>'побудинковий звіт'!DA12*-1</f>
        <v>-8076.5401423990843</v>
      </c>
      <c r="N11" s="151"/>
    </row>
    <row r="12" spans="1:14" ht="20.100000000000001" customHeight="1" x14ac:dyDescent="0.3">
      <c r="A12" s="359" t="s">
        <v>461</v>
      </c>
      <c r="B12" s="298" t="s">
        <v>339</v>
      </c>
      <c r="C12" s="360">
        <v>9</v>
      </c>
      <c r="D12" s="350">
        <f>'побудинковий звіт'!CU13</f>
        <v>554213.33269766043</v>
      </c>
      <c r="E12" s="334">
        <f>'побудинковий звіт'!CV13</f>
        <v>450451.09311692382</v>
      </c>
      <c r="F12" s="334">
        <f t="shared" si="0"/>
        <v>-103762.23958073661</v>
      </c>
      <c r="G12" s="351">
        <f t="shared" si="1"/>
        <v>0.81277563447333745</v>
      </c>
      <c r="H12" s="345">
        <f>('побудинковий звіт'!AS13+'побудинковий звіт'!BQ13)*1.2</f>
        <v>196249.49210575401</v>
      </c>
      <c r="I12" s="333">
        <f>('побудинковий звіт'!AT13+'побудинковий звіт'!BR13)*1.2</f>
        <v>60025.597366380578</v>
      </c>
      <c r="J12" s="333">
        <f t="shared" si="2"/>
        <v>-136223.89473937341</v>
      </c>
      <c r="K12" s="354">
        <f t="shared" si="3"/>
        <v>0.3058637080906903</v>
      </c>
      <c r="L12" s="356">
        <f>'побудинковий звіт'!DE13</f>
        <v>78089.420000000013</v>
      </c>
      <c r="M12" s="363">
        <f>'побудинковий звіт'!DA13*-1</f>
        <v>65251.854440279916</v>
      </c>
    </row>
    <row r="13" spans="1:14" ht="20.100000000000001" customHeight="1" x14ac:dyDescent="0.3">
      <c r="A13" s="359" t="s">
        <v>462</v>
      </c>
      <c r="B13" s="298" t="s">
        <v>33</v>
      </c>
      <c r="C13" s="360">
        <v>1</v>
      </c>
      <c r="D13" s="350" t="e">
        <f>'побудинковий звіт'!#REF!</f>
        <v>#REF!</v>
      </c>
      <c r="E13" s="334" t="e">
        <f>'побудинковий звіт'!#REF!</f>
        <v>#REF!</v>
      </c>
      <c r="F13" s="334" t="e">
        <f t="shared" si="0"/>
        <v>#REF!</v>
      </c>
      <c r="G13" s="351" t="e">
        <f t="shared" si="1"/>
        <v>#REF!</v>
      </c>
      <c r="H13" s="345" t="e">
        <f>('побудинковий звіт'!#REF!+'побудинковий звіт'!#REF!)*1.2</f>
        <v>#REF!</v>
      </c>
      <c r="I13" s="333" t="e">
        <f>('побудинковий звіт'!#REF!+'побудинковий звіт'!#REF!)*1.2</f>
        <v>#REF!</v>
      </c>
      <c r="J13" s="333" t="e">
        <f t="shared" si="2"/>
        <v>#REF!</v>
      </c>
      <c r="K13" s="354" t="e">
        <f t="shared" si="3"/>
        <v>#REF!</v>
      </c>
      <c r="L13" s="356" t="e">
        <f>'побудинковий звіт'!#REF!</f>
        <v>#REF!</v>
      </c>
      <c r="M13" s="363" t="e">
        <f>'побудинковий звіт'!#REF!*-1</f>
        <v>#REF!</v>
      </c>
    </row>
    <row r="14" spans="1:14" ht="20.100000000000001" customHeight="1" x14ac:dyDescent="0.3">
      <c r="A14" s="359" t="s">
        <v>463</v>
      </c>
      <c r="B14" s="298" t="s">
        <v>340</v>
      </c>
      <c r="C14" s="360">
        <v>9</v>
      </c>
      <c r="D14" s="350">
        <f>'побудинковий звіт'!CU14</f>
        <v>212210.90153816409</v>
      </c>
      <c r="E14" s="334">
        <f>'побудинковий звіт'!CV14</f>
        <v>233765.96403102411</v>
      </c>
      <c r="F14" s="334">
        <f t="shared" si="0"/>
        <v>21555.062492860015</v>
      </c>
      <c r="G14" s="351">
        <f t="shared" si="1"/>
        <v>1.1015737756007014</v>
      </c>
      <c r="H14" s="345">
        <f>('побудинковий звіт'!AS14+'побудинковий звіт'!BQ14)*1.2</f>
        <v>63144.771211764149</v>
      </c>
      <c r="I14" s="333">
        <f>('побудинковий звіт'!AT14+'побудинковий звіт'!BR14)*1.2</f>
        <v>66235.823536823431</v>
      </c>
      <c r="J14" s="333">
        <f t="shared" si="2"/>
        <v>3091.0523250592814</v>
      </c>
      <c r="K14" s="354">
        <f t="shared" si="3"/>
        <v>1.0489518334731633</v>
      </c>
      <c r="L14" s="356">
        <f>'побудинковий звіт'!DE14</f>
        <v>24035.340000000004</v>
      </c>
      <c r="M14" s="363">
        <f>'побудинковий звіт'!DA14*-1</f>
        <v>-71499.313080982727</v>
      </c>
    </row>
    <row r="15" spans="1:14" ht="20.100000000000001" customHeight="1" x14ac:dyDescent="0.3">
      <c r="A15" s="359" t="s">
        <v>464</v>
      </c>
      <c r="B15" s="298" t="s">
        <v>147</v>
      </c>
      <c r="C15" s="360">
        <v>2</v>
      </c>
      <c r="D15" s="350">
        <f>'побудинковий звіт'!CU15</f>
        <v>168270.16145840927</v>
      </c>
      <c r="E15" s="334">
        <f>'побудинковий звіт'!CV15</f>
        <v>139725.72779140205</v>
      </c>
      <c r="F15" s="334">
        <f t="shared" si="0"/>
        <v>-28544.433667007223</v>
      </c>
      <c r="G15" s="351">
        <f t="shared" si="1"/>
        <v>0.83036544673392709</v>
      </c>
      <c r="H15" s="345">
        <f>('побудинковий звіт'!AS15+'побудинковий звіт'!BQ15)*1.2</f>
        <v>54251.41273848436</v>
      </c>
      <c r="I15" s="333">
        <f>('побудинковий звіт'!AT15+'побудинковий звіт'!BR15)*1.2</f>
        <v>3937.5613865354312</v>
      </c>
      <c r="J15" s="333">
        <f t="shared" si="2"/>
        <v>-50313.851351948928</v>
      </c>
      <c r="K15" s="354">
        <f t="shared" si="3"/>
        <v>7.257988663845874E-2</v>
      </c>
      <c r="L15" s="356">
        <f>'побудинковий звіт'!DE15</f>
        <v>22942.7</v>
      </c>
      <c r="M15" s="363">
        <f>'побудинковий звіт'!DA15*-1</f>
        <v>-62762.51532301752</v>
      </c>
    </row>
    <row r="16" spans="1:14" ht="20.100000000000001" customHeight="1" x14ac:dyDescent="0.3">
      <c r="A16" s="359" t="s">
        <v>465</v>
      </c>
      <c r="B16" s="298" t="s">
        <v>148</v>
      </c>
      <c r="C16" s="360">
        <v>2</v>
      </c>
      <c r="D16" s="350">
        <f>'побудинковий звіт'!CU16</f>
        <v>121246.52978492279</v>
      </c>
      <c r="E16" s="334">
        <f>'побудинковий звіт'!CV16</f>
        <v>98235.541674575739</v>
      </c>
      <c r="F16" s="334">
        <f t="shared" si="0"/>
        <v>-23010.988110347054</v>
      </c>
      <c r="G16" s="351">
        <f t="shared" si="1"/>
        <v>0.81021322299973564</v>
      </c>
      <c r="H16" s="345">
        <f>('побудинковий звіт'!AS16+'побудинковий звіт'!BQ16)*1.2</f>
        <v>37963.413955800148</v>
      </c>
      <c r="I16" s="333">
        <f>('побудинковий звіт'!AT16+'побудинковий звіт'!BR16)*1.2</f>
        <v>5507.9532950703324</v>
      </c>
      <c r="J16" s="333">
        <f t="shared" si="2"/>
        <v>-32455.460660729816</v>
      </c>
      <c r="K16" s="354">
        <f t="shared" si="3"/>
        <v>0.14508582661936317</v>
      </c>
      <c r="L16" s="356">
        <f>'побудинковий звіт'!DE16</f>
        <v>52677.03</v>
      </c>
      <c r="M16" s="363">
        <f>'побудинковий звіт'!DA16*-1</f>
        <v>-216081.15955765406</v>
      </c>
    </row>
    <row r="17" spans="1:13" ht="20.100000000000001" customHeight="1" x14ac:dyDescent="0.3">
      <c r="A17" s="359" t="s">
        <v>466</v>
      </c>
      <c r="B17" s="298" t="s">
        <v>241</v>
      </c>
      <c r="C17" s="360">
        <v>5</v>
      </c>
      <c r="D17" s="350">
        <f>'побудинковий звіт'!CU17</f>
        <v>161901.83793698589</v>
      </c>
      <c r="E17" s="334">
        <f>'побудинковий звіт'!CV17</f>
        <v>173644.48915169187</v>
      </c>
      <c r="F17" s="334">
        <f t="shared" si="0"/>
        <v>11742.651214705984</v>
      </c>
      <c r="G17" s="351">
        <f t="shared" si="1"/>
        <v>1.0725294497229634</v>
      </c>
      <c r="H17" s="345">
        <f>('побудинковий звіт'!AS17+'побудинковий звіт'!BQ17)*1.2</f>
        <v>57910.042925403999</v>
      </c>
      <c r="I17" s="333">
        <f>('побудинковий звіт'!AT17+'побудинковий звіт'!BR17)*1.2</f>
        <v>55741.25814198544</v>
      </c>
      <c r="J17" s="333">
        <f t="shared" si="2"/>
        <v>-2168.7847834185595</v>
      </c>
      <c r="K17" s="354">
        <f t="shared" si="3"/>
        <v>0.96254907311651883</v>
      </c>
      <c r="L17" s="356">
        <f>'побудинковий звіт'!DE17</f>
        <v>51571.32</v>
      </c>
      <c r="M17" s="363">
        <f>'побудинковий звіт'!DA17*-1</f>
        <v>-45563.858006817543</v>
      </c>
    </row>
    <row r="18" spans="1:13" ht="20.100000000000001" customHeight="1" x14ac:dyDescent="0.3">
      <c r="A18" s="359" t="s">
        <v>467</v>
      </c>
      <c r="B18" s="298" t="s">
        <v>192</v>
      </c>
      <c r="C18" s="360">
        <v>3</v>
      </c>
      <c r="D18" s="350">
        <f>'побудинковий звіт'!CU18</f>
        <v>233297.99291824654</v>
      </c>
      <c r="E18" s="334">
        <f>'побудинковий звіт'!CV18</f>
        <v>209193.77121596038</v>
      </c>
      <c r="F18" s="334">
        <f t="shared" si="0"/>
        <v>-24104.221702286159</v>
      </c>
      <c r="G18" s="351">
        <f t="shared" si="1"/>
        <v>0.89668054405108888</v>
      </c>
      <c r="H18" s="345">
        <f>('побудинковий звіт'!AS18+'побудинковий звіт'!BQ18)*1.2</f>
        <v>84544.418142469658</v>
      </c>
      <c r="I18" s="333">
        <f>('побудинковий звіт'!AT18+'побудинковий звіт'!BR18)*1.2</f>
        <v>34262.852863562519</v>
      </c>
      <c r="J18" s="333">
        <f t="shared" si="2"/>
        <v>-50281.565278907139</v>
      </c>
      <c r="K18" s="354">
        <f t="shared" si="3"/>
        <v>0.40526451794634888</v>
      </c>
      <c r="L18" s="356">
        <f>'побудинковий звіт'!DE18</f>
        <v>26620.910000000003</v>
      </c>
      <c r="M18" s="363">
        <f>'побудинковий звіт'!DA18*-1</f>
        <v>14014.311186191713</v>
      </c>
    </row>
    <row r="19" spans="1:13" ht="20.100000000000001" customHeight="1" x14ac:dyDescent="0.3">
      <c r="A19" s="359" t="s">
        <v>468</v>
      </c>
      <c r="B19" s="298" t="s">
        <v>37</v>
      </c>
      <c r="C19" s="360">
        <v>1</v>
      </c>
      <c r="D19" s="350">
        <f>'побудинковий звіт'!CU19</f>
        <v>222509.32702119488</v>
      </c>
      <c r="E19" s="334">
        <f>'побудинковий звіт'!CV19</f>
        <v>194272.85042136777</v>
      </c>
      <c r="F19" s="334">
        <f t="shared" si="0"/>
        <v>-28236.476599827118</v>
      </c>
      <c r="G19" s="351">
        <f t="shared" si="1"/>
        <v>0.87309980674591015</v>
      </c>
      <c r="H19" s="345">
        <f>('побудинковий звіт'!AS19+'побудинковий звіт'!BQ19)*1.2</f>
        <v>68142.133496130002</v>
      </c>
      <c r="I19" s="333">
        <f>('побудинковий звіт'!AT19+'побудинковий звіт'!BR19)*1.2</f>
        <v>11451.233177162872</v>
      </c>
      <c r="J19" s="333">
        <f t="shared" si="2"/>
        <v>-56690.900318967128</v>
      </c>
      <c r="K19" s="354">
        <f t="shared" si="3"/>
        <v>0.16804923165214988</v>
      </c>
      <c r="L19" s="356">
        <f>'побудинковий звіт'!DE19</f>
        <v>40616.520000000004</v>
      </c>
      <c r="M19" s="363">
        <f>'побудинковий звіт'!DA19*-1</f>
        <v>-267651.02133929834</v>
      </c>
    </row>
    <row r="20" spans="1:13" ht="20.100000000000001" customHeight="1" x14ac:dyDescent="0.3">
      <c r="A20" s="359" t="s">
        <v>469</v>
      </c>
      <c r="B20" s="298" t="s">
        <v>242</v>
      </c>
      <c r="C20" s="360">
        <v>5</v>
      </c>
      <c r="D20" s="350">
        <f>'побудинковий звіт'!CU20</f>
        <v>97131.044089328556</v>
      </c>
      <c r="E20" s="334">
        <f>'побудинковий звіт'!CV20</f>
        <v>101220.06290593023</v>
      </c>
      <c r="F20" s="334">
        <f t="shared" si="0"/>
        <v>4089.0188166016742</v>
      </c>
      <c r="G20" s="351">
        <f t="shared" si="1"/>
        <v>1.0420979600800042</v>
      </c>
      <c r="H20" s="345">
        <f>('побудинковий звіт'!AS20+'побудинковий звіт'!BQ20)*1.2</f>
        <v>26385.307559216239</v>
      </c>
      <c r="I20" s="333">
        <f>('побудинковий звіт'!AT20+'побудинковий звіт'!BR20)*1.2</f>
        <v>17491.158587101636</v>
      </c>
      <c r="J20" s="333">
        <f t="shared" si="2"/>
        <v>-8894.1489721146027</v>
      </c>
      <c r="K20" s="354">
        <f t="shared" si="3"/>
        <v>0.66291281797062374</v>
      </c>
      <c r="L20" s="356">
        <f>'побудинковий звіт'!DE20</f>
        <v>15053.13</v>
      </c>
      <c r="M20" s="363">
        <f>'побудинковий звіт'!DA20*-1</f>
        <v>-25279.757706347289</v>
      </c>
    </row>
    <row r="21" spans="1:13" ht="20.100000000000001" customHeight="1" x14ac:dyDescent="0.3">
      <c r="A21" s="359" t="s">
        <v>470</v>
      </c>
      <c r="B21" s="298" t="s">
        <v>193</v>
      </c>
      <c r="C21" s="360">
        <v>3</v>
      </c>
      <c r="D21" s="350">
        <f>'побудинковий звіт'!CU21</f>
        <v>105040.45631820896</v>
      </c>
      <c r="E21" s="334">
        <f>'побудинковий звіт'!CV21</f>
        <v>103974.69457045016</v>
      </c>
      <c r="F21" s="334">
        <f t="shared" si="0"/>
        <v>-1065.7617477588065</v>
      </c>
      <c r="G21" s="351">
        <f t="shared" si="1"/>
        <v>0.9898537974308661</v>
      </c>
      <c r="H21" s="345">
        <f>('побудинковий звіт'!AS21+'побудинковий звіт'!BQ21)*1.2</f>
        <v>24760.026877137603</v>
      </c>
      <c r="I21" s="333">
        <f>('побудинковий звіт'!AT21+'побудинковий звіт'!BR21)*1.2</f>
        <v>9172.3692356882912</v>
      </c>
      <c r="J21" s="333">
        <f t="shared" si="2"/>
        <v>-15587.657641449312</v>
      </c>
      <c r="K21" s="354">
        <f t="shared" si="3"/>
        <v>0.37045069786082024</v>
      </c>
      <c r="L21" s="356">
        <f>'побудинковий звіт'!DE21</f>
        <v>25665.07</v>
      </c>
      <c r="M21" s="363">
        <f>'побудинковий звіт'!DA21*-1</f>
        <v>43821.315495465889</v>
      </c>
    </row>
    <row r="22" spans="1:13" ht="20.100000000000001" customHeight="1" x14ac:dyDescent="0.3">
      <c r="A22" s="359" t="s">
        <v>471</v>
      </c>
      <c r="B22" s="298" t="s">
        <v>341</v>
      </c>
      <c r="C22" s="360">
        <v>9</v>
      </c>
      <c r="D22" s="350">
        <f>'побудинковий звіт'!CU22</f>
        <v>171855.01720289225</v>
      </c>
      <c r="E22" s="334">
        <f>'побудинковий звіт'!CV22</f>
        <v>305077.89121065382</v>
      </c>
      <c r="F22" s="334">
        <f t="shared" si="0"/>
        <v>133222.87400776157</v>
      </c>
      <c r="G22" s="351">
        <f t="shared" si="1"/>
        <v>1.7752050314043406</v>
      </c>
      <c r="H22" s="345">
        <f>('побудинковий звіт'!AS22+'побудинковий звіт'!BQ22)*1.2</f>
        <v>51837.482109772165</v>
      </c>
      <c r="I22" s="333">
        <f>('побудинковий звіт'!AT22+'побудинковий звіт'!BR22)*1.2</f>
        <v>168134.42167966222</v>
      </c>
      <c r="J22" s="333">
        <f t="shared" si="2"/>
        <v>116296.93956989006</v>
      </c>
      <c r="K22" s="354">
        <f t="shared" si="3"/>
        <v>3.2434912892492958</v>
      </c>
      <c r="L22" s="356">
        <f>'побудинковий звіт'!DE22</f>
        <v>12077.989999999998</v>
      </c>
      <c r="M22" s="363">
        <f>'побудинковий звіт'!DA22*-1</f>
        <v>-100470.40910437447</v>
      </c>
    </row>
    <row r="23" spans="1:13" ht="20.100000000000001" customHeight="1" x14ac:dyDescent="0.3">
      <c r="A23" s="359" t="s">
        <v>472</v>
      </c>
      <c r="B23" s="298" t="s">
        <v>39</v>
      </c>
      <c r="C23" s="360">
        <v>1</v>
      </c>
      <c r="D23" s="350" t="e">
        <f>'побудинковий звіт'!#REF!</f>
        <v>#REF!</v>
      </c>
      <c r="E23" s="334" t="e">
        <f>'побудинковий звіт'!#REF!</f>
        <v>#REF!</v>
      </c>
      <c r="F23" s="334" t="e">
        <f t="shared" si="0"/>
        <v>#REF!</v>
      </c>
      <c r="G23" s="351" t="e">
        <f t="shared" si="1"/>
        <v>#REF!</v>
      </c>
      <c r="H23" s="345" t="e">
        <f>('побудинковий звіт'!#REF!+'побудинковий звіт'!#REF!)*1.2</f>
        <v>#REF!</v>
      </c>
      <c r="I23" s="333" t="e">
        <f>('побудинковий звіт'!#REF!+'побудинковий звіт'!#REF!)*1.2</f>
        <v>#REF!</v>
      </c>
      <c r="J23" s="333" t="e">
        <f t="shared" si="2"/>
        <v>#REF!</v>
      </c>
      <c r="K23" s="354" t="e">
        <f t="shared" si="3"/>
        <v>#REF!</v>
      </c>
      <c r="L23" s="356" t="e">
        <f>'побудинковий звіт'!#REF!</f>
        <v>#REF!</v>
      </c>
      <c r="M23" s="363" t="e">
        <f>'побудинковий звіт'!#REF!*-1</f>
        <v>#REF!</v>
      </c>
    </row>
    <row r="24" spans="1:13" ht="20.100000000000001" customHeight="1" x14ac:dyDescent="0.3">
      <c r="A24" s="359" t="s">
        <v>473</v>
      </c>
      <c r="B24" s="298" t="s">
        <v>40</v>
      </c>
      <c r="C24" s="360">
        <v>1</v>
      </c>
      <c r="D24" s="350">
        <f>'побудинковий звіт'!CU23</f>
        <v>116125.3633918488</v>
      </c>
      <c r="E24" s="334">
        <f>'побудинковий звіт'!CV23</f>
        <v>157677.24840142037</v>
      </c>
      <c r="F24" s="334">
        <f t="shared" si="0"/>
        <v>41551.885009571561</v>
      </c>
      <c r="G24" s="351">
        <f t="shared" si="1"/>
        <v>1.3578192032808589</v>
      </c>
      <c r="H24" s="345">
        <f>('побудинковий звіт'!AS23+'побудинковий звіт'!BQ23)*1.2</f>
        <v>33178.767294812969</v>
      </c>
      <c r="I24" s="333">
        <f>('побудинковий звіт'!AT23+'побудинковий звіт'!BR23)*1.2</f>
        <v>66665.421715361139</v>
      </c>
      <c r="J24" s="333">
        <f t="shared" si="2"/>
        <v>33486.65442054817</v>
      </c>
      <c r="K24" s="354">
        <f t="shared" si="3"/>
        <v>2.0092796433031839</v>
      </c>
      <c r="L24" s="356">
        <f>'побудинковий звіт'!DE23</f>
        <v>25672.21</v>
      </c>
      <c r="M24" s="363">
        <f>'побудинковий звіт'!DA23*-1</f>
        <v>-927.84948351771163</v>
      </c>
    </row>
    <row r="25" spans="1:13" ht="20.100000000000001" customHeight="1" x14ac:dyDescent="0.3">
      <c r="A25" s="359" t="s">
        <v>474</v>
      </c>
      <c r="B25" s="298" t="s">
        <v>41</v>
      </c>
      <c r="C25" s="360">
        <v>1</v>
      </c>
      <c r="D25" s="350">
        <f>'побудинковий звіт'!CU24</f>
        <v>5283.9407602317742</v>
      </c>
      <c r="E25" s="334">
        <f>'побудинковий звіт'!CV24</f>
        <v>5468.7410681832316</v>
      </c>
      <c r="F25" s="334">
        <f t="shared" si="0"/>
        <v>184.8003079514574</v>
      </c>
      <c r="G25" s="351">
        <f t="shared" si="1"/>
        <v>1.0349739552991035</v>
      </c>
      <c r="H25" s="345">
        <f>('побудинковий звіт'!AS24+'побудинковий звіт'!BQ24)*1.2</f>
        <v>3401.1635353614461</v>
      </c>
      <c r="I25" s="333">
        <f>('побудинковий звіт'!AT24+'побудинковий звіт'!BR24)*1.2</f>
        <v>1827.5281642370526</v>
      </c>
      <c r="J25" s="333">
        <f t="shared" si="2"/>
        <v>-1573.6353711243935</v>
      </c>
      <c r="K25" s="354">
        <f t="shared" si="3"/>
        <v>0.53732440243948421</v>
      </c>
      <c r="L25" s="356">
        <f>'побудинковий звіт'!DE24</f>
        <v>2674.1099999999997</v>
      </c>
      <c r="M25" s="363">
        <f>'побудинковий звіт'!DA24*-1</f>
        <v>5188.2819136572243</v>
      </c>
    </row>
    <row r="26" spans="1:13" ht="20.100000000000001" customHeight="1" x14ac:dyDescent="0.3">
      <c r="A26" s="359" t="s">
        <v>475</v>
      </c>
      <c r="B26" s="298" t="s">
        <v>42</v>
      </c>
      <c r="C26" s="360">
        <v>1</v>
      </c>
      <c r="D26" s="350" t="e">
        <f>'побудинковий звіт'!#REF!</f>
        <v>#REF!</v>
      </c>
      <c r="E26" s="334" t="e">
        <f>'побудинковий звіт'!#REF!</f>
        <v>#REF!</v>
      </c>
      <c r="F26" s="334" t="e">
        <f t="shared" si="0"/>
        <v>#REF!</v>
      </c>
      <c r="G26" s="351" t="e">
        <f t="shared" si="1"/>
        <v>#REF!</v>
      </c>
      <c r="H26" s="345" t="e">
        <f>('побудинковий звіт'!#REF!+'побудинковий звіт'!#REF!)*1.2</f>
        <v>#REF!</v>
      </c>
      <c r="I26" s="333" t="e">
        <f>('побудинковий звіт'!#REF!+'побудинковий звіт'!#REF!)*1.2</f>
        <v>#REF!</v>
      </c>
      <c r="J26" s="333" t="e">
        <f t="shared" si="2"/>
        <v>#REF!</v>
      </c>
      <c r="K26" s="354" t="e">
        <f t="shared" si="3"/>
        <v>#REF!</v>
      </c>
      <c r="L26" s="356" t="e">
        <f>'побудинковий звіт'!#REF!</f>
        <v>#REF!</v>
      </c>
      <c r="M26" s="363" t="e">
        <f>'побудинковий звіт'!#REF!*-1</f>
        <v>#REF!</v>
      </c>
    </row>
    <row r="27" spans="1:13" ht="20.100000000000001" customHeight="1" x14ac:dyDescent="0.3">
      <c r="A27" s="359" t="s">
        <v>476</v>
      </c>
      <c r="B27" s="298" t="s">
        <v>43</v>
      </c>
      <c r="C27" s="360">
        <v>1</v>
      </c>
      <c r="D27" s="350">
        <f>'побудинковий звіт'!CU25</f>
        <v>140073.31836523546</v>
      </c>
      <c r="E27" s="334">
        <f>'побудинковий звіт'!CV25</f>
        <v>146549.80882088747</v>
      </c>
      <c r="F27" s="334">
        <f t="shared" si="0"/>
        <v>6476.490455652005</v>
      </c>
      <c r="G27" s="351">
        <f t="shared" si="1"/>
        <v>1.0462364319717536</v>
      </c>
      <c r="H27" s="345">
        <f>('побудинковий звіт'!AS25+'побудинковий звіт'!BQ25)*1.2</f>
        <v>40432.343866383046</v>
      </c>
      <c r="I27" s="333">
        <f>('побудинковий звіт'!AT25+'побудинковий звіт'!BR25)*1.2</f>
        <v>42571.27159160631</v>
      </c>
      <c r="J27" s="333">
        <f t="shared" si="2"/>
        <v>2138.9277252232641</v>
      </c>
      <c r="K27" s="354">
        <f t="shared" si="3"/>
        <v>1.0529014032006601</v>
      </c>
      <c r="L27" s="356">
        <f>'побудинковий звіт'!DE25</f>
        <v>22338.21</v>
      </c>
      <c r="M27" s="363">
        <f>'побудинковий звіт'!DA25*-1</f>
        <v>5071.9560352073713</v>
      </c>
    </row>
    <row r="28" spans="1:13" ht="20.100000000000001" customHeight="1" x14ac:dyDescent="0.3">
      <c r="A28" s="359" t="s">
        <v>477</v>
      </c>
      <c r="B28" s="298" t="s">
        <v>44</v>
      </c>
      <c r="C28" s="360">
        <v>1</v>
      </c>
      <c r="D28" s="350">
        <f>'побудинковий звіт'!CU26</f>
        <v>44090.572516070177</v>
      </c>
      <c r="E28" s="334">
        <f>'побудинковий звіт'!CV26</f>
        <v>45474.918492072757</v>
      </c>
      <c r="F28" s="334">
        <f t="shared" si="0"/>
        <v>1384.3459760025798</v>
      </c>
      <c r="G28" s="351">
        <f t="shared" si="1"/>
        <v>1.0313977772798939</v>
      </c>
      <c r="H28" s="345">
        <f>('побудинковий звіт'!AS26+'побудинковий звіт'!BQ26)*1.2</f>
        <v>8877.3016144252942</v>
      </c>
      <c r="I28" s="333">
        <f>('побудинковий звіт'!AT26+'побудинковий звіт'!BR26)*1.2</f>
        <v>1265.1485138750943</v>
      </c>
      <c r="J28" s="333">
        <f t="shared" si="2"/>
        <v>-7612.1531005502002</v>
      </c>
      <c r="K28" s="354">
        <f t="shared" si="3"/>
        <v>0.14251498583975941</v>
      </c>
      <c r="L28" s="356">
        <f>'побудинковий звіт'!DE26</f>
        <v>0</v>
      </c>
      <c r="M28" s="363">
        <f>'побудинковий звіт'!DA26*-1</f>
        <v>-20547.909589613948</v>
      </c>
    </row>
    <row r="29" spans="1:13" ht="20.100000000000001" customHeight="1" x14ac:dyDescent="0.3">
      <c r="A29" s="359" t="s">
        <v>478</v>
      </c>
      <c r="B29" s="298" t="s">
        <v>47</v>
      </c>
      <c r="C29" s="360">
        <v>1</v>
      </c>
      <c r="D29" s="350">
        <f>'побудинковий звіт'!CU27</f>
        <v>3876.1720287368626</v>
      </c>
      <c r="E29" s="334">
        <f>'побудинковий звіт'!CV27</f>
        <v>2222.4338042537433</v>
      </c>
      <c r="F29" s="334">
        <f t="shared" si="0"/>
        <v>-1653.7382244831192</v>
      </c>
      <c r="G29" s="351">
        <f t="shared" si="1"/>
        <v>0.57335788705383472</v>
      </c>
      <c r="H29" s="345">
        <f>('побудинковий звіт'!AS27+'побудинковий звіт'!BQ27)*1.2</f>
        <v>2992.4895958977668</v>
      </c>
      <c r="I29" s="333">
        <f>('побудинковий звіт'!AT27+'побудинковий звіт'!BR27)*1.2</f>
        <v>0</v>
      </c>
      <c r="J29" s="333">
        <f t="shared" si="2"/>
        <v>-2992.4895958977668</v>
      </c>
      <c r="K29" s="354">
        <f t="shared" si="3"/>
        <v>0</v>
      </c>
      <c r="L29" s="356">
        <f>'побудинковий звіт'!DE27</f>
        <v>-7285.9400000000005</v>
      </c>
      <c r="M29" s="363">
        <f>'побудинковий звіт'!DA27*-1</f>
        <v>7721.5106202605257</v>
      </c>
    </row>
    <row r="30" spans="1:13" ht="20.100000000000001" customHeight="1" x14ac:dyDescent="0.3">
      <c r="A30" s="359" t="s">
        <v>479</v>
      </c>
      <c r="B30" s="298" t="s">
        <v>48</v>
      </c>
      <c r="C30" s="360">
        <v>1</v>
      </c>
      <c r="D30" s="350">
        <f>'побудинковий звіт'!CU28</f>
        <v>363503.84988827485</v>
      </c>
      <c r="E30" s="334">
        <f>'побудинковий звіт'!CV28</f>
        <v>339443.62707710516</v>
      </c>
      <c r="F30" s="334">
        <f t="shared" si="0"/>
        <v>-24060.22281116969</v>
      </c>
      <c r="G30" s="351">
        <f t="shared" si="1"/>
        <v>0.93381026688282742</v>
      </c>
      <c r="H30" s="345">
        <f>('побудинковий звіт'!AS28+'побудинковий звіт'!BQ28)*1.2</f>
        <v>83982.354274989935</v>
      </c>
      <c r="I30" s="333">
        <f>('побудинковий звіт'!AT28+'побудинковий звіт'!BR28)*1.2</f>
        <v>25960.274827301895</v>
      </c>
      <c r="J30" s="333">
        <f t="shared" si="2"/>
        <v>-58022.07944768804</v>
      </c>
      <c r="K30" s="354">
        <f t="shared" si="3"/>
        <v>0.30911582619246603</v>
      </c>
      <c r="L30" s="356">
        <f>'побудинковий звіт'!DE28</f>
        <v>45727.13</v>
      </c>
      <c r="M30" s="363">
        <f>'побудинковий звіт'!DA28*-1</f>
        <v>-57475.462506802985</v>
      </c>
    </row>
    <row r="31" spans="1:13" ht="20.100000000000001" customHeight="1" x14ac:dyDescent="0.3">
      <c r="A31" s="359" t="s">
        <v>480</v>
      </c>
      <c r="B31" s="298" t="s">
        <v>201</v>
      </c>
      <c r="C31" s="360">
        <v>4</v>
      </c>
      <c r="D31" s="350">
        <f>'побудинковий звіт'!CU29</f>
        <v>3769.5564417453115</v>
      </c>
      <c r="E31" s="334">
        <f>'побудинковий звіт'!CV29</f>
        <v>3083.6298536484801</v>
      </c>
      <c r="F31" s="334">
        <f t="shared" si="0"/>
        <v>-685.92658809683144</v>
      </c>
      <c r="G31" s="351">
        <f t="shared" si="1"/>
        <v>0.81803519891607035</v>
      </c>
      <c r="H31" s="345">
        <f>('побудинковий звіт'!AS29+'побудинковий звіт'!BQ29)*1.2</f>
        <v>2382.5880305968358</v>
      </c>
      <c r="I31" s="333">
        <f>('побудинковий звіт'!AT29+'побудинковий звіт'!BR29)*1.2</f>
        <v>0</v>
      </c>
      <c r="J31" s="333">
        <f t="shared" si="2"/>
        <v>-2382.5880305968358</v>
      </c>
      <c r="K31" s="354">
        <f t="shared" si="3"/>
        <v>0</v>
      </c>
      <c r="L31" s="356">
        <f>'побудинковий звіт'!DE29</f>
        <v>0</v>
      </c>
      <c r="M31" s="363">
        <f>'побудинковий звіт'!DA29*-1</f>
        <v>5248.8694292489936</v>
      </c>
    </row>
    <row r="32" spans="1:13" ht="20.100000000000001" customHeight="1" x14ac:dyDescent="0.3">
      <c r="A32" s="359" t="s">
        <v>481</v>
      </c>
      <c r="B32" s="298" t="s">
        <v>202</v>
      </c>
      <c r="C32" s="360">
        <v>4</v>
      </c>
      <c r="D32" s="350">
        <f>'побудинковий звіт'!CU30</f>
        <v>20985.651909096327</v>
      </c>
      <c r="E32" s="334">
        <f>'побудинковий звіт'!CV30</f>
        <v>17938.612756392409</v>
      </c>
      <c r="F32" s="334">
        <f t="shared" si="0"/>
        <v>-3047.0391527039174</v>
      </c>
      <c r="G32" s="351">
        <f t="shared" si="1"/>
        <v>0.85480369321368743</v>
      </c>
      <c r="H32" s="345">
        <f>('побудинковий звіт'!AS30+'побудинковий звіт'!BQ30)*1.2</f>
        <v>5436.9952248677637</v>
      </c>
      <c r="I32" s="333">
        <f>('побудинковий звіт'!AT30+'побудинковий звіт'!BR30)*1.2</f>
        <v>0</v>
      </c>
      <c r="J32" s="333">
        <f t="shared" si="2"/>
        <v>-5436.9952248677637</v>
      </c>
      <c r="K32" s="354">
        <f t="shared" si="3"/>
        <v>0</v>
      </c>
      <c r="L32" s="356">
        <f>'побудинковий звіт'!DE30</f>
        <v>1144.2600000000002</v>
      </c>
      <c r="M32" s="363">
        <f>'побудинковий звіт'!DA30*-1</f>
        <v>25130.516549775602</v>
      </c>
    </row>
    <row r="33" spans="1:13" ht="20.100000000000001" customHeight="1" x14ac:dyDescent="0.3">
      <c r="A33" s="359" t="s">
        <v>482</v>
      </c>
      <c r="B33" s="298" t="s">
        <v>203</v>
      </c>
      <c r="C33" s="360">
        <v>4</v>
      </c>
      <c r="D33" s="350">
        <f>'побудинковий звіт'!CU31</f>
        <v>5768.6497789730838</v>
      </c>
      <c r="E33" s="334">
        <f>'побудинковий звіт'!CV31</f>
        <v>113.61507122380068</v>
      </c>
      <c r="F33" s="334">
        <f t="shared" si="0"/>
        <v>-5655.0347077492834</v>
      </c>
      <c r="G33" s="351">
        <f t="shared" si="1"/>
        <v>1.969526242309445E-2</v>
      </c>
      <c r="H33" s="345">
        <f>('побудинковий звіт'!AS31+'побудинковий звіт'!BQ31)*1.2</f>
        <v>5339.6087088113181</v>
      </c>
      <c r="I33" s="333">
        <f>('побудинковий звіт'!AT31+'побудинковий звіт'!BR31)*1.2</f>
        <v>0</v>
      </c>
      <c r="J33" s="333">
        <f t="shared" si="2"/>
        <v>-5339.6087088113181</v>
      </c>
      <c r="K33" s="354">
        <f t="shared" si="3"/>
        <v>0</v>
      </c>
      <c r="L33" s="356">
        <f>'побудинковий звіт'!DE31</f>
        <v>114.75</v>
      </c>
      <c r="M33" s="363">
        <f>'побудинковий звіт'!DA31*-1</f>
        <v>21088.211915481468</v>
      </c>
    </row>
    <row r="34" spans="1:13" ht="20.100000000000001" customHeight="1" x14ac:dyDescent="0.3">
      <c r="A34" s="359" t="s">
        <v>483</v>
      </c>
      <c r="B34" s="298" t="s">
        <v>149</v>
      </c>
      <c r="C34" s="360">
        <v>2</v>
      </c>
      <c r="D34" s="350">
        <f>'побудинковий звіт'!CU32</f>
        <v>201717.93465614127</v>
      </c>
      <c r="E34" s="334">
        <f>'побудинковий звіт'!CV32</f>
        <v>208135.76662071186</v>
      </c>
      <c r="F34" s="334">
        <f t="shared" si="0"/>
        <v>6417.8319645705924</v>
      </c>
      <c r="G34" s="351">
        <f t="shared" si="1"/>
        <v>1.0318158718782777</v>
      </c>
      <c r="H34" s="345">
        <f>('побудинковий звіт'!AS32+'побудинковий звіт'!BQ32)*1.2</f>
        <v>69734.861766892893</v>
      </c>
      <c r="I34" s="333">
        <f>('побудинковий звіт'!AT32+'побудинковий звіт'!BR32)*1.2</f>
        <v>49286.591786011166</v>
      </c>
      <c r="J34" s="333">
        <f t="shared" si="2"/>
        <v>-20448.269980881727</v>
      </c>
      <c r="K34" s="354">
        <f t="shared" si="3"/>
        <v>0.70677119789474241</v>
      </c>
      <c r="L34" s="356">
        <f>'побудинковий звіт'!DE32</f>
        <v>23935.03</v>
      </c>
      <c r="M34" s="363">
        <f>'побудинковий звіт'!DA32*-1</f>
        <v>44837.22539186701</v>
      </c>
    </row>
    <row r="35" spans="1:13" ht="20.100000000000001" customHeight="1" x14ac:dyDescent="0.3">
      <c r="A35" s="359" t="s">
        <v>484</v>
      </c>
      <c r="B35" s="298" t="s">
        <v>150</v>
      </c>
      <c r="C35" s="360">
        <v>2</v>
      </c>
      <c r="D35" s="350">
        <f>'побудинковий звіт'!CU33</f>
        <v>48364.43859609955</v>
      </c>
      <c r="E35" s="334">
        <f>'побудинковий звіт'!CV33</f>
        <v>45890.167797845308</v>
      </c>
      <c r="F35" s="334">
        <f t="shared" si="0"/>
        <v>-2474.2707982542415</v>
      </c>
      <c r="G35" s="351">
        <f t="shared" si="1"/>
        <v>0.94884111404833338</v>
      </c>
      <c r="H35" s="345">
        <f>('побудинковий звіт'!AS33+'побудинковий звіт'!BQ33)*1.2</f>
        <v>14038.757507443375</v>
      </c>
      <c r="I35" s="333">
        <f>('побудинковий звіт'!AT33+'побудинковий звіт'!BR33)*1.2</f>
        <v>8721.6</v>
      </c>
      <c r="J35" s="333">
        <f t="shared" si="2"/>
        <v>-5317.1575074433749</v>
      </c>
      <c r="K35" s="354">
        <f t="shared" si="3"/>
        <v>0.62125155986032177</v>
      </c>
      <c r="L35" s="356">
        <f>'побудинковий звіт'!DE33</f>
        <v>23002.03</v>
      </c>
      <c r="M35" s="363">
        <f>'побудинковий звіт'!DA33*-1</f>
        <v>2795.5964387212207</v>
      </c>
    </row>
    <row r="36" spans="1:13" ht="20.100000000000001" customHeight="1" x14ac:dyDescent="0.3">
      <c r="A36" s="359" t="s">
        <v>485</v>
      </c>
      <c r="B36" s="298" t="s">
        <v>243</v>
      </c>
      <c r="C36" s="360">
        <v>5</v>
      </c>
      <c r="D36" s="350">
        <f>'побудинковий звіт'!CU34</f>
        <v>370550.83596096246</v>
      </c>
      <c r="E36" s="334">
        <f>'побудинковий звіт'!CV34</f>
        <v>387198.82673933369</v>
      </c>
      <c r="F36" s="334">
        <f t="shared" si="0"/>
        <v>16647.990778371226</v>
      </c>
      <c r="G36" s="351">
        <f t="shared" si="1"/>
        <v>1.0449276837689421</v>
      </c>
      <c r="H36" s="345">
        <f>('побудинковий звіт'!AS34+'побудинковий звіт'!BQ34)*1.2</f>
        <v>85883.806217665915</v>
      </c>
      <c r="I36" s="333">
        <f>('побудинковий звіт'!AT34+'побудинковий звіт'!BR34)*1.2</f>
        <v>17864.471324936774</v>
      </c>
      <c r="J36" s="333">
        <f t="shared" si="2"/>
        <v>-68019.334892729137</v>
      </c>
      <c r="K36" s="354">
        <f t="shared" si="3"/>
        <v>0.20800744763990364</v>
      </c>
      <c r="L36" s="356">
        <f>'побудинковий звіт'!DE34</f>
        <v>117433.13</v>
      </c>
      <c r="M36" s="363">
        <f>'побудинковий звіт'!DA34*-1</f>
        <v>51653.493572487685</v>
      </c>
    </row>
    <row r="37" spans="1:13" ht="20.100000000000001" customHeight="1" x14ac:dyDescent="0.3">
      <c r="A37" s="359" t="s">
        <v>486</v>
      </c>
      <c r="B37" s="298" t="s">
        <v>204</v>
      </c>
      <c r="C37" s="360">
        <v>4</v>
      </c>
      <c r="D37" s="350">
        <f>'побудинковий звіт'!CU35</f>
        <v>5528.5705146891041</v>
      </c>
      <c r="E37" s="334">
        <f>'побудинковий звіт'!CV35</f>
        <v>13621.182106124574</v>
      </c>
      <c r="F37" s="334">
        <f t="shared" si="0"/>
        <v>8092.6115914354696</v>
      </c>
      <c r="G37" s="351">
        <f t="shared" si="1"/>
        <v>2.4637801163852124</v>
      </c>
      <c r="H37" s="345">
        <f>('побудинковий звіт'!AS35+'побудинковий звіт'!BQ35)*1.2</f>
        <v>4117.7379133718241</v>
      </c>
      <c r="I37" s="333">
        <f>('побудинковий звіт'!AT35+'побудинковий звіт'!BR35)*1.2</f>
        <v>11465.846322708758</v>
      </c>
      <c r="J37" s="333">
        <f t="shared" si="2"/>
        <v>7348.1084093369336</v>
      </c>
      <c r="K37" s="354">
        <f t="shared" si="3"/>
        <v>2.7845012392544208</v>
      </c>
      <c r="L37" s="356">
        <f>'побудинковий звіт'!DE35</f>
        <v>-150.74999999999994</v>
      </c>
      <c r="M37" s="363">
        <f>'побудинковий звіт'!DA35*-1</f>
        <v>3330.9119986384139</v>
      </c>
    </row>
    <row r="38" spans="1:13" ht="20.100000000000001" customHeight="1" x14ac:dyDescent="0.3">
      <c r="A38" s="359" t="s">
        <v>487</v>
      </c>
      <c r="B38" s="298" t="s">
        <v>205</v>
      </c>
      <c r="C38" s="360">
        <v>4</v>
      </c>
      <c r="D38" s="350">
        <f>'побудинковий звіт'!CU36</f>
        <v>31029.97815305632</v>
      </c>
      <c r="E38" s="334">
        <f>'побудинковий звіт'!CV36</f>
        <v>27033.472058519521</v>
      </c>
      <c r="F38" s="334">
        <f t="shared" si="0"/>
        <v>-3996.5060945367986</v>
      </c>
      <c r="G38" s="351">
        <f t="shared" si="1"/>
        <v>0.87120499812072349</v>
      </c>
      <c r="H38" s="345">
        <f>('побудинковий звіт'!AS36+'побудинковий звіт'!BQ36)*1.2</f>
        <v>8249.9741843731226</v>
      </c>
      <c r="I38" s="333">
        <f>('побудинковий звіт'!AT36+'побудинковий звіт'!BR36)*1.2</f>
        <v>0</v>
      </c>
      <c r="J38" s="333">
        <f t="shared" si="2"/>
        <v>-8249.9741843731226</v>
      </c>
      <c r="K38" s="354">
        <f t="shared" si="3"/>
        <v>0</v>
      </c>
      <c r="L38" s="356">
        <f>'побудинковий звіт'!DE36</f>
        <v>10252.11</v>
      </c>
      <c r="M38" s="363">
        <f>'побудинковий звіт'!DA36*-1</f>
        <v>-3965.4628863705784</v>
      </c>
    </row>
    <row r="39" spans="1:13" ht="20.100000000000001" customHeight="1" x14ac:dyDescent="0.3">
      <c r="A39" s="359" t="s">
        <v>488</v>
      </c>
      <c r="B39" s="298" t="s">
        <v>244</v>
      </c>
      <c r="C39" s="360">
        <v>5</v>
      </c>
      <c r="D39" s="350">
        <f>'побудинковий звіт'!CU37</f>
        <v>31602.705050334382</v>
      </c>
      <c r="E39" s="334">
        <f>'побудинковий звіт'!CV37</f>
        <v>30556.373173924221</v>
      </c>
      <c r="F39" s="334">
        <f t="shared" si="0"/>
        <v>-1046.3318764101605</v>
      </c>
      <c r="G39" s="351">
        <f t="shared" si="1"/>
        <v>0.96689106597857233</v>
      </c>
      <c r="H39" s="345">
        <f>('побудинковий звіт'!AS37+'побудинковий звіт'!BQ37)*1.2</f>
        <v>6779.2670369844964</v>
      </c>
      <c r="I39" s="333">
        <f>('побудинковий звіт'!AT37+'побудинковий звіт'!BR37)*1.2</f>
        <v>154.3861590713025</v>
      </c>
      <c r="J39" s="333">
        <f t="shared" si="2"/>
        <v>-6624.8808779131941</v>
      </c>
      <c r="K39" s="354">
        <f t="shared" si="3"/>
        <v>2.2773281864992799E-2</v>
      </c>
      <c r="L39" s="356">
        <f>'побудинковий звіт'!DE37</f>
        <v>3010.31</v>
      </c>
      <c r="M39" s="363">
        <f>'побудинковий звіт'!DA37*-1</f>
        <v>-21012.964415931619</v>
      </c>
    </row>
    <row r="40" spans="1:13" ht="20.100000000000001" customHeight="1" x14ac:dyDescent="0.3">
      <c r="A40" s="359" t="s">
        <v>489</v>
      </c>
      <c r="B40" s="298" t="s">
        <v>342</v>
      </c>
      <c r="C40" s="360">
        <v>9</v>
      </c>
      <c r="D40" s="350">
        <f>'побудинковий звіт'!CU38</f>
        <v>129955.33955646338</v>
      </c>
      <c r="E40" s="334">
        <f>'побудинковий звіт'!CV38</f>
        <v>122784.48212466329</v>
      </c>
      <c r="F40" s="334">
        <f t="shared" si="0"/>
        <v>-7170.8574318000901</v>
      </c>
      <c r="G40" s="351">
        <f t="shared" si="1"/>
        <v>0.94482060178308813</v>
      </c>
      <c r="H40" s="345">
        <f>('побудинковий звіт'!AS38+'побудинковий звіт'!BQ38)*1.2</f>
        <v>44250.413192146625</v>
      </c>
      <c r="I40" s="333">
        <f>('побудинковий звіт'!AT38+'побудинковий звіт'!BR38)*1.2</f>
        <v>20352.29098626355</v>
      </c>
      <c r="J40" s="333">
        <f t="shared" si="2"/>
        <v>-23898.122205883075</v>
      </c>
      <c r="K40" s="354">
        <f t="shared" si="3"/>
        <v>0.45993448463156017</v>
      </c>
      <c r="L40" s="356">
        <f>'побудинковий звіт'!DE38</f>
        <v>16261.15</v>
      </c>
      <c r="M40" s="363">
        <f>'побудинковий звіт'!DA38*-1</f>
        <v>-2013.903976292655</v>
      </c>
    </row>
    <row r="41" spans="1:13" ht="20.100000000000001" customHeight="1" x14ac:dyDescent="0.3">
      <c r="A41" s="359" t="s">
        <v>490</v>
      </c>
      <c r="B41" s="298" t="s">
        <v>343</v>
      </c>
      <c r="C41" s="360">
        <v>9</v>
      </c>
      <c r="D41" s="350">
        <f>'побудинковий звіт'!CU39</f>
        <v>186386.11395709883</v>
      </c>
      <c r="E41" s="334">
        <f>'побудинковий звіт'!CV39</f>
        <v>156693.57442905824</v>
      </c>
      <c r="F41" s="334">
        <f t="shared" si="0"/>
        <v>-29692.539528040594</v>
      </c>
      <c r="G41" s="351">
        <f t="shared" si="1"/>
        <v>0.84069339234748441</v>
      </c>
      <c r="H41" s="345">
        <f>('побудинковий звіт'!AS39+'побудинковий звіт'!BQ39)*1.2</f>
        <v>47914.848009544912</v>
      </c>
      <c r="I41" s="333">
        <f>('побудинковий звіт'!AT39+'побудинковий звіт'!BR39)*1.2</f>
        <v>2718.2056720287765</v>
      </c>
      <c r="J41" s="333">
        <f t="shared" si="2"/>
        <v>-45196.642337516139</v>
      </c>
      <c r="K41" s="354">
        <f t="shared" si="3"/>
        <v>5.6729923707308734E-2</v>
      </c>
      <c r="L41" s="356">
        <f>'побудинковий звіт'!DE39</f>
        <v>31727.349999999995</v>
      </c>
      <c r="M41" s="364">
        <f>'побудинковий звіт'!DA39*-1</f>
        <v>-71790.468170020496</v>
      </c>
    </row>
    <row r="42" spans="1:13" ht="20.100000000000001" customHeight="1" x14ac:dyDescent="0.3">
      <c r="A42" s="359" t="s">
        <v>491</v>
      </c>
      <c r="B42" s="298" t="s">
        <v>344</v>
      </c>
      <c r="C42" s="360">
        <v>9</v>
      </c>
      <c r="D42" s="350">
        <f>'побудинковий звіт'!CU40</f>
        <v>227022.23472673431</v>
      </c>
      <c r="E42" s="334">
        <f>'побудинковий звіт'!CV40</f>
        <v>285424.72179683339</v>
      </c>
      <c r="F42" s="334">
        <f t="shared" si="0"/>
        <v>58402.487070099072</v>
      </c>
      <c r="G42" s="351">
        <f t="shared" si="1"/>
        <v>1.2572544805595711</v>
      </c>
      <c r="H42" s="345">
        <f>('побудинковий звіт'!AS40+'побудинковий звіт'!BQ40)*1.2</f>
        <v>84289.215100282207</v>
      </c>
      <c r="I42" s="333">
        <f>('побудинковий звіт'!AT40+'побудинковий звіт'!BR40)*1.2</f>
        <v>132736.09096658934</v>
      </c>
      <c r="J42" s="333">
        <f t="shared" si="2"/>
        <v>48446.875866307135</v>
      </c>
      <c r="K42" s="354">
        <f t="shared" si="3"/>
        <v>1.5747695693769124</v>
      </c>
      <c r="L42" s="356">
        <f>'побудинковий звіт'!DE40</f>
        <v>51821.289999999994</v>
      </c>
      <c r="M42" s="363">
        <f>'побудинковий звіт'!DA40*-1</f>
        <v>-54136.180325970716</v>
      </c>
    </row>
    <row r="43" spans="1:13" ht="20.100000000000001" customHeight="1" x14ac:dyDescent="0.3">
      <c r="A43" s="359" t="s">
        <v>492</v>
      </c>
      <c r="B43" s="298" t="s">
        <v>345</v>
      </c>
      <c r="C43" s="360">
        <v>9</v>
      </c>
      <c r="D43" s="350">
        <f>'побудинковий звіт'!CU41</f>
        <v>238394.88768531394</v>
      </c>
      <c r="E43" s="334">
        <f>'побудинковий звіт'!CV41</f>
        <v>189518.21209334343</v>
      </c>
      <c r="F43" s="334">
        <f t="shared" si="0"/>
        <v>-48876.675591970503</v>
      </c>
      <c r="G43" s="351">
        <f t="shared" si="1"/>
        <v>0.79497599102675098</v>
      </c>
      <c r="H43" s="345">
        <f>('побудинковий звіт'!AS41+'побудинковий звіт'!BQ41)*1.2</f>
        <v>83919.591113329996</v>
      </c>
      <c r="I43" s="333">
        <f>('побудинковий звіт'!AT41+'побудинковий звіт'!BR41)*1.2</f>
        <v>13479.595412133727</v>
      </c>
      <c r="J43" s="333">
        <f t="shared" si="2"/>
        <v>-70439.995701196269</v>
      </c>
      <c r="K43" s="354">
        <f t="shared" si="3"/>
        <v>0.16062513214500868</v>
      </c>
      <c r="L43" s="356">
        <f>'побудинковий звіт'!DE41</f>
        <v>47124.14</v>
      </c>
      <c r="M43" s="364">
        <f>'побудинковий звіт'!DA41*-1</f>
        <v>-7076.5487645191242</v>
      </c>
    </row>
    <row r="44" spans="1:13" ht="20.100000000000001" customHeight="1" x14ac:dyDescent="0.3">
      <c r="A44" s="359" t="s">
        <v>493</v>
      </c>
      <c r="B44" s="298" t="s">
        <v>346</v>
      </c>
      <c r="C44" s="360">
        <v>9</v>
      </c>
      <c r="D44" s="350">
        <f>'побудинковий звіт'!CU42</f>
        <v>232905.83329744393</v>
      </c>
      <c r="E44" s="334">
        <f>'побудинковий звіт'!CV42</f>
        <v>205346.75646816165</v>
      </c>
      <c r="F44" s="334">
        <f t="shared" si="0"/>
        <v>-27559.076829282276</v>
      </c>
      <c r="G44" s="351">
        <f t="shared" si="1"/>
        <v>0.881672878523027</v>
      </c>
      <c r="H44" s="345">
        <f>('побудинковий звіт'!AS42+'побудинковий звіт'!BQ42)*1.2</f>
        <v>75697.341674366035</v>
      </c>
      <c r="I44" s="333">
        <f>('побудинковий звіт'!AT42+'побудинковий звіт'!BR42)*1.2</f>
        <v>34085.462993267727</v>
      </c>
      <c r="J44" s="333">
        <f t="shared" si="2"/>
        <v>-41611.878681098307</v>
      </c>
      <c r="K44" s="354">
        <f t="shared" si="3"/>
        <v>0.45028612946404623</v>
      </c>
      <c r="L44" s="356">
        <f>'побудинковий звіт'!DE42</f>
        <v>73829.08</v>
      </c>
      <c r="M44" s="363">
        <f>'побудинковий звіт'!DA42*-1</f>
        <v>-27598.151587875065</v>
      </c>
    </row>
    <row r="45" spans="1:13" ht="20.100000000000001" customHeight="1" x14ac:dyDescent="0.3">
      <c r="A45" s="359" t="s">
        <v>494</v>
      </c>
      <c r="B45" s="298" t="s">
        <v>245</v>
      </c>
      <c r="C45" s="360">
        <v>5</v>
      </c>
      <c r="D45" s="350">
        <f>'побудинковий звіт'!CU43</f>
        <v>248919.14168392305</v>
      </c>
      <c r="E45" s="334">
        <f>'побудинковий звіт'!CV43</f>
        <v>264273.77306621626</v>
      </c>
      <c r="F45" s="334">
        <f t="shared" si="0"/>
        <v>15354.631382293213</v>
      </c>
      <c r="G45" s="351">
        <f t="shared" si="1"/>
        <v>1.0616852174502132</v>
      </c>
      <c r="H45" s="345">
        <f>('побудинковий звіт'!AS43+'побудинковий звіт'!BQ43)*1.2</f>
        <v>85256.390077478791</v>
      </c>
      <c r="I45" s="333">
        <f>('побудинковий звіт'!AT43+'побудинковий звіт'!BR43)*1.2</f>
        <v>78713.724146236971</v>
      </c>
      <c r="J45" s="333">
        <f t="shared" si="2"/>
        <v>-6542.6659312418196</v>
      </c>
      <c r="K45" s="354">
        <f t="shared" si="3"/>
        <v>0.92325893783098234</v>
      </c>
      <c r="L45" s="356">
        <f>'побудинковий звіт'!DE43</f>
        <v>90578.319999999992</v>
      </c>
      <c r="M45" s="363">
        <f>'побудинковий звіт'!DA43*-1</f>
        <v>-3739.9205871587983</v>
      </c>
    </row>
    <row r="46" spans="1:13" ht="20.100000000000001" customHeight="1" x14ac:dyDescent="0.3">
      <c r="A46" s="359" t="s">
        <v>495</v>
      </c>
      <c r="B46" s="298" t="s">
        <v>50</v>
      </c>
      <c r="C46" s="360">
        <v>1</v>
      </c>
      <c r="D46" s="350">
        <f>'побудинковий звіт'!CU44</f>
        <v>225153.86708467107</v>
      </c>
      <c r="E46" s="334">
        <f>'побудинковий звіт'!CV44</f>
        <v>243071.92902062446</v>
      </c>
      <c r="F46" s="334">
        <f t="shared" si="0"/>
        <v>17918.061935953388</v>
      </c>
      <c r="G46" s="351">
        <f t="shared" si="1"/>
        <v>1.079581408784843</v>
      </c>
      <c r="H46" s="345">
        <f>('побудинковий звіт'!AS44+'побудинковий звіт'!BQ44)*1.2</f>
        <v>81145.397350598607</v>
      </c>
      <c r="I46" s="333">
        <f>('побудинковий звіт'!AT44+'побудинковий звіт'!BR44)*1.2</f>
        <v>80122.276929508487</v>
      </c>
      <c r="J46" s="333">
        <f t="shared" si="2"/>
        <v>-1023.1204210901196</v>
      </c>
      <c r="K46" s="354">
        <f t="shared" si="3"/>
        <v>0.9873915162844098</v>
      </c>
      <c r="L46" s="356">
        <f>'побудинковий звіт'!DE44</f>
        <v>15952.570000000003</v>
      </c>
      <c r="M46" s="363">
        <f>'побудинковий звіт'!DA44*-1</f>
        <v>-26303.566410180665</v>
      </c>
    </row>
    <row r="47" spans="1:13" ht="20.100000000000001" customHeight="1" x14ac:dyDescent="0.3">
      <c r="A47" s="359" t="s">
        <v>496</v>
      </c>
      <c r="B47" s="298" t="s">
        <v>51</v>
      </c>
      <c r="C47" s="360">
        <v>1</v>
      </c>
      <c r="D47" s="350">
        <f>'побудинковий звіт'!CU45</f>
        <v>415395.90134585759</v>
      </c>
      <c r="E47" s="334">
        <f>'побудинковий звіт'!CV45</f>
        <v>406965.22287698754</v>
      </c>
      <c r="F47" s="334">
        <f t="shared" si="0"/>
        <v>-8430.6784688700573</v>
      </c>
      <c r="G47" s="351">
        <f t="shared" si="1"/>
        <v>0.97970447363212976</v>
      </c>
      <c r="H47" s="345">
        <f>('побудинковий звіт'!AS45+'побудинковий звіт'!BQ45)*1.2</f>
        <v>84838.321262002923</v>
      </c>
      <c r="I47" s="333">
        <f>('побудинковий звіт'!AT45+'побудинковий звіт'!BR45)*1.2</f>
        <v>37571.858394012219</v>
      </c>
      <c r="J47" s="333">
        <f t="shared" si="2"/>
        <v>-47266.462867990704</v>
      </c>
      <c r="K47" s="354">
        <f t="shared" si="3"/>
        <v>0.44286423676372016</v>
      </c>
      <c r="L47" s="356">
        <f>'побудинковий звіт'!DE45</f>
        <v>58569.38</v>
      </c>
      <c r="M47" s="363">
        <f>'побудинковий звіт'!DA45*-1</f>
        <v>-28616.989886354713</v>
      </c>
    </row>
    <row r="48" spans="1:13" ht="20.100000000000001" customHeight="1" x14ac:dyDescent="0.3">
      <c r="A48" s="359" t="s">
        <v>497</v>
      </c>
      <c r="B48" s="298" t="s">
        <v>246</v>
      </c>
      <c r="C48" s="360">
        <v>5</v>
      </c>
      <c r="D48" s="350">
        <f>'побудинковий звіт'!CU46</f>
        <v>32616.255455990733</v>
      </c>
      <c r="E48" s="334">
        <f>'побудинковий звіт'!CV46</f>
        <v>31733.606345862587</v>
      </c>
      <c r="F48" s="334">
        <f t="shared" si="0"/>
        <v>-882.64911012814628</v>
      </c>
      <c r="G48" s="351">
        <f t="shared" si="1"/>
        <v>0.97293836776207776</v>
      </c>
      <c r="H48" s="345">
        <f>('побудинковий звіт'!AS46+'побудинковий звіт'!BQ46)*1.2</f>
        <v>8358.8569554053065</v>
      </c>
      <c r="I48" s="333">
        <f>('побудинковий звіт'!AT46+'побудинковий звіт'!BR46)*1.2</f>
        <v>1619.5646774802578</v>
      </c>
      <c r="J48" s="333">
        <f t="shared" si="2"/>
        <v>-6739.2922779250484</v>
      </c>
      <c r="K48" s="354">
        <f t="shared" si="3"/>
        <v>0.19375432384124677</v>
      </c>
      <c r="L48" s="356">
        <f>'побудинковий звіт'!DE46</f>
        <v>16477.27</v>
      </c>
      <c r="M48" s="363">
        <f>'побудинковий звіт'!DA46*-1</f>
        <v>5537.3112576816748</v>
      </c>
    </row>
    <row r="49" spans="1:13" ht="20.100000000000001" customHeight="1" x14ac:dyDescent="0.3">
      <c r="A49" s="359" t="s">
        <v>498</v>
      </c>
      <c r="B49" s="298" t="s">
        <v>206</v>
      </c>
      <c r="C49" s="360">
        <v>4</v>
      </c>
      <c r="D49" s="350">
        <f>'побудинковий звіт'!CU47</f>
        <v>31897.120772781564</v>
      </c>
      <c r="E49" s="334">
        <f>'побудинковий звіт'!CV47</f>
        <v>30965.053328319635</v>
      </c>
      <c r="F49" s="334">
        <f t="shared" si="0"/>
        <v>-932.06744446192897</v>
      </c>
      <c r="G49" s="351">
        <f t="shared" si="1"/>
        <v>0.97077894738206971</v>
      </c>
      <c r="H49" s="345">
        <f>('побудинковий звіт'!AS47+'побудинковий звіт'!BQ47)*1.2</f>
        <v>8213.1236808963367</v>
      </c>
      <c r="I49" s="333">
        <f>('побудинковий звіт'!AT47+'побудинковий звіт'!BR47)*1.2</f>
        <v>137.17613070841182</v>
      </c>
      <c r="J49" s="333">
        <f t="shared" si="2"/>
        <v>-8075.9475501879251</v>
      </c>
      <c r="K49" s="354">
        <f t="shared" si="3"/>
        <v>1.6702065625467499E-2</v>
      </c>
      <c r="L49" s="356">
        <f>'побудинковий звіт'!DE47</f>
        <v>23601.67</v>
      </c>
      <c r="M49" s="363">
        <f>'побудинковий звіт'!DA47*-1</f>
        <v>7689.6360398084153</v>
      </c>
    </row>
    <row r="50" spans="1:13" ht="20.100000000000001" customHeight="1" x14ac:dyDescent="0.3">
      <c r="A50" s="359" t="s">
        <v>499</v>
      </c>
      <c r="B50" s="298" t="s">
        <v>247</v>
      </c>
      <c r="C50" s="360">
        <v>5</v>
      </c>
      <c r="D50" s="350">
        <f>'побудинковий звіт'!CU48</f>
        <v>367452.89037478674</v>
      </c>
      <c r="E50" s="334">
        <f>'побудинковий звіт'!CV48</f>
        <v>357214.06387210812</v>
      </c>
      <c r="F50" s="334">
        <f t="shared" si="0"/>
        <v>-10238.826502678625</v>
      </c>
      <c r="G50" s="351">
        <f t="shared" si="1"/>
        <v>0.97213567569917481</v>
      </c>
      <c r="H50" s="345">
        <f>('побудинковий звіт'!AS48+'побудинковий звіт'!BQ48)*1.2</f>
        <v>72527.289744673617</v>
      </c>
      <c r="I50" s="333">
        <f>('побудинковий звіт'!AT48+'побудинковий звіт'!BR48)*1.2</f>
        <v>25321.102483177743</v>
      </c>
      <c r="J50" s="333">
        <f t="shared" si="2"/>
        <v>-47206.18726149587</v>
      </c>
      <c r="K50" s="354">
        <f t="shared" si="3"/>
        <v>0.34912517167425683</v>
      </c>
      <c r="L50" s="356">
        <f>'побудинковий звіт'!DE48</f>
        <v>50771.95</v>
      </c>
      <c r="M50" s="364">
        <f>'побудинковий звіт'!DA48*-1</f>
        <v>-76395.255691130078</v>
      </c>
    </row>
    <row r="51" spans="1:13" ht="20.100000000000001" customHeight="1" x14ac:dyDescent="0.3">
      <c r="A51" s="359" t="s">
        <v>500</v>
      </c>
      <c r="B51" s="298" t="s">
        <v>52</v>
      </c>
      <c r="C51" s="360">
        <v>1</v>
      </c>
      <c r="D51" s="350" t="e">
        <f>'побудинковий звіт'!#REF!</f>
        <v>#REF!</v>
      </c>
      <c r="E51" s="334" t="e">
        <f>'побудинковий звіт'!#REF!</f>
        <v>#REF!</v>
      </c>
      <c r="F51" s="334" t="e">
        <f t="shared" si="0"/>
        <v>#REF!</v>
      </c>
      <c r="G51" s="351" t="e">
        <f t="shared" si="1"/>
        <v>#REF!</v>
      </c>
      <c r="H51" s="345" t="e">
        <f>('побудинковий звіт'!#REF!+'побудинковий звіт'!#REF!)*1.2</f>
        <v>#REF!</v>
      </c>
      <c r="I51" s="333" t="e">
        <f>('побудинковий звіт'!#REF!+'побудинковий звіт'!#REF!)*1.2</f>
        <v>#REF!</v>
      </c>
      <c r="J51" s="333" t="e">
        <f t="shared" si="2"/>
        <v>#REF!</v>
      </c>
      <c r="K51" s="354" t="e">
        <f t="shared" si="3"/>
        <v>#REF!</v>
      </c>
      <c r="L51" s="356" t="e">
        <f>'побудинковий звіт'!#REF!</f>
        <v>#REF!</v>
      </c>
      <c r="M51" s="363" t="e">
        <f>'побудинковий звіт'!#REF!*-1</f>
        <v>#REF!</v>
      </c>
    </row>
    <row r="52" spans="1:13" ht="20.100000000000001" customHeight="1" x14ac:dyDescent="0.3">
      <c r="A52" s="359" t="s">
        <v>501</v>
      </c>
      <c r="B52" s="298" t="s">
        <v>248</v>
      </c>
      <c r="C52" s="360">
        <v>5</v>
      </c>
      <c r="D52" s="350">
        <f>'побудинковий звіт'!CU49</f>
        <v>58060.766670318415</v>
      </c>
      <c r="E52" s="334">
        <f>'побудинковий звіт'!CV49</f>
        <v>52085.587802771384</v>
      </c>
      <c r="F52" s="334">
        <f t="shared" si="0"/>
        <v>-5975.1788675470307</v>
      </c>
      <c r="G52" s="351">
        <f t="shared" si="1"/>
        <v>0.89708749625241102</v>
      </c>
      <c r="H52" s="345">
        <f>('побудинковий звіт'!AS49+'побудинковий звіт'!BQ49)*1.2</f>
        <v>15160.543523420216</v>
      </c>
      <c r="I52" s="333">
        <f>('побудинковий звіт'!AT49+'побудинковий звіт'!BR49)*1.2</f>
        <v>1239.8829721118084</v>
      </c>
      <c r="J52" s="333">
        <f t="shared" si="2"/>
        <v>-13920.660551308407</v>
      </c>
      <c r="K52" s="354">
        <f t="shared" si="3"/>
        <v>8.1783543591060576E-2</v>
      </c>
      <c r="L52" s="356">
        <f>'побудинковий звіт'!DE49</f>
        <v>1164.4800000000005</v>
      </c>
      <c r="M52" s="363">
        <f>'побудинковий звіт'!DA49*-1</f>
        <v>-814.03907274215453</v>
      </c>
    </row>
    <row r="53" spans="1:13" ht="20.100000000000001" customHeight="1" x14ac:dyDescent="0.3">
      <c r="A53" s="359" t="s">
        <v>502</v>
      </c>
      <c r="B53" s="298" t="s">
        <v>249</v>
      </c>
      <c r="C53" s="360">
        <v>5</v>
      </c>
      <c r="D53" s="350">
        <f>'побудинковий звіт'!CU50</f>
        <v>4250.4560275571985</v>
      </c>
      <c r="E53" s="334">
        <f>'побудинковий звіт'!CV50</f>
        <v>8679.3300347068362</v>
      </c>
      <c r="F53" s="334">
        <f t="shared" si="0"/>
        <v>4428.8740071496377</v>
      </c>
      <c r="G53" s="351">
        <f t="shared" si="1"/>
        <v>2.0419761970093782</v>
      </c>
      <c r="H53" s="345">
        <f>('побудинковий звіт'!AS50+'побудинковий звіт'!BQ50)*1.2</f>
        <v>3574.6508723868765</v>
      </c>
      <c r="I53" s="333">
        <f>('побудинковий звіт'!AT50+'побудинковий звіт'!BR50)*1.2</f>
        <v>8104.3837624713642</v>
      </c>
      <c r="J53" s="333">
        <f t="shared" si="2"/>
        <v>4529.7328900844877</v>
      </c>
      <c r="K53" s="354">
        <f t="shared" si="3"/>
        <v>2.2671819016159978</v>
      </c>
      <c r="L53" s="356">
        <f>'побудинковий звіт'!DE50</f>
        <v>45.120000000000005</v>
      </c>
      <c r="M53" s="363">
        <f>'побудинковий звіт'!DA50*-1</f>
        <v>640.80728191420712</v>
      </c>
    </row>
    <row r="54" spans="1:13" ht="20.100000000000001" customHeight="1" x14ac:dyDescent="0.3">
      <c r="A54" s="359" t="s">
        <v>503</v>
      </c>
      <c r="B54" s="298" t="s">
        <v>250</v>
      </c>
      <c r="C54" s="360">
        <v>5</v>
      </c>
      <c r="D54" s="350">
        <f>'побудинковий звіт'!CU51</f>
        <v>169762.30161942268</v>
      </c>
      <c r="E54" s="334">
        <f>'побудинковий звіт'!CV51</f>
        <v>167780.55349886953</v>
      </c>
      <c r="F54" s="334">
        <f t="shared" si="0"/>
        <v>-1981.7481205531512</v>
      </c>
      <c r="G54" s="351">
        <f t="shared" si="1"/>
        <v>0.98832633569615547</v>
      </c>
      <c r="H54" s="345">
        <f>('побудинковий звіт'!AS51+'побудинковий звіт'!BQ51)*1.2</f>
        <v>47409.890623029423</v>
      </c>
      <c r="I54" s="333">
        <f>('побудинковий звіт'!AT51+'побудинковий звіт'!BR51)*1.2</f>
        <v>14996.22286299696</v>
      </c>
      <c r="J54" s="333">
        <f t="shared" si="2"/>
        <v>-32413.667760032462</v>
      </c>
      <c r="K54" s="354">
        <f t="shared" si="3"/>
        <v>0.3163100075939117</v>
      </c>
      <c r="L54" s="356">
        <f>'побудинковий звіт'!DE51</f>
        <v>23844.379999999997</v>
      </c>
      <c r="M54" s="363">
        <f>'побудинковий звіт'!DA51*-1</f>
        <v>553.04235046426766</v>
      </c>
    </row>
    <row r="55" spans="1:13" ht="20.100000000000001" customHeight="1" x14ac:dyDescent="0.3">
      <c r="A55" s="359" t="s">
        <v>504</v>
      </c>
      <c r="B55" s="298" t="s">
        <v>333</v>
      </c>
      <c r="C55" s="360">
        <v>6</v>
      </c>
      <c r="D55" s="350">
        <f>'побудинковий звіт'!CU52</f>
        <v>111307.80024764421</v>
      </c>
      <c r="E55" s="334">
        <f>'побудинковий звіт'!CV52</f>
        <v>102401.07504278389</v>
      </c>
      <c r="F55" s="334">
        <f t="shared" si="0"/>
        <v>-8906.7252048603114</v>
      </c>
      <c r="G55" s="351">
        <f t="shared" si="1"/>
        <v>0.9199811227511091</v>
      </c>
      <c r="H55" s="345">
        <f>('побудинковий звіт'!AS52+'побудинковий звіт'!BQ52)*1.2</f>
        <v>34170.915425170766</v>
      </c>
      <c r="I55" s="333">
        <f>('побудинковий звіт'!AT52+'побудинковий звіт'!BR52)*1.2</f>
        <v>21760.574635615118</v>
      </c>
      <c r="J55" s="333">
        <f t="shared" si="2"/>
        <v>-12410.340789555648</v>
      </c>
      <c r="K55" s="354">
        <f t="shared" si="3"/>
        <v>0.63681567686612162</v>
      </c>
      <c r="L55" s="356">
        <f>'побудинковий звіт'!DE52</f>
        <v>18962.53</v>
      </c>
      <c r="M55" s="364">
        <f>'побудинковий звіт'!DA52*-1</f>
        <v>25374.540615562102</v>
      </c>
    </row>
    <row r="56" spans="1:13" ht="20.100000000000001" customHeight="1" x14ac:dyDescent="0.3">
      <c r="A56" s="359" t="s">
        <v>505</v>
      </c>
      <c r="B56" s="298" t="s">
        <v>207</v>
      </c>
      <c r="C56" s="360">
        <v>4</v>
      </c>
      <c r="D56" s="350">
        <f>'побудинковий звіт'!CU53</f>
        <v>346417.58865828696</v>
      </c>
      <c r="E56" s="334">
        <f>'побудинковий звіт'!CV53</f>
        <v>289234.33992505155</v>
      </c>
      <c r="F56" s="334">
        <f t="shared" si="0"/>
        <v>-57183.248733235407</v>
      </c>
      <c r="G56" s="351">
        <f t="shared" si="1"/>
        <v>0.83492971891319845</v>
      </c>
      <c r="H56" s="345">
        <f>('побудинковий звіт'!AS53+'побудинковий звіт'!BQ53)*1.2</f>
        <v>101158.68519939855</v>
      </c>
      <c r="I56" s="333">
        <f>('побудинковий звіт'!AT53+'побудинковий звіт'!BR53)*1.2</f>
        <v>11245.228477041286</v>
      </c>
      <c r="J56" s="333">
        <f t="shared" si="2"/>
        <v>-89913.456722357267</v>
      </c>
      <c r="K56" s="354">
        <f t="shared" si="3"/>
        <v>0.111164241161056</v>
      </c>
      <c r="L56" s="356">
        <f>'побудинковий звіт'!DE53</f>
        <v>33098.25</v>
      </c>
      <c r="M56" s="363">
        <f>'побудинковий звіт'!DA53*-1</f>
        <v>-15016.762944657559</v>
      </c>
    </row>
    <row r="57" spans="1:13" ht="20.100000000000001" customHeight="1" x14ac:dyDescent="0.3">
      <c r="A57" s="359" t="s">
        <v>506</v>
      </c>
      <c r="B57" s="298" t="s">
        <v>151</v>
      </c>
      <c r="C57" s="360">
        <v>2</v>
      </c>
      <c r="D57" s="350">
        <f>'побудинковий звіт'!CU54</f>
        <v>5225.3530084799868</v>
      </c>
      <c r="E57" s="334">
        <f>'побудинковий звіт'!CV54</f>
        <v>1888.0807276048031</v>
      </c>
      <c r="F57" s="334">
        <f t="shared" si="0"/>
        <v>-3337.2722808751837</v>
      </c>
      <c r="G57" s="351">
        <f t="shared" si="1"/>
        <v>0.36133075115513213</v>
      </c>
      <c r="H57" s="345">
        <f>('побудинковий звіт'!AS54+'побудинковий звіт'!BQ54)*1.2</f>
        <v>4375.1680814745214</v>
      </c>
      <c r="I57" s="333">
        <f>('побудинковий звіт'!AT54+'побудинковий звіт'!BR54)*1.2</f>
        <v>0</v>
      </c>
      <c r="J57" s="333">
        <f t="shared" si="2"/>
        <v>-4375.1680814745214</v>
      </c>
      <c r="K57" s="354">
        <f t="shared" si="3"/>
        <v>0</v>
      </c>
      <c r="L57" s="356">
        <f>'побудинковий звіт'!DE54</f>
        <v>643.24999999999989</v>
      </c>
      <c r="M57" s="363">
        <f>'побудинковий звіт'!DA54*-1</f>
        <v>9404.6621392878696</v>
      </c>
    </row>
    <row r="58" spans="1:13" ht="20.100000000000001" customHeight="1" x14ac:dyDescent="0.3">
      <c r="A58" s="359" t="s">
        <v>507</v>
      </c>
      <c r="B58" s="298" t="s">
        <v>53</v>
      </c>
      <c r="C58" s="360">
        <v>1</v>
      </c>
      <c r="D58" s="350">
        <f>'побудинковий звіт'!CU55</f>
        <v>5269.0342429316988</v>
      </c>
      <c r="E58" s="334">
        <f>'побудинковий звіт'!CV55</f>
        <v>20174.584141263567</v>
      </c>
      <c r="F58" s="334">
        <f t="shared" si="0"/>
        <v>14905.549898331868</v>
      </c>
      <c r="G58" s="351">
        <f t="shared" si="1"/>
        <v>3.8288960008804946</v>
      </c>
      <c r="H58" s="345">
        <f>('побудинковий звіт'!AS55+'побудинковий звіт'!BQ55)*1.2</f>
        <v>4381.3409571198499</v>
      </c>
      <c r="I58" s="333">
        <f>('побудинковий звіт'!AT55+'побудинковий звіт'!BR55)*1.2</f>
        <v>16588.741709705926</v>
      </c>
      <c r="J58" s="333">
        <f t="shared" si="2"/>
        <v>12207.400752586076</v>
      </c>
      <c r="K58" s="354">
        <f t="shared" si="3"/>
        <v>3.7862247818783823</v>
      </c>
      <c r="L58" s="356">
        <f>'побудинковий звіт'!DE55</f>
        <v>25.089999999999918</v>
      </c>
      <c r="M58" s="363">
        <f>'побудинковий звіт'!DA55*-1</f>
        <v>-6632.6421197356067</v>
      </c>
    </row>
    <row r="59" spans="1:13" ht="20.100000000000001" customHeight="1" x14ac:dyDescent="0.3">
      <c r="A59" s="359" t="s">
        <v>508</v>
      </c>
      <c r="B59" s="298" t="s">
        <v>54</v>
      </c>
      <c r="C59" s="360">
        <v>1</v>
      </c>
      <c r="D59" s="350">
        <f>'побудинковий звіт'!CU56</f>
        <v>5422.003871017966</v>
      </c>
      <c r="E59" s="334">
        <f>'побудинковий звіт'!CV56</f>
        <v>1206.2169281356105</v>
      </c>
      <c r="F59" s="334">
        <f t="shared" si="0"/>
        <v>-4215.786942882356</v>
      </c>
      <c r="G59" s="351">
        <f t="shared" si="1"/>
        <v>0.22246699870192949</v>
      </c>
      <c r="H59" s="345">
        <f>('побудинковий звіт'!AS56+'побудинковий звіт'!BQ56)*1.2</f>
        <v>4622.8166733433645</v>
      </c>
      <c r="I59" s="333">
        <f>('побудинковий звіт'!AT56+'побудинковий звіт'!BR56)*1.2</f>
        <v>0</v>
      </c>
      <c r="J59" s="333">
        <f t="shared" si="2"/>
        <v>-4622.8166733433645</v>
      </c>
      <c r="K59" s="354">
        <f t="shared" si="3"/>
        <v>0</v>
      </c>
      <c r="L59" s="356">
        <f>'побудинковий звіт'!DE56</f>
        <v>-82.310000000000059</v>
      </c>
      <c r="M59" s="363">
        <f>'побудинковий звіт'!DA56*-1</f>
        <v>2667.6621087864096</v>
      </c>
    </row>
    <row r="60" spans="1:13" ht="20.100000000000001" customHeight="1" x14ac:dyDescent="0.3">
      <c r="A60" s="359" t="s">
        <v>509</v>
      </c>
      <c r="B60" s="298" t="s">
        <v>251</v>
      </c>
      <c r="C60" s="360">
        <v>5</v>
      </c>
      <c r="D60" s="350">
        <f>'побудинковий звіт'!CU57</f>
        <v>5428.9486192394425</v>
      </c>
      <c r="E60" s="334">
        <f>'побудинковий звіт'!CV57</f>
        <v>3750.6388568293169</v>
      </c>
      <c r="F60" s="334">
        <f t="shared" si="0"/>
        <v>-1678.3097624101256</v>
      </c>
      <c r="G60" s="351">
        <f t="shared" si="1"/>
        <v>0.69085915522161545</v>
      </c>
      <c r="H60" s="345">
        <f>('побудинковий звіт'!AS57+'побудинковий звіт'!BQ57)*1.2</f>
        <v>4082.3702282864933</v>
      </c>
      <c r="I60" s="333">
        <f>('побудинковий звіт'!AT57+'побудинковий звіт'!BR57)*1.2</f>
        <v>0</v>
      </c>
      <c r="J60" s="333">
        <f t="shared" si="2"/>
        <v>-4082.3702282864933</v>
      </c>
      <c r="K60" s="354">
        <f t="shared" si="3"/>
        <v>0</v>
      </c>
      <c r="L60" s="356">
        <f>'побудинковий звіт'!DE57</f>
        <v>-342.35</v>
      </c>
      <c r="M60" s="363">
        <f>'побудинковий звіт'!DA57*-1</f>
        <v>4042.1415171341337</v>
      </c>
    </row>
    <row r="61" spans="1:13" ht="20.100000000000001" customHeight="1" x14ac:dyDescent="0.3">
      <c r="A61" s="359" t="s">
        <v>510</v>
      </c>
      <c r="B61" s="298" t="s">
        <v>194</v>
      </c>
      <c r="C61" s="360">
        <v>3</v>
      </c>
      <c r="D61" s="350">
        <f>'побудинковий звіт'!CU58</f>
        <v>3240.5851779411541</v>
      </c>
      <c r="E61" s="334">
        <f>'побудинковий звіт'!CV58</f>
        <v>733.33549085816537</v>
      </c>
      <c r="F61" s="334">
        <f t="shared" si="0"/>
        <v>-2507.2496870829887</v>
      </c>
      <c r="G61" s="351">
        <f t="shared" si="1"/>
        <v>0.22629724280973121</v>
      </c>
      <c r="H61" s="345">
        <f>('побудинковий звіт'!AS58+'побудинковий звіт'!BQ58)*1.2</f>
        <v>2660.5956783616602</v>
      </c>
      <c r="I61" s="333">
        <f>('побудинковий звіт'!AT58+'побудинковий звіт'!BR58)*1.2</f>
        <v>0</v>
      </c>
      <c r="J61" s="333">
        <f t="shared" si="2"/>
        <v>-2660.5956783616602</v>
      </c>
      <c r="K61" s="354">
        <f t="shared" si="3"/>
        <v>0</v>
      </c>
      <c r="L61" s="356">
        <f>'побудинковий звіт'!DE58</f>
        <v>119.15000000000003</v>
      </c>
      <c r="M61" s="363">
        <f>'побудинковий звіт'!DA58*-1</f>
        <v>8986.9722300310677</v>
      </c>
    </row>
    <row r="62" spans="1:13" ht="20.100000000000001" customHeight="1" x14ac:dyDescent="0.3">
      <c r="A62" s="359" t="s">
        <v>511</v>
      </c>
      <c r="B62" s="298" t="s">
        <v>412</v>
      </c>
      <c r="C62" s="360">
        <v>10</v>
      </c>
      <c r="D62" s="350">
        <f>'побудинковий звіт'!CU59</f>
        <v>5255.1563196647858</v>
      </c>
      <c r="E62" s="334">
        <f>'побудинковий звіт'!CV59</f>
        <v>2401.463415786583</v>
      </c>
      <c r="F62" s="334">
        <f t="shared" si="0"/>
        <v>-2853.6929038782027</v>
      </c>
      <c r="G62" s="351">
        <f t="shared" si="1"/>
        <v>0.45697278438708117</v>
      </c>
      <c r="H62" s="345">
        <f>('побудинковий звіт'!AS59+'побудинковий звіт'!BQ59)*1.2</f>
        <v>4096.5240938070538</v>
      </c>
      <c r="I62" s="333">
        <f>('побудинковий звіт'!AT59+'побудинковий звіт'!BR59)*1.2</f>
        <v>0</v>
      </c>
      <c r="J62" s="333">
        <f t="shared" si="2"/>
        <v>-4096.5240938070538</v>
      </c>
      <c r="K62" s="354">
        <f t="shared" si="3"/>
        <v>0</v>
      </c>
      <c r="L62" s="356">
        <f>'побудинковий звіт'!DE59</f>
        <v>115.13999999999999</v>
      </c>
      <c r="M62" s="363">
        <f>'побудинковий звіт'!DA59*-1</f>
        <v>-787.71112201289498</v>
      </c>
    </row>
    <row r="63" spans="1:13" ht="20.100000000000001" customHeight="1" x14ac:dyDescent="0.3">
      <c r="A63" s="359" t="s">
        <v>512</v>
      </c>
      <c r="B63" s="298" t="s">
        <v>252</v>
      </c>
      <c r="C63" s="360">
        <v>5</v>
      </c>
      <c r="D63" s="350">
        <f>'побудинковий звіт'!CU60</f>
        <v>138795.0446085046</v>
      </c>
      <c r="E63" s="334">
        <f>'побудинковий звіт'!CV60</f>
        <v>172865.16389694237</v>
      </c>
      <c r="F63" s="334">
        <f t="shared" si="0"/>
        <v>34070.119288437767</v>
      </c>
      <c r="G63" s="351">
        <f t="shared" si="1"/>
        <v>1.2454707182416953</v>
      </c>
      <c r="H63" s="345">
        <f>('побудинковий звіт'!AS60+'побудинковий звіт'!BQ60)*1.2</f>
        <v>32769.520836103809</v>
      </c>
      <c r="I63" s="333">
        <f>('побудинковий звіт'!AT60+'побудинковий звіт'!BR60)*1.2</f>
        <v>60974.74099339755</v>
      </c>
      <c r="J63" s="333">
        <f t="shared" si="2"/>
        <v>28205.220157293741</v>
      </c>
      <c r="K63" s="354">
        <f t="shared" si="3"/>
        <v>1.860715061973645</v>
      </c>
      <c r="L63" s="356">
        <f>'побудинковий звіт'!DE60</f>
        <v>18947.349999999999</v>
      </c>
      <c r="M63" s="363">
        <f>'побудинковий звіт'!DA60*-1</f>
        <v>-50600.264235623996</v>
      </c>
    </row>
    <row r="64" spans="1:13" ht="20.100000000000001" customHeight="1" x14ac:dyDescent="0.3">
      <c r="A64" s="359" t="s">
        <v>513</v>
      </c>
      <c r="B64" s="298" t="s">
        <v>56</v>
      </c>
      <c r="C64" s="360">
        <v>1</v>
      </c>
      <c r="D64" s="350" t="e">
        <f>'побудинковий звіт'!#REF!</f>
        <v>#REF!</v>
      </c>
      <c r="E64" s="334" t="e">
        <f>'побудинковий звіт'!#REF!</f>
        <v>#REF!</v>
      </c>
      <c r="F64" s="334" t="e">
        <f t="shared" si="0"/>
        <v>#REF!</v>
      </c>
      <c r="G64" s="351" t="e">
        <f t="shared" si="1"/>
        <v>#REF!</v>
      </c>
      <c r="H64" s="345" t="e">
        <f>('побудинковий звіт'!#REF!+'побудинковий звіт'!#REF!)*1.2</f>
        <v>#REF!</v>
      </c>
      <c r="I64" s="333" t="e">
        <f>('побудинковий звіт'!#REF!+'побудинковий звіт'!#REF!)*1.2</f>
        <v>#REF!</v>
      </c>
      <c r="J64" s="333" t="e">
        <f t="shared" si="2"/>
        <v>#REF!</v>
      </c>
      <c r="K64" s="354" t="e">
        <f t="shared" si="3"/>
        <v>#REF!</v>
      </c>
      <c r="L64" s="356" t="e">
        <f>'побудинковий звіт'!#REF!</f>
        <v>#REF!</v>
      </c>
      <c r="M64" s="363" t="e">
        <f>'побудинковий звіт'!#REF!*-1</f>
        <v>#REF!</v>
      </c>
    </row>
    <row r="65" spans="1:13" ht="20.100000000000001" customHeight="1" x14ac:dyDescent="0.3">
      <c r="A65" s="359" t="s">
        <v>514</v>
      </c>
      <c r="B65" s="298" t="s">
        <v>57</v>
      </c>
      <c r="C65" s="360">
        <v>1</v>
      </c>
      <c r="D65" s="350">
        <f>'побудинковий звіт'!CU61</f>
        <v>180197.12144282108</v>
      </c>
      <c r="E65" s="334">
        <f>'побудинковий звіт'!CV61</f>
        <v>167382.24632001136</v>
      </c>
      <c r="F65" s="334">
        <f t="shared" ref="F65:F116" si="4">E65-D65</f>
        <v>-12814.875122809724</v>
      </c>
      <c r="G65" s="351">
        <f t="shared" ref="G65:G116" si="5">E65/D65</f>
        <v>0.92888412966754275</v>
      </c>
      <c r="H65" s="345">
        <f>('побудинковий звіт'!AS61+'побудинковий звіт'!BQ61)*1.2</f>
        <v>40778.365536846854</v>
      </c>
      <c r="I65" s="333">
        <f>('побудинковий звіт'!AT61+'побудинковий звіт'!BR61)*1.2</f>
        <v>5398.8985160187704</v>
      </c>
      <c r="J65" s="333">
        <f t="shared" ref="J65:J116" si="6">I65-H65</f>
        <v>-35379.46702082808</v>
      </c>
      <c r="K65" s="354">
        <f t="shared" ref="K65:K116" si="7">I65/H65</f>
        <v>0.13239614793144147</v>
      </c>
      <c r="L65" s="356">
        <f>'побудинковий звіт'!DE61</f>
        <v>3186.8199999999997</v>
      </c>
      <c r="M65" s="363">
        <f>'побудинковий звіт'!DA61*-1</f>
        <v>-4644.5610457986331</v>
      </c>
    </row>
    <row r="66" spans="1:13" ht="20.100000000000001" customHeight="1" x14ac:dyDescent="0.3">
      <c r="A66" s="359" t="s">
        <v>515</v>
      </c>
      <c r="B66" s="298" t="s">
        <v>60</v>
      </c>
      <c r="C66" s="360">
        <v>1</v>
      </c>
      <c r="D66" s="350" t="e">
        <f>'побудинковий звіт'!#REF!</f>
        <v>#REF!</v>
      </c>
      <c r="E66" s="334" t="e">
        <f>'побудинковий звіт'!#REF!</f>
        <v>#REF!</v>
      </c>
      <c r="F66" s="334" t="e">
        <f t="shared" si="4"/>
        <v>#REF!</v>
      </c>
      <c r="G66" s="351" t="e">
        <f t="shared" si="5"/>
        <v>#REF!</v>
      </c>
      <c r="H66" s="345" t="e">
        <f>('побудинковий звіт'!#REF!+'побудинковий звіт'!#REF!)*1.2</f>
        <v>#REF!</v>
      </c>
      <c r="I66" s="333" t="e">
        <f>('побудинковий звіт'!#REF!+'побудинковий звіт'!#REF!)*1.2</f>
        <v>#REF!</v>
      </c>
      <c r="J66" s="333" t="e">
        <f t="shared" si="6"/>
        <v>#REF!</v>
      </c>
      <c r="K66" s="354" t="e">
        <f t="shared" si="7"/>
        <v>#REF!</v>
      </c>
      <c r="L66" s="356" t="e">
        <f>'побудинковий звіт'!#REF!</f>
        <v>#REF!</v>
      </c>
      <c r="M66" s="363" t="e">
        <f>'побудинковий звіт'!#REF!*-1</f>
        <v>#REF!</v>
      </c>
    </row>
    <row r="67" spans="1:13" ht="20.100000000000001" customHeight="1" x14ac:dyDescent="0.3">
      <c r="A67" s="359" t="s">
        <v>516</v>
      </c>
      <c r="B67" s="298" t="s">
        <v>347</v>
      </c>
      <c r="C67" s="360">
        <v>9</v>
      </c>
      <c r="D67" s="350">
        <f>'побудинковий звіт'!CU62</f>
        <v>211518.38919506982</v>
      </c>
      <c r="E67" s="334">
        <f>'побудинковий звіт'!CV62</f>
        <v>205449.43660532995</v>
      </c>
      <c r="F67" s="334">
        <f t="shared" si="4"/>
        <v>-6068.9525897398707</v>
      </c>
      <c r="G67" s="351">
        <f t="shared" si="5"/>
        <v>0.97130768339889884</v>
      </c>
      <c r="H67" s="345">
        <f>('побудинковий звіт'!AS62+'побудинковий звіт'!BQ62)*1.2</f>
        <v>41469.011305122069</v>
      </c>
      <c r="I67" s="333">
        <f>('побудинковий звіт'!AT62+'побудинковий звіт'!BR62)*1.2</f>
        <v>12224.475555586869</v>
      </c>
      <c r="J67" s="333">
        <f t="shared" si="6"/>
        <v>-29244.5357495352</v>
      </c>
      <c r="K67" s="354">
        <f t="shared" si="7"/>
        <v>0.29478579717373093</v>
      </c>
      <c r="L67" s="356">
        <f>'побудинковий звіт'!DE62</f>
        <v>31031.01</v>
      </c>
      <c r="M67" s="363">
        <f>'побудинковий звіт'!DA62*-1</f>
        <v>-18648.021268597702</v>
      </c>
    </row>
    <row r="68" spans="1:13" ht="20.100000000000001" customHeight="1" x14ac:dyDescent="0.3">
      <c r="A68" s="359" t="s">
        <v>517</v>
      </c>
      <c r="B68" s="298" t="s">
        <v>62</v>
      </c>
      <c r="C68" s="360">
        <v>1</v>
      </c>
      <c r="D68" s="350" t="e">
        <f>'побудинковий звіт'!#REF!</f>
        <v>#REF!</v>
      </c>
      <c r="E68" s="334" t="e">
        <f>'побудинковий звіт'!#REF!</f>
        <v>#REF!</v>
      </c>
      <c r="F68" s="334" t="e">
        <f t="shared" si="4"/>
        <v>#REF!</v>
      </c>
      <c r="G68" s="351" t="e">
        <f t="shared" si="5"/>
        <v>#REF!</v>
      </c>
      <c r="H68" s="345" t="e">
        <f>('побудинковий звіт'!#REF!+'побудинковий звіт'!#REF!)*1.2</f>
        <v>#REF!</v>
      </c>
      <c r="I68" s="333" t="e">
        <f>('побудинковий звіт'!#REF!+'побудинковий звіт'!#REF!)*1.2</f>
        <v>#REF!</v>
      </c>
      <c r="J68" s="333" t="e">
        <f t="shared" si="6"/>
        <v>#REF!</v>
      </c>
      <c r="K68" s="354" t="e">
        <f t="shared" si="7"/>
        <v>#REF!</v>
      </c>
      <c r="L68" s="356" t="e">
        <f>'побудинковий звіт'!#REF!</f>
        <v>#REF!</v>
      </c>
      <c r="M68" s="363" t="e">
        <f>'побудинковий звіт'!#REF!*-1</f>
        <v>#REF!</v>
      </c>
    </row>
    <row r="69" spans="1:13" ht="20.100000000000001" customHeight="1" x14ac:dyDescent="0.3">
      <c r="A69" s="359" t="s">
        <v>518</v>
      </c>
      <c r="B69" s="298" t="s">
        <v>64</v>
      </c>
      <c r="C69" s="360">
        <v>1</v>
      </c>
      <c r="D69" s="350" t="e">
        <f>'побудинковий звіт'!#REF!</f>
        <v>#REF!</v>
      </c>
      <c r="E69" s="334" t="e">
        <f>'побудинковий звіт'!#REF!</f>
        <v>#REF!</v>
      </c>
      <c r="F69" s="334" t="e">
        <f t="shared" si="4"/>
        <v>#REF!</v>
      </c>
      <c r="G69" s="351" t="e">
        <f t="shared" si="5"/>
        <v>#REF!</v>
      </c>
      <c r="H69" s="345" t="e">
        <f>('побудинковий звіт'!#REF!+'побудинковий звіт'!#REF!)*1.2</f>
        <v>#REF!</v>
      </c>
      <c r="I69" s="333" t="e">
        <f>('побудинковий звіт'!#REF!+'побудинковий звіт'!#REF!)*1.2</f>
        <v>#REF!</v>
      </c>
      <c r="J69" s="333" t="e">
        <f t="shared" si="6"/>
        <v>#REF!</v>
      </c>
      <c r="K69" s="354" t="e">
        <f t="shared" si="7"/>
        <v>#REF!</v>
      </c>
      <c r="L69" s="356" t="e">
        <f>'побудинковий звіт'!#REF!</f>
        <v>#REF!</v>
      </c>
      <c r="M69" s="363" t="e">
        <f>'побудинковий звіт'!#REF!*-1</f>
        <v>#REF!</v>
      </c>
    </row>
    <row r="70" spans="1:13" ht="20.100000000000001" customHeight="1" x14ac:dyDescent="0.3">
      <c r="A70" s="359" t="s">
        <v>519</v>
      </c>
      <c r="B70" s="298" t="s">
        <v>348</v>
      </c>
      <c r="C70" s="360">
        <v>9</v>
      </c>
      <c r="D70" s="350">
        <f>'побудинковий звіт'!CU63</f>
        <v>68622.341218962043</v>
      </c>
      <c r="E70" s="334">
        <f>'побудинковий звіт'!CV63</f>
        <v>71575.018364485542</v>
      </c>
      <c r="F70" s="334">
        <f t="shared" si="4"/>
        <v>2952.6771455234993</v>
      </c>
      <c r="G70" s="351">
        <f t="shared" si="5"/>
        <v>1.0430279278304133</v>
      </c>
      <c r="H70" s="345">
        <f>('побудинковий звіт'!AS63+'побудинковий звіт'!BQ63)*1.2</f>
        <v>16554.020877943494</v>
      </c>
      <c r="I70" s="333">
        <f>('побудинковий звіт'!AT63+'побудинковий звіт'!BR63)*1.2</f>
        <v>7093.8975837339567</v>
      </c>
      <c r="J70" s="333">
        <f t="shared" si="6"/>
        <v>-9460.1232942095376</v>
      </c>
      <c r="K70" s="354">
        <f t="shared" si="7"/>
        <v>0.42853018224628647</v>
      </c>
      <c r="L70" s="356">
        <f>'побудинковий звіт'!DE63</f>
        <v>22741.62</v>
      </c>
      <c r="M70" s="363">
        <f>'побудинковий звіт'!DA63*-1</f>
        <v>43144.554730124932</v>
      </c>
    </row>
    <row r="71" spans="1:13" ht="20.100000000000001" customHeight="1" x14ac:dyDescent="0.3">
      <c r="A71" s="359" t="s">
        <v>520</v>
      </c>
      <c r="B71" s="298" t="s">
        <v>253</v>
      </c>
      <c r="C71" s="360">
        <v>5</v>
      </c>
      <c r="D71" s="350">
        <f>'побудинковий звіт'!CU64</f>
        <v>56698.312873779963</v>
      </c>
      <c r="E71" s="334">
        <f>'побудинковий звіт'!CV64</f>
        <v>58714.238959387301</v>
      </c>
      <c r="F71" s="334">
        <f t="shared" si="4"/>
        <v>2015.9260856073379</v>
      </c>
      <c r="G71" s="351">
        <f t="shared" si="5"/>
        <v>1.0355553099101049</v>
      </c>
      <c r="H71" s="345">
        <f>('побудинковий звіт'!AS64+'побудинковий звіт'!BQ64)*1.2</f>
        <v>15763.985409156106</v>
      </c>
      <c r="I71" s="333">
        <f>('побудинковий звіт'!AT64+'побудинковий звіт'!BR64)*1.2</f>
        <v>10696.469183239815</v>
      </c>
      <c r="J71" s="333">
        <f t="shared" si="6"/>
        <v>-5067.5162259162917</v>
      </c>
      <c r="K71" s="354">
        <f t="shared" si="7"/>
        <v>0.67853838389288568</v>
      </c>
      <c r="L71" s="356">
        <f>'побудинковий звіт'!DE64</f>
        <v>0</v>
      </c>
      <c r="M71" s="363">
        <f>'побудинковий звіт'!DA64*-1</f>
        <v>15520.479638894401</v>
      </c>
    </row>
    <row r="72" spans="1:13" ht="20.100000000000001" customHeight="1" x14ac:dyDescent="0.3">
      <c r="A72" s="359" t="s">
        <v>521</v>
      </c>
      <c r="B72" s="298" t="s">
        <v>349</v>
      </c>
      <c r="C72" s="360">
        <v>9</v>
      </c>
      <c r="D72" s="350">
        <f>'побудинковий звіт'!CU65</f>
        <v>109159.34117398836</v>
      </c>
      <c r="E72" s="334">
        <f>'побудинковий звіт'!CV65</f>
        <v>124420.71880599768</v>
      </c>
      <c r="F72" s="334">
        <f t="shared" si="4"/>
        <v>15261.377632009317</v>
      </c>
      <c r="G72" s="351">
        <f t="shared" si="5"/>
        <v>1.1398082607303786</v>
      </c>
      <c r="H72" s="345">
        <f>('побудинковий звіт'!AS65+'побудинковий звіт'!BQ65)*1.2</f>
        <v>34807.552128872005</v>
      </c>
      <c r="I72" s="333">
        <f>('побудинковий звіт'!AT65+'побудинковий звіт'!BR65)*1.2</f>
        <v>42706.750662881961</v>
      </c>
      <c r="J72" s="333">
        <f t="shared" si="6"/>
        <v>7899.1985340099563</v>
      </c>
      <c r="K72" s="354">
        <f t="shared" si="7"/>
        <v>1.2269392143625568</v>
      </c>
      <c r="L72" s="356">
        <f>'побудинковий звіт'!DE65</f>
        <v>28812.410000000003</v>
      </c>
      <c r="M72" s="363">
        <f>'побудинковий звіт'!DA65*-1</f>
        <v>-8517.8286576127575</v>
      </c>
    </row>
    <row r="73" spans="1:13" ht="20.100000000000001" customHeight="1" x14ac:dyDescent="0.3">
      <c r="A73" s="359" t="s">
        <v>522</v>
      </c>
      <c r="B73" s="298" t="s">
        <v>254</v>
      </c>
      <c r="C73" s="360">
        <v>5</v>
      </c>
      <c r="D73" s="350">
        <f>'побудинковий звіт'!CU66</f>
        <v>91652.361505834968</v>
      </c>
      <c r="E73" s="334">
        <f>'побудинковий звіт'!CV66</f>
        <v>82583.850594444535</v>
      </c>
      <c r="F73" s="334">
        <f t="shared" si="4"/>
        <v>-9068.5109113904327</v>
      </c>
      <c r="G73" s="351">
        <f t="shared" si="5"/>
        <v>0.90105534912143981</v>
      </c>
      <c r="H73" s="345">
        <f>('побудинковий звіт'!AS66+'побудинковий звіт'!BQ66)*1.2</f>
        <v>21435.923732370586</v>
      </c>
      <c r="I73" s="333">
        <f>('побудинковий звіт'!AT66+'побудинковий звіт'!BR66)*1.2</f>
        <v>4136.8533943780576</v>
      </c>
      <c r="J73" s="333">
        <f t="shared" si="6"/>
        <v>-17299.070337992529</v>
      </c>
      <c r="K73" s="354">
        <f t="shared" si="7"/>
        <v>0.19298694313466683</v>
      </c>
      <c r="L73" s="356">
        <f>'побудинковий звіт'!DE66</f>
        <v>46944.76</v>
      </c>
      <c r="M73" s="363">
        <f>'побудинковий звіт'!DA66*-1</f>
        <v>13217.305700809888</v>
      </c>
    </row>
    <row r="74" spans="1:13" ht="20.100000000000001" customHeight="1" x14ac:dyDescent="0.3">
      <c r="A74" s="359" t="s">
        <v>523</v>
      </c>
      <c r="B74" s="298" t="s">
        <v>350</v>
      </c>
      <c r="C74" s="360">
        <v>9</v>
      </c>
      <c r="D74" s="350">
        <f>'побудинковий звіт'!CU67</f>
        <v>113901.20434314506</v>
      </c>
      <c r="E74" s="334">
        <f>'побудинковий звіт'!CV67</f>
        <v>115360.01124414112</v>
      </c>
      <c r="F74" s="334">
        <f t="shared" si="4"/>
        <v>1458.80690099606</v>
      </c>
      <c r="G74" s="351">
        <f t="shared" si="5"/>
        <v>1.012807651239588</v>
      </c>
      <c r="H74" s="345">
        <f>('побудинковий звіт'!AS67+'побудинковий звіт'!BQ67)*1.2</f>
        <v>21085.62218249694</v>
      </c>
      <c r="I74" s="333">
        <f>('побудинковий звіт'!AT67+'побудинковий звіт'!BR67)*1.2</f>
        <v>5659.3046041531697</v>
      </c>
      <c r="J74" s="333">
        <f t="shared" si="6"/>
        <v>-15426.317578343769</v>
      </c>
      <c r="K74" s="354">
        <f t="shared" si="7"/>
        <v>0.26839637716979142</v>
      </c>
      <c r="L74" s="356">
        <f>'побудинковий звіт'!DE67</f>
        <v>5006.6400000000012</v>
      </c>
      <c r="M74" s="363">
        <f>'побудинковий звіт'!DA67*-1</f>
        <v>-44165.851581966774</v>
      </c>
    </row>
    <row r="75" spans="1:13" ht="20.100000000000001" customHeight="1" x14ac:dyDescent="0.3">
      <c r="A75" s="359" t="s">
        <v>524</v>
      </c>
      <c r="B75" s="298" t="s">
        <v>65</v>
      </c>
      <c r="C75" s="360">
        <v>1</v>
      </c>
      <c r="D75" s="350">
        <f>'побудинковий звіт'!CU68</f>
        <v>117137.77531587461</v>
      </c>
      <c r="E75" s="334">
        <f>'побудинковий звіт'!CV68</f>
        <v>116400.99263910447</v>
      </c>
      <c r="F75" s="334">
        <f t="shared" si="4"/>
        <v>-736.78267677013355</v>
      </c>
      <c r="G75" s="351">
        <f t="shared" si="5"/>
        <v>0.99371011891950889</v>
      </c>
      <c r="H75" s="345">
        <f>('побудинковий звіт'!AS68+'побудинковий звіт'!BQ68)*1.2</f>
        <v>22897.043260380899</v>
      </c>
      <c r="I75" s="333">
        <f>('побудинковий звіт'!AT68+'побудинковий звіт'!BR68)*1.2</f>
        <v>5563.7018193459817</v>
      </c>
      <c r="J75" s="333">
        <f t="shared" si="6"/>
        <v>-17333.341441034918</v>
      </c>
      <c r="K75" s="354">
        <f t="shared" si="7"/>
        <v>0.24298778475790975</v>
      </c>
      <c r="L75" s="356">
        <f>'побудинковий звіт'!DE68</f>
        <v>1735.0900000000001</v>
      </c>
      <c r="M75" s="363">
        <f>'побудинковий звіт'!DA68*-1</f>
        <v>-30166.463114681224</v>
      </c>
    </row>
    <row r="76" spans="1:13" ht="20.100000000000001" customHeight="1" x14ac:dyDescent="0.3">
      <c r="A76" s="359" t="s">
        <v>525</v>
      </c>
      <c r="B76" s="298" t="s">
        <v>66</v>
      </c>
      <c r="C76" s="360">
        <v>1</v>
      </c>
      <c r="D76" s="350">
        <f>'побудинковий звіт'!CU69</f>
        <v>199737.76913623459</v>
      </c>
      <c r="E76" s="334">
        <f>'побудинковий звіт'!CV69</f>
        <v>266195.84482387395</v>
      </c>
      <c r="F76" s="334">
        <f t="shared" si="4"/>
        <v>66458.075687639357</v>
      </c>
      <c r="G76" s="351">
        <f t="shared" si="5"/>
        <v>1.3327266344018815</v>
      </c>
      <c r="H76" s="345">
        <f>('побудинковий звіт'!AS69+'побудинковий звіт'!BQ69)*1.2</f>
        <v>61486.14821403633</v>
      </c>
      <c r="I76" s="333">
        <f>('побудинковий звіт'!AT69+'побудинковий звіт'!BR69)*1.2</f>
        <v>120978.44476839795</v>
      </c>
      <c r="J76" s="333">
        <f t="shared" si="6"/>
        <v>59492.296554361623</v>
      </c>
      <c r="K76" s="354">
        <f t="shared" si="7"/>
        <v>1.9675723440548918</v>
      </c>
      <c r="L76" s="356">
        <f>'побудинковий звіт'!DE69</f>
        <v>15648.580000000002</v>
      </c>
      <c r="M76" s="363">
        <f>'побудинковий звіт'!DA69*-1</f>
        <v>-42728.95095701464</v>
      </c>
    </row>
    <row r="77" spans="1:13" ht="20.100000000000001" customHeight="1" x14ac:dyDescent="0.3">
      <c r="A77" s="359" t="s">
        <v>526</v>
      </c>
      <c r="B77" s="298" t="s">
        <v>67</v>
      </c>
      <c r="C77" s="360">
        <v>1</v>
      </c>
      <c r="D77" s="350">
        <f>'побудинковий звіт'!CU70</f>
        <v>565343.74077371066</v>
      </c>
      <c r="E77" s="334">
        <f>'побудинковий звіт'!CV70</f>
        <v>529669.84485238022</v>
      </c>
      <c r="F77" s="334">
        <f t="shared" si="4"/>
        <v>-35673.895921330433</v>
      </c>
      <c r="G77" s="351">
        <f t="shared" si="5"/>
        <v>0.93689875141713197</v>
      </c>
      <c r="H77" s="345">
        <f>('побудинковий звіт'!AS70+'побудинковий звіт'!BQ70)*1.2</f>
        <v>206694.94693890636</v>
      </c>
      <c r="I77" s="333">
        <f>('побудинковий звіт'!AT70+'побудинковий звіт'!BR70)*1.2</f>
        <v>188642.08444658457</v>
      </c>
      <c r="J77" s="333">
        <f t="shared" si="6"/>
        <v>-18052.862492321787</v>
      </c>
      <c r="K77" s="354">
        <f t="shared" si="7"/>
        <v>0.91265939124453899</v>
      </c>
      <c r="L77" s="356">
        <f>'побудинковий звіт'!DE70</f>
        <v>127503.56999999999</v>
      </c>
      <c r="M77" s="363">
        <f>'побудинковий звіт'!DA70*-1</f>
        <v>-5472.5743164576852</v>
      </c>
    </row>
    <row r="78" spans="1:13" ht="20.100000000000001" customHeight="1" x14ac:dyDescent="0.3">
      <c r="A78" s="359" t="s">
        <v>527</v>
      </c>
      <c r="B78" s="298" t="s">
        <v>68</v>
      </c>
      <c r="C78" s="360">
        <v>1</v>
      </c>
      <c r="D78" s="350">
        <f>'побудинковий звіт'!CU71</f>
        <v>344715.26480938058</v>
      </c>
      <c r="E78" s="334">
        <f>'побудинковий звіт'!CV71</f>
        <v>239996.09257388685</v>
      </c>
      <c r="F78" s="334">
        <f t="shared" si="4"/>
        <v>-104719.17223549372</v>
      </c>
      <c r="G78" s="351">
        <f t="shared" si="5"/>
        <v>0.6962154481513867</v>
      </c>
      <c r="H78" s="345">
        <f>('побудинковий звіт'!AS71+'побудинковий звіт'!BQ71)*1.2</f>
        <v>128252.49723142156</v>
      </c>
      <c r="I78" s="333">
        <f>('побудинковий звіт'!AT71+'побудинковий звіт'!BR71)*1.2</f>
        <v>30388.695706541173</v>
      </c>
      <c r="J78" s="333">
        <f t="shared" si="6"/>
        <v>-97863.801524880386</v>
      </c>
      <c r="K78" s="354">
        <f t="shared" si="7"/>
        <v>0.23694428071608742</v>
      </c>
      <c r="L78" s="356">
        <f>'побудинковий звіт'!DE71</f>
        <v>26347.620000000003</v>
      </c>
      <c r="M78" s="363">
        <f>'побудинковий звіт'!DA71*-1</f>
        <v>120044.28545678874</v>
      </c>
    </row>
    <row r="79" spans="1:13" ht="20.100000000000001" customHeight="1" x14ac:dyDescent="0.3">
      <c r="A79" s="359" t="s">
        <v>528</v>
      </c>
      <c r="B79" s="298" t="s">
        <v>71</v>
      </c>
      <c r="C79" s="360">
        <v>1</v>
      </c>
      <c r="D79" s="350" t="e">
        <f>'побудинковий звіт'!#REF!</f>
        <v>#REF!</v>
      </c>
      <c r="E79" s="334" t="e">
        <f>'побудинковий звіт'!#REF!</f>
        <v>#REF!</v>
      </c>
      <c r="F79" s="334" t="e">
        <f t="shared" si="4"/>
        <v>#REF!</v>
      </c>
      <c r="G79" s="351" t="e">
        <f t="shared" si="5"/>
        <v>#REF!</v>
      </c>
      <c r="H79" s="345" t="e">
        <f>('побудинковий звіт'!#REF!+'побудинковий звіт'!#REF!)*1.2</f>
        <v>#REF!</v>
      </c>
      <c r="I79" s="333" t="e">
        <f>('побудинковий звіт'!#REF!+'побудинковий звіт'!#REF!)*1.2</f>
        <v>#REF!</v>
      </c>
      <c r="J79" s="333" t="e">
        <f t="shared" si="6"/>
        <v>#REF!</v>
      </c>
      <c r="K79" s="354" t="e">
        <f t="shared" si="7"/>
        <v>#REF!</v>
      </c>
      <c r="L79" s="356" t="e">
        <f>'побудинковий звіт'!#REF!</f>
        <v>#REF!</v>
      </c>
      <c r="M79" s="363" t="e">
        <f>'побудинковий звіт'!#REF!*-1</f>
        <v>#REF!</v>
      </c>
    </row>
    <row r="80" spans="1:13" ht="20.100000000000001" customHeight="1" x14ac:dyDescent="0.3">
      <c r="A80" s="359" t="s">
        <v>529</v>
      </c>
      <c r="B80" s="298" t="s">
        <v>72</v>
      </c>
      <c r="C80" s="360">
        <v>1</v>
      </c>
      <c r="D80" s="350">
        <f>'побудинковий звіт'!CU72</f>
        <v>764245.79682486132</v>
      </c>
      <c r="E80" s="334">
        <f>'побудинковий звіт'!CV72</f>
        <v>772335.17543254211</v>
      </c>
      <c r="F80" s="334">
        <f t="shared" si="4"/>
        <v>8089.3786076807883</v>
      </c>
      <c r="G80" s="351">
        <f t="shared" si="5"/>
        <v>1.0105847865193227</v>
      </c>
      <c r="H80" s="345">
        <f>('побудинковий звіт'!AS72+'побудинковий звіт'!BQ72)*1.2</f>
        <v>298268.03760395531</v>
      </c>
      <c r="I80" s="333">
        <f>('побудинковий звіт'!AT72+'побудинковий звіт'!BR72)*1.2</f>
        <v>241318.820413034</v>
      </c>
      <c r="J80" s="333">
        <f t="shared" si="6"/>
        <v>-56949.217190921307</v>
      </c>
      <c r="K80" s="354">
        <f t="shared" si="7"/>
        <v>0.80906697999421806</v>
      </c>
      <c r="L80" s="356">
        <f>'побудинковий звіт'!DE72</f>
        <v>55726.119999999995</v>
      </c>
      <c r="M80" s="363">
        <f>'побудинковий звіт'!DA72*-1</f>
        <v>189407.53400043875</v>
      </c>
    </row>
    <row r="81" spans="1:13" ht="20.100000000000001" customHeight="1" x14ac:dyDescent="0.3">
      <c r="A81" s="359" t="s">
        <v>530</v>
      </c>
      <c r="B81" s="298" t="s">
        <v>74</v>
      </c>
      <c r="C81" s="360">
        <v>1</v>
      </c>
      <c r="D81" s="350">
        <f>'побудинковий звіт'!CU73</f>
        <v>529170.2024470109</v>
      </c>
      <c r="E81" s="334">
        <f>'побудинковий звіт'!CV73</f>
        <v>510645.5550213675</v>
      </c>
      <c r="F81" s="334">
        <f t="shared" si="4"/>
        <v>-18524.647425643401</v>
      </c>
      <c r="G81" s="351">
        <f t="shared" si="5"/>
        <v>0.96499302617573524</v>
      </c>
      <c r="H81" s="345">
        <f>('побудинковий звіт'!AS73+'побудинковий звіт'!BQ73)*1.2</f>
        <v>211010.56046532336</v>
      </c>
      <c r="I81" s="333">
        <f>('побудинковий звіт'!AT73+'побудинковий звіт'!BR73)*1.2</f>
        <v>125831.98576977559</v>
      </c>
      <c r="J81" s="333">
        <f t="shared" si="6"/>
        <v>-85178.574695547766</v>
      </c>
      <c r="K81" s="354">
        <f t="shared" si="7"/>
        <v>0.59633027604063604</v>
      </c>
      <c r="L81" s="356">
        <f>'побудинковий звіт'!DE73</f>
        <v>13096.089999999997</v>
      </c>
      <c r="M81" s="363">
        <f>'побудинковий звіт'!DA73*-1</f>
        <v>85111.035991823286</v>
      </c>
    </row>
    <row r="82" spans="1:13" ht="20.100000000000001" customHeight="1" x14ac:dyDescent="0.3">
      <c r="A82" s="359" t="s">
        <v>531</v>
      </c>
      <c r="B82" s="298" t="s">
        <v>152</v>
      </c>
      <c r="C82" s="360">
        <v>2</v>
      </c>
      <c r="D82" s="350" t="e">
        <f>'побудинковий звіт'!#REF!</f>
        <v>#REF!</v>
      </c>
      <c r="E82" s="334" t="e">
        <f>'побудинковий звіт'!#REF!</f>
        <v>#REF!</v>
      </c>
      <c r="F82" s="334" t="e">
        <f t="shared" si="4"/>
        <v>#REF!</v>
      </c>
      <c r="G82" s="351" t="e">
        <f t="shared" si="5"/>
        <v>#REF!</v>
      </c>
      <c r="H82" s="345" t="e">
        <f>('побудинковий звіт'!#REF!+'побудинковий звіт'!#REF!)*1.2</f>
        <v>#REF!</v>
      </c>
      <c r="I82" s="333" t="e">
        <f>('побудинковий звіт'!#REF!+'побудинковий звіт'!#REF!)*1.2</f>
        <v>#REF!</v>
      </c>
      <c r="J82" s="333" t="e">
        <f t="shared" si="6"/>
        <v>#REF!</v>
      </c>
      <c r="K82" s="354" t="e">
        <f t="shared" si="7"/>
        <v>#REF!</v>
      </c>
      <c r="L82" s="356" t="e">
        <f>'побудинковий звіт'!#REF!</f>
        <v>#REF!</v>
      </c>
      <c r="M82" s="363" t="e">
        <f>'побудинковий звіт'!#REF!*-1</f>
        <v>#REF!</v>
      </c>
    </row>
    <row r="83" spans="1:13" ht="20.100000000000001" customHeight="1" x14ac:dyDescent="0.3">
      <c r="A83" s="359" t="s">
        <v>532</v>
      </c>
      <c r="B83" s="298" t="s">
        <v>75</v>
      </c>
      <c r="C83" s="360">
        <v>1</v>
      </c>
      <c r="D83" s="350">
        <f>'побудинковий звіт'!CU74</f>
        <v>249850.20755039423</v>
      </c>
      <c r="E83" s="334">
        <f>'побудинковий звіт'!CV74</f>
        <v>225346.10500308379</v>
      </c>
      <c r="F83" s="334">
        <f t="shared" si="4"/>
        <v>-24504.102547310438</v>
      </c>
      <c r="G83" s="351">
        <f t="shared" si="5"/>
        <v>0.90192482612859937</v>
      </c>
      <c r="H83" s="345">
        <f>('побудинковий звіт'!AS74+'побудинковий звіт'!BQ74)*1.2</f>
        <v>64342.731162468684</v>
      </c>
      <c r="I83" s="333">
        <f>('побудинковий звіт'!AT74+'побудинковий звіт'!BR74)*1.2</f>
        <v>16870.799301218663</v>
      </c>
      <c r="J83" s="333">
        <f t="shared" si="6"/>
        <v>-47471.931861250021</v>
      </c>
      <c r="K83" s="354">
        <f t="shared" si="7"/>
        <v>0.26220210109855352</v>
      </c>
      <c r="L83" s="356">
        <f>'побудинковий звіт'!DE74</f>
        <v>39593.569999999992</v>
      </c>
      <c r="M83" s="363">
        <f>'побудинковий звіт'!DA74*-1</f>
        <v>13609.770325848709</v>
      </c>
    </row>
    <row r="84" spans="1:13" ht="20.100000000000001" customHeight="1" x14ac:dyDescent="0.3">
      <c r="A84" s="359" t="s">
        <v>533</v>
      </c>
      <c r="B84" s="298" t="s">
        <v>351</v>
      </c>
      <c r="C84" s="360">
        <v>9</v>
      </c>
      <c r="D84" s="350">
        <f>'побудинковий звіт'!CU75</f>
        <v>1012.9013333382954</v>
      </c>
      <c r="E84" s="334">
        <f>'побудинковий звіт'!CV75</f>
        <v>989.18403326409134</v>
      </c>
      <c r="F84" s="334">
        <f t="shared" si="4"/>
        <v>-23.717300074204104</v>
      </c>
      <c r="G84" s="351">
        <f t="shared" si="5"/>
        <v>0.97658478738887899</v>
      </c>
      <c r="H84" s="345">
        <f>('побудинковий звіт'!AS75+'побудинковий звіт'!BQ75)*1.2</f>
        <v>40.171679999999995</v>
      </c>
      <c r="I84" s="333">
        <f>('побудинковий звіт'!AT75+'побудинковий звіт'!BR75)*1.2</f>
        <v>0</v>
      </c>
      <c r="J84" s="333">
        <f t="shared" si="6"/>
        <v>-40.171679999999995</v>
      </c>
      <c r="K84" s="354">
        <f t="shared" si="7"/>
        <v>0</v>
      </c>
      <c r="L84" s="356">
        <f>'побудинковий звіт'!DE75</f>
        <v>-90.13</v>
      </c>
      <c r="M84" s="363">
        <f>'побудинковий звіт'!DA75*-1</f>
        <v>-152.09058020013055</v>
      </c>
    </row>
    <row r="85" spans="1:13" ht="20.100000000000001" customHeight="1" x14ac:dyDescent="0.3">
      <c r="A85" s="359" t="s">
        <v>534</v>
      </c>
      <c r="B85" s="298" t="s">
        <v>413</v>
      </c>
      <c r="C85" s="360">
        <v>10</v>
      </c>
      <c r="D85" s="350">
        <f>'побудинковий звіт'!CU76</f>
        <v>5387.7051131831768</v>
      </c>
      <c r="E85" s="334">
        <f>'побудинковий звіт'!CV76</f>
        <v>12977.276250773875</v>
      </c>
      <c r="F85" s="334">
        <f t="shared" si="4"/>
        <v>7589.5711375906985</v>
      </c>
      <c r="G85" s="351">
        <f t="shared" si="5"/>
        <v>2.4086834706338651</v>
      </c>
      <c r="H85" s="345">
        <f>('побудинковий звіт'!AS76+'побудинковий звіт'!BQ76)*1.2</f>
        <v>4711.8999580128539</v>
      </c>
      <c r="I85" s="333">
        <f>('побудинковий звіт'!AT76+'побудинковий звіт'!BR76)*1.2</f>
        <v>12231.317435632829</v>
      </c>
      <c r="J85" s="333">
        <f t="shared" si="6"/>
        <v>7519.4174776199752</v>
      </c>
      <c r="K85" s="354">
        <f t="shared" si="7"/>
        <v>2.5958355535186559</v>
      </c>
      <c r="L85" s="356">
        <f>'побудинковий звіт'!DE76</f>
        <v>-44.120000000000005</v>
      </c>
      <c r="M85" s="363">
        <f>'побудинковий звіт'!DA76*-1</f>
        <v>-4669.2097616697993</v>
      </c>
    </row>
    <row r="86" spans="1:13" ht="20.100000000000001" customHeight="1" x14ac:dyDescent="0.3">
      <c r="A86" s="359" t="s">
        <v>535</v>
      </c>
      <c r="B86" s="298" t="s">
        <v>414</v>
      </c>
      <c r="C86" s="360">
        <v>10</v>
      </c>
      <c r="D86" s="350">
        <f>'побудинковий звіт'!CU77</f>
        <v>169172.04271260832</v>
      </c>
      <c r="E86" s="334">
        <f>'побудинковий звіт'!CV77</f>
        <v>143744.34444805319</v>
      </c>
      <c r="F86" s="334">
        <f t="shared" si="4"/>
        <v>-25427.698264555132</v>
      </c>
      <c r="G86" s="351">
        <f t="shared" si="5"/>
        <v>0.84969325985055322</v>
      </c>
      <c r="H86" s="345">
        <f>('побудинковий звіт'!AS77+'побудинковий звіт'!BQ77)*1.2</f>
        <v>48280.981336812387</v>
      </c>
      <c r="I86" s="333">
        <f>('побудинковий звіт'!AT77+'побудинковий звіт'!BR77)*1.2</f>
        <v>41547.54475411286</v>
      </c>
      <c r="J86" s="333">
        <f t="shared" si="6"/>
        <v>-6733.4365826995272</v>
      </c>
      <c r="K86" s="354">
        <f t="shared" si="7"/>
        <v>0.86053645977643911</v>
      </c>
      <c r="L86" s="356">
        <f>'побудинковий звіт'!DE77</f>
        <v>10262.019999999997</v>
      </c>
      <c r="M86" s="363">
        <f>'побудинковий звіт'!DA77*-1</f>
        <v>2971.3487256749067</v>
      </c>
    </row>
    <row r="87" spans="1:13" ht="20.100000000000001" customHeight="1" x14ac:dyDescent="0.3">
      <c r="A87" s="359" t="s">
        <v>536</v>
      </c>
      <c r="B87" s="298" t="s">
        <v>352</v>
      </c>
      <c r="C87" s="360">
        <v>9</v>
      </c>
      <c r="D87" s="350">
        <f>'побудинковий звіт'!CU78</f>
        <v>91070.932380956263</v>
      </c>
      <c r="E87" s="334">
        <f>'побудинковий звіт'!CV78</f>
        <v>49997.255562597173</v>
      </c>
      <c r="F87" s="334">
        <f t="shared" si="4"/>
        <v>-41073.67681835909</v>
      </c>
      <c r="G87" s="351">
        <f t="shared" si="5"/>
        <v>0.54899246395606294</v>
      </c>
      <c r="H87" s="345">
        <f>('побудинковий звіт'!AS78+'побудинковий звіт'!BQ78)*1.2</f>
        <v>22672.567126182188</v>
      </c>
      <c r="I87" s="333">
        <f>('побудинковий звіт'!AT78+'побудинковий звіт'!BR78)*1.2</f>
        <v>1544.0855824645457</v>
      </c>
      <c r="J87" s="333">
        <f t="shared" si="6"/>
        <v>-21128.481543717644</v>
      </c>
      <c r="K87" s="354">
        <f t="shared" si="7"/>
        <v>6.810369438410184E-2</v>
      </c>
      <c r="L87" s="356">
        <f>'побудинковий звіт'!DE78</f>
        <v>40410.199999999997</v>
      </c>
      <c r="M87" s="364">
        <f>'побудинковий звіт'!DA78*-1</f>
        <v>-27603.599963680746</v>
      </c>
    </row>
    <row r="88" spans="1:13" ht="20.100000000000001" customHeight="1" x14ac:dyDescent="0.3">
      <c r="A88" s="359" t="s">
        <v>537</v>
      </c>
      <c r="B88" s="298" t="s">
        <v>76</v>
      </c>
      <c r="C88" s="360">
        <v>1</v>
      </c>
      <c r="D88" s="350">
        <f>'побудинковий звіт'!CU79</f>
        <v>198751.7475752238</v>
      </c>
      <c r="E88" s="334">
        <f>'побудинковий звіт'!CV79</f>
        <v>146606.41933591294</v>
      </c>
      <c r="F88" s="334">
        <f t="shared" si="4"/>
        <v>-52145.328239310853</v>
      </c>
      <c r="G88" s="351">
        <f t="shared" si="5"/>
        <v>0.73763587553073051</v>
      </c>
      <c r="H88" s="345">
        <f>('побудинковий звіт'!AS79+'побудинковий звіт'!BQ79)*1.2</f>
        <v>86382.801581218737</v>
      </c>
      <c r="I88" s="333">
        <f>('побудинковий звіт'!AT79+'побудинковий звіт'!BR79)*1.2</f>
        <v>32430.16153561289</v>
      </c>
      <c r="J88" s="333">
        <f t="shared" si="6"/>
        <v>-53952.640045605847</v>
      </c>
      <c r="K88" s="354">
        <f t="shared" si="7"/>
        <v>0.37542382212646158</v>
      </c>
      <c r="L88" s="356">
        <f>'побудинковий звіт'!DE79</f>
        <v>33904.429999999993</v>
      </c>
      <c r="M88" s="363">
        <f>'побудинковий звіт'!DA79*-1</f>
        <v>50827.741547454498</v>
      </c>
    </row>
    <row r="89" spans="1:13" ht="20.100000000000001" customHeight="1" x14ac:dyDescent="0.3">
      <c r="A89" s="359" t="s">
        <v>538</v>
      </c>
      <c r="B89" s="298" t="s">
        <v>353</v>
      </c>
      <c r="C89" s="360">
        <v>9</v>
      </c>
      <c r="D89" s="350">
        <f>'побудинковий звіт'!CU80</f>
        <v>155224.03669675521</v>
      </c>
      <c r="E89" s="334">
        <f>'побудинковий звіт'!CV80</f>
        <v>136349.71634583746</v>
      </c>
      <c r="F89" s="334">
        <f t="shared" si="4"/>
        <v>-18874.320350917755</v>
      </c>
      <c r="G89" s="351">
        <f t="shared" si="5"/>
        <v>0.87840594309636133</v>
      </c>
      <c r="H89" s="345">
        <f>('побудинковий звіт'!AS80+'побудинковий звіт'!BQ80)*1.2</f>
        <v>38049.795596856515</v>
      </c>
      <c r="I89" s="333">
        <f>('побудинковий звіт'!AT80+'побудинковий звіт'!BR80)*1.2</f>
        <v>4541.3189941197625</v>
      </c>
      <c r="J89" s="333">
        <f t="shared" si="6"/>
        <v>-33508.476602736751</v>
      </c>
      <c r="K89" s="354">
        <f t="shared" si="7"/>
        <v>0.11935199448206613</v>
      </c>
      <c r="L89" s="356">
        <f>'побудинковий звіт'!DE80</f>
        <v>131932.63</v>
      </c>
      <c r="M89" s="363">
        <f>'побудинковий звіт'!DA80*-1</f>
        <v>46120.485253728955</v>
      </c>
    </row>
    <row r="90" spans="1:13" ht="20.100000000000001" customHeight="1" x14ac:dyDescent="0.3">
      <c r="A90" s="359" t="s">
        <v>539</v>
      </c>
      <c r="B90" s="298" t="s">
        <v>77</v>
      </c>
      <c r="C90" s="360">
        <v>1</v>
      </c>
      <c r="D90" s="350">
        <f>'побудинковий звіт'!CU81</f>
        <v>214111.62325523156</v>
      </c>
      <c r="E90" s="334">
        <f>'побудинковий звіт'!CV81</f>
        <v>185997.06186249488</v>
      </c>
      <c r="F90" s="334">
        <f t="shared" si="4"/>
        <v>-28114.561392736679</v>
      </c>
      <c r="G90" s="351">
        <f t="shared" si="5"/>
        <v>0.86869203565271769</v>
      </c>
      <c r="H90" s="345">
        <f>('побудинковий звіт'!AS81+'побудинковий звіт'!BQ81)*1.2</f>
        <v>48668.026526382564</v>
      </c>
      <c r="I90" s="333">
        <f>('побудинковий звіт'!AT81+'побудинковий звіт'!BR81)*1.2</f>
        <v>6486.0721341881508</v>
      </c>
      <c r="J90" s="333">
        <f t="shared" si="6"/>
        <v>-42181.954392194413</v>
      </c>
      <c r="K90" s="354">
        <f t="shared" si="7"/>
        <v>0.13327173089034339</v>
      </c>
      <c r="L90" s="356">
        <f>'побудинковий звіт'!DE81</f>
        <v>29091.68</v>
      </c>
      <c r="M90" s="363">
        <f>'побудинковий звіт'!DA81*-1</f>
        <v>8368.9811128404981</v>
      </c>
    </row>
    <row r="91" spans="1:13" ht="20.100000000000001" customHeight="1" x14ac:dyDescent="0.3">
      <c r="A91" s="359" t="s">
        <v>540</v>
      </c>
      <c r="B91" s="298" t="s">
        <v>255</v>
      </c>
      <c r="C91" s="360">
        <v>5</v>
      </c>
      <c r="D91" s="350">
        <f>'побудинковий звіт'!CU82</f>
        <v>101484.17968107878</v>
      </c>
      <c r="E91" s="334">
        <f>'побудинковий звіт'!CV82</f>
        <v>77778.54741442432</v>
      </c>
      <c r="F91" s="334">
        <f t="shared" si="4"/>
        <v>-23705.632266654458</v>
      </c>
      <c r="G91" s="351">
        <f t="shared" si="5"/>
        <v>0.76641056427562315</v>
      </c>
      <c r="H91" s="345">
        <f>('побудинковий звіт'!AS82+'побудинковий звіт'!BQ82)*1.2</f>
        <v>30420.283862390974</v>
      </c>
      <c r="I91" s="333">
        <f>('побудинковий звіт'!AT82+'побудинковий звіт'!BR82)*1.2</f>
        <v>2787.8664096053549</v>
      </c>
      <c r="J91" s="333">
        <f t="shared" si="6"/>
        <v>-27632.417452785619</v>
      </c>
      <c r="K91" s="354">
        <f t="shared" si="7"/>
        <v>9.1644983400435434E-2</v>
      </c>
      <c r="L91" s="356">
        <f>'побудинковий звіт'!DE82</f>
        <v>30215.940000000002</v>
      </c>
      <c r="M91" s="363">
        <f>'побудинковий звіт'!DA82*-1</f>
        <v>28070.62808961868</v>
      </c>
    </row>
    <row r="92" spans="1:13" ht="20.100000000000001" customHeight="1" x14ac:dyDescent="0.3">
      <c r="A92" s="359" t="s">
        <v>541</v>
      </c>
      <c r="B92" s="298" t="s">
        <v>354</v>
      </c>
      <c r="C92" s="360">
        <v>9</v>
      </c>
      <c r="D92" s="350">
        <f>'побудинковий звіт'!CU83</f>
        <v>169907.73254396181</v>
      </c>
      <c r="E92" s="334">
        <f>'побудинковий звіт'!CV83</f>
        <v>168716.49842352723</v>
      </c>
      <c r="F92" s="334">
        <f t="shared" si="4"/>
        <v>-1191.2341204345867</v>
      </c>
      <c r="G92" s="351">
        <f t="shared" si="5"/>
        <v>0.99298893521443254</v>
      </c>
      <c r="H92" s="345">
        <f>('побудинковий звіт'!AS83+'побудинковий звіт'!BQ83)*1.2</f>
        <v>70625.009846490968</v>
      </c>
      <c r="I92" s="333">
        <f>('побудинковий звіт'!AT83+'побудинковий звіт'!BR83)*1.2</f>
        <v>53742.708162271301</v>
      </c>
      <c r="J92" s="333">
        <f t="shared" si="6"/>
        <v>-16882.301684219667</v>
      </c>
      <c r="K92" s="354">
        <f t="shared" si="7"/>
        <v>0.76095859355043372</v>
      </c>
      <c r="L92" s="356">
        <f>'побудинковий звіт'!DE83</f>
        <v>47662.560000000005</v>
      </c>
      <c r="M92" s="363">
        <f>'побудинковий звіт'!DA83*-1</f>
        <v>23763.210565815833</v>
      </c>
    </row>
    <row r="93" spans="1:13" ht="20.100000000000001" customHeight="1" x14ac:dyDescent="0.3">
      <c r="A93" s="359" t="s">
        <v>542</v>
      </c>
      <c r="B93" s="298" t="s">
        <v>355</v>
      </c>
      <c r="C93" s="360">
        <v>9</v>
      </c>
      <c r="D93" s="350">
        <f>'побудинковий звіт'!CU84</f>
        <v>103001.33673846045</v>
      </c>
      <c r="E93" s="334">
        <f>'побудинковий звіт'!CV84</f>
        <v>95012.601290452891</v>
      </c>
      <c r="F93" s="334">
        <f t="shared" si="4"/>
        <v>-7988.7354480075592</v>
      </c>
      <c r="G93" s="351">
        <f t="shared" si="5"/>
        <v>0.9224404682407914</v>
      </c>
      <c r="H93" s="345">
        <f>('побудинковий звіт'!AS84+'побудинковий звіт'!BQ84)*1.2</f>
        <v>23411.040422831469</v>
      </c>
      <c r="I93" s="333">
        <f>('побудинковий звіт'!AT84+'побудинковий звіт'!BR84)*1.2</f>
        <v>0</v>
      </c>
      <c r="J93" s="333">
        <f t="shared" si="6"/>
        <v>-23411.040422831469</v>
      </c>
      <c r="K93" s="354">
        <f t="shared" si="7"/>
        <v>0</v>
      </c>
      <c r="L93" s="356">
        <f>'побудинковий звіт'!DE84</f>
        <v>3688.8899999999994</v>
      </c>
      <c r="M93" s="363">
        <f>'побудинковий звіт'!DA84*-1</f>
        <v>-65225.486072233922</v>
      </c>
    </row>
    <row r="94" spans="1:13" ht="20.100000000000001" customHeight="1" x14ac:dyDescent="0.3">
      <c r="A94" s="359" t="s">
        <v>543</v>
      </c>
      <c r="B94" s="298" t="s">
        <v>356</v>
      </c>
      <c r="C94" s="360">
        <v>9</v>
      </c>
      <c r="D94" s="350">
        <f>'побудинковий звіт'!CU85</f>
        <v>14012.914845433324</v>
      </c>
      <c r="E94" s="334">
        <f>'побудинковий звіт'!CV85</f>
        <v>6790.2171486856332</v>
      </c>
      <c r="F94" s="334">
        <f t="shared" si="4"/>
        <v>-7222.6976967476912</v>
      </c>
      <c r="G94" s="351">
        <f t="shared" si="5"/>
        <v>0.48456850152761044</v>
      </c>
      <c r="H94" s="345">
        <f>('побудинковий звіт'!AS85+'побудинковий звіт'!BQ85)*1.2</f>
        <v>7614.7712647772933</v>
      </c>
      <c r="I94" s="333">
        <f>('побудинковий звіт'!AT85+'побудинковий звіт'!BR85)*1.2</f>
        <v>0</v>
      </c>
      <c r="J94" s="333">
        <f t="shared" si="6"/>
        <v>-7614.7712647772933</v>
      </c>
      <c r="K94" s="354">
        <f t="shared" si="7"/>
        <v>0</v>
      </c>
      <c r="L94" s="356">
        <f>'побудинковий звіт'!DE85</f>
        <v>3775.55</v>
      </c>
      <c r="M94" s="363">
        <f>'побудинковий звіт'!DA85*-1</f>
        <v>31429.503293554953</v>
      </c>
    </row>
    <row r="95" spans="1:13" ht="20.100000000000001" customHeight="1" x14ac:dyDescent="0.3">
      <c r="A95" s="359" t="s">
        <v>544</v>
      </c>
      <c r="B95" s="298" t="s">
        <v>415</v>
      </c>
      <c r="C95" s="360">
        <v>10</v>
      </c>
      <c r="D95" s="350">
        <f>'побудинковий звіт'!CU86</f>
        <v>4351.800534139541</v>
      </c>
      <c r="E95" s="334">
        <f>'побудинковий звіт'!CV86</f>
        <v>6988.1905182740566</v>
      </c>
      <c r="F95" s="334">
        <f t="shared" si="4"/>
        <v>2636.3899841345155</v>
      </c>
      <c r="G95" s="351">
        <f t="shared" si="5"/>
        <v>1.6058159061869308</v>
      </c>
      <c r="H95" s="345">
        <f>('побудинковий звіт'!AS86+'побудинковий звіт'!BQ86)*1.2</f>
        <v>3464.1072483276917</v>
      </c>
      <c r="I95" s="333">
        <f>('побудинковий звіт'!AT86+'побудинковий звіт'!BR86)*1.2</f>
        <v>5798.1821533587527</v>
      </c>
      <c r="J95" s="333">
        <f t="shared" si="6"/>
        <v>2334.074905031061</v>
      </c>
      <c r="K95" s="354">
        <f t="shared" si="7"/>
        <v>1.6737882916753928</v>
      </c>
      <c r="L95" s="356">
        <f>'побудинковий звіт'!DE86</f>
        <v>105.07</v>
      </c>
      <c r="M95" s="363">
        <f>'побудинковий звіт'!DA86*-1</f>
        <v>1562.350149632613</v>
      </c>
    </row>
    <row r="96" spans="1:13" ht="20.100000000000001" customHeight="1" x14ac:dyDescent="0.3">
      <c r="A96" s="359" t="s">
        <v>545</v>
      </c>
      <c r="B96" s="298" t="s">
        <v>357</v>
      </c>
      <c r="C96" s="360">
        <v>9</v>
      </c>
      <c r="D96" s="350">
        <f>'побудинковий звіт'!CU87</f>
        <v>1902.1659255596687</v>
      </c>
      <c r="E96" s="334">
        <f>'побудинковий звіт'!CV87</f>
        <v>594.81997157815715</v>
      </c>
      <c r="F96" s="334">
        <f t="shared" si="4"/>
        <v>-1307.3459539815117</v>
      </c>
      <c r="G96" s="351">
        <f t="shared" si="5"/>
        <v>0.31270666958411897</v>
      </c>
      <c r="H96" s="345">
        <f>('побудинковий звіт'!AS87+'побудинковий звіт'!BQ87)*1.2</f>
        <v>1475.7572598372583</v>
      </c>
      <c r="I96" s="333">
        <f>('побудинковий звіт'!AT87+'побудинковий звіт'!BR87)*1.2</f>
        <v>0</v>
      </c>
      <c r="J96" s="333">
        <f t="shared" si="6"/>
        <v>-1475.7572598372583</v>
      </c>
      <c r="K96" s="354">
        <f t="shared" si="7"/>
        <v>0</v>
      </c>
      <c r="L96" s="356">
        <f>'побудинковий звіт'!DE87</f>
        <v>0</v>
      </c>
      <c r="M96" s="364">
        <f>'побудинковий звіт'!DA87*-1</f>
        <v>-7392.2823026417118</v>
      </c>
    </row>
    <row r="97" spans="1:13" ht="20.100000000000001" customHeight="1" x14ac:dyDescent="0.3">
      <c r="A97" s="359" t="s">
        <v>546</v>
      </c>
      <c r="B97" s="298" t="s">
        <v>358</v>
      </c>
      <c r="C97" s="360">
        <v>9</v>
      </c>
      <c r="D97" s="350">
        <f>'побудинковий звіт'!CU88</f>
        <v>99485.923526392478</v>
      </c>
      <c r="E97" s="334">
        <f>'побудинковий звіт'!CV88</f>
        <v>78942.281025810182</v>
      </c>
      <c r="F97" s="334">
        <f t="shared" si="4"/>
        <v>-20543.642500582297</v>
      </c>
      <c r="G97" s="351">
        <f t="shared" si="5"/>
        <v>0.7935020174473999</v>
      </c>
      <c r="H97" s="345">
        <f>('побудинковий звіт'!AS88+'побудинковий звіт'!BQ88)*1.2</f>
        <v>34488.191199346147</v>
      </c>
      <c r="I97" s="333">
        <f>('побудинковий звіт'!AT88+'побудинковий звіт'!BR88)*1.2</f>
        <v>5326.2622091107241</v>
      </c>
      <c r="J97" s="333">
        <f t="shared" si="6"/>
        <v>-29161.928990235421</v>
      </c>
      <c r="K97" s="354">
        <f t="shared" si="7"/>
        <v>0.15443727327780829</v>
      </c>
      <c r="L97" s="356">
        <f>'побудинковий звіт'!DE88</f>
        <v>7391.380000000001</v>
      </c>
      <c r="M97" s="363">
        <f>'побудинковий звіт'!DA88*-1</f>
        <v>-61951.742966385529</v>
      </c>
    </row>
    <row r="98" spans="1:13" ht="20.100000000000001" customHeight="1" x14ac:dyDescent="0.3">
      <c r="A98" s="359" t="s">
        <v>547</v>
      </c>
      <c r="B98" s="298" t="s">
        <v>153</v>
      </c>
      <c r="C98" s="360">
        <v>2</v>
      </c>
      <c r="D98" s="350">
        <f>'побудинковий звіт'!CU89</f>
        <v>65866.13744746476</v>
      </c>
      <c r="E98" s="334">
        <f>'побудинковий звіт'!CV89</f>
        <v>67778.621264197718</v>
      </c>
      <c r="F98" s="334">
        <f t="shared" si="4"/>
        <v>1912.4838167329581</v>
      </c>
      <c r="G98" s="351">
        <f t="shared" si="5"/>
        <v>1.0290359187717417</v>
      </c>
      <c r="H98" s="345">
        <f>('побудинковий звіт'!AS89+'побудинковий звіт'!BQ89)*1.2</f>
        <v>15732.875506701836</v>
      </c>
      <c r="I98" s="333">
        <f>('побудинковий звіт'!AT89+'побудинковий звіт'!BR89)*1.2</f>
        <v>1441.6510743085307</v>
      </c>
      <c r="J98" s="333">
        <f t="shared" si="6"/>
        <v>-14291.224432393305</v>
      </c>
      <c r="K98" s="354">
        <f t="shared" si="7"/>
        <v>9.1633031335843287E-2</v>
      </c>
      <c r="L98" s="356">
        <f>'побудинковий звіт'!DE89</f>
        <v>70.069999999999709</v>
      </c>
      <c r="M98" s="363">
        <f>'побудинковий звіт'!DA89*-1</f>
        <v>-51439.786782953415</v>
      </c>
    </row>
    <row r="99" spans="1:13" ht="20.100000000000001" customHeight="1" x14ac:dyDescent="0.3">
      <c r="A99" s="359" t="s">
        <v>548</v>
      </c>
      <c r="B99" s="298" t="s">
        <v>208</v>
      </c>
      <c r="C99" s="360">
        <v>4</v>
      </c>
      <c r="D99" s="350">
        <f>'побудинковий звіт'!CU90</f>
        <v>225322.35003406132</v>
      </c>
      <c r="E99" s="334">
        <f>'побудинковий звіт'!CV90</f>
        <v>301894.87776662764</v>
      </c>
      <c r="F99" s="334">
        <f t="shared" si="4"/>
        <v>76572.527732566319</v>
      </c>
      <c r="G99" s="351">
        <f t="shared" si="5"/>
        <v>1.3398354744702026</v>
      </c>
      <c r="H99" s="345">
        <f>('побудинковий звіт'!AS90+'побудинковий звіт'!BQ90)*1.2</f>
        <v>52999.545077801879</v>
      </c>
      <c r="I99" s="333">
        <f>('побудинковий звіт'!AT90+'побудинковий звіт'!BR90)*1.2</f>
        <v>125243.65816345636</v>
      </c>
      <c r="J99" s="333">
        <f t="shared" si="6"/>
        <v>72244.113085654477</v>
      </c>
      <c r="K99" s="354">
        <f t="shared" si="7"/>
        <v>2.3631081734683215</v>
      </c>
      <c r="L99" s="356">
        <f>'побудинковий звіт'!DE90</f>
        <v>11005.780000000002</v>
      </c>
      <c r="M99" s="363">
        <f>'побудинковий звіт'!DA90*-1</f>
        <v>-65426.063142402098</v>
      </c>
    </row>
    <row r="100" spans="1:13" ht="20.100000000000001" customHeight="1" x14ac:dyDescent="0.3">
      <c r="A100" s="359" t="s">
        <v>549</v>
      </c>
      <c r="B100" s="298" t="s">
        <v>154</v>
      </c>
      <c r="C100" s="360">
        <v>2</v>
      </c>
      <c r="D100" s="350">
        <f>'побудинковий звіт'!CU91</f>
        <v>121820.14733431154</v>
      </c>
      <c r="E100" s="334">
        <f>'побудинковий звіт'!CV91</f>
        <v>115463.54333637866</v>
      </c>
      <c r="F100" s="334">
        <f t="shared" si="4"/>
        <v>-6356.603997932878</v>
      </c>
      <c r="G100" s="351">
        <f t="shared" si="5"/>
        <v>0.94781976432446413</v>
      </c>
      <c r="H100" s="345">
        <f>('побудинковий звіт'!AS91+'побудинковий звіт'!BQ91)*1.2</f>
        <v>34099.828385150802</v>
      </c>
      <c r="I100" s="333">
        <f>('побудинковий звіт'!AT91+'побудинковий звіт'!BR91)*1.2</f>
        <v>16111.681536570168</v>
      </c>
      <c r="J100" s="333">
        <f t="shared" si="6"/>
        <v>-17988.146848580633</v>
      </c>
      <c r="K100" s="354">
        <f t="shared" si="7"/>
        <v>0.47248570739394691</v>
      </c>
      <c r="L100" s="356">
        <f>'побудинковий звіт'!DE91</f>
        <v>-922.51000000000022</v>
      </c>
      <c r="M100" s="363">
        <f>'побудинковий звіт'!DA91*-1</f>
        <v>22480.318142040931</v>
      </c>
    </row>
    <row r="101" spans="1:13" ht="20.100000000000001" customHeight="1" x14ac:dyDescent="0.3">
      <c r="A101" s="359" t="s">
        <v>550</v>
      </c>
      <c r="B101" s="298" t="s">
        <v>155</v>
      </c>
      <c r="C101" s="360">
        <v>2</v>
      </c>
      <c r="D101" s="350">
        <f>'побудинковий звіт'!CU92</f>
        <v>5618.9722548860982</v>
      </c>
      <c r="E101" s="334">
        <f>'побудинковий звіт'!CV92</f>
        <v>168.25970505958085</v>
      </c>
      <c r="F101" s="334">
        <f t="shared" si="4"/>
        <v>-5450.7125498265177</v>
      </c>
      <c r="G101" s="351">
        <f t="shared" si="5"/>
        <v>2.9944925411095776E-2</v>
      </c>
      <c r="H101" s="345">
        <f>('побудинковий звіт'!AS92+'побудинковий звіт'!BQ92)*1.2</f>
        <v>5189.8792552959067</v>
      </c>
      <c r="I101" s="333">
        <f>('побудинковий звіт'!AT92+'побудинковий звіт'!BR92)*1.2</f>
        <v>0</v>
      </c>
      <c r="J101" s="333">
        <f t="shared" si="6"/>
        <v>-5189.8792552959067</v>
      </c>
      <c r="K101" s="354">
        <f t="shared" si="7"/>
        <v>0</v>
      </c>
      <c r="L101" s="356">
        <f>'побудинковий звіт'!DE92</f>
        <v>3132.48</v>
      </c>
      <c r="M101" s="363">
        <f>'побудинковий звіт'!DA92*-1</f>
        <v>-14774.726388359903</v>
      </c>
    </row>
    <row r="102" spans="1:13" ht="20.100000000000001" customHeight="1" x14ac:dyDescent="0.3">
      <c r="A102" s="359" t="s">
        <v>551</v>
      </c>
      <c r="B102" s="298" t="s">
        <v>156</v>
      </c>
      <c r="C102" s="360">
        <v>2</v>
      </c>
      <c r="D102" s="350">
        <f>'побудинковий звіт'!CU93</f>
        <v>767185.48801677162</v>
      </c>
      <c r="E102" s="334">
        <f>'побудинковий звіт'!CV93</f>
        <v>724704.84119479777</v>
      </c>
      <c r="F102" s="334">
        <f t="shared" si="4"/>
        <v>-42480.646821973845</v>
      </c>
      <c r="G102" s="351">
        <f t="shared" si="5"/>
        <v>0.94462793224649055</v>
      </c>
      <c r="H102" s="345">
        <f>('побудинковий звіт'!AS93+'побудинковий звіт'!BQ93)*1.2</f>
        <v>217130.00178608167</v>
      </c>
      <c r="I102" s="333">
        <f>('побудинковий звіт'!AT93+'побудинковий звіт'!BR93)*1.2</f>
        <v>342920.70330734964</v>
      </c>
      <c r="J102" s="333">
        <f t="shared" si="6"/>
        <v>125790.70152126797</v>
      </c>
      <c r="K102" s="354">
        <f t="shared" si="7"/>
        <v>1.5793335812026477</v>
      </c>
      <c r="L102" s="356">
        <f>'побудинковий звіт'!DE93</f>
        <v>75127.389999999985</v>
      </c>
      <c r="M102" s="363">
        <f>'побудинковий звіт'!DA93*-1</f>
        <v>-14054.125361207582</v>
      </c>
    </row>
    <row r="103" spans="1:13" ht="20.100000000000001" customHeight="1" x14ac:dyDescent="0.3">
      <c r="A103" s="359" t="s">
        <v>552</v>
      </c>
      <c r="B103" s="298" t="s">
        <v>157</v>
      </c>
      <c r="C103" s="360">
        <v>2</v>
      </c>
      <c r="D103" s="350">
        <f>'побудинковий звіт'!CU94</f>
        <v>634424.16082588013</v>
      </c>
      <c r="E103" s="334">
        <f>'побудинковий звіт'!CV94</f>
        <v>686228.19989051914</v>
      </c>
      <c r="F103" s="334">
        <f t="shared" si="4"/>
        <v>51804.039064639015</v>
      </c>
      <c r="G103" s="351">
        <f t="shared" si="5"/>
        <v>1.0816552115499536</v>
      </c>
      <c r="H103" s="345">
        <f>('побудинковий звіт'!AS94+'побудинковий звіт'!BQ94)*1.2</f>
        <v>174386.49258977969</v>
      </c>
      <c r="I103" s="333">
        <f>('побудинковий звіт'!AT94+'побудинковий звіт'!BR94)*1.2</f>
        <v>218552.55232813017</v>
      </c>
      <c r="J103" s="333">
        <f t="shared" si="6"/>
        <v>44166.059738350479</v>
      </c>
      <c r="K103" s="354">
        <f t="shared" si="7"/>
        <v>1.253265370972539</v>
      </c>
      <c r="L103" s="356">
        <f>'побудинковий звіт'!DE94</f>
        <v>44809.78</v>
      </c>
      <c r="M103" s="363">
        <f>'побудинковий звіт'!DA94*-1</f>
        <v>-77807.641180369726</v>
      </c>
    </row>
    <row r="104" spans="1:13" ht="20.100000000000001" customHeight="1" x14ac:dyDescent="0.3">
      <c r="A104" s="359" t="s">
        <v>553</v>
      </c>
      <c r="B104" s="298" t="s">
        <v>158</v>
      </c>
      <c r="C104" s="360">
        <v>2</v>
      </c>
      <c r="D104" s="350">
        <f>'побудинковий звіт'!CU95</f>
        <v>200629.84405079976</v>
      </c>
      <c r="E104" s="334">
        <f>'побудинковий звіт'!CV95</f>
        <v>207335.33796517469</v>
      </c>
      <c r="F104" s="334">
        <f t="shared" si="4"/>
        <v>6705.4939143749361</v>
      </c>
      <c r="G104" s="351">
        <f t="shared" si="5"/>
        <v>1.0334222156534054</v>
      </c>
      <c r="H104" s="345">
        <f>('побудинковий звіт'!AS95+'побудинковий звіт'!BQ95)*1.2</f>
        <v>39064.846133588508</v>
      </c>
      <c r="I104" s="333">
        <f>('побудинковий звіт'!AT95+'побудинковий звіт'!BR95)*1.2</f>
        <v>36082.167134648822</v>
      </c>
      <c r="J104" s="333">
        <f t="shared" si="6"/>
        <v>-2982.6789989396857</v>
      </c>
      <c r="K104" s="354">
        <f t="shared" si="7"/>
        <v>0.92364800340592823</v>
      </c>
      <c r="L104" s="356">
        <f>'побудинковий звіт'!DE95</f>
        <v>28629.39</v>
      </c>
      <c r="M104" s="363">
        <f>'побудинковий звіт'!DA95*-1</f>
        <v>26207.05754719126</v>
      </c>
    </row>
    <row r="105" spans="1:13" ht="20.100000000000001" customHeight="1" x14ac:dyDescent="0.3">
      <c r="A105" s="359" t="s">
        <v>554</v>
      </c>
      <c r="B105" s="298" t="s">
        <v>159</v>
      </c>
      <c r="C105" s="360">
        <v>2</v>
      </c>
      <c r="D105" s="350">
        <f>'побудинковий звіт'!CU96</f>
        <v>1056984.9514083306</v>
      </c>
      <c r="E105" s="334">
        <f>'побудинковий звіт'!CV96</f>
        <v>1066114.8245683999</v>
      </c>
      <c r="F105" s="334">
        <f t="shared" si="4"/>
        <v>9129.8731600693427</v>
      </c>
      <c r="G105" s="351">
        <f t="shared" si="5"/>
        <v>1.0086376567120512</v>
      </c>
      <c r="H105" s="345">
        <f>('побудинковий звіт'!AS96+'побудинковий звіт'!BQ96)*1.2</f>
        <v>256212.93814279692</v>
      </c>
      <c r="I105" s="333">
        <f>('побудинковий звіт'!AT96+'побудинковий звіт'!BR96)*1.2</f>
        <v>150093.91783330729</v>
      </c>
      <c r="J105" s="333">
        <f t="shared" si="6"/>
        <v>-106119.02030948963</v>
      </c>
      <c r="K105" s="354">
        <f t="shared" si="7"/>
        <v>0.58581708996153203</v>
      </c>
      <c r="L105" s="356">
        <f>'побудинковий звіт'!DE96</f>
        <v>184480.14999999997</v>
      </c>
      <c r="M105" s="363">
        <f>'побудинковий звіт'!DA96*-1</f>
        <v>13873.084965451824</v>
      </c>
    </row>
    <row r="106" spans="1:13" ht="20.100000000000001" customHeight="1" x14ac:dyDescent="0.3">
      <c r="A106" s="359" t="s">
        <v>555</v>
      </c>
      <c r="B106" s="298" t="s">
        <v>160</v>
      </c>
      <c r="C106" s="360">
        <v>2</v>
      </c>
      <c r="D106" s="350">
        <f>'побудинковий звіт'!CU97</f>
        <v>200193.83510535985</v>
      </c>
      <c r="E106" s="334">
        <f>'побудинковий звіт'!CV97</f>
        <v>167989.2238283036</v>
      </c>
      <c r="F106" s="334">
        <f t="shared" si="4"/>
        <v>-32204.611277056247</v>
      </c>
      <c r="G106" s="351">
        <f t="shared" si="5"/>
        <v>0.83913285211751243</v>
      </c>
      <c r="H106" s="345">
        <f>('побудинковий звіт'!AS97+'побудинковий звіт'!BQ97)*1.2</f>
        <v>66312.308009825385</v>
      </c>
      <c r="I106" s="333">
        <f>('побудинковий звіт'!AT97+'побудинковий звіт'!BR97)*1.2</f>
        <v>10910.22875389928</v>
      </c>
      <c r="J106" s="333">
        <f t="shared" si="6"/>
        <v>-55402.079255926103</v>
      </c>
      <c r="K106" s="354">
        <f t="shared" si="7"/>
        <v>0.16452795991179692</v>
      </c>
      <c r="L106" s="356">
        <f>'побудинковий звіт'!DE97</f>
        <v>8539.66</v>
      </c>
      <c r="M106" s="363">
        <f>'побудинковий звіт'!DA97*-1</f>
        <v>-62615.323474049481</v>
      </c>
    </row>
    <row r="107" spans="1:13" ht="20.100000000000001" customHeight="1" x14ac:dyDescent="0.3">
      <c r="A107" s="359" t="s">
        <v>556</v>
      </c>
      <c r="B107" s="298" t="s">
        <v>195</v>
      </c>
      <c r="C107" s="360">
        <v>3</v>
      </c>
      <c r="D107" s="350">
        <f>'побудинковий звіт'!CU98</f>
        <v>1054300.2833910096</v>
      </c>
      <c r="E107" s="334">
        <f>'побудинковий звіт'!CV98</f>
        <v>890673.75308643188</v>
      </c>
      <c r="F107" s="334">
        <f t="shared" si="4"/>
        <v>-163626.53030457767</v>
      </c>
      <c r="G107" s="351">
        <f t="shared" si="5"/>
        <v>0.8448008286801405</v>
      </c>
      <c r="H107" s="345">
        <f>('побудинковий звіт'!AS98+'побудинковий звіт'!BQ98)*1.2</f>
        <v>276747.86756763072</v>
      </c>
      <c r="I107" s="333">
        <f>('побудинковий звіт'!AT98+'побудинковий звіт'!BR98)*1.2</f>
        <v>348255.29106997844</v>
      </c>
      <c r="J107" s="333">
        <f t="shared" si="6"/>
        <v>71507.423502347723</v>
      </c>
      <c r="K107" s="354">
        <f t="shared" si="7"/>
        <v>1.2583847316723153</v>
      </c>
      <c r="L107" s="356">
        <f>'побудинковий звіт'!DE98</f>
        <v>234507.13999999998</v>
      </c>
      <c r="M107" s="363">
        <f>'побудинковий звіт'!DA98*-1</f>
        <v>116939.86501679533</v>
      </c>
    </row>
    <row r="108" spans="1:13" ht="20.100000000000001" customHeight="1" x14ac:dyDescent="0.3">
      <c r="A108" s="359" t="s">
        <v>557</v>
      </c>
      <c r="B108" s="298" t="s">
        <v>209</v>
      </c>
      <c r="C108" s="360">
        <v>4</v>
      </c>
      <c r="D108" s="350">
        <f>'побудинковий звіт'!CU99</f>
        <v>4913.0425575846875</v>
      </c>
      <c r="E108" s="334">
        <f>'побудинковий звіт'!CV99</f>
        <v>169.6254808133707</v>
      </c>
      <c r="F108" s="334">
        <f t="shared" si="4"/>
        <v>-4743.4170767713167</v>
      </c>
      <c r="G108" s="351">
        <f t="shared" si="5"/>
        <v>3.452554681243402E-2</v>
      </c>
      <c r="H108" s="345">
        <f>('побудинковий звіт'!AS99+'побудинковий звіт'!BQ99)*1.2</f>
        <v>4376.7412198824795</v>
      </c>
      <c r="I108" s="333">
        <f>('побудинковий звіт'!AT99+'побудинковий звіт'!BR99)*1.2</f>
        <v>0</v>
      </c>
      <c r="J108" s="333">
        <f t="shared" si="6"/>
        <v>-4376.7412198824795</v>
      </c>
      <c r="K108" s="354">
        <f t="shared" si="7"/>
        <v>0</v>
      </c>
      <c r="L108" s="356">
        <f>'побудинковий звіт'!DE99</f>
        <v>-38.599999999999966</v>
      </c>
      <c r="M108" s="363">
        <f>'побудинковий звіт'!DA99*-1</f>
        <v>4617.3389085280814</v>
      </c>
    </row>
    <row r="109" spans="1:13" ht="20.100000000000001" customHeight="1" x14ac:dyDescent="0.3">
      <c r="A109" s="359" t="s">
        <v>558</v>
      </c>
      <c r="B109" s="298" t="s">
        <v>161</v>
      </c>
      <c r="C109" s="360">
        <v>2</v>
      </c>
      <c r="D109" s="350">
        <f>'побудинковий звіт'!CU100</f>
        <v>4185.3625924679482</v>
      </c>
      <c r="E109" s="334">
        <f>'побудинковий звіт'!CV100</f>
        <v>6713.1693071351065</v>
      </c>
      <c r="F109" s="334">
        <f t="shared" si="4"/>
        <v>2527.8067146671583</v>
      </c>
      <c r="G109" s="351">
        <f t="shared" si="5"/>
        <v>1.6039636133835198</v>
      </c>
      <c r="H109" s="345">
        <f>('побудинковий звіт'!AS100+'побудинковий звіт'!BQ100)*1.2</f>
        <v>3756.321522306182</v>
      </c>
      <c r="I109" s="333">
        <f>('побудинковий звіт'!AT100+'побудинковий звіт'!BR100)*1.2</f>
        <v>6487.3497651485895</v>
      </c>
      <c r="J109" s="333">
        <f t="shared" si="6"/>
        <v>2731.0282428424075</v>
      </c>
      <c r="K109" s="354">
        <f t="shared" si="7"/>
        <v>1.7270485837340412</v>
      </c>
      <c r="L109" s="356">
        <f>'побудинковий звіт'!DE100</f>
        <v>596.0100000000001</v>
      </c>
      <c r="M109" s="363">
        <f>'побудинковий звіт'!DA100*-1</f>
        <v>7446.1174435079038</v>
      </c>
    </row>
    <row r="110" spans="1:13" ht="20.100000000000001" customHeight="1" x14ac:dyDescent="0.3">
      <c r="A110" s="359" t="s">
        <v>559</v>
      </c>
      <c r="B110" s="298" t="s">
        <v>210</v>
      </c>
      <c r="C110" s="360">
        <v>4</v>
      </c>
      <c r="D110" s="350">
        <f>'побудинковий звіт'!CU101</f>
        <v>4709.2050585178522</v>
      </c>
      <c r="E110" s="334">
        <f>'побудинковий звіт'!CV101</f>
        <v>801.11717522857202</v>
      </c>
      <c r="F110" s="334">
        <f t="shared" si="4"/>
        <v>-3908.0878832892804</v>
      </c>
      <c r="G110" s="351">
        <f t="shared" si="5"/>
        <v>0.17011728418569036</v>
      </c>
      <c r="H110" s="345">
        <f>('побудинковий звіт'!AS101+'побудинковий звіт'!BQ101)*1.2</f>
        <v>3885.9486957286595</v>
      </c>
      <c r="I110" s="333">
        <f>('побудинковий звіт'!AT101+'побудинковий звіт'!BR101)*1.2</f>
        <v>0</v>
      </c>
      <c r="J110" s="333">
        <f t="shared" si="6"/>
        <v>-3885.9486957286595</v>
      </c>
      <c r="K110" s="354">
        <f t="shared" si="7"/>
        <v>0</v>
      </c>
      <c r="L110" s="356">
        <f>'побудинковий звіт'!DE101</f>
        <v>0</v>
      </c>
      <c r="M110" s="363">
        <f>'побудинковий звіт'!DA101*-1</f>
        <v>11303.94526815754</v>
      </c>
    </row>
    <row r="111" spans="1:13" ht="20.100000000000001" customHeight="1" x14ac:dyDescent="0.3">
      <c r="A111" s="359" t="s">
        <v>560</v>
      </c>
      <c r="B111" s="298" t="s">
        <v>162</v>
      </c>
      <c r="C111" s="360">
        <v>2</v>
      </c>
      <c r="D111" s="350">
        <f>'побудинковий звіт'!CU102</f>
        <v>9006.9520759523675</v>
      </c>
      <c r="E111" s="334">
        <f>'побудинковий звіт'!CV102</f>
        <v>339.08391683529715</v>
      </c>
      <c r="F111" s="334">
        <f t="shared" si="4"/>
        <v>-8667.8681591170698</v>
      </c>
      <c r="G111" s="351">
        <f t="shared" si="5"/>
        <v>3.7646910295061543E-2</v>
      </c>
      <c r="H111" s="345">
        <f>('побудинковий звіт'!AS102+'побудинковий звіт'!BQ102)*1.2</f>
        <v>7870.5819569788673</v>
      </c>
      <c r="I111" s="333">
        <f>('побудинковий звіт'!AT102+'побудинковий звіт'!BR102)*1.2</f>
        <v>0</v>
      </c>
      <c r="J111" s="333">
        <f t="shared" si="6"/>
        <v>-7870.5819569788673</v>
      </c>
      <c r="K111" s="354">
        <f t="shared" si="7"/>
        <v>0</v>
      </c>
      <c r="L111" s="356">
        <f>'побудинковий звіт'!DE102</f>
        <v>1679.9700000000003</v>
      </c>
      <c r="M111" s="363">
        <f>'побудинковий звіт'!DA102*-1</f>
        <v>30987.795853199048</v>
      </c>
    </row>
    <row r="112" spans="1:13" ht="20.100000000000001" customHeight="1" x14ac:dyDescent="0.3">
      <c r="A112" s="359" t="s">
        <v>561</v>
      </c>
      <c r="B112" s="298" t="s">
        <v>256</v>
      </c>
      <c r="C112" s="360">
        <v>5</v>
      </c>
      <c r="D112" s="350">
        <f>'побудинковий звіт'!CU103</f>
        <v>5932.2129084865455</v>
      </c>
      <c r="E112" s="334">
        <f>'побудинковий звіт'!CV103</f>
        <v>2282.2375645319362</v>
      </c>
      <c r="F112" s="334">
        <f t="shared" si="4"/>
        <v>-3649.9753439546093</v>
      </c>
      <c r="G112" s="351">
        <f t="shared" si="5"/>
        <v>0.38471942928194591</v>
      </c>
      <c r="H112" s="345">
        <f>('побудинковий звіт'!AS103+'побудинковий звіт'!BQ103)*1.2</f>
        <v>4781.6337627023031</v>
      </c>
      <c r="I112" s="333">
        <f>('побудинковий звіт'!AT103+'побудинковий звіт'!BR103)*1.2</f>
        <v>0</v>
      </c>
      <c r="J112" s="333">
        <f t="shared" si="6"/>
        <v>-4781.6337627023031</v>
      </c>
      <c r="K112" s="354">
        <f t="shared" si="7"/>
        <v>0</v>
      </c>
      <c r="L112" s="356">
        <f>'побудинковий звіт'!DE103</f>
        <v>141.40999999999997</v>
      </c>
      <c r="M112" s="363">
        <f>'побудинковий звіт'!DA103*-1</f>
        <v>-7265.6624885832534</v>
      </c>
    </row>
    <row r="113" spans="1:13" ht="20.100000000000001" customHeight="1" x14ac:dyDescent="0.3">
      <c r="A113" s="359" t="s">
        <v>562</v>
      </c>
      <c r="B113" s="298" t="s">
        <v>257</v>
      </c>
      <c r="C113" s="360">
        <v>5</v>
      </c>
      <c r="D113" s="350">
        <f>'побудинковий звіт'!CU104</f>
        <v>5967.4639482345247</v>
      </c>
      <c r="E113" s="334">
        <f>'побудинковий звіт'!CV104</f>
        <v>4797.8512710897794</v>
      </c>
      <c r="F113" s="334">
        <f t="shared" si="4"/>
        <v>-1169.6126771447452</v>
      </c>
      <c r="G113" s="351">
        <f t="shared" si="5"/>
        <v>0.80400171877187876</v>
      </c>
      <c r="H113" s="345">
        <f>('побудинковий звіт'!AS104+'побудинковий звіт'!BQ104)*1.2</f>
        <v>3617.6129834468279</v>
      </c>
      <c r="I113" s="333">
        <f>('побудинковий звіт'!AT104+'побудинковий звіт'!BR104)*1.2</f>
        <v>0</v>
      </c>
      <c r="J113" s="333">
        <f t="shared" si="6"/>
        <v>-3617.6129834468279</v>
      </c>
      <c r="K113" s="354">
        <f t="shared" si="7"/>
        <v>0</v>
      </c>
      <c r="L113" s="356">
        <f>'побудинковий звіт'!DE104</f>
        <v>111.53999999999996</v>
      </c>
      <c r="M113" s="363">
        <f>'побудинковий звіт'!DA104*-1</f>
        <v>6134.7184034321999</v>
      </c>
    </row>
    <row r="114" spans="1:13" ht="20.100000000000001" customHeight="1" x14ac:dyDescent="0.3">
      <c r="A114" s="359" t="s">
        <v>563</v>
      </c>
      <c r="B114" s="298" t="s">
        <v>416</v>
      </c>
      <c r="C114" s="360">
        <v>10</v>
      </c>
      <c r="D114" s="350">
        <f>'побудинковий звіт'!CU105</f>
        <v>3035.3033725846685</v>
      </c>
      <c r="E114" s="334">
        <f>'побудинковий звіт'!CV105</f>
        <v>3827.6905406698279</v>
      </c>
      <c r="F114" s="334">
        <f t="shared" si="4"/>
        <v>792.38716808515937</v>
      </c>
      <c r="G114" s="351">
        <f t="shared" si="5"/>
        <v>1.2610569919442396</v>
      </c>
      <c r="H114" s="345">
        <f>('побудинковий звіт'!AS105+'побудинковий звіт'!BQ105)*1.2</f>
        <v>1911.3756195216849</v>
      </c>
      <c r="I114" s="333">
        <f>('побудинковий звіт'!AT105+'побудинковий звіт'!BR105)*1.2</f>
        <v>0</v>
      </c>
      <c r="J114" s="333">
        <f t="shared" si="6"/>
        <v>-1911.3756195216849</v>
      </c>
      <c r="K114" s="354">
        <f t="shared" si="7"/>
        <v>0</v>
      </c>
      <c r="L114" s="356">
        <f>'побудинковий звіт'!DE105</f>
        <v>30.230000000000018</v>
      </c>
      <c r="M114" s="363">
        <f>'побудинковий звіт'!DA105*-1</f>
        <v>1428.0676552552586</v>
      </c>
    </row>
    <row r="115" spans="1:13" ht="20.100000000000001" customHeight="1" x14ac:dyDescent="0.3">
      <c r="A115" s="359" t="s">
        <v>564</v>
      </c>
      <c r="B115" s="298" t="s">
        <v>359</v>
      </c>
      <c r="C115" s="360">
        <v>9</v>
      </c>
      <c r="D115" s="350">
        <f>'побудинковий звіт'!CU106</f>
        <v>422506.43526480522</v>
      </c>
      <c r="E115" s="334">
        <f>'побудинковий звіт'!CV106</f>
        <v>346013.76661780343</v>
      </c>
      <c r="F115" s="334">
        <f t="shared" si="4"/>
        <v>-76492.668647001788</v>
      </c>
      <c r="G115" s="351">
        <f t="shared" si="5"/>
        <v>0.81895502112515717</v>
      </c>
      <c r="H115" s="345">
        <f>('побудинковий звіт'!AS106+'побудинковий звіт'!BQ106)*1.2</f>
        <v>152924.1565618809</v>
      </c>
      <c r="I115" s="333">
        <f>('побудинковий звіт'!AT106+'побудинковий звіт'!BR106)*1.2</f>
        <v>74124.30443585536</v>
      </c>
      <c r="J115" s="333">
        <f t="shared" si="6"/>
        <v>-78799.852126025537</v>
      </c>
      <c r="K115" s="354">
        <f t="shared" si="7"/>
        <v>0.48471285441329798</v>
      </c>
      <c r="L115" s="356">
        <f>'побудинковий звіт'!DE106</f>
        <v>55499.12000000001</v>
      </c>
      <c r="M115" s="364">
        <f>'побудинковий звіт'!DA106*-1</f>
        <v>1844.9140307367488</v>
      </c>
    </row>
    <row r="116" spans="1:13" ht="20.100000000000001" customHeight="1" x14ac:dyDescent="0.3">
      <c r="A116" s="359" t="s">
        <v>565</v>
      </c>
      <c r="B116" s="298" t="s">
        <v>80</v>
      </c>
      <c r="C116" s="360">
        <v>1</v>
      </c>
      <c r="D116" s="350">
        <f>'побудинковий звіт'!CU107</f>
        <v>193355.4374907251</v>
      </c>
      <c r="E116" s="334">
        <f>'побудинковий звіт'!CV107</f>
        <v>138395.74189180616</v>
      </c>
      <c r="F116" s="334">
        <f t="shared" si="4"/>
        <v>-54959.695598918945</v>
      </c>
      <c r="G116" s="351">
        <f t="shared" si="5"/>
        <v>0.71575821030864328</v>
      </c>
      <c r="H116" s="345">
        <f>('побудинковий звіт'!AS107+'побудинковий звіт'!BQ107)*1.2</f>
        <v>65207.665599232307</v>
      </c>
      <c r="I116" s="333">
        <f>('побудинковий звіт'!AT107+'побудинковий звіт'!BR107)*1.2</f>
        <v>1681.0120609908402</v>
      </c>
      <c r="J116" s="333">
        <f t="shared" si="6"/>
        <v>-63526.653538241466</v>
      </c>
      <c r="K116" s="354">
        <f t="shared" si="7"/>
        <v>2.5779362679878404E-2</v>
      </c>
      <c r="L116" s="356">
        <f>'побудинковий звіт'!DE107</f>
        <v>61046.75</v>
      </c>
      <c r="M116" s="363">
        <f>'побудинковий звіт'!DA107*-1</f>
        <v>-47149.280769168719</v>
      </c>
    </row>
    <row r="117" spans="1:13" ht="20.100000000000001" customHeight="1" x14ac:dyDescent="0.3">
      <c r="A117" s="359" t="s">
        <v>566</v>
      </c>
      <c r="B117" s="298" t="s">
        <v>163</v>
      </c>
      <c r="C117" s="360">
        <v>2</v>
      </c>
      <c r="D117" s="350">
        <f>'побудинковий звіт'!CU108</f>
        <v>367862.10840133869</v>
      </c>
      <c r="E117" s="334">
        <f>'побудинковий звіт'!CV108</f>
        <v>263088.63064262707</v>
      </c>
      <c r="F117" s="334">
        <f t="shared" ref="F117:F178" si="8">E117-D117</f>
        <v>-104773.47775871161</v>
      </c>
      <c r="G117" s="351">
        <f t="shared" ref="G117:G178" si="9">E117/D117</f>
        <v>0.71518274003800519</v>
      </c>
      <c r="H117" s="345">
        <f>('побудинковий звіт'!AS108+'побудинковий звіт'!BQ108)*1.2</f>
        <v>125070.58456948175</v>
      </c>
      <c r="I117" s="333">
        <f>('побудинковий звіт'!AT108+'побудинковий звіт'!BR108)*1.2</f>
        <v>13829.986846883225</v>
      </c>
      <c r="J117" s="333">
        <f t="shared" ref="J117:J178" si="10">I117-H117</f>
        <v>-111240.59772259853</v>
      </c>
      <c r="K117" s="354">
        <f t="shared" ref="K117:K178" si="11">I117/H117</f>
        <v>0.1105774542790284</v>
      </c>
      <c r="L117" s="356">
        <f>'побудинковий звіт'!DE108</f>
        <v>43779.61</v>
      </c>
      <c r="M117" s="363">
        <f>'побудинковий звіт'!DA108*-1</f>
        <v>-17181.547216136969</v>
      </c>
    </row>
    <row r="118" spans="1:13" ht="20.100000000000001" customHeight="1" x14ac:dyDescent="0.3">
      <c r="A118" s="359" t="s">
        <v>567</v>
      </c>
      <c r="B118" s="298" t="s">
        <v>83</v>
      </c>
      <c r="C118" s="360">
        <v>1</v>
      </c>
      <c r="D118" s="350">
        <f>'побудинковий звіт'!CU109</f>
        <v>470522.67950066808</v>
      </c>
      <c r="E118" s="334">
        <f>'побудинковий звіт'!CV109</f>
        <v>377253.89772226004</v>
      </c>
      <c r="F118" s="334">
        <f t="shared" si="8"/>
        <v>-93268.78177840804</v>
      </c>
      <c r="G118" s="351">
        <f t="shared" si="9"/>
        <v>0.80177622494756784</v>
      </c>
      <c r="H118" s="345">
        <f>('побудинковий звіт'!AS109+'побудинковий звіт'!BQ109)*1.2</f>
        <v>122847.34728172605</v>
      </c>
      <c r="I118" s="333">
        <f>('побудинковий звіт'!AT109+'побудинковий звіт'!BR109)*1.2</f>
        <v>59329.838963835093</v>
      </c>
      <c r="J118" s="333">
        <f t="shared" si="10"/>
        <v>-63517.508317890955</v>
      </c>
      <c r="K118" s="354">
        <f t="shared" si="11"/>
        <v>0.48295580064723631</v>
      </c>
      <c r="L118" s="356">
        <f>'побудинковий звіт'!DE109</f>
        <v>69015.360000000001</v>
      </c>
      <c r="M118" s="363">
        <f>'побудинковий звіт'!DA109*-1</f>
        <v>193999.82229306642</v>
      </c>
    </row>
    <row r="119" spans="1:13" ht="20.100000000000001" customHeight="1" x14ac:dyDescent="0.3">
      <c r="A119" s="359" t="s">
        <v>568</v>
      </c>
      <c r="B119" s="298" t="s">
        <v>84</v>
      </c>
      <c r="C119" s="360">
        <v>1</v>
      </c>
      <c r="D119" s="350">
        <f>'побудинковий звіт'!CU110</f>
        <v>5310.5678460488998</v>
      </c>
      <c r="E119" s="334">
        <f>'побудинковий звіт'!CV110</f>
        <v>2174.2646026538423</v>
      </c>
      <c r="F119" s="334">
        <f t="shared" si="8"/>
        <v>-3136.3032433950575</v>
      </c>
      <c r="G119" s="351">
        <f t="shared" si="9"/>
        <v>0.4094222436629843</v>
      </c>
      <c r="H119" s="345">
        <f>('побудинковий звіт'!AS110+'побудинковий звіт'!BQ110)*1.2</f>
        <v>3433.3196108401908</v>
      </c>
      <c r="I119" s="333">
        <f>('побудинковий звіт'!AT110+'побудинковий звіт'!BR110)*1.2</f>
        <v>0</v>
      </c>
      <c r="J119" s="333">
        <f t="shared" si="10"/>
        <v>-3433.3196108401908</v>
      </c>
      <c r="K119" s="354">
        <f t="shared" si="11"/>
        <v>0</v>
      </c>
      <c r="L119" s="356">
        <f>'побудинковий звіт'!DE110</f>
        <v>1871.56</v>
      </c>
      <c r="M119" s="363">
        <f>'побудинковий звіт'!DA110*-1</f>
        <v>1804.9200219755121</v>
      </c>
    </row>
    <row r="120" spans="1:13" ht="20.100000000000001" customHeight="1" x14ac:dyDescent="0.3">
      <c r="A120" s="359" t="s">
        <v>569</v>
      </c>
      <c r="B120" s="298" t="s">
        <v>85</v>
      </c>
      <c r="C120" s="360">
        <v>1</v>
      </c>
      <c r="D120" s="350">
        <f>'побудинковий звіт'!CU111</f>
        <v>889025.34879860643</v>
      </c>
      <c r="E120" s="334">
        <f>'побудинковий звіт'!CV111</f>
        <v>911519.0245654399</v>
      </c>
      <c r="F120" s="334">
        <f t="shared" si="8"/>
        <v>22493.675766833476</v>
      </c>
      <c r="G120" s="351">
        <f t="shared" si="9"/>
        <v>1.0253015010170752</v>
      </c>
      <c r="H120" s="345">
        <f>('побудинковий звіт'!AS111+'побудинковий звіт'!BQ111)*1.2</f>
        <v>238660.92991024425</v>
      </c>
      <c r="I120" s="333">
        <f>('побудинковий звіт'!AT111+'побудинковий звіт'!BR111)*1.2</f>
        <v>204745.37234159387</v>
      </c>
      <c r="J120" s="333">
        <f t="shared" si="10"/>
        <v>-33915.557568650373</v>
      </c>
      <c r="K120" s="354">
        <f t="shared" si="11"/>
        <v>0.85789229271248812</v>
      </c>
      <c r="L120" s="356">
        <f>'побудинковий звіт'!DE111</f>
        <v>98522.340000000011</v>
      </c>
      <c r="M120" s="363">
        <f>'побудинковий звіт'!DA111*-1</f>
        <v>33765.586656907166</v>
      </c>
    </row>
    <row r="121" spans="1:13" ht="20.100000000000001" customHeight="1" x14ac:dyDescent="0.3">
      <c r="A121" s="359" t="s">
        <v>570</v>
      </c>
      <c r="B121" s="298" t="s">
        <v>86</v>
      </c>
      <c r="C121" s="360">
        <v>1</v>
      </c>
      <c r="D121" s="350" t="e">
        <f>'побудинковий звіт'!#REF!</f>
        <v>#REF!</v>
      </c>
      <c r="E121" s="334" t="e">
        <f>'побудинковий звіт'!#REF!</f>
        <v>#REF!</v>
      </c>
      <c r="F121" s="334" t="e">
        <f t="shared" si="8"/>
        <v>#REF!</v>
      </c>
      <c r="G121" s="351" t="e">
        <f t="shared" si="9"/>
        <v>#REF!</v>
      </c>
      <c r="H121" s="345" t="e">
        <f>('побудинковий звіт'!#REF!+'побудинковий звіт'!#REF!)*1.2</f>
        <v>#REF!</v>
      </c>
      <c r="I121" s="333" t="e">
        <f>('побудинковий звіт'!#REF!+'побудинковий звіт'!#REF!)*1.2</f>
        <v>#REF!</v>
      </c>
      <c r="J121" s="333" t="e">
        <f t="shared" si="10"/>
        <v>#REF!</v>
      </c>
      <c r="K121" s="354" t="e">
        <f t="shared" si="11"/>
        <v>#REF!</v>
      </c>
      <c r="L121" s="356" t="e">
        <f>'побудинковий звіт'!#REF!</f>
        <v>#REF!</v>
      </c>
      <c r="M121" s="363" t="e">
        <f>'побудинковий звіт'!#REF!*-1</f>
        <v>#REF!</v>
      </c>
    </row>
    <row r="122" spans="1:13" ht="20.100000000000001" customHeight="1" x14ac:dyDescent="0.3">
      <c r="A122" s="359" t="s">
        <v>571</v>
      </c>
      <c r="B122" s="298" t="s">
        <v>258</v>
      </c>
      <c r="C122" s="360">
        <v>5</v>
      </c>
      <c r="D122" s="350">
        <f>'побудинковий звіт'!CU112</f>
        <v>6544.0539446323937</v>
      </c>
      <c r="E122" s="334">
        <f>'побудинковий звіт'!CV112</f>
        <v>6398.3458436425026</v>
      </c>
      <c r="F122" s="334">
        <f t="shared" si="8"/>
        <v>-145.70810098989114</v>
      </c>
      <c r="G122" s="351">
        <f t="shared" si="9"/>
        <v>0.97773427569169036</v>
      </c>
      <c r="H122" s="345">
        <f>('побудинковий звіт'!AS112+'побудинковий звіт'!BQ112)*1.2</f>
        <v>3577.292767323308</v>
      </c>
      <c r="I122" s="333">
        <f>('побудинковий звіт'!AT112+'побудинковий звіт'!BR112)*1.2</f>
        <v>0</v>
      </c>
      <c r="J122" s="333">
        <f t="shared" si="10"/>
        <v>-3577.292767323308</v>
      </c>
      <c r="K122" s="354">
        <f t="shared" si="11"/>
        <v>0</v>
      </c>
      <c r="L122" s="356">
        <f>'побудинковий звіт'!DE112</f>
        <v>219.76</v>
      </c>
      <c r="M122" s="363">
        <f>'побудинковий звіт'!DA112*-1</f>
        <v>2030.1138304491183</v>
      </c>
    </row>
    <row r="123" spans="1:13" ht="20.100000000000001" customHeight="1" x14ac:dyDescent="0.3">
      <c r="A123" s="359" t="s">
        <v>572</v>
      </c>
      <c r="B123" s="298" t="s">
        <v>88</v>
      </c>
      <c r="C123" s="360">
        <v>1</v>
      </c>
      <c r="D123" s="350" t="e">
        <f>'побудинковий звіт'!#REF!</f>
        <v>#REF!</v>
      </c>
      <c r="E123" s="334" t="e">
        <f>'побудинковий звіт'!#REF!</f>
        <v>#REF!</v>
      </c>
      <c r="F123" s="334" t="e">
        <f t="shared" si="8"/>
        <v>#REF!</v>
      </c>
      <c r="G123" s="351" t="e">
        <f t="shared" si="9"/>
        <v>#REF!</v>
      </c>
      <c r="H123" s="345" t="e">
        <f>('побудинковий звіт'!#REF!+'побудинковий звіт'!#REF!)*1.2</f>
        <v>#REF!</v>
      </c>
      <c r="I123" s="333" t="e">
        <f>('побудинковий звіт'!#REF!+'побудинковий звіт'!#REF!)*1.2</f>
        <v>#REF!</v>
      </c>
      <c r="J123" s="333" t="e">
        <f t="shared" si="10"/>
        <v>#REF!</v>
      </c>
      <c r="K123" s="354" t="e">
        <f t="shared" si="11"/>
        <v>#REF!</v>
      </c>
      <c r="L123" s="356" t="e">
        <f>'побудинковий звіт'!#REF!</f>
        <v>#REF!</v>
      </c>
      <c r="M123" s="363" t="e">
        <f>'побудинковий звіт'!#REF!*-1</f>
        <v>#REF!</v>
      </c>
    </row>
    <row r="124" spans="1:13" ht="20.100000000000001" customHeight="1" x14ac:dyDescent="0.3">
      <c r="A124" s="359" t="s">
        <v>573</v>
      </c>
      <c r="B124" s="298" t="s">
        <v>89</v>
      </c>
      <c r="C124" s="360">
        <v>1</v>
      </c>
      <c r="D124" s="350">
        <f>'побудинковий звіт'!CU113</f>
        <v>106387.65794216466</v>
      </c>
      <c r="E124" s="334">
        <f>'побудинковий звіт'!CV113</f>
        <v>103266.23381438926</v>
      </c>
      <c r="F124" s="334">
        <f t="shared" si="8"/>
        <v>-3121.4241277754045</v>
      </c>
      <c r="G124" s="351">
        <f t="shared" si="9"/>
        <v>0.97065990371296362</v>
      </c>
      <c r="H124" s="345">
        <f>('побудинковий звіт'!AS113+'побудинковий звіт'!BQ113)*1.2</f>
        <v>25615.549579718168</v>
      </c>
      <c r="I124" s="333">
        <f>('побудинковий звіт'!AT113+'побудинковий звіт'!BR113)*1.2</f>
        <v>13553.628338047556</v>
      </c>
      <c r="J124" s="333">
        <f t="shared" si="10"/>
        <v>-12061.921241670612</v>
      </c>
      <c r="K124" s="354">
        <f t="shared" si="11"/>
        <v>0.52911721826882152</v>
      </c>
      <c r="L124" s="356">
        <f>'побудинковий звіт'!DE113</f>
        <v>12845.779999999999</v>
      </c>
      <c r="M124" s="363">
        <f>'побудинковий звіт'!DA113*-1</f>
        <v>-42622.046559757051</v>
      </c>
    </row>
    <row r="125" spans="1:13" ht="20.100000000000001" customHeight="1" x14ac:dyDescent="0.3">
      <c r="A125" s="359" t="s">
        <v>574</v>
      </c>
      <c r="B125" s="298" t="s">
        <v>90</v>
      </c>
      <c r="C125" s="360">
        <v>1</v>
      </c>
      <c r="D125" s="350">
        <f>'побудинковий звіт'!CU114</f>
        <v>831725.46412591485</v>
      </c>
      <c r="E125" s="334">
        <f>'побудинковий звіт'!CV114</f>
        <v>719596.59729007923</v>
      </c>
      <c r="F125" s="334">
        <f t="shared" si="8"/>
        <v>-112128.86683583562</v>
      </c>
      <c r="G125" s="351">
        <f t="shared" si="9"/>
        <v>0.86518524240005656</v>
      </c>
      <c r="H125" s="345">
        <f>('побудинковий звіт'!AS114+'побудинковий звіт'!BQ114)*1.2</f>
        <v>217262.1125024049</v>
      </c>
      <c r="I125" s="333">
        <f>('побудинковий звіт'!AT114+'побудинковий звіт'!BR114)*1.2</f>
        <v>176501.04860349643</v>
      </c>
      <c r="J125" s="333">
        <f t="shared" si="10"/>
        <v>-40761.063898908469</v>
      </c>
      <c r="K125" s="354">
        <f t="shared" si="11"/>
        <v>0.81238761130771353</v>
      </c>
      <c r="L125" s="356">
        <f>'побудинковий звіт'!DE114</f>
        <v>39035.460000000006</v>
      </c>
      <c r="M125" s="363">
        <f>'побудинковий звіт'!DA114*-1</f>
        <v>149599.6852154496</v>
      </c>
    </row>
    <row r="126" spans="1:13" ht="20.100000000000001" customHeight="1" x14ac:dyDescent="0.3">
      <c r="A126" s="359" t="s">
        <v>575</v>
      </c>
      <c r="B126" s="298" t="s">
        <v>91</v>
      </c>
      <c r="C126" s="360">
        <v>1</v>
      </c>
      <c r="D126" s="350" t="e">
        <f>'побудинковий звіт'!#REF!</f>
        <v>#REF!</v>
      </c>
      <c r="E126" s="334" t="e">
        <f>'побудинковий звіт'!#REF!</f>
        <v>#REF!</v>
      </c>
      <c r="F126" s="334" t="e">
        <f t="shared" si="8"/>
        <v>#REF!</v>
      </c>
      <c r="G126" s="351" t="e">
        <f t="shared" si="9"/>
        <v>#REF!</v>
      </c>
      <c r="H126" s="345" t="e">
        <f>('побудинковий звіт'!#REF!+'побудинковий звіт'!#REF!)*1.2</f>
        <v>#REF!</v>
      </c>
      <c r="I126" s="333" t="e">
        <f>('побудинковий звіт'!#REF!+'побудинковий звіт'!#REF!)*1.2</f>
        <v>#REF!</v>
      </c>
      <c r="J126" s="333" t="e">
        <f t="shared" si="10"/>
        <v>#REF!</v>
      </c>
      <c r="K126" s="354" t="e">
        <f t="shared" si="11"/>
        <v>#REF!</v>
      </c>
      <c r="L126" s="356" t="e">
        <f>'побудинковий звіт'!#REF!</f>
        <v>#REF!</v>
      </c>
      <c r="M126" s="363" t="e">
        <f>'побудинковий звіт'!#REF!*-1</f>
        <v>#REF!</v>
      </c>
    </row>
    <row r="127" spans="1:13" ht="20.100000000000001" customHeight="1" x14ac:dyDescent="0.3">
      <c r="A127" s="359" t="s">
        <v>576</v>
      </c>
      <c r="B127" s="298" t="s">
        <v>259</v>
      </c>
      <c r="C127" s="360">
        <v>5</v>
      </c>
      <c r="D127" s="350">
        <f>'побудинковий звіт'!CU115</f>
        <v>363981.71738599241</v>
      </c>
      <c r="E127" s="334">
        <f>'побудинковий звіт'!CV115</f>
        <v>421964.13059285894</v>
      </c>
      <c r="F127" s="334">
        <f t="shared" si="8"/>
        <v>57982.413206866535</v>
      </c>
      <c r="G127" s="351">
        <f t="shared" si="9"/>
        <v>1.1593003451472201</v>
      </c>
      <c r="H127" s="345">
        <f>('побудинковий звіт'!AS115+'побудинковий звіт'!BQ115)*1.2</f>
        <v>86065.493867034558</v>
      </c>
      <c r="I127" s="333">
        <f>('побудинковий звіт'!AT115+'побудинковий звіт'!BR115)*1.2</f>
        <v>155795.43237299463</v>
      </c>
      <c r="J127" s="333">
        <f t="shared" si="10"/>
        <v>69729.938505960075</v>
      </c>
      <c r="K127" s="354">
        <f t="shared" si="11"/>
        <v>1.8101962281618713</v>
      </c>
      <c r="L127" s="356">
        <f>'побудинковий звіт'!DE115</f>
        <v>73206.63</v>
      </c>
      <c r="M127" s="363">
        <f>'побудинковий звіт'!DA115*-1</f>
        <v>13032.591699360826</v>
      </c>
    </row>
    <row r="128" spans="1:13" ht="20.100000000000001" customHeight="1" x14ac:dyDescent="0.3">
      <c r="A128" s="359" t="s">
        <v>577</v>
      </c>
      <c r="B128" s="298" t="s">
        <v>417</v>
      </c>
      <c r="C128" s="360">
        <v>10</v>
      </c>
      <c r="D128" s="350">
        <f>'побудинковий звіт'!CU116</f>
        <v>381310.2729147395</v>
      </c>
      <c r="E128" s="334">
        <f>'побудинковий звіт'!CV116</f>
        <v>273142.4619836302</v>
      </c>
      <c r="F128" s="334">
        <f t="shared" si="8"/>
        <v>-108167.8109311093</v>
      </c>
      <c r="G128" s="351">
        <f t="shared" si="9"/>
        <v>0.71632599849913958</v>
      </c>
      <c r="H128" s="345">
        <f>('побудинковий звіт'!AS116+'побудинковий звіт'!BQ116)*1.2</f>
        <v>97742.670149668804</v>
      </c>
      <c r="I128" s="333">
        <f>('побудинковий звіт'!AT116+'побудинковий звіт'!BR116)*1.2</f>
        <v>75414.188088258437</v>
      </c>
      <c r="J128" s="333">
        <f t="shared" si="10"/>
        <v>-22328.482061410366</v>
      </c>
      <c r="K128" s="354">
        <f t="shared" si="11"/>
        <v>0.77155850124393166</v>
      </c>
      <c r="L128" s="356">
        <f>'побудинковий звіт'!DE116</f>
        <v>27231.919999999991</v>
      </c>
      <c r="M128" s="363">
        <f>'побудинковий звіт'!DA116*-1</f>
        <v>13931.434431721951</v>
      </c>
    </row>
    <row r="129" spans="1:13" ht="20.100000000000001" customHeight="1" x14ac:dyDescent="0.3">
      <c r="A129" s="359" t="s">
        <v>578</v>
      </c>
      <c r="B129" s="298" t="s">
        <v>418</v>
      </c>
      <c r="C129" s="360">
        <v>10</v>
      </c>
      <c r="D129" s="350">
        <f>'побудинковий звіт'!CU117</f>
        <v>435429.57374144963</v>
      </c>
      <c r="E129" s="334">
        <f>'побудинковий звіт'!CV117</f>
        <v>380094.22358572041</v>
      </c>
      <c r="F129" s="334">
        <f t="shared" si="8"/>
        <v>-55335.350155729218</v>
      </c>
      <c r="G129" s="351">
        <f t="shared" si="9"/>
        <v>0.87291779545367676</v>
      </c>
      <c r="H129" s="345">
        <f>('побудинковий звіт'!AS117+'побудинковий звіт'!BQ117)*1.2</f>
        <v>97276.175360902984</v>
      </c>
      <c r="I129" s="333">
        <f>('побудинковий звіт'!AT117+'побудинковий звіт'!BR117)*1.2</f>
        <v>151572.72380038211</v>
      </c>
      <c r="J129" s="333">
        <f t="shared" si="10"/>
        <v>54296.548439479127</v>
      </c>
      <c r="K129" s="354">
        <f t="shared" si="11"/>
        <v>1.5581690299606687</v>
      </c>
      <c r="L129" s="356">
        <f>'побудинковий звіт'!DE117</f>
        <v>48265.63</v>
      </c>
      <c r="M129" s="363">
        <f>'побудинковий звіт'!DA117*-1</f>
        <v>140136.26848019188</v>
      </c>
    </row>
    <row r="130" spans="1:13" ht="20.100000000000001" customHeight="1" x14ac:dyDescent="0.3">
      <c r="A130" s="359" t="s">
        <v>579</v>
      </c>
      <c r="B130" s="298" t="s">
        <v>92</v>
      </c>
      <c r="C130" s="360">
        <v>1</v>
      </c>
      <c r="D130" s="350">
        <f>'побудинковий звіт'!CU118</f>
        <v>899539.97365092963</v>
      </c>
      <c r="E130" s="334">
        <f>'побудинковий звіт'!CV118</f>
        <v>885951.93403023866</v>
      </c>
      <c r="F130" s="334">
        <f t="shared" si="8"/>
        <v>-13588.039620690979</v>
      </c>
      <c r="G130" s="351">
        <f t="shared" si="9"/>
        <v>0.98489445714619916</v>
      </c>
      <c r="H130" s="345">
        <f>('побудинковий звіт'!AS118+'побудинковий звіт'!BQ118)*1.2</f>
        <v>245208.40227937116</v>
      </c>
      <c r="I130" s="333">
        <f>('побудинковий звіт'!AT118+'побудинковий звіт'!BR118)*1.2</f>
        <v>171709.91681102541</v>
      </c>
      <c r="J130" s="333">
        <f t="shared" si="10"/>
        <v>-73498.485468345752</v>
      </c>
      <c r="K130" s="354">
        <f t="shared" si="11"/>
        <v>0.70026114608989887</v>
      </c>
      <c r="L130" s="356">
        <f>'побудинковий звіт'!DE118</f>
        <v>149794.37</v>
      </c>
      <c r="M130" s="363">
        <f>'побудинковий звіт'!DA118*-1</f>
        <v>63131.719361958647</v>
      </c>
    </row>
    <row r="131" spans="1:13" ht="20.100000000000001" customHeight="1" x14ac:dyDescent="0.3">
      <c r="A131" s="359" t="s">
        <v>580</v>
      </c>
      <c r="B131" s="298" t="s">
        <v>93</v>
      </c>
      <c r="C131" s="360">
        <v>1</v>
      </c>
      <c r="D131" s="350">
        <f>'побудинковий звіт'!CU119</f>
        <v>656843.74682334089</v>
      </c>
      <c r="E131" s="334">
        <f>'побудинковий звіт'!CV119</f>
        <v>600592.60060670204</v>
      </c>
      <c r="F131" s="334">
        <f t="shared" si="8"/>
        <v>-56251.146216638852</v>
      </c>
      <c r="G131" s="351">
        <f t="shared" si="9"/>
        <v>0.91436144975318201</v>
      </c>
      <c r="H131" s="345">
        <f>('побудинковий звіт'!AS119+'побудинковий звіт'!BQ119)*1.2</f>
        <v>174751.8193658143</v>
      </c>
      <c r="I131" s="333">
        <f>('побудинковий звіт'!AT119+'побудинковий звіт'!BR119)*1.2</f>
        <v>96676.719907279548</v>
      </c>
      <c r="J131" s="333">
        <f t="shared" si="10"/>
        <v>-78075.099458534751</v>
      </c>
      <c r="K131" s="354">
        <f t="shared" si="11"/>
        <v>0.55322296647969471</v>
      </c>
      <c r="L131" s="356">
        <f>'побудинковий звіт'!DE119</f>
        <v>102291.29999999999</v>
      </c>
      <c r="M131" s="363">
        <f>'побудинковий звіт'!DA119*-1</f>
        <v>154595.3752539978</v>
      </c>
    </row>
    <row r="132" spans="1:13" ht="20.100000000000001" customHeight="1" x14ac:dyDescent="0.3">
      <c r="A132" s="359" t="s">
        <v>581</v>
      </c>
      <c r="B132" s="298" t="s">
        <v>95</v>
      </c>
      <c r="C132" s="360">
        <v>1</v>
      </c>
      <c r="D132" s="350">
        <f>'побудинковий звіт'!CU120</f>
        <v>36933.658133997313</v>
      </c>
      <c r="E132" s="334">
        <f>'побудинковий звіт'!CV120</f>
        <v>27555.593781491436</v>
      </c>
      <c r="F132" s="334">
        <f t="shared" si="8"/>
        <v>-9378.0643525058767</v>
      </c>
      <c r="G132" s="351">
        <f t="shared" si="9"/>
        <v>0.74608352309750225</v>
      </c>
      <c r="H132" s="345">
        <f>('побудинковий звіт'!AS120+'побудинковий звіт'!BQ120)*1.2</f>
        <v>10933.824125001263</v>
      </c>
      <c r="I132" s="333">
        <f>('побудинковий звіт'!AT120+'побудинковий звіт'!BR120)*1.2</f>
        <v>1644.1783400173488</v>
      </c>
      <c r="J132" s="333">
        <f t="shared" si="10"/>
        <v>-9289.6457849839153</v>
      </c>
      <c r="K132" s="354">
        <f t="shared" si="11"/>
        <v>0.15037541497103227</v>
      </c>
      <c r="L132" s="356">
        <f>'побудинковий звіт'!DE120</f>
        <v>25397.8</v>
      </c>
      <c r="M132" s="363">
        <f>'побудинковий звіт'!DA120*-1</f>
        <v>-16135.117619323173</v>
      </c>
    </row>
    <row r="133" spans="1:13" ht="20.100000000000001" customHeight="1" x14ac:dyDescent="0.3">
      <c r="A133" s="359" t="s">
        <v>582</v>
      </c>
      <c r="B133" s="298" t="s">
        <v>361</v>
      </c>
      <c r="C133" s="360">
        <v>9</v>
      </c>
      <c r="D133" s="350">
        <f>'побудинковий звіт'!CU121</f>
        <v>156707.17502202094</v>
      </c>
      <c r="E133" s="334">
        <f>'побудинковий звіт'!CV121</f>
        <v>268733.83176050923</v>
      </c>
      <c r="F133" s="334">
        <f t="shared" si="8"/>
        <v>112026.65673848829</v>
      </c>
      <c r="G133" s="351">
        <f t="shared" si="9"/>
        <v>1.7148789244828515</v>
      </c>
      <c r="H133" s="345">
        <f>('побудинковий звіт'!AS121+'побудинковий звіт'!BQ121)*1.2</f>
        <v>65934.736015565359</v>
      </c>
      <c r="I133" s="333">
        <f>('побудинковий звіт'!AT121+'побудинковий звіт'!BR121)*1.2</f>
        <v>161307.89707694013</v>
      </c>
      <c r="J133" s="333">
        <f t="shared" si="10"/>
        <v>95373.161061374776</v>
      </c>
      <c r="K133" s="354">
        <f t="shared" si="11"/>
        <v>2.4464782423464899</v>
      </c>
      <c r="L133" s="356">
        <f>'побудинковий звіт'!DE121</f>
        <v>794.26000000000204</v>
      </c>
      <c r="M133" s="363">
        <f>'побудинковий звіт'!DA121*-1</f>
        <v>-4078.6022059752431</v>
      </c>
    </row>
    <row r="134" spans="1:13" ht="20.100000000000001" customHeight="1" x14ac:dyDescent="0.3">
      <c r="A134" s="359" t="s">
        <v>583</v>
      </c>
      <c r="B134" s="298" t="s">
        <v>96</v>
      </c>
      <c r="C134" s="360">
        <v>1</v>
      </c>
      <c r="D134" s="350" t="e">
        <f>'побудинковий звіт'!#REF!</f>
        <v>#REF!</v>
      </c>
      <c r="E134" s="334" t="e">
        <f>'побудинковий звіт'!#REF!</f>
        <v>#REF!</v>
      </c>
      <c r="F134" s="334" t="e">
        <f t="shared" si="8"/>
        <v>#REF!</v>
      </c>
      <c r="G134" s="351" t="e">
        <f t="shared" si="9"/>
        <v>#REF!</v>
      </c>
      <c r="H134" s="345" t="e">
        <f>('побудинковий звіт'!#REF!+'побудинковий звіт'!#REF!)*1.2</f>
        <v>#REF!</v>
      </c>
      <c r="I134" s="333" t="e">
        <f>('побудинковий звіт'!#REF!+'побудинковий звіт'!#REF!)*1.2</f>
        <v>#REF!</v>
      </c>
      <c r="J134" s="333" t="e">
        <f t="shared" si="10"/>
        <v>#REF!</v>
      </c>
      <c r="K134" s="354" t="e">
        <f t="shared" si="11"/>
        <v>#REF!</v>
      </c>
      <c r="L134" s="356" t="e">
        <f>'побудинковий звіт'!#REF!</f>
        <v>#REF!</v>
      </c>
      <c r="M134" s="363" t="e">
        <f>'побудинковий звіт'!#REF!*-1</f>
        <v>#REF!</v>
      </c>
    </row>
    <row r="135" spans="1:13" ht="20.100000000000001" customHeight="1" x14ac:dyDescent="0.3">
      <c r="A135" s="359" t="s">
        <v>584</v>
      </c>
      <c r="B135" s="298" t="s">
        <v>97</v>
      </c>
      <c r="C135" s="360">
        <v>1</v>
      </c>
      <c r="D135" s="350">
        <f>'побудинковий звіт'!CU122</f>
        <v>33558.575140562054</v>
      </c>
      <c r="E135" s="334">
        <f>'побудинковий звіт'!CV122</f>
        <v>27890.520989743909</v>
      </c>
      <c r="F135" s="334">
        <f t="shared" si="8"/>
        <v>-5668.054150818145</v>
      </c>
      <c r="G135" s="351">
        <f t="shared" si="9"/>
        <v>0.83109967788926764</v>
      </c>
      <c r="H135" s="345">
        <f>('побудинковий звіт'!AS122+'побудинковий звіт'!BQ122)*1.2</f>
        <v>7537.0331291297543</v>
      </c>
      <c r="I135" s="333">
        <f>('побудинковий звіт'!AT122+'побудинковий звіт'!BR122)*1.2</f>
        <v>2321.7292835289877</v>
      </c>
      <c r="J135" s="333">
        <f t="shared" si="10"/>
        <v>-5215.3038456007671</v>
      </c>
      <c r="K135" s="354">
        <f t="shared" si="11"/>
        <v>0.30804286564109351</v>
      </c>
      <c r="L135" s="356">
        <f>'побудинковий звіт'!DE122</f>
        <v>20970.149999999998</v>
      </c>
      <c r="M135" s="363">
        <f>'побудинковий звіт'!DA122*-1</f>
        <v>-60816.304711872799</v>
      </c>
    </row>
    <row r="136" spans="1:13" ht="20.100000000000001" customHeight="1" x14ac:dyDescent="0.3">
      <c r="A136" s="359" t="s">
        <v>585</v>
      </c>
      <c r="B136" s="298" t="s">
        <v>98</v>
      </c>
      <c r="C136" s="360">
        <v>1</v>
      </c>
      <c r="D136" s="350">
        <f>'побудинковий звіт'!CU123</f>
        <v>30314.947883338427</v>
      </c>
      <c r="E136" s="334">
        <f>'побудинковий звіт'!CV123</f>
        <v>21323.818142722823</v>
      </c>
      <c r="F136" s="334">
        <f t="shared" si="8"/>
        <v>-8991.1297406156045</v>
      </c>
      <c r="G136" s="351">
        <f t="shared" si="9"/>
        <v>0.70340936177042646</v>
      </c>
      <c r="H136" s="345">
        <f>('побудинковий звіт'!AS123+'побудинковий звіт'!BQ123)*1.2</f>
        <v>8847.913169209869</v>
      </c>
      <c r="I136" s="333">
        <f>('побудинковий звіт'!AT123+'побудинковий звіт'!BR123)*1.2</f>
        <v>0</v>
      </c>
      <c r="J136" s="333">
        <f t="shared" si="10"/>
        <v>-8847.913169209869</v>
      </c>
      <c r="K136" s="354">
        <f t="shared" si="11"/>
        <v>0</v>
      </c>
      <c r="L136" s="356">
        <f>'побудинковий звіт'!DE123</f>
        <v>32200.720000000001</v>
      </c>
      <c r="M136" s="363">
        <f>'побудинковий звіт'!DA123*-1</f>
        <v>-25602.553459618535</v>
      </c>
    </row>
    <row r="137" spans="1:13" ht="20.100000000000001" customHeight="1" x14ac:dyDescent="0.3">
      <c r="A137" s="359" t="s">
        <v>586</v>
      </c>
      <c r="B137" s="298" t="s">
        <v>211</v>
      </c>
      <c r="C137" s="360">
        <v>4</v>
      </c>
      <c r="D137" s="350">
        <f>'побудинковий звіт'!CU124</f>
        <v>62147.095004237533</v>
      </c>
      <c r="E137" s="334">
        <f>'побудинковий звіт'!CV124</f>
        <v>53778.867993196654</v>
      </c>
      <c r="F137" s="334">
        <f t="shared" si="8"/>
        <v>-8368.227011040879</v>
      </c>
      <c r="G137" s="351">
        <f t="shared" si="9"/>
        <v>0.86534805833691364</v>
      </c>
      <c r="H137" s="345">
        <f>('побудинковий звіт'!AS124+'побудинковий звіт'!BQ124)*1.2</f>
        <v>19384.451310002776</v>
      </c>
      <c r="I137" s="333">
        <f>('побудинковий звіт'!AT124+'побудинковий звіт'!BR124)*1.2</f>
        <v>7662.7713568458494</v>
      </c>
      <c r="J137" s="333">
        <f t="shared" si="10"/>
        <v>-11721.679953156927</v>
      </c>
      <c r="K137" s="354">
        <f t="shared" si="11"/>
        <v>0.39530504290785373</v>
      </c>
      <c r="L137" s="356">
        <f>'побудинковий звіт'!DE124</f>
        <v>21229.68</v>
      </c>
      <c r="M137" s="363">
        <f>'побудинковий звіт'!DA124*-1</f>
        <v>16485.088997129536</v>
      </c>
    </row>
    <row r="138" spans="1:13" ht="20.100000000000001" customHeight="1" x14ac:dyDescent="0.3">
      <c r="A138" s="359" t="s">
        <v>587</v>
      </c>
      <c r="B138" s="298" t="s">
        <v>362</v>
      </c>
      <c r="C138" s="360">
        <v>9</v>
      </c>
      <c r="D138" s="350">
        <f>'побудинковий звіт'!CU125</f>
        <v>73540.261449944417</v>
      </c>
      <c r="E138" s="334">
        <f>'побудинковий звіт'!CV125</f>
        <v>66662.230533328257</v>
      </c>
      <c r="F138" s="334">
        <f t="shared" si="8"/>
        <v>-6878.0309166161605</v>
      </c>
      <c r="G138" s="351">
        <f t="shared" si="9"/>
        <v>0.90647258003974152</v>
      </c>
      <c r="H138" s="345">
        <f>('побудинковий звіт'!AS125+'побудинковий звіт'!BQ125)*1.2</f>
        <v>17622.575449753022</v>
      </c>
      <c r="I138" s="333">
        <f>('побудинковий звіт'!AT125+'побудинковий звіт'!BR125)*1.2</f>
        <v>11429.468490410653</v>
      </c>
      <c r="J138" s="333">
        <f t="shared" si="10"/>
        <v>-6193.106959342369</v>
      </c>
      <c r="K138" s="354">
        <f t="shared" si="11"/>
        <v>0.64856970100649136</v>
      </c>
      <c r="L138" s="356">
        <f>'побудинковий звіт'!DE125</f>
        <v>-39.069999999999709</v>
      </c>
      <c r="M138" s="363">
        <f>'побудинковий звіт'!DA125*-1</f>
        <v>18264.27757100551</v>
      </c>
    </row>
    <row r="139" spans="1:13" ht="20.100000000000001" customHeight="1" x14ac:dyDescent="0.3">
      <c r="A139" s="359" t="s">
        <v>588</v>
      </c>
      <c r="B139" s="298" t="s">
        <v>212</v>
      </c>
      <c r="C139" s="360">
        <v>4</v>
      </c>
      <c r="D139" s="350">
        <f>'побудинковий звіт'!CU126</f>
        <v>49287.891759318947</v>
      </c>
      <c r="E139" s="334">
        <f>'побудинковий звіт'!CV126</f>
        <v>55320.874298583243</v>
      </c>
      <c r="F139" s="334">
        <f t="shared" si="8"/>
        <v>6032.9825392642961</v>
      </c>
      <c r="G139" s="351">
        <f t="shared" si="9"/>
        <v>1.1224029335384107</v>
      </c>
      <c r="H139" s="345">
        <f>('побудинковий звіт'!AS126+'побудинковий звіт'!BQ126)*1.2</f>
        <v>13049.001944540807</v>
      </c>
      <c r="I139" s="333">
        <f>('побудинковий звіт'!AT126+'побудинковий звіт'!BR126)*1.2</f>
        <v>10186.724552819202</v>
      </c>
      <c r="J139" s="333">
        <f t="shared" si="10"/>
        <v>-2862.2773917216055</v>
      </c>
      <c r="K139" s="354">
        <f t="shared" si="11"/>
        <v>0.78065162348151307</v>
      </c>
      <c r="L139" s="356">
        <f>'побудинковий звіт'!DE126</f>
        <v>24540.86</v>
      </c>
      <c r="M139" s="363">
        <f>'побудинковий звіт'!DA126*-1</f>
        <v>36085.075690107398</v>
      </c>
    </row>
    <row r="140" spans="1:13" ht="20.100000000000001" customHeight="1" x14ac:dyDescent="0.3">
      <c r="A140" s="359" t="s">
        <v>589</v>
      </c>
      <c r="B140" s="298" t="s">
        <v>164</v>
      </c>
      <c r="C140" s="360">
        <v>2</v>
      </c>
      <c r="D140" s="350">
        <f>'побудинковий звіт'!CU127</f>
        <v>36917.525617587904</v>
      </c>
      <c r="E140" s="334">
        <f>'побудинковий звіт'!CV127</f>
        <v>28628.038969974667</v>
      </c>
      <c r="F140" s="334">
        <f t="shared" si="8"/>
        <v>-8289.4866476132374</v>
      </c>
      <c r="G140" s="351">
        <f t="shared" si="9"/>
        <v>0.77545931074903796</v>
      </c>
      <c r="H140" s="345">
        <f>('побудинковий звіт'!AS127+'побудинковий звіт'!BQ127)*1.2</f>
        <v>11300.302282042881</v>
      </c>
      <c r="I140" s="333">
        <f>('побудинковий звіт'!AT127+'побудинковий звіт'!BR127)*1.2</f>
        <v>0</v>
      </c>
      <c r="J140" s="333">
        <f t="shared" si="10"/>
        <v>-11300.302282042881</v>
      </c>
      <c r="K140" s="354">
        <f t="shared" si="11"/>
        <v>0</v>
      </c>
      <c r="L140" s="356">
        <f>'побудинковий звіт'!DE127</f>
        <v>11659.43</v>
      </c>
      <c r="M140" s="363">
        <f>'побудинковий звіт'!DA127*-1</f>
        <v>-4893.2862520067793</v>
      </c>
    </row>
    <row r="141" spans="1:13" ht="20.100000000000001" customHeight="1" x14ac:dyDescent="0.3">
      <c r="A141" s="359" t="s">
        <v>590</v>
      </c>
      <c r="B141" s="298" t="s">
        <v>165</v>
      </c>
      <c r="C141" s="360">
        <v>2</v>
      </c>
      <c r="D141" s="350">
        <f>'побудинковий звіт'!CU128</f>
        <v>35739.459940334171</v>
      </c>
      <c r="E141" s="334">
        <f>'побудинковий звіт'!CV128</f>
        <v>29397.585661698296</v>
      </c>
      <c r="F141" s="334">
        <f t="shared" si="8"/>
        <v>-6341.8742786358744</v>
      </c>
      <c r="G141" s="351">
        <f t="shared" si="9"/>
        <v>0.82255259902574296</v>
      </c>
      <c r="H141" s="345">
        <f>('побудинковий звіт'!AS128+'побудинковий звіт'!BQ128)*1.2</f>
        <v>10923.971296484206</v>
      </c>
      <c r="I141" s="333">
        <f>('побудинковий звіт'!AT128+'побудинковий звіт'!BR128)*1.2</f>
        <v>702.89257316400005</v>
      </c>
      <c r="J141" s="333">
        <f t="shared" si="10"/>
        <v>-10221.078723320206</v>
      </c>
      <c r="K141" s="354">
        <f t="shared" si="11"/>
        <v>6.4344051635344415E-2</v>
      </c>
      <c r="L141" s="356">
        <f>'побудинковий звіт'!DE128</f>
        <v>4665.51</v>
      </c>
      <c r="M141" s="363">
        <f>'побудинковий звіт'!DA128*-1</f>
        <v>-26663.708146184737</v>
      </c>
    </row>
    <row r="142" spans="1:13" ht="20.100000000000001" customHeight="1" x14ac:dyDescent="0.3">
      <c r="A142" s="359" t="s">
        <v>591</v>
      </c>
      <c r="B142" s="298" t="s">
        <v>260</v>
      </c>
      <c r="C142" s="360">
        <v>5</v>
      </c>
      <c r="D142" s="350">
        <f>'побудинковий звіт'!CU129</f>
        <v>79666.764917526729</v>
      </c>
      <c r="E142" s="334">
        <f>'побудинковий звіт'!CV129</f>
        <v>72234.953082010688</v>
      </c>
      <c r="F142" s="334">
        <f t="shared" si="8"/>
        <v>-7431.8118355160404</v>
      </c>
      <c r="G142" s="351">
        <f t="shared" si="9"/>
        <v>0.90671377401593178</v>
      </c>
      <c r="H142" s="345">
        <f>('побудинковий звіт'!AS129+'побудинковий звіт'!BQ129)*1.2</f>
        <v>18275.034173162832</v>
      </c>
      <c r="I142" s="333">
        <f>('побудинковий звіт'!AT129+'побудинковий звіт'!BR129)*1.2</f>
        <v>0</v>
      </c>
      <c r="J142" s="333">
        <f t="shared" si="10"/>
        <v>-18275.034173162832</v>
      </c>
      <c r="K142" s="354">
        <f t="shared" si="11"/>
        <v>0</v>
      </c>
      <c r="L142" s="356">
        <f>'побудинковий звіт'!DE129</f>
        <v>4230.2299999999996</v>
      </c>
      <c r="M142" s="363">
        <f>'побудинковий звіт'!DA129*-1</f>
        <v>-8334.0251634000815</v>
      </c>
    </row>
    <row r="143" spans="1:13" ht="20.100000000000001" customHeight="1" x14ac:dyDescent="0.3">
      <c r="A143" s="359" t="s">
        <v>592</v>
      </c>
      <c r="B143" s="298" t="s">
        <v>166</v>
      </c>
      <c r="C143" s="360">
        <v>2</v>
      </c>
      <c r="D143" s="350">
        <f>'побудинковий звіт'!CU130</f>
        <v>104025.7045594535</v>
      </c>
      <c r="E143" s="334">
        <f>'побудинковий звіт'!CV130</f>
        <v>86378.65709226286</v>
      </c>
      <c r="F143" s="334">
        <f t="shared" si="8"/>
        <v>-17647.047467190641</v>
      </c>
      <c r="G143" s="351">
        <f t="shared" si="9"/>
        <v>0.83035877966964522</v>
      </c>
      <c r="H143" s="345">
        <f>('побудинковий звіт'!AS130+'побудинковий звіт'!BQ130)*1.2</f>
        <v>28490.538644437773</v>
      </c>
      <c r="I143" s="333">
        <f>('побудинковий звіт'!AT130+'побудинковий звіт'!BR130)*1.2</f>
        <v>709.32260983483241</v>
      </c>
      <c r="J143" s="333">
        <f t="shared" si="10"/>
        <v>-27781.216034602941</v>
      </c>
      <c r="K143" s="354">
        <f t="shared" si="11"/>
        <v>2.4896777793048639E-2</v>
      </c>
      <c r="L143" s="356">
        <f>'побудинковий звіт'!DE130</f>
        <v>7558.6500000000015</v>
      </c>
      <c r="M143" s="363">
        <f>'побудинковий звіт'!DA130*-1</f>
        <v>-41409.585255173646</v>
      </c>
    </row>
    <row r="144" spans="1:13" ht="20.100000000000001" customHeight="1" x14ac:dyDescent="0.3">
      <c r="A144" s="359" t="s">
        <v>593</v>
      </c>
      <c r="B144" s="298" t="s">
        <v>99</v>
      </c>
      <c r="C144" s="360">
        <v>1</v>
      </c>
      <c r="D144" s="350">
        <f>'побудинковий звіт'!CU131</f>
        <v>40841.606753119449</v>
      </c>
      <c r="E144" s="334">
        <f>'побудинковий звіт'!CV131</f>
        <v>27037.278480853609</v>
      </c>
      <c r="F144" s="334">
        <f t="shared" si="8"/>
        <v>-13804.32827226584</v>
      </c>
      <c r="G144" s="351">
        <f t="shared" si="9"/>
        <v>0.66200330080766279</v>
      </c>
      <c r="H144" s="345">
        <f>('побудинковий звіт'!AS131+'побудинковий звіт'!BQ131)*1.2</f>
        <v>14217.88905110172</v>
      </c>
      <c r="I144" s="333">
        <f>('побудинковий звіт'!AT131+'побудинковий звіт'!BR131)*1.2</f>
        <v>0</v>
      </c>
      <c r="J144" s="333">
        <f t="shared" si="10"/>
        <v>-14217.88905110172</v>
      </c>
      <c r="K144" s="354">
        <f t="shared" si="11"/>
        <v>0</v>
      </c>
      <c r="L144" s="356">
        <f>'побудинковий звіт'!DE131</f>
        <v>543.09000000000015</v>
      </c>
      <c r="M144" s="363">
        <f>'побудинковий звіт'!DA131*-1</f>
        <v>-887.6208502963018</v>
      </c>
    </row>
    <row r="145" spans="1:13" ht="20.100000000000001" customHeight="1" x14ac:dyDescent="0.3">
      <c r="A145" s="359" t="s">
        <v>594</v>
      </c>
      <c r="B145" s="298" t="s">
        <v>261</v>
      </c>
      <c r="C145" s="360">
        <v>5</v>
      </c>
      <c r="D145" s="350">
        <f>'побудинковий звіт'!CU132</f>
        <v>105634.25625458668</v>
      </c>
      <c r="E145" s="334">
        <f>'побудинковий звіт'!CV132</f>
        <v>108645.44309207956</v>
      </c>
      <c r="F145" s="334">
        <f t="shared" si="8"/>
        <v>3011.1868374928745</v>
      </c>
      <c r="G145" s="351">
        <f t="shared" si="9"/>
        <v>1.028505779699302</v>
      </c>
      <c r="H145" s="345">
        <f>('побудинковий звіт'!AS132+'побудинковий звіт'!BQ132)*1.2</f>
        <v>24708.110218116119</v>
      </c>
      <c r="I145" s="333">
        <f>('побудинковий звіт'!AT132+'побудинковий звіт'!BR132)*1.2</f>
        <v>9794.0100244803307</v>
      </c>
      <c r="J145" s="333">
        <f t="shared" si="10"/>
        <v>-14914.100193635788</v>
      </c>
      <c r="K145" s="354">
        <f t="shared" si="11"/>
        <v>0.39638847074995281</v>
      </c>
      <c r="L145" s="356">
        <f>'побудинковий звіт'!DE132</f>
        <v>19317.690000000002</v>
      </c>
      <c r="M145" s="363">
        <f>'побудинковий звіт'!DA132*-1</f>
        <v>-22233.575600079301</v>
      </c>
    </row>
    <row r="146" spans="1:13" ht="20.100000000000001" customHeight="1" x14ac:dyDescent="0.3">
      <c r="A146" s="359" t="s">
        <v>595</v>
      </c>
      <c r="B146" s="298" t="s">
        <v>213</v>
      </c>
      <c r="C146" s="360">
        <v>4</v>
      </c>
      <c r="D146" s="350">
        <f>'побудинковий звіт'!CU133</f>
        <v>45328.49915766764</v>
      </c>
      <c r="E146" s="334">
        <f>'побудинковий звіт'!CV133</f>
        <v>37214.033119232947</v>
      </c>
      <c r="F146" s="334">
        <f t="shared" si="8"/>
        <v>-8114.4660384346935</v>
      </c>
      <c r="G146" s="351">
        <f t="shared" si="9"/>
        <v>0.82098533617427139</v>
      </c>
      <c r="H146" s="345">
        <f>('побудинковий звіт'!AS133+'побудинковий звіт'!BQ133)*1.2</f>
        <v>14202.709113908531</v>
      </c>
      <c r="I146" s="333">
        <f>('побудинковий звіт'!AT133+'побудинковий звіт'!BR133)*1.2</f>
        <v>705.78125617491344</v>
      </c>
      <c r="J146" s="333">
        <f t="shared" si="10"/>
        <v>-13496.927857733617</v>
      </c>
      <c r="K146" s="354">
        <f t="shared" si="11"/>
        <v>4.9693424720200101E-2</v>
      </c>
      <c r="L146" s="356">
        <f>'побудинковий звіт'!DE133</f>
        <v>1209.8599999999997</v>
      </c>
      <c r="M146" s="363">
        <f>'побудинковий звіт'!DA133*-1</f>
        <v>-10540.461919132915</v>
      </c>
    </row>
    <row r="147" spans="1:13" ht="20.100000000000001" customHeight="1" x14ac:dyDescent="0.3">
      <c r="A147" s="359" t="s">
        <v>823</v>
      </c>
      <c r="B147" s="299" t="s">
        <v>429</v>
      </c>
      <c r="C147" s="361">
        <v>5</v>
      </c>
      <c r="D147" s="350">
        <f>'побудинковий звіт'!CU134</f>
        <v>205195.07944423548</v>
      </c>
      <c r="E147" s="334">
        <f>'побудинковий звіт'!CV134</f>
        <v>210408.95603472614</v>
      </c>
      <c r="F147" s="334">
        <f t="shared" si="8"/>
        <v>5213.8765904906613</v>
      </c>
      <c r="G147" s="351">
        <f t="shared" si="9"/>
        <v>1.0254093646134805</v>
      </c>
      <c r="H147" s="345">
        <f>('побудинковий звіт'!AS134+'побудинковий звіт'!BQ134)*1.2</f>
        <v>34127.272492020209</v>
      </c>
      <c r="I147" s="333">
        <f>('побудинковий звіт'!AT134+'побудинковий звіт'!BR134)*1.2</f>
        <v>5423.1321899166487</v>
      </c>
      <c r="J147" s="333">
        <f t="shared" si="10"/>
        <v>-28704.140302103558</v>
      </c>
      <c r="K147" s="354">
        <f t="shared" si="11"/>
        <v>0.15890904235563241</v>
      </c>
      <c r="L147" s="356">
        <f>'побудинковий звіт'!DE134</f>
        <v>60397.479999999996</v>
      </c>
      <c r="M147" s="363">
        <f>'побудинковий звіт'!DA134*-1</f>
        <v>5788.1110562497488</v>
      </c>
    </row>
    <row r="148" spans="1:13" ht="20.100000000000001" customHeight="1" x14ac:dyDescent="0.3">
      <c r="A148" s="359" t="s">
        <v>596</v>
      </c>
      <c r="B148" s="298" t="s">
        <v>419</v>
      </c>
      <c r="C148" s="360">
        <v>10</v>
      </c>
      <c r="D148" s="350">
        <f>'побудинковий звіт'!CU135</f>
        <v>112542.10267376617</v>
      </c>
      <c r="E148" s="334">
        <f>'побудинковий звіт'!CV135</f>
        <v>85755.701335730875</v>
      </c>
      <c r="F148" s="334">
        <f t="shared" si="8"/>
        <v>-26786.401338035299</v>
      </c>
      <c r="G148" s="351">
        <f t="shared" si="9"/>
        <v>0.76198772991044117</v>
      </c>
      <c r="H148" s="345">
        <f>('побудинковий звіт'!AS135+'побудинковий звіт'!BQ135)*1.2</f>
        <v>31807.679974728722</v>
      </c>
      <c r="I148" s="333">
        <f>('побудинковий звіт'!AT135+'побудинковий звіт'!BR135)*1.2</f>
        <v>3600.0600950809221</v>
      </c>
      <c r="J148" s="333">
        <f t="shared" si="10"/>
        <v>-28207.619879647798</v>
      </c>
      <c r="K148" s="354">
        <f t="shared" si="11"/>
        <v>0.1131821024966668</v>
      </c>
      <c r="L148" s="356">
        <f>'побудинковий звіт'!DE135</f>
        <v>24727.880000000005</v>
      </c>
      <c r="M148" s="364">
        <f>'побудинковий звіт'!DA135*-1</f>
        <v>32025.401198298485</v>
      </c>
    </row>
    <row r="149" spans="1:13" ht="20.100000000000001" customHeight="1" x14ac:dyDescent="0.3">
      <c r="A149" s="359" t="s">
        <v>597</v>
      </c>
      <c r="B149" s="298" t="s">
        <v>100</v>
      </c>
      <c r="C149" s="360">
        <v>1</v>
      </c>
      <c r="D149" s="350">
        <f>'побудинковий звіт'!CU136</f>
        <v>226763.90135731164</v>
      </c>
      <c r="E149" s="334">
        <f>'побудинковий звіт'!CV136</f>
        <v>217173.20969601112</v>
      </c>
      <c r="F149" s="334">
        <f t="shared" si="8"/>
        <v>-9590.691661300516</v>
      </c>
      <c r="G149" s="351">
        <f t="shared" si="9"/>
        <v>0.95770626804401082</v>
      </c>
      <c r="H149" s="345">
        <f>('побудинковий звіт'!AS136+'побудинковий звіт'!BQ136)*1.2</f>
        <v>55083.550822726589</v>
      </c>
      <c r="I149" s="333">
        <f>('побудинковий звіт'!AT136+'побудинковий звіт'!BR136)*1.2</f>
        <v>16450.601015283435</v>
      </c>
      <c r="J149" s="333">
        <f t="shared" si="10"/>
        <v>-38632.949807443154</v>
      </c>
      <c r="K149" s="354">
        <f t="shared" si="11"/>
        <v>0.29864815847158827</v>
      </c>
      <c r="L149" s="356">
        <f>'побудинковий звіт'!DE136</f>
        <v>7382.02</v>
      </c>
      <c r="M149" s="363">
        <f>'побудинковий звіт'!DA136*-1</f>
        <v>12716.277835787652</v>
      </c>
    </row>
    <row r="150" spans="1:13" ht="20.100000000000001" customHeight="1" x14ac:dyDescent="0.3">
      <c r="A150" s="359" t="s">
        <v>598</v>
      </c>
      <c r="B150" s="298" t="s">
        <v>363</v>
      </c>
      <c r="C150" s="360">
        <v>9</v>
      </c>
      <c r="D150" s="350">
        <f>'побудинковий звіт'!CU137</f>
        <v>357836.39270930726</v>
      </c>
      <c r="E150" s="334">
        <f>'побудинковий звіт'!CV137</f>
        <v>334129.93404500658</v>
      </c>
      <c r="F150" s="334">
        <f t="shared" si="8"/>
        <v>-23706.458664300677</v>
      </c>
      <c r="G150" s="351">
        <f t="shared" si="9"/>
        <v>0.93375056548941093</v>
      </c>
      <c r="H150" s="345">
        <f>('побудинковий звіт'!AS137+'побудинковий звіт'!BQ137)*1.2</f>
        <v>90769.931568177723</v>
      </c>
      <c r="I150" s="333">
        <f>('побудинковий звіт'!AT137+'побудинковий звіт'!BR137)*1.2</f>
        <v>39321.305481625815</v>
      </c>
      <c r="J150" s="333">
        <f t="shared" si="10"/>
        <v>-51448.626086551907</v>
      </c>
      <c r="K150" s="354">
        <f t="shared" si="11"/>
        <v>0.4331974785294555</v>
      </c>
      <c r="L150" s="356">
        <f>'побудинковий звіт'!DE137</f>
        <v>40129.81</v>
      </c>
      <c r="M150" s="363">
        <f>'побудинковий звіт'!DA137*-1</f>
        <v>139935.00196786225</v>
      </c>
    </row>
    <row r="151" spans="1:13" ht="20.100000000000001" customHeight="1" x14ac:dyDescent="0.3">
      <c r="A151" s="359" t="s">
        <v>599</v>
      </c>
      <c r="B151" s="298" t="s">
        <v>262</v>
      </c>
      <c r="C151" s="360">
        <v>5</v>
      </c>
      <c r="D151" s="350">
        <f>'побудинковий звіт'!CU138</f>
        <v>2832.7547902386677</v>
      </c>
      <c r="E151" s="334">
        <f>'побудинковий звіт'!CV138</f>
        <v>9399.4977251774399</v>
      </c>
      <c r="F151" s="334">
        <f t="shared" si="8"/>
        <v>6566.7429349387721</v>
      </c>
      <c r="G151" s="351">
        <f t="shared" si="9"/>
        <v>3.3181473234347632</v>
      </c>
      <c r="H151" s="345">
        <f>('побудинковий звіт'!AS138+'побудинковий звіт'!BQ138)*1.2</f>
        <v>2231.9663526811141</v>
      </c>
      <c r="I151" s="333">
        <f>('побудинковий звіт'!AT138+'побудинковий звіт'!BR138)*1.2</f>
        <v>8683.1999999999989</v>
      </c>
      <c r="J151" s="333">
        <f t="shared" si="10"/>
        <v>6451.2336473188843</v>
      </c>
      <c r="K151" s="354">
        <f t="shared" si="11"/>
        <v>3.8903812280007908</v>
      </c>
      <c r="L151" s="356">
        <f>'побудинковий звіт'!DE138</f>
        <v>280.68</v>
      </c>
      <c r="M151" s="363">
        <f>'побудинковий звіт'!DA138*-1</f>
        <v>-416.57922079164109</v>
      </c>
    </row>
    <row r="152" spans="1:13" ht="20.100000000000001" customHeight="1" x14ac:dyDescent="0.3">
      <c r="A152" s="359" t="s">
        <v>600</v>
      </c>
      <c r="B152" s="298" t="s">
        <v>364</v>
      </c>
      <c r="C152" s="360">
        <v>9</v>
      </c>
      <c r="D152" s="350">
        <f>'побудинковий звіт'!CU139</f>
        <v>17014.153149080888</v>
      </c>
      <c r="E152" s="334">
        <f>'побудинковий звіт'!CV139</f>
        <v>11033.283494550638</v>
      </c>
      <c r="F152" s="334">
        <f t="shared" si="8"/>
        <v>-5980.86965453025</v>
      </c>
      <c r="G152" s="351">
        <f t="shared" si="9"/>
        <v>0.64847679445900963</v>
      </c>
      <c r="H152" s="345">
        <f>('побудинковий звіт'!AS139+'побудинковий звіт'!BQ139)*1.2</f>
        <v>7586.7164171324994</v>
      </c>
      <c r="I152" s="333">
        <f>('побудинковий звіт'!AT139+'побудинковий звіт'!BR139)*1.2</f>
        <v>1377.1228602719998</v>
      </c>
      <c r="J152" s="333">
        <f t="shared" si="10"/>
        <v>-6209.5935568605</v>
      </c>
      <c r="K152" s="354">
        <f t="shared" si="11"/>
        <v>0.18151764011663188</v>
      </c>
      <c r="L152" s="356">
        <f>'побудинковий звіт'!DE139</f>
        <v>-259.32999999999993</v>
      </c>
      <c r="M152" s="363">
        <f>'побудинковий звіт'!DA139*-1</f>
        <v>22376.519728692947</v>
      </c>
    </row>
    <row r="153" spans="1:13" ht="20.100000000000001" customHeight="1" x14ac:dyDescent="0.3">
      <c r="A153" s="359" t="s">
        <v>601</v>
      </c>
      <c r="B153" s="298" t="s">
        <v>365</v>
      </c>
      <c r="C153" s="360">
        <v>9</v>
      </c>
      <c r="D153" s="350">
        <f>'побудинковий звіт'!CU140</f>
        <v>3512.0913422631238</v>
      </c>
      <c r="E153" s="334">
        <f>'побудинковий звіт'!CV140</f>
        <v>1460.6339851194857</v>
      </c>
      <c r="F153" s="334">
        <f t="shared" si="8"/>
        <v>-2051.4573571436381</v>
      </c>
      <c r="G153" s="351">
        <f t="shared" si="9"/>
        <v>0.41588724289223111</v>
      </c>
      <c r="H153" s="345">
        <f>('побудинковий звіт'!AS140+'побудинковий звіт'!BQ140)*1.2</f>
        <v>3158.0669897141265</v>
      </c>
      <c r="I153" s="333">
        <f>('побудинковий звіт'!AT140+'побудинковий звіт'!BR140)*1.2</f>
        <v>598.57518321599991</v>
      </c>
      <c r="J153" s="333">
        <f t="shared" si="10"/>
        <v>-2559.4918064981266</v>
      </c>
      <c r="K153" s="354">
        <f t="shared" si="11"/>
        <v>0.18953846931226243</v>
      </c>
      <c r="L153" s="356">
        <f>'побудинковий звіт'!DE140</f>
        <v>0</v>
      </c>
      <c r="M153" s="363">
        <f>'побудинковий звіт'!DA140*-1</f>
        <v>9637.504739822316</v>
      </c>
    </row>
    <row r="154" spans="1:13" ht="20.100000000000001" customHeight="1" x14ac:dyDescent="0.3">
      <c r="A154" s="359" t="s">
        <v>602</v>
      </c>
      <c r="B154" s="298" t="s">
        <v>366</v>
      </c>
      <c r="C154" s="360">
        <v>9</v>
      </c>
      <c r="D154" s="350">
        <f>'побудинковий звіт'!CU141</f>
        <v>3095.0679000630525</v>
      </c>
      <c r="E154" s="334">
        <f>'побудинковий звіт'!CV141</f>
        <v>10453.005910077838</v>
      </c>
      <c r="F154" s="334">
        <f t="shared" si="8"/>
        <v>7357.9380100147855</v>
      </c>
      <c r="G154" s="351">
        <f t="shared" si="9"/>
        <v>3.3773106915893152</v>
      </c>
      <c r="H154" s="345">
        <f>('побудинковий звіт'!AS141+'побудинковий звіт'!BQ141)*1.2</f>
        <v>2655.1698638161611</v>
      </c>
      <c r="I154" s="333">
        <f>('побудинковий звіт'!AT141+'побудинковий звіт'!BR141)*1.2</f>
        <v>9702.0862403141236</v>
      </c>
      <c r="J154" s="333">
        <f t="shared" si="10"/>
        <v>7046.9163764979621</v>
      </c>
      <c r="K154" s="354">
        <f t="shared" si="11"/>
        <v>3.6540359893847749</v>
      </c>
      <c r="L154" s="356">
        <f>'побудинковий звіт'!DE141</f>
        <v>0</v>
      </c>
      <c r="M154" s="363">
        <f>'побудинковий звіт'!DA141*-1</f>
        <v>-1449.7972545335006</v>
      </c>
    </row>
    <row r="155" spans="1:13" ht="20.100000000000001" customHeight="1" x14ac:dyDescent="0.3">
      <c r="A155" s="359" t="s">
        <v>603</v>
      </c>
      <c r="B155" s="298" t="s">
        <v>420</v>
      </c>
      <c r="C155" s="360">
        <v>10</v>
      </c>
      <c r="D155" s="350">
        <f>'побудинковий звіт'!CU142</f>
        <v>3517.7072174341201</v>
      </c>
      <c r="E155" s="334">
        <f>'побудинковий звіт'!CV142</f>
        <v>2921.6588679320498</v>
      </c>
      <c r="F155" s="334">
        <f t="shared" si="8"/>
        <v>-596.04834950207032</v>
      </c>
      <c r="G155" s="351">
        <f t="shared" si="9"/>
        <v>0.83055771482402141</v>
      </c>
      <c r="H155" s="345">
        <f>('побудинковий звіт'!AS142+'побудинковий звіт'!BQ142)*1.2</f>
        <v>2882.042825509538</v>
      </c>
      <c r="I155" s="333">
        <f>('побудинковий звіт'!AT142+'побудинковий звіт'!BR142)*1.2</f>
        <v>2282.3657577959998</v>
      </c>
      <c r="J155" s="333">
        <f t="shared" si="10"/>
        <v>-599.67706771353824</v>
      </c>
      <c r="K155" s="354">
        <f t="shared" si="11"/>
        <v>0.79192638554650319</v>
      </c>
      <c r="L155" s="356">
        <f>'побудинковий звіт'!DE142</f>
        <v>-102.93</v>
      </c>
      <c r="M155" s="363">
        <f>'побудинковий звіт'!DA142*-1</f>
        <v>7097.5923018704434</v>
      </c>
    </row>
    <row r="156" spans="1:13" ht="20.100000000000001" customHeight="1" x14ac:dyDescent="0.3">
      <c r="A156" s="359" t="s">
        <v>604</v>
      </c>
      <c r="B156" s="298" t="s">
        <v>334</v>
      </c>
      <c r="C156" s="360">
        <v>8</v>
      </c>
      <c r="D156" s="350">
        <f>'побудинковий звіт'!CU143</f>
        <v>3670.5345368353278</v>
      </c>
      <c r="E156" s="334">
        <f>'побудинковий звіт'!CV143</f>
        <v>113.26877076434468</v>
      </c>
      <c r="F156" s="334">
        <f t="shared" si="8"/>
        <v>-3557.2657660709833</v>
      </c>
      <c r="G156" s="351">
        <f t="shared" si="9"/>
        <v>3.0858930661909281E-2</v>
      </c>
      <c r="H156" s="345">
        <f>('побудинковий звіт'!AS143+'побудинковий звіт'!BQ143)*1.2</f>
        <v>3295.1236004437819</v>
      </c>
      <c r="I156" s="333">
        <f>('побудинковий звіт'!AT143+'побудинковий звіт'!BR143)*1.2</f>
        <v>0</v>
      </c>
      <c r="J156" s="333">
        <f t="shared" si="10"/>
        <v>-3295.1236004437819</v>
      </c>
      <c r="K156" s="354">
        <f t="shared" si="11"/>
        <v>0</v>
      </c>
      <c r="L156" s="356">
        <f>'побудинковий звіт'!DE143</f>
        <v>56.639999999999986</v>
      </c>
      <c r="M156" s="364">
        <f>'побудинковий звіт'!DA143*-1</f>
        <v>12720.568963075115</v>
      </c>
    </row>
    <row r="157" spans="1:13" ht="20.100000000000001" customHeight="1" x14ac:dyDescent="0.3">
      <c r="A157" s="359" t="s">
        <v>605</v>
      </c>
      <c r="B157" s="298" t="s">
        <v>367</v>
      </c>
      <c r="C157" s="360">
        <v>9</v>
      </c>
      <c r="D157" s="350">
        <f>'побудинковий звіт'!CU144</f>
        <v>2281.5043555784187</v>
      </c>
      <c r="E157" s="334">
        <f>'побудинковий звіт'!CV144</f>
        <v>84.823485978064795</v>
      </c>
      <c r="F157" s="334">
        <f t="shared" si="8"/>
        <v>-2196.6808696003541</v>
      </c>
      <c r="G157" s="351">
        <f t="shared" si="9"/>
        <v>3.7178752593948004E-2</v>
      </c>
      <c r="H157" s="345">
        <f>('побудинковий звіт'!AS144+'побудинковий звіт'!BQ144)*1.2</f>
        <v>2120.6139542677565</v>
      </c>
      <c r="I157" s="333">
        <f>('побудинковий звіт'!AT144+'побудинковий звіт'!BR144)*1.2</f>
        <v>0</v>
      </c>
      <c r="J157" s="333">
        <f t="shared" si="10"/>
        <v>-2120.6139542677565</v>
      </c>
      <c r="K157" s="354">
        <f t="shared" si="11"/>
        <v>0</v>
      </c>
      <c r="L157" s="356">
        <f>'побудинковий звіт'!DE144</f>
        <v>0</v>
      </c>
      <c r="M157" s="363">
        <f>'побудинковий звіт'!DA144*-1</f>
        <v>8076.2307797776048</v>
      </c>
    </row>
    <row r="158" spans="1:13" ht="20.100000000000001" customHeight="1" x14ac:dyDescent="0.3">
      <c r="A158" s="359" t="s">
        <v>606</v>
      </c>
      <c r="B158" s="298" t="s">
        <v>101</v>
      </c>
      <c r="C158" s="360">
        <v>1</v>
      </c>
      <c r="D158" s="350" t="e">
        <f>'побудинковий звіт'!#REF!</f>
        <v>#REF!</v>
      </c>
      <c r="E158" s="334" t="e">
        <f>'побудинковий звіт'!#REF!</f>
        <v>#REF!</v>
      </c>
      <c r="F158" s="334" t="e">
        <f t="shared" si="8"/>
        <v>#REF!</v>
      </c>
      <c r="G158" s="351" t="e">
        <f t="shared" si="9"/>
        <v>#REF!</v>
      </c>
      <c r="H158" s="345" t="e">
        <f>('побудинковий звіт'!#REF!+'побудинковий звіт'!#REF!)*1.2</f>
        <v>#REF!</v>
      </c>
      <c r="I158" s="333" t="e">
        <f>('побудинковий звіт'!#REF!+'побудинковий звіт'!#REF!)*1.2</f>
        <v>#REF!</v>
      </c>
      <c r="J158" s="333" t="e">
        <f t="shared" si="10"/>
        <v>#REF!</v>
      </c>
      <c r="K158" s="354" t="e">
        <f t="shared" si="11"/>
        <v>#REF!</v>
      </c>
      <c r="L158" s="356" t="e">
        <f>'побудинковий звіт'!#REF!</f>
        <v>#REF!</v>
      </c>
      <c r="M158" s="363" t="e">
        <f>'побудинковий звіт'!#REF!*-1</f>
        <v>#REF!</v>
      </c>
    </row>
    <row r="159" spans="1:13" ht="20.100000000000001" customHeight="1" x14ac:dyDescent="0.3">
      <c r="A159" s="359" t="s">
        <v>607</v>
      </c>
      <c r="B159" s="298" t="s">
        <v>102</v>
      </c>
      <c r="C159" s="360">
        <v>1</v>
      </c>
      <c r="D159" s="350">
        <f>'побудинковий звіт'!CU145</f>
        <v>192361.50989463445</v>
      </c>
      <c r="E159" s="334">
        <f>'побудинковий звіт'!CV145</f>
        <v>235714.51444227484</v>
      </c>
      <c r="F159" s="334">
        <f t="shared" si="8"/>
        <v>43353.00454764039</v>
      </c>
      <c r="G159" s="351">
        <f t="shared" si="9"/>
        <v>1.2253725528115624</v>
      </c>
      <c r="H159" s="345">
        <f>('побудинковий звіт'!AS145+'побудинковий звіт'!BQ145)*1.2</f>
        <v>62446.891890686835</v>
      </c>
      <c r="I159" s="333">
        <f>('побудинковий звіт'!AT145+'побудинковий звіт'!BR145)*1.2</f>
        <v>82248.307281973131</v>
      </c>
      <c r="J159" s="333">
        <f t="shared" si="10"/>
        <v>19801.415391286297</v>
      </c>
      <c r="K159" s="354">
        <f t="shared" si="11"/>
        <v>1.3170920888416455</v>
      </c>
      <c r="L159" s="356">
        <f>'побудинковий звіт'!DE145</f>
        <v>27153.170000000002</v>
      </c>
      <c r="M159" s="363">
        <f>'побудинковий звіт'!DA145*-1</f>
        <v>-39104.904036211352</v>
      </c>
    </row>
    <row r="160" spans="1:13" ht="20.100000000000001" customHeight="1" x14ac:dyDescent="0.3">
      <c r="A160" s="359" t="s">
        <v>608</v>
      </c>
      <c r="B160" s="298" t="s">
        <v>368</v>
      </c>
      <c r="C160" s="360">
        <v>9</v>
      </c>
      <c r="D160" s="350">
        <f>'побудинковий звіт'!CU146</f>
        <v>634144.43843817955</v>
      </c>
      <c r="E160" s="334">
        <f>'побудинковий звіт'!CV146</f>
        <v>591982.10749388358</v>
      </c>
      <c r="F160" s="334">
        <f t="shared" si="8"/>
        <v>-42162.330944295973</v>
      </c>
      <c r="G160" s="351">
        <f t="shared" si="9"/>
        <v>0.93351304783475408</v>
      </c>
      <c r="H160" s="345">
        <f>('побудинковий звіт'!AS146+'побудинковий звіт'!BQ146)*1.2</f>
        <v>146856.52595777751</v>
      </c>
      <c r="I160" s="333">
        <f>('побудинковий звіт'!AT146+'побудинковий звіт'!BR146)*1.2</f>
        <v>62084.443671929708</v>
      </c>
      <c r="J160" s="333">
        <f t="shared" si="10"/>
        <v>-84772.082285847806</v>
      </c>
      <c r="K160" s="354">
        <f t="shared" si="11"/>
        <v>0.42275576973528234</v>
      </c>
      <c r="L160" s="356">
        <f>'побудинковий звіт'!DE146</f>
        <v>121392.86000000002</v>
      </c>
      <c r="M160" s="363">
        <f>'побудинковий звіт'!DA146*-1</f>
        <v>-52895.532465121738</v>
      </c>
    </row>
    <row r="161" spans="1:13" ht="20.100000000000001" customHeight="1" x14ac:dyDescent="0.3">
      <c r="A161" s="359" t="s">
        <v>609</v>
      </c>
      <c r="B161" s="298" t="s">
        <v>335</v>
      </c>
      <c r="C161" s="360">
        <v>8</v>
      </c>
      <c r="D161" s="350">
        <f>'побудинковий звіт'!CU147</f>
        <v>697109.33219549758</v>
      </c>
      <c r="E161" s="334">
        <f>'побудинковий звіт'!CV147</f>
        <v>781241.73959145555</v>
      </c>
      <c r="F161" s="334">
        <f t="shared" si="8"/>
        <v>84132.407395957969</v>
      </c>
      <c r="G161" s="351">
        <f t="shared" si="9"/>
        <v>1.1206875356710386</v>
      </c>
      <c r="H161" s="345">
        <f>('побудинковий звіт'!AS147+'побудинковий звіт'!BQ147)*1.2</f>
        <v>179988.40826625665</v>
      </c>
      <c r="I161" s="333">
        <f>('побудинковий звіт'!AT147+'побудинковий звіт'!BR147)*1.2</f>
        <v>197567.56871524994</v>
      </c>
      <c r="J161" s="333">
        <f t="shared" si="10"/>
        <v>17579.160448993294</v>
      </c>
      <c r="K161" s="354">
        <f t="shared" si="11"/>
        <v>1.0976682921879528</v>
      </c>
      <c r="L161" s="356">
        <f>'побудинковий звіт'!DE147</f>
        <v>83052.030000000013</v>
      </c>
      <c r="M161" s="363">
        <f>'побудинковий звіт'!DA147*-1</f>
        <v>-78660.738864487619</v>
      </c>
    </row>
    <row r="162" spans="1:13" ht="20.100000000000001" customHeight="1" x14ac:dyDescent="0.3">
      <c r="A162" s="359" t="s">
        <v>610</v>
      </c>
      <c r="B162" s="298" t="s">
        <v>103</v>
      </c>
      <c r="C162" s="360">
        <v>1</v>
      </c>
      <c r="D162" s="350">
        <f>'побудинковий звіт'!CU148</f>
        <v>2790.0387176728955</v>
      </c>
      <c r="E162" s="334">
        <f>'побудинковий звіт'!CV148</f>
        <v>2212.9684621478614</v>
      </c>
      <c r="F162" s="334">
        <f t="shared" si="8"/>
        <v>-577.0702555250341</v>
      </c>
      <c r="G162" s="351">
        <f t="shared" si="9"/>
        <v>0.79316765324090033</v>
      </c>
      <c r="H162" s="345">
        <f>('побудинковий звіт'!AS148+'побудинковий звіт'!BQ148)*1.2</f>
        <v>2390.8825174391668</v>
      </c>
      <c r="I162" s="333">
        <f>('побудинковий звіт'!AT148+'побудинковий звіт'!BR148)*1.2</f>
        <v>1353.12652776</v>
      </c>
      <c r="J162" s="333">
        <f t="shared" si="10"/>
        <v>-1037.7559896791668</v>
      </c>
      <c r="K162" s="354">
        <f t="shared" si="11"/>
        <v>0.56595274669092088</v>
      </c>
      <c r="L162" s="356">
        <f>'побудинковий звіт'!DE148</f>
        <v>0</v>
      </c>
      <c r="M162" s="363">
        <f>'побудинковий звіт'!DA148*-1</f>
        <v>11456.932229278837</v>
      </c>
    </row>
    <row r="163" spans="1:13" ht="20.100000000000001" customHeight="1" x14ac:dyDescent="0.3">
      <c r="A163" s="359" t="s">
        <v>611</v>
      </c>
      <c r="B163" s="298" t="s">
        <v>104</v>
      </c>
      <c r="C163" s="360">
        <v>1</v>
      </c>
      <c r="D163" s="350">
        <f>'побудинковий звіт'!CU149</f>
        <v>1935.2017514407121</v>
      </c>
      <c r="E163" s="334">
        <f>'побудинковий звіт'!CV149</f>
        <v>1812.858838037869</v>
      </c>
      <c r="F163" s="334">
        <f t="shared" si="8"/>
        <v>-122.34291340284312</v>
      </c>
      <c r="G163" s="351">
        <f t="shared" si="9"/>
        <v>0.93678027972444644</v>
      </c>
      <c r="H163" s="345">
        <f>('побудинковий звіт'!AS149+'побудинковий звіт'!BQ149)*1.2</f>
        <v>1603.041181318737</v>
      </c>
      <c r="I163" s="333">
        <f>('побудинковий звіт'!AT149+'побудинковий звіт'!BR149)*1.2</f>
        <v>1290.4694373120001</v>
      </c>
      <c r="J163" s="333">
        <f t="shared" si="10"/>
        <v>-312.57174400673694</v>
      </c>
      <c r="K163" s="354">
        <f t="shared" si="11"/>
        <v>0.80501327872962025</v>
      </c>
      <c r="L163" s="356">
        <f>'побудинковий звіт'!DE149</f>
        <v>0</v>
      </c>
      <c r="M163" s="363">
        <f>'побудинковий звіт'!DA149*-1</f>
        <v>6972.8277680381125</v>
      </c>
    </row>
    <row r="164" spans="1:13" ht="20.100000000000001" customHeight="1" x14ac:dyDescent="0.3">
      <c r="A164" s="359" t="s">
        <v>612</v>
      </c>
      <c r="B164" s="298" t="s">
        <v>369</v>
      </c>
      <c r="C164" s="360">
        <v>9</v>
      </c>
      <c r="D164" s="350">
        <f>'побудинковий звіт'!CU150</f>
        <v>2819.9366368897731</v>
      </c>
      <c r="E164" s="334">
        <f>'побудинковий звіт'!CV150</f>
        <v>2099.3380981870669</v>
      </c>
      <c r="F164" s="334">
        <f t="shared" si="8"/>
        <v>-720.59853870270626</v>
      </c>
      <c r="G164" s="351">
        <f t="shared" si="9"/>
        <v>0.7444628615849026</v>
      </c>
      <c r="H164" s="345">
        <f>('побудинковий звіт'!AS150+'побудинковий звіт'!BQ150)*1.2</f>
        <v>2402.5070523361896</v>
      </c>
      <c r="I164" s="333">
        <f>('побудинковий звіт'!AT150+'побудинковий звіт'!BR150)*1.2</f>
        <v>2014.3588014239999</v>
      </c>
      <c r="J164" s="333">
        <f t="shared" si="10"/>
        <v>-388.14825091218972</v>
      </c>
      <c r="K164" s="354">
        <f t="shared" si="11"/>
        <v>0.83844032818352987</v>
      </c>
      <c r="L164" s="356">
        <f>'побудинковий звіт'!DE150</f>
        <v>80.21999999999997</v>
      </c>
      <c r="M164" s="363">
        <f>'побудинковий звіт'!DA150*-1</f>
        <v>6754.0562198098432</v>
      </c>
    </row>
    <row r="165" spans="1:13" ht="20.100000000000001" customHeight="1" x14ac:dyDescent="0.3">
      <c r="A165" s="359" t="s">
        <v>613</v>
      </c>
      <c r="B165" s="298" t="s">
        <v>105</v>
      </c>
      <c r="C165" s="360">
        <v>1</v>
      </c>
      <c r="D165" s="350">
        <f>'побудинковий звіт'!CU151</f>
        <v>402493.77792700269</v>
      </c>
      <c r="E165" s="334">
        <f>'побудинковий звіт'!CV151</f>
        <v>412506.11277235521</v>
      </c>
      <c r="F165" s="334">
        <f t="shared" si="8"/>
        <v>10012.33484535251</v>
      </c>
      <c r="G165" s="351">
        <f t="shared" si="9"/>
        <v>1.0248757506188539</v>
      </c>
      <c r="H165" s="345">
        <f>('побудинковий звіт'!AS151+'побудинковий звіт'!BQ151)*1.2</f>
        <v>85073.41208658641</v>
      </c>
      <c r="I165" s="333">
        <f>('побудинковий звіт'!AT151+'побудинковий звіт'!BR151)*1.2</f>
        <v>17929.696937663193</v>
      </c>
      <c r="J165" s="333">
        <f t="shared" si="10"/>
        <v>-67143.71514892322</v>
      </c>
      <c r="K165" s="354">
        <f t="shared" si="11"/>
        <v>0.21075558741448649</v>
      </c>
      <c r="L165" s="356">
        <f>'побудинковий звіт'!DE151</f>
        <v>46318.740000000005</v>
      </c>
      <c r="M165" s="363">
        <f>'побудинковий звіт'!DA151*-1</f>
        <v>10988.630257583733</v>
      </c>
    </row>
    <row r="166" spans="1:13" ht="20.100000000000001" customHeight="1" x14ac:dyDescent="0.3">
      <c r="A166" s="359" t="s">
        <v>614</v>
      </c>
      <c r="B166" s="298" t="s">
        <v>106</v>
      </c>
      <c r="C166" s="360">
        <v>1</v>
      </c>
      <c r="D166" s="350" t="e">
        <f>'побудинковий звіт'!#REF!</f>
        <v>#REF!</v>
      </c>
      <c r="E166" s="334" t="e">
        <f>'побудинковий звіт'!#REF!</f>
        <v>#REF!</v>
      </c>
      <c r="F166" s="334" t="e">
        <f t="shared" si="8"/>
        <v>#REF!</v>
      </c>
      <c r="G166" s="351" t="e">
        <f t="shared" si="9"/>
        <v>#REF!</v>
      </c>
      <c r="H166" s="345" t="e">
        <f>('побудинковий звіт'!#REF!+'побудинковий звіт'!#REF!)*1.2</f>
        <v>#REF!</v>
      </c>
      <c r="I166" s="333" t="e">
        <f>('побудинковий звіт'!#REF!+'побудинковий звіт'!#REF!)*1.2</f>
        <v>#REF!</v>
      </c>
      <c r="J166" s="333" t="e">
        <f t="shared" si="10"/>
        <v>#REF!</v>
      </c>
      <c r="K166" s="354" t="e">
        <f t="shared" si="11"/>
        <v>#REF!</v>
      </c>
      <c r="L166" s="356" t="e">
        <f>'побудинковий звіт'!#REF!</f>
        <v>#REF!</v>
      </c>
      <c r="M166" s="363" t="e">
        <f>'побудинковий звіт'!#REF!*-1</f>
        <v>#REF!</v>
      </c>
    </row>
    <row r="167" spans="1:13" ht="20.100000000000001" customHeight="1" x14ac:dyDescent="0.3">
      <c r="A167" s="359" t="s">
        <v>615</v>
      </c>
      <c r="B167" s="298" t="s">
        <v>107</v>
      </c>
      <c r="C167" s="360">
        <v>1</v>
      </c>
      <c r="D167" s="350" t="e">
        <f>'побудинковий звіт'!#REF!</f>
        <v>#REF!</v>
      </c>
      <c r="E167" s="334" t="e">
        <f>'побудинковий звіт'!#REF!</f>
        <v>#REF!</v>
      </c>
      <c r="F167" s="334" t="e">
        <f t="shared" si="8"/>
        <v>#REF!</v>
      </c>
      <c r="G167" s="351" t="e">
        <f t="shared" si="9"/>
        <v>#REF!</v>
      </c>
      <c r="H167" s="345" t="e">
        <f>('побудинковий звіт'!#REF!+'побудинковий звіт'!#REF!)*1.2</f>
        <v>#REF!</v>
      </c>
      <c r="I167" s="333" t="e">
        <f>('побудинковий звіт'!#REF!+'побудинковий звіт'!#REF!)*1.2</f>
        <v>#REF!</v>
      </c>
      <c r="J167" s="333" t="e">
        <f t="shared" si="10"/>
        <v>#REF!</v>
      </c>
      <c r="K167" s="354" t="e">
        <f t="shared" si="11"/>
        <v>#REF!</v>
      </c>
      <c r="L167" s="356" t="e">
        <f>'побудинковий звіт'!#REF!</f>
        <v>#REF!</v>
      </c>
      <c r="M167" s="363" t="e">
        <f>'побудинковий звіт'!#REF!*-1</f>
        <v>#REF!</v>
      </c>
    </row>
    <row r="168" spans="1:13" ht="20.100000000000001" customHeight="1" x14ac:dyDescent="0.3">
      <c r="A168" s="359" t="s">
        <v>616</v>
      </c>
      <c r="B168" s="298" t="s">
        <v>108</v>
      </c>
      <c r="C168" s="360">
        <v>1</v>
      </c>
      <c r="D168" s="350">
        <f>'побудинковий звіт'!CU152</f>
        <v>393421.66257327166</v>
      </c>
      <c r="E168" s="334">
        <f>'побудинковий звіт'!CV152</f>
        <v>329816.27689420379</v>
      </c>
      <c r="F168" s="334">
        <f t="shared" si="8"/>
        <v>-63605.385679067869</v>
      </c>
      <c r="G168" s="351">
        <f t="shared" si="9"/>
        <v>0.83832769842148214</v>
      </c>
      <c r="H168" s="345">
        <f>('побудинковий звіт'!AS152+'побудинковий звіт'!BQ152)*1.2</f>
        <v>94372.97111560301</v>
      </c>
      <c r="I168" s="333">
        <f>('побудинковий звіт'!AT152+'побудинковий звіт'!BR152)*1.2</f>
        <v>5358.1988798808979</v>
      </c>
      <c r="J168" s="333">
        <f t="shared" si="10"/>
        <v>-89014.772235722106</v>
      </c>
      <c r="K168" s="354">
        <f t="shared" si="11"/>
        <v>5.6776837865126918E-2</v>
      </c>
      <c r="L168" s="356">
        <f>'побудинковий звіт'!DE152</f>
        <v>31786.370000000003</v>
      </c>
      <c r="M168" s="363">
        <f>'побудинковий звіт'!DA152*-1</f>
        <v>-396609.56458837766</v>
      </c>
    </row>
    <row r="169" spans="1:13" ht="20.100000000000001" customHeight="1" x14ac:dyDescent="0.3">
      <c r="A169" s="359" t="s">
        <v>617</v>
      </c>
      <c r="B169" s="298" t="s">
        <v>109</v>
      </c>
      <c r="C169" s="360">
        <v>1</v>
      </c>
      <c r="D169" s="350">
        <f>'побудинковий звіт'!CU153</f>
        <v>3129.0189828383795</v>
      </c>
      <c r="E169" s="334">
        <f>'побудинковий звіт'!CV153</f>
        <v>3119.2476564936619</v>
      </c>
      <c r="F169" s="334">
        <f t="shared" si="8"/>
        <v>-9.7713263447176359</v>
      </c>
      <c r="G169" s="351">
        <f t="shared" si="9"/>
        <v>0.99687719173379574</v>
      </c>
      <c r="H169" s="345">
        <f>('побудинковий звіт'!AS153+'побудинковий звіт'!BQ153)*1.2</f>
        <v>2772.403723392506</v>
      </c>
      <c r="I169" s="333">
        <f>('побудинковий звіт'!AT153+'побудинковий звіт'!BR153)*1.2</f>
        <v>2866.2286055999998</v>
      </c>
      <c r="J169" s="333">
        <f t="shared" si="10"/>
        <v>93.824882207493829</v>
      </c>
      <c r="K169" s="354">
        <f t="shared" si="11"/>
        <v>1.0338424311783434</v>
      </c>
      <c r="L169" s="356">
        <f>'побудинковий звіт'!DE153</f>
        <v>0</v>
      </c>
      <c r="M169" s="363">
        <f>'побудинковий звіт'!DA153*-1</f>
        <v>5722.2102456117964</v>
      </c>
    </row>
    <row r="170" spans="1:13" ht="20.100000000000001" customHeight="1" x14ac:dyDescent="0.3">
      <c r="A170" s="359" t="s">
        <v>618</v>
      </c>
      <c r="B170" s="298" t="s">
        <v>110</v>
      </c>
      <c r="C170" s="360">
        <v>1</v>
      </c>
      <c r="D170" s="350">
        <f>'побудинковий звіт'!CU154</f>
        <v>3287.8526457260482</v>
      </c>
      <c r="E170" s="334">
        <f>'побудинковий звіт'!CV154</f>
        <v>301.23470942984318</v>
      </c>
      <c r="F170" s="334">
        <f t="shared" si="8"/>
        <v>-2986.6179362962048</v>
      </c>
      <c r="G170" s="351">
        <f t="shared" si="9"/>
        <v>9.162050185595294E-2</v>
      </c>
      <c r="H170" s="345">
        <f>('побудинковий звіт'!AS154+'побудинковий звіт'!BQ154)*1.2</f>
        <v>2983.0367768638393</v>
      </c>
      <c r="I170" s="333">
        <f>('побудинковий звіт'!AT154+'побудинковий звіт'!BR154)*1.2</f>
        <v>0</v>
      </c>
      <c r="J170" s="333">
        <f t="shared" si="10"/>
        <v>-2983.0367768638393</v>
      </c>
      <c r="K170" s="354">
        <f t="shared" si="11"/>
        <v>0</v>
      </c>
      <c r="L170" s="356">
        <f>'побудинковий звіт'!DE154</f>
        <v>-171.75</v>
      </c>
      <c r="M170" s="363">
        <f>'побудинковий звіт'!DA154*-1</f>
        <v>-9221.9309508345432</v>
      </c>
    </row>
    <row r="171" spans="1:13" ht="20.100000000000001" customHeight="1" x14ac:dyDescent="0.3">
      <c r="A171" s="359" t="s">
        <v>619</v>
      </c>
      <c r="B171" s="298" t="s">
        <v>111</v>
      </c>
      <c r="C171" s="360">
        <v>1</v>
      </c>
      <c r="D171" s="350">
        <f>'побудинковий звіт'!CU155</f>
        <v>109227.20411472781</v>
      </c>
      <c r="E171" s="334">
        <f>'побудинковий звіт'!CV155</f>
        <v>116345.38523087607</v>
      </c>
      <c r="F171" s="334">
        <f t="shared" si="8"/>
        <v>7118.1811161482619</v>
      </c>
      <c r="G171" s="351">
        <f t="shared" si="9"/>
        <v>1.0651685738350642</v>
      </c>
      <c r="H171" s="345">
        <f>('побудинковий звіт'!AS155+'побудинковий звіт'!BQ155)*1.2</f>
        <v>22744.277580922138</v>
      </c>
      <c r="I171" s="333">
        <f>('побудинковий звіт'!AT155+'побудинковий звіт'!BR155)*1.2</f>
        <v>7922.6271136032865</v>
      </c>
      <c r="J171" s="333">
        <f t="shared" si="10"/>
        <v>-14821.650467318852</v>
      </c>
      <c r="K171" s="354">
        <f t="shared" si="11"/>
        <v>0.34833496405481668</v>
      </c>
      <c r="L171" s="356">
        <f>'побудинковий звіт'!DE155</f>
        <v>22918.120000000003</v>
      </c>
      <c r="M171" s="363">
        <f>'побудинковий звіт'!DA155*-1</f>
        <v>-86294.103395689657</v>
      </c>
    </row>
    <row r="172" spans="1:13" ht="20.100000000000001" customHeight="1" x14ac:dyDescent="0.3">
      <c r="A172" s="359" t="s">
        <v>620</v>
      </c>
      <c r="B172" s="298" t="s">
        <v>112</v>
      </c>
      <c r="C172" s="360">
        <v>1</v>
      </c>
      <c r="D172" s="350">
        <f>'побудинковий звіт'!CU156</f>
        <v>368422.5587378965</v>
      </c>
      <c r="E172" s="334">
        <f>'побудинковий звіт'!CV156</f>
        <v>515154.46955412801</v>
      </c>
      <c r="F172" s="334">
        <f t="shared" si="8"/>
        <v>146731.91081623151</v>
      </c>
      <c r="G172" s="351">
        <f t="shared" si="9"/>
        <v>1.3982707012265763</v>
      </c>
      <c r="H172" s="345">
        <f>('побудинковий звіт'!AS156+'побудинковий звіт'!BQ156)*1.2</f>
        <v>103152.90385178234</v>
      </c>
      <c r="I172" s="333">
        <f>('побудинковий звіт'!AT156+'побудинковий звіт'!BR156)*1.2</f>
        <v>222469.83732676602</v>
      </c>
      <c r="J172" s="333">
        <f t="shared" si="10"/>
        <v>119316.93347498369</v>
      </c>
      <c r="K172" s="354">
        <f t="shared" si="11"/>
        <v>2.156699705191305</v>
      </c>
      <c r="L172" s="356">
        <f>'побудинковий звіт'!DE156</f>
        <v>22156.46</v>
      </c>
      <c r="M172" s="363">
        <f>'побудинковий звіт'!DA156*-1</f>
        <v>-27278.546802744357</v>
      </c>
    </row>
    <row r="173" spans="1:13" ht="20.100000000000001" customHeight="1" x14ac:dyDescent="0.3">
      <c r="A173" s="359" t="s">
        <v>621</v>
      </c>
      <c r="B173" s="298" t="s">
        <v>113</v>
      </c>
      <c r="C173" s="360">
        <v>1</v>
      </c>
      <c r="D173" s="350">
        <f>'побудинковий звіт'!CU157</f>
        <v>91407.191072093017</v>
      </c>
      <c r="E173" s="334">
        <f>'побудинковий звіт'!CV157</f>
        <v>190314.03782994719</v>
      </c>
      <c r="F173" s="334">
        <f t="shared" si="8"/>
        <v>98906.846757854175</v>
      </c>
      <c r="G173" s="351">
        <f t="shared" si="9"/>
        <v>2.0820466704840124</v>
      </c>
      <c r="H173" s="345">
        <f>('побудинковий звіт'!AS157+'побудинковий звіт'!BQ157)*1.2</f>
        <v>28972.24698187385</v>
      </c>
      <c r="I173" s="333">
        <f>('побудинковий звіт'!AT157+'побудинковий звіт'!BR157)*1.2</f>
        <v>122389.33893877779</v>
      </c>
      <c r="J173" s="333">
        <f t="shared" si="10"/>
        <v>93417.09195690394</v>
      </c>
      <c r="K173" s="354">
        <f t="shared" si="11"/>
        <v>4.2243647520797838</v>
      </c>
      <c r="L173" s="356">
        <f>'побудинковий звіт'!DE157</f>
        <v>183.47999999999956</v>
      </c>
      <c r="M173" s="363">
        <f>'побудинковий звіт'!DA157*-1</f>
        <v>-34592.433790498559</v>
      </c>
    </row>
    <row r="174" spans="1:13" ht="20.100000000000001" customHeight="1" x14ac:dyDescent="0.3">
      <c r="A174" s="359" t="s">
        <v>622</v>
      </c>
      <c r="B174" s="298" t="s">
        <v>114</v>
      </c>
      <c r="C174" s="360">
        <v>1</v>
      </c>
      <c r="D174" s="350">
        <f>'побудинковий звіт'!CU158</f>
        <v>54315.324222146788</v>
      </c>
      <c r="E174" s="334">
        <f>'побудинковий звіт'!CV158</f>
        <v>44445.724556915666</v>
      </c>
      <c r="F174" s="334">
        <f t="shared" si="8"/>
        <v>-9869.5996652311223</v>
      </c>
      <c r="G174" s="351">
        <f t="shared" si="9"/>
        <v>0.81829069776210883</v>
      </c>
      <c r="H174" s="345">
        <f>('побудинковий звіт'!AS158+'побудинковий звіт'!BQ158)*1.2</f>
        <v>14378.322115724501</v>
      </c>
      <c r="I174" s="333">
        <f>('побудинковий звіт'!AT158+'побудинковий звіт'!BR158)*1.2</f>
        <v>2332.6308714675083</v>
      </c>
      <c r="J174" s="333">
        <f t="shared" si="10"/>
        <v>-12045.691244256992</v>
      </c>
      <c r="K174" s="354">
        <f t="shared" si="11"/>
        <v>0.16223248114023567</v>
      </c>
      <c r="L174" s="356">
        <f>'побудинковий звіт'!DE158</f>
        <v>766.42000000000007</v>
      </c>
      <c r="M174" s="363">
        <f>'побудинковий звіт'!DA158*-1</f>
        <v>-20691.435705125405</v>
      </c>
    </row>
    <row r="175" spans="1:13" ht="20.100000000000001" customHeight="1" x14ac:dyDescent="0.3">
      <c r="A175" s="359" t="s">
        <v>623</v>
      </c>
      <c r="B175" s="298" t="s">
        <v>263</v>
      </c>
      <c r="C175" s="360">
        <v>5</v>
      </c>
      <c r="D175" s="350">
        <f>'побудинковий звіт'!CU159</f>
        <v>32420.868254329209</v>
      </c>
      <c r="E175" s="334">
        <f>'побудинковий звіт'!CV159</f>
        <v>36938.623776384651</v>
      </c>
      <c r="F175" s="334">
        <f t="shared" si="8"/>
        <v>4517.7555220554423</v>
      </c>
      <c r="G175" s="351">
        <f t="shared" si="9"/>
        <v>1.1393471478498167</v>
      </c>
      <c r="H175" s="345">
        <f>('побудинковий звіт'!AS159+'побудинковий звіт'!BQ159)*1.2</f>
        <v>8952.5189168926681</v>
      </c>
      <c r="I175" s="333">
        <f>('побудинковий звіт'!AT159+'побудинковий звіт'!BR159)*1.2</f>
        <v>6230.1176221001087</v>
      </c>
      <c r="J175" s="333">
        <f t="shared" si="10"/>
        <v>-2722.4012947925594</v>
      </c>
      <c r="K175" s="354">
        <f t="shared" si="11"/>
        <v>0.69590666938937018</v>
      </c>
      <c r="L175" s="356">
        <f>'побудинковий звіт'!DE159</f>
        <v>2230.6799999999998</v>
      </c>
      <c r="M175" s="363">
        <f>'побудинковий звіт'!DA159*-1</f>
        <v>-9290.1613165538383</v>
      </c>
    </row>
    <row r="176" spans="1:13" ht="20.100000000000001" customHeight="1" x14ac:dyDescent="0.3">
      <c r="A176" s="359" t="s">
        <v>624</v>
      </c>
      <c r="B176" s="298" t="s">
        <v>214</v>
      </c>
      <c r="C176" s="360">
        <v>4</v>
      </c>
      <c r="D176" s="350">
        <f>'побудинковий звіт'!CU160</f>
        <v>204997.16983577094</v>
      </c>
      <c r="E176" s="334">
        <f>'побудинковий звіт'!CV160</f>
        <v>179677.82147232277</v>
      </c>
      <c r="F176" s="334">
        <f t="shared" si="8"/>
        <v>-25319.348363448167</v>
      </c>
      <c r="G176" s="351">
        <f t="shared" si="9"/>
        <v>0.87648927844354041</v>
      </c>
      <c r="H176" s="345">
        <f>('побудинковий звіт'!AS160+'побудинковий звіт'!BQ160)*1.2</f>
        <v>54270.90649200089</v>
      </c>
      <c r="I176" s="333">
        <f>('побудинковий звіт'!AT160+'побудинковий звіт'!BR160)*1.2</f>
        <v>25619.555355610726</v>
      </c>
      <c r="J176" s="333">
        <f t="shared" si="10"/>
        <v>-28651.351136390163</v>
      </c>
      <c r="K176" s="354">
        <f t="shared" si="11"/>
        <v>0.47206794600688767</v>
      </c>
      <c r="L176" s="356">
        <f>'побудинковий звіт'!DE160</f>
        <v>54152.680000000008</v>
      </c>
      <c r="M176" s="363">
        <f>'побудинковий звіт'!DA160*-1</f>
        <v>83468.138506041505</v>
      </c>
    </row>
    <row r="177" spans="1:13" ht="20.100000000000001" customHeight="1" x14ac:dyDescent="0.3">
      <c r="A177" s="359" t="s">
        <v>625</v>
      </c>
      <c r="B177" s="298" t="s">
        <v>167</v>
      </c>
      <c r="C177" s="360">
        <v>2</v>
      </c>
      <c r="D177" s="350">
        <f>'побудинковий звіт'!CU161</f>
        <v>22361.146079590915</v>
      </c>
      <c r="E177" s="334">
        <f>'побудинковий звіт'!CV161</f>
        <v>16514.308348313018</v>
      </c>
      <c r="F177" s="334">
        <f t="shared" si="8"/>
        <v>-5846.8377312778975</v>
      </c>
      <c r="G177" s="351">
        <f t="shared" si="9"/>
        <v>0.73852692028990752</v>
      </c>
      <c r="H177" s="345">
        <f>('побудинковий звіт'!AS161+'побудинковий звіт'!BQ161)*1.2</f>
        <v>6709.9578127391324</v>
      </c>
      <c r="I177" s="333">
        <f>('побудинковий звіт'!AT161+'побудинковий звіт'!BR161)*1.2</f>
        <v>0</v>
      </c>
      <c r="J177" s="333">
        <f t="shared" si="10"/>
        <v>-6709.9578127391324</v>
      </c>
      <c r="K177" s="354">
        <f t="shared" si="11"/>
        <v>0</v>
      </c>
      <c r="L177" s="356">
        <f>'побудинковий звіт'!DE161</f>
        <v>911.96</v>
      </c>
      <c r="M177" s="363">
        <f>'побудинковий звіт'!DA161*-1</f>
        <v>26096.099271283219</v>
      </c>
    </row>
    <row r="178" spans="1:13" ht="20.100000000000001" customHeight="1" x14ac:dyDescent="0.3">
      <c r="A178" s="359" t="s">
        <v>626</v>
      </c>
      <c r="B178" s="298" t="s">
        <v>116</v>
      </c>
      <c r="C178" s="360">
        <v>1</v>
      </c>
      <c r="D178" s="350">
        <f>'побудинковий звіт'!CU162</f>
        <v>5663.5505344324656</v>
      </c>
      <c r="E178" s="334">
        <f>'побудинковий звіт'!CV162</f>
        <v>6082.1859114668114</v>
      </c>
      <c r="F178" s="334">
        <f t="shared" si="8"/>
        <v>418.63537703434577</v>
      </c>
      <c r="G178" s="351">
        <f t="shared" si="9"/>
        <v>1.0739174788834644</v>
      </c>
      <c r="H178" s="345">
        <f>('побудинковий звіт'!AS162+'побудинковий звіт'!BQ162)*1.2</f>
        <v>4356.3870553847883</v>
      </c>
      <c r="I178" s="333">
        <f>('побудинковий звіт'!AT162+'побудинковий звіт'!BR162)*1.2</f>
        <v>4180.7562271482429</v>
      </c>
      <c r="J178" s="333">
        <f t="shared" si="10"/>
        <v>-175.63082823654531</v>
      </c>
      <c r="K178" s="354">
        <f t="shared" si="11"/>
        <v>0.95968429205126438</v>
      </c>
      <c r="L178" s="356">
        <f>'побудинковий звіт'!DE162</f>
        <v>178.96999999999997</v>
      </c>
      <c r="M178" s="363">
        <f>'побудинковий звіт'!DA162*-1</f>
        <v>7098.538098314968</v>
      </c>
    </row>
    <row r="179" spans="1:13" ht="20.100000000000001" customHeight="1" x14ac:dyDescent="0.3">
      <c r="A179" s="359" t="s">
        <v>627</v>
      </c>
      <c r="B179" s="298" t="s">
        <v>117</v>
      </c>
      <c r="C179" s="360">
        <v>1</v>
      </c>
      <c r="D179" s="350">
        <f>'побудинковий звіт'!CU163</f>
        <v>196578.53477987126</v>
      </c>
      <c r="E179" s="334">
        <f>'побудинковий звіт'!CV163</f>
        <v>164559.82604940009</v>
      </c>
      <c r="F179" s="334">
        <f t="shared" ref="F179:F237" si="12">E179-D179</f>
        <v>-32018.708730471175</v>
      </c>
      <c r="G179" s="351">
        <f t="shared" ref="G179:G237" si="13">E179/D179</f>
        <v>0.83712001533470715</v>
      </c>
      <c r="H179" s="345">
        <f>('побудинковий звіт'!AS163+'побудинковий звіт'!BQ163)*1.2</f>
        <v>58906.756377123114</v>
      </c>
      <c r="I179" s="333">
        <f>('побудинковий звіт'!AT163+'побудинковий звіт'!BR163)*1.2</f>
        <v>16910.566076669616</v>
      </c>
      <c r="J179" s="333">
        <f t="shared" ref="J179:J237" si="14">I179-H179</f>
        <v>-41996.190300453498</v>
      </c>
      <c r="K179" s="354">
        <f t="shared" ref="K179:K237" si="15">I179/H179</f>
        <v>0.28707345501095971</v>
      </c>
      <c r="L179" s="356">
        <f>'побудинковий звіт'!DE163</f>
        <v>40567.020000000004</v>
      </c>
      <c r="M179" s="363">
        <f>'побудинковий звіт'!DA163*-1</f>
        <v>45490.555672989933</v>
      </c>
    </row>
    <row r="180" spans="1:13" ht="20.100000000000001" customHeight="1" x14ac:dyDescent="0.3">
      <c r="A180" s="359" t="s">
        <v>628</v>
      </c>
      <c r="B180" s="298" t="s">
        <v>118</v>
      </c>
      <c r="C180" s="360">
        <v>1</v>
      </c>
      <c r="D180" s="350">
        <f>'побудинковий звіт'!CU164</f>
        <v>125989.64053670544</v>
      </c>
      <c r="E180" s="334">
        <f>'побудинковий звіт'!CV164</f>
        <v>125094.37969811673</v>
      </c>
      <c r="F180" s="334">
        <f t="shared" si="12"/>
        <v>-895.26083858871425</v>
      </c>
      <c r="G180" s="351">
        <f t="shared" si="13"/>
        <v>0.99289417102251443</v>
      </c>
      <c r="H180" s="345">
        <f>('побудинковий звіт'!AS164+'побудинковий звіт'!BQ164)*1.2</f>
        <v>39908.983127851447</v>
      </c>
      <c r="I180" s="333">
        <f>('побудинковий звіт'!AT164+'побудинковий звіт'!BR164)*1.2</f>
        <v>28737.600372448636</v>
      </c>
      <c r="J180" s="333">
        <f t="shared" si="14"/>
        <v>-11171.38275540281</v>
      </c>
      <c r="K180" s="354">
        <f t="shared" si="15"/>
        <v>0.72007849161141391</v>
      </c>
      <c r="L180" s="356">
        <f>'побудинковий звіт'!DE164</f>
        <v>7487.5199999999986</v>
      </c>
      <c r="M180" s="363">
        <f>'побудинковий звіт'!DA164*-1</f>
        <v>21966.425219912806</v>
      </c>
    </row>
    <row r="181" spans="1:13" ht="20.100000000000001" customHeight="1" x14ac:dyDescent="0.3">
      <c r="A181" s="359" t="s">
        <v>629</v>
      </c>
      <c r="B181" s="298" t="s">
        <v>119</v>
      </c>
      <c r="C181" s="360">
        <v>1</v>
      </c>
      <c r="D181" s="350">
        <f>'побудинковий звіт'!CU165</f>
        <v>180516.1445349186</v>
      </c>
      <c r="E181" s="334">
        <f>'побудинковий звіт'!CV165</f>
        <v>150021.9439069955</v>
      </c>
      <c r="F181" s="334">
        <f t="shared" si="12"/>
        <v>-30494.200627923099</v>
      </c>
      <c r="G181" s="351">
        <f t="shared" si="13"/>
        <v>0.83107216971374887</v>
      </c>
      <c r="H181" s="345">
        <f>('побудинковий звіт'!AS165+'побудинковий звіт'!BQ165)*1.2</f>
        <v>56270.965553176262</v>
      </c>
      <c r="I181" s="333">
        <f>('побудинковий звіт'!AT165+'побудинковий звіт'!BR165)*1.2</f>
        <v>6542.0651440155852</v>
      </c>
      <c r="J181" s="333">
        <f t="shared" si="14"/>
        <v>-49728.900409160677</v>
      </c>
      <c r="K181" s="354">
        <f t="shared" si="15"/>
        <v>0.116260047783138</v>
      </c>
      <c r="L181" s="356">
        <f>'побудинковий звіт'!DE165</f>
        <v>1682.3300000000017</v>
      </c>
      <c r="M181" s="363">
        <f>'побудинковий звіт'!DA165*-1</f>
        <v>-121883.31882727031</v>
      </c>
    </row>
    <row r="182" spans="1:13" ht="20.100000000000001" customHeight="1" x14ac:dyDescent="0.3">
      <c r="A182" s="359" t="s">
        <v>630</v>
      </c>
      <c r="B182" s="298" t="s">
        <v>168</v>
      </c>
      <c r="C182" s="360">
        <v>2</v>
      </c>
      <c r="D182" s="350">
        <f>'побудинковий звіт'!CU166</f>
        <v>593357.34908235585</v>
      </c>
      <c r="E182" s="334">
        <f>'побудинковий звіт'!CV166</f>
        <v>583219.16245727672</v>
      </c>
      <c r="F182" s="334">
        <f t="shared" si="12"/>
        <v>-10138.186625079135</v>
      </c>
      <c r="G182" s="351">
        <f t="shared" si="13"/>
        <v>0.98291386018769611</v>
      </c>
      <c r="H182" s="345">
        <f>('побудинковий звіт'!AS166+'побудинковий звіт'!BQ166)*1.2</f>
        <v>145252.29094177592</v>
      </c>
      <c r="I182" s="333">
        <f>('побудинковий звіт'!AT166+'побудинковий звіт'!BR166)*1.2</f>
        <v>72267.784759224</v>
      </c>
      <c r="J182" s="333">
        <f t="shared" si="14"/>
        <v>-72984.506182551922</v>
      </c>
      <c r="K182" s="354">
        <f t="shared" si="15"/>
        <v>0.49753283952121891</v>
      </c>
      <c r="L182" s="356">
        <f>'побудинковий звіт'!DE166</f>
        <v>114631.1</v>
      </c>
      <c r="M182" s="363">
        <f>'побудинковий звіт'!DA166*-1</f>
        <v>49634.664902494289</v>
      </c>
    </row>
    <row r="183" spans="1:13" ht="20.100000000000001" customHeight="1" x14ac:dyDescent="0.3">
      <c r="A183" s="359" t="s">
        <v>631</v>
      </c>
      <c r="B183" s="298" t="s">
        <v>264</v>
      </c>
      <c r="C183" s="360">
        <v>5</v>
      </c>
      <c r="D183" s="350">
        <f>'побудинковий звіт'!CU167</f>
        <v>6334.460947651025</v>
      </c>
      <c r="E183" s="334">
        <f>'побудинковий звіт'!CV167</f>
        <v>3084.834208767898</v>
      </c>
      <c r="F183" s="334">
        <f t="shared" si="12"/>
        <v>-3249.626738883127</v>
      </c>
      <c r="G183" s="351">
        <f t="shared" si="13"/>
        <v>0.48699237934552758</v>
      </c>
      <c r="H183" s="345">
        <f>('побудинковий звіт'!AS167+'побудинковий звіт'!BQ167)*1.2</f>
        <v>4505.1168939294021</v>
      </c>
      <c r="I183" s="333">
        <f>('побудинковий звіт'!AT167+'побудинковий звіт'!BR167)*1.2</f>
        <v>0</v>
      </c>
      <c r="J183" s="333">
        <f t="shared" si="14"/>
        <v>-4505.1168939294021</v>
      </c>
      <c r="K183" s="354">
        <f t="shared" si="15"/>
        <v>0</v>
      </c>
      <c r="L183" s="356">
        <f>'побудинковий звіт'!DE167</f>
        <v>0</v>
      </c>
      <c r="M183" s="363">
        <f>'побудинковий звіт'!DA167*-1</f>
        <v>10579.615918135209</v>
      </c>
    </row>
    <row r="184" spans="1:13" ht="20.100000000000001" customHeight="1" x14ac:dyDescent="0.3">
      <c r="A184" s="359" t="s">
        <v>632</v>
      </c>
      <c r="B184" s="298" t="s">
        <v>370</v>
      </c>
      <c r="C184" s="360">
        <v>9</v>
      </c>
      <c r="D184" s="350">
        <f>'побудинковий звіт'!CU168</f>
        <v>988502.81200618343</v>
      </c>
      <c r="E184" s="334">
        <f>'побудинковий звіт'!CV168</f>
        <v>868109.55996962602</v>
      </c>
      <c r="F184" s="334">
        <f t="shared" si="12"/>
        <v>-120393.25203655742</v>
      </c>
      <c r="G184" s="351">
        <f t="shared" si="13"/>
        <v>0.87820646479273312</v>
      </c>
      <c r="H184" s="345">
        <f>('побудинковий звіт'!AS168+'побудинковий звіт'!BQ168)*1.2</f>
        <v>277663.01650196646</v>
      </c>
      <c r="I184" s="333">
        <f>('побудинковий звіт'!AT168+'побудинковий звіт'!BR168)*1.2</f>
        <v>97798.870396160841</v>
      </c>
      <c r="J184" s="333">
        <f t="shared" si="14"/>
        <v>-179864.14610580562</v>
      </c>
      <c r="K184" s="354">
        <f t="shared" si="15"/>
        <v>0.35222145040503877</v>
      </c>
      <c r="L184" s="356">
        <f>'побудинковий звіт'!DE168</f>
        <v>121798.37999999999</v>
      </c>
      <c r="M184" s="364">
        <f>'побудинковий звіт'!DA168*-1</f>
        <v>112410.28744905823</v>
      </c>
    </row>
    <row r="185" spans="1:13" ht="20.100000000000001" customHeight="1" x14ac:dyDescent="0.3">
      <c r="A185" s="359" t="s">
        <v>633</v>
      </c>
      <c r="B185" s="298" t="s">
        <v>265</v>
      </c>
      <c r="C185" s="360">
        <v>5</v>
      </c>
      <c r="D185" s="350">
        <f>'побудинковий звіт'!CU169</f>
        <v>221753.12534055064</v>
      </c>
      <c r="E185" s="334">
        <f>'побудинковий звіт'!CV169</f>
        <v>221601.08454439769</v>
      </c>
      <c r="F185" s="334">
        <f t="shared" si="12"/>
        <v>-152.04079615295632</v>
      </c>
      <c r="G185" s="351">
        <f t="shared" si="13"/>
        <v>0.99931436909437255</v>
      </c>
      <c r="H185" s="345">
        <f>('побудинковий звіт'!AS169+'побудинковий звіт'!BQ169)*1.2</f>
        <v>59857.145513465402</v>
      </c>
      <c r="I185" s="333">
        <f>('побудинковий звіт'!AT169+'побудинковий звіт'!BR169)*1.2</f>
        <v>24168.533297746828</v>
      </c>
      <c r="J185" s="333">
        <f t="shared" si="14"/>
        <v>-35688.612215718575</v>
      </c>
      <c r="K185" s="354">
        <f t="shared" si="15"/>
        <v>0.40377022810601448</v>
      </c>
      <c r="L185" s="356">
        <f>'побудинковий звіт'!DE169</f>
        <v>9731.48</v>
      </c>
      <c r="M185" s="363">
        <f>'побудинковий звіт'!DA169*-1</f>
        <v>-25173.698439340675</v>
      </c>
    </row>
    <row r="186" spans="1:13" ht="20.100000000000001" customHeight="1" x14ac:dyDescent="0.3">
      <c r="A186" s="359" t="s">
        <v>634</v>
      </c>
      <c r="B186" s="298" t="s">
        <v>371</v>
      </c>
      <c r="C186" s="360">
        <v>9</v>
      </c>
      <c r="D186" s="350">
        <f>'побудинковий звіт'!CU170</f>
        <v>338999.27513971977</v>
      </c>
      <c r="E186" s="334">
        <f>'побудинковий звіт'!CV170</f>
        <v>323494.0239230665</v>
      </c>
      <c r="F186" s="334">
        <f t="shared" si="12"/>
        <v>-15505.251216653269</v>
      </c>
      <c r="G186" s="351">
        <f t="shared" si="13"/>
        <v>0.95426169802203054</v>
      </c>
      <c r="H186" s="345">
        <f>('побудинковий звіт'!AS170+'побудинковий звіт'!BQ170)*1.2</f>
        <v>93545.520499832011</v>
      </c>
      <c r="I186" s="333">
        <f>('побудинковий звіт'!AT170+'побудинковий звіт'!BR170)*1.2</f>
        <v>49539.927241798236</v>
      </c>
      <c r="J186" s="333">
        <f t="shared" si="14"/>
        <v>-44005.593258033776</v>
      </c>
      <c r="K186" s="354">
        <f t="shared" si="15"/>
        <v>0.52958096739530358</v>
      </c>
      <c r="L186" s="356">
        <f>'побудинковий звіт'!DE170</f>
        <v>12557.629999999997</v>
      </c>
      <c r="M186" s="363">
        <f>'побудинковий звіт'!DA170*-1</f>
        <v>33650.421296041452</v>
      </c>
    </row>
    <row r="187" spans="1:13" ht="20.100000000000001" customHeight="1" x14ac:dyDescent="0.3">
      <c r="A187" s="359" t="s">
        <v>635</v>
      </c>
      <c r="B187" s="298" t="s">
        <v>372</v>
      </c>
      <c r="C187" s="360">
        <v>9</v>
      </c>
      <c r="D187" s="350">
        <f>'побудинковий звіт'!CU171</f>
        <v>322804.53110662039</v>
      </c>
      <c r="E187" s="334">
        <f>'побудинковий звіт'!CV171</f>
        <v>308307.55104332359</v>
      </c>
      <c r="F187" s="334">
        <f t="shared" si="12"/>
        <v>-14496.980063296796</v>
      </c>
      <c r="G187" s="351">
        <f t="shared" si="13"/>
        <v>0.95509053106039421</v>
      </c>
      <c r="H187" s="345">
        <f>('побудинковий звіт'!AS171+'побудинковий звіт'!BQ171)*1.2</f>
        <v>85678.349763158112</v>
      </c>
      <c r="I187" s="333">
        <f>('побудинковий звіт'!AT171+'побудинковий звіт'!BR171)*1.2</f>
        <v>49708.71383735611</v>
      </c>
      <c r="J187" s="333">
        <f t="shared" si="14"/>
        <v>-35969.635925802002</v>
      </c>
      <c r="K187" s="354">
        <f t="shared" si="15"/>
        <v>0.5801782360977612</v>
      </c>
      <c r="L187" s="356">
        <f>'побудинковий звіт'!DE171</f>
        <v>71566.55</v>
      </c>
      <c r="M187" s="363">
        <f>'побудинковий звіт'!DA171*-1</f>
        <v>27342.950592155379</v>
      </c>
    </row>
    <row r="188" spans="1:13" ht="20.100000000000001" customHeight="1" x14ac:dyDescent="0.3">
      <c r="A188" s="359" t="s">
        <v>636</v>
      </c>
      <c r="B188" s="298" t="s">
        <v>373</v>
      </c>
      <c r="C188" s="360">
        <v>9</v>
      </c>
      <c r="D188" s="350">
        <f>'побудинковий звіт'!CU172</f>
        <v>393227.28302646318</v>
      </c>
      <c r="E188" s="334">
        <f>'побудинковий звіт'!CV172</f>
        <v>381239.52964224631</v>
      </c>
      <c r="F188" s="334">
        <f t="shared" si="12"/>
        <v>-11987.753384216863</v>
      </c>
      <c r="G188" s="351">
        <f t="shared" si="13"/>
        <v>0.9695144413888237</v>
      </c>
      <c r="H188" s="345">
        <f>('побудинковий звіт'!AS172+'побудинковий звіт'!BQ172)*1.2</f>
        <v>95907.498366971529</v>
      </c>
      <c r="I188" s="333">
        <f>('побудинковий звіт'!AT172+'побудинковий звіт'!BR172)*1.2</f>
        <v>67239.474702975451</v>
      </c>
      <c r="J188" s="333">
        <f t="shared" si="14"/>
        <v>-28668.023663996079</v>
      </c>
      <c r="K188" s="354">
        <f t="shared" si="15"/>
        <v>0.70108673302786584</v>
      </c>
      <c r="L188" s="356">
        <f>'побудинковий звіт'!DE172</f>
        <v>37377.519999999997</v>
      </c>
      <c r="M188" s="364">
        <f>'побудинковий звіт'!DA172*-1</f>
        <v>-27150.030736085893</v>
      </c>
    </row>
    <row r="189" spans="1:13" ht="20.100000000000001" customHeight="1" x14ac:dyDescent="0.3">
      <c r="A189" s="359" t="s">
        <v>637</v>
      </c>
      <c r="B189" s="298" t="s">
        <v>169</v>
      </c>
      <c r="C189" s="360">
        <v>2</v>
      </c>
      <c r="D189" s="350">
        <f>'побудинковий звіт'!CU173</f>
        <v>440888.18716918532</v>
      </c>
      <c r="E189" s="334">
        <f>'побудинковий звіт'!CV173</f>
        <v>447548.55460580735</v>
      </c>
      <c r="F189" s="334">
        <f t="shared" si="12"/>
        <v>6660.3674366220366</v>
      </c>
      <c r="G189" s="351">
        <f t="shared" si="13"/>
        <v>1.0151067042176529</v>
      </c>
      <c r="H189" s="345">
        <f>('побудинковий звіт'!AS173+'побудинковий звіт'!BQ173)*1.2</f>
        <v>106119.66329067257</v>
      </c>
      <c r="I189" s="333">
        <f>('побудинковий звіт'!AT173+'побудинковий звіт'!BR173)*1.2</f>
        <v>77055.597293164115</v>
      </c>
      <c r="J189" s="333">
        <f t="shared" si="14"/>
        <v>-29064.065997508456</v>
      </c>
      <c r="K189" s="354">
        <f t="shared" si="15"/>
        <v>0.72611988112043835</v>
      </c>
      <c r="L189" s="356">
        <f>'побудинковий звіт'!DE173</f>
        <v>15246.150000000001</v>
      </c>
      <c r="M189" s="363">
        <f>'побудинковий звіт'!DA173*-1</f>
        <v>6027.8513801446461</v>
      </c>
    </row>
    <row r="190" spans="1:13" ht="20.100000000000001" customHeight="1" x14ac:dyDescent="0.3">
      <c r="A190" s="359" t="s">
        <v>638</v>
      </c>
      <c r="B190" s="298" t="s">
        <v>170</v>
      </c>
      <c r="C190" s="360">
        <v>1</v>
      </c>
      <c r="D190" s="350">
        <f>'побудинковий звіт'!CU174</f>
        <v>661620.56935326057</v>
      </c>
      <c r="E190" s="334">
        <f>'побудинковий звіт'!CV174</f>
        <v>685453.32918072981</v>
      </c>
      <c r="F190" s="334">
        <f t="shared" si="12"/>
        <v>23832.759827469243</v>
      </c>
      <c r="G190" s="351">
        <f t="shared" si="13"/>
        <v>1.0360217939577754</v>
      </c>
      <c r="H190" s="345">
        <f>('побудинковий звіт'!AS174+'побудинковий звіт'!BQ174)*1.2</f>
        <v>182816.86469985315</v>
      </c>
      <c r="I190" s="333">
        <f>('побудинковий звіт'!AT174+'побудинковий звіт'!BR174)*1.2</f>
        <v>167036.52305686378</v>
      </c>
      <c r="J190" s="333">
        <f t="shared" si="14"/>
        <v>-15780.34164298937</v>
      </c>
      <c r="K190" s="354">
        <f t="shared" si="15"/>
        <v>0.91368224332641645</v>
      </c>
      <c r="L190" s="356">
        <f>'побудинковий звіт'!DE174</f>
        <v>52540.380000000005</v>
      </c>
      <c r="M190" s="363">
        <f>'побудинковий звіт'!DA174*-1</f>
        <v>81363.706030819885</v>
      </c>
    </row>
    <row r="191" spans="1:13" ht="20.100000000000001" customHeight="1" x14ac:dyDescent="0.3">
      <c r="A191" s="359" t="s">
        <v>639</v>
      </c>
      <c r="B191" s="298" t="s">
        <v>171</v>
      </c>
      <c r="C191" s="360">
        <v>2</v>
      </c>
      <c r="D191" s="350">
        <f>'побудинковий звіт'!CU175</f>
        <v>888153.40247054037</v>
      </c>
      <c r="E191" s="334">
        <f>'побудинковий звіт'!CV175</f>
        <v>1144456.8807881058</v>
      </c>
      <c r="F191" s="334">
        <f t="shared" si="12"/>
        <v>256303.4783175654</v>
      </c>
      <c r="G191" s="351">
        <f t="shared" si="13"/>
        <v>1.2885801907695409</v>
      </c>
      <c r="H191" s="345">
        <f>('побудинковий звіт'!AS175+'побудинковий звіт'!BQ175)*1.2</f>
        <v>259539.62295654323</v>
      </c>
      <c r="I191" s="333">
        <f>('побудинковий звіт'!AT175+'побудинковий звіт'!BR175)*1.2</f>
        <v>456261.72265777545</v>
      </c>
      <c r="J191" s="333">
        <f t="shared" si="14"/>
        <v>196722.09970123222</v>
      </c>
      <c r="K191" s="354">
        <f t="shared" si="15"/>
        <v>1.7579655755844685</v>
      </c>
      <c r="L191" s="356">
        <f>'побудинковий звіт'!DE175</f>
        <v>150308.34</v>
      </c>
      <c r="M191" s="363">
        <f>'побудинковий звіт'!DA175*-1</f>
        <v>-168008.6133703418</v>
      </c>
    </row>
    <row r="192" spans="1:13" ht="20.100000000000001" customHeight="1" x14ac:dyDescent="0.3">
      <c r="A192" s="359" t="s">
        <v>1106</v>
      </c>
      <c r="B192" s="298" t="s">
        <v>1094</v>
      </c>
      <c r="C192" s="360">
        <v>2</v>
      </c>
      <c r="D192" s="350">
        <f>'побудинковий звіт'!CU176</f>
        <v>4872.6095686007866</v>
      </c>
      <c r="E192" s="334">
        <f>'побудинковий звіт'!CV176</f>
        <v>2685.031502591979</v>
      </c>
      <c r="F192" s="334">
        <f t="shared" si="12"/>
        <v>-2187.5780660088076</v>
      </c>
      <c r="G192" s="351">
        <f t="shared" si="13"/>
        <v>0.55104589538517235</v>
      </c>
      <c r="H192" s="345">
        <f>('побудинковий звіт'!AS176+'побудинковий звіт'!BQ176)*1.2</f>
        <v>3209.4207250685381</v>
      </c>
      <c r="I192" s="333">
        <f>('побудинковий звіт'!AT176+'побудинковий звіт'!BR176)*1.2</f>
        <v>0</v>
      </c>
      <c r="J192" s="333">
        <f t="shared" si="14"/>
        <v>-3209.4207250685381</v>
      </c>
      <c r="K192" s="354">
        <f t="shared" si="15"/>
        <v>0</v>
      </c>
      <c r="L192" s="356">
        <f>'побудинковий звіт'!DE176</f>
        <v>0</v>
      </c>
      <c r="M192" s="363">
        <f>'побудинковий звіт'!DA176*-1</f>
        <v>10422.373812106536</v>
      </c>
    </row>
    <row r="193" spans="1:13" ht="20.100000000000001" customHeight="1" x14ac:dyDescent="0.3">
      <c r="A193" s="359" t="s">
        <v>640</v>
      </c>
      <c r="B193" s="298" t="s">
        <v>172</v>
      </c>
      <c r="C193" s="360">
        <v>2</v>
      </c>
      <c r="D193" s="350">
        <f>'побудинковий звіт'!CU177</f>
        <v>684152.80798818462</v>
      </c>
      <c r="E193" s="334">
        <f>'побудинковий звіт'!CV177</f>
        <v>661184.08123379946</v>
      </c>
      <c r="F193" s="334">
        <f t="shared" si="12"/>
        <v>-22968.726754385163</v>
      </c>
      <c r="G193" s="351">
        <f t="shared" si="13"/>
        <v>0.96642749034104403</v>
      </c>
      <c r="H193" s="345">
        <f>('побудинковий звіт'!AS177+'побудинковий звіт'!BQ177)*1.2</f>
        <v>180847.85218862351</v>
      </c>
      <c r="I193" s="333">
        <f>('побудинковий звіт'!AT177+'побудинковий звіт'!BR177)*1.2</f>
        <v>115525.82983261788</v>
      </c>
      <c r="J193" s="333">
        <f t="shared" si="14"/>
        <v>-65322.022356005633</v>
      </c>
      <c r="K193" s="354">
        <f t="shared" si="15"/>
        <v>0.63880122674680673</v>
      </c>
      <c r="L193" s="356">
        <f>'побудинковий звіт'!DE177</f>
        <v>76711.649999999994</v>
      </c>
      <c r="M193" s="363">
        <f>'побудинковий звіт'!DA177*-1</f>
        <v>23750.104552575278</v>
      </c>
    </row>
    <row r="194" spans="1:13" ht="20.100000000000001" customHeight="1" x14ac:dyDescent="0.3">
      <c r="A194" s="359" t="s">
        <v>641</v>
      </c>
      <c r="B194" s="298" t="s">
        <v>266</v>
      </c>
      <c r="C194" s="360">
        <v>5</v>
      </c>
      <c r="D194" s="350">
        <f>'побудинковий звіт'!CU178</f>
        <v>539349.19719755836</v>
      </c>
      <c r="E194" s="334">
        <f>'побудинковий звіт'!CV178</f>
        <v>460942.61669150245</v>
      </c>
      <c r="F194" s="334">
        <f t="shared" si="12"/>
        <v>-78406.580506055907</v>
      </c>
      <c r="G194" s="351">
        <f t="shared" si="13"/>
        <v>0.85462742706681671</v>
      </c>
      <c r="H194" s="345">
        <f>('побудинковий звіт'!AS178+'побудинковий звіт'!BQ178)*1.2</f>
        <v>149509.200958531</v>
      </c>
      <c r="I194" s="333">
        <f>('побудинковий звіт'!AT178+'побудинковий звіт'!BR178)*1.2</f>
        <v>42235.96164092781</v>
      </c>
      <c r="J194" s="333">
        <f t="shared" si="14"/>
        <v>-107273.23931760319</v>
      </c>
      <c r="K194" s="354">
        <f t="shared" si="15"/>
        <v>0.28249740731771211</v>
      </c>
      <c r="L194" s="356">
        <f>'побудинковий звіт'!DE178</f>
        <v>30351.719999999994</v>
      </c>
      <c r="M194" s="363">
        <f>'побудинковий звіт'!DA178*-1</f>
        <v>62712.2287538253</v>
      </c>
    </row>
    <row r="195" spans="1:13" ht="20.100000000000001" customHeight="1" x14ac:dyDescent="0.3">
      <c r="A195" s="359" t="s">
        <v>642</v>
      </c>
      <c r="B195" s="298" t="s">
        <v>173</v>
      </c>
      <c r="C195" s="360">
        <v>2</v>
      </c>
      <c r="D195" s="350">
        <f>'побудинковий звіт'!CU179</f>
        <v>4293.3345168036176</v>
      </c>
      <c r="E195" s="334">
        <f>'побудинковий звіт'!CV179</f>
        <v>4404.559864962248</v>
      </c>
      <c r="F195" s="334">
        <f t="shared" si="12"/>
        <v>111.22534815863037</v>
      </c>
      <c r="G195" s="351">
        <f t="shared" si="13"/>
        <v>1.0259065180510176</v>
      </c>
      <c r="H195" s="345">
        <f>('побудинковий звіт'!AS179+'побудинковий звіт'!BQ179)*1.2</f>
        <v>2506.5673351115092</v>
      </c>
      <c r="I195" s="333">
        <f>('побудинковий звіт'!AT179+'побудинковий звіт'!BR179)*1.2</f>
        <v>0</v>
      </c>
      <c r="J195" s="333">
        <f t="shared" si="14"/>
        <v>-2506.5673351115092</v>
      </c>
      <c r="K195" s="354">
        <f t="shared" si="15"/>
        <v>0</v>
      </c>
      <c r="L195" s="356">
        <f>'побудинковий звіт'!DE179</f>
        <v>61.699999999999932</v>
      </c>
      <c r="M195" s="363">
        <f>'побудинковий звіт'!DA179*-1</f>
        <v>248.60006534548938</v>
      </c>
    </row>
    <row r="196" spans="1:13" ht="20.100000000000001" customHeight="1" x14ac:dyDescent="0.3">
      <c r="A196" s="359" t="s">
        <v>643</v>
      </c>
      <c r="B196" s="298" t="s">
        <v>174</v>
      </c>
      <c r="C196" s="360">
        <v>2</v>
      </c>
      <c r="D196" s="350">
        <f>'побудинковий звіт'!CU180</f>
        <v>4102.1394558132397</v>
      </c>
      <c r="E196" s="334">
        <f>'побудинковий звіт'!CV180</f>
        <v>4370.9543840605393</v>
      </c>
      <c r="F196" s="334">
        <f t="shared" si="12"/>
        <v>268.81492824729958</v>
      </c>
      <c r="G196" s="351">
        <f t="shared" si="13"/>
        <v>1.0655304216599355</v>
      </c>
      <c r="H196" s="345">
        <f>('побудинковий звіт'!AS180+'побудинковий звіт'!BQ180)*1.2</f>
        <v>2417.3677327828627</v>
      </c>
      <c r="I196" s="333">
        <f>('побудинковий звіт'!AT180+'побудинковий звіт'!BR180)*1.2</f>
        <v>0</v>
      </c>
      <c r="J196" s="333">
        <f t="shared" si="14"/>
        <v>-2417.3677327828627</v>
      </c>
      <c r="K196" s="354">
        <f t="shared" si="15"/>
        <v>0</v>
      </c>
      <c r="L196" s="356">
        <f>'побудинковий звіт'!DE180</f>
        <v>0</v>
      </c>
      <c r="M196" s="363">
        <f>'побудинковий звіт'!DA180*-1</f>
        <v>4373.8044670008148</v>
      </c>
    </row>
    <row r="197" spans="1:13" ht="20.100000000000001" customHeight="1" x14ac:dyDescent="0.3">
      <c r="A197" s="359" t="s">
        <v>644</v>
      </c>
      <c r="B197" s="298" t="s">
        <v>267</v>
      </c>
      <c r="C197" s="360">
        <v>5</v>
      </c>
      <c r="D197" s="350">
        <f>'побудинковий звіт'!CU181</f>
        <v>595162.55130762956</v>
      </c>
      <c r="E197" s="334">
        <f>'побудинковий звіт'!CV181</f>
        <v>690880.59572503145</v>
      </c>
      <c r="F197" s="334">
        <f t="shared" si="12"/>
        <v>95718.044417401892</v>
      </c>
      <c r="G197" s="351">
        <f t="shared" si="13"/>
        <v>1.1608267257526539</v>
      </c>
      <c r="H197" s="345">
        <f>('побудинковий звіт'!AS181+'побудинковий звіт'!BQ181)*1.2</f>
        <v>144674.54802979779</v>
      </c>
      <c r="I197" s="333">
        <f>('побудинковий звіт'!AT181+'побудинковий звіт'!BR181)*1.2</f>
        <v>313117.77434227936</v>
      </c>
      <c r="J197" s="333">
        <f t="shared" si="14"/>
        <v>168443.22631248157</v>
      </c>
      <c r="K197" s="354">
        <f t="shared" si="15"/>
        <v>2.164290668997205</v>
      </c>
      <c r="L197" s="356">
        <f>'побудинковий звіт'!DE181</f>
        <v>14056.850000000006</v>
      </c>
      <c r="M197" s="363">
        <f>'побудинковий звіт'!DA181*-1</f>
        <v>-13455.277253747132</v>
      </c>
    </row>
    <row r="198" spans="1:13" ht="20.100000000000001" customHeight="1" x14ac:dyDescent="0.3">
      <c r="A198" s="359" t="s">
        <v>645</v>
      </c>
      <c r="B198" s="298" t="s">
        <v>215</v>
      </c>
      <c r="C198" s="360">
        <v>4</v>
      </c>
      <c r="D198" s="350" t="e">
        <f>'побудинковий звіт'!#REF!</f>
        <v>#REF!</v>
      </c>
      <c r="E198" s="334" t="e">
        <f>'побудинковий звіт'!#REF!</f>
        <v>#REF!</v>
      </c>
      <c r="F198" s="334" t="e">
        <f t="shared" si="12"/>
        <v>#REF!</v>
      </c>
      <c r="G198" s="351" t="e">
        <f t="shared" si="13"/>
        <v>#REF!</v>
      </c>
      <c r="H198" s="345" t="e">
        <f>('побудинковий звіт'!#REF!+'побудинковий звіт'!#REF!)*1.2</f>
        <v>#REF!</v>
      </c>
      <c r="I198" s="333" t="e">
        <f>('побудинковий звіт'!#REF!+'побудинковий звіт'!#REF!)*1.2</f>
        <v>#REF!</v>
      </c>
      <c r="J198" s="333" t="e">
        <f t="shared" si="14"/>
        <v>#REF!</v>
      </c>
      <c r="K198" s="354" t="e">
        <f t="shared" si="15"/>
        <v>#REF!</v>
      </c>
      <c r="L198" s="356" t="e">
        <f>'побудинковий звіт'!#REF!</f>
        <v>#REF!</v>
      </c>
      <c r="M198" s="363" t="e">
        <f>'побудинковий звіт'!#REF!*-1</f>
        <v>#REF!</v>
      </c>
    </row>
    <row r="199" spans="1:13" ht="20.100000000000001" customHeight="1" x14ac:dyDescent="0.3">
      <c r="A199" s="359" t="s">
        <v>646</v>
      </c>
      <c r="B199" s="298" t="s">
        <v>175</v>
      </c>
      <c r="C199" s="360">
        <v>2</v>
      </c>
      <c r="D199" s="350">
        <f>'побудинковий звіт'!CU183</f>
        <v>2875.2278402958805</v>
      </c>
      <c r="E199" s="334">
        <f>'побудинковий звіт'!CV183</f>
        <v>2659.5271453310233</v>
      </c>
      <c r="F199" s="334">
        <f t="shared" si="12"/>
        <v>-215.70069496485712</v>
      </c>
      <c r="G199" s="351">
        <f t="shared" si="13"/>
        <v>0.92497961659182459</v>
      </c>
      <c r="H199" s="345">
        <f>('побудинковий звіт'!AS183+'побудинковий звіт'!BQ183)*1.2</f>
        <v>2553.4470376745558</v>
      </c>
      <c r="I199" s="333">
        <f>('побудинковий звіт'!AT183+'побудинковий звіт'!BR183)*1.2</f>
        <v>2490.2860629119996</v>
      </c>
      <c r="J199" s="333">
        <f t="shared" si="14"/>
        <v>-63.160974762556179</v>
      </c>
      <c r="K199" s="354">
        <f t="shared" si="15"/>
        <v>0.97526442732876206</v>
      </c>
      <c r="L199" s="356">
        <f>'побудинковий звіт'!DE183</f>
        <v>40.110000000000014</v>
      </c>
      <c r="M199" s="363">
        <f>'побудинковий звіт'!DA183*-1</f>
        <v>6717.3808968298536</v>
      </c>
    </row>
    <row r="200" spans="1:13" ht="20.100000000000001" customHeight="1" x14ac:dyDescent="0.3">
      <c r="A200" s="359" t="s">
        <v>647</v>
      </c>
      <c r="B200" s="298" t="s">
        <v>121</v>
      </c>
      <c r="C200" s="360">
        <v>1</v>
      </c>
      <c r="D200" s="350" t="e">
        <f>'побудинковий звіт'!#REF!</f>
        <v>#REF!</v>
      </c>
      <c r="E200" s="334" t="e">
        <f>'побудинковий звіт'!#REF!</f>
        <v>#REF!</v>
      </c>
      <c r="F200" s="334" t="e">
        <f t="shared" si="12"/>
        <v>#REF!</v>
      </c>
      <c r="G200" s="351" t="e">
        <f t="shared" si="13"/>
        <v>#REF!</v>
      </c>
      <c r="H200" s="345" t="e">
        <f>('побудинковий звіт'!#REF!+'побудинковий звіт'!#REF!)*1.2</f>
        <v>#REF!</v>
      </c>
      <c r="I200" s="333" t="e">
        <f>('побудинковий звіт'!#REF!+'побудинковий звіт'!#REF!)*1.2</f>
        <v>#REF!</v>
      </c>
      <c r="J200" s="333" t="e">
        <f t="shared" si="14"/>
        <v>#REF!</v>
      </c>
      <c r="K200" s="354" t="e">
        <f t="shared" si="15"/>
        <v>#REF!</v>
      </c>
      <c r="L200" s="356" t="e">
        <f>'побудинковий звіт'!#REF!</f>
        <v>#REF!</v>
      </c>
      <c r="M200" s="363" t="e">
        <f>'побудинковий звіт'!#REF!*-1</f>
        <v>#REF!</v>
      </c>
    </row>
    <row r="201" spans="1:13" ht="20.100000000000001" customHeight="1" x14ac:dyDescent="0.3">
      <c r="A201" s="359" t="s">
        <v>648</v>
      </c>
      <c r="B201" s="298" t="s">
        <v>374</v>
      </c>
      <c r="C201" s="360">
        <v>9</v>
      </c>
      <c r="D201" s="350">
        <f>'побудинковий звіт'!CU184</f>
        <v>4218.094589397916</v>
      </c>
      <c r="E201" s="334">
        <f>'побудинковий звіт'!CV184</f>
        <v>26954.765095289302</v>
      </c>
      <c r="F201" s="334">
        <f t="shared" si="12"/>
        <v>22736.670505891387</v>
      </c>
      <c r="G201" s="351">
        <f t="shared" si="13"/>
        <v>6.3902704228206462</v>
      </c>
      <c r="H201" s="345">
        <f>('побудинковий звіт'!AS184+'побудинковий звіт'!BQ184)*1.2</f>
        <v>3788.7534739106632</v>
      </c>
      <c r="I201" s="333">
        <f>('побудинковий звіт'!AT184+'побудинковий звіт'!BR184)*1.2</f>
        <v>26784.847553711999</v>
      </c>
      <c r="J201" s="333">
        <f t="shared" si="14"/>
        <v>22996.094079801336</v>
      </c>
      <c r="K201" s="354">
        <f t="shared" si="15"/>
        <v>7.0695672701199275</v>
      </c>
      <c r="L201" s="356">
        <f>'побудинковий звіт'!DE184</f>
        <v>74.689999999999941</v>
      </c>
      <c r="M201" s="363">
        <f>'побудинковий звіт'!DA184*-1</f>
        <v>-16467.875710561817</v>
      </c>
    </row>
    <row r="202" spans="1:13" ht="20.100000000000001" customHeight="1" x14ac:dyDescent="0.3">
      <c r="A202" s="359" t="s">
        <v>649</v>
      </c>
      <c r="B202" s="298" t="s">
        <v>375</v>
      </c>
      <c r="C202" s="360">
        <v>9</v>
      </c>
      <c r="D202" s="350">
        <f>'побудинковий звіт'!CU185</f>
        <v>3666.111742111495</v>
      </c>
      <c r="E202" s="334">
        <f>'побудинковий звіт'!CV185</f>
        <v>2863.6081084828515</v>
      </c>
      <c r="F202" s="334">
        <f t="shared" si="12"/>
        <v>-802.50363362864346</v>
      </c>
      <c r="G202" s="351">
        <f t="shared" si="13"/>
        <v>0.78110224399040218</v>
      </c>
      <c r="H202" s="345">
        <f>('побудинковий звіт'!AS185+'побудинковий звіт'!BQ185)*1.2</f>
        <v>3368.9323592399337</v>
      </c>
      <c r="I202" s="333">
        <f>('побудинковий звіт'!AT185+'побудинковий звіт'!BR185)*1.2</f>
        <v>2722.2506105279999</v>
      </c>
      <c r="J202" s="333">
        <f t="shared" si="14"/>
        <v>-646.68174871193378</v>
      </c>
      <c r="K202" s="354">
        <f t="shared" si="15"/>
        <v>0.80804549342218557</v>
      </c>
      <c r="L202" s="356">
        <f>'побудинковий звіт'!DE185</f>
        <v>0</v>
      </c>
      <c r="M202" s="363">
        <f>'побудинковий звіт'!DA185*-1</f>
        <v>10013.500108104747</v>
      </c>
    </row>
    <row r="203" spans="1:13" ht="20.100000000000001" customHeight="1" x14ac:dyDescent="0.3">
      <c r="A203" s="359" t="s">
        <v>650</v>
      </c>
      <c r="B203" s="298" t="s">
        <v>176</v>
      </c>
      <c r="C203" s="360">
        <v>2</v>
      </c>
      <c r="D203" s="350">
        <f>'побудинковий звіт'!CU186</f>
        <v>2594.9189250421759</v>
      </c>
      <c r="E203" s="334">
        <f>'побудинковий звіт'!CV186</f>
        <v>1649.9844648894964</v>
      </c>
      <c r="F203" s="334">
        <f t="shared" si="12"/>
        <v>-944.93446015267955</v>
      </c>
      <c r="G203" s="351">
        <f t="shared" si="13"/>
        <v>0.63585202950519104</v>
      </c>
      <c r="H203" s="345">
        <f>('побудинковий звіт'!AS186+'побудинковий звіт'!BQ186)*1.2</f>
        <v>2225.3137314547221</v>
      </c>
      <c r="I203" s="333">
        <f>('побудинковий звіт'!AT186+'побудинковий звіт'!BR186)*1.2</f>
        <v>1537.104</v>
      </c>
      <c r="J203" s="333">
        <f t="shared" si="14"/>
        <v>-688.20973145472203</v>
      </c>
      <c r="K203" s="354">
        <f t="shared" si="15"/>
        <v>0.69073586266650655</v>
      </c>
      <c r="L203" s="356">
        <f>'побудинковий звіт'!DE186</f>
        <v>0</v>
      </c>
      <c r="M203" s="363">
        <f>'побудинковий звіт'!DA186*-1</f>
        <v>7803.74969704673</v>
      </c>
    </row>
    <row r="204" spans="1:13" ht="20.100000000000001" customHeight="1" x14ac:dyDescent="0.3">
      <c r="A204" s="359" t="s">
        <v>651</v>
      </c>
      <c r="B204" s="298" t="s">
        <v>336</v>
      </c>
      <c r="C204" s="360">
        <v>8</v>
      </c>
      <c r="D204" s="350">
        <f>'побудинковий звіт'!CU187</f>
        <v>3979.4955338354057</v>
      </c>
      <c r="E204" s="334">
        <f>'побудинковий звіт'!CV187</f>
        <v>2261.0356419016134</v>
      </c>
      <c r="F204" s="334">
        <f t="shared" si="12"/>
        <v>-1718.4598919337923</v>
      </c>
      <c r="G204" s="351">
        <f t="shared" si="13"/>
        <v>0.56817142340713866</v>
      </c>
      <c r="H204" s="345">
        <f>('побудинковий звіт'!AS187+'побудинковий звіт'!BQ187)*1.2</f>
        <v>3502.6300727075109</v>
      </c>
      <c r="I204" s="333">
        <f>('побудинковий звіт'!AT187+'побудинковий звіт'!BR187)*1.2</f>
        <v>2119.6799999999998</v>
      </c>
      <c r="J204" s="333">
        <f t="shared" si="14"/>
        <v>-1382.950072707511</v>
      </c>
      <c r="K204" s="354">
        <f t="shared" si="15"/>
        <v>0.60516810396751397</v>
      </c>
      <c r="L204" s="356">
        <f>'побудинковий звіт'!DE187</f>
        <v>217.90999999999997</v>
      </c>
      <c r="M204" s="363">
        <f>'побудинковий звіт'!DA187*-1</f>
        <v>10566.306237792547</v>
      </c>
    </row>
    <row r="205" spans="1:13" ht="20.100000000000001" customHeight="1" x14ac:dyDescent="0.3">
      <c r="A205" s="359" t="s">
        <v>652</v>
      </c>
      <c r="B205" s="298" t="s">
        <v>177</v>
      </c>
      <c r="C205" s="360">
        <v>2</v>
      </c>
      <c r="D205" s="350">
        <f>'побудинковий звіт'!CU188</f>
        <v>5818.701909150589</v>
      </c>
      <c r="E205" s="334">
        <f>'побудинковий звіт'!CV188</f>
        <v>4220.2285076716635</v>
      </c>
      <c r="F205" s="334">
        <f t="shared" si="12"/>
        <v>-1598.4734014789256</v>
      </c>
      <c r="G205" s="351">
        <f t="shared" si="13"/>
        <v>0.72528694089567658</v>
      </c>
      <c r="H205" s="345">
        <f>('побудинковий звіт'!AS188+'побудинковий звіт'!BQ188)*1.2</f>
        <v>5343.2148965560909</v>
      </c>
      <c r="I205" s="333">
        <f>('побудинковий звіт'!AT188+'побудинковий звіт'!BR188)*1.2</f>
        <v>4050.0476761919999</v>
      </c>
      <c r="J205" s="333">
        <f t="shared" si="14"/>
        <v>-1293.167220364091</v>
      </c>
      <c r="K205" s="354">
        <f t="shared" si="15"/>
        <v>0.75797955998408606</v>
      </c>
      <c r="L205" s="356">
        <f>'побудинковий звіт'!DE188</f>
        <v>686.43</v>
      </c>
      <c r="M205" s="363">
        <f>'побудинковий звіт'!DA188*-1</f>
        <v>15244.441437911966</v>
      </c>
    </row>
    <row r="206" spans="1:13" ht="20.100000000000001" customHeight="1" x14ac:dyDescent="0.3">
      <c r="A206" s="359" t="s">
        <v>653</v>
      </c>
      <c r="B206" s="298" t="s">
        <v>376</v>
      </c>
      <c r="C206" s="360">
        <v>9</v>
      </c>
      <c r="D206" s="350">
        <f>'побудинковий звіт'!CU189</f>
        <v>2468.1853562941992</v>
      </c>
      <c r="E206" s="334">
        <f>'побудинковий звіт'!CV189</f>
        <v>1254.181320132149</v>
      </c>
      <c r="F206" s="334">
        <f t="shared" si="12"/>
        <v>-1214.0040361620502</v>
      </c>
      <c r="G206" s="351">
        <f t="shared" si="13"/>
        <v>0.50813903296760943</v>
      </c>
      <c r="H206" s="345">
        <f>('побудинковий звіт'!AS189+'побудинковий звіт'!BQ189)*1.2</f>
        <v>2253.6648212133159</v>
      </c>
      <c r="I206" s="333">
        <f>('побудинковий звіт'!AT189+'побудинковий звіт'!BR189)*1.2</f>
        <v>1169.1546451679999</v>
      </c>
      <c r="J206" s="333">
        <f t="shared" si="14"/>
        <v>-1084.510176045316</v>
      </c>
      <c r="K206" s="354">
        <f t="shared" si="15"/>
        <v>0.51877929413592072</v>
      </c>
      <c r="L206" s="356">
        <f>'побудинковий звіт'!DE189</f>
        <v>0</v>
      </c>
      <c r="M206" s="363">
        <f>'побудинковий звіт'!DA189*-1</f>
        <v>6695.2128585701594</v>
      </c>
    </row>
    <row r="207" spans="1:13" ht="20.100000000000001" customHeight="1" x14ac:dyDescent="0.3">
      <c r="A207" s="359" t="s">
        <v>654</v>
      </c>
      <c r="B207" s="298" t="s">
        <v>337</v>
      </c>
      <c r="C207" s="360">
        <v>8</v>
      </c>
      <c r="D207" s="350">
        <f>'побудинковий звіт'!CU190</f>
        <v>291255.77224031021</v>
      </c>
      <c r="E207" s="334">
        <f>'побудинковий звіт'!CV190</f>
        <v>227808.2387779034</v>
      </c>
      <c r="F207" s="334">
        <f t="shared" si="12"/>
        <v>-63447.533462406805</v>
      </c>
      <c r="G207" s="351">
        <f t="shared" si="13"/>
        <v>0.78215870890944161</v>
      </c>
      <c r="H207" s="345">
        <f>('побудинковий звіт'!AS190+'побудинковий звіт'!BQ190)*1.2</f>
        <v>96146.590427578281</v>
      </c>
      <c r="I207" s="333">
        <f>('побудинковий звіт'!AT190+'побудинковий звіт'!BR190)*1.2</f>
        <v>12993.019745551434</v>
      </c>
      <c r="J207" s="333">
        <f t="shared" si="14"/>
        <v>-83153.570682026853</v>
      </c>
      <c r="K207" s="354">
        <f t="shared" si="15"/>
        <v>0.13513760277685907</v>
      </c>
      <c r="L207" s="356">
        <f>'побудинковий звіт'!DE190</f>
        <v>68858.69</v>
      </c>
      <c r="M207" s="363">
        <f>'побудинковий звіт'!DA190*-1</f>
        <v>-14405.392838354543</v>
      </c>
    </row>
    <row r="208" spans="1:13" ht="20.100000000000001" customHeight="1" x14ac:dyDescent="0.3">
      <c r="A208" s="359" t="s">
        <v>655</v>
      </c>
      <c r="B208" s="298" t="s">
        <v>377</v>
      </c>
      <c r="C208" s="360">
        <v>9</v>
      </c>
      <c r="D208" s="350">
        <f>'побудинковий звіт'!CU191</f>
        <v>136946.0054238778</v>
      </c>
      <c r="E208" s="334">
        <f>'побудинковий звіт'!CV191</f>
        <v>127991.1130852038</v>
      </c>
      <c r="F208" s="334">
        <f t="shared" si="12"/>
        <v>-8954.8923386739916</v>
      </c>
      <c r="G208" s="351">
        <f t="shared" si="13"/>
        <v>0.93461005079369319</v>
      </c>
      <c r="H208" s="345">
        <f>('побудинковий звіт'!AS191+'побудинковий звіт'!BQ191)*1.2</f>
        <v>40433.506054523459</v>
      </c>
      <c r="I208" s="333">
        <f>('побудинковий звіт'!AT191+'побудинковий звіт'!BR191)*1.2</f>
        <v>16217.274664949371</v>
      </c>
      <c r="J208" s="333">
        <f t="shared" si="14"/>
        <v>-24216.231389574088</v>
      </c>
      <c r="K208" s="354">
        <f t="shared" si="15"/>
        <v>0.40108504672043099</v>
      </c>
      <c r="L208" s="356">
        <f>'побудинковий звіт'!DE191</f>
        <v>71295.23</v>
      </c>
      <c r="M208" s="363">
        <f>'побудинковий звіт'!DA191*-1</f>
        <v>7121.0057898620362</v>
      </c>
    </row>
    <row r="209" spans="1:13" ht="20.100000000000001" customHeight="1" x14ac:dyDescent="0.3">
      <c r="A209" s="359" t="s">
        <v>656</v>
      </c>
      <c r="B209" s="298" t="s">
        <v>378</v>
      </c>
      <c r="C209" s="360">
        <v>9</v>
      </c>
      <c r="D209" s="350">
        <f>'побудинковий звіт'!CU192</f>
        <v>17178.441585730005</v>
      </c>
      <c r="E209" s="334">
        <f>'побудинковий звіт'!CV192</f>
        <v>9724.9357669580713</v>
      </c>
      <c r="F209" s="334">
        <f t="shared" si="12"/>
        <v>-7453.5058187719333</v>
      </c>
      <c r="G209" s="351">
        <f t="shared" si="13"/>
        <v>0.56611280589250301</v>
      </c>
      <c r="H209" s="345">
        <f>('побудинковий звіт'!AS192+'побудинковий звіт'!BQ192)*1.2</f>
        <v>8239.0772066334048</v>
      </c>
      <c r="I209" s="333">
        <f>('побудинковий звіт'!AT192+'побудинковий звіт'!BR192)*1.2</f>
        <v>1018.8</v>
      </c>
      <c r="J209" s="333">
        <f t="shared" si="14"/>
        <v>-7220.2772066334046</v>
      </c>
      <c r="K209" s="354">
        <f t="shared" si="15"/>
        <v>0.12365462471692203</v>
      </c>
      <c r="L209" s="356">
        <f>'побудинковий звіт'!DE192</f>
        <v>589.56000000000017</v>
      </c>
      <c r="M209" s="363">
        <f>'побудинковий звіт'!DA192*-1</f>
        <v>9972.9444937425687</v>
      </c>
    </row>
    <row r="210" spans="1:13" ht="20.100000000000001" customHeight="1" x14ac:dyDescent="0.3">
      <c r="A210" s="359" t="s">
        <v>657</v>
      </c>
      <c r="B210" s="298" t="s">
        <v>379</v>
      </c>
      <c r="C210" s="360">
        <v>9</v>
      </c>
      <c r="D210" s="350">
        <f>'побудинковий звіт'!CU193</f>
        <v>2890.1100703050292</v>
      </c>
      <c r="E210" s="334">
        <f>'побудинковий звіт'!CV193</f>
        <v>1396.0223664022833</v>
      </c>
      <c r="F210" s="334">
        <f t="shared" si="12"/>
        <v>-1494.0877039027459</v>
      </c>
      <c r="G210" s="351">
        <f t="shared" si="13"/>
        <v>0.48303432479820524</v>
      </c>
      <c r="H210" s="345">
        <f>('побудинковий звіт'!AS193+'побудинковий звіт'!BQ193)*1.2</f>
        <v>2652.3665640077802</v>
      </c>
      <c r="I210" s="333">
        <f>('побудинковий звіт'!AT193+'побудинковий звіт'!BR193)*1.2</f>
        <v>1283.0593559871902</v>
      </c>
      <c r="J210" s="333">
        <f t="shared" si="14"/>
        <v>-1369.30720802059</v>
      </c>
      <c r="K210" s="354">
        <f t="shared" si="15"/>
        <v>0.48374134005386543</v>
      </c>
      <c r="L210" s="356">
        <f>'побудинковий звіт'!DE193</f>
        <v>0</v>
      </c>
      <c r="M210" s="363">
        <f>'побудинковий звіт'!DA193*-1</f>
        <v>1583.245920173684</v>
      </c>
    </row>
    <row r="211" spans="1:13" ht="20.100000000000001" customHeight="1" x14ac:dyDescent="0.3">
      <c r="A211" s="359" t="s">
        <v>658</v>
      </c>
      <c r="B211" s="298" t="s">
        <v>178</v>
      </c>
      <c r="C211" s="360">
        <v>2</v>
      </c>
      <c r="D211" s="350">
        <f>'побудинковий звіт'!CU194</f>
        <v>3665.2582740179096</v>
      </c>
      <c r="E211" s="334">
        <f>'побудинковий звіт'!CV194</f>
        <v>3475.7203998456148</v>
      </c>
      <c r="F211" s="334">
        <f t="shared" si="12"/>
        <v>-189.53787417229478</v>
      </c>
      <c r="G211" s="351">
        <f t="shared" si="13"/>
        <v>0.94828798954881821</v>
      </c>
      <c r="H211" s="345">
        <f>('побудинковий звіт'!AS194+'побудинковий звіт'!BQ194)*1.2</f>
        <v>3048.3480614965197</v>
      </c>
      <c r="I211" s="333">
        <f>('побудинковий звіт'!AT194+'побудинковий звіт'!BR194)*1.2</f>
        <v>2582.2720042079995</v>
      </c>
      <c r="J211" s="333">
        <f t="shared" si="14"/>
        <v>-466.07605728852013</v>
      </c>
      <c r="K211" s="354">
        <f t="shared" si="15"/>
        <v>0.84710536727236119</v>
      </c>
      <c r="L211" s="356">
        <f>'побудинковий звіт'!DE194</f>
        <v>85.269999999999982</v>
      </c>
      <c r="M211" s="363">
        <f>'побудинковий звіт'!DA194*-1</f>
        <v>8032.7394399759814</v>
      </c>
    </row>
    <row r="212" spans="1:13" ht="20.100000000000001" customHeight="1" x14ac:dyDescent="0.3">
      <c r="A212" s="359" t="s">
        <v>659</v>
      </c>
      <c r="B212" s="298" t="s">
        <v>380</v>
      </c>
      <c r="C212" s="360">
        <v>9</v>
      </c>
      <c r="D212" s="350">
        <f>'побудинковий звіт'!CU195</f>
        <v>4285.4120338865705</v>
      </c>
      <c r="E212" s="334">
        <f>'побудинковий звіт'!CV195</f>
        <v>3858.3555362879388</v>
      </c>
      <c r="F212" s="334">
        <f t="shared" si="12"/>
        <v>-427.05649759863172</v>
      </c>
      <c r="G212" s="351">
        <f t="shared" si="13"/>
        <v>0.90034645578494787</v>
      </c>
      <c r="H212" s="345">
        <f>('побудинковий звіт'!AS195+'побудинковий звіт'!BQ195)*1.2</f>
        <v>3951.2128280912943</v>
      </c>
      <c r="I212" s="333">
        <f>('побудинковий звіт'!AT195+'побудинковий звіт'!BR195)*1.2</f>
        <v>3020.8716373440002</v>
      </c>
      <c r="J212" s="333">
        <f t="shared" si="14"/>
        <v>-930.34119074729415</v>
      </c>
      <c r="K212" s="354">
        <f t="shared" si="15"/>
        <v>0.76454288057251718</v>
      </c>
      <c r="L212" s="356">
        <f>'побудинковий звіт'!DE195</f>
        <v>258.05</v>
      </c>
      <c r="M212" s="363">
        <f>'побудинковий звіт'!DA195*-1</f>
        <v>3707.1304918407131</v>
      </c>
    </row>
    <row r="213" spans="1:13" ht="20.100000000000001" customHeight="1" x14ac:dyDescent="0.3">
      <c r="A213" s="359" t="s">
        <v>660</v>
      </c>
      <c r="B213" s="298" t="s">
        <v>381</v>
      </c>
      <c r="C213" s="360">
        <v>9</v>
      </c>
      <c r="D213" s="350">
        <f>'побудинковий звіт'!CU196</f>
        <v>3275.3747238103033</v>
      </c>
      <c r="E213" s="334">
        <f>'побудинковий звіт'!CV196</f>
        <v>1282.2407412188941</v>
      </c>
      <c r="F213" s="334">
        <f t="shared" si="12"/>
        <v>-1993.1339825914092</v>
      </c>
      <c r="G213" s="351">
        <f t="shared" si="13"/>
        <v>0.39147909761214739</v>
      </c>
      <c r="H213" s="345">
        <f>('побудинковий звіт'!AS196+'побудинковий звіт'!BQ196)*1.2</f>
        <v>2978.195340938742</v>
      </c>
      <c r="I213" s="333">
        <f>('побудинковий звіт'!AT196+'побудинковий звіт'!BR196)*1.2</f>
        <v>1169.1546451679999</v>
      </c>
      <c r="J213" s="333">
        <f t="shared" si="14"/>
        <v>-1809.0406957707421</v>
      </c>
      <c r="K213" s="354">
        <f t="shared" si="15"/>
        <v>0.39257151104113824</v>
      </c>
      <c r="L213" s="356">
        <f>'побудинковий звіт'!DE196</f>
        <v>-127.49000000000001</v>
      </c>
      <c r="M213" s="363">
        <f>'побудинковий звіт'!DA196*-1</f>
        <v>10590.661417109266</v>
      </c>
    </row>
    <row r="214" spans="1:13" ht="20.100000000000001" customHeight="1" x14ac:dyDescent="0.3">
      <c r="A214" s="359" t="s">
        <v>661</v>
      </c>
      <c r="B214" s="298" t="s">
        <v>382</v>
      </c>
      <c r="C214" s="360">
        <v>9</v>
      </c>
      <c r="D214" s="350">
        <f>'побудинковий звіт'!CU197</f>
        <v>22859.558649453324</v>
      </c>
      <c r="E214" s="334">
        <f>'побудинковий звіт'!CV197</f>
        <v>20791.230382224905</v>
      </c>
      <c r="F214" s="334">
        <f t="shared" si="12"/>
        <v>-2068.3282672284186</v>
      </c>
      <c r="G214" s="351">
        <f t="shared" si="13"/>
        <v>0.90952020120135246</v>
      </c>
      <c r="H214" s="345">
        <f>('побудинковий звіт'!AS197+'побудинковий звіт'!BQ197)*1.2</f>
        <v>6879.7365556434952</v>
      </c>
      <c r="I214" s="333">
        <f>('побудинковий звіт'!AT197+'побудинковий звіт'!BR197)*1.2</f>
        <v>6625.1398527359997</v>
      </c>
      <c r="J214" s="333">
        <f t="shared" si="14"/>
        <v>-254.59670290749546</v>
      </c>
      <c r="K214" s="354">
        <f t="shared" si="15"/>
        <v>0.96299324823729648</v>
      </c>
      <c r="L214" s="356">
        <f>'побудинковий звіт'!DE197</f>
        <v>2571.4000000000005</v>
      </c>
      <c r="M214" s="363">
        <f>'побудинковий звіт'!DA197*-1</f>
        <v>6363.3229286242477</v>
      </c>
    </row>
    <row r="215" spans="1:13" ht="20.100000000000001" customHeight="1" x14ac:dyDescent="0.3">
      <c r="A215" s="359" t="s">
        <v>662</v>
      </c>
      <c r="B215" s="298" t="s">
        <v>122</v>
      </c>
      <c r="C215" s="360">
        <v>1</v>
      </c>
      <c r="D215" s="350">
        <f>'побудинковий звіт'!CU198</f>
        <v>301697.64102693903</v>
      </c>
      <c r="E215" s="334">
        <f>'побудинковий звіт'!CV198</f>
        <v>240717.27026112823</v>
      </c>
      <c r="F215" s="334">
        <f t="shared" si="12"/>
        <v>-60980.370765810803</v>
      </c>
      <c r="G215" s="351">
        <f t="shared" si="13"/>
        <v>0.79787587812008853</v>
      </c>
      <c r="H215" s="345">
        <f>('побудинковий звіт'!AS198+'побудинковий звіт'!BQ198)*1.2</f>
        <v>91648.441273450168</v>
      </c>
      <c r="I215" s="333">
        <f>('побудинковий звіт'!AT198+'побудинковий звіт'!BR198)*1.2</f>
        <v>17173.484660667869</v>
      </c>
      <c r="J215" s="333">
        <f t="shared" si="14"/>
        <v>-74474.956612782291</v>
      </c>
      <c r="K215" s="354">
        <f t="shared" si="15"/>
        <v>0.18738436161099112</v>
      </c>
      <c r="L215" s="356">
        <f>'побудинковий звіт'!DE198</f>
        <v>77050.149999999994</v>
      </c>
      <c r="M215" s="363">
        <f>'побудинковий звіт'!DA198*-1</f>
        <v>106749.32119953682</v>
      </c>
    </row>
    <row r="216" spans="1:13" ht="20.100000000000001" customHeight="1" x14ac:dyDescent="0.3">
      <c r="A216" s="359" t="s">
        <v>663</v>
      </c>
      <c r="B216" s="298" t="s">
        <v>123</v>
      </c>
      <c r="C216" s="360">
        <v>1</v>
      </c>
      <c r="D216" s="350">
        <f>'побудинковий звіт'!CU199</f>
        <v>616892.6809729198</v>
      </c>
      <c r="E216" s="334">
        <f>'побудинковий звіт'!CV199</f>
        <v>477145.45539831539</v>
      </c>
      <c r="F216" s="334">
        <f t="shared" si="12"/>
        <v>-139747.22557460441</v>
      </c>
      <c r="G216" s="351">
        <f t="shared" si="13"/>
        <v>0.77346590438679719</v>
      </c>
      <c r="H216" s="345">
        <f>('побудинковий звіт'!AS199+'побудинковий звіт'!BQ199)*1.2</f>
        <v>221800.33302813189</v>
      </c>
      <c r="I216" s="333">
        <f>('побудинковий звіт'!AT199+'побудинковий звіт'!BR199)*1.2</f>
        <v>28050.644982745722</v>
      </c>
      <c r="J216" s="333">
        <f t="shared" si="14"/>
        <v>-193749.68804538617</v>
      </c>
      <c r="K216" s="354">
        <f t="shared" si="15"/>
        <v>0.12646800209803083</v>
      </c>
      <c r="L216" s="356">
        <f>'побудинковий звіт'!DE199</f>
        <v>104588.54</v>
      </c>
      <c r="M216" s="363">
        <f>'побудинковий звіт'!DA199*-1</f>
        <v>272333.6961639931</v>
      </c>
    </row>
    <row r="217" spans="1:13" ht="20.100000000000001" customHeight="1" x14ac:dyDescent="0.3">
      <c r="A217" s="359" t="s">
        <v>664</v>
      </c>
      <c r="B217" s="298" t="s">
        <v>421</v>
      </c>
      <c r="C217" s="360">
        <v>10</v>
      </c>
      <c r="D217" s="350">
        <f>'побудинковий звіт'!CU200</f>
        <v>204742.76322088845</v>
      </c>
      <c r="E217" s="334">
        <f>'побудинковий звіт'!CV200</f>
        <v>175968.8748592945</v>
      </c>
      <c r="F217" s="334">
        <f t="shared" si="12"/>
        <v>-28773.888361593941</v>
      </c>
      <c r="G217" s="351">
        <f t="shared" si="13"/>
        <v>0.85946322151298216</v>
      </c>
      <c r="H217" s="345">
        <f>('побудинковий звіт'!AS200+'побудинковий звіт'!BQ200)*1.2</f>
        <v>76886.152670866359</v>
      </c>
      <c r="I217" s="333">
        <f>('побудинковий звіт'!AT200+'побудинковий звіт'!BR200)*1.2</f>
        <v>28831.05325759705</v>
      </c>
      <c r="J217" s="333">
        <f t="shared" si="14"/>
        <v>-48055.099413269309</v>
      </c>
      <c r="K217" s="354">
        <f t="shared" si="15"/>
        <v>0.37498369024935863</v>
      </c>
      <c r="L217" s="356">
        <f>'побудинковий звіт'!DE200</f>
        <v>29124.789999999997</v>
      </c>
      <c r="M217" s="363">
        <f>'побудинковий звіт'!DA200*-1</f>
        <v>-43251.925712188357</v>
      </c>
    </row>
    <row r="218" spans="1:13" ht="20.100000000000001" customHeight="1" x14ac:dyDescent="0.3">
      <c r="A218" s="359" t="s">
        <v>665</v>
      </c>
      <c r="B218" s="298" t="s">
        <v>268</v>
      </c>
      <c r="C218" s="360">
        <v>5</v>
      </c>
      <c r="D218" s="350">
        <f>'побудинковий звіт'!CU201</f>
        <v>568070.69425343012</v>
      </c>
      <c r="E218" s="334">
        <f>'побудинковий звіт'!CV201</f>
        <v>532239.48685923405</v>
      </c>
      <c r="F218" s="334">
        <f t="shared" si="12"/>
        <v>-35831.20739419607</v>
      </c>
      <c r="G218" s="351">
        <f t="shared" si="13"/>
        <v>0.93692473884560057</v>
      </c>
      <c r="H218" s="345">
        <f>('побудинковий звіт'!AS201+'побудинковий звіт'!BQ201)*1.2</f>
        <v>218811.96905984232</v>
      </c>
      <c r="I218" s="333">
        <f>('побудинковий звіт'!AT201+'побудинковий звіт'!BR201)*1.2</f>
        <v>140172.09961830254</v>
      </c>
      <c r="J218" s="333">
        <f t="shared" si="14"/>
        <v>-78639.869441539777</v>
      </c>
      <c r="K218" s="354">
        <f t="shared" si="15"/>
        <v>0.64060526588455147</v>
      </c>
      <c r="L218" s="356">
        <f>'побудинковий звіт'!DE201</f>
        <v>114419.39000000001</v>
      </c>
      <c r="M218" s="363">
        <f>'побудинковий звіт'!DA201*-1</f>
        <v>88644.938623657101</v>
      </c>
    </row>
    <row r="219" spans="1:13" ht="20.100000000000001" customHeight="1" x14ac:dyDescent="0.3">
      <c r="A219" s="359" t="s">
        <v>666</v>
      </c>
      <c r="B219" s="298" t="s">
        <v>383</v>
      </c>
      <c r="C219" s="360">
        <v>9</v>
      </c>
      <c r="D219" s="350">
        <f>'побудинковий звіт'!CU202</f>
        <v>603925.09617017373</v>
      </c>
      <c r="E219" s="334">
        <f>'побудинковий звіт'!CV202</f>
        <v>597273.99694341666</v>
      </c>
      <c r="F219" s="334">
        <f t="shared" si="12"/>
        <v>-6651.0992267570691</v>
      </c>
      <c r="G219" s="351">
        <f t="shared" si="13"/>
        <v>0.98898688054373729</v>
      </c>
      <c r="H219" s="345">
        <f>('побудинковий звіт'!AS202+'побудинковий звіт'!BQ202)*1.2</f>
        <v>215446.04325936534</v>
      </c>
      <c r="I219" s="333">
        <f>('побудинковий звіт'!AT202+'побудинковий звіт'!BR202)*1.2</f>
        <v>168007.2662105333</v>
      </c>
      <c r="J219" s="333">
        <f t="shared" si="14"/>
        <v>-47438.777048832038</v>
      </c>
      <c r="K219" s="354">
        <f t="shared" si="15"/>
        <v>0.77981133312472706</v>
      </c>
      <c r="L219" s="356">
        <f>'побудинковий звіт'!DE202</f>
        <v>103212.39</v>
      </c>
      <c r="M219" s="363">
        <f>'побудинковий звіт'!DA202*-1</f>
        <v>86441.242235831538</v>
      </c>
    </row>
    <row r="220" spans="1:13" ht="20.100000000000001" customHeight="1" x14ac:dyDescent="0.3">
      <c r="A220" s="359" t="s">
        <v>667</v>
      </c>
      <c r="B220" s="298" t="s">
        <v>384</v>
      </c>
      <c r="C220" s="360">
        <v>9</v>
      </c>
      <c r="D220" s="350">
        <f>'побудинковий звіт'!CU203</f>
        <v>345010.95449161512</v>
      </c>
      <c r="E220" s="334">
        <f>'побудинковий звіт'!CV203</f>
        <v>315379.39618593251</v>
      </c>
      <c r="F220" s="334">
        <f t="shared" si="12"/>
        <v>-29631.558305682614</v>
      </c>
      <c r="G220" s="351">
        <f t="shared" si="13"/>
        <v>0.91411415226120663</v>
      </c>
      <c r="H220" s="345">
        <f>('побудинковий звіт'!AS203+'побудинковий звіт'!BQ203)*1.2</f>
        <v>83192.502306395138</v>
      </c>
      <c r="I220" s="333">
        <f>('побудинковий звіт'!AT203+'побудинковий звіт'!BR203)*1.2</f>
        <v>33979.949633616052</v>
      </c>
      <c r="J220" s="333">
        <f t="shared" si="14"/>
        <v>-49212.552672779086</v>
      </c>
      <c r="K220" s="354">
        <f t="shared" si="15"/>
        <v>0.40844966423138784</v>
      </c>
      <c r="L220" s="356">
        <f>'побудинковий звіт'!DE203</f>
        <v>57649.259999999995</v>
      </c>
      <c r="M220" s="363">
        <f>'побудинковий звіт'!DA203*-1</f>
        <v>-61294.853189460875</v>
      </c>
    </row>
    <row r="221" spans="1:13" ht="20.100000000000001" customHeight="1" x14ac:dyDescent="0.3">
      <c r="A221" s="359" t="s">
        <v>668</v>
      </c>
      <c r="B221" s="298" t="s">
        <v>269</v>
      </c>
      <c r="C221" s="360">
        <v>5</v>
      </c>
      <c r="D221" s="350">
        <f>'побудинковий звіт'!CU204</f>
        <v>35807.961355683801</v>
      </c>
      <c r="E221" s="334">
        <f>'побудинковий звіт'!CV204</f>
        <v>34305.383772635832</v>
      </c>
      <c r="F221" s="334">
        <f t="shared" si="12"/>
        <v>-1502.5775830479688</v>
      </c>
      <c r="G221" s="351">
        <f t="shared" si="13"/>
        <v>0.95803789084436486</v>
      </c>
      <c r="H221" s="345">
        <f>('побудинковий звіт'!AS204+'побудинковий звіт'!BQ204)*1.2</f>
        <v>10026.656612386296</v>
      </c>
      <c r="I221" s="333">
        <f>('побудинковий звіт'!AT204+'побудинковий звіт'!BR204)*1.2</f>
        <v>4530.384545825159</v>
      </c>
      <c r="J221" s="333">
        <f t="shared" si="14"/>
        <v>-5496.2720665611369</v>
      </c>
      <c r="K221" s="354">
        <f t="shared" si="15"/>
        <v>0.45183401815402846</v>
      </c>
      <c r="L221" s="356">
        <f>'побудинковий звіт'!DE204</f>
        <v>0</v>
      </c>
      <c r="M221" s="363">
        <f>'побудинковий звіт'!DA204*-1</f>
        <v>11231.318638612436</v>
      </c>
    </row>
    <row r="222" spans="1:13" ht="20.100000000000001" customHeight="1" x14ac:dyDescent="0.3">
      <c r="A222" s="359" t="s">
        <v>669</v>
      </c>
      <c r="B222" s="298" t="s">
        <v>270</v>
      </c>
      <c r="C222" s="360">
        <v>5</v>
      </c>
      <c r="D222" s="350">
        <f>'побудинковий звіт'!CU205</f>
        <v>12368.826590126091</v>
      </c>
      <c r="E222" s="334">
        <f>'побудинковий звіт'!CV205</f>
        <v>4251.5149483930445</v>
      </c>
      <c r="F222" s="334">
        <f t="shared" si="12"/>
        <v>-8117.3116417330466</v>
      </c>
      <c r="G222" s="351">
        <f t="shared" si="13"/>
        <v>0.34372823625702587</v>
      </c>
      <c r="H222" s="345">
        <f>('побудинковий звіт'!AS205+'побудинковий звіт'!BQ205)*1.2</f>
        <v>6908.0205413113144</v>
      </c>
      <c r="I222" s="333">
        <f>('побудинковий звіт'!AT205+'побудинковий звіт'!BR205)*1.2</f>
        <v>0</v>
      </c>
      <c r="J222" s="333">
        <f t="shared" si="14"/>
        <v>-6908.0205413113144</v>
      </c>
      <c r="K222" s="354">
        <f t="shared" si="15"/>
        <v>0</v>
      </c>
      <c r="L222" s="356">
        <f>'побудинковий звіт'!DE205</f>
        <v>3452.5300000000007</v>
      </c>
      <c r="M222" s="363">
        <f>'побудинковий звіт'!DA205*-1</f>
        <v>-226289.87131469612</v>
      </c>
    </row>
    <row r="223" spans="1:13" ht="20.100000000000001" customHeight="1" x14ac:dyDescent="0.3">
      <c r="A223" s="359" t="s">
        <v>670</v>
      </c>
      <c r="B223" s="298" t="s">
        <v>271</v>
      </c>
      <c r="C223" s="360">
        <v>5</v>
      </c>
      <c r="D223" s="350">
        <f>'побудинковий звіт'!CU206</f>
        <v>18926.619312006522</v>
      </c>
      <c r="E223" s="334">
        <f>'побудинковий звіт'!CV206</f>
        <v>9651.4138272950568</v>
      </c>
      <c r="F223" s="334">
        <f t="shared" si="12"/>
        <v>-9275.205484711465</v>
      </c>
      <c r="G223" s="351">
        <f t="shared" si="13"/>
        <v>0.50993860383573453</v>
      </c>
      <c r="H223" s="345">
        <f>('побудинковий звіт'!AS206+'побудинковий звіт'!BQ206)*1.2</f>
        <v>11074.621288843726</v>
      </c>
      <c r="I223" s="333">
        <f>('побудинковий звіт'!AT206+'побудинковий звіт'!BR206)*1.2</f>
        <v>691.30616016479996</v>
      </c>
      <c r="J223" s="333">
        <f t="shared" si="14"/>
        <v>-10383.315128678925</v>
      </c>
      <c r="K223" s="354">
        <f t="shared" si="15"/>
        <v>6.2422555330285026E-2</v>
      </c>
      <c r="L223" s="356">
        <f>'побудинковий звіт'!DE206</f>
        <v>3772.2200000000003</v>
      </c>
      <c r="M223" s="363">
        <f>'побудинковий звіт'!DA206*-1</f>
        <v>51117.519768003265</v>
      </c>
    </row>
    <row r="224" spans="1:13" ht="20.100000000000001" customHeight="1" x14ac:dyDescent="0.3">
      <c r="A224" s="359" t="s">
        <v>671</v>
      </c>
      <c r="B224" s="298" t="s">
        <v>272</v>
      </c>
      <c r="C224" s="360">
        <v>5</v>
      </c>
      <c r="D224" s="350">
        <f>'побудинковий звіт'!CU207</f>
        <v>35226.548893877916</v>
      </c>
      <c r="E224" s="334">
        <f>'побудинковий звіт'!CV207</f>
        <v>29777.031127685306</v>
      </c>
      <c r="F224" s="334">
        <f t="shared" si="12"/>
        <v>-5449.51776619261</v>
      </c>
      <c r="G224" s="351">
        <f t="shared" si="13"/>
        <v>0.84530083311284321</v>
      </c>
      <c r="H224" s="345">
        <f>('побудинковий звіт'!AS207+'побудинковий звіт'!BQ207)*1.2</f>
        <v>11723.558592223981</v>
      </c>
      <c r="I224" s="333">
        <f>('побудинковий звіт'!AT207+'побудинковий звіт'!BR207)*1.2</f>
        <v>261.42038274622161</v>
      </c>
      <c r="J224" s="333">
        <f t="shared" si="14"/>
        <v>-11462.138209477758</v>
      </c>
      <c r="K224" s="354">
        <f t="shared" si="15"/>
        <v>2.2298722754677654E-2</v>
      </c>
      <c r="L224" s="356">
        <f>'побудинковий звіт'!DE207</f>
        <v>32908.61</v>
      </c>
      <c r="M224" s="363">
        <f>'побудинковий звіт'!DA207*-1</f>
        <v>-14532.066102716952</v>
      </c>
    </row>
    <row r="225" spans="1:13" ht="20.100000000000001" customHeight="1" x14ac:dyDescent="0.3">
      <c r="A225" s="359" t="s">
        <v>672</v>
      </c>
      <c r="B225" s="298" t="s">
        <v>216</v>
      </c>
      <c r="C225" s="360">
        <v>4</v>
      </c>
      <c r="D225" s="350">
        <f>'побудинковий звіт'!CU208</f>
        <v>28609.071484726646</v>
      </c>
      <c r="E225" s="334">
        <f>'побудинковий звіт'!CV208</f>
        <v>23367.037317058373</v>
      </c>
      <c r="F225" s="334">
        <f t="shared" si="12"/>
        <v>-5242.0341676682729</v>
      </c>
      <c r="G225" s="351">
        <f t="shared" si="13"/>
        <v>0.81677020974040326</v>
      </c>
      <c r="H225" s="345">
        <f>('побудинковий звіт'!AS208+'побудинковий звіт'!BQ208)*1.2</f>
        <v>6938.6582462526776</v>
      </c>
      <c r="I225" s="333">
        <f>('побудинковий звіт'!AT208+'побудинковий звіт'!BR208)*1.2</f>
        <v>1015.6434941762664</v>
      </c>
      <c r="J225" s="333">
        <f t="shared" si="14"/>
        <v>-5923.0147520764112</v>
      </c>
      <c r="K225" s="354">
        <f t="shared" si="15"/>
        <v>0.14637462433385867</v>
      </c>
      <c r="L225" s="356">
        <f>'побудинковий звіт'!DE208</f>
        <v>0</v>
      </c>
      <c r="M225" s="364">
        <f>'побудинковий звіт'!DA208*-1</f>
        <v>-10686.766610345971</v>
      </c>
    </row>
    <row r="226" spans="1:13" ht="20.100000000000001" customHeight="1" x14ac:dyDescent="0.3">
      <c r="A226" s="359" t="s">
        <v>673</v>
      </c>
      <c r="B226" s="298" t="s">
        <v>179</v>
      </c>
      <c r="C226" s="360">
        <v>2</v>
      </c>
      <c r="D226" s="350">
        <f>'побудинковий звіт'!CU209</f>
        <v>170918.13606925326</v>
      </c>
      <c r="E226" s="334">
        <f>'побудинковий звіт'!CV209</f>
        <v>158964.06720539546</v>
      </c>
      <c r="F226" s="334">
        <f t="shared" si="12"/>
        <v>-11954.068863857799</v>
      </c>
      <c r="G226" s="351">
        <f t="shared" si="13"/>
        <v>0.93005968155998253</v>
      </c>
      <c r="H226" s="345">
        <f>('побудинковий звіт'!AS209+'побудинковий звіт'!BQ209)*1.2</f>
        <v>40334.102913990908</v>
      </c>
      <c r="I226" s="333">
        <f>('побудинковий звіт'!AT209+'побудинковий звіт'!BR209)*1.2</f>
        <v>29899.531400965254</v>
      </c>
      <c r="J226" s="333">
        <f t="shared" si="14"/>
        <v>-10434.571513025654</v>
      </c>
      <c r="K226" s="354">
        <f t="shared" si="15"/>
        <v>0.74129655157382568</v>
      </c>
      <c r="L226" s="356">
        <f>'побудинковий звіт'!DE209</f>
        <v>8611.4400000000023</v>
      </c>
      <c r="M226" s="363">
        <f>'побудинковий звіт'!DA209*-1</f>
        <v>-16211.478560496362</v>
      </c>
    </row>
    <row r="227" spans="1:13" ht="20.100000000000001" customHeight="1" x14ac:dyDescent="0.3">
      <c r="A227" s="359" t="s">
        <v>674</v>
      </c>
      <c r="B227" s="298" t="s">
        <v>125</v>
      </c>
      <c r="C227" s="360">
        <v>1</v>
      </c>
      <c r="D227" s="350">
        <f>'побудинковий звіт'!CU210</f>
        <v>23778.799345386535</v>
      </c>
      <c r="E227" s="334">
        <f>'побудинковий звіт'!CV210</f>
        <v>20425.531123173096</v>
      </c>
      <c r="F227" s="334">
        <f t="shared" si="12"/>
        <v>-3353.268222213439</v>
      </c>
      <c r="G227" s="351">
        <f t="shared" si="13"/>
        <v>0.85898075956202447</v>
      </c>
      <c r="H227" s="345">
        <f>('побудинковий звіт'!AS210+'побудинковий звіт'!BQ210)*1.2</f>
        <v>4764.7728058482817</v>
      </c>
      <c r="I227" s="333">
        <f>('побудинковий звіт'!AT210+'побудинковий звіт'!BR210)*1.2</f>
        <v>0</v>
      </c>
      <c r="J227" s="333">
        <f t="shared" si="14"/>
        <v>-4764.7728058482817</v>
      </c>
      <c r="K227" s="354">
        <f t="shared" si="15"/>
        <v>0</v>
      </c>
      <c r="L227" s="356">
        <f>'побудинковий звіт'!DE210</f>
        <v>0</v>
      </c>
      <c r="M227" s="363">
        <f>'побудинковий звіт'!DA210*-1</f>
        <v>10138.467221806575</v>
      </c>
    </row>
    <row r="228" spans="1:13" ht="20.100000000000001" customHeight="1" x14ac:dyDescent="0.3">
      <c r="A228" s="359" t="s">
        <v>675</v>
      </c>
      <c r="B228" s="298" t="s">
        <v>180</v>
      </c>
      <c r="C228" s="360">
        <v>2</v>
      </c>
      <c r="D228" s="350">
        <f>'побудинковий звіт'!CU211</f>
        <v>39439.733766897421</v>
      </c>
      <c r="E228" s="334">
        <f>'побудинковий звіт'!CV211</f>
        <v>38105.112967848218</v>
      </c>
      <c r="F228" s="334">
        <f t="shared" si="12"/>
        <v>-1334.6207990492039</v>
      </c>
      <c r="G228" s="351">
        <f t="shared" si="13"/>
        <v>0.9661605018193764</v>
      </c>
      <c r="H228" s="345">
        <f>('побудинковий звіт'!AS211+'побудинковий звіт'!BQ211)*1.2</f>
        <v>9151.2391461873303</v>
      </c>
      <c r="I228" s="333">
        <f>('побудинковий звіт'!AT211+'побудинковий звіт'!BR211)*1.2</f>
        <v>1634.9783232736993</v>
      </c>
      <c r="J228" s="333">
        <f t="shared" si="14"/>
        <v>-7516.2608229136313</v>
      </c>
      <c r="K228" s="354">
        <f t="shared" si="15"/>
        <v>0.17866196010787003</v>
      </c>
      <c r="L228" s="356">
        <f>'побудинковий звіт'!DE211</f>
        <v>985.71</v>
      </c>
      <c r="M228" s="363">
        <f>'побудинковий звіт'!DA211*-1</f>
        <v>-32868.756156493539</v>
      </c>
    </row>
    <row r="229" spans="1:13" ht="20.100000000000001" customHeight="1" x14ac:dyDescent="0.3">
      <c r="A229" s="359" t="s">
        <v>676</v>
      </c>
      <c r="B229" s="298" t="s">
        <v>196</v>
      </c>
      <c r="C229" s="360">
        <v>3</v>
      </c>
      <c r="D229" s="350">
        <f>'побудинковий звіт'!CU212</f>
        <v>322488.55135910731</v>
      </c>
      <c r="E229" s="334">
        <f>'побудинковий звіт'!CV212</f>
        <v>382137.18131490878</v>
      </c>
      <c r="F229" s="334">
        <f t="shared" si="12"/>
        <v>59648.629955801473</v>
      </c>
      <c r="G229" s="351">
        <f t="shared" si="13"/>
        <v>1.184963558254754</v>
      </c>
      <c r="H229" s="345">
        <f>('побудинковий звіт'!AS212+'побудинковий звіт'!BQ212)*1.2</f>
        <v>85322.372971263991</v>
      </c>
      <c r="I229" s="333">
        <f>('побудинковий звіт'!AT212+'побудинковий звіт'!BR212)*1.2</f>
        <v>109650.01525567887</v>
      </c>
      <c r="J229" s="333">
        <f t="shared" si="14"/>
        <v>24327.642284414876</v>
      </c>
      <c r="K229" s="354">
        <f t="shared" si="15"/>
        <v>1.285126180124037</v>
      </c>
      <c r="L229" s="356">
        <f>'побудинковий звіт'!DE212</f>
        <v>20079.03</v>
      </c>
      <c r="M229" s="363">
        <f>'побудинковий звіт'!DA212*-1</f>
        <v>-24957.876694466162</v>
      </c>
    </row>
    <row r="230" spans="1:13" ht="20.100000000000001" customHeight="1" x14ac:dyDescent="0.3">
      <c r="A230" s="359" t="s">
        <v>677</v>
      </c>
      <c r="B230" s="298" t="s">
        <v>181</v>
      </c>
      <c r="C230" s="360">
        <v>2</v>
      </c>
      <c r="D230" s="350">
        <f>'побудинковий звіт'!CU213</f>
        <v>33915.490640706754</v>
      </c>
      <c r="E230" s="334">
        <f>'побудинковий звіт'!CV213</f>
        <v>31425.973008055811</v>
      </c>
      <c r="F230" s="334">
        <f t="shared" si="12"/>
        <v>-2489.5176326509427</v>
      </c>
      <c r="G230" s="351">
        <f t="shared" si="13"/>
        <v>0.92659644352415993</v>
      </c>
      <c r="H230" s="345">
        <f>('побудинковий звіт'!AS213+'побудинковий звіт'!BQ213)*1.2</f>
        <v>6727.8282678364785</v>
      </c>
      <c r="I230" s="333">
        <f>('побудинковий звіт'!AT213+'побудинковий звіт'!BR213)*1.2</f>
        <v>0</v>
      </c>
      <c r="J230" s="333">
        <f t="shared" si="14"/>
        <v>-6727.8282678364785</v>
      </c>
      <c r="K230" s="354">
        <f t="shared" si="15"/>
        <v>0</v>
      </c>
      <c r="L230" s="356">
        <f>'побудинковий звіт'!DE213</f>
        <v>0</v>
      </c>
      <c r="M230" s="363">
        <f>'побудинковий звіт'!DA213*-1</f>
        <v>27003.316467220706</v>
      </c>
    </row>
    <row r="231" spans="1:13" ht="20.100000000000001" customHeight="1" x14ac:dyDescent="0.3">
      <c r="A231" s="359" t="s">
        <v>678</v>
      </c>
      <c r="B231" s="298" t="s">
        <v>217</v>
      </c>
      <c r="C231" s="360">
        <v>4</v>
      </c>
      <c r="D231" s="350">
        <f>'побудинковий звіт'!CU214</f>
        <v>23634.742608752964</v>
      </c>
      <c r="E231" s="334">
        <f>'побудинковий звіт'!CV214</f>
        <v>22227.967437701584</v>
      </c>
      <c r="F231" s="334">
        <f t="shared" si="12"/>
        <v>-1406.7751710513803</v>
      </c>
      <c r="G231" s="351">
        <f t="shared" si="13"/>
        <v>0.94047850681773915</v>
      </c>
      <c r="H231" s="345">
        <f>('побудинковий звіт'!AS214+'побудинковий звіт'!BQ214)*1.2</f>
        <v>6617.3595902945344</v>
      </c>
      <c r="I231" s="333">
        <f>('побудинковий звіт'!AT214+'побудинковий звіт'!BR214)*1.2</f>
        <v>1506.3030695028001</v>
      </c>
      <c r="J231" s="333">
        <f t="shared" si="14"/>
        <v>-5111.0565207917343</v>
      </c>
      <c r="K231" s="354">
        <f t="shared" si="15"/>
        <v>0.22762901863638266</v>
      </c>
      <c r="L231" s="356">
        <f>'побудинковий звіт'!DE214</f>
        <v>2731.1900000000005</v>
      </c>
      <c r="M231" s="363">
        <f>'побудинковий звіт'!DA214*-1</f>
        <v>-511.1353398793899</v>
      </c>
    </row>
    <row r="232" spans="1:13" ht="20.100000000000001" customHeight="1" x14ac:dyDescent="0.3">
      <c r="A232" s="359"/>
      <c r="B232" s="299" t="s">
        <v>428</v>
      </c>
      <c r="C232" s="361">
        <v>5</v>
      </c>
      <c r="D232" s="350">
        <f>'побудинковий звіт'!CU215</f>
        <v>335243.84587892733</v>
      </c>
      <c r="E232" s="334">
        <f>'побудинковий звіт'!CV215</f>
        <v>296287.71341455076</v>
      </c>
      <c r="F232" s="334">
        <f t="shared" si="12"/>
        <v>-38956.132464376569</v>
      </c>
      <c r="G232" s="351">
        <f t="shared" si="13"/>
        <v>0.88379762091607339</v>
      </c>
      <c r="H232" s="345">
        <f>('побудинковий звіт'!AS215+'побудинковий звіт'!BQ215)*1.2</f>
        <v>86443.341317336817</v>
      </c>
      <c r="I232" s="333">
        <f>('побудинковий звіт'!AT215+'побудинковий звіт'!BR215)*1.2</f>
        <v>6409.9618554864019</v>
      </c>
      <c r="J232" s="333">
        <f t="shared" si="14"/>
        <v>-80033.379461850418</v>
      </c>
      <c r="K232" s="354">
        <f t="shared" si="15"/>
        <v>7.415217595482787E-2</v>
      </c>
      <c r="L232" s="356">
        <f>'побудинковий звіт'!DE215</f>
        <v>64673.32</v>
      </c>
      <c r="M232" s="363">
        <f>'побудинковий звіт'!DA215*-1</f>
        <v>66381.921638781103</v>
      </c>
    </row>
    <row r="233" spans="1:13" ht="20.100000000000001" customHeight="1" x14ac:dyDescent="0.3">
      <c r="A233" s="359" t="s">
        <v>679</v>
      </c>
      <c r="B233" s="298" t="s">
        <v>182</v>
      </c>
      <c r="C233" s="360">
        <v>2</v>
      </c>
      <c r="D233" s="350">
        <f>'побудинковий звіт'!CU216</f>
        <v>1272516.0193927442</v>
      </c>
      <c r="E233" s="334">
        <f>'побудинковий звіт'!CV216</f>
        <v>1169434.5808625359</v>
      </c>
      <c r="F233" s="334">
        <f t="shared" si="12"/>
        <v>-103081.43853020831</v>
      </c>
      <c r="G233" s="351">
        <f t="shared" si="13"/>
        <v>0.91899399539237259</v>
      </c>
      <c r="H233" s="345">
        <f>('побудинковий звіт'!AS216+'побудинковий звіт'!BQ216)*1.2</f>
        <v>315690.62275808601</v>
      </c>
      <c r="I233" s="333">
        <f>('побудинковий звіт'!AT216+'побудинковий звіт'!BR216)*1.2</f>
        <v>154554.02825592775</v>
      </c>
      <c r="J233" s="333">
        <f t="shared" si="14"/>
        <v>-161136.59450215826</v>
      </c>
      <c r="K233" s="354">
        <f t="shared" si="15"/>
        <v>0.48957433992064642</v>
      </c>
      <c r="L233" s="356">
        <f>'побудинковий звіт'!DE216</f>
        <v>134098.72000000003</v>
      </c>
      <c r="M233" s="363">
        <f>'побудинковий звіт'!DA216*-1</f>
        <v>-3071.2799098449177</v>
      </c>
    </row>
    <row r="234" spans="1:13" ht="20.100000000000001" customHeight="1" x14ac:dyDescent="0.3">
      <c r="A234" s="359" t="s">
        <v>680</v>
      </c>
      <c r="B234" s="298" t="s">
        <v>385</v>
      </c>
      <c r="C234" s="360">
        <v>9</v>
      </c>
      <c r="D234" s="350">
        <f>'побудинковий звіт'!CU217</f>
        <v>39254.192116865779</v>
      </c>
      <c r="E234" s="334">
        <f>'побудинковий звіт'!CV217</f>
        <v>41831.303543207563</v>
      </c>
      <c r="F234" s="334">
        <f t="shared" si="12"/>
        <v>2577.111426341784</v>
      </c>
      <c r="G234" s="351">
        <f t="shared" si="13"/>
        <v>1.0656518778598048</v>
      </c>
      <c r="H234" s="345">
        <f>('побудинковий звіт'!AS217+'побудинковий звіт'!BQ217)*1.2</f>
        <v>10776.37848496514</v>
      </c>
      <c r="I234" s="333">
        <f>('побудинковий звіт'!AT217+'побудинковий звіт'!BR217)*1.2</f>
        <v>12394.073822215965</v>
      </c>
      <c r="J234" s="333">
        <f t="shared" si="14"/>
        <v>1617.6953372508251</v>
      </c>
      <c r="K234" s="354">
        <f t="shared" si="15"/>
        <v>1.1501149332781677</v>
      </c>
      <c r="L234" s="356">
        <f>'побудинковий звіт'!DE217</f>
        <v>9537.8000000000011</v>
      </c>
      <c r="M234" s="363">
        <f>'побудинковий звіт'!DA217*-1</f>
        <v>-3311.5050810448301</v>
      </c>
    </row>
    <row r="235" spans="1:13" ht="20.100000000000001" customHeight="1" x14ac:dyDescent="0.3">
      <c r="A235" s="359" t="s">
        <v>681</v>
      </c>
      <c r="B235" s="298" t="s">
        <v>127</v>
      </c>
      <c r="C235" s="360">
        <v>1</v>
      </c>
      <c r="D235" s="350">
        <f>'побудинковий звіт'!CU218</f>
        <v>458279.98605801625</v>
      </c>
      <c r="E235" s="334">
        <f>'побудинковий звіт'!CV218</f>
        <v>439666.1159794557</v>
      </c>
      <c r="F235" s="334">
        <f t="shared" si="12"/>
        <v>-18613.870078560547</v>
      </c>
      <c r="G235" s="351">
        <f t="shared" si="13"/>
        <v>0.95938319227363311</v>
      </c>
      <c r="H235" s="345">
        <f>('побудинковий звіт'!AS218+'побудинковий звіт'!BQ218)*1.2</f>
        <v>118842.81361320562</v>
      </c>
      <c r="I235" s="333">
        <f>('побудинковий звіт'!AT218+'побудинковий звіт'!BR218)*1.2</f>
        <v>80395.403006980749</v>
      </c>
      <c r="J235" s="333">
        <f t="shared" si="14"/>
        <v>-38447.410606224876</v>
      </c>
      <c r="K235" s="354">
        <f t="shared" si="15"/>
        <v>0.67648518713669481</v>
      </c>
      <c r="L235" s="356">
        <f>'побудинковий звіт'!DE218</f>
        <v>43640.14</v>
      </c>
      <c r="M235" s="363">
        <f>'побудинковий звіт'!DA218*-1</f>
        <v>18496.987854567498</v>
      </c>
    </row>
    <row r="236" spans="1:13" ht="20.100000000000001" customHeight="1" x14ac:dyDescent="0.3">
      <c r="A236" s="359" t="s">
        <v>682</v>
      </c>
      <c r="B236" s="298" t="s">
        <v>183</v>
      </c>
      <c r="C236" s="360">
        <v>2</v>
      </c>
      <c r="D236" s="350">
        <f>'побудинковий звіт'!CU219</f>
        <v>33017.260748096887</v>
      </c>
      <c r="E236" s="334">
        <f>'побудинковий звіт'!CV219</f>
        <v>27113.325471342905</v>
      </c>
      <c r="F236" s="334">
        <f t="shared" si="12"/>
        <v>-5903.9352767539822</v>
      </c>
      <c r="G236" s="351">
        <f t="shared" si="13"/>
        <v>0.82118639938674243</v>
      </c>
      <c r="H236" s="345">
        <f>('побудинковий звіт'!AS219+'побудинковий звіт'!BQ219)*1.2</f>
        <v>9835.0287982328737</v>
      </c>
      <c r="I236" s="333">
        <f>('побудинковий звіт'!AT219+'побудинковий звіт'!BR219)*1.2</f>
        <v>646.53330432352334</v>
      </c>
      <c r="J236" s="333">
        <f t="shared" si="14"/>
        <v>-9188.4954939093495</v>
      </c>
      <c r="K236" s="354">
        <f t="shared" si="15"/>
        <v>6.573781506767834E-2</v>
      </c>
      <c r="L236" s="356">
        <f>'побудинковий звіт'!DE219</f>
        <v>600.40999999999985</v>
      </c>
      <c r="M236" s="363">
        <f>'побудинковий звіт'!DA219*-1</f>
        <v>-25470.881535623725</v>
      </c>
    </row>
    <row r="237" spans="1:13" ht="20.100000000000001" customHeight="1" x14ac:dyDescent="0.3">
      <c r="A237" s="359" t="s">
        <v>683</v>
      </c>
      <c r="B237" s="298" t="s">
        <v>184</v>
      </c>
      <c r="C237" s="360">
        <v>2</v>
      </c>
      <c r="D237" s="350">
        <f>'побудинковий звіт'!CU220</f>
        <v>680014.21887461364</v>
      </c>
      <c r="E237" s="334">
        <f>'побудинковий звіт'!CV220</f>
        <v>710236.50099828339</v>
      </c>
      <c r="F237" s="334">
        <f t="shared" si="12"/>
        <v>30222.282123669749</v>
      </c>
      <c r="G237" s="351">
        <f t="shared" si="13"/>
        <v>1.0444436032141886</v>
      </c>
      <c r="H237" s="345">
        <f>('побудинковий звіт'!AS220+'побудинковий звіт'!BQ220)*1.2</f>
        <v>169503.93689712902</v>
      </c>
      <c r="I237" s="333">
        <f>('побудинковий звіт'!AT220+'побудинковий звіт'!BR220)*1.2</f>
        <v>351381.61998457974</v>
      </c>
      <c r="J237" s="333">
        <f t="shared" si="14"/>
        <v>181877.68308745071</v>
      </c>
      <c r="K237" s="354">
        <f t="shared" si="15"/>
        <v>2.0729997569191045</v>
      </c>
      <c r="L237" s="356">
        <f>'побудинковий звіт'!DE220</f>
        <v>72390.310000000012</v>
      </c>
      <c r="M237" s="363">
        <f>'побудинковий звіт'!DA220*-1</f>
        <v>8667.6348717834626</v>
      </c>
    </row>
    <row r="238" spans="1:13" ht="20.100000000000001" customHeight="1" x14ac:dyDescent="0.3">
      <c r="A238" s="359" t="s">
        <v>684</v>
      </c>
      <c r="B238" s="298" t="s">
        <v>273</v>
      </c>
      <c r="C238" s="360">
        <v>5</v>
      </c>
      <c r="D238" s="350">
        <f>'побудинковий звіт'!CU221</f>
        <v>519642.27858444396</v>
      </c>
      <c r="E238" s="334">
        <f>'побудинковий звіт'!CV221</f>
        <v>440430.81280279293</v>
      </c>
      <c r="F238" s="334">
        <f t="shared" ref="F238:F298" si="16">E238-D238</f>
        <v>-79211.46578165103</v>
      </c>
      <c r="G238" s="351">
        <f t="shared" ref="G238:G298" si="17">E238/D238</f>
        <v>0.84756539441434453</v>
      </c>
      <c r="H238" s="345">
        <f>('побудинковий звіт'!AS221+'побудинковий звіт'!BQ221)*1.2</f>
        <v>150721.11762188794</v>
      </c>
      <c r="I238" s="333">
        <f>('побудинковий звіт'!AT221+'побудинковий звіт'!BR221)*1.2</f>
        <v>35010.705749147113</v>
      </c>
      <c r="J238" s="333">
        <f t="shared" ref="J238:J298" si="18">I238-H238</f>
        <v>-115710.41187274083</v>
      </c>
      <c r="K238" s="354">
        <f t="shared" ref="K238:K298" si="19">I238/H238</f>
        <v>0.23228799189890567</v>
      </c>
      <c r="L238" s="356">
        <f>'побудинковий звіт'!DE221</f>
        <v>53919.729999999996</v>
      </c>
      <c r="M238" s="363">
        <f>'побудинковий звіт'!DA221*-1</f>
        <v>-33833.825876169663</v>
      </c>
    </row>
    <row r="239" spans="1:13" ht="20.100000000000001" customHeight="1" x14ac:dyDescent="0.3">
      <c r="A239" s="359" t="s">
        <v>685</v>
      </c>
      <c r="B239" s="298" t="s">
        <v>218</v>
      </c>
      <c r="C239" s="360">
        <v>4</v>
      </c>
      <c r="D239" s="350">
        <f>'побудинковий звіт'!CU222</f>
        <v>185856.77369792887</v>
      </c>
      <c r="E239" s="334">
        <f>'побудинковий звіт'!CV222</f>
        <v>194929.76856607609</v>
      </c>
      <c r="F239" s="334">
        <f t="shared" si="16"/>
        <v>9072.994868147216</v>
      </c>
      <c r="G239" s="351">
        <f t="shared" si="17"/>
        <v>1.0488171331484182</v>
      </c>
      <c r="H239" s="345">
        <f>('побудинковий звіт'!AS222+'побудинковий звіт'!BQ222)*1.2</f>
        <v>43731.616846987476</v>
      </c>
      <c r="I239" s="333">
        <f>('побудинковий звіт'!AT222+'побудинковий звіт'!BR222)*1.2</f>
        <v>66225.804721708715</v>
      </c>
      <c r="J239" s="333">
        <f t="shared" si="18"/>
        <v>22494.187874721239</v>
      </c>
      <c r="K239" s="354">
        <f t="shared" si="19"/>
        <v>1.5143689965414757</v>
      </c>
      <c r="L239" s="356">
        <f>'побудинковий звіт'!DE222</f>
        <v>43885.189999999995</v>
      </c>
      <c r="M239" s="363">
        <f>'побудинковий звіт'!DA222*-1</f>
        <v>40618.783310680519</v>
      </c>
    </row>
    <row r="240" spans="1:13" ht="20.100000000000001" customHeight="1" x14ac:dyDescent="0.3">
      <c r="A240" s="359" t="s">
        <v>686</v>
      </c>
      <c r="B240" s="298" t="s">
        <v>274</v>
      </c>
      <c r="C240" s="360">
        <v>5</v>
      </c>
      <c r="D240" s="350">
        <f>'побудинковий звіт'!CU223</f>
        <v>367095.17059823318</v>
      </c>
      <c r="E240" s="334">
        <f>'побудинковий звіт'!CV223</f>
        <v>344834.26530637738</v>
      </c>
      <c r="F240" s="334">
        <f t="shared" si="16"/>
        <v>-22260.905291855801</v>
      </c>
      <c r="G240" s="351">
        <f t="shared" si="17"/>
        <v>0.93935930768149711</v>
      </c>
      <c r="H240" s="345">
        <f>('побудинковий звіт'!AS223+'побудинковий звіт'!BQ223)*1.2</f>
        <v>82966.954855907898</v>
      </c>
      <c r="I240" s="333">
        <f>('побудинковий звіт'!AT223+'побудинковий звіт'!BR223)*1.2</f>
        <v>34252.541763094654</v>
      </c>
      <c r="J240" s="333">
        <f t="shared" si="18"/>
        <v>-48714.413092813244</v>
      </c>
      <c r="K240" s="354">
        <f t="shared" si="19"/>
        <v>0.41284559403900556</v>
      </c>
      <c r="L240" s="356">
        <f>'побудинковий звіт'!DE223</f>
        <v>31679.21</v>
      </c>
      <c r="M240" s="363">
        <f>'побудинковий звіт'!DA223*-1</f>
        <v>-29756.067266608676</v>
      </c>
    </row>
    <row r="241" spans="1:13" ht="20.100000000000001" customHeight="1" x14ac:dyDescent="0.3">
      <c r="A241" s="359" t="s">
        <v>687</v>
      </c>
      <c r="B241" s="298" t="s">
        <v>275</v>
      </c>
      <c r="C241" s="360">
        <v>5</v>
      </c>
      <c r="D241" s="350">
        <f>'побудинковий звіт'!CU224</f>
        <v>195360.87247068787</v>
      </c>
      <c r="E241" s="334">
        <f>'побудинковий звіт'!CV224</f>
        <v>209369.06824956759</v>
      </c>
      <c r="F241" s="334">
        <f t="shared" si="16"/>
        <v>14008.195778879715</v>
      </c>
      <c r="G241" s="351">
        <f t="shared" si="17"/>
        <v>1.0717042036192868</v>
      </c>
      <c r="H241" s="345">
        <f>('побудинковий звіт'!AS224+'побудинковий звіт'!BQ224)*1.2</f>
        <v>46779.522797335449</v>
      </c>
      <c r="I241" s="333">
        <f>('побудинковий звіт'!AT224+'побудинковий звіт'!BR224)*1.2</f>
        <v>44745.133956261772</v>
      </c>
      <c r="J241" s="333">
        <f t="shared" si="18"/>
        <v>-2034.3888410736763</v>
      </c>
      <c r="K241" s="354">
        <f t="shared" si="19"/>
        <v>0.95651112453867193</v>
      </c>
      <c r="L241" s="356">
        <f>'побудинковий звіт'!DE224</f>
        <v>7473.0300000000025</v>
      </c>
      <c r="M241" s="363">
        <f>'побудинковий звіт'!DA224*-1</f>
        <v>21703.137383769543</v>
      </c>
    </row>
    <row r="242" spans="1:13" ht="20.100000000000001" customHeight="1" x14ac:dyDescent="0.3">
      <c r="A242" s="359" t="s">
        <v>688</v>
      </c>
      <c r="B242" s="298" t="s">
        <v>276</v>
      </c>
      <c r="C242" s="360">
        <v>5</v>
      </c>
      <c r="D242" s="350">
        <f>'побудинковий звіт'!CU225</f>
        <v>43705.284201208895</v>
      </c>
      <c r="E242" s="334">
        <f>'побудинковий звіт'!CV225</f>
        <v>81836.459381482098</v>
      </c>
      <c r="F242" s="334">
        <f t="shared" si="16"/>
        <v>38131.175180273203</v>
      </c>
      <c r="G242" s="351">
        <f t="shared" si="17"/>
        <v>1.8724614397821142</v>
      </c>
      <c r="H242" s="345">
        <f>('побудинковий звіт'!AS225+'побудинковий звіт'!BQ225)*1.2</f>
        <v>12074.149422724864</v>
      </c>
      <c r="I242" s="333">
        <f>('побудинковий звіт'!AT225+'побудинковий звіт'!BR225)*1.2</f>
        <v>41246.242742604831</v>
      </c>
      <c r="J242" s="333">
        <f t="shared" si="18"/>
        <v>29172.093319879968</v>
      </c>
      <c r="K242" s="354">
        <f t="shared" si="19"/>
        <v>3.4160785409011845</v>
      </c>
      <c r="L242" s="356">
        <f>'побудинковий звіт'!DE225</f>
        <v>-1.9699999999997999</v>
      </c>
      <c r="M242" s="363">
        <f>'побудинковий звіт'!DA225*-1</f>
        <v>-38732.303593768745</v>
      </c>
    </row>
    <row r="243" spans="1:13" ht="20.100000000000001" customHeight="1" x14ac:dyDescent="0.3">
      <c r="A243" s="359" t="s">
        <v>689</v>
      </c>
      <c r="B243" s="298" t="s">
        <v>277</v>
      </c>
      <c r="C243" s="360">
        <v>5</v>
      </c>
      <c r="D243" s="350">
        <f>'побудинковий звіт'!CU226</f>
        <v>190506.75081760139</v>
      </c>
      <c r="E243" s="334">
        <f>'побудинковий звіт'!CV226</f>
        <v>232604.47965660124</v>
      </c>
      <c r="F243" s="334">
        <f t="shared" si="16"/>
        <v>42097.728838999843</v>
      </c>
      <c r="G243" s="351">
        <f t="shared" si="17"/>
        <v>1.2209776223589359</v>
      </c>
      <c r="H243" s="345">
        <f>('побудинковий звіт'!AS226+'побудинковий звіт'!BQ226)*1.2</f>
        <v>44846.645426373063</v>
      </c>
      <c r="I243" s="333">
        <f>('побудинковий звіт'!AT226+'побудинковий звіт'!BR226)*1.2</f>
        <v>71193.024423652721</v>
      </c>
      <c r="J243" s="333">
        <f t="shared" si="18"/>
        <v>26346.378997279659</v>
      </c>
      <c r="K243" s="354">
        <f t="shared" si="19"/>
        <v>1.5874771400802721</v>
      </c>
      <c r="L243" s="356">
        <f>'побудинковий звіт'!DE226</f>
        <v>29144.730000000003</v>
      </c>
      <c r="M243" s="363">
        <f>'побудинковий звіт'!DA226*-1</f>
        <v>56258.921306283883</v>
      </c>
    </row>
    <row r="244" spans="1:13" ht="20.100000000000001" customHeight="1" x14ac:dyDescent="0.3">
      <c r="A244" s="359" t="s">
        <v>690</v>
      </c>
      <c r="B244" s="298" t="s">
        <v>278</v>
      </c>
      <c r="C244" s="360">
        <v>5</v>
      </c>
      <c r="D244" s="350">
        <f>'побудинковий звіт'!CU227</f>
        <v>360047.4685450684</v>
      </c>
      <c r="E244" s="334">
        <f>'побудинковий звіт'!CV227</f>
        <v>633769.59091244324</v>
      </c>
      <c r="F244" s="334">
        <f t="shared" si="16"/>
        <v>273722.12236737483</v>
      </c>
      <c r="G244" s="351">
        <f t="shared" si="17"/>
        <v>1.7602389859133589</v>
      </c>
      <c r="H244" s="345">
        <f>('побудинковий звіт'!AS227+'побудинковий звіт'!BQ227)*1.2</f>
        <v>82111.370150523653</v>
      </c>
      <c r="I244" s="333">
        <f>('побудинковий звіт'!AT227+'побудинковий звіт'!BR227)*1.2</f>
        <v>333144.72650409088</v>
      </c>
      <c r="J244" s="333">
        <f t="shared" si="18"/>
        <v>251033.35635356721</v>
      </c>
      <c r="K244" s="354">
        <f t="shared" si="19"/>
        <v>4.0572301484359814</v>
      </c>
      <c r="L244" s="356">
        <f>'побудинковий звіт'!DE227</f>
        <v>54462.180000000008</v>
      </c>
      <c r="M244" s="363">
        <f>'побудинковий звіт'!DA227*-1</f>
        <v>-159328.90531328914</v>
      </c>
    </row>
    <row r="245" spans="1:13" ht="20.100000000000001" customHeight="1" x14ac:dyDescent="0.3">
      <c r="A245" s="359" t="s">
        <v>691</v>
      </c>
      <c r="B245" s="298" t="s">
        <v>279</v>
      </c>
      <c r="C245" s="360">
        <v>5</v>
      </c>
      <c r="D245" s="350">
        <f>'побудинковий звіт'!CU228</f>
        <v>184853.65607095693</v>
      </c>
      <c r="E245" s="334">
        <f>'побудинковий звіт'!CV228</f>
        <v>169579.92265332647</v>
      </c>
      <c r="F245" s="334">
        <f t="shared" si="16"/>
        <v>-15273.733417630458</v>
      </c>
      <c r="G245" s="351">
        <f t="shared" si="17"/>
        <v>0.91737391760448839</v>
      </c>
      <c r="H245" s="345">
        <f>('побудинковий звіт'!AS228+'побудинковий звіт'!BQ228)*1.2</f>
        <v>39696.563293735293</v>
      </c>
      <c r="I245" s="333">
        <f>('побудинковий звіт'!AT228+'побудинковий звіт'!BR228)*1.2</f>
        <v>9523.7858122410926</v>
      </c>
      <c r="J245" s="333">
        <f t="shared" si="18"/>
        <v>-30172.777481494202</v>
      </c>
      <c r="K245" s="354">
        <f t="shared" si="19"/>
        <v>0.23991461784159254</v>
      </c>
      <c r="L245" s="356">
        <f>'побудинковий звіт'!DE228</f>
        <v>6001.57</v>
      </c>
      <c r="M245" s="363">
        <f>'побудинковий звіт'!DA228*-1</f>
        <v>-24818.172235131642</v>
      </c>
    </row>
    <row r="246" spans="1:13" ht="20.100000000000001" customHeight="1" x14ac:dyDescent="0.3">
      <c r="A246" s="359" t="s">
        <v>692</v>
      </c>
      <c r="B246" s="298" t="s">
        <v>280</v>
      </c>
      <c r="C246" s="360">
        <v>5</v>
      </c>
      <c r="D246" s="350">
        <f>'побудинковий звіт'!CU229</f>
        <v>2694.247504285373</v>
      </c>
      <c r="E246" s="334">
        <f>'побудинковий звіт'!CV229</f>
        <v>1628.6458592066635</v>
      </c>
      <c r="F246" s="334">
        <f t="shared" si="16"/>
        <v>-1065.6016450787095</v>
      </c>
      <c r="G246" s="351">
        <f t="shared" si="17"/>
        <v>0.60449006879145217</v>
      </c>
      <c r="H246" s="345">
        <f>('побудинковий звіт'!AS229+'побудинковий звіт'!BQ229)*1.2</f>
        <v>2014.0995626810006</v>
      </c>
      <c r="I246" s="333">
        <f>('побудинковий звіт'!AT229+'побудинковий звіт'!BR229)*1.2</f>
        <v>0</v>
      </c>
      <c r="J246" s="333">
        <f t="shared" si="18"/>
        <v>-2014.0995626810006</v>
      </c>
      <c r="K246" s="354">
        <f t="shared" si="19"/>
        <v>0</v>
      </c>
      <c r="L246" s="356">
        <f>'побудинковий звіт'!DE229</f>
        <v>0</v>
      </c>
      <c r="M246" s="363">
        <f>'побудинковий звіт'!DA229*-1</f>
        <v>-687.74166419581752</v>
      </c>
    </row>
    <row r="247" spans="1:13" ht="20.100000000000001" customHeight="1" x14ac:dyDescent="0.3">
      <c r="A247" s="359" t="s">
        <v>693</v>
      </c>
      <c r="B247" s="298" t="s">
        <v>281</v>
      </c>
      <c r="C247" s="360">
        <v>5</v>
      </c>
      <c r="D247" s="350">
        <f>'побудинковий звіт'!CU230</f>
        <v>4039.9540816638719</v>
      </c>
      <c r="E247" s="334">
        <f>'побудинковий звіт'!CV230</f>
        <v>3256.9915142967702</v>
      </c>
      <c r="F247" s="334">
        <f t="shared" si="16"/>
        <v>-782.96256736710166</v>
      </c>
      <c r="G247" s="351">
        <f t="shared" si="17"/>
        <v>0.80619518154408443</v>
      </c>
      <c r="H247" s="345">
        <f>('побудинковий звіт'!AS230+'побудинковий звіт'!BQ230)*1.2</f>
        <v>2076.3710193528455</v>
      </c>
      <c r="I247" s="333">
        <f>('побудинковий звіт'!AT230+'побудинковий звіт'!BR230)*1.2</f>
        <v>0</v>
      </c>
      <c r="J247" s="333">
        <f t="shared" si="18"/>
        <v>-2076.3710193528455</v>
      </c>
      <c r="K247" s="354">
        <f t="shared" si="19"/>
        <v>0</v>
      </c>
      <c r="L247" s="356">
        <f>'побудинковий звіт'!DE230</f>
        <v>286.88000000000005</v>
      </c>
      <c r="M247" s="363">
        <f>'побудинковий звіт'!DA230*-1</f>
        <v>-14972.353032119037</v>
      </c>
    </row>
    <row r="248" spans="1:13" ht="20.100000000000001" customHeight="1" x14ac:dyDescent="0.3">
      <c r="A248" s="359" t="s">
        <v>694</v>
      </c>
      <c r="B248" s="298" t="s">
        <v>282</v>
      </c>
      <c r="C248" s="360">
        <v>5</v>
      </c>
      <c r="D248" s="350">
        <f>'побудинковий звіт'!CU231</f>
        <v>587695.48250572046</v>
      </c>
      <c r="E248" s="334">
        <f>'побудинковий звіт'!CV231</f>
        <v>471331.39499296818</v>
      </c>
      <c r="F248" s="334">
        <f t="shared" si="16"/>
        <v>-116364.08751275227</v>
      </c>
      <c r="G248" s="351">
        <f t="shared" si="17"/>
        <v>0.80199935004329459</v>
      </c>
      <c r="H248" s="345">
        <f>('побудинковий звіт'!AS231+'побудинковий звіт'!BQ231)*1.2</f>
        <v>143394.00452991977</v>
      </c>
      <c r="I248" s="333">
        <f>('побудинковий звіт'!AT231+'побудинковий звіт'!BR231)*1.2</f>
        <v>98274.194946020856</v>
      </c>
      <c r="J248" s="333">
        <f t="shared" si="18"/>
        <v>-45119.80958389891</v>
      </c>
      <c r="K248" s="354">
        <f t="shared" si="19"/>
        <v>0.68534382081166811</v>
      </c>
      <c r="L248" s="356">
        <f>'побудинковий звіт'!DE231</f>
        <v>49849.89</v>
      </c>
      <c r="M248" s="364">
        <f>'побудинковий звіт'!DA231*-1</f>
        <v>175244.30181867786</v>
      </c>
    </row>
    <row r="249" spans="1:13" ht="20.100000000000001" customHeight="1" x14ac:dyDescent="0.3">
      <c r="A249" s="359" t="s">
        <v>695</v>
      </c>
      <c r="B249" s="298" t="s">
        <v>283</v>
      </c>
      <c r="C249" s="360">
        <v>5</v>
      </c>
      <c r="D249" s="350">
        <f>'побудинковий звіт'!CU232</f>
        <v>231298.15433024894</v>
      </c>
      <c r="E249" s="334">
        <f>'побудинковий звіт'!CV232</f>
        <v>223201.05957673394</v>
      </c>
      <c r="F249" s="334">
        <f t="shared" si="16"/>
        <v>-8097.0947535150044</v>
      </c>
      <c r="G249" s="351">
        <f t="shared" si="17"/>
        <v>0.96499282591786739</v>
      </c>
      <c r="H249" s="345">
        <f>('побудинковий звіт'!AS232+'побудинковий звіт'!BQ232)*1.2</f>
        <v>70169.274412048078</v>
      </c>
      <c r="I249" s="333">
        <f>('побудинковий звіт'!AT232+'побудинковий звіт'!BR232)*1.2</f>
        <v>69145.875464004188</v>
      </c>
      <c r="J249" s="333">
        <f t="shared" si="18"/>
        <v>-1023.3989480438904</v>
      </c>
      <c r="K249" s="354">
        <f t="shared" si="19"/>
        <v>0.98541528387433097</v>
      </c>
      <c r="L249" s="356">
        <f>'побудинковий звіт'!DE232</f>
        <v>47113.119999999995</v>
      </c>
      <c r="M249" s="363">
        <f>'побудинковий звіт'!DA232*-1</f>
        <v>90823.95160590508</v>
      </c>
    </row>
    <row r="250" spans="1:13" ht="20.100000000000001" customHeight="1" x14ac:dyDescent="0.3">
      <c r="A250" s="359" t="s">
        <v>696</v>
      </c>
      <c r="B250" s="298" t="s">
        <v>284</v>
      </c>
      <c r="C250" s="360">
        <v>5</v>
      </c>
      <c r="D250" s="350">
        <f>'побудинковий звіт'!CU233</f>
        <v>603104.24643424945</v>
      </c>
      <c r="E250" s="334">
        <f>'побудинковий звіт'!CV233</f>
        <v>676713.23819990794</v>
      </c>
      <c r="F250" s="334">
        <f t="shared" si="16"/>
        <v>73608.991765658488</v>
      </c>
      <c r="G250" s="351">
        <f t="shared" si="17"/>
        <v>1.1220501964641421</v>
      </c>
      <c r="H250" s="345">
        <f>('побудинковий звіт'!AS233+'побудинковий звіт'!BQ233)*1.2</f>
        <v>145065.31094135612</v>
      </c>
      <c r="I250" s="333">
        <f>('побудинковий звіт'!AT233+'побудинковий звіт'!BR233)*1.2</f>
        <v>237786.28526753822</v>
      </c>
      <c r="J250" s="333">
        <f t="shared" si="18"/>
        <v>92720.974326182099</v>
      </c>
      <c r="K250" s="354">
        <f t="shared" si="19"/>
        <v>1.6391671015248115</v>
      </c>
      <c r="L250" s="356">
        <f>'побудинковий звіт'!DE233</f>
        <v>32578.680000000008</v>
      </c>
      <c r="M250" s="363">
        <f>'побудинковий звіт'!DA233*-1</f>
        <v>-50520.333650224449</v>
      </c>
    </row>
    <row r="251" spans="1:13" ht="20.100000000000001" customHeight="1" x14ac:dyDescent="0.3">
      <c r="A251" s="359" t="s">
        <v>697</v>
      </c>
      <c r="B251" s="298" t="s">
        <v>285</v>
      </c>
      <c r="C251" s="360">
        <v>5</v>
      </c>
      <c r="D251" s="350">
        <f>'побудинковий звіт'!CU234</f>
        <v>875716.55124020961</v>
      </c>
      <c r="E251" s="334">
        <f>'побудинковий звіт'!CV234</f>
        <v>723914.04434475792</v>
      </c>
      <c r="F251" s="334">
        <f t="shared" si="16"/>
        <v>-151802.50689545169</v>
      </c>
      <c r="G251" s="351">
        <f t="shared" si="17"/>
        <v>0.82665337696259644</v>
      </c>
      <c r="H251" s="345">
        <f>('побудинковий звіт'!AS234+'побудинковий звіт'!BQ234)*1.2</f>
        <v>229921.70377644841</v>
      </c>
      <c r="I251" s="333">
        <f>('побудинковий звіт'!AT234+'побудинковий звіт'!BR234)*1.2</f>
        <v>20050.163148773223</v>
      </c>
      <c r="J251" s="333">
        <f t="shared" si="18"/>
        <v>-209871.54062767519</v>
      </c>
      <c r="K251" s="354">
        <f t="shared" si="19"/>
        <v>8.7204308333883457E-2</v>
      </c>
      <c r="L251" s="356">
        <f>'побудинковий звіт'!DE234</f>
        <v>182422.38</v>
      </c>
      <c r="M251" s="363">
        <f>'побудинковий звіт'!DA234*-1</f>
        <v>-37437.443926303065</v>
      </c>
    </row>
    <row r="252" spans="1:13" ht="20.100000000000001" customHeight="1" x14ac:dyDescent="0.3">
      <c r="A252" s="359" t="s">
        <v>698</v>
      </c>
      <c r="B252" s="298" t="s">
        <v>286</v>
      </c>
      <c r="C252" s="360">
        <v>5</v>
      </c>
      <c r="D252" s="350">
        <f>'побудинковий звіт'!CU235</f>
        <v>963169.17499154527</v>
      </c>
      <c r="E252" s="334">
        <f>'побудинковий звіт'!CV235</f>
        <v>881499.70087091543</v>
      </c>
      <c r="F252" s="334">
        <f t="shared" si="16"/>
        <v>-81669.474120629835</v>
      </c>
      <c r="G252" s="351">
        <f t="shared" si="17"/>
        <v>0.91520754999105247</v>
      </c>
      <c r="H252" s="345">
        <f>('побудинковий звіт'!AS235+'побудинковий звіт'!BQ235)*1.2</f>
        <v>279022.13817815017</v>
      </c>
      <c r="I252" s="333">
        <f>('побудинковий звіт'!AT235+'побудинковий звіт'!BR235)*1.2</f>
        <v>102978.41365465053</v>
      </c>
      <c r="J252" s="333">
        <f t="shared" si="18"/>
        <v>-176043.72452349964</v>
      </c>
      <c r="K252" s="354">
        <f t="shared" si="19"/>
        <v>0.36906897182796594</v>
      </c>
      <c r="L252" s="356">
        <f>'побудинковий звіт'!DE235</f>
        <v>198033.41</v>
      </c>
      <c r="M252" s="363">
        <f>'побудинковий звіт'!DA235*-1</f>
        <v>34007.983120487741</v>
      </c>
    </row>
    <row r="253" spans="1:13" ht="20.100000000000001" customHeight="1" x14ac:dyDescent="0.3">
      <c r="A253" s="359" t="s">
        <v>699</v>
      </c>
      <c r="B253" s="298" t="s">
        <v>287</v>
      </c>
      <c r="C253" s="360">
        <v>5</v>
      </c>
      <c r="D253" s="350">
        <f>'побудинковий звіт'!CU236</f>
        <v>755820.10639593785</v>
      </c>
      <c r="E253" s="334">
        <f>'побудинковий звіт'!CV236</f>
        <v>1057672.1089143197</v>
      </c>
      <c r="F253" s="334">
        <f t="shared" si="16"/>
        <v>301852.00251838181</v>
      </c>
      <c r="G253" s="351">
        <f t="shared" si="17"/>
        <v>1.3993701675359453</v>
      </c>
      <c r="H253" s="345">
        <f>('побудинковий звіт'!AS236+'побудинковий звіт'!BQ236)*1.2</f>
        <v>210928.75408792627</v>
      </c>
      <c r="I253" s="333">
        <f>('побудинковий звіт'!AT236+'побудинковий звіт'!BR236)*1.2</f>
        <v>449228.84763545427</v>
      </c>
      <c r="J253" s="333">
        <f t="shared" si="18"/>
        <v>238300.093547528</v>
      </c>
      <c r="K253" s="354">
        <f t="shared" si="19"/>
        <v>2.1297658044677585</v>
      </c>
      <c r="L253" s="356">
        <f>'побудинковий звіт'!DE236</f>
        <v>0</v>
      </c>
      <c r="M253" s="363">
        <f>'побудинковий звіт'!DA236*-1</f>
        <v>-105461.01513430587</v>
      </c>
    </row>
    <row r="254" spans="1:13" ht="20.100000000000001" customHeight="1" x14ac:dyDescent="0.3">
      <c r="A254" s="359" t="s">
        <v>700</v>
      </c>
      <c r="B254" s="298" t="s">
        <v>288</v>
      </c>
      <c r="C254" s="360">
        <v>5</v>
      </c>
      <c r="D254" s="350">
        <f>'побудинковий звіт'!CU237</f>
        <v>526742.08429504908</v>
      </c>
      <c r="E254" s="334">
        <f>'побудинковий звіт'!CV237</f>
        <v>629252.60244113777</v>
      </c>
      <c r="F254" s="334">
        <f t="shared" si="16"/>
        <v>102510.5181460887</v>
      </c>
      <c r="G254" s="351">
        <f t="shared" si="17"/>
        <v>1.1946123562222692</v>
      </c>
      <c r="H254" s="345">
        <f>('побудинковий звіт'!AS237+'побудинковий звіт'!BQ237)*1.2</f>
        <v>144553.18433926639</v>
      </c>
      <c r="I254" s="333">
        <f>('побудинковий звіт'!AT237+'побудинковий звіт'!BR237)*1.2</f>
        <v>208094.34196534622</v>
      </c>
      <c r="J254" s="333">
        <f t="shared" si="18"/>
        <v>63541.157626079832</v>
      </c>
      <c r="K254" s="354">
        <f t="shared" si="19"/>
        <v>1.4395694077340331</v>
      </c>
      <c r="L254" s="356">
        <f>'побудинковий звіт'!DE237</f>
        <v>117544.57999999999</v>
      </c>
      <c r="M254" s="363">
        <f>'побудинковий звіт'!DA237*-1</f>
        <v>-2187.0166878766977</v>
      </c>
    </row>
    <row r="255" spans="1:13" ht="20.100000000000001" customHeight="1" x14ac:dyDescent="0.3">
      <c r="A255" s="359" t="s">
        <v>701</v>
      </c>
      <c r="B255" s="298" t="s">
        <v>129</v>
      </c>
      <c r="C255" s="360">
        <v>1</v>
      </c>
      <c r="D255" s="350">
        <f>'побудинковий звіт'!CU238</f>
        <v>517196.84012459288</v>
      </c>
      <c r="E255" s="334">
        <f>'побудинковий звіт'!CV238</f>
        <v>453330.64336376236</v>
      </c>
      <c r="F255" s="334">
        <f t="shared" si="16"/>
        <v>-63866.196760830528</v>
      </c>
      <c r="G255" s="351">
        <f t="shared" si="17"/>
        <v>0.87651471972364503</v>
      </c>
      <c r="H255" s="345">
        <f>('побудинковий звіт'!AS238+'побудинковий звіт'!BQ238)*1.2</f>
        <v>115274.6853096136</v>
      </c>
      <c r="I255" s="333">
        <f>('побудинковий звіт'!AT238+'побудинковий звіт'!BR238)*1.2</f>
        <v>19021.845896896451</v>
      </c>
      <c r="J255" s="333">
        <f t="shared" si="18"/>
        <v>-96252.839412717149</v>
      </c>
      <c r="K255" s="354">
        <f t="shared" si="19"/>
        <v>0.1650132103662319</v>
      </c>
      <c r="L255" s="356">
        <f>'побудинковий звіт'!DE238</f>
        <v>34784.93</v>
      </c>
      <c r="M255" s="363">
        <f>'побудинковий звіт'!DA238*-1</f>
        <v>-55712.671621813235</v>
      </c>
    </row>
    <row r="256" spans="1:13" ht="20.100000000000001" customHeight="1" x14ac:dyDescent="0.3">
      <c r="A256" s="359" t="s">
        <v>702</v>
      </c>
      <c r="B256" s="298" t="s">
        <v>130</v>
      </c>
      <c r="C256" s="360">
        <v>1</v>
      </c>
      <c r="D256" s="350">
        <f>'побудинковий звіт'!CU239</f>
        <v>204471.94319059295</v>
      </c>
      <c r="E256" s="334">
        <f>'побудинковий звіт'!CV239</f>
        <v>198930.10794472255</v>
      </c>
      <c r="F256" s="334">
        <f t="shared" si="16"/>
        <v>-5541.835245870403</v>
      </c>
      <c r="G256" s="351">
        <f t="shared" si="17"/>
        <v>0.97289684266997589</v>
      </c>
      <c r="H256" s="345">
        <f>('побудинковий звіт'!AS239+'побудинковий звіт'!BQ239)*1.2</f>
        <v>46953.792778217881</v>
      </c>
      <c r="I256" s="333">
        <f>('побудинковий звіт'!AT239+'побудинковий звіт'!BR239)*1.2</f>
        <v>9242.1633119812541</v>
      </c>
      <c r="J256" s="333">
        <f t="shared" si="18"/>
        <v>-37711.629466236627</v>
      </c>
      <c r="K256" s="354">
        <f t="shared" si="19"/>
        <v>0.1968352877399234</v>
      </c>
      <c r="L256" s="356">
        <f>'побудинковий звіт'!DE239</f>
        <v>26055.749999999996</v>
      </c>
      <c r="M256" s="363">
        <f>'побудинковий звіт'!DA239*-1</f>
        <v>98037.377029926356</v>
      </c>
    </row>
    <row r="257" spans="1:13" ht="20.100000000000001" customHeight="1" x14ac:dyDescent="0.3">
      <c r="A257" s="359" t="s">
        <v>703</v>
      </c>
      <c r="B257" s="298" t="s">
        <v>386</v>
      </c>
      <c r="C257" s="360">
        <v>9</v>
      </c>
      <c r="D257" s="350">
        <f>'побудинковий звіт'!CU240</f>
        <v>187580.2489569766</v>
      </c>
      <c r="E257" s="334">
        <f>'побудинковий звіт'!CV240</f>
        <v>153547.85807119153</v>
      </c>
      <c r="F257" s="334">
        <f t="shared" si="16"/>
        <v>-34032.390885785077</v>
      </c>
      <c r="G257" s="351">
        <f t="shared" si="17"/>
        <v>0.81857156563647193</v>
      </c>
      <c r="H257" s="345">
        <f>('побудинковий звіт'!AS240+'побудинковий звіт'!BQ240)*1.2</f>
        <v>53294.345248764061</v>
      </c>
      <c r="I257" s="333">
        <f>('побудинковий звіт'!AT240+'побудинковий звіт'!BR240)*1.2</f>
        <v>4748.5116125366339</v>
      </c>
      <c r="J257" s="333">
        <f t="shared" si="18"/>
        <v>-48545.833636227428</v>
      </c>
      <c r="K257" s="354">
        <f t="shared" si="19"/>
        <v>8.9099727004278303E-2</v>
      </c>
      <c r="L257" s="356">
        <f>'побудинковий звіт'!DE240</f>
        <v>29282.67</v>
      </c>
      <c r="M257" s="363">
        <f>'побудинковий звіт'!DA240*-1</f>
        <v>53225.929659734764</v>
      </c>
    </row>
    <row r="258" spans="1:13" ht="20.100000000000001" customHeight="1" x14ac:dyDescent="0.3">
      <c r="A258" s="359" t="s">
        <v>704</v>
      </c>
      <c r="B258" s="298" t="s">
        <v>387</v>
      </c>
      <c r="C258" s="360">
        <v>9</v>
      </c>
      <c r="D258" s="350">
        <f>'побудинковий звіт'!CU241</f>
        <v>207305.93877838695</v>
      </c>
      <c r="E258" s="334">
        <f>'побудинковий звіт'!CV241</f>
        <v>229742.36628983196</v>
      </c>
      <c r="F258" s="334">
        <f t="shared" si="16"/>
        <v>22436.427511445014</v>
      </c>
      <c r="G258" s="351">
        <f t="shared" si="17"/>
        <v>1.1082285806362251</v>
      </c>
      <c r="H258" s="345">
        <f>('побудинковий звіт'!AS241+'побудинковий звіт'!BQ241)*1.2</f>
        <v>80932.466744678939</v>
      </c>
      <c r="I258" s="333">
        <f>('побудинковий звіт'!AT241+'побудинковий звіт'!BR241)*1.2</f>
        <v>92301.573814471965</v>
      </c>
      <c r="J258" s="333">
        <f t="shared" si="18"/>
        <v>11369.107069793026</v>
      </c>
      <c r="K258" s="354">
        <f t="shared" si="19"/>
        <v>1.1404764679378874</v>
      </c>
      <c r="L258" s="356">
        <f>'побудинковий звіт'!DE241</f>
        <v>18815.27</v>
      </c>
      <c r="M258" s="363">
        <f>'побудинковий звіт'!DA241*-1</f>
        <v>-87882.140643589504</v>
      </c>
    </row>
    <row r="259" spans="1:13" ht="20.100000000000001" customHeight="1" x14ac:dyDescent="0.3">
      <c r="A259" s="359" t="s">
        <v>705</v>
      </c>
      <c r="B259" s="298" t="s">
        <v>388</v>
      </c>
      <c r="C259" s="360">
        <v>9</v>
      </c>
      <c r="D259" s="350">
        <f>'побудинковий звіт'!CU242</f>
        <v>215869.32546301576</v>
      </c>
      <c r="E259" s="334">
        <f>'побудинковий звіт'!CV242</f>
        <v>222552.55483860505</v>
      </c>
      <c r="F259" s="334">
        <f t="shared" si="16"/>
        <v>6683.2293755892897</v>
      </c>
      <c r="G259" s="351">
        <f t="shared" si="17"/>
        <v>1.0309596065177602</v>
      </c>
      <c r="H259" s="345">
        <f>('побудинковий звіт'!AS242+'побудинковий звіт'!BQ242)*1.2</f>
        <v>80950.744989355415</v>
      </c>
      <c r="I259" s="333">
        <f>('побудинковий звіт'!AT242+'побудинковий звіт'!BR242)*1.2</f>
        <v>74096.766571334287</v>
      </c>
      <c r="J259" s="333">
        <f t="shared" si="18"/>
        <v>-6853.9784180211282</v>
      </c>
      <c r="K259" s="354">
        <f t="shared" si="19"/>
        <v>0.91533149671541147</v>
      </c>
      <c r="L259" s="356">
        <f>'побудинковий звіт'!DE242</f>
        <v>36625.519999999997</v>
      </c>
      <c r="M259" s="363">
        <f>'побудинковий звіт'!DA242*-1</f>
        <v>15544.403189837773</v>
      </c>
    </row>
    <row r="260" spans="1:13" ht="20.100000000000001" customHeight="1" x14ac:dyDescent="0.3">
      <c r="A260" s="359" t="s">
        <v>706</v>
      </c>
      <c r="B260" s="298" t="s">
        <v>389</v>
      </c>
      <c r="C260" s="360">
        <v>9</v>
      </c>
      <c r="D260" s="350">
        <f>'побудинковий звіт'!CU243</f>
        <v>153847.09087174688</v>
      </c>
      <c r="E260" s="334">
        <f>'побудинковий звіт'!CV243</f>
        <v>174068.33990905792</v>
      </c>
      <c r="F260" s="334">
        <f t="shared" si="16"/>
        <v>20221.249037311034</v>
      </c>
      <c r="G260" s="351">
        <f t="shared" si="17"/>
        <v>1.1314373182016699</v>
      </c>
      <c r="H260" s="345">
        <f>('побудинковий звіт'!AS243+'побудинковий звіт'!BQ243)*1.2</f>
        <v>47311.011962275988</v>
      </c>
      <c r="I260" s="333">
        <f>('побудинковий звіт'!AT243+'побудинковий звіт'!BR243)*1.2</f>
        <v>57856.773430976398</v>
      </c>
      <c r="J260" s="333">
        <f t="shared" si="18"/>
        <v>10545.76146870041</v>
      </c>
      <c r="K260" s="354">
        <f t="shared" si="19"/>
        <v>1.2229028936668951</v>
      </c>
      <c r="L260" s="356">
        <f>'побудинковий звіт'!DE243</f>
        <v>35062.450000000004</v>
      </c>
      <c r="M260" s="363">
        <f>'побудинковий звіт'!DA243*-1</f>
        <v>-25053.147081141804</v>
      </c>
    </row>
    <row r="261" spans="1:13" ht="20.100000000000001" customHeight="1" x14ac:dyDescent="0.3">
      <c r="A261" s="359" t="s">
        <v>707</v>
      </c>
      <c r="B261" s="298" t="s">
        <v>390</v>
      </c>
      <c r="C261" s="360">
        <v>9</v>
      </c>
      <c r="D261" s="350">
        <f>'побудинковий звіт'!CU244</f>
        <v>165461.92896753136</v>
      </c>
      <c r="E261" s="334">
        <f>'побудинковий звіт'!CV244</f>
        <v>195445.06313593106</v>
      </c>
      <c r="F261" s="334">
        <f t="shared" si="16"/>
        <v>29983.134168399702</v>
      </c>
      <c r="G261" s="351">
        <f t="shared" si="17"/>
        <v>1.1812086584236745</v>
      </c>
      <c r="H261" s="345">
        <f>('побудинковий звіт'!AS244+'побудинковий звіт'!BQ244)*1.2</f>
        <v>63023.514483663217</v>
      </c>
      <c r="I261" s="333">
        <f>('побудинковий звіт'!AT244+'побудинковий звіт'!BR244)*1.2</f>
        <v>81085.570139648873</v>
      </c>
      <c r="J261" s="333">
        <f t="shared" si="18"/>
        <v>18062.055655985656</v>
      </c>
      <c r="K261" s="354">
        <f t="shared" si="19"/>
        <v>1.2865923267523847</v>
      </c>
      <c r="L261" s="356">
        <f>'побудинковий звіт'!DE244</f>
        <v>17845.500000000004</v>
      </c>
      <c r="M261" s="363">
        <f>'побудинковий звіт'!DA244*-1</f>
        <v>5524.627931625073</v>
      </c>
    </row>
    <row r="262" spans="1:13" ht="20.100000000000001" customHeight="1" x14ac:dyDescent="0.3">
      <c r="A262" s="359" t="s">
        <v>708</v>
      </c>
      <c r="B262" s="298" t="s">
        <v>391</v>
      </c>
      <c r="C262" s="360">
        <v>9</v>
      </c>
      <c r="D262" s="350">
        <f>'побудинковий звіт'!CU245</f>
        <v>42734.221663858392</v>
      </c>
      <c r="E262" s="334">
        <f>'побудинковий звіт'!CV245</f>
        <v>24184.170625160059</v>
      </c>
      <c r="F262" s="334">
        <f t="shared" si="16"/>
        <v>-18550.051038698333</v>
      </c>
      <c r="G262" s="351">
        <f t="shared" si="17"/>
        <v>0.56592046569584142</v>
      </c>
      <c r="H262" s="345">
        <f>('побудинковий звіт'!AS245+'побудинковий звіт'!BQ245)*1.2</f>
        <v>15314.066303343745</v>
      </c>
      <c r="I262" s="333">
        <f>('побудинковий звіт'!AT245+'побудинковий звіт'!BR245)*1.2</f>
        <v>0</v>
      </c>
      <c r="J262" s="333">
        <f t="shared" si="18"/>
        <v>-15314.066303343745</v>
      </c>
      <c r="K262" s="354">
        <f t="shared" si="19"/>
        <v>0</v>
      </c>
      <c r="L262" s="356">
        <f>'побудинковий звіт'!DE245</f>
        <v>11288.720000000001</v>
      </c>
      <c r="M262" s="363">
        <f>'побудинковий звіт'!DA245*-1</f>
        <v>-80449.517283981113</v>
      </c>
    </row>
    <row r="263" spans="1:13" ht="20.100000000000001" customHeight="1" x14ac:dyDescent="0.3">
      <c r="A263" s="359" t="s">
        <v>709</v>
      </c>
      <c r="B263" s="298" t="s">
        <v>219</v>
      </c>
      <c r="C263" s="360">
        <v>4</v>
      </c>
      <c r="D263" s="350">
        <f>'побудинковий звіт'!CU246</f>
        <v>1785.6941973217074</v>
      </c>
      <c r="E263" s="334">
        <f>'побудинковий звіт'!CV246</f>
        <v>168.87817516743601</v>
      </c>
      <c r="F263" s="334">
        <f t="shared" si="16"/>
        <v>-1616.8160221542714</v>
      </c>
      <c r="G263" s="351">
        <f t="shared" si="17"/>
        <v>9.457284199093538E-2</v>
      </c>
      <c r="H263" s="345">
        <f>('побудинковий звіт'!AS246+'побудинковий звіт'!BQ246)*1.2</f>
        <v>1429.0789378758338</v>
      </c>
      <c r="I263" s="333">
        <f>('побудинковий звіт'!AT246+'побудинковий звіт'!BR246)*1.2</f>
        <v>0</v>
      </c>
      <c r="J263" s="333">
        <f t="shared" si="18"/>
        <v>-1429.0789378758338</v>
      </c>
      <c r="K263" s="354">
        <f t="shared" si="19"/>
        <v>0</v>
      </c>
      <c r="L263" s="356">
        <f>'побудинковий звіт'!DE246</f>
        <v>259.57</v>
      </c>
      <c r="M263" s="363">
        <f>'побудинковий звіт'!DA246*-1</f>
        <v>5722.7044696344474</v>
      </c>
    </row>
    <row r="264" spans="1:13" ht="20.100000000000001" customHeight="1" x14ac:dyDescent="0.3">
      <c r="A264" s="359" t="s">
        <v>710</v>
      </c>
      <c r="B264" s="298" t="s">
        <v>220</v>
      </c>
      <c r="C264" s="360">
        <v>4</v>
      </c>
      <c r="D264" s="350">
        <f>'побудинковий звіт'!CU247</f>
        <v>18338.157886081073</v>
      </c>
      <c r="E264" s="334">
        <f>'побудинковий звіт'!CV247</f>
        <v>14095.935072800914</v>
      </c>
      <c r="F264" s="334">
        <f t="shared" si="16"/>
        <v>-4242.2228132801592</v>
      </c>
      <c r="G264" s="351">
        <f t="shared" si="17"/>
        <v>0.76866690538747806</v>
      </c>
      <c r="H264" s="345">
        <f>('побудинковий звіт'!AS247+'побудинковий звіт'!BQ247)*1.2</f>
        <v>5320.3541326586619</v>
      </c>
      <c r="I264" s="333">
        <f>('побудинковий звіт'!AT247+'побудинковий звіт'!BR247)*1.2</f>
        <v>0</v>
      </c>
      <c r="J264" s="333">
        <f t="shared" si="18"/>
        <v>-5320.3541326586619</v>
      </c>
      <c r="K264" s="354">
        <f t="shared" si="19"/>
        <v>0</v>
      </c>
      <c r="L264" s="356">
        <f>'побудинковий звіт'!DE247</f>
        <v>1953.7399999999998</v>
      </c>
      <c r="M264" s="363">
        <f>'побудинковий звіт'!DA247*-1</f>
        <v>-2474.6042349872914</v>
      </c>
    </row>
    <row r="265" spans="1:13" ht="20.100000000000001" customHeight="1" x14ac:dyDescent="0.3">
      <c r="A265" s="359" t="s">
        <v>711</v>
      </c>
      <c r="B265" s="298" t="s">
        <v>221</v>
      </c>
      <c r="C265" s="360">
        <v>4</v>
      </c>
      <c r="D265" s="350">
        <f>'побудинковий звіт'!CU248</f>
        <v>42075.914232218951</v>
      </c>
      <c r="E265" s="334">
        <f>'побудинковий звіт'!CV248</f>
        <v>35628.262020593625</v>
      </c>
      <c r="F265" s="334">
        <f t="shared" si="16"/>
        <v>-6447.6522116253254</v>
      </c>
      <c r="G265" s="351">
        <f t="shared" si="17"/>
        <v>0.84676144703498468</v>
      </c>
      <c r="H265" s="345">
        <f>('побудинковий звіт'!AS248+'побудинковий звіт'!BQ248)*1.2</f>
        <v>12276.977446587736</v>
      </c>
      <c r="I265" s="333">
        <f>('побудинковий звіт'!AT248+'побудинковий звіт'!BR248)*1.2</f>
        <v>1226.899782600997</v>
      </c>
      <c r="J265" s="333">
        <f t="shared" si="18"/>
        <v>-11050.07766398674</v>
      </c>
      <c r="K265" s="354">
        <f t="shared" si="19"/>
        <v>9.9935003378376464E-2</v>
      </c>
      <c r="L265" s="356">
        <f>'побудинковий звіт'!DE248</f>
        <v>-244.34000000000015</v>
      </c>
      <c r="M265" s="363">
        <f>'побудинковий звіт'!DA248*-1</f>
        <v>25403.007099509654</v>
      </c>
    </row>
    <row r="266" spans="1:13" ht="20.100000000000001" customHeight="1" x14ac:dyDescent="0.3">
      <c r="A266" s="359" t="s">
        <v>712</v>
      </c>
      <c r="B266" s="298" t="s">
        <v>289</v>
      </c>
      <c r="C266" s="360">
        <v>5</v>
      </c>
      <c r="D266" s="350">
        <f>'побудинковий звіт'!CU249</f>
        <v>34582.315360717956</v>
      </c>
      <c r="E266" s="334">
        <f>'побудинковий звіт'!CV249</f>
        <v>31656.394321702839</v>
      </c>
      <c r="F266" s="334">
        <f t="shared" si="16"/>
        <v>-2925.9210390151165</v>
      </c>
      <c r="G266" s="351">
        <f t="shared" si="17"/>
        <v>0.91539256384381162</v>
      </c>
      <c r="H266" s="345">
        <f>('побудинковий звіт'!AS249+'побудинковий звіт'!BQ249)*1.2</f>
        <v>8061.229056397764</v>
      </c>
      <c r="I266" s="333">
        <f>('побудинковий звіт'!AT249+'побудинковий звіт'!BR249)*1.2</f>
        <v>0</v>
      </c>
      <c r="J266" s="333">
        <f t="shared" si="18"/>
        <v>-8061.229056397764</v>
      </c>
      <c r="K266" s="354">
        <f t="shared" si="19"/>
        <v>0</v>
      </c>
      <c r="L266" s="356">
        <f>'побудинковий звіт'!DE249</f>
        <v>11502.380000000001</v>
      </c>
      <c r="M266" s="363">
        <f>'побудинковий звіт'!DA249*-1</f>
        <v>-84117.126397210697</v>
      </c>
    </row>
    <row r="267" spans="1:13" ht="20.100000000000001" customHeight="1" x14ac:dyDescent="0.3">
      <c r="A267" s="359" t="s">
        <v>713</v>
      </c>
      <c r="B267" s="298" t="s">
        <v>222</v>
      </c>
      <c r="C267" s="360">
        <v>4</v>
      </c>
      <c r="D267" s="350">
        <f>'побудинковий звіт'!CU250</f>
        <v>91010.180338497797</v>
      </c>
      <c r="E267" s="334">
        <f>'побудинковий звіт'!CV250</f>
        <v>87632.443458112641</v>
      </c>
      <c r="F267" s="334">
        <f t="shared" si="16"/>
        <v>-3377.7368803851568</v>
      </c>
      <c r="G267" s="351">
        <f t="shared" si="17"/>
        <v>0.96288616429698082</v>
      </c>
      <c r="H267" s="345">
        <f>('побудинковий звіт'!AS250+'побудинковий звіт'!BQ250)*1.2</f>
        <v>19444.60356184846</v>
      </c>
      <c r="I267" s="333">
        <f>('побудинковий звіт'!AT250+'побудинковий звіт'!BR250)*1.2</f>
        <v>2121.1939236449766</v>
      </c>
      <c r="J267" s="333">
        <f t="shared" si="18"/>
        <v>-17323.409638203484</v>
      </c>
      <c r="K267" s="354">
        <f t="shared" si="19"/>
        <v>0.10908908052036057</v>
      </c>
      <c r="L267" s="356">
        <f>'побудинковий звіт'!DE250</f>
        <v>12324.19</v>
      </c>
      <c r="M267" s="363">
        <f>'побудинковий звіт'!DA250*-1</f>
        <v>-73787.465032192864</v>
      </c>
    </row>
    <row r="268" spans="1:13" ht="20.100000000000001" customHeight="1" x14ac:dyDescent="0.3">
      <c r="A268" s="359" t="s">
        <v>714</v>
      </c>
      <c r="B268" s="298" t="s">
        <v>197</v>
      </c>
      <c r="C268" s="360">
        <v>3</v>
      </c>
      <c r="D268" s="350">
        <f>'побудинковий звіт'!CU251</f>
        <v>6677.0814456190728</v>
      </c>
      <c r="E268" s="334">
        <f>'побудинковий звіт'!CV251</f>
        <v>3059.7060045428861</v>
      </c>
      <c r="F268" s="334">
        <f t="shared" si="16"/>
        <v>-3617.3754410761867</v>
      </c>
      <c r="G268" s="351">
        <f t="shared" si="17"/>
        <v>0.45824003038788785</v>
      </c>
      <c r="H268" s="345">
        <f>('побудинковий звіт'!AS251+'побудинковий звіт'!BQ251)*1.2</f>
        <v>4917.4893006315069</v>
      </c>
      <c r="I268" s="333">
        <f>('побудинковий звіт'!AT251+'побудинковий звіт'!BR251)*1.2</f>
        <v>0</v>
      </c>
      <c r="J268" s="333">
        <f t="shared" si="18"/>
        <v>-4917.4893006315069</v>
      </c>
      <c r="K268" s="354">
        <f t="shared" si="19"/>
        <v>0</v>
      </c>
      <c r="L268" s="356">
        <f>'побудинковий звіт'!DE251</f>
        <v>980.17000000000007</v>
      </c>
      <c r="M268" s="363">
        <f>'побудинковий звіт'!DA251*-1</f>
        <v>7384.4288247372324</v>
      </c>
    </row>
    <row r="269" spans="1:13" ht="20.100000000000001" customHeight="1" x14ac:dyDescent="0.3">
      <c r="A269" s="359" t="s">
        <v>715</v>
      </c>
      <c r="B269" s="298" t="s">
        <v>223</v>
      </c>
      <c r="C269" s="360">
        <v>4</v>
      </c>
      <c r="D269" s="350">
        <f>'побудинковий звіт'!CU252</f>
        <v>3226.1493816175898</v>
      </c>
      <c r="E269" s="334">
        <f>'побудинковий звіт'!CV252</f>
        <v>2226.9521444160823</v>
      </c>
      <c r="F269" s="334">
        <f t="shared" si="16"/>
        <v>-999.19723720150751</v>
      </c>
      <c r="G269" s="351">
        <f t="shared" si="17"/>
        <v>0.69028178208520818</v>
      </c>
      <c r="H269" s="345">
        <f>('побудинковий звіт'!AS252+'побудинковий звіт'!BQ252)*1.2</f>
        <v>2219.6236494440918</v>
      </c>
      <c r="I269" s="333">
        <f>('побудинковий звіт'!AT252+'побудинковий звіт'!BR252)*1.2</f>
        <v>0</v>
      </c>
      <c r="J269" s="333">
        <f t="shared" si="18"/>
        <v>-2219.6236494440918</v>
      </c>
      <c r="K269" s="354">
        <f t="shared" si="19"/>
        <v>0</v>
      </c>
      <c r="L269" s="356">
        <f>'побудинковий звіт'!DE252</f>
        <v>-517.25</v>
      </c>
      <c r="M269" s="363">
        <f>'побудинковий звіт'!DA252*-1</f>
        <v>503.14815003592685</v>
      </c>
    </row>
    <row r="270" spans="1:13" ht="20.100000000000001" customHeight="1" x14ac:dyDescent="0.3">
      <c r="A270" s="359" t="s">
        <v>716</v>
      </c>
      <c r="B270" s="298" t="s">
        <v>224</v>
      </c>
      <c r="C270" s="360">
        <v>4</v>
      </c>
      <c r="D270" s="350">
        <f>'побудинковий звіт'!CU253</f>
        <v>366165.02568677615</v>
      </c>
      <c r="E270" s="334">
        <f>'побудинковий звіт'!CV253</f>
        <v>371634.09416393924</v>
      </c>
      <c r="F270" s="334">
        <f t="shared" si="16"/>
        <v>5469.0684771630913</v>
      </c>
      <c r="G270" s="351">
        <f t="shared" si="17"/>
        <v>1.0149360755219736</v>
      </c>
      <c r="H270" s="345">
        <f>('побудинковий звіт'!AS253+'побудинковий звіт'!BQ253)*1.2</f>
        <v>103187.14804749383</v>
      </c>
      <c r="I270" s="333">
        <f>('побудинковий звіт'!AT253+'побудинковий звіт'!BR253)*1.2</f>
        <v>102541.57659247072</v>
      </c>
      <c r="J270" s="333">
        <f t="shared" si="18"/>
        <v>-645.57145502310595</v>
      </c>
      <c r="K270" s="354">
        <f t="shared" si="19"/>
        <v>0.99374368351835862</v>
      </c>
      <c r="L270" s="356">
        <f>'побудинковий звіт'!DE253</f>
        <v>26195.599999999999</v>
      </c>
      <c r="M270" s="363">
        <f>'побудинковий звіт'!DA253*-1</f>
        <v>38462.526123416814</v>
      </c>
    </row>
    <row r="271" spans="1:13" ht="20.100000000000001" customHeight="1" x14ac:dyDescent="0.3">
      <c r="A271" s="359" t="s">
        <v>717</v>
      </c>
      <c r="B271" s="298" t="s">
        <v>290</v>
      </c>
      <c r="C271" s="360">
        <v>5</v>
      </c>
      <c r="D271" s="350">
        <f>'побудинковий звіт'!CU254</f>
        <v>9649.7265436685411</v>
      </c>
      <c r="E271" s="334">
        <f>'побудинковий звіт'!CV254</f>
        <v>3410.5986578831735</v>
      </c>
      <c r="F271" s="334">
        <f t="shared" si="16"/>
        <v>-6239.1278857853677</v>
      </c>
      <c r="G271" s="351">
        <f t="shared" si="17"/>
        <v>0.35343992831806864</v>
      </c>
      <c r="H271" s="345">
        <f>('побудинковий звіт'!AS254+'побудинковий звіт'!BQ254)*1.2</f>
        <v>6569.5821504145497</v>
      </c>
      <c r="I271" s="333">
        <f>('побудинковий звіт'!AT254+'побудинковий звіт'!BR254)*1.2</f>
        <v>0</v>
      </c>
      <c r="J271" s="333">
        <f t="shared" si="18"/>
        <v>-6569.5821504145497</v>
      </c>
      <c r="K271" s="354">
        <f t="shared" si="19"/>
        <v>0</v>
      </c>
      <c r="L271" s="356">
        <f>'побудинковий звіт'!DE254</f>
        <v>0.65999999999985448</v>
      </c>
      <c r="M271" s="363">
        <f>'побудинковий звіт'!DA254*-1</f>
        <v>-24315.711946799762</v>
      </c>
    </row>
    <row r="272" spans="1:13" ht="20.100000000000001" customHeight="1" x14ac:dyDescent="0.3">
      <c r="A272" s="359" t="s">
        <v>718</v>
      </c>
      <c r="B272" s="298" t="s">
        <v>133</v>
      </c>
      <c r="C272" s="360">
        <v>1</v>
      </c>
      <c r="D272" s="350">
        <f>'побудинковий звіт'!CU255</f>
        <v>198424.46962374603</v>
      </c>
      <c r="E272" s="334">
        <f>'побудинковий звіт'!CV255</f>
        <v>185066.25474604755</v>
      </c>
      <c r="F272" s="334">
        <f t="shared" si="16"/>
        <v>-13358.214877698483</v>
      </c>
      <c r="G272" s="351">
        <f t="shared" si="17"/>
        <v>0.93267859098714778</v>
      </c>
      <c r="H272" s="345">
        <f>('побудинковий звіт'!AS255+'побудинковий звіт'!BQ255)*1.2</f>
        <v>54575.528778440625</v>
      </c>
      <c r="I272" s="333">
        <f>('побудинковий звіт'!AT255+'побудинковий звіт'!BR255)*1.2</f>
        <v>23773.923893544063</v>
      </c>
      <c r="J272" s="333">
        <f t="shared" si="18"/>
        <v>-30801.604884896562</v>
      </c>
      <c r="K272" s="354">
        <f t="shared" si="19"/>
        <v>0.43561509023684719</v>
      </c>
      <c r="L272" s="356">
        <f>'побудинковий звіт'!DE255</f>
        <v>36528.92</v>
      </c>
      <c r="M272" s="363">
        <f>'побудинковий звіт'!DA255*-1</f>
        <v>-241676.24631814513</v>
      </c>
    </row>
    <row r="273" spans="1:13" ht="20.100000000000001" customHeight="1" x14ac:dyDescent="0.3">
      <c r="A273" s="359" t="s">
        <v>719</v>
      </c>
      <c r="B273" s="298" t="s">
        <v>185</v>
      </c>
      <c r="C273" s="360">
        <v>1</v>
      </c>
      <c r="D273" s="350">
        <f>'побудинковий звіт'!CU256</f>
        <v>82482.370736969882</v>
      </c>
      <c r="E273" s="334">
        <f>'побудинковий звіт'!CV256</f>
        <v>65215.097928520932</v>
      </c>
      <c r="F273" s="334">
        <f t="shared" si="16"/>
        <v>-17267.27280844895</v>
      </c>
      <c r="G273" s="351">
        <f t="shared" si="17"/>
        <v>0.79065498900955467</v>
      </c>
      <c r="H273" s="345">
        <f>('побудинковий звіт'!AS256+'побудинковий звіт'!BQ256)*1.2</f>
        <v>24367.807553485167</v>
      </c>
      <c r="I273" s="333">
        <f>('побудинковий звіт'!AT256+'побудинковий звіт'!BR256)*1.2</f>
        <v>2803.7267718396456</v>
      </c>
      <c r="J273" s="333">
        <f t="shared" si="18"/>
        <v>-21564.08078164552</v>
      </c>
      <c r="K273" s="354">
        <f t="shared" si="19"/>
        <v>0.11505863897216502</v>
      </c>
      <c r="L273" s="356">
        <f>'побудинковий звіт'!DE256</f>
        <v>22268.030000000002</v>
      </c>
      <c r="M273" s="363">
        <f>'побудинковий звіт'!DA256*-1</f>
        <v>-67672.225528609502</v>
      </c>
    </row>
    <row r="274" spans="1:13" ht="20.100000000000001" customHeight="1" x14ac:dyDescent="0.3">
      <c r="A274" s="359" t="s">
        <v>720</v>
      </c>
      <c r="B274" s="298" t="s">
        <v>134</v>
      </c>
      <c r="C274" s="360">
        <v>1</v>
      </c>
      <c r="D274" s="350" t="e">
        <f>'побудинковий звіт'!#REF!</f>
        <v>#REF!</v>
      </c>
      <c r="E274" s="334" t="e">
        <f>'побудинковий звіт'!#REF!</f>
        <v>#REF!</v>
      </c>
      <c r="F274" s="334" t="e">
        <f t="shared" si="16"/>
        <v>#REF!</v>
      </c>
      <c r="G274" s="351" t="e">
        <f t="shared" si="17"/>
        <v>#REF!</v>
      </c>
      <c r="H274" s="345" t="e">
        <f>('побудинковий звіт'!#REF!+'побудинковий звіт'!#REF!)*1.2</f>
        <v>#REF!</v>
      </c>
      <c r="I274" s="333" t="e">
        <f>('побудинковий звіт'!#REF!+'побудинковий звіт'!#REF!)*1.2</f>
        <v>#REF!</v>
      </c>
      <c r="J274" s="333" t="e">
        <f t="shared" si="18"/>
        <v>#REF!</v>
      </c>
      <c r="K274" s="354" t="e">
        <f t="shared" si="19"/>
        <v>#REF!</v>
      </c>
      <c r="L274" s="356" t="e">
        <f>'побудинковий звіт'!#REF!</f>
        <v>#REF!</v>
      </c>
      <c r="M274" s="363" t="e">
        <f>'побудинковий звіт'!#REF!*-1</f>
        <v>#REF!</v>
      </c>
    </row>
    <row r="275" spans="1:13" ht="20.100000000000001" customHeight="1" x14ac:dyDescent="0.3">
      <c r="A275" s="359" t="s">
        <v>721</v>
      </c>
      <c r="B275" s="298" t="s">
        <v>291</v>
      </c>
      <c r="C275" s="360">
        <v>5</v>
      </c>
      <c r="D275" s="350">
        <f>'побудинковий звіт'!CU257</f>
        <v>555318.00721052405</v>
      </c>
      <c r="E275" s="334">
        <f>'побудинковий звіт'!CV257</f>
        <v>491707.88439308142</v>
      </c>
      <c r="F275" s="334">
        <f t="shared" si="16"/>
        <v>-63610.122817442636</v>
      </c>
      <c r="G275" s="351">
        <f t="shared" si="17"/>
        <v>0.88545280003259885</v>
      </c>
      <c r="H275" s="345">
        <f>('побудинковий звіт'!AS257+'побудинковий звіт'!BQ257)*1.2</f>
        <v>188231.8949078302</v>
      </c>
      <c r="I275" s="333">
        <f>('побудинковий звіт'!AT257+'побудинковий звіт'!BR257)*1.2</f>
        <v>88395.559718664808</v>
      </c>
      <c r="J275" s="333">
        <f t="shared" si="18"/>
        <v>-99836.335189165387</v>
      </c>
      <c r="K275" s="354">
        <f t="shared" si="19"/>
        <v>0.46960989136271863</v>
      </c>
      <c r="L275" s="356">
        <f>'побудинковий звіт'!DE257</f>
        <v>18432.810000000005</v>
      </c>
      <c r="M275" s="363">
        <f>'побудинковий звіт'!DA257*-1</f>
        <v>4303.9463398244261</v>
      </c>
    </row>
    <row r="276" spans="1:13" ht="20.100000000000001" customHeight="1" x14ac:dyDescent="0.3">
      <c r="A276" s="359" t="s">
        <v>722</v>
      </c>
      <c r="B276" s="298" t="s">
        <v>422</v>
      </c>
      <c r="C276" s="360">
        <v>10</v>
      </c>
      <c r="D276" s="350">
        <f>'побудинковий звіт'!CU258</f>
        <v>411123.93258642365</v>
      </c>
      <c r="E276" s="334">
        <f>'побудинковий звіт'!CV258</f>
        <v>438185.02265860437</v>
      </c>
      <c r="F276" s="334">
        <f t="shared" si="16"/>
        <v>27061.090072180727</v>
      </c>
      <c r="G276" s="351">
        <f t="shared" si="17"/>
        <v>1.0658222203264514</v>
      </c>
      <c r="H276" s="345">
        <f>('побудинковий звіт'!AS258+'побудинковий звіт'!BQ258)*1.2</f>
        <v>124577.68567893091</v>
      </c>
      <c r="I276" s="333">
        <f>('побудинковий звіт'!AT258+'побудинковий звіт'!BR258)*1.2</f>
        <v>121125.41676828425</v>
      </c>
      <c r="J276" s="333">
        <f t="shared" si="18"/>
        <v>-3452.2689106466569</v>
      </c>
      <c r="K276" s="354">
        <f t="shared" si="19"/>
        <v>0.97228822407614757</v>
      </c>
      <c r="L276" s="356">
        <f>'побудинковий звіт'!DE258</f>
        <v>6662.4700000000012</v>
      </c>
      <c r="M276" s="363">
        <f>'побудинковий звіт'!DA258*-1</f>
        <v>13383.377394929441</v>
      </c>
    </row>
    <row r="277" spans="1:13" ht="20.100000000000001" customHeight="1" x14ac:dyDescent="0.3">
      <c r="A277" s="359" t="s">
        <v>723</v>
      </c>
      <c r="B277" s="298" t="s">
        <v>392</v>
      </c>
      <c r="C277" s="360">
        <v>9</v>
      </c>
      <c r="D277" s="350">
        <f>'побудинковий звіт'!CU259</f>
        <v>95334.227578268488</v>
      </c>
      <c r="E277" s="334">
        <f>'побудинковий звіт'!CV259</f>
        <v>77429.102808149415</v>
      </c>
      <c r="F277" s="334">
        <f t="shared" si="16"/>
        <v>-17905.124770119073</v>
      </c>
      <c r="G277" s="351">
        <f t="shared" si="17"/>
        <v>0.81218576764133177</v>
      </c>
      <c r="H277" s="345">
        <f>('побудинковий звіт'!AS259+'побудинковий звіт'!BQ259)*1.2</f>
        <v>28509.918203277819</v>
      </c>
      <c r="I277" s="333">
        <f>('побудинковий звіт'!AT259+'побудинковий звіт'!BR259)*1.2</f>
        <v>5098.8947844137847</v>
      </c>
      <c r="J277" s="333">
        <f t="shared" si="18"/>
        <v>-23411.023418864035</v>
      </c>
      <c r="K277" s="354">
        <f t="shared" si="19"/>
        <v>0.17884634912167369</v>
      </c>
      <c r="L277" s="356">
        <f>'побудинковий звіт'!DE259</f>
        <v>23953.879999999997</v>
      </c>
      <c r="M277" s="363">
        <f>'побудинковий звіт'!DA259*-1</f>
        <v>39481.854296613797</v>
      </c>
    </row>
    <row r="278" spans="1:13" ht="20.100000000000001" customHeight="1" x14ac:dyDescent="0.3">
      <c r="A278" s="359" t="s">
        <v>724</v>
      </c>
      <c r="B278" s="298" t="s">
        <v>198</v>
      </c>
      <c r="C278" s="360">
        <v>3</v>
      </c>
      <c r="D278" s="350">
        <f>'побудинковий звіт'!CU260</f>
        <v>311092.70470834163</v>
      </c>
      <c r="E278" s="334">
        <f>'побудинковий звіт'!CV260</f>
        <v>275386.9952864779</v>
      </c>
      <c r="F278" s="334">
        <f t="shared" si="16"/>
        <v>-35705.709421863721</v>
      </c>
      <c r="G278" s="351">
        <f t="shared" si="17"/>
        <v>0.88522485779491722</v>
      </c>
      <c r="H278" s="345">
        <f>('побудинковий звіт'!AS260+'побудинковий звіт'!BQ260)*1.2</f>
        <v>107108.45375693846</v>
      </c>
      <c r="I278" s="333">
        <f>('побудинковий звіт'!AT260+'побудинковий звіт'!BR260)*1.2</f>
        <v>46205.206401790099</v>
      </c>
      <c r="J278" s="333">
        <f t="shared" si="18"/>
        <v>-60903.247355148356</v>
      </c>
      <c r="K278" s="354">
        <f t="shared" si="19"/>
        <v>0.43138711073771746</v>
      </c>
      <c r="L278" s="356">
        <f>'побудинковий звіт'!DE260</f>
        <v>11895.960000000003</v>
      </c>
      <c r="M278" s="363">
        <f>'побудинковий звіт'!DA260*-1</f>
        <v>139915.99629462918</v>
      </c>
    </row>
    <row r="279" spans="1:13" ht="20.100000000000001" customHeight="1" x14ac:dyDescent="0.3">
      <c r="A279" s="359" t="s">
        <v>725</v>
      </c>
      <c r="B279" s="298" t="s">
        <v>199</v>
      </c>
      <c r="C279" s="360">
        <v>3</v>
      </c>
      <c r="D279" s="350">
        <f>'побудинковий звіт'!CU261</f>
        <v>87687.993066596187</v>
      </c>
      <c r="E279" s="334">
        <f>'побудинковий звіт'!CV261</f>
        <v>79682.576328363924</v>
      </c>
      <c r="F279" s="334">
        <f t="shared" si="16"/>
        <v>-8005.416738232263</v>
      </c>
      <c r="G279" s="351">
        <f t="shared" si="17"/>
        <v>0.90870566815057097</v>
      </c>
      <c r="H279" s="345">
        <f>('побудинковий звіт'!AS261+'побудинковий звіт'!BQ261)*1.2</f>
        <v>24791.013592298725</v>
      </c>
      <c r="I279" s="333">
        <f>('побудинковий звіт'!AT261+'побудинковий звіт'!BR261)*1.2</f>
        <v>10580.466193349503</v>
      </c>
      <c r="J279" s="333">
        <f t="shared" si="18"/>
        <v>-14210.547398949222</v>
      </c>
      <c r="K279" s="354">
        <f t="shared" si="19"/>
        <v>0.42678634957613437</v>
      </c>
      <c r="L279" s="356">
        <f>'побудинковий звіт'!DE261</f>
        <v>10958.900000000001</v>
      </c>
      <c r="M279" s="363">
        <f>'побудинковий звіт'!DA261*-1</f>
        <v>66746.456424829667</v>
      </c>
    </row>
    <row r="280" spans="1:13" ht="20.100000000000001" customHeight="1" x14ac:dyDescent="0.3">
      <c r="A280" s="359" t="s">
        <v>726</v>
      </c>
      <c r="B280" s="298" t="s">
        <v>135</v>
      </c>
      <c r="C280" s="360">
        <v>1</v>
      </c>
      <c r="D280" s="350">
        <f>'побудинковий звіт'!CU262</f>
        <v>252934.49070619658</v>
      </c>
      <c r="E280" s="334">
        <f>'побудинковий звіт'!CV262</f>
        <v>208012.32987253001</v>
      </c>
      <c r="F280" s="334">
        <f t="shared" si="16"/>
        <v>-44922.160833666567</v>
      </c>
      <c r="G280" s="351">
        <f t="shared" si="17"/>
        <v>0.82239606505129736</v>
      </c>
      <c r="H280" s="345">
        <f>('побудинковий звіт'!AS262+'побудинковий звіт'!BQ262)*1.2</f>
        <v>81152.167319488784</v>
      </c>
      <c r="I280" s="333">
        <f>('побудинковий звіт'!AT262+'побудинковий звіт'!BR262)*1.2</f>
        <v>16283.452906687146</v>
      </c>
      <c r="J280" s="333">
        <f t="shared" si="18"/>
        <v>-64868.714412801637</v>
      </c>
      <c r="K280" s="354">
        <f t="shared" si="19"/>
        <v>0.20065333366366736</v>
      </c>
      <c r="L280" s="356">
        <f>'побудинковий звіт'!DE262</f>
        <v>40504.380000000005</v>
      </c>
      <c r="M280" s="363">
        <f>'побудинковий звіт'!DA262*-1</f>
        <v>-41330.466761195246</v>
      </c>
    </row>
    <row r="281" spans="1:13" ht="20.100000000000001" customHeight="1" x14ac:dyDescent="0.3">
      <c r="A281" s="359" t="s">
        <v>727</v>
      </c>
      <c r="B281" s="298" t="s">
        <v>393</v>
      </c>
      <c r="C281" s="360">
        <v>9</v>
      </c>
      <c r="D281" s="350">
        <f>'побудинковий звіт'!CU263</f>
        <v>208858.99953020818</v>
      </c>
      <c r="E281" s="334">
        <f>'побудинковий звіт'!CV263</f>
        <v>182986.07709012763</v>
      </c>
      <c r="F281" s="334">
        <f t="shared" si="16"/>
        <v>-25872.922440080554</v>
      </c>
      <c r="G281" s="351">
        <f t="shared" si="17"/>
        <v>0.8761225396163097</v>
      </c>
      <c r="H281" s="345">
        <f>('побудинковий звіт'!AS263+'побудинковий звіт'!BQ263)*1.2</f>
        <v>58675.482330438514</v>
      </c>
      <c r="I281" s="333">
        <f>('побудинковий звіт'!AT263+'побудинковий звіт'!BR263)*1.2</f>
        <v>7225.2677488606732</v>
      </c>
      <c r="J281" s="333">
        <f t="shared" si="18"/>
        <v>-51450.214581577842</v>
      </c>
      <c r="K281" s="354">
        <f t="shared" si="19"/>
        <v>0.12313946919380483</v>
      </c>
      <c r="L281" s="356">
        <f>'побудинковий звіт'!DE263</f>
        <v>18977.950000000004</v>
      </c>
      <c r="M281" s="363">
        <f>'побудинковий звіт'!DA263*-1</f>
        <v>32650.754511267995</v>
      </c>
    </row>
    <row r="282" spans="1:13" ht="20.100000000000001" customHeight="1" x14ac:dyDescent="0.3">
      <c r="A282" s="359" t="s">
        <v>728</v>
      </c>
      <c r="B282" s="298" t="s">
        <v>136</v>
      </c>
      <c r="C282" s="360">
        <v>1</v>
      </c>
      <c r="D282" s="350">
        <f>'побудинковий звіт'!CU264</f>
        <v>77786.75683296546</v>
      </c>
      <c r="E282" s="334">
        <f>'побудинковий звіт'!CV264</f>
        <v>65167.426159960793</v>
      </c>
      <c r="F282" s="334">
        <f t="shared" si="16"/>
        <v>-12619.330673004668</v>
      </c>
      <c r="G282" s="351">
        <f t="shared" si="17"/>
        <v>0.83777019139514131</v>
      </c>
      <c r="H282" s="345">
        <f>('побудинковий звіт'!AS264+'побудинковий звіт'!BQ264)*1.2</f>
        <v>22013.897584037273</v>
      </c>
      <c r="I282" s="333">
        <f>('побудинковий звіт'!AT264+'побудинковий звіт'!BR264)*1.2</f>
        <v>3505.8544812604027</v>
      </c>
      <c r="J282" s="333">
        <f t="shared" si="18"/>
        <v>-18508.043102776872</v>
      </c>
      <c r="K282" s="354">
        <f t="shared" si="19"/>
        <v>0.159256418263823</v>
      </c>
      <c r="L282" s="356">
        <f>'побудинковий звіт'!DE264</f>
        <v>27859.22</v>
      </c>
      <c r="M282" s="363">
        <f>'побудинковий звіт'!DA264*-1</f>
        <v>-23582.507046598104</v>
      </c>
    </row>
    <row r="283" spans="1:13" ht="20.100000000000001" customHeight="1" x14ac:dyDescent="0.3">
      <c r="A283" s="359" t="s">
        <v>729</v>
      </c>
      <c r="B283" s="298" t="s">
        <v>186</v>
      </c>
      <c r="C283" s="360">
        <v>2</v>
      </c>
      <c r="D283" s="350">
        <f>'побудинковий звіт'!CU265</f>
        <v>195694.61502204582</v>
      </c>
      <c r="E283" s="334">
        <f>'побудинковий звіт'!CV265</f>
        <v>164374.10731712484</v>
      </c>
      <c r="F283" s="334">
        <f t="shared" si="16"/>
        <v>-31320.507704920979</v>
      </c>
      <c r="G283" s="351">
        <f t="shared" si="17"/>
        <v>0.83995212284511456</v>
      </c>
      <c r="H283" s="345">
        <f>('побудинковий звіт'!AS265+'побудинковий звіт'!BQ265)*1.2</f>
        <v>60654.908131023723</v>
      </c>
      <c r="I283" s="333">
        <f>('побудинковий звіт'!AT265+'побудинковий звіт'!BR265)*1.2</f>
        <v>11217.519779710588</v>
      </c>
      <c r="J283" s="333">
        <f t="shared" si="18"/>
        <v>-49437.388351313137</v>
      </c>
      <c r="K283" s="354">
        <f t="shared" si="19"/>
        <v>0.18494001764010687</v>
      </c>
      <c r="L283" s="356">
        <f>'побудинковий звіт'!DE265</f>
        <v>25652.910000000003</v>
      </c>
      <c r="M283" s="363">
        <f>'побудинковий звіт'!DA265*-1</f>
        <v>-111058.69466661583</v>
      </c>
    </row>
    <row r="284" spans="1:13" ht="20.100000000000001" customHeight="1" x14ac:dyDescent="0.3">
      <c r="A284" s="359" t="s">
        <v>730</v>
      </c>
      <c r="B284" s="298" t="s">
        <v>137</v>
      </c>
      <c r="C284" s="360">
        <v>1</v>
      </c>
      <c r="D284" s="350" t="e">
        <f>'побудинковий звіт'!#REF!</f>
        <v>#REF!</v>
      </c>
      <c r="E284" s="334" t="e">
        <f>'побудинковий звіт'!#REF!</f>
        <v>#REF!</v>
      </c>
      <c r="F284" s="334" t="e">
        <f t="shared" si="16"/>
        <v>#REF!</v>
      </c>
      <c r="G284" s="351" t="e">
        <f t="shared" si="17"/>
        <v>#REF!</v>
      </c>
      <c r="H284" s="345" t="e">
        <f>('побудинковий звіт'!#REF!+'побудинковий звіт'!#REF!)*1.2</f>
        <v>#REF!</v>
      </c>
      <c r="I284" s="333" t="e">
        <f>('побудинковий звіт'!#REF!+'побудинковий звіт'!#REF!)*1.2</f>
        <v>#REF!</v>
      </c>
      <c r="J284" s="333" t="e">
        <f t="shared" si="18"/>
        <v>#REF!</v>
      </c>
      <c r="K284" s="354" t="e">
        <f t="shared" si="19"/>
        <v>#REF!</v>
      </c>
      <c r="L284" s="356" t="e">
        <f>'побудинковий звіт'!#REF!</f>
        <v>#REF!</v>
      </c>
      <c r="M284" s="363" t="e">
        <f>'побудинковий звіт'!#REF!*-1</f>
        <v>#REF!</v>
      </c>
    </row>
    <row r="285" spans="1:13" ht="20.100000000000001" customHeight="1" x14ac:dyDescent="0.3">
      <c r="A285" s="359" t="s">
        <v>731</v>
      </c>
      <c r="B285" s="298" t="s">
        <v>138</v>
      </c>
      <c r="C285" s="360">
        <v>1</v>
      </c>
      <c r="D285" s="350">
        <f>'побудинковий звіт'!CU266</f>
        <v>159042.80756655935</v>
      </c>
      <c r="E285" s="334">
        <f>'побудинковий звіт'!CV266</f>
        <v>119923.29665411098</v>
      </c>
      <c r="F285" s="334">
        <f t="shared" si="16"/>
        <v>-39119.510912448372</v>
      </c>
      <c r="G285" s="351">
        <f t="shared" si="17"/>
        <v>0.75403156225045342</v>
      </c>
      <c r="H285" s="345">
        <f>('побудинковий звіт'!AS266+'побудинковий звіт'!BQ266)*1.2</f>
        <v>48487.337954811672</v>
      </c>
      <c r="I285" s="333">
        <f>('побудинковий звіт'!AT266+'побудинковий звіт'!BR266)*1.2</f>
        <v>1131.7543281926112</v>
      </c>
      <c r="J285" s="333">
        <f t="shared" si="18"/>
        <v>-47355.58362661906</v>
      </c>
      <c r="K285" s="354">
        <f t="shared" si="19"/>
        <v>2.3341234555862039E-2</v>
      </c>
      <c r="L285" s="356">
        <f>'побудинковий звіт'!DE266</f>
        <v>41448</v>
      </c>
      <c r="M285" s="363">
        <f>'побудинковий звіт'!DA266*-1</f>
        <v>-74133.822096127798</v>
      </c>
    </row>
    <row r="286" spans="1:13" ht="20.100000000000001" customHeight="1" x14ac:dyDescent="0.3">
      <c r="A286" s="359" t="s">
        <v>732</v>
      </c>
      <c r="B286" s="298" t="s">
        <v>139</v>
      </c>
      <c r="C286" s="360">
        <v>1</v>
      </c>
      <c r="D286" s="350" t="e">
        <f>'побудинковий звіт'!#REF!</f>
        <v>#REF!</v>
      </c>
      <c r="E286" s="334" t="e">
        <f>'побудинковий звіт'!#REF!</f>
        <v>#REF!</v>
      </c>
      <c r="F286" s="334" t="e">
        <f t="shared" si="16"/>
        <v>#REF!</v>
      </c>
      <c r="G286" s="351" t="e">
        <f t="shared" si="17"/>
        <v>#REF!</v>
      </c>
      <c r="H286" s="345" t="e">
        <f>('побудинковий звіт'!#REF!+'побудинковий звіт'!#REF!)*1.2</f>
        <v>#REF!</v>
      </c>
      <c r="I286" s="333" t="e">
        <f>('побудинковий звіт'!#REF!+'побудинковий звіт'!#REF!)*1.2</f>
        <v>#REF!</v>
      </c>
      <c r="J286" s="333" t="e">
        <f t="shared" si="18"/>
        <v>#REF!</v>
      </c>
      <c r="K286" s="354" t="e">
        <f t="shared" si="19"/>
        <v>#REF!</v>
      </c>
      <c r="L286" s="356" t="e">
        <f>'побудинковий звіт'!#REF!</f>
        <v>#REF!</v>
      </c>
      <c r="M286" s="363" t="e">
        <f>'побудинковий звіт'!#REF!*-1</f>
        <v>#REF!</v>
      </c>
    </row>
    <row r="287" spans="1:13" ht="20.100000000000001" customHeight="1" x14ac:dyDescent="0.3">
      <c r="A287" s="359" t="s">
        <v>733</v>
      </c>
      <c r="B287" s="298" t="s">
        <v>225</v>
      </c>
      <c r="C287" s="360">
        <v>4</v>
      </c>
      <c r="D287" s="350">
        <f>'побудинковий звіт'!CU267</f>
        <v>19829.090450045325</v>
      </c>
      <c r="E287" s="334">
        <f>'побудинковий звіт'!CV267</f>
        <v>15931.050961743576</v>
      </c>
      <c r="F287" s="334">
        <f t="shared" si="16"/>
        <v>-3898.0394883017489</v>
      </c>
      <c r="G287" s="351">
        <f t="shared" si="17"/>
        <v>0.80341813972143949</v>
      </c>
      <c r="H287" s="345">
        <f>('побудинковий звіт'!AS267+'побудинковий звіт'!BQ267)*1.2</f>
        <v>5945.1061437957724</v>
      </c>
      <c r="I287" s="333">
        <f>('побудинковий звіт'!AT267+'побудинковий звіт'!BR267)*1.2</f>
        <v>617.42611251359995</v>
      </c>
      <c r="J287" s="333">
        <f t="shared" si="18"/>
        <v>-5327.6800312821724</v>
      </c>
      <c r="K287" s="354">
        <f t="shared" si="19"/>
        <v>0.10385451455024684</v>
      </c>
      <c r="L287" s="356">
        <f>'побудинковий звіт'!DE267</f>
        <v>9635.41</v>
      </c>
      <c r="M287" s="363">
        <f>'побудинковий звіт'!DA267*-1</f>
        <v>23518.052610325387</v>
      </c>
    </row>
    <row r="288" spans="1:13" ht="20.100000000000001" customHeight="1" x14ac:dyDescent="0.3">
      <c r="A288" s="359" t="s">
        <v>734</v>
      </c>
      <c r="B288" s="298" t="s">
        <v>423</v>
      </c>
      <c r="C288" s="360">
        <v>10</v>
      </c>
      <c r="D288" s="350">
        <f>'побудинковий звіт'!CU268</f>
        <v>114216.538966181</v>
      </c>
      <c r="E288" s="334">
        <f>'побудинковий звіт'!CV268</f>
        <v>197903.05454069746</v>
      </c>
      <c r="F288" s="334">
        <f t="shared" si="16"/>
        <v>83686.515574516452</v>
      </c>
      <c r="G288" s="351">
        <f t="shared" si="17"/>
        <v>1.7327005032020419</v>
      </c>
      <c r="H288" s="345">
        <f>('побудинковий звіт'!AS268+'побудинковий звіт'!BQ268)*1.2</f>
        <v>23963.290587096028</v>
      </c>
      <c r="I288" s="333">
        <f>('побудинковий звіт'!AT268+'побудинковий звіт'!BR268)*1.2</f>
        <v>100473.93751083034</v>
      </c>
      <c r="J288" s="333">
        <f t="shared" si="18"/>
        <v>76510.646923734312</v>
      </c>
      <c r="K288" s="354">
        <f t="shared" si="19"/>
        <v>4.1928272390493175</v>
      </c>
      <c r="L288" s="356">
        <f>'побудинковий звіт'!DE268</f>
        <v>14114.679999999998</v>
      </c>
      <c r="M288" s="363">
        <f>'побудинковий звіт'!DA268*-1</f>
        <v>-75340.09406913603</v>
      </c>
    </row>
    <row r="289" spans="1:13" ht="20.100000000000001" customHeight="1" x14ac:dyDescent="0.3">
      <c r="A289" s="359" t="s">
        <v>735</v>
      </c>
      <c r="B289" s="298" t="s">
        <v>394</v>
      </c>
      <c r="C289" s="360">
        <v>9</v>
      </c>
      <c r="D289" s="350">
        <f>'побудинковий звіт'!CU269</f>
        <v>247303.81466330035</v>
      </c>
      <c r="E289" s="334">
        <f>'побудинковий звіт'!CV269</f>
        <v>370199.20124114264</v>
      </c>
      <c r="F289" s="334">
        <f t="shared" si="16"/>
        <v>122895.38657784229</v>
      </c>
      <c r="G289" s="351">
        <f t="shared" si="17"/>
        <v>1.4969409256592427</v>
      </c>
      <c r="H289" s="345">
        <f>('побудинковий звіт'!AS269+'побудинковий звіт'!BQ269)*1.2</f>
        <v>75185.215372736697</v>
      </c>
      <c r="I289" s="333">
        <f>('побудинковий звіт'!AT269+'побудинковий звіт'!BR269)*1.2</f>
        <v>172212.93795353002</v>
      </c>
      <c r="J289" s="333">
        <f t="shared" si="18"/>
        <v>97027.722580793328</v>
      </c>
      <c r="K289" s="354">
        <f t="shared" si="19"/>
        <v>2.2905159890780475</v>
      </c>
      <c r="L289" s="356">
        <f>'побудинковий звіт'!DE269</f>
        <v>64430.590000000004</v>
      </c>
      <c r="M289" s="363">
        <f>'побудинковий звіт'!DA269*-1</f>
        <v>-86937.719147165713</v>
      </c>
    </row>
    <row r="290" spans="1:13" ht="20.100000000000001" customHeight="1" x14ac:dyDescent="0.3">
      <c r="A290" s="359" t="s">
        <v>736</v>
      </c>
      <c r="B290" s="298" t="s">
        <v>292</v>
      </c>
      <c r="C290" s="360">
        <v>5</v>
      </c>
      <c r="D290" s="350">
        <f>'побудинковий звіт'!CU270</f>
        <v>158135.7144443233</v>
      </c>
      <c r="E290" s="334">
        <f>'побудинковий звіт'!CV270</f>
        <v>137647.25259832849</v>
      </c>
      <c r="F290" s="334">
        <f t="shared" si="16"/>
        <v>-20488.461845994811</v>
      </c>
      <c r="G290" s="351">
        <f t="shared" si="17"/>
        <v>0.87043747885801959</v>
      </c>
      <c r="H290" s="345">
        <f>('побудинковий звіт'!AS270+'побудинковий звіт'!BQ270)*1.2</f>
        <v>54464.351644736533</v>
      </c>
      <c r="I290" s="333">
        <f>('побудинковий звіт'!AT270+'побудинковий звіт'!BR270)*1.2</f>
        <v>26975.504401313701</v>
      </c>
      <c r="J290" s="333">
        <f t="shared" si="18"/>
        <v>-27488.847243422832</v>
      </c>
      <c r="K290" s="354">
        <f t="shared" si="19"/>
        <v>0.49528735010509634</v>
      </c>
      <c r="L290" s="356">
        <f>'побудинковий звіт'!DE270</f>
        <v>9218.489999999998</v>
      </c>
      <c r="M290" s="363">
        <f>'побудинковий звіт'!DA270*-1</f>
        <v>79368.781077859865</v>
      </c>
    </row>
    <row r="291" spans="1:13" ht="20.100000000000001" customHeight="1" x14ac:dyDescent="0.3">
      <c r="A291" s="359" t="s">
        <v>737</v>
      </c>
      <c r="B291" s="298" t="s">
        <v>293</v>
      </c>
      <c r="C291" s="360">
        <v>5</v>
      </c>
      <c r="D291" s="350">
        <f>'побудинковий звіт'!CU271</f>
        <v>169834.0931028653</v>
      </c>
      <c r="E291" s="334">
        <f>'побудинковий звіт'!CV271</f>
        <v>161999.1470953406</v>
      </c>
      <c r="F291" s="334">
        <f t="shared" si="16"/>
        <v>-7834.9460075247043</v>
      </c>
      <c r="G291" s="351">
        <f t="shared" si="17"/>
        <v>0.95386706011507816</v>
      </c>
      <c r="H291" s="345">
        <f>('побудинковий звіт'!AS271+'побудинковий звіт'!BQ271)*1.2</f>
        <v>50994.784632268311</v>
      </c>
      <c r="I291" s="333">
        <f>('побудинковий звіт'!AT271+'побудинковий звіт'!BR271)*1.2</f>
        <v>27610.557625028334</v>
      </c>
      <c r="J291" s="333">
        <f t="shared" si="18"/>
        <v>-23384.227007239977</v>
      </c>
      <c r="K291" s="354">
        <f t="shared" si="19"/>
        <v>0.54143885152437754</v>
      </c>
      <c r="L291" s="356">
        <f>'побудинковий звіт'!DE271</f>
        <v>48477.599999999999</v>
      </c>
      <c r="M291" s="363">
        <f>'побудинковий звіт'!DA271*-1</f>
        <v>52213.331298868805</v>
      </c>
    </row>
    <row r="292" spans="1:13" ht="20.100000000000001" customHeight="1" x14ac:dyDescent="0.3">
      <c r="A292" s="359" t="s">
        <v>738</v>
      </c>
      <c r="B292" s="298" t="s">
        <v>226</v>
      </c>
      <c r="C292" s="360">
        <v>4</v>
      </c>
      <c r="D292" s="350">
        <f>'побудинковий звіт'!CU272</f>
        <v>186102.18839672708</v>
      </c>
      <c r="E292" s="334">
        <f>'побудинковий звіт'!CV272</f>
        <v>196293.01060246531</v>
      </c>
      <c r="F292" s="334">
        <f t="shared" si="16"/>
        <v>10190.822205738223</v>
      </c>
      <c r="G292" s="351">
        <f t="shared" si="17"/>
        <v>1.0547592819489782</v>
      </c>
      <c r="H292" s="345">
        <f>('побудинковий звіт'!AS272+'побудинковий звіт'!BQ272)*1.2</f>
        <v>55684.172255955993</v>
      </c>
      <c r="I292" s="333">
        <f>('побудинковий звіт'!AT272+'побудинковий звіт'!BR272)*1.2</f>
        <v>41471.70720718697</v>
      </c>
      <c r="J292" s="333">
        <f t="shared" si="18"/>
        <v>-14212.465048769023</v>
      </c>
      <c r="K292" s="354">
        <f t="shared" si="19"/>
        <v>0.74476652030597701</v>
      </c>
      <c r="L292" s="356">
        <f>'побудинковий звіт'!DE272</f>
        <v>17168.949999999997</v>
      </c>
      <c r="M292" s="363">
        <f>'побудинковий звіт'!DA272*-1</f>
        <v>-31973.137445785724</v>
      </c>
    </row>
    <row r="293" spans="1:13" ht="20.100000000000001" customHeight="1" x14ac:dyDescent="0.3">
      <c r="A293" s="359" t="s">
        <v>739</v>
      </c>
      <c r="B293" s="298" t="s">
        <v>294</v>
      </c>
      <c r="C293" s="360">
        <v>5</v>
      </c>
      <c r="D293" s="350">
        <f>'побудинковий звіт'!CU273</f>
        <v>164313.88392156505</v>
      </c>
      <c r="E293" s="334">
        <f>'побудинковий звіт'!CV273</f>
        <v>144497.70502998677</v>
      </c>
      <c r="F293" s="334">
        <f t="shared" si="16"/>
        <v>-19816.178891578282</v>
      </c>
      <c r="G293" s="351">
        <f t="shared" si="17"/>
        <v>0.87940045954340962</v>
      </c>
      <c r="H293" s="345">
        <f>('побудинковий звіт'!AS273+'побудинковий звіт'!BQ273)*1.2</f>
        <v>41736.266490768139</v>
      </c>
      <c r="I293" s="333">
        <f>('побудинковий звіт'!AT273+'побудинковий звіт'!BR273)*1.2</f>
        <v>6602.127987445595</v>
      </c>
      <c r="J293" s="333">
        <f t="shared" si="18"/>
        <v>-35134.138503322545</v>
      </c>
      <c r="K293" s="354">
        <f t="shared" si="19"/>
        <v>0.1581868370738421</v>
      </c>
      <c r="L293" s="356">
        <f>'побудинковий звіт'!DE273</f>
        <v>64079.119999999995</v>
      </c>
      <c r="M293" s="363">
        <f>'побудинковий звіт'!DA273*-1</f>
        <v>1507.1636646315455</v>
      </c>
    </row>
    <row r="294" spans="1:13" ht="20.100000000000001" customHeight="1" x14ac:dyDescent="0.3">
      <c r="A294" s="359" t="s">
        <v>740</v>
      </c>
      <c r="B294" s="298" t="s">
        <v>295</v>
      </c>
      <c r="C294" s="360">
        <v>5</v>
      </c>
      <c r="D294" s="350">
        <f>'побудинковий звіт'!CU274</f>
        <v>180548.32755158274</v>
      </c>
      <c r="E294" s="334">
        <f>'побудинковий звіт'!CV274</f>
        <v>314716.28592404106</v>
      </c>
      <c r="F294" s="334">
        <f t="shared" si="16"/>
        <v>134167.95837245832</v>
      </c>
      <c r="G294" s="351">
        <f t="shared" si="17"/>
        <v>1.7431138254887821</v>
      </c>
      <c r="H294" s="345">
        <f>('побудинковий звіт'!AS274+'побудинковий звіт'!BQ274)*1.2</f>
        <v>58894.571927122161</v>
      </c>
      <c r="I294" s="333">
        <f>('побудинковий звіт'!AT274+'побудинковий звіт'!BR274)*1.2</f>
        <v>178408.93065181415</v>
      </c>
      <c r="J294" s="333">
        <f t="shared" si="18"/>
        <v>119514.35872469199</v>
      </c>
      <c r="K294" s="354">
        <f t="shared" si="19"/>
        <v>3.0292932746430776</v>
      </c>
      <c r="L294" s="356">
        <f>'побудинковий звіт'!DE274</f>
        <v>39764.42</v>
      </c>
      <c r="M294" s="363">
        <f>'побудинковий звіт'!DA274*-1</f>
        <v>-71197.961841830926</v>
      </c>
    </row>
    <row r="295" spans="1:13" ht="20.100000000000001" customHeight="1" x14ac:dyDescent="0.3">
      <c r="A295" s="359" t="s">
        <v>741</v>
      </c>
      <c r="B295" s="298" t="s">
        <v>227</v>
      </c>
      <c r="C295" s="360">
        <v>4</v>
      </c>
      <c r="D295" s="350">
        <f>'побудинковий звіт'!CU275</f>
        <v>22265.492722025614</v>
      </c>
      <c r="E295" s="334">
        <f>'побудинковий звіт'!CV275</f>
        <v>25520.545279832568</v>
      </c>
      <c r="F295" s="334">
        <f t="shared" si="16"/>
        <v>3255.0525578069537</v>
      </c>
      <c r="G295" s="351">
        <f t="shared" si="17"/>
        <v>1.1461927026922234</v>
      </c>
      <c r="H295" s="345">
        <f>('побудинковий звіт'!AS275+'побудинковий звіт'!BQ275)*1.2</f>
        <v>7072.8948992423348</v>
      </c>
      <c r="I295" s="333">
        <f>('побудинковий звіт'!AT275+'побудинковий звіт'!BR275)*1.2</f>
        <v>2394.4554643310221</v>
      </c>
      <c r="J295" s="333">
        <f t="shared" si="18"/>
        <v>-4678.4394349113127</v>
      </c>
      <c r="K295" s="354">
        <f t="shared" si="19"/>
        <v>0.33853966423105225</v>
      </c>
      <c r="L295" s="356">
        <f>'побудинковий звіт'!DE275</f>
        <v>5042.3099999999995</v>
      </c>
      <c r="M295" s="363">
        <f>'побудинковий звіт'!DA275*-1</f>
        <v>-36853.999367379103</v>
      </c>
    </row>
    <row r="296" spans="1:13" ht="20.100000000000001" customHeight="1" x14ac:dyDescent="0.3">
      <c r="A296" s="359" t="s">
        <v>742</v>
      </c>
      <c r="B296" s="298" t="s">
        <v>296</v>
      </c>
      <c r="C296" s="360">
        <v>5</v>
      </c>
      <c r="D296" s="350">
        <f>'побудинковий звіт'!CU276</f>
        <v>197026.43448298273</v>
      </c>
      <c r="E296" s="334">
        <f>'побудинковий звіт'!CV276</f>
        <v>201018.83548398016</v>
      </c>
      <c r="F296" s="334">
        <f t="shared" si="16"/>
        <v>3992.4010009974299</v>
      </c>
      <c r="G296" s="351">
        <f t="shared" si="17"/>
        <v>1.0202632758973378</v>
      </c>
      <c r="H296" s="345">
        <f>('побудинковий звіт'!AS276+'побудинковий звіт'!BQ276)*1.2</f>
        <v>52130.598226662776</v>
      </c>
      <c r="I296" s="333">
        <f>('побудинковий звіт'!AT276+'побудинковий звіт'!BR276)*1.2</f>
        <v>42430.232453176817</v>
      </c>
      <c r="J296" s="333">
        <f t="shared" si="18"/>
        <v>-9700.3657734859589</v>
      </c>
      <c r="K296" s="354">
        <f t="shared" si="19"/>
        <v>0.81392184046480787</v>
      </c>
      <c r="L296" s="356">
        <f>'побудинковий звіт'!DE276</f>
        <v>41234.9</v>
      </c>
      <c r="M296" s="363">
        <f>'побудинковий звіт'!DA276*-1</f>
        <v>-28707.082449025853</v>
      </c>
    </row>
    <row r="297" spans="1:13" ht="20.100000000000001" customHeight="1" x14ac:dyDescent="0.3">
      <c r="A297" s="359" t="s">
        <v>743</v>
      </c>
      <c r="B297" s="298" t="s">
        <v>228</v>
      </c>
      <c r="C297" s="360">
        <v>4</v>
      </c>
      <c r="D297" s="350">
        <f>'побудинковий звіт'!CU277</f>
        <v>168880.09600338293</v>
      </c>
      <c r="E297" s="334">
        <f>'побудинковий звіт'!CV277</f>
        <v>159873.47427168189</v>
      </c>
      <c r="F297" s="334">
        <f t="shared" si="16"/>
        <v>-9006.6217317010451</v>
      </c>
      <c r="G297" s="351">
        <f t="shared" si="17"/>
        <v>0.94666854209082973</v>
      </c>
      <c r="H297" s="345">
        <f>('побудинковий звіт'!AS277+'побудинковий звіт'!BQ277)*1.2</f>
        <v>40306.441336821394</v>
      </c>
      <c r="I297" s="333">
        <f>('побудинковий звіт'!AT277+'побудинковий звіт'!BR277)*1.2</f>
        <v>12731.249869677378</v>
      </c>
      <c r="J297" s="333">
        <f t="shared" si="18"/>
        <v>-27575.191467144017</v>
      </c>
      <c r="K297" s="354">
        <f t="shared" si="19"/>
        <v>0.31586142183301408</v>
      </c>
      <c r="L297" s="356">
        <f>'побудинковий звіт'!DE277</f>
        <v>-261.04999999999927</v>
      </c>
      <c r="M297" s="363">
        <f>'побудинковий звіт'!DA277*-1</f>
        <v>-41585.861358174006</v>
      </c>
    </row>
    <row r="298" spans="1:13" ht="20.100000000000001" customHeight="1" x14ac:dyDescent="0.3">
      <c r="A298" s="359" t="s">
        <v>744</v>
      </c>
      <c r="B298" s="298" t="s">
        <v>187</v>
      </c>
      <c r="C298" s="360">
        <v>2</v>
      </c>
      <c r="D298" s="350">
        <f>'побудинковий звіт'!CU278</f>
        <v>172950.93106805423</v>
      </c>
      <c r="E298" s="334">
        <f>'побудинковий звіт'!CV278</f>
        <v>149716.87482597696</v>
      </c>
      <c r="F298" s="334">
        <f t="shared" si="16"/>
        <v>-23234.056242077262</v>
      </c>
      <c r="G298" s="351">
        <f t="shared" si="17"/>
        <v>0.86566099356276416</v>
      </c>
      <c r="H298" s="345">
        <f>('побудинковий звіт'!AS278+'побудинковий звіт'!BQ278)*1.2</f>
        <v>44514.276898341268</v>
      </c>
      <c r="I298" s="333">
        <f>('побудинковий звіт'!AT278+'побудинковий звіт'!BR278)*1.2</f>
        <v>9774.2443518783621</v>
      </c>
      <c r="J298" s="333">
        <f t="shared" si="18"/>
        <v>-34740.032546462906</v>
      </c>
      <c r="K298" s="354">
        <f t="shared" si="19"/>
        <v>0.21957549426670747</v>
      </c>
      <c r="L298" s="356">
        <f>'побудинковий звіт'!DE278</f>
        <v>31184.449999999997</v>
      </c>
      <c r="M298" s="363">
        <f>'побудинковий звіт'!DA278*-1</f>
        <v>77959.885910597543</v>
      </c>
    </row>
    <row r="299" spans="1:13" ht="20.100000000000001" customHeight="1" x14ac:dyDescent="0.3">
      <c r="A299" s="359" t="s">
        <v>745</v>
      </c>
      <c r="B299" s="298" t="s">
        <v>297</v>
      </c>
      <c r="C299" s="360">
        <v>5</v>
      </c>
      <c r="D299" s="350">
        <f>'побудинковий звіт'!CU279</f>
        <v>347503.77432749182</v>
      </c>
      <c r="E299" s="334">
        <f>'побудинковий звіт'!CV279</f>
        <v>250045.78971542369</v>
      </c>
      <c r="F299" s="334">
        <f t="shared" ref="F299:F361" si="20">E299-D299</f>
        <v>-97457.984612068132</v>
      </c>
      <c r="G299" s="351">
        <f t="shared" ref="G299:G361" si="21">E299/D299</f>
        <v>0.71954841411241033</v>
      </c>
      <c r="H299" s="345">
        <f>('побудинковий звіт'!AS279+'побудинковий звіт'!BQ279)*1.2</f>
        <v>132300.39132985292</v>
      </c>
      <c r="I299" s="333">
        <f>('побудинковий звіт'!AT279+'побудинковий звіт'!BR279)*1.2</f>
        <v>3768.2080705251888</v>
      </c>
      <c r="J299" s="333">
        <f t="shared" ref="J299:J361" si="22">I299-H299</f>
        <v>-128532.18325932774</v>
      </c>
      <c r="K299" s="354">
        <f t="shared" ref="K299:K361" si="23">I299/H299</f>
        <v>2.8482214093609497E-2</v>
      </c>
      <c r="L299" s="356">
        <f>'побудинковий звіт'!DE279</f>
        <v>82643.39</v>
      </c>
      <c r="M299" s="363">
        <f>'побудинковий звіт'!DA279*-1</f>
        <v>150122.22963069443</v>
      </c>
    </row>
    <row r="300" spans="1:13" ht="20.100000000000001" customHeight="1" x14ac:dyDescent="0.3">
      <c r="A300" s="359" t="s">
        <v>746</v>
      </c>
      <c r="B300" s="298" t="s">
        <v>298</v>
      </c>
      <c r="C300" s="360">
        <v>5</v>
      </c>
      <c r="D300" s="350">
        <f>'побудинковий звіт'!CU280</f>
        <v>3802.8999050642792</v>
      </c>
      <c r="E300" s="334">
        <f>'побудинковий звіт'!CV280</f>
        <v>2870.653206283188</v>
      </c>
      <c r="F300" s="334">
        <f t="shared" si="20"/>
        <v>-932.24669878109125</v>
      </c>
      <c r="G300" s="351">
        <f t="shared" si="21"/>
        <v>0.75485899654113198</v>
      </c>
      <c r="H300" s="345">
        <f>('побудинковий звіт'!AS280+'побудинковий звіт'!BQ280)*1.2</f>
        <v>3094.8511999662842</v>
      </c>
      <c r="I300" s="333">
        <f>('побудинковий звіт'!AT280+'побудинковий звіт'!BR280)*1.2</f>
        <v>2129.7803181091008</v>
      </c>
      <c r="J300" s="333">
        <f t="shared" si="22"/>
        <v>-965.07088185718339</v>
      </c>
      <c r="K300" s="354">
        <f t="shared" si="23"/>
        <v>0.68816889100590783</v>
      </c>
      <c r="L300" s="356">
        <f>'побудинковий звіт'!DE280</f>
        <v>0</v>
      </c>
      <c r="M300" s="363">
        <f>'побудинковий звіт'!DA280*-1</f>
        <v>5924.4465360949325</v>
      </c>
    </row>
    <row r="301" spans="1:13" ht="20.100000000000001" customHeight="1" x14ac:dyDescent="0.3">
      <c r="A301" s="359" t="s">
        <v>747</v>
      </c>
      <c r="B301" s="298" t="s">
        <v>299</v>
      </c>
      <c r="C301" s="360">
        <v>5</v>
      </c>
      <c r="D301" s="350">
        <f>'побудинковий звіт'!CU281</f>
        <v>4615.0597066140735</v>
      </c>
      <c r="E301" s="334">
        <f>'побудинковий звіт'!CV281</f>
        <v>11404.427081307878</v>
      </c>
      <c r="F301" s="334">
        <f t="shared" si="20"/>
        <v>6789.3673746938048</v>
      </c>
      <c r="G301" s="351">
        <f t="shared" si="21"/>
        <v>2.4711331610647682</v>
      </c>
      <c r="H301" s="345">
        <f>('побудинковий звіт'!AS281+'побудинковий звіт'!BQ281)*1.2</f>
        <v>3797.1183295362812</v>
      </c>
      <c r="I301" s="333">
        <f>('побудинковий звіт'!AT281+'побудинковий звіт'!BR281)*1.2</f>
        <v>10555.697441730135</v>
      </c>
      <c r="J301" s="333">
        <f t="shared" si="22"/>
        <v>6758.5791121938546</v>
      </c>
      <c r="K301" s="354">
        <f t="shared" si="23"/>
        <v>2.7799232274700372</v>
      </c>
      <c r="L301" s="356">
        <f>'побудинковий звіт'!DE281</f>
        <v>318.10000000000002</v>
      </c>
      <c r="M301" s="363">
        <f>'побудинковий звіт'!DA281*-1</f>
        <v>1522.7027064360846</v>
      </c>
    </row>
    <row r="302" spans="1:13" ht="20.100000000000001" customHeight="1" x14ac:dyDescent="0.3">
      <c r="A302" s="359" t="s">
        <v>748</v>
      </c>
      <c r="B302" s="298" t="s">
        <v>300</v>
      </c>
      <c r="C302" s="360">
        <v>5</v>
      </c>
      <c r="D302" s="350">
        <f>'побудинковий звіт'!CU282</f>
        <v>6138.9449455760814</v>
      </c>
      <c r="E302" s="334">
        <f>'побудинковий звіт'!CV282</f>
        <v>5055.6561851997421</v>
      </c>
      <c r="F302" s="334">
        <f t="shared" si="20"/>
        <v>-1083.2887603763393</v>
      </c>
      <c r="G302" s="351">
        <f t="shared" si="21"/>
        <v>0.82353828386146521</v>
      </c>
      <c r="H302" s="345">
        <f>('побудинковий звіт'!AS282+'побудинковий звіт'!BQ282)*1.2</f>
        <v>4835.3726117992428</v>
      </c>
      <c r="I302" s="333">
        <f>('побудинковий звіт'!AT282+'побудинковий звіт'!BR282)*1.2</f>
        <v>3649.3913546873459</v>
      </c>
      <c r="J302" s="333">
        <f t="shared" si="22"/>
        <v>-1185.9812571118969</v>
      </c>
      <c r="K302" s="354">
        <f t="shared" si="23"/>
        <v>0.75472805255630693</v>
      </c>
      <c r="L302" s="356">
        <f>'побудинковий звіт'!DE282</f>
        <v>29.92999999999995</v>
      </c>
      <c r="M302" s="363">
        <f>'побудинковий звіт'!DA282*-1</f>
        <v>13217.028524764421</v>
      </c>
    </row>
    <row r="303" spans="1:13" ht="20.100000000000001" customHeight="1" x14ac:dyDescent="0.3">
      <c r="A303" s="359" t="s">
        <v>749</v>
      </c>
      <c r="B303" s="298" t="s">
        <v>301</v>
      </c>
      <c r="C303" s="360">
        <v>5</v>
      </c>
      <c r="D303" s="350">
        <f>'побудинковий звіт'!CU283</f>
        <v>4534.6100847893622</v>
      </c>
      <c r="E303" s="334">
        <f>'побудинковий звіт'!CV283</f>
        <v>2510.8764793947107</v>
      </c>
      <c r="F303" s="334">
        <f t="shared" si="20"/>
        <v>-2023.7336053946515</v>
      </c>
      <c r="G303" s="351">
        <f t="shared" si="21"/>
        <v>0.55371386567878278</v>
      </c>
      <c r="H303" s="345">
        <f>('побудинковий звіт'!AS283+'побудинковий звіт'!BQ283)*1.2</f>
        <v>3770.298841481791</v>
      </c>
      <c r="I303" s="333">
        <f>('побудинковий звіт'!AT283+'побудинковий звіт'!BR283)*1.2</f>
        <v>1774.5365251554581</v>
      </c>
      <c r="J303" s="333">
        <f t="shared" si="22"/>
        <v>-1995.7623163263329</v>
      </c>
      <c r="K303" s="354">
        <f t="shared" si="23"/>
        <v>0.47066203496432535</v>
      </c>
      <c r="L303" s="356">
        <f>'побудинковий звіт'!DE283</f>
        <v>1317.67</v>
      </c>
      <c r="M303" s="363">
        <f>'побудинковий звіт'!DA283*-1</f>
        <v>10781.804398905251</v>
      </c>
    </row>
    <row r="304" spans="1:13" ht="20.100000000000001" customHeight="1" x14ac:dyDescent="0.3">
      <c r="A304" s="359" t="s">
        <v>750</v>
      </c>
      <c r="B304" s="298" t="s">
        <v>302</v>
      </c>
      <c r="C304" s="360">
        <v>5</v>
      </c>
      <c r="D304" s="350">
        <f>'побудинковий звіт'!CU284</f>
        <v>9038.5079954744815</v>
      </c>
      <c r="E304" s="334">
        <f>'побудинковий звіт'!CV284</f>
        <v>5074.0711134209987</v>
      </c>
      <c r="F304" s="334">
        <f t="shared" si="20"/>
        <v>-3964.4368820534828</v>
      </c>
      <c r="G304" s="351">
        <f t="shared" si="21"/>
        <v>0.56138370580205843</v>
      </c>
      <c r="H304" s="345">
        <f>('побудинковий звіт'!AS284+'побудинковий звіт'!BQ284)*1.2</f>
        <v>5099.929189539801</v>
      </c>
      <c r="I304" s="333">
        <f>('побудинковий звіт'!AT284+'побудинковий звіт'!BR284)*1.2</f>
        <v>936.7196566028399</v>
      </c>
      <c r="J304" s="333">
        <f t="shared" si="22"/>
        <v>-4163.2095329369613</v>
      </c>
      <c r="K304" s="354">
        <f t="shared" si="23"/>
        <v>0.18367307109363337</v>
      </c>
      <c r="L304" s="356">
        <f>'побудинковий звіт'!DE284</f>
        <v>0</v>
      </c>
      <c r="M304" s="363">
        <f>'побудинковий звіт'!DA284*-1</f>
        <v>-6638.0281580195369</v>
      </c>
    </row>
    <row r="305" spans="1:13" ht="20.100000000000001" customHeight="1" x14ac:dyDescent="0.3">
      <c r="A305" s="359" t="s">
        <v>751</v>
      </c>
      <c r="B305" s="298" t="s">
        <v>303</v>
      </c>
      <c r="C305" s="360">
        <v>5</v>
      </c>
      <c r="D305" s="350">
        <f>'побудинковий звіт'!CU285</f>
        <v>293789.68377185211</v>
      </c>
      <c r="E305" s="334">
        <f>'побудинковий звіт'!CV285</f>
        <v>310002.49598547071</v>
      </c>
      <c r="F305" s="334">
        <f t="shared" si="20"/>
        <v>16212.812213618599</v>
      </c>
      <c r="G305" s="351">
        <f t="shared" si="21"/>
        <v>1.0551850970581014</v>
      </c>
      <c r="H305" s="345">
        <f>('побудинковий звіт'!AS285+'побудинковий звіт'!BQ285)*1.2</f>
        <v>89893.257466286595</v>
      </c>
      <c r="I305" s="333">
        <f>('побудинковий звіт'!AT285+'побудинковий звіт'!BR285)*1.2</f>
        <v>72878.911363316161</v>
      </c>
      <c r="J305" s="333">
        <f t="shared" si="22"/>
        <v>-17014.346102970434</v>
      </c>
      <c r="K305" s="354">
        <f t="shared" si="23"/>
        <v>0.81072722712989387</v>
      </c>
      <c r="L305" s="356">
        <f>'побудинковий звіт'!DE285</f>
        <v>51195.46</v>
      </c>
      <c r="M305" s="363">
        <f>'побудинковий звіт'!DA285*-1</f>
        <v>-22877.480513820061</v>
      </c>
    </row>
    <row r="306" spans="1:13" ht="20.100000000000001" customHeight="1" x14ac:dyDescent="0.3">
      <c r="A306" s="359" t="s">
        <v>752</v>
      </c>
      <c r="B306" s="298" t="s">
        <v>188</v>
      </c>
      <c r="C306" s="360">
        <v>2</v>
      </c>
      <c r="D306" s="350">
        <f>'побудинковий звіт'!CU286</f>
        <v>309446.24907785782</v>
      </c>
      <c r="E306" s="334">
        <f>'побудинковий звіт'!CV286</f>
        <v>236157.1617831589</v>
      </c>
      <c r="F306" s="334">
        <f t="shared" si="20"/>
        <v>-73289.087294698926</v>
      </c>
      <c r="G306" s="351">
        <f t="shared" si="21"/>
        <v>0.76316052460451989</v>
      </c>
      <c r="H306" s="345">
        <f>('побудинковий звіт'!AS286+'побудинковий звіт'!BQ286)*1.2</f>
        <v>103779.45525071202</v>
      </c>
      <c r="I306" s="333">
        <f>('побудинковий звіт'!AT286+'побудинковий звіт'!BR286)*1.2</f>
        <v>13067.900582463719</v>
      </c>
      <c r="J306" s="333">
        <f t="shared" si="22"/>
        <v>-90711.554668248311</v>
      </c>
      <c r="K306" s="354">
        <f t="shared" si="23"/>
        <v>0.12591991884033388</v>
      </c>
      <c r="L306" s="356">
        <f>'побудинковий звіт'!DE286</f>
        <v>136378.78000000003</v>
      </c>
      <c r="M306" s="363">
        <f>'побудинковий звіт'!DA286*-1</f>
        <v>9855.990525500325</v>
      </c>
    </row>
    <row r="307" spans="1:13" ht="20.100000000000001" customHeight="1" x14ac:dyDescent="0.3">
      <c r="A307" s="359" t="s">
        <v>753</v>
      </c>
      <c r="B307" s="298" t="s">
        <v>304</v>
      </c>
      <c r="C307" s="360">
        <v>5</v>
      </c>
      <c r="D307" s="350">
        <f>'побудинковий звіт'!CU287</f>
        <v>220667.7020593535</v>
      </c>
      <c r="E307" s="334">
        <f>'побудинковий звіт'!CV287</f>
        <v>193401.90620639976</v>
      </c>
      <c r="F307" s="334">
        <f t="shared" si="20"/>
        <v>-27265.795852953743</v>
      </c>
      <c r="G307" s="351">
        <f t="shared" si="21"/>
        <v>0.87643957136228301</v>
      </c>
      <c r="H307" s="345">
        <f>('побудинковий звіт'!AS287+'побудинковий звіт'!BQ287)*1.2</f>
        <v>61329.885101446045</v>
      </c>
      <c r="I307" s="333">
        <f>('побудинковий звіт'!AT287+'побудинковий звіт'!BR287)*1.2</f>
        <v>6521.6238986758917</v>
      </c>
      <c r="J307" s="333">
        <f t="shared" si="22"/>
        <v>-54808.261202770154</v>
      </c>
      <c r="K307" s="354">
        <f t="shared" si="23"/>
        <v>0.106336802814622</v>
      </c>
      <c r="L307" s="356">
        <f>'побудинковий звіт'!DE287</f>
        <v>19632.449999999997</v>
      </c>
      <c r="M307" s="363">
        <f>'побудинковий звіт'!DA287*-1</f>
        <v>-31929.536128858977</v>
      </c>
    </row>
    <row r="308" spans="1:13" ht="20.100000000000001" customHeight="1" x14ac:dyDescent="0.3">
      <c r="A308" s="359" t="s">
        <v>754</v>
      </c>
      <c r="B308" s="298" t="s">
        <v>229</v>
      </c>
      <c r="C308" s="360">
        <v>4</v>
      </c>
      <c r="D308" s="350">
        <f>'побудинковий звіт'!CU288</f>
        <v>403829.01967003325</v>
      </c>
      <c r="E308" s="334">
        <f>'побудинковий звіт'!CV288</f>
        <v>390025.88898203505</v>
      </c>
      <c r="F308" s="334">
        <f t="shared" si="20"/>
        <v>-13803.1306879982</v>
      </c>
      <c r="G308" s="351">
        <f t="shared" si="21"/>
        <v>0.96581936905060295</v>
      </c>
      <c r="H308" s="345">
        <f>('побудинковий звіт'!AS288+'побудинковий звіт'!BQ288)*1.2</f>
        <v>139951.28572777245</v>
      </c>
      <c r="I308" s="333">
        <f>('побудинковий звіт'!AT288+'побудинковий звіт'!BR288)*1.2</f>
        <v>89919.268288879117</v>
      </c>
      <c r="J308" s="333">
        <f t="shared" si="22"/>
        <v>-50032.017438893337</v>
      </c>
      <c r="K308" s="354">
        <f t="shared" si="23"/>
        <v>0.64250405290156765</v>
      </c>
      <c r="L308" s="356">
        <f>'побудинковий звіт'!DE288</f>
        <v>60991.199999999997</v>
      </c>
      <c r="M308" s="363">
        <f>'побудинковий звіт'!DA288*-1</f>
        <v>-33082.399023385558</v>
      </c>
    </row>
    <row r="309" spans="1:13" ht="20.100000000000001" customHeight="1" x14ac:dyDescent="0.3">
      <c r="A309" s="359" t="s">
        <v>755</v>
      </c>
      <c r="B309" s="298" t="s">
        <v>230</v>
      </c>
      <c r="C309" s="360">
        <v>4</v>
      </c>
      <c r="D309" s="350">
        <f>'побудинковий звіт'!CU289</f>
        <v>208054.93383650904</v>
      </c>
      <c r="E309" s="334">
        <f>'побудинковий звіт'!CV289</f>
        <v>215814.47482915781</v>
      </c>
      <c r="F309" s="334">
        <f t="shared" si="20"/>
        <v>7759.5409926487773</v>
      </c>
      <c r="G309" s="351">
        <f t="shared" si="21"/>
        <v>1.0372956355783722</v>
      </c>
      <c r="H309" s="345">
        <f>('побудинковий звіт'!AS289+'побудинковий звіт'!BQ289)*1.2</f>
        <v>66936.542045180147</v>
      </c>
      <c r="I309" s="333">
        <f>('побудинковий звіт'!AT289+'побудинковий звіт'!BR289)*1.2</f>
        <v>39255.999243247956</v>
      </c>
      <c r="J309" s="333">
        <f t="shared" si="22"/>
        <v>-27680.542801932192</v>
      </c>
      <c r="K309" s="354">
        <f t="shared" si="23"/>
        <v>0.58646589805537519</v>
      </c>
      <c r="L309" s="356">
        <f>'побудинковий звіт'!DE289</f>
        <v>32222.240000000002</v>
      </c>
      <c r="M309" s="363">
        <f>'побудинковий звіт'!DA289*-1</f>
        <v>-35177.318896421246</v>
      </c>
    </row>
    <row r="310" spans="1:13" ht="20.100000000000001" customHeight="1" x14ac:dyDescent="0.3">
      <c r="A310" s="359" t="s">
        <v>756</v>
      </c>
      <c r="B310" s="298" t="s">
        <v>231</v>
      </c>
      <c r="C310" s="360">
        <v>4</v>
      </c>
      <c r="D310" s="350">
        <f>'побудинковий звіт'!CU290</f>
        <v>306114.18820886116</v>
      </c>
      <c r="E310" s="334">
        <f>'побудинковий звіт'!CV290</f>
        <v>256266.09745246443</v>
      </c>
      <c r="F310" s="334">
        <f t="shared" si="20"/>
        <v>-49848.090756396734</v>
      </c>
      <c r="G310" s="351">
        <f t="shared" si="21"/>
        <v>0.83715850922144952</v>
      </c>
      <c r="H310" s="345">
        <f>('побудинковий звіт'!AS290+'побудинковий звіт'!BQ290)*1.2</f>
        <v>102580.29081301817</v>
      </c>
      <c r="I310" s="333">
        <f>('побудинковий звіт'!AT290+'побудинковий звіт'!BR290)*1.2</f>
        <v>18501.308356000616</v>
      </c>
      <c r="J310" s="333">
        <f t="shared" si="22"/>
        <v>-84078.982457017555</v>
      </c>
      <c r="K310" s="354">
        <f t="shared" si="23"/>
        <v>0.18035928938556556</v>
      </c>
      <c r="L310" s="356">
        <f>'побудинковий звіт'!DE290</f>
        <v>33379.670000000006</v>
      </c>
      <c r="M310" s="363">
        <f>'побудинковий звіт'!DA290*-1</f>
        <v>46893.480565547987</v>
      </c>
    </row>
    <row r="311" spans="1:13" ht="20.100000000000001" customHeight="1" x14ac:dyDescent="0.3">
      <c r="A311" s="359" t="s">
        <v>757</v>
      </c>
      <c r="B311" s="298" t="s">
        <v>142</v>
      </c>
      <c r="C311" s="360">
        <v>1</v>
      </c>
      <c r="D311" s="350">
        <f>'побудинковий звіт'!CU291</f>
        <v>436905.19291341375</v>
      </c>
      <c r="E311" s="334">
        <f>'побудинковий звіт'!CV291</f>
        <v>437311.84790168231</v>
      </c>
      <c r="F311" s="334">
        <f t="shared" si="20"/>
        <v>406.65498826856492</v>
      </c>
      <c r="G311" s="351">
        <f t="shared" si="21"/>
        <v>1.0009307625426855</v>
      </c>
      <c r="H311" s="345">
        <f>('побудинковий звіт'!AS291+'побудинковий звіт'!BQ291)*1.2</f>
        <v>119351.03740046352</v>
      </c>
      <c r="I311" s="333">
        <f>('побудинковий звіт'!AT291+'побудинковий звіт'!BR291)*1.2</f>
        <v>69331.494081805504</v>
      </c>
      <c r="J311" s="333">
        <f t="shared" si="22"/>
        <v>-50019.543318658019</v>
      </c>
      <c r="K311" s="354">
        <f t="shared" si="23"/>
        <v>0.58090399205475396</v>
      </c>
      <c r="L311" s="356">
        <f>'побудинковий звіт'!DE291</f>
        <v>96002.169999999984</v>
      </c>
      <c r="M311" s="363">
        <f>'побудинковий звіт'!DA291*-1</f>
        <v>-70213.241044242997</v>
      </c>
    </row>
    <row r="312" spans="1:13" ht="20.100000000000001" customHeight="1" x14ac:dyDescent="0.3">
      <c r="A312" s="359" t="s">
        <v>758</v>
      </c>
      <c r="B312" s="298" t="s">
        <v>143</v>
      </c>
      <c r="C312" s="360">
        <v>1</v>
      </c>
      <c r="D312" s="350">
        <f>'побудинковий звіт'!CU292</f>
        <v>198537.40091724254</v>
      </c>
      <c r="E312" s="334">
        <f>'побудинковий звіт'!CV292</f>
        <v>175126.42759234871</v>
      </c>
      <c r="F312" s="334">
        <f t="shared" si="20"/>
        <v>-23410.973324893828</v>
      </c>
      <c r="G312" s="351">
        <f t="shared" si="21"/>
        <v>0.88208280547274642</v>
      </c>
      <c r="H312" s="345">
        <f>('побудинковий звіт'!AS292+'побудинковий звіт'!BQ292)*1.2</f>
        <v>71328.243118466766</v>
      </c>
      <c r="I312" s="333">
        <f>('побудинковий звіт'!AT292+'побудинковий звіт'!BR292)*1.2</f>
        <v>30238.034336796547</v>
      </c>
      <c r="J312" s="333">
        <f t="shared" si="22"/>
        <v>-41090.208781670219</v>
      </c>
      <c r="K312" s="354">
        <f t="shared" si="23"/>
        <v>0.42392792833233223</v>
      </c>
      <c r="L312" s="356">
        <f>'побудинковий звіт'!DE292</f>
        <v>798.5099999999984</v>
      </c>
      <c r="M312" s="363">
        <f>'побудинковий звіт'!DA292*-1</f>
        <v>-27811.653416040383</v>
      </c>
    </row>
    <row r="313" spans="1:13" ht="20.100000000000001" customHeight="1" x14ac:dyDescent="0.3">
      <c r="A313" s="359" t="s">
        <v>759</v>
      </c>
      <c r="B313" s="298" t="s">
        <v>144</v>
      </c>
      <c r="C313" s="360">
        <v>1</v>
      </c>
      <c r="D313" s="350">
        <f>'побудинковий звіт'!CU293</f>
        <v>210485.49652292352</v>
      </c>
      <c r="E313" s="334">
        <f>'побудинковий звіт'!CV293</f>
        <v>223059.96758112326</v>
      </c>
      <c r="F313" s="334">
        <f t="shared" si="20"/>
        <v>12574.471058199735</v>
      </c>
      <c r="G313" s="351">
        <f t="shared" si="21"/>
        <v>1.0597403206677962</v>
      </c>
      <c r="H313" s="345">
        <f>('побудинковий звіт'!AS293+'побудинковий звіт'!BQ293)*1.2</f>
        <v>66534.810193307305</v>
      </c>
      <c r="I313" s="333">
        <f>('побудинковий звіт'!AT293+'побудинковий звіт'!BR293)*1.2</f>
        <v>65578.426929970679</v>
      </c>
      <c r="J313" s="333">
        <f t="shared" si="22"/>
        <v>-956.38326333662553</v>
      </c>
      <c r="K313" s="354">
        <f t="shared" si="23"/>
        <v>0.9856258211219362</v>
      </c>
      <c r="L313" s="356">
        <f>'побудинковий звіт'!DE293</f>
        <v>6336.0400000000009</v>
      </c>
      <c r="M313" s="363">
        <f>'побудинковий звіт'!DA293*-1</f>
        <v>16248.124046411613</v>
      </c>
    </row>
    <row r="314" spans="1:13" ht="20.100000000000001" customHeight="1" x14ac:dyDescent="0.3">
      <c r="A314" s="359" t="s">
        <v>760</v>
      </c>
      <c r="B314" s="298" t="s">
        <v>145</v>
      </c>
      <c r="C314" s="360">
        <v>1</v>
      </c>
      <c r="D314" s="350">
        <f>'побудинковий звіт'!CU294</f>
        <v>301918.15024748334</v>
      </c>
      <c r="E314" s="334">
        <f>'побудинковий звіт'!CV294</f>
        <v>329863.06839337159</v>
      </c>
      <c r="F314" s="334">
        <f t="shared" si="20"/>
        <v>27944.918145888252</v>
      </c>
      <c r="G314" s="351">
        <f t="shared" si="21"/>
        <v>1.0925579271169412</v>
      </c>
      <c r="H314" s="345">
        <f>('побудинковий звіт'!AS294+'побудинковий звіт'!BQ294)*1.2</f>
        <v>96372.576983369174</v>
      </c>
      <c r="I314" s="333">
        <f>('побудинковий звіт'!AT294+'побудинковий звіт'!BR294)*1.2</f>
        <v>93472.316573348144</v>
      </c>
      <c r="J314" s="333">
        <f t="shared" si="22"/>
        <v>-2900.2604100210301</v>
      </c>
      <c r="K314" s="354">
        <f t="shared" si="23"/>
        <v>0.96990575015420077</v>
      </c>
      <c r="L314" s="356">
        <f>'побудинковий звіт'!DE294</f>
        <v>11750.68</v>
      </c>
      <c r="M314" s="363">
        <f>'побудинковий звіт'!DA294*-1</f>
        <v>-88779.396744664031</v>
      </c>
    </row>
    <row r="315" spans="1:13" ht="20.100000000000001" customHeight="1" x14ac:dyDescent="0.3">
      <c r="A315" s="359" t="s">
        <v>761</v>
      </c>
      <c r="B315" s="298" t="s">
        <v>191</v>
      </c>
      <c r="C315" s="360">
        <v>2</v>
      </c>
      <c r="D315" s="350">
        <f>'побудинковий звіт'!CU295</f>
        <v>212675.32929131627</v>
      </c>
      <c r="E315" s="334">
        <f>'побудинковий звіт'!CV295</f>
        <v>226709.7654082728</v>
      </c>
      <c r="F315" s="334">
        <f t="shared" si="20"/>
        <v>14034.436116956524</v>
      </c>
      <c r="G315" s="351">
        <f t="shared" si="21"/>
        <v>1.0659899583262551</v>
      </c>
      <c r="H315" s="345">
        <f>('побудинковий звіт'!AS295+'побудинковий звіт'!BQ295)*1.2</f>
        <v>51761.670464990813</v>
      </c>
      <c r="I315" s="333">
        <f>('побудинковий звіт'!AT295+'побудинковий звіт'!BR295)*1.2</f>
        <v>49680.312418996276</v>
      </c>
      <c r="J315" s="333">
        <f t="shared" si="22"/>
        <v>-2081.358045994537</v>
      </c>
      <c r="K315" s="354">
        <f t="shared" si="23"/>
        <v>0.95978958895072231</v>
      </c>
      <c r="L315" s="356">
        <f>'побудинковий звіт'!DE295</f>
        <v>22684.840000000004</v>
      </c>
      <c r="M315" s="363">
        <f>'побудинковий звіт'!DA295*-1</f>
        <v>-29308.031276678743</v>
      </c>
    </row>
    <row r="316" spans="1:13" ht="20.100000000000001" customHeight="1" x14ac:dyDescent="0.3">
      <c r="A316" s="359" t="s">
        <v>762</v>
      </c>
      <c r="B316" s="298" t="s">
        <v>232</v>
      </c>
      <c r="C316" s="360">
        <v>4</v>
      </c>
      <c r="D316" s="350">
        <f>'побудинковий звіт'!CU296</f>
        <v>234767.9343606937</v>
      </c>
      <c r="E316" s="334">
        <f>'побудинковий звіт'!CV296</f>
        <v>227255.92847296418</v>
      </c>
      <c r="F316" s="334">
        <f t="shared" si="20"/>
        <v>-7512.0058877295232</v>
      </c>
      <c r="G316" s="351">
        <f t="shared" si="21"/>
        <v>0.96800241946079313</v>
      </c>
      <c r="H316" s="345">
        <f>('побудинковий звіт'!AS296+'побудинковий звіт'!BQ296)*1.2</f>
        <v>63095.99567432914</v>
      </c>
      <c r="I316" s="333">
        <f>('побудинковий звіт'!AT296+'побудинковий звіт'!BR296)*1.2</f>
        <v>28243.56877163934</v>
      </c>
      <c r="J316" s="333">
        <f t="shared" si="22"/>
        <v>-34852.426902689796</v>
      </c>
      <c r="K316" s="354">
        <f t="shared" si="23"/>
        <v>0.44762854551688058</v>
      </c>
      <c r="L316" s="356">
        <f>'побудинковий звіт'!DE296</f>
        <v>52766.740000000005</v>
      </c>
      <c r="M316" s="363">
        <f>'побудинковий звіт'!DA296*-1</f>
        <v>20920.932944908825</v>
      </c>
    </row>
    <row r="317" spans="1:13" ht="20.100000000000001" customHeight="1" x14ac:dyDescent="0.3">
      <c r="A317" s="359" t="s">
        <v>763</v>
      </c>
      <c r="B317" s="298" t="s">
        <v>233</v>
      </c>
      <c r="C317" s="360">
        <v>4</v>
      </c>
      <c r="D317" s="350">
        <f>'побудинковий звіт'!CU297</f>
        <v>93057.745350998448</v>
      </c>
      <c r="E317" s="334">
        <f>'побудинковий звіт'!CV297</f>
        <v>165981.62549503514</v>
      </c>
      <c r="F317" s="334">
        <f t="shared" si="20"/>
        <v>72923.880144036695</v>
      </c>
      <c r="G317" s="351">
        <f t="shared" si="21"/>
        <v>1.7836411667720926</v>
      </c>
      <c r="H317" s="345">
        <f>('побудинковий звіт'!AS297+'побудинковий звіт'!BQ297)*1.2</f>
        <v>22600.029738833411</v>
      </c>
      <c r="I317" s="333">
        <f>('побудинковий звіт'!AT297+'побудинковий звіт'!BR297)*1.2</f>
        <v>77988.535477945479</v>
      </c>
      <c r="J317" s="333">
        <f t="shared" si="22"/>
        <v>55388.505739112064</v>
      </c>
      <c r="K317" s="354">
        <f t="shared" si="23"/>
        <v>3.4508156130404792</v>
      </c>
      <c r="L317" s="356">
        <f>'побудинковий звіт'!DE297</f>
        <v>18294.14</v>
      </c>
      <c r="M317" s="363">
        <f>'побудинковий звіт'!DA297*-1</f>
        <v>-63746.345920015789</v>
      </c>
    </row>
    <row r="318" spans="1:13" ht="20.100000000000001" customHeight="1" x14ac:dyDescent="0.3">
      <c r="A318" s="359" t="s">
        <v>764</v>
      </c>
      <c r="B318" s="298" t="s">
        <v>234</v>
      </c>
      <c r="C318" s="360">
        <v>4</v>
      </c>
      <c r="D318" s="350">
        <f>'побудинковий звіт'!CU298</f>
        <v>311551.34951798874</v>
      </c>
      <c r="E318" s="334">
        <f>'побудинковий звіт'!CV298</f>
        <v>269580.39063528384</v>
      </c>
      <c r="F318" s="334">
        <f t="shared" si="20"/>
        <v>-41970.958882704901</v>
      </c>
      <c r="G318" s="351">
        <f t="shared" si="21"/>
        <v>0.86528397662972878</v>
      </c>
      <c r="H318" s="345">
        <f>('побудинковий звіт'!AS298+'побудинковий звіт'!BQ298)*1.2</f>
        <v>70711.333500754452</v>
      </c>
      <c r="I318" s="333">
        <f>('побудинковий звіт'!AT298+'побудинковий звіт'!BR298)*1.2</f>
        <v>6924.953361303712</v>
      </c>
      <c r="J318" s="333">
        <f t="shared" si="22"/>
        <v>-63786.380139450739</v>
      </c>
      <c r="K318" s="354">
        <f t="shared" si="23"/>
        <v>9.7932721933886691E-2</v>
      </c>
      <c r="L318" s="356">
        <f>'побудинковий звіт'!DE298</f>
        <v>69607.08</v>
      </c>
      <c r="M318" s="364">
        <f>'побудинковий звіт'!DA298*-1</f>
        <v>117588.20453689784</v>
      </c>
    </row>
    <row r="319" spans="1:13" ht="20.100000000000001" customHeight="1" x14ac:dyDescent="0.3">
      <c r="A319" s="359" t="s">
        <v>765</v>
      </c>
      <c r="B319" s="298" t="s">
        <v>235</v>
      </c>
      <c r="C319" s="360">
        <v>4</v>
      </c>
      <c r="D319" s="350">
        <f>'побудинковий звіт'!CU299</f>
        <v>254940.43994088145</v>
      </c>
      <c r="E319" s="334">
        <f>'побудинковий звіт'!CV299</f>
        <v>211262.537048864</v>
      </c>
      <c r="F319" s="334">
        <f t="shared" si="20"/>
        <v>-43677.902892017446</v>
      </c>
      <c r="G319" s="351">
        <f t="shared" si="21"/>
        <v>0.82867408990842728</v>
      </c>
      <c r="H319" s="345">
        <f>('побудинковий звіт'!AS299+'побудинковий звіт'!BQ299)*1.2</f>
        <v>64239.71799375859</v>
      </c>
      <c r="I319" s="333">
        <f>('побудинковий звіт'!AT299+'побудинковий звіт'!BR299)*1.2</f>
        <v>8459.4671566154357</v>
      </c>
      <c r="J319" s="333">
        <f t="shared" si="22"/>
        <v>-55780.250837143154</v>
      </c>
      <c r="K319" s="354">
        <f t="shared" si="23"/>
        <v>0.13168593232986081</v>
      </c>
      <c r="L319" s="356">
        <f>'побудинковий звіт'!DE299</f>
        <v>73644.98</v>
      </c>
      <c r="M319" s="363">
        <f>'побудинковий звіт'!DA299*-1</f>
        <v>-13311.26341029325</v>
      </c>
    </row>
    <row r="320" spans="1:13" ht="20.100000000000001" customHeight="1" x14ac:dyDescent="0.3">
      <c r="A320" s="359" t="s">
        <v>766</v>
      </c>
      <c r="B320" s="298" t="s">
        <v>200</v>
      </c>
      <c r="C320" s="360">
        <v>3</v>
      </c>
      <c r="D320" s="350">
        <f>'побудинковий звіт'!CU300</f>
        <v>283763.77083524445</v>
      </c>
      <c r="E320" s="334">
        <f>'побудинковий звіт'!CV300</f>
        <v>220567.67877931084</v>
      </c>
      <c r="F320" s="334">
        <f t="shared" si="20"/>
        <v>-63196.092055933608</v>
      </c>
      <c r="G320" s="351">
        <f t="shared" si="21"/>
        <v>0.77729330326447565</v>
      </c>
      <c r="H320" s="345">
        <f>('побудинковий звіт'!AS300+'побудинковий звіт'!BQ300)*1.2</f>
        <v>69782.584320174137</v>
      </c>
      <c r="I320" s="333">
        <f>('побудинковий звіт'!AT300+'побудинковий звіт'!BR300)*1.2</f>
        <v>12542.993296555165</v>
      </c>
      <c r="J320" s="333">
        <f t="shared" si="22"/>
        <v>-57239.591023618974</v>
      </c>
      <c r="K320" s="354">
        <f t="shared" si="23"/>
        <v>0.17974389195742335</v>
      </c>
      <c r="L320" s="356">
        <f>'побудинковий звіт'!DE300</f>
        <v>118010.87999999999</v>
      </c>
      <c r="M320" s="363">
        <f>'побудинковий звіт'!DA300*-1</f>
        <v>-30269.984925597004</v>
      </c>
    </row>
    <row r="321" spans="1:13" ht="20.100000000000001" customHeight="1" x14ac:dyDescent="0.3">
      <c r="A321" s="359" t="s">
        <v>767</v>
      </c>
      <c r="B321" s="298" t="s">
        <v>305</v>
      </c>
      <c r="C321" s="360">
        <v>5</v>
      </c>
      <c r="D321" s="350">
        <f>'побудинковий звіт'!CU301</f>
        <v>563135.32177619869</v>
      </c>
      <c r="E321" s="334">
        <f>'побудинковий звіт'!CV301</f>
        <v>446897.08869990933</v>
      </c>
      <c r="F321" s="334">
        <f t="shared" si="20"/>
        <v>-116238.23307628935</v>
      </c>
      <c r="G321" s="351">
        <f t="shared" si="21"/>
        <v>0.79358738729146039</v>
      </c>
      <c r="H321" s="345">
        <f>('побудинковий звіт'!AS301+'побудинковий звіт'!BQ301)*1.2</f>
        <v>170602.42827983448</v>
      </c>
      <c r="I321" s="333">
        <f>('побудинковий звіт'!AT301+'побудинковий звіт'!BR301)*1.2</f>
        <v>18541.850945190872</v>
      </c>
      <c r="J321" s="333">
        <f t="shared" si="22"/>
        <v>-152060.5773346436</v>
      </c>
      <c r="K321" s="354">
        <f t="shared" si="23"/>
        <v>0.10868456640474768</v>
      </c>
      <c r="L321" s="356">
        <f>'побудинковий звіт'!DE301</f>
        <v>77915.510000000009</v>
      </c>
      <c r="M321" s="364">
        <f>'побудинковий звіт'!DA301*-1</f>
        <v>-8712.4256204977864</v>
      </c>
    </row>
    <row r="322" spans="1:13" ht="20.100000000000001" customHeight="1" x14ac:dyDescent="0.3">
      <c r="A322" s="359" t="s">
        <v>768</v>
      </c>
      <c r="B322" s="298" t="s">
        <v>306</v>
      </c>
      <c r="C322" s="360">
        <v>5</v>
      </c>
      <c r="D322" s="350">
        <f>'побудинковий звіт'!CU302</f>
        <v>174096.72218637555</v>
      </c>
      <c r="E322" s="334">
        <f>'побудинковий звіт'!CV302</f>
        <v>150650.90840100727</v>
      </c>
      <c r="F322" s="334">
        <f t="shared" si="20"/>
        <v>-23445.813785368286</v>
      </c>
      <c r="G322" s="351">
        <f t="shared" si="21"/>
        <v>0.86532880406404855</v>
      </c>
      <c r="H322" s="345">
        <f>('побудинковий звіт'!AS302+'побудинковий звіт'!BQ302)*1.2</f>
        <v>44729.841176612157</v>
      </c>
      <c r="I322" s="333">
        <f>('побудинковий звіт'!AT302+'побудинковий звіт'!BR302)*1.2</f>
        <v>11279.957770266064</v>
      </c>
      <c r="J322" s="333">
        <f t="shared" si="22"/>
        <v>-33449.883406346096</v>
      </c>
      <c r="K322" s="354">
        <f t="shared" si="23"/>
        <v>0.25217969645204114</v>
      </c>
      <c r="L322" s="356">
        <f>'побудинковий звіт'!DE302</f>
        <v>4105.0600000000013</v>
      </c>
      <c r="M322" s="363">
        <f>'побудинковий звіт'!DA302*-1</f>
        <v>-24470.564432663159</v>
      </c>
    </row>
    <row r="323" spans="1:13" ht="20.100000000000001" customHeight="1" x14ac:dyDescent="0.3">
      <c r="A323" s="359" t="s">
        <v>769</v>
      </c>
      <c r="B323" s="298" t="s">
        <v>307</v>
      </c>
      <c r="C323" s="360">
        <v>5</v>
      </c>
      <c r="D323" s="350">
        <f>'побудинковий звіт'!CU303</f>
        <v>194638.28193826822</v>
      </c>
      <c r="E323" s="334">
        <f>'побудинковий звіт'!CV303</f>
        <v>164219.01361963831</v>
      </c>
      <c r="F323" s="334">
        <f t="shared" si="20"/>
        <v>-30419.268318629911</v>
      </c>
      <c r="G323" s="351">
        <f t="shared" si="21"/>
        <v>0.84371384695905949</v>
      </c>
      <c r="H323" s="345">
        <f>('побудинковий звіт'!AS303+'побудинковий звіт'!BQ303)*1.2</f>
        <v>46670.455412464507</v>
      </c>
      <c r="I323" s="333">
        <f>('побудинковий звіт'!AT303+'побудинковий звіт'!BR303)*1.2</f>
        <v>2882.0486578236773</v>
      </c>
      <c r="J323" s="333">
        <f t="shared" si="22"/>
        <v>-43788.406754640833</v>
      </c>
      <c r="K323" s="354">
        <f t="shared" si="23"/>
        <v>6.1753171944706468E-2</v>
      </c>
      <c r="L323" s="356">
        <f>'побудинковий звіт'!DE303</f>
        <v>32050.550000000003</v>
      </c>
      <c r="M323" s="363">
        <f>'побудинковий звіт'!DA303*-1</f>
        <v>-100775.81157737217</v>
      </c>
    </row>
    <row r="324" spans="1:13" ht="20.100000000000001" customHeight="1" x14ac:dyDescent="0.3">
      <c r="A324" s="359" t="s">
        <v>770</v>
      </c>
      <c r="B324" s="298" t="s">
        <v>308</v>
      </c>
      <c r="C324" s="360">
        <v>5</v>
      </c>
      <c r="D324" s="350">
        <f>'побудинковий звіт'!CU304</f>
        <v>314104.80586126196</v>
      </c>
      <c r="E324" s="334">
        <f>'побудинковий звіт'!CV304</f>
        <v>347802.63929511822</v>
      </c>
      <c r="F324" s="334">
        <f t="shared" si="20"/>
        <v>33697.833433856256</v>
      </c>
      <c r="G324" s="351">
        <f t="shared" si="21"/>
        <v>1.1072821326036646</v>
      </c>
      <c r="H324" s="345">
        <f>('побудинковий звіт'!AS304+'побудинковий звіт'!BQ304)*1.2</f>
        <v>88112.319644089774</v>
      </c>
      <c r="I324" s="333">
        <f>('побудинковий звіт'!AT304+'побудинковий звіт'!BR304)*1.2</f>
        <v>105784.96898528833</v>
      </c>
      <c r="J324" s="333">
        <f t="shared" si="22"/>
        <v>17672.649341198558</v>
      </c>
      <c r="K324" s="354">
        <f t="shared" si="23"/>
        <v>1.2005695618113712</v>
      </c>
      <c r="L324" s="356">
        <f>'побудинковий звіт'!DE304</f>
        <v>86455.66</v>
      </c>
      <c r="M324" s="363">
        <f>'побудинковий звіт'!DA304*-1</f>
        <v>-6550.1865785155678</v>
      </c>
    </row>
    <row r="325" spans="1:13" ht="20.100000000000001" customHeight="1" x14ac:dyDescent="0.3">
      <c r="A325" s="359" t="s">
        <v>771</v>
      </c>
      <c r="B325" s="298" t="s">
        <v>309</v>
      </c>
      <c r="C325" s="360">
        <v>5</v>
      </c>
      <c r="D325" s="350">
        <f>'побудинковий звіт'!CU305</f>
        <v>145400.15789121113</v>
      </c>
      <c r="E325" s="334">
        <f>'побудинковий звіт'!CV305</f>
        <v>127042.16100870448</v>
      </c>
      <c r="F325" s="334">
        <f t="shared" si="20"/>
        <v>-18357.996882506646</v>
      </c>
      <c r="G325" s="351">
        <f t="shared" si="21"/>
        <v>0.87374156157215344</v>
      </c>
      <c r="H325" s="345">
        <f>('побудинковий звіт'!AS305+'побудинковий звіт'!BQ305)*1.2</f>
        <v>39747.250598823899</v>
      </c>
      <c r="I325" s="333">
        <f>('побудинковий звіт'!AT305+'побудинковий звіт'!BR305)*1.2</f>
        <v>12381.132949991736</v>
      </c>
      <c r="J325" s="333">
        <f t="shared" si="22"/>
        <v>-27366.117648832165</v>
      </c>
      <c r="K325" s="354">
        <f t="shared" si="23"/>
        <v>0.31149658815289444</v>
      </c>
      <c r="L325" s="356">
        <f>'побудинковий звіт'!DE305</f>
        <v>16436.41</v>
      </c>
      <c r="M325" s="363">
        <f>'побудинковий звіт'!DA305*-1</f>
        <v>-2043.6105227544031</v>
      </c>
    </row>
    <row r="326" spans="1:13" ht="20.100000000000001" customHeight="1" x14ac:dyDescent="0.3">
      <c r="A326" s="359" t="s">
        <v>772</v>
      </c>
      <c r="B326" s="298" t="s">
        <v>310</v>
      </c>
      <c r="C326" s="360">
        <v>5</v>
      </c>
      <c r="D326" s="350">
        <f>'побудинковий звіт'!CU306</f>
        <v>222898.93364216693</v>
      </c>
      <c r="E326" s="334">
        <f>'побудинковий звіт'!CV306</f>
        <v>207621.76130737012</v>
      </c>
      <c r="F326" s="334">
        <f t="shared" si="20"/>
        <v>-15277.172334796807</v>
      </c>
      <c r="G326" s="351">
        <f t="shared" si="21"/>
        <v>0.93146143821700744</v>
      </c>
      <c r="H326" s="345">
        <f>('побудинковий звіт'!AS306+'побудинковий звіт'!BQ306)*1.2</f>
        <v>45831.474311513419</v>
      </c>
      <c r="I326" s="333">
        <f>('побудинковий звіт'!AT306+'побудинковий звіт'!BR306)*1.2</f>
        <v>19699.30435773217</v>
      </c>
      <c r="J326" s="333">
        <f t="shared" si="22"/>
        <v>-26132.169953781249</v>
      </c>
      <c r="K326" s="354">
        <f t="shared" si="23"/>
        <v>0.42982043789028768</v>
      </c>
      <c r="L326" s="356">
        <f>'побудинковий звіт'!DE306</f>
        <v>21538.5</v>
      </c>
      <c r="M326" s="363">
        <f>'побудинковий звіт'!DA306*-1</f>
        <v>11990.719082305441</v>
      </c>
    </row>
    <row r="327" spans="1:13" ht="20.100000000000001" customHeight="1" x14ac:dyDescent="0.3">
      <c r="A327" s="359" t="s">
        <v>773</v>
      </c>
      <c r="B327" s="298" t="s">
        <v>311</v>
      </c>
      <c r="C327" s="360">
        <v>5</v>
      </c>
      <c r="D327" s="350">
        <f>'побудинковий звіт'!CU307</f>
        <v>374666.28949984338</v>
      </c>
      <c r="E327" s="334">
        <f>'побудинковий звіт'!CV307</f>
        <v>284453.6260606359</v>
      </c>
      <c r="F327" s="334">
        <f t="shared" si="20"/>
        <v>-90212.663439207477</v>
      </c>
      <c r="G327" s="351">
        <f t="shared" si="21"/>
        <v>0.75921862743606883</v>
      </c>
      <c r="H327" s="345">
        <f>('побудинковий звіт'!AS307+'побудинковий звіт'!BQ307)*1.2</f>
        <v>131184.69774346444</v>
      </c>
      <c r="I327" s="333">
        <f>('побудинковий звіт'!AT307+'побудинковий звіт'!BR307)*1.2</f>
        <v>28690.75164812621</v>
      </c>
      <c r="J327" s="333">
        <f t="shared" si="22"/>
        <v>-102493.94609533822</v>
      </c>
      <c r="K327" s="354">
        <f t="shared" si="23"/>
        <v>0.21870501774705328</v>
      </c>
      <c r="L327" s="356">
        <f>'побудинковий звіт'!DE307</f>
        <v>36138.750000000007</v>
      </c>
      <c r="M327" s="363">
        <f>'побудинковий звіт'!DA307*-1</f>
        <v>16840.209713085147</v>
      </c>
    </row>
    <row r="328" spans="1:13" ht="20.100000000000001" customHeight="1" x14ac:dyDescent="0.3">
      <c r="A328" s="359" t="s">
        <v>774</v>
      </c>
      <c r="B328" s="298" t="s">
        <v>312</v>
      </c>
      <c r="C328" s="360">
        <v>5</v>
      </c>
      <c r="D328" s="350">
        <f>'побудинковий звіт'!CU308</f>
        <v>201579.9399433301</v>
      </c>
      <c r="E328" s="334">
        <f>'побудинковий звіт'!CV308</f>
        <v>166409.53031313833</v>
      </c>
      <c r="F328" s="334">
        <f t="shared" si="20"/>
        <v>-35170.409630191774</v>
      </c>
      <c r="G328" s="351">
        <f t="shared" si="21"/>
        <v>0.82552624214453485</v>
      </c>
      <c r="H328" s="345">
        <f>('побудинковий звіт'!AS308+'побудинковий звіт'!BQ308)*1.2</f>
        <v>57102.147269529916</v>
      </c>
      <c r="I328" s="333">
        <f>('побудинковий звіт'!AT308+'побудинковий звіт'!BR308)*1.2</f>
        <v>28580.178530118872</v>
      </c>
      <c r="J328" s="333">
        <f t="shared" si="22"/>
        <v>-28521.968739411044</v>
      </c>
      <c r="K328" s="354">
        <f t="shared" si="23"/>
        <v>0.50050969878972384</v>
      </c>
      <c r="L328" s="356">
        <f>'побудинковий звіт'!DE308</f>
        <v>28860.100000000002</v>
      </c>
      <c r="M328" s="363">
        <f>'побудинковий звіт'!DA308*-1</f>
        <v>42013.5028736803</v>
      </c>
    </row>
    <row r="329" spans="1:13" ht="20.100000000000001" customHeight="1" x14ac:dyDescent="0.3">
      <c r="A329" s="359" t="s">
        <v>775</v>
      </c>
      <c r="B329" s="298" t="s">
        <v>140</v>
      </c>
      <c r="C329" s="360">
        <v>1</v>
      </c>
      <c r="D329" s="350">
        <f>'побудинковий звіт'!CU309</f>
        <v>3189.9271530644583</v>
      </c>
      <c r="E329" s="334">
        <f>'побудинковий звіт'!CV309</f>
        <v>16183.315812983617</v>
      </c>
      <c r="F329" s="334">
        <f t="shared" si="20"/>
        <v>12993.388659919159</v>
      </c>
      <c r="G329" s="351">
        <f t="shared" si="21"/>
        <v>5.0732556063033716</v>
      </c>
      <c r="H329" s="345">
        <f>('побудинковий звіт'!AS309+'побудинковий звіт'!BQ309)*1.2</f>
        <v>2868.1463504431335</v>
      </c>
      <c r="I329" s="333">
        <f>('побудинковий звіт'!AT309+'побудинковий звіт'!BR309)*1.2</f>
        <v>16014</v>
      </c>
      <c r="J329" s="333">
        <f t="shared" si="22"/>
        <v>13145.853649556866</v>
      </c>
      <c r="K329" s="354">
        <f t="shared" si="23"/>
        <v>5.5833970946168101</v>
      </c>
      <c r="L329" s="356">
        <f>'побудинковий звіт'!DE309</f>
        <v>-53.899999999999977</v>
      </c>
      <c r="M329" s="363">
        <f>'побудинковий звіт'!DA309*-1</f>
        <v>-5824.6022979116769</v>
      </c>
    </row>
    <row r="330" spans="1:13" ht="20.100000000000001" customHeight="1" x14ac:dyDescent="0.3">
      <c r="A330" s="359" t="s">
        <v>776</v>
      </c>
      <c r="B330" s="298" t="s">
        <v>396</v>
      </c>
      <c r="C330" s="360">
        <v>9</v>
      </c>
      <c r="D330" s="350">
        <f>'побудинковий звіт'!CU310</f>
        <v>213619.15291034477</v>
      </c>
      <c r="E330" s="334">
        <f>'побудинковий звіт'!CV310</f>
        <v>221015.37843057071</v>
      </c>
      <c r="F330" s="334">
        <f t="shared" si="20"/>
        <v>7396.2255202259403</v>
      </c>
      <c r="G330" s="351">
        <f t="shared" si="21"/>
        <v>1.034623419386604</v>
      </c>
      <c r="H330" s="345">
        <f>('побудинковий звіт'!AS310+'побудинковий звіт'!BQ310)*1.2</f>
        <v>43354.486657490772</v>
      </c>
      <c r="I330" s="333">
        <f>('побудинковий звіт'!AT310+'побудинковий звіт'!BR310)*1.2</f>
        <v>25983.343714973224</v>
      </c>
      <c r="J330" s="333">
        <f t="shared" si="22"/>
        <v>-17371.142942517548</v>
      </c>
      <c r="K330" s="354">
        <f t="shared" si="23"/>
        <v>0.59932306246056843</v>
      </c>
      <c r="L330" s="356">
        <f>'побудинковий звіт'!DE310</f>
        <v>70281.279999999999</v>
      </c>
      <c r="M330" s="364">
        <f>'побудинковий звіт'!DA310*-1</f>
        <v>-112511.42953308787</v>
      </c>
    </row>
    <row r="331" spans="1:13" ht="20.100000000000001" customHeight="1" x14ac:dyDescent="0.3">
      <c r="A331" s="359" t="s">
        <v>777</v>
      </c>
      <c r="B331" s="298" t="s">
        <v>397</v>
      </c>
      <c r="C331" s="360">
        <v>9</v>
      </c>
      <c r="D331" s="350">
        <f>'побудинковий звіт'!CU311</f>
        <v>544994.29567659856</v>
      </c>
      <c r="E331" s="334">
        <f>'побудинковий звіт'!CV311</f>
        <v>476583.01391780865</v>
      </c>
      <c r="F331" s="334">
        <f t="shared" si="20"/>
        <v>-68411.281758789904</v>
      </c>
      <c r="G331" s="351">
        <f t="shared" si="21"/>
        <v>0.87447339852638495</v>
      </c>
      <c r="H331" s="345">
        <f>('побудинковий звіт'!AS311+'побудинковий звіт'!BQ311)*1.2</f>
        <v>127622.55734440633</v>
      </c>
      <c r="I331" s="333">
        <f>('побудинковий звіт'!AT311+'побудинковий звіт'!BR311)*1.2</f>
        <v>16616.973748137301</v>
      </c>
      <c r="J331" s="333">
        <f t="shared" si="22"/>
        <v>-111005.58359626903</v>
      </c>
      <c r="K331" s="354">
        <f t="shared" si="23"/>
        <v>0.13020404929901383</v>
      </c>
      <c r="L331" s="356">
        <f>'побудинковий звіт'!DE311</f>
        <v>129144.47</v>
      </c>
      <c r="M331" s="364">
        <f>'побудинковий звіт'!DA311*-1</f>
        <v>56012.897009949869</v>
      </c>
    </row>
    <row r="332" spans="1:13" ht="20.100000000000001" customHeight="1" x14ac:dyDescent="0.3">
      <c r="A332" s="359" t="s">
        <v>778</v>
      </c>
      <c r="B332" s="298" t="s">
        <v>313</v>
      </c>
      <c r="C332" s="360">
        <v>5</v>
      </c>
      <c r="D332" s="350">
        <f>'побудинковий звіт'!CU312</f>
        <v>215276.17377435145</v>
      </c>
      <c r="E332" s="334">
        <f>'побудинковий звіт'!CV312</f>
        <v>172577.53240722656</v>
      </c>
      <c r="F332" s="334">
        <f t="shared" si="20"/>
        <v>-42698.641367124888</v>
      </c>
      <c r="G332" s="351">
        <f t="shared" si="21"/>
        <v>0.80165644614307929</v>
      </c>
      <c r="H332" s="345">
        <f>('побудинковий звіт'!AS312+'побудинковий звіт'!BQ312)*1.2</f>
        <v>53396.216682020873</v>
      </c>
      <c r="I332" s="333">
        <f>('побудинковий звіт'!AT312+'побудинковий звіт'!BR312)*1.2</f>
        <v>11700.298584389349</v>
      </c>
      <c r="J332" s="333">
        <f t="shared" si="22"/>
        <v>-41695.918097631526</v>
      </c>
      <c r="K332" s="354">
        <f t="shared" si="23"/>
        <v>0.21912223957861374</v>
      </c>
      <c r="L332" s="356">
        <f>'побудинковий звіт'!DE312</f>
        <v>22004.95</v>
      </c>
      <c r="M332" s="363">
        <f>'побудинковий звіт'!DA312*-1</f>
        <v>59358.333312020004</v>
      </c>
    </row>
    <row r="333" spans="1:13" ht="20.100000000000001" customHeight="1" x14ac:dyDescent="0.3">
      <c r="A333" s="359" t="s">
        <v>779</v>
      </c>
      <c r="B333" s="298" t="s">
        <v>427</v>
      </c>
      <c r="C333" s="360">
        <v>16</v>
      </c>
      <c r="D333" s="350">
        <f>'побудинковий звіт'!CU313</f>
        <v>474252.73189148126</v>
      </c>
      <c r="E333" s="334">
        <f>'побудинковий звіт'!CV313</f>
        <v>534590.60195589089</v>
      </c>
      <c r="F333" s="334">
        <f t="shared" si="20"/>
        <v>60337.870064409624</v>
      </c>
      <c r="G333" s="351">
        <f t="shared" si="21"/>
        <v>1.1272272482727967</v>
      </c>
      <c r="H333" s="345">
        <f>('побудинковий звіт'!AS313+'побудинковий звіт'!BQ313)*1.2</f>
        <v>111414.4494112855</v>
      </c>
      <c r="I333" s="333">
        <f>('побудинковий звіт'!AT313+'побудинковий звіт'!BR313)*1.2</f>
        <v>161291.47737676222</v>
      </c>
      <c r="J333" s="333">
        <f t="shared" si="22"/>
        <v>49877.027965476722</v>
      </c>
      <c r="K333" s="354">
        <f t="shared" si="23"/>
        <v>1.4476710896030738</v>
      </c>
      <c r="L333" s="356">
        <f>'побудинковий звіт'!DE313</f>
        <v>11610.89</v>
      </c>
      <c r="M333" s="363">
        <f>'побудинковий звіт'!DA313*-1</f>
        <v>87499.912907387683</v>
      </c>
    </row>
    <row r="334" spans="1:13" ht="20.100000000000001" customHeight="1" x14ac:dyDescent="0.3">
      <c r="A334" s="359" t="s">
        <v>780</v>
      </c>
      <c r="B334" s="298" t="s">
        <v>398</v>
      </c>
      <c r="C334" s="360">
        <v>9</v>
      </c>
      <c r="D334" s="350">
        <f>'побудинковий звіт'!CU314</f>
        <v>714103.21982475091</v>
      </c>
      <c r="E334" s="334">
        <f>'побудинковий звіт'!CV314</f>
        <v>699875.13356305601</v>
      </c>
      <c r="F334" s="334">
        <f t="shared" si="20"/>
        <v>-14228.086261694902</v>
      </c>
      <c r="G334" s="351">
        <f t="shared" si="21"/>
        <v>0.98007558870104716</v>
      </c>
      <c r="H334" s="345">
        <f>('побудинковий звіт'!AS314+'побудинковий звіт'!BQ314)*1.2</f>
        <v>158151.96354206643</v>
      </c>
      <c r="I334" s="333">
        <f>('побудинковий звіт'!AT314+'побудинковий звіт'!BR314)*1.2</f>
        <v>48377.080482164354</v>
      </c>
      <c r="J334" s="333">
        <f t="shared" si="22"/>
        <v>-109774.88305990207</v>
      </c>
      <c r="K334" s="354">
        <f t="shared" si="23"/>
        <v>0.30588985048735523</v>
      </c>
      <c r="L334" s="356">
        <f>'побудинковий звіт'!DE314</f>
        <v>67827.69</v>
      </c>
      <c r="M334" s="363">
        <f>'побудинковий звіт'!DA314*-1</f>
        <v>-80096.146786386438</v>
      </c>
    </row>
    <row r="335" spans="1:13" ht="20.100000000000001" customHeight="1" x14ac:dyDescent="0.3">
      <c r="A335" s="359" t="s">
        <v>781</v>
      </c>
      <c r="B335" s="298" t="s">
        <v>189</v>
      </c>
      <c r="C335" s="360">
        <v>2</v>
      </c>
      <c r="D335" s="350" t="e">
        <f>'побудинковий звіт'!#REF!</f>
        <v>#REF!</v>
      </c>
      <c r="E335" s="334" t="e">
        <f>'побудинковий звіт'!#REF!</f>
        <v>#REF!</v>
      </c>
      <c r="F335" s="334" t="e">
        <f t="shared" si="20"/>
        <v>#REF!</v>
      </c>
      <c r="G335" s="351" t="e">
        <f t="shared" si="21"/>
        <v>#REF!</v>
      </c>
      <c r="H335" s="345" t="e">
        <f>('побудинковий звіт'!#REF!+'побудинковий звіт'!#REF!)*1.2</f>
        <v>#REF!</v>
      </c>
      <c r="I335" s="333" t="e">
        <f>('побудинковий звіт'!#REF!+'побудинковий звіт'!#REF!)*1.2</f>
        <v>#REF!</v>
      </c>
      <c r="J335" s="333" t="e">
        <f t="shared" si="22"/>
        <v>#REF!</v>
      </c>
      <c r="K335" s="354" t="e">
        <f t="shared" si="23"/>
        <v>#REF!</v>
      </c>
      <c r="L335" s="356" t="e">
        <f>'побудинковий звіт'!#REF!</f>
        <v>#REF!</v>
      </c>
      <c r="M335" s="363" t="e">
        <f>'побудинковий звіт'!#REF!*-1</f>
        <v>#REF!</v>
      </c>
    </row>
    <row r="336" spans="1:13" ht="20.100000000000001" customHeight="1" x14ac:dyDescent="0.3">
      <c r="A336" s="359" t="s">
        <v>782</v>
      </c>
      <c r="B336" s="298" t="s">
        <v>399</v>
      </c>
      <c r="C336" s="360">
        <v>9</v>
      </c>
      <c r="D336" s="350">
        <f>'побудинковий звіт'!CU315</f>
        <v>230009.00149793125</v>
      </c>
      <c r="E336" s="334">
        <f>'побудинковий звіт'!CV315</f>
        <v>339290.53973886755</v>
      </c>
      <c r="F336" s="334">
        <f t="shared" si="20"/>
        <v>109281.53824093629</v>
      </c>
      <c r="G336" s="351">
        <f t="shared" si="21"/>
        <v>1.4751185280977761</v>
      </c>
      <c r="H336" s="345">
        <f>('побудинковий звіт'!AS315+'побудинковий звіт'!BQ315)*1.2</f>
        <v>55527.868777549826</v>
      </c>
      <c r="I336" s="333">
        <f>('побудинковий звіт'!AT315+'побудинковий звіт'!BR315)*1.2</f>
        <v>143643.42543386281</v>
      </c>
      <c r="J336" s="333">
        <f t="shared" si="22"/>
        <v>88115.556656312983</v>
      </c>
      <c r="K336" s="354">
        <f t="shared" si="23"/>
        <v>2.5868708559536597</v>
      </c>
      <c r="L336" s="356">
        <f>'побудинковий звіт'!DE315</f>
        <v>48146.37000000001</v>
      </c>
      <c r="M336" s="363">
        <f>'побудинковий звіт'!DA315*-1</f>
        <v>-2925.7301543588401</v>
      </c>
    </row>
    <row r="337" spans="1:13" ht="20.100000000000001" customHeight="1" x14ac:dyDescent="0.3">
      <c r="A337" s="359" t="s">
        <v>783</v>
      </c>
      <c r="B337" s="298" t="s">
        <v>400</v>
      </c>
      <c r="C337" s="360">
        <v>9</v>
      </c>
      <c r="D337" s="350">
        <f>'побудинковий звіт'!CU316</f>
        <v>388026.40692027536</v>
      </c>
      <c r="E337" s="334">
        <f>'побудинковий звіт'!CV316</f>
        <v>365917.75992504641</v>
      </c>
      <c r="F337" s="334">
        <f t="shared" si="20"/>
        <v>-22108.646995228948</v>
      </c>
      <c r="G337" s="351">
        <f t="shared" si="21"/>
        <v>0.94302282885666744</v>
      </c>
      <c r="H337" s="345">
        <f>('побудинковий звіт'!AS316+'побудинковий звіт'!BQ316)*1.2</f>
        <v>89124.896974804258</v>
      </c>
      <c r="I337" s="333">
        <f>('побудинковий звіт'!AT316+'побудинковий звіт'!BR316)*1.2</f>
        <v>11210.086847007444</v>
      </c>
      <c r="J337" s="333">
        <f t="shared" si="22"/>
        <v>-77914.810127796809</v>
      </c>
      <c r="K337" s="354">
        <f t="shared" si="23"/>
        <v>0.12577952095895889</v>
      </c>
      <c r="L337" s="356">
        <f>'побудинковий звіт'!DE316</f>
        <v>50311.700000000004</v>
      </c>
      <c r="M337" s="363">
        <f>'побудинковий звіт'!DA316*-1</f>
        <v>-23796.782765294018</v>
      </c>
    </row>
    <row r="338" spans="1:13" ht="20.100000000000001" customHeight="1" x14ac:dyDescent="0.3">
      <c r="A338" s="359" t="s">
        <v>784</v>
      </c>
      <c r="B338" s="298" t="s">
        <v>314</v>
      </c>
      <c r="C338" s="360">
        <v>5</v>
      </c>
      <c r="D338" s="350">
        <f>'побудинковий звіт'!CU317</f>
        <v>206088.33257671294</v>
      </c>
      <c r="E338" s="334">
        <f>'побудинковий звіт'!CV317</f>
        <v>347334.29216546169</v>
      </c>
      <c r="F338" s="334">
        <f t="shared" si="20"/>
        <v>141245.95958874875</v>
      </c>
      <c r="G338" s="351">
        <f t="shared" si="21"/>
        <v>1.6853661137569362</v>
      </c>
      <c r="H338" s="345">
        <f>('побудинковий звіт'!AS317+'побудинковий звіт'!BQ317)*1.2</f>
        <v>79080.035501578328</v>
      </c>
      <c r="I338" s="333">
        <f>('побудинковий звіт'!AT317+'побудинковий звіт'!BR317)*1.2</f>
        <v>253797.7178372374</v>
      </c>
      <c r="J338" s="333">
        <f t="shared" si="22"/>
        <v>174717.68233565908</v>
      </c>
      <c r="K338" s="354">
        <f t="shared" si="23"/>
        <v>3.209377894527778</v>
      </c>
      <c r="L338" s="356">
        <f>'побудинковий звіт'!DE317</f>
        <v>17637.729999999996</v>
      </c>
      <c r="M338" s="363">
        <f>'побудинковий звіт'!DA317*-1</f>
        <v>-84109.948376730827</v>
      </c>
    </row>
    <row r="339" spans="1:13" ht="20.100000000000001" customHeight="1" x14ac:dyDescent="0.3">
      <c r="A339" s="359" t="s">
        <v>785</v>
      </c>
      <c r="B339" s="298" t="s">
        <v>315</v>
      </c>
      <c r="C339" s="360">
        <v>5</v>
      </c>
      <c r="D339" s="350">
        <f>'побудинковий звіт'!CU318</f>
        <v>279227.11611514742</v>
      </c>
      <c r="E339" s="334">
        <f>'побудинковий звіт'!CV318</f>
        <v>239041.43868351399</v>
      </c>
      <c r="F339" s="334">
        <f t="shared" si="20"/>
        <v>-40185.677431633434</v>
      </c>
      <c r="G339" s="351">
        <f t="shared" si="21"/>
        <v>0.85608246795393006</v>
      </c>
      <c r="H339" s="345">
        <f>('побудинковий звіт'!AS318+'побудинковий звіт'!BQ318)*1.2</f>
        <v>92611.489439949102</v>
      </c>
      <c r="I339" s="333">
        <f>('побудинковий звіт'!AT318+'побудинковий звіт'!BR318)*1.2</f>
        <v>26843.662202710719</v>
      </c>
      <c r="J339" s="333">
        <f t="shared" si="22"/>
        <v>-65767.82723723838</v>
      </c>
      <c r="K339" s="354">
        <f t="shared" si="23"/>
        <v>0.2898523969870565</v>
      </c>
      <c r="L339" s="356">
        <f>'побудинковий звіт'!DE318</f>
        <v>57637.210000000006</v>
      </c>
      <c r="M339" s="363">
        <f>'побудинковий звіт'!DA318*-1</f>
        <v>-38672.429466780159</v>
      </c>
    </row>
    <row r="340" spans="1:13" ht="20.100000000000001" customHeight="1" x14ac:dyDescent="0.3">
      <c r="A340" s="359" t="s">
        <v>786</v>
      </c>
      <c r="B340" s="298" t="s">
        <v>316</v>
      </c>
      <c r="C340" s="360">
        <v>5</v>
      </c>
      <c r="D340" s="350">
        <f>'побудинковий звіт'!CU319</f>
        <v>194052.22667899411</v>
      </c>
      <c r="E340" s="334">
        <f>'побудинковий звіт'!CV319</f>
        <v>152703.1573683561</v>
      </c>
      <c r="F340" s="334">
        <f t="shared" si="20"/>
        <v>-41349.069310638006</v>
      </c>
      <c r="G340" s="351">
        <f t="shared" si="21"/>
        <v>0.78691783125457948</v>
      </c>
      <c r="H340" s="345">
        <f>('побудинковий звіт'!AS319+'побудинковий звіт'!BQ319)*1.2</f>
        <v>67372.116273278138</v>
      </c>
      <c r="I340" s="333">
        <f>('побудинковий звіт'!AT319+'побудинковий звіт'!BR319)*1.2</f>
        <v>12074.34762766526</v>
      </c>
      <c r="J340" s="333">
        <f t="shared" si="22"/>
        <v>-55297.768645612879</v>
      </c>
      <c r="K340" s="354">
        <f t="shared" si="23"/>
        <v>0.17921876728183347</v>
      </c>
      <c r="L340" s="356">
        <f>'побудинковий звіт'!DE319</f>
        <v>25620.429999999997</v>
      </c>
      <c r="M340" s="363">
        <f>'побудинковий звіт'!DA319*-1</f>
        <v>27414.096991486542</v>
      </c>
    </row>
    <row r="341" spans="1:13" ht="20.100000000000001" customHeight="1" x14ac:dyDescent="0.3">
      <c r="A341" s="359" t="s">
        <v>787</v>
      </c>
      <c r="B341" s="298" t="s">
        <v>401</v>
      </c>
      <c r="C341" s="360">
        <v>9</v>
      </c>
      <c r="D341" s="350">
        <f>'побудинковий звіт'!CU320</f>
        <v>393385.67564532522</v>
      </c>
      <c r="E341" s="334">
        <f>'побудинковий звіт'!CV320</f>
        <v>346156.48395119829</v>
      </c>
      <c r="F341" s="334">
        <f t="shared" si="20"/>
        <v>-47229.19169412693</v>
      </c>
      <c r="G341" s="351">
        <f t="shared" si="21"/>
        <v>0.87994176041959249</v>
      </c>
      <c r="H341" s="345">
        <f>('побудинковий звіт'!AS320+'побудинковий звіт'!BQ320)*1.2</f>
        <v>95058.276428786092</v>
      </c>
      <c r="I341" s="333">
        <f>('побудинковий звіт'!AT320+'побудинковий звіт'!BR320)*1.2</f>
        <v>1422.707737787357</v>
      </c>
      <c r="J341" s="333">
        <f t="shared" si="22"/>
        <v>-93635.568690998742</v>
      </c>
      <c r="K341" s="354">
        <f t="shared" si="23"/>
        <v>1.4966689816359057E-2</v>
      </c>
      <c r="L341" s="356">
        <f>'побудинковий звіт'!DE320</f>
        <v>26491.989999999998</v>
      </c>
      <c r="M341" s="363">
        <f>'побудинковий звіт'!DA320*-1</f>
        <v>-19745.822670407098</v>
      </c>
    </row>
    <row r="342" spans="1:13" ht="20.100000000000001" customHeight="1" x14ac:dyDescent="0.3">
      <c r="A342" s="359" t="s">
        <v>788</v>
      </c>
      <c r="B342" s="298" t="s">
        <v>317</v>
      </c>
      <c r="C342" s="360">
        <v>5</v>
      </c>
      <c r="D342" s="350">
        <f>'побудинковий звіт'!CU321</f>
        <v>207052.80390922623</v>
      </c>
      <c r="E342" s="334">
        <f>'побудинковий звіт'!CV321</f>
        <v>171820.09489939042</v>
      </c>
      <c r="F342" s="334">
        <f t="shared" si="20"/>
        <v>-35232.709009835817</v>
      </c>
      <c r="G342" s="351">
        <f t="shared" si="21"/>
        <v>0.82983708336892581</v>
      </c>
      <c r="H342" s="345">
        <f>('побудинковий звіт'!AS321+'побудинковий звіт'!BQ321)*1.2</f>
        <v>66226.884807495284</v>
      </c>
      <c r="I342" s="333">
        <f>('побудинковий звіт'!AT321+'побудинковий звіт'!BR321)*1.2</f>
        <v>9412.7649105031287</v>
      </c>
      <c r="J342" s="333">
        <f t="shared" si="22"/>
        <v>-56814.119896992153</v>
      </c>
      <c r="K342" s="354">
        <f t="shared" si="23"/>
        <v>0.14212906039388148</v>
      </c>
      <c r="L342" s="356">
        <f>'побудинковий звіт'!DE321</f>
        <v>53409.499999999993</v>
      </c>
      <c r="M342" s="363">
        <f>'побудинковий звіт'!DA321*-1</f>
        <v>-12404.950714843697</v>
      </c>
    </row>
    <row r="343" spans="1:13" ht="20.100000000000001" customHeight="1" x14ac:dyDescent="0.3">
      <c r="A343" s="359" t="s">
        <v>789</v>
      </c>
      <c r="B343" s="298" t="s">
        <v>190</v>
      </c>
      <c r="C343" s="360">
        <v>2</v>
      </c>
      <c r="D343" s="350">
        <f>'побудинковий звіт'!CU322</f>
        <v>32595.374327345504</v>
      </c>
      <c r="E343" s="334">
        <f>'побудинковий звіт'!CV322</f>
        <v>28864.156648099888</v>
      </c>
      <c r="F343" s="334">
        <f t="shared" si="20"/>
        <v>-3731.2176792456157</v>
      </c>
      <c r="G343" s="351">
        <f t="shared" si="21"/>
        <v>0.88552922749792273</v>
      </c>
      <c r="H343" s="345">
        <f>('побудинковий звіт'!AS322+'побудинковий звіт'!BQ322)*1.2</f>
        <v>10233.728930503652</v>
      </c>
      <c r="I343" s="333">
        <f>('побудинковий звіт'!AT322+'побудинковий звіт'!BR322)*1.2</f>
        <v>1389.1000987457026</v>
      </c>
      <c r="J343" s="333">
        <f t="shared" si="22"/>
        <v>-8844.6288317579492</v>
      </c>
      <c r="K343" s="354">
        <f t="shared" si="23"/>
        <v>0.13573743336167671</v>
      </c>
      <c r="L343" s="356">
        <f>'побудинковий звіт'!DE322</f>
        <v>-568.67999999999984</v>
      </c>
      <c r="M343" s="363">
        <f>'побудинковий звіт'!DA322*-1</f>
        <v>2712.9268181384286</v>
      </c>
    </row>
    <row r="344" spans="1:13" ht="20.100000000000001" customHeight="1" x14ac:dyDescent="0.3">
      <c r="A344" s="359" t="s">
        <v>790</v>
      </c>
      <c r="B344" s="298" t="s">
        <v>402</v>
      </c>
      <c r="C344" s="360">
        <v>9</v>
      </c>
      <c r="D344" s="350">
        <f>'побудинковий звіт'!CU323</f>
        <v>611749.2665431879</v>
      </c>
      <c r="E344" s="334">
        <f>'побудинковий звіт'!CV323</f>
        <v>704854.41905469785</v>
      </c>
      <c r="F344" s="334">
        <f t="shared" si="20"/>
        <v>93105.15251150995</v>
      </c>
      <c r="G344" s="351">
        <f t="shared" si="21"/>
        <v>1.1521949556844087</v>
      </c>
      <c r="H344" s="345">
        <f>('побудинковий звіт'!AS323+'побудинковий звіт'!BQ323)*1.2</f>
        <v>145938.45444994248</v>
      </c>
      <c r="I344" s="333">
        <f>('побудинковий звіт'!AT323+'побудинковий звіт'!BR323)*1.2</f>
        <v>200307.20758678502</v>
      </c>
      <c r="J344" s="333">
        <f t="shared" si="22"/>
        <v>54368.753136842541</v>
      </c>
      <c r="K344" s="354">
        <f t="shared" si="23"/>
        <v>1.3725457648689245</v>
      </c>
      <c r="L344" s="356">
        <f>'побудинковий звіт'!DE323</f>
        <v>70613.51999999999</v>
      </c>
      <c r="M344" s="363">
        <f>'побудинковий звіт'!DA323*-1</f>
        <v>109055.39907482127</v>
      </c>
    </row>
    <row r="345" spans="1:13" ht="20.100000000000001" customHeight="1" x14ac:dyDescent="0.3">
      <c r="A345" s="359" t="s">
        <v>791</v>
      </c>
      <c r="B345" s="298" t="s">
        <v>425</v>
      </c>
      <c r="C345" s="360">
        <v>14</v>
      </c>
      <c r="D345" s="350">
        <f>'побудинковий звіт'!CU324</f>
        <v>349678.25384618284</v>
      </c>
      <c r="E345" s="334">
        <f>'побудинковий звіт'!CV324</f>
        <v>446856.2745091918</v>
      </c>
      <c r="F345" s="334">
        <f t="shared" si="20"/>
        <v>97178.020663008967</v>
      </c>
      <c r="G345" s="351">
        <f t="shared" si="21"/>
        <v>1.2779069604532967</v>
      </c>
      <c r="H345" s="345">
        <f>('побудинковий звіт'!AS324+'побудинковий звіт'!BQ324)*1.2</f>
        <v>97207.180200481685</v>
      </c>
      <c r="I345" s="333">
        <f>('побудинковий звіт'!AT324+'побудинковий звіт'!BR324)*1.2</f>
        <v>171333.23671307476</v>
      </c>
      <c r="J345" s="333">
        <f t="shared" si="22"/>
        <v>74126.056512593073</v>
      </c>
      <c r="K345" s="354">
        <f t="shared" si="23"/>
        <v>1.7625574197267555</v>
      </c>
      <c r="L345" s="356">
        <f>'побудинковий звіт'!DE324</f>
        <v>39157.14</v>
      </c>
      <c r="M345" s="363">
        <f>'побудинковий звіт'!DA324*-1</f>
        <v>-59061.555412408197</v>
      </c>
    </row>
    <row r="346" spans="1:13" ht="20.100000000000001" customHeight="1" x14ac:dyDescent="0.3">
      <c r="A346" s="359" t="s">
        <v>792</v>
      </c>
      <c r="B346" s="298" t="s">
        <v>424</v>
      </c>
      <c r="C346" s="360">
        <v>10</v>
      </c>
      <c r="D346" s="350">
        <f>'побудинковий звіт'!CU325</f>
        <v>780699.76111398672</v>
      </c>
      <c r="E346" s="334">
        <f>'побудинковий звіт'!CV325</f>
        <v>835197.45098289021</v>
      </c>
      <c r="F346" s="334">
        <f t="shared" si="20"/>
        <v>54497.689868903486</v>
      </c>
      <c r="G346" s="351">
        <f t="shared" si="21"/>
        <v>1.0698062079475217</v>
      </c>
      <c r="H346" s="345">
        <f>('побудинковий звіт'!AS325+'побудинковий звіт'!BQ325)*1.2</f>
        <v>216491.34696558348</v>
      </c>
      <c r="I346" s="333">
        <f>('побудинковий звіт'!AT325+'побудинковий звіт'!BR325)*1.2</f>
        <v>188277.79882703969</v>
      </c>
      <c r="J346" s="333">
        <f t="shared" si="22"/>
        <v>-28213.548138543789</v>
      </c>
      <c r="K346" s="354">
        <f t="shared" si="23"/>
        <v>0.86967817174222206</v>
      </c>
      <c r="L346" s="356">
        <f>'побудинковий звіт'!DE325</f>
        <v>146449.29999999999</v>
      </c>
      <c r="M346" s="363">
        <f>'побудинковий звіт'!DA325*-1</f>
        <v>-91014.39046975461</v>
      </c>
    </row>
    <row r="347" spans="1:13" ht="20.100000000000001" customHeight="1" x14ac:dyDescent="0.3">
      <c r="A347" s="359" t="s">
        <v>793</v>
      </c>
      <c r="B347" s="298" t="s">
        <v>403</v>
      </c>
      <c r="C347" s="360">
        <v>9</v>
      </c>
      <c r="D347" s="350">
        <f>'побудинковий звіт'!CU326</f>
        <v>328685.86071663373</v>
      </c>
      <c r="E347" s="334">
        <f>'побудинковий звіт'!CV326</f>
        <v>245334.24206973697</v>
      </c>
      <c r="F347" s="334">
        <f t="shared" si="20"/>
        <v>-83351.618646896764</v>
      </c>
      <c r="G347" s="351">
        <f t="shared" si="21"/>
        <v>0.74640947905344868</v>
      </c>
      <c r="H347" s="345">
        <f>('побудинковий звіт'!AS326+'побудинковий звіт'!BQ326)*1.2</f>
        <v>119020.97556594068</v>
      </c>
      <c r="I347" s="333">
        <f>('побудинковий звіт'!AT326+'побудинковий звіт'!BR326)*1.2</f>
        <v>22013.097732117978</v>
      </c>
      <c r="J347" s="333">
        <f t="shared" si="22"/>
        <v>-97007.877833822698</v>
      </c>
      <c r="K347" s="354">
        <f t="shared" si="23"/>
        <v>0.18495141404652793</v>
      </c>
      <c r="L347" s="356">
        <f>'побудинковий звіт'!DE326</f>
        <v>73209.7</v>
      </c>
      <c r="M347" s="364">
        <f>'побудинковий звіт'!DA326*-1</f>
        <v>237587.99517458194</v>
      </c>
    </row>
    <row r="348" spans="1:13" ht="20.100000000000001" customHeight="1" x14ac:dyDescent="0.3">
      <c r="A348" s="359" t="s">
        <v>794</v>
      </c>
      <c r="B348" s="298" t="s">
        <v>404</v>
      </c>
      <c r="C348" s="360">
        <v>9</v>
      </c>
      <c r="D348" s="350">
        <f>'побудинковий звіт'!CU327</f>
        <v>369733.77520796878</v>
      </c>
      <c r="E348" s="334">
        <f>'побудинковий звіт'!CV327</f>
        <v>388301.92748844629</v>
      </c>
      <c r="F348" s="334">
        <f t="shared" si="20"/>
        <v>18568.152280477516</v>
      </c>
      <c r="G348" s="351">
        <f t="shared" si="21"/>
        <v>1.0502203302093061</v>
      </c>
      <c r="H348" s="345">
        <f>('побудинковий звіт'!AS327+'побудинковий звіт'!BQ327)*1.2</f>
        <v>134260.17889560541</v>
      </c>
      <c r="I348" s="333">
        <f>('побудинковий звіт'!AT327+'побудинковий звіт'!BR327)*1.2</f>
        <v>138413.58866368959</v>
      </c>
      <c r="J348" s="333">
        <f t="shared" si="22"/>
        <v>4153.4097680841805</v>
      </c>
      <c r="K348" s="354">
        <f t="shared" si="23"/>
        <v>1.0309355298216434</v>
      </c>
      <c r="L348" s="356">
        <f>'побудинковий звіт'!DE327</f>
        <v>30708.1</v>
      </c>
      <c r="M348" s="363">
        <f>'побудинковий звіт'!DA327*-1</f>
        <v>59408.803095865704</v>
      </c>
    </row>
    <row r="349" spans="1:13" ht="20.100000000000001" customHeight="1" x14ac:dyDescent="0.3">
      <c r="A349" s="359" t="s">
        <v>795</v>
      </c>
      <c r="B349" s="298" t="s">
        <v>405</v>
      </c>
      <c r="C349" s="360">
        <v>9</v>
      </c>
      <c r="D349" s="350">
        <f>'побудинковий звіт'!CU328</f>
        <v>345205.50649134396</v>
      </c>
      <c r="E349" s="334">
        <f>'побудинковий звіт'!CV328</f>
        <v>347518.97383684729</v>
      </c>
      <c r="F349" s="334">
        <f t="shared" si="20"/>
        <v>2313.4673455033335</v>
      </c>
      <c r="G349" s="351">
        <f t="shared" si="21"/>
        <v>1.0067017104362481</v>
      </c>
      <c r="H349" s="345">
        <f>('побудинковий звіт'!AS328+'побудинковий звіт'!BQ328)*1.2</f>
        <v>129701.68956562594</v>
      </c>
      <c r="I349" s="333">
        <f>('побудинковий звіт'!AT328+'побудинковий звіт'!BR328)*1.2</f>
        <v>159194.92852372493</v>
      </c>
      <c r="J349" s="333">
        <f t="shared" si="22"/>
        <v>29493.238958098984</v>
      </c>
      <c r="K349" s="354">
        <f t="shared" si="23"/>
        <v>1.2273928663294407</v>
      </c>
      <c r="L349" s="356">
        <f>'побудинковий звіт'!DE328</f>
        <v>18214.25</v>
      </c>
      <c r="M349" s="363">
        <f>'побудинковий звіт'!DA328*-1</f>
        <v>18565.948778365346</v>
      </c>
    </row>
    <row r="350" spans="1:13" ht="20.100000000000001" customHeight="1" x14ac:dyDescent="0.3">
      <c r="A350" s="359" t="s">
        <v>796</v>
      </c>
      <c r="B350" s="298" t="s">
        <v>426</v>
      </c>
      <c r="C350" s="360">
        <v>14</v>
      </c>
      <c r="D350" s="350">
        <f>'побудинковий звіт'!CU329</f>
        <v>395246.49810523004</v>
      </c>
      <c r="E350" s="334">
        <f>'побудинковий звіт'!CV329</f>
        <v>383421.35651192581</v>
      </c>
      <c r="F350" s="334">
        <f t="shared" si="20"/>
        <v>-11825.14159330423</v>
      </c>
      <c r="G350" s="351">
        <f t="shared" si="21"/>
        <v>0.97008160312616887</v>
      </c>
      <c r="H350" s="345">
        <f>('побудинковий звіт'!AS329+'побудинковий звіт'!BQ329)*1.2</f>
        <v>143406.86951386998</v>
      </c>
      <c r="I350" s="333">
        <f>('побудинковий звіт'!AT329+'побудинковий звіт'!BR329)*1.2</f>
        <v>107532.33570623299</v>
      </c>
      <c r="J350" s="333">
        <f t="shared" si="22"/>
        <v>-35874.533807636995</v>
      </c>
      <c r="K350" s="354">
        <f t="shared" si="23"/>
        <v>0.7498408972370233</v>
      </c>
      <c r="L350" s="356">
        <f>'побудинковий звіт'!DE329</f>
        <v>24318.229999999996</v>
      </c>
      <c r="M350" s="363">
        <f>'побудинковий звіт'!DA329*-1</f>
        <v>157206.05065101883</v>
      </c>
    </row>
    <row r="351" spans="1:13" ht="20.100000000000001" customHeight="1" x14ac:dyDescent="0.3">
      <c r="A351" s="359" t="s">
        <v>797</v>
      </c>
      <c r="B351" s="298" t="s">
        <v>406</v>
      </c>
      <c r="C351" s="360">
        <v>9</v>
      </c>
      <c r="D351" s="350">
        <f>'побудинковий звіт'!CU330</f>
        <v>364476.01543757966</v>
      </c>
      <c r="E351" s="334">
        <f>'побудинковий звіт'!CV330</f>
        <v>426121.06483330898</v>
      </c>
      <c r="F351" s="334">
        <f t="shared" si="20"/>
        <v>61645.049395729322</v>
      </c>
      <c r="G351" s="351">
        <f t="shared" si="21"/>
        <v>1.1691333497533987</v>
      </c>
      <c r="H351" s="345">
        <f>('побудинковий звіт'!AS330+'побудинковий звіт'!BQ330)*1.2</f>
        <v>143329.33816609898</v>
      </c>
      <c r="I351" s="333">
        <f>('побудинковий звіт'!AT330+'побудинковий звіт'!BR330)*1.2</f>
        <v>193184.63520655321</v>
      </c>
      <c r="J351" s="333">
        <f t="shared" si="22"/>
        <v>49855.297040454228</v>
      </c>
      <c r="K351" s="354">
        <f t="shared" si="23"/>
        <v>1.3478373491314026</v>
      </c>
      <c r="L351" s="356">
        <f>'побудинковий звіт'!DE330</f>
        <v>21590.630000000005</v>
      </c>
      <c r="M351" s="363">
        <f>'побудинковий звіт'!DA330*-1</f>
        <v>-101846.93589232638</v>
      </c>
    </row>
    <row r="352" spans="1:13" ht="20.100000000000001" customHeight="1" x14ac:dyDescent="0.3">
      <c r="A352" s="359" t="s">
        <v>798</v>
      </c>
      <c r="B352" s="298" t="s">
        <v>407</v>
      </c>
      <c r="C352" s="360">
        <v>9</v>
      </c>
      <c r="D352" s="350">
        <f>'побудинковий звіт'!CU331</f>
        <v>548134.96885534108</v>
      </c>
      <c r="E352" s="334">
        <f>'побудинковий звіт'!CV331</f>
        <v>495091.75766363391</v>
      </c>
      <c r="F352" s="334">
        <f t="shared" si="20"/>
        <v>-53043.211191707174</v>
      </c>
      <c r="G352" s="351">
        <f t="shared" si="21"/>
        <v>0.90322965290377988</v>
      </c>
      <c r="H352" s="345">
        <f>('побудинковий звіт'!AS331+'побудинковий звіт'!BQ331)*1.2</f>
        <v>171966.97361708831</v>
      </c>
      <c r="I352" s="333">
        <f>('побудинковий звіт'!AT331+'побудинковий звіт'!BR331)*1.2</f>
        <v>78227.382540097766</v>
      </c>
      <c r="J352" s="333">
        <f t="shared" si="22"/>
        <v>-93739.591076990546</v>
      </c>
      <c r="K352" s="354">
        <f t="shared" si="23"/>
        <v>0.45489771026780651</v>
      </c>
      <c r="L352" s="356">
        <f>'побудинковий звіт'!DE331</f>
        <v>6989.9800000000032</v>
      </c>
      <c r="M352" s="363">
        <f>'побудинковий звіт'!DA331*-1</f>
        <v>54282.859676251333</v>
      </c>
    </row>
    <row r="353" spans="1:13" ht="20.100000000000001" customHeight="1" x14ac:dyDescent="0.3">
      <c r="A353" s="359" t="s">
        <v>799</v>
      </c>
      <c r="B353" s="298" t="s">
        <v>408</v>
      </c>
      <c r="C353" s="360">
        <v>9</v>
      </c>
      <c r="D353" s="350">
        <f>'побудинковий звіт'!CU332</f>
        <v>535378.37309321831</v>
      </c>
      <c r="E353" s="334">
        <f>'побудинковий звіт'!CV332</f>
        <v>408914.25846301037</v>
      </c>
      <c r="F353" s="334">
        <f t="shared" si="20"/>
        <v>-126464.11463020794</v>
      </c>
      <c r="G353" s="351">
        <f t="shared" si="21"/>
        <v>0.76378553750771616</v>
      </c>
      <c r="H353" s="345">
        <f>('побудинковий звіт'!AS332+'побудинковий звіт'!BQ332)*1.2</f>
        <v>172730.67478558572</v>
      </c>
      <c r="I353" s="333">
        <f>('побудинковий звіт'!AT332+'побудинковий звіт'!BR332)*1.2</f>
        <v>41745.317543642166</v>
      </c>
      <c r="J353" s="333">
        <f t="shared" si="22"/>
        <v>-130985.35724194357</v>
      </c>
      <c r="K353" s="354">
        <f t="shared" si="23"/>
        <v>0.24167865722438425</v>
      </c>
      <c r="L353" s="356">
        <f>'побудинковий звіт'!DE332</f>
        <v>42334.890000000007</v>
      </c>
      <c r="M353" s="364">
        <f>'побудинковий звіт'!DA332*-1</f>
        <v>34251.875245330972</v>
      </c>
    </row>
    <row r="354" spans="1:13" ht="20.100000000000001" customHeight="1" x14ac:dyDescent="0.3">
      <c r="A354" s="359" t="s">
        <v>800</v>
      </c>
      <c r="B354" s="298" t="s">
        <v>409</v>
      </c>
      <c r="C354" s="360">
        <v>9</v>
      </c>
      <c r="D354" s="350">
        <f>'побудинковий звіт'!CU333</f>
        <v>505479.3838532035</v>
      </c>
      <c r="E354" s="334">
        <f>'побудинковий звіт'!CV333</f>
        <v>478149.93816505274</v>
      </c>
      <c r="F354" s="334">
        <f t="shared" si="20"/>
        <v>-27329.445688150765</v>
      </c>
      <c r="G354" s="351">
        <f t="shared" si="21"/>
        <v>0.94593360963641693</v>
      </c>
      <c r="H354" s="345">
        <f>('побудинковий звіт'!AS333+'побудинковий звіт'!BQ333)*1.2</f>
        <v>170397.3046126535</v>
      </c>
      <c r="I354" s="333">
        <f>('побудинковий звіт'!AT333+'побудинковий звіт'!BR333)*1.2</f>
        <v>126584.87027084855</v>
      </c>
      <c r="J354" s="333">
        <f t="shared" si="22"/>
        <v>-43812.434341804954</v>
      </c>
      <c r="K354" s="354">
        <f t="shared" si="23"/>
        <v>0.74288070787622373</v>
      </c>
      <c r="L354" s="356">
        <f>'побудинковий звіт'!DE333</f>
        <v>81610.89</v>
      </c>
      <c r="M354" s="363">
        <f>'побудинковий звіт'!DA333*-1</f>
        <v>53469.164738254847</v>
      </c>
    </row>
    <row r="355" spans="1:13" ht="20.100000000000001" customHeight="1" x14ac:dyDescent="0.3">
      <c r="A355" s="359" t="s">
        <v>801</v>
      </c>
      <c r="B355" s="298" t="s">
        <v>410</v>
      </c>
      <c r="C355" s="360">
        <v>9</v>
      </c>
      <c r="D355" s="350">
        <f>'побудинковий звіт'!CU334</f>
        <v>496231.7150958397</v>
      </c>
      <c r="E355" s="334">
        <f>'побудинковий звіт'!CV334</f>
        <v>433762.09277414292</v>
      </c>
      <c r="F355" s="334">
        <f t="shared" si="20"/>
        <v>-62469.622321696777</v>
      </c>
      <c r="G355" s="351">
        <f t="shared" si="21"/>
        <v>0.87411199159321828</v>
      </c>
      <c r="H355" s="345">
        <f>('побудинковий звіт'!AS334+'побудинковий звіт'!BQ334)*1.2</f>
        <v>163780.25481358598</v>
      </c>
      <c r="I355" s="333">
        <f>('побудинковий звіт'!AT334+'побудинковий звіт'!BR334)*1.2</f>
        <v>55269.216473346802</v>
      </c>
      <c r="J355" s="333">
        <f t="shared" si="22"/>
        <v>-108511.03834023917</v>
      </c>
      <c r="K355" s="354">
        <f t="shared" si="23"/>
        <v>0.33745958287984101</v>
      </c>
      <c r="L355" s="356">
        <f>'побудинковий звіт'!DE334</f>
        <v>48237.240000000005</v>
      </c>
      <c r="M355" s="363">
        <f>'побудинковий звіт'!DA334*-1</f>
        <v>29610.773721889738</v>
      </c>
    </row>
    <row r="356" spans="1:13" ht="20.100000000000001" customHeight="1" x14ac:dyDescent="0.3">
      <c r="A356" s="359" t="s">
        <v>802</v>
      </c>
      <c r="B356" s="298" t="s">
        <v>318</v>
      </c>
      <c r="C356" s="360">
        <v>5</v>
      </c>
      <c r="D356" s="350">
        <f>'побудинковий звіт'!CU335</f>
        <v>398914.43113447638</v>
      </c>
      <c r="E356" s="334">
        <f>'побудинковий звіт'!CV335</f>
        <v>380059.46432292386</v>
      </c>
      <c r="F356" s="334">
        <f t="shared" si="20"/>
        <v>-18854.966811552527</v>
      </c>
      <c r="G356" s="351">
        <f t="shared" si="21"/>
        <v>0.95273430756082023</v>
      </c>
      <c r="H356" s="345">
        <f>('побудинковий звіт'!AS335+'побудинковий звіт'!BQ335)*1.2</f>
        <v>142403.86508637984</v>
      </c>
      <c r="I356" s="333">
        <f>('побудинковий звіт'!AT335+'побудинковий звіт'!BR335)*1.2</f>
        <v>117302.79107626794</v>
      </c>
      <c r="J356" s="333">
        <f t="shared" si="22"/>
        <v>-25101.074010111901</v>
      </c>
      <c r="K356" s="354">
        <f t="shared" si="23"/>
        <v>0.82373319716507698</v>
      </c>
      <c r="L356" s="356">
        <f>'побудинковий звіт'!DE335</f>
        <v>32691.1</v>
      </c>
      <c r="M356" s="364">
        <f>'побудинковий звіт'!DA335*-1</f>
        <v>-19214.623443749202</v>
      </c>
    </row>
    <row r="357" spans="1:13" ht="20.100000000000001" customHeight="1" x14ac:dyDescent="0.3">
      <c r="A357" s="359" t="s">
        <v>803</v>
      </c>
      <c r="B357" s="298" t="s">
        <v>319</v>
      </c>
      <c r="C357" s="360">
        <v>5</v>
      </c>
      <c r="D357" s="350">
        <f>'побудинковий звіт'!CU336</f>
        <v>313451.8923914645</v>
      </c>
      <c r="E357" s="334">
        <f>'побудинковий звіт'!CV336</f>
        <v>260058.52192759089</v>
      </c>
      <c r="F357" s="334">
        <f t="shared" si="20"/>
        <v>-53393.370463873609</v>
      </c>
      <c r="G357" s="351">
        <f t="shared" si="21"/>
        <v>0.82966007939364561</v>
      </c>
      <c r="H357" s="345">
        <f>('побудинковий звіт'!AS336+'побудинковий звіт'!BQ336)*1.2</f>
        <v>111432.55787808592</v>
      </c>
      <c r="I357" s="333">
        <f>('побудинковий звіт'!AT336+'побудинковий звіт'!BR336)*1.2</f>
        <v>49470.241332036712</v>
      </c>
      <c r="J357" s="333">
        <f t="shared" si="22"/>
        <v>-61962.316546049209</v>
      </c>
      <c r="K357" s="354">
        <f t="shared" si="23"/>
        <v>0.44394782166052582</v>
      </c>
      <c r="L357" s="356">
        <f>'побудинковий звіт'!DE336</f>
        <v>51102.810000000005</v>
      </c>
      <c r="M357" s="363">
        <f>'побудинковий звіт'!DA336*-1</f>
        <v>11684.470665557645</v>
      </c>
    </row>
    <row r="358" spans="1:13" ht="20.100000000000001" customHeight="1" x14ac:dyDescent="0.3">
      <c r="A358" s="359" t="s">
        <v>804</v>
      </c>
      <c r="B358" s="298" t="s">
        <v>320</v>
      </c>
      <c r="C358" s="360">
        <v>5</v>
      </c>
      <c r="D358" s="350">
        <f>'побудинковий звіт'!CU337</f>
        <v>206364.51793130787</v>
      </c>
      <c r="E358" s="334">
        <f>'побудинковий звіт'!CV337</f>
        <v>196086.80431245448</v>
      </c>
      <c r="F358" s="334">
        <f t="shared" si="20"/>
        <v>-10277.713618853391</v>
      </c>
      <c r="G358" s="351">
        <f t="shared" si="21"/>
        <v>0.95019631416349148</v>
      </c>
      <c r="H358" s="345">
        <f>('побудинковий звіт'!AS337+'побудинковий звіт'!BQ337)*1.2</f>
        <v>72654.639298468057</v>
      </c>
      <c r="I358" s="333">
        <f>('побудинковий звіт'!AT337+'побудинковий звіт'!BR337)*1.2</f>
        <v>36787.658984262896</v>
      </c>
      <c r="J358" s="333">
        <f t="shared" si="22"/>
        <v>-35866.980314205161</v>
      </c>
      <c r="K358" s="354">
        <f t="shared" si="23"/>
        <v>0.50633599367464721</v>
      </c>
      <c r="L358" s="356">
        <f>'побудинковий звіт'!DE337</f>
        <v>21619.53</v>
      </c>
      <c r="M358" s="363">
        <f>'побудинковий звіт'!DA337*-1</f>
        <v>-53395.937968789156</v>
      </c>
    </row>
    <row r="359" spans="1:13" ht="20.100000000000001" customHeight="1" x14ac:dyDescent="0.3">
      <c r="A359" s="359" t="s">
        <v>805</v>
      </c>
      <c r="B359" s="298" t="s">
        <v>321</v>
      </c>
      <c r="C359" s="360">
        <v>5</v>
      </c>
      <c r="D359" s="350">
        <f>'побудинковий звіт'!CU338</f>
        <v>205302.5523837737</v>
      </c>
      <c r="E359" s="334">
        <f>'побудинковий звіт'!CV338</f>
        <v>267277.0779471097</v>
      </c>
      <c r="F359" s="334">
        <f t="shared" si="20"/>
        <v>61974.525563336007</v>
      </c>
      <c r="G359" s="351">
        <f t="shared" si="21"/>
        <v>1.3018692405123466</v>
      </c>
      <c r="H359" s="345">
        <f>('побудинковий звіт'!AS338+'побудинковий звіт'!BQ338)*1.2</f>
        <v>74556.107304516961</v>
      </c>
      <c r="I359" s="333">
        <f>('побудинковий звіт'!AT338+'побудинковий звіт'!BR338)*1.2</f>
        <v>113139.11362001789</v>
      </c>
      <c r="J359" s="333">
        <f t="shared" si="22"/>
        <v>38583.006315500927</v>
      </c>
      <c r="K359" s="354">
        <f t="shared" si="23"/>
        <v>1.5175029613323627</v>
      </c>
      <c r="L359" s="356">
        <f>'побудинковий звіт'!DE338</f>
        <v>14657.919999999998</v>
      </c>
      <c r="M359" s="363">
        <f>'побудинковий звіт'!DA338*-1</f>
        <v>-74101.128222885221</v>
      </c>
    </row>
    <row r="360" spans="1:13" ht="20.100000000000001" customHeight="1" x14ac:dyDescent="0.3">
      <c r="A360" s="359" t="s">
        <v>806</v>
      </c>
      <c r="B360" s="298" t="s">
        <v>322</v>
      </c>
      <c r="C360" s="360">
        <v>5</v>
      </c>
      <c r="D360" s="350">
        <f>'побудинковий звіт'!CU339</f>
        <v>214328.67336682987</v>
      </c>
      <c r="E360" s="334">
        <f>'побудинковий звіт'!CV339</f>
        <v>260375.18720108308</v>
      </c>
      <c r="F360" s="334">
        <f t="shared" si="20"/>
        <v>46046.513834253215</v>
      </c>
      <c r="G360" s="351">
        <f t="shared" si="21"/>
        <v>1.2148406608920834</v>
      </c>
      <c r="H360" s="345">
        <f>('побудинковий звіт'!AS339+'побудинковий звіт'!BQ339)*1.2</f>
        <v>69889.605257646719</v>
      </c>
      <c r="I360" s="333">
        <f>('побудинковий звіт'!AT339+'побудинковий звіт'!BR339)*1.2</f>
        <v>95076.446881437776</v>
      </c>
      <c r="J360" s="333">
        <f t="shared" si="22"/>
        <v>25186.841623791057</v>
      </c>
      <c r="K360" s="354">
        <f t="shared" si="23"/>
        <v>1.3603803674515007</v>
      </c>
      <c r="L360" s="356">
        <f>'побудинковий звіт'!DE339</f>
        <v>34081.360000000001</v>
      </c>
      <c r="M360" s="363">
        <f>'побудинковий звіт'!DA339*-1</f>
        <v>-66743.84936452753</v>
      </c>
    </row>
    <row r="361" spans="1:13" ht="20.100000000000001" customHeight="1" x14ac:dyDescent="0.3">
      <c r="A361" s="359" t="s">
        <v>807</v>
      </c>
      <c r="B361" s="298" t="s">
        <v>323</v>
      </c>
      <c r="C361" s="360">
        <v>5</v>
      </c>
      <c r="D361" s="350">
        <f>'побудинковий звіт'!CU340</f>
        <v>393219.94321478158</v>
      </c>
      <c r="E361" s="334">
        <f>'побудинковий звіт'!CV340</f>
        <v>414372.57611350488</v>
      </c>
      <c r="F361" s="334">
        <f t="shared" si="20"/>
        <v>21152.632898723299</v>
      </c>
      <c r="G361" s="351">
        <f t="shared" si="21"/>
        <v>1.0537933878068069</v>
      </c>
      <c r="H361" s="345">
        <f>('побудинковий звіт'!AS340+'побудинковий звіт'!BQ340)*1.2</f>
        <v>145841.47110555973</v>
      </c>
      <c r="I361" s="333">
        <f>('побудинковий звіт'!AT340+'побудинковий звіт'!BR340)*1.2</f>
        <v>137647.43204653007</v>
      </c>
      <c r="J361" s="333">
        <f t="shared" si="22"/>
        <v>-8194.0390590296593</v>
      </c>
      <c r="K361" s="354">
        <f t="shared" si="23"/>
        <v>0.94381543879861973</v>
      </c>
      <c r="L361" s="356">
        <f>'побудинковий звіт'!DE340</f>
        <v>62896.36</v>
      </c>
      <c r="M361" s="363">
        <f>'побудинковий звіт'!DA340*-1</f>
        <v>-94703.243564727221</v>
      </c>
    </row>
    <row r="362" spans="1:13" ht="20.100000000000001" customHeight="1" x14ac:dyDescent="0.3">
      <c r="A362" s="359" t="s">
        <v>808</v>
      </c>
      <c r="B362" s="298" t="s">
        <v>324</v>
      </c>
      <c r="C362" s="360">
        <v>5</v>
      </c>
      <c r="D362" s="350">
        <f>'побудинковий звіт'!CU341</f>
        <v>315263.88128833362</v>
      </c>
      <c r="E362" s="334">
        <f>'побудинковий звіт'!CV341</f>
        <v>272589.21812820603</v>
      </c>
      <c r="F362" s="334">
        <f t="shared" ref="F362:F375" si="24">E362-D362</f>
        <v>-42674.663160127588</v>
      </c>
      <c r="G362" s="351">
        <f t="shared" ref="G362:G373" si="25">E362/D362</f>
        <v>0.86463827386208492</v>
      </c>
      <c r="H362" s="345">
        <f>('побудинковий звіт'!AS341+'побудинковий звіт'!BQ341)*1.2</f>
        <v>106848.1626516153</v>
      </c>
      <c r="I362" s="333">
        <f>('побудинковий звіт'!AT341+'побудинковий звіт'!BR341)*1.2</f>
        <v>15871.619478783599</v>
      </c>
      <c r="J362" s="333">
        <f t="shared" ref="J362:J375" si="26">I362-H362</f>
        <v>-90976.543172831705</v>
      </c>
      <c r="K362" s="354">
        <f t="shared" ref="K362:K374" si="27">I362/H362</f>
        <v>0.1485436818463032</v>
      </c>
      <c r="L362" s="356">
        <f>'побудинковий звіт'!DE341</f>
        <v>115193.40000000001</v>
      </c>
      <c r="M362" s="363">
        <f>'побудинковий звіт'!DA341*-1</f>
        <v>50518.644116456242</v>
      </c>
    </row>
    <row r="363" spans="1:13" ht="20.100000000000001" customHeight="1" x14ac:dyDescent="0.3">
      <c r="A363" s="359" t="s">
        <v>809</v>
      </c>
      <c r="B363" s="298" t="s">
        <v>325</v>
      </c>
      <c r="C363" s="360">
        <v>5</v>
      </c>
      <c r="D363" s="350">
        <f>'побудинковий звіт'!CU342</f>
        <v>299904.95704722143</v>
      </c>
      <c r="E363" s="334">
        <f>'побудинковий звіт'!CV342</f>
        <v>241519.15383437631</v>
      </c>
      <c r="F363" s="334">
        <f t="shared" si="24"/>
        <v>-58385.803212845116</v>
      </c>
      <c r="G363" s="351">
        <f t="shared" si="25"/>
        <v>0.80531897909359329</v>
      </c>
      <c r="H363" s="345">
        <f>('побудинковий звіт'!AS342+'побудинковий звіт'!BQ342)*1.2</f>
        <v>98508.230695405713</v>
      </c>
      <c r="I363" s="333">
        <f>('побудинковий звіт'!AT342+'побудинковий звіт'!BR342)*1.2</f>
        <v>12879.417502100509</v>
      </c>
      <c r="J363" s="333">
        <f t="shared" si="26"/>
        <v>-85628.813193305206</v>
      </c>
      <c r="K363" s="354">
        <f t="shared" si="27"/>
        <v>0.13074458257122251</v>
      </c>
      <c r="L363" s="356">
        <f>'побудинковий звіт'!DE342</f>
        <v>82195.649999999994</v>
      </c>
      <c r="M363" s="364">
        <f>'побудинковий звіт'!DA342*-1</f>
        <v>-231943.59953127344</v>
      </c>
    </row>
    <row r="364" spans="1:13" ht="20.100000000000001" customHeight="1" x14ac:dyDescent="0.3">
      <c r="A364" s="359" t="s">
        <v>810</v>
      </c>
      <c r="B364" s="298" t="s">
        <v>326</v>
      </c>
      <c r="C364" s="360">
        <v>5</v>
      </c>
      <c r="D364" s="350">
        <f>'побудинковий звіт'!CU343</f>
        <v>301665.13108376658</v>
      </c>
      <c r="E364" s="334">
        <f>'побудинковий звіт'!CV343</f>
        <v>368506.89870089549</v>
      </c>
      <c r="F364" s="334">
        <f t="shared" si="24"/>
        <v>66841.767617128906</v>
      </c>
      <c r="G364" s="351">
        <f t="shared" si="25"/>
        <v>1.2215760481729929</v>
      </c>
      <c r="H364" s="345">
        <f>('побудинковий звіт'!AS343+'побудинковий звіт'!BQ343)*1.2</f>
        <v>98164.140122966055</v>
      </c>
      <c r="I364" s="333">
        <f>('побудинковий звіт'!AT343+'побудинковий звіт'!BR343)*1.2</f>
        <v>134708.8641455757</v>
      </c>
      <c r="J364" s="333">
        <f t="shared" si="26"/>
        <v>36544.724022609647</v>
      </c>
      <c r="K364" s="354">
        <f t="shared" si="27"/>
        <v>1.3722818126541079</v>
      </c>
      <c r="L364" s="356">
        <f>'побудинковий звіт'!DE343</f>
        <v>56372.61</v>
      </c>
      <c r="M364" s="363">
        <f>'побудинковий звіт'!DA343*-1</f>
        <v>-47719.525590066929</v>
      </c>
    </row>
    <row r="365" spans="1:13" ht="20.100000000000001" customHeight="1" x14ac:dyDescent="0.3">
      <c r="A365" s="359" t="s">
        <v>811</v>
      </c>
      <c r="B365" s="298" t="s">
        <v>327</v>
      </c>
      <c r="C365" s="360">
        <v>5</v>
      </c>
      <c r="D365" s="350">
        <f>'побудинковий звіт'!CU344</f>
        <v>317574.83569979016</v>
      </c>
      <c r="E365" s="334">
        <f>'побудинковий звіт'!CV344</f>
        <v>361540.61009769648</v>
      </c>
      <c r="F365" s="334">
        <f t="shared" si="24"/>
        <v>43965.774397906323</v>
      </c>
      <c r="G365" s="351">
        <f t="shared" si="25"/>
        <v>1.1384422487412322</v>
      </c>
      <c r="H365" s="345">
        <f>('побудинковий звіт'!AS344+'побудинковий звіт'!BQ344)*1.2</f>
        <v>112212.69805900475</v>
      </c>
      <c r="I365" s="333">
        <f>('побудинковий звіт'!AT344+'побудинковий звіт'!BR344)*1.2</f>
        <v>125670.56340464141</v>
      </c>
      <c r="J365" s="333">
        <f t="shared" si="26"/>
        <v>13457.865345636659</v>
      </c>
      <c r="K365" s="354">
        <f t="shared" si="27"/>
        <v>1.1199317508483766</v>
      </c>
      <c r="L365" s="356">
        <f>'побудинковий звіт'!DE344</f>
        <v>59249.860000000008</v>
      </c>
      <c r="M365" s="363">
        <f>'побудинковий звіт'!DA344*-1</f>
        <v>-23181.992231168177</v>
      </c>
    </row>
    <row r="366" spans="1:13" ht="20.100000000000001" customHeight="1" x14ac:dyDescent="0.3">
      <c r="A366" s="359" t="s">
        <v>812</v>
      </c>
      <c r="B366" s="298" t="s">
        <v>328</v>
      </c>
      <c r="C366" s="360">
        <v>5</v>
      </c>
      <c r="D366" s="350">
        <f>'побудинковий звіт'!CU345</f>
        <v>389491.67305705266</v>
      </c>
      <c r="E366" s="334">
        <f>'побудинковий звіт'!CV345</f>
        <v>389838.76366351271</v>
      </c>
      <c r="F366" s="334">
        <f t="shared" si="24"/>
        <v>347.09060646005673</v>
      </c>
      <c r="G366" s="351">
        <f t="shared" si="25"/>
        <v>1.0008911374246741</v>
      </c>
      <c r="H366" s="345">
        <f>('побудинковий звіт'!AS345+'побудинковий звіт'!BQ345)*1.2</f>
        <v>109103.03866044105</v>
      </c>
      <c r="I366" s="333">
        <f>('побудинковий звіт'!AT345+'побудинковий звіт'!BR345)*1.2</f>
        <v>56515.495021323528</v>
      </c>
      <c r="J366" s="333">
        <f t="shared" si="26"/>
        <v>-52587.543639117517</v>
      </c>
      <c r="K366" s="354">
        <f t="shared" si="27"/>
        <v>0.51800110899949769</v>
      </c>
      <c r="L366" s="356">
        <f>'побудинковий звіт'!DE345</f>
        <v>42130.929999999993</v>
      </c>
      <c r="M366" s="363">
        <f>'побудинковий звіт'!DA345*-1</f>
        <v>49352.128252327297</v>
      </c>
    </row>
    <row r="367" spans="1:13" ht="20.100000000000001" customHeight="1" x14ac:dyDescent="0.3">
      <c r="A367" s="359" t="s">
        <v>813</v>
      </c>
      <c r="B367" s="298" t="s">
        <v>236</v>
      </c>
      <c r="C367" s="360">
        <v>4</v>
      </c>
      <c r="D367" s="350">
        <f>'побудинковий звіт'!CU346</f>
        <v>154196.01912113736</v>
      </c>
      <c r="E367" s="334">
        <f>'побудинковий звіт'!CV346</f>
        <v>262560.83134754578</v>
      </c>
      <c r="F367" s="334">
        <f t="shared" si="24"/>
        <v>108364.81222640842</v>
      </c>
      <c r="G367" s="351">
        <f t="shared" si="25"/>
        <v>1.7027730861279651</v>
      </c>
      <c r="H367" s="345">
        <f>('побудинковий звіт'!AS346+'побудинковий звіт'!BQ346)*1.2</f>
        <v>33696.342581249919</v>
      </c>
      <c r="I367" s="333">
        <f>('побудинковий звіт'!AT346+'побудинковий звіт'!BR346)*1.2</f>
        <v>114477.78777124907</v>
      </c>
      <c r="J367" s="333">
        <f t="shared" si="26"/>
        <v>80781.445189999155</v>
      </c>
      <c r="K367" s="354">
        <f t="shared" si="27"/>
        <v>3.3973357047642732</v>
      </c>
      <c r="L367" s="356">
        <f>'побудинковий звіт'!DE346</f>
        <v>32787.089999999997</v>
      </c>
      <c r="M367" s="363">
        <f>'побудинковий звіт'!DA346*-1</f>
        <v>-150576.85866285616</v>
      </c>
    </row>
    <row r="368" spans="1:13" ht="20.100000000000001" customHeight="1" x14ac:dyDescent="0.3">
      <c r="A368" s="359" t="s">
        <v>814</v>
      </c>
      <c r="B368" s="298" t="s">
        <v>329</v>
      </c>
      <c r="C368" s="360">
        <v>5</v>
      </c>
      <c r="D368" s="350">
        <f>'побудинковий звіт'!CU347</f>
        <v>237478.11780323563</v>
      </c>
      <c r="E368" s="334">
        <f>'побудинковий звіт'!CV347</f>
        <v>216431.71989157805</v>
      </c>
      <c r="F368" s="334">
        <f t="shared" si="24"/>
        <v>-21046.397911657579</v>
      </c>
      <c r="G368" s="351">
        <f t="shared" si="25"/>
        <v>0.91137542226481794</v>
      </c>
      <c r="H368" s="345">
        <f>('побудинковий звіт'!AS347+'побудинковий звіт'!BQ347)*1.2</f>
        <v>66698.569774053671</v>
      </c>
      <c r="I368" s="333">
        <f>('побудинковий звіт'!AT347+'побудинковий звіт'!BR347)*1.2</f>
        <v>27700.811441639522</v>
      </c>
      <c r="J368" s="333">
        <f t="shared" si="26"/>
        <v>-38997.758332414145</v>
      </c>
      <c r="K368" s="354">
        <f t="shared" si="27"/>
        <v>0.41531342479273642</v>
      </c>
      <c r="L368" s="356">
        <f>'побудинковий звіт'!DE347</f>
        <v>19066.429999999997</v>
      </c>
      <c r="M368" s="363">
        <f>'побудинковий звіт'!DA347*-1</f>
        <v>-319348.61084181303</v>
      </c>
    </row>
    <row r="369" spans="1:13" ht="20.100000000000001" customHeight="1" x14ac:dyDescent="0.3">
      <c r="A369" s="359" t="s">
        <v>815</v>
      </c>
      <c r="B369" s="298" t="s">
        <v>237</v>
      </c>
      <c r="C369" s="360">
        <v>4</v>
      </c>
      <c r="D369" s="350">
        <f>'побудинковий звіт'!CU348</f>
        <v>176728.23541118883</v>
      </c>
      <c r="E369" s="334">
        <f>'побудинковий звіт'!CV348</f>
        <v>154986.55151020811</v>
      </c>
      <c r="F369" s="334">
        <f t="shared" si="24"/>
        <v>-21741.683900980715</v>
      </c>
      <c r="G369" s="351">
        <f t="shared" si="25"/>
        <v>0.87697673860436098</v>
      </c>
      <c r="H369" s="345">
        <f>('побудинковий звіт'!AS348+'побудинковий звіт'!BQ348)*1.2</f>
        <v>46653.620904163552</v>
      </c>
      <c r="I369" s="333">
        <f>('побудинковий звіт'!AT348+'побудинковий звіт'!BR348)*1.2</f>
        <v>7762.1296155472955</v>
      </c>
      <c r="J369" s="333">
        <f t="shared" si="26"/>
        <v>-38891.491288616256</v>
      </c>
      <c r="K369" s="354">
        <f t="shared" si="27"/>
        <v>0.16637786017707734</v>
      </c>
      <c r="L369" s="356">
        <f>'побудинковий звіт'!DE348</f>
        <v>1095.0900000000001</v>
      </c>
      <c r="M369" s="363">
        <f>'побудинковий звіт'!DA348*-1</f>
        <v>122764.32568922565</v>
      </c>
    </row>
    <row r="370" spans="1:13" ht="20.100000000000001" customHeight="1" x14ac:dyDescent="0.3">
      <c r="A370" s="359" t="s">
        <v>816</v>
      </c>
      <c r="B370" s="298" t="s">
        <v>411</v>
      </c>
      <c r="C370" s="360">
        <v>9</v>
      </c>
      <c r="D370" s="350">
        <f>'побудинковий звіт'!CU349</f>
        <v>210395.827200081</v>
      </c>
      <c r="E370" s="334">
        <f>'побудинковий звіт'!CV349</f>
        <v>218176.11748649503</v>
      </c>
      <c r="F370" s="334">
        <f t="shared" si="24"/>
        <v>7780.2902864140342</v>
      </c>
      <c r="G370" s="351">
        <f t="shared" si="25"/>
        <v>1.0369792993993896</v>
      </c>
      <c r="H370" s="345">
        <f>('побудинковий звіт'!AS349+'побудинковий звіт'!BQ349)*1.2</f>
        <v>41099.05855280051</v>
      </c>
      <c r="I370" s="333">
        <f>('побудинковий звіт'!AT349+'побудинковий звіт'!BR349)*1.2</f>
        <v>55208.415647604197</v>
      </c>
      <c r="J370" s="333">
        <f t="shared" si="26"/>
        <v>14109.357094803687</v>
      </c>
      <c r="K370" s="354">
        <f t="shared" si="27"/>
        <v>1.3433012237172588</v>
      </c>
      <c r="L370" s="356">
        <f>'побудинковий звіт'!DE349</f>
        <v>10351.239999999998</v>
      </c>
      <c r="M370" s="364">
        <f>'побудинковий звіт'!DA349*-1</f>
        <v>47672.63425904137</v>
      </c>
    </row>
    <row r="371" spans="1:13" ht="20.100000000000001" customHeight="1" x14ac:dyDescent="0.3">
      <c r="A371" s="359" t="s">
        <v>817</v>
      </c>
      <c r="B371" s="298" t="s">
        <v>330</v>
      </c>
      <c r="C371" s="360">
        <v>5</v>
      </c>
      <c r="D371" s="350">
        <f>'побудинковий звіт'!CU350</f>
        <v>170400.37463260005</v>
      </c>
      <c r="E371" s="334">
        <f>'побудинковий звіт'!CV350</f>
        <v>131098.12634543836</v>
      </c>
      <c r="F371" s="334">
        <f t="shared" si="24"/>
        <v>-39302.248287161696</v>
      </c>
      <c r="G371" s="351">
        <f t="shared" si="25"/>
        <v>0.7693535100970218</v>
      </c>
      <c r="H371" s="345">
        <f>('побудинковий звіт'!AS350+'побудинковий звіт'!BQ350)*1.2</f>
        <v>50995.347952942218</v>
      </c>
      <c r="I371" s="333">
        <f>('побудинковий звіт'!AT350+'побудинковий звіт'!BR350)*1.2</f>
        <v>566.05615750559446</v>
      </c>
      <c r="J371" s="333">
        <f t="shared" si="26"/>
        <v>-50429.291795436628</v>
      </c>
      <c r="K371" s="354">
        <f t="shared" si="27"/>
        <v>1.1100152861550097E-2</v>
      </c>
      <c r="L371" s="356">
        <f>'побудинковий звіт'!DE350</f>
        <v>31876.5</v>
      </c>
      <c r="M371" s="363">
        <f>'побудинковий звіт'!DA350*-1</f>
        <v>37891.937522059758</v>
      </c>
    </row>
    <row r="372" spans="1:13" ht="20.100000000000001" customHeight="1" x14ac:dyDescent="0.3">
      <c r="A372" s="359" t="s">
        <v>818</v>
      </c>
      <c r="B372" s="298" t="s">
        <v>331</v>
      </c>
      <c r="C372" s="360">
        <v>5</v>
      </c>
      <c r="D372" s="350">
        <f>'побудинковий звіт'!CU351</f>
        <v>114947.51934823483</v>
      </c>
      <c r="E372" s="334">
        <f>'побудинковий звіт'!CV351</f>
        <v>133287.25297071412</v>
      </c>
      <c r="F372" s="334">
        <f t="shared" si="24"/>
        <v>18339.733622479296</v>
      </c>
      <c r="G372" s="351">
        <f t="shared" si="25"/>
        <v>1.1595487551751236</v>
      </c>
      <c r="H372" s="345">
        <f>('побудинковий звіт'!AS351+'побудинковий звіт'!BQ351)*1.2</f>
        <v>31348.61701736477</v>
      </c>
      <c r="I372" s="333">
        <f>('побудинковий звіт'!AT351+'побудинковий звіт'!BR351)*1.2</f>
        <v>36053.467459930005</v>
      </c>
      <c r="J372" s="333">
        <f t="shared" si="26"/>
        <v>4704.8504425652354</v>
      </c>
      <c r="K372" s="354">
        <f t="shared" si="27"/>
        <v>1.1500815949858043</v>
      </c>
      <c r="L372" s="356">
        <f>'побудинковий звіт'!DE351</f>
        <v>13397.099999999999</v>
      </c>
      <c r="M372" s="363">
        <f>'побудинковий звіт'!DA351*-1</f>
        <v>-16586.727632048991</v>
      </c>
    </row>
    <row r="373" spans="1:13" ht="20.100000000000001" customHeight="1" x14ac:dyDescent="0.3">
      <c r="A373" s="359" t="s">
        <v>819</v>
      </c>
      <c r="B373" s="298" t="s">
        <v>332</v>
      </c>
      <c r="C373" s="360">
        <v>5</v>
      </c>
      <c r="D373" s="350">
        <f>'побудинковий звіт'!CU352</f>
        <v>197294.49340876326</v>
      </c>
      <c r="E373" s="334">
        <f>'побудинковий звіт'!CV352</f>
        <v>182770.95418163543</v>
      </c>
      <c r="F373" s="334">
        <f t="shared" si="24"/>
        <v>-14523.539227127825</v>
      </c>
      <c r="G373" s="351">
        <f t="shared" si="25"/>
        <v>0.92638649474601742</v>
      </c>
      <c r="H373" s="345">
        <f>('побудинковий звіт'!AS352+'побудинковий звіт'!BQ352)*1.2</f>
        <v>65111.195842316141</v>
      </c>
      <c r="I373" s="333">
        <f>('побудинковий звіт'!AT352+'побудинковий звіт'!BR352)*1.2</f>
        <v>28917.121330508042</v>
      </c>
      <c r="J373" s="333">
        <f t="shared" si="26"/>
        <v>-36194.074511808096</v>
      </c>
      <c r="K373" s="354">
        <f t="shared" si="27"/>
        <v>0.44411903293157823</v>
      </c>
      <c r="L373" s="356">
        <f>'побудинковий звіт'!DE352</f>
        <v>19715.7</v>
      </c>
      <c r="M373" s="363">
        <f>'побудинковий звіт'!DA352*-1</f>
        <v>49030.490556244418</v>
      </c>
    </row>
    <row r="374" spans="1:13" ht="20.100000000000001" customHeight="1" thickBot="1" x14ac:dyDescent="0.35">
      <c r="A374" s="365" t="s">
        <v>820</v>
      </c>
      <c r="B374" s="366" t="s">
        <v>238</v>
      </c>
      <c r="C374" s="367">
        <v>4</v>
      </c>
      <c r="D374" s="368">
        <f>'побудинковий звіт'!CU353</f>
        <v>105492.13403282168</v>
      </c>
      <c r="E374" s="369">
        <f>'побудинковий звіт'!CV353</f>
        <v>94182.992812928787</v>
      </c>
      <c r="F374" s="369">
        <f t="shared" si="24"/>
        <v>-11309.141219892888</v>
      </c>
      <c r="G374" s="370">
        <f>E374/D374</f>
        <v>0.89279635563752757</v>
      </c>
      <c r="H374" s="371">
        <f>('побудинковий звіт'!AS353+'побудинковий звіт'!BQ353)*1.2</f>
        <v>30244.564336509615</v>
      </c>
      <c r="I374" s="372">
        <f>('побудинковий звіт'!AT353+'побудинковий звіт'!BR353)*1.2</f>
        <v>5897.278596534291</v>
      </c>
      <c r="J374" s="372">
        <f t="shared" si="26"/>
        <v>-24347.285739975323</v>
      </c>
      <c r="K374" s="373">
        <f t="shared" si="27"/>
        <v>0.19498639593281933</v>
      </c>
      <c r="L374" s="374">
        <f>'побудинковий звіт'!DE353</f>
        <v>1022.3299999999999</v>
      </c>
      <c r="M374" s="375">
        <f>'побудинковий звіт'!DA353*-1</f>
        <v>55994.935083890625</v>
      </c>
    </row>
    <row r="375" spans="1:13" ht="20.100000000000001" customHeight="1" thickBot="1" x14ac:dyDescent="0.35">
      <c r="A375" s="50"/>
      <c r="B375" s="51" t="s">
        <v>824</v>
      </c>
      <c r="C375" s="376"/>
      <c r="D375" s="377" t="e">
        <f>SUM(D8:D374)</f>
        <v>#REF!</v>
      </c>
      <c r="E375" s="378" t="e">
        <f>SUM(E8:E374)</f>
        <v>#REF!</v>
      </c>
      <c r="F375" s="378" t="e">
        <f t="shared" si="24"/>
        <v>#REF!</v>
      </c>
      <c r="G375" s="379" t="e">
        <f>E375/D375</f>
        <v>#REF!</v>
      </c>
      <c r="H375" s="380" t="e">
        <f>SUM(H8:H374)</f>
        <v>#REF!</v>
      </c>
      <c r="I375" s="381" t="e">
        <f>SUM(I8:I374)</f>
        <v>#REF!</v>
      </c>
      <c r="J375" s="381" t="e">
        <f t="shared" si="26"/>
        <v>#REF!</v>
      </c>
      <c r="K375" s="382" t="e">
        <f>I375/H375</f>
        <v>#REF!</v>
      </c>
      <c r="L375" s="383" t="e">
        <f>SUM(L8:L374)</f>
        <v>#REF!</v>
      </c>
      <c r="M375" s="384" t="e">
        <f>SUM(M8:M374)</f>
        <v>#REF!</v>
      </c>
    </row>
    <row r="378" spans="1:13" x14ac:dyDescent="0.3">
      <c r="B378" s="1" t="s">
        <v>1114</v>
      </c>
    </row>
    <row r="379" spans="1:13" x14ac:dyDescent="0.3">
      <c r="B379" s="336"/>
    </row>
  </sheetData>
  <autoFilter ref="A7:M375" xr:uid="{00000000-0009-0000-0000-00000E000000}"/>
  <mergeCells count="8">
    <mergeCell ref="M6:M7"/>
    <mergeCell ref="L5:M5"/>
    <mergeCell ref="A6:A7"/>
    <mergeCell ref="B6:B7"/>
    <mergeCell ref="C6:C7"/>
    <mergeCell ref="D6:G6"/>
    <mergeCell ref="H6:K6"/>
    <mergeCell ref="L6:L7"/>
  </mergeCells>
  <pageMargins left="0.11811023622047245" right="0.11811023622047245" top="0.15748031496062992" bottom="0.15748031496062992" header="0.31496062992125984" footer="0.31496062992125984"/>
  <pageSetup paperSize="9" scale="70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4">
    <tabColor theme="5" tint="-0.499984740745262"/>
  </sheetPr>
  <dimension ref="A1:AP403"/>
  <sheetViews>
    <sheetView workbookViewId="0">
      <pane xSplit="2" ySplit="4" topLeftCell="AI295" activePane="bottomRight" state="frozen"/>
      <selection pane="topRight" activeCell="C1" sqref="C1"/>
      <selection pane="bottomLeft" activeCell="A5" sqref="A5"/>
      <selection pane="bottomRight" activeCell="AL299" sqref="AL299:AO299"/>
    </sheetView>
  </sheetViews>
  <sheetFormatPr defaultColWidth="8.88671875" defaultRowHeight="14.4" x14ac:dyDescent="0.3"/>
  <cols>
    <col min="1" max="1" width="9.6640625" style="459" customWidth="1"/>
    <col min="2" max="2" width="39.109375" style="190" customWidth="1"/>
    <col min="3" max="3" width="13.5546875" style="478" customWidth="1"/>
    <col min="4" max="4" width="10.6640625" style="478" customWidth="1"/>
    <col min="5" max="5" width="11.33203125" style="478" customWidth="1"/>
    <col min="6" max="6" width="13" style="478" customWidth="1"/>
    <col min="7" max="7" width="11.88671875" style="472" customWidth="1"/>
    <col min="8" max="9" width="12.5546875" style="472" customWidth="1"/>
    <col min="10" max="10" width="11" style="472" customWidth="1"/>
    <col min="11" max="11" width="10.6640625" style="472" customWidth="1"/>
    <col min="12" max="12" width="11.33203125" style="472" customWidth="1"/>
    <col min="13" max="13" width="11" style="472" customWidth="1"/>
    <col min="14" max="14" width="11.5546875" style="472" customWidth="1"/>
    <col min="15" max="15" width="11" style="472" customWidth="1"/>
    <col min="16" max="16" width="11.44140625" style="472" customWidth="1"/>
    <col min="17" max="17" width="13.88671875" style="472" customWidth="1"/>
    <col min="18" max="18" width="14.109375" style="472" customWidth="1"/>
    <col min="19" max="19" width="11.33203125" style="472" customWidth="1"/>
    <col min="20" max="20" width="11.88671875" style="472" customWidth="1"/>
    <col min="21" max="21" width="11.5546875" style="472" customWidth="1"/>
    <col min="22" max="22" width="10.5546875" style="472" customWidth="1"/>
    <col min="23" max="23" width="9.88671875" style="472" customWidth="1"/>
    <col min="24" max="25" width="10.5546875" style="472" customWidth="1"/>
    <col min="26" max="26" width="11.33203125" style="472" customWidth="1"/>
    <col min="27" max="27" width="13.33203125" style="472" customWidth="1"/>
    <col min="28" max="28" width="13" style="472" customWidth="1"/>
    <col min="29" max="29" width="11.88671875" style="472" customWidth="1"/>
    <col min="30" max="30" width="9.88671875" style="472" customWidth="1"/>
    <col min="31" max="31" width="11.6640625" style="472" customWidth="1"/>
    <col min="32" max="32" width="11.44140625" style="472" customWidth="1"/>
    <col min="33" max="33" width="13" style="472" customWidth="1"/>
    <col min="34" max="36" width="22.109375" style="461" customWidth="1"/>
    <col min="37" max="37" width="20.109375" style="461" customWidth="1"/>
    <col min="38" max="38" width="18.44140625" style="472" customWidth="1"/>
    <col min="39" max="40" width="14.109375" style="472" customWidth="1"/>
    <col min="41" max="41" width="15" style="461" customWidth="1"/>
    <col min="42" max="42" width="14.33203125" style="461" customWidth="1"/>
    <col min="43" max="16384" width="8.88671875" style="461"/>
  </cols>
  <sheetData>
    <row r="1" spans="1:42" x14ac:dyDescent="0.3">
      <c r="A1" s="459">
        <v>1</v>
      </c>
      <c r="B1" s="460">
        <f>A1+1</f>
        <v>2</v>
      </c>
      <c r="C1" s="460">
        <f t="shared" ref="C1:AG1" si="0">B1+1</f>
        <v>3</v>
      </c>
      <c r="D1" s="460">
        <f t="shared" si="0"/>
        <v>4</v>
      </c>
      <c r="E1" s="460">
        <f t="shared" si="0"/>
        <v>5</v>
      </c>
      <c r="F1" s="460">
        <f t="shared" si="0"/>
        <v>6</v>
      </c>
      <c r="G1" s="460">
        <f t="shared" si="0"/>
        <v>7</v>
      </c>
      <c r="H1" s="460">
        <f t="shared" si="0"/>
        <v>8</v>
      </c>
      <c r="I1" s="460">
        <f t="shared" si="0"/>
        <v>9</v>
      </c>
      <c r="J1" s="460">
        <f t="shared" si="0"/>
        <v>10</v>
      </c>
      <c r="K1" s="460">
        <f t="shared" si="0"/>
        <v>11</v>
      </c>
      <c r="L1" s="460">
        <f t="shared" si="0"/>
        <v>12</v>
      </c>
      <c r="M1" s="460">
        <f t="shared" si="0"/>
        <v>13</v>
      </c>
      <c r="N1" s="460">
        <f t="shared" si="0"/>
        <v>14</v>
      </c>
      <c r="O1" s="460">
        <f t="shared" si="0"/>
        <v>15</v>
      </c>
      <c r="P1" s="460">
        <f t="shared" si="0"/>
        <v>16</v>
      </c>
      <c r="Q1" s="460">
        <f t="shared" si="0"/>
        <v>17</v>
      </c>
      <c r="R1" s="460">
        <f t="shared" si="0"/>
        <v>18</v>
      </c>
      <c r="S1" s="460">
        <f t="shared" si="0"/>
        <v>19</v>
      </c>
      <c r="T1" s="460">
        <f t="shared" si="0"/>
        <v>20</v>
      </c>
      <c r="U1" s="460">
        <f t="shared" si="0"/>
        <v>21</v>
      </c>
      <c r="V1" s="460">
        <f t="shared" si="0"/>
        <v>22</v>
      </c>
      <c r="W1" s="460">
        <f t="shared" si="0"/>
        <v>23</v>
      </c>
      <c r="X1" s="460">
        <f t="shared" si="0"/>
        <v>24</v>
      </c>
      <c r="Y1" s="460">
        <f t="shared" si="0"/>
        <v>25</v>
      </c>
      <c r="Z1" s="460">
        <f t="shared" si="0"/>
        <v>26</v>
      </c>
      <c r="AA1" s="460">
        <f t="shared" si="0"/>
        <v>27</v>
      </c>
      <c r="AB1" s="460">
        <f t="shared" si="0"/>
        <v>28</v>
      </c>
      <c r="AC1" s="460">
        <f t="shared" si="0"/>
        <v>29</v>
      </c>
      <c r="AD1" s="460">
        <f t="shared" si="0"/>
        <v>30</v>
      </c>
      <c r="AE1" s="460">
        <f t="shared" si="0"/>
        <v>31</v>
      </c>
      <c r="AF1" s="460">
        <f t="shared" si="0"/>
        <v>32</v>
      </c>
      <c r="AG1" s="460">
        <f t="shared" si="0"/>
        <v>33</v>
      </c>
      <c r="AH1" s="460">
        <f>AG1+1</f>
        <v>34</v>
      </c>
      <c r="AI1" s="460">
        <f>AH1+1</f>
        <v>35</v>
      </c>
      <c r="AJ1" s="459"/>
      <c r="AK1" s="459"/>
      <c r="AL1" s="460"/>
      <c r="AM1" s="460"/>
      <c r="AN1" s="460"/>
    </row>
    <row r="2" spans="1:42" ht="15.6" x14ac:dyDescent="0.3">
      <c r="B2" s="462" t="s">
        <v>1127</v>
      </c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L2" s="459"/>
      <c r="AM2" s="459"/>
      <c r="AN2" s="459"/>
    </row>
    <row r="3" spans="1:42" ht="15.6" x14ac:dyDescent="0.3">
      <c r="B3" s="462" t="s">
        <v>1128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L3" s="1430" t="s">
        <v>1592</v>
      </c>
      <c r="AM3" s="1431"/>
      <c r="AN3" s="1432" t="s">
        <v>1593</v>
      </c>
      <c r="AO3" s="1433"/>
    </row>
    <row r="4" spans="1:42" ht="64.5" customHeight="1" x14ac:dyDescent="0.3">
      <c r="A4" s="463" t="s">
        <v>1125</v>
      </c>
      <c r="B4" s="464"/>
      <c r="C4" s="465" t="s">
        <v>1129</v>
      </c>
      <c r="D4" s="465" t="s">
        <v>1130</v>
      </c>
      <c r="E4" s="465" t="s">
        <v>1131</v>
      </c>
      <c r="F4" s="465" t="s">
        <v>1132</v>
      </c>
      <c r="G4" s="465" t="s">
        <v>1133</v>
      </c>
      <c r="H4" s="465" t="s">
        <v>1134</v>
      </c>
      <c r="I4" s="465" t="s">
        <v>1135</v>
      </c>
      <c r="J4" s="465" t="s">
        <v>1136</v>
      </c>
      <c r="K4" s="465" t="s">
        <v>1137</v>
      </c>
      <c r="L4" s="465" t="s">
        <v>1138</v>
      </c>
      <c r="M4" s="573" t="s">
        <v>1139</v>
      </c>
      <c r="N4" s="465" t="s">
        <v>1140</v>
      </c>
      <c r="O4" s="465" t="s">
        <v>1141</v>
      </c>
      <c r="P4" s="465" t="s">
        <v>1142</v>
      </c>
      <c r="Q4" s="465" t="s">
        <v>1143</v>
      </c>
      <c r="R4" s="573" t="s">
        <v>1144</v>
      </c>
      <c r="S4" s="465" t="s">
        <v>1145</v>
      </c>
      <c r="T4" s="465" t="s">
        <v>1146</v>
      </c>
      <c r="U4" s="465" t="s">
        <v>1147</v>
      </c>
      <c r="V4" s="465" t="s">
        <v>1148</v>
      </c>
      <c r="W4" s="465" t="s">
        <v>1149</v>
      </c>
      <c r="X4" s="465" t="s">
        <v>1150</v>
      </c>
      <c r="Y4" s="465" t="s">
        <v>1151</v>
      </c>
      <c r="Z4" s="465" t="s">
        <v>14</v>
      </c>
      <c r="AA4" s="465" t="s">
        <v>1152</v>
      </c>
      <c r="AB4" s="465" t="s">
        <v>1153</v>
      </c>
      <c r="AC4" s="465" t="s">
        <v>959</v>
      </c>
      <c r="AD4" s="465" t="s">
        <v>962</v>
      </c>
      <c r="AE4" s="465" t="s">
        <v>964</v>
      </c>
      <c r="AF4" s="465" t="s">
        <v>1154</v>
      </c>
      <c r="AG4" s="465" t="s">
        <v>1155</v>
      </c>
      <c r="AH4" s="684"/>
      <c r="AL4" s="569" t="s">
        <v>1139</v>
      </c>
      <c r="AM4" s="569" t="s">
        <v>1144</v>
      </c>
      <c r="AN4" s="568" t="s">
        <v>1139</v>
      </c>
      <c r="AO4" s="568" t="s">
        <v>1144</v>
      </c>
    </row>
    <row r="5" spans="1:42" x14ac:dyDescent="0.3">
      <c r="A5" s="466">
        <v>150000488</v>
      </c>
      <c r="B5" s="467" t="s">
        <v>34</v>
      </c>
      <c r="C5" s="468">
        <v>317.88</v>
      </c>
      <c r="D5" s="473"/>
      <c r="E5" s="470"/>
      <c r="F5" s="470">
        <v>317.88</v>
      </c>
      <c r="G5" s="471">
        <v>0</v>
      </c>
      <c r="H5" s="471">
        <v>0</v>
      </c>
      <c r="I5" s="471">
        <v>0</v>
      </c>
      <c r="J5" s="471">
        <v>0</v>
      </c>
      <c r="K5" s="471">
        <v>0</v>
      </c>
      <c r="L5" s="471">
        <v>0</v>
      </c>
      <c r="M5" s="572">
        <f>AN5</f>
        <v>0</v>
      </c>
      <c r="N5" s="471">
        <v>0</v>
      </c>
      <c r="O5" s="471">
        <v>0</v>
      </c>
      <c r="P5" s="471">
        <v>0</v>
      </c>
      <c r="Q5" s="471">
        <v>43.404975299292282</v>
      </c>
      <c r="R5" s="572">
        <f>AO5</f>
        <v>391.38874418022226</v>
      </c>
      <c r="S5" s="471">
        <v>0</v>
      </c>
      <c r="T5" s="471">
        <v>0</v>
      </c>
      <c r="U5" s="471">
        <v>0</v>
      </c>
      <c r="V5" s="471">
        <v>0</v>
      </c>
      <c r="W5" s="471">
        <v>0</v>
      </c>
      <c r="X5" s="471">
        <v>0</v>
      </c>
      <c r="Y5" s="471">
        <v>0</v>
      </c>
      <c r="Z5" s="471">
        <v>0</v>
      </c>
      <c r="AA5" s="471">
        <v>0</v>
      </c>
      <c r="AB5" s="471">
        <v>0</v>
      </c>
      <c r="AC5" s="471">
        <v>0</v>
      </c>
      <c r="AD5" s="471">
        <v>0</v>
      </c>
      <c r="AE5" s="471">
        <v>0</v>
      </c>
      <c r="AF5" s="471">
        <v>0</v>
      </c>
      <c r="AG5" s="471">
        <v>0</v>
      </c>
      <c r="AH5" s="685">
        <f>SUM(G5:AG5)-AG5</f>
        <v>434.79371947951455</v>
      </c>
      <c r="AI5" s="472">
        <f>G5+H5+I5+J5+K5+L5+M5+N5+O5+P5+Q5+R5+S5+T5+U5+V5+W5+X5+Y5+Z5+AA5+AB5+AC5+AD5+AE5+AF5+AG5</f>
        <v>434.79371947951455</v>
      </c>
      <c r="AJ5" s="472"/>
      <c r="AK5" s="472"/>
      <c r="AL5" s="570">
        <v>16.23</v>
      </c>
      <c r="AM5" s="570">
        <v>375.15874418022224</v>
      </c>
      <c r="AN5" s="566">
        <v>0</v>
      </c>
      <c r="AO5" s="566">
        <f>AL5+AM5</f>
        <v>391.38874418022226</v>
      </c>
      <c r="AP5" s="461">
        <f>AO5*12</f>
        <v>4696.6649301626676</v>
      </c>
    </row>
    <row r="6" spans="1:42" x14ac:dyDescent="0.3">
      <c r="A6" s="466">
        <v>150000490</v>
      </c>
      <c r="B6" s="467" t="s">
        <v>36</v>
      </c>
      <c r="C6" s="468">
        <v>147.5</v>
      </c>
      <c r="D6" s="473"/>
      <c r="E6" s="470"/>
      <c r="F6" s="470">
        <v>147.5</v>
      </c>
      <c r="G6" s="471">
        <v>0</v>
      </c>
      <c r="H6" s="471">
        <v>0</v>
      </c>
      <c r="I6" s="471">
        <v>0</v>
      </c>
      <c r="J6" s="471">
        <v>0</v>
      </c>
      <c r="K6" s="471">
        <v>0</v>
      </c>
      <c r="L6" s="471">
        <v>0</v>
      </c>
      <c r="M6" s="572">
        <f t="shared" ref="M6:M69" si="1">AN6</f>
        <v>0</v>
      </c>
      <c r="N6" s="471">
        <v>0</v>
      </c>
      <c r="O6" s="471">
        <v>0</v>
      </c>
      <c r="P6" s="471">
        <v>0</v>
      </c>
      <c r="Q6" s="471">
        <v>23.675441072341243</v>
      </c>
      <c r="R6" s="572">
        <f t="shared" ref="R6:R69" si="2">AO6</f>
        <v>205.59467459013297</v>
      </c>
      <c r="S6" s="471">
        <v>0</v>
      </c>
      <c r="T6" s="471">
        <v>0</v>
      </c>
      <c r="U6" s="471">
        <v>0</v>
      </c>
      <c r="V6" s="471">
        <v>0</v>
      </c>
      <c r="W6" s="471">
        <v>0</v>
      </c>
      <c r="X6" s="471">
        <v>0</v>
      </c>
      <c r="Y6" s="471">
        <v>0</v>
      </c>
      <c r="Z6" s="471">
        <v>0</v>
      </c>
      <c r="AA6" s="471">
        <v>0</v>
      </c>
      <c r="AB6" s="471">
        <v>0</v>
      </c>
      <c r="AC6" s="471">
        <v>0</v>
      </c>
      <c r="AD6" s="471">
        <v>0</v>
      </c>
      <c r="AE6" s="471">
        <v>0</v>
      </c>
      <c r="AF6" s="471">
        <v>0</v>
      </c>
      <c r="AG6" s="471">
        <v>5.5024827758993808</v>
      </c>
      <c r="AH6" s="685">
        <f t="shared" ref="AH6:AH69" si="3">SUM(G6:AG6)-AG6</f>
        <v>229.27011566247421</v>
      </c>
      <c r="AI6" s="472">
        <f t="shared" ref="AI6:AI69" si="4">G6+H6+I6+J6+K6+L6+M6+N6+O6+P6+Q6+R6+S6+T6+U6+V6+W6+X6+Y6+Z6+AA6+AB6+AC6+AD6+AE6+AF6+AG6</f>
        <v>234.77259843837359</v>
      </c>
      <c r="AJ6" s="472"/>
      <c r="AK6" s="472"/>
      <c r="AL6" s="570">
        <v>27.19</v>
      </c>
      <c r="AM6" s="570">
        <v>178.40467459013297</v>
      </c>
      <c r="AN6" s="566">
        <v>0</v>
      </c>
      <c r="AO6" s="566">
        <f t="shared" ref="AO6:AO69" si="5">AL6+AM6</f>
        <v>205.59467459013297</v>
      </c>
    </row>
    <row r="7" spans="1:42" x14ac:dyDescent="0.3">
      <c r="A7" s="466">
        <v>150000492</v>
      </c>
      <c r="B7" s="467" t="s">
        <v>35</v>
      </c>
      <c r="C7" s="468">
        <v>95.5</v>
      </c>
      <c r="D7" s="473"/>
      <c r="E7" s="470"/>
      <c r="F7" s="470">
        <v>95.5</v>
      </c>
      <c r="G7" s="471">
        <v>0</v>
      </c>
      <c r="H7" s="471">
        <v>0</v>
      </c>
      <c r="I7" s="471">
        <v>0</v>
      </c>
      <c r="J7" s="471">
        <v>0</v>
      </c>
      <c r="K7" s="471">
        <v>0</v>
      </c>
      <c r="L7" s="471">
        <v>0</v>
      </c>
      <c r="M7" s="572">
        <f t="shared" si="1"/>
        <v>0</v>
      </c>
      <c r="N7" s="471">
        <v>0</v>
      </c>
      <c r="O7" s="471">
        <v>0</v>
      </c>
      <c r="P7" s="471">
        <v>0</v>
      </c>
      <c r="Q7" s="471">
        <v>15.783627381560828</v>
      </c>
      <c r="R7" s="572">
        <f t="shared" si="2"/>
        <v>102.50100462638399</v>
      </c>
      <c r="S7" s="471">
        <v>0</v>
      </c>
      <c r="T7" s="471">
        <v>0</v>
      </c>
      <c r="U7" s="471">
        <v>0</v>
      </c>
      <c r="V7" s="471">
        <v>0</v>
      </c>
      <c r="W7" s="471">
        <v>0</v>
      </c>
      <c r="X7" s="471">
        <v>0</v>
      </c>
      <c r="Y7" s="471">
        <v>0</v>
      </c>
      <c r="Z7" s="471">
        <v>0</v>
      </c>
      <c r="AA7" s="471">
        <v>0</v>
      </c>
      <c r="AB7" s="471">
        <v>0</v>
      </c>
      <c r="AC7" s="471">
        <v>0</v>
      </c>
      <c r="AD7" s="471">
        <v>0</v>
      </c>
      <c r="AE7" s="471">
        <v>0</v>
      </c>
      <c r="AF7" s="471">
        <v>0</v>
      </c>
      <c r="AG7" s="471">
        <v>3.5485389602383446</v>
      </c>
      <c r="AH7" s="685">
        <f t="shared" si="3"/>
        <v>118.28463200794482</v>
      </c>
      <c r="AI7" s="472">
        <f t="shared" si="4"/>
        <v>121.83317096818317</v>
      </c>
      <c r="AJ7" s="472"/>
      <c r="AK7" s="472"/>
      <c r="AL7" s="570">
        <v>13.08</v>
      </c>
      <c r="AM7" s="570">
        <v>89.42100462638399</v>
      </c>
      <c r="AN7" s="566">
        <v>0</v>
      </c>
      <c r="AO7" s="566">
        <f t="shared" si="5"/>
        <v>102.50100462638399</v>
      </c>
    </row>
    <row r="8" spans="1:42" x14ac:dyDescent="0.3">
      <c r="A8" s="466">
        <v>150000493</v>
      </c>
      <c r="B8" s="467" t="s">
        <v>417</v>
      </c>
      <c r="C8" s="468">
        <v>7111.44</v>
      </c>
      <c r="D8" s="469">
        <v>625.84</v>
      </c>
      <c r="E8" s="470"/>
      <c r="F8" s="470">
        <v>7111.44</v>
      </c>
      <c r="G8" s="471">
        <v>2116.5436173391959</v>
      </c>
      <c r="H8" s="471">
        <v>326.6498902175353</v>
      </c>
      <c r="I8" s="471">
        <v>895.47</v>
      </c>
      <c r="J8" s="471">
        <v>183.48</v>
      </c>
      <c r="K8" s="471">
        <v>104.17501397504415</v>
      </c>
      <c r="L8" s="471">
        <v>888.66892270016626</v>
      </c>
      <c r="M8" s="572">
        <f t="shared" si="1"/>
        <v>0</v>
      </c>
      <c r="N8" s="471">
        <v>2533.9432832073689</v>
      </c>
      <c r="O8" s="471">
        <v>5329.8152942054612</v>
      </c>
      <c r="P8" s="471">
        <v>0</v>
      </c>
      <c r="Q8" s="471">
        <v>473.50882144682487</v>
      </c>
      <c r="R8" s="572">
        <f t="shared" si="2"/>
        <v>8725.5786860152748</v>
      </c>
      <c r="S8" s="471">
        <v>164.23132790213461</v>
      </c>
      <c r="T8" s="471">
        <v>196.09002638093841</v>
      </c>
      <c r="U8" s="471">
        <v>186.00163838043824</v>
      </c>
      <c r="V8" s="471">
        <v>94.738670085966547</v>
      </c>
      <c r="W8" s="471">
        <v>52.842011746104383</v>
      </c>
      <c r="X8" s="471">
        <v>110.03914981587937</v>
      </c>
      <c r="Y8" s="471">
        <v>39.884553968079764</v>
      </c>
      <c r="Z8" s="471">
        <v>8438.0785839047421</v>
      </c>
      <c r="AA8" s="471">
        <v>6266.7929653589836</v>
      </c>
      <c r="AB8" s="471">
        <v>1514.7888609176264</v>
      </c>
      <c r="AC8" s="471">
        <v>148.34084358286131</v>
      </c>
      <c r="AD8" s="471">
        <v>18.261656880465878</v>
      </c>
      <c r="AE8" s="471">
        <v>1495.8422204106048</v>
      </c>
      <c r="AF8" s="471">
        <v>1347.6618127578336</v>
      </c>
      <c r="AG8" s="471">
        <v>1249.5428355359859</v>
      </c>
      <c r="AH8" s="685">
        <f t="shared" si="3"/>
        <v>41651.427851199536</v>
      </c>
      <c r="AI8" s="472">
        <f t="shared" si="4"/>
        <v>42900.97068673552</v>
      </c>
      <c r="AJ8" s="472"/>
      <c r="AK8" s="472"/>
      <c r="AL8" s="570">
        <v>75.709999999999994</v>
      </c>
      <c r="AM8" s="570">
        <v>8649.8686860152757</v>
      </c>
      <c r="AN8" s="566">
        <v>0</v>
      </c>
      <c r="AO8" s="566">
        <f t="shared" si="5"/>
        <v>8725.5786860152748</v>
      </c>
    </row>
    <row r="9" spans="1:42" x14ac:dyDescent="0.3">
      <c r="A9" s="466">
        <v>150000494</v>
      </c>
      <c r="B9" s="467" t="s">
        <v>418</v>
      </c>
      <c r="C9" s="468">
        <v>9469.1</v>
      </c>
      <c r="D9" s="469">
        <v>988.9</v>
      </c>
      <c r="E9" s="470"/>
      <c r="F9" s="470">
        <v>9469.1</v>
      </c>
      <c r="G9" s="471">
        <v>2388.3671585350194</v>
      </c>
      <c r="H9" s="471">
        <v>359.78561360247426</v>
      </c>
      <c r="I9" s="471">
        <v>1227.21</v>
      </c>
      <c r="J9" s="471">
        <v>250.57</v>
      </c>
      <c r="K9" s="471">
        <v>104.17501397504415</v>
      </c>
      <c r="L9" s="471">
        <v>926.03009420891181</v>
      </c>
      <c r="M9" s="572">
        <f t="shared" si="1"/>
        <v>0</v>
      </c>
      <c r="N9" s="471">
        <v>3374.0230309218528</v>
      </c>
      <c r="O9" s="471">
        <v>3947.0804045084597</v>
      </c>
      <c r="P9" s="471">
        <v>0</v>
      </c>
      <c r="Q9" s="471">
        <v>493.23835567377591</v>
      </c>
      <c r="R9" s="572">
        <f t="shared" si="2"/>
        <v>10865.217292206107</v>
      </c>
      <c r="S9" s="471">
        <v>184.73705865593774</v>
      </c>
      <c r="T9" s="471">
        <v>237.59557919486434</v>
      </c>
      <c r="U9" s="471">
        <v>327.93801930392357</v>
      </c>
      <c r="V9" s="471">
        <v>119.2437268388957</v>
      </c>
      <c r="W9" s="471">
        <v>52.842011746104383</v>
      </c>
      <c r="X9" s="471">
        <v>111.82229407913007</v>
      </c>
      <c r="Y9" s="471">
        <v>40.884690382960294</v>
      </c>
      <c r="Z9" s="471">
        <v>8793.7241057558385</v>
      </c>
      <c r="AA9" s="471">
        <v>6619.2015578700602</v>
      </c>
      <c r="AB9" s="471">
        <v>2163.9840870251805</v>
      </c>
      <c r="AC9" s="471">
        <v>107.06424401353902</v>
      </c>
      <c r="AD9" s="471">
        <v>13.180257312272797</v>
      </c>
      <c r="AE9" s="471">
        <v>1636.2236592395459</v>
      </c>
      <c r="AF9" s="471">
        <v>1651.8215968872059</v>
      </c>
      <c r="AG9" s="471">
        <v>0</v>
      </c>
      <c r="AH9" s="685">
        <f t="shared" si="3"/>
        <v>45995.959851937107</v>
      </c>
      <c r="AI9" s="472">
        <f t="shared" si="4"/>
        <v>45995.959851937107</v>
      </c>
      <c r="AJ9" s="472"/>
      <c r="AK9" s="472"/>
      <c r="AL9" s="570">
        <v>95.76</v>
      </c>
      <c r="AM9" s="570">
        <v>10769.457292206107</v>
      </c>
      <c r="AN9" s="566">
        <v>0</v>
      </c>
      <c r="AO9" s="566">
        <f t="shared" si="5"/>
        <v>10865.217292206107</v>
      </c>
    </row>
    <row r="10" spans="1:42" x14ac:dyDescent="0.3">
      <c r="A10" s="466">
        <v>150000495</v>
      </c>
      <c r="B10" s="467" t="s">
        <v>147</v>
      </c>
      <c r="C10" s="468">
        <v>409.93</v>
      </c>
      <c r="D10" s="469"/>
      <c r="E10" s="470"/>
      <c r="F10" s="470">
        <v>409.93</v>
      </c>
      <c r="G10" s="471">
        <v>87.936386356460375</v>
      </c>
      <c r="H10" s="471">
        <v>35.433591992216755</v>
      </c>
      <c r="I10" s="471">
        <v>54.68</v>
      </c>
      <c r="J10" s="471">
        <v>0</v>
      </c>
      <c r="K10" s="471">
        <v>0</v>
      </c>
      <c r="L10" s="471">
        <v>49.445704714693939</v>
      </c>
      <c r="M10" s="572">
        <f t="shared" si="1"/>
        <v>0</v>
      </c>
      <c r="N10" s="471">
        <v>146.06596836719382</v>
      </c>
      <c r="O10" s="471">
        <v>0</v>
      </c>
      <c r="P10" s="471">
        <v>0</v>
      </c>
      <c r="Q10" s="471">
        <v>94.701764289364974</v>
      </c>
      <c r="R10" s="572">
        <f t="shared" si="2"/>
        <v>439.6186090118303</v>
      </c>
      <c r="S10" s="471">
        <v>33.848154149861578</v>
      </c>
      <c r="T10" s="471">
        <v>45.667834559974651</v>
      </c>
      <c r="U10" s="471">
        <v>15.751031814435738</v>
      </c>
      <c r="V10" s="471">
        <v>0</v>
      </c>
      <c r="W10" s="471">
        <v>0</v>
      </c>
      <c r="X10" s="471">
        <v>9.8856385409863776</v>
      </c>
      <c r="Y10" s="471">
        <v>13.953532419340904</v>
      </c>
      <c r="Z10" s="471">
        <v>550.98616970915373</v>
      </c>
      <c r="AA10" s="471">
        <v>309.96189896446617</v>
      </c>
      <c r="AB10" s="471">
        <v>150.18189671421203</v>
      </c>
      <c r="AC10" s="471">
        <v>0</v>
      </c>
      <c r="AD10" s="471">
        <v>0</v>
      </c>
      <c r="AE10" s="471">
        <v>109.18556353362079</v>
      </c>
      <c r="AF10" s="471">
        <v>0</v>
      </c>
      <c r="AG10" s="471">
        <v>0</v>
      </c>
      <c r="AH10" s="685">
        <f t="shared" si="3"/>
        <v>2147.3037451378123</v>
      </c>
      <c r="AI10" s="472">
        <f t="shared" si="4"/>
        <v>2147.3037451378123</v>
      </c>
      <c r="AJ10" s="472"/>
      <c r="AK10" s="472"/>
      <c r="AL10" s="570">
        <v>8.69</v>
      </c>
      <c r="AM10" s="570">
        <v>430.9286090118303</v>
      </c>
      <c r="AN10" s="566">
        <v>0</v>
      </c>
      <c r="AO10" s="566">
        <f t="shared" si="5"/>
        <v>439.6186090118303</v>
      </c>
    </row>
    <row r="11" spans="1:42" x14ac:dyDescent="0.3">
      <c r="A11" s="466">
        <v>150000496</v>
      </c>
      <c r="B11" s="467" t="s">
        <v>148</v>
      </c>
      <c r="C11" s="468">
        <v>403.93</v>
      </c>
      <c r="D11" s="469"/>
      <c r="E11" s="470"/>
      <c r="F11" s="470">
        <v>403.93</v>
      </c>
      <c r="G11" s="471">
        <v>87.936386356460375</v>
      </c>
      <c r="H11" s="471">
        <v>35.433591992216755</v>
      </c>
      <c r="I11" s="471">
        <v>53.58</v>
      </c>
      <c r="J11" s="471">
        <v>0</v>
      </c>
      <c r="K11" s="471">
        <v>0</v>
      </c>
      <c r="L11" s="471">
        <v>49.445704714693939</v>
      </c>
      <c r="M11" s="572">
        <f t="shared" si="1"/>
        <v>0</v>
      </c>
      <c r="N11" s="471">
        <v>143.9280526005918</v>
      </c>
      <c r="O11" s="471">
        <v>0</v>
      </c>
      <c r="P11" s="471">
        <v>0</v>
      </c>
      <c r="Q11" s="471">
        <v>94.701764289364974</v>
      </c>
      <c r="R11" s="572">
        <f t="shared" si="2"/>
        <v>424.49500057467833</v>
      </c>
      <c r="S11" s="471">
        <v>33.848154149861578</v>
      </c>
      <c r="T11" s="471">
        <v>45.667834559974651</v>
      </c>
      <c r="U11" s="471">
        <v>15.308054786734004</v>
      </c>
      <c r="V11" s="471">
        <v>0</v>
      </c>
      <c r="W11" s="471">
        <v>0</v>
      </c>
      <c r="X11" s="471">
        <v>9.8856385409863776</v>
      </c>
      <c r="Y11" s="471">
        <v>13.62015361438073</v>
      </c>
      <c r="Z11" s="471">
        <v>444.23377564574372</v>
      </c>
      <c r="AA11" s="471">
        <v>315.94024077905516</v>
      </c>
      <c r="AB11" s="471">
        <v>172.74420939209418</v>
      </c>
      <c r="AC11" s="471">
        <v>0</v>
      </c>
      <c r="AD11" s="471">
        <v>0</v>
      </c>
      <c r="AE11" s="471">
        <v>154.41958271183509</v>
      </c>
      <c r="AF11" s="471">
        <v>0</v>
      </c>
      <c r="AG11" s="471">
        <v>62.855644341260145</v>
      </c>
      <c r="AH11" s="685">
        <f t="shared" si="3"/>
        <v>2095.1881447086716</v>
      </c>
      <c r="AI11" s="472">
        <f t="shared" si="4"/>
        <v>2158.043789049932</v>
      </c>
      <c r="AJ11" s="472"/>
      <c r="AK11" s="472"/>
      <c r="AL11" s="570">
        <v>50.66</v>
      </c>
      <c r="AM11" s="570">
        <v>373.83500057467836</v>
      </c>
      <c r="AN11" s="566">
        <v>0</v>
      </c>
      <c r="AO11" s="566">
        <f t="shared" si="5"/>
        <v>424.49500057467833</v>
      </c>
    </row>
    <row r="12" spans="1:42" x14ac:dyDescent="0.3">
      <c r="A12" s="466">
        <v>150000497</v>
      </c>
      <c r="B12" s="467" t="s">
        <v>340</v>
      </c>
      <c r="C12" s="468">
        <v>4099.3</v>
      </c>
      <c r="D12" s="469">
        <v>274</v>
      </c>
      <c r="E12" s="470">
        <v>64.099999999999994</v>
      </c>
      <c r="F12" s="470">
        <v>4163.4000000000005</v>
      </c>
      <c r="G12" s="471">
        <v>1269.7567522537161</v>
      </c>
      <c r="H12" s="471">
        <v>190.14085989056986</v>
      </c>
      <c r="I12" s="471">
        <v>552.59</v>
      </c>
      <c r="J12" s="471">
        <v>109.94</v>
      </c>
      <c r="K12" s="471">
        <v>65.004820328168279</v>
      </c>
      <c r="L12" s="471">
        <v>461.450249376182</v>
      </c>
      <c r="M12" s="572">
        <f t="shared" si="1"/>
        <v>0</v>
      </c>
      <c r="N12" s="471">
        <v>1483.4997504451364</v>
      </c>
      <c r="O12" s="471">
        <v>4800.7555319648973</v>
      </c>
      <c r="P12" s="471">
        <v>0</v>
      </c>
      <c r="Q12" s="471">
        <v>280.15938602270472</v>
      </c>
      <c r="R12" s="572">
        <f t="shared" si="2"/>
        <v>5112.8535552926178</v>
      </c>
      <c r="S12" s="471">
        <v>94.889741545992408</v>
      </c>
      <c r="T12" s="471">
        <v>114.23699709593653</v>
      </c>
      <c r="U12" s="471">
        <v>112.40640487719344</v>
      </c>
      <c r="V12" s="471">
        <v>52.715942671092179</v>
      </c>
      <c r="W12" s="471">
        <v>32.980617657691397</v>
      </c>
      <c r="X12" s="471">
        <v>58.924411006931976</v>
      </c>
      <c r="Y12" s="471">
        <v>26.931157963619381</v>
      </c>
      <c r="Z12" s="471">
        <v>5679.5293955073657</v>
      </c>
      <c r="AA12" s="471">
        <v>3372.777689077689</v>
      </c>
      <c r="AB12" s="471">
        <v>1078.52966897335</v>
      </c>
      <c r="AC12" s="471">
        <v>141.67383937688999</v>
      </c>
      <c r="AD12" s="471">
        <v>17.440908256624716</v>
      </c>
      <c r="AE12" s="471">
        <v>1070.0185226294839</v>
      </c>
      <c r="AF12" s="471">
        <v>1124.6113043962941</v>
      </c>
      <c r="AG12" s="471">
        <v>491.46871511898257</v>
      </c>
      <c r="AH12" s="685">
        <f t="shared" si="3"/>
        <v>27303.817506610147</v>
      </c>
      <c r="AI12" s="472">
        <f t="shared" si="4"/>
        <v>27795.286221729129</v>
      </c>
      <c r="AJ12" s="472"/>
      <c r="AK12" s="472"/>
      <c r="AL12" s="570">
        <v>81.96</v>
      </c>
      <c r="AM12" s="570">
        <v>5030.8935552926177</v>
      </c>
      <c r="AN12" s="566">
        <v>0</v>
      </c>
      <c r="AO12" s="566">
        <f t="shared" si="5"/>
        <v>5112.8535552926178</v>
      </c>
    </row>
    <row r="13" spans="1:42" x14ac:dyDescent="0.3">
      <c r="A13" s="466">
        <v>150000498</v>
      </c>
      <c r="B13" s="467" t="s">
        <v>241</v>
      </c>
      <c r="C13" s="468">
        <v>4845</v>
      </c>
      <c r="D13" s="469"/>
      <c r="E13" s="470">
        <v>45.7</v>
      </c>
      <c r="F13" s="470">
        <v>4890.7</v>
      </c>
      <c r="G13" s="471">
        <v>1369.7465020558896</v>
      </c>
      <c r="H13" s="471">
        <v>284.57813999629974</v>
      </c>
      <c r="I13" s="471">
        <v>640.35</v>
      </c>
      <c r="J13" s="471">
        <v>0</v>
      </c>
      <c r="K13" s="471">
        <v>0</v>
      </c>
      <c r="L13" s="471">
        <v>1179.6338317248897</v>
      </c>
      <c r="M13" s="572">
        <f t="shared" si="1"/>
        <v>0</v>
      </c>
      <c r="N13" s="471">
        <v>1742.6507732867435</v>
      </c>
      <c r="O13" s="471">
        <v>0</v>
      </c>
      <c r="P13" s="471">
        <v>0</v>
      </c>
      <c r="Q13" s="471">
        <v>1302.1492589787686</v>
      </c>
      <c r="R13" s="572">
        <f t="shared" si="2"/>
        <v>3700.3864410321107</v>
      </c>
      <c r="S13" s="471">
        <v>236.27878257228377</v>
      </c>
      <c r="T13" s="471">
        <v>366.77519552996273</v>
      </c>
      <c r="U13" s="471">
        <v>220.67083291668632</v>
      </c>
      <c r="V13" s="471">
        <v>0</v>
      </c>
      <c r="W13" s="471">
        <v>0</v>
      </c>
      <c r="X13" s="471">
        <v>165.60413228623474</v>
      </c>
      <c r="Y13" s="471">
        <v>80.126716280937799</v>
      </c>
      <c r="Z13" s="471">
        <v>6350.1647578899692</v>
      </c>
      <c r="AA13" s="471">
        <v>2164.4560628308082</v>
      </c>
      <c r="AB13" s="471">
        <v>3154.5620493944452</v>
      </c>
      <c r="AC13" s="471">
        <v>150.86548120497542</v>
      </c>
      <c r="AD13" s="471">
        <v>18.572455072582201</v>
      </c>
      <c r="AE13" s="471">
        <v>862.56595191560427</v>
      </c>
      <c r="AF13" s="471">
        <v>0</v>
      </c>
      <c r="AG13" s="471">
        <v>1295.4674177083361</v>
      </c>
      <c r="AH13" s="685">
        <f t="shared" si="3"/>
        <v>23990.137364969189</v>
      </c>
      <c r="AI13" s="472">
        <f t="shared" si="4"/>
        <v>25285.604782677525</v>
      </c>
      <c r="AJ13" s="472"/>
      <c r="AK13" s="472"/>
      <c r="AL13" s="570">
        <v>104.86</v>
      </c>
      <c r="AM13" s="570">
        <v>3595.5264410321106</v>
      </c>
      <c r="AN13" s="566">
        <v>0</v>
      </c>
      <c r="AO13" s="566">
        <f t="shared" si="5"/>
        <v>3700.3864410321107</v>
      </c>
    </row>
    <row r="14" spans="1:42" x14ac:dyDescent="0.3">
      <c r="A14" s="466">
        <v>150000501</v>
      </c>
      <c r="B14" s="467" t="s">
        <v>263</v>
      </c>
      <c r="C14" s="468">
        <v>4489.03</v>
      </c>
      <c r="D14" s="469"/>
      <c r="E14" s="470">
        <v>40.6</v>
      </c>
      <c r="F14" s="470">
        <v>4529.63</v>
      </c>
      <c r="G14" s="471">
        <v>1389.6813200161339</v>
      </c>
      <c r="H14" s="471">
        <v>287.73441720974813</v>
      </c>
      <c r="I14" s="471">
        <v>498.01</v>
      </c>
      <c r="J14" s="471">
        <v>0</v>
      </c>
      <c r="K14" s="471">
        <v>0</v>
      </c>
      <c r="L14" s="471">
        <v>1089.3359290578553</v>
      </c>
      <c r="M14" s="572">
        <f t="shared" si="1"/>
        <v>0</v>
      </c>
      <c r="N14" s="471">
        <v>1613.9945656455789</v>
      </c>
      <c r="O14" s="471">
        <v>0</v>
      </c>
      <c r="P14" s="471">
        <v>0</v>
      </c>
      <c r="Q14" s="471">
        <v>1171.9343330808915</v>
      </c>
      <c r="R14" s="572">
        <f t="shared" si="2"/>
        <v>5212.2261433279282</v>
      </c>
      <c r="S14" s="471">
        <v>227.36054208153843</v>
      </c>
      <c r="T14" s="471">
        <v>370.84425625657047</v>
      </c>
      <c r="U14" s="471">
        <v>305.41775636604615</v>
      </c>
      <c r="V14" s="471">
        <v>0</v>
      </c>
      <c r="W14" s="471">
        <v>0</v>
      </c>
      <c r="X14" s="471">
        <v>159.83845542795581</v>
      </c>
      <c r="Y14" s="471">
        <v>0</v>
      </c>
      <c r="Z14" s="471">
        <v>2681.3951788806385</v>
      </c>
      <c r="AA14" s="471">
        <v>2099.6663257367036</v>
      </c>
      <c r="AB14" s="471">
        <v>1060.2471991575962</v>
      </c>
      <c r="AC14" s="471">
        <v>221.13864686129787</v>
      </c>
      <c r="AD14" s="471">
        <v>27.223507662849173</v>
      </c>
      <c r="AE14" s="471">
        <v>622.35771214163844</v>
      </c>
      <c r="AF14" s="471">
        <v>0</v>
      </c>
      <c r="AG14" s="471">
        <v>913.84350186772656</v>
      </c>
      <c r="AH14" s="685">
        <f t="shared" si="3"/>
        <v>19038.40628891097</v>
      </c>
      <c r="AI14" s="472">
        <f t="shared" si="4"/>
        <v>19952.249790778696</v>
      </c>
      <c r="AJ14" s="472"/>
      <c r="AK14" s="472"/>
      <c r="AL14" s="570">
        <v>108.27</v>
      </c>
      <c r="AM14" s="570">
        <v>5103.9561433279277</v>
      </c>
      <c r="AN14" s="566">
        <v>0</v>
      </c>
      <c r="AO14" s="566">
        <f t="shared" si="5"/>
        <v>5212.2261433279282</v>
      </c>
    </row>
    <row r="15" spans="1:42" x14ac:dyDescent="0.3">
      <c r="A15" s="466">
        <v>150000502</v>
      </c>
      <c r="B15" s="467" t="s">
        <v>108</v>
      </c>
      <c r="C15" s="468">
        <v>137.30000000000001</v>
      </c>
      <c r="D15" s="473"/>
      <c r="E15" s="470"/>
      <c r="F15" s="470">
        <v>137.30000000000001</v>
      </c>
      <c r="G15" s="471">
        <v>0</v>
      </c>
      <c r="H15" s="471">
        <v>0</v>
      </c>
      <c r="I15" s="471">
        <v>0</v>
      </c>
      <c r="J15" s="471">
        <v>0</v>
      </c>
      <c r="K15" s="471">
        <v>0</v>
      </c>
      <c r="L15" s="471">
        <v>0</v>
      </c>
      <c r="M15" s="572">
        <f t="shared" si="1"/>
        <v>0</v>
      </c>
      <c r="N15" s="471">
        <v>0</v>
      </c>
      <c r="O15" s="471">
        <v>0</v>
      </c>
      <c r="P15" s="471">
        <v>0</v>
      </c>
      <c r="Q15" s="471">
        <v>23.675441072341243</v>
      </c>
      <c r="R15" s="572">
        <f t="shared" si="2"/>
        <v>165.0328071400385</v>
      </c>
      <c r="S15" s="471">
        <v>0</v>
      </c>
      <c r="T15" s="471">
        <v>0</v>
      </c>
      <c r="U15" s="471">
        <v>0</v>
      </c>
      <c r="V15" s="471">
        <v>0</v>
      </c>
      <c r="W15" s="471">
        <v>0</v>
      </c>
      <c r="X15" s="471">
        <v>0</v>
      </c>
      <c r="Y15" s="471">
        <v>0</v>
      </c>
      <c r="Z15" s="471">
        <v>0</v>
      </c>
      <c r="AA15" s="471">
        <v>0</v>
      </c>
      <c r="AB15" s="471">
        <v>0</v>
      </c>
      <c r="AC15" s="471">
        <v>0</v>
      </c>
      <c r="AD15" s="471">
        <v>0</v>
      </c>
      <c r="AE15" s="471">
        <v>0</v>
      </c>
      <c r="AF15" s="471">
        <v>0</v>
      </c>
      <c r="AG15" s="471">
        <v>5.6612474463713927</v>
      </c>
      <c r="AH15" s="685">
        <f t="shared" si="3"/>
        <v>188.70824821237974</v>
      </c>
      <c r="AI15" s="472">
        <f t="shared" si="4"/>
        <v>194.36949565875113</v>
      </c>
      <c r="AJ15" s="472"/>
      <c r="AK15" s="472"/>
      <c r="AL15" s="570">
        <v>33.74</v>
      </c>
      <c r="AM15" s="570">
        <v>131.29280714003849</v>
      </c>
      <c r="AN15" s="566">
        <v>0</v>
      </c>
      <c r="AO15" s="566">
        <f t="shared" si="5"/>
        <v>165.0328071400385</v>
      </c>
    </row>
    <row r="16" spans="1:42" x14ac:dyDescent="0.3">
      <c r="A16" s="466">
        <v>150000503</v>
      </c>
      <c r="B16" s="467" t="s">
        <v>109</v>
      </c>
      <c r="C16" s="468">
        <v>211.6</v>
      </c>
      <c r="D16" s="473"/>
      <c r="E16" s="470"/>
      <c r="F16" s="470">
        <v>211.6</v>
      </c>
      <c r="G16" s="471">
        <v>2.4756214974128523E-2</v>
      </c>
      <c r="H16" s="471">
        <v>0</v>
      </c>
      <c r="I16" s="471">
        <v>0</v>
      </c>
      <c r="J16" s="471">
        <v>0</v>
      </c>
      <c r="K16" s="471">
        <v>0</v>
      </c>
      <c r="L16" s="471">
        <v>0</v>
      </c>
      <c r="M16" s="572">
        <f t="shared" si="1"/>
        <v>0</v>
      </c>
      <c r="N16" s="471">
        <v>0</v>
      </c>
      <c r="O16" s="471">
        <v>0</v>
      </c>
      <c r="P16" s="471">
        <v>0</v>
      </c>
      <c r="Q16" s="471">
        <v>31.567254763121657</v>
      </c>
      <c r="R16" s="572">
        <f t="shared" si="2"/>
        <v>245.66694134801821</v>
      </c>
      <c r="S16" s="471">
        <v>1.2370271027029324E-3</v>
      </c>
      <c r="T16" s="471">
        <v>0</v>
      </c>
      <c r="U16" s="471">
        <v>0</v>
      </c>
      <c r="V16" s="471">
        <v>0</v>
      </c>
      <c r="W16" s="471">
        <v>0</v>
      </c>
      <c r="X16" s="471">
        <v>0</v>
      </c>
      <c r="Y16" s="471">
        <v>0</v>
      </c>
      <c r="Z16" s="471">
        <v>0</v>
      </c>
      <c r="AA16" s="471">
        <v>0</v>
      </c>
      <c r="AB16" s="471">
        <v>0</v>
      </c>
      <c r="AC16" s="471">
        <v>0</v>
      </c>
      <c r="AD16" s="471">
        <v>0</v>
      </c>
      <c r="AE16" s="471">
        <v>0</v>
      </c>
      <c r="AF16" s="471">
        <v>0</v>
      </c>
      <c r="AG16" s="471">
        <v>8.3178056805965017</v>
      </c>
      <c r="AH16" s="685">
        <f t="shared" si="3"/>
        <v>277.26018935321673</v>
      </c>
      <c r="AI16" s="472">
        <f t="shared" si="4"/>
        <v>285.57799503381324</v>
      </c>
      <c r="AJ16" s="472"/>
      <c r="AK16" s="472"/>
      <c r="AL16" s="570">
        <v>31.86</v>
      </c>
      <c r="AM16" s="570">
        <v>213.8069413480182</v>
      </c>
      <c r="AN16" s="566">
        <v>0</v>
      </c>
      <c r="AO16" s="566">
        <f t="shared" si="5"/>
        <v>245.66694134801821</v>
      </c>
    </row>
    <row r="17" spans="1:41" x14ac:dyDescent="0.3">
      <c r="A17" s="466">
        <v>150000504</v>
      </c>
      <c r="B17" s="467" t="s">
        <v>110</v>
      </c>
      <c r="C17" s="468">
        <v>180.6</v>
      </c>
      <c r="D17" s="473"/>
      <c r="E17" s="470"/>
      <c r="F17" s="470">
        <v>180.6</v>
      </c>
      <c r="G17" s="471">
        <v>0</v>
      </c>
      <c r="H17" s="471">
        <v>0</v>
      </c>
      <c r="I17" s="471">
        <v>0</v>
      </c>
      <c r="J17" s="471">
        <v>0</v>
      </c>
      <c r="K17" s="471">
        <v>0</v>
      </c>
      <c r="L17" s="471">
        <v>0</v>
      </c>
      <c r="M17" s="572">
        <f t="shared" si="1"/>
        <v>0</v>
      </c>
      <c r="N17" s="471">
        <v>0</v>
      </c>
      <c r="O17" s="471">
        <v>0</v>
      </c>
      <c r="P17" s="471">
        <v>0</v>
      </c>
      <c r="Q17" s="471">
        <v>19.729534226951035</v>
      </c>
      <c r="R17" s="572">
        <f t="shared" si="2"/>
        <v>221.79432006930151</v>
      </c>
      <c r="S17" s="471">
        <v>0</v>
      </c>
      <c r="T17" s="471">
        <v>0</v>
      </c>
      <c r="U17" s="471">
        <v>0</v>
      </c>
      <c r="V17" s="471">
        <v>0</v>
      </c>
      <c r="W17" s="471">
        <v>0</v>
      </c>
      <c r="X17" s="471">
        <v>0</v>
      </c>
      <c r="Y17" s="471">
        <v>0</v>
      </c>
      <c r="Z17" s="471">
        <v>0</v>
      </c>
      <c r="AA17" s="471">
        <v>0</v>
      </c>
      <c r="AB17" s="471">
        <v>0</v>
      </c>
      <c r="AC17" s="471">
        <v>0</v>
      </c>
      <c r="AD17" s="471">
        <v>0</v>
      </c>
      <c r="AE17" s="471">
        <v>0</v>
      </c>
      <c r="AF17" s="471">
        <v>0</v>
      </c>
      <c r="AG17" s="471">
        <v>7.2457156288875755</v>
      </c>
      <c r="AH17" s="685">
        <f t="shared" si="3"/>
        <v>241.52385429625255</v>
      </c>
      <c r="AI17" s="472">
        <f t="shared" si="4"/>
        <v>248.76956992514013</v>
      </c>
      <c r="AJ17" s="472"/>
      <c r="AK17" s="472"/>
      <c r="AL17" s="570">
        <v>48.15</v>
      </c>
      <c r="AM17" s="570">
        <v>173.6443200693015</v>
      </c>
      <c r="AN17" s="566">
        <v>0</v>
      </c>
      <c r="AO17" s="566">
        <f t="shared" si="5"/>
        <v>221.79432006930151</v>
      </c>
    </row>
    <row r="18" spans="1:41" x14ac:dyDescent="0.3">
      <c r="A18" s="466">
        <v>150000505</v>
      </c>
      <c r="B18" s="467" t="s">
        <v>112</v>
      </c>
      <c r="C18" s="468">
        <v>180.22</v>
      </c>
      <c r="D18" s="473"/>
      <c r="E18" s="470"/>
      <c r="F18" s="470">
        <v>180.22</v>
      </c>
      <c r="G18" s="471">
        <v>0</v>
      </c>
      <c r="H18" s="471">
        <v>0</v>
      </c>
      <c r="I18" s="471">
        <v>0</v>
      </c>
      <c r="J18" s="471">
        <v>0</v>
      </c>
      <c r="K18" s="471">
        <v>0</v>
      </c>
      <c r="L18" s="471">
        <v>0</v>
      </c>
      <c r="M18" s="572">
        <f t="shared" si="1"/>
        <v>0</v>
      </c>
      <c r="N18" s="471">
        <v>0</v>
      </c>
      <c r="O18" s="471">
        <v>0</v>
      </c>
      <c r="P18" s="471">
        <v>0</v>
      </c>
      <c r="Q18" s="471">
        <v>35.513161608511865</v>
      </c>
      <c r="R18" s="572">
        <f t="shared" si="2"/>
        <v>225.59019316779228</v>
      </c>
      <c r="S18" s="471">
        <v>0</v>
      </c>
      <c r="T18" s="471">
        <v>0</v>
      </c>
      <c r="U18" s="471">
        <v>0</v>
      </c>
      <c r="V18" s="471">
        <v>0</v>
      </c>
      <c r="W18" s="471">
        <v>0</v>
      </c>
      <c r="X18" s="471">
        <v>0</v>
      </c>
      <c r="Y18" s="471">
        <v>0</v>
      </c>
      <c r="Z18" s="471">
        <v>0</v>
      </c>
      <c r="AA18" s="471">
        <v>0</v>
      </c>
      <c r="AB18" s="471">
        <v>0</v>
      </c>
      <c r="AC18" s="471">
        <v>0</v>
      </c>
      <c r="AD18" s="471">
        <v>0</v>
      </c>
      <c r="AE18" s="471">
        <v>0</v>
      </c>
      <c r="AF18" s="471">
        <v>0</v>
      </c>
      <c r="AG18" s="471">
        <v>7.833100643289125</v>
      </c>
      <c r="AH18" s="685">
        <f t="shared" si="3"/>
        <v>261.10335477630417</v>
      </c>
      <c r="AI18" s="472">
        <f t="shared" si="4"/>
        <v>268.9364554195933</v>
      </c>
      <c r="AJ18" s="472"/>
      <c r="AK18" s="472"/>
      <c r="AL18" s="570">
        <v>32.880000000000003</v>
      </c>
      <c r="AM18" s="570">
        <v>192.71019316779228</v>
      </c>
      <c r="AN18" s="566">
        <v>0</v>
      </c>
      <c r="AO18" s="566">
        <f t="shared" si="5"/>
        <v>225.59019316779228</v>
      </c>
    </row>
    <row r="19" spans="1:41" x14ac:dyDescent="0.3">
      <c r="A19" s="466">
        <v>150000506</v>
      </c>
      <c r="B19" s="467" t="s">
        <v>111</v>
      </c>
      <c r="C19" s="468">
        <v>102.4</v>
      </c>
      <c r="D19" s="473"/>
      <c r="E19" s="470"/>
      <c r="F19" s="470">
        <v>102.4</v>
      </c>
      <c r="G19" s="471">
        <v>0</v>
      </c>
      <c r="H19" s="471">
        <v>0</v>
      </c>
      <c r="I19" s="471">
        <v>0</v>
      </c>
      <c r="J19" s="471">
        <v>0</v>
      </c>
      <c r="K19" s="471">
        <v>0</v>
      </c>
      <c r="L19" s="471">
        <v>0</v>
      </c>
      <c r="M19" s="572">
        <f t="shared" si="1"/>
        <v>0</v>
      </c>
      <c r="N19" s="471">
        <v>0</v>
      </c>
      <c r="O19" s="471">
        <v>0</v>
      </c>
      <c r="P19" s="471">
        <v>0</v>
      </c>
      <c r="Q19" s="471">
        <v>27.621347917731452</v>
      </c>
      <c r="R19" s="572">
        <f t="shared" si="2"/>
        <v>143.3008472898224</v>
      </c>
      <c r="S19" s="471">
        <v>0</v>
      </c>
      <c r="T19" s="471">
        <v>0</v>
      </c>
      <c r="U19" s="471">
        <v>0</v>
      </c>
      <c r="V19" s="471">
        <v>0</v>
      </c>
      <c r="W19" s="471">
        <v>0</v>
      </c>
      <c r="X19" s="471">
        <v>0</v>
      </c>
      <c r="Y19" s="471">
        <v>0</v>
      </c>
      <c r="Z19" s="471">
        <v>0</v>
      </c>
      <c r="AA19" s="471">
        <v>0</v>
      </c>
      <c r="AB19" s="471">
        <v>0</v>
      </c>
      <c r="AC19" s="471">
        <v>0</v>
      </c>
      <c r="AD19" s="471">
        <v>0</v>
      </c>
      <c r="AE19" s="471">
        <v>0</v>
      </c>
      <c r="AF19" s="471">
        <v>0</v>
      </c>
      <c r="AG19" s="471">
        <v>5.1276658562266153</v>
      </c>
      <c r="AH19" s="685">
        <f t="shared" si="3"/>
        <v>170.92219520755384</v>
      </c>
      <c r="AI19" s="472">
        <f t="shared" si="4"/>
        <v>176.04986106378047</v>
      </c>
      <c r="AJ19" s="472"/>
      <c r="AK19" s="472"/>
      <c r="AL19" s="570">
        <v>31.87</v>
      </c>
      <c r="AM19" s="570">
        <v>111.4308472898224</v>
      </c>
      <c r="AN19" s="566">
        <v>0</v>
      </c>
      <c r="AO19" s="566">
        <f t="shared" si="5"/>
        <v>143.3008472898224</v>
      </c>
    </row>
    <row r="20" spans="1:41" x14ac:dyDescent="0.3">
      <c r="A20" s="466">
        <v>150000507</v>
      </c>
      <c r="B20" s="467" t="s">
        <v>113</v>
      </c>
      <c r="C20" s="468">
        <v>278.3</v>
      </c>
      <c r="D20" s="473"/>
      <c r="E20" s="470">
        <v>51.4</v>
      </c>
      <c r="F20" s="470">
        <v>329.7</v>
      </c>
      <c r="G20" s="471">
        <v>0</v>
      </c>
      <c r="H20" s="471">
        <v>0</v>
      </c>
      <c r="I20" s="471">
        <v>0</v>
      </c>
      <c r="J20" s="471">
        <v>0</v>
      </c>
      <c r="K20" s="471">
        <v>0</v>
      </c>
      <c r="L20" s="471">
        <v>0</v>
      </c>
      <c r="M20" s="572">
        <f t="shared" si="1"/>
        <v>0</v>
      </c>
      <c r="N20" s="471">
        <v>0</v>
      </c>
      <c r="O20" s="471">
        <v>0</v>
      </c>
      <c r="P20" s="471">
        <v>0</v>
      </c>
      <c r="Q20" s="471">
        <v>31.567254763121657</v>
      </c>
      <c r="R20" s="572">
        <f t="shared" si="2"/>
        <v>349.83791772048988</v>
      </c>
      <c r="S20" s="471">
        <v>0</v>
      </c>
      <c r="T20" s="471">
        <v>0</v>
      </c>
      <c r="U20" s="471">
        <v>0</v>
      </c>
      <c r="V20" s="471">
        <v>0</v>
      </c>
      <c r="W20" s="471">
        <v>0</v>
      </c>
      <c r="X20" s="471">
        <v>0</v>
      </c>
      <c r="Y20" s="471">
        <v>0</v>
      </c>
      <c r="Z20" s="471">
        <v>0</v>
      </c>
      <c r="AA20" s="471">
        <v>0</v>
      </c>
      <c r="AB20" s="471">
        <v>0</v>
      </c>
      <c r="AC20" s="471">
        <v>0</v>
      </c>
      <c r="AD20" s="471">
        <v>0</v>
      </c>
      <c r="AE20" s="471">
        <v>0</v>
      </c>
      <c r="AF20" s="471">
        <v>0</v>
      </c>
      <c r="AG20" s="471">
        <v>11.442155174508345</v>
      </c>
      <c r="AH20" s="685">
        <f t="shared" si="3"/>
        <v>381.40517248361152</v>
      </c>
      <c r="AI20" s="472">
        <f t="shared" si="4"/>
        <v>392.84732765811987</v>
      </c>
      <c r="AJ20" s="472"/>
      <c r="AK20" s="472"/>
      <c r="AL20" s="570">
        <v>63.19</v>
      </c>
      <c r="AM20" s="570">
        <v>286.64791772048989</v>
      </c>
      <c r="AN20" s="566">
        <v>0</v>
      </c>
      <c r="AO20" s="566">
        <f t="shared" si="5"/>
        <v>349.83791772048988</v>
      </c>
    </row>
    <row r="21" spans="1:41" x14ac:dyDescent="0.3">
      <c r="A21" s="466">
        <v>150000508</v>
      </c>
      <c r="B21" s="467" t="s">
        <v>114</v>
      </c>
      <c r="C21" s="468">
        <v>151.80000000000001</v>
      </c>
      <c r="D21" s="473"/>
      <c r="E21" s="470"/>
      <c r="F21" s="470">
        <v>151.80000000000001</v>
      </c>
      <c r="G21" s="471">
        <v>0</v>
      </c>
      <c r="H21" s="471">
        <v>0</v>
      </c>
      <c r="I21" s="471">
        <v>0</v>
      </c>
      <c r="J21" s="471">
        <v>0</v>
      </c>
      <c r="K21" s="471">
        <v>0</v>
      </c>
      <c r="L21" s="471">
        <v>0</v>
      </c>
      <c r="M21" s="572">
        <f t="shared" si="1"/>
        <v>0</v>
      </c>
      <c r="N21" s="471">
        <v>0</v>
      </c>
      <c r="O21" s="471">
        <v>0</v>
      </c>
      <c r="P21" s="471">
        <v>0</v>
      </c>
      <c r="Q21" s="471">
        <v>15.783627381560828</v>
      </c>
      <c r="R21" s="572">
        <f t="shared" si="2"/>
        <v>146.57485153938975</v>
      </c>
      <c r="S21" s="471">
        <v>0</v>
      </c>
      <c r="T21" s="471">
        <v>0</v>
      </c>
      <c r="U21" s="471">
        <v>0</v>
      </c>
      <c r="V21" s="471">
        <v>0</v>
      </c>
      <c r="W21" s="471">
        <v>0</v>
      </c>
      <c r="X21" s="471">
        <v>0</v>
      </c>
      <c r="Y21" s="471">
        <v>0</v>
      </c>
      <c r="Z21" s="471">
        <v>0</v>
      </c>
      <c r="AA21" s="471">
        <v>0</v>
      </c>
      <c r="AB21" s="471">
        <v>0</v>
      </c>
      <c r="AC21" s="471">
        <v>0</v>
      </c>
      <c r="AD21" s="471">
        <v>0</v>
      </c>
      <c r="AE21" s="471">
        <v>0</v>
      </c>
      <c r="AF21" s="471">
        <v>0</v>
      </c>
      <c r="AG21" s="471">
        <v>4.8707543676285177</v>
      </c>
      <c r="AH21" s="685">
        <f t="shared" si="3"/>
        <v>162.35847892095057</v>
      </c>
      <c r="AI21" s="472">
        <f t="shared" si="4"/>
        <v>167.22923328857908</v>
      </c>
      <c r="AJ21" s="472"/>
      <c r="AK21" s="472"/>
      <c r="AL21" s="570">
        <v>19.34</v>
      </c>
      <c r="AM21" s="570">
        <v>127.23485153938975</v>
      </c>
      <c r="AN21" s="566">
        <v>0</v>
      </c>
      <c r="AO21" s="566">
        <f t="shared" si="5"/>
        <v>146.57485153938975</v>
      </c>
    </row>
    <row r="22" spans="1:41" x14ac:dyDescent="0.3">
      <c r="A22" s="466">
        <v>150000509</v>
      </c>
      <c r="B22" s="467" t="s">
        <v>52</v>
      </c>
      <c r="C22" s="468">
        <v>249.8</v>
      </c>
      <c r="D22" s="473"/>
      <c r="E22" s="470"/>
      <c r="F22" s="470">
        <v>249.8</v>
      </c>
      <c r="G22" s="471">
        <v>0</v>
      </c>
      <c r="H22" s="471">
        <v>0</v>
      </c>
      <c r="I22" s="471">
        <v>0</v>
      </c>
      <c r="J22" s="471">
        <v>0</v>
      </c>
      <c r="K22" s="471">
        <v>0</v>
      </c>
      <c r="L22" s="471">
        <v>0</v>
      </c>
      <c r="M22" s="572">
        <f t="shared" si="1"/>
        <v>0</v>
      </c>
      <c r="N22" s="471">
        <v>0</v>
      </c>
      <c r="O22" s="471">
        <v>0</v>
      </c>
      <c r="P22" s="471">
        <v>0</v>
      </c>
      <c r="Q22" s="471">
        <v>47.350882144682487</v>
      </c>
      <c r="R22" s="572">
        <f t="shared" si="2"/>
        <v>270.81982285553391</v>
      </c>
      <c r="S22" s="471">
        <v>0</v>
      </c>
      <c r="T22" s="471">
        <v>0</v>
      </c>
      <c r="U22" s="471">
        <v>0</v>
      </c>
      <c r="V22" s="471">
        <v>0</v>
      </c>
      <c r="W22" s="471">
        <v>0</v>
      </c>
      <c r="X22" s="471">
        <v>0</v>
      </c>
      <c r="Y22" s="471">
        <v>0</v>
      </c>
      <c r="Z22" s="471">
        <v>0</v>
      </c>
      <c r="AA22" s="471">
        <v>0</v>
      </c>
      <c r="AB22" s="471">
        <v>0</v>
      </c>
      <c r="AC22" s="471">
        <v>0</v>
      </c>
      <c r="AD22" s="471">
        <v>0</v>
      </c>
      <c r="AE22" s="471">
        <v>0</v>
      </c>
      <c r="AF22" s="471">
        <v>0</v>
      </c>
      <c r="AG22" s="471">
        <v>9.5451211500064908</v>
      </c>
      <c r="AH22" s="685">
        <f t="shared" si="3"/>
        <v>318.1707050002164</v>
      </c>
      <c r="AI22" s="472">
        <f t="shared" si="4"/>
        <v>327.71582615022288</v>
      </c>
      <c r="AJ22" s="472"/>
      <c r="AK22" s="472"/>
      <c r="AL22" s="570">
        <v>27.19</v>
      </c>
      <c r="AM22" s="570">
        <v>243.62982285553389</v>
      </c>
      <c r="AN22" s="566">
        <v>0</v>
      </c>
      <c r="AO22" s="566">
        <f t="shared" si="5"/>
        <v>270.81982285553391</v>
      </c>
    </row>
    <row r="23" spans="1:41" x14ac:dyDescent="0.3">
      <c r="A23" s="466">
        <v>150000510</v>
      </c>
      <c r="B23" s="467" t="s">
        <v>248</v>
      </c>
      <c r="C23" s="468">
        <v>2796.95</v>
      </c>
      <c r="D23" s="469"/>
      <c r="E23" s="470">
        <v>92.11</v>
      </c>
      <c r="F23" s="470">
        <v>2889.06</v>
      </c>
      <c r="G23" s="471">
        <v>552.08594737976443</v>
      </c>
      <c r="H23" s="471">
        <v>103.14449876320194</v>
      </c>
      <c r="I23" s="471">
        <v>358.35</v>
      </c>
      <c r="J23" s="471">
        <v>0</v>
      </c>
      <c r="K23" s="471">
        <v>0</v>
      </c>
      <c r="L23" s="471">
        <v>443.99101743387916</v>
      </c>
      <c r="M23" s="572">
        <f t="shared" si="1"/>
        <v>0</v>
      </c>
      <c r="N23" s="471">
        <v>1029.4278207765349</v>
      </c>
      <c r="O23" s="471">
        <v>0</v>
      </c>
      <c r="P23" s="471">
        <v>0</v>
      </c>
      <c r="Q23" s="471">
        <v>114.43129851631601</v>
      </c>
      <c r="R23" s="572">
        <f t="shared" si="2"/>
        <v>1984.3593443818027</v>
      </c>
      <c r="S23" s="471">
        <v>99.650552224093673</v>
      </c>
      <c r="T23" s="471">
        <v>132.93444295331673</v>
      </c>
      <c r="U23" s="471">
        <v>169.54804091581531</v>
      </c>
      <c r="V23" s="471">
        <v>0</v>
      </c>
      <c r="W23" s="471">
        <v>0</v>
      </c>
      <c r="X23" s="471">
        <v>61.236720446205524</v>
      </c>
      <c r="Y23" s="471">
        <v>0</v>
      </c>
      <c r="Z23" s="471">
        <v>2500.1592267194928</v>
      </c>
      <c r="AA23" s="471">
        <v>1389.4685596093739</v>
      </c>
      <c r="AB23" s="471">
        <v>946.09507071561768</v>
      </c>
      <c r="AC23" s="471">
        <v>0</v>
      </c>
      <c r="AD23" s="471">
        <v>0</v>
      </c>
      <c r="AE23" s="471">
        <v>241.76803353873177</v>
      </c>
      <c r="AF23" s="471">
        <v>0</v>
      </c>
      <c r="AG23" s="471">
        <v>607.59903446244869</v>
      </c>
      <c r="AH23" s="685">
        <f t="shared" si="3"/>
        <v>10126.650574374145</v>
      </c>
      <c r="AI23" s="472">
        <f t="shared" si="4"/>
        <v>10734.249608836593</v>
      </c>
      <c r="AJ23" s="472"/>
      <c r="AK23" s="472"/>
      <c r="AL23" s="570">
        <v>49.39</v>
      </c>
      <c r="AM23" s="570">
        <v>1934.9693443818026</v>
      </c>
      <c r="AN23" s="566">
        <v>0</v>
      </c>
      <c r="AO23" s="566">
        <f t="shared" si="5"/>
        <v>1984.3593443818027</v>
      </c>
    </row>
    <row r="24" spans="1:41" x14ac:dyDescent="0.3">
      <c r="A24" s="466">
        <v>150000511</v>
      </c>
      <c r="B24" s="467" t="s">
        <v>249</v>
      </c>
      <c r="C24" s="468">
        <v>3219.5</v>
      </c>
      <c r="D24" s="469"/>
      <c r="E24" s="470"/>
      <c r="F24" s="470">
        <v>3219.5</v>
      </c>
      <c r="G24" s="471">
        <v>1005.2935292911754</v>
      </c>
      <c r="H24" s="471">
        <v>190.36011026335626</v>
      </c>
      <c r="I24" s="471">
        <v>403.96</v>
      </c>
      <c r="J24" s="471">
        <v>0</v>
      </c>
      <c r="K24" s="471">
        <v>0</v>
      </c>
      <c r="L24" s="471">
        <v>621.64213222131195</v>
      </c>
      <c r="M24" s="572">
        <f t="shared" si="1"/>
        <v>0</v>
      </c>
      <c r="N24" s="471">
        <v>1147.1699684291964</v>
      </c>
      <c r="O24" s="471">
        <v>0</v>
      </c>
      <c r="P24" s="471">
        <v>0</v>
      </c>
      <c r="Q24" s="471">
        <v>947.01764289364974</v>
      </c>
      <c r="R24" s="572">
        <f t="shared" si="2"/>
        <v>2476.4167683798369</v>
      </c>
      <c r="S24" s="471">
        <v>159.0451346721687</v>
      </c>
      <c r="T24" s="471">
        <v>245.36814207708687</v>
      </c>
      <c r="U24" s="471">
        <v>182.94222494346428</v>
      </c>
      <c r="V24" s="471">
        <v>0</v>
      </c>
      <c r="W24" s="471">
        <v>0</v>
      </c>
      <c r="X24" s="471">
        <v>87.314369523557232</v>
      </c>
      <c r="Y24" s="471">
        <v>0</v>
      </c>
      <c r="Z24" s="471">
        <v>3060.7544445300941</v>
      </c>
      <c r="AA24" s="471">
        <v>1579.9288450892941</v>
      </c>
      <c r="AB24" s="471">
        <v>1340.8834738523237</v>
      </c>
      <c r="AC24" s="471">
        <v>164.29753379641758</v>
      </c>
      <c r="AD24" s="471">
        <v>20.226022152968074</v>
      </c>
      <c r="AE24" s="471">
        <v>372.79070977907668</v>
      </c>
      <c r="AF24" s="471">
        <v>0</v>
      </c>
      <c r="AG24" s="471">
        <v>588.22726417958904</v>
      </c>
      <c r="AH24" s="685">
        <f t="shared" si="3"/>
        <v>14005.411051894978</v>
      </c>
      <c r="AI24" s="472">
        <f t="shared" si="4"/>
        <v>14593.638316074568</v>
      </c>
      <c r="AJ24" s="472"/>
      <c r="AK24" s="472"/>
      <c r="AL24" s="570">
        <v>163.36000000000001</v>
      </c>
      <c r="AM24" s="570">
        <v>2313.0567683798367</v>
      </c>
      <c r="AN24" s="566">
        <v>0</v>
      </c>
      <c r="AO24" s="566">
        <f t="shared" si="5"/>
        <v>2476.4167683798369</v>
      </c>
    </row>
    <row r="25" spans="1:41" x14ac:dyDescent="0.3">
      <c r="A25" s="466">
        <v>150000512</v>
      </c>
      <c r="B25" s="467" t="s">
        <v>250</v>
      </c>
      <c r="C25" s="468">
        <v>1738.1</v>
      </c>
      <c r="D25" s="469"/>
      <c r="E25" s="470">
        <v>133.6</v>
      </c>
      <c r="F25" s="470">
        <v>1871.6999999999998</v>
      </c>
      <c r="G25" s="471">
        <v>449.88922942766817</v>
      </c>
      <c r="H25" s="471">
        <v>97.473144835936864</v>
      </c>
      <c r="I25" s="471">
        <v>195.16</v>
      </c>
      <c r="J25" s="471">
        <v>0</v>
      </c>
      <c r="K25" s="471">
        <v>0</v>
      </c>
      <c r="L25" s="471">
        <v>274.23953147654481</v>
      </c>
      <c r="M25" s="572">
        <f t="shared" si="1"/>
        <v>0</v>
      </c>
      <c r="N25" s="471">
        <v>666.92282339149767</v>
      </c>
      <c r="O25" s="471">
        <v>0</v>
      </c>
      <c r="P25" s="471">
        <v>0</v>
      </c>
      <c r="Q25" s="471">
        <v>437.99565983831303</v>
      </c>
      <c r="R25" s="572">
        <f t="shared" si="2"/>
        <v>1601.5351139335014</v>
      </c>
      <c r="S25" s="471">
        <v>70.595674441481407</v>
      </c>
      <c r="T25" s="471">
        <v>125.6314726853437</v>
      </c>
      <c r="U25" s="471">
        <v>119.45823316845545</v>
      </c>
      <c r="V25" s="471">
        <v>0</v>
      </c>
      <c r="W25" s="471">
        <v>0</v>
      </c>
      <c r="X25" s="471">
        <v>35.019697931659508</v>
      </c>
      <c r="Y25" s="471">
        <v>0</v>
      </c>
      <c r="Z25" s="471">
        <v>925.17043655218492</v>
      </c>
      <c r="AA25" s="471">
        <v>667.18074556202612</v>
      </c>
      <c r="AB25" s="471">
        <v>540.11222957386553</v>
      </c>
      <c r="AC25" s="471">
        <v>43.482593608062778</v>
      </c>
      <c r="AD25" s="471">
        <v>5.3529708040228803</v>
      </c>
      <c r="AE25" s="471">
        <v>360.31235966094863</v>
      </c>
      <c r="AF25" s="471">
        <v>0</v>
      </c>
      <c r="AG25" s="471">
        <v>396.93191501349077</v>
      </c>
      <c r="AH25" s="685">
        <f t="shared" si="3"/>
        <v>6615.531916891513</v>
      </c>
      <c r="AI25" s="472">
        <f t="shared" si="4"/>
        <v>7012.4638319050036</v>
      </c>
      <c r="AJ25" s="472"/>
      <c r="AK25" s="472"/>
      <c r="AL25" s="570">
        <v>65.67</v>
      </c>
      <c r="AM25" s="570">
        <v>1535.8651139335013</v>
      </c>
      <c r="AN25" s="566">
        <v>0</v>
      </c>
      <c r="AO25" s="566">
        <f t="shared" si="5"/>
        <v>1601.5351139335014</v>
      </c>
    </row>
    <row r="26" spans="1:41" x14ac:dyDescent="0.3">
      <c r="A26" s="466">
        <v>150000513</v>
      </c>
      <c r="B26" s="467" t="s">
        <v>333</v>
      </c>
      <c r="C26" s="468">
        <v>2148</v>
      </c>
      <c r="D26" s="469"/>
      <c r="E26" s="470">
        <v>1482</v>
      </c>
      <c r="F26" s="470">
        <v>3630</v>
      </c>
      <c r="G26" s="471">
        <v>673.383001135158</v>
      </c>
      <c r="H26" s="471">
        <v>134.80561864333092</v>
      </c>
      <c r="I26" s="471">
        <v>462.95</v>
      </c>
      <c r="J26" s="471">
        <v>97.06</v>
      </c>
      <c r="K26" s="471">
        <v>33.993560156560171</v>
      </c>
      <c r="L26" s="471">
        <v>332.75343360137714</v>
      </c>
      <c r="M26" s="572">
        <f t="shared" si="1"/>
        <v>0</v>
      </c>
      <c r="N26" s="471">
        <v>1293.4390387942174</v>
      </c>
      <c r="O26" s="471">
        <v>0</v>
      </c>
      <c r="P26" s="471">
        <v>0</v>
      </c>
      <c r="Q26" s="471">
        <v>102.59357798014538</v>
      </c>
      <c r="R26" s="572">
        <f t="shared" si="2"/>
        <v>3966.4619061528742</v>
      </c>
      <c r="S26" s="471">
        <v>127.18333563388848</v>
      </c>
      <c r="T26" s="471">
        <v>173.75147446923006</v>
      </c>
      <c r="U26" s="471">
        <v>214.32563800043778</v>
      </c>
      <c r="V26" s="471">
        <v>82.057717972193146</v>
      </c>
      <c r="W26" s="471">
        <v>34.489628303940485</v>
      </c>
      <c r="X26" s="471">
        <v>36.876583345726203</v>
      </c>
      <c r="Y26" s="471">
        <v>0</v>
      </c>
      <c r="Z26" s="471">
        <v>1142.3042498986165</v>
      </c>
      <c r="AA26" s="471">
        <v>1320.7821590470717</v>
      </c>
      <c r="AB26" s="471">
        <v>718.40509192891216</v>
      </c>
      <c r="AC26" s="471">
        <v>0</v>
      </c>
      <c r="AD26" s="471">
        <v>0</v>
      </c>
      <c r="AE26" s="471">
        <v>205.89277694911348</v>
      </c>
      <c r="AF26" s="471">
        <v>0</v>
      </c>
      <c r="AG26" s="471">
        <v>334.60526376038382</v>
      </c>
      <c r="AH26" s="685">
        <f t="shared" si="3"/>
        <v>11153.508792012793</v>
      </c>
      <c r="AI26" s="472">
        <f t="shared" si="4"/>
        <v>11488.114055773178</v>
      </c>
      <c r="AJ26" s="472"/>
      <c r="AK26" s="472"/>
      <c r="AL26" s="570">
        <v>10.61</v>
      </c>
      <c r="AM26" s="570">
        <v>3955.8519061528741</v>
      </c>
      <c r="AN26" s="566">
        <v>0</v>
      </c>
      <c r="AO26" s="566">
        <f t="shared" si="5"/>
        <v>3966.4619061528742</v>
      </c>
    </row>
    <row r="27" spans="1:41" x14ac:dyDescent="0.3">
      <c r="A27" s="466">
        <v>150000514</v>
      </c>
      <c r="B27" s="467" t="s">
        <v>151</v>
      </c>
      <c r="C27" s="468">
        <v>253.5</v>
      </c>
      <c r="D27" s="469"/>
      <c r="E27" s="470"/>
      <c r="F27" s="470">
        <v>253.5</v>
      </c>
      <c r="G27" s="471">
        <v>121.30744746162766</v>
      </c>
      <c r="H27" s="471">
        <v>23.869142200078286</v>
      </c>
      <c r="I27" s="471">
        <v>32.04</v>
      </c>
      <c r="J27" s="471">
        <v>0</v>
      </c>
      <c r="K27" s="471">
        <v>0</v>
      </c>
      <c r="L27" s="471">
        <v>80.359004089472322</v>
      </c>
      <c r="M27" s="572">
        <f t="shared" si="1"/>
        <v>0</v>
      </c>
      <c r="N27" s="471">
        <v>90.326941138935027</v>
      </c>
      <c r="O27" s="471">
        <v>0</v>
      </c>
      <c r="P27" s="471">
        <v>0</v>
      </c>
      <c r="Q27" s="471">
        <v>47.350882144682487</v>
      </c>
      <c r="R27" s="572">
        <f t="shared" si="2"/>
        <v>420.40279608352751</v>
      </c>
      <c r="S27" s="471">
        <v>25.897230972721005</v>
      </c>
      <c r="T27" s="471">
        <v>30.775406552125418</v>
      </c>
      <c r="U27" s="471">
        <v>6.0518306708320306</v>
      </c>
      <c r="V27" s="471">
        <v>0</v>
      </c>
      <c r="W27" s="471">
        <v>0</v>
      </c>
      <c r="X27" s="471">
        <v>6.5655994250196654</v>
      </c>
      <c r="Y27" s="471">
        <v>0</v>
      </c>
      <c r="Z27" s="471">
        <v>0</v>
      </c>
      <c r="AA27" s="471">
        <v>15.72950064205101</v>
      </c>
      <c r="AB27" s="471">
        <v>0</v>
      </c>
      <c r="AC27" s="471">
        <v>0</v>
      </c>
      <c r="AD27" s="471">
        <v>0</v>
      </c>
      <c r="AE27" s="471">
        <v>20.277318941958143</v>
      </c>
      <c r="AF27" s="471">
        <v>0</v>
      </c>
      <c r="AG27" s="471">
        <v>16.577155805814545</v>
      </c>
      <c r="AH27" s="685">
        <f t="shared" si="3"/>
        <v>920.95310032303041</v>
      </c>
      <c r="AI27" s="472">
        <f t="shared" si="4"/>
        <v>937.53025612884494</v>
      </c>
      <c r="AJ27" s="472"/>
      <c r="AK27" s="472"/>
      <c r="AL27" s="570">
        <v>25.61</v>
      </c>
      <c r="AM27" s="570">
        <v>394.79279608352749</v>
      </c>
      <c r="AN27" s="566">
        <v>0</v>
      </c>
      <c r="AO27" s="566">
        <f t="shared" si="5"/>
        <v>420.40279608352751</v>
      </c>
    </row>
    <row r="28" spans="1:41" x14ac:dyDescent="0.3">
      <c r="A28" s="466">
        <v>150000515</v>
      </c>
      <c r="B28" s="467" t="s">
        <v>53</v>
      </c>
      <c r="C28" s="468">
        <v>200.6</v>
      </c>
      <c r="D28" s="473"/>
      <c r="E28" s="470"/>
      <c r="F28" s="470">
        <v>200.6</v>
      </c>
      <c r="G28" s="471">
        <v>0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572">
        <f t="shared" si="1"/>
        <v>0</v>
      </c>
      <c r="N28" s="471">
        <v>0</v>
      </c>
      <c r="O28" s="471">
        <v>0</v>
      </c>
      <c r="P28" s="471">
        <v>0</v>
      </c>
      <c r="Q28" s="471">
        <v>47.350882144682487</v>
      </c>
      <c r="R28" s="572">
        <f t="shared" si="2"/>
        <v>224.84035636565682</v>
      </c>
      <c r="S28" s="471">
        <v>0</v>
      </c>
      <c r="T28" s="471">
        <v>0</v>
      </c>
      <c r="U28" s="471">
        <v>0</v>
      </c>
      <c r="V28" s="471">
        <v>0</v>
      </c>
      <c r="W28" s="471">
        <v>0</v>
      </c>
      <c r="X28" s="471">
        <v>0</v>
      </c>
      <c r="Y28" s="471">
        <v>0</v>
      </c>
      <c r="Z28" s="471">
        <v>13.957422939948543</v>
      </c>
      <c r="AA28" s="471">
        <v>0</v>
      </c>
      <c r="AB28" s="471">
        <v>0</v>
      </c>
      <c r="AC28" s="471">
        <v>0</v>
      </c>
      <c r="AD28" s="471">
        <v>0</v>
      </c>
      <c r="AE28" s="471">
        <v>0</v>
      </c>
      <c r="AF28" s="471">
        <v>0</v>
      </c>
      <c r="AG28" s="471">
        <v>8.5844598435086343</v>
      </c>
      <c r="AH28" s="685">
        <f t="shared" si="3"/>
        <v>286.14866145028782</v>
      </c>
      <c r="AI28" s="472">
        <f t="shared" si="4"/>
        <v>294.73312129379644</v>
      </c>
      <c r="AJ28" s="472"/>
      <c r="AK28" s="472"/>
      <c r="AL28" s="570">
        <v>27.19</v>
      </c>
      <c r="AM28" s="570">
        <v>197.65035636565682</v>
      </c>
      <c r="AN28" s="566">
        <v>0</v>
      </c>
      <c r="AO28" s="566">
        <f t="shared" si="5"/>
        <v>224.84035636565682</v>
      </c>
    </row>
    <row r="29" spans="1:41" x14ac:dyDescent="0.3">
      <c r="A29" s="466">
        <v>150000516</v>
      </c>
      <c r="B29" s="467" t="s">
        <v>55</v>
      </c>
      <c r="C29" s="468">
        <v>323.10000000000002</v>
      </c>
      <c r="D29" s="473"/>
      <c r="E29" s="470"/>
      <c r="F29" s="470">
        <v>323.10000000000002</v>
      </c>
      <c r="G29" s="471">
        <v>0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572">
        <f t="shared" si="1"/>
        <v>0</v>
      </c>
      <c r="N29" s="471">
        <v>0</v>
      </c>
      <c r="O29" s="471">
        <v>0</v>
      </c>
      <c r="P29" s="471">
        <v>0</v>
      </c>
      <c r="Q29" s="471">
        <v>47.350882144682487</v>
      </c>
      <c r="R29" s="572">
        <f t="shared" si="2"/>
        <v>340.68514462375822</v>
      </c>
      <c r="S29" s="471">
        <v>0</v>
      </c>
      <c r="T29" s="471">
        <v>0</v>
      </c>
      <c r="U29" s="471">
        <v>0</v>
      </c>
      <c r="V29" s="471">
        <v>0</v>
      </c>
      <c r="W29" s="471">
        <v>0</v>
      </c>
      <c r="X29" s="471">
        <v>0</v>
      </c>
      <c r="Y29" s="471">
        <v>0</v>
      </c>
      <c r="Z29" s="471">
        <v>4.7854021508395022</v>
      </c>
      <c r="AA29" s="471">
        <v>0</v>
      </c>
      <c r="AB29" s="471">
        <v>0</v>
      </c>
      <c r="AC29" s="471">
        <v>0</v>
      </c>
      <c r="AD29" s="471">
        <v>0</v>
      </c>
      <c r="AE29" s="471">
        <v>0</v>
      </c>
      <c r="AF29" s="471">
        <v>0</v>
      </c>
      <c r="AG29" s="471">
        <v>11.784642867578405</v>
      </c>
      <c r="AH29" s="685">
        <f t="shared" si="3"/>
        <v>392.82142891928021</v>
      </c>
      <c r="AI29" s="472">
        <f t="shared" si="4"/>
        <v>404.60607178685859</v>
      </c>
      <c r="AJ29" s="472"/>
      <c r="AK29" s="472"/>
      <c r="AL29" s="570">
        <v>13.595000000000001</v>
      </c>
      <c r="AM29" s="570">
        <v>327.09014462375819</v>
      </c>
      <c r="AN29" s="566">
        <v>0</v>
      </c>
      <c r="AO29" s="566">
        <f t="shared" si="5"/>
        <v>340.68514462375822</v>
      </c>
    </row>
    <row r="30" spans="1:41" x14ac:dyDescent="0.3">
      <c r="A30" s="466">
        <v>150000517</v>
      </c>
      <c r="B30" s="467" t="s">
        <v>251</v>
      </c>
      <c r="C30" s="468">
        <v>1531.9</v>
      </c>
      <c r="D30" s="469"/>
      <c r="E30" s="470">
        <v>362.9</v>
      </c>
      <c r="F30" s="470">
        <v>1894.8000000000002</v>
      </c>
      <c r="G30" s="471">
        <v>521.46592903883209</v>
      </c>
      <c r="H30" s="471">
        <v>97.201922685568604</v>
      </c>
      <c r="I30" s="471">
        <v>199.57</v>
      </c>
      <c r="J30" s="471">
        <v>0</v>
      </c>
      <c r="K30" s="471">
        <v>0</v>
      </c>
      <c r="L30" s="471">
        <v>258.32549793556751</v>
      </c>
      <c r="M30" s="572">
        <f t="shared" si="1"/>
        <v>0</v>
      </c>
      <c r="N30" s="471">
        <v>675.15379909291551</v>
      </c>
      <c r="O30" s="471">
        <v>0</v>
      </c>
      <c r="P30" s="471">
        <v>0</v>
      </c>
      <c r="Q30" s="471">
        <v>390.64477769363054</v>
      </c>
      <c r="R30" s="572">
        <f t="shared" si="2"/>
        <v>1899.0689091950751</v>
      </c>
      <c r="S30" s="471">
        <v>86.488316039639756</v>
      </c>
      <c r="T30" s="471">
        <v>125.2915763456533</v>
      </c>
      <c r="U30" s="471">
        <v>122.91287177498243</v>
      </c>
      <c r="V30" s="471">
        <v>0</v>
      </c>
      <c r="W30" s="471">
        <v>0</v>
      </c>
      <c r="X30" s="471">
        <v>32.862789900653013</v>
      </c>
      <c r="Y30" s="471">
        <v>0</v>
      </c>
      <c r="Z30" s="471">
        <v>777.81037583363582</v>
      </c>
      <c r="AA30" s="471">
        <v>649.71714888136125</v>
      </c>
      <c r="AB30" s="471">
        <v>435.2303155772392</v>
      </c>
      <c r="AC30" s="471">
        <v>0</v>
      </c>
      <c r="AD30" s="471">
        <v>0</v>
      </c>
      <c r="AE30" s="471">
        <v>243.32782730349774</v>
      </c>
      <c r="AF30" s="471">
        <v>0</v>
      </c>
      <c r="AG30" s="471">
        <v>273.63302640652654</v>
      </c>
      <c r="AH30" s="685">
        <f t="shared" si="3"/>
        <v>6515.0720572982509</v>
      </c>
      <c r="AI30" s="472">
        <f t="shared" si="4"/>
        <v>6788.7050837047773</v>
      </c>
      <c r="AJ30" s="472"/>
      <c r="AK30" s="472"/>
      <c r="AL30" s="570">
        <v>65.67</v>
      </c>
      <c r="AM30" s="570">
        <v>1833.398909195075</v>
      </c>
      <c r="AN30" s="566">
        <v>0</v>
      </c>
      <c r="AO30" s="566">
        <f t="shared" si="5"/>
        <v>1899.0689091950751</v>
      </c>
    </row>
    <row r="31" spans="1:41" x14ac:dyDescent="0.3">
      <c r="A31" s="466">
        <v>150000518</v>
      </c>
      <c r="B31" s="467" t="s">
        <v>194</v>
      </c>
      <c r="C31" s="468">
        <v>783.2</v>
      </c>
      <c r="D31" s="469"/>
      <c r="E31" s="470">
        <v>64.3</v>
      </c>
      <c r="F31" s="470">
        <v>847.5</v>
      </c>
      <c r="G31" s="471">
        <v>299.89100792351235</v>
      </c>
      <c r="H31" s="471">
        <v>66.502828204174264</v>
      </c>
      <c r="I31" s="471">
        <v>94.83</v>
      </c>
      <c r="J31" s="471">
        <v>0</v>
      </c>
      <c r="K31" s="471">
        <v>0</v>
      </c>
      <c r="L31" s="471">
        <v>195.60886926572039</v>
      </c>
      <c r="M31" s="572">
        <f t="shared" si="1"/>
        <v>0</v>
      </c>
      <c r="N31" s="471">
        <v>301.98060203253425</v>
      </c>
      <c r="O31" s="471">
        <v>0</v>
      </c>
      <c r="P31" s="471">
        <v>0</v>
      </c>
      <c r="Q31" s="471">
        <v>201.24124911490057</v>
      </c>
      <c r="R31" s="572">
        <f t="shared" si="2"/>
        <v>841.69579230166221</v>
      </c>
      <c r="S31" s="471">
        <v>52.751571377579829</v>
      </c>
      <c r="T31" s="471">
        <v>85.727353298251955</v>
      </c>
      <c r="U31" s="471">
        <v>43.763816489504663</v>
      </c>
      <c r="V31" s="471">
        <v>0</v>
      </c>
      <c r="W31" s="471">
        <v>0</v>
      </c>
      <c r="X31" s="471">
        <v>20.889421956804203</v>
      </c>
      <c r="Y31" s="471">
        <v>0</v>
      </c>
      <c r="Z31" s="471">
        <v>1085.4606943177671</v>
      </c>
      <c r="AA31" s="471">
        <v>538.57985359836323</v>
      </c>
      <c r="AB31" s="471">
        <v>283.17477635167285</v>
      </c>
      <c r="AC31" s="471">
        <v>68.140704752206616</v>
      </c>
      <c r="AD31" s="471">
        <v>8.3885337289648305</v>
      </c>
      <c r="AE31" s="471">
        <v>154.41958271183509</v>
      </c>
      <c r="AF31" s="471">
        <v>0</v>
      </c>
      <c r="AG31" s="471">
        <v>0</v>
      </c>
      <c r="AH31" s="685">
        <f t="shared" si="3"/>
        <v>4343.0466574254542</v>
      </c>
      <c r="AI31" s="472">
        <f t="shared" si="4"/>
        <v>4343.0466574254542</v>
      </c>
      <c r="AJ31" s="472"/>
      <c r="AK31" s="472"/>
      <c r="AL31" s="570">
        <v>65.67</v>
      </c>
      <c r="AM31" s="570">
        <v>776.02579230166225</v>
      </c>
      <c r="AN31" s="566">
        <v>0</v>
      </c>
      <c r="AO31" s="566">
        <f t="shared" si="5"/>
        <v>841.69579230166221</v>
      </c>
    </row>
    <row r="32" spans="1:41" x14ac:dyDescent="0.3">
      <c r="A32" s="466">
        <v>150000519</v>
      </c>
      <c r="B32" s="467" t="s">
        <v>412</v>
      </c>
      <c r="C32" s="468">
        <v>2635.5</v>
      </c>
      <c r="D32" s="469">
        <v>208.7</v>
      </c>
      <c r="E32" s="470">
        <v>60.9</v>
      </c>
      <c r="F32" s="470">
        <v>2696.4</v>
      </c>
      <c r="G32" s="471">
        <v>684.02394515790309</v>
      </c>
      <c r="H32" s="471">
        <v>107.50926299671069</v>
      </c>
      <c r="I32" s="471">
        <v>336.46</v>
      </c>
      <c r="J32" s="471">
        <v>72.95</v>
      </c>
      <c r="K32" s="471">
        <v>34.733108401837384</v>
      </c>
      <c r="L32" s="471">
        <v>288.2766707778494</v>
      </c>
      <c r="M32" s="572">
        <f t="shared" si="1"/>
        <v>0</v>
      </c>
      <c r="N32" s="471">
        <v>960.77934551094438</v>
      </c>
      <c r="O32" s="471">
        <v>1776.6050980684868</v>
      </c>
      <c r="P32" s="471">
        <v>0</v>
      </c>
      <c r="Q32" s="471">
        <v>153.89036697021808</v>
      </c>
      <c r="R32" s="572">
        <f t="shared" si="2"/>
        <v>3277.840393191816</v>
      </c>
      <c r="S32" s="471">
        <v>53.363609128295316</v>
      </c>
      <c r="T32" s="471">
        <v>71.204425992837912</v>
      </c>
      <c r="U32" s="471">
        <v>76.221300316253789</v>
      </c>
      <c r="V32" s="471">
        <v>43.192884385986233</v>
      </c>
      <c r="W32" s="471">
        <v>17.609972466285939</v>
      </c>
      <c r="X32" s="471">
        <v>51.78215256279816</v>
      </c>
      <c r="Y32" s="471">
        <v>0</v>
      </c>
      <c r="Z32" s="471">
        <v>2937.9558656487293</v>
      </c>
      <c r="AA32" s="471">
        <v>2231.6164675833311</v>
      </c>
      <c r="AB32" s="471">
        <v>540.99602175629514</v>
      </c>
      <c r="AC32" s="471">
        <v>70.346698790947116</v>
      </c>
      <c r="AD32" s="471">
        <v>8.6601049647946269</v>
      </c>
      <c r="AE32" s="471">
        <v>803.29378885449592</v>
      </c>
      <c r="AF32" s="471">
        <v>235.52885847966769</v>
      </c>
      <c r="AG32" s="471">
        <v>89.009042052038893</v>
      </c>
      <c r="AH32" s="685">
        <f t="shared" si="3"/>
        <v>14834.840342006482</v>
      </c>
      <c r="AI32" s="472">
        <f t="shared" si="4"/>
        <v>14923.849384058522</v>
      </c>
      <c r="AJ32" s="472"/>
      <c r="AK32" s="472"/>
      <c r="AL32" s="570">
        <v>25.58</v>
      </c>
      <c r="AM32" s="570">
        <v>3252.2603931918161</v>
      </c>
      <c r="AN32" s="566">
        <v>0</v>
      </c>
      <c r="AO32" s="566">
        <f t="shared" si="5"/>
        <v>3277.840393191816</v>
      </c>
    </row>
    <row r="33" spans="1:41" x14ac:dyDescent="0.3">
      <c r="A33" s="466">
        <v>150000521</v>
      </c>
      <c r="B33" s="467" t="s">
        <v>252</v>
      </c>
      <c r="C33" s="468">
        <v>1556.6</v>
      </c>
      <c r="D33" s="469"/>
      <c r="E33" s="470">
        <v>304.60000000000002</v>
      </c>
      <c r="F33" s="470">
        <v>1861.1999999999998</v>
      </c>
      <c r="G33" s="471">
        <v>455.38445668944701</v>
      </c>
      <c r="H33" s="471">
        <v>97.201922685568604</v>
      </c>
      <c r="I33" s="471">
        <v>221.33</v>
      </c>
      <c r="J33" s="471">
        <v>0</v>
      </c>
      <c r="K33" s="471">
        <v>0</v>
      </c>
      <c r="L33" s="471">
        <v>282.20066292940618</v>
      </c>
      <c r="M33" s="572">
        <f t="shared" si="1"/>
        <v>0</v>
      </c>
      <c r="N33" s="471">
        <v>663.18147079994412</v>
      </c>
      <c r="O33" s="471">
        <v>0</v>
      </c>
      <c r="P33" s="471">
        <v>0</v>
      </c>
      <c r="Q33" s="471">
        <v>268.32166548653413</v>
      </c>
      <c r="R33" s="572">
        <f t="shared" si="2"/>
        <v>1890.7921822260794</v>
      </c>
      <c r="S33" s="471">
        <v>74.981910665014013</v>
      </c>
      <c r="T33" s="471">
        <v>125.2915763456533</v>
      </c>
      <c r="U33" s="471">
        <v>94.61227527461206</v>
      </c>
      <c r="V33" s="471">
        <v>0</v>
      </c>
      <c r="W33" s="471">
        <v>0</v>
      </c>
      <c r="X33" s="471">
        <v>34.847164755479909</v>
      </c>
      <c r="Y33" s="471">
        <v>0</v>
      </c>
      <c r="Z33" s="471">
        <v>2126.3692662057556</v>
      </c>
      <c r="AA33" s="471">
        <v>638.51735703905422</v>
      </c>
      <c r="AB33" s="471">
        <v>527.50284262163484</v>
      </c>
      <c r="AC33" s="471">
        <v>65.934710713466103</v>
      </c>
      <c r="AD33" s="471">
        <v>8.1169624931350324</v>
      </c>
      <c r="AE33" s="471">
        <v>372.79070977907668</v>
      </c>
      <c r="AF33" s="471">
        <v>0</v>
      </c>
      <c r="AG33" s="471">
        <v>190.73705128103666</v>
      </c>
      <c r="AH33" s="685">
        <f t="shared" si="3"/>
        <v>7947.3771367098616</v>
      </c>
      <c r="AI33" s="472">
        <f t="shared" si="4"/>
        <v>8138.1141879908982</v>
      </c>
      <c r="AJ33" s="472"/>
      <c r="AK33" s="472"/>
      <c r="AL33" s="570">
        <v>65.72</v>
      </c>
      <c r="AM33" s="570">
        <v>1825.0721822260793</v>
      </c>
      <c r="AN33" s="566">
        <v>0</v>
      </c>
      <c r="AO33" s="566">
        <f t="shared" si="5"/>
        <v>1890.7921822260794</v>
      </c>
    </row>
    <row r="34" spans="1:41" x14ac:dyDescent="0.3">
      <c r="A34" s="466">
        <v>150000522</v>
      </c>
      <c r="B34" s="467" t="s">
        <v>56</v>
      </c>
      <c r="C34" s="468">
        <v>269.89999999999998</v>
      </c>
      <c r="D34" s="473"/>
      <c r="E34" s="470"/>
      <c r="F34" s="470">
        <v>269.89999999999998</v>
      </c>
      <c r="G34" s="471">
        <v>0</v>
      </c>
      <c r="H34" s="471">
        <v>0</v>
      </c>
      <c r="I34" s="471">
        <v>0</v>
      </c>
      <c r="J34" s="471">
        <v>0</v>
      </c>
      <c r="K34" s="471">
        <v>0</v>
      </c>
      <c r="L34" s="471">
        <v>0</v>
      </c>
      <c r="M34" s="572">
        <f t="shared" si="1"/>
        <v>0</v>
      </c>
      <c r="N34" s="471">
        <v>0</v>
      </c>
      <c r="O34" s="471">
        <v>0</v>
      </c>
      <c r="P34" s="471">
        <v>0</v>
      </c>
      <c r="Q34" s="471">
        <v>23.675441072341243</v>
      </c>
      <c r="R34" s="572">
        <f t="shared" si="2"/>
        <v>315.54201736035083</v>
      </c>
      <c r="S34" s="471">
        <v>0</v>
      </c>
      <c r="T34" s="471">
        <v>0</v>
      </c>
      <c r="U34" s="471">
        <v>0</v>
      </c>
      <c r="V34" s="471">
        <v>0</v>
      </c>
      <c r="W34" s="471">
        <v>0</v>
      </c>
      <c r="X34" s="471">
        <v>0</v>
      </c>
      <c r="Y34" s="471">
        <v>0</v>
      </c>
      <c r="Z34" s="471">
        <v>0</v>
      </c>
      <c r="AA34" s="471">
        <v>0</v>
      </c>
      <c r="AB34" s="471">
        <v>0</v>
      </c>
      <c r="AC34" s="471">
        <v>0</v>
      </c>
      <c r="AD34" s="471">
        <v>0</v>
      </c>
      <c r="AE34" s="471">
        <v>0</v>
      </c>
      <c r="AF34" s="471">
        <v>0</v>
      </c>
      <c r="AG34" s="471">
        <v>10.176523752980764</v>
      </c>
      <c r="AH34" s="685">
        <f t="shared" si="3"/>
        <v>339.21745843269207</v>
      </c>
      <c r="AI34" s="472">
        <f t="shared" si="4"/>
        <v>349.39398218567283</v>
      </c>
      <c r="AJ34" s="472"/>
      <c r="AK34" s="472"/>
      <c r="AL34" s="570">
        <v>27.19</v>
      </c>
      <c r="AM34" s="570">
        <v>288.35201736035083</v>
      </c>
      <c r="AN34" s="566">
        <v>0</v>
      </c>
      <c r="AO34" s="566">
        <f t="shared" si="5"/>
        <v>315.54201736035083</v>
      </c>
    </row>
    <row r="35" spans="1:41" x14ac:dyDescent="0.3">
      <c r="A35" s="466">
        <v>150000523</v>
      </c>
      <c r="B35" s="467" t="s">
        <v>57</v>
      </c>
      <c r="C35" s="468">
        <v>300.7</v>
      </c>
      <c r="D35" s="473"/>
      <c r="E35" s="470"/>
      <c r="F35" s="470">
        <v>300.7</v>
      </c>
      <c r="G35" s="471">
        <v>0</v>
      </c>
      <c r="H35" s="471">
        <v>0</v>
      </c>
      <c r="I35" s="471">
        <v>0</v>
      </c>
      <c r="J35" s="471">
        <v>0</v>
      </c>
      <c r="K35" s="471">
        <v>0</v>
      </c>
      <c r="L35" s="471">
        <v>0</v>
      </c>
      <c r="M35" s="572">
        <f t="shared" si="1"/>
        <v>0</v>
      </c>
      <c r="N35" s="471">
        <v>0</v>
      </c>
      <c r="O35" s="471">
        <v>0</v>
      </c>
      <c r="P35" s="471">
        <v>0</v>
      </c>
      <c r="Q35" s="471">
        <v>31.567254763121657</v>
      </c>
      <c r="R35" s="572">
        <f t="shared" si="2"/>
        <v>337.40217142477138</v>
      </c>
      <c r="S35" s="471">
        <v>0</v>
      </c>
      <c r="T35" s="471">
        <v>0</v>
      </c>
      <c r="U35" s="471">
        <v>0</v>
      </c>
      <c r="V35" s="471">
        <v>0</v>
      </c>
      <c r="W35" s="471">
        <v>0</v>
      </c>
      <c r="X35" s="471">
        <v>0</v>
      </c>
      <c r="Y35" s="471">
        <v>0</v>
      </c>
      <c r="Z35" s="471">
        <v>0</v>
      </c>
      <c r="AA35" s="471">
        <v>0</v>
      </c>
      <c r="AB35" s="471">
        <v>0</v>
      </c>
      <c r="AC35" s="471">
        <v>0</v>
      </c>
      <c r="AD35" s="471">
        <v>0</v>
      </c>
      <c r="AE35" s="471">
        <v>0</v>
      </c>
      <c r="AF35" s="471">
        <v>0</v>
      </c>
      <c r="AG35" s="471">
        <v>11.069082785636791</v>
      </c>
      <c r="AH35" s="685">
        <f t="shared" si="3"/>
        <v>368.96942618789302</v>
      </c>
      <c r="AI35" s="472">
        <f t="shared" si="4"/>
        <v>380.03850897352982</v>
      </c>
      <c r="AJ35" s="472"/>
      <c r="AK35" s="472"/>
      <c r="AL35" s="570">
        <v>50.66</v>
      </c>
      <c r="AM35" s="570">
        <v>286.74217142477136</v>
      </c>
      <c r="AN35" s="566">
        <v>0</v>
      </c>
      <c r="AO35" s="566">
        <f t="shared" si="5"/>
        <v>337.40217142477138</v>
      </c>
    </row>
    <row r="36" spans="1:41" x14ac:dyDescent="0.3">
      <c r="A36" s="466">
        <v>150000524</v>
      </c>
      <c r="B36" s="467" t="s">
        <v>58</v>
      </c>
      <c r="C36" s="468">
        <v>214.7</v>
      </c>
      <c r="D36" s="473"/>
      <c r="E36" s="470">
        <v>0</v>
      </c>
      <c r="F36" s="470">
        <v>214.7</v>
      </c>
      <c r="G36" s="471">
        <v>0</v>
      </c>
      <c r="H36" s="471">
        <v>0</v>
      </c>
      <c r="I36" s="471">
        <v>0</v>
      </c>
      <c r="J36" s="471">
        <v>0</v>
      </c>
      <c r="K36" s="471">
        <v>0</v>
      </c>
      <c r="L36" s="471">
        <v>0</v>
      </c>
      <c r="M36" s="572">
        <f t="shared" si="1"/>
        <v>0</v>
      </c>
      <c r="N36" s="471">
        <v>0</v>
      </c>
      <c r="O36" s="471">
        <v>0</v>
      </c>
      <c r="P36" s="471">
        <v>0</v>
      </c>
      <c r="Q36" s="471">
        <v>39.45906845390207</v>
      </c>
      <c r="R36" s="572">
        <f t="shared" si="2"/>
        <v>223.5241181113463</v>
      </c>
      <c r="S36" s="471">
        <v>0</v>
      </c>
      <c r="T36" s="471">
        <v>0</v>
      </c>
      <c r="U36" s="471">
        <v>0</v>
      </c>
      <c r="V36" s="471">
        <v>0</v>
      </c>
      <c r="W36" s="471">
        <v>0</v>
      </c>
      <c r="X36" s="471">
        <v>0</v>
      </c>
      <c r="Y36" s="471">
        <v>0</v>
      </c>
      <c r="Z36" s="471">
        <v>0</v>
      </c>
      <c r="AA36" s="471">
        <v>0</v>
      </c>
      <c r="AB36" s="471">
        <v>0</v>
      </c>
      <c r="AC36" s="471">
        <v>0</v>
      </c>
      <c r="AD36" s="471">
        <v>0</v>
      </c>
      <c r="AE36" s="471">
        <v>0</v>
      </c>
      <c r="AF36" s="471">
        <v>0</v>
      </c>
      <c r="AG36" s="471">
        <v>1.5778991193914902</v>
      </c>
      <c r="AH36" s="685">
        <f t="shared" si="3"/>
        <v>262.98318656524839</v>
      </c>
      <c r="AI36" s="472">
        <f t="shared" si="4"/>
        <v>264.56108568463986</v>
      </c>
      <c r="AJ36" s="472"/>
      <c r="AK36" s="472"/>
      <c r="AL36" s="570">
        <v>13.595000000000001</v>
      </c>
      <c r="AM36" s="570">
        <v>209.9291181113463</v>
      </c>
      <c r="AN36" s="566">
        <v>0</v>
      </c>
      <c r="AO36" s="566">
        <f t="shared" si="5"/>
        <v>223.5241181113463</v>
      </c>
    </row>
    <row r="37" spans="1:41" x14ac:dyDescent="0.3">
      <c r="A37" s="466">
        <v>150000527</v>
      </c>
      <c r="B37" s="467" t="s">
        <v>60</v>
      </c>
      <c r="C37" s="468">
        <v>293.5</v>
      </c>
      <c r="D37" s="473"/>
      <c r="E37" s="470"/>
      <c r="F37" s="470">
        <v>293.5</v>
      </c>
      <c r="G37" s="471">
        <v>0</v>
      </c>
      <c r="H37" s="471">
        <v>0</v>
      </c>
      <c r="I37" s="471">
        <v>0</v>
      </c>
      <c r="J37" s="471">
        <v>0</v>
      </c>
      <c r="K37" s="471">
        <v>0</v>
      </c>
      <c r="L37" s="471">
        <v>0</v>
      </c>
      <c r="M37" s="572">
        <f t="shared" si="1"/>
        <v>0</v>
      </c>
      <c r="N37" s="471">
        <v>0</v>
      </c>
      <c r="O37" s="471">
        <v>0</v>
      </c>
      <c r="P37" s="471">
        <v>0</v>
      </c>
      <c r="Q37" s="471">
        <v>47.350882144682487</v>
      </c>
      <c r="R37" s="572">
        <f t="shared" si="2"/>
        <v>364.91016720514</v>
      </c>
      <c r="S37" s="471">
        <v>0</v>
      </c>
      <c r="T37" s="471">
        <v>0</v>
      </c>
      <c r="U37" s="471">
        <v>0</v>
      </c>
      <c r="V37" s="471">
        <v>0</v>
      </c>
      <c r="W37" s="471">
        <v>0</v>
      </c>
      <c r="X37" s="471">
        <v>0</v>
      </c>
      <c r="Y37" s="471">
        <v>0</v>
      </c>
      <c r="Z37" s="561">
        <f>77.7627849511419*0</f>
        <v>0</v>
      </c>
      <c r="AA37" s="471">
        <v>0</v>
      </c>
      <c r="AB37" s="471">
        <v>0</v>
      </c>
      <c r="AC37" s="471">
        <v>0</v>
      </c>
      <c r="AD37" s="471">
        <v>0</v>
      </c>
      <c r="AE37" s="471">
        <v>0</v>
      </c>
      <c r="AF37" s="471">
        <v>0</v>
      </c>
      <c r="AG37" s="471">
        <v>7.4206950174173576</v>
      </c>
      <c r="AH37" s="685">
        <f t="shared" si="3"/>
        <v>412.26104934982249</v>
      </c>
      <c r="AI37" s="472">
        <f t="shared" si="4"/>
        <v>419.68174436723984</v>
      </c>
      <c r="AJ37" s="472" t="s">
        <v>1589</v>
      </c>
      <c r="AK37" s="472"/>
      <c r="AL37" s="570">
        <v>27.19</v>
      </c>
      <c r="AM37" s="570">
        <v>337.72016720514</v>
      </c>
      <c r="AN37" s="566">
        <v>0</v>
      </c>
      <c r="AO37" s="566">
        <f t="shared" si="5"/>
        <v>364.91016720514</v>
      </c>
    </row>
    <row r="38" spans="1:41" x14ac:dyDescent="0.3">
      <c r="A38" s="466">
        <v>150000529</v>
      </c>
      <c r="B38" s="467" t="s">
        <v>347</v>
      </c>
      <c r="C38" s="468">
        <v>8443.0499999999993</v>
      </c>
      <c r="D38" s="469">
        <v>979.2</v>
      </c>
      <c r="E38" s="470"/>
      <c r="F38" s="470">
        <v>8443.0499999999993</v>
      </c>
      <c r="G38" s="471">
        <v>1173.8487630057289</v>
      </c>
      <c r="H38" s="471">
        <v>196.20433859534396</v>
      </c>
      <c r="I38" s="471">
        <v>1062.27</v>
      </c>
      <c r="J38" s="471">
        <v>230.76</v>
      </c>
      <c r="K38" s="471">
        <v>192.08062007918898</v>
      </c>
      <c r="L38" s="471">
        <v>1659.1844172519468</v>
      </c>
      <c r="M38" s="572">
        <f t="shared" si="1"/>
        <v>0</v>
      </c>
      <c r="N38" s="471">
        <v>3008.4216188681862</v>
      </c>
      <c r="O38" s="471">
        <v>8753.7185872433329</v>
      </c>
      <c r="P38" s="471">
        <v>131.53517990591092</v>
      </c>
      <c r="Q38" s="471">
        <v>552.42695835462905</v>
      </c>
      <c r="R38" s="572">
        <f t="shared" si="2"/>
        <v>13947.35890152289</v>
      </c>
      <c r="S38" s="471">
        <v>39.83418414043642</v>
      </c>
      <c r="T38" s="471">
        <v>53.63388201544052</v>
      </c>
      <c r="U38" s="471">
        <v>109.78690332871349</v>
      </c>
      <c r="V38" s="471">
        <v>45.16819652124186</v>
      </c>
      <c r="W38" s="471">
        <v>38.977966500563689</v>
      </c>
      <c r="X38" s="471">
        <v>61.909424468835716</v>
      </c>
      <c r="Y38" s="471">
        <v>116.37111192658503</v>
      </c>
      <c r="Z38" s="471">
        <v>8191.3643951937993</v>
      </c>
      <c r="AA38" s="471">
        <v>7323.0476716294079</v>
      </c>
      <c r="AB38" s="471">
        <v>324.59761305377708</v>
      </c>
      <c r="AC38" s="471">
        <v>354.30715366659945</v>
      </c>
      <c r="AD38" s="471">
        <v>43.617357932441223</v>
      </c>
      <c r="AE38" s="471">
        <v>1435.0102635847304</v>
      </c>
      <c r="AF38" s="471">
        <v>1328.9442875806417</v>
      </c>
      <c r="AG38" s="471">
        <v>1208.9851151128887</v>
      </c>
      <c r="AH38" s="685">
        <f t="shared" si="3"/>
        <v>50374.379796370362</v>
      </c>
      <c r="AI38" s="472">
        <f t="shared" si="4"/>
        <v>51583.364911483251</v>
      </c>
      <c r="AJ38" s="472"/>
      <c r="AK38" s="472"/>
      <c r="AL38" s="570">
        <v>111.02</v>
      </c>
      <c r="AM38" s="570">
        <v>13836.33890152289</v>
      </c>
      <c r="AN38" s="566">
        <v>0</v>
      </c>
      <c r="AO38" s="566">
        <f t="shared" si="5"/>
        <v>13947.35890152289</v>
      </c>
    </row>
    <row r="39" spans="1:41" x14ac:dyDescent="0.3">
      <c r="A39" s="466">
        <v>150000530</v>
      </c>
      <c r="B39" s="467" t="s">
        <v>62</v>
      </c>
      <c r="C39" s="468">
        <v>174.9</v>
      </c>
      <c r="D39" s="473"/>
      <c r="E39" s="470"/>
      <c r="F39" s="470">
        <v>174.9</v>
      </c>
      <c r="G39" s="471">
        <v>0</v>
      </c>
      <c r="H39" s="471">
        <v>0</v>
      </c>
      <c r="I39" s="471">
        <v>0</v>
      </c>
      <c r="J39" s="471">
        <v>0</v>
      </c>
      <c r="K39" s="471">
        <v>0</v>
      </c>
      <c r="L39" s="471">
        <v>0</v>
      </c>
      <c r="M39" s="572">
        <f t="shared" si="1"/>
        <v>0</v>
      </c>
      <c r="N39" s="471">
        <v>0</v>
      </c>
      <c r="O39" s="471">
        <v>0</v>
      </c>
      <c r="P39" s="471">
        <v>0</v>
      </c>
      <c r="Q39" s="471">
        <v>59.188602680853108</v>
      </c>
      <c r="R39" s="572">
        <f t="shared" si="2"/>
        <v>271.775291439493</v>
      </c>
      <c r="S39" s="471">
        <v>0</v>
      </c>
      <c r="T39" s="471">
        <v>0</v>
      </c>
      <c r="U39" s="471">
        <v>0</v>
      </c>
      <c r="V39" s="471">
        <v>0</v>
      </c>
      <c r="W39" s="471">
        <v>0</v>
      </c>
      <c r="X39" s="471">
        <v>0</v>
      </c>
      <c r="Y39" s="471">
        <v>0</v>
      </c>
      <c r="Z39" s="561">
        <f>61.8114444483436*0</f>
        <v>0</v>
      </c>
      <c r="AA39" s="471">
        <v>0</v>
      </c>
      <c r="AB39" s="471">
        <v>0</v>
      </c>
      <c r="AC39" s="471">
        <v>0</v>
      </c>
      <c r="AD39" s="471">
        <v>0</v>
      </c>
      <c r="AE39" s="471">
        <v>0</v>
      </c>
      <c r="AF39" s="471">
        <v>0</v>
      </c>
      <c r="AG39" s="471">
        <v>5.9573580942364135</v>
      </c>
      <c r="AH39" s="685">
        <f t="shared" si="3"/>
        <v>330.96389412034614</v>
      </c>
      <c r="AI39" s="472">
        <f t="shared" si="4"/>
        <v>336.92125221458258</v>
      </c>
      <c r="AJ39" s="472" t="s">
        <v>1589</v>
      </c>
      <c r="AK39" s="472"/>
      <c r="AL39" s="570">
        <v>31.87</v>
      </c>
      <c r="AM39" s="570">
        <v>239.905291439493</v>
      </c>
      <c r="AN39" s="566">
        <v>0</v>
      </c>
      <c r="AO39" s="566">
        <f t="shared" si="5"/>
        <v>271.775291439493</v>
      </c>
    </row>
    <row r="40" spans="1:41" x14ac:dyDescent="0.3">
      <c r="A40" s="466">
        <v>150000531</v>
      </c>
      <c r="B40" s="467" t="s">
        <v>348</v>
      </c>
      <c r="C40" s="468">
        <v>7614.5</v>
      </c>
      <c r="D40" s="469">
        <v>765.25</v>
      </c>
      <c r="E40" s="470"/>
      <c r="F40" s="470">
        <v>7614.5</v>
      </c>
      <c r="G40" s="471">
        <v>1599.2870582418554</v>
      </c>
      <c r="H40" s="471">
        <v>263.66878374500334</v>
      </c>
      <c r="I40" s="471">
        <v>950.47</v>
      </c>
      <c r="J40" s="471">
        <v>205.6</v>
      </c>
      <c r="K40" s="471">
        <v>288.12093011878341</v>
      </c>
      <c r="L40" s="471">
        <v>1313.5017417835231</v>
      </c>
      <c r="M40" s="572">
        <f t="shared" si="1"/>
        <v>0</v>
      </c>
      <c r="N40" s="471">
        <v>2713.1932674651703</v>
      </c>
      <c r="O40" s="471">
        <v>5470.2524399545728</v>
      </c>
      <c r="P40" s="471">
        <v>263.07035981182185</v>
      </c>
      <c r="Q40" s="471">
        <v>461.67110091065427</v>
      </c>
      <c r="R40" s="572">
        <f t="shared" si="2"/>
        <v>10489.436647707178</v>
      </c>
      <c r="S40" s="471">
        <v>130.73436117350818</v>
      </c>
      <c r="T40" s="471">
        <v>175.65387450922373</v>
      </c>
      <c r="U40" s="471">
        <v>241.85458620861681</v>
      </c>
      <c r="V40" s="471">
        <v>92.819346361517901</v>
      </c>
      <c r="W40" s="471">
        <v>146.1613169921593</v>
      </c>
      <c r="X40" s="471">
        <v>117.91086604202961</v>
      </c>
      <c r="Y40" s="471">
        <v>71.011447135298681</v>
      </c>
      <c r="Z40" s="471">
        <v>6894.7834152665209</v>
      </c>
      <c r="AA40" s="471">
        <v>5251.5780154508138</v>
      </c>
      <c r="AB40" s="471">
        <v>865.59363481007222</v>
      </c>
      <c r="AC40" s="471">
        <v>228.59000450326579</v>
      </c>
      <c r="AD40" s="471">
        <v>28.140814948318706</v>
      </c>
      <c r="AE40" s="471">
        <v>1369.4989254645577</v>
      </c>
      <c r="AF40" s="471">
        <v>2054.2483881968365</v>
      </c>
      <c r="AG40" s="471">
        <v>1000.4844318432312</v>
      </c>
      <c r="AH40" s="685">
        <f t="shared" si="3"/>
        <v>41686.851326801298</v>
      </c>
      <c r="AI40" s="472">
        <f t="shared" si="4"/>
        <v>42687.335758644527</v>
      </c>
      <c r="AJ40" s="472"/>
      <c r="AK40" s="472"/>
      <c r="AL40" s="570">
        <v>73.260000000000005</v>
      </c>
      <c r="AM40" s="570">
        <v>10416.176647707178</v>
      </c>
      <c r="AN40" s="566">
        <v>0</v>
      </c>
      <c r="AO40" s="566">
        <f t="shared" si="5"/>
        <v>10489.436647707178</v>
      </c>
    </row>
    <row r="41" spans="1:41" x14ac:dyDescent="0.3">
      <c r="A41" s="466">
        <v>150000532</v>
      </c>
      <c r="B41" s="467" t="s">
        <v>253</v>
      </c>
      <c r="C41" s="468">
        <v>2489.87</v>
      </c>
      <c r="D41" s="469"/>
      <c r="E41" s="470"/>
      <c r="F41" s="470">
        <v>2489.87</v>
      </c>
      <c r="G41" s="471">
        <v>672.19664483154997</v>
      </c>
      <c r="H41" s="471">
        <v>143.11687306274865</v>
      </c>
      <c r="I41" s="471">
        <v>319.27999999999997</v>
      </c>
      <c r="J41" s="471">
        <v>66.63</v>
      </c>
      <c r="K41" s="471">
        <v>44.322556752048527</v>
      </c>
      <c r="L41" s="471">
        <v>447.84856380015026</v>
      </c>
      <c r="M41" s="572">
        <f t="shared" si="1"/>
        <v>0</v>
      </c>
      <c r="N41" s="471">
        <v>887.18872163155868</v>
      </c>
      <c r="O41" s="471">
        <v>0</v>
      </c>
      <c r="P41" s="471">
        <v>0</v>
      </c>
      <c r="Q41" s="471">
        <v>177.56580804255933</v>
      </c>
      <c r="R41" s="572">
        <f t="shared" si="2"/>
        <v>2049.1410313269002</v>
      </c>
      <c r="S41" s="471">
        <v>121.04738785439493</v>
      </c>
      <c r="T41" s="471">
        <v>170.64873003859248</v>
      </c>
      <c r="U41" s="471">
        <v>48.99671904578414</v>
      </c>
      <c r="V41" s="471">
        <v>57.377306866395919</v>
      </c>
      <c r="W41" s="471">
        <v>44.980177589529568</v>
      </c>
      <c r="X41" s="471">
        <v>61.284913654107179</v>
      </c>
      <c r="Y41" s="471">
        <v>61.145370719090117</v>
      </c>
      <c r="Z41" s="471">
        <v>4406.3237682497611</v>
      </c>
      <c r="AA41" s="471">
        <v>1882.0310129946033</v>
      </c>
      <c r="AB41" s="471">
        <v>1038.7123617720865</v>
      </c>
      <c r="AC41" s="471">
        <v>123.92784288746641</v>
      </c>
      <c r="AD41" s="471">
        <v>15.256268537282796</v>
      </c>
      <c r="AE41" s="471">
        <v>399.30720378009892</v>
      </c>
      <c r="AF41" s="471">
        <v>0</v>
      </c>
      <c r="AG41" s="471">
        <v>0</v>
      </c>
      <c r="AH41" s="685">
        <f t="shared" si="3"/>
        <v>13238.32926343671</v>
      </c>
      <c r="AI41" s="472">
        <f t="shared" si="4"/>
        <v>13238.32926343671</v>
      </c>
      <c r="AJ41" s="472"/>
      <c r="AK41" s="472"/>
      <c r="AL41" s="570">
        <v>73.260000000000005</v>
      </c>
      <c r="AM41" s="570">
        <v>1975.8810313269</v>
      </c>
      <c r="AN41" s="566">
        <v>0</v>
      </c>
      <c r="AO41" s="566">
        <f t="shared" si="5"/>
        <v>2049.1410313269002</v>
      </c>
    </row>
    <row r="42" spans="1:41" x14ac:dyDescent="0.3">
      <c r="A42" s="466">
        <v>150000533</v>
      </c>
      <c r="B42" s="467" t="s">
        <v>349</v>
      </c>
      <c r="C42" s="468">
        <v>11377.55</v>
      </c>
      <c r="D42" s="469">
        <v>1296.7</v>
      </c>
      <c r="E42" s="470"/>
      <c r="F42" s="470">
        <v>11377.55</v>
      </c>
      <c r="G42" s="471">
        <v>2608.606522619149</v>
      </c>
      <c r="H42" s="471">
        <v>444.36299926879889</v>
      </c>
      <c r="I42" s="471">
        <v>1439.12</v>
      </c>
      <c r="J42" s="471">
        <v>312.35000000000002</v>
      </c>
      <c r="K42" s="471">
        <v>480.20150935264746</v>
      </c>
      <c r="L42" s="471">
        <v>2427.6074791488263</v>
      </c>
      <c r="M42" s="572">
        <f t="shared" si="1"/>
        <v>0</v>
      </c>
      <c r="N42" s="471">
        <v>4054.0405883837875</v>
      </c>
      <c r="O42" s="471">
        <v>10562.967940531566</v>
      </c>
      <c r="P42" s="471">
        <v>131.53517990591092</v>
      </c>
      <c r="Q42" s="471">
        <v>718.15504586101781</v>
      </c>
      <c r="R42" s="572">
        <f t="shared" si="2"/>
        <v>16355.611113642753</v>
      </c>
      <c r="S42" s="471">
        <v>86.324481105329667</v>
      </c>
      <c r="T42" s="471">
        <v>118.37314891177445</v>
      </c>
      <c r="U42" s="471">
        <v>92.323172835290876</v>
      </c>
      <c r="V42" s="471">
        <v>57.664965605098686</v>
      </c>
      <c r="W42" s="471">
        <v>97.437639220398921</v>
      </c>
      <c r="X42" s="471">
        <v>117.69617415465216</v>
      </c>
      <c r="Y42" s="471">
        <v>114.42215885942146</v>
      </c>
      <c r="Z42" s="471">
        <v>14667.334773475257</v>
      </c>
      <c r="AA42" s="471">
        <v>8656.2353235725677</v>
      </c>
      <c r="AB42" s="471">
        <v>1622.9880652688855</v>
      </c>
      <c r="AC42" s="471">
        <v>264.13101957186274</v>
      </c>
      <c r="AD42" s="471">
        <v>32.516129303354319</v>
      </c>
      <c r="AE42" s="471">
        <v>2533.1050739800021</v>
      </c>
      <c r="AF42" s="471">
        <v>1342.9824314635357</v>
      </c>
      <c r="AG42" s="471">
        <v>1664.1142304650052</v>
      </c>
      <c r="AH42" s="685">
        <f t="shared" si="3"/>
        <v>69338.092936041896</v>
      </c>
      <c r="AI42" s="472">
        <f t="shared" si="4"/>
        <v>71002.207166506894</v>
      </c>
      <c r="AJ42" s="472"/>
      <c r="AK42" s="472"/>
      <c r="AL42" s="570">
        <v>10.61</v>
      </c>
      <c r="AM42" s="570">
        <v>16345.001113642753</v>
      </c>
      <c r="AN42" s="566">
        <v>0</v>
      </c>
      <c r="AO42" s="566">
        <f t="shared" si="5"/>
        <v>16355.611113642753</v>
      </c>
    </row>
    <row r="43" spans="1:41" x14ac:dyDescent="0.3">
      <c r="A43" s="466">
        <v>150000534</v>
      </c>
      <c r="B43" s="467" t="s">
        <v>254</v>
      </c>
      <c r="C43" s="468">
        <v>2481.4</v>
      </c>
      <c r="D43" s="469"/>
      <c r="E43" s="470"/>
      <c r="F43" s="470">
        <v>2481.4</v>
      </c>
      <c r="G43" s="471">
        <v>672.24596166301012</v>
      </c>
      <c r="H43" s="471">
        <v>143.11687306274865</v>
      </c>
      <c r="I43" s="471">
        <v>319.98</v>
      </c>
      <c r="J43" s="471">
        <v>67.790000000000006</v>
      </c>
      <c r="K43" s="471">
        <v>44.322556752048527</v>
      </c>
      <c r="L43" s="471">
        <v>447.84856380015026</v>
      </c>
      <c r="M43" s="572">
        <f t="shared" si="1"/>
        <v>0</v>
      </c>
      <c r="N43" s="471">
        <v>884.17069720770564</v>
      </c>
      <c r="O43" s="471">
        <v>0</v>
      </c>
      <c r="P43" s="471">
        <v>0</v>
      </c>
      <c r="Q43" s="471">
        <v>177.56580804255933</v>
      </c>
      <c r="R43" s="572">
        <f t="shared" si="2"/>
        <v>3698.9135532513933</v>
      </c>
      <c r="S43" s="471">
        <v>128.5912850176822</v>
      </c>
      <c r="T43" s="471">
        <v>170.64873003859248</v>
      </c>
      <c r="U43" s="471">
        <v>119.10558709089396</v>
      </c>
      <c r="V43" s="471">
        <v>58.85880111369633</v>
      </c>
      <c r="W43" s="471">
        <v>44.980177589529568</v>
      </c>
      <c r="X43" s="471">
        <v>61.284913654107179</v>
      </c>
      <c r="Y43" s="471">
        <v>61.145370719090117</v>
      </c>
      <c r="Z43" s="471">
        <v>3618.5711587836836</v>
      </c>
      <c r="AA43" s="471">
        <v>1734.4507322565619</v>
      </c>
      <c r="AB43" s="471">
        <v>147.15091791771226</v>
      </c>
      <c r="AC43" s="471">
        <v>132.43317545905478</v>
      </c>
      <c r="AD43" s="471">
        <v>16.303326524315459</v>
      </c>
      <c r="AE43" s="471">
        <v>407.10617260392888</v>
      </c>
      <c r="AF43" s="471">
        <v>0</v>
      </c>
      <c r="AG43" s="471">
        <v>315.75802470116315</v>
      </c>
      <c r="AH43" s="685">
        <f t="shared" si="3"/>
        <v>13156.584362548465</v>
      </c>
      <c r="AI43" s="472">
        <f t="shared" si="4"/>
        <v>13472.342387249628</v>
      </c>
      <c r="AJ43" s="472"/>
      <c r="AK43" s="472"/>
      <c r="AL43" s="570">
        <v>56.92</v>
      </c>
      <c r="AM43" s="570">
        <v>3641.9935532513932</v>
      </c>
      <c r="AN43" s="566">
        <v>0</v>
      </c>
      <c r="AO43" s="566">
        <f t="shared" si="5"/>
        <v>3698.9135532513933</v>
      </c>
    </row>
    <row r="44" spans="1:41" x14ac:dyDescent="0.3">
      <c r="A44" s="466">
        <v>150000535</v>
      </c>
      <c r="B44" s="467" t="s">
        <v>350</v>
      </c>
      <c r="C44" s="468">
        <v>11363.16</v>
      </c>
      <c r="D44" s="469">
        <v>1267.95</v>
      </c>
      <c r="E44" s="470">
        <v>93.29</v>
      </c>
      <c r="F44" s="470">
        <v>11456.45</v>
      </c>
      <c r="G44" s="471">
        <v>2618.209750786622</v>
      </c>
      <c r="H44" s="471">
        <v>444.36299926879889</v>
      </c>
      <c r="I44" s="471">
        <v>1384.39</v>
      </c>
      <c r="J44" s="471">
        <v>313.17</v>
      </c>
      <c r="K44" s="471">
        <v>480.20150935264746</v>
      </c>
      <c r="L44" s="471">
        <v>2427.6074791488263</v>
      </c>
      <c r="M44" s="572">
        <f t="shared" si="1"/>
        <v>0</v>
      </c>
      <c r="N44" s="471">
        <v>4082.1541807146041</v>
      </c>
      <c r="O44" s="471">
        <v>11954.214847630574</v>
      </c>
      <c r="P44" s="471">
        <v>0</v>
      </c>
      <c r="Q44" s="471">
        <v>726.04685955179809</v>
      </c>
      <c r="R44" s="572">
        <f t="shared" si="2"/>
        <v>16441.5963968744</v>
      </c>
      <c r="S44" s="471">
        <v>216.10669270435505</v>
      </c>
      <c r="T44" s="471">
        <v>295.93287227943603</v>
      </c>
      <c r="U44" s="471">
        <v>345.13591598592677</v>
      </c>
      <c r="V44" s="471">
        <v>144.94143385251968</v>
      </c>
      <c r="W44" s="471">
        <v>243.59409805099727</v>
      </c>
      <c r="X44" s="471">
        <v>294.24043538663039</v>
      </c>
      <c r="Y44" s="471">
        <v>116.37111192658503</v>
      </c>
      <c r="Z44" s="471">
        <v>12203.3235909737</v>
      </c>
      <c r="AA44" s="471">
        <v>8527.3675908129007</v>
      </c>
      <c r="AB44" s="471">
        <v>2272.1832913764401</v>
      </c>
      <c r="AC44" s="471">
        <v>189.37233270343464</v>
      </c>
      <c r="AD44" s="471">
        <v>23.312881866900099</v>
      </c>
      <c r="AE44" s="471">
        <v>2620.4535248068992</v>
      </c>
      <c r="AF44" s="471">
        <v>1157.3669734563805</v>
      </c>
      <c r="AG44" s="471">
        <v>417.12994061706831</v>
      </c>
      <c r="AH44" s="685">
        <f t="shared" si="3"/>
        <v>69521.656769511377</v>
      </c>
      <c r="AI44" s="472">
        <f t="shared" si="4"/>
        <v>69938.78671012845</v>
      </c>
      <c r="AJ44" s="472"/>
      <c r="AK44" s="472"/>
      <c r="AL44" s="570">
        <v>144.61000000000001</v>
      </c>
      <c r="AM44" s="570">
        <v>16296.986396874399</v>
      </c>
      <c r="AN44" s="566">
        <v>0</v>
      </c>
      <c r="AO44" s="566">
        <f t="shared" si="5"/>
        <v>16441.5963968744</v>
      </c>
    </row>
    <row r="45" spans="1:41" x14ac:dyDescent="0.3">
      <c r="A45" s="466">
        <v>150000537</v>
      </c>
      <c r="B45" s="467" t="s">
        <v>105</v>
      </c>
      <c r="C45" s="468">
        <v>108.3</v>
      </c>
      <c r="D45" s="473"/>
      <c r="E45" s="470"/>
      <c r="F45" s="470">
        <v>108.3</v>
      </c>
      <c r="G45" s="471">
        <v>0</v>
      </c>
      <c r="H45" s="471">
        <v>0</v>
      </c>
      <c r="I45" s="471">
        <v>0</v>
      </c>
      <c r="J45" s="471">
        <v>0</v>
      </c>
      <c r="K45" s="471">
        <v>0</v>
      </c>
      <c r="L45" s="471">
        <v>0</v>
      </c>
      <c r="M45" s="572">
        <f t="shared" si="1"/>
        <v>0</v>
      </c>
      <c r="N45" s="471">
        <v>0</v>
      </c>
      <c r="O45" s="471">
        <v>0</v>
      </c>
      <c r="P45" s="471">
        <v>0</v>
      </c>
      <c r="Q45" s="471">
        <v>35.513161608511865</v>
      </c>
      <c r="R45" s="572">
        <f t="shared" si="2"/>
        <v>13.537999999999998</v>
      </c>
      <c r="S45" s="471">
        <v>0</v>
      </c>
      <c r="T45" s="471">
        <v>0</v>
      </c>
      <c r="U45" s="471">
        <v>0</v>
      </c>
      <c r="V45" s="471">
        <v>0</v>
      </c>
      <c r="W45" s="471">
        <v>0</v>
      </c>
      <c r="X45" s="471">
        <v>0</v>
      </c>
      <c r="Y45" s="471">
        <v>0</v>
      </c>
      <c r="Z45" s="471">
        <v>0</v>
      </c>
      <c r="AA45" s="471">
        <v>0</v>
      </c>
      <c r="AB45" s="471">
        <v>0</v>
      </c>
      <c r="AC45" s="471">
        <v>0</v>
      </c>
      <c r="AD45" s="471">
        <v>0</v>
      </c>
      <c r="AE45" s="471">
        <v>0</v>
      </c>
      <c r="AF45" s="471">
        <v>0</v>
      </c>
      <c r="AG45" s="471">
        <v>0</v>
      </c>
      <c r="AH45" s="685">
        <f t="shared" si="3"/>
        <v>49.051161608511862</v>
      </c>
      <c r="AI45" s="472">
        <f t="shared" si="4"/>
        <v>49.051161608511862</v>
      </c>
      <c r="AJ45" s="472"/>
      <c r="AK45" s="472"/>
      <c r="AL45" s="570">
        <v>13.537999999999998</v>
      </c>
      <c r="AM45" s="570">
        <v>0</v>
      </c>
      <c r="AN45" s="566">
        <v>0</v>
      </c>
      <c r="AO45" s="566">
        <f t="shared" si="5"/>
        <v>13.537999999999998</v>
      </c>
    </row>
    <row r="46" spans="1:41" x14ac:dyDescent="0.3">
      <c r="A46" s="466">
        <v>150000538</v>
      </c>
      <c r="B46" s="467" t="s">
        <v>207</v>
      </c>
      <c r="C46" s="468">
        <v>1469.3</v>
      </c>
      <c r="D46" s="469"/>
      <c r="E46" s="470"/>
      <c r="F46" s="470">
        <v>1469.3</v>
      </c>
      <c r="G46" s="471">
        <v>389.45588571813454</v>
      </c>
      <c r="H46" s="471">
        <v>59.573997187988233</v>
      </c>
      <c r="I46" s="471">
        <v>168.01</v>
      </c>
      <c r="J46" s="471">
        <v>0</v>
      </c>
      <c r="K46" s="471">
        <v>0</v>
      </c>
      <c r="L46" s="471">
        <v>247.47965229655924</v>
      </c>
      <c r="M46" s="572">
        <f t="shared" si="1"/>
        <v>0</v>
      </c>
      <c r="N46" s="471">
        <v>523.53993931138939</v>
      </c>
      <c r="O46" s="471">
        <v>0</v>
      </c>
      <c r="P46" s="471">
        <v>0</v>
      </c>
      <c r="Q46" s="471">
        <v>505.07607620994651</v>
      </c>
      <c r="R46" s="572">
        <f t="shared" si="2"/>
        <v>1286.0909241779768</v>
      </c>
      <c r="S46" s="471">
        <v>62.285310400733074</v>
      </c>
      <c r="T46" s="471">
        <v>76.807407836933493</v>
      </c>
      <c r="U46" s="471">
        <v>93.699044819561607</v>
      </c>
      <c r="V46" s="471">
        <v>0</v>
      </c>
      <c r="W46" s="471">
        <v>0</v>
      </c>
      <c r="X46" s="471">
        <v>30.028070076793693</v>
      </c>
      <c r="Y46" s="471">
        <v>0</v>
      </c>
      <c r="Z46" s="471">
        <v>1820.2176449355422</v>
      </c>
      <c r="AA46" s="471">
        <v>610.67997091254824</v>
      </c>
      <c r="AB46" s="471">
        <v>515.22641257307612</v>
      </c>
      <c r="AC46" s="471">
        <v>81.474713164149193</v>
      </c>
      <c r="AD46" s="471">
        <v>10.030030976647154</v>
      </c>
      <c r="AE46" s="471">
        <v>319.75772177703232</v>
      </c>
      <c r="AF46" s="471">
        <v>0</v>
      </c>
      <c r="AG46" s="471">
        <v>0</v>
      </c>
      <c r="AH46" s="685">
        <f t="shared" si="3"/>
        <v>6799.4328023750113</v>
      </c>
      <c r="AI46" s="472">
        <f t="shared" si="4"/>
        <v>6799.4328023750113</v>
      </c>
      <c r="AJ46" s="472"/>
      <c r="AK46" s="472"/>
      <c r="AL46" s="570">
        <v>65.67</v>
      </c>
      <c r="AM46" s="570">
        <v>1220.4209241779768</v>
      </c>
      <c r="AN46" s="566">
        <v>0</v>
      </c>
      <c r="AO46" s="566">
        <f t="shared" si="5"/>
        <v>1286.0909241779768</v>
      </c>
    </row>
    <row r="47" spans="1:41" x14ac:dyDescent="0.3">
      <c r="A47" s="466">
        <v>150000539</v>
      </c>
      <c r="B47" s="467" t="s">
        <v>54</v>
      </c>
      <c r="C47" s="468">
        <v>83.8</v>
      </c>
      <c r="D47" s="473"/>
      <c r="E47" s="470"/>
      <c r="F47" s="470">
        <v>83.8</v>
      </c>
      <c r="G47" s="471">
        <v>0</v>
      </c>
      <c r="H47" s="471">
        <v>0</v>
      </c>
      <c r="I47" s="471">
        <v>0</v>
      </c>
      <c r="J47" s="471">
        <v>0</v>
      </c>
      <c r="K47" s="471">
        <v>0</v>
      </c>
      <c r="L47" s="471">
        <v>0</v>
      </c>
      <c r="M47" s="572">
        <f t="shared" si="1"/>
        <v>0</v>
      </c>
      <c r="N47" s="471">
        <v>0</v>
      </c>
      <c r="O47" s="471">
        <v>0</v>
      </c>
      <c r="P47" s="471">
        <v>0</v>
      </c>
      <c r="Q47" s="471">
        <v>23.675441072341243</v>
      </c>
      <c r="R47" s="572">
        <f t="shared" si="2"/>
        <v>95.469108640113816</v>
      </c>
      <c r="S47" s="471">
        <v>0</v>
      </c>
      <c r="T47" s="471">
        <v>0</v>
      </c>
      <c r="U47" s="471">
        <v>0</v>
      </c>
      <c r="V47" s="471">
        <v>0</v>
      </c>
      <c r="W47" s="471">
        <v>0</v>
      </c>
      <c r="X47" s="471">
        <v>0</v>
      </c>
      <c r="Y47" s="471">
        <v>0</v>
      </c>
      <c r="Z47" s="471">
        <v>5.9817526885493768</v>
      </c>
      <c r="AA47" s="471">
        <v>0</v>
      </c>
      <c r="AB47" s="471">
        <v>0</v>
      </c>
      <c r="AC47" s="471">
        <v>0</v>
      </c>
      <c r="AD47" s="471">
        <v>0</v>
      </c>
      <c r="AE47" s="471">
        <v>0</v>
      </c>
      <c r="AF47" s="471">
        <v>0</v>
      </c>
      <c r="AG47" s="471">
        <v>3.7537890720301337</v>
      </c>
      <c r="AH47" s="685">
        <f t="shared" si="3"/>
        <v>125.12630240100445</v>
      </c>
      <c r="AI47" s="472">
        <f t="shared" si="4"/>
        <v>128.88009147303458</v>
      </c>
      <c r="AJ47" s="472"/>
      <c r="AK47" s="472"/>
      <c r="AL47" s="570">
        <v>13.74</v>
      </c>
      <c r="AM47" s="570">
        <v>81.729108640113822</v>
      </c>
      <c r="AN47" s="566">
        <v>0</v>
      </c>
      <c r="AO47" s="566">
        <f t="shared" si="5"/>
        <v>95.469108640113816</v>
      </c>
    </row>
    <row r="48" spans="1:41" x14ac:dyDescent="0.3">
      <c r="A48" s="466">
        <v>150000541</v>
      </c>
      <c r="B48" s="467" t="s">
        <v>59</v>
      </c>
      <c r="C48" s="468">
        <v>150.19999999999999</v>
      </c>
      <c r="D48" s="473"/>
      <c r="E48" s="470"/>
      <c r="F48" s="470">
        <v>150.19999999999999</v>
      </c>
      <c r="G48" s="471">
        <v>0</v>
      </c>
      <c r="H48" s="471">
        <v>0</v>
      </c>
      <c r="I48" s="471">
        <v>0</v>
      </c>
      <c r="J48" s="471">
        <v>0</v>
      </c>
      <c r="K48" s="471">
        <v>0</v>
      </c>
      <c r="L48" s="471">
        <v>0</v>
      </c>
      <c r="M48" s="572">
        <f t="shared" si="1"/>
        <v>0</v>
      </c>
      <c r="N48" s="471">
        <v>0</v>
      </c>
      <c r="O48" s="471">
        <v>0</v>
      </c>
      <c r="P48" s="471">
        <v>0</v>
      </c>
      <c r="Q48" s="471">
        <v>19.729534226951035</v>
      </c>
      <c r="R48" s="572">
        <f t="shared" si="2"/>
        <v>237.41805097188001</v>
      </c>
      <c r="S48" s="471">
        <v>0</v>
      </c>
      <c r="T48" s="471">
        <v>0</v>
      </c>
      <c r="U48" s="471">
        <v>0</v>
      </c>
      <c r="V48" s="471">
        <v>0</v>
      </c>
      <c r="W48" s="471">
        <v>0</v>
      </c>
      <c r="X48" s="471">
        <v>0</v>
      </c>
      <c r="Y48" s="471">
        <v>0</v>
      </c>
      <c r="Z48" s="561">
        <f>31.9026810055967*0</f>
        <v>0</v>
      </c>
      <c r="AA48" s="471">
        <v>0</v>
      </c>
      <c r="AB48" s="471">
        <v>0</v>
      </c>
      <c r="AC48" s="471">
        <v>0</v>
      </c>
      <c r="AD48" s="471">
        <v>0</v>
      </c>
      <c r="AE48" s="471">
        <v>0</v>
      </c>
      <c r="AF48" s="471">
        <v>0</v>
      </c>
      <c r="AG48" s="471">
        <v>4.6286507916796964</v>
      </c>
      <c r="AH48" s="685">
        <f t="shared" si="3"/>
        <v>257.14758519883105</v>
      </c>
      <c r="AI48" s="472">
        <f t="shared" si="4"/>
        <v>261.77623599051077</v>
      </c>
      <c r="AJ48" s="472" t="s">
        <v>1589</v>
      </c>
      <c r="AK48" s="472"/>
      <c r="AL48" s="570">
        <v>25.61</v>
      </c>
      <c r="AM48" s="570">
        <v>211.80805097187999</v>
      </c>
      <c r="AN48" s="566">
        <v>0</v>
      </c>
      <c r="AO48" s="566">
        <f t="shared" si="5"/>
        <v>237.41805097188001</v>
      </c>
    </row>
    <row r="49" spans="1:41" x14ac:dyDescent="0.3">
      <c r="A49" s="466">
        <v>150000542</v>
      </c>
      <c r="B49" s="467" t="s">
        <v>61</v>
      </c>
      <c r="C49" s="468">
        <v>164.7</v>
      </c>
      <c r="D49" s="473"/>
      <c r="E49" s="470"/>
      <c r="F49" s="470">
        <v>164.7</v>
      </c>
      <c r="G49" s="471">
        <v>0</v>
      </c>
      <c r="H49" s="471">
        <v>0</v>
      </c>
      <c r="I49" s="471">
        <v>0</v>
      </c>
      <c r="J49" s="471">
        <v>0</v>
      </c>
      <c r="K49" s="471">
        <v>0</v>
      </c>
      <c r="L49" s="471">
        <v>0</v>
      </c>
      <c r="M49" s="572">
        <f t="shared" si="1"/>
        <v>0</v>
      </c>
      <c r="N49" s="471">
        <v>0</v>
      </c>
      <c r="O49" s="471">
        <v>0</v>
      </c>
      <c r="P49" s="471">
        <v>0</v>
      </c>
      <c r="Q49" s="471">
        <v>31.567254763121657</v>
      </c>
      <c r="R49" s="572">
        <f t="shared" si="2"/>
        <v>281.909267268061</v>
      </c>
      <c r="S49" s="471">
        <v>0</v>
      </c>
      <c r="T49" s="471">
        <v>0</v>
      </c>
      <c r="U49" s="471">
        <v>0</v>
      </c>
      <c r="V49" s="471">
        <v>0</v>
      </c>
      <c r="W49" s="471">
        <v>0</v>
      </c>
      <c r="X49" s="471">
        <v>0</v>
      </c>
      <c r="Y49" s="471">
        <v>0</v>
      </c>
      <c r="Z49" s="561">
        <f>41.8722688198456*0</f>
        <v>0</v>
      </c>
      <c r="AA49" s="471">
        <v>0</v>
      </c>
      <c r="AB49" s="471">
        <v>0</v>
      </c>
      <c r="AC49" s="471">
        <v>0</v>
      </c>
      <c r="AD49" s="471">
        <v>0</v>
      </c>
      <c r="AE49" s="471">
        <v>0</v>
      </c>
      <c r="AF49" s="471">
        <v>0</v>
      </c>
      <c r="AG49" s="471">
        <v>5.6425822353185087</v>
      </c>
      <c r="AH49" s="685">
        <f t="shared" si="3"/>
        <v>313.47652203118264</v>
      </c>
      <c r="AI49" s="472">
        <f t="shared" si="4"/>
        <v>319.11910426650115</v>
      </c>
      <c r="AJ49" s="472" t="s">
        <v>1589</v>
      </c>
      <c r="AK49" s="472"/>
      <c r="AL49" s="570">
        <v>27.19</v>
      </c>
      <c r="AM49" s="570">
        <v>254.719267268061</v>
      </c>
      <c r="AN49" s="566">
        <v>0</v>
      </c>
      <c r="AO49" s="566">
        <f t="shared" si="5"/>
        <v>281.909267268061</v>
      </c>
    </row>
    <row r="50" spans="1:41" x14ac:dyDescent="0.3">
      <c r="A50" s="466">
        <v>150000543</v>
      </c>
      <c r="B50" s="467" t="s">
        <v>63</v>
      </c>
      <c r="C50" s="468">
        <v>121.2</v>
      </c>
      <c r="D50" s="473"/>
      <c r="E50" s="470"/>
      <c r="F50" s="470">
        <v>121.2</v>
      </c>
      <c r="G50" s="471">
        <v>0</v>
      </c>
      <c r="H50" s="471">
        <v>0</v>
      </c>
      <c r="I50" s="471">
        <v>0</v>
      </c>
      <c r="J50" s="471">
        <v>0</v>
      </c>
      <c r="K50" s="471">
        <v>0</v>
      </c>
      <c r="L50" s="471">
        <v>0</v>
      </c>
      <c r="M50" s="572">
        <f t="shared" si="1"/>
        <v>0</v>
      </c>
      <c r="N50" s="471">
        <v>0</v>
      </c>
      <c r="O50" s="471">
        <v>0</v>
      </c>
      <c r="P50" s="471">
        <v>0</v>
      </c>
      <c r="Q50" s="471">
        <v>27.621347917731452</v>
      </c>
      <c r="R50" s="572">
        <f t="shared" si="2"/>
        <v>149.41722505967601</v>
      </c>
      <c r="S50" s="471">
        <v>0</v>
      </c>
      <c r="T50" s="471">
        <v>0</v>
      </c>
      <c r="U50" s="471">
        <v>0</v>
      </c>
      <c r="V50" s="471">
        <v>0</v>
      </c>
      <c r="W50" s="471">
        <v>0</v>
      </c>
      <c r="X50" s="471">
        <v>0</v>
      </c>
      <c r="Y50" s="471">
        <v>0</v>
      </c>
      <c r="Z50" s="561">
        <f>19.9391756284979*0</f>
        <v>0</v>
      </c>
      <c r="AA50" s="471">
        <v>0</v>
      </c>
      <c r="AB50" s="471">
        <v>0</v>
      </c>
      <c r="AC50" s="471">
        <v>0</v>
      </c>
      <c r="AD50" s="471">
        <v>0</v>
      </c>
      <c r="AE50" s="471">
        <v>0</v>
      </c>
      <c r="AF50" s="471">
        <v>0</v>
      </c>
      <c r="AG50" s="471">
        <v>5.3111624581771579</v>
      </c>
      <c r="AH50" s="685">
        <f t="shared" si="3"/>
        <v>177.03857297740745</v>
      </c>
      <c r="AI50" s="472">
        <f t="shared" si="4"/>
        <v>182.34973543558462</v>
      </c>
      <c r="AJ50" s="472" t="s">
        <v>1589</v>
      </c>
      <c r="AK50" s="472"/>
      <c r="AL50" s="570">
        <v>19.34</v>
      </c>
      <c r="AM50" s="570">
        <v>130.07722505967601</v>
      </c>
      <c r="AN50" s="566">
        <v>0</v>
      </c>
      <c r="AO50" s="566">
        <f t="shared" si="5"/>
        <v>149.41722505967601</v>
      </c>
    </row>
    <row r="51" spans="1:41" x14ac:dyDescent="0.3">
      <c r="A51" s="466">
        <v>150000544</v>
      </c>
      <c r="B51" s="467" t="s">
        <v>64</v>
      </c>
      <c r="C51" s="468">
        <v>136.9</v>
      </c>
      <c r="D51" s="473"/>
      <c r="E51" s="470"/>
      <c r="F51" s="470">
        <v>136.9</v>
      </c>
      <c r="G51" s="471">
        <v>0</v>
      </c>
      <c r="H51" s="471">
        <v>0</v>
      </c>
      <c r="I51" s="471">
        <v>0</v>
      </c>
      <c r="J51" s="471">
        <v>0</v>
      </c>
      <c r="K51" s="471">
        <v>0</v>
      </c>
      <c r="L51" s="471">
        <v>0</v>
      </c>
      <c r="M51" s="572">
        <f t="shared" si="1"/>
        <v>0</v>
      </c>
      <c r="N51" s="471">
        <v>0</v>
      </c>
      <c r="O51" s="471">
        <v>0</v>
      </c>
      <c r="P51" s="471">
        <v>0</v>
      </c>
      <c r="Q51" s="471">
        <v>27.621347917731452</v>
      </c>
      <c r="R51" s="572">
        <f t="shared" si="2"/>
        <v>169.74528878623431</v>
      </c>
      <c r="S51" s="471">
        <v>0</v>
      </c>
      <c r="T51" s="471">
        <v>0</v>
      </c>
      <c r="U51" s="471">
        <v>0</v>
      </c>
      <c r="V51" s="471">
        <v>0</v>
      </c>
      <c r="W51" s="471">
        <v>0</v>
      </c>
      <c r="X51" s="471">
        <v>0</v>
      </c>
      <c r="Y51" s="471">
        <v>0</v>
      </c>
      <c r="Z51" s="561">
        <f>45.8601039455452*0</f>
        <v>0</v>
      </c>
      <c r="AA51" s="471">
        <v>0</v>
      </c>
      <c r="AB51" s="471">
        <v>0</v>
      </c>
      <c r="AC51" s="471">
        <v>0</v>
      </c>
      <c r="AD51" s="471">
        <v>0</v>
      </c>
      <c r="AE51" s="471">
        <v>0</v>
      </c>
      <c r="AF51" s="471">
        <v>0</v>
      </c>
      <c r="AG51" s="471">
        <v>5.9210022194853273</v>
      </c>
      <c r="AH51" s="685">
        <f t="shared" si="3"/>
        <v>197.36663670396575</v>
      </c>
      <c r="AI51" s="472">
        <f t="shared" si="4"/>
        <v>203.28763892345108</v>
      </c>
      <c r="AJ51" s="472" t="s">
        <v>1589</v>
      </c>
      <c r="AK51" s="472"/>
      <c r="AL51" s="570">
        <v>25.61</v>
      </c>
      <c r="AM51" s="570">
        <v>144.1352887862343</v>
      </c>
      <c r="AN51" s="566">
        <v>0</v>
      </c>
      <c r="AO51" s="566">
        <f t="shared" si="5"/>
        <v>169.74528878623431</v>
      </c>
    </row>
    <row r="52" spans="1:41" x14ac:dyDescent="0.3">
      <c r="A52" s="466">
        <v>150000545</v>
      </c>
      <c r="B52" s="467" t="s">
        <v>106</v>
      </c>
      <c r="C52" s="468">
        <v>95</v>
      </c>
      <c r="D52" s="473"/>
      <c r="E52" s="470"/>
      <c r="F52" s="470">
        <v>95</v>
      </c>
      <c r="G52" s="471">
        <v>0</v>
      </c>
      <c r="H52" s="471">
        <v>0</v>
      </c>
      <c r="I52" s="471">
        <v>0</v>
      </c>
      <c r="J52" s="471">
        <v>0</v>
      </c>
      <c r="K52" s="471">
        <v>0</v>
      </c>
      <c r="L52" s="471">
        <v>0</v>
      </c>
      <c r="M52" s="572">
        <f t="shared" si="1"/>
        <v>0</v>
      </c>
      <c r="N52" s="471">
        <v>0</v>
      </c>
      <c r="O52" s="471">
        <v>0</v>
      </c>
      <c r="P52" s="471">
        <v>0</v>
      </c>
      <c r="Q52" s="471">
        <v>35.513161608511865</v>
      </c>
      <c r="R52" s="572">
        <f t="shared" si="2"/>
        <v>103.45505623117033</v>
      </c>
      <c r="S52" s="471">
        <v>0</v>
      </c>
      <c r="T52" s="471">
        <v>0</v>
      </c>
      <c r="U52" s="471">
        <v>0</v>
      </c>
      <c r="V52" s="471">
        <v>0</v>
      </c>
      <c r="W52" s="471">
        <v>0</v>
      </c>
      <c r="X52" s="471">
        <v>0</v>
      </c>
      <c r="Y52" s="471">
        <v>0</v>
      </c>
      <c r="Z52" s="471">
        <v>0</v>
      </c>
      <c r="AA52" s="471">
        <v>0</v>
      </c>
      <c r="AB52" s="471">
        <v>0</v>
      </c>
      <c r="AC52" s="471">
        <v>0</v>
      </c>
      <c r="AD52" s="471">
        <v>0</v>
      </c>
      <c r="AE52" s="471">
        <v>0</v>
      </c>
      <c r="AF52" s="471">
        <v>0</v>
      </c>
      <c r="AG52" s="471">
        <v>0</v>
      </c>
      <c r="AH52" s="685">
        <f t="shared" si="3"/>
        <v>138.96821783968221</v>
      </c>
      <c r="AI52" s="472">
        <f t="shared" si="4"/>
        <v>138.96821783968221</v>
      </c>
      <c r="AJ52" s="472"/>
      <c r="AK52" s="472"/>
      <c r="AL52" s="570">
        <v>15.935</v>
      </c>
      <c r="AM52" s="570">
        <v>87.520056231170329</v>
      </c>
      <c r="AN52" s="566">
        <v>0</v>
      </c>
      <c r="AO52" s="566">
        <f t="shared" si="5"/>
        <v>103.45505623117033</v>
      </c>
    </row>
    <row r="53" spans="1:41" x14ac:dyDescent="0.3">
      <c r="A53" s="466">
        <v>150000546</v>
      </c>
      <c r="B53" s="467" t="s">
        <v>107</v>
      </c>
      <c r="C53" s="468">
        <v>131.30000000000001</v>
      </c>
      <c r="D53" s="473"/>
      <c r="E53" s="470"/>
      <c r="F53" s="470">
        <v>131.30000000000001</v>
      </c>
      <c r="G53" s="471">
        <v>0</v>
      </c>
      <c r="H53" s="471">
        <v>0</v>
      </c>
      <c r="I53" s="471">
        <v>0</v>
      </c>
      <c r="J53" s="471">
        <v>0</v>
      </c>
      <c r="K53" s="471">
        <v>0</v>
      </c>
      <c r="L53" s="471">
        <v>0</v>
      </c>
      <c r="M53" s="572">
        <f t="shared" si="1"/>
        <v>0</v>
      </c>
      <c r="N53" s="471">
        <v>0</v>
      </c>
      <c r="O53" s="471">
        <v>0</v>
      </c>
      <c r="P53" s="471">
        <v>0</v>
      </c>
      <c r="Q53" s="471">
        <v>35.513161608511865</v>
      </c>
      <c r="R53" s="572">
        <f t="shared" si="2"/>
        <v>141.66055092762522</v>
      </c>
      <c r="S53" s="471">
        <v>0</v>
      </c>
      <c r="T53" s="471">
        <v>0</v>
      </c>
      <c r="U53" s="471">
        <v>0</v>
      </c>
      <c r="V53" s="471">
        <v>0</v>
      </c>
      <c r="W53" s="471">
        <v>0</v>
      </c>
      <c r="X53" s="471">
        <v>0</v>
      </c>
      <c r="Y53" s="471">
        <v>0</v>
      </c>
      <c r="Z53" s="471">
        <v>0</v>
      </c>
      <c r="AA53" s="471">
        <v>0</v>
      </c>
      <c r="AB53" s="471">
        <v>0</v>
      </c>
      <c r="AC53" s="471">
        <v>0</v>
      </c>
      <c r="AD53" s="471">
        <v>0</v>
      </c>
      <c r="AE53" s="471">
        <v>0</v>
      </c>
      <c r="AF53" s="471">
        <v>0</v>
      </c>
      <c r="AG53" s="471">
        <v>0</v>
      </c>
      <c r="AH53" s="685">
        <f t="shared" si="3"/>
        <v>177.17371253613709</v>
      </c>
      <c r="AI53" s="472">
        <f t="shared" si="4"/>
        <v>177.17371253613709</v>
      </c>
      <c r="AJ53" s="472"/>
      <c r="AK53" s="472"/>
      <c r="AL53" s="570">
        <v>10.9</v>
      </c>
      <c r="AM53" s="570">
        <v>130.76055092762522</v>
      </c>
      <c r="AN53" s="566">
        <v>0</v>
      </c>
      <c r="AO53" s="566">
        <f t="shared" si="5"/>
        <v>141.66055092762522</v>
      </c>
    </row>
    <row r="54" spans="1:41" x14ac:dyDescent="0.3">
      <c r="A54" s="466">
        <v>150000547</v>
      </c>
      <c r="B54" s="467" t="s">
        <v>247</v>
      </c>
      <c r="C54" s="468">
        <v>2743.1</v>
      </c>
      <c r="D54" s="469"/>
      <c r="E54" s="470"/>
      <c r="F54" s="470">
        <v>2743.1</v>
      </c>
      <c r="G54" s="471">
        <v>887.23863130663483</v>
      </c>
      <c r="H54" s="471">
        <v>167.35415557246759</v>
      </c>
      <c r="I54" s="471">
        <v>343.96</v>
      </c>
      <c r="J54" s="471">
        <v>74.48</v>
      </c>
      <c r="K54" s="471">
        <v>59.112908977718426</v>
      </c>
      <c r="L54" s="471">
        <v>626.15007640538784</v>
      </c>
      <c r="M54" s="572">
        <f t="shared" si="1"/>
        <v>0</v>
      </c>
      <c r="N54" s="471">
        <v>977.41945656099665</v>
      </c>
      <c r="O54" s="471">
        <v>0</v>
      </c>
      <c r="P54" s="471">
        <v>0</v>
      </c>
      <c r="Q54" s="471">
        <v>236.75441072341243</v>
      </c>
      <c r="R54" s="572">
        <f t="shared" si="2"/>
        <v>4788.1838688634007</v>
      </c>
      <c r="S54" s="471">
        <v>148.48715468790544</v>
      </c>
      <c r="T54" s="471">
        <v>215.71437418210596</v>
      </c>
      <c r="U54" s="471">
        <v>112.6289509225978</v>
      </c>
      <c r="V54" s="471">
        <v>67.008273276759709</v>
      </c>
      <c r="W54" s="471">
        <v>59.973570119372766</v>
      </c>
      <c r="X54" s="471">
        <v>92.84294984290716</v>
      </c>
      <c r="Y54" s="471">
        <v>19.927301531169658</v>
      </c>
      <c r="Z54" s="471">
        <v>1319.2685518413582</v>
      </c>
      <c r="AA54" s="471">
        <v>1472.1466200020459</v>
      </c>
      <c r="AB54" s="471">
        <v>649.19522610755416</v>
      </c>
      <c r="AC54" s="471">
        <v>121.69733780385103</v>
      </c>
      <c r="AD54" s="471">
        <v>14.981679843277114</v>
      </c>
      <c r="AE54" s="471">
        <v>530.32988002044374</v>
      </c>
      <c r="AF54" s="471">
        <v>0</v>
      </c>
      <c r="AG54" s="471">
        <v>779.09132271548197</v>
      </c>
      <c r="AH54" s="685">
        <f t="shared" si="3"/>
        <v>12984.855378591366</v>
      </c>
      <c r="AI54" s="472">
        <f t="shared" si="4"/>
        <v>13763.946701306848</v>
      </c>
      <c r="AJ54" s="472"/>
      <c r="AK54" s="472"/>
      <c r="AL54" s="570">
        <v>75.709999999999994</v>
      </c>
      <c r="AM54" s="570">
        <v>4712.4738688634006</v>
      </c>
      <c r="AN54" s="566">
        <v>0</v>
      </c>
      <c r="AO54" s="566">
        <f t="shared" si="5"/>
        <v>4788.1838688634007</v>
      </c>
    </row>
    <row r="55" spans="1:41" x14ac:dyDescent="0.3">
      <c r="A55" s="466">
        <v>150000548</v>
      </c>
      <c r="B55" s="467" t="s">
        <v>246</v>
      </c>
      <c r="C55" s="468">
        <v>2189.9</v>
      </c>
      <c r="D55" s="469"/>
      <c r="E55" s="470"/>
      <c r="F55" s="470">
        <v>2189.9</v>
      </c>
      <c r="G55" s="471">
        <v>639.31812253145858</v>
      </c>
      <c r="H55" s="471">
        <v>147.23439961375757</v>
      </c>
      <c r="I55" s="471">
        <v>276.48</v>
      </c>
      <c r="J55" s="471">
        <v>54.24</v>
      </c>
      <c r="K55" s="471">
        <v>44.322556752048527</v>
      </c>
      <c r="L55" s="471">
        <v>483.85055155952909</v>
      </c>
      <c r="M55" s="572">
        <f t="shared" si="1"/>
        <v>0</v>
      </c>
      <c r="N55" s="471">
        <v>780.30362288029119</v>
      </c>
      <c r="O55" s="471">
        <v>0</v>
      </c>
      <c r="P55" s="471">
        <v>0</v>
      </c>
      <c r="Q55" s="471">
        <v>118.37720536170622</v>
      </c>
      <c r="R55" s="572">
        <f t="shared" si="2"/>
        <v>2438.451426998141</v>
      </c>
      <c r="S55" s="471">
        <v>120.48800102301557</v>
      </c>
      <c r="T55" s="471">
        <v>175.83146161726015</v>
      </c>
      <c r="U55" s="471">
        <v>96.631979953753728</v>
      </c>
      <c r="V55" s="471">
        <v>53.772048920633878</v>
      </c>
      <c r="W55" s="471">
        <v>44.980177589529568</v>
      </c>
      <c r="X55" s="471">
        <v>65.1232632172904</v>
      </c>
      <c r="Y55" s="471">
        <v>59.172188112108344</v>
      </c>
      <c r="Z55" s="471">
        <v>3174.1836621311222</v>
      </c>
      <c r="AA55" s="471">
        <v>1467.2500246729903</v>
      </c>
      <c r="AB55" s="471">
        <v>411.15697653478429</v>
      </c>
      <c r="AC55" s="471">
        <v>50.590796621782175</v>
      </c>
      <c r="AD55" s="471">
        <v>6.2280336750300025</v>
      </c>
      <c r="AE55" s="471">
        <v>346.2742157780545</v>
      </c>
      <c r="AF55" s="471">
        <v>0</v>
      </c>
      <c r="AG55" s="471">
        <v>663.25564293265734</v>
      </c>
      <c r="AH55" s="685">
        <f t="shared" si="3"/>
        <v>11054.260715544287</v>
      </c>
      <c r="AI55" s="472">
        <f t="shared" si="4"/>
        <v>11717.516358476945</v>
      </c>
      <c r="AJ55" s="472"/>
      <c r="AK55" s="472"/>
      <c r="AL55" s="570">
        <v>38.130000000000003</v>
      </c>
      <c r="AM55" s="570">
        <v>2400.3214269981409</v>
      </c>
      <c r="AN55" s="566">
        <v>0</v>
      </c>
      <c r="AO55" s="566">
        <f t="shared" si="5"/>
        <v>2438.451426998141</v>
      </c>
    </row>
    <row r="56" spans="1:41" x14ac:dyDescent="0.3">
      <c r="A56" s="466">
        <v>150000549</v>
      </c>
      <c r="B56" s="467" t="s">
        <v>206</v>
      </c>
      <c r="C56" s="468">
        <v>1173.1199999999999</v>
      </c>
      <c r="D56" s="469"/>
      <c r="E56" s="470"/>
      <c r="F56" s="470">
        <v>1173.1199999999999</v>
      </c>
      <c r="G56" s="471">
        <v>462.18222513798099</v>
      </c>
      <c r="H56" s="471">
        <v>113.23099573388458</v>
      </c>
      <c r="I56" s="471">
        <v>141.65</v>
      </c>
      <c r="J56" s="471">
        <v>27.73</v>
      </c>
      <c r="K56" s="471">
        <v>0</v>
      </c>
      <c r="L56" s="471">
        <v>237.67204954042666</v>
      </c>
      <c r="M56" s="572">
        <f t="shared" si="1"/>
        <v>0</v>
      </c>
      <c r="N56" s="471">
        <v>418.00529068602543</v>
      </c>
      <c r="O56" s="471">
        <v>0</v>
      </c>
      <c r="P56" s="471">
        <v>0</v>
      </c>
      <c r="Q56" s="471">
        <v>142.05264643404746</v>
      </c>
      <c r="R56" s="572">
        <f t="shared" si="2"/>
        <v>1174.0776080583862</v>
      </c>
      <c r="S56" s="471">
        <v>67.804320685652442</v>
      </c>
      <c r="T56" s="471">
        <v>132.42225554457045</v>
      </c>
      <c r="U56" s="471">
        <v>39.306365333160741</v>
      </c>
      <c r="V56" s="471">
        <v>40.427519598448129</v>
      </c>
      <c r="W56" s="471">
        <v>0</v>
      </c>
      <c r="X56" s="471">
        <v>31.954630512739072</v>
      </c>
      <c r="Y56" s="471">
        <v>27.264536768579557</v>
      </c>
      <c r="Z56" s="471">
        <v>1541.9252128449548</v>
      </c>
      <c r="AA56" s="471">
        <v>657.9735485898816</v>
      </c>
      <c r="AB56" s="471">
        <v>562.6358626265469</v>
      </c>
      <c r="AC56" s="471">
        <v>49.879976320410236</v>
      </c>
      <c r="AD56" s="471">
        <v>6.140527387929291</v>
      </c>
      <c r="AE56" s="471">
        <v>135.70205753464296</v>
      </c>
      <c r="AF56" s="471">
        <v>0</v>
      </c>
      <c r="AG56" s="471">
        <v>0</v>
      </c>
      <c r="AH56" s="685">
        <f t="shared" si="3"/>
        <v>6010.0376293382669</v>
      </c>
      <c r="AI56" s="472">
        <f t="shared" si="4"/>
        <v>6010.0376293382669</v>
      </c>
      <c r="AJ56" s="472"/>
      <c r="AK56" s="472"/>
      <c r="AL56" s="570">
        <v>16.850000000000001</v>
      </c>
      <c r="AM56" s="570">
        <v>1157.2276080583863</v>
      </c>
      <c r="AN56" s="566">
        <v>0</v>
      </c>
      <c r="AO56" s="566">
        <f t="shared" si="5"/>
        <v>1174.0776080583862</v>
      </c>
    </row>
    <row r="57" spans="1:41" x14ac:dyDescent="0.3">
      <c r="A57" s="466">
        <v>150000552</v>
      </c>
      <c r="B57" s="467" t="s">
        <v>91</v>
      </c>
      <c r="C57" s="468">
        <v>100.2</v>
      </c>
      <c r="D57" s="473"/>
      <c r="E57" s="470"/>
      <c r="F57" s="470">
        <v>100.2</v>
      </c>
      <c r="G57" s="471">
        <v>0</v>
      </c>
      <c r="H57" s="471">
        <v>0</v>
      </c>
      <c r="I57" s="471">
        <v>0</v>
      </c>
      <c r="J57" s="471">
        <v>0</v>
      </c>
      <c r="K57" s="471">
        <v>0</v>
      </c>
      <c r="L57" s="471">
        <v>0</v>
      </c>
      <c r="M57" s="572">
        <f t="shared" si="1"/>
        <v>0</v>
      </c>
      <c r="N57" s="471">
        <v>0</v>
      </c>
      <c r="O57" s="471">
        <v>0</v>
      </c>
      <c r="P57" s="471">
        <v>0</v>
      </c>
      <c r="Q57" s="471">
        <v>15.783627381560828</v>
      </c>
      <c r="R57" s="572">
        <f t="shared" si="2"/>
        <v>131.58043366968988</v>
      </c>
      <c r="S57" s="471">
        <v>0</v>
      </c>
      <c r="T57" s="471">
        <v>0</v>
      </c>
      <c r="U57" s="471">
        <v>0</v>
      </c>
      <c r="V57" s="471">
        <v>0</v>
      </c>
      <c r="W57" s="471">
        <v>0</v>
      </c>
      <c r="X57" s="471">
        <v>0</v>
      </c>
      <c r="Y57" s="471">
        <v>0</v>
      </c>
      <c r="Z57" s="471">
        <v>0</v>
      </c>
      <c r="AA57" s="471">
        <v>0</v>
      </c>
      <c r="AB57" s="471">
        <v>0</v>
      </c>
      <c r="AC57" s="471">
        <v>0</v>
      </c>
      <c r="AD57" s="471">
        <v>0</v>
      </c>
      <c r="AE57" s="471">
        <v>0</v>
      </c>
      <c r="AF57" s="471">
        <v>0</v>
      </c>
      <c r="AG57" s="471">
        <v>4.4209218315375223</v>
      </c>
      <c r="AH57" s="685">
        <f t="shared" si="3"/>
        <v>147.3640610512507</v>
      </c>
      <c r="AI57" s="472">
        <f t="shared" si="4"/>
        <v>151.78498288278823</v>
      </c>
      <c r="AJ57" s="472"/>
      <c r="AK57" s="472"/>
      <c r="AL57" s="570">
        <v>19.34</v>
      </c>
      <c r="AM57" s="570">
        <v>112.24043366968989</v>
      </c>
      <c r="AN57" s="566">
        <v>0</v>
      </c>
      <c r="AO57" s="566">
        <f t="shared" si="5"/>
        <v>131.58043366968988</v>
      </c>
    </row>
    <row r="58" spans="1:41" x14ac:dyDescent="0.3">
      <c r="A58" s="466">
        <v>150000553</v>
      </c>
      <c r="B58" s="467" t="s">
        <v>259</v>
      </c>
      <c r="C58" s="468">
        <v>3077.05</v>
      </c>
      <c r="D58" s="469"/>
      <c r="E58" s="470">
        <v>303</v>
      </c>
      <c r="F58" s="470">
        <v>3380.05</v>
      </c>
      <c r="G58" s="471">
        <v>946.08633552043841</v>
      </c>
      <c r="H58" s="471">
        <v>190.21187385170123</v>
      </c>
      <c r="I58" s="471">
        <v>373.94</v>
      </c>
      <c r="J58" s="471">
        <v>0</v>
      </c>
      <c r="K58" s="471">
        <v>0</v>
      </c>
      <c r="L58" s="471">
        <v>627.64020266867192</v>
      </c>
      <c r="M58" s="572">
        <f t="shared" si="1"/>
        <v>0</v>
      </c>
      <c r="N58" s="471">
        <v>1204.377031150522</v>
      </c>
      <c r="O58" s="471">
        <v>0</v>
      </c>
      <c r="P58" s="471">
        <v>0</v>
      </c>
      <c r="Q58" s="471">
        <v>804.96499645960228</v>
      </c>
      <c r="R58" s="572">
        <f t="shared" si="2"/>
        <v>3513.6397752811472</v>
      </c>
      <c r="S58" s="471">
        <v>155.34649275455396</v>
      </c>
      <c r="T58" s="471">
        <v>245.15933385811405</v>
      </c>
      <c r="U58" s="471">
        <v>149.48381101013752</v>
      </c>
      <c r="V58" s="471">
        <v>0</v>
      </c>
      <c r="W58" s="471">
        <v>0</v>
      </c>
      <c r="X58" s="471">
        <v>129.90969572028581</v>
      </c>
      <c r="Y58" s="471">
        <v>0</v>
      </c>
      <c r="Z58" s="471">
        <v>2046.7378276120469</v>
      </c>
      <c r="AA58" s="471">
        <v>1437.8760352513671</v>
      </c>
      <c r="AB58" s="471">
        <v>434.7884194860244</v>
      </c>
      <c r="AC58" s="471">
        <v>142.53172594751132</v>
      </c>
      <c r="AD58" s="471">
        <v>17.546519292780751</v>
      </c>
      <c r="AE58" s="471">
        <v>335.35565942469236</v>
      </c>
      <c r="AF58" s="471">
        <v>0</v>
      </c>
      <c r="AG58" s="471">
        <v>306.1342976469503</v>
      </c>
      <c r="AH58" s="685">
        <f t="shared" si="3"/>
        <v>12755.595735289597</v>
      </c>
      <c r="AI58" s="472">
        <f t="shared" si="4"/>
        <v>13061.730032936546</v>
      </c>
      <c r="AJ58" s="472"/>
      <c r="AK58" s="472"/>
      <c r="AL58" s="570">
        <v>99.5</v>
      </c>
      <c r="AM58" s="570">
        <v>3414.1397752811472</v>
      </c>
      <c r="AN58" s="566">
        <v>0</v>
      </c>
      <c r="AO58" s="566">
        <f t="shared" si="5"/>
        <v>3513.6397752811472</v>
      </c>
    </row>
    <row r="59" spans="1:41" x14ac:dyDescent="0.3">
      <c r="A59" s="466">
        <v>150000555</v>
      </c>
      <c r="B59" s="467" t="s">
        <v>88</v>
      </c>
      <c r="C59" s="468">
        <v>175.5</v>
      </c>
      <c r="D59" s="473"/>
      <c r="E59" s="470"/>
      <c r="F59" s="470">
        <v>175.5</v>
      </c>
      <c r="G59" s="471">
        <v>0</v>
      </c>
      <c r="H59" s="471">
        <v>0</v>
      </c>
      <c r="I59" s="471">
        <v>0</v>
      </c>
      <c r="J59" s="471">
        <v>0</v>
      </c>
      <c r="K59" s="471">
        <v>0</v>
      </c>
      <c r="L59" s="471">
        <v>0</v>
      </c>
      <c r="M59" s="572">
        <f t="shared" si="1"/>
        <v>0</v>
      </c>
      <c r="N59" s="471">
        <v>0</v>
      </c>
      <c r="O59" s="471">
        <v>0</v>
      </c>
      <c r="P59" s="471">
        <v>0</v>
      </c>
      <c r="Q59" s="471">
        <v>23.675441072341243</v>
      </c>
      <c r="R59" s="572">
        <f t="shared" si="2"/>
        <v>223.90857655262732</v>
      </c>
      <c r="S59" s="471">
        <v>0</v>
      </c>
      <c r="T59" s="471">
        <v>0</v>
      </c>
      <c r="U59" s="471">
        <v>0</v>
      </c>
      <c r="V59" s="471">
        <v>0</v>
      </c>
      <c r="W59" s="471">
        <v>0</v>
      </c>
      <c r="X59" s="471">
        <v>0</v>
      </c>
      <c r="Y59" s="471">
        <v>0</v>
      </c>
      <c r="Z59" s="471">
        <v>0</v>
      </c>
      <c r="AA59" s="471">
        <v>0</v>
      </c>
      <c r="AB59" s="471">
        <v>0</v>
      </c>
      <c r="AC59" s="471">
        <v>0</v>
      </c>
      <c r="AD59" s="471">
        <v>0</v>
      </c>
      <c r="AE59" s="471">
        <v>0</v>
      </c>
      <c r="AF59" s="471">
        <v>0</v>
      </c>
      <c r="AG59" s="471">
        <v>0</v>
      </c>
      <c r="AH59" s="685">
        <f t="shared" si="3"/>
        <v>247.58401762496857</v>
      </c>
      <c r="AI59" s="472">
        <f t="shared" si="4"/>
        <v>247.58401762496857</v>
      </c>
      <c r="AJ59" s="472"/>
      <c r="AK59" s="472"/>
      <c r="AL59" s="570">
        <v>35.619999999999997</v>
      </c>
      <c r="AM59" s="570">
        <v>188.28857655262732</v>
      </c>
      <c r="AN59" s="566">
        <v>0</v>
      </c>
      <c r="AO59" s="566">
        <f t="shared" si="5"/>
        <v>223.90857655262732</v>
      </c>
    </row>
    <row r="60" spans="1:41" x14ac:dyDescent="0.3">
      <c r="A60" s="466">
        <v>150000556</v>
      </c>
      <c r="B60" s="467" t="s">
        <v>89</v>
      </c>
      <c r="C60" s="468">
        <v>181.9</v>
      </c>
      <c r="D60" s="473"/>
      <c r="E60" s="470"/>
      <c r="F60" s="470">
        <v>181.9</v>
      </c>
      <c r="G60" s="471">
        <v>0</v>
      </c>
      <c r="H60" s="471">
        <v>0</v>
      </c>
      <c r="I60" s="471">
        <v>0</v>
      </c>
      <c r="J60" s="471">
        <v>0</v>
      </c>
      <c r="K60" s="471">
        <v>0</v>
      </c>
      <c r="L60" s="471">
        <v>0</v>
      </c>
      <c r="M60" s="572">
        <f t="shared" si="1"/>
        <v>0</v>
      </c>
      <c r="N60" s="471">
        <v>0</v>
      </c>
      <c r="O60" s="471">
        <v>0</v>
      </c>
      <c r="P60" s="471">
        <v>0</v>
      </c>
      <c r="Q60" s="471">
        <v>27.621347917731452</v>
      </c>
      <c r="R60" s="572">
        <f t="shared" si="2"/>
        <v>212.97470192767403</v>
      </c>
      <c r="S60" s="471">
        <v>0</v>
      </c>
      <c r="T60" s="471">
        <v>0</v>
      </c>
      <c r="U60" s="471">
        <v>0</v>
      </c>
      <c r="V60" s="471">
        <v>0</v>
      </c>
      <c r="W60" s="471">
        <v>0</v>
      </c>
      <c r="X60" s="471">
        <v>0</v>
      </c>
      <c r="Y60" s="471">
        <v>0</v>
      </c>
      <c r="Z60" s="471">
        <v>0</v>
      </c>
      <c r="AA60" s="471">
        <v>0</v>
      </c>
      <c r="AB60" s="471">
        <v>0</v>
      </c>
      <c r="AC60" s="471">
        <v>0</v>
      </c>
      <c r="AD60" s="471">
        <v>0</v>
      </c>
      <c r="AE60" s="471">
        <v>0</v>
      </c>
      <c r="AF60" s="471">
        <v>0</v>
      </c>
      <c r="AG60" s="471">
        <v>7.2178814953621639</v>
      </c>
      <c r="AH60" s="685">
        <f t="shared" si="3"/>
        <v>240.59604984540545</v>
      </c>
      <c r="AI60" s="472">
        <f t="shared" si="4"/>
        <v>247.81393134076762</v>
      </c>
      <c r="AJ60" s="472"/>
      <c r="AK60" s="472"/>
      <c r="AL60" s="570">
        <v>40.49</v>
      </c>
      <c r="AM60" s="570">
        <v>172.48470192767402</v>
      </c>
      <c r="AN60" s="566">
        <v>0</v>
      </c>
      <c r="AO60" s="566">
        <f t="shared" si="5"/>
        <v>212.97470192767403</v>
      </c>
    </row>
    <row r="61" spans="1:41" x14ac:dyDescent="0.3">
      <c r="A61" s="466">
        <v>150000557</v>
      </c>
      <c r="B61" s="467" t="s">
        <v>90</v>
      </c>
      <c r="C61" s="468">
        <v>110.2</v>
      </c>
      <c r="D61" s="473"/>
      <c r="E61" s="470"/>
      <c r="F61" s="470">
        <v>110.2</v>
      </c>
      <c r="G61" s="471">
        <v>0</v>
      </c>
      <c r="H61" s="471">
        <v>0</v>
      </c>
      <c r="I61" s="471">
        <v>0</v>
      </c>
      <c r="J61" s="471">
        <v>0</v>
      </c>
      <c r="K61" s="471">
        <v>0</v>
      </c>
      <c r="L61" s="471">
        <v>0</v>
      </c>
      <c r="M61" s="572">
        <f t="shared" si="1"/>
        <v>0</v>
      </c>
      <c r="N61" s="471">
        <v>0</v>
      </c>
      <c r="O61" s="471">
        <v>0</v>
      </c>
      <c r="P61" s="471">
        <v>0</v>
      </c>
      <c r="Q61" s="471">
        <v>11.837720536170622</v>
      </c>
      <c r="R61" s="572">
        <f t="shared" si="2"/>
        <v>138.45003483151197</v>
      </c>
      <c r="S61" s="471">
        <v>0</v>
      </c>
      <c r="T61" s="471">
        <v>0</v>
      </c>
      <c r="U61" s="471">
        <v>0</v>
      </c>
      <c r="V61" s="471">
        <v>0</v>
      </c>
      <c r="W61" s="471">
        <v>0</v>
      </c>
      <c r="X61" s="471">
        <v>0</v>
      </c>
      <c r="Y61" s="471">
        <v>0</v>
      </c>
      <c r="Z61" s="471">
        <v>0</v>
      </c>
      <c r="AA61" s="471">
        <v>0</v>
      </c>
      <c r="AB61" s="471">
        <v>0</v>
      </c>
      <c r="AC61" s="471">
        <v>0</v>
      </c>
      <c r="AD61" s="471">
        <v>0</v>
      </c>
      <c r="AE61" s="471">
        <v>0</v>
      </c>
      <c r="AF61" s="471">
        <v>0</v>
      </c>
      <c r="AG61" s="471">
        <v>3.6069061288243818</v>
      </c>
      <c r="AH61" s="685">
        <f t="shared" si="3"/>
        <v>150.28775536768259</v>
      </c>
      <c r="AI61" s="472">
        <f t="shared" si="4"/>
        <v>153.89466149650698</v>
      </c>
      <c r="AJ61" s="472"/>
      <c r="AK61" s="472"/>
      <c r="AL61" s="570">
        <v>25.31</v>
      </c>
      <c r="AM61" s="570">
        <v>113.14003483151197</v>
      </c>
      <c r="AN61" s="566">
        <v>0</v>
      </c>
      <c r="AO61" s="566">
        <f t="shared" si="5"/>
        <v>138.45003483151197</v>
      </c>
    </row>
    <row r="62" spans="1:41" x14ac:dyDescent="0.3">
      <c r="A62" s="466">
        <v>150000561</v>
      </c>
      <c r="B62" s="467" t="s">
        <v>71</v>
      </c>
      <c r="C62" s="468">
        <v>128.1</v>
      </c>
      <c r="D62" s="473"/>
      <c r="E62" s="470"/>
      <c r="F62" s="470">
        <v>128.1</v>
      </c>
      <c r="G62" s="471">
        <v>0</v>
      </c>
      <c r="H62" s="471">
        <v>0</v>
      </c>
      <c r="I62" s="471">
        <v>0</v>
      </c>
      <c r="J62" s="471">
        <v>0</v>
      </c>
      <c r="K62" s="471">
        <v>0</v>
      </c>
      <c r="L62" s="471">
        <v>0</v>
      </c>
      <c r="M62" s="572">
        <f t="shared" si="1"/>
        <v>0</v>
      </c>
      <c r="N62" s="471">
        <v>0</v>
      </c>
      <c r="O62" s="471">
        <v>0</v>
      </c>
      <c r="P62" s="471">
        <v>0</v>
      </c>
      <c r="Q62" s="471">
        <v>39.45906845390207</v>
      </c>
      <c r="R62" s="572">
        <f t="shared" si="2"/>
        <v>114.78849404052102</v>
      </c>
      <c r="S62" s="471">
        <v>0</v>
      </c>
      <c r="T62" s="471">
        <v>0</v>
      </c>
      <c r="U62" s="471">
        <v>0</v>
      </c>
      <c r="V62" s="471">
        <v>0</v>
      </c>
      <c r="W62" s="471">
        <v>0</v>
      </c>
      <c r="X62" s="471">
        <v>0</v>
      </c>
      <c r="Y62" s="471">
        <v>0</v>
      </c>
      <c r="Z62" s="471">
        <v>16.748907527938258</v>
      </c>
      <c r="AA62" s="471">
        <v>0</v>
      </c>
      <c r="AB62" s="471">
        <v>13.774594642977101</v>
      </c>
      <c r="AC62" s="471">
        <v>0</v>
      </c>
      <c r="AD62" s="471">
        <v>0</v>
      </c>
      <c r="AE62" s="471">
        <v>0</v>
      </c>
      <c r="AF62" s="471">
        <v>0</v>
      </c>
      <c r="AG62" s="471">
        <v>3.3258791639760918</v>
      </c>
      <c r="AH62" s="685">
        <f t="shared" si="3"/>
        <v>184.77106466533843</v>
      </c>
      <c r="AI62" s="472">
        <f t="shared" si="4"/>
        <v>188.09694382931451</v>
      </c>
      <c r="AJ62" s="472"/>
      <c r="AK62" s="472"/>
      <c r="AL62" s="570">
        <v>16.41</v>
      </c>
      <c r="AM62" s="570">
        <v>98.378494040521019</v>
      </c>
      <c r="AN62" s="566">
        <v>0</v>
      </c>
      <c r="AO62" s="566">
        <f t="shared" si="5"/>
        <v>114.78849404052102</v>
      </c>
    </row>
    <row r="63" spans="1:41" x14ac:dyDescent="0.3">
      <c r="A63" s="466">
        <v>150000562</v>
      </c>
      <c r="B63" s="467" t="s">
        <v>73</v>
      </c>
      <c r="C63" s="468">
        <v>266.68</v>
      </c>
      <c r="D63" s="473"/>
      <c r="E63" s="470">
        <v>58.4</v>
      </c>
      <c r="F63" s="470">
        <v>325.08</v>
      </c>
      <c r="G63" s="471">
        <v>0</v>
      </c>
      <c r="H63" s="471">
        <v>0</v>
      </c>
      <c r="I63" s="471">
        <v>0</v>
      </c>
      <c r="J63" s="471">
        <v>0</v>
      </c>
      <c r="K63" s="471">
        <v>0</v>
      </c>
      <c r="L63" s="471">
        <v>0</v>
      </c>
      <c r="M63" s="572">
        <f t="shared" si="1"/>
        <v>0</v>
      </c>
      <c r="N63" s="471">
        <v>0</v>
      </c>
      <c r="O63" s="471">
        <v>0</v>
      </c>
      <c r="P63" s="471">
        <v>0</v>
      </c>
      <c r="Q63" s="471">
        <v>67.080416371633532</v>
      </c>
      <c r="R63" s="572">
        <f t="shared" si="2"/>
        <v>321.02347647785717</v>
      </c>
      <c r="S63" s="471">
        <v>0</v>
      </c>
      <c r="T63" s="471">
        <v>0</v>
      </c>
      <c r="U63" s="471">
        <v>0</v>
      </c>
      <c r="V63" s="471">
        <v>0</v>
      </c>
      <c r="W63" s="471">
        <v>0</v>
      </c>
      <c r="X63" s="471">
        <v>0</v>
      </c>
      <c r="Y63" s="471">
        <v>0</v>
      </c>
      <c r="Z63" s="471">
        <v>91.720207891090439</v>
      </c>
      <c r="AA63" s="471">
        <v>0</v>
      </c>
      <c r="AB63" s="471">
        <v>0</v>
      </c>
      <c r="AC63" s="471">
        <v>0</v>
      </c>
      <c r="AD63" s="471">
        <v>0</v>
      </c>
      <c r="AE63" s="471">
        <v>0</v>
      </c>
      <c r="AF63" s="471">
        <v>0</v>
      </c>
      <c r="AG63" s="471">
        <v>8.6368338133304601</v>
      </c>
      <c r="AH63" s="685">
        <f t="shared" si="3"/>
        <v>479.82410074058112</v>
      </c>
      <c r="AI63" s="472">
        <f t="shared" si="4"/>
        <v>488.46093455391156</v>
      </c>
      <c r="AJ63" s="472"/>
      <c r="AK63" s="472"/>
      <c r="AL63" s="570">
        <v>37.5</v>
      </c>
      <c r="AM63" s="570">
        <v>283.52347647785717</v>
      </c>
      <c r="AN63" s="566">
        <v>0</v>
      </c>
      <c r="AO63" s="566">
        <f t="shared" si="5"/>
        <v>321.02347647785717</v>
      </c>
    </row>
    <row r="64" spans="1:41" x14ac:dyDescent="0.3">
      <c r="A64" s="466">
        <v>150000566</v>
      </c>
      <c r="B64" s="467" t="s">
        <v>68</v>
      </c>
      <c r="C64" s="468">
        <v>397.8</v>
      </c>
      <c r="D64" s="473"/>
      <c r="E64" s="470"/>
      <c r="F64" s="470">
        <v>397.8</v>
      </c>
      <c r="G64" s="471">
        <v>0</v>
      </c>
      <c r="H64" s="471">
        <v>0</v>
      </c>
      <c r="I64" s="471">
        <v>0</v>
      </c>
      <c r="J64" s="471">
        <v>0</v>
      </c>
      <c r="K64" s="471">
        <v>0</v>
      </c>
      <c r="L64" s="471">
        <v>0</v>
      </c>
      <c r="M64" s="572">
        <f t="shared" si="1"/>
        <v>0</v>
      </c>
      <c r="N64" s="471">
        <v>0</v>
      </c>
      <c r="O64" s="471">
        <v>0</v>
      </c>
      <c r="P64" s="471">
        <v>0</v>
      </c>
      <c r="Q64" s="471">
        <v>55.242695835462904</v>
      </c>
      <c r="R64" s="572">
        <f t="shared" si="2"/>
        <v>537.60310085888705</v>
      </c>
      <c r="S64" s="471">
        <v>0</v>
      </c>
      <c r="T64" s="471">
        <v>0</v>
      </c>
      <c r="U64" s="471">
        <v>0</v>
      </c>
      <c r="V64" s="471">
        <v>0</v>
      </c>
      <c r="W64" s="471">
        <v>0</v>
      </c>
      <c r="X64" s="471">
        <v>0</v>
      </c>
      <c r="Y64" s="471">
        <v>0</v>
      </c>
      <c r="Z64" s="561">
        <f>71.7810322625925*0</f>
        <v>0</v>
      </c>
      <c r="AA64" s="471">
        <v>0</v>
      </c>
      <c r="AB64" s="471">
        <v>0</v>
      </c>
      <c r="AC64" s="471">
        <v>0</v>
      </c>
      <c r="AD64" s="471">
        <v>0</v>
      </c>
      <c r="AE64" s="471">
        <v>0</v>
      </c>
      <c r="AF64" s="471">
        <v>0</v>
      </c>
      <c r="AG64" s="471">
        <v>17.785374868708271</v>
      </c>
      <c r="AH64" s="685">
        <f t="shared" si="3"/>
        <v>592.84579669434993</v>
      </c>
      <c r="AI64" s="472">
        <f t="shared" si="4"/>
        <v>610.63117156305816</v>
      </c>
      <c r="AJ64" s="472" t="s">
        <v>1589</v>
      </c>
      <c r="AK64" s="472"/>
      <c r="AL64" s="570">
        <v>24.22</v>
      </c>
      <c r="AM64" s="570">
        <v>513.38310085888702</v>
      </c>
      <c r="AN64" s="566">
        <v>0</v>
      </c>
      <c r="AO64" s="566">
        <f t="shared" si="5"/>
        <v>537.60310085888705</v>
      </c>
    </row>
    <row r="65" spans="1:41" x14ac:dyDescent="0.3">
      <c r="A65" s="466">
        <v>150000567</v>
      </c>
      <c r="B65" s="467" t="s">
        <v>70</v>
      </c>
      <c r="C65" s="468">
        <v>134</v>
      </c>
      <c r="D65" s="473"/>
      <c r="E65" s="470"/>
      <c r="F65" s="470">
        <v>134</v>
      </c>
      <c r="G65" s="471">
        <v>0</v>
      </c>
      <c r="H65" s="471">
        <v>0</v>
      </c>
      <c r="I65" s="471">
        <v>0</v>
      </c>
      <c r="J65" s="471">
        <v>0</v>
      </c>
      <c r="K65" s="471">
        <v>0</v>
      </c>
      <c r="L65" s="471">
        <v>0</v>
      </c>
      <c r="M65" s="572">
        <f t="shared" si="1"/>
        <v>0</v>
      </c>
      <c r="N65" s="471">
        <v>0</v>
      </c>
      <c r="O65" s="471">
        <v>0</v>
      </c>
      <c r="P65" s="471">
        <v>0</v>
      </c>
      <c r="Q65" s="471">
        <v>23.675441072341243</v>
      </c>
      <c r="R65" s="572">
        <f t="shared" si="2"/>
        <v>136.85861270284198</v>
      </c>
      <c r="S65" s="471">
        <v>0</v>
      </c>
      <c r="T65" s="471">
        <v>0</v>
      </c>
      <c r="U65" s="471">
        <v>0</v>
      </c>
      <c r="V65" s="471">
        <v>0</v>
      </c>
      <c r="W65" s="471">
        <v>0</v>
      </c>
      <c r="X65" s="471">
        <v>0</v>
      </c>
      <c r="Y65" s="471">
        <v>0</v>
      </c>
      <c r="Z65" s="561">
        <f>35.8905161312963*0</f>
        <v>0</v>
      </c>
      <c r="AA65" s="471">
        <v>0</v>
      </c>
      <c r="AB65" s="471">
        <v>0</v>
      </c>
      <c r="AC65" s="471">
        <v>0</v>
      </c>
      <c r="AD65" s="471">
        <v>0</v>
      </c>
      <c r="AE65" s="471">
        <v>0</v>
      </c>
      <c r="AF65" s="471">
        <v>0</v>
      </c>
      <c r="AG65" s="471">
        <v>1.9264028388777539</v>
      </c>
      <c r="AH65" s="685">
        <f t="shared" si="3"/>
        <v>160.53405377518322</v>
      </c>
      <c r="AI65" s="472">
        <f t="shared" si="4"/>
        <v>162.46045661406097</v>
      </c>
      <c r="AJ65" s="472" t="s">
        <v>1589</v>
      </c>
      <c r="AK65" s="472"/>
      <c r="AL65" s="570">
        <v>25.61</v>
      </c>
      <c r="AM65" s="570">
        <v>111.248612702842</v>
      </c>
      <c r="AN65" s="566">
        <v>0</v>
      </c>
      <c r="AO65" s="566">
        <f t="shared" si="5"/>
        <v>136.85861270284198</v>
      </c>
    </row>
    <row r="66" spans="1:41" x14ac:dyDescent="0.3">
      <c r="A66" s="466">
        <v>150000569</v>
      </c>
      <c r="B66" s="467" t="s">
        <v>72</v>
      </c>
      <c r="C66" s="468">
        <v>245.6</v>
      </c>
      <c r="D66" s="473"/>
      <c r="E66" s="470"/>
      <c r="F66" s="470">
        <v>245.6</v>
      </c>
      <c r="G66" s="471">
        <v>0</v>
      </c>
      <c r="H66" s="471">
        <v>0</v>
      </c>
      <c r="I66" s="471">
        <v>0</v>
      </c>
      <c r="J66" s="471">
        <v>0</v>
      </c>
      <c r="K66" s="471">
        <v>0</v>
      </c>
      <c r="L66" s="471">
        <v>0</v>
      </c>
      <c r="M66" s="572">
        <f t="shared" si="1"/>
        <v>0</v>
      </c>
      <c r="N66" s="471">
        <v>0</v>
      </c>
      <c r="O66" s="471">
        <v>0</v>
      </c>
      <c r="P66" s="471">
        <v>0</v>
      </c>
      <c r="Q66" s="471">
        <v>51.296788990072692</v>
      </c>
      <c r="R66" s="572">
        <f t="shared" si="2"/>
        <v>312.88518667928395</v>
      </c>
      <c r="S66" s="471">
        <v>0</v>
      </c>
      <c r="T66" s="471">
        <v>0</v>
      </c>
      <c r="U66" s="471">
        <v>0</v>
      </c>
      <c r="V66" s="471">
        <v>0</v>
      </c>
      <c r="W66" s="471">
        <v>0</v>
      </c>
      <c r="X66" s="471">
        <v>0</v>
      </c>
      <c r="Y66" s="471">
        <v>0</v>
      </c>
      <c r="Z66" s="471">
        <v>25.920928317047299</v>
      </c>
      <c r="AA66" s="471">
        <v>0</v>
      </c>
      <c r="AB66" s="471">
        <v>0</v>
      </c>
      <c r="AC66" s="471">
        <v>0</v>
      </c>
      <c r="AD66" s="471">
        <v>0</v>
      </c>
      <c r="AE66" s="471">
        <v>0</v>
      </c>
      <c r="AF66" s="471">
        <v>0</v>
      </c>
      <c r="AG66" s="471">
        <v>7.0218522717552707</v>
      </c>
      <c r="AH66" s="685">
        <f t="shared" si="3"/>
        <v>390.10290398640393</v>
      </c>
      <c r="AI66" s="472">
        <f t="shared" si="4"/>
        <v>397.12475625815921</v>
      </c>
      <c r="AJ66" s="472"/>
      <c r="AK66" s="472"/>
      <c r="AL66" s="570">
        <v>33.74</v>
      </c>
      <c r="AM66" s="570">
        <v>279.14518667928394</v>
      </c>
      <c r="AN66" s="566">
        <v>0</v>
      </c>
      <c r="AO66" s="566">
        <f t="shared" si="5"/>
        <v>312.88518667928395</v>
      </c>
    </row>
    <row r="67" spans="1:41" x14ac:dyDescent="0.3">
      <c r="A67" s="466">
        <v>150000570</v>
      </c>
      <c r="B67" s="467" t="s">
        <v>74</v>
      </c>
      <c r="C67" s="468">
        <v>282.8</v>
      </c>
      <c r="D67" s="473"/>
      <c r="E67" s="470"/>
      <c r="F67" s="470">
        <v>282.8</v>
      </c>
      <c r="G67" s="471">
        <v>0</v>
      </c>
      <c r="H67" s="471">
        <v>0</v>
      </c>
      <c r="I67" s="471">
        <v>0</v>
      </c>
      <c r="J67" s="471">
        <v>0</v>
      </c>
      <c r="K67" s="471">
        <v>0</v>
      </c>
      <c r="L67" s="471">
        <v>0</v>
      </c>
      <c r="M67" s="572">
        <f t="shared" si="1"/>
        <v>0</v>
      </c>
      <c r="N67" s="471">
        <v>0</v>
      </c>
      <c r="O67" s="471">
        <v>0</v>
      </c>
      <c r="P67" s="471">
        <v>0</v>
      </c>
      <c r="Q67" s="471">
        <v>39.45906845390207</v>
      </c>
      <c r="R67" s="572">
        <f t="shared" si="2"/>
        <v>237.84650010309687</v>
      </c>
      <c r="S67" s="471">
        <v>0</v>
      </c>
      <c r="T67" s="471">
        <v>0</v>
      </c>
      <c r="U67" s="471">
        <v>0</v>
      </c>
      <c r="V67" s="471">
        <v>0</v>
      </c>
      <c r="W67" s="471">
        <v>0</v>
      </c>
      <c r="X67" s="471">
        <v>0</v>
      </c>
      <c r="Y67" s="471">
        <v>0</v>
      </c>
      <c r="Z67" s="471">
        <v>103.68371326818919</v>
      </c>
      <c r="AA67" s="471">
        <v>0</v>
      </c>
      <c r="AB67" s="471">
        <v>0</v>
      </c>
      <c r="AC67" s="471">
        <v>0</v>
      </c>
      <c r="AD67" s="471">
        <v>0</v>
      </c>
      <c r="AE67" s="471">
        <v>0</v>
      </c>
      <c r="AF67" s="471">
        <v>0</v>
      </c>
      <c r="AG67" s="471">
        <v>11.429678454755646</v>
      </c>
      <c r="AH67" s="685">
        <f t="shared" si="3"/>
        <v>380.98928182518819</v>
      </c>
      <c r="AI67" s="472">
        <f t="shared" si="4"/>
        <v>392.4189602799438</v>
      </c>
      <c r="AJ67" s="472"/>
      <c r="AK67" s="472"/>
      <c r="AL67" s="570">
        <v>17.18</v>
      </c>
      <c r="AM67" s="570">
        <v>220.66650010309687</v>
      </c>
      <c r="AN67" s="566">
        <v>0</v>
      </c>
      <c r="AO67" s="566">
        <f t="shared" si="5"/>
        <v>237.84650010309687</v>
      </c>
    </row>
    <row r="68" spans="1:41" x14ac:dyDescent="0.3">
      <c r="A68" s="466">
        <v>150000571</v>
      </c>
      <c r="B68" s="467" t="s">
        <v>69</v>
      </c>
      <c r="C68" s="468">
        <v>238.6</v>
      </c>
      <c r="D68" s="473"/>
      <c r="E68" s="470"/>
      <c r="F68" s="470">
        <v>238.6</v>
      </c>
      <c r="G68" s="471">
        <v>0</v>
      </c>
      <c r="H68" s="471">
        <v>0</v>
      </c>
      <c r="I68" s="471">
        <v>0</v>
      </c>
      <c r="J68" s="471">
        <v>0</v>
      </c>
      <c r="K68" s="471">
        <v>0</v>
      </c>
      <c r="L68" s="471">
        <v>0</v>
      </c>
      <c r="M68" s="572">
        <f t="shared" si="1"/>
        <v>0</v>
      </c>
      <c r="N68" s="471">
        <v>0</v>
      </c>
      <c r="O68" s="471">
        <v>0</v>
      </c>
      <c r="P68" s="471">
        <v>0</v>
      </c>
      <c r="Q68" s="471">
        <v>59.188602680853108</v>
      </c>
      <c r="R68" s="572">
        <f t="shared" si="2"/>
        <v>346.18644307499596</v>
      </c>
      <c r="S68" s="471">
        <v>0</v>
      </c>
      <c r="T68" s="471">
        <v>0</v>
      </c>
      <c r="U68" s="471">
        <v>0</v>
      </c>
      <c r="V68" s="471">
        <v>0</v>
      </c>
      <c r="W68" s="471">
        <v>0</v>
      </c>
      <c r="X68" s="471">
        <v>0</v>
      </c>
      <c r="Y68" s="471">
        <v>0</v>
      </c>
      <c r="Z68" s="561">
        <f>109.665465956739*0</f>
        <v>0</v>
      </c>
      <c r="AA68" s="471">
        <v>0</v>
      </c>
      <c r="AB68" s="471">
        <v>0</v>
      </c>
      <c r="AC68" s="471">
        <v>0</v>
      </c>
      <c r="AD68" s="471">
        <v>0</v>
      </c>
      <c r="AE68" s="471">
        <v>0</v>
      </c>
      <c r="AF68" s="471">
        <v>0</v>
      </c>
      <c r="AG68" s="471">
        <v>12.161265351377624</v>
      </c>
      <c r="AH68" s="685">
        <f t="shared" si="3"/>
        <v>405.3750457558491</v>
      </c>
      <c r="AI68" s="472">
        <f t="shared" si="4"/>
        <v>417.53631110722671</v>
      </c>
      <c r="AJ68" s="472" t="s">
        <v>1589</v>
      </c>
      <c r="AK68" s="472"/>
      <c r="AL68" s="570">
        <v>21.22</v>
      </c>
      <c r="AM68" s="570">
        <v>324.96644307499599</v>
      </c>
      <c r="AN68" s="566">
        <v>0</v>
      </c>
      <c r="AO68" s="566">
        <f t="shared" si="5"/>
        <v>346.18644307499596</v>
      </c>
    </row>
    <row r="69" spans="1:41" x14ac:dyDescent="0.3">
      <c r="A69" s="466">
        <v>150000572</v>
      </c>
      <c r="B69" s="467" t="s">
        <v>152</v>
      </c>
      <c r="C69" s="468">
        <v>171.6</v>
      </c>
      <c r="D69" s="469"/>
      <c r="E69" s="470"/>
      <c r="F69" s="470">
        <v>171.6</v>
      </c>
      <c r="G69" s="471">
        <v>90.028235945316339</v>
      </c>
      <c r="H69" s="471">
        <v>16.890871816457281</v>
      </c>
      <c r="I69" s="471">
        <v>0</v>
      </c>
      <c r="J69" s="471">
        <v>0</v>
      </c>
      <c r="K69" s="471">
        <v>0</v>
      </c>
      <c r="L69" s="471">
        <v>2.421008240106258</v>
      </c>
      <c r="M69" s="572">
        <f t="shared" si="1"/>
        <v>0</v>
      </c>
      <c r="N69" s="471">
        <v>61.14439092481755</v>
      </c>
      <c r="O69" s="471">
        <v>0</v>
      </c>
      <c r="P69" s="471">
        <v>0</v>
      </c>
      <c r="Q69" s="471">
        <v>39.45906845390207</v>
      </c>
      <c r="R69" s="572">
        <f t="shared" si="2"/>
        <v>261.18969800863181</v>
      </c>
      <c r="S69" s="471">
        <v>16.856310403077803</v>
      </c>
      <c r="T69" s="471">
        <v>21.777822683201602</v>
      </c>
      <c r="U69" s="471">
        <v>0</v>
      </c>
      <c r="V69" s="471">
        <v>0</v>
      </c>
      <c r="W69" s="471">
        <v>0</v>
      </c>
      <c r="X69" s="471">
        <v>0</v>
      </c>
      <c r="Y69" s="471">
        <v>4.9458783600848655</v>
      </c>
      <c r="Z69" s="471">
        <v>7.9756702513991691</v>
      </c>
      <c r="AA69" s="471">
        <v>11.833202317873237</v>
      </c>
      <c r="AB69" s="471">
        <v>6.5593307823700489</v>
      </c>
      <c r="AC69" s="471">
        <v>0</v>
      </c>
      <c r="AD69" s="471">
        <v>0</v>
      </c>
      <c r="AE69" s="471">
        <v>1.5597937647660113E-4</v>
      </c>
      <c r="AF69" s="471">
        <v>0</v>
      </c>
      <c r="AG69" s="471">
        <v>16.232449324998434</v>
      </c>
      <c r="AH69" s="685">
        <f t="shared" si="3"/>
        <v>541.08164416661441</v>
      </c>
      <c r="AI69" s="472">
        <f t="shared" si="4"/>
        <v>557.31409349161288</v>
      </c>
      <c r="AJ69" s="472"/>
      <c r="AK69" s="472"/>
      <c r="AL69" s="570">
        <v>8.69</v>
      </c>
      <c r="AM69" s="570">
        <v>252.49969800863181</v>
      </c>
      <c r="AN69" s="566">
        <v>0</v>
      </c>
      <c r="AO69" s="566">
        <f t="shared" si="5"/>
        <v>261.18969800863181</v>
      </c>
    </row>
    <row r="70" spans="1:41" x14ac:dyDescent="0.3">
      <c r="A70" s="466">
        <v>150000573</v>
      </c>
      <c r="B70" s="467" t="s">
        <v>75</v>
      </c>
      <c r="C70" s="468">
        <v>151.6</v>
      </c>
      <c r="D70" s="473"/>
      <c r="E70" s="470"/>
      <c r="F70" s="470">
        <v>151.6</v>
      </c>
      <c r="G70" s="471">
        <v>0</v>
      </c>
      <c r="H70" s="471">
        <v>0</v>
      </c>
      <c r="I70" s="471">
        <v>0</v>
      </c>
      <c r="J70" s="471">
        <v>0</v>
      </c>
      <c r="K70" s="471">
        <v>0</v>
      </c>
      <c r="L70" s="471">
        <v>0</v>
      </c>
      <c r="M70" s="572">
        <f t="shared" ref="M70:M133" si="6">AN70</f>
        <v>0</v>
      </c>
      <c r="N70" s="471">
        <v>0</v>
      </c>
      <c r="O70" s="471">
        <v>0</v>
      </c>
      <c r="P70" s="471">
        <v>0</v>
      </c>
      <c r="Q70" s="471">
        <v>23.675441072341243</v>
      </c>
      <c r="R70" s="572">
        <f t="shared" ref="R70:R133" si="7">AO70</f>
        <v>129.97331681730873</v>
      </c>
      <c r="S70" s="471">
        <v>0</v>
      </c>
      <c r="T70" s="471">
        <v>0</v>
      </c>
      <c r="U70" s="471">
        <v>0</v>
      </c>
      <c r="V70" s="471">
        <v>0</v>
      </c>
      <c r="W70" s="471">
        <v>0</v>
      </c>
      <c r="X70" s="471">
        <v>0</v>
      </c>
      <c r="Y70" s="471">
        <v>0</v>
      </c>
      <c r="Z70" s="471">
        <v>45.86010394554522</v>
      </c>
      <c r="AA70" s="471">
        <v>0</v>
      </c>
      <c r="AB70" s="471">
        <v>0</v>
      </c>
      <c r="AC70" s="471">
        <v>0</v>
      </c>
      <c r="AD70" s="471">
        <v>0</v>
      </c>
      <c r="AE70" s="471">
        <v>0</v>
      </c>
      <c r="AF70" s="471">
        <v>0</v>
      </c>
      <c r="AG70" s="471">
        <v>5.9852658550558564</v>
      </c>
      <c r="AH70" s="685">
        <f t="shared" ref="AH70:AH133" si="8">SUM(G70:AG70)-AG70</f>
        <v>199.50886183519521</v>
      </c>
      <c r="AI70" s="472">
        <f t="shared" ref="AI70:AI133" si="9">G70+H70+I70+J70+K70+L70+M70+N70+O70+P70+Q70+R70+S70+T70+U70+V70+W70+X70+Y70+Z70+AA70+AB70+AC70+AD70+AE70+AF70+AG70</f>
        <v>205.49412769025105</v>
      </c>
      <c r="AJ70" s="472"/>
      <c r="AK70" s="472"/>
      <c r="AL70" s="570">
        <v>19.34</v>
      </c>
      <c r="AM70" s="570">
        <v>110.63331681730872</v>
      </c>
      <c r="AN70" s="566">
        <v>0</v>
      </c>
      <c r="AO70" s="566">
        <f t="shared" ref="AO70:AO133" si="10">AL70+AM70</f>
        <v>129.97331681730873</v>
      </c>
    </row>
    <row r="71" spans="1:41" x14ac:dyDescent="0.3">
      <c r="A71" s="466">
        <v>150000578</v>
      </c>
      <c r="B71" s="467" t="s">
        <v>83</v>
      </c>
      <c r="C71" s="468">
        <v>173.75</v>
      </c>
      <c r="D71" s="473"/>
      <c r="E71" s="470"/>
      <c r="F71" s="470">
        <v>173.75</v>
      </c>
      <c r="G71" s="471">
        <v>0</v>
      </c>
      <c r="H71" s="471">
        <v>0</v>
      </c>
      <c r="I71" s="471">
        <v>0</v>
      </c>
      <c r="J71" s="471">
        <v>0</v>
      </c>
      <c r="K71" s="471">
        <v>0</v>
      </c>
      <c r="L71" s="471">
        <v>0</v>
      </c>
      <c r="M71" s="572">
        <f t="shared" si="6"/>
        <v>0</v>
      </c>
      <c r="N71" s="471">
        <v>0</v>
      </c>
      <c r="O71" s="471">
        <v>0</v>
      </c>
      <c r="P71" s="471">
        <v>0</v>
      </c>
      <c r="Q71" s="471">
        <v>15.783627381560828</v>
      </c>
      <c r="R71" s="572">
        <f t="shared" si="7"/>
        <v>207.43272858864046</v>
      </c>
      <c r="S71" s="471">
        <v>0</v>
      </c>
      <c r="T71" s="471">
        <v>0</v>
      </c>
      <c r="U71" s="471">
        <v>0</v>
      </c>
      <c r="V71" s="471">
        <v>0</v>
      </c>
      <c r="W71" s="471">
        <v>0</v>
      </c>
      <c r="X71" s="471">
        <v>0</v>
      </c>
      <c r="Y71" s="471">
        <v>0</v>
      </c>
      <c r="Z71" s="471">
        <v>7.9756702513991691</v>
      </c>
      <c r="AA71" s="471">
        <v>0</v>
      </c>
      <c r="AB71" s="471">
        <v>0</v>
      </c>
      <c r="AC71" s="471">
        <v>0</v>
      </c>
      <c r="AD71" s="471">
        <v>0</v>
      </c>
      <c r="AE71" s="471">
        <v>0</v>
      </c>
      <c r="AF71" s="471">
        <v>0</v>
      </c>
      <c r="AG71" s="471">
        <v>4.1614564719888083</v>
      </c>
      <c r="AH71" s="685">
        <f t="shared" si="8"/>
        <v>231.19202622160046</v>
      </c>
      <c r="AI71" s="472">
        <f t="shared" si="9"/>
        <v>235.35348269358926</v>
      </c>
      <c r="AJ71" s="472"/>
      <c r="AK71" s="472"/>
      <c r="AL71" s="570">
        <v>33.74</v>
      </c>
      <c r="AM71" s="570">
        <v>173.69272858864045</v>
      </c>
      <c r="AN71" s="566">
        <v>0</v>
      </c>
      <c r="AO71" s="566">
        <f t="shared" si="10"/>
        <v>207.43272858864046</v>
      </c>
    </row>
    <row r="72" spans="1:41" x14ac:dyDescent="0.3">
      <c r="A72" s="466">
        <v>150000580</v>
      </c>
      <c r="B72" s="467" t="s">
        <v>84</v>
      </c>
      <c r="C72" s="468">
        <v>188.4</v>
      </c>
      <c r="D72" s="473"/>
      <c r="E72" s="470"/>
      <c r="F72" s="470">
        <v>188.4</v>
      </c>
      <c r="G72" s="471">
        <v>0</v>
      </c>
      <c r="H72" s="471">
        <v>0</v>
      </c>
      <c r="I72" s="471">
        <v>0</v>
      </c>
      <c r="J72" s="471">
        <v>0</v>
      </c>
      <c r="K72" s="471">
        <v>0</v>
      </c>
      <c r="L72" s="471">
        <v>0</v>
      </c>
      <c r="M72" s="572">
        <f t="shared" si="6"/>
        <v>0</v>
      </c>
      <c r="N72" s="471">
        <v>0</v>
      </c>
      <c r="O72" s="471">
        <v>0</v>
      </c>
      <c r="P72" s="471">
        <v>0</v>
      </c>
      <c r="Q72" s="471">
        <v>11.837720536170622</v>
      </c>
      <c r="R72" s="572">
        <f t="shared" si="7"/>
        <v>175.05605250514412</v>
      </c>
      <c r="S72" s="471">
        <v>0</v>
      </c>
      <c r="T72" s="471">
        <v>0</v>
      </c>
      <c r="U72" s="471">
        <v>0</v>
      </c>
      <c r="V72" s="471">
        <v>0</v>
      </c>
      <c r="W72" s="471">
        <v>0</v>
      </c>
      <c r="X72" s="471">
        <v>0</v>
      </c>
      <c r="Y72" s="471">
        <v>0</v>
      </c>
      <c r="Z72" s="471">
        <v>15.951340502798338</v>
      </c>
      <c r="AA72" s="471">
        <v>0</v>
      </c>
      <c r="AB72" s="471">
        <v>0</v>
      </c>
      <c r="AC72" s="471">
        <v>0</v>
      </c>
      <c r="AD72" s="471">
        <v>0</v>
      </c>
      <c r="AE72" s="471">
        <v>0</v>
      </c>
      <c r="AF72" s="471">
        <v>0</v>
      </c>
      <c r="AG72" s="471">
        <v>6.0853534063233914</v>
      </c>
      <c r="AH72" s="685">
        <f t="shared" si="8"/>
        <v>202.84511354411308</v>
      </c>
      <c r="AI72" s="472">
        <f t="shared" si="9"/>
        <v>208.93046695043645</v>
      </c>
      <c r="AJ72" s="472"/>
      <c r="AK72" s="472"/>
      <c r="AL72" s="570">
        <v>13.08</v>
      </c>
      <c r="AM72" s="570">
        <v>161.97605250514411</v>
      </c>
      <c r="AN72" s="566">
        <v>0</v>
      </c>
      <c r="AO72" s="566">
        <f t="shared" si="10"/>
        <v>175.05605250514412</v>
      </c>
    </row>
    <row r="73" spans="1:41" x14ac:dyDescent="0.3">
      <c r="A73" s="466">
        <v>150000587</v>
      </c>
      <c r="B73" s="467" t="s">
        <v>82</v>
      </c>
      <c r="C73" s="468">
        <v>121</v>
      </c>
      <c r="D73" s="473"/>
      <c r="E73" s="470"/>
      <c r="F73" s="470">
        <v>121</v>
      </c>
      <c r="G73" s="471">
        <v>0</v>
      </c>
      <c r="H73" s="471">
        <v>0</v>
      </c>
      <c r="I73" s="471">
        <v>0</v>
      </c>
      <c r="J73" s="471">
        <v>0</v>
      </c>
      <c r="K73" s="471">
        <v>0</v>
      </c>
      <c r="L73" s="471">
        <v>0</v>
      </c>
      <c r="M73" s="572">
        <f t="shared" si="6"/>
        <v>0</v>
      </c>
      <c r="N73" s="471">
        <v>0</v>
      </c>
      <c r="O73" s="471">
        <v>0</v>
      </c>
      <c r="P73" s="471">
        <v>0</v>
      </c>
      <c r="Q73" s="471">
        <v>11.837720536170622</v>
      </c>
      <c r="R73" s="572">
        <f t="shared" si="7"/>
        <v>140.36063808529701</v>
      </c>
      <c r="S73" s="471">
        <v>0</v>
      </c>
      <c r="T73" s="471">
        <v>0</v>
      </c>
      <c r="U73" s="471">
        <v>0</v>
      </c>
      <c r="V73" s="471">
        <v>0</v>
      </c>
      <c r="W73" s="471">
        <v>0</v>
      </c>
      <c r="X73" s="471">
        <v>0</v>
      </c>
      <c r="Y73" s="471">
        <v>0</v>
      </c>
      <c r="Z73" s="471">
        <v>11.963505377098754</v>
      </c>
      <c r="AA73" s="471">
        <v>0</v>
      </c>
      <c r="AB73" s="471">
        <v>0</v>
      </c>
      <c r="AC73" s="471">
        <v>0</v>
      </c>
      <c r="AD73" s="471">
        <v>0</v>
      </c>
      <c r="AE73" s="471">
        <v>0</v>
      </c>
      <c r="AF73" s="471">
        <v>0</v>
      </c>
      <c r="AG73" s="471">
        <v>4.9248559199569923</v>
      </c>
      <c r="AH73" s="685">
        <f t="shared" si="8"/>
        <v>164.16186399856639</v>
      </c>
      <c r="AI73" s="472">
        <f t="shared" si="9"/>
        <v>169.08671991852339</v>
      </c>
      <c r="AJ73" s="472"/>
      <c r="AK73" s="472"/>
      <c r="AL73" s="570">
        <v>16.96</v>
      </c>
      <c r="AM73" s="570">
        <v>123.400638085297</v>
      </c>
      <c r="AN73" s="566">
        <v>0</v>
      </c>
      <c r="AO73" s="566">
        <f t="shared" si="10"/>
        <v>140.36063808529701</v>
      </c>
    </row>
    <row r="74" spans="1:41" x14ac:dyDescent="0.3">
      <c r="A74" s="466">
        <v>150000590</v>
      </c>
      <c r="B74" s="467" t="s">
        <v>163</v>
      </c>
      <c r="C74" s="468">
        <v>373.5</v>
      </c>
      <c r="D74" s="469"/>
      <c r="E74" s="470"/>
      <c r="F74" s="470">
        <v>373.5</v>
      </c>
      <c r="G74" s="471">
        <v>174.85429576924872</v>
      </c>
      <c r="H74" s="471">
        <v>34.989863045050427</v>
      </c>
      <c r="I74" s="471">
        <v>0</v>
      </c>
      <c r="J74" s="471">
        <v>0</v>
      </c>
      <c r="K74" s="471">
        <v>0</v>
      </c>
      <c r="L74" s="471">
        <v>56.201712178453114</v>
      </c>
      <c r="M74" s="572">
        <f t="shared" si="6"/>
        <v>0</v>
      </c>
      <c r="N74" s="471">
        <v>133.08525647097528</v>
      </c>
      <c r="O74" s="471">
        <v>0</v>
      </c>
      <c r="P74" s="471">
        <v>0</v>
      </c>
      <c r="Q74" s="471">
        <v>126.26901905248663</v>
      </c>
      <c r="R74" s="572">
        <f t="shared" si="7"/>
        <v>396.36369947291575</v>
      </c>
      <c r="S74" s="471">
        <v>32.641676890027298</v>
      </c>
      <c r="T74" s="471">
        <v>45.119130001311447</v>
      </c>
      <c r="U74" s="471">
        <v>0</v>
      </c>
      <c r="V74" s="471">
        <v>0</v>
      </c>
      <c r="W74" s="471">
        <v>0</v>
      </c>
      <c r="X74" s="471">
        <v>7.6108570135763136</v>
      </c>
      <c r="Y74" s="471">
        <v>0</v>
      </c>
      <c r="Z74" s="471">
        <v>27.914845879897086</v>
      </c>
      <c r="AA74" s="471">
        <v>29.192474041356938</v>
      </c>
      <c r="AB74" s="471">
        <v>22.957657738295161</v>
      </c>
      <c r="AC74" s="471">
        <v>25.36893144551577</v>
      </c>
      <c r="AD74" s="471">
        <v>3.1230692120426613</v>
      </c>
      <c r="AE74" s="471">
        <v>1.5597937647660114</v>
      </c>
      <c r="AF74" s="471">
        <v>0</v>
      </c>
      <c r="AG74" s="471">
        <v>33.517568459277562</v>
      </c>
      <c r="AH74" s="685">
        <f t="shared" si="8"/>
        <v>1117.2522819759188</v>
      </c>
      <c r="AI74" s="472">
        <f t="shared" si="9"/>
        <v>1150.7698504351963</v>
      </c>
      <c r="AJ74" s="472"/>
      <c r="AK74" s="472"/>
      <c r="AL74" s="570">
        <v>35.04</v>
      </c>
      <c r="AM74" s="570">
        <v>361.32369947291573</v>
      </c>
      <c r="AN74" s="566">
        <v>0</v>
      </c>
      <c r="AO74" s="566">
        <f t="shared" si="10"/>
        <v>396.36369947291575</v>
      </c>
    </row>
    <row r="75" spans="1:41" x14ac:dyDescent="0.3">
      <c r="A75" s="466">
        <v>150000591</v>
      </c>
      <c r="B75" s="467" t="s">
        <v>191</v>
      </c>
      <c r="C75" s="468">
        <v>148.4</v>
      </c>
      <c r="D75" s="469"/>
      <c r="E75" s="470"/>
      <c r="F75" s="470">
        <v>148.4</v>
      </c>
      <c r="G75" s="471">
        <v>79.025160948322622</v>
      </c>
      <c r="H75" s="471">
        <v>13.635756713463941</v>
      </c>
      <c r="I75" s="471">
        <v>20.64</v>
      </c>
      <c r="J75" s="471">
        <v>6.22</v>
      </c>
      <c r="K75" s="471">
        <v>0</v>
      </c>
      <c r="L75" s="471">
        <v>39.836383757211344</v>
      </c>
      <c r="M75" s="572">
        <f t="shared" si="6"/>
        <v>0</v>
      </c>
      <c r="N75" s="471">
        <v>52.877783293956441</v>
      </c>
      <c r="O75" s="471">
        <v>0</v>
      </c>
      <c r="P75" s="471">
        <v>0</v>
      </c>
      <c r="Q75" s="471">
        <v>15.783627381560828</v>
      </c>
      <c r="R75" s="572">
        <f t="shared" si="7"/>
        <v>288.70103503381648</v>
      </c>
      <c r="S75" s="471">
        <v>17.250686106685936</v>
      </c>
      <c r="T75" s="471">
        <v>17.553362605408829</v>
      </c>
      <c r="U75" s="471">
        <v>5.731808052984241</v>
      </c>
      <c r="V75" s="471">
        <v>8.9784139052537455</v>
      </c>
      <c r="W75" s="471">
        <v>0</v>
      </c>
      <c r="X75" s="471">
        <v>4.9307102280809767</v>
      </c>
      <c r="Y75" s="471">
        <v>0</v>
      </c>
      <c r="Z75" s="471">
        <v>0</v>
      </c>
      <c r="AA75" s="471">
        <v>15.152271260691339</v>
      </c>
      <c r="AB75" s="471">
        <v>0</v>
      </c>
      <c r="AC75" s="471">
        <v>0</v>
      </c>
      <c r="AD75" s="471">
        <v>0</v>
      </c>
      <c r="AE75" s="471">
        <v>9.3587625885960666</v>
      </c>
      <c r="AF75" s="471">
        <v>0</v>
      </c>
      <c r="AG75" s="471">
        <v>0</v>
      </c>
      <c r="AH75" s="685">
        <f t="shared" si="8"/>
        <v>595.67576187603277</v>
      </c>
      <c r="AI75" s="472">
        <f t="shared" si="9"/>
        <v>595.67576187603277</v>
      </c>
      <c r="AJ75" s="472"/>
      <c r="AK75" s="472"/>
      <c r="AL75" s="570">
        <v>16.829999999999998</v>
      </c>
      <c r="AM75" s="570">
        <v>271.8710350338165</v>
      </c>
      <c r="AN75" s="566">
        <v>0</v>
      </c>
      <c r="AO75" s="566">
        <f t="shared" si="10"/>
        <v>288.70103503381648</v>
      </c>
    </row>
    <row r="76" spans="1:41" x14ac:dyDescent="0.3">
      <c r="A76" s="466">
        <v>150000592</v>
      </c>
      <c r="B76" s="467" t="s">
        <v>353</v>
      </c>
      <c r="C76" s="468">
        <v>9698.4</v>
      </c>
      <c r="D76" s="469">
        <v>1110</v>
      </c>
      <c r="E76" s="470">
        <v>39.4</v>
      </c>
      <c r="F76" s="470">
        <v>9737.7999999999993</v>
      </c>
      <c r="G76" s="471">
        <v>2065.1941610670465</v>
      </c>
      <c r="H76" s="471">
        <v>343.38819601789294</v>
      </c>
      <c r="I76" s="471">
        <v>1258.05</v>
      </c>
      <c r="J76" s="471">
        <v>261.92</v>
      </c>
      <c r="K76" s="471">
        <v>384.16119931305292</v>
      </c>
      <c r="L76" s="471">
        <v>1803.5884696215116</v>
      </c>
      <c r="M76" s="572">
        <f t="shared" si="6"/>
        <v>0</v>
      </c>
      <c r="N76" s="471">
        <v>3469.7660253361792</v>
      </c>
      <c r="O76" s="471">
        <v>6303.0486137312137</v>
      </c>
      <c r="P76" s="471">
        <v>526.14071962364369</v>
      </c>
      <c r="Q76" s="471">
        <v>591.88602680853114</v>
      </c>
      <c r="R76" s="572">
        <f t="shared" si="7"/>
        <v>14882.870985224588</v>
      </c>
      <c r="S76" s="471">
        <v>101.03495302517592</v>
      </c>
      <c r="T76" s="471">
        <v>137.36446270309173</v>
      </c>
      <c r="U76" s="471">
        <v>170.59280779378611</v>
      </c>
      <c r="V76" s="471">
        <v>71.041347984537339</v>
      </c>
      <c r="W76" s="471">
        <v>116.92661838614831</v>
      </c>
      <c r="X76" s="471">
        <v>133.90819147261246</v>
      </c>
      <c r="Y76" s="471">
        <v>93.691279530941856</v>
      </c>
      <c r="Z76" s="471">
        <v>10779.973857151257</v>
      </c>
      <c r="AA76" s="471">
        <v>7173.1218399410254</v>
      </c>
      <c r="AB76" s="471">
        <v>2596.7809044302167</v>
      </c>
      <c r="AC76" s="471">
        <v>248.54199503142988</v>
      </c>
      <c r="AD76" s="471">
        <v>30.597025903490422</v>
      </c>
      <c r="AE76" s="471">
        <v>1923.2257119564918</v>
      </c>
      <c r="AF76" s="471">
        <v>2882.498877287589</v>
      </c>
      <c r="AG76" s="471">
        <v>1750.4794280802435</v>
      </c>
      <c r="AH76" s="685">
        <f t="shared" si="8"/>
        <v>58349.314269341456</v>
      </c>
      <c r="AI76" s="472">
        <f t="shared" si="9"/>
        <v>60099.793697421701</v>
      </c>
      <c r="AJ76" s="472"/>
      <c r="AK76" s="472"/>
      <c r="AL76" s="570">
        <v>71.59</v>
      </c>
      <c r="AM76" s="570">
        <v>14811.280985224588</v>
      </c>
      <c r="AN76" s="566">
        <v>0</v>
      </c>
      <c r="AO76" s="566">
        <f t="shared" si="10"/>
        <v>14882.870985224588</v>
      </c>
    </row>
    <row r="77" spans="1:41" x14ac:dyDescent="0.3">
      <c r="A77" s="466">
        <v>150000593</v>
      </c>
      <c r="B77" s="467" t="s">
        <v>255</v>
      </c>
      <c r="C77" s="468">
        <v>1780.57</v>
      </c>
      <c r="D77" s="469"/>
      <c r="E77" s="470">
        <v>118.5</v>
      </c>
      <c r="F77" s="470">
        <v>1899.07</v>
      </c>
      <c r="G77" s="471">
        <v>516.61753032764591</v>
      </c>
      <c r="H77" s="471">
        <v>97.57198272548186</v>
      </c>
      <c r="I77" s="471">
        <v>234.24</v>
      </c>
      <c r="J77" s="471">
        <v>0</v>
      </c>
      <c r="K77" s="471">
        <v>0</v>
      </c>
      <c r="L77" s="471">
        <v>262.64902868423172</v>
      </c>
      <c r="M77" s="572">
        <f t="shared" si="6"/>
        <v>0</v>
      </c>
      <c r="N77" s="471">
        <v>676.67528248014719</v>
      </c>
      <c r="O77" s="471">
        <v>0</v>
      </c>
      <c r="P77" s="471">
        <v>0</v>
      </c>
      <c r="Q77" s="471">
        <v>449.83338037448362</v>
      </c>
      <c r="R77" s="572">
        <f t="shared" si="7"/>
        <v>1364.5515365810741</v>
      </c>
      <c r="S77" s="471">
        <v>93.026044717577292</v>
      </c>
      <c r="T77" s="471">
        <v>125.76260165138621</v>
      </c>
      <c r="U77" s="471">
        <v>37.647844460903009</v>
      </c>
      <c r="V77" s="471">
        <v>0</v>
      </c>
      <c r="W77" s="471">
        <v>0</v>
      </c>
      <c r="X77" s="471">
        <v>35.089393768434277</v>
      </c>
      <c r="Y77" s="471">
        <v>39.440035279691216</v>
      </c>
      <c r="Z77" s="471">
        <v>1426.1583625068365</v>
      </c>
      <c r="AA77" s="471">
        <v>676.9561797191875</v>
      </c>
      <c r="AB77" s="471">
        <v>747.00066330370021</v>
      </c>
      <c r="AC77" s="471">
        <v>58.336286802248821</v>
      </c>
      <c r="AD77" s="471">
        <v>7.1815504586101779</v>
      </c>
      <c r="AE77" s="471">
        <v>141.94123259370701</v>
      </c>
      <c r="AF77" s="471">
        <v>0</v>
      </c>
      <c r="AG77" s="471">
        <v>167.77629447444829</v>
      </c>
      <c r="AH77" s="685">
        <f t="shared" si="8"/>
        <v>6990.6789364353463</v>
      </c>
      <c r="AI77" s="472">
        <f t="shared" si="9"/>
        <v>7158.4552309097944</v>
      </c>
      <c r="AJ77" s="472"/>
      <c r="AK77" s="472"/>
      <c r="AL77" s="570">
        <v>65.67</v>
      </c>
      <c r="AM77" s="570">
        <v>1298.881536581074</v>
      </c>
      <c r="AN77" s="566">
        <v>0</v>
      </c>
      <c r="AO77" s="566">
        <f t="shared" si="10"/>
        <v>1364.5515365810741</v>
      </c>
    </row>
    <row r="78" spans="1:41" x14ac:dyDescent="0.3">
      <c r="A78" s="466">
        <v>150000594</v>
      </c>
      <c r="B78" s="467" t="s">
        <v>354</v>
      </c>
      <c r="C78" s="468">
        <v>9162.5499999999993</v>
      </c>
      <c r="D78" s="469">
        <v>1004.05</v>
      </c>
      <c r="E78" s="470">
        <v>115.1</v>
      </c>
      <c r="F78" s="470">
        <v>9277.65</v>
      </c>
      <c r="G78" s="471">
        <v>2041.1619019538723</v>
      </c>
      <c r="H78" s="471">
        <v>343.38819601789294</v>
      </c>
      <c r="I78" s="471">
        <v>1171.58</v>
      </c>
      <c r="J78" s="471">
        <v>249.72</v>
      </c>
      <c r="K78" s="471">
        <v>384.16119931305292</v>
      </c>
      <c r="L78" s="471">
        <v>1803.5884696215116</v>
      </c>
      <c r="M78" s="572">
        <f t="shared" si="6"/>
        <v>0</v>
      </c>
      <c r="N78" s="471">
        <v>3305.8057020025267</v>
      </c>
      <c r="O78" s="471">
        <v>7642.0201469424937</v>
      </c>
      <c r="P78" s="471">
        <v>0</v>
      </c>
      <c r="Q78" s="471">
        <v>572.15649258157998</v>
      </c>
      <c r="R78" s="572">
        <f t="shared" si="7"/>
        <v>13785.333279440416</v>
      </c>
      <c r="S78" s="471">
        <v>67.068426524629018</v>
      </c>
      <c r="T78" s="471">
        <v>91.576308468727831</v>
      </c>
      <c r="U78" s="471">
        <v>106.39336735901357</v>
      </c>
      <c r="V78" s="471">
        <v>45.368572381708539</v>
      </c>
      <c r="W78" s="471">
        <v>77.95107892409888</v>
      </c>
      <c r="X78" s="471">
        <v>89.272127648408315</v>
      </c>
      <c r="Y78" s="471">
        <v>93.691279530941856</v>
      </c>
      <c r="Z78" s="471">
        <v>10523.815556535994</v>
      </c>
      <c r="AA78" s="471">
        <v>6330.8171457967337</v>
      </c>
      <c r="AB78" s="471">
        <v>1298.3904522151083</v>
      </c>
      <c r="AC78" s="471">
        <v>215.89328325807043</v>
      </c>
      <c r="AD78" s="471">
        <v>26.577771613209428</v>
      </c>
      <c r="AE78" s="471">
        <v>2988.5648532916775</v>
      </c>
      <c r="AF78" s="471">
        <v>1210.3999614584247</v>
      </c>
      <c r="AG78" s="471">
        <v>1633.9408671864026</v>
      </c>
      <c r="AH78" s="685">
        <f t="shared" si="8"/>
        <v>54464.695572880082</v>
      </c>
      <c r="AI78" s="472">
        <f t="shared" si="9"/>
        <v>56098.636440066482</v>
      </c>
      <c r="AJ78" s="472"/>
      <c r="AK78" s="472"/>
      <c r="AL78" s="570">
        <v>71.59</v>
      </c>
      <c r="AM78" s="570">
        <v>13713.743279440416</v>
      </c>
      <c r="AN78" s="566">
        <v>0</v>
      </c>
      <c r="AO78" s="566">
        <f t="shared" si="10"/>
        <v>13785.333279440416</v>
      </c>
    </row>
    <row r="79" spans="1:41" x14ac:dyDescent="0.3">
      <c r="A79" s="466">
        <v>150000597</v>
      </c>
      <c r="B79" s="467" t="s">
        <v>352</v>
      </c>
      <c r="C79" s="468">
        <v>4715.25</v>
      </c>
      <c r="D79" s="469">
        <v>571.65</v>
      </c>
      <c r="E79" s="470"/>
      <c r="F79" s="470">
        <v>4715.25</v>
      </c>
      <c r="G79" s="471">
        <v>1076.9451624704657</v>
      </c>
      <c r="H79" s="471">
        <v>181.95169261271644</v>
      </c>
      <c r="I79" s="471">
        <v>600.26</v>
      </c>
      <c r="J79" s="471">
        <v>130.46</v>
      </c>
      <c r="K79" s="471">
        <v>65.004820328168279</v>
      </c>
      <c r="L79" s="471">
        <v>864.26942762575766</v>
      </c>
      <c r="M79" s="572">
        <f t="shared" si="6"/>
        <v>0</v>
      </c>
      <c r="N79" s="471">
        <v>1680.1345530783565</v>
      </c>
      <c r="O79" s="471">
        <v>4753.0815496832274</v>
      </c>
      <c r="P79" s="471">
        <v>0</v>
      </c>
      <c r="Q79" s="471">
        <v>291.99710655887532</v>
      </c>
      <c r="R79" s="572">
        <f t="shared" si="7"/>
        <v>7702.525538804387</v>
      </c>
      <c r="S79" s="471">
        <v>36.13386334429407</v>
      </c>
      <c r="T79" s="471">
        <v>48.430140069725375</v>
      </c>
      <c r="U79" s="471">
        <v>39.492510287000435</v>
      </c>
      <c r="V79" s="471">
        <v>27.181285898511838</v>
      </c>
      <c r="W79" s="471">
        <v>13.192247063076561</v>
      </c>
      <c r="X79" s="471">
        <v>41.525105838156655</v>
      </c>
      <c r="Y79" s="471">
        <v>47.080739261645796</v>
      </c>
      <c r="Z79" s="471">
        <v>5965.2047498640241</v>
      </c>
      <c r="AA79" s="471">
        <v>3459.2274290583327</v>
      </c>
      <c r="AB79" s="471">
        <v>1298.3904522151083</v>
      </c>
      <c r="AC79" s="471">
        <v>165.00835409778955</v>
      </c>
      <c r="AD79" s="471">
        <v>20.31352844006879</v>
      </c>
      <c r="AE79" s="471">
        <v>2037.0906567844104</v>
      </c>
      <c r="AF79" s="471">
        <v>532.82555004406936</v>
      </c>
      <c r="AG79" s="471">
        <v>372.93271756113808</v>
      </c>
      <c r="AH79" s="685">
        <f t="shared" si="8"/>
        <v>31077.726463428171</v>
      </c>
      <c r="AI79" s="472">
        <f t="shared" si="9"/>
        <v>31450.659180989311</v>
      </c>
      <c r="AJ79" s="472"/>
      <c r="AK79" s="472"/>
      <c r="AL79" s="570">
        <v>62.45</v>
      </c>
      <c r="AM79" s="570">
        <v>7640.0755388043872</v>
      </c>
      <c r="AN79" s="566">
        <v>0</v>
      </c>
      <c r="AO79" s="566">
        <f t="shared" si="10"/>
        <v>7702.525538804387</v>
      </c>
    </row>
    <row r="80" spans="1:41" x14ac:dyDescent="0.3">
      <c r="A80" s="466">
        <v>150000598</v>
      </c>
      <c r="B80" s="467" t="s">
        <v>76</v>
      </c>
      <c r="C80" s="468">
        <v>258.5</v>
      </c>
      <c r="D80" s="473"/>
      <c r="E80" s="470"/>
      <c r="F80" s="470">
        <v>258.5</v>
      </c>
      <c r="G80" s="471">
        <v>12.497707558992142</v>
      </c>
      <c r="H80" s="471">
        <v>0</v>
      </c>
      <c r="I80" s="471">
        <v>0</v>
      </c>
      <c r="J80" s="471">
        <v>0</v>
      </c>
      <c r="K80" s="471">
        <v>0</v>
      </c>
      <c r="L80" s="471">
        <v>0</v>
      </c>
      <c r="M80" s="572">
        <f t="shared" si="6"/>
        <v>0</v>
      </c>
      <c r="N80" s="471">
        <v>0</v>
      </c>
      <c r="O80" s="471">
        <v>0</v>
      </c>
      <c r="P80" s="471">
        <v>0</v>
      </c>
      <c r="Q80" s="471">
        <v>47.350882144682487</v>
      </c>
      <c r="R80" s="572">
        <f t="shared" si="7"/>
        <v>225.50947099527485</v>
      </c>
      <c r="S80" s="471">
        <v>2.0919047435055638</v>
      </c>
      <c r="T80" s="471">
        <v>0</v>
      </c>
      <c r="U80" s="471">
        <v>0</v>
      </c>
      <c r="V80" s="471">
        <v>0</v>
      </c>
      <c r="W80" s="471">
        <v>0</v>
      </c>
      <c r="X80" s="471">
        <v>0</v>
      </c>
      <c r="Y80" s="471">
        <v>0</v>
      </c>
      <c r="Z80" s="471">
        <v>59.817526885493763</v>
      </c>
      <c r="AA80" s="471">
        <v>0</v>
      </c>
      <c r="AB80" s="471">
        <v>0</v>
      </c>
      <c r="AC80" s="471">
        <v>0</v>
      </c>
      <c r="AD80" s="471">
        <v>0</v>
      </c>
      <c r="AE80" s="471">
        <v>0</v>
      </c>
      <c r="AF80" s="471">
        <v>0</v>
      </c>
      <c r="AG80" s="471">
        <v>18.752444585709235</v>
      </c>
      <c r="AH80" s="685">
        <f t="shared" si="8"/>
        <v>347.26749232794879</v>
      </c>
      <c r="AI80" s="472">
        <f t="shared" si="9"/>
        <v>366.019936913658</v>
      </c>
      <c r="AJ80" s="472"/>
      <c r="AK80" s="472"/>
      <c r="AL80" s="570">
        <v>44.4</v>
      </c>
      <c r="AM80" s="570">
        <v>181.10947099527485</v>
      </c>
      <c r="AN80" s="566">
        <v>0</v>
      </c>
      <c r="AO80" s="566">
        <f t="shared" si="10"/>
        <v>225.50947099527485</v>
      </c>
    </row>
    <row r="81" spans="1:41" x14ac:dyDescent="0.3">
      <c r="A81" s="466">
        <v>150000599</v>
      </c>
      <c r="B81" s="467" t="s">
        <v>77</v>
      </c>
      <c r="C81" s="468">
        <v>250.4</v>
      </c>
      <c r="D81" s="473"/>
      <c r="E81" s="470"/>
      <c r="F81" s="470">
        <v>250.4</v>
      </c>
      <c r="G81" s="471">
        <v>0</v>
      </c>
      <c r="H81" s="471">
        <v>0</v>
      </c>
      <c r="I81" s="471">
        <v>0</v>
      </c>
      <c r="J81" s="471">
        <v>0</v>
      </c>
      <c r="K81" s="471">
        <v>0</v>
      </c>
      <c r="L81" s="471">
        <v>0</v>
      </c>
      <c r="M81" s="572">
        <f t="shared" si="6"/>
        <v>0</v>
      </c>
      <c r="N81" s="471">
        <v>0</v>
      </c>
      <c r="O81" s="471">
        <v>0</v>
      </c>
      <c r="P81" s="471">
        <v>0</v>
      </c>
      <c r="Q81" s="471">
        <v>59.188602680853108</v>
      </c>
      <c r="R81" s="572">
        <f t="shared" si="7"/>
        <v>248.16594971652913</v>
      </c>
      <c r="S81" s="471">
        <v>0</v>
      </c>
      <c r="T81" s="471">
        <v>0</v>
      </c>
      <c r="U81" s="471">
        <v>0</v>
      </c>
      <c r="V81" s="471">
        <v>0</v>
      </c>
      <c r="W81" s="471">
        <v>0</v>
      </c>
      <c r="X81" s="471">
        <v>0</v>
      </c>
      <c r="Y81" s="471">
        <v>0</v>
      </c>
      <c r="Z81" s="471">
        <v>123.62288889668712</v>
      </c>
      <c r="AA81" s="471">
        <v>0</v>
      </c>
      <c r="AB81" s="471">
        <v>0</v>
      </c>
      <c r="AC81" s="471">
        <v>0</v>
      </c>
      <c r="AD81" s="471">
        <v>0</v>
      </c>
      <c r="AE81" s="471">
        <v>0</v>
      </c>
      <c r="AF81" s="471">
        <v>0</v>
      </c>
      <c r="AG81" s="471">
        <v>12.929323238822082</v>
      </c>
      <c r="AH81" s="685">
        <f t="shared" si="8"/>
        <v>430.97744129406937</v>
      </c>
      <c r="AI81" s="472">
        <f t="shared" si="9"/>
        <v>443.90676453289143</v>
      </c>
      <c r="AJ81" s="472"/>
      <c r="AK81" s="472"/>
      <c r="AL81" s="570">
        <v>44.4</v>
      </c>
      <c r="AM81" s="570">
        <v>203.76594971652912</v>
      </c>
      <c r="AN81" s="566">
        <v>0</v>
      </c>
      <c r="AO81" s="566">
        <f t="shared" si="10"/>
        <v>248.16594971652913</v>
      </c>
    </row>
    <row r="82" spans="1:41" x14ac:dyDescent="0.3">
      <c r="A82" s="466">
        <v>150000601</v>
      </c>
      <c r="B82" s="467" t="s">
        <v>78</v>
      </c>
      <c r="C82" s="468">
        <v>232.7</v>
      </c>
      <c r="D82" s="473"/>
      <c r="E82" s="470"/>
      <c r="F82" s="470">
        <v>232.7</v>
      </c>
      <c r="G82" s="471">
        <v>0</v>
      </c>
      <c r="H82" s="471">
        <v>0</v>
      </c>
      <c r="I82" s="471">
        <v>0</v>
      </c>
      <c r="J82" s="471">
        <v>0</v>
      </c>
      <c r="K82" s="471">
        <v>0</v>
      </c>
      <c r="L82" s="471">
        <v>0</v>
      </c>
      <c r="M82" s="572">
        <f t="shared" si="6"/>
        <v>0</v>
      </c>
      <c r="N82" s="471">
        <v>0</v>
      </c>
      <c r="O82" s="471">
        <v>0</v>
      </c>
      <c r="P82" s="471">
        <v>0</v>
      </c>
      <c r="Q82" s="471">
        <v>51.296788990072692</v>
      </c>
      <c r="R82" s="572">
        <f t="shared" si="7"/>
        <v>203.41360383579536</v>
      </c>
      <c r="S82" s="471">
        <v>0</v>
      </c>
      <c r="T82" s="471">
        <v>0</v>
      </c>
      <c r="U82" s="471">
        <v>0</v>
      </c>
      <c r="V82" s="471">
        <v>0</v>
      </c>
      <c r="W82" s="471">
        <v>0</v>
      </c>
      <c r="X82" s="471">
        <v>0</v>
      </c>
      <c r="Y82" s="471">
        <v>0</v>
      </c>
      <c r="Z82" s="471">
        <v>95.708043016790043</v>
      </c>
      <c r="AA82" s="471">
        <v>0</v>
      </c>
      <c r="AB82" s="471">
        <v>0</v>
      </c>
      <c r="AC82" s="471">
        <v>0</v>
      </c>
      <c r="AD82" s="471">
        <v>0</v>
      </c>
      <c r="AE82" s="471">
        <v>0</v>
      </c>
      <c r="AF82" s="471">
        <v>0</v>
      </c>
      <c r="AG82" s="471">
        <v>10.512553075279746</v>
      </c>
      <c r="AH82" s="685">
        <f t="shared" si="8"/>
        <v>350.41843584265808</v>
      </c>
      <c r="AI82" s="472">
        <f t="shared" si="9"/>
        <v>360.93098891793784</v>
      </c>
      <c r="AJ82" s="472"/>
      <c r="AK82" s="472"/>
      <c r="AL82" s="570">
        <v>25.61</v>
      </c>
      <c r="AM82" s="570">
        <v>177.80360383579537</v>
      </c>
      <c r="AN82" s="566">
        <v>0</v>
      </c>
      <c r="AO82" s="566">
        <f t="shared" si="10"/>
        <v>203.41360383579536</v>
      </c>
    </row>
    <row r="83" spans="1:41" x14ac:dyDescent="0.3">
      <c r="A83" s="466">
        <v>150000603</v>
      </c>
      <c r="B83" s="467" t="s">
        <v>153</v>
      </c>
      <c r="C83" s="468">
        <v>311.60000000000002</v>
      </c>
      <c r="D83" s="469"/>
      <c r="E83" s="470">
        <v>195.3</v>
      </c>
      <c r="F83" s="470">
        <v>506.90000000000003</v>
      </c>
      <c r="G83" s="471">
        <v>165.03055257391065</v>
      </c>
      <c r="H83" s="471">
        <v>29.170354396780219</v>
      </c>
      <c r="I83" s="471">
        <v>59.78</v>
      </c>
      <c r="J83" s="471">
        <v>0</v>
      </c>
      <c r="K83" s="471">
        <v>0</v>
      </c>
      <c r="L83" s="471">
        <v>80.799114932376455</v>
      </c>
      <c r="M83" s="572">
        <f t="shared" si="6"/>
        <v>0</v>
      </c>
      <c r="N83" s="471">
        <v>180.6182503484267</v>
      </c>
      <c r="O83" s="471">
        <v>0</v>
      </c>
      <c r="P83" s="471">
        <v>0</v>
      </c>
      <c r="Q83" s="471">
        <v>59.188602680853108</v>
      </c>
      <c r="R83" s="572">
        <f t="shared" si="7"/>
        <v>602.43700384366969</v>
      </c>
      <c r="S83" s="471">
        <v>32.78582383606674</v>
      </c>
      <c r="T83" s="471">
        <v>37.583121974547481</v>
      </c>
      <c r="U83" s="471">
        <v>22.922071685666602</v>
      </c>
      <c r="V83" s="471">
        <v>0</v>
      </c>
      <c r="W83" s="471">
        <v>0</v>
      </c>
      <c r="X83" s="471">
        <v>6.6341537148290231</v>
      </c>
      <c r="Y83" s="471">
        <v>0</v>
      </c>
      <c r="Z83" s="471">
        <v>722.20018908879911</v>
      </c>
      <c r="AA83" s="471">
        <v>302.50259467937792</v>
      </c>
      <c r="AB83" s="471">
        <v>80.202168262520701</v>
      </c>
      <c r="AC83" s="471">
        <v>0</v>
      </c>
      <c r="AD83" s="471">
        <v>0</v>
      </c>
      <c r="AE83" s="471">
        <v>43.674225413448312</v>
      </c>
      <c r="AF83" s="471">
        <v>0</v>
      </c>
      <c r="AG83" s="471">
        <v>72.765846822938201</v>
      </c>
      <c r="AH83" s="685">
        <f t="shared" si="8"/>
        <v>2425.5282274312731</v>
      </c>
      <c r="AI83" s="472">
        <f t="shared" si="9"/>
        <v>2498.2940742542114</v>
      </c>
      <c r="AJ83" s="472"/>
      <c r="AK83" s="472"/>
      <c r="AL83" s="570">
        <v>33.119999999999997</v>
      </c>
      <c r="AM83" s="570">
        <v>569.31700384366968</v>
      </c>
      <c r="AN83" s="566">
        <v>0</v>
      </c>
      <c r="AO83" s="566">
        <f t="shared" si="10"/>
        <v>602.43700384366969</v>
      </c>
    </row>
    <row r="84" spans="1:41" x14ac:dyDescent="0.3">
      <c r="A84" s="466">
        <v>150000604</v>
      </c>
      <c r="B84" s="467" t="s">
        <v>154</v>
      </c>
      <c r="C84" s="468">
        <v>387.5</v>
      </c>
      <c r="D84" s="469"/>
      <c r="E84" s="470">
        <v>64.599999999999994</v>
      </c>
      <c r="F84" s="470">
        <v>452.1</v>
      </c>
      <c r="G84" s="471">
        <v>163.68065976243776</v>
      </c>
      <c r="H84" s="471">
        <v>28.776064817048876</v>
      </c>
      <c r="I84" s="471">
        <v>53.84</v>
      </c>
      <c r="J84" s="471">
        <v>0</v>
      </c>
      <c r="K84" s="471">
        <v>0</v>
      </c>
      <c r="L84" s="471">
        <v>80.652473812105683</v>
      </c>
      <c r="M84" s="572">
        <f t="shared" si="6"/>
        <v>0</v>
      </c>
      <c r="N84" s="471">
        <v>161.09195301346165</v>
      </c>
      <c r="O84" s="471">
        <v>0</v>
      </c>
      <c r="P84" s="471">
        <v>0</v>
      </c>
      <c r="Q84" s="471">
        <v>82.864043753194352</v>
      </c>
      <c r="R84" s="572">
        <f t="shared" si="7"/>
        <v>394.52071338898384</v>
      </c>
      <c r="S84" s="471">
        <v>30.823549995773117</v>
      </c>
      <c r="T84" s="471">
        <v>37.11209666881458</v>
      </c>
      <c r="U84" s="471">
        <v>18.740653605102914</v>
      </c>
      <c r="V84" s="471">
        <v>0</v>
      </c>
      <c r="W84" s="471">
        <v>0</v>
      </c>
      <c r="X84" s="471">
        <v>6.603222277517153</v>
      </c>
      <c r="Y84" s="471">
        <v>0</v>
      </c>
      <c r="Z84" s="471">
        <v>715.41635711639412</v>
      </c>
      <c r="AA84" s="471">
        <v>351.98819139629154</v>
      </c>
      <c r="AB84" s="471">
        <v>82.433530870840372</v>
      </c>
      <c r="AC84" s="471">
        <v>0</v>
      </c>
      <c r="AD84" s="471">
        <v>0</v>
      </c>
      <c r="AE84" s="471">
        <v>4.6793812942980333</v>
      </c>
      <c r="AF84" s="471">
        <v>0</v>
      </c>
      <c r="AG84" s="471">
        <v>0</v>
      </c>
      <c r="AH84" s="685">
        <f t="shared" si="8"/>
        <v>2213.2228917722641</v>
      </c>
      <c r="AI84" s="472">
        <f t="shared" si="9"/>
        <v>2213.2228917722641</v>
      </c>
      <c r="AJ84" s="472"/>
      <c r="AK84" s="472"/>
      <c r="AL84" s="570">
        <v>31.23</v>
      </c>
      <c r="AM84" s="570">
        <v>363.29071338898382</v>
      </c>
      <c r="AN84" s="566">
        <v>0</v>
      </c>
      <c r="AO84" s="566">
        <f t="shared" si="10"/>
        <v>394.52071338898384</v>
      </c>
    </row>
    <row r="85" spans="1:41" x14ac:dyDescent="0.3">
      <c r="A85" s="466">
        <v>150000605</v>
      </c>
      <c r="B85" s="467" t="s">
        <v>155</v>
      </c>
      <c r="C85" s="468">
        <v>321.10000000000002</v>
      </c>
      <c r="D85" s="469"/>
      <c r="E85" s="470">
        <v>57.9</v>
      </c>
      <c r="F85" s="470">
        <v>379</v>
      </c>
      <c r="G85" s="471">
        <v>84.473522700737661</v>
      </c>
      <c r="H85" s="471">
        <v>34.077277013750802</v>
      </c>
      <c r="I85" s="471">
        <v>44.18</v>
      </c>
      <c r="J85" s="471">
        <v>0</v>
      </c>
      <c r="K85" s="471">
        <v>0</v>
      </c>
      <c r="L85" s="471">
        <v>35.431778307452454</v>
      </c>
      <c r="M85" s="572">
        <f t="shared" si="6"/>
        <v>0</v>
      </c>
      <c r="N85" s="471">
        <v>135.04501259036044</v>
      </c>
      <c r="O85" s="471">
        <v>0</v>
      </c>
      <c r="P85" s="471">
        <v>0</v>
      </c>
      <c r="Q85" s="471">
        <v>94.701764289364974</v>
      </c>
      <c r="R85" s="572">
        <f t="shared" si="7"/>
        <v>495.7540686387224</v>
      </c>
      <c r="S85" s="471">
        <v>31.312457875762227</v>
      </c>
      <c r="T85" s="471">
        <v>43.91977124591169</v>
      </c>
      <c r="U85" s="471">
        <v>13.464853947341089</v>
      </c>
      <c r="V85" s="471">
        <v>0</v>
      </c>
      <c r="W85" s="471">
        <v>0</v>
      </c>
      <c r="X85" s="471">
        <v>4.9307126480382886</v>
      </c>
      <c r="Y85" s="471">
        <v>0</v>
      </c>
      <c r="Z85" s="471">
        <v>541.09738690963354</v>
      </c>
      <c r="AA85" s="471">
        <v>283.70362738279346</v>
      </c>
      <c r="AB85" s="471">
        <v>81.317849566680508</v>
      </c>
      <c r="AC85" s="471">
        <v>25.491486669890243</v>
      </c>
      <c r="AD85" s="471">
        <v>3.1381565029220946</v>
      </c>
      <c r="AE85" s="471">
        <v>37.435050354384266</v>
      </c>
      <c r="AF85" s="471">
        <v>0</v>
      </c>
      <c r="AG85" s="471">
        <v>59.684243299312385</v>
      </c>
      <c r="AH85" s="685">
        <f t="shared" si="8"/>
        <v>1989.4747766437461</v>
      </c>
      <c r="AI85" s="472">
        <f t="shared" si="9"/>
        <v>2049.1590199430584</v>
      </c>
      <c r="AJ85" s="472"/>
      <c r="AK85" s="472"/>
      <c r="AL85" s="570">
        <v>55.65</v>
      </c>
      <c r="AM85" s="570">
        <v>440.10406863872242</v>
      </c>
      <c r="AN85" s="566">
        <v>0</v>
      </c>
      <c r="AO85" s="566">
        <f t="shared" si="10"/>
        <v>495.7540686387224</v>
      </c>
    </row>
    <row r="86" spans="1:41" x14ac:dyDescent="0.3">
      <c r="A86" s="466">
        <v>150000606</v>
      </c>
      <c r="B86" s="467" t="s">
        <v>156</v>
      </c>
      <c r="C86" s="468">
        <v>685.8</v>
      </c>
      <c r="D86" s="469"/>
      <c r="E86" s="470">
        <v>80.5</v>
      </c>
      <c r="F86" s="470">
        <v>766.3</v>
      </c>
      <c r="G86" s="471">
        <v>173.28292556576969</v>
      </c>
      <c r="H86" s="471">
        <v>61.324601746185543</v>
      </c>
      <c r="I86" s="471">
        <v>86.07</v>
      </c>
      <c r="J86" s="471">
        <v>0</v>
      </c>
      <c r="K86" s="471">
        <v>0</v>
      </c>
      <c r="L86" s="471">
        <v>70.067347106616538</v>
      </c>
      <c r="M86" s="572">
        <f t="shared" si="6"/>
        <v>0</v>
      </c>
      <c r="N86" s="471">
        <v>273.04747532452035</v>
      </c>
      <c r="O86" s="471">
        <v>0</v>
      </c>
      <c r="P86" s="471">
        <v>0</v>
      </c>
      <c r="Q86" s="471">
        <v>165.7280875063887</v>
      </c>
      <c r="R86" s="572">
        <f t="shared" si="7"/>
        <v>1109.7031713414362</v>
      </c>
      <c r="S86" s="471">
        <v>64.915344776360584</v>
      </c>
      <c r="T86" s="471">
        <v>79.050766841872388</v>
      </c>
      <c r="U86" s="471">
        <v>32.059977814750283</v>
      </c>
      <c r="V86" s="471">
        <v>0</v>
      </c>
      <c r="W86" s="471">
        <v>0</v>
      </c>
      <c r="X86" s="471">
        <v>14.816361579593538</v>
      </c>
      <c r="Y86" s="471">
        <v>0</v>
      </c>
      <c r="Z86" s="471">
        <v>984.86492451866877</v>
      </c>
      <c r="AA86" s="471">
        <v>601.79544156898123</v>
      </c>
      <c r="AB86" s="471">
        <v>256.32711082774159</v>
      </c>
      <c r="AC86" s="471">
        <v>0</v>
      </c>
      <c r="AD86" s="471">
        <v>0</v>
      </c>
      <c r="AE86" s="471">
        <v>112.30515106315282</v>
      </c>
      <c r="AF86" s="471">
        <v>0</v>
      </c>
      <c r="AG86" s="471">
        <v>73.536456376476693</v>
      </c>
      <c r="AH86" s="685">
        <f t="shared" si="8"/>
        <v>4085.3586875820388</v>
      </c>
      <c r="AI86" s="472">
        <f t="shared" si="9"/>
        <v>4158.8951439585153</v>
      </c>
      <c r="AJ86" s="472"/>
      <c r="AK86" s="472"/>
      <c r="AL86" s="570">
        <v>81.98</v>
      </c>
      <c r="AM86" s="570">
        <v>1027.7231713414362</v>
      </c>
      <c r="AN86" s="566">
        <v>0</v>
      </c>
      <c r="AO86" s="566">
        <f t="shared" si="10"/>
        <v>1109.7031713414362</v>
      </c>
    </row>
    <row r="87" spans="1:41" x14ac:dyDescent="0.3">
      <c r="A87" s="466">
        <v>150000607</v>
      </c>
      <c r="B87" s="467" t="s">
        <v>157</v>
      </c>
      <c r="C87" s="468">
        <v>699</v>
      </c>
      <c r="D87" s="469"/>
      <c r="E87" s="470">
        <v>295.8</v>
      </c>
      <c r="F87" s="470">
        <v>994.8</v>
      </c>
      <c r="G87" s="471">
        <v>362.29829357635538</v>
      </c>
      <c r="H87" s="471">
        <v>73.60408432650847</v>
      </c>
      <c r="I87" s="471">
        <v>112.86</v>
      </c>
      <c r="J87" s="471">
        <v>0</v>
      </c>
      <c r="K87" s="471">
        <v>0</v>
      </c>
      <c r="L87" s="471">
        <v>140.13469421323308</v>
      </c>
      <c r="M87" s="572">
        <f t="shared" si="6"/>
        <v>0</v>
      </c>
      <c r="N87" s="471">
        <v>354.46643410261362</v>
      </c>
      <c r="O87" s="471">
        <v>0</v>
      </c>
      <c r="P87" s="471">
        <v>0</v>
      </c>
      <c r="Q87" s="471">
        <v>153.89036697021808</v>
      </c>
      <c r="R87" s="572">
        <f t="shared" si="7"/>
        <v>896.65577812922993</v>
      </c>
      <c r="S87" s="471">
        <v>68.436997775912687</v>
      </c>
      <c r="T87" s="471">
        <v>94.856066133218263</v>
      </c>
      <c r="U87" s="471">
        <v>51.446319261431483</v>
      </c>
      <c r="V87" s="471">
        <v>0</v>
      </c>
      <c r="W87" s="471">
        <v>0</v>
      </c>
      <c r="X87" s="471">
        <v>14.816361579593538</v>
      </c>
      <c r="Y87" s="471">
        <v>0</v>
      </c>
      <c r="Z87" s="471">
        <v>1514.7991169273319</v>
      </c>
      <c r="AA87" s="471">
        <v>627.80905444220093</v>
      </c>
      <c r="AB87" s="471">
        <v>216.07639287496895</v>
      </c>
      <c r="AC87" s="471">
        <v>47.796537506044203</v>
      </c>
      <c r="AD87" s="471">
        <v>5.8840434429789266</v>
      </c>
      <c r="AE87" s="471">
        <v>76.429894473534546</v>
      </c>
      <c r="AF87" s="471">
        <v>0</v>
      </c>
      <c r="AG87" s="471">
        <v>144.36781307206124</v>
      </c>
      <c r="AH87" s="685">
        <f t="shared" si="8"/>
        <v>4812.260435735373</v>
      </c>
      <c r="AI87" s="472">
        <f t="shared" si="9"/>
        <v>4956.6282488074339</v>
      </c>
      <c r="AJ87" s="472"/>
      <c r="AK87" s="472"/>
      <c r="AL87" s="570">
        <v>78.2</v>
      </c>
      <c r="AM87" s="570">
        <v>818.45577812922988</v>
      </c>
      <c r="AN87" s="566">
        <v>0</v>
      </c>
      <c r="AO87" s="566">
        <f t="shared" si="10"/>
        <v>896.65577812922993</v>
      </c>
    </row>
    <row r="88" spans="1:41" x14ac:dyDescent="0.3">
      <c r="A88" s="466">
        <v>150000608</v>
      </c>
      <c r="B88" s="467" t="s">
        <v>158</v>
      </c>
      <c r="C88" s="468">
        <v>468.01</v>
      </c>
      <c r="D88" s="469"/>
      <c r="E88" s="470">
        <v>130.30000000000001</v>
      </c>
      <c r="F88" s="470">
        <v>598.30999999999995</v>
      </c>
      <c r="G88" s="471">
        <v>273.32201649938668</v>
      </c>
      <c r="H88" s="471">
        <v>61.595864741878735</v>
      </c>
      <c r="I88" s="471">
        <v>68.790000000000006</v>
      </c>
      <c r="J88" s="471">
        <v>0</v>
      </c>
      <c r="K88" s="471">
        <v>0</v>
      </c>
      <c r="L88" s="471">
        <v>100.59813170203689</v>
      </c>
      <c r="M88" s="572">
        <f t="shared" si="6"/>
        <v>0</v>
      </c>
      <c r="N88" s="471">
        <v>213.18939705260831</v>
      </c>
      <c r="O88" s="471">
        <v>0</v>
      </c>
      <c r="P88" s="471">
        <v>0</v>
      </c>
      <c r="Q88" s="471">
        <v>102.59357798014538</v>
      </c>
      <c r="R88" s="572">
        <f t="shared" si="7"/>
        <v>705.38967858858553</v>
      </c>
      <c r="S88" s="471">
        <v>52.368240658970002</v>
      </c>
      <c r="T88" s="471">
        <v>79.390663181562786</v>
      </c>
      <c r="U88" s="471">
        <v>19.501850291599844</v>
      </c>
      <c r="V88" s="471">
        <v>0</v>
      </c>
      <c r="W88" s="471">
        <v>0</v>
      </c>
      <c r="X88" s="471">
        <v>9.885650556902343</v>
      </c>
      <c r="Y88" s="471">
        <v>0</v>
      </c>
      <c r="Z88" s="471">
        <v>714.40278161327171</v>
      </c>
      <c r="AA88" s="471">
        <v>439.67996952076584</v>
      </c>
      <c r="AB88" s="471">
        <v>250.17598687593909</v>
      </c>
      <c r="AC88" s="471">
        <v>39.217671799831145</v>
      </c>
      <c r="AD88" s="471">
        <v>4.8279330814186068</v>
      </c>
      <c r="AE88" s="471">
        <v>115.42473859268483</v>
      </c>
      <c r="AF88" s="471">
        <v>0</v>
      </c>
      <c r="AG88" s="471">
        <v>0</v>
      </c>
      <c r="AH88" s="685">
        <f t="shared" si="8"/>
        <v>3250.3541527375878</v>
      </c>
      <c r="AI88" s="472">
        <f t="shared" si="9"/>
        <v>3250.3541527375878</v>
      </c>
      <c r="AJ88" s="472"/>
      <c r="AK88" s="472"/>
      <c r="AL88" s="570">
        <v>51.77</v>
      </c>
      <c r="AM88" s="570">
        <v>653.61967858858554</v>
      </c>
      <c r="AN88" s="566">
        <v>0</v>
      </c>
      <c r="AO88" s="566">
        <f t="shared" si="10"/>
        <v>705.38967858858553</v>
      </c>
    </row>
    <row r="89" spans="1:41" x14ac:dyDescent="0.3">
      <c r="A89" s="466">
        <v>150000609</v>
      </c>
      <c r="B89" s="467" t="s">
        <v>159</v>
      </c>
      <c r="C89" s="468">
        <v>349.9</v>
      </c>
      <c r="D89" s="469"/>
      <c r="E89" s="470">
        <v>115.7</v>
      </c>
      <c r="F89" s="470">
        <v>465.59999999999997</v>
      </c>
      <c r="G89" s="471">
        <v>174.06775607513674</v>
      </c>
      <c r="H89" s="471">
        <v>59.154538625964953</v>
      </c>
      <c r="I89" s="471">
        <v>56.04</v>
      </c>
      <c r="J89" s="471">
        <v>0</v>
      </c>
      <c r="K89" s="471">
        <v>0</v>
      </c>
      <c r="L89" s="471">
        <v>100.59813170203689</v>
      </c>
      <c r="M89" s="572">
        <f t="shared" si="6"/>
        <v>0</v>
      </c>
      <c r="N89" s="471">
        <v>165.90226348831615</v>
      </c>
      <c r="O89" s="471">
        <v>0</v>
      </c>
      <c r="P89" s="471">
        <v>0</v>
      </c>
      <c r="Q89" s="471">
        <v>71.02632321702373</v>
      </c>
      <c r="R89" s="572">
        <f t="shared" si="7"/>
        <v>615.9227695790031</v>
      </c>
      <c r="S89" s="471">
        <v>37.189627316625085</v>
      </c>
      <c r="T89" s="471">
        <v>76.234473738452195</v>
      </c>
      <c r="U89" s="471">
        <v>18.651574085234429</v>
      </c>
      <c r="V89" s="471">
        <v>0</v>
      </c>
      <c r="W89" s="471">
        <v>0</v>
      </c>
      <c r="X89" s="471">
        <v>9.885650556902343</v>
      </c>
      <c r="Y89" s="471">
        <v>0</v>
      </c>
      <c r="Z89" s="471">
        <v>648.3763655509008</v>
      </c>
      <c r="AA89" s="471">
        <v>184.1898301451742</v>
      </c>
      <c r="AB89" s="471">
        <v>137.68250361127696</v>
      </c>
      <c r="AC89" s="471">
        <v>15.196847822434568</v>
      </c>
      <c r="AD89" s="471">
        <v>1.8708240690497104</v>
      </c>
      <c r="AE89" s="471">
        <v>51.473194237278371</v>
      </c>
      <c r="AF89" s="471">
        <v>0</v>
      </c>
      <c r="AG89" s="471">
        <v>72.703880214624292</v>
      </c>
      <c r="AH89" s="685">
        <f t="shared" si="8"/>
        <v>2423.4626738208099</v>
      </c>
      <c r="AI89" s="472">
        <f t="shared" si="9"/>
        <v>2496.1665540354343</v>
      </c>
      <c r="AJ89" s="472"/>
      <c r="AK89" s="472"/>
      <c r="AL89" s="570">
        <v>50.66</v>
      </c>
      <c r="AM89" s="570">
        <v>565.26276957900313</v>
      </c>
      <c r="AN89" s="566">
        <v>0</v>
      </c>
      <c r="AO89" s="566">
        <f t="shared" si="10"/>
        <v>615.9227695790031</v>
      </c>
    </row>
    <row r="90" spans="1:41" x14ac:dyDescent="0.3">
      <c r="A90" s="466">
        <v>150000610</v>
      </c>
      <c r="B90" s="467" t="s">
        <v>160</v>
      </c>
      <c r="C90" s="468">
        <v>475.2</v>
      </c>
      <c r="D90" s="469"/>
      <c r="E90" s="470"/>
      <c r="F90" s="470">
        <v>475.2</v>
      </c>
      <c r="G90" s="471">
        <v>79.579873904562376</v>
      </c>
      <c r="H90" s="471">
        <v>49.340611701373895</v>
      </c>
      <c r="I90" s="471">
        <v>55.63</v>
      </c>
      <c r="J90" s="471">
        <v>0</v>
      </c>
      <c r="K90" s="471">
        <v>0</v>
      </c>
      <c r="L90" s="471">
        <v>49.445704714693939</v>
      </c>
      <c r="M90" s="572">
        <f t="shared" si="6"/>
        <v>0</v>
      </c>
      <c r="N90" s="471">
        <v>169.32292871487937</v>
      </c>
      <c r="O90" s="471">
        <v>0</v>
      </c>
      <c r="P90" s="471">
        <v>0</v>
      </c>
      <c r="Q90" s="471">
        <v>94.701764289364974</v>
      </c>
      <c r="R90" s="572">
        <f t="shared" si="7"/>
        <v>579.79495236215951</v>
      </c>
      <c r="S90" s="471">
        <v>51.50061610868876</v>
      </c>
      <c r="T90" s="471">
        <v>63.585363890216911</v>
      </c>
      <c r="U90" s="471">
        <v>18.440691263830832</v>
      </c>
      <c r="V90" s="471">
        <v>0</v>
      </c>
      <c r="W90" s="471">
        <v>0</v>
      </c>
      <c r="X90" s="471">
        <v>9.8856385409863776</v>
      </c>
      <c r="Y90" s="471">
        <v>0</v>
      </c>
      <c r="Z90" s="471">
        <v>641.29432693118133</v>
      </c>
      <c r="AA90" s="471">
        <v>247.1591937078058</v>
      </c>
      <c r="AB90" s="471">
        <v>212.44102239558745</v>
      </c>
      <c r="AC90" s="471">
        <v>0</v>
      </c>
      <c r="AD90" s="471">
        <v>0</v>
      </c>
      <c r="AE90" s="471">
        <v>24.956700236256182</v>
      </c>
      <c r="AF90" s="471">
        <v>0</v>
      </c>
      <c r="AG90" s="471">
        <v>70.412381662847622</v>
      </c>
      <c r="AH90" s="685">
        <f t="shared" si="8"/>
        <v>2347.0793887615873</v>
      </c>
      <c r="AI90" s="472">
        <f t="shared" si="9"/>
        <v>2417.4917704244349</v>
      </c>
      <c r="AJ90" s="472"/>
      <c r="AK90" s="472"/>
      <c r="AL90" s="570">
        <v>8.6999999999999993</v>
      </c>
      <c r="AM90" s="570">
        <v>571.09495236215946</v>
      </c>
      <c r="AN90" s="566">
        <v>0</v>
      </c>
      <c r="AO90" s="566">
        <f t="shared" si="10"/>
        <v>579.79495236215951</v>
      </c>
    </row>
    <row r="91" spans="1:41" x14ac:dyDescent="0.3">
      <c r="A91" s="466">
        <v>150000611</v>
      </c>
      <c r="B91" s="467" t="s">
        <v>195</v>
      </c>
      <c r="C91" s="468">
        <v>1053.5</v>
      </c>
      <c r="D91" s="469"/>
      <c r="E91" s="470">
        <v>54.5</v>
      </c>
      <c r="F91" s="470">
        <v>1108</v>
      </c>
      <c r="G91" s="471">
        <v>380.33715997975645</v>
      </c>
      <c r="H91" s="471">
        <v>81.396062006559148</v>
      </c>
      <c r="I91" s="471">
        <v>111.41</v>
      </c>
      <c r="J91" s="471">
        <v>0</v>
      </c>
      <c r="K91" s="471">
        <v>0</v>
      </c>
      <c r="L91" s="471">
        <v>176.16825939994283</v>
      </c>
      <c r="M91" s="572">
        <f t="shared" si="6"/>
        <v>0</v>
      </c>
      <c r="N91" s="471">
        <v>394.80177823250494</v>
      </c>
      <c r="O91" s="471">
        <v>0</v>
      </c>
      <c r="P91" s="471">
        <v>0</v>
      </c>
      <c r="Q91" s="471">
        <v>284.10529286809492</v>
      </c>
      <c r="R91" s="572">
        <f t="shared" si="7"/>
        <v>954.54472261950491</v>
      </c>
      <c r="S91" s="471">
        <v>64.048627957001514</v>
      </c>
      <c r="T91" s="471">
        <v>104.89765025168121</v>
      </c>
      <c r="U91" s="471">
        <v>66.175846957186351</v>
      </c>
      <c r="V91" s="471">
        <v>0</v>
      </c>
      <c r="W91" s="471">
        <v>0</v>
      </c>
      <c r="X91" s="471">
        <v>17.958097949756905</v>
      </c>
      <c r="Y91" s="471">
        <v>0</v>
      </c>
      <c r="Z91" s="471">
        <v>1316.2012927874073</v>
      </c>
      <c r="AA91" s="471">
        <v>623.67362429758998</v>
      </c>
      <c r="AB91" s="471">
        <v>489.53205331675224</v>
      </c>
      <c r="AC91" s="471">
        <v>21.569719489907129</v>
      </c>
      <c r="AD91" s="471">
        <v>2.6553631947802336</v>
      </c>
      <c r="AE91" s="471">
        <v>170.01752035949522</v>
      </c>
      <c r="AF91" s="471">
        <v>0</v>
      </c>
      <c r="AG91" s="471">
        <v>0</v>
      </c>
      <c r="AH91" s="685">
        <f t="shared" si="8"/>
        <v>5259.4930716679219</v>
      </c>
      <c r="AI91" s="472">
        <f t="shared" si="9"/>
        <v>5259.4930716679219</v>
      </c>
      <c r="AJ91" s="472"/>
      <c r="AK91" s="472"/>
      <c r="AL91" s="570">
        <v>65.69</v>
      </c>
      <c r="AM91" s="570">
        <v>888.85472261950486</v>
      </c>
      <c r="AN91" s="566">
        <v>0</v>
      </c>
      <c r="AO91" s="566">
        <f t="shared" si="10"/>
        <v>954.54472261950491</v>
      </c>
    </row>
    <row r="92" spans="1:41" x14ac:dyDescent="0.3">
      <c r="A92" s="466">
        <v>150000612</v>
      </c>
      <c r="B92" s="467" t="s">
        <v>161</v>
      </c>
      <c r="C92" s="468">
        <v>498.78</v>
      </c>
      <c r="D92" s="469"/>
      <c r="E92" s="470"/>
      <c r="F92" s="470">
        <v>498.78</v>
      </c>
      <c r="G92" s="471">
        <v>150.04467232154892</v>
      </c>
      <c r="H92" s="471">
        <v>57.502690266662768</v>
      </c>
      <c r="I92" s="471">
        <v>56.76</v>
      </c>
      <c r="J92" s="471">
        <v>0</v>
      </c>
      <c r="K92" s="471">
        <v>0</v>
      </c>
      <c r="L92" s="471">
        <v>100.59813170203689</v>
      </c>
      <c r="M92" s="572">
        <f t="shared" si="6"/>
        <v>0</v>
      </c>
      <c r="N92" s="471">
        <v>177.72493767762526</v>
      </c>
      <c r="O92" s="471">
        <v>0</v>
      </c>
      <c r="P92" s="471">
        <v>0</v>
      </c>
      <c r="Q92" s="471">
        <v>94.701764289364974</v>
      </c>
      <c r="R92" s="572">
        <f t="shared" si="7"/>
        <v>837.78659879736028</v>
      </c>
      <c r="S92" s="471">
        <v>33.396892982465303</v>
      </c>
      <c r="T92" s="471">
        <v>74.12224369955581</v>
      </c>
      <c r="U92" s="471">
        <v>13.823258793407316</v>
      </c>
      <c r="V92" s="471">
        <v>0</v>
      </c>
      <c r="W92" s="471">
        <v>0</v>
      </c>
      <c r="X92" s="471">
        <v>9.885650556902343</v>
      </c>
      <c r="Y92" s="471">
        <v>0</v>
      </c>
      <c r="Z92" s="471">
        <v>605.24412256800827</v>
      </c>
      <c r="AA92" s="471">
        <v>248.65042973771207</v>
      </c>
      <c r="AB92" s="471">
        <v>164.38114924780018</v>
      </c>
      <c r="AC92" s="471">
        <v>31.129026991115971</v>
      </c>
      <c r="AD92" s="471">
        <v>3.8321718833760188</v>
      </c>
      <c r="AE92" s="471">
        <v>34.315462824852247</v>
      </c>
      <c r="AF92" s="471">
        <v>0</v>
      </c>
      <c r="AG92" s="471">
        <v>0</v>
      </c>
      <c r="AH92" s="685">
        <f t="shared" si="8"/>
        <v>2693.8992043397943</v>
      </c>
      <c r="AI92" s="472">
        <f t="shared" si="9"/>
        <v>2693.8992043397943</v>
      </c>
      <c r="AJ92" s="472"/>
      <c r="AK92" s="472"/>
      <c r="AL92" s="570">
        <v>45.52</v>
      </c>
      <c r="AM92" s="570">
        <v>792.2665987973603</v>
      </c>
      <c r="AN92" s="566">
        <v>0</v>
      </c>
      <c r="AO92" s="566">
        <f t="shared" si="10"/>
        <v>837.78659879736028</v>
      </c>
    </row>
    <row r="93" spans="1:41" x14ac:dyDescent="0.3">
      <c r="A93" s="466">
        <v>150000613</v>
      </c>
      <c r="B93" s="467" t="s">
        <v>210</v>
      </c>
      <c r="C93" s="468">
        <v>1269.7</v>
      </c>
      <c r="D93" s="469"/>
      <c r="E93" s="470">
        <v>212.52</v>
      </c>
      <c r="F93" s="470">
        <v>1482.22</v>
      </c>
      <c r="G93" s="471">
        <v>428.62720028189216</v>
      </c>
      <c r="H93" s="471">
        <v>77.57415052703638</v>
      </c>
      <c r="I93" s="471">
        <v>180.32</v>
      </c>
      <c r="J93" s="471">
        <v>0</v>
      </c>
      <c r="K93" s="471">
        <v>0</v>
      </c>
      <c r="L93" s="471">
        <v>249.75725628803283</v>
      </c>
      <c r="M93" s="572">
        <f t="shared" si="6"/>
        <v>0</v>
      </c>
      <c r="N93" s="471">
        <v>528.14358459547248</v>
      </c>
      <c r="O93" s="471">
        <v>0</v>
      </c>
      <c r="P93" s="471">
        <v>0</v>
      </c>
      <c r="Q93" s="471">
        <v>331.45617501277741</v>
      </c>
      <c r="R93" s="572">
        <f t="shared" si="7"/>
        <v>1254.8385038847728</v>
      </c>
      <c r="S93" s="471">
        <v>73.17678565268487</v>
      </c>
      <c r="T93" s="471">
        <v>99.99339749450769</v>
      </c>
      <c r="U93" s="471">
        <v>82.261984003453094</v>
      </c>
      <c r="V93" s="471">
        <v>0</v>
      </c>
      <c r="W93" s="471">
        <v>0</v>
      </c>
      <c r="X93" s="471">
        <v>30.028073840457441</v>
      </c>
      <c r="Y93" s="471">
        <v>0</v>
      </c>
      <c r="Z93" s="471">
        <v>2099.6981268393201</v>
      </c>
      <c r="AA93" s="471">
        <v>787.40811047415218</v>
      </c>
      <c r="AB93" s="471">
        <v>485.03170313666521</v>
      </c>
      <c r="AC93" s="471">
        <v>27.697480708630746</v>
      </c>
      <c r="AD93" s="471">
        <v>3.4097277387518909</v>
      </c>
      <c r="AE93" s="471">
        <v>198.09380812528343</v>
      </c>
      <c r="AF93" s="471">
        <v>0</v>
      </c>
      <c r="AG93" s="471">
        <v>208.12548205811675</v>
      </c>
      <c r="AH93" s="685">
        <f t="shared" si="8"/>
        <v>6937.5160686038907</v>
      </c>
      <c r="AI93" s="472">
        <f t="shared" si="9"/>
        <v>7145.6415506620078</v>
      </c>
      <c r="AJ93" s="472"/>
      <c r="AK93" s="472"/>
      <c r="AL93" s="570">
        <v>65.69</v>
      </c>
      <c r="AM93" s="570">
        <v>1189.1485038847727</v>
      </c>
      <c r="AN93" s="566">
        <v>0</v>
      </c>
      <c r="AO93" s="566">
        <f t="shared" si="10"/>
        <v>1254.8385038847728</v>
      </c>
    </row>
    <row r="94" spans="1:41" x14ac:dyDescent="0.3">
      <c r="A94" s="466">
        <v>150000614</v>
      </c>
      <c r="B94" s="467" t="s">
        <v>162</v>
      </c>
      <c r="C94" s="468">
        <v>626.29999999999995</v>
      </c>
      <c r="D94" s="469"/>
      <c r="E94" s="470"/>
      <c r="F94" s="470">
        <v>626.29999999999995</v>
      </c>
      <c r="G94" s="471">
        <v>130.44300541376688</v>
      </c>
      <c r="H94" s="471">
        <v>45.691207018649202</v>
      </c>
      <c r="I94" s="471">
        <v>70.430000000000007</v>
      </c>
      <c r="J94" s="471">
        <v>0</v>
      </c>
      <c r="K94" s="471">
        <v>0</v>
      </c>
      <c r="L94" s="471">
        <v>74.376126877540273</v>
      </c>
      <c r="M94" s="572">
        <f t="shared" si="6"/>
        <v>0</v>
      </c>
      <c r="N94" s="471">
        <v>223.1627741038067</v>
      </c>
      <c r="O94" s="471">
        <v>0</v>
      </c>
      <c r="P94" s="471">
        <v>0</v>
      </c>
      <c r="Q94" s="471">
        <v>142.05264643404746</v>
      </c>
      <c r="R94" s="572">
        <f t="shared" si="7"/>
        <v>795.31402396476858</v>
      </c>
      <c r="S94" s="471">
        <v>47.400116796147813</v>
      </c>
      <c r="T94" s="471">
        <v>58.889878506691225</v>
      </c>
      <c r="U94" s="471">
        <v>24.844068318529949</v>
      </c>
      <c r="V94" s="471">
        <v>0</v>
      </c>
      <c r="W94" s="471">
        <v>0</v>
      </c>
      <c r="X94" s="471">
        <v>17.418560594119956</v>
      </c>
      <c r="Y94" s="471">
        <v>0</v>
      </c>
      <c r="Z94" s="471">
        <v>708.83465264029519</v>
      </c>
      <c r="AA94" s="471">
        <v>364.10104649296062</v>
      </c>
      <c r="AB94" s="471">
        <v>157.32680669773984</v>
      </c>
      <c r="AC94" s="471">
        <v>0</v>
      </c>
      <c r="AD94" s="471">
        <v>0</v>
      </c>
      <c r="AE94" s="471">
        <v>116.98453235745086</v>
      </c>
      <c r="AF94" s="471">
        <v>0</v>
      </c>
      <c r="AG94" s="471">
        <v>89.318083386495445</v>
      </c>
      <c r="AH94" s="685">
        <f t="shared" si="8"/>
        <v>2977.2694462165146</v>
      </c>
      <c r="AI94" s="472">
        <f t="shared" si="9"/>
        <v>3066.5875296030099</v>
      </c>
      <c r="AJ94" s="472"/>
      <c r="AK94" s="472"/>
      <c r="AL94" s="570">
        <v>57.53</v>
      </c>
      <c r="AM94" s="570">
        <v>737.78402396476861</v>
      </c>
      <c r="AN94" s="566">
        <v>0</v>
      </c>
      <c r="AO94" s="566">
        <f t="shared" si="10"/>
        <v>795.31402396476858</v>
      </c>
    </row>
    <row r="95" spans="1:41" x14ac:dyDescent="0.3">
      <c r="A95" s="466">
        <v>150000615</v>
      </c>
      <c r="B95" s="467" t="s">
        <v>256</v>
      </c>
      <c r="C95" s="468">
        <v>2504.61</v>
      </c>
      <c r="D95" s="469"/>
      <c r="E95" s="470">
        <v>132.30000000000001</v>
      </c>
      <c r="F95" s="470">
        <v>2636.9100000000003</v>
      </c>
      <c r="G95" s="471">
        <v>760.76886864248161</v>
      </c>
      <c r="H95" s="471">
        <v>143.9287423195556</v>
      </c>
      <c r="I95" s="471">
        <v>306.92</v>
      </c>
      <c r="J95" s="471">
        <v>0</v>
      </c>
      <c r="K95" s="471">
        <v>0</v>
      </c>
      <c r="L95" s="471">
        <v>420.19872966094709</v>
      </c>
      <c r="M95" s="572">
        <f t="shared" si="6"/>
        <v>0</v>
      </c>
      <c r="N95" s="471">
        <v>939.58191068508552</v>
      </c>
      <c r="O95" s="471">
        <v>0</v>
      </c>
      <c r="P95" s="471">
        <v>0</v>
      </c>
      <c r="Q95" s="471">
        <v>698.42551163406665</v>
      </c>
      <c r="R95" s="572">
        <f t="shared" si="7"/>
        <v>1730.0691533992642</v>
      </c>
      <c r="S95" s="471">
        <v>122.21452165745661</v>
      </c>
      <c r="T95" s="471">
        <v>185.4877130339687</v>
      </c>
      <c r="U95" s="471">
        <v>156.83336142253489</v>
      </c>
      <c r="V95" s="471">
        <v>0</v>
      </c>
      <c r="W95" s="471">
        <v>0</v>
      </c>
      <c r="X95" s="471">
        <v>54.151345706297761</v>
      </c>
      <c r="Y95" s="471">
        <v>0</v>
      </c>
      <c r="Z95" s="471">
        <v>4786.8054412020801</v>
      </c>
      <c r="AA95" s="471">
        <v>1055.6645457272866</v>
      </c>
      <c r="AB95" s="471">
        <v>1873.8437880693391</v>
      </c>
      <c r="AC95" s="471">
        <v>63.973827123474557</v>
      </c>
      <c r="AD95" s="471">
        <v>7.8755658390641026</v>
      </c>
      <c r="AE95" s="471">
        <v>227.72988965583764</v>
      </c>
      <c r="AF95" s="471">
        <v>0</v>
      </c>
      <c r="AG95" s="471">
        <v>0</v>
      </c>
      <c r="AH95" s="685">
        <f t="shared" si="8"/>
        <v>13534.472915778737</v>
      </c>
      <c r="AI95" s="472">
        <f t="shared" si="9"/>
        <v>13534.472915778737</v>
      </c>
      <c r="AJ95" s="472"/>
      <c r="AK95" s="472"/>
      <c r="AL95" s="570">
        <v>98.36</v>
      </c>
      <c r="AM95" s="570">
        <v>1631.7091533992643</v>
      </c>
      <c r="AN95" s="566">
        <v>0</v>
      </c>
      <c r="AO95" s="566">
        <f t="shared" si="10"/>
        <v>1730.0691533992642</v>
      </c>
    </row>
    <row r="96" spans="1:41" x14ac:dyDescent="0.3">
      <c r="A96" s="466">
        <v>150000616</v>
      </c>
      <c r="B96" s="467" t="s">
        <v>257</v>
      </c>
      <c r="C96" s="468">
        <v>1804.3</v>
      </c>
      <c r="D96" s="469"/>
      <c r="E96" s="470">
        <v>0</v>
      </c>
      <c r="F96" s="470">
        <v>1804.3</v>
      </c>
      <c r="G96" s="471">
        <v>514.15064379987871</v>
      </c>
      <c r="H96" s="471">
        <v>97.201922685568604</v>
      </c>
      <c r="I96" s="471">
        <v>205.46</v>
      </c>
      <c r="J96" s="471">
        <v>0</v>
      </c>
      <c r="K96" s="471">
        <v>0</v>
      </c>
      <c r="L96" s="471">
        <v>275.39228264931091</v>
      </c>
      <c r="M96" s="572">
        <f t="shared" si="6"/>
        <v>0</v>
      </c>
      <c r="N96" s="471">
        <v>642.90690294666842</v>
      </c>
      <c r="O96" s="471">
        <v>0</v>
      </c>
      <c r="P96" s="471">
        <v>0</v>
      </c>
      <c r="Q96" s="471">
        <v>437.99565983831303</v>
      </c>
      <c r="R96" s="572">
        <f t="shared" si="7"/>
        <v>1670.9787167215679</v>
      </c>
      <c r="S96" s="471">
        <v>84.895212195252199</v>
      </c>
      <c r="T96" s="471">
        <v>125.2915763456533</v>
      </c>
      <c r="U96" s="471">
        <v>120.33204869918764</v>
      </c>
      <c r="V96" s="471">
        <v>0</v>
      </c>
      <c r="W96" s="471">
        <v>0</v>
      </c>
      <c r="X96" s="471">
        <v>34.847172385853952</v>
      </c>
      <c r="Y96" s="471">
        <v>0</v>
      </c>
      <c r="Z96" s="471">
        <v>1727.5408570503052</v>
      </c>
      <c r="AA96" s="471">
        <v>681.95558163609553</v>
      </c>
      <c r="AB96" s="471">
        <v>565.54101044781169</v>
      </c>
      <c r="AC96" s="471">
        <v>51.473194237278378</v>
      </c>
      <c r="AD96" s="471">
        <v>6.3366621693619214</v>
      </c>
      <c r="AE96" s="471">
        <v>76.429894473534546</v>
      </c>
      <c r="AF96" s="471">
        <v>0</v>
      </c>
      <c r="AG96" s="471">
        <v>175.64950411875941</v>
      </c>
      <c r="AH96" s="685">
        <f t="shared" si="8"/>
        <v>7318.7293382816406</v>
      </c>
      <c r="AI96" s="472">
        <f t="shared" si="9"/>
        <v>7494.3788424003997</v>
      </c>
      <c r="AJ96" s="472"/>
      <c r="AK96" s="472"/>
      <c r="AL96" s="570">
        <v>82.05</v>
      </c>
      <c r="AM96" s="570">
        <v>1588.928716721568</v>
      </c>
      <c r="AN96" s="566">
        <v>0</v>
      </c>
      <c r="AO96" s="566">
        <f t="shared" si="10"/>
        <v>1670.9787167215679</v>
      </c>
    </row>
    <row r="97" spans="1:41" x14ac:dyDescent="0.3">
      <c r="A97" s="466">
        <v>150000618</v>
      </c>
      <c r="B97" s="467" t="s">
        <v>416</v>
      </c>
      <c r="C97" s="468">
        <v>2744.2</v>
      </c>
      <c r="D97" s="469">
        <v>271.5</v>
      </c>
      <c r="E97" s="470"/>
      <c r="F97" s="470">
        <v>2744.2</v>
      </c>
      <c r="G97" s="471">
        <v>680.92240145229243</v>
      </c>
      <c r="H97" s="471">
        <v>106.32541396971786</v>
      </c>
      <c r="I97" s="471">
        <v>340.12</v>
      </c>
      <c r="J97" s="471">
        <v>70</v>
      </c>
      <c r="K97" s="471">
        <v>34.733108401837384</v>
      </c>
      <c r="L97" s="471">
        <v>306.74730476456324</v>
      </c>
      <c r="M97" s="572">
        <f t="shared" si="6"/>
        <v>0</v>
      </c>
      <c r="N97" s="471">
        <v>977.81140778487361</v>
      </c>
      <c r="O97" s="471">
        <v>1488.5668966363748</v>
      </c>
      <c r="P97" s="471">
        <v>0</v>
      </c>
      <c r="Q97" s="471">
        <v>157.83627381560828</v>
      </c>
      <c r="R97" s="572">
        <f t="shared" si="7"/>
        <v>3293.9648144085854</v>
      </c>
      <c r="S97" s="471">
        <v>52.636998233877371</v>
      </c>
      <c r="T97" s="471">
        <v>70.422683675383809</v>
      </c>
      <c r="U97" s="471">
        <v>86.26499651943341</v>
      </c>
      <c r="V97" s="471">
        <v>31.015276135174716</v>
      </c>
      <c r="W97" s="471">
        <v>17.609972466285939</v>
      </c>
      <c r="X97" s="471">
        <v>43.339787663818534</v>
      </c>
      <c r="Y97" s="471">
        <v>0</v>
      </c>
      <c r="Z97" s="471">
        <v>3238.0037693648146</v>
      </c>
      <c r="AA97" s="471">
        <v>2511.4552034462617</v>
      </c>
      <c r="AB97" s="471">
        <v>320.26964487972674</v>
      </c>
      <c r="AC97" s="471">
        <v>52.943856929772046</v>
      </c>
      <c r="AD97" s="471">
        <v>6.5177096599151199</v>
      </c>
      <c r="AE97" s="471">
        <v>527.21029249091168</v>
      </c>
      <c r="AF97" s="471">
        <v>385.26905989720478</v>
      </c>
      <c r="AG97" s="471">
        <v>266.39976370673583</v>
      </c>
      <c r="AH97" s="685">
        <f t="shared" si="8"/>
        <v>14799.986872596433</v>
      </c>
      <c r="AI97" s="472">
        <f t="shared" si="9"/>
        <v>15066.386636303168</v>
      </c>
      <c r="AJ97" s="472"/>
      <c r="AK97" s="472"/>
      <c r="AL97" s="570">
        <v>25.61</v>
      </c>
      <c r="AM97" s="570">
        <v>3268.3548144085853</v>
      </c>
      <c r="AN97" s="566">
        <v>0</v>
      </c>
      <c r="AO97" s="566">
        <f t="shared" si="10"/>
        <v>3293.9648144085854</v>
      </c>
    </row>
    <row r="98" spans="1:41" x14ac:dyDescent="0.3">
      <c r="A98" s="466">
        <v>150000619</v>
      </c>
      <c r="B98" s="467" t="s">
        <v>359</v>
      </c>
      <c r="C98" s="468">
        <v>4254.1000000000004</v>
      </c>
      <c r="D98" s="469">
        <v>465</v>
      </c>
      <c r="E98" s="470"/>
      <c r="F98" s="470">
        <v>4254.1000000000004</v>
      </c>
      <c r="G98" s="471">
        <v>1311.254182694169</v>
      </c>
      <c r="H98" s="471">
        <v>199.92765725727142</v>
      </c>
      <c r="I98" s="471">
        <v>517.94000000000005</v>
      </c>
      <c r="J98" s="471">
        <v>115.69</v>
      </c>
      <c r="K98" s="471">
        <v>65.004820328168279</v>
      </c>
      <c r="L98" s="471">
        <v>567.89014415680219</v>
      </c>
      <c r="M98" s="572">
        <f t="shared" si="6"/>
        <v>0</v>
      </c>
      <c r="N98" s="471">
        <v>1515.8179104502703</v>
      </c>
      <c r="O98" s="471">
        <v>3069.8746739721232</v>
      </c>
      <c r="P98" s="471">
        <v>0</v>
      </c>
      <c r="Q98" s="471">
        <v>284.10529286809492</v>
      </c>
      <c r="R98" s="572">
        <f t="shared" si="7"/>
        <v>5559.2679735272959</v>
      </c>
      <c r="S98" s="471">
        <v>104.34178770313731</v>
      </c>
      <c r="T98" s="471">
        <v>132.66832458043814</v>
      </c>
      <c r="U98" s="471">
        <v>137.02384284704263</v>
      </c>
      <c r="V98" s="471">
        <v>57.183779780945919</v>
      </c>
      <c r="W98" s="471">
        <v>32.980617657691397</v>
      </c>
      <c r="X98" s="471">
        <v>86.533694527001416</v>
      </c>
      <c r="Y98" s="471">
        <v>0</v>
      </c>
      <c r="Z98" s="471">
        <v>4207.1137254140649</v>
      </c>
      <c r="AA98" s="471">
        <v>3151.0386686298348</v>
      </c>
      <c r="AB98" s="471">
        <v>746.57451002368725</v>
      </c>
      <c r="AC98" s="471">
        <v>68.630925649704508</v>
      </c>
      <c r="AD98" s="471">
        <v>8.4488828924825619</v>
      </c>
      <c r="AE98" s="471">
        <v>1088.7360478066757</v>
      </c>
      <c r="AF98" s="471">
        <v>539.68864260903979</v>
      </c>
      <c r="AG98" s="471">
        <v>424.21924989676683</v>
      </c>
      <c r="AH98" s="685">
        <f t="shared" si="8"/>
        <v>23567.736105375938</v>
      </c>
      <c r="AI98" s="472">
        <f t="shared" si="9"/>
        <v>23991.955355272705</v>
      </c>
      <c r="AJ98" s="472"/>
      <c r="AK98" s="472"/>
      <c r="AL98" s="570">
        <v>50.66</v>
      </c>
      <c r="AM98" s="570">
        <v>5508.6079735272961</v>
      </c>
      <c r="AN98" s="566">
        <v>0</v>
      </c>
      <c r="AO98" s="566">
        <f t="shared" si="10"/>
        <v>5559.2679735272959</v>
      </c>
    </row>
    <row r="99" spans="1:41" x14ac:dyDescent="0.3">
      <c r="A99" s="466">
        <v>150000621</v>
      </c>
      <c r="B99" s="467" t="s">
        <v>80</v>
      </c>
      <c r="C99" s="468">
        <v>130.1</v>
      </c>
      <c r="D99" s="473"/>
      <c r="E99" s="470"/>
      <c r="F99" s="470">
        <v>130.1</v>
      </c>
      <c r="G99" s="471">
        <v>0</v>
      </c>
      <c r="H99" s="471">
        <v>0</v>
      </c>
      <c r="I99" s="471">
        <v>0</v>
      </c>
      <c r="J99" s="471">
        <v>0</v>
      </c>
      <c r="K99" s="471">
        <v>0</v>
      </c>
      <c r="L99" s="471">
        <v>0</v>
      </c>
      <c r="M99" s="572">
        <f t="shared" si="6"/>
        <v>0</v>
      </c>
      <c r="N99" s="471">
        <v>0</v>
      </c>
      <c r="O99" s="471">
        <v>0</v>
      </c>
      <c r="P99" s="471">
        <v>0</v>
      </c>
      <c r="Q99" s="471">
        <v>23.675441072341243</v>
      </c>
      <c r="R99" s="572">
        <f t="shared" si="7"/>
        <v>146.40855148596486</v>
      </c>
      <c r="S99" s="471">
        <v>0</v>
      </c>
      <c r="T99" s="471">
        <v>0</v>
      </c>
      <c r="U99" s="471">
        <v>0</v>
      </c>
      <c r="V99" s="471">
        <v>0</v>
      </c>
      <c r="W99" s="471">
        <v>0</v>
      </c>
      <c r="X99" s="471">
        <v>0</v>
      </c>
      <c r="Y99" s="471">
        <v>0</v>
      </c>
      <c r="Z99" s="471">
        <v>15.951340502798338</v>
      </c>
      <c r="AA99" s="471">
        <v>0</v>
      </c>
      <c r="AB99" s="471">
        <v>0</v>
      </c>
      <c r="AC99" s="471">
        <v>0</v>
      </c>
      <c r="AD99" s="471">
        <v>0</v>
      </c>
      <c r="AE99" s="471">
        <v>0</v>
      </c>
      <c r="AF99" s="471">
        <v>0</v>
      </c>
      <c r="AG99" s="471">
        <v>5.5810599918331345</v>
      </c>
      <c r="AH99" s="685">
        <f t="shared" si="8"/>
        <v>186.03533306110444</v>
      </c>
      <c r="AI99" s="472">
        <f t="shared" si="9"/>
        <v>191.61639305293758</v>
      </c>
      <c r="AJ99" s="472"/>
      <c r="AK99" s="472"/>
      <c r="AL99" s="570">
        <v>19.34</v>
      </c>
      <c r="AM99" s="570">
        <v>127.06855148596487</v>
      </c>
      <c r="AN99" s="566">
        <v>0</v>
      </c>
      <c r="AO99" s="566">
        <f t="shared" si="10"/>
        <v>146.40855148596486</v>
      </c>
    </row>
    <row r="100" spans="1:41" x14ac:dyDescent="0.3">
      <c r="A100" s="466">
        <v>150000622</v>
      </c>
      <c r="B100" s="467" t="s">
        <v>81</v>
      </c>
      <c r="C100" s="468">
        <v>132.69999999999999</v>
      </c>
      <c r="D100" s="473"/>
      <c r="E100" s="470"/>
      <c r="F100" s="470">
        <v>132.69999999999999</v>
      </c>
      <c r="G100" s="471">
        <v>0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572">
        <f t="shared" si="6"/>
        <v>0</v>
      </c>
      <c r="N100" s="471">
        <v>0</v>
      </c>
      <c r="O100" s="471">
        <v>0</v>
      </c>
      <c r="P100" s="471">
        <v>0</v>
      </c>
      <c r="Q100" s="471">
        <v>31.567254763121657</v>
      </c>
      <c r="R100" s="572">
        <f t="shared" si="7"/>
        <v>136.49272452441869</v>
      </c>
      <c r="S100" s="471">
        <v>0</v>
      </c>
      <c r="T100" s="471">
        <v>0</v>
      </c>
      <c r="U100" s="471">
        <v>0</v>
      </c>
      <c r="V100" s="471">
        <v>0</v>
      </c>
      <c r="W100" s="471">
        <v>0</v>
      </c>
      <c r="X100" s="471">
        <v>0</v>
      </c>
      <c r="Y100" s="471">
        <v>0</v>
      </c>
      <c r="Z100" s="471">
        <v>23.927010754197507</v>
      </c>
      <c r="AA100" s="471">
        <v>0</v>
      </c>
      <c r="AB100" s="471">
        <v>0</v>
      </c>
      <c r="AC100" s="471">
        <v>0</v>
      </c>
      <c r="AD100" s="471">
        <v>0</v>
      </c>
      <c r="AE100" s="471">
        <v>0</v>
      </c>
      <c r="AF100" s="471">
        <v>0</v>
      </c>
      <c r="AG100" s="471">
        <v>10.367297462253843</v>
      </c>
      <c r="AH100" s="685">
        <f t="shared" si="8"/>
        <v>191.98699004173787</v>
      </c>
      <c r="AI100" s="472">
        <f t="shared" si="9"/>
        <v>202.35428750399171</v>
      </c>
      <c r="AJ100" s="472"/>
      <c r="AK100" s="472"/>
      <c r="AL100" s="570">
        <v>8.6999999999999993</v>
      </c>
      <c r="AM100" s="570">
        <v>127.79272452441869</v>
      </c>
      <c r="AN100" s="566">
        <v>0</v>
      </c>
      <c r="AO100" s="566">
        <f t="shared" si="10"/>
        <v>136.49272452441869</v>
      </c>
    </row>
    <row r="101" spans="1:41" x14ac:dyDescent="0.3">
      <c r="A101" s="466">
        <v>150000623</v>
      </c>
      <c r="B101" s="467" t="s">
        <v>209</v>
      </c>
      <c r="C101" s="468">
        <v>1379.8</v>
      </c>
      <c r="D101" s="469"/>
      <c r="E101" s="470">
        <v>92.8</v>
      </c>
      <c r="F101" s="470">
        <v>1472.6</v>
      </c>
      <c r="G101" s="471">
        <v>445.66610170028343</v>
      </c>
      <c r="H101" s="471">
        <v>77.96848095209269</v>
      </c>
      <c r="I101" s="471">
        <v>177.45</v>
      </c>
      <c r="J101" s="471">
        <v>0</v>
      </c>
      <c r="K101" s="471">
        <v>0</v>
      </c>
      <c r="L101" s="471">
        <v>244.44010390858983</v>
      </c>
      <c r="M101" s="572">
        <f t="shared" si="6"/>
        <v>0</v>
      </c>
      <c r="N101" s="471">
        <v>524.71579298302049</v>
      </c>
      <c r="O101" s="471">
        <v>0</v>
      </c>
      <c r="P101" s="471">
        <v>0</v>
      </c>
      <c r="Q101" s="471">
        <v>355.13161608511865</v>
      </c>
      <c r="R101" s="572">
        <f t="shared" si="7"/>
        <v>1577.1457640618739</v>
      </c>
      <c r="S101" s="471">
        <v>74.638014796919734</v>
      </c>
      <c r="T101" s="471">
        <v>100.48865234005868</v>
      </c>
      <c r="U101" s="471">
        <v>83.35095844830397</v>
      </c>
      <c r="V101" s="471">
        <v>0</v>
      </c>
      <c r="W101" s="471">
        <v>0</v>
      </c>
      <c r="X101" s="471">
        <v>30.242693680127168</v>
      </c>
      <c r="Y101" s="471">
        <v>0</v>
      </c>
      <c r="Z101" s="471">
        <v>1498.6960994492724</v>
      </c>
      <c r="AA101" s="471">
        <v>734.01985571920488</v>
      </c>
      <c r="AB101" s="471">
        <v>634.48136218399156</v>
      </c>
      <c r="AC101" s="471">
        <v>30.638806093618079</v>
      </c>
      <c r="AD101" s="471">
        <v>3.7718227198582861</v>
      </c>
      <c r="AE101" s="471">
        <v>252.68658989209382</v>
      </c>
      <c r="AF101" s="471">
        <v>0</v>
      </c>
      <c r="AG101" s="471">
        <v>123.21958887025968</v>
      </c>
      <c r="AH101" s="685">
        <f t="shared" si="8"/>
        <v>6845.5327150144276</v>
      </c>
      <c r="AI101" s="472">
        <f t="shared" si="9"/>
        <v>6968.7523038846875</v>
      </c>
      <c r="AJ101" s="472"/>
      <c r="AK101" s="472"/>
      <c r="AL101" s="570">
        <v>65.67</v>
      </c>
      <c r="AM101" s="570">
        <v>1511.4757640618739</v>
      </c>
      <c r="AN101" s="566">
        <v>0</v>
      </c>
      <c r="AO101" s="566">
        <f t="shared" si="10"/>
        <v>1577.1457640618739</v>
      </c>
    </row>
    <row r="102" spans="1:41" x14ac:dyDescent="0.3">
      <c r="A102" s="466">
        <v>150000625</v>
      </c>
      <c r="B102" s="467" t="s">
        <v>415</v>
      </c>
      <c r="C102" s="468">
        <v>4786.05</v>
      </c>
      <c r="D102" s="469">
        <v>340.9</v>
      </c>
      <c r="E102" s="470">
        <v>64.599999999999994</v>
      </c>
      <c r="F102" s="470">
        <v>4850.6500000000005</v>
      </c>
      <c r="G102" s="471">
        <v>1428.8909516204126</v>
      </c>
      <c r="H102" s="471">
        <v>220.47042532127531</v>
      </c>
      <c r="I102" s="471">
        <v>656.16</v>
      </c>
      <c r="J102" s="471">
        <v>126.06</v>
      </c>
      <c r="K102" s="471">
        <v>69.441905573206768</v>
      </c>
      <c r="L102" s="471">
        <v>601.501535581334</v>
      </c>
      <c r="M102" s="572">
        <f t="shared" si="6"/>
        <v>0</v>
      </c>
      <c r="N102" s="471">
        <v>1728.3801855446754</v>
      </c>
      <c r="O102" s="471">
        <v>3553.2101961369735</v>
      </c>
      <c r="P102" s="471">
        <v>0</v>
      </c>
      <c r="Q102" s="471">
        <v>311.72664078582642</v>
      </c>
      <c r="R102" s="572">
        <f t="shared" si="7"/>
        <v>5984.0340313029101</v>
      </c>
      <c r="S102" s="471">
        <v>112.32027171131804</v>
      </c>
      <c r="T102" s="471">
        <v>133.63672181485069</v>
      </c>
      <c r="U102" s="471">
        <v>124.87352522650177</v>
      </c>
      <c r="V102" s="471">
        <v>58.382551877163472</v>
      </c>
      <c r="W102" s="471">
        <v>35.232039279818451</v>
      </c>
      <c r="X102" s="471">
        <v>64.637189513920404</v>
      </c>
      <c r="Y102" s="471">
        <v>26.931157963619381</v>
      </c>
      <c r="Z102" s="471">
        <v>6306.8994819567788</v>
      </c>
      <c r="AA102" s="471">
        <v>3822.9486691671618</v>
      </c>
      <c r="AB102" s="471">
        <v>865.59363481007222</v>
      </c>
      <c r="AC102" s="471">
        <v>64.415025931222658</v>
      </c>
      <c r="AD102" s="471">
        <v>7.9298800862300611</v>
      </c>
      <c r="AE102" s="471">
        <v>1400.694800759878</v>
      </c>
      <c r="AF102" s="471">
        <v>948.35460897773487</v>
      </c>
      <c r="AG102" s="471">
        <v>515.74905775697198</v>
      </c>
      <c r="AH102" s="685">
        <f t="shared" si="8"/>
        <v>28652.725430942883</v>
      </c>
      <c r="AI102" s="472">
        <f t="shared" si="9"/>
        <v>29168.474488699856</v>
      </c>
      <c r="AJ102" s="472"/>
      <c r="AK102" s="472"/>
      <c r="AL102" s="570">
        <v>50.66</v>
      </c>
      <c r="AM102" s="570">
        <v>5933.3740313029102</v>
      </c>
      <c r="AN102" s="566">
        <v>0</v>
      </c>
      <c r="AO102" s="566">
        <f t="shared" si="10"/>
        <v>5984.0340313029101</v>
      </c>
    </row>
    <row r="103" spans="1:41" x14ac:dyDescent="0.3">
      <c r="A103" s="466">
        <v>150000626</v>
      </c>
      <c r="B103" s="467" t="s">
        <v>358</v>
      </c>
      <c r="C103" s="468">
        <v>7507.43</v>
      </c>
      <c r="D103" s="469">
        <v>772.75</v>
      </c>
      <c r="E103" s="470"/>
      <c r="F103" s="470">
        <v>7507.43</v>
      </c>
      <c r="G103" s="471">
        <v>1635.5039119117437</v>
      </c>
      <c r="H103" s="471">
        <v>328.81852375138266</v>
      </c>
      <c r="I103" s="471">
        <v>1041.6400000000001</v>
      </c>
      <c r="J103" s="471">
        <v>193.61</v>
      </c>
      <c r="K103" s="471">
        <v>192.08062007918898</v>
      </c>
      <c r="L103" s="471">
        <v>1461.2456375251063</v>
      </c>
      <c r="M103" s="572">
        <f t="shared" si="6"/>
        <v>0</v>
      </c>
      <c r="N103" s="471">
        <v>2675.0421606101577</v>
      </c>
      <c r="O103" s="471">
        <v>4964.0659391358995</v>
      </c>
      <c r="P103" s="471">
        <v>526.14071962364369</v>
      </c>
      <c r="Q103" s="471">
        <v>564.26467889079959</v>
      </c>
      <c r="R103" s="572">
        <f t="shared" si="7"/>
        <v>10421.895946852026</v>
      </c>
      <c r="S103" s="471">
        <v>134.8386285665128</v>
      </c>
      <c r="T103" s="471">
        <v>205.12644202695014</v>
      </c>
      <c r="U103" s="471">
        <v>230.50207294495644</v>
      </c>
      <c r="V103" s="471">
        <v>92.454226601088408</v>
      </c>
      <c r="W103" s="471">
        <v>97.444916251409211</v>
      </c>
      <c r="X103" s="471">
        <v>160.26562450566868</v>
      </c>
      <c r="Y103" s="471">
        <v>63.506112576590589</v>
      </c>
      <c r="Z103" s="471">
        <v>8793.4686869997568</v>
      </c>
      <c r="AA103" s="471">
        <v>5913.4813281088609</v>
      </c>
      <c r="AB103" s="471">
        <v>1081.9920435125903</v>
      </c>
      <c r="AC103" s="471">
        <v>165.69466335428658</v>
      </c>
      <c r="AD103" s="471">
        <v>20.398017268993613</v>
      </c>
      <c r="AE103" s="471">
        <v>1040.3824410989293</v>
      </c>
      <c r="AF103" s="471">
        <v>1172.9649111040405</v>
      </c>
      <c r="AG103" s="471">
        <v>777.18290855941029</v>
      </c>
      <c r="AH103" s="685">
        <f t="shared" si="8"/>
        <v>43176.828253300569</v>
      </c>
      <c r="AI103" s="472">
        <f t="shared" si="9"/>
        <v>43954.011161859977</v>
      </c>
      <c r="AJ103" s="472"/>
      <c r="AK103" s="472"/>
      <c r="AL103" s="570">
        <v>155.84</v>
      </c>
      <c r="AM103" s="570">
        <v>10266.055946852026</v>
      </c>
      <c r="AN103" s="566">
        <v>0</v>
      </c>
      <c r="AO103" s="566">
        <f t="shared" si="10"/>
        <v>10421.895946852026</v>
      </c>
    </row>
    <row r="104" spans="1:41" x14ac:dyDescent="0.3">
      <c r="A104" s="466">
        <v>150000627</v>
      </c>
      <c r="B104" s="467" t="s">
        <v>355</v>
      </c>
      <c r="C104" s="468">
        <v>3714.05</v>
      </c>
      <c r="D104" s="469">
        <v>340.25</v>
      </c>
      <c r="E104" s="470">
        <v>63.3</v>
      </c>
      <c r="F104" s="470">
        <v>3777.3500000000004</v>
      </c>
      <c r="G104" s="471">
        <v>825.71974965832271</v>
      </c>
      <c r="H104" s="471">
        <v>165.28583035986341</v>
      </c>
      <c r="I104" s="471">
        <v>525.55999999999995</v>
      </c>
      <c r="J104" s="471">
        <v>96.21</v>
      </c>
      <c r="K104" s="471">
        <v>65.004820328168279</v>
      </c>
      <c r="L104" s="471">
        <v>670.93813833624267</v>
      </c>
      <c r="M104" s="572">
        <f t="shared" si="6"/>
        <v>0</v>
      </c>
      <c r="N104" s="471">
        <v>1345.9426868290186</v>
      </c>
      <c r="O104" s="471">
        <v>4800.7555319648973</v>
      </c>
      <c r="P104" s="471">
        <v>0</v>
      </c>
      <c r="Q104" s="471">
        <v>280.15938602270472</v>
      </c>
      <c r="R104" s="572">
        <f t="shared" si="7"/>
        <v>5104.4068265633086</v>
      </c>
      <c r="S104" s="471">
        <v>68.918875258101465</v>
      </c>
      <c r="T104" s="471">
        <v>98.143327095968175</v>
      </c>
      <c r="U104" s="471">
        <v>106.85158842153281</v>
      </c>
      <c r="V104" s="471">
        <v>47.005876051883021</v>
      </c>
      <c r="W104" s="471">
        <v>32.980617657691397</v>
      </c>
      <c r="X104" s="471">
        <v>71.717715476797508</v>
      </c>
      <c r="Y104" s="471">
        <v>32.574408953449151</v>
      </c>
      <c r="Z104" s="471">
        <v>3524.5508679024674</v>
      </c>
      <c r="AA104" s="471">
        <v>3396.1400673233584</v>
      </c>
      <c r="AB104" s="471">
        <v>627.55538523730206</v>
      </c>
      <c r="AC104" s="471">
        <v>101.18159324356435</v>
      </c>
      <c r="AD104" s="471">
        <v>12.456067350060005</v>
      </c>
      <c r="AE104" s="471">
        <v>1254.0741868718731</v>
      </c>
      <c r="AF104" s="471">
        <v>648.87420614266057</v>
      </c>
      <c r="AG104" s="471">
        <v>717.09023259147705</v>
      </c>
      <c r="AH104" s="685">
        <f t="shared" si="8"/>
        <v>23903.007753049231</v>
      </c>
      <c r="AI104" s="472">
        <f t="shared" si="9"/>
        <v>24620.097985640707</v>
      </c>
      <c r="AJ104" s="472"/>
      <c r="AK104" s="472"/>
      <c r="AL104" s="570">
        <v>65.67</v>
      </c>
      <c r="AM104" s="570">
        <v>5038.7368265633086</v>
      </c>
      <c r="AN104" s="566">
        <v>0</v>
      </c>
      <c r="AO104" s="566">
        <f t="shared" si="10"/>
        <v>5104.4068265633086</v>
      </c>
    </row>
    <row r="105" spans="1:41" x14ac:dyDescent="0.3">
      <c r="A105" s="466">
        <v>150000628</v>
      </c>
      <c r="B105" s="467" t="s">
        <v>356</v>
      </c>
      <c r="C105" s="468">
        <v>4509.26</v>
      </c>
      <c r="D105" s="469">
        <v>368.4</v>
      </c>
      <c r="E105" s="470">
        <v>143.69999999999999</v>
      </c>
      <c r="F105" s="470">
        <v>4652.96</v>
      </c>
      <c r="G105" s="471">
        <v>1310.0405380911873</v>
      </c>
      <c r="H105" s="471">
        <v>201.63131401285563</v>
      </c>
      <c r="I105" s="471">
        <v>608.72</v>
      </c>
      <c r="J105" s="471">
        <v>117.76</v>
      </c>
      <c r="K105" s="471">
        <v>65.004820328168279</v>
      </c>
      <c r="L105" s="471">
        <v>549.02987457649465</v>
      </c>
      <c r="M105" s="572">
        <f t="shared" si="6"/>
        <v>0</v>
      </c>
      <c r="N105" s="471">
        <v>1657.9394242280832</v>
      </c>
      <c r="O105" s="471">
        <v>3456.5475482576176</v>
      </c>
      <c r="P105" s="471">
        <v>0</v>
      </c>
      <c r="Q105" s="471">
        <v>276.21347917731453</v>
      </c>
      <c r="R105" s="572">
        <f t="shared" si="7"/>
        <v>5787.9059200809916</v>
      </c>
      <c r="S105" s="471">
        <v>102.21010856618543</v>
      </c>
      <c r="T105" s="471">
        <v>123.50596291920525</v>
      </c>
      <c r="U105" s="471">
        <v>121.11838351689461</v>
      </c>
      <c r="V105" s="471">
        <v>56.104620871358016</v>
      </c>
      <c r="W105" s="471">
        <v>32.980617657691397</v>
      </c>
      <c r="X105" s="471">
        <v>62.856810959251952</v>
      </c>
      <c r="Y105" s="471">
        <v>32.907787758409334</v>
      </c>
      <c r="Z105" s="471">
        <v>4655.9862387066159</v>
      </c>
      <c r="AA105" s="471">
        <v>3433.0062501797202</v>
      </c>
      <c r="AB105" s="471">
        <v>497.71634001579156</v>
      </c>
      <c r="AC105" s="471">
        <v>87.430897068748564</v>
      </c>
      <c r="AD105" s="471">
        <v>10.763273313387607</v>
      </c>
      <c r="AE105" s="471">
        <v>739.34224449908925</v>
      </c>
      <c r="AF105" s="471">
        <v>1107.4535729838678</v>
      </c>
      <c r="AG105" s="471">
        <v>451.69516849984069</v>
      </c>
      <c r="AH105" s="685">
        <f t="shared" si="8"/>
        <v>25094.176027768932</v>
      </c>
      <c r="AI105" s="472">
        <f t="shared" si="9"/>
        <v>25545.871196268774</v>
      </c>
      <c r="AJ105" s="472"/>
      <c r="AK105" s="472"/>
      <c r="AL105" s="570">
        <v>58.8</v>
      </c>
      <c r="AM105" s="570">
        <v>5729.1059200809914</v>
      </c>
      <c r="AN105" s="566">
        <v>0</v>
      </c>
      <c r="AO105" s="566">
        <f t="shared" si="10"/>
        <v>5787.9059200809916</v>
      </c>
    </row>
    <row r="106" spans="1:41" x14ac:dyDescent="0.3">
      <c r="A106" s="466">
        <v>150000629</v>
      </c>
      <c r="B106" s="467" t="s">
        <v>357</v>
      </c>
      <c r="C106" s="468">
        <v>9553.74</v>
      </c>
      <c r="D106" s="469">
        <v>1060.24</v>
      </c>
      <c r="E106" s="470"/>
      <c r="F106" s="470">
        <v>9553.74</v>
      </c>
      <c r="G106" s="471">
        <v>2011.8428180808876</v>
      </c>
      <c r="H106" s="471">
        <v>333.57435078395179</v>
      </c>
      <c r="I106" s="471">
        <v>1132.3</v>
      </c>
      <c r="J106" s="471">
        <v>246.38</v>
      </c>
      <c r="K106" s="471">
        <v>384.16119931305292</v>
      </c>
      <c r="L106" s="471">
        <v>1629.3323475640004</v>
      </c>
      <c r="M106" s="572">
        <f t="shared" si="6"/>
        <v>0</v>
      </c>
      <c r="N106" s="471">
        <v>3404.1818960027181</v>
      </c>
      <c r="O106" s="471">
        <v>6913.0950965152351</v>
      </c>
      <c r="P106" s="471">
        <v>0</v>
      </c>
      <c r="Q106" s="471">
        <v>603.72374734470168</v>
      </c>
      <c r="R106" s="572">
        <f t="shared" si="7"/>
        <v>15194.538962850302</v>
      </c>
      <c r="S106" s="471">
        <v>161.66804270236327</v>
      </c>
      <c r="T106" s="471">
        <v>222.61623667036437</v>
      </c>
      <c r="U106" s="471">
        <v>353.84838667705782</v>
      </c>
      <c r="V106" s="471">
        <v>129.77303219156963</v>
      </c>
      <c r="W106" s="471">
        <v>194.87769731024719</v>
      </c>
      <c r="X106" s="471">
        <v>152.94289157412265</v>
      </c>
      <c r="Y106" s="471">
        <v>93.216145822728791</v>
      </c>
      <c r="Z106" s="471">
        <v>11340.792378265131</v>
      </c>
      <c r="AA106" s="471">
        <v>8167.5920095757865</v>
      </c>
      <c r="AB106" s="471">
        <v>2596.7809044302167</v>
      </c>
      <c r="AC106" s="471">
        <v>161.28267527680558</v>
      </c>
      <c r="AD106" s="471">
        <v>19.85487479733402</v>
      </c>
      <c r="AE106" s="471">
        <v>1506.7607767639668</v>
      </c>
      <c r="AF106" s="471">
        <v>2258.5813713811845</v>
      </c>
      <c r="AG106" s="471">
        <v>1065.8469211540871</v>
      </c>
      <c r="AH106" s="685">
        <f t="shared" si="8"/>
        <v>59213.717841893733</v>
      </c>
      <c r="AI106" s="472">
        <f t="shared" si="9"/>
        <v>60279.56476304782</v>
      </c>
      <c r="AJ106" s="472"/>
      <c r="AK106" s="472"/>
      <c r="AL106" s="570">
        <v>107.03</v>
      </c>
      <c r="AM106" s="570">
        <v>15087.508962850301</v>
      </c>
      <c r="AN106" s="566">
        <v>0</v>
      </c>
      <c r="AO106" s="566">
        <f t="shared" si="10"/>
        <v>15194.538962850302</v>
      </c>
    </row>
    <row r="107" spans="1:41" x14ac:dyDescent="0.3">
      <c r="A107" s="466">
        <v>150000634</v>
      </c>
      <c r="B107" s="467" t="s">
        <v>86</v>
      </c>
      <c r="C107" s="468">
        <v>196.35</v>
      </c>
      <c r="D107" s="473"/>
      <c r="E107" s="470"/>
      <c r="F107" s="470">
        <v>196.35</v>
      </c>
      <c r="G107" s="471">
        <v>0</v>
      </c>
      <c r="H107" s="471">
        <v>0</v>
      </c>
      <c r="I107" s="471">
        <v>0</v>
      </c>
      <c r="J107" s="471">
        <v>0</v>
      </c>
      <c r="K107" s="471">
        <v>0</v>
      </c>
      <c r="L107" s="471">
        <v>0</v>
      </c>
      <c r="M107" s="572">
        <f t="shared" si="6"/>
        <v>0</v>
      </c>
      <c r="N107" s="471">
        <v>0</v>
      </c>
      <c r="O107" s="471">
        <v>0</v>
      </c>
      <c r="P107" s="471">
        <v>0</v>
      </c>
      <c r="Q107" s="471">
        <v>31.567254763121657</v>
      </c>
      <c r="R107" s="572">
        <f t="shared" si="7"/>
        <v>230.77117830857355</v>
      </c>
      <c r="S107" s="471">
        <v>0</v>
      </c>
      <c r="T107" s="471">
        <v>0</v>
      </c>
      <c r="U107" s="471">
        <v>0</v>
      </c>
      <c r="V107" s="471">
        <v>0</v>
      </c>
      <c r="W107" s="471">
        <v>0</v>
      </c>
      <c r="X107" s="471">
        <v>0</v>
      </c>
      <c r="Y107" s="471">
        <v>0</v>
      </c>
      <c r="Z107" s="471">
        <v>19.939175628497924</v>
      </c>
      <c r="AA107" s="471">
        <v>0</v>
      </c>
      <c r="AB107" s="471">
        <v>0</v>
      </c>
      <c r="AC107" s="471">
        <v>0</v>
      </c>
      <c r="AD107" s="471">
        <v>0</v>
      </c>
      <c r="AE107" s="471">
        <v>0</v>
      </c>
      <c r="AF107" s="471">
        <v>0</v>
      </c>
      <c r="AG107" s="471">
        <v>8.4683282610057926</v>
      </c>
      <c r="AH107" s="685">
        <f t="shared" si="8"/>
        <v>282.27760870019313</v>
      </c>
      <c r="AI107" s="472">
        <f t="shared" si="9"/>
        <v>290.74593696119894</v>
      </c>
      <c r="AJ107" s="472"/>
      <c r="AK107" s="472"/>
      <c r="AL107" s="570">
        <v>29.44</v>
      </c>
      <c r="AM107" s="570">
        <v>201.33117830857356</v>
      </c>
      <c r="AN107" s="566">
        <v>0</v>
      </c>
      <c r="AO107" s="566">
        <f t="shared" si="10"/>
        <v>230.77117830857355</v>
      </c>
    </row>
    <row r="108" spans="1:41" x14ac:dyDescent="0.3">
      <c r="A108" s="466">
        <v>150000636</v>
      </c>
      <c r="B108" s="467" t="s">
        <v>258</v>
      </c>
      <c r="C108" s="468">
        <v>3175.8</v>
      </c>
      <c r="D108" s="469"/>
      <c r="E108" s="470"/>
      <c r="F108" s="470">
        <v>3175.8</v>
      </c>
      <c r="G108" s="471">
        <v>915.2063014222266</v>
      </c>
      <c r="H108" s="471">
        <v>186.11869937648527</v>
      </c>
      <c r="I108" s="471">
        <v>390.81</v>
      </c>
      <c r="J108" s="471">
        <v>0</v>
      </c>
      <c r="K108" s="471">
        <v>59.112908977718426</v>
      </c>
      <c r="L108" s="471">
        <v>574.31299380998314</v>
      </c>
      <c r="M108" s="572">
        <f t="shared" si="6"/>
        <v>0</v>
      </c>
      <c r="N108" s="471">
        <v>1131.5988152624452</v>
      </c>
      <c r="O108" s="471">
        <v>0</v>
      </c>
      <c r="P108" s="471">
        <v>0</v>
      </c>
      <c r="Q108" s="471">
        <v>828.64043753194358</v>
      </c>
      <c r="R108" s="572">
        <f t="shared" si="7"/>
        <v>3369.5276476464655</v>
      </c>
      <c r="S108" s="471">
        <v>146.70885044320073</v>
      </c>
      <c r="T108" s="471">
        <v>239.8909143761071</v>
      </c>
      <c r="U108" s="471">
        <v>149.43943954810544</v>
      </c>
      <c r="V108" s="471">
        <v>0</v>
      </c>
      <c r="W108" s="471">
        <v>59.973570119372766</v>
      </c>
      <c r="X108" s="471">
        <v>108.18788718072186</v>
      </c>
      <c r="Y108" s="471">
        <v>0</v>
      </c>
      <c r="Z108" s="471">
        <v>2962.5285359280679</v>
      </c>
      <c r="AA108" s="471">
        <v>1496.9762406581542</v>
      </c>
      <c r="AB108" s="471">
        <v>523.33938504802018</v>
      </c>
      <c r="AC108" s="471">
        <v>154.56664898108448</v>
      </c>
      <c r="AD108" s="471">
        <v>19.028091257141082</v>
      </c>
      <c r="AE108" s="471">
        <v>614.55874331780842</v>
      </c>
      <c r="AF108" s="471">
        <v>0</v>
      </c>
      <c r="AG108" s="471">
        <v>334.33262666124125</v>
      </c>
      <c r="AH108" s="685">
        <f t="shared" si="8"/>
        <v>13930.526110885054</v>
      </c>
      <c r="AI108" s="472">
        <f t="shared" si="9"/>
        <v>14264.858737546296</v>
      </c>
      <c r="AJ108" s="472"/>
      <c r="AK108" s="472"/>
      <c r="AL108" s="570">
        <v>99.5</v>
      </c>
      <c r="AM108" s="570">
        <v>3270.0276476464655</v>
      </c>
      <c r="AN108" s="566">
        <v>0</v>
      </c>
      <c r="AO108" s="566">
        <f t="shared" si="10"/>
        <v>3369.5276476464655</v>
      </c>
    </row>
    <row r="109" spans="1:41" x14ac:dyDescent="0.3">
      <c r="A109" s="466">
        <v>150000637</v>
      </c>
      <c r="B109" s="467" t="s">
        <v>87</v>
      </c>
      <c r="C109" s="468">
        <v>164.45</v>
      </c>
      <c r="D109" s="473"/>
      <c r="E109" s="470"/>
      <c r="F109" s="470">
        <v>164.45</v>
      </c>
      <c r="G109" s="471">
        <v>0</v>
      </c>
      <c r="H109" s="471">
        <v>0</v>
      </c>
      <c r="I109" s="471">
        <v>0</v>
      </c>
      <c r="J109" s="471">
        <v>0</v>
      </c>
      <c r="K109" s="471">
        <v>0</v>
      </c>
      <c r="L109" s="471">
        <v>0</v>
      </c>
      <c r="M109" s="572">
        <f t="shared" si="6"/>
        <v>0</v>
      </c>
      <c r="N109" s="471">
        <v>0</v>
      </c>
      <c r="O109" s="471">
        <v>0</v>
      </c>
      <c r="P109" s="471">
        <v>0</v>
      </c>
      <c r="Q109" s="471">
        <v>15.783627381560828</v>
      </c>
      <c r="R109" s="572">
        <f t="shared" si="7"/>
        <v>203.31220280883383</v>
      </c>
      <c r="S109" s="471">
        <v>0</v>
      </c>
      <c r="T109" s="471">
        <v>0</v>
      </c>
      <c r="U109" s="471">
        <v>0</v>
      </c>
      <c r="V109" s="471">
        <v>0</v>
      </c>
      <c r="W109" s="471">
        <v>0</v>
      </c>
      <c r="X109" s="471">
        <v>0</v>
      </c>
      <c r="Y109" s="471">
        <v>0</v>
      </c>
      <c r="Z109" s="471">
        <v>13.957422939948543</v>
      </c>
      <c r="AA109" s="471">
        <v>0</v>
      </c>
      <c r="AB109" s="471">
        <v>0</v>
      </c>
      <c r="AC109" s="471">
        <v>0</v>
      </c>
      <c r="AD109" s="471">
        <v>0</v>
      </c>
      <c r="AE109" s="471">
        <v>0</v>
      </c>
      <c r="AF109" s="471">
        <v>0</v>
      </c>
      <c r="AG109" s="471">
        <v>6.9915975939102957</v>
      </c>
      <c r="AH109" s="685">
        <f t="shared" si="8"/>
        <v>233.05325313034319</v>
      </c>
      <c r="AI109" s="472">
        <f t="shared" si="9"/>
        <v>240.04485072425348</v>
      </c>
      <c r="AJ109" s="472"/>
      <c r="AK109" s="472"/>
      <c r="AL109" s="570">
        <v>25.61</v>
      </c>
      <c r="AM109" s="570">
        <v>177.70220280883382</v>
      </c>
      <c r="AN109" s="566">
        <v>0</v>
      </c>
      <c r="AO109" s="566">
        <f t="shared" si="10"/>
        <v>203.31220280883383</v>
      </c>
    </row>
    <row r="110" spans="1:41" x14ac:dyDescent="0.3">
      <c r="A110" s="466">
        <v>150000638</v>
      </c>
      <c r="B110" s="467" t="s">
        <v>131</v>
      </c>
      <c r="C110" s="468">
        <v>90.7</v>
      </c>
      <c r="D110" s="473"/>
      <c r="E110" s="470"/>
      <c r="F110" s="470">
        <v>90.7</v>
      </c>
      <c r="G110" s="471">
        <v>0</v>
      </c>
      <c r="H110" s="471">
        <v>0</v>
      </c>
      <c r="I110" s="471">
        <v>0</v>
      </c>
      <c r="J110" s="471">
        <v>0</v>
      </c>
      <c r="K110" s="471">
        <v>0</v>
      </c>
      <c r="L110" s="471">
        <v>0</v>
      </c>
      <c r="M110" s="572">
        <f t="shared" si="6"/>
        <v>0</v>
      </c>
      <c r="N110" s="471">
        <v>0</v>
      </c>
      <c r="O110" s="471">
        <v>0</v>
      </c>
      <c r="P110" s="471">
        <v>0</v>
      </c>
      <c r="Q110" s="471">
        <v>31.567254763121657</v>
      </c>
      <c r="R110" s="572">
        <f t="shared" si="7"/>
        <v>125.55392784452202</v>
      </c>
      <c r="S110" s="471">
        <v>0</v>
      </c>
      <c r="T110" s="471">
        <v>0</v>
      </c>
      <c r="U110" s="471">
        <v>0</v>
      </c>
      <c r="V110" s="471">
        <v>0</v>
      </c>
      <c r="W110" s="471">
        <v>0</v>
      </c>
      <c r="X110" s="471">
        <v>0</v>
      </c>
      <c r="Y110" s="471">
        <v>0</v>
      </c>
      <c r="Z110" s="471">
        <v>5.9817526885493768</v>
      </c>
      <c r="AA110" s="471">
        <v>0</v>
      </c>
      <c r="AB110" s="471">
        <v>0</v>
      </c>
      <c r="AC110" s="471">
        <v>0</v>
      </c>
      <c r="AD110" s="471">
        <v>0</v>
      </c>
      <c r="AE110" s="471">
        <v>0</v>
      </c>
      <c r="AF110" s="471">
        <v>0</v>
      </c>
      <c r="AG110" s="471">
        <v>4.893088058885791</v>
      </c>
      <c r="AH110" s="685">
        <f t="shared" si="8"/>
        <v>163.10293529619304</v>
      </c>
      <c r="AI110" s="472">
        <f t="shared" si="9"/>
        <v>167.99602335507882</v>
      </c>
      <c r="AJ110" s="472"/>
      <c r="AK110" s="472"/>
      <c r="AL110" s="570">
        <v>19.11</v>
      </c>
      <c r="AM110" s="570">
        <v>106.44392784452202</v>
      </c>
      <c r="AN110" s="566">
        <v>0</v>
      </c>
      <c r="AO110" s="566">
        <f t="shared" si="10"/>
        <v>125.55392784452202</v>
      </c>
    </row>
    <row r="111" spans="1:41" x14ac:dyDescent="0.3">
      <c r="A111" s="466">
        <v>150000639</v>
      </c>
      <c r="B111" s="467" t="s">
        <v>132</v>
      </c>
      <c r="C111" s="468">
        <v>171</v>
      </c>
      <c r="D111" s="473"/>
      <c r="E111" s="470"/>
      <c r="F111" s="470">
        <v>171</v>
      </c>
      <c r="G111" s="471">
        <v>0</v>
      </c>
      <c r="H111" s="471">
        <v>0</v>
      </c>
      <c r="I111" s="471">
        <v>0</v>
      </c>
      <c r="J111" s="471">
        <v>0</v>
      </c>
      <c r="K111" s="471">
        <v>0</v>
      </c>
      <c r="L111" s="471">
        <v>0</v>
      </c>
      <c r="M111" s="572">
        <f t="shared" si="6"/>
        <v>0</v>
      </c>
      <c r="N111" s="471">
        <v>0</v>
      </c>
      <c r="O111" s="471">
        <v>0</v>
      </c>
      <c r="P111" s="471">
        <v>0</v>
      </c>
      <c r="Q111" s="471">
        <v>31.567254763121657</v>
      </c>
      <c r="R111" s="572">
        <f t="shared" si="7"/>
        <v>182.47227429774259</v>
      </c>
      <c r="S111" s="471">
        <v>0</v>
      </c>
      <c r="T111" s="471">
        <v>0</v>
      </c>
      <c r="U111" s="471">
        <v>0</v>
      </c>
      <c r="V111" s="471">
        <v>0</v>
      </c>
      <c r="W111" s="471">
        <v>0</v>
      </c>
      <c r="X111" s="471">
        <v>0</v>
      </c>
      <c r="Y111" s="471">
        <v>0</v>
      </c>
      <c r="Z111" s="471">
        <v>11.963505377098754</v>
      </c>
      <c r="AA111" s="471">
        <v>0</v>
      </c>
      <c r="AB111" s="471">
        <v>0</v>
      </c>
      <c r="AC111" s="471">
        <v>0</v>
      </c>
      <c r="AD111" s="471">
        <v>0</v>
      </c>
      <c r="AE111" s="471">
        <v>0</v>
      </c>
      <c r="AF111" s="471">
        <v>0</v>
      </c>
      <c r="AG111" s="471">
        <v>6.7800910331388895</v>
      </c>
      <c r="AH111" s="685">
        <f t="shared" si="8"/>
        <v>226.00303443796301</v>
      </c>
      <c r="AI111" s="472">
        <f t="shared" si="9"/>
        <v>232.7831254711019</v>
      </c>
      <c r="AJ111" s="472"/>
      <c r="AK111" s="472"/>
      <c r="AL111" s="570">
        <v>31.24</v>
      </c>
      <c r="AM111" s="570">
        <v>151.23227429774258</v>
      </c>
      <c r="AN111" s="566">
        <v>0</v>
      </c>
      <c r="AO111" s="566">
        <f t="shared" si="10"/>
        <v>182.47227429774259</v>
      </c>
    </row>
    <row r="112" spans="1:41" x14ac:dyDescent="0.3">
      <c r="A112" s="466">
        <v>150000643</v>
      </c>
      <c r="B112" s="467" t="s">
        <v>66</v>
      </c>
      <c r="C112" s="468">
        <v>216.8</v>
      </c>
      <c r="D112" s="473"/>
      <c r="E112" s="470"/>
      <c r="F112" s="470">
        <v>216.8</v>
      </c>
      <c r="G112" s="471">
        <v>0</v>
      </c>
      <c r="H112" s="471">
        <v>0</v>
      </c>
      <c r="I112" s="471">
        <v>0</v>
      </c>
      <c r="J112" s="471">
        <v>0</v>
      </c>
      <c r="K112" s="471">
        <v>0</v>
      </c>
      <c r="L112" s="471">
        <v>0</v>
      </c>
      <c r="M112" s="572">
        <f t="shared" si="6"/>
        <v>0</v>
      </c>
      <c r="N112" s="471">
        <v>0</v>
      </c>
      <c r="O112" s="471">
        <v>0</v>
      </c>
      <c r="P112" s="471">
        <v>0</v>
      </c>
      <c r="Q112" s="471">
        <v>31.567254763121657</v>
      </c>
      <c r="R112" s="572">
        <f t="shared" si="7"/>
        <v>241.70504320815311</v>
      </c>
      <c r="S112" s="471">
        <v>0</v>
      </c>
      <c r="T112" s="471">
        <v>0</v>
      </c>
      <c r="U112" s="471">
        <v>0</v>
      </c>
      <c r="V112" s="471">
        <v>0</v>
      </c>
      <c r="W112" s="471">
        <v>0</v>
      </c>
      <c r="X112" s="471">
        <v>0</v>
      </c>
      <c r="Y112" s="471">
        <v>0</v>
      </c>
      <c r="Z112" s="471">
        <v>0</v>
      </c>
      <c r="AA112" s="471">
        <v>0</v>
      </c>
      <c r="AB112" s="471">
        <v>0</v>
      </c>
      <c r="AC112" s="471">
        <v>0</v>
      </c>
      <c r="AD112" s="471">
        <v>0</v>
      </c>
      <c r="AE112" s="471">
        <v>0</v>
      </c>
      <c r="AF112" s="471">
        <v>0</v>
      </c>
      <c r="AG112" s="471">
        <v>14.756704090448837</v>
      </c>
      <c r="AH112" s="685">
        <f t="shared" si="8"/>
        <v>273.27229797127478</v>
      </c>
      <c r="AI112" s="472">
        <f t="shared" si="9"/>
        <v>288.02900206172365</v>
      </c>
      <c r="AJ112" s="472"/>
      <c r="AK112" s="472"/>
      <c r="AL112" s="570">
        <v>38.630000000000003</v>
      </c>
      <c r="AM112" s="570">
        <v>203.07504320815312</v>
      </c>
      <c r="AN112" s="566">
        <v>0</v>
      </c>
      <c r="AO112" s="566">
        <f t="shared" si="10"/>
        <v>241.70504320815311</v>
      </c>
    </row>
    <row r="113" spans="1:41" x14ac:dyDescent="0.3">
      <c r="A113" s="466">
        <v>150000644</v>
      </c>
      <c r="B113" s="467" t="s">
        <v>67</v>
      </c>
      <c r="C113" s="468">
        <v>214.7</v>
      </c>
      <c r="D113" s="473"/>
      <c r="E113" s="470"/>
      <c r="F113" s="470">
        <v>214.7</v>
      </c>
      <c r="G113" s="471">
        <v>0</v>
      </c>
      <c r="H113" s="471">
        <v>0</v>
      </c>
      <c r="I113" s="471">
        <v>22.45</v>
      </c>
      <c r="J113" s="471">
        <v>0</v>
      </c>
      <c r="K113" s="471">
        <v>0</v>
      </c>
      <c r="L113" s="471">
        <v>0</v>
      </c>
      <c r="M113" s="572">
        <f t="shared" si="6"/>
        <v>0</v>
      </c>
      <c r="N113" s="471">
        <v>0</v>
      </c>
      <c r="O113" s="471">
        <v>0</v>
      </c>
      <c r="P113" s="471">
        <v>0</v>
      </c>
      <c r="Q113" s="471">
        <v>31.567254763121657</v>
      </c>
      <c r="R113" s="572">
        <f t="shared" si="7"/>
        <v>247.11353397633025</v>
      </c>
      <c r="S113" s="471">
        <v>0</v>
      </c>
      <c r="T113" s="471">
        <v>0</v>
      </c>
      <c r="U113" s="471">
        <v>8.3822381405302675</v>
      </c>
      <c r="V113" s="471">
        <v>0</v>
      </c>
      <c r="W113" s="471">
        <v>0</v>
      </c>
      <c r="X113" s="471">
        <v>0</v>
      </c>
      <c r="Y113" s="471">
        <v>0</v>
      </c>
      <c r="Z113" s="471">
        <v>0</v>
      </c>
      <c r="AA113" s="471">
        <v>0</v>
      </c>
      <c r="AB113" s="471">
        <v>0</v>
      </c>
      <c r="AC113" s="471">
        <v>0</v>
      </c>
      <c r="AD113" s="471">
        <v>0</v>
      </c>
      <c r="AE113" s="471">
        <v>0</v>
      </c>
      <c r="AF113" s="471">
        <v>0</v>
      </c>
      <c r="AG113" s="471">
        <v>9.2853908063994659</v>
      </c>
      <c r="AH113" s="685">
        <f t="shared" si="8"/>
        <v>309.51302687998214</v>
      </c>
      <c r="AI113" s="472">
        <f t="shared" si="9"/>
        <v>318.79841768638158</v>
      </c>
      <c r="AJ113" s="472"/>
      <c r="AK113" s="472"/>
      <c r="AL113" s="570">
        <v>27.48</v>
      </c>
      <c r="AM113" s="570">
        <v>219.63353397633026</v>
      </c>
      <c r="AN113" s="566">
        <v>0</v>
      </c>
      <c r="AO113" s="566">
        <f t="shared" si="10"/>
        <v>247.11353397633025</v>
      </c>
    </row>
    <row r="114" spans="1:41" x14ac:dyDescent="0.3">
      <c r="A114" s="466">
        <v>150000645</v>
      </c>
      <c r="B114" s="467" t="s">
        <v>65</v>
      </c>
      <c r="C114" s="468">
        <v>216</v>
      </c>
      <c r="D114" s="473"/>
      <c r="E114" s="470"/>
      <c r="F114" s="470">
        <v>216</v>
      </c>
      <c r="G114" s="471">
        <v>0</v>
      </c>
      <c r="H114" s="471">
        <v>0</v>
      </c>
      <c r="I114" s="471">
        <v>0</v>
      </c>
      <c r="J114" s="471">
        <v>0</v>
      </c>
      <c r="K114" s="471">
        <v>0</v>
      </c>
      <c r="L114" s="471">
        <v>0</v>
      </c>
      <c r="M114" s="572">
        <f t="shared" si="6"/>
        <v>0</v>
      </c>
      <c r="N114" s="471">
        <v>0</v>
      </c>
      <c r="O114" s="471">
        <v>0</v>
      </c>
      <c r="P114" s="471">
        <v>0</v>
      </c>
      <c r="Q114" s="471">
        <v>39.45906845390207</v>
      </c>
      <c r="R114" s="572">
        <f t="shared" si="7"/>
        <v>284.45899482572548</v>
      </c>
      <c r="S114" s="471">
        <v>0</v>
      </c>
      <c r="T114" s="471">
        <v>0</v>
      </c>
      <c r="U114" s="471">
        <v>0</v>
      </c>
      <c r="V114" s="471">
        <v>0</v>
      </c>
      <c r="W114" s="471">
        <v>0</v>
      </c>
      <c r="X114" s="471">
        <v>0</v>
      </c>
      <c r="Y114" s="471">
        <v>0</v>
      </c>
      <c r="Z114" s="471">
        <v>0</v>
      </c>
      <c r="AA114" s="471">
        <v>0</v>
      </c>
      <c r="AB114" s="471">
        <v>0</v>
      </c>
      <c r="AC114" s="471">
        <v>0</v>
      </c>
      <c r="AD114" s="471">
        <v>0</v>
      </c>
      <c r="AE114" s="471">
        <v>0</v>
      </c>
      <c r="AF114" s="471">
        <v>0</v>
      </c>
      <c r="AG114" s="471">
        <v>5.8305251390332957</v>
      </c>
      <c r="AH114" s="685">
        <f t="shared" si="8"/>
        <v>323.91806327962757</v>
      </c>
      <c r="AI114" s="472">
        <f t="shared" si="9"/>
        <v>329.74858841866086</v>
      </c>
      <c r="AJ114" s="472"/>
      <c r="AK114" s="472"/>
      <c r="AL114" s="570">
        <v>78.83</v>
      </c>
      <c r="AM114" s="570">
        <v>205.6289948257255</v>
      </c>
      <c r="AN114" s="566">
        <v>0</v>
      </c>
      <c r="AO114" s="566">
        <f t="shared" si="10"/>
        <v>284.45899482572548</v>
      </c>
    </row>
    <row r="115" spans="1:41" x14ac:dyDescent="0.3">
      <c r="A115" s="466">
        <v>150000647</v>
      </c>
      <c r="B115" s="467" t="s">
        <v>96</v>
      </c>
      <c r="C115" s="468">
        <v>278.14999999999998</v>
      </c>
      <c r="D115" s="473"/>
      <c r="E115" s="470"/>
      <c r="F115" s="470">
        <v>278.14999999999998</v>
      </c>
      <c r="G115" s="471">
        <v>0</v>
      </c>
      <c r="H115" s="471">
        <v>0</v>
      </c>
      <c r="I115" s="471">
        <v>0</v>
      </c>
      <c r="J115" s="471">
        <v>0</v>
      </c>
      <c r="K115" s="471">
        <v>0</v>
      </c>
      <c r="L115" s="471">
        <v>0</v>
      </c>
      <c r="M115" s="572">
        <f t="shared" si="6"/>
        <v>0</v>
      </c>
      <c r="N115" s="471">
        <v>0</v>
      </c>
      <c r="O115" s="471">
        <v>0</v>
      </c>
      <c r="P115" s="471">
        <v>0</v>
      </c>
      <c r="Q115" s="471">
        <v>27.621347917731452</v>
      </c>
      <c r="R115" s="572">
        <f t="shared" si="7"/>
        <v>300.92281746904087</v>
      </c>
      <c r="S115" s="471">
        <v>0</v>
      </c>
      <c r="T115" s="471">
        <v>0</v>
      </c>
      <c r="U115" s="471">
        <v>0</v>
      </c>
      <c r="V115" s="471">
        <v>0</v>
      </c>
      <c r="W115" s="471">
        <v>0</v>
      </c>
      <c r="X115" s="471">
        <v>0</v>
      </c>
      <c r="Y115" s="471">
        <v>0</v>
      </c>
      <c r="Z115" s="471">
        <v>27.914845879897086</v>
      </c>
      <c r="AA115" s="471">
        <v>0</v>
      </c>
      <c r="AB115" s="471">
        <v>0</v>
      </c>
      <c r="AC115" s="471">
        <v>0</v>
      </c>
      <c r="AD115" s="471">
        <v>0</v>
      </c>
      <c r="AE115" s="471">
        <v>0</v>
      </c>
      <c r="AF115" s="471">
        <v>0</v>
      </c>
      <c r="AG115" s="471">
        <v>6.4162622028000484</v>
      </c>
      <c r="AH115" s="685">
        <f t="shared" si="8"/>
        <v>356.45901126666939</v>
      </c>
      <c r="AI115" s="472">
        <f t="shared" si="9"/>
        <v>362.87527346946945</v>
      </c>
      <c r="AJ115" s="472"/>
      <c r="AK115" s="472"/>
      <c r="AL115" s="570">
        <v>29.07</v>
      </c>
      <c r="AM115" s="570">
        <v>271.85281746904087</v>
      </c>
      <c r="AN115" s="566">
        <v>0</v>
      </c>
      <c r="AO115" s="566">
        <f t="shared" si="10"/>
        <v>300.92281746904087</v>
      </c>
    </row>
    <row r="116" spans="1:41" x14ac:dyDescent="0.3">
      <c r="A116" s="466">
        <v>150000648</v>
      </c>
      <c r="B116" s="467" t="s">
        <v>361</v>
      </c>
      <c r="C116" s="468">
        <v>3815</v>
      </c>
      <c r="D116" s="469">
        <v>314.8</v>
      </c>
      <c r="E116" s="470"/>
      <c r="F116" s="470">
        <v>3815</v>
      </c>
      <c r="G116" s="471">
        <v>715.01723710451415</v>
      </c>
      <c r="H116" s="471">
        <v>115.74496962392769</v>
      </c>
      <c r="I116" s="471">
        <v>410.03</v>
      </c>
      <c r="J116" s="471">
        <v>97.32</v>
      </c>
      <c r="K116" s="471">
        <v>32.51454535665566</v>
      </c>
      <c r="L116" s="471">
        <v>327.12849967408459</v>
      </c>
      <c r="M116" s="572">
        <f t="shared" si="6"/>
        <v>0</v>
      </c>
      <c r="N116" s="471">
        <v>1359.3581082644462</v>
      </c>
      <c r="O116" s="471">
        <v>1248.2026774859323</v>
      </c>
      <c r="P116" s="471">
        <v>0</v>
      </c>
      <c r="Q116" s="471">
        <v>177.56580804255933</v>
      </c>
      <c r="R116" s="572">
        <f t="shared" si="7"/>
        <v>3939.8040805169198</v>
      </c>
      <c r="S116" s="471">
        <v>62.497746157882887</v>
      </c>
      <c r="T116" s="471">
        <v>76.511705523972509</v>
      </c>
      <c r="U116" s="471">
        <v>167.94803726419445</v>
      </c>
      <c r="V116" s="471">
        <v>55.796537669338626</v>
      </c>
      <c r="W116" s="471">
        <v>16.490308828845698</v>
      </c>
      <c r="X116" s="471">
        <v>21.690396695009156</v>
      </c>
      <c r="Y116" s="471">
        <v>0</v>
      </c>
      <c r="Z116" s="471">
        <v>2538.1730606203091</v>
      </c>
      <c r="AA116" s="471">
        <v>2603.6893001996073</v>
      </c>
      <c r="AB116" s="471">
        <v>140.65896565663672</v>
      </c>
      <c r="AC116" s="471">
        <v>112.38314075139112</v>
      </c>
      <c r="AD116" s="471">
        <v>13.835045736440197</v>
      </c>
      <c r="AE116" s="471">
        <v>293.24122777601013</v>
      </c>
      <c r="AF116" s="471">
        <v>283.88246518741403</v>
      </c>
      <c r="AG116" s="471">
        <v>266.57070955444965</v>
      </c>
      <c r="AH116" s="685">
        <f t="shared" si="8"/>
        <v>14809.483864136093</v>
      </c>
      <c r="AI116" s="472">
        <f t="shared" si="9"/>
        <v>15076.054573690542</v>
      </c>
      <c r="AJ116" s="472"/>
      <c r="AK116" s="472"/>
      <c r="AL116" s="570">
        <v>31.87</v>
      </c>
      <c r="AM116" s="570">
        <v>3907.9340805169199</v>
      </c>
      <c r="AN116" s="566">
        <v>0</v>
      </c>
      <c r="AO116" s="566">
        <f t="shared" si="10"/>
        <v>3939.8040805169198</v>
      </c>
    </row>
    <row r="117" spans="1:41" x14ac:dyDescent="0.3">
      <c r="A117" s="466">
        <v>150000658</v>
      </c>
      <c r="B117" s="467" t="s">
        <v>351</v>
      </c>
      <c r="C117" s="468">
        <v>5047.8</v>
      </c>
      <c r="D117" s="469">
        <v>552.1</v>
      </c>
      <c r="E117" s="470"/>
      <c r="F117" s="470">
        <v>5047.8</v>
      </c>
      <c r="G117" s="471">
        <v>1312.1009157406795</v>
      </c>
      <c r="H117" s="471">
        <v>234.1037313152423</v>
      </c>
      <c r="I117" s="471">
        <v>539.74</v>
      </c>
      <c r="J117" s="471">
        <v>128.63</v>
      </c>
      <c r="K117" s="471">
        <v>65.004820328168279</v>
      </c>
      <c r="L117" s="471">
        <v>818.21812493893822</v>
      </c>
      <c r="M117" s="572">
        <f t="shared" si="6"/>
        <v>0</v>
      </c>
      <c r="N117" s="471">
        <v>1798.6285344422731</v>
      </c>
      <c r="O117" s="471">
        <v>3456.5475482576176</v>
      </c>
      <c r="P117" s="471">
        <v>0</v>
      </c>
      <c r="Q117" s="471">
        <v>319.61845447660681</v>
      </c>
      <c r="R117" s="572">
        <f t="shared" si="7"/>
        <v>7893.2144407881151</v>
      </c>
      <c r="S117" s="471">
        <v>90.931813679204481</v>
      </c>
      <c r="T117" s="471">
        <v>123.75503608726197</v>
      </c>
      <c r="U117" s="471">
        <v>93.186116132092351</v>
      </c>
      <c r="V117" s="471">
        <v>58.613377572592491</v>
      </c>
      <c r="W117" s="471">
        <v>26.384494126153122</v>
      </c>
      <c r="X117" s="471">
        <v>62.357469083709724</v>
      </c>
      <c r="Y117" s="471">
        <v>0</v>
      </c>
      <c r="Z117" s="471">
        <v>4543.2365245229821</v>
      </c>
      <c r="AA117" s="471">
        <v>3907.188541493053</v>
      </c>
      <c r="AB117" s="471">
        <v>378.69721522940659</v>
      </c>
      <c r="AC117" s="471">
        <v>158.97863705856551</v>
      </c>
      <c r="AD117" s="471">
        <v>19.571233728800678</v>
      </c>
      <c r="AE117" s="471">
        <v>1310.2267624034496</v>
      </c>
      <c r="AF117" s="471">
        <v>583.3628680224881</v>
      </c>
      <c r="AG117" s="471">
        <v>335.06755991312872</v>
      </c>
      <c r="AH117" s="685">
        <f t="shared" si="8"/>
        <v>27922.296659427404</v>
      </c>
      <c r="AI117" s="472">
        <f t="shared" si="9"/>
        <v>28257.364219340532</v>
      </c>
      <c r="AJ117" s="472"/>
      <c r="AK117" s="472"/>
      <c r="AL117" s="570">
        <v>54.16</v>
      </c>
      <c r="AM117" s="570">
        <v>7839.0544407881152</v>
      </c>
      <c r="AN117" s="566">
        <v>0</v>
      </c>
      <c r="AO117" s="566">
        <f t="shared" si="10"/>
        <v>7893.2144407881151</v>
      </c>
    </row>
    <row r="118" spans="1:41" x14ac:dyDescent="0.3">
      <c r="A118" s="466">
        <v>150000659</v>
      </c>
      <c r="B118" s="467" t="s">
        <v>413</v>
      </c>
      <c r="C118" s="468">
        <v>2605.5</v>
      </c>
      <c r="D118" s="469">
        <v>490.3</v>
      </c>
      <c r="E118" s="470"/>
      <c r="F118" s="470">
        <v>2605.5</v>
      </c>
      <c r="G118" s="471">
        <v>713.35126561494189</v>
      </c>
      <c r="H118" s="471">
        <v>126.69326536275166</v>
      </c>
      <c r="I118" s="471">
        <v>286.37</v>
      </c>
      <c r="J118" s="471">
        <v>69.11</v>
      </c>
      <c r="K118" s="471">
        <v>22.16131922134921</v>
      </c>
      <c r="L118" s="471">
        <v>275.64857932736243</v>
      </c>
      <c r="M118" s="572">
        <f t="shared" si="6"/>
        <v>0</v>
      </c>
      <c r="N118" s="471">
        <v>928.38992164692388</v>
      </c>
      <c r="O118" s="471">
        <v>1728.2737741288088</v>
      </c>
      <c r="P118" s="471">
        <v>0</v>
      </c>
      <c r="Q118" s="471">
        <v>157.83627381560828</v>
      </c>
      <c r="R118" s="572">
        <f t="shared" si="7"/>
        <v>3236.5225749004335</v>
      </c>
      <c r="S118" s="471">
        <v>60.402060160786945</v>
      </c>
      <c r="T118" s="471">
        <v>83.567048369170081</v>
      </c>
      <c r="U118" s="471">
        <v>113.95994274184017</v>
      </c>
      <c r="V118" s="471">
        <v>39.352776087875228</v>
      </c>
      <c r="W118" s="471">
        <v>11.245034186051155</v>
      </c>
      <c r="X118" s="471">
        <v>24.017015038369166</v>
      </c>
      <c r="Y118" s="471">
        <v>0</v>
      </c>
      <c r="Z118" s="471">
        <v>2291.6693737450487</v>
      </c>
      <c r="AA118" s="471">
        <v>1780.6879505841041</v>
      </c>
      <c r="AB118" s="471">
        <v>173.11872696201445</v>
      </c>
      <c r="AC118" s="471">
        <v>74.930264182552378</v>
      </c>
      <c r="AD118" s="471">
        <v>9.2243696436854261</v>
      </c>
      <c r="AE118" s="471">
        <v>226.17009589107158</v>
      </c>
      <c r="AF118" s="471">
        <v>327.5566906008624</v>
      </c>
      <c r="AG118" s="471">
        <v>0</v>
      </c>
      <c r="AH118" s="685">
        <f t="shared" si="8"/>
        <v>12760.258322211612</v>
      </c>
      <c r="AI118" s="472">
        <f t="shared" si="9"/>
        <v>12760.258322211612</v>
      </c>
      <c r="AJ118" s="472"/>
      <c r="AK118" s="472"/>
      <c r="AL118" s="570">
        <v>27.74</v>
      </c>
      <c r="AM118" s="570">
        <v>3208.7825749004337</v>
      </c>
      <c r="AN118" s="566">
        <v>0</v>
      </c>
      <c r="AO118" s="566">
        <f t="shared" si="10"/>
        <v>3236.5225749004335</v>
      </c>
    </row>
    <row r="119" spans="1:41" x14ac:dyDescent="0.3">
      <c r="A119" s="466">
        <v>150000660</v>
      </c>
      <c r="B119" s="467" t="s">
        <v>414</v>
      </c>
      <c r="C119" s="468">
        <v>4661.7</v>
      </c>
      <c r="D119" s="469">
        <v>410</v>
      </c>
      <c r="E119" s="470"/>
      <c r="F119" s="470">
        <v>4661.7</v>
      </c>
      <c r="G119" s="471">
        <v>1285.3042841391234</v>
      </c>
      <c r="H119" s="471">
        <v>248.28201402009262</v>
      </c>
      <c r="I119" s="471">
        <v>498.94</v>
      </c>
      <c r="J119" s="471">
        <v>125.98</v>
      </c>
      <c r="K119" s="471">
        <v>69.441905573206768</v>
      </c>
      <c r="L119" s="471">
        <v>542.95487986531145</v>
      </c>
      <c r="M119" s="572">
        <f t="shared" si="6"/>
        <v>0</v>
      </c>
      <c r="N119" s="471">
        <v>1661.0536548614334</v>
      </c>
      <c r="O119" s="471">
        <v>2977.1337932727497</v>
      </c>
      <c r="P119" s="471">
        <v>0</v>
      </c>
      <c r="Q119" s="471">
        <v>315.67254763121656</v>
      </c>
      <c r="R119" s="572">
        <f t="shared" si="7"/>
        <v>5823.3623062057623</v>
      </c>
      <c r="S119" s="471">
        <v>102.97041282959211</v>
      </c>
      <c r="T119" s="471">
        <v>163.83462271395283</v>
      </c>
      <c r="U119" s="471">
        <v>213.55674621182038</v>
      </c>
      <c r="V119" s="471">
        <v>71.299562066251895</v>
      </c>
      <c r="W119" s="471">
        <v>35.232039279818451</v>
      </c>
      <c r="X119" s="471">
        <v>66.998913247967849</v>
      </c>
      <c r="Y119" s="471">
        <v>0</v>
      </c>
      <c r="Z119" s="471">
        <v>4666.9360240071801</v>
      </c>
      <c r="AA119" s="471">
        <v>3723.1090908510582</v>
      </c>
      <c r="AB119" s="471">
        <v>400.33705609965841</v>
      </c>
      <c r="AC119" s="471">
        <v>129.95755992669046</v>
      </c>
      <c r="AD119" s="471">
        <v>15.998563248550909</v>
      </c>
      <c r="AE119" s="471">
        <v>492.89482966605959</v>
      </c>
      <c r="AF119" s="471">
        <v>655.11338120172479</v>
      </c>
      <c r="AG119" s="471">
        <v>0</v>
      </c>
      <c r="AH119" s="685">
        <f t="shared" si="8"/>
        <v>24286.364186919225</v>
      </c>
      <c r="AI119" s="472">
        <f t="shared" si="9"/>
        <v>24286.364186919225</v>
      </c>
      <c r="AJ119" s="472"/>
      <c r="AK119" s="472"/>
      <c r="AL119" s="570">
        <v>50.19</v>
      </c>
      <c r="AM119" s="570">
        <v>5773.1723062057627</v>
      </c>
      <c r="AN119" s="566">
        <v>0</v>
      </c>
      <c r="AO119" s="566">
        <f t="shared" si="10"/>
        <v>5823.3623062057623</v>
      </c>
    </row>
    <row r="120" spans="1:41" x14ac:dyDescent="0.3">
      <c r="A120" s="466">
        <v>150000670</v>
      </c>
      <c r="B120" s="467" t="s">
        <v>126</v>
      </c>
      <c r="C120" s="468">
        <v>211.6</v>
      </c>
      <c r="D120" s="473"/>
      <c r="E120" s="470"/>
      <c r="F120" s="470">
        <v>211.6</v>
      </c>
      <c r="G120" s="471">
        <v>0</v>
      </c>
      <c r="H120" s="471">
        <v>0</v>
      </c>
      <c r="I120" s="471">
        <v>0</v>
      </c>
      <c r="J120" s="471">
        <v>0</v>
      </c>
      <c r="K120" s="471">
        <v>0</v>
      </c>
      <c r="L120" s="471">
        <v>0</v>
      </c>
      <c r="M120" s="572">
        <f t="shared" si="6"/>
        <v>0</v>
      </c>
      <c r="N120" s="471">
        <v>0</v>
      </c>
      <c r="O120" s="471">
        <v>0</v>
      </c>
      <c r="P120" s="471">
        <v>0</v>
      </c>
      <c r="Q120" s="471">
        <v>39.45906845390207</v>
      </c>
      <c r="R120" s="572">
        <f t="shared" si="7"/>
        <v>243.11692990290081</v>
      </c>
      <c r="S120" s="471">
        <v>0</v>
      </c>
      <c r="T120" s="471">
        <v>0</v>
      </c>
      <c r="U120" s="471">
        <v>0</v>
      </c>
      <c r="V120" s="471">
        <v>0</v>
      </c>
      <c r="W120" s="471">
        <v>0</v>
      </c>
      <c r="X120" s="471">
        <v>0</v>
      </c>
      <c r="Y120" s="471">
        <v>0</v>
      </c>
      <c r="Z120" s="471">
        <v>27.914845879897086</v>
      </c>
      <c r="AA120" s="471">
        <v>0</v>
      </c>
      <c r="AB120" s="471">
        <v>0</v>
      </c>
      <c r="AC120" s="471">
        <v>0</v>
      </c>
      <c r="AD120" s="471">
        <v>0</v>
      </c>
      <c r="AE120" s="471">
        <v>0</v>
      </c>
      <c r="AF120" s="471">
        <v>0</v>
      </c>
      <c r="AG120" s="471">
        <v>5.5888351962605993</v>
      </c>
      <c r="AH120" s="685">
        <f t="shared" si="8"/>
        <v>310.49084423669996</v>
      </c>
      <c r="AI120" s="472">
        <f t="shared" si="9"/>
        <v>316.07967943296057</v>
      </c>
      <c r="AJ120" s="472"/>
      <c r="AK120" s="472"/>
      <c r="AL120" s="570">
        <v>31.87</v>
      </c>
      <c r="AM120" s="570">
        <v>211.2469299029008</v>
      </c>
      <c r="AN120" s="566">
        <v>0</v>
      </c>
      <c r="AO120" s="566">
        <f t="shared" si="10"/>
        <v>243.11692990290081</v>
      </c>
    </row>
    <row r="121" spans="1:41" x14ac:dyDescent="0.3">
      <c r="A121" s="466">
        <v>150000671</v>
      </c>
      <c r="B121" s="467" t="s">
        <v>127</v>
      </c>
      <c r="C121" s="468">
        <v>229.7</v>
      </c>
      <c r="D121" s="473"/>
      <c r="E121" s="470"/>
      <c r="F121" s="470">
        <v>229.7</v>
      </c>
      <c r="G121" s="471">
        <v>0</v>
      </c>
      <c r="H121" s="471">
        <v>0</v>
      </c>
      <c r="I121" s="471">
        <v>0</v>
      </c>
      <c r="J121" s="471">
        <v>0</v>
      </c>
      <c r="K121" s="471">
        <v>0</v>
      </c>
      <c r="L121" s="471">
        <v>0</v>
      </c>
      <c r="M121" s="572">
        <f t="shared" si="6"/>
        <v>0</v>
      </c>
      <c r="N121" s="471">
        <v>0</v>
      </c>
      <c r="O121" s="471">
        <v>0</v>
      </c>
      <c r="P121" s="471">
        <v>0</v>
      </c>
      <c r="Q121" s="471">
        <v>47.350882144682487</v>
      </c>
      <c r="R121" s="572">
        <f t="shared" si="7"/>
        <v>273.74210506368189</v>
      </c>
      <c r="S121" s="471">
        <v>0</v>
      </c>
      <c r="T121" s="471">
        <v>0</v>
      </c>
      <c r="U121" s="471">
        <v>0</v>
      </c>
      <c r="V121" s="471">
        <v>0</v>
      </c>
      <c r="W121" s="471">
        <v>0</v>
      </c>
      <c r="X121" s="471">
        <v>0</v>
      </c>
      <c r="Y121" s="471">
        <v>0</v>
      </c>
      <c r="Z121" s="471">
        <v>43.866186382695432</v>
      </c>
      <c r="AA121" s="471">
        <v>0</v>
      </c>
      <c r="AB121" s="471">
        <v>0</v>
      </c>
      <c r="AC121" s="471">
        <v>0</v>
      </c>
      <c r="AD121" s="471">
        <v>0</v>
      </c>
      <c r="AE121" s="471">
        <v>0</v>
      </c>
      <c r="AF121" s="471">
        <v>0</v>
      </c>
      <c r="AG121" s="471">
        <v>6.5692651246390765</v>
      </c>
      <c r="AH121" s="685">
        <f t="shared" si="8"/>
        <v>364.95917359105982</v>
      </c>
      <c r="AI121" s="472">
        <f t="shared" si="9"/>
        <v>371.52843871569888</v>
      </c>
      <c r="AJ121" s="472"/>
      <c r="AK121" s="472"/>
      <c r="AL121" s="570">
        <v>25.61</v>
      </c>
      <c r="AM121" s="570">
        <v>248.13210506368191</v>
      </c>
      <c r="AN121" s="566">
        <v>0</v>
      </c>
      <c r="AO121" s="566">
        <f t="shared" si="10"/>
        <v>273.74210506368189</v>
      </c>
    </row>
    <row r="122" spans="1:41" x14ac:dyDescent="0.3">
      <c r="A122" s="466">
        <v>150000672</v>
      </c>
      <c r="B122" s="467" t="s">
        <v>428</v>
      </c>
      <c r="C122" s="468">
        <v>3107.5</v>
      </c>
      <c r="D122" s="469"/>
      <c r="E122" s="470">
        <v>67</v>
      </c>
      <c r="F122" s="470">
        <v>3174.5</v>
      </c>
      <c r="G122" s="471">
        <v>1089.5805236996041</v>
      </c>
      <c r="H122" s="471">
        <v>214.79596714931409</v>
      </c>
      <c r="I122" s="471">
        <v>368.83</v>
      </c>
      <c r="J122" s="471">
        <v>0</v>
      </c>
      <c r="K122" s="471">
        <v>0</v>
      </c>
      <c r="L122" s="471">
        <v>620.95739170397508</v>
      </c>
      <c r="M122" s="572">
        <f t="shared" si="6"/>
        <v>0</v>
      </c>
      <c r="N122" s="471">
        <v>1131.1356001796814</v>
      </c>
      <c r="O122" s="471">
        <v>0</v>
      </c>
      <c r="P122" s="471">
        <v>0</v>
      </c>
      <c r="Q122" s="471">
        <v>816.80271699577293</v>
      </c>
      <c r="R122" s="572">
        <f t="shared" si="7"/>
        <v>3667.494914306038</v>
      </c>
      <c r="S122" s="471">
        <v>169.1759163626312</v>
      </c>
      <c r="T122" s="471">
        <v>276.84761169373553</v>
      </c>
      <c r="U122" s="471">
        <v>197.91835367724582</v>
      </c>
      <c r="V122" s="471">
        <v>0</v>
      </c>
      <c r="W122" s="471">
        <v>0</v>
      </c>
      <c r="X122" s="471">
        <v>87.209301208072532</v>
      </c>
      <c r="Y122" s="471">
        <v>100.44294613611928</v>
      </c>
      <c r="Z122" s="471">
        <v>1690.3258527744465</v>
      </c>
      <c r="AA122" s="471">
        <v>1132.0529131751982</v>
      </c>
      <c r="AB122" s="471">
        <v>732.87132391954242</v>
      </c>
      <c r="AC122" s="471">
        <v>87.504430203373246</v>
      </c>
      <c r="AD122" s="471">
        <v>10.772325687915266</v>
      </c>
      <c r="AE122" s="471">
        <v>775.21750108870742</v>
      </c>
      <c r="AF122" s="471">
        <v>0</v>
      </c>
      <c r="AG122" s="471">
        <v>790.19613539768227</v>
      </c>
      <c r="AH122" s="685">
        <f t="shared" si="8"/>
        <v>13169.935589961371</v>
      </c>
      <c r="AI122" s="472">
        <f t="shared" si="9"/>
        <v>13960.131725359053</v>
      </c>
      <c r="AJ122" s="472"/>
      <c r="AK122" s="472"/>
      <c r="AL122" s="570">
        <v>130.83000000000001</v>
      </c>
      <c r="AM122" s="570">
        <v>3536.6649143060381</v>
      </c>
      <c r="AN122" s="566">
        <v>0</v>
      </c>
      <c r="AO122" s="566">
        <f t="shared" si="10"/>
        <v>3667.494914306038</v>
      </c>
    </row>
    <row r="123" spans="1:41" x14ac:dyDescent="0.3">
      <c r="A123" s="466">
        <v>150000673</v>
      </c>
      <c r="B123" s="467" t="s">
        <v>182</v>
      </c>
      <c r="C123" s="468">
        <v>603.29999999999995</v>
      </c>
      <c r="D123" s="469"/>
      <c r="E123" s="470"/>
      <c r="F123" s="470">
        <v>603.29999999999995</v>
      </c>
      <c r="G123" s="471">
        <v>301.82738312292537</v>
      </c>
      <c r="H123" s="471">
        <v>51.411918622699361</v>
      </c>
      <c r="I123" s="471">
        <v>68.88</v>
      </c>
      <c r="J123" s="471">
        <v>0</v>
      </c>
      <c r="K123" s="471">
        <v>0</v>
      </c>
      <c r="L123" s="471">
        <v>100.59813170203689</v>
      </c>
      <c r="M123" s="572">
        <f t="shared" si="6"/>
        <v>0</v>
      </c>
      <c r="N123" s="471">
        <v>214.96743033183233</v>
      </c>
      <c r="O123" s="471">
        <v>0</v>
      </c>
      <c r="P123" s="471">
        <v>0</v>
      </c>
      <c r="Q123" s="471">
        <v>142.05264643404746</v>
      </c>
      <c r="R123" s="572">
        <f t="shared" si="7"/>
        <v>756.46386534882879</v>
      </c>
      <c r="S123" s="471">
        <v>53.212012788557537</v>
      </c>
      <c r="T123" s="471">
        <v>66.2462984877765</v>
      </c>
      <c r="U123" s="471">
        <v>33.281590902092354</v>
      </c>
      <c r="V123" s="471">
        <v>0</v>
      </c>
      <c r="W123" s="471">
        <v>0</v>
      </c>
      <c r="X123" s="471">
        <v>9.885650556902343</v>
      </c>
      <c r="Y123" s="471">
        <v>0</v>
      </c>
      <c r="Z123" s="471">
        <v>771.84074416646308</v>
      </c>
      <c r="AA123" s="471">
        <v>407.79283425950456</v>
      </c>
      <c r="AB123" s="471">
        <v>139.94755548024395</v>
      </c>
      <c r="AC123" s="471">
        <v>0</v>
      </c>
      <c r="AD123" s="471">
        <v>0</v>
      </c>
      <c r="AE123" s="471">
        <v>62.391750590640456</v>
      </c>
      <c r="AF123" s="471">
        <v>0</v>
      </c>
      <c r="AG123" s="471">
        <v>57.254396630301919</v>
      </c>
      <c r="AH123" s="685">
        <f t="shared" si="8"/>
        <v>3180.7998127945511</v>
      </c>
      <c r="AI123" s="472">
        <f t="shared" si="9"/>
        <v>3238.0542094248531</v>
      </c>
      <c r="AJ123" s="472"/>
      <c r="AK123" s="472"/>
      <c r="AL123" s="570">
        <v>16.84</v>
      </c>
      <c r="AM123" s="570">
        <v>739.62386534882876</v>
      </c>
      <c r="AN123" s="566">
        <v>0</v>
      </c>
      <c r="AO123" s="566">
        <f t="shared" si="10"/>
        <v>756.46386534882879</v>
      </c>
    </row>
    <row r="124" spans="1:41" x14ac:dyDescent="0.3">
      <c r="A124" s="466">
        <v>150000676</v>
      </c>
      <c r="B124" s="467" t="s">
        <v>385</v>
      </c>
      <c r="C124" s="468">
        <v>4198.2</v>
      </c>
      <c r="D124" s="469">
        <v>460.2</v>
      </c>
      <c r="E124" s="470"/>
      <c r="F124" s="470">
        <v>4198.2</v>
      </c>
      <c r="G124" s="471">
        <v>1298.1559219525104</v>
      </c>
      <c r="H124" s="471">
        <v>197.85635033594596</v>
      </c>
      <c r="I124" s="471">
        <v>505.68</v>
      </c>
      <c r="J124" s="471">
        <v>125.85</v>
      </c>
      <c r="K124" s="471">
        <v>65.004820328168279</v>
      </c>
      <c r="L124" s="471">
        <v>539.44449377242404</v>
      </c>
      <c r="M124" s="572">
        <f t="shared" si="6"/>
        <v>0</v>
      </c>
      <c r="N124" s="471">
        <v>1495.899661891428</v>
      </c>
      <c r="O124" s="471">
        <v>3069.8746739721232</v>
      </c>
      <c r="P124" s="471">
        <v>0</v>
      </c>
      <c r="Q124" s="471">
        <v>284.10529286809492</v>
      </c>
      <c r="R124" s="572">
        <f t="shared" si="7"/>
        <v>5375.5268513608899</v>
      </c>
      <c r="S124" s="471">
        <v>102.88656407545174</v>
      </c>
      <c r="T124" s="471">
        <v>131.33785728165827</v>
      </c>
      <c r="U124" s="471">
        <v>132.42759472639216</v>
      </c>
      <c r="V124" s="471">
        <v>72.861456563370382</v>
      </c>
      <c r="W124" s="471">
        <v>32.980617657691397</v>
      </c>
      <c r="X124" s="471">
        <v>85.733479971199358</v>
      </c>
      <c r="Y124" s="471">
        <v>0</v>
      </c>
      <c r="Z124" s="471">
        <v>4925.7538743327459</v>
      </c>
      <c r="AA124" s="471">
        <v>2977.129138708136</v>
      </c>
      <c r="AB124" s="471">
        <v>967.30088690025559</v>
      </c>
      <c r="AC124" s="471">
        <v>44.119880774810035</v>
      </c>
      <c r="AD124" s="471">
        <v>5.4314247165959326</v>
      </c>
      <c r="AE124" s="471">
        <v>686.30925649704488</v>
      </c>
      <c r="AF124" s="471">
        <v>1029.4638847455672</v>
      </c>
      <c r="AG124" s="471">
        <v>724.53401950297518</v>
      </c>
      <c r="AH124" s="685">
        <f t="shared" si="8"/>
        <v>24151.133983432508</v>
      </c>
      <c r="AI124" s="472">
        <f t="shared" si="9"/>
        <v>24875.668002935483</v>
      </c>
      <c r="AJ124" s="472"/>
      <c r="AK124" s="472"/>
      <c r="AL124" s="570">
        <v>50.66</v>
      </c>
      <c r="AM124" s="570">
        <v>5324.86685136089</v>
      </c>
      <c r="AN124" s="566">
        <v>0</v>
      </c>
      <c r="AO124" s="566">
        <f t="shared" si="10"/>
        <v>5375.5268513608899</v>
      </c>
    </row>
    <row r="125" spans="1:41" x14ac:dyDescent="0.3">
      <c r="A125" s="466">
        <v>150000683</v>
      </c>
      <c r="B125" s="467" t="s">
        <v>115</v>
      </c>
      <c r="C125" s="468">
        <v>256.60000000000002</v>
      </c>
      <c r="D125" s="473"/>
      <c r="E125" s="470"/>
      <c r="F125" s="470">
        <v>256.60000000000002</v>
      </c>
      <c r="G125" s="471">
        <v>0</v>
      </c>
      <c r="H125" s="471">
        <v>0</v>
      </c>
      <c r="I125" s="471">
        <v>0</v>
      </c>
      <c r="J125" s="471">
        <v>0</v>
      </c>
      <c r="K125" s="471">
        <v>0</v>
      </c>
      <c r="L125" s="471">
        <v>0</v>
      </c>
      <c r="M125" s="572">
        <f t="shared" si="6"/>
        <v>0</v>
      </c>
      <c r="N125" s="471">
        <v>0</v>
      </c>
      <c r="O125" s="471">
        <v>0</v>
      </c>
      <c r="P125" s="471">
        <v>0</v>
      </c>
      <c r="Q125" s="471">
        <v>43.404975299292282</v>
      </c>
      <c r="R125" s="572">
        <f t="shared" si="7"/>
        <v>341.11111828314546</v>
      </c>
      <c r="S125" s="471">
        <v>0</v>
      </c>
      <c r="T125" s="471">
        <v>0</v>
      </c>
      <c r="U125" s="471">
        <v>0</v>
      </c>
      <c r="V125" s="471">
        <v>0</v>
      </c>
      <c r="W125" s="471">
        <v>0</v>
      </c>
      <c r="X125" s="471">
        <v>0</v>
      </c>
      <c r="Y125" s="471">
        <v>0</v>
      </c>
      <c r="Z125" s="471">
        <v>0</v>
      </c>
      <c r="AA125" s="471">
        <v>0</v>
      </c>
      <c r="AB125" s="471">
        <v>0</v>
      </c>
      <c r="AC125" s="471">
        <v>0</v>
      </c>
      <c r="AD125" s="471">
        <v>0</v>
      </c>
      <c r="AE125" s="471">
        <v>0</v>
      </c>
      <c r="AF125" s="471">
        <v>0</v>
      </c>
      <c r="AG125" s="471">
        <v>2.3070965614946264</v>
      </c>
      <c r="AH125" s="685">
        <f t="shared" si="8"/>
        <v>384.51609358243775</v>
      </c>
      <c r="AI125" s="472">
        <f t="shared" si="9"/>
        <v>386.82319014393238</v>
      </c>
      <c r="AJ125" s="472"/>
      <c r="AK125" s="472"/>
      <c r="AL125" s="570">
        <v>70.69</v>
      </c>
      <c r="AM125" s="570">
        <v>270.42111828314546</v>
      </c>
      <c r="AN125" s="566">
        <v>0</v>
      </c>
      <c r="AO125" s="566">
        <f t="shared" si="10"/>
        <v>341.11111828314546</v>
      </c>
    </row>
    <row r="126" spans="1:41" x14ac:dyDescent="0.3">
      <c r="A126" s="466">
        <v>150000686</v>
      </c>
      <c r="B126" s="467" t="s">
        <v>97</v>
      </c>
      <c r="C126" s="468">
        <v>214.9</v>
      </c>
      <c r="D126" s="473"/>
      <c r="E126" s="470"/>
      <c r="F126" s="470">
        <v>214.9</v>
      </c>
      <c r="G126" s="471">
        <v>0</v>
      </c>
      <c r="H126" s="471">
        <v>0</v>
      </c>
      <c r="I126" s="471">
        <v>0</v>
      </c>
      <c r="J126" s="471">
        <v>0</v>
      </c>
      <c r="K126" s="471">
        <v>0</v>
      </c>
      <c r="L126" s="471">
        <v>0</v>
      </c>
      <c r="M126" s="572">
        <f t="shared" si="6"/>
        <v>0</v>
      </c>
      <c r="N126" s="471">
        <v>0</v>
      </c>
      <c r="O126" s="471">
        <v>0</v>
      </c>
      <c r="P126" s="471">
        <v>0</v>
      </c>
      <c r="Q126" s="471">
        <v>23.675441072341243</v>
      </c>
      <c r="R126" s="572">
        <f t="shared" si="7"/>
        <v>181.59130683890066</v>
      </c>
      <c r="S126" s="471">
        <v>0</v>
      </c>
      <c r="T126" s="471">
        <v>0</v>
      </c>
      <c r="U126" s="471">
        <v>0</v>
      </c>
      <c r="V126" s="471">
        <v>0</v>
      </c>
      <c r="W126" s="471">
        <v>0</v>
      </c>
      <c r="X126" s="471">
        <v>0</v>
      </c>
      <c r="Y126" s="471">
        <v>0</v>
      </c>
      <c r="Z126" s="471">
        <v>0</v>
      </c>
      <c r="AA126" s="471">
        <v>0</v>
      </c>
      <c r="AB126" s="471">
        <v>0</v>
      </c>
      <c r="AC126" s="471">
        <v>0</v>
      </c>
      <c r="AD126" s="471">
        <v>0</v>
      </c>
      <c r="AE126" s="471">
        <v>0</v>
      </c>
      <c r="AF126" s="471">
        <v>0</v>
      </c>
      <c r="AG126" s="471">
        <v>4.9264019498698053</v>
      </c>
      <c r="AH126" s="685">
        <f t="shared" si="8"/>
        <v>205.26674791124191</v>
      </c>
      <c r="AI126" s="472">
        <f t="shared" si="9"/>
        <v>210.19314986111172</v>
      </c>
      <c r="AJ126" s="472"/>
      <c r="AK126" s="472"/>
      <c r="AL126" s="570">
        <v>25.61</v>
      </c>
      <c r="AM126" s="570">
        <v>155.98130683890065</v>
      </c>
      <c r="AN126" s="566">
        <v>0</v>
      </c>
      <c r="AO126" s="566">
        <f t="shared" si="10"/>
        <v>181.59130683890066</v>
      </c>
    </row>
    <row r="127" spans="1:41" x14ac:dyDescent="0.3">
      <c r="A127" s="466">
        <v>150000688</v>
      </c>
      <c r="B127" s="467" t="s">
        <v>92</v>
      </c>
      <c r="C127" s="468">
        <v>241.1</v>
      </c>
      <c r="D127" s="473"/>
      <c r="E127" s="470"/>
      <c r="F127" s="470">
        <v>241.1</v>
      </c>
      <c r="G127" s="471">
        <v>0</v>
      </c>
      <c r="H127" s="471">
        <v>0</v>
      </c>
      <c r="I127" s="471">
        <v>0</v>
      </c>
      <c r="J127" s="471">
        <v>0</v>
      </c>
      <c r="K127" s="471">
        <v>0</v>
      </c>
      <c r="L127" s="471">
        <v>0</v>
      </c>
      <c r="M127" s="572">
        <f t="shared" si="6"/>
        <v>0</v>
      </c>
      <c r="N127" s="471">
        <v>0</v>
      </c>
      <c r="O127" s="471">
        <v>0</v>
      </c>
      <c r="P127" s="471">
        <v>0</v>
      </c>
      <c r="Q127" s="471">
        <v>31.567254763121657</v>
      </c>
      <c r="R127" s="572">
        <f t="shared" si="7"/>
        <v>284.62887112371038</v>
      </c>
      <c r="S127" s="471">
        <v>0</v>
      </c>
      <c r="T127" s="471">
        <v>0</v>
      </c>
      <c r="U127" s="471">
        <v>0</v>
      </c>
      <c r="V127" s="471">
        <v>0</v>
      </c>
      <c r="W127" s="471">
        <v>0</v>
      </c>
      <c r="X127" s="471">
        <v>0</v>
      </c>
      <c r="Y127" s="471">
        <v>0</v>
      </c>
      <c r="Z127" s="471">
        <v>15.951340502798338</v>
      </c>
      <c r="AA127" s="471">
        <v>0</v>
      </c>
      <c r="AB127" s="471">
        <v>0</v>
      </c>
      <c r="AC127" s="471">
        <v>0</v>
      </c>
      <c r="AD127" s="471">
        <v>0</v>
      </c>
      <c r="AE127" s="471">
        <v>0</v>
      </c>
      <c r="AF127" s="471">
        <v>0</v>
      </c>
      <c r="AG127" s="471">
        <v>5.9786543950133479</v>
      </c>
      <c r="AH127" s="685">
        <f t="shared" si="8"/>
        <v>332.14746638963038</v>
      </c>
      <c r="AI127" s="472">
        <f t="shared" si="9"/>
        <v>338.12612078464372</v>
      </c>
      <c r="AJ127" s="472"/>
      <c r="AK127" s="472"/>
      <c r="AL127" s="570">
        <v>22.83</v>
      </c>
      <c r="AM127" s="570">
        <v>261.7988711237104</v>
      </c>
      <c r="AN127" s="566">
        <v>0</v>
      </c>
      <c r="AO127" s="566">
        <f t="shared" si="10"/>
        <v>284.62887112371038</v>
      </c>
    </row>
    <row r="128" spans="1:41" x14ac:dyDescent="0.3">
      <c r="A128" s="466">
        <v>150000689</v>
      </c>
      <c r="B128" s="467" t="s">
        <v>93</v>
      </c>
      <c r="C128" s="468">
        <v>188.9</v>
      </c>
      <c r="D128" s="473"/>
      <c r="E128" s="470"/>
      <c r="F128" s="470">
        <v>188.9</v>
      </c>
      <c r="G128" s="471">
        <v>0</v>
      </c>
      <c r="H128" s="471">
        <v>0</v>
      </c>
      <c r="I128" s="471">
        <v>0</v>
      </c>
      <c r="J128" s="471">
        <v>0</v>
      </c>
      <c r="K128" s="471">
        <v>0</v>
      </c>
      <c r="L128" s="471">
        <v>0</v>
      </c>
      <c r="M128" s="572">
        <f t="shared" si="6"/>
        <v>0</v>
      </c>
      <c r="N128" s="471">
        <v>0</v>
      </c>
      <c r="O128" s="471">
        <v>0</v>
      </c>
      <c r="P128" s="471">
        <v>0</v>
      </c>
      <c r="Q128" s="471">
        <v>31.567254763121657</v>
      </c>
      <c r="R128" s="572">
        <f t="shared" si="7"/>
        <v>190.83823587127821</v>
      </c>
      <c r="S128" s="471">
        <v>0</v>
      </c>
      <c r="T128" s="471">
        <v>0</v>
      </c>
      <c r="U128" s="471">
        <v>0</v>
      </c>
      <c r="V128" s="471">
        <v>0</v>
      </c>
      <c r="W128" s="471">
        <v>0</v>
      </c>
      <c r="X128" s="471">
        <v>0</v>
      </c>
      <c r="Y128" s="471">
        <v>0</v>
      </c>
      <c r="Z128" s="471">
        <v>7.9756702513991691</v>
      </c>
      <c r="AA128" s="471">
        <v>0</v>
      </c>
      <c r="AB128" s="471">
        <v>0</v>
      </c>
      <c r="AC128" s="471">
        <v>0</v>
      </c>
      <c r="AD128" s="471">
        <v>0</v>
      </c>
      <c r="AE128" s="471">
        <v>0</v>
      </c>
      <c r="AF128" s="471">
        <v>0</v>
      </c>
      <c r="AG128" s="471">
        <v>6.9114348265739727</v>
      </c>
      <c r="AH128" s="685">
        <f t="shared" si="8"/>
        <v>230.38116088579906</v>
      </c>
      <c r="AI128" s="472">
        <f t="shared" si="9"/>
        <v>237.29259571237304</v>
      </c>
      <c r="AJ128" s="472"/>
      <c r="AK128" s="472"/>
      <c r="AL128" s="570">
        <v>24.59</v>
      </c>
      <c r="AM128" s="570">
        <v>166.24823587127821</v>
      </c>
      <c r="AN128" s="566">
        <v>0</v>
      </c>
      <c r="AO128" s="566">
        <f t="shared" si="10"/>
        <v>190.83823587127821</v>
      </c>
    </row>
    <row r="129" spans="1:41" x14ac:dyDescent="0.3">
      <c r="A129" s="466">
        <v>150000690</v>
      </c>
      <c r="B129" s="467" t="s">
        <v>95</v>
      </c>
      <c r="C129" s="468">
        <v>142.1</v>
      </c>
      <c r="D129" s="473"/>
      <c r="E129" s="470"/>
      <c r="F129" s="470">
        <v>142.1</v>
      </c>
      <c r="G129" s="471">
        <v>0</v>
      </c>
      <c r="H129" s="471">
        <v>0</v>
      </c>
      <c r="I129" s="471">
        <v>0</v>
      </c>
      <c r="J129" s="471">
        <v>0</v>
      </c>
      <c r="K129" s="471">
        <v>0</v>
      </c>
      <c r="L129" s="471">
        <v>0</v>
      </c>
      <c r="M129" s="572">
        <f t="shared" si="6"/>
        <v>0</v>
      </c>
      <c r="N129" s="471">
        <v>0</v>
      </c>
      <c r="O129" s="471">
        <v>0</v>
      </c>
      <c r="P129" s="471">
        <v>0</v>
      </c>
      <c r="Q129" s="471">
        <v>31.567254763121657</v>
      </c>
      <c r="R129" s="572">
        <f t="shared" si="7"/>
        <v>154.53287035314816</v>
      </c>
      <c r="S129" s="471">
        <v>0</v>
      </c>
      <c r="T129" s="471">
        <v>0</v>
      </c>
      <c r="U129" s="471">
        <v>0</v>
      </c>
      <c r="V129" s="471">
        <v>0</v>
      </c>
      <c r="W129" s="471">
        <v>0</v>
      </c>
      <c r="X129" s="471">
        <v>0</v>
      </c>
      <c r="Y129" s="471">
        <v>0</v>
      </c>
      <c r="Z129" s="471">
        <v>0</v>
      </c>
      <c r="AA129" s="471">
        <v>0</v>
      </c>
      <c r="AB129" s="471">
        <v>0</v>
      </c>
      <c r="AC129" s="471">
        <v>0</v>
      </c>
      <c r="AD129" s="471">
        <v>0</v>
      </c>
      <c r="AE129" s="471">
        <v>0</v>
      </c>
      <c r="AF129" s="471">
        <v>0</v>
      </c>
      <c r="AG129" s="471">
        <v>0</v>
      </c>
      <c r="AH129" s="685">
        <f t="shared" si="8"/>
        <v>186.10012511626982</v>
      </c>
      <c r="AI129" s="472">
        <f t="shared" si="9"/>
        <v>186.10012511626982</v>
      </c>
      <c r="AJ129" s="472"/>
      <c r="AK129" s="472"/>
      <c r="AL129" s="570">
        <v>16.875</v>
      </c>
      <c r="AM129" s="570">
        <v>137.65787035314816</v>
      </c>
      <c r="AN129" s="566">
        <v>0</v>
      </c>
      <c r="AO129" s="566">
        <f t="shared" si="10"/>
        <v>154.53287035314816</v>
      </c>
    </row>
    <row r="130" spans="1:41" x14ac:dyDescent="0.3">
      <c r="A130" s="466">
        <v>150000693</v>
      </c>
      <c r="B130" s="467" t="s">
        <v>94</v>
      </c>
      <c r="C130" s="468">
        <v>165.8</v>
      </c>
      <c r="D130" s="473"/>
      <c r="E130" s="470"/>
      <c r="F130" s="470">
        <v>165.8</v>
      </c>
      <c r="G130" s="471">
        <v>0</v>
      </c>
      <c r="H130" s="471">
        <v>0</v>
      </c>
      <c r="I130" s="471">
        <v>0</v>
      </c>
      <c r="J130" s="471">
        <v>0</v>
      </c>
      <c r="K130" s="471">
        <v>0</v>
      </c>
      <c r="L130" s="471">
        <v>0</v>
      </c>
      <c r="M130" s="572">
        <f t="shared" si="6"/>
        <v>0</v>
      </c>
      <c r="N130" s="471">
        <v>0</v>
      </c>
      <c r="O130" s="471">
        <v>0</v>
      </c>
      <c r="P130" s="471">
        <v>0</v>
      </c>
      <c r="Q130" s="471">
        <v>19.729534226951035</v>
      </c>
      <c r="R130" s="572">
        <f t="shared" si="7"/>
        <v>172.81676309460926</v>
      </c>
      <c r="S130" s="471">
        <v>0</v>
      </c>
      <c r="T130" s="471">
        <v>0</v>
      </c>
      <c r="U130" s="471">
        <v>0</v>
      </c>
      <c r="V130" s="471">
        <v>0</v>
      </c>
      <c r="W130" s="471">
        <v>0</v>
      </c>
      <c r="X130" s="471">
        <v>0</v>
      </c>
      <c r="Y130" s="471">
        <v>0</v>
      </c>
      <c r="Z130" s="471">
        <v>5.9817526885493768</v>
      </c>
      <c r="AA130" s="471">
        <v>0</v>
      </c>
      <c r="AB130" s="471">
        <v>0</v>
      </c>
      <c r="AC130" s="471">
        <v>0</v>
      </c>
      <c r="AD130" s="471">
        <v>0</v>
      </c>
      <c r="AE130" s="471">
        <v>0</v>
      </c>
      <c r="AF130" s="471">
        <v>0</v>
      </c>
      <c r="AG130" s="471">
        <v>3.5735049001819736</v>
      </c>
      <c r="AH130" s="685">
        <f t="shared" si="8"/>
        <v>198.52805001010967</v>
      </c>
      <c r="AI130" s="472">
        <f t="shared" si="9"/>
        <v>202.10155491029164</v>
      </c>
      <c r="AJ130" s="472"/>
      <c r="AK130" s="472"/>
      <c r="AL130" s="570">
        <v>10.61</v>
      </c>
      <c r="AM130" s="570">
        <v>162.20676309460927</v>
      </c>
      <c r="AN130" s="566">
        <v>0</v>
      </c>
      <c r="AO130" s="566">
        <f t="shared" si="10"/>
        <v>172.81676309460926</v>
      </c>
    </row>
    <row r="131" spans="1:41" x14ac:dyDescent="0.3">
      <c r="A131" s="466">
        <v>150000694</v>
      </c>
      <c r="B131" s="467" t="s">
        <v>371</v>
      </c>
      <c r="C131" s="468">
        <v>6138.38</v>
      </c>
      <c r="D131" s="469">
        <v>688.06</v>
      </c>
      <c r="E131" s="470"/>
      <c r="F131" s="470">
        <v>6138.38</v>
      </c>
      <c r="G131" s="471">
        <v>1848.1002946445096</v>
      </c>
      <c r="H131" s="471">
        <v>343.85672633942664</v>
      </c>
      <c r="I131" s="471">
        <v>662.53</v>
      </c>
      <c r="J131" s="471">
        <v>161.52000000000001</v>
      </c>
      <c r="K131" s="471">
        <v>97.519365684823939</v>
      </c>
      <c r="L131" s="471">
        <v>1031.1498377524897</v>
      </c>
      <c r="M131" s="572">
        <f t="shared" si="6"/>
        <v>0</v>
      </c>
      <c r="N131" s="471">
        <v>2187.2232305657435</v>
      </c>
      <c r="O131" s="471">
        <v>7201.1332979473464</v>
      </c>
      <c r="P131" s="471">
        <v>0</v>
      </c>
      <c r="Q131" s="471">
        <v>426.15793930214238</v>
      </c>
      <c r="R131" s="572">
        <f t="shared" si="7"/>
        <v>9754.4157083472255</v>
      </c>
      <c r="S131" s="471">
        <v>161.7948266134519</v>
      </c>
      <c r="T131" s="471">
        <v>227.33307208751955</v>
      </c>
      <c r="U131" s="471">
        <v>265.44661921697389</v>
      </c>
      <c r="V131" s="471">
        <v>89.763854043819649</v>
      </c>
      <c r="W131" s="471">
        <v>49.470906063874629</v>
      </c>
      <c r="X131" s="471">
        <v>114.87128697411984</v>
      </c>
      <c r="Y131" s="471">
        <v>0</v>
      </c>
      <c r="Z131" s="471">
        <v>5268.7493276893538</v>
      </c>
      <c r="AA131" s="471">
        <v>4840.9836039869624</v>
      </c>
      <c r="AB131" s="471">
        <v>519.35618088604326</v>
      </c>
      <c r="AC131" s="471">
        <v>147.0662692493668</v>
      </c>
      <c r="AD131" s="471">
        <v>18.104749055319775</v>
      </c>
      <c r="AE131" s="471">
        <v>982.6700718025869</v>
      </c>
      <c r="AF131" s="471">
        <v>1031.8035753927165</v>
      </c>
      <c r="AG131" s="471">
        <v>449.17224892374981</v>
      </c>
      <c r="AH131" s="685">
        <f t="shared" si="8"/>
        <v>37431.020743645822</v>
      </c>
      <c r="AI131" s="472">
        <f t="shared" si="9"/>
        <v>37880.192992569573</v>
      </c>
      <c r="AJ131" s="472"/>
      <c r="AK131" s="472"/>
      <c r="AL131" s="570">
        <v>75.709999999999994</v>
      </c>
      <c r="AM131" s="570">
        <v>9678.7057083472264</v>
      </c>
      <c r="AN131" s="566">
        <v>0</v>
      </c>
      <c r="AO131" s="566">
        <f t="shared" si="10"/>
        <v>9754.4157083472255</v>
      </c>
    </row>
    <row r="132" spans="1:41" x14ac:dyDescent="0.3">
      <c r="A132" s="466">
        <v>150000695</v>
      </c>
      <c r="B132" s="467" t="s">
        <v>372</v>
      </c>
      <c r="C132" s="468">
        <v>6304.12</v>
      </c>
      <c r="D132" s="469">
        <v>695.2</v>
      </c>
      <c r="E132" s="470"/>
      <c r="F132" s="470">
        <v>6304.12</v>
      </c>
      <c r="G132" s="471">
        <v>1850.582155815534</v>
      </c>
      <c r="H132" s="471">
        <v>321.09674312596434</v>
      </c>
      <c r="I132" s="471">
        <v>679.17</v>
      </c>
      <c r="J132" s="471">
        <v>168.67</v>
      </c>
      <c r="K132" s="471">
        <v>97.519365684823939</v>
      </c>
      <c r="L132" s="471">
        <v>1039.7643001192539</v>
      </c>
      <c r="M132" s="572">
        <f t="shared" si="6"/>
        <v>0</v>
      </c>
      <c r="N132" s="471">
        <v>2246.2795904251798</v>
      </c>
      <c r="O132" s="471">
        <v>6237.7155377555855</v>
      </c>
      <c r="P132" s="471">
        <v>0</v>
      </c>
      <c r="Q132" s="471">
        <v>426.15793930214238</v>
      </c>
      <c r="R132" s="572">
        <f t="shared" si="7"/>
        <v>9387.6470167640109</v>
      </c>
      <c r="S132" s="471">
        <v>129.65841131949307</v>
      </c>
      <c r="T132" s="471">
        <v>175.26815192904829</v>
      </c>
      <c r="U132" s="471">
        <v>219.00052753625653</v>
      </c>
      <c r="V132" s="471">
        <v>74.493458822364417</v>
      </c>
      <c r="W132" s="471">
        <v>39.576724851099698</v>
      </c>
      <c r="X132" s="471">
        <v>93.480061011570541</v>
      </c>
      <c r="Y132" s="471">
        <v>0</v>
      </c>
      <c r="Z132" s="471">
        <v>6788.8234469422077</v>
      </c>
      <c r="AA132" s="471">
        <v>4997.8596151584907</v>
      </c>
      <c r="AB132" s="471">
        <v>519.35618088604326</v>
      </c>
      <c r="AC132" s="471">
        <v>147.0662692493668</v>
      </c>
      <c r="AD132" s="471">
        <v>18.104749055319775</v>
      </c>
      <c r="AE132" s="471">
        <v>1589.4298462965653</v>
      </c>
      <c r="AF132" s="471">
        <v>2386.4844600919973</v>
      </c>
      <c r="AG132" s="471">
        <v>1188.9961365642696</v>
      </c>
      <c r="AH132" s="685">
        <f t="shared" si="8"/>
        <v>39633.204552142321</v>
      </c>
      <c r="AI132" s="472">
        <f t="shared" si="9"/>
        <v>40822.200688706587</v>
      </c>
      <c r="AJ132" s="472"/>
      <c r="AK132" s="472"/>
      <c r="AL132" s="570">
        <v>75.709999999999994</v>
      </c>
      <c r="AM132" s="570">
        <v>9311.9370167640118</v>
      </c>
      <c r="AN132" s="566">
        <v>0</v>
      </c>
      <c r="AO132" s="566">
        <f t="shared" si="10"/>
        <v>9387.6470167640109</v>
      </c>
    </row>
    <row r="133" spans="1:41" x14ac:dyDescent="0.3">
      <c r="A133" s="466">
        <v>150000696</v>
      </c>
      <c r="B133" s="467" t="s">
        <v>370</v>
      </c>
      <c r="C133" s="468">
        <v>6306.37</v>
      </c>
      <c r="D133" s="469">
        <v>706.38</v>
      </c>
      <c r="E133" s="470"/>
      <c r="F133" s="470">
        <v>6306.37</v>
      </c>
      <c r="G133" s="471">
        <v>1848.9952253228862</v>
      </c>
      <c r="H133" s="471">
        <v>344.02919229089974</v>
      </c>
      <c r="I133" s="471">
        <v>679.17</v>
      </c>
      <c r="J133" s="471">
        <v>168.67</v>
      </c>
      <c r="K133" s="471">
        <v>97.519365684823939</v>
      </c>
      <c r="L133" s="471">
        <v>1033.2564642148391</v>
      </c>
      <c r="M133" s="572">
        <f t="shared" si="6"/>
        <v>0</v>
      </c>
      <c r="N133" s="471">
        <v>2247.0813088376553</v>
      </c>
      <c r="O133" s="471">
        <v>7201.1332979473464</v>
      </c>
      <c r="P133" s="471">
        <v>0</v>
      </c>
      <c r="Q133" s="471">
        <v>426.15793930214238</v>
      </c>
      <c r="R133" s="572">
        <f t="shared" si="7"/>
        <v>9296.4464094976156</v>
      </c>
      <c r="S133" s="471">
        <v>161.88903613373856</v>
      </c>
      <c r="T133" s="471">
        <v>227.44959096691474</v>
      </c>
      <c r="U133" s="471">
        <v>273.75065942032063</v>
      </c>
      <c r="V133" s="471">
        <v>93.116823527955518</v>
      </c>
      <c r="W133" s="471">
        <v>49.470906063874629</v>
      </c>
      <c r="X133" s="471">
        <v>117.45944789079753</v>
      </c>
      <c r="Y133" s="471">
        <v>0</v>
      </c>
      <c r="Z133" s="471">
        <v>7159.0238666582454</v>
      </c>
      <c r="AA133" s="471">
        <v>4873.0945781363544</v>
      </c>
      <c r="AB133" s="471">
        <v>519.35618088604326</v>
      </c>
      <c r="AC133" s="471">
        <v>147.0662692493668</v>
      </c>
      <c r="AD133" s="471">
        <v>18.104749055319775</v>
      </c>
      <c r="AE133" s="471">
        <v>3019.7607285869976</v>
      </c>
      <c r="AF133" s="471">
        <v>623.29358840049804</v>
      </c>
      <c r="AG133" s="471">
        <v>487.50354753689555</v>
      </c>
      <c r="AH133" s="685">
        <f t="shared" si="8"/>
        <v>40625.295628074629</v>
      </c>
      <c r="AI133" s="472">
        <f t="shared" si="9"/>
        <v>41112.799175611523</v>
      </c>
      <c r="AJ133" s="472"/>
      <c r="AK133" s="472"/>
      <c r="AL133" s="570">
        <v>75.709999999999994</v>
      </c>
      <c r="AM133" s="570">
        <v>9220.7364094976165</v>
      </c>
      <c r="AN133" s="566">
        <v>0</v>
      </c>
      <c r="AO133" s="566">
        <f t="shared" si="10"/>
        <v>9296.4464094976156</v>
      </c>
    </row>
    <row r="134" spans="1:41" x14ac:dyDescent="0.3">
      <c r="A134" s="466">
        <v>150000697</v>
      </c>
      <c r="B134" s="467" t="s">
        <v>265</v>
      </c>
      <c r="C134" s="468">
        <v>2744.3</v>
      </c>
      <c r="D134" s="469"/>
      <c r="E134" s="470"/>
      <c r="F134" s="470">
        <v>2744.3</v>
      </c>
      <c r="G134" s="471">
        <v>889.02853350871283</v>
      </c>
      <c r="H134" s="471">
        <v>222.41547887789164</v>
      </c>
      <c r="I134" s="471">
        <v>338.21</v>
      </c>
      <c r="J134" s="471">
        <v>80.72</v>
      </c>
      <c r="K134" s="471">
        <v>59.112908977718426</v>
      </c>
      <c r="L134" s="471">
        <v>663.78611336825236</v>
      </c>
      <c r="M134" s="572">
        <f t="shared" ref="M134:M197" si="11">AN134</f>
        <v>0</v>
      </c>
      <c r="N134" s="471">
        <v>977.84703971431713</v>
      </c>
      <c r="O134" s="471">
        <v>0</v>
      </c>
      <c r="P134" s="471">
        <v>0</v>
      </c>
      <c r="Q134" s="471">
        <v>236.75441072341243</v>
      </c>
      <c r="R134" s="572">
        <f t="shared" ref="R134:R197" si="12">AO134</f>
        <v>4095.7850738384345</v>
      </c>
      <c r="S134" s="471">
        <v>148.88818146354492</v>
      </c>
      <c r="T134" s="471">
        <v>286.68042843855068</v>
      </c>
      <c r="U134" s="471">
        <v>123.51739938072166</v>
      </c>
      <c r="V134" s="471">
        <v>84.621936135212607</v>
      </c>
      <c r="W134" s="471">
        <v>59.973570119372766</v>
      </c>
      <c r="X134" s="471">
        <v>89.9087591465576</v>
      </c>
      <c r="Y134" s="471">
        <v>0</v>
      </c>
      <c r="Z134" s="471">
        <v>2204.1627622208448</v>
      </c>
      <c r="AA134" s="471">
        <v>1515.3194314345847</v>
      </c>
      <c r="AB134" s="471">
        <v>437.42405322211118</v>
      </c>
      <c r="AC134" s="471">
        <v>134.81074681191956</v>
      </c>
      <c r="AD134" s="471">
        <v>16.59601996737646</v>
      </c>
      <c r="AE134" s="471">
        <v>714.38554426283315</v>
      </c>
      <c r="AF134" s="471">
        <v>0</v>
      </c>
      <c r="AG134" s="471">
        <v>802.7969034967424</v>
      </c>
      <c r="AH134" s="685">
        <f t="shared" ref="AH134:AH197" si="13">SUM(G134:AG134)-AG134</f>
        <v>13379.948391612374</v>
      </c>
      <c r="AI134" s="472">
        <f t="shared" ref="AI134:AI197" si="14">G134+H134+I134+J134+K134+L134+M134+N134+O134+P134+Q134+R134+S134+T134+U134+V134+W134+X134+Y134+Z134+AA134+AB134+AC134+AD134+AE134+AF134+AG134</f>
        <v>14182.745295109116</v>
      </c>
      <c r="AJ134" s="472"/>
      <c r="AK134" s="472"/>
      <c r="AL134" s="570">
        <v>75.709999999999994</v>
      </c>
      <c r="AM134" s="570">
        <v>4020.0750738384345</v>
      </c>
      <c r="AN134" s="566">
        <v>0</v>
      </c>
      <c r="AO134" s="566">
        <f t="shared" ref="AO134:AO197" si="15">AL134+AM134</f>
        <v>4095.7850738384345</v>
      </c>
    </row>
    <row r="135" spans="1:41" x14ac:dyDescent="0.3">
      <c r="A135" s="466">
        <v>150000698</v>
      </c>
      <c r="B135" s="467" t="s">
        <v>120</v>
      </c>
      <c r="C135" s="468">
        <v>180</v>
      </c>
      <c r="D135" s="473"/>
      <c r="E135" s="470"/>
      <c r="F135" s="470">
        <v>180</v>
      </c>
      <c r="G135" s="471">
        <v>0</v>
      </c>
      <c r="H135" s="471">
        <v>0</v>
      </c>
      <c r="I135" s="471">
        <v>0</v>
      </c>
      <c r="J135" s="471">
        <v>0</v>
      </c>
      <c r="K135" s="471">
        <v>0</v>
      </c>
      <c r="L135" s="471">
        <v>0</v>
      </c>
      <c r="M135" s="572">
        <f t="shared" si="11"/>
        <v>0</v>
      </c>
      <c r="N135" s="471">
        <v>0</v>
      </c>
      <c r="O135" s="471">
        <v>0</v>
      </c>
      <c r="P135" s="471">
        <v>0</v>
      </c>
      <c r="Q135" s="471">
        <v>15.783627381560828</v>
      </c>
      <c r="R135" s="572">
        <f t="shared" si="12"/>
        <v>202.35021530424842</v>
      </c>
      <c r="S135" s="471">
        <v>0</v>
      </c>
      <c r="T135" s="471">
        <v>0</v>
      </c>
      <c r="U135" s="471">
        <v>0</v>
      </c>
      <c r="V135" s="471">
        <v>0</v>
      </c>
      <c r="W135" s="471">
        <v>0</v>
      </c>
      <c r="X135" s="471">
        <v>0</v>
      </c>
      <c r="Y135" s="471">
        <v>0</v>
      </c>
      <c r="Z135" s="471">
        <v>23.927010754197507</v>
      </c>
      <c r="AA135" s="471">
        <v>0</v>
      </c>
      <c r="AB135" s="471">
        <v>0</v>
      </c>
      <c r="AC135" s="471">
        <v>0</v>
      </c>
      <c r="AD135" s="471">
        <v>0</v>
      </c>
      <c r="AE135" s="471">
        <v>0</v>
      </c>
      <c r="AF135" s="471">
        <v>0</v>
      </c>
      <c r="AG135" s="471">
        <v>7.2618256032002027</v>
      </c>
      <c r="AH135" s="685">
        <f t="shared" si="13"/>
        <v>242.06085344000675</v>
      </c>
      <c r="AI135" s="472">
        <f t="shared" si="14"/>
        <v>249.32267904320696</v>
      </c>
      <c r="AJ135" s="472"/>
      <c r="AK135" s="472"/>
      <c r="AL135" s="570">
        <v>31.84</v>
      </c>
      <c r="AM135" s="570">
        <v>170.51021530424842</v>
      </c>
      <c r="AN135" s="566">
        <v>0</v>
      </c>
      <c r="AO135" s="566">
        <f t="shared" si="15"/>
        <v>202.35021530424842</v>
      </c>
    </row>
    <row r="136" spans="1:41" x14ac:dyDescent="0.3">
      <c r="A136" s="466">
        <v>150000699</v>
      </c>
      <c r="B136" s="467" t="s">
        <v>373</v>
      </c>
      <c r="C136" s="468">
        <v>4191.3999999999996</v>
      </c>
      <c r="D136" s="469">
        <v>468.7</v>
      </c>
      <c r="E136" s="470"/>
      <c r="F136" s="470">
        <v>4191.3999999999996</v>
      </c>
      <c r="G136" s="471">
        <v>1095.7025410244796</v>
      </c>
      <c r="H136" s="471">
        <v>144.91532402070791</v>
      </c>
      <c r="I136" s="471">
        <v>455.21</v>
      </c>
      <c r="J136" s="471">
        <v>109.54</v>
      </c>
      <c r="K136" s="471">
        <v>65.004820328168279</v>
      </c>
      <c r="L136" s="471">
        <v>504.57089137918041</v>
      </c>
      <c r="M136" s="572">
        <f t="shared" si="11"/>
        <v>0</v>
      </c>
      <c r="N136" s="471">
        <v>1493.4766906892789</v>
      </c>
      <c r="O136" s="471">
        <v>1045.0618223932277</v>
      </c>
      <c r="P136" s="471">
        <v>0</v>
      </c>
      <c r="Q136" s="471">
        <v>674.75007056172547</v>
      </c>
      <c r="R136" s="572">
        <f t="shared" si="12"/>
        <v>4945.8142190577728</v>
      </c>
      <c r="S136" s="471">
        <v>86.512607455577651</v>
      </c>
      <c r="T136" s="471">
        <v>95.30326651124625</v>
      </c>
      <c r="U136" s="471">
        <v>173.78803578042334</v>
      </c>
      <c r="V136" s="471">
        <v>67.786060421820082</v>
      </c>
      <c r="W136" s="471">
        <v>32.980617657691397</v>
      </c>
      <c r="X136" s="471">
        <v>81.41344512148774</v>
      </c>
      <c r="Y136" s="471">
        <v>0</v>
      </c>
      <c r="Z136" s="471">
        <v>3708.0943681316112</v>
      </c>
      <c r="AA136" s="471">
        <v>4645.4360067959296</v>
      </c>
      <c r="AB136" s="471">
        <v>555.85865346909156</v>
      </c>
      <c r="AC136" s="471">
        <v>144.61516476187737</v>
      </c>
      <c r="AD136" s="471">
        <v>17.803003237731112</v>
      </c>
      <c r="AE136" s="471">
        <v>1851.4751987772554</v>
      </c>
      <c r="AF136" s="471">
        <v>703.46698790947107</v>
      </c>
      <c r="AG136" s="471">
        <v>408.57443631874355</v>
      </c>
      <c r="AH136" s="685">
        <f t="shared" si="13"/>
        <v>22698.579795485759</v>
      </c>
      <c r="AI136" s="472">
        <f t="shared" si="14"/>
        <v>23107.154231804503</v>
      </c>
      <c r="AJ136" s="472"/>
      <c r="AK136" s="472"/>
      <c r="AL136" s="570">
        <v>119.56</v>
      </c>
      <c r="AM136" s="570">
        <v>4826.2542190577724</v>
      </c>
      <c r="AN136" s="566">
        <v>0</v>
      </c>
      <c r="AO136" s="566">
        <f t="shared" si="15"/>
        <v>4945.8142190577728</v>
      </c>
    </row>
    <row r="137" spans="1:41" x14ac:dyDescent="0.3">
      <c r="A137" s="466">
        <v>150000702</v>
      </c>
      <c r="B137" s="467" t="s">
        <v>338</v>
      </c>
      <c r="C137" s="468">
        <v>6095.61</v>
      </c>
      <c r="D137" s="469">
        <v>601.05999999999995</v>
      </c>
      <c r="E137" s="470"/>
      <c r="F137" s="470">
        <v>6095.61</v>
      </c>
      <c r="G137" s="471">
        <v>1845.3091420536039</v>
      </c>
      <c r="H137" s="471">
        <v>345.73039832698709</v>
      </c>
      <c r="I137" s="471">
        <v>657.75</v>
      </c>
      <c r="J137" s="471">
        <v>158.56</v>
      </c>
      <c r="K137" s="471">
        <v>97.519365684823939</v>
      </c>
      <c r="L137" s="471">
        <v>1037.7648296057785</v>
      </c>
      <c r="M137" s="572">
        <f t="shared" si="11"/>
        <v>0</v>
      </c>
      <c r="N137" s="471">
        <v>2171.9834543428151</v>
      </c>
      <c r="O137" s="471">
        <v>5184.8213223864259</v>
      </c>
      <c r="P137" s="471">
        <v>0</v>
      </c>
      <c r="Q137" s="471">
        <v>414.32021876597179</v>
      </c>
      <c r="R137" s="572">
        <f t="shared" si="12"/>
        <v>9816.8015526627878</v>
      </c>
      <c r="S137" s="471">
        <v>97.593410118833248</v>
      </c>
      <c r="T137" s="471">
        <v>137.11945850575125</v>
      </c>
      <c r="U137" s="471">
        <v>165.55657676623494</v>
      </c>
      <c r="V137" s="471">
        <v>53.852871368604887</v>
      </c>
      <c r="W137" s="471">
        <v>29.682543638324773</v>
      </c>
      <c r="X137" s="471">
        <v>69.887823032227814</v>
      </c>
      <c r="Y137" s="471">
        <v>0</v>
      </c>
      <c r="Z137" s="471">
        <v>5879.25239801719</v>
      </c>
      <c r="AA137" s="471">
        <v>4934.2608316526957</v>
      </c>
      <c r="AB137" s="471">
        <v>486.89641958066568</v>
      </c>
      <c r="AC137" s="471">
        <v>181.30819893959438</v>
      </c>
      <c r="AD137" s="471">
        <v>22.320138127033399</v>
      </c>
      <c r="AE137" s="471">
        <v>1165.1659422802104</v>
      </c>
      <c r="AF137" s="471">
        <v>1750.0886040674648</v>
      </c>
      <c r="AG137" s="471">
        <v>660.66381899863256</v>
      </c>
      <c r="AH137" s="685">
        <f t="shared" si="13"/>
        <v>36703.545499924032</v>
      </c>
      <c r="AI137" s="472">
        <f t="shared" si="14"/>
        <v>37364.209318922665</v>
      </c>
      <c r="AJ137" s="472"/>
      <c r="AK137" s="472"/>
      <c r="AL137" s="570">
        <v>75.709999999999994</v>
      </c>
      <c r="AM137" s="570">
        <v>9741.0915526627887</v>
      </c>
      <c r="AN137" s="566">
        <v>0</v>
      </c>
      <c r="AO137" s="566">
        <f t="shared" si="15"/>
        <v>9816.8015526627878</v>
      </c>
    </row>
    <row r="138" spans="1:41" x14ac:dyDescent="0.3">
      <c r="A138" s="466">
        <v>150000703</v>
      </c>
      <c r="B138" s="467" t="s">
        <v>339</v>
      </c>
      <c r="C138" s="468">
        <v>6316</v>
      </c>
      <c r="D138" s="469">
        <v>712.5</v>
      </c>
      <c r="E138" s="470"/>
      <c r="F138" s="470">
        <v>6316</v>
      </c>
      <c r="G138" s="471">
        <v>1818.5274046002723</v>
      </c>
      <c r="H138" s="471">
        <v>341.51419726773292</v>
      </c>
      <c r="I138" s="471">
        <v>691.21</v>
      </c>
      <c r="J138" s="471">
        <v>161.04</v>
      </c>
      <c r="K138" s="471">
        <v>97.519365684823939</v>
      </c>
      <c r="L138" s="471">
        <v>1192.6406598666297</v>
      </c>
      <c r="M138" s="572">
        <f t="shared" si="11"/>
        <v>0</v>
      </c>
      <c r="N138" s="471">
        <v>2250.5126636430518</v>
      </c>
      <c r="O138" s="471">
        <v>5184.8213223864259</v>
      </c>
      <c r="P138" s="471">
        <v>0</v>
      </c>
      <c r="Q138" s="471">
        <v>418.26612561136199</v>
      </c>
      <c r="R138" s="572">
        <f t="shared" si="12"/>
        <v>9830.952869269222</v>
      </c>
      <c r="S138" s="471">
        <v>95.803188305416725</v>
      </c>
      <c r="T138" s="471">
        <v>135.49959397133657</v>
      </c>
      <c r="U138" s="471">
        <v>173.7821981198818</v>
      </c>
      <c r="V138" s="471">
        <v>54.369292915198905</v>
      </c>
      <c r="W138" s="471">
        <v>29.682543638324773</v>
      </c>
      <c r="X138" s="471">
        <v>68.141586721422954</v>
      </c>
      <c r="Y138" s="471">
        <v>0</v>
      </c>
      <c r="Z138" s="471">
        <v>6065.3533420049434</v>
      </c>
      <c r="AA138" s="471">
        <v>4982.7503865065664</v>
      </c>
      <c r="AB138" s="471">
        <v>530.1761013211692</v>
      </c>
      <c r="AC138" s="471">
        <v>223.27110776541366</v>
      </c>
      <c r="AD138" s="471">
        <v>27.486026524151306</v>
      </c>
      <c r="AE138" s="471">
        <v>826.69069532598576</v>
      </c>
      <c r="AF138" s="471">
        <v>1240.036042988979</v>
      </c>
      <c r="AG138" s="471">
        <v>1093.2014014331496</v>
      </c>
      <c r="AH138" s="685">
        <f t="shared" si="13"/>
        <v>36440.046714438322</v>
      </c>
      <c r="AI138" s="472">
        <f t="shared" si="14"/>
        <v>37533.248115871473</v>
      </c>
      <c r="AJ138" s="472"/>
      <c r="AK138" s="472"/>
      <c r="AL138" s="570">
        <v>75.709999999999994</v>
      </c>
      <c r="AM138" s="570">
        <v>9755.2428692692229</v>
      </c>
      <c r="AN138" s="566">
        <v>0</v>
      </c>
      <c r="AO138" s="566">
        <f t="shared" si="15"/>
        <v>9830.952869269222</v>
      </c>
    </row>
    <row r="139" spans="1:41" x14ac:dyDescent="0.3">
      <c r="A139" s="466">
        <v>150000705</v>
      </c>
      <c r="B139" s="467" t="s">
        <v>141</v>
      </c>
      <c r="C139" s="468">
        <v>240.6</v>
      </c>
      <c r="D139" s="473"/>
      <c r="E139" s="470"/>
      <c r="F139" s="470">
        <v>240.6</v>
      </c>
      <c r="G139" s="471">
        <v>0</v>
      </c>
      <c r="H139" s="471">
        <v>0</v>
      </c>
      <c r="I139" s="471">
        <v>0</v>
      </c>
      <c r="J139" s="471">
        <v>0</v>
      </c>
      <c r="K139" s="471">
        <v>0</v>
      </c>
      <c r="L139" s="471">
        <v>0</v>
      </c>
      <c r="M139" s="572">
        <f t="shared" si="11"/>
        <v>0</v>
      </c>
      <c r="N139" s="471">
        <v>0</v>
      </c>
      <c r="O139" s="471">
        <v>0</v>
      </c>
      <c r="P139" s="471">
        <v>0</v>
      </c>
      <c r="Q139" s="471">
        <v>47.350882144682487</v>
      </c>
      <c r="R139" s="572">
        <f t="shared" si="12"/>
        <v>235.61187061353758</v>
      </c>
      <c r="S139" s="471">
        <v>0</v>
      </c>
      <c r="T139" s="471">
        <v>0</v>
      </c>
      <c r="U139" s="471">
        <v>0</v>
      </c>
      <c r="V139" s="471">
        <v>0</v>
      </c>
      <c r="W139" s="471">
        <v>0</v>
      </c>
      <c r="X139" s="471">
        <v>0</v>
      </c>
      <c r="Y139" s="471">
        <v>0</v>
      </c>
      <c r="Z139" s="471">
        <v>13.957422939948543</v>
      </c>
      <c r="AA139" s="471">
        <v>0</v>
      </c>
      <c r="AB139" s="471">
        <v>0</v>
      </c>
      <c r="AC139" s="471">
        <v>0</v>
      </c>
      <c r="AD139" s="471">
        <v>0</v>
      </c>
      <c r="AE139" s="471">
        <v>0</v>
      </c>
      <c r="AF139" s="471">
        <v>0</v>
      </c>
      <c r="AG139" s="471">
        <v>8.9076052709450568</v>
      </c>
      <c r="AH139" s="685">
        <f t="shared" si="13"/>
        <v>296.92017569816858</v>
      </c>
      <c r="AI139" s="472">
        <f t="shared" si="14"/>
        <v>305.82778096911363</v>
      </c>
      <c r="AJ139" s="472"/>
      <c r="AK139" s="472"/>
      <c r="AL139" s="570">
        <v>9.61</v>
      </c>
      <c r="AM139" s="570">
        <v>226.00187061353759</v>
      </c>
      <c r="AN139" s="566">
        <v>0</v>
      </c>
      <c r="AO139" s="566">
        <f t="shared" si="15"/>
        <v>235.61187061353758</v>
      </c>
    </row>
    <row r="140" spans="1:41" x14ac:dyDescent="0.3">
      <c r="A140" s="466">
        <v>150000706</v>
      </c>
      <c r="B140" s="467" t="s">
        <v>143</v>
      </c>
      <c r="C140" s="468">
        <v>243.32</v>
      </c>
      <c r="D140" s="473"/>
      <c r="E140" s="470"/>
      <c r="F140" s="470">
        <v>243.32</v>
      </c>
      <c r="G140" s="471">
        <v>0</v>
      </c>
      <c r="H140" s="471">
        <v>0</v>
      </c>
      <c r="I140" s="471">
        <v>0</v>
      </c>
      <c r="J140" s="471">
        <v>0</v>
      </c>
      <c r="K140" s="471">
        <v>0</v>
      </c>
      <c r="L140" s="471">
        <v>0</v>
      </c>
      <c r="M140" s="572">
        <f t="shared" si="11"/>
        <v>0</v>
      </c>
      <c r="N140" s="471">
        <v>0</v>
      </c>
      <c r="O140" s="471">
        <v>0</v>
      </c>
      <c r="P140" s="471">
        <v>0</v>
      </c>
      <c r="Q140" s="471">
        <v>47.350882144682487</v>
      </c>
      <c r="R140" s="572">
        <f t="shared" si="12"/>
        <v>246.43349102183942</v>
      </c>
      <c r="S140" s="471">
        <v>0</v>
      </c>
      <c r="T140" s="471">
        <v>0</v>
      </c>
      <c r="U140" s="471">
        <v>0</v>
      </c>
      <c r="V140" s="471">
        <v>0</v>
      </c>
      <c r="W140" s="471">
        <v>0</v>
      </c>
      <c r="X140" s="471">
        <v>0</v>
      </c>
      <c r="Y140" s="471">
        <v>0</v>
      </c>
      <c r="Z140" s="471">
        <v>9.9695878142489622</v>
      </c>
      <c r="AA140" s="471">
        <v>0</v>
      </c>
      <c r="AB140" s="471">
        <v>0</v>
      </c>
      <c r="AC140" s="471">
        <v>0</v>
      </c>
      <c r="AD140" s="471">
        <v>0</v>
      </c>
      <c r="AE140" s="471">
        <v>0</v>
      </c>
      <c r="AF140" s="471">
        <v>0</v>
      </c>
      <c r="AG140" s="471">
        <v>9.1126188294231252</v>
      </c>
      <c r="AH140" s="685">
        <f t="shared" si="13"/>
        <v>303.75396098077084</v>
      </c>
      <c r="AI140" s="472">
        <f t="shared" si="14"/>
        <v>312.86657981019397</v>
      </c>
      <c r="AJ140" s="472"/>
      <c r="AK140" s="472"/>
      <c r="AL140" s="570">
        <v>9.61</v>
      </c>
      <c r="AM140" s="570">
        <v>236.82349102183943</v>
      </c>
      <c r="AN140" s="566">
        <v>0</v>
      </c>
      <c r="AO140" s="566">
        <f t="shared" si="15"/>
        <v>246.43349102183942</v>
      </c>
    </row>
    <row r="141" spans="1:41" x14ac:dyDescent="0.3">
      <c r="A141" s="466">
        <v>150000707</v>
      </c>
      <c r="B141" s="467" t="s">
        <v>144</v>
      </c>
      <c r="C141" s="468">
        <v>326.10000000000002</v>
      </c>
      <c r="D141" s="473"/>
      <c r="E141" s="470"/>
      <c r="F141" s="470">
        <v>326.10000000000002</v>
      </c>
      <c r="G141" s="471">
        <v>0</v>
      </c>
      <c r="H141" s="471">
        <v>0</v>
      </c>
      <c r="I141" s="471">
        <v>0</v>
      </c>
      <c r="J141" s="471">
        <v>0</v>
      </c>
      <c r="K141" s="471">
        <v>0</v>
      </c>
      <c r="L141" s="471">
        <v>0</v>
      </c>
      <c r="M141" s="572">
        <f t="shared" si="11"/>
        <v>0</v>
      </c>
      <c r="N141" s="471">
        <v>0</v>
      </c>
      <c r="O141" s="471">
        <v>0</v>
      </c>
      <c r="P141" s="471">
        <v>0</v>
      </c>
      <c r="Q141" s="471">
        <v>39.45906845390207</v>
      </c>
      <c r="R141" s="572">
        <f t="shared" si="12"/>
        <v>320.73133127490689</v>
      </c>
      <c r="S141" s="471">
        <v>0</v>
      </c>
      <c r="T141" s="471">
        <v>0</v>
      </c>
      <c r="U141" s="471">
        <v>0</v>
      </c>
      <c r="V141" s="471">
        <v>0</v>
      </c>
      <c r="W141" s="471">
        <v>0</v>
      </c>
      <c r="X141" s="471">
        <v>0</v>
      </c>
      <c r="Y141" s="471">
        <v>0</v>
      </c>
      <c r="Z141" s="471">
        <v>43.866186382695432</v>
      </c>
      <c r="AA141" s="471">
        <v>0</v>
      </c>
      <c r="AB141" s="471">
        <v>0</v>
      </c>
      <c r="AC141" s="471">
        <v>0</v>
      </c>
      <c r="AD141" s="471">
        <v>0</v>
      </c>
      <c r="AE141" s="471">
        <v>0</v>
      </c>
      <c r="AF141" s="471">
        <v>0</v>
      </c>
      <c r="AG141" s="471">
        <v>12.121697583345131</v>
      </c>
      <c r="AH141" s="685">
        <f t="shared" si="13"/>
        <v>404.05658611150443</v>
      </c>
      <c r="AI141" s="472">
        <f t="shared" si="14"/>
        <v>416.17828369484954</v>
      </c>
      <c r="AJ141" s="472"/>
      <c r="AK141" s="472"/>
      <c r="AL141" s="570">
        <v>9.61</v>
      </c>
      <c r="AM141" s="570">
        <v>311.12133127490688</v>
      </c>
      <c r="AN141" s="566">
        <v>0</v>
      </c>
      <c r="AO141" s="566">
        <f t="shared" si="15"/>
        <v>320.73133127490689</v>
      </c>
    </row>
    <row r="142" spans="1:41" x14ac:dyDescent="0.3">
      <c r="A142" s="466">
        <v>150000708</v>
      </c>
      <c r="B142" s="467" t="s">
        <v>145</v>
      </c>
      <c r="C142" s="468">
        <v>241.4</v>
      </c>
      <c r="D142" s="473"/>
      <c r="E142" s="470"/>
      <c r="F142" s="470">
        <v>241.4</v>
      </c>
      <c r="G142" s="471">
        <v>0</v>
      </c>
      <c r="H142" s="471">
        <v>0</v>
      </c>
      <c r="I142" s="471">
        <v>0</v>
      </c>
      <c r="J142" s="471">
        <v>0</v>
      </c>
      <c r="K142" s="471">
        <v>0</v>
      </c>
      <c r="L142" s="471">
        <v>0</v>
      </c>
      <c r="M142" s="572">
        <f t="shared" si="11"/>
        <v>0</v>
      </c>
      <c r="N142" s="471">
        <v>0</v>
      </c>
      <c r="O142" s="471">
        <v>0</v>
      </c>
      <c r="P142" s="471">
        <v>0</v>
      </c>
      <c r="Q142" s="471">
        <v>43.404975299292282</v>
      </c>
      <c r="R142" s="572">
        <f t="shared" si="12"/>
        <v>244.35221017770851</v>
      </c>
      <c r="S142" s="471">
        <v>0</v>
      </c>
      <c r="T142" s="471">
        <v>0</v>
      </c>
      <c r="U142" s="471">
        <v>0</v>
      </c>
      <c r="V142" s="471">
        <v>0</v>
      </c>
      <c r="W142" s="471">
        <v>0</v>
      </c>
      <c r="X142" s="471">
        <v>0</v>
      </c>
      <c r="Y142" s="471">
        <v>0</v>
      </c>
      <c r="Z142" s="471">
        <v>9.9695878142489622</v>
      </c>
      <c r="AA142" s="471">
        <v>0</v>
      </c>
      <c r="AB142" s="471">
        <v>0</v>
      </c>
      <c r="AC142" s="471">
        <v>0</v>
      </c>
      <c r="AD142" s="471">
        <v>0</v>
      </c>
      <c r="AE142" s="471">
        <v>0</v>
      </c>
      <c r="AF142" s="471">
        <v>0</v>
      </c>
      <c r="AG142" s="471">
        <v>8.9318031987374926</v>
      </c>
      <c r="AH142" s="685">
        <f t="shared" si="13"/>
        <v>297.72677329124974</v>
      </c>
      <c r="AI142" s="472">
        <f t="shared" si="14"/>
        <v>306.65857648998724</v>
      </c>
      <c r="AJ142" s="472"/>
      <c r="AK142" s="472"/>
      <c r="AL142" s="570">
        <v>9.61</v>
      </c>
      <c r="AM142" s="570">
        <v>234.7422101777085</v>
      </c>
      <c r="AN142" s="566">
        <v>0</v>
      </c>
      <c r="AO142" s="566">
        <f t="shared" si="15"/>
        <v>244.35221017770851</v>
      </c>
    </row>
    <row r="143" spans="1:41" x14ac:dyDescent="0.3">
      <c r="A143" s="466">
        <v>150000709</v>
      </c>
      <c r="B143" s="467" t="s">
        <v>142</v>
      </c>
      <c r="C143" s="468">
        <v>201.1</v>
      </c>
      <c r="D143" s="473"/>
      <c r="E143" s="470"/>
      <c r="F143" s="470">
        <v>201.1</v>
      </c>
      <c r="G143" s="471">
        <v>0</v>
      </c>
      <c r="H143" s="471">
        <v>0</v>
      </c>
      <c r="I143" s="471">
        <v>0</v>
      </c>
      <c r="J143" s="471">
        <v>0</v>
      </c>
      <c r="K143" s="471">
        <v>0</v>
      </c>
      <c r="L143" s="471">
        <v>0</v>
      </c>
      <c r="M143" s="572">
        <f t="shared" si="11"/>
        <v>0</v>
      </c>
      <c r="N143" s="471">
        <v>0</v>
      </c>
      <c r="O143" s="471">
        <v>0</v>
      </c>
      <c r="P143" s="471">
        <v>0</v>
      </c>
      <c r="Q143" s="471">
        <v>31.567254763121657</v>
      </c>
      <c r="R143" s="572">
        <f t="shared" si="12"/>
        <v>202.52465780609111</v>
      </c>
      <c r="S143" s="471">
        <v>0</v>
      </c>
      <c r="T143" s="471">
        <v>0</v>
      </c>
      <c r="U143" s="471">
        <v>0</v>
      </c>
      <c r="V143" s="471">
        <v>0</v>
      </c>
      <c r="W143" s="471">
        <v>0</v>
      </c>
      <c r="X143" s="471">
        <v>0</v>
      </c>
      <c r="Y143" s="471">
        <v>0</v>
      </c>
      <c r="Z143" s="471">
        <v>15.951340502798338</v>
      </c>
      <c r="AA143" s="471">
        <v>0</v>
      </c>
      <c r="AB143" s="471">
        <v>0</v>
      </c>
      <c r="AC143" s="471">
        <v>0</v>
      </c>
      <c r="AD143" s="471">
        <v>0</v>
      </c>
      <c r="AE143" s="471">
        <v>0</v>
      </c>
      <c r="AF143" s="471">
        <v>0</v>
      </c>
      <c r="AG143" s="471">
        <v>7.5012975921603333</v>
      </c>
      <c r="AH143" s="685">
        <f t="shared" si="13"/>
        <v>250.04325307201108</v>
      </c>
      <c r="AI143" s="472">
        <f t="shared" si="14"/>
        <v>257.54455066417142</v>
      </c>
      <c r="AJ143" s="472"/>
      <c r="AK143" s="472"/>
      <c r="AL143" s="570">
        <v>9.61</v>
      </c>
      <c r="AM143" s="570">
        <v>192.91465780609113</v>
      </c>
      <c r="AN143" s="566">
        <v>0</v>
      </c>
      <c r="AO143" s="566">
        <f t="shared" si="15"/>
        <v>202.52465780609111</v>
      </c>
    </row>
    <row r="144" spans="1:41" x14ac:dyDescent="0.3">
      <c r="A144" s="466">
        <v>150000710</v>
      </c>
      <c r="B144" s="467" t="s">
        <v>278</v>
      </c>
      <c r="C144" s="468">
        <v>4471.5</v>
      </c>
      <c r="D144" s="469"/>
      <c r="E144" s="470">
        <v>100.8</v>
      </c>
      <c r="F144" s="470">
        <v>4572.3</v>
      </c>
      <c r="G144" s="471">
        <v>1388.8140293680221</v>
      </c>
      <c r="H144" s="471">
        <v>283.32062206205393</v>
      </c>
      <c r="I144" s="471">
        <v>553.30999999999995</v>
      </c>
      <c r="J144" s="471">
        <v>0</v>
      </c>
      <c r="K144" s="471">
        <v>0</v>
      </c>
      <c r="L144" s="471">
        <v>1061.067846279682</v>
      </c>
      <c r="M144" s="572">
        <f t="shared" si="11"/>
        <v>0</v>
      </c>
      <c r="N144" s="471">
        <v>1629.1987099390635</v>
      </c>
      <c r="O144" s="471">
        <v>0</v>
      </c>
      <c r="P144" s="471">
        <v>0</v>
      </c>
      <c r="Q144" s="471">
        <v>1160.096612544721</v>
      </c>
      <c r="R144" s="572">
        <f t="shared" si="12"/>
        <v>5019.8090922230285</v>
      </c>
      <c r="S144" s="471">
        <v>226.58214786316023</v>
      </c>
      <c r="T144" s="471">
        <v>365.15822033661738</v>
      </c>
      <c r="U144" s="471">
        <v>206.91717087955041</v>
      </c>
      <c r="V144" s="471">
        <v>0</v>
      </c>
      <c r="W144" s="471">
        <v>0</v>
      </c>
      <c r="X144" s="471">
        <v>166.33814628043049</v>
      </c>
      <c r="Y144" s="471">
        <v>0</v>
      </c>
      <c r="Z144" s="471">
        <v>3999.476311227309</v>
      </c>
      <c r="AA144" s="471">
        <v>2109.2006811907031</v>
      </c>
      <c r="AB144" s="471">
        <v>590.55764878838988</v>
      </c>
      <c r="AC144" s="471">
        <v>49.022089749788933</v>
      </c>
      <c r="AD144" s="471">
        <v>6.0349163517732585</v>
      </c>
      <c r="AE144" s="471">
        <v>386.82885366197075</v>
      </c>
      <c r="AF144" s="471">
        <v>0</v>
      </c>
      <c r="AG144" s="471">
        <v>875.59902930282954</v>
      </c>
      <c r="AH144" s="685">
        <f t="shared" si="13"/>
        <v>19201.733098746263</v>
      </c>
      <c r="AI144" s="472">
        <f t="shared" si="14"/>
        <v>20077.332128049093</v>
      </c>
      <c r="AJ144" s="472"/>
      <c r="AK144" s="472"/>
      <c r="AL144" s="570">
        <v>163.35</v>
      </c>
      <c r="AM144" s="570">
        <v>4856.4590922230282</v>
      </c>
      <c r="AN144" s="566">
        <v>0</v>
      </c>
      <c r="AO144" s="566">
        <f t="shared" si="15"/>
        <v>5019.8090922230285</v>
      </c>
    </row>
    <row r="145" spans="1:41" x14ac:dyDescent="0.3">
      <c r="A145" s="466">
        <v>150000711</v>
      </c>
      <c r="B145" s="467" t="s">
        <v>279</v>
      </c>
      <c r="C145" s="468">
        <v>4538</v>
      </c>
      <c r="D145" s="469"/>
      <c r="E145" s="470">
        <v>39.799999999999997</v>
      </c>
      <c r="F145" s="470">
        <v>4577.8</v>
      </c>
      <c r="G145" s="471">
        <v>1389.0964733152182</v>
      </c>
      <c r="H145" s="471">
        <v>283.37002058416391</v>
      </c>
      <c r="I145" s="471">
        <v>571.29999999999995</v>
      </c>
      <c r="J145" s="471">
        <v>0</v>
      </c>
      <c r="K145" s="471">
        <v>107.87259182013038</v>
      </c>
      <c r="L145" s="471">
        <v>1061.7280940058984</v>
      </c>
      <c r="M145" s="572">
        <f t="shared" si="11"/>
        <v>0</v>
      </c>
      <c r="N145" s="471">
        <v>1631.1584660584488</v>
      </c>
      <c r="O145" s="471">
        <v>0</v>
      </c>
      <c r="P145" s="471">
        <v>0</v>
      </c>
      <c r="Q145" s="471">
        <v>1183.7720536170623</v>
      </c>
      <c r="R145" s="572">
        <f t="shared" si="12"/>
        <v>5725.0952464112588</v>
      </c>
      <c r="S145" s="471">
        <v>226.64338208884197</v>
      </c>
      <c r="T145" s="471">
        <v>365.2358995895471</v>
      </c>
      <c r="U145" s="471">
        <v>205.50287111767076</v>
      </c>
      <c r="V145" s="471">
        <v>0</v>
      </c>
      <c r="W145" s="471">
        <v>109.43236141333836</v>
      </c>
      <c r="X145" s="471">
        <v>166.44102889312117</v>
      </c>
      <c r="Y145" s="471">
        <v>0</v>
      </c>
      <c r="Z145" s="471">
        <v>3931.9027684673806</v>
      </c>
      <c r="AA145" s="471">
        <v>2106.6565129807218</v>
      </c>
      <c r="AB145" s="471">
        <v>633.19329887379513</v>
      </c>
      <c r="AC145" s="471">
        <v>49.022089749788933</v>
      </c>
      <c r="AD145" s="471">
        <v>6.0349163517732585</v>
      </c>
      <c r="AE145" s="471">
        <v>471.05771695933538</v>
      </c>
      <c r="AF145" s="471">
        <v>0</v>
      </c>
      <c r="AG145" s="471">
        <v>970.77675803027978</v>
      </c>
      <c r="AH145" s="685">
        <f t="shared" si="13"/>
        <v>20224.515792297494</v>
      </c>
      <c r="AI145" s="472">
        <f t="shared" si="14"/>
        <v>21195.292550327773</v>
      </c>
      <c r="AJ145" s="472"/>
      <c r="AK145" s="472"/>
      <c r="AL145" s="570">
        <v>163.35</v>
      </c>
      <c r="AM145" s="570">
        <v>5561.7452464112584</v>
      </c>
      <c r="AN145" s="566">
        <v>0</v>
      </c>
      <c r="AO145" s="566">
        <f t="shared" si="15"/>
        <v>5725.0952464112588</v>
      </c>
    </row>
    <row r="146" spans="1:41" x14ac:dyDescent="0.3">
      <c r="A146" s="466">
        <v>150000712</v>
      </c>
      <c r="B146" s="467" t="s">
        <v>280</v>
      </c>
      <c r="C146" s="468">
        <v>3208.93</v>
      </c>
      <c r="D146" s="469"/>
      <c r="E146" s="470"/>
      <c r="F146" s="470">
        <v>3208.93</v>
      </c>
      <c r="G146" s="471">
        <v>956.3293285930306</v>
      </c>
      <c r="H146" s="471">
        <v>190.26127237381124</v>
      </c>
      <c r="I146" s="471">
        <v>397.23</v>
      </c>
      <c r="J146" s="471">
        <v>0</v>
      </c>
      <c r="K146" s="471">
        <v>0</v>
      </c>
      <c r="L146" s="471">
        <v>619.36523646065348</v>
      </c>
      <c r="M146" s="572">
        <f t="shared" si="11"/>
        <v>0</v>
      </c>
      <c r="N146" s="471">
        <v>1143.4036734870326</v>
      </c>
      <c r="O146" s="471">
        <v>0</v>
      </c>
      <c r="P146" s="471">
        <v>0</v>
      </c>
      <c r="Q146" s="471">
        <v>828.64043753194358</v>
      </c>
      <c r="R146" s="572">
        <f t="shared" si="12"/>
        <v>3422.5536159644162</v>
      </c>
      <c r="S146" s="471">
        <v>156.04053712059772</v>
      </c>
      <c r="T146" s="471">
        <v>245.21278357122625</v>
      </c>
      <c r="U146" s="471">
        <v>147.52404836922557</v>
      </c>
      <c r="V146" s="471">
        <v>0</v>
      </c>
      <c r="W146" s="471">
        <v>0</v>
      </c>
      <c r="X146" s="471">
        <v>93.783626897587908</v>
      </c>
      <c r="Y146" s="471">
        <v>0</v>
      </c>
      <c r="Z146" s="471">
        <v>3809.7105636345495</v>
      </c>
      <c r="AA146" s="471">
        <v>1540.752188244621</v>
      </c>
      <c r="AB146" s="471">
        <v>503.66139270091003</v>
      </c>
      <c r="AC146" s="471">
        <v>24.511044874894466</v>
      </c>
      <c r="AD146" s="471">
        <v>3.0174581758866292</v>
      </c>
      <c r="AE146" s="471">
        <v>327.5566906008624</v>
      </c>
      <c r="AF146" s="471">
        <v>0</v>
      </c>
      <c r="AG146" s="471">
        <v>864.57323391607497</v>
      </c>
      <c r="AH146" s="685">
        <f t="shared" si="13"/>
        <v>14409.553898601251</v>
      </c>
      <c r="AI146" s="472">
        <f t="shared" si="14"/>
        <v>15274.127132517326</v>
      </c>
      <c r="AJ146" s="472"/>
      <c r="AK146" s="472"/>
      <c r="AL146" s="570">
        <v>99.5</v>
      </c>
      <c r="AM146" s="570">
        <v>3323.0536159644162</v>
      </c>
      <c r="AN146" s="566">
        <v>0</v>
      </c>
      <c r="AO146" s="566">
        <f t="shared" si="15"/>
        <v>3422.5536159644162</v>
      </c>
    </row>
    <row r="147" spans="1:41" x14ac:dyDescent="0.3">
      <c r="A147" s="466">
        <v>150000713</v>
      </c>
      <c r="B147" s="467" t="s">
        <v>281</v>
      </c>
      <c r="C147" s="468">
        <v>5131.2</v>
      </c>
      <c r="D147" s="469"/>
      <c r="E147" s="470">
        <v>1125.4000000000001</v>
      </c>
      <c r="F147" s="470">
        <v>6256.6</v>
      </c>
      <c r="G147" s="471">
        <v>1818.6630655479512</v>
      </c>
      <c r="H147" s="471">
        <v>378.17997483060384</v>
      </c>
      <c r="I147" s="471">
        <v>729.07</v>
      </c>
      <c r="J147" s="471">
        <v>0</v>
      </c>
      <c r="K147" s="471">
        <v>166.96127125803071</v>
      </c>
      <c r="L147" s="471">
        <v>1682.3652913147739</v>
      </c>
      <c r="M147" s="572">
        <f t="shared" si="11"/>
        <v>0</v>
      </c>
      <c r="N147" s="471">
        <v>2229.347297553692</v>
      </c>
      <c r="O147" s="471">
        <v>0</v>
      </c>
      <c r="P147" s="471">
        <v>0</v>
      </c>
      <c r="Q147" s="471">
        <v>1266.6360973702565</v>
      </c>
      <c r="R147" s="572">
        <f t="shared" si="12"/>
        <v>7685.0372296283613</v>
      </c>
      <c r="S147" s="471">
        <v>298.85430920380639</v>
      </c>
      <c r="T147" s="471">
        <v>487.42469535987755</v>
      </c>
      <c r="U147" s="471">
        <v>283.80813434453808</v>
      </c>
      <c r="V147" s="471">
        <v>0</v>
      </c>
      <c r="W147" s="471">
        <v>169.40589068738615</v>
      </c>
      <c r="X147" s="471">
        <v>260.84339930726316</v>
      </c>
      <c r="Y147" s="471">
        <v>0</v>
      </c>
      <c r="Z147" s="471">
        <v>5002.3428044952161</v>
      </c>
      <c r="AA147" s="471">
        <v>2708.1900785953162</v>
      </c>
      <c r="AB147" s="471">
        <v>948.93284001558777</v>
      </c>
      <c r="AC147" s="471">
        <v>73.533134624683399</v>
      </c>
      <c r="AD147" s="471">
        <v>9.0523745276598877</v>
      </c>
      <c r="AE147" s="471">
        <v>240.20823977396574</v>
      </c>
      <c r="AF147" s="471">
        <v>0</v>
      </c>
      <c r="AG147" s="471">
        <v>1205.6118394568168</v>
      </c>
      <c r="AH147" s="685">
        <f t="shared" si="13"/>
        <v>26438.856128438965</v>
      </c>
      <c r="AI147" s="472">
        <f t="shared" si="14"/>
        <v>27644.467967895784</v>
      </c>
      <c r="AJ147" s="472"/>
      <c r="AK147" s="472"/>
      <c r="AL147" s="570">
        <v>165.89</v>
      </c>
      <c r="AM147" s="570">
        <v>7519.1472296283609</v>
      </c>
      <c r="AN147" s="566">
        <v>0</v>
      </c>
      <c r="AO147" s="566">
        <f t="shared" si="15"/>
        <v>7685.0372296283613</v>
      </c>
    </row>
    <row r="148" spans="1:41" x14ac:dyDescent="0.3">
      <c r="A148" s="466">
        <v>150000714</v>
      </c>
      <c r="B148" s="467" t="s">
        <v>282</v>
      </c>
      <c r="C148" s="468">
        <v>2767.8</v>
      </c>
      <c r="D148" s="469"/>
      <c r="E148" s="470"/>
      <c r="F148" s="470">
        <v>2767.8</v>
      </c>
      <c r="G148" s="471">
        <v>879.69223989693592</v>
      </c>
      <c r="H148" s="471">
        <v>185.84747722611704</v>
      </c>
      <c r="I148" s="471">
        <v>340.68</v>
      </c>
      <c r="J148" s="471">
        <v>0</v>
      </c>
      <c r="K148" s="471">
        <v>0</v>
      </c>
      <c r="L148" s="471">
        <v>587.00719780989243</v>
      </c>
      <c r="M148" s="572">
        <f t="shared" si="11"/>
        <v>0</v>
      </c>
      <c r="N148" s="471">
        <v>986.22054313350839</v>
      </c>
      <c r="O148" s="471">
        <v>0</v>
      </c>
      <c r="P148" s="471">
        <v>0</v>
      </c>
      <c r="Q148" s="471">
        <v>355.13161608511865</v>
      </c>
      <c r="R148" s="572">
        <f t="shared" si="12"/>
        <v>3942.2354166094597</v>
      </c>
      <c r="S148" s="471">
        <v>146.81181237629167</v>
      </c>
      <c r="T148" s="471">
        <v>239.52674765127369</v>
      </c>
      <c r="U148" s="471">
        <v>125.89340677497562</v>
      </c>
      <c r="V148" s="471">
        <v>0</v>
      </c>
      <c r="W148" s="471">
        <v>0</v>
      </c>
      <c r="X148" s="471">
        <v>88.056980360418066</v>
      </c>
      <c r="Y148" s="471">
        <v>0</v>
      </c>
      <c r="Z148" s="471">
        <v>2962.7131359308983</v>
      </c>
      <c r="AA148" s="471">
        <v>1539.8052367191356</v>
      </c>
      <c r="AB148" s="471">
        <v>410.20580583106022</v>
      </c>
      <c r="AC148" s="471">
        <v>49.022089749788933</v>
      </c>
      <c r="AD148" s="471">
        <v>6.0349163517732585</v>
      </c>
      <c r="AE148" s="471">
        <v>817.33193273738982</v>
      </c>
      <c r="AF148" s="471">
        <v>0</v>
      </c>
      <c r="AG148" s="471">
        <v>327.89319732585687</v>
      </c>
      <c r="AH148" s="685">
        <f t="shared" si="13"/>
        <v>13662.216555244038</v>
      </c>
      <c r="AI148" s="472">
        <f t="shared" si="14"/>
        <v>13990.109752569895</v>
      </c>
      <c r="AJ148" s="472"/>
      <c r="AK148" s="472"/>
      <c r="AL148" s="570">
        <v>98.27</v>
      </c>
      <c r="AM148" s="570">
        <v>3843.9654166094597</v>
      </c>
      <c r="AN148" s="566">
        <v>0</v>
      </c>
      <c r="AO148" s="566">
        <f t="shared" si="15"/>
        <v>3942.2354166094597</v>
      </c>
    </row>
    <row r="149" spans="1:41" x14ac:dyDescent="0.3">
      <c r="A149" s="466">
        <v>150000715</v>
      </c>
      <c r="B149" s="467" t="s">
        <v>283</v>
      </c>
      <c r="C149" s="468">
        <v>4580.3</v>
      </c>
      <c r="D149" s="469"/>
      <c r="E149" s="470"/>
      <c r="F149" s="470">
        <v>4580.3</v>
      </c>
      <c r="G149" s="471">
        <v>1391.4482519165047</v>
      </c>
      <c r="H149" s="471">
        <v>283.6907229472921</v>
      </c>
      <c r="I149" s="471">
        <v>577.11</v>
      </c>
      <c r="J149" s="471">
        <v>0</v>
      </c>
      <c r="K149" s="471">
        <v>110.09115486531209</v>
      </c>
      <c r="L149" s="471">
        <v>1060.7069460824348</v>
      </c>
      <c r="M149" s="572">
        <f t="shared" si="11"/>
        <v>0</v>
      </c>
      <c r="N149" s="471">
        <v>1632.0492642945328</v>
      </c>
      <c r="O149" s="471">
        <v>0</v>
      </c>
      <c r="P149" s="471">
        <v>0</v>
      </c>
      <c r="Q149" s="471">
        <v>1183.7720536170623</v>
      </c>
      <c r="R149" s="572">
        <f t="shared" si="12"/>
        <v>5647.3004733799826</v>
      </c>
      <c r="S149" s="471">
        <v>227.169083222198</v>
      </c>
      <c r="T149" s="471">
        <v>365.65351602749274</v>
      </c>
      <c r="U149" s="471">
        <v>209.65651068058494</v>
      </c>
      <c r="V149" s="471">
        <v>0</v>
      </c>
      <c r="W149" s="471">
        <v>111.67168868821882</v>
      </c>
      <c r="X149" s="471">
        <v>167.13901080783566</v>
      </c>
      <c r="Y149" s="471">
        <v>0</v>
      </c>
      <c r="Z149" s="471">
        <v>3908.4351047083187</v>
      </c>
      <c r="AA149" s="471">
        <v>1960.875297410561</v>
      </c>
      <c r="AB149" s="471">
        <v>697.77592887807793</v>
      </c>
      <c r="AC149" s="471">
        <v>49.022089749788933</v>
      </c>
      <c r="AD149" s="471">
        <v>6.0349163517732585</v>
      </c>
      <c r="AE149" s="471">
        <v>447.6608104878452</v>
      </c>
      <c r="AF149" s="471">
        <v>0</v>
      </c>
      <c r="AG149" s="471">
        <v>865.60975400180314</v>
      </c>
      <c r="AH149" s="685">
        <f t="shared" si="13"/>
        <v>20037.262824115816</v>
      </c>
      <c r="AI149" s="472">
        <f t="shared" si="14"/>
        <v>20902.872578117618</v>
      </c>
      <c r="AJ149" s="472"/>
      <c r="AK149" s="472"/>
      <c r="AL149" s="570">
        <v>163.35</v>
      </c>
      <c r="AM149" s="570">
        <v>5483.9504733799822</v>
      </c>
      <c r="AN149" s="566">
        <v>0</v>
      </c>
      <c r="AO149" s="566">
        <f t="shared" si="15"/>
        <v>5647.3004733799826</v>
      </c>
    </row>
    <row r="150" spans="1:41" x14ac:dyDescent="0.3">
      <c r="A150" s="466">
        <v>150000716</v>
      </c>
      <c r="B150" s="467" t="s">
        <v>285</v>
      </c>
      <c r="C150" s="468">
        <v>2685</v>
      </c>
      <c r="D150" s="469"/>
      <c r="E150" s="470">
        <v>486.42</v>
      </c>
      <c r="F150" s="470">
        <v>3171.42</v>
      </c>
      <c r="G150" s="471">
        <v>1042.1321625692178</v>
      </c>
      <c r="H150" s="471">
        <v>190.21187385170123</v>
      </c>
      <c r="I150" s="471">
        <v>387.32</v>
      </c>
      <c r="J150" s="471">
        <v>0</v>
      </c>
      <c r="K150" s="471">
        <v>0</v>
      </c>
      <c r="L150" s="471">
        <v>611.68618225342698</v>
      </c>
      <c r="M150" s="572">
        <f t="shared" si="11"/>
        <v>0</v>
      </c>
      <c r="N150" s="471">
        <v>1130.0381367528257</v>
      </c>
      <c r="O150" s="471">
        <v>0</v>
      </c>
      <c r="P150" s="471">
        <v>0</v>
      </c>
      <c r="Q150" s="471">
        <v>710.2632321702373</v>
      </c>
      <c r="R150" s="572">
        <f t="shared" si="12"/>
        <v>3921.1776530273901</v>
      </c>
      <c r="S150" s="471">
        <v>183.04418070897029</v>
      </c>
      <c r="T150" s="471">
        <v>245.15933385811405</v>
      </c>
      <c r="U150" s="471">
        <v>153.95721267936585</v>
      </c>
      <c r="V150" s="471">
        <v>0</v>
      </c>
      <c r="W150" s="471">
        <v>0</v>
      </c>
      <c r="X150" s="471">
        <v>100.27700934813392</v>
      </c>
      <c r="Y150" s="471">
        <v>0</v>
      </c>
      <c r="Z150" s="471">
        <v>1340.924036598359</v>
      </c>
      <c r="AA150" s="471">
        <v>1766.1289591125817</v>
      </c>
      <c r="AB150" s="471">
        <v>509.57669182818165</v>
      </c>
      <c r="AC150" s="471">
        <v>161.60131886017919</v>
      </c>
      <c r="AD150" s="471">
        <v>19.894101753620546</v>
      </c>
      <c r="AE150" s="471">
        <v>474.17730448886743</v>
      </c>
      <c r="AF150" s="471">
        <v>0</v>
      </c>
      <c r="AG150" s="471">
        <v>776.85416339167045</v>
      </c>
      <c r="AH150" s="685">
        <f t="shared" si="13"/>
        <v>12947.569389861173</v>
      </c>
      <c r="AI150" s="472">
        <f t="shared" si="14"/>
        <v>13724.423553252844</v>
      </c>
      <c r="AJ150" s="472"/>
      <c r="AK150" s="472"/>
      <c r="AL150" s="570">
        <v>81.96</v>
      </c>
      <c r="AM150" s="570">
        <v>3839.21765302739</v>
      </c>
      <c r="AN150" s="566">
        <v>0</v>
      </c>
      <c r="AO150" s="566">
        <f t="shared" si="15"/>
        <v>3921.1776530273901</v>
      </c>
    </row>
    <row r="151" spans="1:41" x14ac:dyDescent="0.3">
      <c r="A151" s="466">
        <v>150000717</v>
      </c>
      <c r="B151" s="467" t="s">
        <v>286</v>
      </c>
      <c r="C151" s="468">
        <v>2595.6999999999998</v>
      </c>
      <c r="D151" s="469"/>
      <c r="E151" s="470">
        <v>569.6</v>
      </c>
      <c r="F151" s="470">
        <v>3165.2999999999997</v>
      </c>
      <c r="G151" s="471">
        <v>1023.2087993925998</v>
      </c>
      <c r="H151" s="471">
        <v>190.21187385170123</v>
      </c>
      <c r="I151" s="471">
        <v>386.19</v>
      </c>
      <c r="J151" s="471">
        <v>0</v>
      </c>
      <c r="K151" s="471">
        <v>0</v>
      </c>
      <c r="L151" s="471">
        <v>611.90653737736443</v>
      </c>
      <c r="M151" s="572">
        <f t="shared" si="11"/>
        <v>0</v>
      </c>
      <c r="N151" s="471">
        <v>1127.8574626708914</v>
      </c>
      <c r="O151" s="471">
        <v>0</v>
      </c>
      <c r="P151" s="471">
        <v>0</v>
      </c>
      <c r="Q151" s="471">
        <v>674.75007056172547</v>
      </c>
      <c r="R151" s="572">
        <f t="shared" si="12"/>
        <v>3582.2609458700131</v>
      </c>
      <c r="S151" s="471">
        <v>181.94896258277311</v>
      </c>
      <c r="T151" s="471">
        <v>245.15933385811405</v>
      </c>
      <c r="U151" s="471">
        <v>155.19440970105759</v>
      </c>
      <c r="V151" s="471">
        <v>0</v>
      </c>
      <c r="W151" s="471">
        <v>0</v>
      </c>
      <c r="X151" s="471">
        <v>100.3124765476657</v>
      </c>
      <c r="Y151" s="471">
        <v>0</v>
      </c>
      <c r="Z151" s="471">
        <v>2478.6605748590305</v>
      </c>
      <c r="AA151" s="471">
        <v>1744.4850776053909</v>
      </c>
      <c r="AB151" s="471">
        <v>509.57669182818165</v>
      </c>
      <c r="AC151" s="471">
        <v>156.87068719932458</v>
      </c>
      <c r="AD151" s="471">
        <v>19.311732325674427</v>
      </c>
      <c r="AE151" s="471">
        <v>547.48761143286993</v>
      </c>
      <c r="AF151" s="471">
        <v>0</v>
      </c>
      <c r="AG151" s="471">
        <v>824.12359485986281</v>
      </c>
      <c r="AH151" s="685">
        <f t="shared" si="13"/>
        <v>13735.393247664375</v>
      </c>
      <c r="AI151" s="472">
        <f t="shared" si="14"/>
        <v>14559.516842524237</v>
      </c>
      <c r="AJ151" s="472"/>
      <c r="AK151" s="472"/>
      <c r="AL151" s="570">
        <v>130.86000000000001</v>
      </c>
      <c r="AM151" s="570">
        <v>3451.4009458700129</v>
      </c>
      <c r="AN151" s="566">
        <v>0</v>
      </c>
      <c r="AO151" s="566">
        <f t="shared" si="15"/>
        <v>3582.2609458700131</v>
      </c>
    </row>
    <row r="152" spans="1:41" x14ac:dyDescent="0.3">
      <c r="A152" s="466">
        <v>150000718</v>
      </c>
      <c r="B152" s="467" t="s">
        <v>287</v>
      </c>
      <c r="C152" s="468">
        <v>4456.6000000000004</v>
      </c>
      <c r="D152" s="469"/>
      <c r="E152" s="470"/>
      <c r="F152" s="470">
        <v>4456.6000000000004</v>
      </c>
      <c r="G152" s="471">
        <v>1327.909464807394</v>
      </c>
      <c r="H152" s="471">
        <v>281.29875450816337</v>
      </c>
      <c r="I152" s="471">
        <v>550.53</v>
      </c>
      <c r="J152" s="471">
        <v>0</v>
      </c>
      <c r="K152" s="471">
        <v>107.87259182013038</v>
      </c>
      <c r="L152" s="471">
        <v>1133.6246756158848</v>
      </c>
      <c r="M152" s="572">
        <f t="shared" si="11"/>
        <v>0</v>
      </c>
      <c r="N152" s="471">
        <v>1587.9725675730881</v>
      </c>
      <c r="O152" s="471">
        <v>0</v>
      </c>
      <c r="P152" s="471">
        <v>0</v>
      </c>
      <c r="Q152" s="471">
        <v>639.23690895321363</v>
      </c>
      <c r="R152" s="572">
        <f t="shared" si="12"/>
        <v>5124.810696562492</v>
      </c>
      <c r="S152" s="471">
        <v>220.82657619344522</v>
      </c>
      <c r="T152" s="471">
        <v>362.55073545216993</v>
      </c>
      <c r="U152" s="471">
        <v>206.31142749064364</v>
      </c>
      <c r="V152" s="471">
        <v>0</v>
      </c>
      <c r="W152" s="471">
        <v>109.43236141333836</v>
      </c>
      <c r="X152" s="471">
        <v>162.35934207418234</v>
      </c>
      <c r="Y152" s="471">
        <v>0</v>
      </c>
      <c r="Z152" s="471">
        <v>4056.5235100825171</v>
      </c>
      <c r="AA152" s="471">
        <v>2166.1792722753103</v>
      </c>
      <c r="AB152" s="471">
        <v>638.77170539459428</v>
      </c>
      <c r="AC152" s="471">
        <v>206.3829978466114</v>
      </c>
      <c r="AD152" s="471">
        <v>25.406997840965424</v>
      </c>
      <c r="AE152" s="471">
        <v>783.01646991253767</v>
      </c>
      <c r="AF152" s="471">
        <v>0</v>
      </c>
      <c r="AG152" s="471">
        <v>1181.4610233490009</v>
      </c>
      <c r="AH152" s="685">
        <f t="shared" si="13"/>
        <v>19691.017055816683</v>
      </c>
      <c r="AI152" s="472">
        <f t="shared" si="14"/>
        <v>20872.478079165685</v>
      </c>
      <c r="AJ152" s="472"/>
      <c r="AK152" s="472"/>
      <c r="AL152" s="570">
        <v>147.07</v>
      </c>
      <c r="AM152" s="570">
        <v>4977.7406965624923</v>
      </c>
      <c r="AN152" s="566">
        <v>0</v>
      </c>
      <c r="AO152" s="566">
        <f t="shared" si="15"/>
        <v>5124.810696562492</v>
      </c>
    </row>
    <row r="153" spans="1:41" x14ac:dyDescent="0.3">
      <c r="A153" s="466">
        <v>150000719</v>
      </c>
      <c r="B153" s="467" t="s">
        <v>284</v>
      </c>
      <c r="C153" s="468">
        <v>5975.2</v>
      </c>
      <c r="D153" s="469"/>
      <c r="E153" s="470">
        <v>235.9</v>
      </c>
      <c r="F153" s="470">
        <v>6211.0999999999995</v>
      </c>
      <c r="G153" s="471">
        <v>1820.5328886786879</v>
      </c>
      <c r="H153" s="471">
        <v>378.45123782629702</v>
      </c>
      <c r="I153" s="471">
        <v>752.54</v>
      </c>
      <c r="J153" s="471">
        <v>0</v>
      </c>
      <c r="K153" s="471">
        <v>166.96127125803071</v>
      </c>
      <c r="L153" s="471">
        <v>1722.3827636376486</v>
      </c>
      <c r="M153" s="572">
        <f t="shared" si="11"/>
        <v>0</v>
      </c>
      <c r="N153" s="471">
        <v>2213.1347696569596</v>
      </c>
      <c r="O153" s="471">
        <v>0</v>
      </c>
      <c r="P153" s="471">
        <v>0</v>
      </c>
      <c r="Q153" s="471">
        <v>1503.390508093669</v>
      </c>
      <c r="R153" s="572">
        <f t="shared" si="12"/>
        <v>6479.1331182647073</v>
      </c>
      <c r="S153" s="471">
        <v>299.28233968193547</v>
      </c>
      <c r="T153" s="471">
        <v>487.7646325448934</v>
      </c>
      <c r="U153" s="471">
        <v>284.30287915234493</v>
      </c>
      <c r="V153" s="471">
        <v>0</v>
      </c>
      <c r="W153" s="471">
        <v>169.40589068738615</v>
      </c>
      <c r="X153" s="471">
        <v>271.49675065849686</v>
      </c>
      <c r="Y153" s="471">
        <v>0</v>
      </c>
      <c r="Z153" s="471">
        <v>6192.3034993160954</v>
      </c>
      <c r="AA153" s="471">
        <v>2919.8153588673244</v>
      </c>
      <c r="AB153" s="471">
        <v>1034.9076789571905</v>
      </c>
      <c r="AC153" s="471">
        <v>296.14244417847493</v>
      </c>
      <c r="AD153" s="471">
        <v>36.456929681062256</v>
      </c>
      <c r="AE153" s="471">
        <v>1545.7556208831172</v>
      </c>
      <c r="AF153" s="471">
        <v>0</v>
      </c>
      <c r="AG153" s="471">
        <v>1371.5597079371673</v>
      </c>
      <c r="AH153" s="685">
        <f t="shared" si="13"/>
        <v>28574.16058202432</v>
      </c>
      <c r="AI153" s="472">
        <f t="shared" si="14"/>
        <v>29945.720289961486</v>
      </c>
      <c r="AJ153" s="472"/>
      <c r="AK153" s="472"/>
      <c r="AL153" s="570">
        <v>118.47</v>
      </c>
      <c r="AM153" s="570">
        <v>6360.663118264707</v>
      </c>
      <c r="AN153" s="566">
        <v>0</v>
      </c>
      <c r="AO153" s="566">
        <f t="shared" si="15"/>
        <v>6479.1331182647073</v>
      </c>
    </row>
    <row r="154" spans="1:41" x14ac:dyDescent="0.3">
      <c r="A154" s="466">
        <v>150000720</v>
      </c>
      <c r="B154" s="467" t="s">
        <v>288</v>
      </c>
      <c r="C154" s="468">
        <v>3569.1</v>
      </c>
      <c r="D154" s="469"/>
      <c r="E154" s="470">
        <v>101</v>
      </c>
      <c r="F154" s="470">
        <v>3670.1</v>
      </c>
      <c r="G154" s="471">
        <v>897.69083998938152</v>
      </c>
      <c r="H154" s="471">
        <v>182.46925384843564</v>
      </c>
      <c r="I154" s="471">
        <v>437.11</v>
      </c>
      <c r="J154" s="471">
        <v>110.37</v>
      </c>
      <c r="K154" s="471">
        <v>0</v>
      </c>
      <c r="L154" s="471">
        <v>378.62332401311141</v>
      </c>
      <c r="M154" s="572">
        <f t="shared" si="11"/>
        <v>0</v>
      </c>
      <c r="N154" s="471">
        <v>1307.7274425010075</v>
      </c>
      <c r="O154" s="471">
        <v>0</v>
      </c>
      <c r="P154" s="471">
        <v>0</v>
      </c>
      <c r="Q154" s="471">
        <v>228.86259703263201</v>
      </c>
      <c r="R154" s="572">
        <f t="shared" si="12"/>
        <v>2555.159785474304</v>
      </c>
      <c r="S154" s="471">
        <v>152.37414712234946</v>
      </c>
      <c r="T154" s="471">
        <v>235.17119945276332</v>
      </c>
      <c r="U154" s="471">
        <v>188.25356238448089</v>
      </c>
      <c r="V154" s="471">
        <v>112.92768791997014</v>
      </c>
      <c r="W154" s="471">
        <v>0</v>
      </c>
      <c r="X154" s="471">
        <v>94.319214922915421</v>
      </c>
      <c r="Y154" s="471">
        <v>0</v>
      </c>
      <c r="Z154" s="471">
        <v>3434.1944816533505</v>
      </c>
      <c r="AA154" s="471">
        <v>1682.2733522782939</v>
      </c>
      <c r="AB154" s="471">
        <v>480.0597033075166</v>
      </c>
      <c r="AC154" s="471">
        <v>204.32407007712027</v>
      </c>
      <c r="AD154" s="471">
        <v>25.153531354190942</v>
      </c>
      <c r="AE154" s="471">
        <v>1193.2422300459987</v>
      </c>
      <c r="AF154" s="471">
        <v>0</v>
      </c>
      <c r="AG154" s="471">
        <v>834.01838540266954</v>
      </c>
      <c r="AH154" s="685">
        <f t="shared" si="13"/>
        <v>13900.306423377822</v>
      </c>
      <c r="AI154" s="472">
        <f t="shared" si="14"/>
        <v>14734.324808780491</v>
      </c>
      <c r="AJ154" s="472"/>
      <c r="AK154" s="472"/>
      <c r="AL154" s="570">
        <v>88.24</v>
      </c>
      <c r="AM154" s="570">
        <v>2466.9197854743043</v>
      </c>
      <c r="AN154" s="566">
        <v>0</v>
      </c>
      <c r="AO154" s="566">
        <f t="shared" si="15"/>
        <v>2555.159785474304</v>
      </c>
    </row>
    <row r="155" spans="1:41" x14ac:dyDescent="0.3">
      <c r="A155" s="466">
        <v>150000721</v>
      </c>
      <c r="B155" s="467" t="s">
        <v>218</v>
      </c>
      <c r="C155" s="468">
        <v>2723.3</v>
      </c>
      <c r="D155" s="469"/>
      <c r="E155" s="470">
        <v>68.599999999999994</v>
      </c>
      <c r="F155" s="470">
        <v>2791.9</v>
      </c>
      <c r="G155" s="471">
        <v>881.38756599671683</v>
      </c>
      <c r="H155" s="471">
        <v>123.75844416963699</v>
      </c>
      <c r="I155" s="471">
        <v>312.66000000000003</v>
      </c>
      <c r="J155" s="471">
        <v>0</v>
      </c>
      <c r="K155" s="471">
        <v>0</v>
      </c>
      <c r="L155" s="471">
        <v>386.55027073225256</v>
      </c>
      <c r="M155" s="572">
        <f t="shared" si="11"/>
        <v>0</v>
      </c>
      <c r="N155" s="471">
        <v>994.80783812935977</v>
      </c>
      <c r="O155" s="471">
        <v>0</v>
      </c>
      <c r="P155" s="471">
        <v>0</v>
      </c>
      <c r="Q155" s="471">
        <v>816.80271699577293</v>
      </c>
      <c r="R155" s="572">
        <f t="shared" si="12"/>
        <v>2637.446074407279</v>
      </c>
      <c r="S155" s="471">
        <v>138.3933635151181</v>
      </c>
      <c r="T155" s="471">
        <v>159.50965981279245</v>
      </c>
      <c r="U155" s="471">
        <v>173.06441722151624</v>
      </c>
      <c r="V155" s="471">
        <v>0</v>
      </c>
      <c r="W155" s="471">
        <v>0</v>
      </c>
      <c r="X155" s="471">
        <v>56.616278627634784</v>
      </c>
      <c r="Y155" s="471">
        <v>0</v>
      </c>
      <c r="Z155" s="471">
        <v>2977.9135633227797</v>
      </c>
      <c r="AA155" s="471">
        <v>1467.5830173698432</v>
      </c>
      <c r="AB155" s="471">
        <v>951.29773179828783</v>
      </c>
      <c r="AC155" s="471">
        <v>0</v>
      </c>
      <c r="AD155" s="471">
        <v>0</v>
      </c>
      <c r="AE155" s="471">
        <v>170.01752035949522</v>
      </c>
      <c r="AF155" s="471">
        <v>0</v>
      </c>
      <c r="AG155" s="471">
        <v>367.43425387375464</v>
      </c>
      <c r="AH155" s="685">
        <f t="shared" si="13"/>
        <v>12247.808462458484</v>
      </c>
      <c r="AI155" s="472">
        <f t="shared" si="14"/>
        <v>12615.242716332239</v>
      </c>
      <c r="AJ155" s="472"/>
      <c r="AK155" s="472"/>
      <c r="AL155" s="570">
        <v>171.06</v>
      </c>
      <c r="AM155" s="570">
        <v>2466.386074407279</v>
      </c>
      <c r="AN155" s="566">
        <v>0</v>
      </c>
      <c r="AO155" s="566">
        <f t="shared" si="15"/>
        <v>2637.446074407279</v>
      </c>
    </row>
    <row r="156" spans="1:41" x14ac:dyDescent="0.3">
      <c r="A156" s="466">
        <v>150000722</v>
      </c>
      <c r="B156" s="467" t="s">
        <v>274</v>
      </c>
      <c r="C156" s="468">
        <v>3559.5</v>
      </c>
      <c r="D156" s="469"/>
      <c r="E156" s="470"/>
      <c r="F156" s="470">
        <v>3559.5</v>
      </c>
      <c r="G156" s="471">
        <v>1016.9301816883667</v>
      </c>
      <c r="H156" s="471">
        <v>172.60596924705948</v>
      </c>
      <c r="I156" s="471">
        <v>406.5</v>
      </c>
      <c r="J156" s="471">
        <v>0</v>
      </c>
      <c r="K156" s="471">
        <v>0</v>
      </c>
      <c r="L156" s="471">
        <v>729.41644233299576</v>
      </c>
      <c r="M156" s="572">
        <f t="shared" si="11"/>
        <v>0</v>
      </c>
      <c r="N156" s="471">
        <v>1268.3185285366437</v>
      </c>
      <c r="O156" s="471">
        <v>0</v>
      </c>
      <c r="P156" s="471">
        <v>0</v>
      </c>
      <c r="Q156" s="471">
        <v>947.01764289364974</v>
      </c>
      <c r="R156" s="572">
        <f t="shared" si="12"/>
        <v>4817.288326851296</v>
      </c>
      <c r="S156" s="471">
        <v>161.7351427124832</v>
      </c>
      <c r="T156" s="471">
        <v>222.44441035159772</v>
      </c>
      <c r="U156" s="471">
        <v>234.98659368582938</v>
      </c>
      <c r="V156" s="471">
        <v>0</v>
      </c>
      <c r="W156" s="471">
        <v>0</v>
      </c>
      <c r="X156" s="471">
        <v>89.755690102530579</v>
      </c>
      <c r="Y156" s="471">
        <v>0</v>
      </c>
      <c r="Z156" s="471">
        <v>2052.5659556832015</v>
      </c>
      <c r="AA156" s="471">
        <v>1461.4408924305224</v>
      </c>
      <c r="AB156" s="471">
        <v>961.04082376091037</v>
      </c>
      <c r="AC156" s="471">
        <v>152.89989792959165</v>
      </c>
      <c r="AD156" s="471">
        <v>18.822904101180793</v>
      </c>
      <c r="AE156" s="471">
        <v>155.97937647660115</v>
      </c>
      <c r="AF156" s="471">
        <v>0</v>
      </c>
      <c r="AG156" s="471">
        <v>535.31095603624055</v>
      </c>
      <c r="AH156" s="685">
        <f t="shared" si="13"/>
        <v>14869.74877878446</v>
      </c>
      <c r="AI156" s="472">
        <f t="shared" si="14"/>
        <v>15405.059734820701</v>
      </c>
      <c r="AJ156" s="472"/>
      <c r="AK156" s="472"/>
      <c r="AL156" s="570">
        <v>98.29</v>
      </c>
      <c r="AM156" s="570">
        <v>4718.998326851296</v>
      </c>
      <c r="AN156" s="566">
        <v>0</v>
      </c>
      <c r="AO156" s="566">
        <f t="shared" si="15"/>
        <v>4817.288326851296</v>
      </c>
    </row>
    <row r="157" spans="1:41" x14ac:dyDescent="0.3">
      <c r="A157" s="466">
        <v>150000723</v>
      </c>
      <c r="B157" s="467" t="s">
        <v>275</v>
      </c>
      <c r="C157" s="468">
        <v>3575.2</v>
      </c>
      <c r="D157" s="469"/>
      <c r="E157" s="470"/>
      <c r="F157" s="470">
        <v>3575.2</v>
      </c>
      <c r="G157" s="471">
        <v>1017.0076215033849</v>
      </c>
      <c r="H157" s="471">
        <v>172.60596924705948</v>
      </c>
      <c r="I157" s="471">
        <v>410.14</v>
      </c>
      <c r="J157" s="471">
        <v>0</v>
      </c>
      <c r="K157" s="471">
        <v>0</v>
      </c>
      <c r="L157" s="471">
        <v>637.87943712877382</v>
      </c>
      <c r="M157" s="572">
        <f t="shared" si="11"/>
        <v>0</v>
      </c>
      <c r="N157" s="471">
        <v>1273.9127414592524</v>
      </c>
      <c r="O157" s="471">
        <v>0</v>
      </c>
      <c r="P157" s="471">
        <v>0</v>
      </c>
      <c r="Q157" s="471">
        <v>947.01764289364974</v>
      </c>
      <c r="R157" s="572">
        <f t="shared" si="12"/>
        <v>4826.7145078622088</v>
      </c>
      <c r="S157" s="471">
        <v>161.76319254251757</v>
      </c>
      <c r="T157" s="471">
        <v>222.44441035159772</v>
      </c>
      <c r="U157" s="471">
        <v>236.39588253679813</v>
      </c>
      <c r="V157" s="471">
        <v>0</v>
      </c>
      <c r="W157" s="471">
        <v>0</v>
      </c>
      <c r="X157" s="471">
        <v>89.759052147660768</v>
      </c>
      <c r="Y157" s="471">
        <v>0</v>
      </c>
      <c r="Z157" s="471">
        <v>2422.5495117876717</v>
      </c>
      <c r="AA157" s="471">
        <v>1578.6424604546442</v>
      </c>
      <c r="AB157" s="471">
        <v>1000.0222908852101</v>
      </c>
      <c r="AC157" s="471">
        <v>211.08911846259113</v>
      </c>
      <c r="AD157" s="471">
        <v>25.98634981073565</v>
      </c>
      <c r="AE157" s="471">
        <v>377.4700910733747</v>
      </c>
      <c r="AF157" s="471">
        <v>0</v>
      </c>
      <c r="AG157" s="471">
        <v>655.67881176617948</v>
      </c>
      <c r="AH157" s="685">
        <f t="shared" si="13"/>
        <v>15611.400280147134</v>
      </c>
      <c r="AI157" s="472">
        <f t="shared" si="14"/>
        <v>16267.079091913314</v>
      </c>
      <c r="AJ157" s="472"/>
      <c r="AK157" s="472"/>
      <c r="AL157" s="570">
        <v>115.36</v>
      </c>
      <c r="AM157" s="570">
        <v>4711.3545078622092</v>
      </c>
      <c r="AN157" s="566">
        <v>0</v>
      </c>
      <c r="AO157" s="566">
        <f t="shared" si="15"/>
        <v>4826.7145078622088</v>
      </c>
    </row>
    <row r="158" spans="1:41" x14ac:dyDescent="0.3">
      <c r="A158" s="466">
        <v>150000724</v>
      </c>
      <c r="B158" s="467" t="s">
        <v>276</v>
      </c>
      <c r="C158" s="468">
        <v>3564.2</v>
      </c>
      <c r="D158" s="469"/>
      <c r="E158" s="470"/>
      <c r="F158" s="470">
        <v>3564.2</v>
      </c>
      <c r="G158" s="471">
        <v>1017.3905576336454</v>
      </c>
      <c r="H158" s="471">
        <v>172.60596924705948</v>
      </c>
      <c r="I158" s="471">
        <v>410.14</v>
      </c>
      <c r="J158" s="471">
        <v>0</v>
      </c>
      <c r="K158" s="471">
        <v>0</v>
      </c>
      <c r="L158" s="471">
        <v>637.87943712877382</v>
      </c>
      <c r="M158" s="572">
        <f t="shared" si="11"/>
        <v>0</v>
      </c>
      <c r="N158" s="471">
        <v>1269.9932292204819</v>
      </c>
      <c r="O158" s="471">
        <v>0</v>
      </c>
      <c r="P158" s="471">
        <v>0</v>
      </c>
      <c r="Q158" s="471">
        <v>947.01764289364974</v>
      </c>
      <c r="R158" s="572">
        <f t="shared" si="12"/>
        <v>4391.5315737902692</v>
      </c>
      <c r="S158" s="471">
        <v>161.73768957262746</v>
      </c>
      <c r="T158" s="471">
        <v>222.44441035159772</v>
      </c>
      <c r="U158" s="471">
        <v>236.39588253679813</v>
      </c>
      <c r="V158" s="471">
        <v>0</v>
      </c>
      <c r="W158" s="471">
        <v>0</v>
      </c>
      <c r="X158" s="471">
        <v>89.759052147660768</v>
      </c>
      <c r="Y158" s="471">
        <v>0</v>
      </c>
      <c r="Z158" s="471">
        <v>2292.8981552576756</v>
      </c>
      <c r="AA158" s="471">
        <v>1529.1528890096697</v>
      </c>
      <c r="AB158" s="471">
        <v>995.66456915331332</v>
      </c>
      <c r="AC158" s="471">
        <v>175.40103712474482</v>
      </c>
      <c r="AD158" s="471">
        <v>21.592930706644722</v>
      </c>
      <c r="AE158" s="471">
        <v>639.51544355406463</v>
      </c>
      <c r="AF158" s="471">
        <v>0</v>
      </c>
      <c r="AG158" s="471">
        <v>912.66722815972071</v>
      </c>
      <c r="AH158" s="685">
        <f t="shared" si="13"/>
        <v>15211.120469328676</v>
      </c>
      <c r="AI158" s="472">
        <f t="shared" si="14"/>
        <v>16123.787697488397</v>
      </c>
      <c r="AJ158" s="472"/>
      <c r="AK158" s="472"/>
      <c r="AL158" s="570">
        <v>98.24</v>
      </c>
      <c r="AM158" s="570">
        <v>4293.2915737902695</v>
      </c>
      <c r="AN158" s="566">
        <v>0</v>
      </c>
      <c r="AO158" s="566">
        <f t="shared" si="15"/>
        <v>4391.5315737902692</v>
      </c>
    </row>
    <row r="159" spans="1:41" x14ac:dyDescent="0.3">
      <c r="A159" s="466">
        <v>150000725</v>
      </c>
      <c r="B159" s="467" t="s">
        <v>277</v>
      </c>
      <c r="C159" s="468">
        <v>3571.96</v>
      </c>
      <c r="D159" s="469"/>
      <c r="E159" s="470"/>
      <c r="F159" s="470">
        <v>3571.96</v>
      </c>
      <c r="G159" s="471">
        <v>1016.9818490770372</v>
      </c>
      <c r="H159" s="471">
        <v>172.60596924705948</v>
      </c>
      <c r="I159" s="471">
        <v>405.76</v>
      </c>
      <c r="J159" s="471">
        <v>0</v>
      </c>
      <c r="K159" s="471">
        <v>0</v>
      </c>
      <c r="L159" s="471">
        <v>637.87943712877382</v>
      </c>
      <c r="M159" s="572">
        <f t="shared" si="11"/>
        <v>0</v>
      </c>
      <c r="N159" s="471">
        <v>1272.7582669452872</v>
      </c>
      <c r="O159" s="471">
        <v>0</v>
      </c>
      <c r="P159" s="471">
        <v>0</v>
      </c>
      <c r="Q159" s="471">
        <v>947.01764289364974</v>
      </c>
      <c r="R159" s="572">
        <f t="shared" si="12"/>
        <v>4811.0862111160404</v>
      </c>
      <c r="S159" s="471">
        <v>161.73768957262746</v>
      </c>
      <c r="T159" s="471">
        <v>222.44441035159772</v>
      </c>
      <c r="U159" s="471">
        <v>234.69993902206198</v>
      </c>
      <c r="V159" s="471">
        <v>0</v>
      </c>
      <c r="W159" s="471">
        <v>0</v>
      </c>
      <c r="X159" s="471">
        <v>89.759052147660768</v>
      </c>
      <c r="Y159" s="471">
        <v>0</v>
      </c>
      <c r="Z159" s="471">
        <v>3098.279243191002</v>
      </c>
      <c r="AA159" s="471">
        <v>1560.3610306660171</v>
      </c>
      <c r="AB159" s="471">
        <v>875.66452010535784</v>
      </c>
      <c r="AC159" s="471">
        <v>174.86179413749713</v>
      </c>
      <c r="AD159" s="471">
        <v>21.526546626775215</v>
      </c>
      <c r="AE159" s="471">
        <v>616.11853708257445</v>
      </c>
      <c r="AF159" s="471">
        <v>0</v>
      </c>
      <c r="AG159" s="471">
        <v>626.67041814954325</v>
      </c>
      <c r="AH159" s="685">
        <f t="shared" si="13"/>
        <v>16319.542139311025</v>
      </c>
      <c r="AI159" s="472">
        <f t="shared" si="14"/>
        <v>16946.212557460567</v>
      </c>
      <c r="AJ159" s="472"/>
      <c r="AK159" s="472"/>
      <c r="AL159" s="570">
        <v>98.24</v>
      </c>
      <c r="AM159" s="570">
        <v>4712.8462111160406</v>
      </c>
      <c r="AN159" s="566">
        <v>0</v>
      </c>
      <c r="AO159" s="566">
        <f t="shared" si="15"/>
        <v>4811.0862111160404</v>
      </c>
    </row>
    <row r="160" spans="1:41" x14ac:dyDescent="0.3">
      <c r="A160" s="466">
        <v>150000726</v>
      </c>
      <c r="B160" s="467" t="s">
        <v>183</v>
      </c>
      <c r="C160" s="468">
        <v>409.7</v>
      </c>
      <c r="D160" s="469"/>
      <c r="E160" s="470"/>
      <c r="F160" s="470">
        <v>409.7</v>
      </c>
      <c r="G160" s="471">
        <v>163.66135172087928</v>
      </c>
      <c r="H160" s="471">
        <v>27.9622758299693</v>
      </c>
      <c r="I160" s="471">
        <v>47.75</v>
      </c>
      <c r="J160" s="471">
        <v>0</v>
      </c>
      <c r="K160" s="471">
        <v>0</v>
      </c>
      <c r="L160" s="471">
        <v>80.359004089472322</v>
      </c>
      <c r="M160" s="572">
        <f t="shared" si="11"/>
        <v>0</v>
      </c>
      <c r="N160" s="471">
        <v>145.98401492947406</v>
      </c>
      <c r="O160" s="471">
        <v>0</v>
      </c>
      <c r="P160" s="471">
        <v>0</v>
      </c>
      <c r="Q160" s="471">
        <v>94.701764289364974</v>
      </c>
      <c r="R160" s="572">
        <f t="shared" si="12"/>
        <v>465.83694795112859</v>
      </c>
      <c r="S160" s="471">
        <v>27.523621395901053</v>
      </c>
      <c r="T160" s="471">
        <v>36.04386687945734</v>
      </c>
      <c r="U160" s="471">
        <v>23.888722067063025</v>
      </c>
      <c r="V160" s="471">
        <v>0</v>
      </c>
      <c r="W160" s="471">
        <v>0</v>
      </c>
      <c r="X160" s="471">
        <v>6.5655994250196654</v>
      </c>
      <c r="Y160" s="471">
        <v>0</v>
      </c>
      <c r="Z160" s="471">
        <v>487.63842136081018</v>
      </c>
      <c r="AA160" s="471">
        <v>290.94966845325627</v>
      </c>
      <c r="AB160" s="471">
        <v>91.613618610373763</v>
      </c>
      <c r="AC160" s="471">
        <v>0</v>
      </c>
      <c r="AD160" s="471">
        <v>0</v>
      </c>
      <c r="AE160" s="471">
        <v>57.712369296342416</v>
      </c>
      <c r="AF160" s="471">
        <v>0</v>
      </c>
      <c r="AG160" s="471">
        <v>0</v>
      </c>
      <c r="AH160" s="685">
        <f t="shared" si="13"/>
        <v>2048.1912462985119</v>
      </c>
      <c r="AI160" s="472">
        <f t="shared" si="14"/>
        <v>2048.1912462985119</v>
      </c>
      <c r="AJ160" s="472"/>
      <c r="AK160" s="472"/>
      <c r="AL160" s="570">
        <v>65.67</v>
      </c>
      <c r="AM160" s="570">
        <v>400.16694795112858</v>
      </c>
      <c r="AN160" s="566">
        <v>0</v>
      </c>
      <c r="AO160" s="566">
        <f t="shared" si="15"/>
        <v>465.83694795112859</v>
      </c>
    </row>
    <row r="161" spans="1:41" x14ac:dyDescent="0.3">
      <c r="A161" s="466">
        <v>150000727</v>
      </c>
      <c r="B161" s="467" t="s">
        <v>128</v>
      </c>
      <c r="C161" s="468">
        <v>188.44</v>
      </c>
      <c r="D161" s="473"/>
      <c r="E161" s="470"/>
      <c r="F161" s="470">
        <v>188.44</v>
      </c>
      <c r="G161" s="471">
        <v>0</v>
      </c>
      <c r="H161" s="471">
        <v>0</v>
      </c>
      <c r="I161" s="471">
        <v>0</v>
      </c>
      <c r="J161" s="471">
        <v>0</v>
      </c>
      <c r="K161" s="471">
        <v>0</v>
      </c>
      <c r="L161" s="471">
        <v>0</v>
      </c>
      <c r="M161" s="572">
        <f t="shared" si="11"/>
        <v>0</v>
      </c>
      <c r="N161" s="471">
        <v>0</v>
      </c>
      <c r="O161" s="471">
        <v>0</v>
      </c>
      <c r="P161" s="471">
        <v>0</v>
      </c>
      <c r="Q161" s="471">
        <v>59.188602680853108</v>
      </c>
      <c r="R161" s="572">
        <f t="shared" si="12"/>
        <v>203.80969307552482</v>
      </c>
      <c r="S161" s="471">
        <v>0</v>
      </c>
      <c r="T161" s="471">
        <v>0</v>
      </c>
      <c r="U161" s="471">
        <v>0</v>
      </c>
      <c r="V161" s="471">
        <v>0</v>
      </c>
      <c r="W161" s="471">
        <v>0</v>
      </c>
      <c r="X161" s="471">
        <v>0</v>
      </c>
      <c r="Y161" s="471">
        <v>0</v>
      </c>
      <c r="Z161" s="471">
        <v>31.902681005596676</v>
      </c>
      <c r="AA161" s="471">
        <v>0</v>
      </c>
      <c r="AB161" s="471">
        <v>0</v>
      </c>
      <c r="AC161" s="471">
        <v>0</v>
      </c>
      <c r="AD161" s="471">
        <v>0</v>
      </c>
      <c r="AE161" s="471">
        <v>0</v>
      </c>
      <c r="AF161" s="471">
        <v>0</v>
      </c>
      <c r="AG161" s="471">
        <v>8.8470293028592391</v>
      </c>
      <c r="AH161" s="685">
        <f t="shared" si="13"/>
        <v>294.90097676197462</v>
      </c>
      <c r="AI161" s="472">
        <f t="shared" si="14"/>
        <v>303.74800606483387</v>
      </c>
      <c r="AJ161" s="472"/>
      <c r="AK161" s="472"/>
      <c r="AL161" s="570">
        <v>29.36</v>
      </c>
      <c r="AM161" s="570">
        <v>174.44969307552483</v>
      </c>
      <c r="AN161" s="566">
        <v>0</v>
      </c>
      <c r="AO161" s="566">
        <f t="shared" si="15"/>
        <v>203.80969307552482</v>
      </c>
    </row>
    <row r="162" spans="1:41" x14ac:dyDescent="0.3">
      <c r="A162" s="466">
        <v>150000728</v>
      </c>
      <c r="B162" s="467" t="s">
        <v>184</v>
      </c>
      <c r="C162" s="468">
        <v>386.5</v>
      </c>
      <c r="D162" s="469"/>
      <c r="E162" s="470">
        <v>64.099999999999994</v>
      </c>
      <c r="F162" s="470">
        <v>450.6</v>
      </c>
      <c r="G162" s="471">
        <v>166.75538348107858</v>
      </c>
      <c r="H162" s="471">
        <v>27.9622758299693</v>
      </c>
      <c r="I162" s="471">
        <v>53.76</v>
      </c>
      <c r="J162" s="471">
        <v>0</v>
      </c>
      <c r="K162" s="471">
        <v>0</v>
      </c>
      <c r="L162" s="471">
        <v>80.359004089472322</v>
      </c>
      <c r="M162" s="572">
        <f t="shared" si="11"/>
        <v>0</v>
      </c>
      <c r="N162" s="471">
        <v>160.55747407181113</v>
      </c>
      <c r="O162" s="471">
        <v>0</v>
      </c>
      <c r="P162" s="471">
        <v>0</v>
      </c>
      <c r="Q162" s="471">
        <v>82.864043753194352</v>
      </c>
      <c r="R162" s="572">
        <f t="shared" si="12"/>
        <v>334.97400554976088</v>
      </c>
      <c r="S162" s="471">
        <v>29.109441766525801</v>
      </c>
      <c r="T162" s="471">
        <v>36.04386687945734</v>
      </c>
      <c r="U162" s="471">
        <v>26.930452682025226</v>
      </c>
      <c r="V162" s="471">
        <v>0</v>
      </c>
      <c r="W162" s="471">
        <v>0</v>
      </c>
      <c r="X162" s="471">
        <v>6.5655994250196654</v>
      </c>
      <c r="Y162" s="471">
        <v>0</v>
      </c>
      <c r="Z162" s="471">
        <v>499.192911361808</v>
      </c>
      <c r="AA162" s="471">
        <v>401.4640064408232</v>
      </c>
      <c r="AB162" s="471">
        <v>88.925483131915925</v>
      </c>
      <c r="AC162" s="471">
        <v>0</v>
      </c>
      <c r="AD162" s="471">
        <v>0</v>
      </c>
      <c r="AE162" s="471">
        <v>79.549482003066572</v>
      </c>
      <c r="AF162" s="471">
        <v>0</v>
      </c>
      <c r="AG162" s="471">
        <v>62.250402913977851</v>
      </c>
      <c r="AH162" s="685">
        <f t="shared" si="13"/>
        <v>2075.0134304659282</v>
      </c>
      <c r="AI162" s="472">
        <f t="shared" si="14"/>
        <v>2137.2638333799059</v>
      </c>
      <c r="AJ162" s="472"/>
      <c r="AK162" s="472"/>
      <c r="AL162" s="570">
        <v>65.67</v>
      </c>
      <c r="AM162" s="570">
        <v>269.30400554976086</v>
      </c>
      <c r="AN162" s="566">
        <v>0</v>
      </c>
      <c r="AO162" s="566">
        <f t="shared" si="15"/>
        <v>334.97400554976088</v>
      </c>
    </row>
    <row r="163" spans="1:41" x14ac:dyDescent="0.3">
      <c r="A163" s="466">
        <v>150000729</v>
      </c>
      <c r="B163" s="467" t="s">
        <v>273</v>
      </c>
      <c r="C163" s="468">
        <v>2102.6</v>
      </c>
      <c r="D163" s="469"/>
      <c r="E163" s="470"/>
      <c r="F163" s="470">
        <v>2102.6</v>
      </c>
      <c r="G163" s="471">
        <v>706.17489879609354</v>
      </c>
      <c r="H163" s="471">
        <v>149.64949476893074</v>
      </c>
      <c r="I163" s="471">
        <v>261.98</v>
      </c>
      <c r="J163" s="471">
        <v>0</v>
      </c>
      <c r="K163" s="471">
        <v>0</v>
      </c>
      <c r="L163" s="471">
        <v>469.86357601964829</v>
      </c>
      <c r="M163" s="572">
        <f t="shared" si="11"/>
        <v>0</v>
      </c>
      <c r="N163" s="471">
        <v>749.1969484762318</v>
      </c>
      <c r="O163" s="471">
        <v>0</v>
      </c>
      <c r="P163" s="471">
        <v>0</v>
      </c>
      <c r="Q163" s="471">
        <v>473.50882144682487</v>
      </c>
      <c r="R163" s="572">
        <f t="shared" si="12"/>
        <v>2346.5508556891118</v>
      </c>
      <c r="S163" s="471">
        <v>124.90229499772016</v>
      </c>
      <c r="T163" s="471">
        <v>192.86836255487205</v>
      </c>
      <c r="U163" s="471">
        <v>112.51618710358807</v>
      </c>
      <c r="V163" s="471">
        <v>0</v>
      </c>
      <c r="W163" s="471">
        <v>0</v>
      </c>
      <c r="X163" s="471">
        <v>64.480016574972723</v>
      </c>
      <c r="Y163" s="471">
        <v>0</v>
      </c>
      <c r="Z163" s="471">
        <v>1087.1599869679007</v>
      </c>
      <c r="AA163" s="471">
        <v>963.23728111622358</v>
      </c>
      <c r="AB163" s="471">
        <v>439.65541583043097</v>
      </c>
      <c r="AC163" s="471">
        <v>92.651749627101069</v>
      </c>
      <c r="AD163" s="471">
        <v>11.40599190485146</v>
      </c>
      <c r="AE163" s="471">
        <v>226.17009589107158</v>
      </c>
      <c r="AF163" s="471">
        <v>0</v>
      </c>
      <c r="AG163" s="471">
        <v>508.3183186659345</v>
      </c>
      <c r="AH163" s="685">
        <f t="shared" si="13"/>
        <v>8471.9719777655755</v>
      </c>
      <c r="AI163" s="472">
        <f t="shared" si="14"/>
        <v>8980.2902964315108</v>
      </c>
      <c r="AJ163" s="472"/>
      <c r="AK163" s="472"/>
      <c r="AL163" s="570">
        <v>65.67</v>
      </c>
      <c r="AM163" s="570">
        <v>2280.8808556891117</v>
      </c>
      <c r="AN163" s="566">
        <v>0</v>
      </c>
      <c r="AO163" s="566">
        <f t="shared" si="15"/>
        <v>2346.5508556891118</v>
      </c>
    </row>
    <row r="164" spans="1:41" x14ac:dyDescent="0.3">
      <c r="A164" s="466">
        <v>150000736</v>
      </c>
      <c r="B164" s="467" t="s">
        <v>219</v>
      </c>
      <c r="C164" s="468">
        <v>2653.7</v>
      </c>
      <c r="D164" s="469"/>
      <c r="E164" s="470">
        <v>193.2</v>
      </c>
      <c r="F164" s="470">
        <v>2846.8999999999996</v>
      </c>
      <c r="G164" s="471">
        <v>751.25930480273246</v>
      </c>
      <c r="H164" s="471">
        <v>152.48515130990077</v>
      </c>
      <c r="I164" s="471">
        <v>326.39</v>
      </c>
      <c r="J164" s="471">
        <v>0</v>
      </c>
      <c r="K164" s="471">
        <v>0</v>
      </c>
      <c r="L164" s="471">
        <v>574.90610676792426</v>
      </c>
      <c r="M164" s="572">
        <f t="shared" si="11"/>
        <v>0</v>
      </c>
      <c r="N164" s="471">
        <v>1014.4053993232113</v>
      </c>
      <c r="O164" s="471">
        <v>0</v>
      </c>
      <c r="P164" s="471">
        <v>0</v>
      </c>
      <c r="Q164" s="471">
        <v>745.77639377874925</v>
      </c>
      <c r="R164" s="572">
        <f t="shared" si="12"/>
        <v>2884.6647733737409</v>
      </c>
      <c r="S164" s="471">
        <v>114.06340509652992</v>
      </c>
      <c r="T164" s="471">
        <v>196.51984768885862</v>
      </c>
      <c r="U164" s="471">
        <v>183.91665868800388</v>
      </c>
      <c r="V164" s="471">
        <v>0</v>
      </c>
      <c r="W164" s="471">
        <v>0</v>
      </c>
      <c r="X164" s="471">
        <v>79.556582079145102</v>
      </c>
      <c r="Y164" s="471">
        <v>0</v>
      </c>
      <c r="Z164" s="471">
        <v>1359.083874349571</v>
      </c>
      <c r="AA164" s="471">
        <v>1596.8128587979577</v>
      </c>
      <c r="AB164" s="471">
        <v>723.24233471547188</v>
      </c>
      <c r="AC164" s="471">
        <v>49.879976320410236</v>
      </c>
      <c r="AD164" s="471">
        <v>6.140527387929291</v>
      </c>
      <c r="AE164" s="471">
        <v>244.88762106826377</v>
      </c>
      <c r="AF164" s="471">
        <v>0</v>
      </c>
      <c r="AG164" s="471">
        <v>330.119724466452</v>
      </c>
      <c r="AH164" s="685">
        <f t="shared" si="13"/>
        <v>11003.990815548401</v>
      </c>
      <c r="AI164" s="472">
        <f t="shared" si="14"/>
        <v>11334.110540014854</v>
      </c>
      <c r="AJ164" s="472"/>
      <c r="AK164" s="472"/>
      <c r="AL164" s="570">
        <v>239.68</v>
      </c>
      <c r="AM164" s="570">
        <v>2644.9847733737411</v>
      </c>
      <c r="AN164" s="566">
        <v>0</v>
      </c>
      <c r="AO164" s="566">
        <f t="shared" si="15"/>
        <v>2884.6647733737409</v>
      </c>
    </row>
    <row r="165" spans="1:41" x14ac:dyDescent="0.3">
      <c r="A165" s="466">
        <v>150000737</v>
      </c>
      <c r="B165" s="467" t="s">
        <v>221</v>
      </c>
      <c r="C165" s="468">
        <v>2311.4</v>
      </c>
      <c r="D165" s="469"/>
      <c r="E165" s="470">
        <v>261.7</v>
      </c>
      <c r="F165" s="470">
        <v>2573.1</v>
      </c>
      <c r="G165" s="471">
        <v>838.66357309552382</v>
      </c>
      <c r="H165" s="471">
        <v>151.10456594629179</v>
      </c>
      <c r="I165" s="471">
        <v>344.6</v>
      </c>
      <c r="J165" s="471">
        <v>0</v>
      </c>
      <c r="K165" s="471">
        <v>0</v>
      </c>
      <c r="L165" s="471">
        <v>563.3392452542904</v>
      </c>
      <c r="M165" s="572">
        <f t="shared" si="11"/>
        <v>0</v>
      </c>
      <c r="N165" s="471">
        <v>916.84517650727298</v>
      </c>
      <c r="O165" s="471">
        <v>0</v>
      </c>
      <c r="P165" s="471">
        <v>0</v>
      </c>
      <c r="Q165" s="471">
        <v>686.58779109789612</v>
      </c>
      <c r="R165" s="572">
        <f t="shared" si="12"/>
        <v>3238.1130603132824</v>
      </c>
      <c r="S165" s="471">
        <v>135.91578418466173</v>
      </c>
      <c r="T165" s="471">
        <v>194.77178437479566</v>
      </c>
      <c r="U165" s="471">
        <v>119.82105265671484</v>
      </c>
      <c r="V165" s="471">
        <v>0</v>
      </c>
      <c r="W165" s="471">
        <v>0</v>
      </c>
      <c r="X165" s="471">
        <v>77.811006105288172</v>
      </c>
      <c r="Y165" s="471">
        <v>0</v>
      </c>
      <c r="Z165" s="471">
        <v>1130.4086381819739</v>
      </c>
      <c r="AA165" s="471">
        <v>1222.2253986456074</v>
      </c>
      <c r="AB165" s="471">
        <v>608.55117810313709</v>
      </c>
      <c r="AC165" s="471">
        <v>81.646290478273471</v>
      </c>
      <c r="AD165" s="471">
        <v>10.051153183878363</v>
      </c>
      <c r="AE165" s="471">
        <v>335.35565942469236</v>
      </c>
      <c r="AF165" s="471">
        <v>0</v>
      </c>
      <c r="AG165" s="471">
        <v>191.80460443596439</v>
      </c>
      <c r="AH165" s="685">
        <f t="shared" si="13"/>
        <v>10655.811357553579</v>
      </c>
      <c r="AI165" s="472">
        <f t="shared" si="14"/>
        <v>10847.615961989544</v>
      </c>
      <c r="AJ165" s="472"/>
      <c r="AK165" s="472"/>
      <c r="AL165" s="570">
        <v>100.88</v>
      </c>
      <c r="AM165" s="570">
        <v>3137.2330603132823</v>
      </c>
      <c r="AN165" s="566">
        <v>0</v>
      </c>
      <c r="AO165" s="566">
        <f t="shared" si="15"/>
        <v>3238.1130603132824</v>
      </c>
    </row>
    <row r="166" spans="1:41" x14ac:dyDescent="0.3">
      <c r="A166" s="466">
        <v>150000738</v>
      </c>
      <c r="B166" s="467" t="s">
        <v>289</v>
      </c>
      <c r="C166" s="468">
        <v>3567.9</v>
      </c>
      <c r="D166" s="469"/>
      <c r="E166" s="470"/>
      <c r="F166" s="470">
        <v>3567.9</v>
      </c>
      <c r="G166" s="471">
        <v>1017.5186486259605</v>
      </c>
      <c r="H166" s="471">
        <v>172.65536776916949</v>
      </c>
      <c r="I166" s="471">
        <v>435.18</v>
      </c>
      <c r="J166" s="471">
        <v>0</v>
      </c>
      <c r="K166" s="471">
        <v>0</v>
      </c>
      <c r="L166" s="471">
        <v>635.77294811788488</v>
      </c>
      <c r="M166" s="572">
        <f t="shared" si="11"/>
        <v>0</v>
      </c>
      <c r="N166" s="471">
        <v>1271.3116106098867</v>
      </c>
      <c r="O166" s="471">
        <v>0</v>
      </c>
      <c r="P166" s="471">
        <v>0</v>
      </c>
      <c r="Q166" s="471">
        <v>947.01764289364974</v>
      </c>
      <c r="R166" s="572">
        <f t="shared" si="12"/>
        <v>4781.2032770524593</v>
      </c>
      <c r="S166" s="471">
        <v>161.7682498598364</v>
      </c>
      <c r="T166" s="471">
        <v>222.52208960452802</v>
      </c>
      <c r="U166" s="471">
        <v>222.93418454389931</v>
      </c>
      <c r="V166" s="471">
        <v>0</v>
      </c>
      <c r="W166" s="471">
        <v>0</v>
      </c>
      <c r="X166" s="471">
        <v>89.791092673937868</v>
      </c>
      <c r="Y166" s="471">
        <v>0</v>
      </c>
      <c r="Z166" s="471">
        <v>2429.0674559475679</v>
      </c>
      <c r="AA166" s="471">
        <v>1497.6245108470146</v>
      </c>
      <c r="AB166" s="471">
        <v>725.67583288767514</v>
      </c>
      <c r="AC166" s="471">
        <v>173.14602099625449</v>
      </c>
      <c r="AD166" s="471">
        <v>21.31532455446315</v>
      </c>
      <c r="AE166" s="471">
        <v>477.29689201839949</v>
      </c>
      <c r="AF166" s="471">
        <v>0</v>
      </c>
      <c r="AG166" s="471">
        <v>550.14484136409305</v>
      </c>
      <c r="AH166" s="685">
        <f t="shared" si="13"/>
        <v>15281.801149002591</v>
      </c>
      <c r="AI166" s="472">
        <f t="shared" si="14"/>
        <v>15831.945990366685</v>
      </c>
      <c r="AJ166" s="472"/>
      <c r="AK166" s="472"/>
      <c r="AL166" s="570">
        <v>98.29</v>
      </c>
      <c r="AM166" s="570">
        <v>4682.9132770524593</v>
      </c>
      <c r="AN166" s="566">
        <v>0</v>
      </c>
      <c r="AO166" s="566">
        <f t="shared" si="15"/>
        <v>4781.2032770524593</v>
      </c>
    </row>
    <row r="167" spans="1:41" x14ac:dyDescent="0.3">
      <c r="A167" s="466">
        <v>150000739</v>
      </c>
      <c r="B167" s="467" t="s">
        <v>222</v>
      </c>
      <c r="C167" s="468">
        <v>3340.7</v>
      </c>
      <c r="D167" s="469"/>
      <c r="E167" s="470">
        <v>291</v>
      </c>
      <c r="F167" s="470">
        <v>3631.7</v>
      </c>
      <c r="G167" s="471">
        <v>1073.1282517674681</v>
      </c>
      <c r="H167" s="471">
        <v>192.01187693200856</v>
      </c>
      <c r="I167" s="471">
        <v>424.61</v>
      </c>
      <c r="J167" s="471">
        <v>0</v>
      </c>
      <c r="K167" s="471">
        <v>0</v>
      </c>
      <c r="L167" s="471">
        <v>839.87498258224605</v>
      </c>
      <c r="M167" s="572">
        <f t="shared" si="11"/>
        <v>0</v>
      </c>
      <c r="N167" s="471">
        <v>1294.0447815947546</v>
      </c>
      <c r="O167" s="471">
        <v>0</v>
      </c>
      <c r="P167" s="471">
        <v>0</v>
      </c>
      <c r="Q167" s="471">
        <v>887.8290402127966</v>
      </c>
      <c r="R167" s="572">
        <f t="shared" si="12"/>
        <v>3755.2418244970704</v>
      </c>
      <c r="S167" s="471">
        <v>173.32071776554469</v>
      </c>
      <c r="T167" s="471">
        <v>247.48037211598327</v>
      </c>
      <c r="U167" s="471">
        <v>213.95418402251397</v>
      </c>
      <c r="V167" s="471">
        <v>0</v>
      </c>
      <c r="W167" s="471">
        <v>0</v>
      </c>
      <c r="X167" s="471">
        <v>114.80447262753619</v>
      </c>
      <c r="Y167" s="471">
        <v>0</v>
      </c>
      <c r="Z167" s="471">
        <v>2068.4373782830621</v>
      </c>
      <c r="AA167" s="471">
        <v>1766.5154864718077</v>
      </c>
      <c r="AB167" s="471">
        <v>1021.025971505965</v>
      </c>
      <c r="AC167" s="471">
        <v>227.36445225952104</v>
      </c>
      <c r="AD167" s="471">
        <v>27.989942039524376</v>
      </c>
      <c r="AE167" s="471">
        <v>285.44225895218005</v>
      </c>
      <c r="AF167" s="471">
        <v>0</v>
      </c>
      <c r="AG167" s="471">
        <v>438.3922798088995</v>
      </c>
      <c r="AH167" s="685">
        <f t="shared" si="13"/>
        <v>14613.075993629982</v>
      </c>
      <c r="AI167" s="472">
        <f t="shared" si="14"/>
        <v>15051.468273438881</v>
      </c>
      <c r="AJ167" s="472"/>
      <c r="AK167" s="472"/>
      <c r="AL167" s="570">
        <v>163.44</v>
      </c>
      <c r="AM167" s="570">
        <v>3591.8018244970704</v>
      </c>
      <c r="AN167" s="566">
        <v>0</v>
      </c>
      <c r="AO167" s="566">
        <f t="shared" si="15"/>
        <v>3755.2418244970704</v>
      </c>
    </row>
    <row r="168" spans="1:41" x14ac:dyDescent="0.3">
      <c r="A168" s="466">
        <v>150000740</v>
      </c>
      <c r="B168" s="467" t="s">
        <v>197</v>
      </c>
      <c r="C168" s="468">
        <v>1236.8</v>
      </c>
      <c r="D168" s="469"/>
      <c r="E168" s="470">
        <v>129.30000000000001</v>
      </c>
      <c r="F168" s="470">
        <v>1366.1</v>
      </c>
      <c r="G168" s="471">
        <v>466.79082226353336</v>
      </c>
      <c r="H168" s="471">
        <v>116.50899248097269</v>
      </c>
      <c r="I168" s="471">
        <v>165.15</v>
      </c>
      <c r="J168" s="471">
        <v>0</v>
      </c>
      <c r="K168" s="471">
        <v>0</v>
      </c>
      <c r="L168" s="471">
        <v>327.78858588554124</v>
      </c>
      <c r="M168" s="572">
        <f t="shared" si="11"/>
        <v>0</v>
      </c>
      <c r="N168" s="471">
        <v>486.76778812583478</v>
      </c>
      <c r="O168" s="471">
        <v>0</v>
      </c>
      <c r="P168" s="471">
        <v>0</v>
      </c>
      <c r="Q168" s="471">
        <v>236.75441072341243</v>
      </c>
      <c r="R168" s="572">
        <f t="shared" si="12"/>
        <v>1348.3259888840269</v>
      </c>
      <c r="S168" s="471">
        <v>83.481589480305374</v>
      </c>
      <c r="T168" s="471">
        <v>150.14790921903517</v>
      </c>
      <c r="U168" s="471">
        <v>80.324930802706078</v>
      </c>
      <c r="V168" s="471">
        <v>0</v>
      </c>
      <c r="W168" s="471">
        <v>0</v>
      </c>
      <c r="X168" s="471">
        <v>40.007387285549711</v>
      </c>
      <c r="Y168" s="471">
        <v>0</v>
      </c>
      <c r="Z168" s="471">
        <v>1116.988553922939</v>
      </c>
      <c r="AA168" s="471">
        <v>1028.5839031169348</v>
      </c>
      <c r="AB168" s="471">
        <v>528.24400635587426</v>
      </c>
      <c r="AC168" s="471">
        <v>84.563104818385909</v>
      </c>
      <c r="AD168" s="471">
        <v>10.410230706808871</v>
      </c>
      <c r="AE168" s="471">
        <v>99.826800945024729</v>
      </c>
      <c r="AF168" s="471">
        <v>0</v>
      </c>
      <c r="AG168" s="471">
        <v>191.11995015050658</v>
      </c>
      <c r="AH168" s="685">
        <f t="shared" si="13"/>
        <v>6370.6650050168855</v>
      </c>
      <c r="AI168" s="472">
        <f t="shared" si="14"/>
        <v>6561.7849551673917</v>
      </c>
      <c r="AJ168" s="472"/>
      <c r="AK168" s="472"/>
      <c r="AL168" s="570">
        <v>73.84</v>
      </c>
      <c r="AM168" s="570">
        <v>1274.4859888840269</v>
      </c>
      <c r="AN168" s="566">
        <v>0</v>
      </c>
      <c r="AO168" s="566">
        <f t="shared" si="15"/>
        <v>1348.3259888840269</v>
      </c>
    </row>
    <row r="169" spans="1:41" x14ac:dyDescent="0.3">
      <c r="A169" s="466">
        <v>150000741</v>
      </c>
      <c r="B169" s="467" t="s">
        <v>224</v>
      </c>
      <c r="C169" s="468">
        <v>2273.5</v>
      </c>
      <c r="D169" s="469"/>
      <c r="E169" s="470">
        <v>320.8</v>
      </c>
      <c r="F169" s="470">
        <v>2594.3000000000002</v>
      </c>
      <c r="G169" s="471">
        <v>833.96175561878999</v>
      </c>
      <c r="H169" s="471">
        <v>131.5010641729026</v>
      </c>
      <c r="I169" s="471">
        <v>303.32</v>
      </c>
      <c r="J169" s="471">
        <v>0</v>
      </c>
      <c r="K169" s="471">
        <v>0</v>
      </c>
      <c r="L169" s="471">
        <v>546.32968263419446</v>
      </c>
      <c r="M169" s="572">
        <f t="shared" si="11"/>
        <v>0</v>
      </c>
      <c r="N169" s="471">
        <v>924.39914554926679</v>
      </c>
      <c r="O169" s="471">
        <v>0</v>
      </c>
      <c r="P169" s="471">
        <v>0</v>
      </c>
      <c r="Q169" s="471">
        <v>662.91235002555482</v>
      </c>
      <c r="R169" s="572">
        <f t="shared" si="12"/>
        <v>2745.5302503397943</v>
      </c>
      <c r="S169" s="471">
        <v>135.66276242088372</v>
      </c>
      <c r="T169" s="471">
        <v>169.47360552365001</v>
      </c>
      <c r="U169" s="471">
        <v>149.70118991864561</v>
      </c>
      <c r="V169" s="471">
        <v>0</v>
      </c>
      <c r="W169" s="471">
        <v>0</v>
      </c>
      <c r="X169" s="471">
        <v>74.217104454239035</v>
      </c>
      <c r="Y169" s="471">
        <v>0</v>
      </c>
      <c r="Z169" s="471">
        <v>2292.4617000510798</v>
      </c>
      <c r="AA169" s="471">
        <v>1469.0269645577946</v>
      </c>
      <c r="AB169" s="471">
        <v>691.83087619295929</v>
      </c>
      <c r="AC169" s="471">
        <v>0</v>
      </c>
      <c r="AD169" s="471">
        <v>0</v>
      </c>
      <c r="AE169" s="471">
        <v>137.26185129940899</v>
      </c>
      <c r="AF169" s="471">
        <v>0</v>
      </c>
      <c r="AG169" s="471">
        <v>338.02770908277489</v>
      </c>
      <c r="AH169" s="685">
        <f t="shared" si="13"/>
        <v>11267.590302759163</v>
      </c>
      <c r="AI169" s="472">
        <f t="shared" si="14"/>
        <v>11605.618011841938</v>
      </c>
      <c r="AJ169" s="472"/>
      <c r="AK169" s="472"/>
      <c r="AL169" s="570">
        <v>171.06</v>
      </c>
      <c r="AM169" s="570">
        <v>2574.4702503397943</v>
      </c>
      <c r="AN169" s="566">
        <v>0</v>
      </c>
      <c r="AO169" s="566">
        <f t="shared" si="15"/>
        <v>2745.5302503397943</v>
      </c>
    </row>
    <row r="170" spans="1:41" x14ac:dyDescent="0.3">
      <c r="A170" s="466">
        <v>150000742</v>
      </c>
      <c r="B170" s="467" t="s">
        <v>290</v>
      </c>
      <c r="C170" s="468">
        <v>1700.4</v>
      </c>
      <c r="D170" s="469"/>
      <c r="E170" s="470">
        <v>169</v>
      </c>
      <c r="F170" s="470">
        <v>1869.4</v>
      </c>
      <c r="G170" s="471">
        <v>514.95559226784019</v>
      </c>
      <c r="H170" s="471">
        <v>97.374347791716815</v>
      </c>
      <c r="I170" s="471">
        <v>214.92</v>
      </c>
      <c r="J170" s="471">
        <v>0</v>
      </c>
      <c r="K170" s="471">
        <v>0</v>
      </c>
      <c r="L170" s="471">
        <v>273.77470678809266</v>
      </c>
      <c r="M170" s="572">
        <f t="shared" si="11"/>
        <v>0</v>
      </c>
      <c r="N170" s="471">
        <v>666.10328901430034</v>
      </c>
      <c r="O170" s="471">
        <v>0</v>
      </c>
      <c r="P170" s="471">
        <v>0</v>
      </c>
      <c r="Q170" s="471">
        <v>414.32021876597179</v>
      </c>
      <c r="R170" s="572">
        <f t="shared" si="12"/>
        <v>1844.0270646987535</v>
      </c>
      <c r="S170" s="471">
        <v>85.112918092962431</v>
      </c>
      <c r="T170" s="471">
        <v>125.50034371930118</v>
      </c>
      <c r="U170" s="471">
        <v>110.38941032662208</v>
      </c>
      <c r="V170" s="471">
        <v>0</v>
      </c>
      <c r="W170" s="471">
        <v>0</v>
      </c>
      <c r="X170" s="471">
        <v>34.950005618439846</v>
      </c>
      <c r="Y170" s="471">
        <v>0</v>
      </c>
      <c r="Z170" s="471">
        <v>1316.327273645318</v>
      </c>
      <c r="AA170" s="471">
        <v>752.82377640194534</v>
      </c>
      <c r="AB170" s="471">
        <v>727.02340331356504</v>
      </c>
      <c r="AC170" s="471">
        <v>124.51610796446388</v>
      </c>
      <c r="AD170" s="471">
        <v>15.328687533504075</v>
      </c>
      <c r="AE170" s="471">
        <v>311.95875295320229</v>
      </c>
      <c r="AF170" s="471">
        <v>0</v>
      </c>
      <c r="AG170" s="471">
        <v>183.10574157350396</v>
      </c>
      <c r="AH170" s="685">
        <f t="shared" si="13"/>
        <v>7629.4058988959987</v>
      </c>
      <c r="AI170" s="472">
        <f t="shared" si="14"/>
        <v>7812.5116404695027</v>
      </c>
      <c r="AJ170" s="472"/>
      <c r="AK170" s="472"/>
      <c r="AL170" s="570">
        <v>65.760000000000005</v>
      </c>
      <c r="AM170" s="570">
        <v>1778.2670646987535</v>
      </c>
      <c r="AN170" s="566">
        <v>0</v>
      </c>
      <c r="AO170" s="566">
        <f t="shared" si="15"/>
        <v>1844.0270646987535</v>
      </c>
    </row>
    <row r="171" spans="1:41" x14ac:dyDescent="0.3">
      <c r="A171" s="466">
        <v>150000743</v>
      </c>
      <c r="B171" s="467" t="s">
        <v>220</v>
      </c>
      <c r="C171" s="468">
        <v>1773.9</v>
      </c>
      <c r="D171" s="469"/>
      <c r="E171" s="470">
        <v>522.79999999999995</v>
      </c>
      <c r="F171" s="470">
        <v>2296.6999999999998</v>
      </c>
      <c r="G171" s="471">
        <v>647.24595706764933</v>
      </c>
      <c r="H171" s="471">
        <v>114.09283534735087</v>
      </c>
      <c r="I171" s="471">
        <v>237.16</v>
      </c>
      <c r="J171" s="471">
        <v>0</v>
      </c>
      <c r="K171" s="471">
        <v>0</v>
      </c>
      <c r="L171" s="471">
        <v>384.2759499337435</v>
      </c>
      <c r="M171" s="572">
        <f t="shared" si="11"/>
        <v>0</v>
      </c>
      <c r="N171" s="471">
        <v>818.35852352580685</v>
      </c>
      <c r="O171" s="471">
        <v>0</v>
      </c>
      <c r="P171" s="471">
        <v>0</v>
      </c>
      <c r="Q171" s="471">
        <v>509.02198305533676</v>
      </c>
      <c r="R171" s="572">
        <f t="shared" si="12"/>
        <v>2046.8896386218403</v>
      </c>
      <c r="S171" s="471">
        <v>104.81973325624529</v>
      </c>
      <c r="T171" s="471">
        <v>147.06935818352997</v>
      </c>
      <c r="U171" s="471">
        <v>107.55766119520447</v>
      </c>
      <c r="V171" s="471">
        <v>0</v>
      </c>
      <c r="W171" s="471">
        <v>0</v>
      </c>
      <c r="X171" s="471">
        <v>51.59605293163164</v>
      </c>
      <c r="Y171" s="471">
        <v>0</v>
      </c>
      <c r="Z171" s="471">
        <v>989.72074919818658</v>
      </c>
      <c r="AA171" s="471">
        <v>970.4681233696723</v>
      </c>
      <c r="AB171" s="471">
        <v>643.33943409597589</v>
      </c>
      <c r="AC171" s="471">
        <v>137.40891756865838</v>
      </c>
      <c r="AD171" s="471">
        <v>16.915870534020442</v>
      </c>
      <c r="AE171" s="471">
        <v>37.435050354384266</v>
      </c>
      <c r="AF171" s="471">
        <v>0</v>
      </c>
      <c r="AG171" s="471">
        <v>238.9012751471771</v>
      </c>
      <c r="AH171" s="685">
        <f t="shared" si="13"/>
        <v>7963.3758382392361</v>
      </c>
      <c r="AI171" s="472">
        <f t="shared" si="14"/>
        <v>8202.2771133864135</v>
      </c>
      <c r="AJ171" s="472"/>
      <c r="AK171" s="472"/>
      <c r="AL171" s="570">
        <v>98.26</v>
      </c>
      <c r="AM171" s="570">
        <v>1948.6296386218403</v>
      </c>
      <c r="AN171" s="566">
        <v>0</v>
      </c>
      <c r="AO171" s="566">
        <f t="shared" si="15"/>
        <v>2046.8896386218403</v>
      </c>
    </row>
    <row r="172" spans="1:41" x14ac:dyDescent="0.3">
      <c r="A172" s="466">
        <v>150000744</v>
      </c>
      <c r="B172" s="467" t="s">
        <v>223</v>
      </c>
      <c r="C172" s="468">
        <v>1504.4</v>
      </c>
      <c r="D172" s="469"/>
      <c r="E172" s="470"/>
      <c r="F172" s="470">
        <v>1504.4</v>
      </c>
      <c r="G172" s="471">
        <v>475.21179305443115</v>
      </c>
      <c r="H172" s="471">
        <v>90.766219138658954</v>
      </c>
      <c r="I172" s="471">
        <v>183.38</v>
      </c>
      <c r="J172" s="471">
        <v>0</v>
      </c>
      <c r="K172" s="471">
        <v>0</v>
      </c>
      <c r="L172" s="471">
        <v>229.92186851703636</v>
      </c>
      <c r="M172" s="572">
        <f t="shared" si="11"/>
        <v>0</v>
      </c>
      <c r="N172" s="471">
        <v>536.04674654601126</v>
      </c>
      <c r="O172" s="471">
        <v>0</v>
      </c>
      <c r="P172" s="471">
        <v>0</v>
      </c>
      <c r="Q172" s="471">
        <v>378.80705715745989</v>
      </c>
      <c r="R172" s="572">
        <f t="shared" si="12"/>
        <v>1258.4937948079919</v>
      </c>
      <c r="S172" s="471">
        <v>79.518560821136816</v>
      </c>
      <c r="T172" s="471">
        <v>116.99801469592836</v>
      </c>
      <c r="U172" s="471">
        <v>86.357912466370919</v>
      </c>
      <c r="V172" s="471">
        <v>0</v>
      </c>
      <c r="W172" s="471">
        <v>0</v>
      </c>
      <c r="X172" s="471">
        <v>27.376602221534242</v>
      </c>
      <c r="Y172" s="471">
        <v>0</v>
      </c>
      <c r="Z172" s="471">
        <v>1813.6924111574242</v>
      </c>
      <c r="AA172" s="471">
        <v>628.96462972762913</v>
      </c>
      <c r="AB172" s="471">
        <v>566.6190667885237</v>
      </c>
      <c r="AC172" s="471">
        <v>72.797803278436561</v>
      </c>
      <c r="AD172" s="471">
        <v>8.9618507823832907</v>
      </c>
      <c r="AE172" s="471">
        <v>274.52370259881798</v>
      </c>
      <c r="AF172" s="471">
        <v>0</v>
      </c>
      <c r="AG172" s="471">
        <v>204.85314101279329</v>
      </c>
      <c r="AH172" s="685">
        <f t="shared" si="13"/>
        <v>6828.4380337597759</v>
      </c>
      <c r="AI172" s="472">
        <f t="shared" si="14"/>
        <v>7033.2911747725693</v>
      </c>
      <c r="AJ172" s="472"/>
      <c r="AK172" s="472"/>
      <c r="AL172" s="570">
        <v>65.69</v>
      </c>
      <c r="AM172" s="570">
        <v>1192.8037948079918</v>
      </c>
      <c r="AN172" s="566">
        <v>0</v>
      </c>
      <c r="AO172" s="566">
        <f t="shared" si="15"/>
        <v>1258.4937948079919</v>
      </c>
    </row>
    <row r="173" spans="1:41" x14ac:dyDescent="0.3">
      <c r="A173" s="466">
        <v>150000745</v>
      </c>
      <c r="B173" s="467" t="s">
        <v>133</v>
      </c>
      <c r="C173" s="468">
        <v>275.3</v>
      </c>
      <c r="D173" s="473"/>
      <c r="E173" s="470"/>
      <c r="F173" s="470">
        <v>275.3</v>
      </c>
      <c r="G173" s="471">
        <v>0</v>
      </c>
      <c r="H173" s="471">
        <v>0</v>
      </c>
      <c r="I173" s="471">
        <v>0</v>
      </c>
      <c r="J173" s="471">
        <v>0</v>
      </c>
      <c r="K173" s="471">
        <v>0</v>
      </c>
      <c r="L173" s="471">
        <v>0</v>
      </c>
      <c r="M173" s="572">
        <f t="shared" si="11"/>
        <v>0</v>
      </c>
      <c r="N173" s="471">
        <v>0</v>
      </c>
      <c r="O173" s="471">
        <v>0</v>
      </c>
      <c r="P173" s="471">
        <v>0</v>
      </c>
      <c r="Q173" s="471">
        <v>71.02632321702373</v>
      </c>
      <c r="R173" s="572">
        <f t="shared" si="12"/>
        <v>226.06149630307266</v>
      </c>
      <c r="S173" s="471">
        <v>0</v>
      </c>
      <c r="T173" s="471">
        <v>0</v>
      </c>
      <c r="U173" s="471">
        <v>0</v>
      </c>
      <c r="V173" s="471">
        <v>0</v>
      </c>
      <c r="W173" s="471">
        <v>0</v>
      </c>
      <c r="X173" s="471">
        <v>0</v>
      </c>
      <c r="Y173" s="471">
        <v>0</v>
      </c>
      <c r="Z173" s="471">
        <v>49.847939071244809</v>
      </c>
      <c r="AA173" s="471">
        <v>0</v>
      </c>
      <c r="AB173" s="471">
        <v>0</v>
      </c>
      <c r="AC173" s="471">
        <v>0</v>
      </c>
      <c r="AD173" s="471">
        <v>0</v>
      </c>
      <c r="AE173" s="471">
        <v>0</v>
      </c>
      <c r="AF173" s="471">
        <v>0</v>
      </c>
      <c r="AG173" s="471">
        <v>10.408072757740236</v>
      </c>
      <c r="AH173" s="685">
        <f t="shared" si="13"/>
        <v>346.9357585913412</v>
      </c>
      <c r="AI173" s="472">
        <f t="shared" si="14"/>
        <v>357.34383134908143</v>
      </c>
      <c r="AJ173" s="472"/>
      <c r="AK173" s="472"/>
      <c r="AL173" s="570">
        <v>27.19</v>
      </c>
      <c r="AM173" s="570">
        <v>198.87149630307266</v>
      </c>
      <c r="AN173" s="566">
        <v>0</v>
      </c>
      <c r="AO173" s="566">
        <f t="shared" si="15"/>
        <v>226.06149630307266</v>
      </c>
    </row>
    <row r="174" spans="1:41" x14ac:dyDescent="0.3">
      <c r="A174" s="466">
        <v>150000750</v>
      </c>
      <c r="B174" s="467" t="s">
        <v>129</v>
      </c>
      <c r="C174" s="468">
        <v>275.8</v>
      </c>
      <c r="D174" s="473"/>
      <c r="E174" s="470"/>
      <c r="F174" s="470">
        <v>275.8</v>
      </c>
      <c r="G174" s="471">
        <v>0</v>
      </c>
      <c r="H174" s="471">
        <v>0</v>
      </c>
      <c r="I174" s="471">
        <v>0</v>
      </c>
      <c r="J174" s="471">
        <v>0</v>
      </c>
      <c r="K174" s="471">
        <v>0</v>
      </c>
      <c r="L174" s="471">
        <v>0</v>
      </c>
      <c r="M174" s="572">
        <f t="shared" si="11"/>
        <v>0</v>
      </c>
      <c r="N174" s="471">
        <v>0</v>
      </c>
      <c r="O174" s="471">
        <v>0</v>
      </c>
      <c r="P174" s="471">
        <v>0</v>
      </c>
      <c r="Q174" s="471">
        <v>47.350882144682487</v>
      </c>
      <c r="R174" s="572">
        <f t="shared" si="12"/>
        <v>325.28882650444103</v>
      </c>
      <c r="S174" s="471">
        <v>0</v>
      </c>
      <c r="T174" s="471">
        <v>0</v>
      </c>
      <c r="U174" s="471">
        <v>0</v>
      </c>
      <c r="V174" s="471">
        <v>0</v>
      </c>
      <c r="W174" s="471">
        <v>0</v>
      </c>
      <c r="X174" s="471">
        <v>0</v>
      </c>
      <c r="Y174" s="471">
        <v>0</v>
      </c>
      <c r="Z174" s="471">
        <v>63.805362011193353</v>
      </c>
      <c r="AA174" s="471">
        <v>0</v>
      </c>
      <c r="AB174" s="471">
        <v>0</v>
      </c>
      <c r="AC174" s="471">
        <v>0</v>
      </c>
      <c r="AD174" s="471">
        <v>0</v>
      </c>
      <c r="AE174" s="471">
        <v>0</v>
      </c>
      <c r="AF174" s="471">
        <v>0</v>
      </c>
      <c r="AG174" s="471">
        <v>23.56803381565711</v>
      </c>
      <c r="AH174" s="685">
        <f t="shared" si="13"/>
        <v>436.4450706603169</v>
      </c>
      <c r="AI174" s="472">
        <f t="shared" si="14"/>
        <v>460.01310447597399</v>
      </c>
      <c r="AJ174" s="472"/>
      <c r="AK174" s="472"/>
      <c r="AL174" s="570">
        <v>58.8</v>
      </c>
      <c r="AM174" s="570">
        <v>266.48882650444102</v>
      </c>
      <c r="AN174" s="566">
        <v>0</v>
      </c>
      <c r="AO174" s="566">
        <f t="shared" si="15"/>
        <v>325.28882650444103</v>
      </c>
    </row>
    <row r="175" spans="1:41" x14ac:dyDescent="0.3">
      <c r="A175" s="466">
        <v>150000751</v>
      </c>
      <c r="B175" s="467" t="s">
        <v>130</v>
      </c>
      <c r="C175" s="468">
        <v>146.1</v>
      </c>
      <c r="D175" s="473"/>
      <c r="E175" s="470"/>
      <c r="F175" s="470">
        <v>146.1</v>
      </c>
      <c r="G175" s="471">
        <v>0</v>
      </c>
      <c r="H175" s="471">
        <v>0</v>
      </c>
      <c r="I175" s="471">
        <v>0</v>
      </c>
      <c r="J175" s="471">
        <v>0</v>
      </c>
      <c r="K175" s="471">
        <v>0</v>
      </c>
      <c r="L175" s="471">
        <v>0</v>
      </c>
      <c r="M175" s="572">
        <f t="shared" si="11"/>
        <v>0</v>
      </c>
      <c r="N175" s="471">
        <v>0</v>
      </c>
      <c r="O175" s="471">
        <v>0</v>
      </c>
      <c r="P175" s="471">
        <v>0</v>
      </c>
      <c r="Q175" s="471">
        <v>27.621347917731452</v>
      </c>
      <c r="R175" s="572">
        <f t="shared" si="12"/>
        <v>151.0741858390507</v>
      </c>
      <c r="S175" s="471">
        <v>0</v>
      </c>
      <c r="T175" s="471">
        <v>0</v>
      </c>
      <c r="U175" s="471">
        <v>0</v>
      </c>
      <c r="V175" s="471">
        <v>0</v>
      </c>
      <c r="W175" s="471">
        <v>0</v>
      </c>
      <c r="X175" s="471">
        <v>0</v>
      </c>
      <c r="Y175" s="471">
        <v>0</v>
      </c>
      <c r="Z175" s="471">
        <v>33.697206812161483</v>
      </c>
      <c r="AA175" s="471">
        <v>0</v>
      </c>
      <c r="AB175" s="471">
        <v>0</v>
      </c>
      <c r="AC175" s="471">
        <v>0</v>
      </c>
      <c r="AD175" s="471">
        <v>0</v>
      </c>
      <c r="AE175" s="471">
        <v>0</v>
      </c>
      <c r="AF175" s="471">
        <v>0</v>
      </c>
      <c r="AG175" s="471">
        <v>3.8230693302409855</v>
      </c>
      <c r="AH175" s="685">
        <f t="shared" si="13"/>
        <v>212.39274056894362</v>
      </c>
      <c r="AI175" s="472">
        <f t="shared" si="14"/>
        <v>216.21580989918462</v>
      </c>
      <c r="AJ175" s="472"/>
      <c r="AK175" s="472"/>
      <c r="AL175" s="570">
        <v>58.8</v>
      </c>
      <c r="AM175" s="570">
        <v>92.274185839050716</v>
      </c>
      <c r="AN175" s="566">
        <v>0</v>
      </c>
      <c r="AO175" s="566">
        <f t="shared" si="15"/>
        <v>151.0741858390507</v>
      </c>
    </row>
    <row r="176" spans="1:41" x14ac:dyDescent="0.3">
      <c r="A176" s="466">
        <v>150000752</v>
      </c>
      <c r="B176" s="467" t="s">
        <v>386</v>
      </c>
      <c r="C176" s="468">
        <v>3818.4</v>
      </c>
      <c r="D176" s="469">
        <v>276.3</v>
      </c>
      <c r="E176" s="470">
        <v>172.3</v>
      </c>
      <c r="F176" s="470">
        <v>3990.7000000000003</v>
      </c>
      <c r="G176" s="471">
        <v>964.07970809171468</v>
      </c>
      <c r="H176" s="471">
        <v>161.88023235234283</v>
      </c>
      <c r="I176" s="471">
        <v>487.43</v>
      </c>
      <c r="J176" s="471">
        <v>104.96</v>
      </c>
      <c r="K176" s="471">
        <v>65.004820328168279</v>
      </c>
      <c r="L176" s="471">
        <v>692.99256512399086</v>
      </c>
      <c r="M176" s="572">
        <f t="shared" si="11"/>
        <v>0</v>
      </c>
      <c r="N176" s="471">
        <v>1421.9634082964419</v>
      </c>
      <c r="O176" s="471">
        <v>3456.5475482576176</v>
      </c>
      <c r="P176" s="471">
        <v>0</v>
      </c>
      <c r="Q176" s="471">
        <v>268.32166548653413</v>
      </c>
      <c r="R176" s="572">
        <f t="shared" si="12"/>
        <v>6216.8750129522896</v>
      </c>
      <c r="S176" s="471">
        <v>80.141172267263244</v>
      </c>
      <c r="T176" s="471">
        <v>108.15190846940901</v>
      </c>
      <c r="U176" s="471">
        <v>150.40697794287075</v>
      </c>
      <c r="V176" s="471">
        <v>54.70799145085234</v>
      </c>
      <c r="W176" s="471">
        <v>32.980617657691397</v>
      </c>
      <c r="X176" s="471">
        <v>91.046599398173072</v>
      </c>
      <c r="Y176" s="471">
        <v>47.080739261645796</v>
      </c>
      <c r="Z176" s="471">
        <v>3677.5259242916873</v>
      </c>
      <c r="AA176" s="471">
        <v>4031.320496266424</v>
      </c>
      <c r="AB176" s="471">
        <v>540.99602175629514</v>
      </c>
      <c r="AC176" s="471">
        <v>122.84935691297105</v>
      </c>
      <c r="AD176" s="471">
        <v>15.123500377543788</v>
      </c>
      <c r="AE176" s="471">
        <v>321.31751554179834</v>
      </c>
      <c r="AF176" s="471">
        <v>1001.387596979779</v>
      </c>
      <c r="AG176" s="471">
        <v>723.45274138390516</v>
      </c>
      <c r="AH176" s="685">
        <f t="shared" si="13"/>
        <v>24115.091379463505</v>
      </c>
      <c r="AI176" s="472">
        <f t="shared" si="14"/>
        <v>24838.544120847411</v>
      </c>
      <c r="AJ176" s="472"/>
      <c r="AK176" s="472"/>
      <c r="AL176" s="570">
        <v>58.8</v>
      </c>
      <c r="AM176" s="570">
        <v>6158.0750129522894</v>
      </c>
      <c r="AN176" s="566">
        <v>0</v>
      </c>
      <c r="AO176" s="566">
        <f t="shared" si="15"/>
        <v>6216.8750129522896</v>
      </c>
    </row>
    <row r="177" spans="1:41" x14ac:dyDescent="0.3">
      <c r="A177" s="466">
        <v>150000753</v>
      </c>
      <c r="B177" s="467" t="s">
        <v>239</v>
      </c>
      <c r="C177" s="468">
        <v>1840.7</v>
      </c>
      <c r="D177" s="469"/>
      <c r="E177" s="470"/>
      <c r="F177" s="470">
        <v>1840.7</v>
      </c>
      <c r="G177" s="471">
        <v>587.5584363601323</v>
      </c>
      <c r="H177" s="471">
        <v>138.62748927752872</v>
      </c>
      <c r="I177" s="471">
        <v>202.64</v>
      </c>
      <c r="J177" s="471">
        <v>0</v>
      </c>
      <c r="K177" s="471">
        <v>0</v>
      </c>
      <c r="L177" s="471">
        <v>394.68297429284837</v>
      </c>
      <c r="M177" s="572">
        <f t="shared" si="11"/>
        <v>0</v>
      </c>
      <c r="N177" s="471">
        <v>655.87692526405408</v>
      </c>
      <c r="O177" s="471">
        <v>0</v>
      </c>
      <c r="P177" s="471">
        <v>0</v>
      </c>
      <c r="Q177" s="471">
        <v>355.13161608511865</v>
      </c>
      <c r="R177" s="572">
        <f t="shared" si="12"/>
        <v>2242.301185127953</v>
      </c>
      <c r="S177" s="471">
        <v>106.30667955203799</v>
      </c>
      <c r="T177" s="471">
        <v>178.67999761154664</v>
      </c>
      <c r="U177" s="471">
        <v>121.27476017651209</v>
      </c>
      <c r="V177" s="471">
        <v>0</v>
      </c>
      <c r="W177" s="471">
        <v>0</v>
      </c>
      <c r="X177" s="471">
        <v>54.154001353123945</v>
      </c>
      <c r="Y177" s="471">
        <v>33.574545368329652</v>
      </c>
      <c r="Z177" s="471">
        <v>1231.0092165881945</v>
      </c>
      <c r="AA177" s="471">
        <v>1202.644833009688</v>
      </c>
      <c r="AB177" s="471">
        <v>768.11642014364099</v>
      </c>
      <c r="AC177" s="471">
        <v>95.985251730086731</v>
      </c>
      <c r="AD177" s="471">
        <v>11.816366216772041</v>
      </c>
      <c r="AE177" s="471">
        <v>134.14226376987696</v>
      </c>
      <c r="AF177" s="471">
        <v>0</v>
      </c>
      <c r="AG177" s="471">
        <v>194.13112353194569</v>
      </c>
      <c r="AH177" s="685">
        <f t="shared" si="13"/>
        <v>8514.5229619274432</v>
      </c>
      <c r="AI177" s="472">
        <f t="shared" si="14"/>
        <v>8708.6540854593895</v>
      </c>
      <c r="AJ177" s="472"/>
      <c r="AK177" s="472"/>
      <c r="AL177" s="570">
        <v>38.46</v>
      </c>
      <c r="AM177" s="570">
        <v>2203.8411851279529</v>
      </c>
      <c r="AN177" s="566">
        <v>0</v>
      </c>
      <c r="AO177" s="566">
        <f t="shared" si="15"/>
        <v>2242.301185127953</v>
      </c>
    </row>
    <row r="178" spans="1:41" x14ac:dyDescent="0.3">
      <c r="A178" s="466">
        <v>150000754</v>
      </c>
      <c r="B178" s="467" t="s">
        <v>240</v>
      </c>
      <c r="C178" s="468">
        <v>2805.68</v>
      </c>
      <c r="D178" s="469"/>
      <c r="E178" s="470"/>
      <c r="F178" s="470">
        <v>2805.68</v>
      </c>
      <c r="G178" s="471">
        <v>870.58577348758899</v>
      </c>
      <c r="H178" s="471">
        <v>164.69092413764568</v>
      </c>
      <c r="I178" s="471">
        <v>325.02</v>
      </c>
      <c r="J178" s="471">
        <v>0</v>
      </c>
      <c r="K178" s="471">
        <v>59.112908977718426</v>
      </c>
      <c r="L178" s="471">
        <v>560.95874838732254</v>
      </c>
      <c r="M178" s="572">
        <f t="shared" si="11"/>
        <v>0</v>
      </c>
      <c r="N178" s="471">
        <v>999.71791800665562</v>
      </c>
      <c r="O178" s="471">
        <v>0</v>
      </c>
      <c r="P178" s="471">
        <v>0</v>
      </c>
      <c r="Q178" s="471">
        <v>426.15793930214238</v>
      </c>
      <c r="R178" s="572">
        <f t="shared" si="12"/>
        <v>4102.8044396440764</v>
      </c>
      <c r="S178" s="471">
        <v>144.7083987412241</v>
      </c>
      <c r="T178" s="471">
        <v>212.27169726709224</v>
      </c>
      <c r="U178" s="471">
        <v>167.34646453292541</v>
      </c>
      <c r="V178" s="471">
        <v>0</v>
      </c>
      <c r="W178" s="471">
        <v>59.973570119372766</v>
      </c>
      <c r="X178" s="471">
        <v>79.530315357186169</v>
      </c>
      <c r="Y178" s="471">
        <v>0</v>
      </c>
      <c r="Z178" s="471">
        <v>2235.8701378464607</v>
      </c>
      <c r="AA178" s="471">
        <v>1370.3874196117677</v>
      </c>
      <c r="AB178" s="471">
        <v>961.74436253170211</v>
      </c>
      <c r="AC178" s="471">
        <v>140.81595280626871</v>
      </c>
      <c r="AD178" s="471">
        <v>17.335297220468686</v>
      </c>
      <c r="AE178" s="471">
        <v>776.77729485347356</v>
      </c>
      <c r="AF178" s="471">
        <v>0</v>
      </c>
      <c r="AG178" s="471">
        <v>787.72663081907092</v>
      </c>
      <c r="AH178" s="685">
        <f t="shared" si="13"/>
        <v>13675.809562831093</v>
      </c>
      <c r="AI178" s="472">
        <f t="shared" si="14"/>
        <v>14463.536193650163</v>
      </c>
      <c r="AJ178" s="472"/>
      <c r="AK178" s="472"/>
      <c r="AL178" s="570">
        <v>98.33</v>
      </c>
      <c r="AM178" s="570">
        <v>4004.4744396440765</v>
      </c>
      <c r="AN178" s="566">
        <v>0</v>
      </c>
      <c r="AO178" s="566">
        <f t="shared" si="15"/>
        <v>4102.8044396440764</v>
      </c>
    </row>
    <row r="179" spans="1:41" x14ac:dyDescent="0.3">
      <c r="A179" s="466">
        <v>150000758</v>
      </c>
      <c r="B179" s="467" t="s">
        <v>388</v>
      </c>
      <c r="C179" s="468">
        <v>13211.52</v>
      </c>
      <c r="D179" s="469">
        <v>1410.95</v>
      </c>
      <c r="E179" s="470">
        <v>6.8</v>
      </c>
      <c r="F179" s="470">
        <v>13218.32</v>
      </c>
      <c r="G179" s="471">
        <v>2815.6718992081564</v>
      </c>
      <c r="H179" s="471">
        <v>789.84693597446005</v>
      </c>
      <c r="I179" s="471">
        <v>1516.06</v>
      </c>
      <c r="J179" s="471">
        <v>329.41</v>
      </c>
      <c r="K179" s="471">
        <v>113.76446232525529</v>
      </c>
      <c r="L179" s="471">
        <v>1897.0658201324311</v>
      </c>
      <c r="M179" s="572">
        <f t="shared" si="11"/>
        <v>0</v>
      </c>
      <c r="N179" s="471">
        <v>4709.9424559984518</v>
      </c>
      <c r="O179" s="471">
        <v>14108.356885076642</v>
      </c>
      <c r="P179" s="471">
        <v>394.60553971773282</v>
      </c>
      <c r="Q179" s="471">
        <v>990.42261819294208</v>
      </c>
      <c r="R179" s="572">
        <f t="shared" si="12"/>
        <v>20323.128090891649</v>
      </c>
      <c r="S179" s="471">
        <v>229.72644545691136</v>
      </c>
      <c r="T179" s="471">
        <v>522.40116839630707</v>
      </c>
      <c r="U179" s="471">
        <v>411.41678424325391</v>
      </c>
      <c r="V179" s="471">
        <v>156.13831641967201</v>
      </c>
      <c r="W179" s="471">
        <v>57.710013304674192</v>
      </c>
      <c r="X179" s="471">
        <v>271.22439877985192</v>
      </c>
      <c r="Y179" s="471">
        <v>0</v>
      </c>
      <c r="Z179" s="471">
        <v>14132.424235392267</v>
      </c>
      <c r="AA179" s="471">
        <v>9616.7117460088921</v>
      </c>
      <c r="AB179" s="471">
        <v>954.31698237810463</v>
      </c>
      <c r="AC179" s="471">
        <v>375.0680086756351</v>
      </c>
      <c r="AD179" s="471">
        <v>46.173145007417205</v>
      </c>
      <c r="AE179" s="471">
        <v>1665.8597407701</v>
      </c>
      <c r="AF179" s="471">
        <v>2303.8153905593986</v>
      </c>
      <c r="AG179" s="471">
        <v>944.77513299492239</v>
      </c>
      <c r="AH179" s="685">
        <f t="shared" si="13"/>
        <v>78731.26108291019</v>
      </c>
      <c r="AI179" s="472">
        <f t="shared" si="14"/>
        <v>79676.036215905115</v>
      </c>
      <c r="AJ179" s="472"/>
      <c r="AK179" s="472"/>
      <c r="AL179" s="570">
        <v>124.87</v>
      </c>
      <c r="AM179" s="570">
        <v>20198.25809089165</v>
      </c>
      <c r="AN179" s="566">
        <v>0</v>
      </c>
      <c r="AO179" s="566">
        <f t="shared" si="15"/>
        <v>20323.128090891649</v>
      </c>
    </row>
    <row r="180" spans="1:41" x14ac:dyDescent="0.3">
      <c r="A180" s="466">
        <v>150000759</v>
      </c>
      <c r="B180" s="467" t="s">
        <v>389</v>
      </c>
      <c r="C180" s="468">
        <v>5689.68</v>
      </c>
      <c r="D180" s="469">
        <v>618.45000000000005</v>
      </c>
      <c r="E180" s="470"/>
      <c r="F180" s="470">
        <v>5689.68</v>
      </c>
      <c r="G180" s="471">
        <v>1231.5053448827728</v>
      </c>
      <c r="H180" s="471">
        <v>193.73837448636257</v>
      </c>
      <c r="I180" s="471">
        <v>701.05</v>
      </c>
      <c r="J180" s="471">
        <v>162.01</v>
      </c>
      <c r="K180" s="471">
        <v>48.759641997087023</v>
      </c>
      <c r="L180" s="471">
        <v>978.79664519098435</v>
      </c>
      <c r="M180" s="572">
        <f t="shared" si="11"/>
        <v>0</v>
      </c>
      <c r="N180" s="471">
        <v>2027.3427631533564</v>
      </c>
      <c r="O180" s="471">
        <v>7201.1332979473464</v>
      </c>
      <c r="P180" s="471">
        <v>0</v>
      </c>
      <c r="Q180" s="471">
        <v>426.15793930214238</v>
      </c>
      <c r="R180" s="572">
        <f t="shared" si="12"/>
        <v>8764.9236574121351</v>
      </c>
      <c r="S180" s="471">
        <v>101.9210388469421</v>
      </c>
      <c r="T180" s="471">
        <v>130.5856989042862</v>
      </c>
      <c r="U180" s="471">
        <v>171.89404420435167</v>
      </c>
      <c r="V180" s="471">
        <v>90.280983412617488</v>
      </c>
      <c r="W180" s="471">
        <v>24.729395646982791</v>
      </c>
      <c r="X180" s="471">
        <v>126.20004885315075</v>
      </c>
      <c r="Y180" s="471">
        <v>0</v>
      </c>
      <c r="Z180" s="471">
        <v>6188.0480601319496</v>
      </c>
      <c r="AA180" s="471">
        <v>2734.9043319544817</v>
      </c>
      <c r="AB180" s="471">
        <v>943.49706194297869</v>
      </c>
      <c r="AC180" s="471">
        <v>225.8937895670274</v>
      </c>
      <c r="AD180" s="471">
        <v>27.808894548971171</v>
      </c>
      <c r="AE180" s="471">
        <v>1430.3308822904321</v>
      </c>
      <c r="AF180" s="471">
        <v>795.49482003066578</v>
      </c>
      <c r="AG180" s="471">
        <v>625.08612086472647</v>
      </c>
      <c r="AH180" s="685">
        <f t="shared" si="13"/>
        <v>34727.006714707037</v>
      </c>
      <c r="AI180" s="472">
        <f t="shared" si="14"/>
        <v>35352.092835571762</v>
      </c>
      <c r="AJ180" s="472"/>
      <c r="AK180" s="472"/>
      <c r="AL180" s="570">
        <v>382.5</v>
      </c>
      <c r="AM180" s="570">
        <v>8382.4236574121351</v>
      </c>
      <c r="AN180" s="566">
        <v>0</v>
      </c>
      <c r="AO180" s="566">
        <f t="shared" si="15"/>
        <v>8764.9236574121351</v>
      </c>
    </row>
    <row r="181" spans="1:41" x14ac:dyDescent="0.3">
      <c r="A181" s="466">
        <v>150000760</v>
      </c>
      <c r="B181" s="467" t="s">
        <v>387</v>
      </c>
      <c r="C181" s="468">
        <v>11337.62</v>
      </c>
      <c r="D181" s="469">
        <v>1200.4000000000001</v>
      </c>
      <c r="E181" s="470"/>
      <c r="F181" s="470">
        <v>11337.62</v>
      </c>
      <c r="G181" s="471">
        <v>2247.7574381939903</v>
      </c>
      <c r="H181" s="471">
        <v>677.03641993572239</v>
      </c>
      <c r="I181" s="471">
        <v>1319.81</v>
      </c>
      <c r="J181" s="471">
        <v>300.26</v>
      </c>
      <c r="K181" s="471">
        <v>97.519365684823939</v>
      </c>
      <c r="L181" s="471">
        <v>2034.3449311458126</v>
      </c>
      <c r="M181" s="572">
        <f t="shared" si="11"/>
        <v>0</v>
      </c>
      <c r="N181" s="471">
        <v>4039.8127589570513</v>
      </c>
      <c r="O181" s="471">
        <v>7446.0877673198156</v>
      </c>
      <c r="P181" s="471">
        <v>789.21107943546565</v>
      </c>
      <c r="Q181" s="471">
        <v>852.31587860428476</v>
      </c>
      <c r="R181" s="572">
        <f t="shared" si="12"/>
        <v>16614.895490345403</v>
      </c>
      <c r="S181" s="471">
        <v>177.67201540855604</v>
      </c>
      <c r="T181" s="471">
        <v>447.79288469225742</v>
      </c>
      <c r="U181" s="471">
        <v>372.73157577048681</v>
      </c>
      <c r="V181" s="471">
        <v>144.06378271370713</v>
      </c>
      <c r="W181" s="471">
        <v>49.470906063874629</v>
      </c>
      <c r="X181" s="471">
        <v>259.36009049060476</v>
      </c>
      <c r="Y181" s="471">
        <v>0</v>
      </c>
      <c r="Z181" s="471">
        <v>10305.122852449989</v>
      </c>
      <c r="AA181" s="471">
        <v>10535.267436543629</v>
      </c>
      <c r="AB181" s="471">
        <v>917.38662445048669</v>
      </c>
      <c r="AC181" s="471">
        <v>324.78114901030165</v>
      </c>
      <c r="AD181" s="471">
        <v>39.982527813768186</v>
      </c>
      <c r="AE181" s="471">
        <v>1292.7570722380701</v>
      </c>
      <c r="AF181" s="471">
        <v>1824.9587047762334</v>
      </c>
      <c r="AG181" s="471">
        <v>1893.3119625613301</v>
      </c>
      <c r="AH181" s="685">
        <f t="shared" si="13"/>
        <v>63110.398752044348</v>
      </c>
      <c r="AI181" s="472">
        <f t="shared" si="14"/>
        <v>65003.710714605681</v>
      </c>
      <c r="AJ181" s="472"/>
      <c r="AK181" s="472"/>
      <c r="AL181" s="570">
        <v>150.88</v>
      </c>
      <c r="AM181" s="570">
        <v>16464.015490345402</v>
      </c>
      <c r="AN181" s="566">
        <v>0</v>
      </c>
      <c r="AO181" s="566">
        <f t="shared" si="15"/>
        <v>16614.895490345403</v>
      </c>
    </row>
    <row r="182" spans="1:41" x14ac:dyDescent="0.3">
      <c r="A182" s="466">
        <v>150000761</v>
      </c>
      <c r="B182" s="467" t="s">
        <v>390</v>
      </c>
      <c r="C182" s="468">
        <v>6720.79</v>
      </c>
      <c r="D182" s="469">
        <v>727.4</v>
      </c>
      <c r="E182" s="470">
        <v>94.6</v>
      </c>
      <c r="F182" s="470">
        <v>6815.39</v>
      </c>
      <c r="G182" s="471">
        <v>1300.8431913948937</v>
      </c>
      <c r="H182" s="471">
        <v>198.30007928311227</v>
      </c>
      <c r="I182" s="471">
        <v>828.02</v>
      </c>
      <c r="J182" s="471">
        <v>165.56</v>
      </c>
      <c r="K182" s="471">
        <v>65.004820328168279</v>
      </c>
      <c r="L182" s="471">
        <v>651.23247253670525</v>
      </c>
      <c r="M182" s="572">
        <f t="shared" si="11"/>
        <v>0</v>
      </c>
      <c r="N182" s="471">
        <v>2428.4549560902815</v>
      </c>
      <c r="O182" s="471">
        <v>4800.7555319648973</v>
      </c>
      <c r="P182" s="471">
        <v>0</v>
      </c>
      <c r="Q182" s="471">
        <v>355.13161608511865</v>
      </c>
      <c r="R182" s="572">
        <f t="shared" si="12"/>
        <v>7436.6169568459873</v>
      </c>
      <c r="S182" s="471">
        <v>61.15719837770034</v>
      </c>
      <c r="T182" s="471">
        <v>78.967337990191282</v>
      </c>
      <c r="U182" s="471">
        <v>132.18653170670254</v>
      </c>
      <c r="V182" s="471">
        <v>45.722318597068174</v>
      </c>
      <c r="W182" s="471">
        <v>19.78837059461484</v>
      </c>
      <c r="X182" s="471">
        <v>44.62535040765917</v>
      </c>
      <c r="Y182" s="471">
        <v>0</v>
      </c>
      <c r="Z182" s="471">
        <v>6619.1794887925425</v>
      </c>
      <c r="AA182" s="471">
        <v>4129.1381532254209</v>
      </c>
      <c r="AB182" s="471">
        <v>1793.9428081438748</v>
      </c>
      <c r="AC182" s="471">
        <v>197.25263363071321</v>
      </c>
      <c r="AD182" s="471">
        <v>24.282994670447646</v>
      </c>
      <c r="AE182" s="471">
        <v>1884.2308678373415</v>
      </c>
      <c r="AF182" s="471">
        <v>795.49482003066578</v>
      </c>
      <c r="AG182" s="471">
        <v>326.93652958592742</v>
      </c>
      <c r="AH182" s="685">
        <f t="shared" si="13"/>
        <v>34055.888498534106</v>
      </c>
      <c r="AI182" s="472">
        <f t="shared" si="14"/>
        <v>34382.825028120031</v>
      </c>
      <c r="AJ182" s="472"/>
      <c r="AK182" s="472"/>
      <c r="AL182" s="570">
        <v>63.19</v>
      </c>
      <c r="AM182" s="570">
        <v>7373.4269568459877</v>
      </c>
      <c r="AN182" s="566">
        <v>0</v>
      </c>
      <c r="AO182" s="566">
        <f t="shared" si="15"/>
        <v>7436.6169568459873</v>
      </c>
    </row>
    <row r="183" spans="1:41" x14ac:dyDescent="0.3">
      <c r="A183" s="466">
        <v>150000762</v>
      </c>
      <c r="B183" s="467" t="s">
        <v>391</v>
      </c>
      <c r="C183" s="468">
        <v>2823.8</v>
      </c>
      <c r="D183" s="469">
        <v>312.10000000000002</v>
      </c>
      <c r="E183" s="470"/>
      <c r="F183" s="470">
        <v>2823.8</v>
      </c>
      <c r="G183" s="471">
        <v>719.72318671763799</v>
      </c>
      <c r="H183" s="471">
        <v>115.59677405759761</v>
      </c>
      <c r="I183" s="471">
        <v>0</v>
      </c>
      <c r="J183" s="471">
        <v>0</v>
      </c>
      <c r="K183" s="471">
        <v>32.51454535665566</v>
      </c>
      <c r="L183" s="471">
        <v>278.40316772533157</v>
      </c>
      <c r="M183" s="572">
        <f t="shared" si="11"/>
        <v>0</v>
      </c>
      <c r="N183" s="471">
        <v>1006.1744236217938</v>
      </c>
      <c r="O183" s="471">
        <v>1248.2026774859323</v>
      </c>
      <c r="P183" s="471">
        <v>0</v>
      </c>
      <c r="Q183" s="471">
        <v>142.05264643404746</v>
      </c>
      <c r="R183" s="572">
        <f t="shared" si="12"/>
        <v>3033.1256923930755</v>
      </c>
      <c r="S183" s="471">
        <v>35.561314940189853</v>
      </c>
      <c r="T183" s="471">
        <v>45.83711198674623</v>
      </c>
      <c r="U183" s="471">
        <v>0</v>
      </c>
      <c r="V183" s="471">
        <v>0</v>
      </c>
      <c r="W183" s="471">
        <v>9.8941852973074198</v>
      </c>
      <c r="X183" s="471">
        <v>23.856761961140311</v>
      </c>
      <c r="Y183" s="471">
        <v>0</v>
      </c>
      <c r="Z183" s="471">
        <v>3211.7627129468042</v>
      </c>
      <c r="AA183" s="471">
        <v>1917.6998124094537</v>
      </c>
      <c r="AB183" s="471">
        <v>993.26869594455775</v>
      </c>
      <c r="AC183" s="471">
        <v>87.124509007812378</v>
      </c>
      <c r="AD183" s="471">
        <v>10.725555086189024</v>
      </c>
      <c r="AE183" s="471">
        <v>159.09896400613314</v>
      </c>
      <c r="AF183" s="471">
        <v>336.91545318945839</v>
      </c>
      <c r="AG183" s="471">
        <v>402.22614571703588</v>
      </c>
      <c r="AH183" s="685">
        <f t="shared" si="13"/>
        <v>13407.538190567862</v>
      </c>
      <c r="AI183" s="472">
        <f t="shared" si="14"/>
        <v>13809.764336284898</v>
      </c>
      <c r="AJ183" s="472"/>
      <c r="AK183" s="472"/>
      <c r="AL183" s="570">
        <v>33.11</v>
      </c>
      <c r="AM183" s="570">
        <v>3000.0156923930754</v>
      </c>
      <c r="AN183" s="566">
        <v>0</v>
      </c>
      <c r="AO183" s="566">
        <f t="shared" si="15"/>
        <v>3033.1256923930755</v>
      </c>
    </row>
    <row r="184" spans="1:41" x14ac:dyDescent="0.3">
      <c r="A184" s="466">
        <v>150000763</v>
      </c>
      <c r="B184" s="467" t="s">
        <v>117</v>
      </c>
      <c r="C184" s="468">
        <v>182.8</v>
      </c>
      <c r="D184" s="473"/>
      <c r="E184" s="470"/>
      <c r="F184" s="470">
        <v>182.8</v>
      </c>
      <c r="G184" s="471">
        <v>0</v>
      </c>
      <c r="H184" s="471">
        <v>0</v>
      </c>
      <c r="I184" s="471">
        <v>0</v>
      </c>
      <c r="J184" s="471">
        <v>0</v>
      </c>
      <c r="K184" s="471">
        <v>0</v>
      </c>
      <c r="L184" s="471">
        <v>0</v>
      </c>
      <c r="M184" s="572">
        <f t="shared" si="11"/>
        <v>0</v>
      </c>
      <c r="N184" s="471">
        <v>0</v>
      </c>
      <c r="O184" s="471">
        <v>0</v>
      </c>
      <c r="P184" s="471">
        <v>0</v>
      </c>
      <c r="Q184" s="471">
        <v>19.729534226951035</v>
      </c>
      <c r="R184" s="572">
        <f t="shared" si="12"/>
        <v>200.65643977445444</v>
      </c>
      <c r="S184" s="471">
        <v>0</v>
      </c>
      <c r="T184" s="471">
        <v>0</v>
      </c>
      <c r="U184" s="471">
        <v>0</v>
      </c>
      <c r="V184" s="471">
        <v>0</v>
      </c>
      <c r="W184" s="471">
        <v>0</v>
      </c>
      <c r="X184" s="471">
        <v>0</v>
      </c>
      <c r="Y184" s="471">
        <v>0</v>
      </c>
      <c r="Z184" s="471">
        <v>19.939175628497924</v>
      </c>
      <c r="AA184" s="471">
        <v>0</v>
      </c>
      <c r="AB184" s="471">
        <v>0</v>
      </c>
      <c r="AC184" s="471">
        <v>0</v>
      </c>
      <c r="AD184" s="471">
        <v>0</v>
      </c>
      <c r="AE184" s="471">
        <v>0</v>
      </c>
      <c r="AF184" s="471">
        <v>0</v>
      </c>
      <c r="AG184" s="471">
        <v>7.2097544888971035</v>
      </c>
      <c r="AH184" s="685">
        <f t="shared" si="13"/>
        <v>240.32514962990342</v>
      </c>
      <c r="AI184" s="472">
        <f t="shared" si="14"/>
        <v>247.53490411880051</v>
      </c>
      <c r="AJ184" s="472"/>
      <c r="AK184" s="472"/>
      <c r="AL184" s="570">
        <v>19.34</v>
      </c>
      <c r="AM184" s="570">
        <v>181.31643977445444</v>
      </c>
      <c r="AN184" s="566">
        <v>0</v>
      </c>
      <c r="AO184" s="566">
        <f t="shared" si="15"/>
        <v>200.65643977445444</v>
      </c>
    </row>
    <row r="185" spans="1:41" x14ac:dyDescent="0.3">
      <c r="A185" s="466">
        <v>150000764</v>
      </c>
      <c r="B185" s="467" t="s">
        <v>118</v>
      </c>
      <c r="C185" s="468">
        <v>229</v>
      </c>
      <c r="D185" s="473"/>
      <c r="E185" s="470"/>
      <c r="F185" s="470">
        <v>229</v>
      </c>
      <c r="G185" s="471">
        <v>0</v>
      </c>
      <c r="H185" s="471">
        <v>0</v>
      </c>
      <c r="I185" s="471">
        <v>0</v>
      </c>
      <c r="J185" s="471">
        <v>0</v>
      </c>
      <c r="K185" s="471">
        <v>0</v>
      </c>
      <c r="L185" s="471">
        <v>0</v>
      </c>
      <c r="M185" s="572">
        <f t="shared" si="11"/>
        <v>0</v>
      </c>
      <c r="N185" s="471">
        <v>0</v>
      </c>
      <c r="O185" s="471">
        <v>0</v>
      </c>
      <c r="P185" s="471">
        <v>0</v>
      </c>
      <c r="Q185" s="471">
        <v>11.837720536170622</v>
      </c>
      <c r="R185" s="572">
        <f t="shared" si="12"/>
        <v>259.46744318567664</v>
      </c>
      <c r="S185" s="471">
        <v>0</v>
      </c>
      <c r="T185" s="471">
        <v>0</v>
      </c>
      <c r="U185" s="471">
        <v>0</v>
      </c>
      <c r="V185" s="471">
        <v>0</v>
      </c>
      <c r="W185" s="471">
        <v>0</v>
      </c>
      <c r="X185" s="471">
        <v>0</v>
      </c>
      <c r="Y185" s="471">
        <v>0</v>
      </c>
      <c r="Z185" s="471">
        <v>9.9695878142489622</v>
      </c>
      <c r="AA185" s="471">
        <v>0</v>
      </c>
      <c r="AB185" s="471">
        <v>0</v>
      </c>
      <c r="AC185" s="471">
        <v>0</v>
      </c>
      <c r="AD185" s="471">
        <v>0</v>
      </c>
      <c r="AE185" s="471">
        <v>0</v>
      </c>
      <c r="AF185" s="471">
        <v>0</v>
      </c>
      <c r="AG185" s="471">
        <v>8.438242546082888</v>
      </c>
      <c r="AH185" s="685">
        <f t="shared" si="13"/>
        <v>281.27475153609623</v>
      </c>
      <c r="AI185" s="472">
        <f t="shared" si="14"/>
        <v>289.71299408217914</v>
      </c>
      <c r="AJ185" s="472"/>
      <c r="AK185" s="472"/>
      <c r="AL185" s="570">
        <v>29.07</v>
      </c>
      <c r="AM185" s="570">
        <v>230.39744318567665</v>
      </c>
      <c r="AN185" s="566">
        <v>0</v>
      </c>
      <c r="AO185" s="566">
        <f t="shared" si="15"/>
        <v>259.46744318567664</v>
      </c>
    </row>
    <row r="186" spans="1:41" x14ac:dyDescent="0.3">
      <c r="A186" s="466">
        <v>150000765</v>
      </c>
      <c r="B186" s="467" t="s">
        <v>264</v>
      </c>
      <c r="C186" s="468">
        <v>4524.01</v>
      </c>
      <c r="D186" s="469"/>
      <c r="E186" s="470"/>
      <c r="F186" s="470">
        <v>4524.01</v>
      </c>
      <c r="G186" s="471">
        <v>1326.287447017633</v>
      </c>
      <c r="H186" s="471">
        <v>273.45733746067776</v>
      </c>
      <c r="I186" s="471">
        <v>509.36</v>
      </c>
      <c r="J186" s="471">
        <v>0</v>
      </c>
      <c r="K186" s="471">
        <v>107.87259182013038</v>
      </c>
      <c r="L186" s="471">
        <v>975.93735042715571</v>
      </c>
      <c r="M186" s="572">
        <f t="shared" si="11"/>
        <v>0</v>
      </c>
      <c r="N186" s="471">
        <v>1611.9920512108617</v>
      </c>
      <c r="O186" s="471">
        <v>0</v>
      </c>
      <c r="P186" s="471">
        <v>0</v>
      </c>
      <c r="Q186" s="471">
        <v>1578.362738156083</v>
      </c>
      <c r="R186" s="572">
        <f t="shared" si="12"/>
        <v>4676.1776370005482</v>
      </c>
      <c r="S186" s="471">
        <v>215.04580693729167</v>
      </c>
      <c r="T186" s="471">
        <v>352.43147208077619</v>
      </c>
      <c r="U186" s="471">
        <v>304.78845080212869</v>
      </c>
      <c r="V186" s="471">
        <v>0</v>
      </c>
      <c r="W186" s="471">
        <v>109.43236141333836</v>
      </c>
      <c r="X186" s="471">
        <v>143.40422235958118</v>
      </c>
      <c r="Y186" s="471">
        <v>0</v>
      </c>
      <c r="Z186" s="471">
        <v>3344.6899342587876</v>
      </c>
      <c r="AA186" s="471">
        <v>2075.7749615709945</v>
      </c>
      <c r="AB186" s="471">
        <v>1298.7194734159793</v>
      </c>
      <c r="AC186" s="471">
        <v>173.48917562450299</v>
      </c>
      <c r="AD186" s="471">
        <v>21.357568968925559</v>
      </c>
      <c r="AE186" s="471">
        <v>614.55874331780842</v>
      </c>
      <c r="AF186" s="471">
        <v>0</v>
      </c>
      <c r="AG186" s="471">
        <v>1182.788359430592</v>
      </c>
      <c r="AH186" s="685">
        <f t="shared" si="13"/>
        <v>19713.139323843199</v>
      </c>
      <c r="AI186" s="472">
        <f t="shared" si="14"/>
        <v>20895.927683273792</v>
      </c>
      <c r="AJ186" s="472"/>
      <c r="AK186" s="472"/>
      <c r="AL186" s="570">
        <v>150.88</v>
      </c>
      <c r="AM186" s="570">
        <v>4525.2976370005481</v>
      </c>
      <c r="AN186" s="566">
        <v>0</v>
      </c>
      <c r="AO186" s="566">
        <f t="shared" si="15"/>
        <v>4676.1776370005482</v>
      </c>
    </row>
    <row r="187" spans="1:41" x14ac:dyDescent="0.3">
      <c r="A187" s="466">
        <v>150000768</v>
      </c>
      <c r="B187" s="467" t="s">
        <v>116</v>
      </c>
      <c r="C187" s="468">
        <v>119.3</v>
      </c>
      <c r="D187" s="473"/>
      <c r="E187" s="470"/>
      <c r="F187" s="470">
        <v>119.3</v>
      </c>
      <c r="G187" s="471">
        <v>0</v>
      </c>
      <c r="H187" s="471">
        <v>0</v>
      </c>
      <c r="I187" s="471">
        <v>0</v>
      </c>
      <c r="J187" s="471">
        <v>0</v>
      </c>
      <c r="K187" s="471">
        <v>0</v>
      </c>
      <c r="L187" s="471">
        <v>0</v>
      </c>
      <c r="M187" s="572">
        <f t="shared" si="11"/>
        <v>0</v>
      </c>
      <c r="N187" s="471">
        <v>0</v>
      </c>
      <c r="O187" s="471">
        <v>0</v>
      </c>
      <c r="P187" s="471">
        <v>0</v>
      </c>
      <c r="Q187" s="471">
        <v>15.783627381560828</v>
      </c>
      <c r="R187" s="572">
        <f t="shared" si="12"/>
        <v>174.7531841843402</v>
      </c>
      <c r="S187" s="471">
        <v>0</v>
      </c>
      <c r="T187" s="471">
        <v>0</v>
      </c>
      <c r="U187" s="471">
        <v>0</v>
      </c>
      <c r="V187" s="471">
        <v>0</v>
      </c>
      <c r="W187" s="471">
        <v>0</v>
      </c>
      <c r="X187" s="471">
        <v>0</v>
      </c>
      <c r="Y187" s="471">
        <v>0</v>
      </c>
      <c r="Z187" s="471">
        <v>0</v>
      </c>
      <c r="AA187" s="471">
        <v>0</v>
      </c>
      <c r="AB187" s="471">
        <v>0</v>
      </c>
      <c r="AC187" s="471">
        <v>0</v>
      </c>
      <c r="AD187" s="471">
        <v>0</v>
      </c>
      <c r="AE187" s="471">
        <v>0</v>
      </c>
      <c r="AF187" s="471">
        <v>0</v>
      </c>
      <c r="AG187" s="471">
        <v>3.4296626081862183</v>
      </c>
      <c r="AH187" s="685">
        <f t="shared" si="13"/>
        <v>190.53681156590102</v>
      </c>
      <c r="AI187" s="472">
        <f t="shared" si="14"/>
        <v>193.96647417408724</v>
      </c>
      <c r="AJ187" s="472"/>
      <c r="AK187" s="472"/>
      <c r="AL187" s="570">
        <v>31.87</v>
      </c>
      <c r="AM187" s="570">
        <v>142.88318418434019</v>
      </c>
      <c r="AN187" s="566">
        <v>0</v>
      </c>
      <c r="AO187" s="566">
        <f t="shared" si="15"/>
        <v>174.7531841843402</v>
      </c>
    </row>
    <row r="188" spans="1:41" x14ac:dyDescent="0.3">
      <c r="A188" s="466">
        <v>150000770</v>
      </c>
      <c r="B188" s="467" t="s">
        <v>119</v>
      </c>
      <c r="C188" s="468">
        <v>144.5</v>
      </c>
      <c r="D188" s="473"/>
      <c r="E188" s="470"/>
      <c r="F188" s="470">
        <v>144.5</v>
      </c>
      <c r="G188" s="471">
        <v>0</v>
      </c>
      <c r="H188" s="471">
        <v>0</v>
      </c>
      <c r="I188" s="471">
        <v>0</v>
      </c>
      <c r="J188" s="471">
        <v>0</v>
      </c>
      <c r="K188" s="471">
        <v>0</v>
      </c>
      <c r="L188" s="471">
        <v>0</v>
      </c>
      <c r="M188" s="572">
        <f t="shared" si="11"/>
        <v>0</v>
      </c>
      <c r="N188" s="471">
        <v>0</v>
      </c>
      <c r="O188" s="471">
        <v>0</v>
      </c>
      <c r="P188" s="471">
        <v>0</v>
      </c>
      <c r="Q188" s="471">
        <v>19.729534226951035</v>
      </c>
      <c r="R188" s="572">
        <f t="shared" si="12"/>
        <v>195.75535335819563</v>
      </c>
      <c r="S188" s="471">
        <v>0</v>
      </c>
      <c r="T188" s="471">
        <v>0</v>
      </c>
      <c r="U188" s="471">
        <v>0</v>
      </c>
      <c r="V188" s="471">
        <v>0</v>
      </c>
      <c r="W188" s="471">
        <v>0</v>
      </c>
      <c r="X188" s="471">
        <v>0</v>
      </c>
      <c r="Y188" s="471">
        <v>0</v>
      </c>
      <c r="Z188" s="471">
        <v>0</v>
      </c>
      <c r="AA188" s="471">
        <v>0</v>
      </c>
      <c r="AB188" s="471">
        <v>0</v>
      </c>
      <c r="AC188" s="471">
        <v>0</v>
      </c>
      <c r="AD188" s="471">
        <v>0</v>
      </c>
      <c r="AE188" s="471">
        <v>0</v>
      </c>
      <c r="AF188" s="471">
        <v>0</v>
      </c>
      <c r="AG188" s="471">
        <v>3.8787279765326397</v>
      </c>
      <c r="AH188" s="685">
        <f t="shared" si="13"/>
        <v>215.48488758514668</v>
      </c>
      <c r="AI188" s="472">
        <f t="shared" si="14"/>
        <v>219.36361556167932</v>
      </c>
      <c r="AJ188" s="472"/>
      <c r="AK188" s="472"/>
      <c r="AL188" s="570">
        <v>29.36</v>
      </c>
      <c r="AM188" s="570">
        <v>166.39535335819565</v>
      </c>
      <c r="AN188" s="566">
        <v>0</v>
      </c>
      <c r="AO188" s="566">
        <f t="shared" si="15"/>
        <v>195.75535335819563</v>
      </c>
    </row>
    <row r="189" spans="1:41" x14ac:dyDescent="0.3">
      <c r="A189" s="466">
        <v>150000777</v>
      </c>
      <c r="B189" s="467" t="s">
        <v>168</v>
      </c>
      <c r="C189" s="468">
        <v>393</v>
      </c>
      <c r="D189" s="469"/>
      <c r="E189" s="470"/>
      <c r="F189" s="470">
        <v>393</v>
      </c>
      <c r="G189" s="471">
        <v>123.94942598972295</v>
      </c>
      <c r="H189" s="471">
        <v>18.96217873778275</v>
      </c>
      <c r="I189" s="471">
        <v>48.04</v>
      </c>
      <c r="J189" s="471">
        <v>9.81</v>
      </c>
      <c r="K189" s="471">
        <v>0</v>
      </c>
      <c r="L189" s="471">
        <v>48.871201082828662</v>
      </c>
      <c r="M189" s="572">
        <f t="shared" si="11"/>
        <v>0</v>
      </c>
      <c r="N189" s="471">
        <v>140.03348271243181</v>
      </c>
      <c r="O189" s="471">
        <v>0</v>
      </c>
      <c r="P189" s="471">
        <v>0</v>
      </c>
      <c r="Q189" s="471">
        <v>31.567254763121657</v>
      </c>
      <c r="R189" s="572">
        <f t="shared" si="12"/>
        <v>364.92663630262473</v>
      </c>
      <c r="S189" s="471">
        <v>23.034329856202049</v>
      </c>
      <c r="T189" s="471">
        <v>24.462986820579289</v>
      </c>
      <c r="U189" s="471">
        <v>11.156848760464133</v>
      </c>
      <c r="V189" s="471">
        <v>14.32947846687793</v>
      </c>
      <c r="W189" s="471">
        <v>0</v>
      </c>
      <c r="X189" s="471">
        <v>6.5290204978108486</v>
      </c>
      <c r="Y189" s="471">
        <v>0</v>
      </c>
      <c r="Z189" s="471">
        <v>350.4188304300344</v>
      </c>
      <c r="AA189" s="471">
        <v>216.20285780915148</v>
      </c>
      <c r="AB189" s="471">
        <v>47.877163999731984</v>
      </c>
      <c r="AC189" s="471">
        <v>0</v>
      </c>
      <c r="AD189" s="471">
        <v>0</v>
      </c>
      <c r="AE189" s="471">
        <v>23.396906471490166</v>
      </c>
      <c r="AF189" s="471">
        <v>0</v>
      </c>
      <c r="AG189" s="471">
        <v>27.064234848615381</v>
      </c>
      <c r="AH189" s="685">
        <f t="shared" si="13"/>
        <v>1503.5686027008551</v>
      </c>
      <c r="AI189" s="472">
        <f t="shared" si="14"/>
        <v>1530.6328375494704</v>
      </c>
      <c r="AJ189" s="472"/>
      <c r="AK189" s="472"/>
      <c r="AL189" s="570">
        <v>10.61</v>
      </c>
      <c r="AM189" s="570">
        <v>354.31663630262472</v>
      </c>
      <c r="AN189" s="566">
        <v>0</v>
      </c>
      <c r="AO189" s="566">
        <f t="shared" si="15"/>
        <v>364.92663630262473</v>
      </c>
    </row>
    <row r="190" spans="1:41" x14ac:dyDescent="0.3">
      <c r="A190" s="466">
        <v>150000778</v>
      </c>
      <c r="B190" s="467" t="s">
        <v>214</v>
      </c>
      <c r="C190" s="468">
        <v>2055.6</v>
      </c>
      <c r="D190" s="469"/>
      <c r="E190" s="470">
        <v>0</v>
      </c>
      <c r="F190" s="470">
        <v>2055.6</v>
      </c>
      <c r="G190" s="471">
        <v>603.90821848534733</v>
      </c>
      <c r="H190" s="471">
        <v>112.78587804566999</v>
      </c>
      <c r="I190" s="471">
        <v>248.77</v>
      </c>
      <c r="J190" s="471">
        <v>55.63</v>
      </c>
      <c r="K190" s="471">
        <v>0</v>
      </c>
      <c r="L190" s="471">
        <v>419.30656380150458</v>
      </c>
      <c r="M190" s="572">
        <f t="shared" si="11"/>
        <v>0</v>
      </c>
      <c r="N190" s="471">
        <v>732.44994163784941</v>
      </c>
      <c r="O190" s="471">
        <v>0</v>
      </c>
      <c r="P190" s="471">
        <v>0</v>
      </c>
      <c r="Q190" s="471">
        <v>189.40352857872995</v>
      </c>
      <c r="R190" s="572">
        <f t="shared" si="12"/>
        <v>2152.7644456078528</v>
      </c>
      <c r="S190" s="471">
        <v>95.395306708164938</v>
      </c>
      <c r="T190" s="471">
        <v>145.37474458257918</v>
      </c>
      <c r="U190" s="471">
        <v>102.0777517656051</v>
      </c>
      <c r="V190" s="471">
        <v>58.023332592731379</v>
      </c>
      <c r="W190" s="471">
        <v>0</v>
      </c>
      <c r="X190" s="471">
        <v>93.045647513804042</v>
      </c>
      <c r="Y190" s="471">
        <v>0</v>
      </c>
      <c r="Z190" s="471">
        <v>2201.6099395930873</v>
      </c>
      <c r="AA190" s="471">
        <v>904.30942956650142</v>
      </c>
      <c r="AB190" s="471">
        <v>380.04478565529672</v>
      </c>
      <c r="AC190" s="471">
        <v>128.07756278478604</v>
      </c>
      <c r="AD190" s="471">
        <v>15.767124206460402</v>
      </c>
      <c r="AE190" s="471">
        <v>368.1113284847786</v>
      </c>
      <c r="AF190" s="471">
        <v>0</v>
      </c>
      <c r="AG190" s="471">
        <v>162.12339953299346</v>
      </c>
      <c r="AH190" s="685">
        <f t="shared" si="13"/>
        <v>9006.8555296107479</v>
      </c>
      <c r="AI190" s="472">
        <f t="shared" si="14"/>
        <v>9168.978929143741</v>
      </c>
      <c r="AJ190" s="472"/>
      <c r="AK190" s="472"/>
      <c r="AL190" s="570">
        <v>10.61</v>
      </c>
      <c r="AM190" s="570">
        <v>2142.1544456078527</v>
      </c>
      <c r="AN190" s="566">
        <v>0</v>
      </c>
      <c r="AO190" s="566">
        <f t="shared" si="15"/>
        <v>2152.7644456078528</v>
      </c>
    </row>
    <row r="191" spans="1:41" x14ac:dyDescent="0.3">
      <c r="A191" s="466">
        <v>150000781</v>
      </c>
      <c r="B191" s="467" t="s">
        <v>33</v>
      </c>
      <c r="C191" s="468">
        <v>263.3</v>
      </c>
      <c r="D191" s="473"/>
      <c r="E191" s="470"/>
      <c r="F191" s="470">
        <v>263.3</v>
      </c>
      <c r="G191" s="471">
        <v>0</v>
      </c>
      <c r="H191" s="471">
        <v>0</v>
      </c>
      <c r="I191" s="471">
        <v>0</v>
      </c>
      <c r="J191" s="471">
        <v>0</v>
      </c>
      <c r="K191" s="471">
        <v>0</v>
      </c>
      <c r="L191" s="471">
        <v>0</v>
      </c>
      <c r="M191" s="572">
        <f t="shared" si="11"/>
        <v>0</v>
      </c>
      <c r="N191" s="471">
        <v>0</v>
      </c>
      <c r="O191" s="471">
        <v>0</v>
      </c>
      <c r="P191" s="471">
        <v>0</v>
      </c>
      <c r="Q191" s="471">
        <v>35.513161608511865</v>
      </c>
      <c r="R191" s="572">
        <f t="shared" si="12"/>
        <v>313.34621142488311</v>
      </c>
      <c r="S191" s="471">
        <v>0</v>
      </c>
      <c r="T191" s="471">
        <v>0</v>
      </c>
      <c r="U191" s="471">
        <v>0</v>
      </c>
      <c r="V191" s="471">
        <v>0</v>
      </c>
      <c r="W191" s="471">
        <v>0</v>
      </c>
      <c r="X191" s="471">
        <v>0</v>
      </c>
      <c r="Y191" s="471">
        <v>0</v>
      </c>
      <c r="Z191" s="471">
        <v>0</v>
      </c>
      <c r="AA191" s="471">
        <v>0</v>
      </c>
      <c r="AB191" s="471">
        <v>0</v>
      </c>
      <c r="AC191" s="471">
        <v>0</v>
      </c>
      <c r="AD191" s="471">
        <v>0</v>
      </c>
      <c r="AE191" s="471">
        <v>0</v>
      </c>
      <c r="AF191" s="471">
        <v>0</v>
      </c>
      <c r="AG191" s="471">
        <v>18.838406143803329</v>
      </c>
      <c r="AH191" s="685">
        <f t="shared" si="13"/>
        <v>348.85937303339495</v>
      </c>
      <c r="AI191" s="472">
        <f t="shared" si="14"/>
        <v>367.6977791771983</v>
      </c>
      <c r="AJ191" s="472"/>
      <c r="AK191" s="472"/>
      <c r="AL191" s="570">
        <v>42.45</v>
      </c>
      <c r="AM191" s="570">
        <v>270.89621142488312</v>
      </c>
      <c r="AN191" s="566">
        <v>0</v>
      </c>
      <c r="AO191" s="566">
        <f t="shared" si="15"/>
        <v>313.34621142488311</v>
      </c>
    </row>
    <row r="192" spans="1:41" x14ac:dyDescent="0.3">
      <c r="A192" s="466">
        <v>150000795</v>
      </c>
      <c r="B192" s="467" t="s">
        <v>291</v>
      </c>
      <c r="C192" s="468">
        <v>2762.24</v>
      </c>
      <c r="D192" s="469"/>
      <c r="E192" s="470"/>
      <c r="F192" s="470">
        <v>2762.24</v>
      </c>
      <c r="G192" s="471">
        <v>879.81825762117876</v>
      </c>
      <c r="H192" s="471">
        <v>166.21966422225984</v>
      </c>
      <c r="I192" s="471">
        <v>0</v>
      </c>
      <c r="J192" s="471">
        <v>0</v>
      </c>
      <c r="K192" s="471">
        <v>0</v>
      </c>
      <c r="L192" s="471">
        <v>590.99832875819902</v>
      </c>
      <c r="M192" s="572">
        <f t="shared" si="11"/>
        <v>0</v>
      </c>
      <c r="N192" s="471">
        <v>984.23940785645698</v>
      </c>
      <c r="O192" s="471">
        <v>0</v>
      </c>
      <c r="P192" s="471">
        <v>0</v>
      </c>
      <c r="Q192" s="471">
        <v>236.75441072341243</v>
      </c>
      <c r="R192" s="572">
        <f t="shared" si="12"/>
        <v>3093.6763574888892</v>
      </c>
      <c r="S192" s="471">
        <v>146.84225901223721</v>
      </c>
      <c r="T192" s="471">
        <v>214.22856880012804</v>
      </c>
      <c r="U192" s="471">
        <v>0</v>
      </c>
      <c r="V192" s="471">
        <v>0</v>
      </c>
      <c r="W192" s="471">
        <v>0</v>
      </c>
      <c r="X192" s="471">
        <v>132.47739405823449</v>
      </c>
      <c r="Y192" s="471">
        <v>0</v>
      </c>
      <c r="Z192" s="471">
        <v>3678.8449347960959</v>
      </c>
      <c r="AA192" s="471">
        <v>1490.3522383057807</v>
      </c>
      <c r="AB192" s="471">
        <v>729.31427303757835</v>
      </c>
      <c r="AC192" s="471">
        <v>143.63472296688155</v>
      </c>
      <c r="AD192" s="471">
        <v>17.682304910695649</v>
      </c>
      <c r="AE192" s="471">
        <v>556.84637402146598</v>
      </c>
      <c r="AF192" s="471">
        <v>0</v>
      </c>
      <c r="AG192" s="471">
        <v>0</v>
      </c>
      <c r="AH192" s="685">
        <f t="shared" si="13"/>
        <v>13061.929496579494</v>
      </c>
      <c r="AI192" s="472">
        <f t="shared" si="14"/>
        <v>13061.929496579494</v>
      </c>
      <c r="AJ192" s="472"/>
      <c r="AK192" s="472"/>
      <c r="AL192" s="570">
        <v>103.09</v>
      </c>
      <c r="AM192" s="570">
        <v>2990.586357488889</v>
      </c>
      <c r="AN192" s="566">
        <v>0</v>
      </c>
      <c r="AO192" s="566">
        <f t="shared" si="15"/>
        <v>3093.6763574888892</v>
      </c>
    </row>
    <row r="193" spans="1:41" x14ac:dyDescent="0.3">
      <c r="A193" s="466">
        <v>150000796</v>
      </c>
      <c r="B193" s="467" t="s">
        <v>98</v>
      </c>
      <c r="C193" s="468">
        <v>181.38</v>
      </c>
      <c r="D193" s="473"/>
      <c r="E193" s="470"/>
      <c r="F193" s="470">
        <v>181.38</v>
      </c>
      <c r="G193" s="471">
        <v>0</v>
      </c>
      <c r="H193" s="471">
        <v>0</v>
      </c>
      <c r="I193" s="471">
        <v>14.05</v>
      </c>
      <c r="J193" s="471">
        <v>0</v>
      </c>
      <c r="K193" s="471">
        <v>0</v>
      </c>
      <c r="L193" s="471">
        <v>0</v>
      </c>
      <c r="M193" s="572">
        <f t="shared" si="11"/>
        <v>0</v>
      </c>
      <c r="N193" s="471">
        <v>0</v>
      </c>
      <c r="O193" s="471">
        <v>0</v>
      </c>
      <c r="P193" s="471">
        <v>0</v>
      </c>
      <c r="Q193" s="471">
        <v>5.9188602680853108</v>
      </c>
      <c r="R193" s="572">
        <f t="shared" si="12"/>
        <v>188.0236967355998</v>
      </c>
      <c r="S193" s="471">
        <v>0</v>
      </c>
      <c r="T193" s="471">
        <v>0</v>
      </c>
      <c r="U193" s="471">
        <v>5.4206943924622211</v>
      </c>
      <c r="V193" s="471">
        <v>0</v>
      </c>
      <c r="W193" s="471">
        <v>0</v>
      </c>
      <c r="X193" s="471">
        <v>0</v>
      </c>
      <c r="Y193" s="471">
        <v>0</v>
      </c>
      <c r="Z193" s="471">
        <v>0</v>
      </c>
      <c r="AA193" s="471">
        <v>0</v>
      </c>
      <c r="AB193" s="471">
        <v>0</v>
      </c>
      <c r="AC193" s="471">
        <v>0</v>
      </c>
      <c r="AD193" s="471">
        <v>0</v>
      </c>
      <c r="AE193" s="471">
        <v>0</v>
      </c>
      <c r="AF193" s="471">
        <v>0</v>
      </c>
      <c r="AG193" s="471">
        <v>5.1219180335075363</v>
      </c>
      <c r="AH193" s="685">
        <f t="shared" si="13"/>
        <v>213.41325139614733</v>
      </c>
      <c r="AI193" s="472">
        <f t="shared" si="14"/>
        <v>218.53516942965487</v>
      </c>
      <c r="AJ193" s="472"/>
      <c r="AK193" s="472"/>
      <c r="AL193" s="570">
        <v>19.329999999999998</v>
      </c>
      <c r="AM193" s="570">
        <v>168.69369673559981</v>
      </c>
      <c r="AN193" s="566">
        <v>0</v>
      </c>
      <c r="AO193" s="566">
        <f t="shared" si="15"/>
        <v>188.0236967355998</v>
      </c>
    </row>
    <row r="194" spans="1:41" x14ac:dyDescent="0.3">
      <c r="A194" s="466">
        <v>150000797</v>
      </c>
      <c r="B194" s="467" t="s">
        <v>231</v>
      </c>
      <c r="C194" s="468">
        <v>3993</v>
      </c>
      <c r="D194" s="469"/>
      <c r="E194" s="564">
        <f>967.1+552.9</f>
        <v>1520</v>
      </c>
      <c r="F194" s="470">
        <v>4960.1000000000004</v>
      </c>
      <c r="G194" s="471">
        <v>1450.3083733083686</v>
      </c>
      <c r="H194" s="471">
        <v>308.27477539957999</v>
      </c>
      <c r="I194" s="471">
        <v>493.65</v>
      </c>
      <c r="J194" s="471">
        <v>0</v>
      </c>
      <c r="K194" s="471">
        <v>0</v>
      </c>
      <c r="L194" s="471">
        <v>1696.6976419514717</v>
      </c>
      <c r="M194" s="572">
        <f t="shared" si="11"/>
        <v>0</v>
      </c>
      <c r="N194" s="471">
        <v>1767.3793323204404</v>
      </c>
      <c r="O194" s="471">
        <v>0</v>
      </c>
      <c r="P194" s="471">
        <v>0</v>
      </c>
      <c r="Q194" s="471">
        <v>875.99131967662606</v>
      </c>
      <c r="R194" s="572">
        <f t="shared" si="12"/>
        <v>7115.1022713486427</v>
      </c>
      <c r="S194" s="471">
        <v>255.09182733340506</v>
      </c>
      <c r="T194" s="471">
        <v>397.34179386311524</v>
      </c>
      <c r="U194" s="471">
        <v>245.16954845021871</v>
      </c>
      <c r="V194" s="471">
        <v>0</v>
      </c>
      <c r="W194" s="471">
        <v>0</v>
      </c>
      <c r="X194" s="471">
        <v>251.89650421883385</v>
      </c>
      <c r="Y194" s="471">
        <v>0</v>
      </c>
      <c r="Z194" s="471">
        <v>2057.0135625064281</v>
      </c>
      <c r="AA194" s="471">
        <v>3901.4759807688333</v>
      </c>
      <c r="AB194" s="471">
        <v>1004.4176375805555</v>
      </c>
      <c r="AC194" s="471">
        <v>68.630925649704508</v>
      </c>
      <c r="AD194" s="471">
        <v>8.4488828924825619</v>
      </c>
      <c r="AE194" s="471">
        <v>385.26905989720478</v>
      </c>
      <c r="AF194" s="471">
        <v>0</v>
      </c>
      <c r="AG194" s="565">
        <f>401.078869868986+2147.57</f>
        <v>2548.6488698689864</v>
      </c>
      <c r="AH194" s="685">
        <f t="shared" si="13"/>
        <v>22282.159437165912</v>
      </c>
      <c r="AI194" s="472">
        <f t="shared" si="14"/>
        <v>24830.808307034898</v>
      </c>
      <c r="AJ194" s="472"/>
      <c r="AK194" s="472"/>
      <c r="AL194" s="570">
        <v>183.56</v>
      </c>
      <c r="AM194" s="570">
        <v>6931.5422713486423</v>
      </c>
      <c r="AN194" s="566">
        <v>0</v>
      </c>
      <c r="AO194" s="566">
        <f t="shared" si="15"/>
        <v>7115.1022713486427</v>
      </c>
    </row>
    <row r="195" spans="1:41" x14ac:dyDescent="0.3">
      <c r="A195" s="466">
        <v>150000798</v>
      </c>
      <c r="B195" s="467" t="s">
        <v>225</v>
      </c>
      <c r="C195" s="468">
        <v>996.3</v>
      </c>
      <c r="D195" s="469"/>
      <c r="E195" s="470">
        <v>321.60000000000002</v>
      </c>
      <c r="F195" s="470">
        <v>1317.9</v>
      </c>
      <c r="G195" s="471">
        <v>329.15188013836934</v>
      </c>
      <c r="H195" s="471">
        <v>58.760208200908664</v>
      </c>
      <c r="I195" s="471">
        <v>157.44</v>
      </c>
      <c r="J195" s="471">
        <v>0</v>
      </c>
      <c r="K195" s="471">
        <v>0</v>
      </c>
      <c r="L195" s="471">
        <v>244.47153316564783</v>
      </c>
      <c r="M195" s="572">
        <f t="shared" si="11"/>
        <v>0</v>
      </c>
      <c r="N195" s="471">
        <v>469.59319813413202</v>
      </c>
      <c r="O195" s="471">
        <v>0</v>
      </c>
      <c r="P195" s="471">
        <v>0</v>
      </c>
      <c r="Q195" s="471">
        <v>213.07896965107119</v>
      </c>
      <c r="R195" s="572">
        <f t="shared" si="12"/>
        <v>1304.5528800875625</v>
      </c>
      <c r="S195" s="471">
        <v>63.390795682123972</v>
      </c>
      <c r="T195" s="471">
        <v>75.73917804757626</v>
      </c>
      <c r="U195" s="471">
        <v>79.385285010186223</v>
      </c>
      <c r="V195" s="471">
        <v>0</v>
      </c>
      <c r="W195" s="471">
        <v>0</v>
      </c>
      <c r="X195" s="471">
        <v>29.574502456385112</v>
      </c>
      <c r="Y195" s="471">
        <v>0</v>
      </c>
      <c r="Z195" s="471">
        <v>817.78443854193983</v>
      </c>
      <c r="AA195" s="471">
        <v>746.27414314343707</v>
      </c>
      <c r="AB195" s="471">
        <v>433.20108853280323</v>
      </c>
      <c r="AC195" s="471">
        <v>117.11377241224575</v>
      </c>
      <c r="AD195" s="471">
        <v>14.417415164386313</v>
      </c>
      <c r="AE195" s="471">
        <v>257.36597118639179</v>
      </c>
      <c r="AF195" s="471">
        <v>0</v>
      </c>
      <c r="AG195" s="471">
        <v>162.33885778665504</v>
      </c>
      <c r="AH195" s="685">
        <f t="shared" si="13"/>
        <v>5411.2952595551678</v>
      </c>
      <c r="AI195" s="472">
        <f t="shared" si="14"/>
        <v>5573.6341173418232</v>
      </c>
      <c r="AJ195" s="472"/>
      <c r="AK195" s="472"/>
      <c r="AL195" s="570">
        <v>30.72</v>
      </c>
      <c r="AM195" s="570">
        <v>1273.8328800875624</v>
      </c>
      <c r="AN195" s="566">
        <v>0</v>
      </c>
      <c r="AO195" s="566">
        <f t="shared" si="15"/>
        <v>1304.5528800875625</v>
      </c>
    </row>
    <row r="196" spans="1:41" x14ac:dyDescent="0.3">
      <c r="A196" s="466">
        <v>150000799</v>
      </c>
      <c r="B196" s="467" t="s">
        <v>292</v>
      </c>
      <c r="C196" s="468">
        <v>1762.3</v>
      </c>
      <c r="D196" s="469"/>
      <c r="E196" s="470">
        <v>304.2</v>
      </c>
      <c r="F196" s="470">
        <v>2066.5</v>
      </c>
      <c r="G196" s="471">
        <v>556.79678028359353</v>
      </c>
      <c r="H196" s="471">
        <v>105.38823079067561</v>
      </c>
      <c r="I196" s="471">
        <v>230.29</v>
      </c>
      <c r="J196" s="471">
        <v>0</v>
      </c>
      <c r="K196" s="471">
        <v>0</v>
      </c>
      <c r="L196" s="471">
        <v>304.63555530550713</v>
      </c>
      <c r="M196" s="572">
        <f t="shared" si="11"/>
        <v>0</v>
      </c>
      <c r="N196" s="471">
        <v>736.33382194717638</v>
      </c>
      <c r="O196" s="471">
        <v>0</v>
      </c>
      <c r="P196" s="471">
        <v>0</v>
      </c>
      <c r="Q196" s="471">
        <v>426.15793930214238</v>
      </c>
      <c r="R196" s="572">
        <f t="shared" si="12"/>
        <v>1414.6060812773353</v>
      </c>
      <c r="S196" s="471">
        <v>95.994521259635846</v>
      </c>
      <c r="T196" s="471">
        <v>135.82841530966726</v>
      </c>
      <c r="U196" s="471">
        <v>133.88925764526772</v>
      </c>
      <c r="V196" s="471">
        <v>0</v>
      </c>
      <c r="W196" s="471">
        <v>0</v>
      </c>
      <c r="X196" s="471">
        <v>39.595999962324967</v>
      </c>
      <c r="Y196" s="471">
        <v>0</v>
      </c>
      <c r="Z196" s="471">
        <v>550.24702368092062</v>
      </c>
      <c r="AA196" s="471">
        <v>858.55184458843758</v>
      </c>
      <c r="AB196" s="471">
        <v>354.38411565962031</v>
      </c>
      <c r="AC196" s="471">
        <v>61.473700546235321</v>
      </c>
      <c r="AD196" s="471">
        <v>7.5677851051236669</v>
      </c>
      <c r="AE196" s="471">
        <v>241.76803353873177</v>
      </c>
      <c r="AF196" s="471">
        <v>0</v>
      </c>
      <c r="AG196" s="471">
        <v>150.08421854885748</v>
      </c>
      <c r="AH196" s="685">
        <f t="shared" si="13"/>
        <v>6253.5091062023948</v>
      </c>
      <c r="AI196" s="472">
        <f t="shared" si="14"/>
        <v>6403.5933247512521</v>
      </c>
      <c r="AJ196" s="472"/>
      <c r="AK196" s="472"/>
      <c r="AL196" s="570">
        <v>82</v>
      </c>
      <c r="AM196" s="570">
        <v>1332.6060812773353</v>
      </c>
      <c r="AN196" s="566">
        <v>0</v>
      </c>
      <c r="AO196" s="566">
        <f t="shared" si="15"/>
        <v>1414.6060812773353</v>
      </c>
    </row>
    <row r="197" spans="1:41" x14ac:dyDescent="0.3">
      <c r="A197" s="466">
        <v>150000800</v>
      </c>
      <c r="B197" s="467" t="s">
        <v>226</v>
      </c>
      <c r="C197" s="468">
        <v>1452.8</v>
      </c>
      <c r="D197" s="469"/>
      <c r="E197" s="470"/>
      <c r="F197" s="470">
        <v>1452.8</v>
      </c>
      <c r="G197" s="471">
        <v>389.45588571813454</v>
      </c>
      <c r="H197" s="471">
        <v>59.573997187988233</v>
      </c>
      <c r="I197" s="471">
        <v>172.77</v>
      </c>
      <c r="J197" s="471">
        <v>0</v>
      </c>
      <c r="K197" s="471">
        <v>0</v>
      </c>
      <c r="L197" s="471">
        <v>247.47965229655924</v>
      </c>
      <c r="M197" s="572">
        <f t="shared" si="11"/>
        <v>0</v>
      </c>
      <c r="N197" s="471">
        <v>517.66067095323388</v>
      </c>
      <c r="O197" s="471">
        <v>0</v>
      </c>
      <c r="P197" s="471">
        <v>0</v>
      </c>
      <c r="Q197" s="471">
        <v>378.80705715745989</v>
      </c>
      <c r="R197" s="572">
        <f t="shared" si="12"/>
        <v>1366.8437370203635</v>
      </c>
      <c r="S197" s="471">
        <v>62.285310400733074</v>
      </c>
      <c r="T197" s="471">
        <v>76.807407836933493</v>
      </c>
      <c r="U197" s="471">
        <v>86.211473746841165</v>
      </c>
      <c r="V197" s="471">
        <v>0</v>
      </c>
      <c r="W197" s="471">
        <v>0</v>
      </c>
      <c r="X197" s="471">
        <v>30.028070076793693</v>
      </c>
      <c r="Y197" s="471">
        <v>0</v>
      </c>
      <c r="Z197" s="471">
        <v>788.48426110430569</v>
      </c>
      <c r="AA197" s="471">
        <v>796.92091116839777</v>
      </c>
      <c r="AB197" s="471">
        <v>399.04899278946181</v>
      </c>
      <c r="AC197" s="471">
        <v>120.71689600885523</v>
      </c>
      <c r="AD197" s="471">
        <v>14.860981516241647</v>
      </c>
      <c r="AE197" s="471">
        <v>260.4855587159239</v>
      </c>
      <c r="AF197" s="471">
        <v>0</v>
      </c>
      <c r="AG197" s="471">
        <v>103.83193554656806</v>
      </c>
      <c r="AH197" s="685">
        <f t="shared" si="13"/>
        <v>5768.4408636982262</v>
      </c>
      <c r="AI197" s="472">
        <f t="shared" si="14"/>
        <v>5872.2727992447944</v>
      </c>
      <c r="AJ197" s="472"/>
      <c r="AK197" s="472"/>
      <c r="AL197" s="570">
        <v>38.46</v>
      </c>
      <c r="AM197" s="570">
        <v>1328.3837370203635</v>
      </c>
      <c r="AN197" s="566">
        <v>0</v>
      </c>
      <c r="AO197" s="566">
        <f t="shared" si="15"/>
        <v>1366.8437370203635</v>
      </c>
    </row>
    <row r="198" spans="1:41" x14ac:dyDescent="0.3">
      <c r="A198" s="466">
        <v>150000801</v>
      </c>
      <c r="B198" s="467" t="s">
        <v>294</v>
      </c>
      <c r="C198" s="468">
        <v>3766.2</v>
      </c>
      <c r="D198" s="469"/>
      <c r="E198" s="470">
        <v>445.91</v>
      </c>
      <c r="F198" s="470">
        <v>4212.1099999999997</v>
      </c>
      <c r="G198" s="471">
        <v>1217.6613996385609</v>
      </c>
      <c r="H198" s="471">
        <v>237.58001652129462</v>
      </c>
      <c r="I198" s="471">
        <v>460.8</v>
      </c>
      <c r="J198" s="471">
        <v>0</v>
      </c>
      <c r="K198" s="471">
        <v>0</v>
      </c>
      <c r="L198" s="471">
        <v>866.4275208632298</v>
      </c>
      <c r="M198" s="572">
        <f t="shared" ref="M198:M261" si="16">AN198</f>
        <v>0</v>
      </c>
      <c r="N198" s="471">
        <v>1500.8560632770002</v>
      </c>
      <c r="O198" s="471">
        <v>0</v>
      </c>
      <c r="P198" s="471">
        <v>0</v>
      </c>
      <c r="Q198" s="471">
        <v>1065.394848255356</v>
      </c>
      <c r="R198" s="572">
        <f t="shared" ref="R198:R261" si="17">AO198</f>
        <v>4411.5398083199243</v>
      </c>
      <c r="S198" s="471">
        <v>195.10050848844696</v>
      </c>
      <c r="T198" s="471">
        <v>306.21489211681387</v>
      </c>
      <c r="U198" s="471">
        <v>249.27232528843322</v>
      </c>
      <c r="V198" s="471">
        <v>0</v>
      </c>
      <c r="W198" s="471">
        <v>0</v>
      </c>
      <c r="X198" s="471">
        <v>121.44824413877653</v>
      </c>
      <c r="Y198" s="471">
        <v>0</v>
      </c>
      <c r="Z198" s="471">
        <v>2723.1615401592244</v>
      </c>
      <c r="AA198" s="471">
        <v>1782.7375103719967</v>
      </c>
      <c r="AB198" s="471">
        <v>1131.553670544685</v>
      </c>
      <c r="AC198" s="471">
        <v>64.390514886347759</v>
      </c>
      <c r="AD198" s="471">
        <v>7.9268626280541739</v>
      </c>
      <c r="AE198" s="471">
        <v>346.2742157780545</v>
      </c>
      <c r="AF198" s="471">
        <v>0</v>
      </c>
      <c r="AG198" s="471">
        <v>0</v>
      </c>
      <c r="AH198" s="685">
        <f t="shared" ref="AH198:AH261" si="18">SUM(G198:AG198)-AG198</f>
        <v>16688.339941276197</v>
      </c>
      <c r="AI198" s="472">
        <f t="shared" ref="AI198:AI261" si="19">G198+H198+I198+J198+K198+L198+M198+N198+O198+P198+Q198+R198+S198+T198+U198+V198+W198+X198+Y198+Z198+AA198+AB198+AC198+AD198+AE198+AF198+AG198</f>
        <v>16688.339941276197</v>
      </c>
      <c r="AJ198" s="472"/>
      <c r="AK198" s="472"/>
      <c r="AL198" s="570">
        <v>163.35</v>
      </c>
      <c r="AM198" s="570">
        <v>4248.1898083199239</v>
      </c>
      <c r="AN198" s="566">
        <v>0</v>
      </c>
      <c r="AO198" s="566">
        <f t="shared" ref="AO198:AO261" si="20">AL198+AM198</f>
        <v>4411.5398083199243</v>
      </c>
    </row>
    <row r="199" spans="1:41" x14ac:dyDescent="0.3">
      <c r="A199" s="466">
        <v>150000802</v>
      </c>
      <c r="B199" s="467" t="s">
        <v>295</v>
      </c>
      <c r="C199" s="468">
        <v>3203.6</v>
      </c>
      <c r="D199" s="469"/>
      <c r="E199" s="470"/>
      <c r="F199" s="470">
        <v>3203.6</v>
      </c>
      <c r="G199" s="471">
        <v>1004.7529526272521</v>
      </c>
      <c r="H199" s="471">
        <v>190.26127237381124</v>
      </c>
      <c r="I199" s="471">
        <v>346.51</v>
      </c>
      <c r="J199" s="471">
        <v>0</v>
      </c>
      <c r="K199" s="471">
        <v>0</v>
      </c>
      <c r="L199" s="471">
        <v>620.95739170397508</v>
      </c>
      <c r="M199" s="572">
        <f t="shared" si="16"/>
        <v>0</v>
      </c>
      <c r="N199" s="471">
        <v>1141.5044916477011</v>
      </c>
      <c r="O199" s="471">
        <v>0</v>
      </c>
      <c r="P199" s="471">
        <v>0</v>
      </c>
      <c r="Q199" s="471">
        <v>947.01764289364974</v>
      </c>
      <c r="R199" s="572">
        <f t="shared" si="17"/>
        <v>3333.9436001953263</v>
      </c>
      <c r="S199" s="471">
        <v>158.92266622080513</v>
      </c>
      <c r="T199" s="471">
        <v>245.21278357122625</v>
      </c>
      <c r="U199" s="471">
        <v>217.67909249195375</v>
      </c>
      <c r="V199" s="471">
        <v>0</v>
      </c>
      <c r="W199" s="471">
        <v>0</v>
      </c>
      <c r="X199" s="471">
        <v>87.209301208072532</v>
      </c>
      <c r="Y199" s="471">
        <v>0</v>
      </c>
      <c r="Z199" s="471">
        <v>2749.4601093880124</v>
      </c>
      <c r="AA199" s="471">
        <v>1458.3725480842386</v>
      </c>
      <c r="AB199" s="471">
        <v>852.66923740361449</v>
      </c>
      <c r="AC199" s="471">
        <v>173.29308726550386</v>
      </c>
      <c r="AD199" s="471">
        <v>21.333429303518468</v>
      </c>
      <c r="AE199" s="471">
        <v>233.96906471490172</v>
      </c>
      <c r="AF199" s="471">
        <v>0</v>
      </c>
      <c r="AG199" s="471">
        <v>0</v>
      </c>
      <c r="AH199" s="685">
        <f t="shared" si="18"/>
        <v>13783.068671093562</v>
      </c>
      <c r="AI199" s="472">
        <f t="shared" si="19"/>
        <v>13783.068671093562</v>
      </c>
      <c r="AJ199" s="472"/>
      <c r="AK199" s="472"/>
      <c r="AL199" s="570">
        <v>70.819999999999993</v>
      </c>
      <c r="AM199" s="570">
        <v>3263.1236001953262</v>
      </c>
      <c r="AN199" s="566">
        <v>0</v>
      </c>
      <c r="AO199" s="566">
        <f t="shared" si="20"/>
        <v>3333.9436001953263</v>
      </c>
    </row>
    <row r="200" spans="1:41" x14ac:dyDescent="0.3">
      <c r="A200" s="466">
        <v>150000803</v>
      </c>
      <c r="B200" s="467" t="s">
        <v>227</v>
      </c>
      <c r="C200" s="468">
        <v>1311.9</v>
      </c>
      <c r="D200" s="469"/>
      <c r="E200" s="470">
        <v>295.3</v>
      </c>
      <c r="F200" s="470">
        <v>1607.2</v>
      </c>
      <c r="G200" s="471">
        <v>416.3963401851193</v>
      </c>
      <c r="H200" s="471">
        <v>74.146569472569922</v>
      </c>
      <c r="I200" s="471">
        <v>192.81</v>
      </c>
      <c r="J200" s="471">
        <v>0</v>
      </c>
      <c r="K200" s="471">
        <v>0</v>
      </c>
      <c r="L200" s="471">
        <v>235.0081932465192</v>
      </c>
      <c r="M200" s="572">
        <f t="shared" si="16"/>
        <v>0</v>
      </c>
      <c r="N200" s="471">
        <v>572.67637001379239</v>
      </c>
      <c r="O200" s="471">
        <v>0</v>
      </c>
      <c r="P200" s="471">
        <v>0</v>
      </c>
      <c r="Q200" s="471">
        <v>319.61845447660681</v>
      </c>
      <c r="R200" s="572">
        <f t="shared" si="17"/>
        <v>1158.2733510212643</v>
      </c>
      <c r="S200" s="471">
        <v>68.942432893789587</v>
      </c>
      <c r="T200" s="471">
        <v>95.560129197742071</v>
      </c>
      <c r="U200" s="471">
        <v>82.392816481871506</v>
      </c>
      <c r="V200" s="471">
        <v>0</v>
      </c>
      <c r="W200" s="471">
        <v>0</v>
      </c>
      <c r="X200" s="471">
        <v>28.144263139917541</v>
      </c>
      <c r="Y200" s="471">
        <v>0</v>
      </c>
      <c r="Z200" s="471">
        <v>454.86961335644742</v>
      </c>
      <c r="AA200" s="471">
        <v>933.40106956839929</v>
      </c>
      <c r="AB200" s="471">
        <v>290.37813878914119</v>
      </c>
      <c r="AC200" s="471">
        <v>122.48169123984763</v>
      </c>
      <c r="AD200" s="471">
        <v>15.078238504905485</v>
      </c>
      <c r="AE200" s="471">
        <v>70.190719414470507</v>
      </c>
      <c r="AF200" s="471">
        <v>0</v>
      </c>
      <c r="AG200" s="471">
        <v>153.9110517300721</v>
      </c>
      <c r="AH200" s="685">
        <f t="shared" si="18"/>
        <v>5130.3683910024029</v>
      </c>
      <c r="AI200" s="472">
        <f t="shared" si="19"/>
        <v>5284.2794427324752</v>
      </c>
      <c r="AJ200" s="472"/>
      <c r="AK200" s="472"/>
      <c r="AL200" s="570">
        <v>38.46</v>
      </c>
      <c r="AM200" s="570">
        <v>1119.8133510212642</v>
      </c>
      <c r="AN200" s="566">
        <v>0</v>
      </c>
      <c r="AO200" s="566">
        <f t="shared" si="20"/>
        <v>1158.2733510212643</v>
      </c>
    </row>
    <row r="201" spans="1:41" x14ac:dyDescent="0.3">
      <c r="A201" s="466">
        <v>150000805</v>
      </c>
      <c r="B201" s="467" t="s">
        <v>296</v>
      </c>
      <c r="C201" s="468">
        <v>2920.74</v>
      </c>
      <c r="D201" s="469"/>
      <c r="E201" s="470">
        <v>789.2</v>
      </c>
      <c r="F201" s="470">
        <v>3709.9399999999996</v>
      </c>
      <c r="G201" s="471">
        <v>964.15816394992521</v>
      </c>
      <c r="H201" s="471">
        <v>191.46935094062218</v>
      </c>
      <c r="I201" s="471">
        <v>431.89</v>
      </c>
      <c r="J201" s="471">
        <v>0</v>
      </c>
      <c r="K201" s="471">
        <v>0</v>
      </c>
      <c r="L201" s="471">
        <v>665.46342033395945</v>
      </c>
      <c r="M201" s="572">
        <f t="shared" si="16"/>
        <v>0</v>
      </c>
      <c r="N201" s="471">
        <v>1321.9232031912447</v>
      </c>
      <c r="O201" s="471">
        <v>0</v>
      </c>
      <c r="P201" s="471">
        <v>0</v>
      </c>
      <c r="Q201" s="471">
        <v>781.28955538726109</v>
      </c>
      <c r="R201" s="572">
        <f t="shared" si="17"/>
        <v>3295.0938236433444</v>
      </c>
      <c r="S201" s="471">
        <v>157.80138404303619</v>
      </c>
      <c r="T201" s="471">
        <v>246.77626820613449</v>
      </c>
      <c r="U201" s="471">
        <v>164.2549839912036</v>
      </c>
      <c r="V201" s="471">
        <v>0</v>
      </c>
      <c r="W201" s="471">
        <v>0</v>
      </c>
      <c r="X201" s="471">
        <v>115.12791972448017</v>
      </c>
      <c r="Y201" s="471">
        <v>0</v>
      </c>
      <c r="Z201" s="471">
        <v>2159.5937245111727</v>
      </c>
      <c r="AA201" s="471">
        <v>1430.6029504916523</v>
      </c>
      <c r="AB201" s="471">
        <v>443.0024597429105</v>
      </c>
      <c r="AC201" s="471">
        <v>104.01261892661466</v>
      </c>
      <c r="AD201" s="471">
        <v>12.80458376937491</v>
      </c>
      <c r="AE201" s="471">
        <v>262.04535248068987</v>
      </c>
      <c r="AF201" s="471">
        <v>0</v>
      </c>
      <c r="AG201" s="471">
        <v>764.83858580001754</v>
      </c>
      <c r="AH201" s="685">
        <f t="shared" si="18"/>
        <v>12747.309763333626</v>
      </c>
      <c r="AI201" s="472">
        <f t="shared" si="19"/>
        <v>13512.148349133644</v>
      </c>
      <c r="AJ201" s="472"/>
      <c r="AK201" s="472"/>
      <c r="AL201" s="570">
        <v>107.42</v>
      </c>
      <c r="AM201" s="570">
        <v>3187.6738236433443</v>
      </c>
      <c r="AN201" s="566">
        <v>0</v>
      </c>
      <c r="AO201" s="566">
        <f t="shared" si="20"/>
        <v>3295.0938236433444</v>
      </c>
    </row>
    <row r="202" spans="1:41" x14ac:dyDescent="0.3">
      <c r="A202" s="466">
        <v>150000806</v>
      </c>
      <c r="B202" s="467" t="s">
        <v>228</v>
      </c>
      <c r="C202" s="468">
        <v>2014</v>
      </c>
      <c r="D202" s="469"/>
      <c r="E202" s="470">
        <v>702</v>
      </c>
      <c r="F202" s="470">
        <v>2716</v>
      </c>
      <c r="G202" s="471">
        <v>691.87626295478503</v>
      </c>
      <c r="H202" s="471">
        <v>142.54819780127158</v>
      </c>
      <c r="I202" s="471">
        <v>271.64999999999998</v>
      </c>
      <c r="J202" s="471">
        <v>0</v>
      </c>
      <c r="K202" s="471">
        <v>0</v>
      </c>
      <c r="L202" s="471">
        <v>619.76770691935303</v>
      </c>
      <c r="M202" s="572">
        <f t="shared" si="16"/>
        <v>0</v>
      </c>
      <c r="N202" s="471">
        <v>967.76320368184429</v>
      </c>
      <c r="O202" s="471">
        <v>0</v>
      </c>
      <c r="P202" s="471">
        <v>0</v>
      </c>
      <c r="Q202" s="471">
        <v>390.64477769363054</v>
      </c>
      <c r="R202" s="572">
        <f t="shared" si="17"/>
        <v>2518.8177205921565</v>
      </c>
      <c r="S202" s="471">
        <v>124.42417081826773</v>
      </c>
      <c r="T202" s="471">
        <v>183.73960887458077</v>
      </c>
      <c r="U202" s="471">
        <v>118.9463132300352</v>
      </c>
      <c r="V202" s="471">
        <v>0</v>
      </c>
      <c r="W202" s="471">
        <v>0</v>
      </c>
      <c r="X202" s="471">
        <v>84.9623748244654</v>
      </c>
      <c r="Y202" s="471">
        <v>0</v>
      </c>
      <c r="Z202" s="471">
        <v>1644.8234206108859</v>
      </c>
      <c r="AA202" s="471">
        <v>1236.5844712855412</v>
      </c>
      <c r="AB202" s="471">
        <v>890.20600202288335</v>
      </c>
      <c r="AC202" s="471">
        <v>146.99273611474212</v>
      </c>
      <c r="AD202" s="471">
        <v>18.095696680792116</v>
      </c>
      <c r="AE202" s="471">
        <v>366.55153472001268</v>
      </c>
      <c r="AF202" s="471">
        <v>0</v>
      </c>
      <c r="AG202" s="471">
        <v>287.54767988757681</v>
      </c>
      <c r="AH202" s="685">
        <f t="shared" si="18"/>
        <v>10418.394198825248</v>
      </c>
      <c r="AI202" s="472">
        <f t="shared" si="19"/>
        <v>10705.941878712825</v>
      </c>
      <c r="AJ202" s="472"/>
      <c r="AK202" s="472"/>
      <c r="AL202" s="570">
        <v>38.479999999999997</v>
      </c>
      <c r="AM202" s="570">
        <v>2480.3377205921565</v>
      </c>
      <c r="AN202" s="566">
        <v>0</v>
      </c>
      <c r="AO202" s="566">
        <f t="shared" si="20"/>
        <v>2518.8177205921565</v>
      </c>
    </row>
    <row r="203" spans="1:41" x14ac:dyDescent="0.3">
      <c r="A203" s="466">
        <v>150000807</v>
      </c>
      <c r="B203" s="467" t="s">
        <v>187</v>
      </c>
      <c r="C203" s="468">
        <v>194.4</v>
      </c>
      <c r="D203" s="469"/>
      <c r="E203" s="470">
        <v>106.3</v>
      </c>
      <c r="F203" s="470">
        <v>300.7</v>
      </c>
      <c r="G203" s="471">
        <v>161.44148711873171</v>
      </c>
      <c r="H203" s="471">
        <v>27.863437940424294</v>
      </c>
      <c r="I203" s="471">
        <v>0</v>
      </c>
      <c r="J203" s="471">
        <v>0</v>
      </c>
      <c r="K203" s="471">
        <v>0</v>
      </c>
      <c r="L203" s="471">
        <v>31.517122278593114</v>
      </c>
      <c r="M203" s="572">
        <f t="shared" si="16"/>
        <v>0</v>
      </c>
      <c r="N203" s="471">
        <v>107.14521183620418</v>
      </c>
      <c r="O203" s="471">
        <v>0</v>
      </c>
      <c r="P203" s="471">
        <v>0</v>
      </c>
      <c r="Q203" s="471">
        <v>78.91813690780414</v>
      </c>
      <c r="R203" s="572">
        <f t="shared" si="17"/>
        <v>292.50224453881918</v>
      </c>
      <c r="S203" s="471">
        <v>31.210401743719675</v>
      </c>
      <c r="T203" s="471">
        <v>35.912737913414823</v>
      </c>
      <c r="U203" s="471">
        <v>0</v>
      </c>
      <c r="V203" s="471">
        <v>0</v>
      </c>
      <c r="W203" s="471">
        <v>0</v>
      </c>
      <c r="X203" s="471">
        <v>4.9307175585019483</v>
      </c>
      <c r="Y203" s="471">
        <v>0</v>
      </c>
      <c r="Z203" s="471">
        <v>315.78795919245442</v>
      </c>
      <c r="AA203" s="471">
        <v>182.7909344456568</v>
      </c>
      <c r="AB203" s="471">
        <v>31.478837043806877</v>
      </c>
      <c r="AC203" s="471">
        <v>0</v>
      </c>
      <c r="AD203" s="471">
        <v>0</v>
      </c>
      <c r="AE203" s="471">
        <v>0</v>
      </c>
      <c r="AF203" s="471">
        <v>0</v>
      </c>
      <c r="AG203" s="471">
        <v>39.044976855543936</v>
      </c>
      <c r="AH203" s="685">
        <f t="shared" si="18"/>
        <v>1301.4992285181311</v>
      </c>
      <c r="AI203" s="472">
        <f t="shared" si="19"/>
        <v>1340.5442053736749</v>
      </c>
      <c r="AJ203" s="472"/>
      <c r="AK203" s="472"/>
      <c r="AL203" s="570">
        <v>34.69</v>
      </c>
      <c r="AM203" s="570">
        <v>257.81224453881919</v>
      </c>
      <c r="AN203" s="566">
        <v>0</v>
      </c>
      <c r="AO203" s="566">
        <f t="shared" si="20"/>
        <v>292.50224453881918</v>
      </c>
    </row>
    <row r="204" spans="1:41" x14ac:dyDescent="0.3">
      <c r="A204" s="466">
        <v>150000808</v>
      </c>
      <c r="B204" s="467" t="s">
        <v>297</v>
      </c>
      <c r="C204" s="468">
        <v>1754.6</v>
      </c>
      <c r="D204" s="469"/>
      <c r="E204" s="470">
        <v>196.2</v>
      </c>
      <c r="F204" s="470">
        <v>1950.8</v>
      </c>
      <c r="G204" s="471">
        <v>513.95842471414619</v>
      </c>
      <c r="H204" s="471">
        <v>97.201922685568604</v>
      </c>
      <c r="I204" s="471">
        <v>228.23</v>
      </c>
      <c r="J204" s="471">
        <v>0</v>
      </c>
      <c r="K204" s="471">
        <v>0</v>
      </c>
      <c r="L204" s="471">
        <v>273.11467902673633</v>
      </c>
      <c r="M204" s="572">
        <f t="shared" si="16"/>
        <v>0</v>
      </c>
      <c r="N204" s="471">
        <v>695.10767958120095</v>
      </c>
      <c r="O204" s="471">
        <v>0</v>
      </c>
      <c r="P204" s="471">
        <v>0</v>
      </c>
      <c r="Q204" s="471">
        <v>449.83338037448362</v>
      </c>
      <c r="R204" s="572">
        <f t="shared" si="17"/>
        <v>1135.9977617336131</v>
      </c>
      <c r="S204" s="471">
        <v>84.895212195252199</v>
      </c>
      <c r="T204" s="471">
        <v>125.2915763456533</v>
      </c>
      <c r="U204" s="471">
        <v>124.43804419403251</v>
      </c>
      <c r="V204" s="471">
        <v>0</v>
      </c>
      <c r="W204" s="471">
        <v>0</v>
      </c>
      <c r="X204" s="471">
        <v>34.847168270985676</v>
      </c>
      <c r="Y204" s="471">
        <v>0</v>
      </c>
      <c r="Z204" s="471">
        <v>1751.6402525785313</v>
      </c>
      <c r="AA204" s="471">
        <v>754.57692552362903</v>
      </c>
      <c r="AB204" s="471">
        <v>565.94528157557875</v>
      </c>
      <c r="AC204" s="471">
        <v>69.366256995951332</v>
      </c>
      <c r="AD204" s="471">
        <v>8.5394066377591606</v>
      </c>
      <c r="AE204" s="471">
        <v>591.16183684631835</v>
      </c>
      <c r="AF204" s="471">
        <v>0</v>
      </c>
      <c r="AG204" s="471">
        <v>180.09949942270657</v>
      </c>
      <c r="AH204" s="685">
        <f t="shared" si="18"/>
        <v>7504.1458092794401</v>
      </c>
      <c r="AI204" s="472">
        <f t="shared" si="19"/>
        <v>7684.2453087021468</v>
      </c>
      <c r="AJ204" s="472"/>
      <c r="AK204" s="472"/>
      <c r="AL204" s="570">
        <v>34.409999999999997</v>
      </c>
      <c r="AM204" s="570">
        <v>1101.587761733613</v>
      </c>
      <c r="AN204" s="566">
        <v>0</v>
      </c>
      <c r="AO204" s="566">
        <f t="shared" si="20"/>
        <v>1135.9977617336131</v>
      </c>
    </row>
    <row r="205" spans="1:41" x14ac:dyDescent="0.3">
      <c r="A205" s="466">
        <v>150000809</v>
      </c>
      <c r="B205" s="467" t="s">
        <v>299</v>
      </c>
      <c r="C205" s="468">
        <v>2104.64</v>
      </c>
      <c r="D205" s="469"/>
      <c r="E205" s="470">
        <v>438.5</v>
      </c>
      <c r="F205" s="470">
        <v>2543.14</v>
      </c>
      <c r="G205" s="471">
        <v>695.68680354356991</v>
      </c>
      <c r="H205" s="471">
        <v>128.12288164054613</v>
      </c>
      <c r="I205" s="471">
        <v>290.79000000000002</v>
      </c>
      <c r="J205" s="471">
        <v>0</v>
      </c>
      <c r="K205" s="471">
        <v>0</v>
      </c>
      <c r="L205" s="471">
        <v>400.57900157010505</v>
      </c>
      <c r="M205" s="572">
        <f t="shared" si="16"/>
        <v>0</v>
      </c>
      <c r="N205" s="471">
        <v>906.16985044604019</v>
      </c>
      <c r="O205" s="471">
        <v>0</v>
      </c>
      <c r="P205" s="471">
        <v>0</v>
      </c>
      <c r="Q205" s="471">
        <v>544.53514466384866</v>
      </c>
      <c r="R205" s="572">
        <f t="shared" si="17"/>
        <v>3073.007544491571</v>
      </c>
      <c r="S205" s="471">
        <v>117.16374101880021</v>
      </c>
      <c r="T205" s="471">
        <v>165.11801647981474</v>
      </c>
      <c r="U205" s="471">
        <v>147.32288814985458</v>
      </c>
      <c r="V205" s="471">
        <v>0</v>
      </c>
      <c r="W205" s="471">
        <v>0</v>
      </c>
      <c r="X205" s="471">
        <v>55.37301187953004</v>
      </c>
      <c r="Y205" s="471">
        <v>0</v>
      </c>
      <c r="Z205" s="471">
        <v>1594.7650082038065</v>
      </c>
      <c r="AA205" s="471">
        <v>799.40164123220586</v>
      </c>
      <c r="AB205" s="471">
        <v>906.06530080845232</v>
      </c>
      <c r="AC205" s="471">
        <v>0</v>
      </c>
      <c r="AD205" s="471">
        <v>0</v>
      </c>
      <c r="AE205" s="471">
        <v>517.85152990231563</v>
      </c>
      <c r="AF205" s="471">
        <v>0</v>
      </c>
      <c r="AG205" s="471">
        <v>397.13097077876972</v>
      </c>
      <c r="AH205" s="685">
        <f t="shared" si="18"/>
        <v>10341.952364030461</v>
      </c>
      <c r="AI205" s="472">
        <f t="shared" si="19"/>
        <v>10739.083334809231</v>
      </c>
      <c r="AJ205" s="472"/>
      <c r="AK205" s="472"/>
      <c r="AL205" s="570">
        <v>68.180000000000007</v>
      </c>
      <c r="AM205" s="570">
        <v>3004.8275444915712</v>
      </c>
      <c r="AN205" s="566">
        <v>0</v>
      </c>
      <c r="AO205" s="566">
        <f t="shared" si="20"/>
        <v>3073.007544491571</v>
      </c>
    </row>
    <row r="206" spans="1:41" x14ac:dyDescent="0.3">
      <c r="A206" s="466">
        <v>150000810</v>
      </c>
      <c r="B206" s="467" t="s">
        <v>300</v>
      </c>
      <c r="C206" s="468">
        <v>2552.36</v>
      </c>
      <c r="D206" s="469"/>
      <c r="E206" s="470">
        <v>446.4</v>
      </c>
      <c r="F206" s="470">
        <v>2998.76</v>
      </c>
      <c r="G206" s="471">
        <v>837.76751983637359</v>
      </c>
      <c r="H206" s="471">
        <v>164.69092413764568</v>
      </c>
      <c r="I206" s="471">
        <v>304.25</v>
      </c>
      <c r="J206" s="471">
        <v>0</v>
      </c>
      <c r="K206" s="471">
        <v>0</v>
      </c>
      <c r="L206" s="471">
        <v>537.80227933742958</v>
      </c>
      <c r="M206" s="572">
        <f t="shared" si="16"/>
        <v>0</v>
      </c>
      <c r="N206" s="471">
        <v>1068.5160473759086</v>
      </c>
      <c r="O206" s="471">
        <v>0</v>
      </c>
      <c r="P206" s="471">
        <v>0</v>
      </c>
      <c r="Q206" s="471">
        <v>757.61411431491979</v>
      </c>
      <c r="R206" s="572">
        <f t="shared" si="17"/>
        <v>2821.784399810108</v>
      </c>
      <c r="S206" s="471">
        <v>134.30372510334533</v>
      </c>
      <c r="T206" s="471">
        <v>212.27169726709224</v>
      </c>
      <c r="U206" s="471">
        <v>139.93069771698194</v>
      </c>
      <c r="V206" s="471">
        <v>0</v>
      </c>
      <c r="W206" s="471">
        <v>0</v>
      </c>
      <c r="X206" s="471">
        <v>76.425337939766223</v>
      </c>
      <c r="Y206" s="471">
        <v>0</v>
      </c>
      <c r="Z206" s="471">
        <v>1770.5501479892782</v>
      </c>
      <c r="AA206" s="471">
        <v>1049.253602882161</v>
      </c>
      <c r="AB206" s="471">
        <v>883.5119141979244</v>
      </c>
      <c r="AC206" s="471">
        <v>0</v>
      </c>
      <c r="AD206" s="471">
        <v>0</v>
      </c>
      <c r="AE206" s="471">
        <v>325.99689683609631</v>
      </c>
      <c r="AF206" s="471">
        <v>0</v>
      </c>
      <c r="AG206" s="471">
        <v>598.57214245623163</v>
      </c>
      <c r="AH206" s="685">
        <f t="shared" si="18"/>
        <v>11084.669304745032</v>
      </c>
      <c r="AI206" s="472">
        <f t="shared" si="19"/>
        <v>11683.241447201264</v>
      </c>
      <c r="AJ206" s="472"/>
      <c r="AK206" s="472"/>
      <c r="AL206" s="570">
        <v>98.23</v>
      </c>
      <c r="AM206" s="570">
        <v>2723.554399810108</v>
      </c>
      <c r="AN206" s="566">
        <v>0</v>
      </c>
      <c r="AO206" s="566">
        <f t="shared" si="20"/>
        <v>2821.784399810108</v>
      </c>
    </row>
    <row r="207" spans="1:41" x14ac:dyDescent="0.3">
      <c r="A207" s="466">
        <v>150000811</v>
      </c>
      <c r="B207" s="467" t="s">
        <v>301</v>
      </c>
      <c r="C207" s="468">
        <v>2562</v>
      </c>
      <c r="D207" s="469"/>
      <c r="E207" s="470">
        <v>42</v>
      </c>
      <c r="F207" s="470">
        <v>2604</v>
      </c>
      <c r="G207" s="471">
        <v>763.98509512009969</v>
      </c>
      <c r="H207" s="471">
        <v>128.98606914973575</v>
      </c>
      <c r="I207" s="471">
        <v>295.91000000000003</v>
      </c>
      <c r="J207" s="471">
        <v>0</v>
      </c>
      <c r="K207" s="471">
        <v>0</v>
      </c>
      <c r="L207" s="471">
        <v>432.74294982051123</v>
      </c>
      <c r="M207" s="572">
        <f t="shared" si="16"/>
        <v>0</v>
      </c>
      <c r="N207" s="471">
        <v>927.85544270527339</v>
      </c>
      <c r="O207" s="471">
        <v>0</v>
      </c>
      <c r="P207" s="471">
        <v>0</v>
      </c>
      <c r="Q207" s="471">
        <v>698.42551163406665</v>
      </c>
      <c r="R207" s="572">
        <f t="shared" si="17"/>
        <v>3226.7613152535237</v>
      </c>
      <c r="S207" s="471">
        <v>122.1311938047327</v>
      </c>
      <c r="T207" s="471">
        <v>166.23969598228419</v>
      </c>
      <c r="U207" s="471">
        <v>164.42897039662125</v>
      </c>
      <c r="V207" s="471">
        <v>0</v>
      </c>
      <c r="W207" s="471">
        <v>0</v>
      </c>
      <c r="X207" s="471">
        <v>58.866291083090957</v>
      </c>
      <c r="Y207" s="471">
        <v>0</v>
      </c>
      <c r="Z207" s="471">
        <v>2515.3266590944713</v>
      </c>
      <c r="AA207" s="471">
        <v>1154.6529966075511</v>
      </c>
      <c r="AB207" s="471">
        <v>1226.0199352339523</v>
      </c>
      <c r="AC207" s="471">
        <v>113.65771508488562</v>
      </c>
      <c r="AD207" s="471">
        <v>13.991953561586302</v>
      </c>
      <c r="AE207" s="471">
        <v>230.84947718536966</v>
      </c>
      <c r="AF207" s="471">
        <v>0</v>
      </c>
      <c r="AG207" s="471">
        <v>146.88997526061306</v>
      </c>
      <c r="AH207" s="685">
        <f t="shared" si="18"/>
        <v>12240.831271717756</v>
      </c>
      <c r="AI207" s="472">
        <f t="shared" si="19"/>
        <v>12387.72124697837</v>
      </c>
      <c r="AJ207" s="472"/>
      <c r="AK207" s="472"/>
      <c r="AL207" s="570">
        <v>73.819999999999993</v>
      </c>
      <c r="AM207" s="570">
        <v>3152.9413152535235</v>
      </c>
      <c r="AN207" s="566">
        <v>0</v>
      </c>
      <c r="AO207" s="566">
        <f t="shared" si="20"/>
        <v>3226.7613152535237</v>
      </c>
    </row>
    <row r="208" spans="1:41" x14ac:dyDescent="0.3">
      <c r="A208" s="466">
        <v>150000812</v>
      </c>
      <c r="B208" s="467" t="s">
        <v>302</v>
      </c>
      <c r="C208" s="468">
        <v>2295.3000000000002</v>
      </c>
      <c r="D208" s="469"/>
      <c r="E208" s="470">
        <v>485.6</v>
      </c>
      <c r="F208" s="470">
        <v>2780.9</v>
      </c>
      <c r="G208" s="471">
        <v>498.30036711423713</v>
      </c>
      <c r="H208" s="471">
        <v>96.930659689875455</v>
      </c>
      <c r="I208" s="471">
        <v>347.67</v>
      </c>
      <c r="J208" s="471">
        <v>0</v>
      </c>
      <c r="K208" s="471">
        <v>0</v>
      </c>
      <c r="L208" s="471">
        <v>415.61796325034436</v>
      </c>
      <c r="M208" s="572">
        <f t="shared" si="16"/>
        <v>0</v>
      </c>
      <c r="N208" s="471">
        <v>990.88832589058939</v>
      </c>
      <c r="O208" s="471">
        <v>0</v>
      </c>
      <c r="P208" s="471">
        <v>0</v>
      </c>
      <c r="Q208" s="471">
        <v>102.59357798014538</v>
      </c>
      <c r="R208" s="572">
        <f t="shared" si="17"/>
        <v>2271.2225439725908</v>
      </c>
      <c r="S208" s="471">
        <v>89.959598519160679</v>
      </c>
      <c r="T208" s="471">
        <v>124.92740962081987</v>
      </c>
      <c r="U208" s="471">
        <v>160.21630665945352</v>
      </c>
      <c r="V208" s="471">
        <v>0</v>
      </c>
      <c r="W208" s="471">
        <v>0</v>
      </c>
      <c r="X208" s="471">
        <v>57.641718801464663</v>
      </c>
      <c r="Y208" s="471">
        <v>0</v>
      </c>
      <c r="Z208" s="471">
        <v>2697.4559461723793</v>
      </c>
      <c r="AA208" s="471">
        <v>998.03036147974206</v>
      </c>
      <c r="AB208" s="471">
        <v>1381.2125114025137</v>
      </c>
      <c r="AC208" s="471">
        <v>0</v>
      </c>
      <c r="AD208" s="471">
        <v>0</v>
      </c>
      <c r="AE208" s="471">
        <v>486.65565460699548</v>
      </c>
      <c r="AF208" s="471">
        <v>0</v>
      </c>
      <c r="AG208" s="471">
        <v>0</v>
      </c>
      <c r="AH208" s="685">
        <f t="shared" si="18"/>
        <v>10719.322945160311</v>
      </c>
      <c r="AI208" s="472">
        <f t="shared" si="19"/>
        <v>10719.322945160311</v>
      </c>
      <c r="AJ208" s="472"/>
      <c r="AK208" s="472"/>
      <c r="AL208" s="570">
        <v>38.450000000000003</v>
      </c>
      <c r="AM208" s="570">
        <v>2232.7725439725909</v>
      </c>
      <c r="AN208" s="566">
        <v>0</v>
      </c>
      <c r="AO208" s="566">
        <f t="shared" si="20"/>
        <v>2271.2225439725908</v>
      </c>
    </row>
    <row r="209" spans="1:41" x14ac:dyDescent="0.3">
      <c r="A209" s="466">
        <v>150000813</v>
      </c>
      <c r="B209" s="467" t="s">
        <v>188</v>
      </c>
      <c r="C209" s="468">
        <v>373.3</v>
      </c>
      <c r="D209" s="469"/>
      <c r="E209" s="470"/>
      <c r="F209" s="470">
        <v>373.3</v>
      </c>
      <c r="G209" s="471">
        <v>81.920722766758146</v>
      </c>
      <c r="H209" s="471">
        <v>28.455403299245653</v>
      </c>
      <c r="I209" s="471">
        <v>0</v>
      </c>
      <c r="J209" s="471">
        <v>0</v>
      </c>
      <c r="K209" s="471">
        <v>0</v>
      </c>
      <c r="L209" s="471">
        <v>47.503701624648464</v>
      </c>
      <c r="M209" s="572">
        <f t="shared" si="16"/>
        <v>0</v>
      </c>
      <c r="N209" s="471">
        <v>133.01399261208854</v>
      </c>
      <c r="O209" s="471">
        <v>0</v>
      </c>
      <c r="P209" s="471">
        <v>0</v>
      </c>
      <c r="Q209" s="471">
        <v>31.567254763121657</v>
      </c>
      <c r="R209" s="572">
        <f t="shared" si="17"/>
        <v>394.00920081706113</v>
      </c>
      <c r="S209" s="471">
        <v>30.728404098874446</v>
      </c>
      <c r="T209" s="471">
        <v>36.670250691050846</v>
      </c>
      <c r="U209" s="471">
        <v>0</v>
      </c>
      <c r="V209" s="471">
        <v>0</v>
      </c>
      <c r="W209" s="471">
        <v>0</v>
      </c>
      <c r="X209" s="471">
        <v>11.528310748437255</v>
      </c>
      <c r="Y209" s="471">
        <v>0</v>
      </c>
      <c r="Z209" s="471">
        <v>263.32455459973721</v>
      </c>
      <c r="AA209" s="471">
        <v>212.08872072239058</v>
      </c>
      <c r="AB209" s="471">
        <v>114.4513960850033</v>
      </c>
      <c r="AC209" s="471">
        <v>0</v>
      </c>
      <c r="AD209" s="471">
        <v>0</v>
      </c>
      <c r="AE209" s="471">
        <v>77.989688238300573</v>
      </c>
      <c r="AF209" s="471">
        <v>0</v>
      </c>
      <c r="AG209" s="471">
        <v>26.338528819200917</v>
      </c>
      <c r="AH209" s="685">
        <f t="shared" si="18"/>
        <v>1463.2516010667177</v>
      </c>
      <c r="AI209" s="472">
        <f t="shared" si="19"/>
        <v>1489.5901298859187</v>
      </c>
      <c r="AJ209" s="472"/>
      <c r="AK209" s="472"/>
      <c r="AL209" s="570">
        <v>34.409999999999997</v>
      </c>
      <c r="AM209" s="570">
        <v>359.59920081706116</v>
      </c>
      <c r="AN209" s="566">
        <v>0</v>
      </c>
      <c r="AO209" s="566">
        <f t="shared" si="20"/>
        <v>394.00920081706113</v>
      </c>
    </row>
    <row r="210" spans="1:41" x14ac:dyDescent="0.3">
      <c r="A210" s="466">
        <v>150000814</v>
      </c>
      <c r="B210" s="467" t="s">
        <v>304</v>
      </c>
      <c r="C210" s="468">
        <v>2559.3000000000002</v>
      </c>
      <c r="D210" s="469"/>
      <c r="E210" s="470">
        <v>675.7</v>
      </c>
      <c r="F210" s="470">
        <v>3235</v>
      </c>
      <c r="G210" s="471">
        <v>883.26726772353527</v>
      </c>
      <c r="H210" s="471">
        <v>183.33244135762521</v>
      </c>
      <c r="I210" s="471">
        <v>319.37</v>
      </c>
      <c r="J210" s="471">
        <v>0</v>
      </c>
      <c r="K210" s="471">
        <v>0</v>
      </c>
      <c r="L210" s="471">
        <v>552.17988461485959</v>
      </c>
      <c r="M210" s="572">
        <f t="shared" si="16"/>
        <v>0</v>
      </c>
      <c r="N210" s="471">
        <v>1152.6929174929182</v>
      </c>
      <c r="O210" s="471">
        <v>0</v>
      </c>
      <c r="P210" s="471">
        <v>0</v>
      </c>
      <c r="Q210" s="471">
        <v>757.61411431491979</v>
      </c>
      <c r="R210" s="572">
        <f t="shared" si="17"/>
        <v>2587.2866482101094</v>
      </c>
      <c r="S210" s="471">
        <v>144.38665537536446</v>
      </c>
      <c r="T210" s="471">
        <v>236.29283810990782</v>
      </c>
      <c r="U210" s="471">
        <v>157.70525474036745</v>
      </c>
      <c r="V210" s="471">
        <v>0</v>
      </c>
      <c r="W210" s="471">
        <v>0</v>
      </c>
      <c r="X210" s="471">
        <v>78.17977785058504</v>
      </c>
      <c r="Y210" s="471">
        <v>0</v>
      </c>
      <c r="Z210" s="471">
        <v>2930.2395320465853</v>
      </c>
      <c r="AA210" s="471">
        <v>1084.7294153789264</v>
      </c>
      <c r="AB210" s="471">
        <v>1145.316363764523</v>
      </c>
      <c r="AC210" s="471">
        <v>3.0638806093618083</v>
      </c>
      <c r="AD210" s="471">
        <v>0.37718227198582865</v>
      </c>
      <c r="AE210" s="471">
        <v>511.61235484325175</v>
      </c>
      <c r="AF210" s="471">
        <v>0</v>
      </c>
      <c r="AG210" s="471">
        <v>0</v>
      </c>
      <c r="AH210" s="685">
        <f t="shared" si="18"/>
        <v>12727.646528704827</v>
      </c>
      <c r="AI210" s="472">
        <f t="shared" si="19"/>
        <v>12727.646528704827</v>
      </c>
      <c r="AJ210" s="472"/>
      <c r="AK210" s="472"/>
      <c r="AL210" s="570">
        <v>130.79</v>
      </c>
      <c r="AM210" s="570">
        <v>2456.4966482101095</v>
      </c>
      <c r="AN210" s="566">
        <v>0</v>
      </c>
      <c r="AO210" s="566">
        <f t="shared" si="20"/>
        <v>2587.2866482101094</v>
      </c>
    </row>
    <row r="211" spans="1:41" x14ac:dyDescent="0.3">
      <c r="A211" s="466">
        <v>150000816</v>
      </c>
      <c r="B211" s="467" t="s">
        <v>229</v>
      </c>
      <c r="C211" s="468">
        <v>2100.34</v>
      </c>
      <c r="D211" s="469"/>
      <c r="E211" s="470">
        <v>388</v>
      </c>
      <c r="F211" s="470">
        <v>2488.34</v>
      </c>
      <c r="G211" s="471">
        <v>775.13197503060508</v>
      </c>
      <c r="H211" s="471">
        <v>125.28722509957608</v>
      </c>
      <c r="I211" s="471">
        <v>287.44</v>
      </c>
      <c r="J211" s="471">
        <v>74.22</v>
      </c>
      <c r="K211" s="471">
        <v>0</v>
      </c>
      <c r="L211" s="471">
        <v>490.83471639363404</v>
      </c>
      <c r="M211" s="572">
        <f t="shared" si="16"/>
        <v>0</v>
      </c>
      <c r="N211" s="471">
        <v>886.64355311107522</v>
      </c>
      <c r="O211" s="471">
        <v>0</v>
      </c>
      <c r="P211" s="471">
        <v>0</v>
      </c>
      <c r="Q211" s="471">
        <v>209.13306280568099</v>
      </c>
      <c r="R211" s="572">
        <f t="shared" si="17"/>
        <v>2053.4126811296874</v>
      </c>
      <c r="S211" s="471">
        <v>125.59670029992532</v>
      </c>
      <c r="T211" s="471">
        <v>161.4665313458282</v>
      </c>
      <c r="U211" s="471">
        <v>154.79269043008384</v>
      </c>
      <c r="V211" s="471">
        <v>71.583652111914517</v>
      </c>
      <c r="W211" s="471">
        <v>0</v>
      </c>
      <c r="X211" s="471">
        <v>66.859017642393312</v>
      </c>
      <c r="Y211" s="471">
        <v>0</v>
      </c>
      <c r="Z211" s="471">
        <v>2627.8464077708782</v>
      </c>
      <c r="AA211" s="471">
        <v>1175.1200823686183</v>
      </c>
      <c r="AB211" s="471">
        <v>1464.066056212323</v>
      </c>
      <c r="AC211" s="471">
        <v>0</v>
      </c>
      <c r="AD211" s="471">
        <v>0</v>
      </c>
      <c r="AE211" s="471">
        <v>207.45257071387951</v>
      </c>
      <c r="AF211" s="471">
        <v>0</v>
      </c>
      <c r="AG211" s="471">
        <v>328.70660767398311</v>
      </c>
      <c r="AH211" s="685">
        <f t="shared" si="18"/>
        <v>10956.886922466103</v>
      </c>
      <c r="AI211" s="472">
        <f t="shared" si="19"/>
        <v>11285.593530140086</v>
      </c>
      <c r="AJ211" s="472"/>
      <c r="AK211" s="472"/>
      <c r="AL211" s="570">
        <v>130.79</v>
      </c>
      <c r="AM211" s="570">
        <v>1922.6226811296874</v>
      </c>
      <c r="AN211" s="566">
        <v>0</v>
      </c>
      <c r="AO211" s="566">
        <f t="shared" si="20"/>
        <v>2053.4126811296874</v>
      </c>
    </row>
    <row r="212" spans="1:41" x14ac:dyDescent="0.3">
      <c r="A212" s="466">
        <v>150000819</v>
      </c>
      <c r="B212" s="467" t="s">
        <v>423</v>
      </c>
      <c r="C212" s="468">
        <v>6584.95</v>
      </c>
      <c r="D212" s="469">
        <v>226.3</v>
      </c>
      <c r="E212" s="470">
        <v>185.4</v>
      </c>
      <c r="F212" s="470">
        <v>6770.3499999999995</v>
      </c>
      <c r="G212" s="471">
        <v>2204.7680141476426</v>
      </c>
      <c r="H212" s="471">
        <v>374.18580162623266</v>
      </c>
      <c r="I212" s="471">
        <v>713.76</v>
      </c>
      <c r="J212" s="471">
        <v>181.01</v>
      </c>
      <c r="K212" s="471">
        <v>104.17501397504415</v>
      </c>
      <c r="L212" s="471">
        <v>840.38978667219078</v>
      </c>
      <c r="M212" s="572">
        <f t="shared" si="16"/>
        <v>0</v>
      </c>
      <c r="N212" s="471">
        <v>2412.4063350689889</v>
      </c>
      <c r="O212" s="471">
        <v>4342.9003550859034</v>
      </c>
      <c r="P212" s="471">
        <v>131.53517990591092</v>
      </c>
      <c r="Q212" s="471">
        <v>441.94156668370323</v>
      </c>
      <c r="R212" s="572">
        <f t="shared" si="17"/>
        <v>8539.9919101833912</v>
      </c>
      <c r="S212" s="471">
        <v>177.2526876394397</v>
      </c>
      <c r="T212" s="471">
        <v>246.86755618844444</v>
      </c>
      <c r="U212" s="471">
        <v>299.50177031546531</v>
      </c>
      <c r="V212" s="471">
        <v>101.08196255963261</v>
      </c>
      <c r="W212" s="471">
        <v>52.842011746104383</v>
      </c>
      <c r="X212" s="471">
        <v>68.436873569886032</v>
      </c>
      <c r="Y212" s="471">
        <v>0</v>
      </c>
      <c r="Z212" s="471">
        <v>6842.4042733050082</v>
      </c>
      <c r="AA212" s="471">
        <v>5161.3823811993834</v>
      </c>
      <c r="AB212" s="471">
        <v>411.15697653478429</v>
      </c>
      <c r="AC212" s="471">
        <v>53.924298724767823</v>
      </c>
      <c r="AD212" s="471">
        <v>6.6384079869505843</v>
      </c>
      <c r="AE212" s="471">
        <v>1107.4535729838678</v>
      </c>
      <c r="AF212" s="471">
        <v>1661.1803594758021</v>
      </c>
      <c r="AG212" s="471">
        <v>1094.3156128673565</v>
      </c>
      <c r="AH212" s="685">
        <f t="shared" si="18"/>
        <v>36477.187095578549</v>
      </c>
      <c r="AI212" s="472">
        <f t="shared" si="19"/>
        <v>37571.502708445907</v>
      </c>
      <c r="AJ212" s="472"/>
      <c r="AK212" s="472"/>
      <c r="AL212" s="570">
        <v>42.12</v>
      </c>
      <c r="AM212" s="570">
        <v>8497.8719101833904</v>
      </c>
      <c r="AN212" s="566">
        <v>0</v>
      </c>
      <c r="AO212" s="566">
        <f t="shared" si="20"/>
        <v>8539.9919101833912</v>
      </c>
    </row>
    <row r="213" spans="1:41" x14ac:dyDescent="0.3">
      <c r="A213" s="466">
        <v>150000820</v>
      </c>
      <c r="B213" s="467" t="s">
        <v>394</v>
      </c>
      <c r="C213" s="468">
        <v>4138.63</v>
      </c>
      <c r="D213" s="469">
        <v>406.76</v>
      </c>
      <c r="E213" s="470">
        <v>50</v>
      </c>
      <c r="F213" s="470">
        <v>4188.63</v>
      </c>
      <c r="G213" s="471">
        <v>1203.9651706555746</v>
      </c>
      <c r="H213" s="471">
        <v>229.27043676019986</v>
      </c>
      <c r="I213" s="471">
        <v>458.42</v>
      </c>
      <c r="J213" s="471">
        <v>124.64</v>
      </c>
      <c r="K213" s="471">
        <v>65.004820328168279</v>
      </c>
      <c r="L213" s="471">
        <v>521.63878655336202</v>
      </c>
      <c r="M213" s="572">
        <f t="shared" si="16"/>
        <v>0</v>
      </c>
      <c r="N213" s="471">
        <v>1492.4896862436979</v>
      </c>
      <c r="O213" s="471">
        <v>3456.5475482576176</v>
      </c>
      <c r="P213" s="471">
        <v>0</v>
      </c>
      <c r="Q213" s="471">
        <v>280.15938602270472</v>
      </c>
      <c r="R213" s="572">
        <f t="shared" si="17"/>
        <v>6099.8371383026197</v>
      </c>
      <c r="S213" s="471">
        <v>90.140000417276681</v>
      </c>
      <c r="T213" s="471">
        <v>151.5764044471068</v>
      </c>
      <c r="U213" s="471">
        <v>187.56369136628967</v>
      </c>
      <c r="V213" s="471">
        <v>74.201793116451299</v>
      </c>
      <c r="W213" s="471">
        <v>32.980617657691397</v>
      </c>
      <c r="X213" s="471">
        <v>35.846994024806158</v>
      </c>
      <c r="Y213" s="471">
        <v>0</v>
      </c>
      <c r="Z213" s="471">
        <v>5664.4465513571895</v>
      </c>
      <c r="AA213" s="471">
        <v>3372.9831655412509</v>
      </c>
      <c r="AB213" s="471">
        <v>324.59761305377708</v>
      </c>
      <c r="AC213" s="471">
        <v>110.29970193702509</v>
      </c>
      <c r="AD213" s="471">
        <v>13.578561791489831</v>
      </c>
      <c r="AE213" s="471">
        <v>2311.6143593832285</v>
      </c>
      <c r="AF213" s="471">
        <v>758.05976967628146</v>
      </c>
      <c r="AG213" s="471">
        <v>487.07751954408855</v>
      </c>
      <c r="AH213" s="685">
        <f t="shared" si="18"/>
        <v>27059.86219689381</v>
      </c>
      <c r="AI213" s="472">
        <f t="shared" si="19"/>
        <v>27546.939716437897</v>
      </c>
      <c r="AJ213" s="472"/>
      <c r="AK213" s="472"/>
      <c r="AL213" s="570">
        <v>42.12</v>
      </c>
      <c r="AM213" s="570">
        <v>6057.7171383026198</v>
      </c>
      <c r="AN213" s="566">
        <v>0</v>
      </c>
      <c r="AO213" s="566">
        <f t="shared" si="20"/>
        <v>6099.8371383026197</v>
      </c>
    </row>
    <row r="214" spans="1:41" x14ac:dyDescent="0.3">
      <c r="A214" s="466">
        <v>150000827</v>
      </c>
      <c r="B214" s="467" t="s">
        <v>298</v>
      </c>
      <c r="C214" s="468">
        <v>3727.2</v>
      </c>
      <c r="D214" s="469"/>
      <c r="E214" s="470">
        <v>693.5</v>
      </c>
      <c r="F214" s="470">
        <v>4420.7</v>
      </c>
      <c r="G214" s="471">
        <v>1217.6613996385609</v>
      </c>
      <c r="H214" s="471">
        <v>237.85127951698783</v>
      </c>
      <c r="I214" s="471">
        <v>480.42</v>
      </c>
      <c r="J214" s="471">
        <v>0</v>
      </c>
      <c r="K214" s="471">
        <v>0</v>
      </c>
      <c r="L214" s="471">
        <v>843.66943521796281</v>
      </c>
      <c r="M214" s="572">
        <f t="shared" si="16"/>
        <v>0</v>
      </c>
      <c r="N214" s="471">
        <v>1575.1807049029192</v>
      </c>
      <c r="O214" s="471">
        <v>0</v>
      </c>
      <c r="P214" s="471">
        <v>0</v>
      </c>
      <c r="Q214" s="471">
        <v>1053.5571277191855</v>
      </c>
      <c r="R214" s="572">
        <f t="shared" si="17"/>
        <v>3968.1943281986851</v>
      </c>
      <c r="S214" s="471">
        <v>195.10050848844696</v>
      </c>
      <c r="T214" s="471">
        <v>306.55482930182978</v>
      </c>
      <c r="U214" s="471">
        <v>232.97882065928599</v>
      </c>
      <c r="V214" s="471">
        <v>0</v>
      </c>
      <c r="W214" s="471">
        <v>0</v>
      </c>
      <c r="X214" s="471">
        <v>121.44823199730912</v>
      </c>
      <c r="Y214" s="471">
        <v>0</v>
      </c>
      <c r="Z214" s="471">
        <v>2447.6885633602801</v>
      </c>
      <c r="AA214" s="471">
        <v>1796.7110071377929</v>
      </c>
      <c r="AB214" s="471">
        <v>1043.0998370618304</v>
      </c>
      <c r="AC214" s="471">
        <v>168.95463232264754</v>
      </c>
      <c r="AD214" s="471">
        <v>20.799339206386534</v>
      </c>
      <c r="AE214" s="471">
        <v>489.77524213652754</v>
      </c>
      <c r="AF214" s="471">
        <v>0</v>
      </c>
      <c r="AG214" s="471">
        <v>971.97871721199851</v>
      </c>
      <c r="AH214" s="685">
        <f t="shared" si="18"/>
        <v>16199.645286866642</v>
      </c>
      <c r="AI214" s="472">
        <f t="shared" si="19"/>
        <v>17171.62400407864</v>
      </c>
      <c r="AJ214" s="472"/>
      <c r="AK214" s="472"/>
      <c r="AL214" s="570">
        <v>163.35</v>
      </c>
      <c r="AM214" s="570">
        <v>3804.8443281986852</v>
      </c>
      <c r="AN214" s="566">
        <v>0</v>
      </c>
      <c r="AO214" s="566">
        <f t="shared" si="20"/>
        <v>3968.1943281986851</v>
      </c>
    </row>
    <row r="215" spans="1:41" x14ac:dyDescent="0.3">
      <c r="A215" s="466">
        <v>150000828</v>
      </c>
      <c r="B215" s="467" t="s">
        <v>303</v>
      </c>
      <c r="C215" s="468">
        <v>2595.52</v>
      </c>
      <c r="D215" s="469"/>
      <c r="E215" s="470"/>
      <c r="F215" s="470">
        <v>2595.52</v>
      </c>
      <c r="G215" s="471">
        <v>763.98509512009969</v>
      </c>
      <c r="H215" s="471">
        <v>128.98606914973575</v>
      </c>
      <c r="I215" s="471">
        <v>295.55</v>
      </c>
      <c r="J215" s="471">
        <v>0</v>
      </c>
      <c r="K215" s="471">
        <v>0</v>
      </c>
      <c r="L215" s="471">
        <v>425.93456864872587</v>
      </c>
      <c r="M215" s="572">
        <f t="shared" si="16"/>
        <v>0</v>
      </c>
      <c r="N215" s="471">
        <v>924.83385508847584</v>
      </c>
      <c r="O215" s="471">
        <v>0</v>
      </c>
      <c r="P215" s="471">
        <v>0</v>
      </c>
      <c r="Q215" s="471">
        <v>710.2632321702373</v>
      </c>
      <c r="R215" s="572">
        <f t="shared" si="17"/>
        <v>3321.9124404125919</v>
      </c>
      <c r="S215" s="471">
        <v>122.1311938047327</v>
      </c>
      <c r="T215" s="471">
        <v>166.23969598228419</v>
      </c>
      <c r="U215" s="471">
        <v>164.27702055536201</v>
      </c>
      <c r="V215" s="471">
        <v>0</v>
      </c>
      <c r="W215" s="471">
        <v>0</v>
      </c>
      <c r="X215" s="471">
        <v>58.866299624772751</v>
      </c>
      <c r="Y215" s="471">
        <v>0</v>
      </c>
      <c r="Z215" s="471">
        <v>2006.8680671602899</v>
      </c>
      <c r="AA215" s="471">
        <v>1177.8125889783714</v>
      </c>
      <c r="AB215" s="471">
        <v>1064.1927783561252</v>
      </c>
      <c r="AC215" s="471">
        <v>137.23243804555912</v>
      </c>
      <c r="AD215" s="471">
        <v>16.894144835154062</v>
      </c>
      <c r="AE215" s="471">
        <v>372.79070977907668</v>
      </c>
      <c r="AF215" s="471">
        <v>0</v>
      </c>
      <c r="AG215" s="471">
        <v>284.61048474507834</v>
      </c>
      <c r="AH215" s="685">
        <f t="shared" si="18"/>
        <v>11858.770197711598</v>
      </c>
      <c r="AI215" s="472">
        <f t="shared" si="19"/>
        <v>12143.380682456676</v>
      </c>
      <c r="AJ215" s="472"/>
      <c r="AK215" s="472"/>
      <c r="AL215" s="570">
        <v>100.13</v>
      </c>
      <c r="AM215" s="570">
        <v>3221.7824404125918</v>
      </c>
      <c r="AN215" s="566">
        <v>0</v>
      </c>
      <c r="AO215" s="566">
        <f t="shared" si="20"/>
        <v>3321.9124404125919</v>
      </c>
    </row>
    <row r="216" spans="1:41" x14ac:dyDescent="0.3">
      <c r="A216" s="466">
        <v>150000829</v>
      </c>
      <c r="B216" s="467" t="s">
        <v>230</v>
      </c>
      <c r="C216" s="468">
        <v>2581.1999999999998</v>
      </c>
      <c r="D216" s="469"/>
      <c r="E216" s="470"/>
      <c r="F216" s="470">
        <v>2581.1999999999998</v>
      </c>
      <c r="G216" s="471">
        <v>809.81621556296568</v>
      </c>
      <c r="H216" s="471">
        <v>125.75612302903433</v>
      </c>
      <c r="I216" s="471">
        <v>317.33</v>
      </c>
      <c r="J216" s="471">
        <v>0</v>
      </c>
      <c r="K216" s="471">
        <v>0</v>
      </c>
      <c r="L216" s="471">
        <v>489.53935434129232</v>
      </c>
      <c r="M216" s="572">
        <f t="shared" si="16"/>
        <v>0</v>
      </c>
      <c r="N216" s="471">
        <v>919.73136279218568</v>
      </c>
      <c r="O216" s="471">
        <v>0</v>
      </c>
      <c r="P216" s="471">
        <v>0</v>
      </c>
      <c r="Q216" s="471">
        <v>757.61411431491979</v>
      </c>
      <c r="R216" s="572">
        <f t="shared" si="17"/>
        <v>2362.1885363862207</v>
      </c>
      <c r="S216" s="471">
        <v>127.8489770672832</v>
      </c>
      <c r="T216" s="471">
        <v>162.09291515742171</v>
      </c>
      <c r="U216" s="471">
        <v>143.23880842559623</v>
      </c>
      <c r="V216" s="471">
        <v>0</v>
      </c>
      <c r="W216" s="471">
        <v>0</v>
      </c>
      <c r="X216" s="471">
        <v>67.03938762595746</v>
      </c>
      <c r="Y216" s="471">
        <v>0</v>
      </c>
      <c r="Z216" s="471">
        <v>2669.1583258986452</v>
      </c>
      <c r="AA216" s="471">
        <v>1143.4825666428535</v>
      </c>
      <c r="AB216" s="471">
        <v>905.96029732371017</v>
      </c>
      <c r="AC216" s="471">
        <v>0</v>
      </c>
      <c r="AD216" s="471">
        <v>0</v>
      </c>
      <c r="AE216" s="471">
        <v>369.67112224954462</v>
      </c>
      <c r="AF216" s="471">
        <v>0</v>
      </c>
      <c r="AG216" s="471">
        <v>204.66842592271732</v>
      </c>
      <c r="AH216" s="685">
        <f t="shared" si="18"/>
        <v>11370.468106817632</v>
      </c>
      <c r="AI216" s="472">
        <f t="shared" si="19"/>
        <v>11575.136532740349</v>
      </c>
      <c r="AJ216" s="472"/>
      <c r="AK216" s="472"/>
      <c r="AL216" s="570">
        <v>63.36</v>
      </c>
      <c r="AM216" s="570">
        <v>2298.8285363862205</v>
      </c>
      <c r="AN216" s="566">
        <v>0</v>
      </c>
      <c r="AO216" s="566">
        <f t="shared" si="20"/>
        <v>2362.1885363862207</v>
      </c>
    </row>
    <row r="217" spans="1:41" x14ac:dyDescent="0.3">
      <c r="A217" s="466">
        <v>150000830</v>
      </c>
      <c r="B217" s="467" t="s">
        <v>293</v>
      </c>
      <c r="C217" s="468">
        <v>4483.3</v>
      </c>
      <c r="D217" s="469"/>
      <c r="E217" s="470">
        <v>1478</v>
      </c>
      <c r="F217" s="470">
        <v>5961.3</v>
      </c>
      <c r="G217" s="471">
        <v>1383.1905960134843</v>
      </c>
      <c r="H217" s="471">
        <v>283.14815611058077</v>
      </c>
      <c r="I217" s="471">
        <v>584.28</v>
      </c>
      <c r="J217" s="471">
        <v>0</v>
      </c>
      <c r="K217" s="471">
        <v>107.87259182013038</v>
      </c>
      <c r="L217" s="471">
        <v>1122.883285174172</v>
      </c>
      <c r="M217" s="572">
        <f t="shared" si="16"/>
        <v>0</v>
      </c>
      <c r="N217" s="471">
        <v>2124.1262099074293</v>
      </c>
      <c r="O217" s="471">
        <v>0</v>
      </c>
      <c r="P217" s="471">
        <v>0</v>
      </c>
      <c r="Q217" s="471">
        <v>1112.7457304000384</v>
      </c>
      <c r="R217" s="572">
        <f t="shared" si="17"/>
        <v>5932.6489145908245</v>
      </c>
      <c r="S217" s="471">
        <v>228.40102918713518</v>
      </c>
      <c r="T217" s="471">
        <v>364.94941211764393</v>
      </c>
      <c r="U217" s="471">
        <v>215.78032349127011</v>
      </c>
      <c r="V217" s="471">
        <v>0</v>
      </c>
      <c r="W217" s="471">
        <v>109.43236141333836</v>
      </c>
      <c r="X217" s="471">
        <v>166.09371810065795</v>
      </c>
      <c r="Y217" s="471">
        <v>0</v>
      </c>
      <c r="Z217" s="471">
        <v>3584.0539491560858</v>
      </c>
      <c r="AA217" s="471">
        <v>2193.5571336551479</v>
      </c>
      <c r="AB217" s="471">
        <v>830.95414660646736</v>
      </c>
      <c r="AC217" s="471">
        <v>89.4653137933648</v>
      </c>
      <c r="AD217" s="471">
        <v>11.013722341986195</v>
      </c>
      <c r="AE217" s="471">
        <v>92.027832121194649</v>
      </c>
      <c r="AF217" s="471">
        <v>0</v>
      </c>
      <c r="AG217" s="471">
        <v>985.75797244804562</v>
      </c>
      <c r="AH217" s="685">
        <f t="shared" si="18"/>
        <v>20536.624426000948</v>
      </c>
      <c r="AI217" s="472">
        <f t="shared" si="19"/>
        <v>21522.382398448994</v>
      </c>
      <c r="AJ217" s="472"/>
      <c r="AK217" s="472"/>
      <c r="AL217" s="570">
        <v>86.78</v>
      </c>
      <c r="AM217" s="570">
        <v>5845.8689145908247</v>
      </c>
      <c r="AN217" s="566">
        <v>0</v>
      </c>
      <c r="AO217" s="566">
        <f t="shared" si="20"/>
        <v>5932.6489145908245</v>
      </c>
    </row>
    <row r="218" spans="1:41" x14ac:dyDescent="0.3">
      <c r="A218" s="466">
        <v>150000832</v>
      </c>
      <c r="B218" s="467" t="s">
        <v>422</v>
      </c>
      <c r="C218" s="468">
        <v>4396.8</v>
      </c>
      <c r="D218" s="469">
        <v>394.3</v>
      </c>
      <c r="E218" s="470">
        <v>0</v>
      </c>
      <c r="F218" s="470">
        <v>4396.8</v>
      </c>
      <c r="G218" s="471">
        <v>1386.470682067283</v>
      </c>
      <c r="H218" s="471">
        <v>213.2214637765104</v>
      </c>
      <c r="I218" s="471">
        <v>559.85</v>
      </c>
      <c r="J218" s="471">
        <v>112.31</v>
      </c>
      <c r="K218" s="471">
        <v>44.322556752048527</v>
      </c>
      <c r="L218" s="471">
        <v>603.48826357563632</v>
      </c>
      <c r="M218" s="572">
        <f t="shared" si="16"/>
        <v>0</v>
      </c>
      <c r="N218" s="471">
        <v>1566.6646737659546</v>
      </c>
      <c r="O218" s="471">
        <v>3553.2101961369735</v>
      </c>
      <c r="P218" s="471">
        <v>0</v>
      </c>
      <c r="Q218" s="471">
        <v>315.67254763121656</v>
      </c>
      <c r="R218" s="572">
        <f t="shared" si="17"/>
        <v>5161.0904657556603</v>
      </c>
      <c r="S218" s="471">
        <v>107.20376039402515</v>
      </c>
      <c r="T218" s="471">
        <v>124.53291534639898</v>
      </c>
      <c r="U218" s="471">
        <v>113.38855201587788</v>
      </c>
      <c r="V218" s="471">
        <v>64.343823614751599</v>
      </c>
      <c r="W218" s="471">
        <v>22.490088794764784</v>
      </c>
      <c r="X218" s="471">
        <v>66.615536673176337</v>
      </c>
      <c r="Y218" s="471">
        <v>39.939398527722432</v>
      </c>
      <c r="Z218" s="471">
        <v>5978.4679795018001</v>
      </c>
      <c r="AA218" s="471">
        <v>3967.0573670356057</v>
      </c>
      <c r="AB218" s="471">
        <v>411.15697653478429</v>
      </c>
      <c r="AC218" s="471">
        <v>117.16279450199553</v>
      </c>
      <c r="AD218" s="471">
        <v>14.423450080738087</v>
      </c>
      <c r="AE218" s="471">
        <v>1367.9391316997919</v>
      </c>
      <c r="AF218" s="471">
        <v>489.77524213652754</v>
      </c>
      <c r="AG218" s="471">
        <v>316.80957439583096</v>
      </c>
      <c r="AH218" s="685">
        <f t="shared" si="18"/>
        <v>26400.797866319244</v>
      </c>
      <c r="AI218" s="472">
        <f t="shared" si="19"/>
        <v>26717.607440715074</v>
      </c>
      <c r="AJ218" s="472"/>
      <c r="AK218" s="472"/>
      <c r="AL218" s="570">
        <v>69.45</v>
      </c>
      <c r="AM218" s="570">
        <v>5091.6404657556604</v>
      </c>
      <c r="AN218" s="566">
        <v>0</v>
      </c>
      <c r="AO218" s="566">
        <f t="shared" si="20"/>
        <v>5161.0904657556603</v>
      </c>
    </row>
    <row r="219" spans="1:41" x14ac:dyDescent="0.3">
      <c r="A219" s="466">
        <v>150000833</v>
      </c>
      <c r="B219" s="467" t="s">
        <v>392</v>
      </c>
      <c r="C219" s="468">
        <v>4752.1000000000004</v>
      </c>
      <c r="D219" s="469">
        <v>455.3</v>
      </c>
      <c r="E219" s="470"/>
      <c r="F219" s="470">
        <v>4752.1000000000004</v>
      </c>
      <c r="G219" s="471">
        <v>1386.445635620966</v>
      </c>
      <c r="H219" s="471">
        <v>196.50305791152627</v>
      </c>
      <c r="I219" s="471">
        <v>587.14</v>
      </c>
      <c r="J219" s="471">
        <v>121.32</v>
      </c>
      <c r="K219" s="471">
        <v>69.441905573206768</v>
      </c>
      <c r="L219" s="471">
        <v>583.69497631430943</v>
      </c>
      <c r="M219" s="572">
        <f t="shared" si="16"/>
        <v>0</v>
      </c>
      <c r="N219" s="471">
        <v>1693.2649190782372</v>
      </c>
      <c r="O219" s="471">
        <v>2977.1337932727497</v>
      </c>
      <c r="P219" s="471">
        <v>0</v>
      </c>
      <c r="Q219" s="471">
        <v>315.67254763121656</v>
      </c>
      <c r="R219" s="572">
        <f t="shared" si="17"/>
        <v>5732.7769200933108</v>
      </c>
      <c r="S219" s="471">
        <v>85.763008315220134</v>
      </c>
      <c r="T219" s="471">
        <v>92.617012840432636</v>
      </c>
      <c r="U219" s="471">
        <v>114.95544260636071</v>
      </c>
      <c r="V219" s="471">
        <v>55.583945133963063</v>
      </c>
      <c r="W219" s="471">
        <v>28.185631423854762</v>
      </c>
      <c r="X219" s="471">
        <v>52.580945088612452</v>
      </c>
      <c r="Y219" s="471">
        <v>39.440035279691216</v>
      </c>
      <c r="Z219" s="471">
        <v>5321.056335256646</v>
      </c>
      <c r="AA219" s="471">
        <v>3432.1771273684567</v>
      </c>
      <c r="AB219" s="471">
        <v>627.55538523730206</v>
      </c>
      <c r="AC219" s="471">
        <v>130.98702381143602</v>
      </c>
      <c r="AD219" s="471">
        <v>16.125296491938148</v>
      </c>
      <c r="AE219" s="471">
        <v>354.07318460188452</v>
      </c>
      <c r="AF219" s="471">
        <v>1984.0576687823664</v>
      </c>
      <c r="AG219" s="471">
        <v>467.97393235920623</v>
      </c>
      <c r="AH219" s="685">
        <f t="shared" si="18"/>
        <v>25998.551797733682</v>
      </c>
      <c r="AI219" s="472">
        <f t="shared" si="19"/>
        <v>26466.52573009289</v>
      </c>
      <c r="AJ219" s="472"/>
      <c r="AK219" s="472"/>
      <c r="AL219" s="570">
        <v>50.66</v>
      </c>
      <c r="AM219" s="570">
        <v>5682.1169200933109</v>
      </c>
      <c r="AN219" s="566">
        <v>0</v>
      </c>
      <c r="AO219" s="566">
        <f t="shared" si="20"/>
        <v>5732.7769200933108</v>
      </c>
    </row>
    <row r="220" spans="1:41" x14ac:dyDescent="0.3">
      <c r="A220" s="466">
        <v>150000834</v>
      </c>
      <c r="B220" s="467" t="s">
        <v>79</v>
      </c>
      <c r="C220" s="468">
        <v>198.8</v>
      </c>
      <c r="D220" s="473"/>
      <c r="E220" s="470"/>
      <c r="F220" s="470">
        <v>198.8</v>
      </c>
      <c r="G220" s="471">
        <v>0</v>
      </c>
      <c r="H220" s="471">
        <v>0</v>
      </c>
      <c r="I220" s="471">
        <v>0</v>
      </c>
      <c r="J220" s="471">
        <v>0</v>
      </c>
      <c r="K220" s="471">
        <v>0</v>
      </c>
      <c r="L220" s="471">
        <v>0</v>
      </c>
      <c r="M220" s="572">
        <f t="shared" si="16"/>
        <v>0</v>
      </c>
      <c r="N220" s="471">
        <v>0</v>
      </c>
      <c r="O220" s="471">
        <v>0</v>
      </c>
      <c r="P220" s="471">
        <v>0</v>
      </c>
      <c r="Q220" s="471">
        <v>47.350882144682487</v>
      </c>
      <c r="R220" s="572">
        <f t="shared" si="17"/>
        <v>237.71744831315812</v>
      </c>
      <c r="S220" s="471">
        <v>0</v>
      </c>
      <c r="T220" s="471">
        <v>0</v>
      </c>
      <c r="U220" s="471">
        <v>0</v>
      </c>
      <c r="V220" s="471">
        <v>0</v>
      </c>
      <c r="W220" s="471">
        <v>0</v>
      </c>
      <c r="X220" s="471">
        <v>0</v>
      </c>
      <c r="Y220" s="471">
        <v>0</v>
      </c>
      <c r="Z220" s="471">
        <v>0</v>
      </c>
      <c r="AA220" s="471">
        <v>0</v>
      </c>
      <c r="AB220" s="471">
        <v>0</v>
      </c>
      <c r="AC220" s="471">
        <v>0</v>
      </c>
      <c r="AD220" s="471">
        <v>0</v>
      </c>
      <c r="AE220" s="471">
        <v>0</v>
      </c>
      <c r="AF220" s="471">
        <v>0</v>
      </c>
      <c r="AG220" s="471">
        <v>8.5520499137352175</v>
      </c>
      <c r="AH220" s="685">
        <f t="shared" si="18"/>
        <v>285.0683304578406</v>
      </c>
      <c r="AI220" s="472">
        <f t="shared" si="19"/>
        <v>293.62038037157583</v>
      </c>
      <c r="AJ220" s="472"/>
      <c r="AK220" s="472"/>
      <c r="AL220" s="570">
        <v>38.68</v>
      </c>
      <c r="AM220" s="570">
        <v>199.03744831315811</v>
      </c>
      <c r="AN220" s="566">
        <v>0</v>
      </c>
      <c r="AO220" s="566">
        <f t="shared" si="20"/>
        <v>237.71744831315812</v>
      </c>
    </row>
    <row r="221" spans="1:41" x14ac:dyDescent="0.3">
      <c r="A221" s="466">
        <v>150000835</v>
      </c>
      <c r="B221" s="467" t="s">
        <v>137</v>
      </c>
      <c r="C221" s="468">
        <v>128.6</v>
      </c>
      <c r="D221" s="473"/>
      <c r="E221" s="470"/>
      <c r="F221" s="470">
        <v>128.6</v>
      </c>
      <c r="G221" s="471">
        <v>0</v>
      </c>
      <c r="H221" s="471">
        <v>0</v>
      </c>
      <c r="I221" s="471">
        <v>0</v>
      </c>
      <c r="J221" s="471">
        <v>0</v>
      </c>
      <c r="K221" s="471">
        <v>0</v>
      </c>
      <c r="L221" s="471">
        <v>0</v>
      </c>
      <c r="M221" s="572">
        <f t="shared" si="16"/>
        <v>0</v>
      </c>
      <c r="N221" s="471">
        <v>0</v>
      </c>
      <c r="O221" s="471">
        <v>0</v>
      </c>
      <c r="P221" s="471">
        <v>0</v>
      </c>
      <c r="Q221" s="471">
        <v>31.567254763121657</v>
      </c>
      <c r="R221" s="572">
        <f t="shared" si="17"/>
        <v>159.69834096363945</v>
      </c>
      <c r="S221" s="471">
        <v>0</v>
      </c>
      <c r="T221" s="471">
        <v>0</v>
      </c>
      <c r="U221" s="471">
        <v>0</v>
      </c>
      <c r="V221" s="471">
        <v>0</v>
      </c>
      <c r="W221" s="471">
        <v>0</v>
      </c>
      <c r="X221" s="471">
        <v>0</v>
      </c>
      <c r="Y221" s="471">
        <v>0</v>
      </c>
      <c r="Z221" s="471">
        <v>11.963505377098754</v>
      </c>
      <c r="AA221" s="471">
        <v>0</v>
      </c>
      <c r="AB221" s="471">
        <v>0</v>
      </c>
      <c r="AC221" s="471">
        <v>0</v>
      </c>
      <c r="AD221" s="471">
        <v>0</v>
      </c>
      <c r="AE221" s="471">
        <v>0</v>
      </c>
      <c r="AF221" s="471">
        <v>0</v>
      </c>
      <c r="AG221" s="471">
        <v>3.658123819869477</v>
      </c>
      <c r="AH221" s="685">
        <f t="shared" si="18"/>
        <v>203.22910110385988</v>
      </c>
      <c r="AI221" s="472">
        <f t="shared" si="19"/>
        <v>206.88722492372935</v>
      </c>
      <c r="AJ221" s="472"/>
      <c r="AK221" s="472"/>
      <c r="AL221" s="570">
        <v>25.61</v>
      </c>
      <c r="AM221" s="570">
        <v>134.08834096363944</v>
      </c>
      <c r="AN221" s="566">
        <v>0</v>
      </c>
      <c r="AO221" s="566">
        <f t="shared" si="20"/>
        <v>159.69834096363945</v>
      </c>
    </row>
    <row r="222" spans="1:41" x14ac:dyDescent="0.3">
      <c r="A222" s="466">
        <v>150000836</v>
      </c>
      <c r="B222" s="467" t="s">
        <v>198</v>
      </c>
      <c r="C222" s="468">
        <v>1578.7</v>
      </c>
      <c r="D222" s="469"/>
      <c r="E222" s="470"/>
      <c r="F222" s="470">
        <v>1578.7</v>
      </c>
      <c r="G222" s="471">
        <v>543.42299211133172</v>
      </c>
      <c r="H222" s="471">
        <v>119.61746413998401</v>
      </c>
      <c r="I222" s="471">
        <v>185.06</v>
      </c>
      <c r="J222" s="471">
        <v>44.92</v>
      </c>
      <c r="K222" s="471">
        <v>17.724152285660821</v>
      </c>
      <c r="L222" s="471">
        <v>213.80794428454956</v>
      </c>
      <c r="M222" s="572">
        <f t="shared" si="16"/>
        <v>0</v>
      </c>
      <c r="N222" s="471">
        <v>562.52127012243284</v>
      </c>
      <c r="O222" s="471">
        <v>0</v>
      </c>
      <c r="P222" s="471">
        <v>0</v>
      </c>
      <c r="Q222" s="471">
        <v>47.350882144682487</v>
      </c>
      <c r="R222" s="572">
        <f t="shared" si="17"/>
        <v>2180.6623146501638</v>
      </c>
      <c r="S222" s="471">
        <v>98.123950722651031</v>
      </c>
      <c r="T222" s="471">
        <v>142.89567902136579</v>
      </c>
      <c r="U222" s="471">
        <v>87.200147606005402</v>
      </c>
      <c r="V222" s="471">
        <v>53.269160771356745</v>
      </c>
      <c r="W222" s="471">
        <v>17.987225127848209</v>
      </c>
      <c r="X222" s="471">
        <v>46.092653629516093</v>
      </c>
      <c r="Y222" s="471">
        <v>15.953805249101936</v>
      </c>
      <c r="Z222" s="471">
        <v>2341.8723923571997</v>
      </c>
      <c r="AA222" s="471">
        <v>1011.2246151764564</v>
      </c>
      <c r="AB222" s="471">
        <v>1081.9920435125903</v>
      </c>
      <c r="AC222" s="471">
        <v>78.435343599662289</v>
      </c>
      <c r="AD222" s="471">
        <v>9.6558661628372136</v>
      </c>
      <c r="AE222" s="471">
        <v>324.43710307133028</v>
      </c>
      <c r="AF222" s="471">
        <v>0</v>
      </c>
      <c r="AG222" s="471">
        <v>110.69072406896071</v>
      </c>
      <c r="AH222" s="685">
        <f t="shared" si="18"/>
        <v>9224.2270057467249</v>
      </c>
      <c r="AI222" s="472">
        <f t="shared" si="19"/>
        <v>9334.9177298156865</v>
      </c>
      <c r="AJ222" s="472"/>
      <c r="AK222" s="472"/>
      <c r="AL222" s="570">
        <v>11.84</v>
      </c>
      <c r="AM222" s="570">
        <v>2168.8223146501637</v>
      </c>
      <c r="AN222" s="566">
        <v>0</v>
      </c>
      <c r="AO222" s="566">
        <f t="shared" si="20"/>
        <v>2180.6623146501638</v>
      </c>
    </row>
    <row r="223" spans="1:41" x14ac:dyDescent="0.3">
      <c r="A223" s="466">
        <v>150000837</v>
      </c>
      <c r="B223" s="467" t="s">
        <v>199</v>
      </c>
      <c r="C223" s="468">
        <v>525.20000000000005</v>
      </c>
      <c r="D223" s="469"/>
      <c r="E223" s="470">
        <v>105.9</v>
      </c>
      <c r="F223" s="470">
        <v>631.1</v>
      </c>
      <c r="G223" s="471">
        <v>242.38842422668935</v>
      </c>
      <c r="H223" s="471">
        <v>36.148583935076275</v>
      </c>
      <c r="I223" s="471">
        <v>67.14</v>
      </c>
      <c r="J223" s="471">
        <v>0</v>
      </c>
      <c r="K223" s="471">
        <v>0</v>
      </c>
      <c r="L223" s="471">
        <v>121.20834101448588</v>
      </c>
      <c r="M223" s="572">
        <f t="shared" si="16"/>
        <v>0</v>
      </c>
      <c r="N223" s="471">
        <v>224.87310671708835</v>
      </c>
      <c r="O223" s="471">
        <v>0</v>
      </c>
      <c r="P223" s="471">
        <v>0</v>
      </c>
      <c r="Q223" s="471">
        <v>130.21492589787684</v>
      </c>
      <c r="R223" s="572">
        <f t="shared" si="17"/>
        <v>437.37997602801687</v>
      </c>
      <c r="S223" s="471">
        <v>45.899855567333347</v>
      </c>
      <c r="T223" s="471">
        <v>46.580705843471286</v>
      </c>
      <c r="U223" s="471">
        <v>33.956728484387142</v>
      </c>
      <c r="V223" s="471">
        <v>0</v>
      </c>
      <c r="W223" s="471">
        <v>0</v>
      </c>
      <c r="X223" s="471">
        <v>22.259198576509146</v>
      </c>
      <c r="Y223" s="471">
        <v>7.6435238195907917</v>
      </c>
      <c r="Z223" s="471">
        <v>758.5484910157611</v>
      </c>
      <c r="AA223" s="471">
        <v>366.70643005562948</v>
      </c>
      <c r="AB223" s="471">
        <v>324.59761305377708</v>
      </c>
      <c r="AC223" s="471">
        <v>0</v>
      </c>
      <c r="AD223" s="471">
        <v>0</v>
      </c>
      <c r="AE223" s="471">
        <v>42.114431648682299</v>
      </c>
      <c r="AF223" s="471">
        <v>0</v>
      </c>
      <c r="AG223" s="471">
        <v>0</v>
      </c>
      <c r="AH223" s="685">
        <f t="shared" si="18"/>
        <v>2907.6603358843754</v>
      </c>
      <c r="AI223" s="472">
        <f t="shared" si="19"/>
        <v>2907.6603358843754</v>
      </c>
      <c r="AJ223" s="472"/>
      <c r="AK223" s="472"/>
      <c r="AL223" s="570">
        <v>11.84</v>
      </c>
      <c r="AM223" s="570">
        <v>425.53997602801689</v>
      </c>
      <c r="AN223" s="566">
        <v>0</v>
      </c>
      <c r="AO223" s="566">
        <f t="shared" si="20"/>
        <v>437.37997602801687</v>
      </c>
    </row>
    <row r="224" spans="1:41" x14ac:dyDescent="0.3">
      <c r="A224" s="466">
        <v>150000839</v>
      </c>
      <c r="B224" s="467" t="s">
        <v>135</v>
      </c>
      <c r="C224" s="468">
        <v>128.19999999999999</v>
      </c>
      <c r="D224" s="473"/>
      <c r="E224" s="470"/>
      <c r="F224" s="470">
        <v>128.19999999999999</v>
      </c>
      <c r="G224" s="471">
        <v>0</v>
      </c>
      <c r="H224" s="471">
        <v>0</v>
      </c>
      <c r="I224" s="471">
        <v>0</v>
      </c>
      <c r="J224" s="471">
        <v>0</v>
      </c>
      <c r="K224" s="471">
        <v>0</v>
      </c>
      <c r="L224" s="471">
        <v>0</v>
      </c>
      <c r="M224" s="572">
        <f t="shared" si="16"/>
        <v>0</v>
      </c>
      <c r="N224" s="471">
        <v>0</v>
      </c>
      <c r="O224" s="471">
        <v>0</v>
      </c>
      <c r="P224" s="471">
        <v>0</v>
      </c>
      <c r="Q224" s="471">
        <v>35.513161608511865</v>
      </c>
      <c r="R224" s="572">
        <f t="shared" si="17"/>
        <v>199.00041838199675</v>
      </c>
      <c r="S224" s="471">
        <v>0</v>
      </c>
      <c r="T224" s="471">
        <v>0</v>
      </c>
      <c r="U224" s="471">
        <v>0</v>
      </c>
      <c r="V224" s="471">
        <v>0</v>
      </c>
      <c r="W224" s="471">
        <v>0</v>
      </c>
      <c r="X224" s="471">
        <v>0</v>
      </c>
      <c r="Y224" s="471">
        <v>0</v>
      </c>
      <c r="Z224" s="471">
        <v>19.939175628497924</v>
      </c>
      <c r="AA224" s="471">
        <v>0</v>
      </c>
      <c r="AB224" s="471">
        <v>0</v>
      </c>
      <c r="AC224" s="471">
        <v>0</v>
      </c>
      <c r="AD224" s="471">
        <v>0</v>
      </c>
      <c r="AE224" s="471">
        <v>0</v>
      </c>
      <c r="AF224" s="471">
        <v>0</v>
      </c>
      <c r="AG224" s="471">
        <v>4.580149601142117</v>
      </c>
      <c r="AH224" s="685">
        <f t="shared" si="18"/>
        <v>254.45275561900655</v>
      </c>
      <c r="AI224" s="472">
        <f t="shared" si="19"/>
        <v>259.03290522014868</v>
      </c>
      <c r="AJ224" s="472"/>
      <c r="AK224" s="472"/>
      <c r="AL224" s="570">
        <v>11.84</v>
      </c>
      <c r="AM224" s="570">
        <v>187.16041838199675</v>
      </c>
      <c r="AN224" s="566">
        <v>0</v>
      </c>
      <c r="AO224" s="566">
        <f t="shared" si="20"/>
        <v>199.00041838199675</v>
      </c>
    </row>
    <row r="225" spans="1:41" x14ac:dyDescent="0.3">
      <c r="A225" s="466">
        <v>150000840</v>
      </c>
      <c r="B225" s="467" t="s">
        <v>393</v>
      </c>
      <c r="C225" s="468">
        <v>4216.5600000000004</v>
      </c>
      <c r="D225" s="469">
        <v>460.11</v>
      </c>
      <c r="E225" s="470"/>
      <c r="F225" s="470">
        <v>4216.5600000000004</v>
      </c>
      <c r="G225" s="471">
        <v>1313.6093212632761</v>
      </c>
      <c r="H225" s="471">
        <v>203.77628984143419</v>
      </c>
      <c r="I225" s="471">
        <v>495.91</v>
      </c>
      <c r="J225" s="471">
        <v>110.7</v>
      </c>
      <c r="K225" s="471">
        <v>65.004820328168279</v>
      </c>
      <c r="L225" s="471">
        <v>564.57466053605879</v>
      </c>
      <c r="M225" s="572">
        <f t="shared" si="16"/>
        <v>0</v>
      </c>
      <c r="N225" s="471">
        <v>1502.4416841372304</v>
      </c>
      <c r="O225" s="471">
        <v>2873.920011581376</v>
      </c>
      <c r="P225" s="471">
        <v>0</v>
      </c>
      <c r="Q225" s="471">
        <v>284.10529286809492</v>
      </c>
      <c r="R225" s="572">
        <f t="shared" si="17"/>
        <v>5032.3379591946141</v>
      </c>
      <c r="S225" s="471">
        <v>103.38197744541138</v>
      </c>
      <c r="T225" s="471">
        <v>124.86297817174597</v>
      </c>
      <c r="U225" s="471">
        <v>156.17827713541953</v>
      </c>
      <c r="V225" s="471">
        <v>57.86951273057457</v>
      </c>
      <c r="W225" s="471">
        <v>32.980617657691397</v>
      </c>
      <c r="X225" s="471">
        <v>63.645000739503601</v>
      </c>
      <c r="Y225" s="471">
        <v>51.166785345959994</v>
      </c>
      <c r="Z225" s="471">
        <v>5319.1762469401301</v>
      </c>
      <c r="AA225" s="471">
        <v>3031.7148211822077</v>
      </c>
      <c r="AB225" s="471">
        <v>1060.3522026423384</v>
      </c>
      <c r="AC225" s="471">
        <v>163.73377976429504</v>
      </c>
      <c r="AD225" s="471">
        <v>20.15662061492268</v>
      </c>
      <c r="AE225" s="471">
        <v>705.0267816742371</v>
      </c>
      <c r="AF225" s="471">
        <v>520.9711174318478</v>
      </c>
      <c r="AG225" s="471">
        <v>715.72790277679599</v>
      </c>
      <c r="AH225" s="685">
        <f t="shared" si="18"/>
        <v>23857.596759226533</v>
      </c>
      <c r="AI225" s="472">
        <f t="shared" si="19"/>
        <v>24573.324662003328</v>
      </c>
      <c r="AJ225" s="472"/>
      <c r="AK225" s="472"/>
      <c r="AL225" s="570">
        <v>50.66</v>
      </c>
      <c r="AM225" s="570">
        <v>4981.6779591946142</v>
      </c>
      <c r="AN225" s="566">
        <v>0</v>
      </c>
      <c r="AO225" s="566">
        <f t="shared" si="20"/>
        <v>5032.3379591946141</v>
      </c>
    </row>
    <row r="226" spans="1:41" x14ac:dyDescent="0.3">
      <c r="A226" s="466">
        <v>150000841</v>
      </c>
      <c r="B226" s="467" t="s">
        <v>136</v>
      </c>
      <c r="C226" s="468">
        <v>172.4</v>
      </c>
      <c r="D226" s="473"/>
      <c r="E226" s="470"/>
      <c r="F226" s="470">
        <v>172.4</v>
      </c>
      <c r="G226" s="471">
        <v>0</v>
      </c>
      <c r="H226" s="471">
        <v>0</v>
      </c>
      <c r="I226" s="471">
        <v>0</v>
      </c>
      <c r="J226" s="471">
        <v>0</v>
      </c>
      <c r="K226" s="471">
        <v>0</v>
      </c>
      <c r="L226" s="471">
        <v>0</v>
      </c>
      <c r="M226" s="572">
        <f t="shared" si="16"/>
        <v>0</v>
      </c>
      <c r="N226" s="471">
        <v>0</v>
      </c>
      <c r="O226" s="471">
        <v>0</v>
      </c>
      <c r="P226" s="471">
        <v>0</v>
      </c>
      <c r="Q226" s="471">
        <v>23.675441072341243</v>
      </c>
      <c r="R226" s="572">
        <f t="shared" si="17"/>
        <v>160.41619333488697</v>
      </c>
      <c r="S226" s="471">
        <v>0</v>
      </c>
      <c r="T226" s="471">
        <v>0</v>
      </c>
      <c r="U226" s="471">
        <v>0</v>
      </c>
      <c r="V226" s="471">
        <v>0</v>
      </c>
      <c r="W226" s="471">
        <v>0</v>
      </c>
      <c r="X226" s="471">
        <v>0</v>
      </c>
      <c r="Y226" s="471">
        <v>0</v>
      </c>
      <c r="Z226" s="471">
        <v>63.805362011193353</v>
      </c>
      <c r="AA226" s="471">
        <v>0</v>
      </c>
      <c r="AB226" s="471">
        <v>0</v>
      </c>
      <c r="AC226" s="471">
        <v>0</v>
      </c>
      <c r="AD226" s="471">
        <v>0</v>
      </c>
      <c r="AE226" s="471">
        <v>0</v>
      </c>
      <c r="AF226" s="471">
        <v>0</v>
      </c>
      <c r="AG226" s="471">
        <v>4.4621459355315878</v>
      </c>
      <c r="AH226" s="685">
        <f t="shared" si="18"/>
        <v>247.89699641842157</v>
      </c>
      <c r="AI226" s="472">
        <f t="shared" si="19"/>
        <v>252.35914235395316</v>
      </c>
      <c r="AJ226" s="472"/>
      <c r="AK226" s="472"/>
      <c r="AL226" s="570">
        <v>25.6</v>
      </c>
      <c r="AM226" s="570">
        <v>134.81619333488698</v>
      </c>
      <c r="AN226" s="566">
        <v>0</v>
      </c>
      <c r="AO226" s="566">
        <f t="shared" si="20"/>
        <v>160.41619333488697</v>
      </c>
    </row>
    <row r="227" spans="1:41" x14ac:dyDescent="0.3">
      <c r="A227" s="466">
        <v>150000845</v>
      </c>
      <c r="B227" s="467" t="s">
        <v>138</v>
      </c>
      <c r="C227" s="468">
        <v>252.8</v>
      </c>
      <c r="D227" s="473"/>
      <c r="E227" s="470"/>
      <c r="F227" s="470">
        <v>252.8</v>
      </c>
      <c r="G227" s="471">
        <v>0</v>
      </c>
      <c r="H227" s="471">
        <v>0</v>
      </c>
      <c r="I227" s="471">
        <v>0</v>
      </c>
      <c r="J227" s="471">
        <v>0</v>
      </c>
      <c r="K227" s="471">
        <v>0</v>
      </c>
      <c r="L227" s="471">
        <v>0</v>
      </c>
      <c r="M227" s="572">
        <f t="shared" si="16"/>
        <v>0</v>
      </c>
      <c r="N227" s="471">
        <v>0</v>
      </c>
      <c r="O227" s="471">
        <v>0</v>
      </c>
      <c r="P227" s="471">
        <v>0</v>
      </c>
      <c r="Q227" s="471">
        <v>31.567254763121657</v>
      </c>
      <c r="R227" s="572">
        <f t="shared" si="17"/>
        <v>347.74490357801136</v>
      </c>
      <c r="S227" s="471">
        <v>0</v>
      </c>
      <c r="T227" s="471">
        <v>0</v>
      </c>
      <c r="U227" s="471">
        <v>0</v>
      </c>
      <c r="V227" s="471">
        <v>0</v>
      </c>
      <c r="W227" s="471">
        <v>0</v>
      </c>
      <c r="X227" s="471">
        <v>0</v>
      </c>
      <c r="Y227" s="471">
        <v>0</v>
      </c>
      <c r="Z227" s="471">
        <v>0</v>
      </c>
      <c r="AA227" s="471">
        <v>0</v>
      </c>
      <c r="AB227" s="471">
        <v>0</v>
      </c>
      <c r="AC227" s="471">
        <v>0</v>
      </c>
      <c r="AD227" s="471">
        <v>0</v>
      </c>
      <c r="AE227" s="471">
        <v>0</v>
      </c>
      <c r="AF227" s="471">
        <v>0</v>
      </c>
      <c r="AG227" s="471">
        <v>11.379364750233991</v>
      </c>
      <c r="AH227" s="685">
        <f t="shared" si="18"/>
        <v>379.312158341133</v>
      </c>
      <c r="AI227" s="472">
        <f t="shared" si="19"/>
        <v>390.691523091367</v>
      </c>
      <c r="AJ227" s="472"/>
      <c r="AK227" s="472"/>
      <c r="AL227" s="570">
        <v>11.84</v>
      </c>
      <c r="AM227" s="570">
        <v>335.90490357801139</v>
      </c>
      <c r="AN227" s="566">
        <v>0</v>
      </c>
      <c r="AO227" s="566">
        <f t="shared" si="20"/>
        <v>347.74490357801136</v>
      </c>
    </row>
    <row r="228" spans="1:41" x14ac:dyDescent="0.3">
      <c r="A228" s="466">
        <v>150000846</v>
      </c>
      <c r="B228" s="467" t="s">
        <v>139</v>
      </c>
      <c r="C228" s="468">
        <v>126.2</v>
      </c>
      <c r="D228" s="473"/>
      <c r="E228" s="470"/>
      <c r="F228" s="470">
        <v>126.2</v>
      </c>
      <c r="G228" s="471">
        <v>0</v>
      </c>
      <c r="H228" s="471">
        <v>0</v>
      </c>
      <c r="I228" s="471">
        <v>0</v>
      </c>
      <c r="J228" s="471">
        <v>0</v>
      </c>
      <c r="K228" s="471">
        <v>0</v>
      </c>
      <c r="L228" s="471">
        <v>0</v>
      </c>
      <c r="M228" s="572">
        <f t="shared" si="16"/>
        <v>0</v>
      </c>
      <c r="N228" s="471">
        <v>0</v>
      </c>
      <c r="O228" s="471">
        <v>0</v>
      </c>
      <c r="P228" s="471">
        <v>0</v>
      </c>
      <c r="Q228" s="471">
        <v>23.675441072341243</v>
      </c>
      <c r="R228" s="572">
        <f t="shared" si="17"/>
        <v>166.74562819982768</v>
      </c>
      <c r="S228" s="471">
        <v>0</v>
      </c>
      <c r="T228" s="471">
        <v>0</v>
      </c>
      <c r="U228" s="471">
        <v>0</v>
      </c>
      <c r="V228" s="471">
        <v>0</v>
      </c>
      <c r="W228" s="471">
        <v>0</v>
      </c>
      <c r="X228" s="471">
        <v>0</v>
      </c>
      <c r="Y228" s="471">
        <v>0</v>
      </c>
      <c r="Z228" s="471">
        <v>0</v>
      </c>
      <c r="AA228" s="471">
        <v>0</v>
      </c>
      <c r="AB228" s="471">
        <v>0</v>
      </c>
      <c r="AC228" s="471">
        <v>0</v>
      </c>
      <c r="AD228" s="471">
        <v>0</v>
      </c>
      <c r="AE228" s="471">
        <v>0</v>
      </c>
      <c r="AF228" s="471">
        <v>0</v>
      </c>
      <c r="AG228" s="471">
        <v>5.7126320781650684</v>
      </c>
      <c r="AH228" s="685">
        <f t="shared" si="18"/>
        <v>190.42106927216892</v>
      </c>
      <c r="AI228" s="472">
        <f t="shared" si="19"/>
        <v>196.13370135033398</v>
      </c>
      <c r="AJ228" s="472"/>
      <c r="AK228" s="472"/>
      <c r="AL228" s="570">
        <v>11.84</v>
      </c>
      <c r="AM228" s="570">
        <v>154.90562819982767</v>
      </c>
      <c r="AN228" s="566">
        <v>0</v>
      </c>
      <c r="AO228" s="566">
        <f t="shared" si="20"/>
        <v>166.74562819982768</v>
      </c>
    </row>
    <row r="229" spans="1:41" x14ac:dyDescent="0.3">
      <c r="A229" s="466">
        <v>150000848</v>
      </c>
      <c r="B229" s="467" t="s">
        <v>186</v>
      </c>
      <c r="C229" s="468">
        <v>261.2</v>
      </c>
      <c r="D229" s="469"/>
      <c r="E229" s="470"/>
      <c r="F229" s="470">
        <v>261.2</v>
      </c>
      <c r="G229" s="471">
        <v>41.484500202588627</v>
      </c>
      <c r="H229" s="471">
        <v>18.96217873778275</v>
      </c>
      <c r="I229" s="471">
        <v>0</v>
      </c>
      <c r="J229" s="471">
        <v>0</v>
      </c>
      <c r="K229" s="471">
        <v>0</v>
      </c>
      <c r="L229" s="471">
        <v>35.431778307452454</v>
      </c>
      <c r="M229" s="572">
        <f t="shared" si="16"/>
        <v>0</v>
      </c>
      <c r="N229" s="471">
        <v>93.070599706074262</v>
      </c>
      <c r="O229" s="471">
        <v>0</v>
      </c>
      <c r="P229" s="471">
        <v>0</v>
      </c>
      <c r="Q229" s="471">
        <v>47.350882144682487</v>
      </c>
      <c r="R229" s="572">
        <f t="shared" si="17"/>
        <v>311.78807321194023</v>
      </c>
      <c r="S229" s="471">
        <v>18.154294714904815</v>
      </c>
      <c r="T229" s="471">
        <v>24.462986820579289</v>
      </c>
      <c r="U229" s="471">
        <v>12.657121400419223</v>
      </c>
      <c r="V229" s="471">
        <v>0</v>
      </c>
      <c r="W229" s="471">
        <v>0</v>
      </c>
      <c r="X229" s="471">
        <v>4.9307126480382886</v>
      </c>
      <c r="Y229" s="471">
        <v>0</v>
      </c>
      <c r="Z229" s="471">
        <v>330.06981600097203</v>
      </c>
      <c r="AA229" s="471">
        <v>193.28585864163765</v>
      </c>
      <c r="AB229" s="471">
        <v>169.19502991573111</v>
      </c>
      <c r="AC229" s="471">
        <v>0</v>
      </c>
      <c r="AD229" s="471">
        <v>0</v>
      </c>
      <c r="AE229" s="471">
        <v>77.989688238300573</v>
      </c>
      <c r="AF229" s="471">
        <v>0</v>
      </c>
      <c r="AG229" s="471">
        <v>24.81900337243987</v>
      </c>
      <c r="AH229" s="685">
        <f t="shared" si="18"/>
        <v>1378.8335206911038</v>
      </c>
      <c r="AI229" s="472">
        <f t="shared" si="19"/>
        <v>1403.6525240635438</v>
      </c>
      <c r="AJ229" s="472"/>
      <c r="AK229" s="472"/>
      <c r="AL229" s="570">
        <v>25.61</v>
      </c>
      <c r="AM229" s="570">
        <v>286.17807321194022</v>
      </c>
      <c r="AN229" s="566">
        <v>0</v>
      </c>
      <c r="AO229" s="566">
        <f t="shared" si="20"/>
        <v>311.78807321194023</v>
      </c>
    </row>
    <row r="230" spans="1:41" x14ac:dyDescent="0.3">
      <c r="A230" s="466">
        <v>150000851</v>
      </c>
      <c r="B230" s="467" t="s">
        <v>134</v>
      </c>
      <c r="C230" s="468">
        <v>168.1</v>
      </c>
      <c r="D230" s="473"/>
      <c r="E230" s="470"/>
      <c r="F230" s="470">
        <v>168.1</v>
      </c>
      <c r="G230" s="471">
        <v>0</v>
      </c>
      <c r="H230" s="471">
        <v>0</v>
      </c>
      <c r="I230" s="471">
        <v>0</v>
      </c>
      <c r="J230" s="471">
        <v>0</v>
      </c>
      <c r="K230" s="471">
        <v>0</v>
      </c>
      <c r="L230" s="471">
        <v>0</v>
      </c>
      <c r="M230" s="572">
        <f t="shared" si="16"/>
        <v>0</v>
      </c>
      <c r="N230" s="471">
        <v>0</v>
      </c>
      <c r="O230" s="471">
        <v>0</v>
      </c>
      <c r="P230" s="471">
        <v>0</v>
      </c>
      <c r="Q230" s="471">
        <v>23.675441072341243</v>
      </c>
      <c r="R230" s="572">
        <f t="shared" si="17"/>
        <v>168.62738726293981</v>
      </c>
      <c r="S230" s="471">
        <v>0</v>
      </c>
      <c r="T230" s="471">
        <v>0</v>
      </c>
      <c r="U230" s="471">
        <v>0</v>
      </c>
      <c r="V230" s="471">
        <v>0</v>
      </c>
      <c r="W230" s="471">
        <v>0</v>
      </c>
      <c r="X230" s="471">
        <v>0</v>
      </c>
      <c r="Y230" s="471">
        <v>0</v>
      </c>
      <c r="Z230" s="471">
        <v>0</v>
      </c>
      <c r="AA230" s="471">
        <v>0</v>
      </c>
      <c r="AB230" s="471">
        <v>0</v>
      </c>
      <c r="AC230" s="471">
        <v>0</v>
      </c>
      <c r="AD230" s="471">
        <v>0</v>
      </c>
      <c r="AE230" s="471">
        <v>0</v>
      </c>
      <c r="AF230" s="471">
        <v>0</v>
      </c>
      <c r="AG230" s="471">
        <v>5.7690848500584311</v>
      </c>
      <c r="AH230" s="685">
        <f t="shared" si="18"/>
        <v>192.30282833528105</v>
      </c>
      <c r="AI230" s="472">
        <f t="shared" si="19"/>
        <v>198.07191318533947</v>
      </c>
      <c r="AJ230" s="472"/>
      <c r="AK230" s="472"/>
      <c r="AL230" s="570">
        <v>19.45</v>
      </c>
      <c r="AM230" s="570">
        <v>149.17738726293982</v>
      </c>
      <c r="AN230" s="566">
        <v>0</v>
      </c>
      <c r="AO230" s="566">
        <f t="shared" si="20"/>
        <v>168.62738726293981</v>
      </c>
    </row>
    <row r="231" spans="1:41" x14ac:dyDescent="0.3">
      <c r="A231" s="466">
        <v>150000861</v>
      </c>
      <c r="B231" s="467" t="s">
        <v>232</v>
      </c>
      <c r="C231" s="468">
        <v>2784.6</v>
      </c>
      <c r="D231" s="469"/>
      <c r="E231" s="470">
        <v>616.79999999999995</v>
      </c>
      <c r="F231" s="470">
        <v>3401.3999999999996</v>
      </c>
      <c r="G231" s="471">
        <v>1002.1670315207298</v>
      </c>
      <c r="H231" s="471">
        <v>203.50269866221888</v>
      </c>
      <c r="I231" s="471">
        <v>383.62</v>
      </c>
      <c r="J231" s="471">
        <v>0</v>
      </c>
      <c r="K231" s="471">
        <v>0</v>
      </c>
      <c r="L231" s="471">
        <v>920.57334235346275</v>
      </c>
      <c r="M231" s="572">
        <f t="shared" si="16"/>
        <v>0</v>
      </c>
      <c r="N231" s="471">
        <v>1211.9844480866807</v>
      </c>
      <c r="O231" s="471">
        <v>0</v>
      </c>
      <c r="P231" s="471">
        <v>0</v>
      </c>
      <c r="Q231" s="471">
        <v>355.13161608511865</v>
      </c>
      <c r="R231" s="572">
        <f t="shared" si="17"/>
        <v>3255.3927360013854</v>
      </c>
      <c r="S231" s="471">
        <v>181.09710696953479</v>
      </c>
      <c r="T231" s="471">
        <v>262.29512087090222</v>
      </c>
      <c r="U231" s="471">
        <v>190.2320869236824</v>
      </c>
      <c r="V231" s="471">
        <v>0</v>
      </c>
      <c r="W231" s="471">
        <v>0</v>
      </c>
      <c r="X231" s="471">
        <v>133.50518248769922</v>
      </c>
      <c r="Y231" s="471">
        <v>0</v>
      </c>
      <c r="Z231" s="471">
        <v>3005.4094887113488</v>
      </c>
      <c r="AA231" s="471">
        <v>2203.4082347255785</v>
      </c>
      <c r="AB231" s="471">
        <v>1243.1218009606689</v>
      </c>
      <c r="AC231" s="471">
        <v>180.77630926580915</v>
      </c>
      <c r="AD231" s="471">
        <v>22.254659284616658</v>
      </c>
      <c r="AE231" s="471">
        <v>577.12369296342422</v>
      </c>
      <c r="AF231" s="471">
        <v>0</v>
      </c>
      <c r="AG231" s="471">
        <v>459.94786667618592</v>
      </c>
      <c r="AH231" s="685">
        <f t="shared" si="18"/>
        <v>15331.595555872864</v>
      </c>
      <c r="AI231" s="472">
        <f t="shared" si="19"/>
        <v>15791.54342254905</v>
      </c>
      <c r="AJ231" s="472"/>
      <c r="AK231" s="472"/>
      <c r="AL231" s="570">
        <v>103.15</v>
      </c>
      <c r="AM231" s="570">
        <v>3152.2427360013853</v>
      </c>
      <c r="AN231" s="566">
        <v>0</v>
      </c>
      <c r="AO231" s="566">
        <f t="shared" si="20"/>
        <v>3255.3927360013854</v>
      </c>
    </row>
    <row r="232" spans="1:41" x14ac:dyDescent="0.3">
      <c r="A232" s="466">
        <v>150000862</v>
      </c>
      <c r="B232" s="467" t="s">
        <v>234</v>
      </c>
      <c r="C232" s="468">
        <v>3517.1</v>
      </c>
      <c r="D232" s="469"/>
      <c r="E232" s="470">
        <v>969</v>
      </c>
      <c r="F232" s="470">
        <v>4486.1000000000004</v>
      </c>
      <c r="G232" s="471">
        <v>1190.6253876295091</v>
      </c>
      <c r="H232" s="471">
        <v>238.78809508810559</v>
      </c>
      <c r="I232" s="471">
        <v>453.19</v>
      </c>
      <c r="J232" s="471">
        <v>0</v>
      </c>
      <c r="K232" s="471">
        <v>0</v>
      </c>
      <c r="L232" s="471">
        <v>1169.3521638094819</v>
      </c>
      <c r="M232" s="572">
        <f t="shared" si="16"/>
        <v>0</v>
      </c>
      <c r="N232" s="471">
        <v>1598.4839867588814</v>
      </c>
      <c r="O232" s="471">
        <v>0</v>
      </c>
      <c r="P232" s="471">
        <v>0</v>
      </c>
      <c r="Q232" s="471">
        <v>745.77639377874925</v>
      </c>
      <c r="R232" s="572">
        <f t="shared" si="17"/>
        <v>3588.5603339068339</v>
      </c>
      <c r="S232" s="471">
        <v>214.96342784197947</v>
      </c>
      <c r="T232" s="471">
        <v>307.75414721190407</v>
      </c>
      <c r="U232" s="471">
        <v>210.23685190093357</v>
      </c>
      <c r="V232" s="471">
        <v>0</v>
      </c>
      <c r="W232" s="471">
        <v>0</v>
      </c>
      <c r="X232" s="471">
        <v>0</v>
      </c>
      <c r="Y232" s="471">
        <v>0</v>
      </c>
      <c r="Z232" s="471">
        <v>6260.3697179476158</v>
      </c>
      <c r="AA232" s="471">
        <v>2527.1386523333531</v>
      </c>
      <c r="AB232" s="471">
        <v>1320.5277605894678</v>
      </c>
      <c r="AC232" s="471">
        <v>97.431403377705493</v>
      </c>
      <c r="AD232" s="471">
        <v>11.99439624914935</v>
      </c>
      <c r="AE232" s="471">
        <v>173.13710788902725</v>
      </c>
      <c r="AF232" s="471">
        <v>0</v>
      </c>
      <c r="AG232" s="471">
        <v>603.24989478938085</v>
      </c>
      <c r="AH232" s="685">
        <f t="shared" si="18"/>
        <v>20108.329826312696</v>
      </c>
      <c r="AI232" s="472">
        <f t="shared" si="19"/>
        <v>20711.579721102076</v>
      </c>
      <c r="AJ232" s="472"/>
      <c r="AK232" s="472"/>
      <c r="AL232" s="570">
        <v>562.26</v>
      </c>
      <c r="AM232" s="570">
        <v>3026.3003339068337</v>
      </c>
      <c r="AN232" s="566">
        <v>0</v>
      </c>
      <c r="AO232" s="566">
        <f t="shared" si="20"/>
        <v>3588.5603339068339</v>
      </c>
    </row>
    <row r="233" spans="1:41" x14ac:dyDescent="0.3">
      <c r="A233" s="466">
        <v>150000863</v>
      </c>
      <c r="B233" s="467" t="s">
        <v>235</v>
      </c>
      <c r="C233" s="468">
        <v>2278.4</v>
      </c>
      <c r="D233" s="469"/>
      <c r="E233" s="470">
        <v>1044.5</v>
      </c>
      <c r="F233" s="470">
        <v>3322.9</v>
      </c>
      <c r="G233" s="471">
        <v>906.46254364119829</v>
      </c>
      <c r="H233" s="471">
        <v>191.51874946273222</v>
      </c>
      <c r="I233" s="471">
        <v>340.84</v>
      </c>
      <c r="J233" s="471">
        <v>98.13</v>
      </c>
      <c r="K233" s="471">
        <v>0</v>
      </c>
      <c r="L233" s="471">
        <v>859.6280212097023</v>
      </c>
      <c r="M233" s="572">
        <f t="shared" si="16"/>
        <v>0</v>
      </c>
      <c r="N233" s="471">
        <v>1184.0133834736378</v>
      </c>
      <c r="O233" s="471">
        <v>0</v>
      </c>
      <c r="P233" s="471">
        <v>0</v>
      </c>
      <c r="Q233" s="471">
        <v>153.89036697021808</v>
      </c>
      <c r="R233" s="572">
        <f t="shared" si="17"/>
        <v>3330.9519331744273</v>
      </c>
      <c r="S233" s="471">
        <v>166.83227321115911</v>
      </c>
      <c r="T233" s="471">
        <v>246.82971791924669</v>
      </c>
      <c r="U233" s="471">
        <v>202.96709016714718</v>
      </c>
      <c r="V233" s="471">
        <v>99.790155453035027</v>
      </c>
      <c r="W233" s="471">
        <v>0</v>
      </c>
      <c r="X233" s="471">
        <v>120.20689198982306</v>
      </c>
      <c r="Y233" s="471">
        <v>0</v>
      </c>
      <c r="Z233" s="471">
        <v>4080.7653157848754</v>
      </c>
      <c r="AA233" s="471">
        <v>2339.1070269690472</v>
      </c>
      <c r="AB233" s="471">
        <v>1901.0403419376189</v>
      </c>
      <c r="AC233" s="471">
        <v>90.690866037109529</v>
      </c>
      <c r="AD233" s="471">
        <v>11.164595250780529</v>
      </c>
      <c r="AE233" s="471">
        <v>461.69895437073933</v>
      </c>
      <c r="AF233" s="471">
        <v>0</v>
      </c>
      <c r="AG233" s="471">
        <v>302.15750808640496</v>
      </c>
      <c r="AH233" s="685">
        <f t="shared" si="18"/>
        <v>16786.5282270225</v>
      </c>
      <c r="AI233" s="472">
        <f t="shared" si="19"/>
        <v>17088.685735108906</v>
      </c>
      <c r="AJ233" s="472"/>
      <c r="AK233" s="472"/>
      <c r="AL233" s="570">
        <v>100.76</v>
      </c>
      <c r="AM233" s="570">
        <v>3230.191933174427</v>
      </c>
      <c r="AN233" s="566">
        <v>0</v>
      </c>
      <c r="AO233" s="566">
        <f t="shared" si="20"/>
        <v>3330.9519331744273</v>
      </c>
    </row>
    <row r="234" spans="1:41" x14ac:dyDescent="0.3">
      <c r="A234" s="466">
        <v>150000864</v>
      </c>
      <c r="B234" s="467" t="s">
        <v>200</v>
      </c>
      <c r="C234" s="468">
        <v>3022.76</v>
      </c>
      <c r="D234" s="469"/>
      <c r="E234" s="470">
        <v>950.3</v>
      </c>
      <c r="F234" s="470">
        <v>3973.0600000000004</v>
      </c>
      <c r="G234" s="471">
        <v>895.68191276278048</v>
      </c>
      <c r="H234" s="471">
        <v>166.44152869584298</v>
      </c>
      <c r="I234" s="471">
        <v>383.88</v>
      </c>
      <c r="J234" s="471">
        <v>0</v>
      </c>
      <c r="K234" s="471">
        <v>0</v>
      </c>
      <c r="L234" s="471">
        <v>1136.6258181413082</v>
      </c>
      <c r="M234" s="572">
        <f t="shared" si="16"/>
        <v>0</v>
      </c>
      <c r="N234" s="471">
        <v>1415.6779359426321</v>
      </c>
      <c r="O234" s="471">
        <v>0</v>
      </c>
      <c r="P234" s="471">
        <v>0</v>
      </c>
      <c r="Q234" s="471">
        <v>615.56146788087233</v>
      </c>
      <c r="R234" s="572">
        <f t="shared" si="17"/>
        <v>3703.0936432660815</v>
      </c>
      <c r="S234" s="471">
        <v>154.70132000410837</v>
      </c>
      <c r="T234" s="471">
        <v>214.51505627203119</v>
      </c>
      <c r="U234" s="471">
        <v>270.09852227944759</v>
      </c>
      <c r="V234" s="471">
        <v>0</v>
      </c>
      <c r="W234" s="471">
        <v>0</v>
      </c>
      <c r="X234" s="471">
        <v>158.53981299423265</v>
      </c>
      <c r="Y234" s="471">
        <v>0</v>
      </c>
      <c r="Z234" s="471">
        <v>4213.9537816854499</v>
      </c>
      <c r="AA234" s="471">
        <v>3296.2652760085793</v>
      </c>
      <c r="AB234" s="471">
        <v>1655.8144727385823</v>
      </c>
      <c r="AC234" s="471">
        <v>68.630925649704508</v>
      </c>
      <c r="AD234" s="471">
        <v>8.4488828924825619</v>
      </c>
      <c r="AE234" s="471">
        <v>244.88762106826377</v>
      </c>
      <c r="AF234" s="471">
        <v>0</v>
      </c>
      <c r="AG234" s="471">
        <v>558.08453934847205</v>
      </c>
      <c r="AH234" s="685">
        <f t="shared" si="18"/>
        <v>18602.817978282405</v>
      </c>
      <c r="AI234" s="472">
        <f t="shared" si="19"/>
        <v>19160.902517630875</v>
      </c>
      <c r="AJ234" s="472"/>
      <c r="AK234" s="472"/>
      <c r="AL234" s="570">
        <v>57.52</v>
      </c>
      <c r="AM234" s="570">
        <v>3645.5736432660815</v>
      </c>
      <c r="AN234" s="566">
        <v>0</v>
      </c>
      <c r="AO234" s="566">
        <f t="shared" si="20"/>
        <v>3703.0936432660815</v>
      </c>
    </row>
    <row r="235" spans="1:41" x14ac:dyDescent="0.3">
      <c r="A235" s="466">
        <v>150000865</v>
      </c>
      <c r="B235" s="467" t="s">
        <v>305</v>
      </c>
      <c r="C235" s="468">
        <v>6585.6</v>
      </c>
      <c r="D235" s="469"/>
      <c r="E235" s="470">
        <v>2512.5</v>
      </c>
      <c r="F235" s="470">
        <v>9098.1</v>
      </c>
      <c r="G235" s="471">
        <v>2312.4169699925942</v>
      </c>
      <c r="H235" s="471">
        <v>476.91063760078657</v>
      </c>
      <c r="I235" s="471">
        <v>1035.0899999999999</v>
      </c>
      <c r="J235" s="471">
        <v>0</v>
      </c>
      <c r="K235" s="471">
        <v>0</v>
      </c>
      <c r="L235" s="471">
        <v>2570.2345801814645</v>
      </c>
      <c r="M235" s="572">
        <f t="shared" si="16"/>
        <v>0</v>
      </c>
      <c r="N235" s="471">
        <v>3241.8285726869617</v>
      </c>
      <c r="O235" s="471">
        <v>0</v>
      </c>
      <c r="P235" s="471">
        <v>0</v>
      </c>
      <c r="Q235" s="471">
        <v>1905.8730063234702</v>
      </c>
      <c r="R235" s="572">
        <f t="shared" si="17"/>
        <v>8910.6184588794858</v>
      </c>
      <c r="S235" s="471">
        <v>383.92112280510617</v>
      </c>
      <c r="T235" s="471">
        <v>614.67314323856669</v>
      </c>
      <c r="U235" s="471">
        <v>537.2459747787716</v>
      </c>
      <c r="V235" s="471">
        <v>0</v>
      </c>
      <c r="W235" s="471">
        <v>0</v>
      </c>
      <c r="X235" s="471">
        <v>371.50823364445841</v>
      </c>
      <c r="Y235" s="471">
        <v>0</v>
      </c>
      <c r="Z235" s="471">
        <v>6551.3542023825767</v>
      </c>
      <c r="AA235" s="471">
        <v>4541.8778227981911</v>
      </c>
      <c r="AB235" s="471">
        <v>2112.6093792591778</v>
      </c>
      <c r="AC235" s="471">
        <v>75.739128663423898</v>
      </c>
      <c r="AD235" s="471">
        <v>9.3239457634896841</v>
      </c>
      <c r="AE235" s="471">
        <v>1221.3185178117867</v>
      </c>
      <c r="AF235" s="471">
        <v>0</v>
      </c>
      <c r="AG235" s="471">
        <v>1017.6822060319647</v>
      </c>
      <c r="AH235" s="685">
        <f t="shared" si="18"/>
        <v>36872.543696810317</v>
      </c>
      <c r="AI235" s="472">
        <f t="shared" si="19"/>
        <v>37890.225902842285</v>
      </c>
      <c r="AJ235" s="472"/>
      <c r="AK235" s="472"/>
      <c r="AL235" s="570">
        <v>326.16000000000003</v>
      </c>
      <c r="AM235" s="570">
        <v>8584.458458879486</v>
      </c>
      <c r="AN235" s="566">
        <v>0</v>
      </c>
      <c r="AO235" s="566">
        <f t="shared" si="20"/>
        <v>8910.6184588794858</v>
      </c>
    </row>
    <row r="236" spans="1:41" x14ac:dyDescent="0.3">
      <c r="A236" s="466">
        <v>150000866</v>
      </c>
      <c r="B236" s="467" t="s">
        <v>308</v>
      </c>
      <c r="C236" s="468">
        <v>3834.8</v>
      </c>
      <c r="D236" s="469"/>
      <c r="E236" s="470">
        <v>1191.7</v>
      </c>
      <c r="F236" s="470">
        <v>5026.5</v>
      </c>
      <c r="G236" s="471">
        <v>1478.2620959793119</v>
      </c>
      <c r="H236" s="471">
        <v>285.39192898337939</v>
      </c>
      <c r="I236" s="471">
        <v>635.70000000000005</v>
      </c>
      <c r="J236" s="471">
        <v>0</v>
      </c>
      <c r="K236" s="471">
        <v>0</v>
      </c>
      <c r="L236" s="471">
        <v>1183.1212699749844</v>
      </c>
      <c r="M236" s="572">
        <f t="shared" si="16"/>
        <v>0</v>
      </c>
      <c r="N236" s="471">
        <v>1791.0389334708359</v>
      </c>
      <c r="O236" s="471">
        <v>0</v>
      </c>
      <c r="P236" s="471">
        <v>0</v>
      </c>
      <c r="Q236" s="471">
        <v>1089.0702893276973</v>
      </c>
      <c r="R236" s="572">
        <f t="shared" si="17"/>
        <v>4616.6798477766934</v>
      </c>
      <c r="S236" s="471">
        <v>268.49429091251204</v>
      </c>
      <c r="T236" s="471">
        <v>367.81915493417637</v>
      </c>
      <c r="U236" s="471">
        <v>249.4376121147771</v>
      </c>
      <c r="V236" s="471">
        <v>0</v>
      </c>
      <c r="W236" s="471">
        <v>0</v>
      </c>
      <c r="X236" s="471">
        <v>160.67135980944471</v>
      </c>
      <c r="Y236" s="471">
        <v>118.84369862692307</v>
      </c>
      <c r="Z236" s="471">
        <v>3610.3080280748777</v>
      </c>
      <c r="AA236" s="471">
        <v>2036.8415246596733</v>
      </c>
      <c r="AB236" s="471">
        <v>1751.1032904300289</v>
      </c>
      <c r="AC236" s="471">
        <v>7.8435343599662284</v>
      </c>
      <c r="AD236" s="471">
        <v>0.96558661628372133</v>
      </c>
      <c r="AE236" s="471">
        <v>976.43089674352314</v>
      </c>
      <c r="AF236" s="471">
        <v>0</v>
      </c>
      <c r="AG236" s="471">
        <v>495.07256022708225</v>
      </c>
      <c r="AH236" s="685">
        <f t="shared" si="18"/>
        <v>20628.023342795092</v>
      </c>
      <c r="AI236" s="472">
        <f t="shared" si="19"/>
        <v>21123.095903022175</v>
      </c>
      <c r="AJ236" s="472"/>
      <c r="AK236" s="472"/>
      <c r="AL236" s="570">
        <v>147.07</v>
      </c>
      <c r="AM236" s="570">
        <v>4469.6098477766936</v>
      </c>
      <c r="AN236" s="566">
        <v>0</v>
      </c>
      <c r="AO236" s="566">
        <f t="shared" si="20"/>
        <v>4616.6798477766934</v>
      </c>
    </row>
    <row r="237" spans="1:41" x14ac:dyDescent="0.3">
      <c r="A237" s="466">
        <v>150000867</v>
      </c>
      <c r="B237" s="467" t="s">
        <v>309</v>
      </c>
      <c r="C237" s="468">
        <v>2289.0100000000002</v>
      </c>
      <c r="D237" s="469"/>
      <c r="E237" s="470">
        <v>551.5</v>
      </c>
      <c r="F237" s="470">
        <v>2840.51</v>
      </c>
      <c r="G237" s="471">
        <v>728.48635476435925</v>
      </c>
      <c r="H237" s="471">
        <v>146.37006843546942</v>
      </c>
      <c r="I237" s="471">
        <v>388.41</v>
      </c>
      <c r="J237" s="471">
        <v>0</v>
      </c>
      <c r="K237" s="471">
        <v>0</v>
      </c>
      <c r="L237" s="471">
        <v>469.8662478166857</v>
      </c>
      <c r="M237" s="572">
        <f t="shared" si="16"/>
        <v>0</v>
      </c>
      <c r="N237" s="471">
        <v>1012.1285190317805</v>
      </c>
      <c r="O237" s="471">
        <v>0</v>
      </c>
      <c r="P237" s="471">
        <v>0</v>
      </c>
      <c r="Q237" s="471">
        <v>580.04830627236049</v>
      </c>
      <c r="R237" s="572">
        <f t="shared" si="17"/>
        <v>1887.7389709879549</v>
      </c>
      <c r="S237" s="471">
        <v>130.37371318027047</v>
      </c>
      <c r="T237" s="471">
        <v>188.6681320168974</v>
      </c>
      <c r="U237" s="471">
        <v>143.23456870345268</v>
      </c>
      <c r="V237" s="471">
        <v>0</v>
      </c>
      <c r="W237" s="471">
        <v>0</v>
      </c>
      <c r="X237" s="471">
        <v>61.409350688054374</v>
      </c>
      <c r="Y237" s="471">
        <v>59.671551360139539</v>
      </c>
      <c r="Z237" s="471">
        <v>1316.4471849022461</v>
      </c>
      <c r="AA237" s="471">
        <v>1126.9237554820038</v>
      </c>
      <c r="AB237" s="471">
        <v>894.55585234917942</v>
      </c>
      <c r="AC237" s="471">
        <v>57.600955456001998</v>
      </c>
      <c r="AD237" s="471">
        <v>7.0910267133335783</v>
      </c>
      <c r="AE237" s="471">
        <v>285.44225895218005</v>
      </c>
      <c r="AF237" s="471">
        <v>0</v>
      </c>
      <c r="AG237" s="471">
        <v>569.06800902674217</v>
      </c>
      <c r="AH237" s="685">
        <f t="shared" si="18"/>
        <v>9484.4668171123722</v>
      </c>
      <c r="AI237" s="472">
        <f t="shared" si="19"/>
        <v>10053.534826139114</v>
      </c>
      <c r="AJ237" s="472"/>
      <c r="AK237" s="472"/>
      <c r="AL237" s="570">
        <v>122.71</v>
      </c>
      <c r="AM237" s="570">
        <v>1765.0289709879548</v>
      </c>
      <c r="AN237" s="566">
        <v>0</v>
      </c>
      <c r="AO237" s="566">
        <f t="shared" si="20"/>
        <v>1887.7389709879549</v>
      </c>
    </row>
    <row r="238" spans="1:41" x14ac:dyDescent="0.3">
      <c r="A238" s="466">
        <v>150000868</v>
      </c>
      <c r="B238" s="467" t="s">
        <v>310</v>
      </c>
      <c r="C238" s="468">
        <v>2609.98</v>
      </c>
      <c r="D238" s="469"/>
      <c r="E238" s="470">
        <v>685.4</v>
      </c>
      <c r="F238" s="470">
        <v>3295.38</v>
      </c>
      <c r="G238" s="471">
        <v>932.69010904985748</v>
      </c>
      <c r="H238" s="471">
        <v>191.0750613608908</v>
      </c>
      <c r="I238" s="471">
        <v>435.74</v>
      </c>
      <c r="J238" s="471">
        <v>0</v>
      </c>
      <c r="K238" s="471">
        <v>0</v>
      </c>
      <c r="L238" s="471">
        <v>630.62506685019514</v>
      </c>
      <c r="M238" s="572">
        <f t="shared" si="16"/>
        <v>0</v>
      </c>
      <c r="N238" s="471">
        <v>1174.2074764908232</v>
      </c>
      <c r="O238" s="471">
        <v>0</v>
      </c>
      <c r="P238" s="471">
        <v>0</v>
      </c>
      <c r="Q238" s="471">
        <v>757.61411431491979</v>
      </c>
      <c r="R238" s="572">
        <f t="shared" si="17"/>
        <v>2358.6010472412336</v>
      </c>
      <c r="S238" s="471">
        <v>163.03390612605966</v>
      </c>
      <c r="T238" s="471">
        <v>246.28101336058353</v>
      </c>
      <c r="U238" s="471">
        <v>150.1037164359046</v>
      </c>
      <c r="V238" s="471">
        <v>0</v>
      </c>
      <c r="W238" s="471">
        <v>0</v>
      </c>
      <c r="X238" s="471">
        <v>88.260151070308979</v>
      </c>
      <c r="Y238" s="471">
        <v>53.528937122278585</v>
      </c>
      <c r="Z238" s="471">
        <v>3236.6983064456122</v>
      </c>
      <c r="AA238" s="471">
        <v>1318.5231305397294</v>
      </c>
      <c r="AB238" s="471">
        <v>2118.1282786642832</v>
      </c>
      <c r="AC238" s="471">
        <v>98.338312038076594</v>
      </c>
      <c r="AD238" s="471">
        <v>12.106042201657157</v>
      </c>
      <c r="AE238" s="471">
        <v>720.62471932189726</v>
      </c>
      <c r="AF238" s="471">
        <v>0</v>
      </c>
      <c r="AG238" s="471">
        <v>0</v>
      </c>
      <c r="AH238" s="685">
        <f t="shared" si="18"/>
        <v>14686.179388634313</v>
      </c>
      <c r="AI238" s="472">
        <f t="shared" si="19"/>
        <v>14686.179388634313</v>
      </c>
      <c r="AJ238" s="472"/>
      <c r="AK238" s="472"/>
      <c r="AL238" s="570">
        <v>100.83</v>
      </c>
      <c r="AM238" s="570">
        <v>2257.7710472412336</v>
      </c>
      <c r="AN238" s="566">
        <v>0</v>
      </c>
      <c r="AO238" s="566">
        <f t="shared" si="20"/>
        <v>2358.6010472412336</v>
      </c>
    </row>
    <row r="239" spans="1:41" x14ac:dyDescent="0.3">
      <c r="A239" s="466">
        <v>150000869</v>
      </c>
      <c r="B239" s="467" t="s">
        <v>311</v>
      </c>
      <c r="C239" s="468">
        <v>4602.8900000000003</v>
      </c>
      <c r="D239" s="469"/>
      <c r="E239" s="470">
        <v>1158.3</v>
      </c>
      <c r="F239" s="470">
        <v>5761.1900000000005</v>
      </c>
      <c r="G239" s="471">
        <v>1514.2089731304679</v>
      </c>
      <c r="H239" s="471">
        <v>341.41678896456114</v>
      </c>
      <c r="I239" s="471">
        <v>657.41</v>
      </c>
      <c r="J239" s="471">
        <v>149.16</v>
      </c>
      <c r="K239" s="471">
        <v>103.43546572976695</v>
      </c>
      <c r="L239" s="471">
        <v>1487.9511241460982</v>
      </c>
      <c r="M239" s="572">
        <f t="shared" si="16"/>
        <v>0</v>
      </c>
      <c r="N239" s="471">
        <v>2052.823155898308</v>
      </c>
      <c r="O239" s="471">
        <v>0</v>
      </c>
      <c r="P239" s="471">
        <v>0</v>
      </c>
      <c r="Q239" s="471">
        <v>335.40208185816766</v>
      </c>
      <c r="R239" s="572">
        <f t="shared" si="17"/>
        <v>6740.6915161860616</v>
      </c>
      <c r="S239" s="471">
        <v>271.04505954502395</v>
      </c>
      <c r="T239" s="471">
        <v>425.30378515142826</v>
      </c>
      <c r="U239" s="471">
        <v>244.90474847357774</v>
      </c>
      <c r="V239" s="471">
        <v>135.53330926294058</v>
      </c>
      <c r="W239" s="471">
        <v>104.92947732375929</v>
      </c>
      <c r="X239" s="471">
        <v>213.60096560892066</v>
      </c>
      <c r="Y239" s="471">
        <v>116.03491328398869</v>
      </c>
      <c r="Z239" s="471">
        <v>3332.4235471338311</v>
      </c>
      <c r="AA239" s="471">
        <v>2825.5470327778326</v>
      </c>
      <c r="AB239" s="471">
        <v>1918.2472111490777</v>
      </c>
      <c r="AC239" s="471">
        <v>215.84426116832066</v>
      </c>
      <c r="AD239" s="471">
        <v>26.571736696857656</v>
      </c>
      <c r="AE239" s="471">
        <v>1219.7587240470207</v>
      </c>
      <c r="AF239" s="471">
        <v>0</v>
      </c>
      <c r="AG239" s="471">
        <v>1465.9346326521606</v>
      </c>
      <c r="AH239" s="685">
        <f t="shared" si="18"/>
        <v>24432.24387753601</v>
      </c>
      <c r="AI239" s="472">
        <f t="shared" si="19"/>
        <v>25898.178510188169</v>
      </c>
      <c r="AJ239" s="472"/>
      <c r="AK239" s="472"/>
      <c r="AL239" s="570">
        <v>170.29</v>
      </c>
      <c r="AM239" s="570">
        <v>6570.4015161860616</v>
      </c>
      <c r="AN239" s="566">
        <v>0</v>
      </c>
      <c r="AO239" s="566">
        <f t="shared" si="20"/>
        <v>6740.6915161860616</v>
      </c>
    </row>
    <row r="240" spans="1:41" x14ac:dyDescent="0.3">
      <c r="A240" s="466">
        <v>150000871</v>
      </c>
      <c r="B240" s="467" t="s">
        <v>140</v>
      </c>
      <c r="C240" s="468">
        <v>152.6</v>
      </c>
      <c r="D240" s="473"/>
      <c r="E240" s="470"/>
      <c r="F240" s="470">
        <v>152.6</v>
      </c>
      <c r="G240" s="471">
        <v>0</v>
      </c>
      <c r="H240" s="471">
        <v>0</v>
      </c>
      <c r="I240" s="471">
        <v>0</v>
      </c>
      <c r="J240" s="471">
        <v>0</v>
      </c>
      <c r="K240" s="471">
        <v>0</v>
      </c>
      <c r="L240" s="471">
        <v>0</v>
      </c>
      <c r="M240" s="572">
        <f t="shared" si="16"/>
        <v>0</v>
      </c>
      <c r="N240" s="471">
        <v>0</v>
      </c>
      <c r="O240" s="471">
        <v>0</v>
      </c>
      <c r="P240" s="471">
        <v>0</v>
      </c>
      <c r="Q240" s="471">
        <v>23.675441072341243</v>
      </c>
      <c r="R240" s="572">
        <f t="shared" si="17"/>
        <v>185.83556608703307</v>
      </c>
      <c r="S240" s="471">
        <v>0</v>
      </c>
      <c r="T240" s="471">
        <v>0</v>
      </c>
      <c r="U240" s="471">
        <v>0</v>
      </c>
      <c r="V240" s="471">
        <v>0</v>
      </c>
      <c r="W240" s="471">
        <v>0</v>
      </c>
      <c r="X240" s="471">
        <v>0</v>
      </c>
      <c r="Y240" s="471">
        <v>0</v>
      </c>
      <c r="Z240" s="471">
        <v>0</v>
      </c>
      <c r="AA240" s="471">
        <v>0</v>
      </c>
      <c r="AB240" s="471">
        <v>0</v>
      </c>
      <c r="AC240" s="471">
        <v>0</v>
      </c>
      <c r="AD240" s="471">
        <v>0</v>
      </c>
      <c r="AE240" s="471">
        <v>0</v>
      </c>
      <c r="AF240" s="471">
        <v>0</v>
      </c>
      <c r="AG240" s="471">
        <v>6.2853302147812293</v>
      </c>
      <c r="AH240" s="685">
        <f t="shared" si="18"/>
        <v>209.51100715937432</v>
      </c>
      <c r="AI240" s="472">
        <f t="shared" si="19"/>
        <v>215.79633737415554</v>
      </c>
      <c r="AJ240" s="472"/>
      <c r="AK240" s="472"/>
      <c r="AL240" s="570">
        <v>13.08</v>
      </c>
      <c r="AM240" s="570">
        <v>172.75556608703306</v>
      </c>
      <c r="AN240" s="566">
        <v>0</v>
      </c>
      <c r="AO240" s="566">
        <f t="shared" si="20"/>
        <v>185.83556608703307</v>
      </c>
    </row>
    <row r="241" spans="1:41" x14ac:dyDescent="0.3">
      <c r="A241" s="466">
        <v>150000872</v>
      </c>
      <c r="B241" s="467" t="s">
        <v>233</v>
      </c>
      <c r="C241" s="468">
        <v>1113.4000000000001</v>
      </c>
      <c r="D241" s="469"/>
      <c r="E241" s="470">
        <v>97</v>
      </c>
      <c r="F241" s="470">
        <v>1210.4000000000001</v>
      </c>
      <c r="G241" s="471">
        <v>639.64241199410128</v>
      </c>
      <c r="H241" s="471">
        <v>155.74026641289413</v>
      </c>
      <c r="I241" s="471">
        <v>139.38</v>
      </c>
      <c r="J241" s="471">
        <v>33.97</v>
      </c>
      <c r="K241" s="471">
        <v>0</v>
      </c>
      <c r="L241" s="471">
        <v>246.51509706799351</v>
      </c>
      <c r="M241" s="572">
        <f t="shared" si="16"/>
        <v>0</v>
      </c>
      <c r="N241" s="471">
        <v>431.28887398251265</v>
      </c>
      <c r="O241" s="471">
        <v>0</v>
      </c>
      <c r="P241" s="471">
        <v>0</v>
      </c>
      <c r="Q241" s="471">
        <v>82.864043753194352</v>
      </c>
      <c r="R241" s="572">
        <f t="shared" si="17"/>
        <v>1045.5036584491531</v>
      </c>
      <c r="S241" s="471">
        <v>121.48393697976911</v>
      </c>
      <c r="T241" s="471">
        <v>200.74426692132644</v>
      </c>
      <c r="U241" s="471">
        <v>81.051511994214593</v>
      </c>
      <c r="V241" s="471">
        <v>36.308269123695709</v>
      </c>
      <c r="W241" s="471">
        <v>0</v>
      </c>
      <c r="X241" s="471">
        <v>28.498302350616186</v>
      </c>
      <c r="Y241" s="471">
        <v>0</v>
      </c>
      <c r="Z241" s="471">
        <v>1560.6303425516826</v>
      </c>
      <c r="AA241" s="471">
        <v>666.25325784379083</v>
      </c>
      <c r="AB241" s="471">
        <v>446.95591034704063</v>
      </c>
      <c r="AC241" s="471">
        <v>76.400926875046039</v>
      </c>
      <c r="AD241" s="471">
        <v>9.4054171342386255</v>
      </c>
      <c r="AE241" s="471">
        <v>113.86494482791882</v>
      </c>
      <c r="AF241" s="471">
        <v>0</v>
      </c>
      <c r="AG241" s="471">
        <v>183.49504315827565</v>
      </c>
      <c r="AH241" s="685">
        <f t="shared" si="18"/>
        <v>6116.5014386091898</v>
      </c>
      <c r="AI241" s="472">
        <f t="shared" si="19"/>
        <v>6299.9964817674654</v>
      </c>
      <c r="AJ241" s="472"/>
      <c r="AK241" s="472"/>
      <c r="AL241" s="570">
        <v>49.44</v>
      </c>
      <c r="AM241" s="570">
        <v>996.06365844915308</v>
      </c>
      <c r="AN241" s="566">
        <v>0</v>
      </c>
      <c r="AO241" s="566">
        <f t="shared" si="20"/>
        <v>1045.5036584491531</v>
      </c>
    </row>
    <row r="242" spans="1:41" x14ac:dyDescent="0.3">
      <c r="A242" s="466">
        <v>150000873</v>
      </c>
      <c r="B242" s="467" t="s">
        <v>306</v>
      </c>
      <c r="C242" s="468">
        <v>2468.86</v>
      </c>
      <c r="D242" s="469"/>
      <c r="E242" s="470">
        <v>140.6</v>
      </c>
      <c r="F242" s="470">
        <v>2609.46</v>
      </c>
      <c r="G242" s="471">
        <v>755.94302501892753</v>
      </c>
      <c r="H242" s="471">
        <v>143.9287423195556</v>
      </c>
      <c r="I242" s="471">
        <v>293.68</v>
      </c>
      <c r="J242" s="471">
        <v>0</v>
      </c>
      <c r="K242" s="471">
        <v>0</v>
      </c>
      <c r="L242" s="471">
        <v>441.06751788519489</v>
      </c>
      <c r="M242" s="572">
        <f t="shared" si="16"/>
        <v>0</v>
      </c>
      <c r="N242" s="471">
        <v>929.80094605288116</v>
      </c>
      <c r="O242" s="471">
        <v>0</v>
      </c>
      <c r="P242" s="471">
        <v>0</v>
      </c>
      <c r="Q242" s="471">
        <v>686.58779109789612</v>
      </c>
      <c r="R242" s="572">
        <f t="shared" si="17"/>
        <v>2332.7009678609093</v>
      </c>
      <c r="S242" s="471">
        <v>121.90693736917891</v>
      </c>
      <c r="T242" s="471">
        <v>185.4877130339687</v>
      </c>
      <c r="U242" s="471">
        <v>156.83363862298793</v>
      </c>
      <c r="V242" s="471">
        <v>0</v>
      </c>
      <c r="W242" s="471">
        <v>0</v>
      </c>
      <c r="X242" s="471">
        <v>59.106282508825508</v>
      </c>
      <c r="Y242" s="471">
        <v>0</v>
      </c>
      <c r="Z242" s="471">
        <v>2904.3302019838957</v>
      </c>
      <c r="AA242" s="471">
        <v>1099.3322179707507</v>
      </c>
      <c r="AB242" s="471">
        <v>719.85766583954467</v>
      </c>
      <c r="AC242" s="471">
        <v>56.86562410975516</v>
      </c>
      <c r="AD242" s="471">
        <v>7.0005029680569804</v>
      </c>
      <c r="AE242" s="471">
        <v>535.00926131474193</v>
      </c>
      <c r="AF242" s="471">
        <v>0</v>
      </c>
      <c r="AG242" s="471">
        <v>274.30653686296978</v>
      </c>
      <c r="AH242" s="685">
        <f t="shared" si="18"/>
        <v>11429.439035957073</v>
      </c>
      <c r="AI242" s="472">
        <f t="shared" si="19"/>
        <v>11703.745572820044</v>
      </c>
      <c r="AJ242" s="472"/>
      <c r="AK242" s="472"/>
      <c r="AL242" s="570">
        <v>98.26</v>
      </c>
      <c r="AM242" s="570">
        <v>2234.440967860909</v>
      </c>
      <c r="AN242" s="566">
        <v>0</v>
      </c>
      <c r="AO242" s="566">
        <f t="shared" si="20"/>
        <v>2332.7009678609093</v>
      </c>
    </row>
    <row r="243" spans="1:41" x14ac:dyDescent="0.3">
      <c r="A243" s="466">
        <v>150000874</v>
      </c>
      <c r="B243" s="467" t="s">
        <v>307</v>
      </c>
      <c r="C243" s="468">
        <v>2004.8</v>
      </c>
      <c r="D243" s="469"/>
      <c r="E243" s="470">
        <v>614.5</v>
      </c>
      <c r="F243" s="470">
        <v>2619.3000000000002</v>
      </c>
      <c r="G243" s="471">
        <v>683.87051806454838</v>
      </c>
      <c r="H243" s="471">
        <v>143.9287423195556</v>
      </c>
      <c r="I243" s="471">
        <v>266.27999999999997</v>
      </c>
      <c r="J243" s="471">
        <v>60.29</v>
      </c>
      <c r="K243" s="471">
        <v>44.322556752048527</v>
      </c>
      <c r="L243" s="471">
        <v>454.68452198572356</v>
      </c>
      <c r="M243" s="572">
        <f t="shared" si="16"/>
        <v>0</v>
      </c>
      <c r="N243" s="471">
        <v>933.30712791010853</v>
      </c>
      <c r="O243" s="471">
        <v>0</v>
      </c>
      <c r="P243" s="471">
        <v>0</v>
      </c>
      <c r="Q243" s="471">
        <v>157.83627381560828</v>
      </c>
      <c r="R243" s="572">
        <f t="shared" si="17"/>
        <v>2468.1473766696759</v>
      </c>
      <c r="S243" s="471">
        <v>117.60799368134825</v>
      </c>
      <c r="T243" s="471">
        <v>185.4877130339687</v>
      </c>
      <c r="U243" s="471">
        <v>139.94055269617567</v>
      </c>
      <c r="V243" s="471">
        <v>65.706154075165742</v>
      </c>
      <c r="W243" s="471">
        <v>44.980177589529568</v>
      </c>
      <c r="X243" s="471">
        <v>59.10628894753529</v>
      </c>
      <c r="Y243" s="471">
        <v>0</v>
      </c>
      <c r="Z243" s="471">
        <v>3941.0874973198097</v>
      </c>
      <c r="AA243" s="471">
        <v>1486.4417947908419</v>
      </c>
      <c r="AB243" s="471">
        <v>1102.815470721707</v>
      </c>
      <c r="AC243" s="471">
        <v>29.413253849873357</v>
      </c>
      <c r="AD243" s="471">
        <v>3.6209498110639551</v>
      </c>
      <c r="AE243" s="471">
        <v>405.54637883916297</v>
      </c>
      <c r="AF243" s="471">
        <v>0</v>
      </c>
      <c r="AG243" s="471">
        <v>307.06611222896282</v>
      </c>
      <c r="AH243" s="685">
        <f t="shared" si="18"/>
        <v>12794.421342873451</v>
      </c>
      <c r="AI243" s="472">
        <f t="shared" si="19"/>
        <v>13101.487455102413</v>
      </c>
      <c r="AJ243" s="472"/>
      <c r="AK243" s="472"/>
      <c r="AL243" s="570">
        <v>50.66</v>
      </c>
      <c r="AM243" s="570">
        <v>2417.487376669676</v>
      </c>
      <c r="AN243" s="566">
        <v>0</v>
      </c>
      <c r="AO243" s="566">
        <f t="shared" si="20"/>
        <v>2468.1473766696759</v>
      </c>
    </row>
    <row r="244" spans="1:41" x14ac:dyDescent="0.3">
      <c r="A244" s="466">
        <v>150000875</v>
      </c>
      <c r="B244" s="467" t="s">
        <v>312</v>
      </c>
      <c r="C244" s="468">
        <v>3190.1</v>
      </c>
      <c r="D244" s="469"/>
      <c r="E244" s="470"/>
      <c r="F244" s="470">
        <v>3190.1</v>
      </c>
      <c r="G244" s="471">
        <v>1072.3225745587515</v>
      </c>
      <c r="H244" s="471">
        <v>214.79596714931409</v>
      </c>
      <c r="I244" s="471">
        <v>411.55</v>
      </c>
      <c r="J244" s="471">
        <v>0</v>
      </c>
      <c r="K244" s="471">
        <v>0</v>
      </c>
      <c r="L244" s="471">
        <v>623.60729310698559</v>
      </c>
      <c r="M244" s="572">
        <f t="shared" si="16"/>
        <v>0</v>
      </c>
      <c r="N244" s="471">
        <v>1136.6941811728466</v>
      </c>
      <c r="O244" s="471">
        <v>0</v>
      </c>
      <c r="P244" s="471">
        <v>0</v>
      </c>
      <c r="Q244" s="471">
        <v>828.64043753194358</v>
      </c>
      <c r="R244" s="572">
        <f t="shared" si="17"/>
        <v>2975.3271602104537</v>
      </c>
      <c r="S244" s="471">
        <v>178.02751640989976</v>
      </c>
      <c r="T244" s="471">
        <v>276.84761169373553</v>
      </c>
      <c r="U244" s="471">
        <v>158.47051991288905</v>
      </c>
      <c r="V244" s="471">
        <v>0</v>
      </c>
      <c r="W244" s="471">
        <v>0</v>
      </c>
      <c r="X244" s="471">
        <v>87.209301230551034</v>
      </c>
      <c r="Y244" s="471">
        <v>100.44294613611928</v>
      </c>
      <c r="Z244" s="471">
        <v>2182.1032602248088</v>
      </c>
      <c r="AA244" s="471">
        <v>1428.1670979914948</v>
      </c>
      <c r="AB244" s="471">
        <v>980.47118417508841</v>
      </c>
      <c r="AC244" s="471">
        <v>72.307582380938683</v>
      </c>
      <c r="AD244" s="471">
        <v>8.9015016188655558</v>
      </c>
      <c r="AE244" s="471">
        <v>488.21544837176157</v>
      </c>
      <c r="AF244" s="471">
        <v>0</v>
      </c>
      <c r="AG244" s="471">
        <v>317.37843801303478</v>
      </c>
      <c r="AH244" s="685">
        <f t="shared" si="18"/>
        <v>13224.101583876449</v>
      </c>
      <c r="AI244" s="472">
        <f t="shared" si="19"/>
        <v>13541.480021889483</v>
      </c>
      <c r="AJ244" s="472"/>
      <c r="AK244" s="472"/>
      <c r="AL244" s="570">
        <v>99.5</v>
      </c>
      <c r="AM244" s="570">
        <v>2875.8271602104537</v>
      </c>
      <c r="AN244" s="566">
        <v>0</v>
      </c>
      <c r="AO244" s="566">
        <f t="shared" si="20"/>
        <v>2975.3271602104537</v>
      </c>
    </row>
    <row r="245" spans="1:41" x14ac:dyDescent="0.3">
      <c r="A245" s="466">
        <v>150000878</v>
      </c>
      <c r="B245" s="467" t="s">
        <v>236</v>
      </c>
      <c r="C245" s="468">
        <v>1686.26</v>
      </c>
      <c r="D245" s="469"/>
      <c r="E245" s="470">
        <v>710.23</v>
      </c>
      <c r="F245" s="470">
        <v>2396.4899999999998</v>
      </c>
      <c r="G245" s="471">
        <v>567.20436958196206</v>
      </c>
      <c r="H245" s="471">
        <v>91.752474077211659</v>
      </c>
      <c r="I245" s="471">
        <v>285.93</v>
      </c>
      <c r="J245" s="471">
        <v>0</v>
      </c>
      <c r="K245" s="471">
        <v>0</v>
      </c>
      <c r="L245" s="471">
        <v>415.89277254975696</v>
      </c>
      <c r="M245" s="572">
        <f t="shared" si="16"/>
        <v>0</v>
      </c>
      <c r="N245" s="471">
        <v>853.91562591734271</v>
      </c>
      <c r="O245" s="471">
        <v>0</v>
      </c>
      <c r="P245" s="471">
        <v>0</v>
      </c>
      <c r="Q245" s="471">
        <v>331.45617501277741</v>
      </c>
      <c r="R245" s="572">
        <f t="shared" si="17"/>
        <v>1841.6573658733023</v>
      </c>
      <c r="S245" s="471">
        <v>103.42755788492966</v>
      </c>
      <c r="T245" s="471">
        <v>118.25082316444033</v>
      </c>
      <c r="U245" s="471">
        <v>160.73805527736138</v>
      </c>
      <c r="V245" s="471">
        <v>0</v>
      </c>
      <c r="W245" s="471">
        <v>0</v>
      </c>
      <c r="X245" s="471">
        <v>53.795066531299348</v>
      </c>
      <c r="Y245" s="471">
        <v>0</v>
      </c>
      <c r="Z245" s="471">
        <v>2761.0861406259123</v>
      </c>
      <c r="AA245" s="471">
        <v>1919.0643449754346</v>
      </c>
      <c r="AB245" s="471">
        <v>553.470651665937</v>
      </c>
      <c r="AC245" s="471">
        <v>45.100322569805812</v>
      </c>
      <c r="AD245" s="471">
        <v>5.552123043631398</v>
      </c>
      <c r="AE245" s="471">
        <v>202.77318941958148</v>
      </c>
      <c r="AF245" s="471">
        <v>0</v>
      </c>
      <c r="AG245" s="471">
        <v>309.33201174512067</v>
      </c>
      <c r="AH245" s="685">
        <f t="shared" si="18"/>
        <v>10311.067058170687</v>
      </c>
      <c r="AI245" s="472">
        <f t="shared" si="19"/>
        <v>10620.399069915808</v>
      </c>
      <c r="AJ245" s="472"/>
      <c r="AK245" s="472"/>
      <c r="AL245" s="570">
        <v>66.31</v>
      </c>
      <c r="AM245" s="570">
        <v>1775.3473658733024</v>
      </c>
      <c r="AN245" s="566">
        <v>0</v>
      </c>
      <c r="AO245" s="566">
        <f t="shared" si="20"/>
        <v>1841.6573658733023</v>
      </c>
    </row>
    <row r="246" spans="1:41" x14ac:dyDescent="0.3">
      <c r="A246" s="466">
        <v>150000879</v>
      </c>
      <c r="B246" s="467" t="s">
        <v>329</v>
      </c>
      <c r="C246" s="468">
        <v>3611.53</v>
      </c>
      <c r="D246" s="469"/>
      <c r="E246" s="470">
        <v>882.6</v>
      </c>
      <c r="F246" s="470">
        <v>4494.13</v>
      </c>
      <c r="G246" s="471">
        <v>1083.9673063456617</v>
      </c>
      <c r="H246" s="471">
        <v>200.6176435991388</v>
      </c>
      <c r="I246" s="471">
        <v>546.98</v>
      </c>
      <c r="J246" s="471">
        <v>0</v>
      </c>
      <c r="K246" s="471">
        <v>0</v>
      </c>
      <c r="L246" s="471">
        <v>870.20202319365455</v>
      </c>
      <c r="M246" s="572">
        <f t="shared" si="16"/>
        <v>0</v>
      </c>
      <c r="N246" s="471">
        <v>1601.3452306931836</v>
      </c>
      <c r="O246" s="471">
        <v>0</v>
      </c>
      <c r="P246" s="471">
        <v>0</v>
      </c>
      <c r="Q246" s="471">
        <v>982.53080450216169</v>
      </c>
      <c r="R246" s="572">
        <f t="shared" si="17"/>
        <v>3606.6173149150977</v>
      </c>
      <c r="S246" s="471">
        <v>176.34342085271857</v>
      </c>
      <c r="T246" s="471">
        <v>258.56595648398542</v>
      </c>
      <c r="U246" s="471">
        <v>226.06708915759165</v>
      </c>
      <c r="V246" s="471">
        <v>0</v>
      </c>
      <c r="W246" s="471">
        <v>0</v>
      </c>
      <c r="X246" s="471">
        <v>121.44821622655098</v>
      </c>
      <c r="Y246" s="471">
        <v>0</v>
      </c>
      <c r="Z246" s="471">
        <v>2840.504369194492</v>
      </c>
      <c r="AA246" s="471">
        <v>1789.4493526146653</v>
      </c>
      <c r="AB246" s="471">
        <v>910.75991514682175</v>
      </c>
      <c r="AC246" s="471">
        <v>0</v>
      </c>
      <c r="AD246" s="471">
        <v>0</v>
      </c>
      <c r="AE246" s="471">
        <v>352.51339083711855</v>
      </c>
      <c r="AF246" s="471">
        <v>0</v>
      </c>
      <c r="AG246" s="471">
        <v>186.81494440515411</v>
      </c>
      <c r="AH246" s="685">
        <f t="shared" si="18"/>
        <v>15567.912033762843</v>
      </c>
      <c r="AI246" s="472">
        <f t="shared" si="19"/>
        <v>15754.726978167997</v>
      </c>
      <c r="AJ246" s="472"/>
      <c r="AK246" s="472"/>
      <c r="AL246" s="570">
        <v>163.35</v>
      </c>
      <c r="AM246" s="570">
        <v>3443.2673149150978</v>
      </c>
      <c r="AN246" s="566">
        <v>0</v>
      </c>
      <c r="AO246" s="566">
        <f t="shared" si="20"/>
        <v>3606.6173149150977</v>
      </c>
    </row>
    <row r="247" spans="1:41" x14ac:dyDescent="0.3">
      <c r="A247" s="466">
        <v>150000880</v>
      </c>
      <c r="B247" s="467" t="s">
        <v>237</v>
      </c>
      <c r="C247" s="468">
        <v>1891.75</v>
      </c>
      <c r="D247" s="469"/>
      <c r="E247" s="470">
        <v>834.6</v>
      </c>
      <c r="F247" s="470">
        <v>2726.35</v>
      </c>
      <c r="G247" s="471">
        <v>748.90756475231512</v>
      </c>
      <c r="H247" s="471">
        <v>142.00567180988517</v>
      </c>
      <c r="I247" s="471">
        <v>329.05</v>
      </c>
      <c r="J247" s="471">
        <v>0</v>
      </c>
      <c r="K247" s="471">
        <v>0</v>
      </c>
      <c r="L247" s="471">
        <v>624.29868442387135</v>
      </c>
      <c r="M247" s="572">
        <f t="shared" si="16"/>
        <v>0</v>
      </c>
      <c r="N247" s="471">
        <v>971.45110837923266</v>
      </c>
      <c r="O247" s="471">
        <v>0</v>
      </c>
      <c r="P247" s="471">
        <v>0</v>
      </c>
      <c r="Q247" s="471">
        <v>355.13161608511865</v>
      </c>
      <c r="R247" s="572">
        <f t="shared" si="17"/>
        <v>2539.2231619679392</v>
      </c>
      <c r="S247" s="471">
        <v>142.53861767430203</v>
      </c>
      <c r="T247" s="471">
        <v>183.03554581005699</v>
      </c>
      <c r="U247" s="471">
        <v>147.43558349450788</v>
      </c>
      <c r="V247" s="471">
        <v>0</v>
      </c>
      <c r="W247" s="471">
        <v>0</v>
      </c>
      <c r="X247" s="471">
        <v>84.962383277171313</v>
      </c>
      <c r="Y247" s="471">
        <v>0</v>
      </c>
      <c r="Z247" s="471">
        <v>2006.3112985945413</v>
      </c>
      <c r="AA247" s="471">
        <v>1556.5845809573818</v>
      </c>
      <c r="AB247" s="471">
        <v>1125.1667217683514</v>
      </c>
      <c r="AC247" s="471">
        <v>79.660895843407005</v>
      </c>
      <c r="AD247" s="471">
        <v>9.8067390716315455</v>
      </c>
      <c r="AE247" s="471">
        <v>561.52575531576406</v>
      </c>
      <c r="AF247" s="471">
        <v>0</v>
      </c>
      <c r="AG247" s="471">
        <v>208.92772672605858</v>
      </c>
      <c r="AH247" s="685">
        <f t="shared" si="18"/>
        <v>11607.095929225477</v>
      </c>
      <c r="AI247" s="472">
        <f t="shared" si="19"/>
        <v>11816.023655951536</v>
      </c>
      <c r="AJ247" s="472"/>
      <c r="AK247" s="472"/>
      <c r="AL247" s="570">
        <v>41.29</v>
      </c>
      <c r="AM247" s="570">
        <v>2497.9331619679392</v>
      </c>
      <c r="AN247" s="566">
        <v>0</v>
      </c>
      <c r="AO247" s="566">
        <f t="shared" si="20"/>
        <v>2539.2231619679392</v>
      </c>
    </row>
    <row r="248" spans="1:41" x14ac:dyDescent="0.3">
      <c r="A248" s="466">
        <v>150000881</v>
      </c>
      <c r="B248" s="467" t="s">
        <v>411</v>
      </c>
      <c r="C248" s="468">
        <v>2076.5</v>
      </c>
      <c r="D248" s="469"/>
      <c r="E248" s="470">
        <v>328.9</v>
      </c>
      <c r="F248" s="470">
        <v>2405.4</v>
      </c>
      <c r="G248" s="471">
        <v>570.71239253270585</v>
      </c>
      <c r="H248" s="471">
        <v>82.974609066532821</v>
      </c>
      <c r="I248" s="471">
        <v>276.22000000000003</v>
      </c>
      <c r="J248" s="471">
        <v>64.040000000000006</v>
      </c>
      <c r="K248" s="471">
        <v>32.51454535665566</v>
      </c>
      <c r="L248" s="471">
        <v>336.99090939131565</v>
      </c>
      <c r="M248" s="572">
        <f t="shared" si="16"/>
        <v>0</v>
      </c>
      <c r="N248" s="471">
        <v>857.09043083074675</v>
      </c>
      <c r="O248" s="471">
        <v>1632.9146681814352</v>
      </c>
      <c r="P248" s="471">
        <v>0</v>
      </c>
      <c r="Q248" s="471">
        <v>189.40352857872995</v>
      </c>
      <c r="R248" s="572">
        <f t="shared" si="17"/>
        <v>2638.0489002198606</v>
      </c>
      <c r="S248" s="471">
        <v>18.036324034709246</v>
      </c>
      <c r="T248" s="471">
        <v>22.154804772633202</v>
      </c>
      <c r="U248" s="471">
        <v>28.182319718343539</v>
      </c>
      <c r="V248" s="471">
        <v>14.407110787566008</v>
      </c>
      <c r="W248" s="471">
        <v>6.5961235315382805</v>
      </c>
      <c r="X248" s="471">
        <v>13.018176544392439</v>
      </c>
      <c r="Y248" s="471">
        <v>0</v>
      </c>
      <c r="Z248" s="471">
        <v>3219.5422490883107</v>
      </c>
      <c r="AA248" s="471">
        <v>1973.7133745633769</v>
      </c>
      <c r="AB248" s="471">
        <v>811.49403263444276</v>
      </c>
      <c r="AC248" s="471">
        <v>0</v>
      </c>
      <c r="AD248" s="471">
        <v>0</v>
      </c>
      <c r="AE248" s="471">
        <v>330.67627813039439</v>
      </c>
      <c r="AF248" s="471">
        <v>625.4772996711705</v>
      </c>
      <c r="AG248" s="471">
        <v>412.32624232904573</v>
      </c>
      <c r="AH248" s="685">
        <f t="shared" si="18"/>
        <v>13744.208077634861</v>
      </c>
      <c r="AI248" s="472">
        <f t="shared" si="19"/>
        <v>14156.534319963906</v>
      </c>
      <c r="AJ248" s="472"/>
      <c r="AK248" s="472"/>
      <c r="AL248" s="570">
        <v>8.6999999999999993</v>
      </c>
      <c r="AM248" s="570">
        <v>2629.3489002198608</v>
      </c>
      <c r="AN248" s="566">
        <v>0</v>
      </c>
      <c r="AO248" s="566">
        <f t="shared" si="20"/>
        <v>2638.0489002198606</v>
      </c>
    </row>
    <row r="249" spans="1:41" x14ac:dyDescent="0.3">
      <c r="A249" s="466">
        <v>150000882</v>
      </c>
      <c r="B249" s="467" t="s">
        <v>330</v>
      </c>
      <c r="C249" s="468">
        <v>2322.87</v>
      </c>
      <c r="D249" s="469"/>
      <c r="E249" s="470">
        <v>686.9</v>
      </c>
      <c r="F249" s="470">
        <v>3009.77</v>
      </c>
      <c r="G249" s="471">
        <v>723.19274068510254</v>
      </c>
      <c r="H249" s="471">
        <v>145.55632029371478</v>
      </c>
      <c r="I249" s="471">
        <v>360.86</v>
      </c>
      <c r="J249" s="471">
        <v>0</v>
      </c>
      <c r="K249" s="471">
        <v>0</v>
      </c>
      <c r="L249" s="471">
        <v>487.6151182146321</v>
      </c>
      <c r="M249" s="572">
        <f t="shared" si="16"/>
        <v>0</v>
      </c>
      <c r="N249" s="471">
        <v>1072.4391228076231</v>
      </c>
      <c r="O249" s="471">
        <v>0</v>
      </c>
      <c r="P249" s="471">
        <v>0</v>
      </c>
      <c r="Q249" s="471">
        <v>580.04830627236049</v>
      </c>
      <c r="R249" s="572">
        <f t="shared" si="17"/>
        <v>2727.8559936222091</v>
      </c>
      <c r="S249" s="471">
        <v>121.6559452989076</v>
      </c>
      <c r="T249" s="471">
        <v>187.59990222754016</v>
      </c>
      <c r="U249" s="471">
        <v>178.49528060048499</v>
      </c>
      <c r="V249" s="471">
        <v>0</v>
      </c>
      <c r="W249" s="471">
        <v>0</v>
      </c>
      <c r="X249" s="471">
        <v>60.641629162773675</v>
      </c>
      <c r="Y249" s="471">
        <v>0</v>
      </c>
      <c r="Z249" s="471">
        <v>2192.0940759732757</v>
      </c>
      <c r="AA249" s="471">
        <v>1100.1630044803487</v>
      </c>
      <c r="AB249" s="471">
        <v>774.36153914294107</v>
      </c>
      <c r="AC249" s="471">
        <v>43.874770326061096</v>
      </c>
      <c r="AD249" s="471">
        <v>5.401250134837067</v>
      </c>
      <c r="AE249" s="471">
        <v>341.59483448375647</v>
      </c>
      <c r="AF249" s="471">
        <v>0</v>
      </c>
      <c r="AG249" s="471">
        <v>666.20699002359424</v>
      </c>
      <c r="AH249" s="685">
        <f t="shared" si="18"/>
        <v>11103.44983372657</v>
      </c>
      <c r="AI249" s="472">
        <f t="shared" si="19"/>
        <v>11769.656823750165</v>
      </c>
      <c r="AJ249" s="472"/>
      <c r="AK249" s="472"/>
      <c r="AL249" s="570">
        <v>90.12</v>
      </c>
      <c r="AM249" s="570">
        <v>2637.7359936222092</v>
      </c>
      <c r="AN249" s="566">
        <v>0</v>
      </c>
      <c r="AO249" s="566">
        <f t="shared" si="20"/>
        <v>2727.8559936222091</v>
      </c>
    </row>
    <row r="250" spans="1:41" x14ac:dyDescent="0.3">
      <c r="A250" s="466">
        <v>150000883</v>
      </c>
      <c r="B250" s="467" t="s">
        <v>331</v>
      </c>
      <c r="C250" s="468">
        <v>1851.94</v>
      </c>
      <c r="D250" s="469"/>
      <c r="E250" s="470"/>
      <c r="F250" s="470">
        <v>1851.94</v>
      </c>
      <c r="G250" s="471">
        <v>518.50965641020423</v>
      </c>
      <c r="H250" s="471">
        <v>86.57424761922293</v>
      </c>
      <c r="I250" s="471">
        <v>228.91</v>
      </c>
      <c r="J250" s="471">
        <v>0</v>
      </c>
      <c r="K250" s="471">
        <v>0</v>
      </c>
      <c r="L250" s="471">
        <v>271.55500097984384</v>
      </c>
      <c r="M250" s="572">
        <f t="shared" si="16"/>
        <v>0</v>
      </c>
      <c r="N250" s="471">
        <v>659.88195413348842</v>
      </c>
      <c r="O250" s="471">
        <v>0</v>
      </c>
      <c r="P250" s="471">
        <v>0</v>
      </c>
      <c r="Q250" s="471">
        <v>473.50882144682487</v>
      </c>
      <c r="R250" s="572">
        <f t="shared" si="17"/>
        <v>1725.736370311449</v>
      </c>
      <c r="S250" s="471">
        <v>84.288050974095853</v>
      </c>
      <c r="T250" s="471">
        <v>111.57423670806077</v>
      </c>
      <c r="U250" s="471">
        <v>99.746403592700247</v>
      </c>
      <c r="V250" s="471">
        <v>0</v>
      </c>
      <c r="W250" s="471">
        <v>0</v>
      </c>
      <c r="X250" s="471">
        <v>32.473376971596629</v>
      </c>
      <c r="Y250" s="471">
        <v>0</v>
      </c>
      <c r="Z250" s="471">
        <v>2039.4298339202246</v>
      </c>
      <c r="AA250" s="471">
        <v>673.19193132540477</v>
      </c>
      <c r="AB250" s="471">
        <v>496.69779079077296</v>
      </c>
      <c r="AC250" s="471">
        <v>0</v>
      </c>
      <c r="AD250" s="471">
        <v>0</v>
      </c>
      <c r="AE250" s="471">
        <v>48.353606707746344</v>
      </c>
      <c r="AF250" s="471">
        <v>0</v>
      </c>
      <c r="AG250" s="471">
        <v>181.21035076539928</v>
      </c>
      <c r="AH250" s="685">
        <f t="shared" si="18"/>
        <v>7550.4312818916351</v>
      </c>
      <c r="AI250" s="472">
        <f t="shared" si="19"/>
        <v>7731.6416326570343</v>
      </c>
      <c r="AJ250" s="472"/>
      <c r="AK250" s="472"/>
      <c r="AL250" s="570">
        <v>65.69</v>
      </c>
      <c r="AM250" s="570">
        <v>1660.046370311449</v>
      </c>
      <c r="AN250" s="566">
        <v>0</v>
      </c>
      <c r="AO250" s="566">
        <f t="shared" si="20"/>
        <v>1725.736370311449</v>
      </c>
    </row>
    <row r="251" spans="1:41" x14ac:dyDescent="0.3">
      <c r="A251" s="466">
        <v>150000884</v>
      </c>
      <c r="B251" s="467" t="s">
        <v>332</v>
      </c>
      <c r="C251" s="468">
        <v>2555.1</v>
      </c>
      <c r="D251" s="469"/>
      <c r="E251" s="470">
        <v>845.25</v>
      </c>
      <c r="F251" s="470">
        <v>3400.35</v>
      </c>
      <c r="G251" s="471">
        <v>930.46467674863311</v>
      </c>
      <c r="H251" s="471">
        <v>190.70496047565265</v>
      </c>
      <c r="I251" s="471">
        <v>391.89</v>
      </c>
      <c r="J251" s="471">
        <v>0</v>
      </c>
      <c r="K251" s="471">
        <v>0</v>
      </c>
      <c r="L251" s="471">
        <v>635.81791348282093</v>
      </c>
      <c r="M251" s="572">
        <f t="shared" si="16"/>
        <v>0</v>
      </c>
      <c r="N251" s="471">
        <v>1211.6103128275254</v>
      </c>
      <c r="O251" s="471">
        <v>0</v>
      </c>
      <c r="P251" s="471">
        <v>0</v>
      </c>
      <c r="Q251" s="471">
        <v>757.61411431491979</v>
      </c>
      <c r="R251" s="572">
        <f t="shared" si="17"/>
        <v>3621.1806803103077</v>
      </c>
      <c r="S251" s="471">
        <v>154.90307360373467</v>
      </c>
      <c r="T251" s="471">
        <v>245.78571766970759</v>
      </c>
      <c r="U251" s="471">
        <v>182.97205643540269</v>
      </c>
      <c r="V251" s="471">
        <v>0</v>
      </c>
      <c r="W251" s="471">
        <v>0</v>
      </c>
      <c r="X251" s="471">
        <v>87.734763509482079</v>
      </c>
      <c r="Y251" s="471">
        <v>0</v>
      </c>
      <c r="Z251" s="471">
        <v>1480.0874452051441</v>
      </c>
      <c r="AA251" s="471">
        <v>1758.7847186869481</v>
      </c>
      <c r="AB251" s="471">
        <v>858.48740445174508</v>
      </c>
      <c r="AC251" s="471">
        <v>58.336286802248821</v>
      </c>
      <c r="AD251" s="471">
        <v>7.1815504586101779</v>
      </c>
      <c r="AE251" s="471">
        <v>425.82369778112098</v>
      </c>
      <c r="AF251" s="471">
        <v>0</v>
      </c>
      <c r="AG251" s="471">
        <v>0</v>
      </c>
      <c r="AH251" s="685">
        <f t="shared" si="18"/>
        <v>12999.379372764006</v>
      </c>
      <c r="AI251" s="472">
        <f t="shared" si="19"/>
        <v>12999.379372764006</v>
      </c>
      <c r="AJ251" s="472"/>
      <c r="AK251" s="472"/>
      <c r="AL251" s="570">
        <v>100.88</v>
      </c>
      <c r="AM251" s="570">
        <v>3520.3006803103076</v>
      </c>
      <c r="AN251" s="566">
        <v>0</v>
      </c>
      <c r="AO251" s="566">
        <f t="shared" si="20"/>
        <v>3621.1806803103077</v>
      </c>
    </row>
    <row r="252" spans="1:41" x14ac:dyDescent="0.3">
      <c r="A252" s="466">
        <v>150000885</v>
      </c>
      <c r="B252" s="467" t="s">
        <v>238</v>
      </c>
      <c r="C252" s="468">
        <v>1448.4</v>
      </c>
      <c r="D252" s="469"/>
      <c r="E252" s="470">
        <v>46.2</v>
      </c>
      <c r="F252" s="470">
        <v>1494.6000000000001</v>
      </c>
      <c r="G252" s="471">
        <v>447.85780446600506</v>
      </c>
      <c r="H252" s="471">
        <v>77.57415052703638</v>
      </c>
      <c r="I252" s="471">
        <v>181.62</v>
      </c>
      <c r="J252" s="471">
        <v>0</v>
      </c>
      <c r="K252" s="471">
        <v>0</v>
      </c>
      <c r="L252" s="471">
        <v>256.56583895826856</v>
      </c>
      <c r="M252" s="572">
        <f t="shared" si="16"/>
        <v>0</v>
      </c>
      <c r="N252" s="471">
        <v>532.55481746056137</v>
      </c>
      <c r="O252" s="471">
        <v>0</v>
      </c>
      <c r="P252" s="471">
        <v>0</v>
      </c>
      <c r="Q252" s="471">
        <v>378.80705715745989</v>
      </c>
      <c r="R252" s="572">
        <f t="shared" si="17"/>
        <v>1682.3917583750954</v>
      </c>
      <c r="S252" s="471">
        <v>74.334475031666486</v>
      </c>
      <c r="T252" s="471">
        <v>99.99339749450769</v>
      </c>
      <c r="U252" s="471">
        <v>75.576032995673771</v>
      </c>
      <c r="V252" s="471">
        <v>0</v>
      </c>
      <c r="W252" s="471">
        <v>0</v>
      </c>
      <c r="X252" s="471">
        <v>30.028084905287486</v>
      </c>
      <c r="Y252" s="471">
        <v>0</v>
      </c>
      <c r="Z252" s="471">
        <v>1675.1139946708024</v>
      </c>
      <c r="AA252" s="471">
        <v>791.43852443740548</v>
      </c>
      <c r="AB252" s="471">
        <v>456.42826035627627</v>
      </c>
      <c r="AC252" s="471">
        <v>20.589277694911353</v>
      </c>
      <c r="AD252" s="471">
        <v>2.5346648677447683</v>
      </c>
      <c r="AE252" s="471">
        <v>140.38143882894101</v>
      </c>
      <c r="AF252" s="471">
        <v>0</v>
      </c>
      <c r="AG252" s="471">
        <v>207.71368734682929</v>
      </c>
      <c r="AH252" s="685">
        <f t="shared" si="18"/>
        <v>6923.7895782276428</v>
      </c>
      <c r="AI252" s="472">
        <f t="shared" si="19"/>
        <v>7131.5032655744717</v>
      </c>
      <c r="AJ252" s="472"/>
      <c r="AK252" s="472"/>
      <c r="AL252" s="570">
        <v>65.69</v>
      </c>
      <c r="AM252" s="570">
        <v>1616.7017583750953</v>
      </c>
      <c r="AN252" s="566">
        <v>0</v>
      </c>
      <c r="AO252" s="566">
        <f t="shared" si="20"/>
        <v>1682.3917583750954</v>
      </c>
    </row>
    <row r="253" spans="1:41" x14ac:dyDescent="0.3">
      <c r="A253" s="466">
        <v>150000886</v>
      </c>
      <c r="B253" s="467" t="s">
        <v>396</v>
      </c>
      <c r="C253" s="468">
        <v>2133.27</v>
      </c>
      <c r="D253" s="469"/>
      <c r="E253" s="470"/>
      <c r="F253" s="470">
        <v>2133.27</v>
      </c>
      <c r="G253" s="471">
        <v>570.71239253270585</v>
      </c>
      <c r="H253" s="471">
        <v>82.925210544422796</v>
      </c>
      <c r="I253" s="471">
        <v>240.54</v>
      </c>
      <c r="J253" s="471">
        <v>60.88</v>
      </c>
      <c r="K253" s="471">
        <v>32.51454535665566</v>
      </c>
      <c r="L253" s="471">
        <v>335.57692542577161</v>
      </c>
      <c r="M253" s="572">
        <f t="shared" si="16"/>
        <v>0</v>
      </c>
      <c r="N253" s="471">
        <v>760.12526123651242</v>
      </c>
      <c r="O253" s="471">
        <v>2400.3777659824486</v>
      </c>
      <c r="P253" s="471">
        <v>0</v>
      </c>
      <c r="Q253" s="471">
        <v>189.40352857872995</v>
      </c>
      <c r="R253" s="572">
        <f t="shared" si="17"/>
        <v>2626.3864616412138</v>
      </c>
      <c r="S253" s="471">
        <v>36.072648069418491</v>
      </c>
      <c r="T253" s="471">
        <v>42.436405016988978</v>
      </c>
      <c r="U253" s="471">
        <v>54.747208318252781</v>
      </c>
      <c r="V253" s="471">
        <v>28.843064391211907</v>
      </c>
      <c r="W253" s="471">
        <v>13.192247063076561</v>
      </c>
      <c r="X253" s="471">
        <v>26.553615694113113</v>
      </c>
      <c r="Y253" s="471">
        <v>0</v>
      </c>
      <c r="Z253" s="471">
        <v>3522.5461503691618</v>
      </c>
      <c r="AA253" s="471">
        <v>1608.9016545506465</v>
      </c>
      <c r="AB253" s="471">
        <v>443.61673784016193</v>
      </c>
      <c r="AC253" s="471">
        <v>12.255522437447233</v>
      </c>
      <c r="AD253" s="471">
        <v>1.5087290879433146</v>
      </c>
      <c r="AE253" s="471">
        <v>793.93502626589975</v>
      </c>
      <c r="AF253" s="471">
        <v>165.3381390651972</v>
      </c>
      <c r="AG253" s="471">
        <v>252.88900631042361</v>
      </c>
      <c r="AH253" s="685">
        <f t="shared" si="18"/>
        <v>14049.389239467982</v>
      </c>
      <c r="AI253" s="472">
        <f t="shared" si="19"/>
        <v>14302.278245778405</v>
      </c>
      <c r="AJ253" s="472"/>
      <c r="AK253" s="472"/>
      <c r="AL253" s="570">
        <v>25</v>
      </c>
      <c r="AM253" s="570">
        <v>2601.3864616412138</v>
      </c>
      <c r="AN253" s="566">
        <v>0</v>
      </c>
      <c r="AO253" s="566">
        <f t="shared" si="20"/>
        <v>2626.3864616412138</v>
      </c>
    </row>
    <row r="254" spans="1:41" x14ac:dyDescent="0.3">
      <c r="A254" s="466">
        <v>150000887</v>
      </c>
      <c r="B254" s="467" t="s">
        <v>397</v>
      </c>
      <c r="C254" s="468">
        <v>6420.63</v>
      </c>
      <c r="D254" s="469">
        <v>653.79999999999995</v>
      </c>
      <c r="E254" s="470"/>
      <c r="F254" s="470">
        <v>6420.63</v>
      </c>
      <c r="G254" s="471">
        <v>1945.8379566344115</v>
      </c>
      <c r="H254" s="471">
        <v>300.08858983044786</v>
      </c>
      <c r="I254" s="471">
        <v>796.01</v>
      </c>
      <c r="J254" s="471">
        <v>168.89</v>
      </c>
      <c r="K254" s="471">
        <v>97.519365684823939</v>
      </c>
      <c r="L254" s="471">
        <v>862.71393119148013</v>
      </c>
      <c r="M254" s="572">
        <f t="shared" si="16"/>
        <v>0</v>
      </c>
      <c r="N254" s="471">
        <v>2287.7943514196463</v>
      </c>
      <c r="O254" s="471">
        <v>7201.1332979473464</v>
      </c>
      <c r="P254" s="471">
        <v>0</v>
      </c>
      <c r="Q254" s="471">
        <v>426.15793930214238</v>
      </c>
      <c r="R254" s="572">
        <f t="shared" si="17"/>
        <v>7923.7643337093605</v>
      </c>
      <c r="S254" s="471">
        <v>60.790037001279984</v>
      </c>
      <c r="T254" s="471">
        <v>79.650524317350431</v>
      </c>
      <c r="U254" s="471">
        <v>77.90235625479994</v>
      </c>
      <c r="V254" s="471">
        <v>32.917720568347377</v>
      </c>
      <c r="W254" s="471">
        <v>19.788362425549849</v>
      </c>
      <c r="X254" s="471">
        <v>46.321761609865284</v>
      </c>
      <c r="Y254" s="471">
        <v>0</v>
      </c>
      <c r="Z254" s="471">
        <v>5568.04371112836</v>
      </c>
      <c r="AA254" s="471">
        <v>4349.921493835529</v>
      </c>
      <c r="AB254" s="471">
        <v>1328.6862294334605</v>
      </c>
      <c r="AC254" s="471">
        <v>86.033767510879571</v>
      </c>
      <c r="AD254" s="471">
        <v>10.591278197362069</v>
      </c>
      <c r="AE254" s="471">
        <v>881.28347709279637</v>
      </c>
      <c r="AF254" s="471">
        <v>1235.3566616946807</v>
      </c>
      <c r="AG254" s="471">
        <v>1073.6159144036976</v>
      </c>
      <c r="AH254" s="685">
        <f t="shared" si="18"/>
        <v>35787.197146789913</v>
      </c>
      <c r="AI254" s="472">
        <f t="shared" si="19"/>
        <v>36860.813061193614</v>
      </c>
      <c r="AJ254" s="472"/>
      <c r="AK254" s="472"/>
      <c r="AL254" s="570">
        <v>100.13</v>
      </c>
      <c r="AM254" s="570">
        <v>7823.6343337093604</v>
      </c>
      <c r="AN254" s="566">
        <v>0</v>
      </c>
      <c r="AO254" s="566">
        <f t="shared" si="20"/>
        <v>7923.7643337093605</v>
      </c>
    </row>
    <row r="255" spans="1:41" x14ac:dyDescent="0.3">
      <c r="A255" s="466">
        <v>150000888</v>
      </c>
      <c r="B255" s="467" t="s">
        <v>313</v>
      </c>
      <c r="C255" s="468">
        <v>2586.9899999999998</v>
      </c>
      <c r="D255" s="469"/>
      <c r="E255" s="470">
        <v>787.57</v>
      </c>
      <c r="F255" s="470">
        <v>3374.56</v>
      </c>
      <c r="G255" s="471">
        <v>927.85472458529352</v>
      </c>
      <c r="H255" s="471">
        <v>190.26127237381124</v>
      </c>
      <c r="I255" s="471">
        <v>382.56</v>
      </c>
      <c r="J255" s="471">
        <v>0</v>
      </c>
      <c r="K255" s="471">
        <v>0</v>
      </c>
      <c r="L255" s="471">
        <v>632.29679228904968</v>
      </c>
      <c r="M255" s="572">
        <f t="shared" si="16"/>
        <v>0</v>
      </c>
      <c r="N255" s="471">
        <v>1202.4208382240811</v>
      </c>
      <c r="O255" s="471">
        <v>0</v>
      </c>
      <c r="P255" s="471">
        <v>0</v>
      </c>
      <c r="Q255" s="471">
        <v>757.61411431491979</v>
      </c>
      <c r="R255" s="572">
        <f t="shared" si="17"/>
        <v>2706.0569158194303</v>
      </c>
      <c r="S255" s="471">
        <v>154.31613824469676</v>
      </c>
      <c r="T255" s="471">
        <v>245.21278357122625</v>
      </c>
      <c r="U255" s="471">
        <v>196.12299768171044</v>
      </c>
      <c r="V255" s="471">
        <v>0</v>
      </c>
      <c r="W255" s="471">
        <v>0</v>
      </c>
      <c r="X255" s="471">
        <v>87.209303419794793</v>
      </c>
      <c r="Y255" s="471">
        <v>0</v>
      </c>
      <c r="Z255" s="471">
        <v>2864.9704701424771</v>
      </c>
      <c r="AA255" s="471">
        <v>1976.2393777982434</v>
      </c>
      <c r="AB255" s="471">
        <v>1184.8071055013324</v>
      </c>
      <c r="AC255" s="471">
        <v>65.199379367219279</v>
      </c>
      <c r="AD255" s="471">
        <v>8.0264387478584336</v>
      </c>
      <c r="AE255" s="471">
        <v>550.60719896240198</v>
      </c>
      <c r="AF255" s="471">
        <v>0</v>
      </c>
      <c r="AG255" s="471">
        <v>339.16262042504508</v>
      </c>
      <c r="AH255" s="685">
        <f t="shared" si="18"/>
        <v>14131.775851043545</v>
      </c>
      <c r="AI255" s="472">
        <f t="shared" si="19"/>
        <v>14470.938471468589</v>
      </c>
      <c r="AJ255" s="472"/>
      <c r="AK255" s="472"/>
      <c r="AL255" s="570">
        <v>99.5</v>
      </c>
      <c r="AM255" s="570">
        <v>2606.5569158194303</v>
      </c>
      <c r="AN255" s="566">
        <v>0</v>
      </c>
      <c r="AO255" s="566">
        <f t="shared" si="20"/>
        <v>2706.0569158194303</v>
      </c>
    </row>
    <row r="256" spans="1:41" x14ac:dyDescent="0.3">
      <c r="A256" s="466">
        <v>150000889</v>
      </c>
      <c r="B256" s="467" t="s">
        <v>427</v>
      </c>
      <c r="C256" s="468">
        <v>4414.38</v>
      </c>
      <c r="D256" s="469"/>
      <c r="E256" s="470">
        <v>841.8</v>
      </c>
      <c r="F256" s="470">
        <v>5256.18</v>
      </c>
      <c r="G256" s="471">
        <v>1844.7346786985072</v>
      </c>
      <c r="H256" s="471">
        <v>293.75139741048355</v>
      </c>
      <c r="I256" s="471">
        <v>568.88</v>
      </c>
      <c r="J256" s="471">
        <v>131.99</v>
      </c>
      <c r="K256" s="471">
        <v>73.878990818245256</v>
      </c>
      <c r="L256" s="471">
        <v>557.35501577370985</v>
      </c>
      <c r="M256" s="572">
        <f t="shared" si="16"/>
        <v>0</v>
      </c>
      <c r="N256" s="471">
        <v>1872.878349016361</v>
      </c>
      <c r="O256" s="471">
        <v>3909.18855740868</v>
      </c>
      <c r="P256" s="471">
        <v>0</v>
      </c>
      <c r="Q256" s="471">
        <v>355.13161608511865</v>
      </c>
      <c r="R256" s="572">
        <f t="shared" si="17"/>
        <v>6386.68212339194</v>
      </c>
      <c r="S256" s="471">
        <v>149.70157031962316</v>
      </c>
      <c r="T256" s="471">
        <v>191.11143788632458</v>
      </c>
      <c r="U256" s="471">
        <v>196.58645434204672</v>
      </c>
      <c r="V256" s="471">
        <v>75.628577162468176</v>
      </c>
      <c r="W256" s="471">
        <v>37.471346132036459</v>
      </c>
      <c r="X256" s="471">
        <v>161.03715249192527</v>
      </c>
      <c r="Y256" s="471">
        <v>0</v>
      </c>
      <c r="Z256" s="471">
        <v>4337.5046911035188</v>
      </c>
      <c r="AA256" s="471">
        <v>5237.8807252015704</v>
      </c>
      <c r="AB256" s="471">
        <v>439.28876966611165</v>
      </c>
      <c r="AC256" s="471">
        <v>67.650483854708725</v>
      </c>
      <c r="AD256" s="471">
        <v>8.3281845654470974</v>
      </c>
      <c r="AE256" s="471">
        <v>1258.7535681661709</v>
      </c>
      <c r="AF256" s="471">
        <v>2960.4885655258895</v>
      </c>
      <c r="AG256" s="471">
        <v>933.47706765062674</v>
      </c>
      <c r="AH256" s="685">
        <f t="shared" si="18"/>
        <v>31115.902255020883</v>
      </c>
      <c r="AI256" s="472">
        <f t="shared" si="19"/>
        <v>32049.37932267151</v>
      </c>
      <c r="AJ256" s="472" t="s">
        <v>1590</v>
      </c>
      <c r="AL256" s="570">
        <v>0</v>
      </c>
      <c r="AM256" s="570">
        <v>6386.68212339194</v>
      </c>
      <c r="AN256" s="566">
        <v>0</v>
      </c>
      <c r="AO256" s="566">
        <f t="shared" si="20"/>
        <v>6386.68212339194</v>
      </c>
    </row>
    <row r="257" spans="1:41" x14ac:dyDescent="0.3">
      <c r="A257" s="466">
        <v>150000890</v>
      </c>
      <c r="B257" s="467" t="s">
        <v>398</v>
      </c>
      <c r="C257" s="468">
        <v>8324.4</v>
      </c>
      <c r="D257" s="469">
        <v>801.12</v>
      </c>
      <c r="E257" s="470">
        <v>125.3</v>
      </c>
      <c r="F257" s="470">
        <v>8449.6999999999989</v>
      </c>
      <c r="G257" s="471">
        <v>1724.887795192356</v>
      </c>
      <c r="H257" s="471">
        <v>340.01005433086141</v>
      </c>
      <c r="I257" s="471">
        <v>1044.78</v>
      </c>
      <c r="J257" s="471">
        <v>246.15</v>
      </c>
      <c r="K257" s="471">
        <v>130.03387019615465</v>
      </c>
      <c r="L257" s="471">
        <v>1226.5963937672489</v>
      </c>
      <c r="M257" s="572">
        <f t="shared" si="16"/>
        <v>0</v>
      </c>
      <c r="N257" s="471">
        <v>3010.7911421761701</v>
      </c>
      <c r="O257" s="471">
        <v>5943.7946855534992</v>
      </c>
      <c r="P257" s="471">
        <v>0</v>
      </c>
      <c r="Q257" s="471">
        <v>560.31877204540945</v>
      </c>
      <c r="R257" s="572">
        <f t="shared" si="17"/>
        <v>9628.0824221150524</v>
      </c>
      <c r="S257" s="471">
        <v>142.97923610682477</v>
      </c>
      <c r="T257" s="471">
        <v>226.76299707256464</v>
      </c>
      <c r="U257" s="471">
        <v>254.45770931106847</v>
      </c>
      <c r="V257" s="471">
        <v>134.60538654216461</v>
      </c>
      <c r="W257" s="471">
        <v>65.961214892720321</v>
      </c>
      <c r="X257" s="471">
        <v>183.62367340343164</v>
      </c>
      <c r="Y257" s="471">
        <v>0</v>
      </c>
      <c r="Z257" s="471">
        <v>11768.310870741827</v>
      </c>
      <c r="AA257" s="471">
        <v>6627.6687132236766</v>
      </c>
      <c r="AB257" s="471">
        <v>1029.623628606581</v>
      </c>
      <c r="AC257" s="471">
        <v>150.00759463435415</v>
      </c>
      <c r="AD257" s="471">
        <v>18.466844036426171</v>
      </c>
      <c r="AE257" s="471">
        <v>1057.5401725113554</v>
      </c>
      <c r="AF257" s="471">
        <v>1353.9009878168977</v>
      </c>
      <c r="AG257" s="471">
        <v>1406.0806249282996</v>
      </c>
      <c r="AH257" s="685">
        <f t="shared" si="18"/>
        <v>46869.354164276643</v>
      </c>
      <c r="AI257" s="472">
        <f t="shared" si="19"/>
        <v>48275.434789204941</v>
      </c>
      <c r="AJ257" s="472"/>
      <c r="AK257" s="472"/>
      <c r="AL257" s="570">
        <v>133.34</v>
      </c>
      <c r="AM257" s="570">
        <v>9494.7424221150522</v>
      </c>
      <c r="AN257" s="566">
        <v>0</v>
      </c>
      <c r="AO257" s="566">
        <f t="shared" si="20"/>
        <v>9628.0824221150524</v>
      </c>
    </row>
    <row r="258" spans="1:41" x14ac:dyDescent="0.3">
      <c r="A258" s="466">
        <v>150000891</v>
      </c>
      <c r="B258" s="467" t="s">
        <v>189</v>
      </c>
      <c r="C258" s="468">
        <v>232.46</v>
      </c>
      <c r="D258" s="469"/>
      <c r="E258" s="470">
        <v>61.8</v>
      </c>
      <c r="F258" s="470">
        <v>294.26</v>
      </c>
      <c r="G258" s="471">
        <v>79.155413399561965</v>
      </c>
      <c r="H258" s="471">
        <v>25.520908868730579</v>
      </c>
      <c r="I258" s="471">
        <v>0</v>
      </c>
      <c r="J258" s="471">
        <v>0</v>
      </c>
      <c r="K258" s="471">
        <v>0</v>
      </c>
      <c r="L258" s="471">
        <v>2.421008240106258</v>
      </c>
      <c r="M258" s="572">
        <f t="shared" si="16"/>
        <v>0</v>
      </c>
      <c r="N258" s="471">
        <v>104.85051558005135</v>
      </c>
      <c r="O258" s="471">
        <v>0</v>
      </c>
      <c r="P258" s="471">
        <v>0</v>
      </c>
      <c r="Q258" s="471">
        <v>47.350882144682487</v>
      </c>
      <c r="R258" s="572">
        <f t="shared" si="17"/>
        <v>173.36225356303041</v>
      </c>
      <c r="S258" s="471">
        <v>17.792694697839849</v>
      </c>
      <c r="T258" s="471">
        <v>32.887636591021803</v>
      </c>
      <c r="U258" s="471">
        <v>0</v>
      </c>
      <c r="V258" s="471">
        <v>0</v>
      </c>
      <c r="W258" s="471">
        <v>0</v>
      </c>
      <c r="X258" s="471">
        <v>0</v>
      </c>
      <c r="Y258" s="471">
        <v>0</v>
      </c>
      <c r="Z258" s="471">
        <v>169.0612674693792</v>
      </c>
      <c r="AA258" s="471">
        <v>7.2153672669958748</v>
      </c>
      <c r="AB258" s="471">
        <v>135.41745174231008</v>
      </c>
      <c r="AC258" s="471">
        <v>0</v>
      </c>
      <c r="AD258" s="471">
        <v>0</v>
      </c>
      <c r="AE258" s="471">
        <v>0</v>
      </c>
      <c r="AF258" s="471">
        <v>0</v>
      </c>
      <c r="AG258" s="471">
        <v>14.310637192146775</v>
      </c>
      <c r="AH258" s="685">
        <f t="shared" si="18"/>
        <v>795.0353995637098</v>
      </c>
      <c r="AI258" s="472">
        <f t="shared" si="19"/>
        <v>809.34603675585663</v>
      </c>
      <c r="AJ258" s="472"/>
      <c r="AK258" s="472"/>
      <c r="AL258" s="570">
        <v>113.03399999999999</v>
      </c>
      <c r="AM258" s="570">
        <v>60.328253563030422</v>
      </c>
      <c r="AN258" s="566">
        <v>0</v>
      </c>
      <c r="AO258" s="566">
        <f t="shared" si="20"/>
        <v>173.36225356303041</v>
      </c>
    </row>
    <row r="259" spans="1:41" x14ac:dyDescent="0.3">
      <c r="A259" s="466">
        <v>150000892</v>
      </c>
      <c r="B259" s="467" t="s">
        <v>400</v>
      </c>
      <c r="C259" s="468">
        <v>4153.8999999999996</v>
      </c>
      <c r="D259" s="469">
        <v>391.15</v>
      </c>
      <c r="E259" s="470"/>
      <c r="F259" s="470">
        <v>4153.8999999999996</v>
      </c>
      <c r="G259" s="471">
        <v>1390.7382519370267</v>
      </c>
      <c r="H259" s="471">
        <v>226.92790768850614</v>
      </c>
      <c r="I259" s="471">
        <v>449.56</v>
      </c>
      <c r="J259" s="471">
        <v>111.24</v>
      </c>
      <c r="K259" s="471">
        <v>65.004820328168279</v>
      </c>
      <c r="L259" s="471">
        <v>487.38655709215146</v>
      </c>
      <c r="M259" s="572">
        <f t="shared" si="16"/>
        <v>0</v>
      </c>
      <c r="N259" s="471">
        <v>1480.1147171480163</v>
      </c>
      <c r="O259" s="471">
        <v>4800.7555319648973</v>
      </c>
      <c r="P259" s="471">
        <v>0</v>
      </c>
      <c r="Q259" s="471">
        <v>280.15938602270472</v>
      </c>
      <c r="R259" s="572">
        <f t="shared" si="17"/>
        <v>5357.1761569199534</v>
      </c>
      <c r="S259" s="471">
        <v>112.25788837353507</v>
      </c>
      <c r="T259" s="471">
        <v>150.06385378591031</v>
      </c>
      <c r="U259" s="471">
        <v>188.13846267120391</v>
      </c>
      <c r="V259" s="471">
        <v>62.566171058961658</v>
      </c>
      <c r="W259" s="471">
        <v>32.980617657691397</v>
      </c>
      <c r="X259" s="471">
        <v>62.914727752333334</v>
      </c>
      <c r="Y259" s="471">
        <v>0</v>
      </c>
      <c r="Z259" s="471">
        <v>4919.7803030086925</v>
      </c>
      <c r="AA259" s="471">
        <v>3309.6326632514147</v>
      </c>
      <c r="AB259" s="471">
        <v>431.84564670131198</v>
      </c>
      <c r="AC259" s="471">
        <v>119.05749827082489</v>
      </c>
      <c r="AD259" s="471">
        <v>14.656699597734127</v>
      </c>
      <c r="AE259" s="471">
        <v>907.79997109381861</v>
      </c>
      <c r="AF259" s="471">
        <v>589.60204308155221</v>
      </c>
      <c r="AG259" s="471">
        <v>306.60431850487686</v>
      </c>
      <c r="AH259" s="685">
        <f t="shared" si="18"/>
        <v>25550.359875406408</v>
      </c>
      <c r="AI259" s="472">
        <f t="shared" si="19"/>
        <v>25856.964193911284</v>
      </c>
      <c r="AJ259" s="472"/>
      <c r="AK259" s="472"/>
      <c r="AL259" s="570">
        <v>66.94</v>
      </c>
      <c r="AM259" s="570">
        <v>5290.2361569199538</v>
      </c>
      <c r="AN259" s="566">
        <v>0</v>
      </c>
      <c r="AO259" s="566">
        <f t="shared" si="20"/>
        <v>5357.1761569199534</v>
      </c>
    </row>
    <row r="260" spans="1:41" x14ac:dyDescent="0.3">
      <c r="A260" s="466">
        <v>150000893</v>
      </c>
      <c r="B260" s="467" t="s">
        <v>314</v>
      </c>
      <c r="C260" s="468">
        <v>2749.1</v>
      </c>
      <c r="D260" s="469"/>
      <c r="E260" s="470"/>
      <c r="F260" s="470">
        <v>2749.1</v>
      </c>
      <c r="G260" s="471">
        <v>880.02277221713848</v>
      </c>
      <c r="H260" s="471">
        <v>166.21966422225984</v>
      </c>
      <c r="I260" s="471">
        <v>332.47</v>
      </c>
      <c r="J260" s="471">
        <v>0</v>
      </c>
      <c r="K260" s="471">
        <v>59.112908977718426</v>
      </c>
      <c r="L260" s="471">
        <v>593.10074514503549</v>
      </c>
      <c r="M260" s="572">
        <f t="shared" si="16"/>
        <v>0</v>
      </c>
      <c r="N260" s="471">
        <v>979.55737232759861</v>
      </c>
      <c r="O260" s="471">
        <v>0</v>
      </c>
      <c r="P260" s="471">
        <v>0</v>
      </c>
      <c r="Q260" s="471">
        <v>426.15793930214238</v>
      </c>
      <c r="R260" s="572">
        <f t="shared" si="17"/>
        <v>4444.1435955090274</v>
      </c>
      <c r="S260" s="471">
        <v>146.87660318669305</v>
      </c>
      <c r="T260" s="471">
        <v>214.22856880012804</v>
      </c>
      <c r="U260" s="471">
        <v>135.22197275260763</v>
      </c>
      <c r="V260" s="471">
        <v>0</v>
      </c>
      <c r="W260" s="471">
        <v>59.973570119372766</v>
      </c>
      <c r="X260" s="471">
        <v>91.376169094201273</v>
      </c>
      <c r="Y260" s="471">
        <v>0</v>
      </c>
      <c r="Z260" s="471">
        <v>2573.2171866343115</v>
      </c>
      <c r="AA260" s="471">
        <v>1491.3258944823979</v>
      </c>
      <c r="AB260" s="471">
        <v>370.84982113683986</v>
      </c>
      <c r="AC260" s="471">
        <v>145.49756237737355</v>
      </c>
      <c r="AD260" s="471">
        <v>17.911631732063032</v>
      </c>
      <c r="AE260" s="471">
        <v>324.43710307133028</v>
      </c>
      <c r="AF260" s="471">
        <v>0</v>
      </c>
      <c r="AG260" s="471">
        <v>807.10206486529432</v>
      </c>
      <c r="AH260" s="685">
        <f t="shared" si="18"/>
        <v>13451.701081088238</v>
      </c>
      <c r="AI260" s="472">
        <f t="shared" si="19"/>
        <v>14258.803145953532</v>
      </c>
      <c r="AJ260" s="472"/>
      <c r="AK260" s="472"/>
      <c r="AL260" s="570">
        <v>75.650000000000006</v>
      </c>
      <c r="AM260" s="570">
        <v>4368.4935955090277</v>
      </c>
      <c r="AN260" s="566">
        <v>0</v>
      </c>
      <c r="AO260" s="566">
        <f t="shared" si="20"/>
        <v>4444.1435955090274</v>
      </c>
    </row>
    <row r="261" spans="1:41" x14ac:dyDescent="0.3">
      <c r="A261" s="466">
        <v>150000894</v>
      </c>
      <c r="B261" s="467" t="s">
        <v>315</v>
      </c>
      <c r="C261" s="468">
        <v>3582</v>
      </c>
      <c r="D261" s="469"/>
      <c r="E261" s="470">
        <v>646.09</v>
      </c>
      <c r="F261" s="470">
        <v>4228.09</v>
      </c>
      <c r="G261" s="471">
        <v>1226.7435915834458</v>
      </c>
      <c r="H261" s="471">
        <v>283.49308801352703</v>
      </c>
      <c r="I261" s="471">
        <v>468.55</v>
      </c>
      <c r="J261" s="471">
        <v>0</v>
      </c>
      <c r="K261" s="471">
        <v>88.645113504097054</v>
      </c>
      <c r="L261" s="471">
        <v>1088.3083729448406</v>
      </c>
      <c r="M261" s="572">
        <f t="shared" si="16"/>
        <v>0</v>
      </c>
      <c r="N261" s="471">
        <v>1506.5500456020504</v>
      </c>
      <c r="O261" s="471">
        <v>0</v>
      </c>
      <c r="P261" s="471">
        <v>0</v>
      </c>
      <c r="Q261" s="471">
        <v>710.2632321702373</v>
      </c>
      <c r="R261" s="572">
        <f t="shared" si="17"/>
        <v>4731.8042730377583</v>
      </c>
      <c r="S261" s="471">
        <v>217.08367405564661</v>
      </c>
      <c r="T261" s="471">
        <v>365.36702855559076</v>
      </c>
      <c r="U261" s="471">
        <v>178.67231461196195</v>
      </c>
      <c r="V261" s="471">
        <v>0</v>
      </c>
      <c r="W261" s="471">
        <v>89.936084793916109</v>
      </c>
      <c r="X261" s="471">
        <v>163.44044104798181</v>
      </c>
      <c r="Y261" s="471">
        <v>0</v>
      </c>
      <c r="Z261" s="471">
        <v>3167.6927087958602</v>
      </c>
      <c r="AA261" s="471">
        <v>2276.3391044653513</v>
      </c>
      <c r="AB261" s="471">
        <v>419.70790939814276</v>
      </c>
      <c r="AC261" s="471">
        <v>200.47338492727434</v>
      </c>
      <c r="AD261" s="471">
        <v>24.679488674759153</v>
      </c>
      <c r="AE261" s="471">
        <v>867.24533320990236</v>
      </c>
      <c r="AF261" s="471">
        <v>0</v>
      </c>
      <c r="AG261" s="471">
        <v>1084.4997113635407</v>
      </c>
      <c r="AH261" s="685">
        <f t="shared" si="18"/>
        <v>18074.995189392343</v>
      </c>
      <c r="AI261" s="472">
        <f t="shared" si="19"/>
        <v>19159.494900755883</v>
      </c>
      <c r="AJ261" s="472"/>
      <c r="AK261" s="472"/>
      <c r="AL261" s="570">
        <v>113.9</v>
      </c>
      <c r="AM261" s="570">
        <v>4617.9042730377587</v>
      </c>
      <c r="AN261" s="566">
        <v>0</v>
      </c>
      <c r="AO261" s="566">
        <f t="shared" si="20"/>
        <v>4731.8042730377583</v>
      </c>
    </row>
    <row r="262" spans="1:41" x14ac:dyDescent="0.3">
      <c r="A262" s="466">
        <v>150000895</v>
      </c>
      <c r="B262" s="467" t="s">
        <v>316</v>
      </c>
      <c r="C262" s="468">
        <v>2741.4</v>
      </c>
      <c r="D262" s="469"/>
      <c r="E262" s="470"/>
      <c r="F262" s="470">
        <v>2741.4</v>
      </c>
      <c r="G262" s="471">
        <v>872.19696699687267</v>
      </c>
      <c r="H262" s="471">
        <v>164.41966114195253</v>
      </c>
      <c r="I262" s="471">
        <v>330.42</v>
      </c>
      <c r="J262" s="471">
        <v>0</v>
      </c>
      <c r="K262" s="471">
        <v>0</v>
      </c>
      <c r="L262" s="471">
        <v>573.09077223254906</v>
      </c>
      <c r="M262" s="572">
        <f t="shared" ref="M262:M325" si="21">AN262</f>
        <v>0</v>
      </c>
      <c r="N262" s="471">
        <v>976.81371376045945</v>
      </c>
      <c r="O262" s="471">
        <v>0</v>
      </c>
      <c r="P262" s="471">
        <v>0</v>
      </c>
      <c r="Q262" s="471">
        <v>355.13161608511865</v>
      </c>
      <c r="R262" s="572">
        <f t="shared" ref="R262:R325" si="22">AO262</f>
        <v>3736.9003615899742</v>
      </c>
      <c r="S262" s="471">
        <v>145.18133440108824</v>
      </c>
      <c r="T262" s="471">
        <v>211.90753054225883</v>
      </c>
      <c r="U262" s="471">
        <v>130.86555441877127</v>
      </c>
      <c r="V262" s="471">
        <v>0</v>
      </c>
      <c r="W262" s="471">
        <v>0</v>
      </c>
      <c r="X262" s="471">
        <v>89.038822321432818</v>
      </c>
      <c r="Y262" s="471">
        <v>0</v>
      </c>
      <c r="Z262" s="471">
        <v>2302.7230488246341</v>
      </c>
      <c r="AA262" s="471">
        <v>1494.4592358158493</v>
      </c>
      <c r="AB262" s="471">
        <v>361.0108249632849</v>
      </c>
      <c r="AC262" s="471">
        <v>145.00243927090068</v>
      </c>
      <c r="AD262" s="471">
        <v>17.850679076910122</v>
      </c>
      <c r="AE262" s="471">
        <v>753.38038838198338</v>
      </c>
      <c r="AF262" s="471">
        <v>0</v>
      </c>
      <c r="AG262" s="471">
        <v>759.62357698944243</v>
      </c>
      <c r="AH262" s="685">
        <f t="shared" ref="AH262:AH325" si="23">SUM(G262:AG262)-AG262</f>
        <v>12660.39294982404</v>
      </c>
      <c r="AI262" s="472">
        <f t="shared" ref="AI262:AI325" si="24">G262+H262+I262+J262+K262+L262+M262+N262+O262+P262+Q262+R262+S262+T262+U262+V262+W262+X262+Y262+Z262+AA262+AB262+AC262+AD262+AE262+AF262+AG262</f>
        <v>13420.016526813482</v>
      </c>
      <c r="AJ262" s="472"/>
      <c r="AK262" s="472"/>
      <c r="AL262" s="570">
        <v>96.3</v>
      </c>
      <c r="AM262" s="570">
        <v>3640.600361589974</v>
      </c>
      <c r="AN262" s="566">
        <v>0</v>
      </c>
      <c r="AO262" s="566">
        <f t="shared" ref="AO262:AO325" si="25">AL262+AM262</f>
        <v>3736.9003615899742</v>
      </c>
    </row>
    <row r="263" spans="1:41" x14ac:dyDescent="0.3">
      <c r="A263" s="466">
        <v>150000896</v>
      </c>
      <c r="B263" s="467" t="s">
        <v>317</v>
      </c>
      <c r="C263" s="468">
        <v>2712.05</v>
      </c>
      <c r="D263" s="469"/>
      <c r="E263" s="470"/>
      <c r="F263" s="470">
        <v>2712.05</v>
      </c>
      <c r="G263" s="471">
        <v>883.50280728387486</v>
      </c>
      <c r="H263" s="471">
        <v>166.21966422225984</v>
      </c>
      <c r="I263" s="471">
        <v>339.47</v>
      </c>
      <c r="J263" s="471">
        <v>0</v>
      </c>
      <c r="K263" s="471">
        <v>0</v>
      </c>
      <c r="L263" s="471">
        <v>589.89321263523129</v>
      </c>
      <c r="M263" s="572">
        <f t="shared" si="21"/>
        <v>0</v>
      </c>
      <c r="N263" s="471">
        <v>966.35574246883129</v>
      </c>
      <c r="O263" s="471">
        <v>0</v>
      </c>
      <c r="P263" s="471">
        <v>0</v>
      </c>
      <c r="Q263" s="471">
        <v>355.13161608511865</v>
      </c>
      <c r="R263" s="572">
        <f t="shared" si="22"/>
        <v>3716.3759763889834</v>
      </c>
      <c r="S263" s="471">
        <v>147.71363374227175</v>
      </c>
      <c r="T263" s="471">
        <v>214.22856880012804</v>
      </c>
      <c r="U263" s="471">
        <v>154.28806345941237</v>
      </c>
      <c r="V263" s="471">
        <v>0</v>
      </c>
      <c r="W263" s="471">
        <v>0</v>
      </c>
      <c r="X263" s="471">
        <v>107.80290851904593</v>
      </c>
      <c r="Y263" s="471">
        <v>0</v>
      </c>
      <c r="Z263" s="471">
        <v>2598.2096892391883</v>
      </c>
      <c r="AA263" s="471">
        <v>1508.657745020085</v>
      </c>
      <c r="AB263" s="471">
        <v>421.66975792128426</v>
      </c>
      <c r="AC263" s="471">
        <v>145.09313013693779</v>
      </c>
      <c r="AD263" s="471">
        <v>17.861843672160905</v>
      </c>
      <c r="AE263" s="471">
        <v>1188.5628487517004</v>
      </c>
      <c r="AF263" s="471">
        <v>0</v>
      </c>
      <c r="AG263" s="471">
        <v>811.26223250079101</v>
      </c>
      <c r="AH263" s="685">
        <f t="shared" si="23"/>
        <v>13521.037208346515</v>
      </c>
      <c r="AI263" s="472">
        <f t="shared" si="24"/>
        <v>14332.299440847306</v>
      </c>
      <c r="AJ263" s="472"/>
      <c r="AK263" s="472"/>
      <c r="AL263" s="570">
        <v>65.7</v>
      </c>
      <c r="AM263" s="570">
        <v>3650.6759763889836</v>
      </c>
      <c r="AN263" s="566">
        <v>0</v>
      </c>
      <c r="AO263" s="566">
        <f t="shared" si="25"/>
        <v>3716.3759763889834</v>
      </c>
    </row>
    <row r="264" spans="1:41" x14ac:dyDescent="0.3">
      <c r="A264" s="466">
        <v>150000898</v>
      </c>
      <c r="B264" s="467" t="s">
        <v>190</v>
      </c>
      <c r="C264" s="468">
        <v>472.1</v>
      </c>
      <c r="D264" s="469"/>
      <c r="E264" s="470"/>
      <c r="F264" s="470">
        <v>472.1</v>
      </c>
      <c r="G264" s="471">
        <v>161.6994955715686</v>
      </c>
      <c r="H264" s="471">
        <v>36.740508448572683</v>
      </c>
      <c r="I264" s="471">
        <v>53.61</v>
      </c>
      <c r="J264" s="471">
        <v>0</v>
      </c>
      <c r="K264" s="471">
        <v>0</v>
      </c>
      <c r="L264" s="471">
        <v>61.680549980299915</v>
      </c>
      <c r="M264" s="572">
        <f t="shared" si="21"/>
        <v>0</v>
      </c>
      <c r="N264" s="471">
        <v>168.218338902135</v>
      </c>
      <c r="O264" s="471">
        <v>0</v>
      </c>
      <c r="P264" s="471">
        <v>0</v>
      </c>
      <c r="Q264" s="471">
        <v>126.26901905248663</v>
      </c>
      <c r="R264" s="572">
        <f t="shared" si="22"/>
        <v>586.12580342981812</v>
      </c>
      <c r="S264" s="471">
        <v>30.214992328529412</v>
      </c>
      <c r="T264" s="471">
        <v>47.362489006250357</v>
      </c>
      <c r="U264" s="471">
        <v>15.751031814435738</v>
      </c>
      <c r="V264" s="471">
        <v>0</v>
      </c>
      <c r="W264" s="471">
        <v>0</v>
      </c>
      <c r="X264" s="471">
        <v>4.9307141512896964</v>
      </c>
      <c r="Y264" s="471">
        <v>0</v>
      </c>
      <c r="Z264" s="471">
        <v>398.58466148492374</v>
      </c>
      <c r="AA264" s="471">
        <v>307.44700733631447</v>
      </c>
      <c r="AB264" s="471">
        <v>45.578422870117805</v>
      </c>
      <c r="AC264" s="471">
        <v>0</v>
      </c>
      <c r="AD264" s="471">
        <v>0</v>
      </c>
      <c r="AE264" s="471">
        <v>107.62576976885478</v>
      </c>
      <c r="AF264" s="471">
        <v>0</v>
      </c>
      <c r="AG264" s="471">
        <v>0</v>
      </c>
      <c r="AH264" s="685">
        <f t="shared" si="23"/>
        <v>2151.8388041455969</v>
      </c>
      <c r="AI264" s="472">
        <f t="shared" si="24"/>
        <v>2151.8388041455969</v>
      </c>
      <c r="AJ264" s="472"/>
      <c r="AK264" s="472"/>
      <c r="AL264" s="570">
        <v>70.790000000000006</v>
      </c>
      <c r="AM264" s="570">
        <v>515.33580342981816</v>
      </c>
      <c r="AN264" s="566">
        <v>0</v>
      </c>
      <c r="AO264" s="566">
        <f t="shared" si="25"/>
        <v>586.12580342981812</v>
      </c>
    </row>
    <row r="265" spans="1:41" x14ac:dyDescent="0.3">
      <c r="A265" s="466">
        <v>150000899</v>
      </c>
      <c r="B265" s="467" t="s">
        <v>402</v>
      </c>
      <c r="C265" s="468">
        <v>6212</v>
      </c>
      <c r="D265" s="469">
        <v>656.15</v>
      </c>
      <c r="E265" s="470"/>
      <c r="F265" s="470">
        <v>6212</v>
      </c>
      <c r="G265" s="471">
        <v>2129.8036384802017</v>
      </c>
      <c r="H265" s="471">
        <v>344.34989465402793</v>
      </c>
      <c r="I265" s="471">
        <v>666.6</v>
      </c>
      <c r="J265" s="471">
        <v>163.18</v>
      </c>
      <c r="K265" s="471">
        <v>97.519365684823939</v>
      </c>
      <c r="L265" s="471">
        <v>816.08103013659138</v>
      </c>
      <c r="M265" s="572">
        <f t="shared" si="21"/>
        <v>0</v>
      </c>
      <c r="N265" s="471">
        <v>2213.4554570219502</v>
      </c>
      <c r="O265" s="471">
        <v>7249.4646218870248</v>
      </c>
      <c r="P265" s="471">
        <v>0</v>
      </c>
      <c r="Q265" s="471">
        <v>441.94156668370323</v>
      </c>
      <c r="R265" s="572">
        <f t="shared" si="22"/>
        <v>8361.9696918390164</v>
      </c>
      <c r="S265" s="471">
        <v>170.48441579100214</v>
      </c>
      <c r="T265" s="471">
        <v>227.6583991858875</v>
      </c>
      <c r="U265" s="471">
        <v>277.94233068405396</v>
      </c>
      <c r="V265" s="471">
        <v>90.825612432285368</v>
      </c>
      <c r="W265" s="471">
        <v>49.470906063874629</v>
      </c>
      <c r="X265" s="471">
        <v>70.081899176195108</v>
      </c>
      <c r="Y265" s="471">
        <v>0</v>
      </c>
      <c r="Z265" s="471">
        <v>7992.6970036472349</v>
      </c>
      <c r="AA265" s="471">
        <v>4194.2736064966093</v>
      </c>
      <c r="AB265" s="471">
        <v>400.33705609965841</v>
      </c>
      <c r="AC265" s="471">
        <v>161.28267527680558</v>
      </c>
      <c r="AD265" s="471">
        <v>19.85487479733402</v>
      </c>
      <c r="AE265" s="471">
        <v>2882.498877287589</v>
      </c>
      <c r="AF265" s="471">
        <v>1240.036042988979</v>
      </c>
      <c r="AG265" s="471">
        <v>724.7125613936671</v>
      </c>
      <c r="AH265" s="685">
        <f t="shared" si="23"/>
        <v>40261.808966314842</v>
      </c>
      <c r="AI265" s="472">
        <f t="shared" si="24"/>
        <v>40986.521527708508</v>
      </c>
      <c r="AJ265" s="472"/>
      <c r="AK265" s="472"/>
      <c r="AL265" s="570">
        <v>75.709999999999994</v>
      </c>
      <c r="AM265" s="570">
        <v>8286.2596918390173</v>
      </c>
      <c r="AN265" s="566">
        <v>0</v>
      </c>
      <c r="AO265" s="566">
        <f t="shared" si="25"/>
        <v>8361.9696918390164</v>
      </c>
    </row>
    <row r="266" spans="1:41" x14ac:dyDescent="0.3">
      <c r="A266" s="466">
        <v>150000900</v>
      </c>
      <c r="B266" s="467" t="s">
        <v>425</v>
      </c>
      <c r="C266" s="468">
        <v>3895.01</v>
      </c>
      <c r="D266" s="469"/>
      <c r="E266" s="470">
        <v>462.8</v>
      </c>
      <c r="F266" s="470">
        <v>4357.8100000000004</v>
      </c>
      <c r="G266" s="471">
        <v>949.89103381566485</v>
      </c>
      <c r="H266" s="471">
        <v>122.50329526423818</v>
      </c>
      <c r="I266" s="471">
        <v>428.79</v>
      </c>
      <c r="J266" s="471">
        <v>109.05</v>
      </c>
      <c r="K266" s="471">
        <v>66.483875973397744</v>
      </c>
      <c r="L266" s="471">
        <v>465.94322063295516</v>
      </c>
      <c r="M266" s="572">
        <f t="shared" si="21"/>
        <v>0</v>
      </c>
      <c r="N266" s="471">
        <v>1552.7717844759861</v>
      </c>
      <c r="O266" s="471">
        <v>3153.4796197635815</v>
      </c>
      <c r="P266" s="471">
        <v>0</v>
      </c>
      <c r="Q266" s="471">
        <v>252.53803810497325</v>
      </c>
      <c r="R266" s="572">
        <f t="shared" si="22"/>
        <v>5622.9372530835062</v>
      </c>
      <c r="S266" s="471">
        <v>280.524269854512</v>
      </c>
      <c r="T266" s="471">
        <v>70.756811567256719</v>
      </c>
      <c r="U266" s="471">
        <v>178.31589835379077</v>
      </c>
      <c r="V266" s="471">
        <v>63.449600647184695</v>
      </c>
      <c r="W266" s="471">
        <v>33.735122980815945</v>
      </c>
      <c r="X266" s="471">
        <v>56.410000558422134</v>
      </c>
      <c r="Y266" s="471">
        <v>0</v>
      </c>
      <c r="Z266" s="471">
        <v>3787.187739966254</v>
      </c>
      <c r="AA266" s="471">
        <v>2584.5622003825783</v>
      </c>
      <c r="AB266" s="471">
        <v>140.65896565663672</v>
      </c>
      <c r="AC266" s="471">
        <v>96.328406358335243</v>
      </c>
      <c r="AD266" s="471">
        <v>11.858610631234454</v>
      </c>
      <c r="AE266" s="471">
        <v>1172.9649111040405</v>
      </c>
      <c r="AF266" s="471">
        <v>1759.4473666560607</v>
      </c>
      <c r="AG266" s="471">
        <v>688.81764077494279</v>
      </c>
      <c r="AH266" s="685">
        <f t="shared" si="23"/>
        <v>22960.588025831428</v>
      </c>
      <c r="AI266" s="472">
        <f t="shared" si="24"/>
        <v>23649.40566660637</v>
      </c>
      <c r="AJ266" s="472"/>
      <c r="AK266" s="472"/>
      <c r="AL266" s="570">
        <v>0</v>
      </c>
      <c r="AM266" s="570">
        <v>5622.9372530835062</v>
      </c>
      <c r="AN266" s="566">
        <v>0</v>
      </c>
      <c r="AO266" s="566">
        <f t="shared" si="25"/>
        <v>5622.9372530835062</v>
      </c>
    </row>
    <row r="267" spans="1:41" x14ac:dyDescent="0.3">
      <c r="A267" s="466">
        <v>150000901</v>
      </c>
      <c r="B267" s="467" t="s">
        <v>424</v>
      </c>
      <c r="C267" s="468">
        <v>8350.2999999999993</v>
      </c>
      <c r="D267" s="469"/>
      <c r="E267" s="470">
        <v>1605.3</v>
      </c>
      <c r="F267" s="470">
        <v>9955.5999999999985</v>
      </c>
      <c r="G267" s="471">
        <v>2870.8950625112293</v>
      </c>
      <c r="H267" s="471">
        <v>498.90659795720387</v>
      </c>
      <c r="I267" s="471">
        <v>973.48</v>
      </c>
      <c r="J267" s="471">
        <v>240.14</v>
      </c>
      <c r="K267" s="471">
        <v>138.88381114641354</v>
      </c>
      <c r="L267" s="471">
        <v>1212.2100605819007</v>
      </c>
      <c r="M267" s="572">
        <f t="shared" si="21"/>
        <v>0</v>
      </c>
      <c r="N267" s="471">
        <v>3547.3723676638319</v>
      </c>
      <c r="O267" s="471">
        <v>6913.7524381732437</v>
      </c>
      <c r="P267" s="471">
        <v>0</v>
      </c>
      <c r="Q267" s="471">
        <v>520.85970359150735</v>
      </c>
      <c r="R267" s="572">
        <f t="shared" si="22"/>
        <v>12785.966823071607</v>
      </c>
      <c r="S267" s="471">
        <v>238.32325111053197</v>
      </c>
      <c r="T267" s="471">
        <v>329.16968131919367</v>
      </c>
      <c r="U267" s="471">
        <v>384.63402233013994</v>
      </c>
      <c r="V267" s="471">
        <v>128.92024387365325</v>
      </c>
      <c r="W267" s="471">
        <v>70.451963789727856</v>
      </c>
      <c r="X267" s="471">
        <v>87.35891040695013</v>
      </c>
      <c r="Y267" s="471">
        <v>0</v>
      </c>
      <c r="Z267" s="471">
        <v>10124.780974793663</v>
      </c>
      <c r="AA267" s="471">
        <v>6720.5098572610696</v>
      </c>
      <c r="AB267" s="471">
        <v>378.69721522940659</v>
      </c>
      <c r="AC267" s="471">
        <v>200.69643543563586</v>
      </c>
      <c r="AD267" s="471">
        <v>24.706947544159718</v>
      </c>
      <c r="AE267" s="471">
        <v>1601.9081964146935</v>
      </c>
      <c r="AF267" s="471">
        <v>1435.0102635847304</v>
      </c>
      <c r="AG267" s="471">
        <v>308.56580896674302</v>
      </c>
      <c r="AH267" s="685">
        <f t="shared" si="23"/>
        <v>51427.634827790491</v>
      </c>
      <c r="AI267" s="472">
        <f t="shared" si="24"/>
        <v>51736.200636757232</v>
      </c>
      <c r="AJ267" s="472"/>
      <c r="AK267" s="472"/>
      <c r="AL267" s="570">
        <v>133.34</v>
      </c>
      <c r="AM267" s="570">
        <v>12652.626823071607</v>
      </c>
      <c r="AN267" s="566">
        <v>0</v>
      </c>
      <c r="AO267" s="566">
        <f t="shared" si="25"/>
        <v>12785.966823071607</v>
      </c>
    </row>
    <row r="268" spans="1:41" x14ac:dyDescent="0.3">
      <c r="A268" s="466">
        <v>150000902</v>
      </c>
      <c r="B268" s="467" t="s">
        <v>403</v>
      </c>
      <c r="C268" s="468">
        <v>3581.3</v>
      </c>
      <c r="D268" s="469">
        <v>455.7</v>
      </c>
      <c r="E268" s="470"/>
      <c r="F268" s="470">
        <v>3581.3</v>
      </c>
      <c r="G268" s="471">
        <v>901.86094190785161</v>
      </c>
      <c r="H268" s="471">
        <v>227.19917068419932</v>
      </c>
      <c r="I268" s="471">
        <v>386.49</v>
      </c>
      <c r="J268" s="471">
        <v>95.33</v>
      </c>
      <c r="K268" s="471">
        <v>65.004820328168279</v>
      </c>
      <c r="L268" s="471">
        <v>768.33825812708847</v>
      </c>
      <c r="M268" s="572">
        <f t="shared" si="21"/>
        <v>0</v>
      </c>
      <c r="N268" s="471">
        <v>1276.0862891552979</v>
      </c>
      <c r="O268" s="471">
        <v>2871.3129277174098</v>
      </c>
      <c r="P268" s="471">
        <v>0</v>
      </c>
      <c r="Q268" s="471">
        <v>252.53803810497325</v>
      </c>
      <c r="R268" s="572">
        <f t="shared" si="22"/>
        <v>5646.3223575454622</v>
      </c>
      <c r="S268" s="471">
        <v>72.788123814466189</v>
      </c>
      <c r="T268" s="471">
        <v>150.23382237841824</v>
      </c>
      <c r="U268" s="471">
        <v>157.32703860570757</v>
      </c>
      <c r="V268" s="471">
        <v>54.693785037164652</v>
      </c>
      <c r="W268" s="471">
        <v>32.980617657691397</v>
      </c>
      <c r="X268" s="471">
        <v>106.21202791090296</v>
      </c>
      <c r="Y268" s="471">
        <v>0</v>
      </c>
      <c r="Z268" s="471">
        <v>3269.551522287652</v>
      </c>
      <c r="AA268" s="471">
        <v>4052.4193533451435</v>
      </c>
      <c r="AB268" s="471">
        <v>212.07044052846766</v>
      </c>
      <c r="AC268" s="471">
        <v>121.03553959222887</v>
      </c>
      <c r="AD268" s="471">
        <v>14.900208472528176</v>
      </c>
      <c r="AE268" s="471">
        <v>374.50648292031934</v>
      </c>
      <c r="AF268" s="471">
        <v>461.69895437073933</v>
      </c>
      <c r="AG268" s="471">
        <v>647.12702161475647</v>
      </c>
      <c r="AH268" s="685">
        <f t="shared" si="23"/>
        <v>21570.900720491882</v>
      </c>
      <c r="AI268" s="472">
        <f t="shared" si="24"/>
        <v>22218.027742106638</v>
      </c>
      <c r="AJ268" s="472"/>
      <c r="AK268" s="472"/>
      <c r="AL268" s="570">
        <v>50.66</v>
      </c>
      <c r="AM268" s="570">
        <v>5595.6623575454623</v>
      </c>
      <c r="AN268" s="566">
        <v>0</v>
      </c>
      <c r="AO268" s="566">
        <f t="shared" si="25"/>
        <v>5646.3223575454622</v>
      </c>
    </row>
    <row r="269" spans="1:41" x14ac:dyDescent="0.3">
      <c r="A269" s="466">
        <v>150000903</v>
      </c>
      <c r="B269" s="467" t="s">
        <v>404</v>
      </c>
      <c r="C269" s="468">
        <v>4073.8</v>
      </c>
      <c r="D269" s="469">
        <v>501.2</v>
      </c>
      <c r="E269" s="470"/>
      <c r="F269" s="470">
        <v>4073.8</v>
      </c>
      <c r="G269" s="471">
        <v>908.46021720348426</v>
      </c>
      <c r="H269" s="471">
        <v>130.09608588817568</v>
      </c>
      <c r="I269" s="471">
        <v>444.9</v>
      </c>
      <c r="J269" s="471">
        <v>114.89</v>
      </c>
      <c r="K269" s="471">
        <v>65.004820328168279</v>
      </c>
      <c r="L269" s="471">
        <v>774.4707168430516</v>
      </c>
      <c r="M269" s="572">
        <f t="shared" si="21"/>
        <v>0</v>
      </c>
      <c r="N269" s="471">
        <v>1451.5735416638797</v>
      </c>
      <c r="O269" s="471">
        <v>3456.5475482576176</v>
      </c>
      <c r="P269" s="471">
        <v>0</v>
      </c>
      <c r="Q269" s="471">
        <v>252.53803810497325</v>
      </c>
      <c r="R269" s="572">
        <f t="shared" si="22"/>
        <v>6183.2661875452286</v>
      </c>
      <c r="S269" s="471">
        <v>73.516382554676241</v>
      </c>
      <c r="T269" s="471">
        <v>87.665713458522063</v>
      </c>
      <c r="U269" s="471">
        <v>178.41110384676671</v>
      </c>
      <c r="V269" s="471">
        <v>66.013682739776854</v>
      </c>
      <c r="W269" s="471">
        <v>32.980617657691397</v>
      </c>
      <c r="X269" s="471">
        <v>90.4478667045572</v>
      </c>
      <c r="Y269" s="471">
        <v>0</v>
      </c>
      <c r="Z269" s="471">
        <v>4256.1686682047539</v>
      </c>
      <c r="AA269" s="471">
        <v>3758.8539808586766</v>
      </c>
      <c r="AB269" s="471">
        <v>551.81594219142096</v>
      </c>
      <c r="AC269" s="471">
        <v>141.40421788326617</v>
      </c>
      <c r="AD269" s="471">
        <v>17.407716216689963</v>
      </c>
      <c r="AE269" s="471">
        <v>658.23296873125662</v>
      </c>
      <c r="AF269" s="471">
        <v>655.11338120172479</v>
      </c>
      <c r="AG269" s="471">
        <v>292.19735277701233</v>
      </c>
      <c r="AH269" s="685">
        <f t="shared" si="23"/>
        <v>24349.77939808436</v>
      </c>
      <c r="AI269" s="472">
        <f t="shared" si="24"/>
        <v>24641.976750861373</v>
      </c>
      <c r="AJ269" s="472"/>
      <c r="AK269" s="472"/>
      <c r="AL269" s="570">
        <v>50.66</v>
      </c>
      <c r="AM269" s="570">
        <v>6132.6061875452287</v>
      </c>
      <c r="AN269" s="566">
        <v>0</v>
      </c>
      <c r="AO269" s="566">
        <f t="shared" si="25"/>
        <v>6183.2661875452286</v>
      </c>
    </row>
    <row r="270" spans="1:41" x14ac:dyDescent="0.3">
      <c r="A270" s="466">
        <v>150000904</v>
      </c>
      <c r="B270" s="467" t="s">
        <v>405</v>
      </c>
      <c r="C270" s="468">
        <v>4387.3</v>
      </c>
      <c r="D270" s="469">
        <v>446.3</v>
      </c>
      <c r="E270" s="470"/>
      <c r="F270" s="470">
        <v>4387.3</v>
      </c>
      <c r="G270" s="471">
        <v>1346.1681716970731</v>
      </c>
      <c r="H270" s="471">
        <v>230.13362426938943</v>
      </c>
      <c r="I270" s="471">
        <v>473.17</v>
      </c>
      <c r="J270" s="471">
        <v>114.07</v>
      </c>
      <c r="K270" s="471">
        <v>65.004820328168279</v>
      </c>
      <c r="L270" s="471">
        <v>509.82572565832919</v>
      </c>
      <c r="M270" s="572">
        <f t="shared" si="21"/>
        <v>0</v>
      </c>
      <c r="N270" s="471">
        <v>1563.2796404688349</v>
      </c>
      <c r="O270" s="471">
        <v>2272.3632634312953</v>
      </c>
      <c r="P270" s="471">
        <v>131.53517990591092</v>
      </c>
      <c r="Q270" s="471">
        <v>295.94301340426557</v>
      </c>
      <c r="R270" s="572">
        <f t="shared" si="22"/>
        <v>5765.1069907009442</v>
      </c>
      <c r="S270" s="471">
        <v>106.02210640591466</v>
      </c>
      <c r="T270" s="471">
        <v>152.13724419834182</v>
      </c>
      <c r="U270" s="471">
        <v>199.3986166751111</v>
      </c>
      <c r="V270" s="471">
        <v>66.303124485636502</v>
      </c>
      <c r="W270" s="471">
        <v>32.980617657691397</v>
      </c>
      <c r="X270" s="471">
        <v>80.631291315014053</v>
      </c>
      <c r="Y270" s="471">
        <v>0</v>
      </c>
      <c r="Z270" s="471">
        <v>4776.8190482866476</v>
      </c>
      <c r="AA270" s="471">
        <v>2851.2997750000509</v>
      </c>
      <c r="AB270" s="471">
        <v>476.0764991455398</v>
      </c>
      <c r="AC270" s="471">
        <v>132.3596423244301</v>
      </c>
      <c r="AD270" s="471">
        <v>16.294274149787796</v>
      </c>
      <c r="AE270" s="471">
        <v>549.04740519763595</v>
      </c>
      <c r="AF270" s="471">
        <v>517.85152990231575</v>
      </c>
      <c r="AG270" s="471">
        <v>409.02878888294987</v>
      </c>
      <c r="AH270" s="685">
        <f t="shared" si="23"/>
        <v>22723.821604608325</v>
      </c>
      <c r="AI270" s="472">
        <f t="shared" si="24"/>
        <v>23132.850393491277</v>
      </c>
      <c r="AJ270" s="472"/>
      <c r="AK270" s="472"/>
      <c r="AL270" s="570">
        <v>50.66</v>
      </c>
      <c r="AM270" s="570">
        <v>5714.4469907009443</v>
      </c>
      <c r="AN270" s="566">
        <v>0</v>
      </c>
      <c r="AO270" s="566">
        <f t="shared" si="25"/>
        <v>5765.1069907009442</v>
      </c>
    </row>
    <row r="271" spans="1:41" x14ac:dyDescent="0.3">
      <c r="A271" s="466">
        <v>150000905</v>
      </c>
      <c r="B271" s="467" t="s">
        <v>426</v>
      </c>
      <c r="C271" s="468">
        <v>5047.1000000000004</v>
      </c>
      <c r="D271" s="469"/>
      <c r="E271" s="470">
        <v>175.8</v>
      </c>
      <c r="F271" s="470">
        <v>5222.9000000000005</v>
      </c>
      <c r="G271" s="471">
        <v>977.43905716466122</v>
      </c>
      <c r="H271" s="471">
        <v>166.6884804610682</v>
      </c>
      <c r="I271" s="471">
        <v>556.64</v>
      </c>
      <c r="J271" s="471">
        <v>129.33000000000001</v>
      </c>
      <c r="K271" s="471">
        <v>66.483875973397744</v>
      </c>
      <c r="L271" s="471">
        <v>635.36075476026178</v>
      </c>
      <c r="M271" s="572">
        <f t="shared" si="21"/>
        <v>0</v>
      </c>
      <c r="N271" s="471">
        <v>1861.0200428976086</v>
      </c>
      <c r="O271" s="471">
        <v>3125.3921906137593</v>
      </c>
      <c r="P271" s="471">
        <v>0</v>
      </c>
      <c r="Q271" s="471">
        <v>264.37575864114388</v>
      </c>
      <c r="R271" s="572">
        <f t="shared" si="22"/>
        <v>6329.7760971887574</v>
      </c>
      <c r="S271" s="471">
        <v>91.697307957662701</v>
      </c>
      <c r="T271" s="471">
        <v>109.18093454649606</v>
      </c>
      <c r="U271" s="471">
        <v>261.00181600090679</v>
      </c>
      <c r="V271" s="471">
        <v>72.271890541945339</v>
      </c>
      <c r="W271" s="471">
        <v>33.735122980815945</v>
      </c>
      <c r="X271" s="471">
        <v>71.460347593821396</v>
      </c>
      <c r="Y271" s="471">
        <v>0</v>
      </c>
      <c r="Z271" s="471">
        <v>4237.8595026799585</v>
      </c>
      <c r="AA271" s="471">
        <v>4594.7309674815506</v>
      </c>
      <c r="AB271" s="471">
        <v>205.57848826739215</v>
      </c>
      <c r="AC271" s="471">
        <v>105.52004818642067</v>
      </c>
      <c r="AD271" s="471">
        <v>12.990157447191937</v>
      </c>
      <c r="AE271" s="471">
        <v>1043.5020286284614</v>
      </c>
      <c r="AF271" s="471">
        <v>1001.387596979779</v>
      </c>
      <c r="AG271" s="471">
        <v>778.60267400979183</v>
      </c>
      <c r="AH271" s="685">
        <f t="shared" si="23"/>
        <v>25953.422466993055</v>
      </c>
      <c r="AI271" s="472">
        <f t="shared" si="24"/>
        <v>26732.025141002847</v>
      </c>
      <c r="AJ271" s="472"/>
      <c r="AK271" s="472"/>
      <c r="AL271" s="570">
        <v>0</v>
      </c>
      <c r="AM271" s="570">
        <v>6329.7760971887574</v>
      </c>
      <c r="AN271" s="566">
        <v>0</v>
      </c>
      <c r="AO271" s="566">
        <f t="shared" si="25"/>
        <v>6329.7760971887574</v>
      </c>
    </row>
    <row r="272" spans="1:41" x14ac:dyDescent="0.3">
      <c r="A272" s="466">
        <v>150000906</v>
      </c>
      <c r="B272" s="467" t="s">
        <v>406</v>
      </c>
      <c r="C272" s="468">
        <v>3936.36</v>
      </c>
      <c r="D272" s="469">
        <v>436.6</v>
      </c>
      <c r="E272" s="470"/>
      <c r="F272" s="470">
        <v>3936.36</v>
      </c>
      <c r="G272" s="471">
        <v>884.74100203328737</v>
      </c>
      <c r="H272" s="471">
        <v>226.80488110446797</v>
      </c>
      <c r="I272" s="471">
        <v>418.87</v>
      </c>
      <c r="J272" s="471">
        <v>101.69</v>
      </c>
      <c r="K272" s="471">
        <v>65.004820328168279</v>
      </c>
      <c r="L272" s="471">
        <v>766.4088779768698</v>
      </c>
      <c r="M272" s="572">
        <f t="shared" si="21"/>
        <v>0</v>
      </c>
      <c r="N272" s="471">
        <v>1402.6010178369163</v>
      </c>
      <c r="O272" s="471">
        <v>3456.5475482576176</v>
      </c>
      <c r="P272" s="471">
        <v>0</v>
      </c>
      <c r="Q272" s="471">
        <v>284.10529286809492</v>
      </c>
      <c r="R272" s="572">
        <f t="shared" si="22"/>
        <v>6621.6779030087746</v>
      </c>
      <c r="S272" s="471">
        <v>40.439087512030049</v>
      </c>
      <c r="T272" s="471">
        <v>89.991716973385635</v>
      </c>
      <c r="U272" s="471">
        <v>107.00868391844469</v>
      </c>
      <c r="V272" s="471">
        <v>35.810629613009191</v>
      </c>
      <c r="W272" s="471">
        <v>19.78837059461484</v>
      </c>
      <c r="X272" s="471">
        <v>68.50822625647055</v>
      </c>
      <c r="Y272" s="471">
        <v>0</v>
      </c>
      <c r="Z272" s="471">
        <v>4017.9884350846596</v>
      </c>
      <c r="AA272" s="471">
        <v>3750.2629273895686</v>
      </c>
      <c r="AB272" s="471">
        <v>530.1761013211692</v>
      </c>
      <c r="AC272" s="471">
        <v>117.80008166874279</v>
      </c>
      <c r="AD272" s="471">
        <v>14.501903993311139</v>
      </c>
      <c r="AE272" s="471">
        <v>438.30204789924915</v>
      </c>
      <c r="AF272" s="471">
        <v>527.21029249091168</v>
      </c>
      <c r="AG272" s="471">
        <v>431.75231726633564</v>
      </c>
      <c r="AH272" s="685">
        <f t="shared" si="23"/>
        <v>23986.239848129761</v>
      </c>
      <c r="AI272" s="472">
        <f t="shared" si="24"/>
        <v>24417.992165396096</v>
      </c>
      <c r="AJ272" s="472"/>
      <c r="AK272" s="472"/>
      <c r="AL272" s="570">
        <v>50.66</v>
      </c>
      <c r="AM272" s="570">
        <v>6571.0179030087747</v>
      </c>
      <c r="AN272" s="566">
        <v>0</v>
      </c>
      <c r="AO272" s="566">
        <f t="shared" si="25"/>
        <v>6621.6779030087746</v>
      </c>
    </row>
    <row r="273" spans="1:41" x14ac:dyDescent="0.3">
      <c r="A273" s="466">
        <v>150000907</v>
      </c>
      <c r="B273" s="467" t="s">
        <v>407</v>
      </c>
      <c r="C273" s="468">
        <v>6307.74</v>
      </c>
      <c r="D273" s="469">
        <v>689.99</v>
      </c>
      <c r="E273" s="470"/>
      <c r="F273" s="470">
        <v>6307.74</v>
      </c>
      <c r="G273" s="471">
        <v>2114.5364624660597</v>
      </c>
      <c r="H273" s="471">
        <v>344.96600786201748</v>
      </c>
      <c r="I273" s="471">
        <v>684.54</v>
      </c>
      <c r="J273" s="471">
        <v>161.24</v>
      </c>
      <c r="K273" s="471">
        <v>97.519365684823939</v>
      </c>
      <c r="L273" s="471">
        <v>820.56627582644762</v>
      </c>
      <c r="M273" s="572">
        <f t="shared" si="21"/>
        <v>0</v>
      </c>
      <c r="N273" s="471">
        <v>2247.5694662710293</v>
      </c>
      <c r="O273" s="471">
        <v>7201.1332979473464</v>
      </c>
      <c r="P273" s="471">
        <v>0</v>
      </c>
      <c r="Q273" s="471">
        <v>426.15793930214238</v>
      </c>
      <c r="R273" s="572">
        <f t="shared" si="22"/>
        <v>9982.5534362905219</v>
      </c>
      <c r="S273" s="471">
        <v>170.33970502450393</v>
      </c>
      <c r="T273" s="471">
        <v>228.03715557470557</v>
      </c>
      <c r="U273" s="471">
        <v>575.2257109677754</v>
      </c>
      <c r="V273" s="471">
        <v>182.63940361081345</v>
      </c>
      <c r="W273" s="471">
        <v>49.470906063874629</v>
      </c>
      <c r="X273" s="471">
        <v>196.85570700418873</v>
      </c>
      <c r="Y273" s="471">
        <v>0</v>
      </c>
      <c r="Z273" s="471">
        <v>3183.6909513725363</v>
      </c>
      <c r="AA273" s="471">
        <v>3001.5211433370218</v>
      </c>
      <c r="AB273" s="471">
        <v>724.01325200755798</v>
      </c>
      <c r="AC273" s="471">
        <v>193.0244783897939</v>
      </c>
      <c r="AD273" s="471">
        <v>23.762483135107203</v>
      </c>
      <c r="AE273" s="471">
        <v>2484.7514672722559</v>
      </c>
      <c r="AF273" s="471">
        <v>963.95254662539492</v>
      </c>
      <c r="AG273" s="471">
        <v>649.0452089166464</v>
      </c>
      <c r="AH273" s="685">
        <f t="shared" si="23"/>
        <v>36058.067162035913</v>
      </c>
      <c r="AI273" s="472">
        <f t="shared" si="24"/>
        <v>36707.112370952556</v>
      </c>
      <c r="AJ273" s="472"/>
      <c r="AK273" s="472"/>
      <c r="AL273" s="570">
        <v>98.23</v>
      </c>
      <c r="AM273" s="570">
        <v>9884.3234362905223</v>
      </c>
      <c r="AN273" s="566">
        <v>0</v>
      </c>
      <c r="AO273" s="566">
        <f t="shared" si="25"/>
        <v>9982.5534362905219</v>
      </c>
    </row>
    <row r="274" spans="1:41" x14ac:dyDescent="0.3">
      <c r="A274" s="466">
        <v>150000908</v>
      </c>
      <c r="B274" s="467" t="s">
        <v>408</v>
      </c>
      <c r="C274" s="468">
        <v>6280.52</v>
      </c>
      <c r="D274" s="469">
        <v>653.29</v>
      </c>
      <c r="E274" s="470">
        <v>44.2</v>
      </c>
      <c r="F274" s="470">
        <v>6324.72</v>
      </c>
      <c r="G274" s="471">
        <v>2109.3346723958593</v>
      </c>
      <c r="H274" s="471">
        <v>345.65677026505892</v>
      </c>
      <c r="I274" s="471">
        <v>686.19</v>
      </c>
      <c r="J274" s="471">
        <v>161.16</v>
      </c>
      <c r="K274" s="471">
        <v>97.519365684823939</v>
      </c>
      <c r="L274" s="471">
        <v>826.19085529431447</v>
      </c>
      <c r="M274" s="572">
        <f t="shared" si="21"/>
        <v>0</v>
      </c>
      <c r="N274" s="471">
        <v>2253.6197678905132</v>
      </c>
      <c r="O274" s="471">
        <v>7201.1332979473464</v>
      </c>
      <c r="P274" s="471">
        <v>0</v>
      </c>
      <c r="Q274" s="471">
        <v>418.26612561136199</v>
      </c>
      <c r="R274" s="572">
        <f t="shared" si="22"/>
        <v>9822.2712143839217</v>
      </c>
      <c r="S274" s="471">
        <v>170.55096805841904</v>
      </c>
      <c r="T274" s="471">
        <v>228.49359121645389</v>
      </c>
      <c r="U274" s="471">
        <v>559.4724832921811</v>
      </c>
      <c r="V274" s="471">
        <v>182.67496179048493</v>
      </c>
      <c r="W274" s="471">
        <v>49.470906063874629</v>
      </c>
      <c r="X274" s="471">
        <v>197.72070818079445</v>
      </c>
      <c r="Y274" s="471">
        <v>0</v>
      </c>
      <c r="Z274" s="471">
        <v>3236.1863451389991</v>
      </c>
      <c r="AA274" s="471">
        <v>3300.088563270464</v>
      </c>
      <c r="AB274" s="471">
        <v>722.0514034844166</v>
      </c>
      <c r="AC274" s="471">
        <v>204.42211425661984</v>
      </c>
      <c r="AD274" s="471">
        <v>25.165601186894492</v>
      </c>
      <c r="AE274" s="471">
        <v>1609.7071652385237</v>
      </c>
      <c r="AF274" s="471">
        <v>907.79997109381861</v>
      </c>
      <c r="AG274" s="471">
        <v>635.6726433314127</v>
      </c>
      <c r="AH274" s="685">
        <f t="shared" si="23"/>
        <v>35315.146851745143</v>
      </c>
      <c r="AI274" s="472">
        <f t="shared" si="24"/>
        <v>35950.819495076554</v>
      </c>
      <c r="AJ274" s="472"/>
      <c r="AK274" s="472"/>
      <c r="AL274" s="570">
        <v>75.709999999999994</v>
      </c>
      <c r="AM274" s="570">
        <v>9746.5612143839226</v>
      </c>
      <c r="AN274" s="566">
        <v>0</v>
      </c>
      <c r="AO274" s="566">
        <f t="shared" si="25"/>
        <v>9822.2712143839217</v>
      </c>
    </row>
    <row r="275" spans="1:41" x14ac:dyDescent="0.3">
      <c r="A275" s="466">
        <v>150000909</v>
      </c>
      <c r="B275" s="467" t="s">
        <v>409</v>
      </c>
      <c r="C275" s="468">
        <v>6335.19</v>
      </c>
      <c r="D275" s="469">
        <v>691.97</v>
      </c>
      <c r="E275" s="470"/>
      <c r="F275" s="470">
        <v>6335.19</v>
      </c>
      <c r="G275" s="471">
        <v>2106.7602612357477</v>
      </c>
      <c r="H275" s="471">
        <v>343.75792929520657</v>
      </c>
      <c r="I275" s="471">
        <v>688.04</v>
      </c>
      <c r="J275" s="471">
        <v>166.5</v>
      </c>
      <c r="K275" s="471">
        <v>97.519365684823939</v>
      </c>
      <c r="L275" s="471">
        <v>810.71134704956739</v>
      </c>
      <c r="M275" s="572">
        <f t="shared" si="21"/>
        <v>0</v>
      </c>
      <c r="N275" s="471">
        <v>2257.3504309032337</v>
      </c>
      <c r="O275" s="471">
        <v>4310.8800173720638</v>
      </c>
      <c r="P275" s="471">
        <v>0</v>
      </c>
      <c r="Q275" s="471">
        <v>426.15793930214238</v>
      </c>
      <c r="R275" s="572">
        <f t="shared" si="22"/>
        <v>9780.6845191645425</v>
      </c>
      <c r="S275" s="471">
        <v>169.47394541451564</v>
      </c>
      <c r="T275" s="471">
        <v>227.26750760449835</v>
      </c>
      <c r="U275" s="471">
        <v>578.62370987558575</v>
      </c>
      <c r="V275" s="471">
        <v>184.17804747203516</v>
      </c>
      <c r="W275" s="471">
        <v>49.470906063874629</v>
      </c>
      <c r="X275" s="471">
        <v>195.38335213678309</v>
      </c>
      <c r="Y275" s="471">
        <v>0</v>
      </c>
      <c r="Z275" s="471">
        <v>3354.346274181265</v>
      </c>
      <c r="AA275" s="471">
        <v>3416.1840443925903</v>
      </c>
      <c r="AB275" s="471">
        <v>810.60236904641215</v>
      </c>
      <c r="AC275" s="471">
        <v>204.37309216687004</v>
      </c>
      <c r="AD275" s="471">
        <v>25.159566270542715</v>
      </c>
      <c r="AE275" s="471">
        <v>1196.3618175755305</v>
      </c>
      <c r="AF275" s="471">
        <v>1792.203035716147</v>
      </c>
      <c r="AG275" s="471">
        <v>597.45581060263146</v>
      </c>
      <c r="AH275" s="685">
        <f t="shared" si="23"/>
        <v>33191.989477923977</v>
      </c>
      <c r="AI275" s="472">
        <f t="shared" si="24"/>
        <v>33789.445288526607</v>
      </c>
      <c r="AJ275" s="472"/>
      <c r="AK275" s="472"/>
      <c r="AL275" s="570">
        <v>75.709999999999994</v>
      </c>
      <c r="AM275" s="570">
        <v>9704.9745191645434</v>
      </c>
      <c r="AN275" s="566">
        <v>0</v>
      </c>
      <c r="AO275" s="566">
        <f t="shared" si="25"/>
        <v>9780.6845191645425</v>
      </c>
    </row>
    <row r="276" spans="1:41" x14ac:dyDescent="0.3">
      <c r="A276" s="466">
        <v>150000910</v>
      </c>
      <c r="B276" s="467" t="s">
        <v>410</v>
      </c>
      <c r="C276" s="468">
        <v>6232.25</v>
      </c>
      <c r="D276" s="469">
        <v>576.05999999999995</v>
      </c>
      <c r="E276" s="470">
        <v>115.1</v>
      </c>
      <c r="F276" s="470">
        <v>6347.35</v>
      </c>
      <c r="G276" s="471">
        <v>2097.1571147589252</v>
      </c>
      <c r="H276" s="471">
        <v>344.34989465402793</v>
      </c>
      <c r="I276" s="471">
        <v>688.04</v>
      </c>
      <c r="J276" s="471">
        <v>162.32</v>
      </c>
      <c r="K276" s="471">
        <v>97.519365684823939</v>
      </c>
      <c r="L276" s="471">
        <v>815.62659717408599</v>
      </c>
      <c r="M276" s="572">
        <f t="shared" si="21"/>
        <v>0</v>
      </c>
      <c r="N276" s="471">
        <v>2261.6832735235471</v>
      </c>
      <c r="O276" s="471">
        <v>4310.8800173720638</v>
      </c>
      <c r="P276" s="471">
        <v>0</v>
      </c>
      <c r="Q276" s="471">
        <v>418.26612561136199</v>
      </c>
      <c r="R276" s="572">
        <f t="shared" si="22"/>
        <v>9815.1235183726531</v>
      </c>
      <c r="S276" s="471">
        <v>169.19059066605607</v>
      </c>
      <c r="T276" s="471">
        <v>227.6583991858875</v>
      </c>
      <c r="U276" s="471">
        <v>578.62370987558575</v>
      </c>
      <c r="V276" s="471">
        <v>183.67839763591053</v>
      </c>
      <c r="W276" s="471">
        <v>49.470906063874629</v>
      </c>
      <c r="X276" s="471">
        <v>196.11897261411428</v>
      </c>
      <c r="Y276" s="471">
        <v>0</v>
      </c>
      <c r="Z276" s="471">
        <v>3326.2516179163908</v>
      </c>
      <c r="AA276" s="471">
        <v>2950.3226164667017</v>
      </c>
      <c r="AB276" s="471">
        <v>830.28036139352241</v>
      </c>
      <c r="AC276" s="471">
        <v>190.0831530048066</v>
      </c>
      <c r="AD276" s="471">
        <v>23.400388154000808</v>
      </c>
      <c r="AE276" s="471">
        <v>1948.1824121927482</v>
      </c>
      <c r="AF276" s="471">
        <v>987.3494530968851</v>
      </c>
      <c r="AG276" s="471">
        <v>588.08838393752353</v>
      </c>
      <c r="AH276" s="685">
        <f t="shared" si="23"/>
        <v>32671.57688541797</v>
      </c>
      <c r="AI276" s="472">
        <f t="shared" si="24"/>
        <v>33259.665269355493</v>
      </c>
      <c r="AJ276" s="472"/>
      <c r="AK276" s="472"/>
      <c r="AL276" s="570">
        <v>75.709999999999994</v>
      </c>
      <c r="AM276" s="570">
        <v>9739.4135183726539</v>
      </c>
      <c r="AN276" s="566">
        <v>0</v>
      </c>
      <c r="AO276" s="566">
        <f t="shared" si="25"/>
        <v>9815.1235183726531</v>
      </c>
    </row>
    <row r="277" spans="1:41" x14ac:dyDescent="0.3">
      <c r="A277" s="466">
        <v>150000911</v>
      </c>
      <c r="B277" s="467" t="s">
        <v>318</v>
      </c>
      <c r="C277" s="468">
        <v>5864.08</v>
      </c>
      <c r="D277" s="469"/>
      <c r="E277" s="470"/>
      <c r="F277" s="470">
        <v>5864.08</v>
      </c>
      <c r="G277" s="471">
        <v>1688.0709759031377</v>
      </c>
      <c r="H277" s="471">
        <v>335.00380368044648</v>
      </c>
      <c r="I277" s="471">
        <v>729.4</v>
      </c>
      <c r="J277" s="471">
        <v>0</v>
      </c>
      <c r="K277" s="471">
        <v>166.96127125803071</v>
      </c>
      <c r="L277" s="471">
        <v>1603.0125600359775</v>
      </c>
      <c r="M277" s="572">
        <f t="shared" si="21"/>
        <v>0</v>
      </c>
      <c r="N277" s="471">
        <v>2089.4848481025879</v>
      </c>
      <c r="O277" s="471">
        <v>0</v>
      </c>
      <c r="P277" s="471">
        <v>0</v>
      </c>
      <c r="Q277" s="471">
        <v>846.39701833619949</v>
      </c>
      <c r="R277" s="572">
        <f t="shared" si="22"/>
        <v>7872.6063627794701</v>
      </c>
      <c r="S277" s="471">
        <v>276.10808954579471</v>
      </c>
      <c r="T277" s="471">
        <v>431.76868554922783</v>
      </c>
      <c r="U277" s="471">
        <v>274.87152118615961</v>
      </c>
      <c r="V277" s="471">
        <v>0</v>
      </c>
      <c r="W277" s="471">
        <v>169.40589068738615</v>
      </c>
      <c r="X277" s="471">
        <v>250.02625325357982</v>
      </c>
      <c r="Y277" s="471">
        <v>0</v>
      </c>
      <c r="Z277" s="471">
        <v>4347.7438328628814</v>
      </c>
      <c r="AA277" s="471">
        <v>2998.1161469490507</v>
      </c>
      <c r="AB277" s="471">
        <v>642.6954024408775</v>
      </c>
      <c r="AC277" s="471">
        <v>218.07476625193607</v>
      </c>
      <c r="AD277" s="471">
        <v>26.846325390863342</v>
      </c>
      <c r="AE277" s="471">
        <v>1077.8174914533138</v>
      </c>
      <c r="AF277" s="471">
        <v>0</v>
      </c>
      <c r="AG277" s="471">
        <v>1468.904794255614</v>
      </c>
      <c r="AH277" s="685">
        <f t="shared" si="23"/>
        <v>26044.411245666917</v>
      </c>
      <c r="AI277" s="472">
        <f t="shared" si="24"/>
        <v>27513.316039922531</v>
      </c>
      <c r="AJ277" s="472"/>
      <c r="AK277" s="472"/>
      <c r="AL277" s="570">
        <v>93.66</v>
      </c>
      <c r="AM277" s="570">
        <v>7778.9463627794703</v>
      </c>
      <c r="AN277" s="566">
        <v>0</v>
      </c>
      <c r="AO277" s="566">
        <f t="shared" si="25"/>
        <v>7872.6063627794701</v>
      </c>
    </row>
    <row r="278" spans="1:41" x14ac:dyDescent="0.3">
      <c r="A278" s="466">
        <v>150000912</v>
      </c>
      <c r="B278" s="467" t="s">
        <v>319</v>
      </c>
      <c r="C278" s="468">
        <v>4467.5200000000004</v>
      </c>
      <c r="D278" s="469"/>
      <c r="E278" s="470"/>
      <c r="F278" s="470">
        <v>4467.5200000000004</v>
      </c>
      <c r="G278" s="471">
        <v>1325.9398450696551</v>
      </c>
      <c r="H278" s="471">
        <v>251.53643475256183</v>
      </c>
      <c r="I278" s="471">
        <v>522.33000000000004</v>
      </c>
      <c r="J278" s="471">
        <v>0</v>
      </c>
      <c r="K278" s="471">
        <v>79.79513170851321</v>
      </c>
      <c r="L278" s="471">
        <v>1034.0917851251622</v>
      </c>
      <c r="M278" s="572">
        <f t="shared" si="21"/>
        <v>0</v>
      </c>
      <c r="N278" s="471">
        <v>1591.8635742683039</v>
      </c>
      <c r="O278" s="471">
        <v>0</v>
      </c>
      <c r="P278" s="471">
        <v>0</v>
      </c>
      <c r="Q278" s="471">
        <v>639.23690895321363</v>
      </c>
      <c r="R278" s="572">
        <f t="shared" si="22"/>
        <v>6390.525391828276</v>
      </c>
      <c r="S278" s="471">
        <v>220.39244227045265</v>
      </c>
      <c r="T278" s="471">
        <v>324.18587116016892</v>
      </c>
      <c r="U278" s="471">
        <v>217.86689475440971</v>
      </c>
      <c r="V278" s="471">
        <v>0</v>
      </c>
      <c r="W278" s="471">
        <v>80.954586999901053</v>
      </c>
      <c r="X278" s="471">
        <v>161.69782052303398</v>
      </c>
      <c r="Y278" s="471">
        <v>0</v>
      </c>
      <c r="Z278" s="471">
        <v>3836.2273855025078</v>
      </c>
      <c r="AA278" s="471">
        <v>2186.7639677897992</v>
      </c>
      <c r="AB278" s="471">
        <v>602.69538609155927</v>
      </c>
      <c r="AC278" s="471">
        <v>205.25548978236625</v>
      </c>
      <c r="AD278" s="471">
        <v>25.268194764874636</v>
      </c>
      <c r="AE278" s="471">
        <v>748.7010070876853</v>
      </c>
      <c r="AF278" s="471">
        <v>0</v>
      </c>
      <c r="AG278" s="471">
        <v>1226.7196871059466</v>
      </c>
      <c r="AH278" s="685">
        <f t="shared" si="23"/>
        <v>20445.328118432448</v>
      </c>
      <c r="AI278" s="472">
        <f t="shared" si="24"/>
        <v>21672.047805538394</v>
      </c>
      <c r="AJ278" s="472"/>
      <c r="AK278" s="472"/>
      <c r="AL278" s="570">
        <v>147.07</v>
      </c>
      <c r="AM278" s="570">
        <v>6243.4553918282763</v>
      </c>
      <c r="AN278" s="566">
        <v>0</v>
      </c>
      <c r="AO278" s="566">
        <f t="shared" si="25"/>
        <v>6390.525391828276</v>
      </c>
    </row>
    <row r="279" spans="1:41" x14ac:dyDescent="0.3">
      <c r="A279" s="466">
        <v>150000913</v>
      </c>
      <c r="B279" s="467" t="s">
        <v>320</v>
      </c>
      <c r="C279" s="468">
        <v>2779.82</v>
      </c>
      <c r="D279" s="469"/>
      <c r="E279" s="470"/>
      <c r="F279" s="470">
        <v>2779.82</v>
      </c>
      <c r="G279" s="471">
        <v>879.94630776816894</v>
      </c>
      <c r="H279" s="471">
        <v>166.21966422225984</v>
      </c>
      <c r="I279" s="471">
        <v>344.53</v>
      </c>
      <c r="J279" s="471">
        <v>0</v>
      </c>
      <c r="K279" s="471">
        <v>79.79513170851321</v>
      </c>
      <c r="L279" s="471">
        <v>592.69927106979537</v>
      </c>
      <c r="M279" s="572">
        <f t="shared" si="21"/>
        <v>0</v>
      </c>
      <c r="N279" s="471">
        <v>990.503501052601</v>
      </c>
      <c r="O279" s="471">
        <v>0</v>
      </c>
      <c r="P279" s="471">
        <v>0</v>
      </c>
      <c r="Q279" s="471">
        <v>426.15793930214238</v>
      </c>
      <c r="R279" s="572">
        <f t="shared" si="22"/>
        <v>4216.5371520601202</v>
      </c>
      <c r="S279" s="471">
        <v>146.87281929944615</v>
      </c>
      <c r="T279" s="471">
        <v>214.22856880012804</v>
      </c>
      <c r="U279" s="471">
        <v>124.75032333794053</v>
      </c>
      <c r="V279" s="471">
        <v>0</v>
      </c>
      <c r="W279" s="471">
        <v>80.954586999901053</v>
      </c>
      <c r="X279" s="471">
        <v>88.060337392310473</v>
      </c>
      <c r="Y279" s="471">
        <v>0</v>
      </c>
      <c r="Z279" s="471">
        <v>2483.4213778441376</v>
      </c>
      <c r="AA279" s="471">
        <v>1475.0625118789319</v>
      </c>
      <c r="AB279" s="471">
        <v>592.82663636015707</v>
      </c>
      <c r="AC279" s="471">
        <v>144.39456535800329</v>
      </c>
      <c r="AD279" s="471">
        <v>17.775846114148134</v>
      </c>
      <c r="AE279" s="471">
        <v>424.26390401635507</v>
      </c>
      <c r="AF279" s="471">
        <v>0</v>
      </c>
      <c r="AG279" s="471">
        <v>760.77962507459756</v>
      </c>
      <c r="AH279" s="685">
        <f t="shared" si="23"/>
        <v>13489.000444585061</v>
      </c>
      <c r="AI279" s="472">
        <f t="shared" si="24"/>
        <v>14249.780069659659</v>
      </c>
      <c r="AJ279" s="472"/>
      <c r="AK279" s="472"/>
      <c r="AL279" s="570">
        <v>98.23</v>
      </c>
      <c r="AM279" s="570">
        <v>4118.3071520601206</v>
      </c>
      <c r="AN279" s="566">
        <v>0</v>
      </c>
      <c r="AO279" s="566">
        <f t="shared" si="25"/>
        <v>4216.5371520601202</v>
      </c>
    </row>
    <row r="280" spans="1:41" x14ac:dyDescent="0.3">
      <c r="A280" s="466">
        <v>150000914</v>
      </c>
      <c r="B280" s="467" t="s">
        <v>321</v>
      </c>
      <c r="C280" s="468">
        <v>2762.3</v>
      </c>
      <c r="D280" s="469"/>
      <c r="E280" s="470"/>
      <c r="F280" s="470">
        <v>2762.3</v>
      </c>
      <c r="G280" s="471">
        <v>879.94630776816894</v>
      </c>
      <c r="H280" s="471">
        <v>166.21966422225984</v>
      </c>
      <c r="I280" s="471">
        <v>344.53</v>
      </c>
      <c r="J280" s="471">
        <v>0</v>
      </c>
      <c r="K280" s="471">
        <v>79.79513170851321</v>
      </c>
      <c r="L280" s="471">
        <v>592.69927106979537</v>
      </c>
      <c r="M280" s="572">
        <f t="shared" si="21"/>
        <v>0</v>
      </c>
      <c r="N280" s="471">
        <v>984.26078701412314</v>
      </c>
      <c r="O280" s="471">
        <v>0</v>
      </c>
      <c r="P280" s="471">
        <v>0</v>
      </c>
      <c r="Q280" s="471">
        <v>426.15793930214238</v>
      </c>
      <c r="R280" s="572">
        <f t="shared" si="22"/>
        <v>4234.6711374206507</v>
      </c>
      <c r="S280" s="471">
        <v>146.87281929944615</v>
      </c>
      <c r="T280" s="471">
        <v>214.22856880012804</v>
      </c>
      <c r="U280" s="471">
        <v>124.75032333794053</v>
      </c>
      <c r="V280" s="471">
        <v>0</v>
      </c>
      <c r="W280" s="471">
        <v>80.954586999901053</v>
      </c>
      <c r="X280" s="471">
        <v>88.060337392310473</v>
      </c>
      <c r="Y280" s="471">
        <v>0</v>
      </c>
      <c r="Z280" s="471">
        <v>2349.3158330216052</v>
      </c>
      <c r="AA280" s="471">
        <v>1475.7947266953761</v>
      </c>
      <c r="AB280" s="471">
        <v>577.74612627227566</v>
      </c>
      <c r="AC280" s="471">
        <v>128.26629783032271</v>
      </c>
      <c r="AD280" s="471">
        <v>15.790358634414732</v>
      </c>
      <c r="AE280" s="471">
        <v>492.89482966605959</v>
      </c>
      <c r="AF280" s="471">
        <v>0</v>
      </c>
      <c r="AG280" s="471">
        <v>804.1773027873262</v>
      </c>
      <c r="AH280" s="685">
        <f t="shared" si="23"/>
        <v>13402.955046455436</v>
      </c>
      <c r="AI280" s="472">
        <f t="shared" si="24"/>
        <v>14207.132349242762</v>
      </c>
      <c r="AJ280" s="472"/>
      <c r="AK280" s="472"/>
      <c r="AL280" s="570">
        <v>98.23</v>
      </c>
      <c r="AM280" s="570">
        <v>4136.4411374206511</v>
      </c>
      <c r="AN280" s="566">
        <v>0</v>
      </c>
      <c r="AO280" s="566">
        <f t="shared" si="25"/>
        <v>4234.6711374206507</v>
      </c>
    </row>
    <row r="281" spans="1:41" x14ac:dyDescent="0.3">
      <c r="A281" s="466">
        <v>150000915</v>
      </c>
      <c r="B281" s="467" t="s">
        <v>322</v>
      </c>
      <c r="C281" s="468">
        <v>2743.4</v>
      </c>
      <c r="D281" s="469"/>
      <c r="E281" s="470"/>
      <c r="F281" s="470">
        <v>2743.4</v>
      </c>
      <c r="G281" s="471">
        <v>879.84411173817648</v>
      </c>
      <c r="H281" s="471">
        <v>166.21966422225984</v>
      </c>
      <c r="I281" s="471">
        <v>344.53</v>
      </c>
      <c r="J281" s="471">
        <v>0</v>
      </c>
      <c r="K281" s="471">
        <v>79.79513170851321</v>
      </c>
      <c r="L281" s="471">
        <v>592.60134976227096</v>
      </c>
      <c r="M281" s="572">
        <f t="shared" si="21"/>
        <v>0</v>
      </c>
      <c r="N281" s="471">
        <v>977.52635234932677</v>
      </c>
      <c r="O281" s="471">
        <v>0</v>
      </c>
      <c r="P281" s="471">
        <v>0</v>
      </c>
      <c r="Q281" s="471">
        <v>426.15793930214238</v>
      </c>
      <c r="R281" s="572">
        <f t="shared" si="22"/>
        <v>4039.4179960806159</v>
      </c>
      <c r="S281" s="471">
        <v>146.84353244230923</v>
      </c>
      <c r="T281" s="471">
        <v>214.22856880012804</v>
      </c>
      <c r="U281" s="471">
        <v>124.75032333794053</v>
      </c>
      <c r="V281" s="471">
        <v>0</v>
      </c>
      <c r="W281" s="471">
        <v>80.954586999901053</v>
      </c>
      <c r="X281" s="471">
        <v>88.055823660354392</v>
      </c>
      <c r="Y281" s="471">
        <v>0</v>
      </c>
      <c r="Z281" s="471">
        <v>3227.546116809659</v>
      </c>
      <c r="AA281" s="471">
        <v>1452.4059161584564</v>
      </c>
      <c r="AB281" s="471">
        <v>581.02579166346061</v>
      </c>
      <c r="AC281" s="471">
        <v>128.24178678544786</v>
      </c>
      <c r="AD281" s="471">
        <v>15.787341176238844</v>
      </c>
      <c r="AE281" s="471">
        <v>519.41132366708177</v>
      </c>
      <c r="AF281" s="471">
        <v>0</v>
      </c>
      <c r="AG281" s="471">
        <v>338.04824775994274</v>
      </c>
      <c r="AH281" s="685">
        <f t="shared" si="23"/>
        <v>14085.343656664283</v>
      </c>
      <c r="AI281" s="472">
        <f t="shared" si="24"/>
        <v>14423.391904424227</v>
      </c>
      <c r="AJ281" s="472"/>
      <c r="AK281" s="472"/>
      <c r="AL281" s="570">
        <v>98.23</v>
      </c>
      <c r="AM281" s="570">
        <v>3941.1879960806159</v>
      </c>
      <c r="AN281" s="566">
        <v>0</v>
      </c>
      <c r="AO281" s="566">
        <f t="shared" si="25"/>
        <v>4039.4179960806159</v>
      </c>
    </row>
    <row r="282" spans="1:41" x14ac:dyDescent="0.3">
      <c r="A282" s="466">
        <v>150000916</v>
      </c>
      <c r="B282" s="467" t="s">
        <v>323</v>
      </c>
      <c r="C282" s="468">
        <v>5601.9</v>
      </c>
      <c r="D282" s="469"/>
      <c r="E282" s="470">
        <v>188.69</v>
      </c>
      <c r="F282" s="470">
        <v>5790.5899999999992</v>
      </c>
      <c r="G282" s="471">
        <v>1735.1601834742328</v>
      </c>
      <c r="H282" s="471">
        <v>334.88073625108331</v>
      </c>
      <c r="I282" s="471">
        <v>722.23</v>
      </c>
      <c r="J282" s="471">
        <v>0</v>
      </c>
      <c r="K282" s="471">
        <v>166.96127125803071</v>
      </c>
      <c r="L282" s="471">
        <v>1624.3950495033644</v>
      </c>
      <c r="M282" s="572">
        <f t="shared" si="21"/>
        <v>0</v>
      </c>
      <c r="N282" s="471">
        <v>2063.2989431546575</v>
      </c>
      <c r="O282" s="471">
        <v>0</v>
      </c>
      <c r="P282" s="471">
        <v>0</v>
      </c>
      <c r="Q282" s="471">
        <v>816.80271699577293</v>
      </c>
      <c r="R282" s="572">
        <f t="shared" si="22"/>
        <v>8032.4346838579349</v>
      </c>
      <c r="S282" s="471">
        <v>289.65090404190732</v>
      </c>
      <c r="T282" s="471">
        <v>431.63759742850965</v>
      </c>
      <c r="U282" s="471">
        <v>272.09201331211341</v>
      </c>
      <c r="V282" s="471">
        <v>0</v>
      </c>
      <c r="W282" s="471">
        <v>169.40589068738615</v>
      </c>
      <c r="X282" s="471">
        <v>249.81944640851586</v>
      </c>
      <c r="Y282" s="471">
        <v>0</v>
      </c>
      <c r="Z282" s="471">
        <v>4463.5840662156752</v>
      </c>
      <c r="AA282" s="471">
        <v>3028.7859458688049</v>
      </c>
      <c r="AB282" s="471">
        <v>623.01741009376747</v>
      </c>
      <c r="AC282" s="471">
        <v>194.00492018478968</v>
      </c>
      <c r="AD282" s="471">
        <v>23.883181462142669</v>
      </c>
      <c r="AE282" s="471">
        <v>422.70411025158904</v>
      </c>
      <c r="AF282" s="471">
        <v>0</v>
      </c>
      <c r="AG282" s="471">
        <v>1447.4918475733957</v>
      </c>
      <c r="AH282" s="685">
        <f t="shared" si="23"/>
        <v>25664.749070450278</v>
      </c>
      <c r="AI282" s="472">
        <f t="shared" si="24"/>
        <v>27112.240918023672</v>
      </c>
      <c r="AJ282" s="472"/>
      <c r="AK282" s="472"/>
      <c r="AL282" s="570">
        <v>93.66</v>
      </c>
      <c r="AM282" s="570">
        <v>7938.7746838579351</v>
      </c>
      <c r="AN282" s="566">
        <v>0</v>
      </c>
      <c r="AO282" s="566">
        <f t="shared" si="25"/>
        <v>8032.4346838579349</v>
      </c>
    </row>
    <row r="283" spans="1:41" x14ac:dyDescent="0.3">
      <c r="A283" s="466">
        <v>150000917</v>
      </c>
      <c r="B283" s="467" t="s">
        <v>324</v>
      </c>
      <c r="C283" s="468">
        <v>4445.5</v>
      </c>
      <c r="D283" s="469"/>
      <c r="E283" s="470"/>
      <c r="F283" s="470">
        <v>4445.5</v>
      </c>
      <c r="G283" s="471">
        <v>1328.037555799709</v>
      </c>
      <c r="H283" s="471">
        <v>251.85713711568997</v>
      </c>
      <c r="I283" s="471">
        <v>540.14</v>
      </c>
      <c r="J283" s="471">
        <v>0</v>
      </c>
      <c r="K283" s="471">
        <v>107.87259182013038</v>
      </c>
      <c r="L283" s="471">
        <v>1038.5672379626053</v>
      </c>
      <c r="M283" s="572">
        <f t="shared" si="21"/>
        <v>0</v>
      </c>
      <c r="N283" s="471">
        <v>1584.0174234048743</v>
      </c>
      <c r="O283" s="471">
        <v>0</v>
      </c>
      <c r="P283" s="471">
        <v>0</v>
      </c>
      <c r="Q283" s="471">
        <v>639.23690895321363</v>
      </c>
      <c r="R283" s="572">
        <f t="shared" si="22"/>
        <v>5904.1394512006973</v>
      </c>
      <c r="S283" s="471">
        <v>220.85713648065419</v>
      </c>
      <c r="T283" s="471">
        <v>324.62767629260719</v>
      </c>
      <c r="U283" s="471">
        <v>213.53985105064197</v>
      </c>
      <c r="V283" s="471">
        <v>0</v>
      </c>
      <c r="W283" s="471">
        <v>109.43236141333836</v>
      </c>
      <c r="X283" s="471">
        <v>162.36492688862674</v>
      </c>
      <c r="Y283" s="471">
        <v>0</v>
      </c>
      <c r="Z283" s="471">
        <v>4608.6798634754041</v>
      </c>
      <c r="AA283" s="471">
        <v>2198.375312516192</v>
      </c>
      <c r="AB283" s="471">
        <v>566.64882034637071</v>
      </c>
      <c r="AC283" s="471">
        <v>230.20773346500883</v>
      </c>
      <c r="AD283" s="471">
        <v>28.339967187927222</v>
      </c>
      <c r="AE283" s="471">
        <v>497.57421096035762</v>
      </c>
      <c r="AF283" s="471">
        <v>0</v>
      </c>
      <c r="AG283" s="471">
        <v>1233.270969980043</v>
      </c>
      <c r="AH283" s="685">
        <f t="shared" si="23"/>
        <v>20554.516166334048</v>
      </c>
      <c r="AI283" s="472">
        <f t="shared" si="24"/>
        <v>21787.787136314091</v>
      </c>
      <c r="AJ283" s="472"/>
      <c r="AK283" s="472"/>
      <c r="AL283" s="570">
        <v>147.06</v>
      </c>
      <c r="AM283" s="570">
        <v>5757.0794512006969</v>
      </c>
      <c r="AN283" s="566">
        <v>0</v>
      </c>
      <c r="AO283" s="566">
        <f t="shared" si="25"/>
        <v>5904.1394512006973</v>
      </c>
    </row>
    <row r="284" spans="1:41" x14ac:dyDescent="0.3">
      <c r="A284" s="466">
        <v>150000918</v>
      </c>
      <c r="B284" s="467" t="s">
        <v>325</v>
      </c>
      <c r="C284" s="468">
        <v>4591.2</v>
      </c>
      <c r="D284" s="469"/>
      <c r="E284" s="470"/>
      <c r="F284" s="470">
        <v>4591.2</v>
      </c>
      <c r="G284" s="471">
        <v>1379.4690564532527</v>
      </c>
      <c r="H284" s="471">
        <v>283.37002058416391</v>
      </c>
      <c r="I284" s="471">
        <v>559.63</v>
      </c>
      <c r="J284" s="471">
        <v>0</v>
      </c>
      <c r="K284" s="471">
        <v>107.87259182013038</v>
      </c>
      <c r="L284" s="471">
        <v>1065.4902442590849</v>
      </c>
      <c r="M284" s="572">
        <f t="shared" si="21"/>
        <v>0</v>
      </c>
      <c r="N284" s="471">
        <v>1635.9331446038598</v>
      </c>
      <c r="O284" s="471">
        <v>0</v>
      </c>
      <c r="P284" s="471">
        <v>0</v>
      </c>
      <c r="Q284" s="471">
        <v>1160.096612544721</v>
      </c>
      <c r="R284" s="572">
        <f t="shared" si="22"/>
        <v>5246.9923125381529</v>
      </c>
      <c r="S284" s="471">
        <v>226.05244305210456</v>
      </c>
      <c r="T284" s="471">
        <v>365.2358995895471</v>
      </c>
      <c r="U284" s="471">
        <v>222.38931250979368</v>
      </c>
      <c r="V284" s="471">
        <v>0</v>
      </c>
      <c r="W284" s="471">
        <v>109.43236141333836</v>
      </c>
      <c r="X284" s="471">
        <v>166.44104769593039</v>
      </c>
      <c r="Y284" s="471">
        <v>0</v>
      </c>
      <c r="Z284" s="471">
        <v>3605.8168227697734</v>
      </c>
      <c r="AA284" s="471">
        <v>2157.2156039490928</v>
      </c>
      <c r="AB284" s="471">
        <v>600.08950591331904</v>
      </c>
      <c r="AC284" s="471">
        <v>133.97737128617317</v>
      </c>
      <c r="AD284" s="471">
        <v>16.493426389396316</v>
      </c>
      <c r="AE284" s="471">
        <v>564.64534284529611</v>
      </c>
      <c r="AF284" s="471">
        <v>0</v>
      </c>
      <c r="AG284" s="471">
        <v>1105.814671980246</v>
      </c>
      <c r="AH284" s="685">
        <f t="shared" si="23"/>
        <v>19606.643120217126</v>
      </c>
      <c r="AI284" s="472">
        <f t="shared" si="24"/>
        <v>20712.457792197372</v>
      </c>
      <c r="AJ284" s="472"/>
      <c r="AK284" s="472"/>
      <c r="AL284" s="570">
        <v>82.91</v>
      </c>
      <c r="AM284" s="570">
        <v>5164.082312538153</v>
      </c>
      <c r="AN284" s="566">
        <v>0</v>
      </c>
      <c r="AO284" s="566">
        <f t="shared" si="25"/>
        <v>5246.9923125381529</v>
      </c>
    </row>
    <row r="285" spans="1:41" x14ac:dyDescent="0.3">
      <c r="A285" s="466">
        <v>150000919</v>
      </c>
      <c r="B285" s="467" t="s">
        <v>326</v>
      </c>
      <c r="C285" s="468">
        <v>4566.7</v>
      </c>
      <c r="D285" s="469"/>
      <c r="E285" s="470"/>
      <c r="F285" s="470">
        <v>4566.7</v>
      </c>
      <c r="G285" s="471">
        <v>1388.8140293680221</v>
      </c>
      <c r="H285" s="471">
        <v>283.32062206205393</v>
      </c>
      <c r="I285" s="471">
        <v>550.21</v>
      </c>
      <c r="J285" s="471">
        <v>0</v>
      </c>
      <c r="K285" s="471">
        <v>107.87259182013038</v>
      </c>
      <c r="L285" s="471">
        <v>1087.6309912835932</v>
      </c>
      <c r="M285" s="572">
        <f t="shared" si="21"/>
        <v>0</v>
      </c>
      <c r="N285" s="471">
        <v>1627.203321890235</v>
      </c>
      <c r="O285" s="471">
        <v>0</v>
      </c>
      <c r="P285" s="471">
        <v>0</v>
      </c>
      <c r="Q285" s="471">
        <v>1183.7720536170623</v>
      </c>
      <c r="R285" s="572">
        <f t="shared" si="22"/>
        <v>5228.4178034080915</v>
      </c>
      <c r="S285" s="471">
        <v>226.58214786316023</v>
      </c>
      <c r="T285" s="471">
        <v>365.15822033661738</v>
      </c>
      <c r="U285" s="471">
        <v>222.56206049485897</v>
      </c>
      <c r="V285" s="471">
        <v>0</v>
      </c>
      <c r="W285" s="471">
        <v>109.43236141333836</v>
      </c>
      <c r="X285" s="471">
        <v>166.34377655113391</v>
      </c>
      <c r="Y285" s="471">
        <v>0</v>
      </c>
      <c r="Z285" s="471">
        <v>3518.8219848215044</v>
      </c>
      <c r="AA285" s="471">
        <v>2146.1114968366028</v>
      </c>
      <c r="AB285" s="471">
        <v>500.38172730972491</v>
      </c>
      <c r="AC285" s="471">
        <v>266.68016823885182</v>
      </c>
      <c r="AD285" s="471">
        <v>32.829944953646525</v>
      </c>
      <c r="AE285" s="471">
        <v>681.62987520274692</v>
      </c>
      <c r="AF285" s="471">
        <v>0</v>
      </c>
      <c r="AG285" s="471">
        <v>1181.6265106482826</v>
      </c>
      <c r="AH285" s="685">
        <f t="shared" si="23"/>
        <v>19693.775177471376</v>
      </c>
      <c r="AI285" s="472">
        <f t="shared" si="24"/>
        <v>20875.401688119659</v>
      </c>
      <c r="AJ285" s="472"/>
      <c r="AK285" s="472"/>
      <c r="AL285" s="570">
        <v>177.92</v>
      </c>
      <c r="AM285" s="570">
        <v>5050.4978034080914</v>
      </c>
      <c r="AN285" s="566">
        <v>0</v>
      </c>
      <c r="AO285" s="566">
        <f t="shared" si="25"/>
        <v>5228.4178034080915</v>
      </c>
    </row>
    <row r="286" spans="1:41" x14ac:dyDescent="0.3">
      <c r="A286" s="466">
        <v>150000920</v>
      </c>
      <c r="B286" s="467" t="s">
        <v>327</v>
      </c>
      <c r="C286" s="468">
        <v>4553.8</v>
      </c>
      <c r="D286" s="469"/>
      <c r="E286" s="470"/>
      <c r="F286" s="470">
        <v>4553.8</v>
      </c>
      <c r="G286" s="471">
        <v>1389.0964733152182</v>
      </c>
      <c r="H286" s="471">
        <v>283.37002058416391</v>
      </c>
      <c r="I286" s="471">
        <v>553.9</v>
      </c>
      <c r="J286" s="471">
        <v>0</v>
      </c>
      <c r="K286" s="471">
        <v>107.87259182013038</v>
      </c>
      <c r="L286" s="471">
        <v>1088.511118828304</v>
      </c>
      <c r="M286" s="572">
        <f t="shared" si="21"/>
        <v>0</v>
      </c>
      <c r="N286" s="471">
        <v>1622.6068029920407</v>
      </c>
      <c r="O286" s="471">
        <v>0</v>
      </c>
      <c r="P286" s="471">
        <v>0</v>
      </c>
      <c r="Q286" s="471">
        <v>1183.7720536170623</v>
      </c>
      <c r="R286" s="572">
        <f t="shared" si="22"/>
        <v>6310.7100191589852</v>
      </c>
      <c r="S286" s="471">
        <v>226.64338208884197</v>
      </c>
      <c r="T286" s="471">
        <v>365.2358995895471</v>
      </c>
      <c r="U286" s="471">
        <v>229.9480953799698</v>
      </c>
      <c r="V286" s="471">
        <v>0</v>
      </c>
      <c r="W286" s="471">
        <v>109.43236141333836</v>
      </c>
      <c r="X286" s="471">
        <v>166.48089084610027</v>
      </c>
      <c r="Y286" s="471">
        <v>0</v>
      </c>
      <c r="Z286" s="471">
        <v>3361.8321598154139</v>
      </c>
      <c r="AA286" s="471">
        <v>2178.0118957167256</v>
      </c>
      <c r="AB286" s="471">
        <v>543.01737739513021</v>
      </c>
      <c r="AC286" s="471">
        <v>267.02332286710032</v>
      </c>
      <c r="AD286" s="471">
        <v>32.872189368108934</v>
      </c>
      <c r="AE286" s="471">
        <v>812.65255144309162</v>
      </c>
      <c r="AF286" s="471">
        <v>0</v>
      </c>
      <c r="AG286" s="471">
        <v>499.99174094974256</v>
      </c>
      <c r="AH286" s="685">
        <f t="shared" si="23"/>
        <v>20832.989206239272</v>
      </c>
      <c r="AI286" s="472">
        <f t="shared" si="24"/>
        <v>21332.980947189015</v>
      </c>
      <c r="AJ286" s="472"/>
      <c r="AK286" s="472"/>
      <c r="AL286" s="570">
        <v>177.92</v>
      </c>
      <c r="AM286" s="570">
        <v>6132.7900191589852</v>
      </c>
      <c r="AN286" s="566">
        <v>0</v>
      </c>
      <c r="AO286" s="566">
        <f t="shared" si="25"/>
        <v>6310.7100191589852</v>
      </c>
    </row>
    <row r="287" spans="1:41" x14ac:dyDescent="0.3">
      <c r="A287" s="466">
        <v>150000921</v>
      </c>
      <c r="B287" s="467" t="s">
        <v>328</v>
      </c>
      <c r="C287" s="468">
        <v>6129.13</v>
      </c>
      <c r="D287" s="469"/>
      <c r="E287" s="470">
        <v>45.1</v>
      </c>
      <c r="F287" s="470">
        <v>6174.2300000000005</v>
      </c>
      <c r="G287" s="471">
        <v>1824.8221796384883</v>
      </c>
      <c r="H287" s="471">
        <v>378.40183930418704</v>
      </c>
      <c r="I287" s="471">
        <v>763.26</v>
      </c>
      <c r="J287" s="471">
        <v>0</v>
      </c>
      <c r="K287" s="471">
        <v>166.96127125803071</v>
      </c>
      <c r="L287" s="471">
        <v>1739.5403227106781</v>
      </c>
      <c r="M287" s="572">
        <f t="shared" si="21"/>
        <v>0</v>
      </c>
      <c r="N287" s="471">
        <v>2199.9972772711908</v>
      </c>
      <c r="O287" s="471">
        <v>0</v>
      </c>
      <c r="P287" s="471">
        <v>0</v>
      </c>
      <c r="Q287" s="471">
        <v>1515.2282286298396</v>
      </c>
      <c r="R287" s="572">
        <f t="shared" si="22"/>
        <v>5670.1371200906478</v>
      </c>
      <c r="S287" s="471">
        <v>299.44349412688382</v>
      </c>
      <c r="T287" s="471">
        <v>487.71118283178066</v>
      </c>
      <c r="U287" s="471">
        <v>288.81991443716731</v>
      </c>
      <c r="V287" s="471">
        <v>0</v>
      </c>
      <c r="W287" s="471">
        <v>169.40589068738615</v>
      </c>
      <c r="X287" s="471">
        <v>271.26233108825579</v>
      </c>
      <c r="Y287" s="471">
        <v>0</v>
      </c>
      <c r="Z287" s="471">
        <v>4850.7024851949118</v>
      </c>
      <c r="AA287" s="471">
        <v>2921.6569203893009</v>
      </c>
      <c r="AB287" s="471">
        <v>672.21239096154284</v>
      </c>
      <c r="AC287" s="471">
        <v>314.08452902689771</v>
      </c>
      <c r="AD287" s="471">
        <v>38.665709065811271</v>
      </c>
      <c r="AE287" s="471">
        <v>854.76698309177414</v>
      </c>
      <c r="AF287" s="471">
        <v>0</v>
      </c>
      <c r="AG287" s="471">
        <v>1525.6248041882868</v>
      </c>
      <c r="AH287" s="685">
        <f t="shared" si="23"/>
        <v>25427.080069804779</v>
      </c>
      <c r="AI287" s="472">
        <f t="shared" si="24"/>
        <v>26952.704873993065</v>
      </c>
      <c r="AJ287" s="472"/>
      <c r="AK287" s="472"/>
      <c r="AL287" s="570">
        <v>182.16</v>
      </c>
      <c r="AM287" s="570">
        <v>5487.977120090648</v>
      </c>
      <c r="AN287" s="566">
        <v>0</v>
      </c>
      <c r="AO287" s="566">
        <f t="shared" si="25"/>
        <v>5670.1371200906478</v>
      </c>
    </row>
    <row r="288" spans="1:41" x14ac:dyDescent="0.3">
      <c r="A288" s="466">
        <v>150000922</v>
      </c>
      <c r="B288" s="467" t="s">
        <v>401</v>
      </c>
      <c r="C288" s="468">
        <v>4247.05</v>
      </c>
      <c r="D288" s="469">
        <v>410.5</v>
      </c>
      <c r="E288" s="470">
        <v>0</v>
      </c>
      <c r="F288" s="470">
        <v>4247.05</v>
      </c>
      <c r="G288" s="471">
        <v>1396.7054396467079</v>
      </c>
      <c r="H288" s="471">
        <v>228.6048841847753</v>
      </c>
      <c r="I288" s="471">
        <v>459.06</v>
      </c>
      <c r="J288" s="471">
        <v>114.41</v>
      </c>
      <c r="K288" s="471">
        <v>65.004820328168279</v>
      </c>
      <c r="L288" s="471">
        <v>494.47592152256118</v>
      </c>
      <c r="M288" s="572">
        <f t="shared" si="21"/>
        <v>0</v>
      </c>
      <c r="N288" s="471">
        <v>1513.3058594245128</v>
      </c>
      <c r="O288" s="471">
        <v>4800.7555319648973</v>
      </c>
      <c r="P288" s="471">
        <v>0</v>
      </c>
      <c r="Q288" s="471">
        <v>276.21347917731453</v>
      </c>
      <c r="R288" s="572">
        <f t="shared" si="22"/>
        <v>5634.8003753735511</v>
      </c>
      <c r="S288" s="471">
        <v>113.30852723468092</v>
      </c>
      <c r="T288" s="471">
        <v>151.14669366191487</v>
      </c>
      <c r="U288" s="471">
        <v>192.75612865747021</v>
      </c>
      <c r="V288" s="471">
        <v>64.104212851983064</v>
      </c>
      <c r="W288" s="471">
        <v>32.980617657691397</v>
      </c>
      <c r="X288" s="471">
        <v>55.331891859087676</v>
      </c>
      <c r="Y288" s="471">
        <v>0</v>
      </c>
      <c r="Z288" s="471">
        <v>4467.6486318553843</v>
      </c>
      <c r="AA288" s="471">
        <v>3238.5718323713136</v>
      </c>
      <c r="AB288" s="471">
        <v>431.84564670131198</v>
      </c>
      <c r="AC288" s="471">
        <v>153.1940304680904</v>
      </c>
      <c r="AD288" s="471">
        <v>18.85911359929143</v>
      </c>
      <c r="AE288" s="471">
        <v>1272.7917120490652</v>
      </c>
      <c r="AF288" s="471">
        <v>711.26595673330098</v>
      </c>
      <c r="AG288" s="471">
        <v>465.96854353181538</v>
      </c>
      <c r="AH288" s="685">
        <f t="shared" si="23"/>
        <v>25887.141307323076</v>
      </c>
      <c r="AI288" s="472">
        <f t="shared" si="24"/>
        <v>26353.109850854893</v>
      </c>
      <c r="AJ288" s="472"/>
      <c r="AK288" s="472"/>
      <c r="AL288" s="570">
        <v>50.66</v>
      </c>
      <c r="AM288" s="570">
        <v>5584.1403753735513</v>
      </c>
      <c r="AN288" s="566">
        <v>0</v>
      </c>
      <c r="AO288" s="566">
        <f t="shared" si="25"/>
        <v>5634.8003753735511</v>
      </c>
    </row>
    <row r="289" spans="1:41" x14ac:dyDescent="0.3">
      <c r="A289" s="466">
        <v>150000924</v>
      </c>
      <c r="B289" s="467" t="s">
        <v>174</v>
      </c>
      <c r="C289" s="468">
        <v>397.4</v>
      </c>
      <c r="D289" s="469"/>
      <c r="E289" s="470">
        <v>76.900000000000006</v>
      </c>
      <c r="F289" s="470">
        <v>474.29999999999995</v>
      </c>
      <c r="G289" s="471">
        <v>201.69592886967629</v>
      </c>
      <c r="H289" s="471">
        <v>54.691304110835745</v>
      </c>
      <c r="I289" s="471">
        <v>54.67</v>
      </c>
      <c r="J289" s="471">
        <v>0</v>
      </c>
      <c r="K289" s="471">
        <v>0</v>
      </c>
      <c r="L289" s="471">
        <v>100.59813170203689</v>
      </c>
      <c r="M289" s="572">
        <f t="shared" si="21"/>
        <v>0</v>
      </c>
      <c r="N289" s="471">
        <v>169.00224134988906</v>
      </c>
      <c r="O289" s="471">
        <v>0</v>
      </c>
      <c r="P289" s="471">
        <v>0</v>
      </c>
      <c r="Q289" s="471">
        <v>82.864043753194352</v>
      </c>
      <c r="R289" s="572">
        <f t="shared" si="22"/>
        <v>475.46910055247872</v>
      </c>
      <c r="S289" s="471">
        <v>34.368942899731842</v>
      </c>
      <c r="T289" s="471">
        <v>70.470758565569284</v>
      </c>
      <c r="U289" s="471">
        <v>25.033292314829822</v>
      </c>
      <c r="V289" s="471">
        <v>0</v>
      </c>
      <c r="W289" s="471">
        <v>0</v>
      </c>
      <c r="X289" s="471">
        <v>9.885650556902343</v>
      </c>
      <c r="Y289" s="471">
        <v>0</v>
      </c>
      <c r="Z289" s="471">
        <v>773.54902044273103</v>
      </c>
      <c r="AA289" s="471">
        <v>200.21823571520866</v>
      </c>
      <c r="AB289" s="471">
        <v>210.34441682985681</v>
      </c>
      <c r="AC289" s="471">
        <v>26.226818016137077</v>
      </c>
      <c r="AD289" s="471">
        <v>3.2286802481986934</v>
      </c>
      <c r="AE289" s="471">
        <v>107.62576976885478</v>
      </c>
      <c r="AF289" s="471">
        <v>0</v>
      </c>
      <c r="AG289" s="471">
        <v>0</v>
      </c>
      <c r="AH289" s="685">
        <f t="shared" si="23"/>
        <v>2599.9423356961315</v>
      </c>
      <c r="AI289" s="472">
        <f t="shared" si="24"/>
        <v>2599.9423356961315</v>
      </c>
      <c r="AJ289" s="472"/>
      <c r="AK289" s="472"/>
      <c r="AL289" s="570">
        <v>33.11</v>
      </c>
      <c r="AM289" s="570">
        <v>442.35910055247871</v>
      </c>
      <c r="AN289" s="566">
        <v>0</v>
      </c>
      <c r="AO289" s="566">
        <f t="shared" si="25"/>
        <v>475.46910055247872</v>
      </c>
    </row>
    <row r="290" spans="1:41" x14ac:dyDescent="0.3">
      <c r="A290" s="466">
        <v>150000925</v>
      </c>
      <c r="B290" s="467" t="s">
        <v>176</v>
      </c>
      <c r="C290" s="468">
        <v>366</v>
      </c>
      <c r="D290" s="469"/>
      <c r="E290" s="470">
        <v>113.4</v>
      </c>
      <c r="F290" s="470">
        <v>479.4</v>
      </c>
      <c r="G290" s="471">
        <v>201.82732400486984</v>
      </c>
      <c r="H290" s="471">
        <v>44.853147646426585</v>
      </c>
      <c r="I290" s="471">
        <v>47.93</v>
      </c>
      <c r="J290" s="471">
        <v>0</v>
      </c>
      <c r="K290" s="471">
        <v>0</v>
      </c>
      <c r="L290" s="471">
        <v>98.891409429387878</v>
      </c>
      <c r="M290" s="572">
        <f t="shared" si="21"/>
        <v>0</v>
      </c>
      <c r="N290" s="471">
        <v>170.81946975150078</v>
      </c>
      <c r="O290" s="471">
        <v>0</v>
      </c>
      <c r="P290" s="471">
        <v>0</v>
      </c>
      <c r="Q290" s="471">
        <v>71.02632321702373</v>
      </c>
      <c r="R290" s="572">
        <f t="shared" si="22"/>
        <v>588.80213509142493</v>
      </c>
      <c r="S290" s="471">
        <v>38.627080806710019</v>
      </c>
      <c r="T290" s="471">
        <v>57.821648717333993</v>
      </c>
      <c r="U290" s="471">
        <v>26.841317933491421</v>
      </c>
      <c r="V290" s="471">
        <v>0</v>
      </c>
      <c r="W290" s="471">
        <v>0</v>
      </c>
      <c r="X290" s="471">
        <v>9.8856385409863776</v>
      </c>
      <c r="Y290" s="471">
        <v>0</v>
      </c>
      <c r="Z290" s="471">
        <v>662.8281191565211</v>
      </c>
      <c r="AA290" s="471">
        <v>180.16329444182711</v>
      </c>
      <c r="AB290" s="471">
        <v>266.40586752862794</v>
      </c>
      <c r="AC290" s="471">
        <v>0</v>
      </c>
      <c r="AD290" s="471">
        <v>0</v>
      </c>
      <c r="AE290" s="471">
        <v>112.30515106315282</v>
      </c>
      <c r="AF290" s="471">
        <v>0</v>
      </c>
      <c r="AG290" s="471">
        <v>77.370837819878531</v>
      </c>
      <c r="AH290" s="685">
        <f t="shared" si="23"/>
        <v>2579.027927329284</v>
      </c>
      <c r="AI290" s="472">
        <f t="shared" si="24"/>
        <v>2656.3987651491625</v>
      </c>
      <c r="AJ290" s="472"/>
      <c r="AK290" s="472"/>
      <c r="AL290" s="570">
        <v>33.11</v>
      </c>
      <c r="AM290" s="570">
        <v>555.69213509142492</v>
      </c>
      <c r="AN290" s="566">
        <v>0</v>
      </c>
      <c r="AO290" s="566">
        <f t="shared" si="25"/>
        <v>588.80213509142493</v>
      </c>
    </row>
    <row r="291" spans="1:41" x14ac:dyDescent="0.3">
      <c r="A291" s="466">
        <v>150000926</v>
      </c>
      <c r="B291" s="467" t="s">
        <v>177</v>
      </c>
      <c r="C291" s="468">
        <v>284.10000000000002</v>
      </c>
      <c r="D291" s="469"/>
      <c r="E291" s="470">
        <v>120.4</v>
      </c>
      <c r="F291" s="470">
        <v>404.5</v>
      </c>
      <c r="G291" s="471">
        <v>119.89058087826869</v>
      </c>
      <c r="H291" s="471">
        <v>44.853147646426585</v>
      </c>
      <c r="I291" s="471">
        <v>0</v>
      </c>
      <c r="J291" s="471">
        <v>0</v>
      </c>
      <c r="K291" s="471">
        <v>0</v>
      </c>
      <c r="L291" s="471">
        <v>98.891409429387878</v>
      </c>
      <c r="M291" s="572">
        <f t="shared" si="21"/>
        <v>0</v>
      </c>
      <c r="N291" s="471">
        <v>144.13115459841899</v>
      </c>
      <c r="O291" s="471">
        <v>0</v>
      </c>
      <c r="P291" s="471">
        <v>0</v>
      </c>
      <c r="Q291" s="471">
        <v>59.188602680853108</v>
      </c>
      <c r="R291" s="572">
        <f t="shared" si="22"/>
        <v>577.19830388887806</v>
      </c>
      <c r="S291" s="471">
        <v>26.61714052703768</v>
      </c>
      <c r="T291" s="471">
        <v>57.821648717333993</v>
      </c>
      <c r="U291" s="471">
        <v>0</v>
      </c>
      <c r="V291" s="471">
        <v>0</v>
      </c>
      <c r="W291" s="471">
        <v>0</v>
      </c>
      <c r="X291" s="471">
        <v>9.8856385409863776</v>
      </c>
      <c r="Y291" s="471">
        <v>0</v>
      </c>
      <c r="Z291" s="471">
        <v>690.71740530352577</v>
      </c>
      <c r="AA291" s="471">
        <v>179.33082144339747</v>
      </c>
      <c r="AB291" s="471">
        <v>136.48518094100368</v>
      </c>
      <c r="AC291" s="471">
        <v>0</v>
      </c>
      <c r="AD291" s="471">
        <v>0</v>
      </c>
      <c r="AE291" s="471">
        <v>34.315462824852247</v>
      </c>
      <c r="AF291" s="471">
        <v>0</v>
      </c>
      <c r="AG291" s="471">
        <v>0</v>
      </c>
      <c r="AH291" s="685">
        <f t="shared" si="23"/>
        <v>2179.3264974203703</v>
      </c>
      <c r="AI291" s="472">
        <f t="shared" si="24"/>
        <v>2179.3264974203703</v>
      </c>
      <c r="AJ291" s="472"/>
      <c r="AK291" s="472"/>
      <c r="AL291" s="570">
        <v>30.94</v>
      </c>
      <c r="AM291" s="570">
        <v>546.258303888878</v>
      </c>
      <c r="AN291" s="566">
        <v>0</v>
      </c>
      <c r="AO291" s="566">
        <f t="shared" si="25"/>
        <v>577.19830388887806</v>
      </c>
    </row>
    <row r="292" spans="1:41" x14ac:dyDescent="0.3">
      <c r="A292" s="466">
        <v>150000927</v>
      </c>
      <c r="B292" s="467" t="s">
        <v>178</v>
      </c>
      <c r="C292" s="468">
        <v>418.2</v>
      </c>
      <c r="D292" s="469"/>
      <c r="E292" s="470">
        <v>184.7</v>
      </c>
      <c r="F292" s="470">
        <v>602.9</v>
      </c>
      <c r="G292" s="471">
        <v>237.57565913576701</v>
      </c>
      <c r="H292" s="471">
        <v>59.302693346970095</v>
      </c>
      <c r="I292" s="471">
        <v>75.36</v>
      </c>
      <c r="J292" s="471">
        <v>0</v>
      </c>
      <c r="K292" s="471">
        <v>0</v>
      </c>
      <c r="L292" s="471">
        <v>100.59813170203689</v>
      </c>
      <c r="M292" s="572">
        <f t="shared" si="21"/>
        <v>0</v>
      </c>
      <c r="N292" s="471">
        <v>214.82490261405886</v>
      </c>
      <c r="O292" s="471">
        <v>0</v>
      </c>
      <c r="P292" s="471">
        <v>0</v>
      </c>
      <c r="Q292" s="471">
        <v>94.701764289364974</v>
      </c>
      <c r="R292" s="572">
        <f t="shared" si="22"/>
        <v>654.5127686841879</v>
      </c>
      <c r="S292" s="471">
        <v>45.828047804636768</v>
      </c>
      <c r="T292" s="471">
        <v>76.443281957425015</v>
      </c>
      <c r="U292" s="471">
        <v>38.788729065541695</v>
      </c>
      <c r="V292" s="471">
        <v>0</v>
      </c>
      <c r="W292" s="471">
        <v>0</v>
      </c>
      <c r="X292" s="471">
        <v>9.885650556902343</v>
      </c>
      <c r="Y292" s="471">
        <v>0</v>
      </c>
      <c r="Z292" s="471">
        <v>480.94289145069962</v>
      </c>
      <c r="AA292" s="471">
        <v>497.64958379334286</v>
      </c>
      <c r="AB292" s="471">
        <v>156.33398101303035</v>
      </c>
      <c r="AC292" s="471">
        <v>50.002531544784709</v>
      </c>
      <c r="AD292" s="471">
        <v>6.1556146788087229</v>
      </c>
      <c r="AE292" s="471">
        <v>87.348450826896624</v>
      </c>
      <c r="AF292" s="471">
        <v>0</v>
      </c>
      <c r="AG292" s="471">
        <v>51.952584284360192</v>
      </c>
      <c r="AH292" s="685">
        <f t="shared" si="23"/>
        <v>2886.2546824644551</v>
      </c>
      <c r="AI292" s="472">
        <f t="shared" si="24"/>
        <v>2938.2072667488151</v>
      </c>
      <c r="AJ292" s="472"/>
      <c r="AK292" s="472"/>
      <c r="AL292" s="570">
        <v>80.08</v>
      </c>
      <c r="AM292" s="570">
        <v>574.43276868418786</v>
      </c>
      <c r="AN292" s="566">
        <v>0</v>
      </c>
      <c r="AO292" s="566">
        <f t="shared" si="25"/>
        <v>654.5127686841879</v>
      </c>
    </row>
    <row r="293" spans="1:41" x14ac:dyDescent="0.3">
      <c r="A293" s="466">
        <v>150000928</v>
      </c>
      <c r="B293" s="467" t="s">
        <v>169</v>
      </c>
      <c r="C293" s="468">
        <v>234.6</v>
      </c>
      <c r="D293" s="469"/>
      <c r="E293" s="470">
        <v>244.6</v>
      </c>
      <c r="F293" s="470">
        <v>479.2</v>
      </c>
      <c r="G293" s="471">
        <v>214.94985513167128</v>
      </c>
      <c r="H293" s="471">
        <v>46.875056045642026</v>
      </c>
      <c r="I293" s="471">
        <v>54.37</v>
      </c>
      <c r="J293" s="471">
        <v>0</v>
      </c>
      <c r="K293" s="471">
        <v>0</v>
      </c>
      <c r="L293" s="471">
        <v>98.891409429387878</v>
      </c>
      <c r="M293" s="572">
        <f t="shared" si="21"/>
        <v>0</v>
      </c>
      <c r="N293" s="471">
        <v>170.74820589261404</v>
      </c>
      <c r="O293" s="471">
        <v>0</v>
      </c>
      <c r="P293" s="471">
        <v>0</v>
      </c>
      <c r="Q293" s="471">
        <v>59.188602680853108</v>
      </c>
      <c r="R293" s="572">
        <f t="shared" si="22"/>
        <v>528.25752016418949</v>
      </c>
      <c r="S293" s="471">
        <v>41.537528062081215</v>
      </c>
      <c r="T293" s="471">
        <v>60.429174447106327</v>
      </c>
      <c r="U293" s="471">
        <v>25.127801682442445</v>
      </c>
      <c r="V293" s="471">
        <v>0</v>
      </c>
      <c r="W293" s="471">
        <v>0</v>
      </c>
      <c r="X293" s="471">
        <v>9.8856385409863776</v>
      </c>
      <c r="Y293" s="471">
        <v>0</v>
      </c>
      <c r="Z293" s="471">
        <v>581.39940469284295</v>
      </c>
      <c r="AA293" s="471">
        <v>232.72822952411272</v>
      </c>
      <c r="AB293" s="471">
        <v>159.22127669958698</v>
      </c>
      <c r="AC293" s="471">
        <v>0</v>
      </c>
      <c r="AD293" s="471">
        <v>0</v>
      </c>
      <c r="AE293" s="471">
        <v>77.989688238300573</v>
      </c>
      <c r="AF293" s="471">
        <v>0</v>
      </c>
      <c r="AG293" s="471">
        <v>42.508789042172708</v>
      </c>
      <c r="AH293" s="685">
        <f t="shared" si="23"/>
        <v>2361.5993912318172</v>
      </c>
      <c r="AI293" s="472">
        <f t="shared" si="24"/>
        <v>2404.10818027399</v>
      </c>
      <c r="AJ293" s="472"/>
      <c r="AK293" s="472"/>
      <c r="AL293" s="570">
        <v>33.74</v>
      </c>
      <c r="AM293" s="570">
        <v>494.51752016418948</v>
      </c>
      <c r="AN293" s="566">
        <v>0</v>
      </c>
      <c r="AO293" s="566">
        <f t="shared" si="25"/>
        <v>528.25752016418949</v>
      </c>
    </row>
    <row r="294" spans="1:41" x14ac:dyDescent="0.3">
      <c r="A294" s="466">
        <v>150000929</v>
      </c>
      <c r="B294" s="467" t="s">
        <v>1094</v>
      </c>
      <c r="C294" s="468">
        <v>170.2</v>
      </c>
      <c r="D294" s="469"/>
      <c r="E294" s="470">
        <v>318.60000000000002</v>
      </c>
      <c r="F294" s="470">
        <v>488.8</v>
      </c>
      <c r="G294" s="471">
        <v>225.50154479055126</v>
      </c>
      <c r="H294" s="471">
        <v>46.875056045642026</v>
      </c>
      <c r="I294" s="471">
        <v>0</v>
      </c>
      <c r="J294" s="471">
        <v>0</v>
      </c>
      <c r="K294" s="471">
        <v>0</v>
      </c>
      <c r="L294" s="471">
        <v>98.891409429387878</v>
      </c>
      <c r="M294" s="572">
        <f t="shared" si="21"/>
        <v>0</v>
      </c>
      <c r="N294" s="471">
        <v>174.16887111917728</v>
      </c>
      <c r="O294" s="471">
        <v>0</v>
      </c>
      <c r="P294" s="471">
        <v>0</v>
      </c>
      <c r="Q294" s="471">
        <v>23.675441072341243</v>
      </c>
      <c r="R294" s="572">
        <f t="shared" si="22"/>
        <v>677.76651307763382</v>
      </c>
      <c r="S294" s="471">
        <v>46.562148521513521</v>
      </c>
      <c r="T294" s="471">
        <v>60.429174447106327</v>
      </c>
      <c r="U294" s="471">
        <v>0</v>
      </c>
      <c r="V294" s="471">
        <v>0</v>
      </c>
      <c r="W294" s="471">
        <v>0</v>
      </c>
      <c r="X294" s="471">
        <v>9.8856385409863776</v>
      </c>
      <c r="Y294" s="471">
        <v>0</v>
      </c>
      <c r="Z294" s="471">
        <v>654.69286021947528</v>
      </c>
      <c r="AA294" s="471">
        <v>166.42441509770126</v>
      </c>
      <c r="AB294" s="471">
        <v>136.36468674323365</v>
      </c>
      <c r="AC294" s="471">
        <v>0</v>
      </c>
      <c r="AD294" s="471">
        <v>0</v>
      </c>
      <c r="AE294" s="471">
        <v>9.3587625885960666</v>
      </c>
      <c r="AF294" s="471">
        <v>0</v>
      </c>
      <c r="AG294" s="471">
        <v>0</v>
      </c>
      <c r="AH294" s="685">
        <f t="shared" si="23"/>
        <v>2330.5965216933459</v>
      </c>
      <c r="AI294" s="472">
        <f t="shared" si="24"/>
        <v>2330.5965216933459</v>
      </c>
      <c r="AJ294" s="472"/>
      <c r="AK294" s="472"/>
      <c r="AL294" s="570">
        <v>39.369999999999997</v>
      </c>
      <c r="AM294" s="570">
        <v>638.39651307763381</v>
      </c>
      <c r="AN294" s="566">
        <v>0</v>
      </c>
      <c r="AO294" s="566">
        <f t="shared" si="25"/>
        <v>677.76651307763382</v>
      </c>
    </row>
    <row r="295" spans="1:41" x14ac:dyDescent="0.3">
      <c r="A295" s="466">
        <v>150000930</v>
      </c>
      <c r="B295" s="467" t="s">
        <v>172</v>
      </c>
      <c r="C295" s="468">
        <v>239.5</v>
      </c>
      <c r="D295" s="469"/>
      <c r="E295" s="470">
        <v>88.4</v>
      </c>
      <c r="F295" s="470">
        <v>327.9</v>
      </c>
      <c r="G295" s="471">
        <v>71.30464882224291</v>
      </c>
      <c r="H295" s="471">
        <v>28.356606255025596</v>
      </c>
      <c r="I295" s="471">
        <v>41.44</v>
      </c>
      <c r="J295" s="471">
        <v>0</v>
      </c>
      <c r="K295" s="471">
        <v>0</v>
      </c>
      <c r="L295" s="471">
        <v>35.431778307452454</v>
      </c>
      <c r="M295" s="572">
        <f t="shared" si="21"/>
        <v>0</v>
      </c>
      <c r="N295" s="471">
        <v>116.83709664479997</v>
      </c>
      <c r="O295" s="471">
        <v>0</v>
      </c>
      <c r="P295" s="471">
        <v>0</v>
      </c>
      <c r="Q295" s="471">
        <v>71.02632321702373</v>
      </c>
      <c r="R295" s="572">
        <f t="shared" si="22"/>
        <v>331.51404941242919</v>
      </c>
      <c r="S295" s="471">
        <v>27.658508415781853</v>
      </c>
      <c r="T295" s="471">
        <v>36.539121725008329</v>
      </c>
      <c r="U295" s="471">
        <v>19.667271281263659</v>
      </c>
      <c r="V295" s="471">
        <v>0</v>
      </c>
      <c r="W295" s="471">
        <v>0</v>
      </c>
      <c r="X295" s="471">
        <v>4.9307126480382886</v>
      </c>
      <c r="Y295" s="471">
        <v>0</v>
      </c>
      <c r="Z295" s="471">
        <v>577.20529544262854</v>
      </c>
      <c r="AA295" s="471">
        <v>299.93477658771633</v>
      </c>
      <c r="AB295" s="471">
        <v>137.48036804739345</v>
      </c>
      <c r="AC295" s="471">
        <v>14.951737373685624</v>
      </c>
      <c r="AD295" s="471">
        <v>1.8406494872908439</v>
      </c>
      <c r="AE295" s="471">
        <v>9.3587625885960666</v>
      </c>
      <c r="AF295" s="471">
        <v>0</v>
      </c>
      <c r="AG295" s="471">
        <v>54.764331187691305</v>
      </c>
      <c r="AH295" s="685">
        <f t="shared" si="23"/>
        <v>1825.4777062563769</v>
      </c>
      <c r="AI295" s="472">
        <f t="shared" si="24"/>
        <v>1880.2420374440683</v>
      </c>
      <c r="AJ295" s="472"/>
      <c r="AK295" s="472"/>
      <c r="AL295" s="570">
        <v>34.729999999999997</v>
      </c>
      <c r="AM295" s="570">
        <v>296.78404941242917</v>
      </c>
      <c r="AN295" s="566">
        <v>0</v>
      </c>
      <c r="AO295" s="566">
        <f t="shared" si="25"/>
        <v>331.51404941242919</v>
      </c>
    </row>
    <row r="296" spans="1:41" x14ac:dyDescent="0.3">
      <c r="A296" s="466">
        <v>150000931</v>
      </c>
      <c r="B296" s="467" t="s">
        <v>266</v>
      </c>
      <c r="C296" s="468">
        <v>2128.4299999999998</v>
      </c>
      <c r="D296" s="469"/>
      <c r="E296" s="470">
        <v>163.9</v>
      </c>
      <c r="F296" s="470">
        <v>2292.33</v>
      </c>
      <c r="G296" s="471">
        <v>663.74160191982185</v>
      </c>
      <c r="H296" s="471">
        <v>137.81374113577408</v>
      </c>
      <c r="I296" s="471">
        <v>258.68</v>
      </c>
      <c r="J296" s="471">
        <v>65.27</v>
      </c>
      <c r="K296" s="471">
        <v>44.322556752048527</v>
      </c>
      <c r="L296" s="471">
        <v>492.8322558004823</v>
      </c>
      <c r="M296" s="572">
        <f t="shared" si="21"/>
        <v>0</v>
      </c>
      <c r="N296" s="471">
        <v>816.80140820913175</v>
      </c>
      <c r="O296" s="471">
        <v>0</v>
      </c>
      <c r="P296" s="471">
        <v>0</v>
      </c>
      <c r="Q296" s="471">
        <v>145.99855327943766</v>
      </c>
      <c r="R296" s="572">
        <f t="shared" si="22"/>
        <v>1869.4176888513305</v>
      </c>
      <c r="S296" s="471">
        <v>117.41713217559764</v>
      </c>
      <c r="T296" s="471">
        <v>177.63599736200752</v>
      </c>
      <c r="U296" s="471">
        <v>145.94221368316323</v>
      </c>
      <c r="V296" s="471">
        <v>74.377504824883587</v>
      </c>
      <c r="W296" s="471">
        <v>44.980177589529568</v>
      </c>
      <c r="X296" s="471">
        <v>64.863845432626519</v>
      </c>
      <c r="Y296" s="471">
        <v>0</v>
      </c>
      <c r="Z296" s="471">
        <v>1996.0643666674343</v>
      </c>
      <c r="AA296" s="471">
        <v>1976.9241456556797</v>
      </c>
      <c r="AB296" s="471">
        <v>1553.126296386828</v>
      </c>
      <c r="AC296" s="471">
        <v>164.22400066179293</v>
      </c>
      <c r="AD296" s="471">
        <v>20.216969778440415</v>
      </c>
      <c r="AE296" s="471">
        <v>349.3938033075865</v>
      </c>
      <c r="AF296" s="471">
        <v>0</v>
      </c>
      <c r="AG296" s="471">
        <v>0</v>
      </c>
      <c r="AH296" s="685">
        <f t="shared" si="23"/>
        <v>11180.044259473596</v>
      </c>
      <c r="AI296" s="472">
        <f t="shared" si="24"/>
        <v>11180.044259473596</v>
      </c>
      <c r="AJ296" s="472"/>
      <c r="AK296" s="472"/>
      <c r="AL296" s="570">
        <v>50.66</v>
      </c>
      <c r="AM296" s="570">
        <v>1818.7576888513304</v>
      </c>
      <c r="AN296" s="566">
        <v>0</v>
      </c>
      <c r="AO296" s="566">
        <f t="shared" si="25"/>
        <v>1869.4176888513305</v>
      </c>
    </row>
    <row r="297" spans="1:41" x14ac:dyDescent="0.3">
      <c r="A297" s="466">
        <v>150000932</v>
      </c>
      <c r="B297" s="467" t="s">
        <v>173</v>
      </c>
      <c r="C297" s="468">
        <v>354.3</v>
      </c>
      <c r="D297" s="469"/>
      <c r="E297" s="470"/>
      <c r="F297" s="470">
        <v>354.3</v>
      </c>
      <c r="G297" s="471">
        <v>36.485929913097976</v>
      </c>
      <c r="H297" s="471">
        <v>20.170298149918619</v>
      </c>
      <c r="I297" s="471">
        <v>40.31</v>
      </c>
      <c r="J297" s="471">
        <v>0</v>
      </c>
      <c r="K297" s="471">
        <v>0</v>
      </c>
      <c r="L297" s="471">
        <v>18.526704231024492</v>
      </c>
      <c r="M297" s="572">
        <f t="shared" si="21"/>
        <v>0</v>
      </c>
      <c r="N297" s="471">
        <v>126.24392601784884</v>
      </c>
      <c r="O297" s="471">
        <v>0</v>
      </c>
      <c r="P297" s="471">
        <v>0</v>
      </c>
      <c r="Q297" s="471">
        <v>193.34943542412014</v>
      </c>
      <c r="R297" s="572">
        <f t="shared" si="22"/>
        <v>224.09414895619801</v>
      </c>
      <c r="S297" s="471">
        <v>25.178429673877201</v>
      </c>
      <c r="T297" s="471">
        <v>26.002241915669433</v>
      </c>
      <c r="U297" s="471">
        <v>20.942872772732155</v>
      </c>
      <c r="V297" s="471">
        <v>0</v>
      </c>
      <c r="W297" s="471">
        <v>0</v>
      </c>
      <c r="X297" s="471">
        <v>0.14160744479917076</v>
      </c>
      <c r="Y297" s="471">
        <v>0</v>
      </c>
      <c r="Z297" s="471">
        <v>621.21684512789716</v>
      </c>
      <c r="AA297" s="471">
        <v>22.735622258304005</v>
      </c>
      <c r="AB297" s="471">
        <v>188.96892647377376</v>
      </c>
      <c r="AC297" s="471">
        <v>0</v>
      </c>
      <c r="AD297" s="471">
        <v>0</v>
      </c>
      <c r="AE297" s="471">
        <v>0</v>
      </c>
      <c r="AF297" s="471">
        <v>0</v>
      </c>
      <c r="AG297" s="471">
        <v>28.158605790466691</v>
      </c>
      <c r="AH297" s="685">
        <f t="shared" si="23"/>
        <v>1564.3669883592609</v>
      </c>
      <c r="AI297" s="472">
        <f t="shared" si="24"/>
        <v>1592.5255941497276</v>
      </c>
      <c r="AJ297" s="472"/>
      <c r="AK297" s="472"/>
      <c r="AL297" s="570">
        <v>68.06</v>
      </c>
      <c r="AM297" s="570">
        <v>156.03414895619801</v>
      </c>
      <c r="AN297" s="566">
        <v>0</v>
      </c>
      <c r="AO297" s="566">
        <f t="shared" si="25"/>
        <v>224.09414895619801</v>
      </c>
    </row>
    <row r="298" spans="1:41" x14ac:dyDescent="0.3">
      <c r="A298" s="466">
        <v>150000933</v>
      </c>
      <c r="B298" s="467" t="s">
        <v>267</v>
      </c>
      <c r="C298" s="468">
        <v>4358.7700000000004</v>
      </c>
      <c r="D298" s="469"/>
      <c r="E298" s="470">
        <v>376.3</v>
      </c>
      <c r="F298" s="470">
        <v>4735.0700000000006</v>
      </c>
      <c r="G298" s="471">
        <v>1169.2256863962887</v>
      </c>
      <c r="H298" s="471">
        <v>240.68693605795789</v>
      </c>
      <c r="I298" s="471">
        <v>539.11</v>
      </c>
      <c r="J298" s="471">
        <v>128.52000000000001</v>
      </c>
      <c r="K298" s="471">
        <v>73.878990818245256</v>
      </c>
      <c r="L298" s="471">
        <v>888.65976922740185</v>
      </c>
      <c r="M298" s="572">
        <f t="shared" si="21"/>
        <v>0</v>
      </c>
      <c r="N298" s="471">
        <v>1687.1968014940319</v>
      </c>
      <c r="O298" s="471">
        <v>0</v>
      </c>
      <c r="P298" s="471">
        <v>0</v>
      </c>
      <c r="Q298" s="471">
        <v>311.72664078582642</v>
      </c>
      <c r="R298" s="572">
        <f t="shared" si="22"/>
        <v>4381.5345620751277</v>
      </c>
      <c r="S298" s="471">
        <v>195.16923752252302</v>
      </c>
      <c r="T298" s="471">
        <v>310.2063144358163</v>
      </c>
      <c r="U298" s="471">
        <v>287.72502417210433</v>
      </c>
      <c r="V298" s="471">
        <v>135.65540363497172</v>
      </c>
      <c r="W298" s="471">
        <v>74.942692264072917</v>
      </c>
      <c r="X298" s="471">
        <v>126.19025656078298</v>
      </c>
      <c r="Y298" s="471">
        <v>0</v>
      </c>
      <c r="Z298" s="471">
        <v>5743.7463986046259</v>
      </c>
      <c r="AA298" s="471">
        <v>2561.0029200437871</v>
      </c>
      <c r="AB298" s="471">
        <v>1321.3402385478025</v>
      </c>
      <c r="AC298" s="471">
        <v>226.2369441952759</v>
      </c>
      <c r="AD298" s="471">
        <v>27.851138963433591</v>
      </c>
      <c r="AE298" s="471">
        <v>733.10306944002537</v>
      </c>
      <c r="AF298" s="471">
        <v>0</v>
      </c>
      <c r="AG298" s="471">
        <v>507.9290166057624</v>
      </c>
      <c r="AH298" s="685">
        <f t="shared" si="23"/>
        <v>21163.709025240099</v>
      </c>
      <c r="AI298" s="472">
        <f t="shared" si="24"/>
        <v>21671.638041845861</v>
      </c>
      <c r="AJ298" s="472"/>
      <c r="AK298" s="472"/>
      <c r="AL298" s="570">
        <v>100.77</v>
      </c>
      <c r="AM298" s="570">
        <v>4280.7645620751273</v>
      </c>
      <c r="AN298" s="566">
        <v>0</v>
      </c>
      <c r="AO298" s="566">
        <f t="shared" si="25"/>
        <v>4381.5345620751277</v>
      </c>
    </row>
    <row r="299" spans="1:41" x14ac:dyDescent="0.3">
      <c r="A299" s="466">
        <v>150000934</v>
      </c>
      <c r="B299" s="467" t="s">
        <v>215</v>
      </c>
      <c r="C299" s="468">
        <v>1981.17</v>
      </c>
      <c r="D299" s="469"/>
      <c r="E299" s="470"/>
      <c r="F299" s="470">
        <v>1981.17</v>
      </c>
      <c r="G299" s="471">
        <v>549.84232833810518</v>
      </c>
      <c r="H299" s="471">
        <v>78.116717363747711</v>
      </c>
      <c r="I299" s="471">
        <v>212.44</v>
      </c>
      <c r="J299" s="471">
        <v>0</v>
      </c>
      <c r="K299" s="471">
        <v>0</v>
      </c>
      <c r="L299" s="471">
        <v>385.0845420892756</v>
      </c>
      <c r="M299" s="572">
        <f t="shared" si="21"/>
        <v>0</v>
      </c>
      <c r="N299" s="471">
        <v>705.92909655315145</v>
      </c>
      <c r="O299" s="471">
        <v>0</v>
      </c>
      <c r="P299" s="471">
        <v>0</v>
      </c>
      <c r="Q299" s="471">
        <v>426.15793930214238</v>
      </c>
      <c r="R299" s="572">
        <f t="shared" si="22"/>
        <v>1494.1285285410243</v>
      </c>
      <c r="S299" s="471">
        <v>93.973235344287261</v>
      </c>
      <c r="T299" s="471">
        <v>100.6974605590315</v>
      </c>
      <c r="U299" s="471">
        <v>130.57305599791877</v>
      </c>
      <c r="V299" s="471">
        <v>0</v>
      </c>
      <c r="W299" s="471">
        <v>0</v>
      </c>
      <c r="X299" s="471">
        <v>49.468905067871262</v>
      </c>
      <c r="Y299" s="471">
        <v>0</v>
      </c>
      <c r="Z299" s="471">
        <v>2645.3540300824889</v>
      </c>
      <c r="AA299" s="471">
        <v>1223.927906025531</v>
      </c>
      <c r="AB299" s="471">
        <v>774.66867819156687</v>
      </c>
      <c r="AC299" s="471">
        <v>0</v>
      </c>
      <c r="AD299" s="471">
        <v>0</v>
      </c>
      <c r="AE299" s="471">
        <v>550.60719896240198</v>
      </c>
      <c r="AF299" s="471">
        <v>0</v>
      </c>
      <c r="AG299" s="471">
        <v>282.62908867255635</v>
      </c>
      <c r="AH299" s="685">
        <f t="shared" si="23"/>
        <v>9420.9696224185445</v>
      </c>
      <c r="AI299" s="472">
        <f t="shared" si="24"/>
        <v>9703.598711091101</v>
      </c>
      <c r="AJ299" s="472"/>
      <c r="AK299" s="472"/>
      <c r="AL299" s="570">
        <v>53.81</v>
      </c>
      <c r="AM299" s="570">
        <v>1440.3185285410243</v>
      </c>
      <c r="AN299" s="566">
        <v>0</v>
      </c>
      <c r="AO299" s="566">
        <f t="shared" si="25"/>
        <v>1494.1285285410243</v>
      </c>
    </row>
    <row r="300" spans="1:41" x14ac:dyDescent="0.3">
      <c r="A300" s="466">
        <v>150000935</v>
      </c>
      <c r="B300" s="467" t="s">
        <v>175</v>
      </c>
      <c r="C300" s="468">
        <v>286.2</v>
      </c>
      <c r="D300" s="469"/>
      <c r="E300" s="470"/>
      <c r="F300" s="470">
        <v>286.2</v>
      </c>
      <c r="G300" s="471">
        <v>46.634542939472631</v>
      </c>
      <c r="H300" s="471">
        <v>23.326575363366956</v>
      </c>
      <c r="I300" s="471">
        <v>31.96</v>
      </c>
      <c r="J300" s="471">
        <v>0</v>
      </c>
      <c r="K300" s="471">
        <v>0</v>
      </c>
      <c r="L300" s="471">
        <v>34.799623647132087</v>
      </c>
      <c r="M300" s="572">
        <f t="shared" si="21"/>
        <v>0</v>
      </c>
      <c r="N300" s="471">
        <v>101.97858206691599</v>
      </c>
      <c r="O300" s="471">
        <v>0</v>
      </c>
      <c r="P300" s="471">
        <v>0</v>
      </c>
      <c r="Q300" s="471">
        <v>71.02632321702373</v>
      </c>
      <c r="R300" s="572">
        <f t="shared" si="22"/>
        <v>375.53294492612025</v>
      </c>
      <c r="S300" s="471">
        <v>30.542493951386575</v>
      </c>
      <c r="T300" s="471">
        <v>30.071343487601602</v>
      </c>
      <c r="U300" s="471">
        <v>12.928319270847954</v>
      </c>
      <c r="V300" s="471">
        <v>0</v>
      </c>
      <c r="W300" s="471">
        <v>0</v>
      </c>
      <c r="X300" s="471">
        <v>4.9307049677091603</v>
      </c>
      <c r="Y300" s="471">
        <v>0</v>
      </c>
      <c r="Z300" s="471">
        <v>477.66060003494476</v>
      </c>
      <c r="AA300" s="471">
        <v>95.141324985855391</v>
      </c>
      <c r="AB300" s="471">
        <v>129.97380226409985</v>
      </c>
      <c r="AC300" s="471">
        <v>0</v>
      </c>
      <c r="AD300" s="471">
        <v>0</v>
      </c>
      <c r="AE300" s="471">
        <v>93.587625885960662</v>
      </c>
      <c r="AF300" s="471">
        <v>0</v>
      </c>
      <c r="AG300" s="471">
        <v>0</v>
      </c>
      <c r="AH300" s="685">
        <f t="shared" si="23"/>
        <v>1560.0948070084378</v>
      </c>
      <c r="AI300" s="472">
        <f t="shared" si="24"/>
        <v>1560.0948070084378</v>
      </c>
      <c r="AJ300" s="472"/>
      <c r="AK300" s="472"/>
      <c r="AL300" s="570">
        <v>8.69</v>
      </c>
      <c r="AM300" s="570">
        <v>366.84294492612025</v>
      </c>
      <c r="AN300" s="566">
        <v>0</v>
      </c>
      <c r="AO300" s="566">
        <f t="shared" si="25"/>
        <v>375.53294492612025</v>
      </c>
    </row>
    <row r="301" spans="1:41" x14ac:dyDescent="0.3">
      <c r="A301" s="466">
        <v>150000936</v>
      </c>
      <c r="B301" s="467" t="s">
        <v>121</v>
      </c>
      <c r="C301" s="468">
        <v>341.75</v>
      </c>
      <c r="D301" s="473"/>
      <c r="E301" s="470"/>
      <c r="F301" s="470">
        <v>341.75</v>
      </c>
      <c r="G301" s="471">
        <v>0</v>
      </c>
      <c r="H301" s="471">
        <v>0</v>
      </c>
      <c r="I301" s="471">
        <v>0</v>
      </c>
      <c r="J301" s="471">
        <v>0</v>
      </c>
      <c r="K301" s="471">
        <v>0</v>
      </c>
      <c r="L301" s="471">
        <v>0</v>
      </c>
      <c r="M301" s="572">
        <f t="shared" si="21"/>
        <v>0</v>
      </c>
      <c r="N301" s="471">
        <v>0</v>
      </c>
      <c r="O301" s="471">
        <v>0</v>
      </c>
      <c r="P301" s="471">
        <v>0</v>
      </c>
      <c r="Q301" s="471">
        <v>47.350882144682487</v>
      </c>
      <c r="R301" s="572">
        <f t="shared" si="22"/>
        <v>310.37103400093702</v>
      </c>
      <c r="S301" s="471">
        <v>0</v>
      </c>
      <c r="T301" s="471">
        <v>0</v>
      </c>
      <c r="U301" s="471">
        <v>0</v>
      </c>
      <c r="V301" s="471">
        <v>0</v>
      </c>
      <c r="W301" s="471">
        <v>0</v>
      </c>
      <c r="X301" s="471">
        <v>0</v>
      </c>
      <c r="Y301" s="471">
        <v>0</v>
      </c>
      <c r="Z301" s="471">
        <v>0</v>
      </c>
      <c r="AA301" s="471">
        <v>0</v>
      </c>
      <c r="AB301" s="471">
        <v>0</v>
      </c>
      <c r="AC301" s="471">
        <v>0</v>
      </c>
      <c r="AD301" s="471">
        <v>0</v>
      </c>
      <c r="AE301" s="471">
        <v>0</v>
      </c>
      <c r="AF301" s="471">
        <v>0</v>
      </c>
      <c r="AG301" s="471">
        <v>10.731657484368585</v>
      </c>
      <c r="AH301" s="685">
        <f t="shared" si="23"/>
        <v>357.7219161456195</v>
      </c>
      <c r="AI301" s="472">
        <f t="shared" si="24"/>
        <v>368.45357362998811</v>
      </c>
      <c r="AJ301" s="472"/>
      <c r="AK301" s="472"/>
      <c r="AL301" s="570">
        <v>29.35</v>
      </c>
      <c r="AM301" s="570">
        <v>281.02103400093699</v>
      </c>
      <c r="AN301" s="566">
        <v>0</v>
      </c>
      <c r="AO301" s="566">
        <f t="shared" si="25"/>
        <v>310.37103400093702</v>
      </c>
    </row>
    <row r="302" spans="1:41" x14ac:dyDescent="0.3">
      <c r="A302" s="466">
        <v>150000937</v>
      </c>
      <c r="B302" s="467" t="s">
        <v>374</v>
      </c>
      <c r="C302" s="468">
        <v>3813.3</v>
      </c>
      <c r="D302" s="469">
        <v>407.65</v>
      </c>
      <c r="E302" s="470"/>
      <c r="F302" s="470">
        <v>3813.3</v>
      </c>
      <c r="G302" s="471">
        <v>483.62287421012769</v>
      </c>
      <c r="H302" s="471">
        <v>187.05935440814824</v>
      </c>
      <c r="I302" s="471">
        <v>441.65</v>
      </c>
      <c r="J302" s="471">
        <v>103.69</v>
      </c>
      <c r="K302" s="471">
        <v>96.040310039594488</v>
      </c>
      <c r="L302" s="471">
        <v>745.71691375995658</v>
      </c>
      <c r="M302" s="572">
        <f t="shared" si="21"/>
        <v>0</v>
      </c>
      <c r="N302" s="471">
        <v>1358.752365463909</v>
      </c>
      <c r="O302" s="471">
        <v>2482.0329695679497</v>
      </c>
      <c r="P302" s="471">
        <v>0</v>
      </c>
      <c r="Q302" s="471">
        <v>284.10529286809492</v>
      </c>
      <c r="R302" s="572">
        <f t="shared" si="22"/>
        <v>5142.0898511199202</v>
      </c>
      <c r="S302" s="471">
        <v>50.751437500781456</v>
      </c>
      <c r="T302" s="471">
        <v>110.17768471433241</v>
      </c>
      <c r="U302" s="471">
        <v>115.21303453331467</v>
      </c>
      <c r="V302" s="471">
        <v>56.038785161897842</v>
      </c>
      <c r="W302" s="471">
        <v>48.716400740750082</v>
      </c>
      <c r="X302" s="471">
        <v>71.440070363248523</v>
      </c>
      <c r="Y302" s="471">
        <v>48.331614739655492</v>
      </c>
      <c r="Z302" s="471">
        <v>4834.6710245209706</v>
      </c>
      <c r="AA302" s="471">
        <v>2490.3882586436212</v>
      </c>
      <c r="AB302" s="471">
        <v>908.87331655057585</v>
      </c>
      <c r="AC302" s="471">
        <v>78.435343599662289</v>
      </c>
      <c r="AD302" s="471">
        <v>9.6558661628372136</v>
      </c>
      <c r="AE302" s="471">
        <v>714.38554426283315</v>
      </c>
      <c r="AF302" s="471">
        <v>1119.9319231019961</v>
      </c>
      <c r="AG302" s="471">
        <v>395.67186424861518</v>
      </c>
      <c r="AH302" s="685">
        <f t="shared" si="23"/>
        <v>21981.770236034179</v>
      </c>
      <c r="AI302" s="472">
        <f t="shared" si="24"/>
        <v>22377.442100282795</v>
      </c>
      <c r="AJ302" s="472"/>
      <c r="AK302" s="472"/>
      <c r="AL302" s="570">
        <v>78.22</v>
      </c>
      <c r="AM302" s="570">
        <v>5063.86985111992</v>
      </c>
      <c r="AN302" s="566">
        <v>0</v>
      </c>
      <c r="AO302" s="566">
        <f t="shared" si="25"/>
        <v>5142.0898511199202</v>
      </c>
    </row>
    <row r="303" spans="1:41" x14ac:dyDescent="0.3">
      <c r="A303" s="466">
        <v>150000938</v>
      </c>
      <c r="B303" s="467" t="s">
        <v>375</v>
      </c>
      <c r="C303" s="468">
        <v>14576.67</v>
      </c>
      <c r="D303" s="469">
        <v>1189.72</v>
      </c>
      <c r="E303" s="470">
        <v>855.7</v>
      </c>
      <c r="F303" s="470">
        <v>15432.37</v>
      </c>
      <c r="G303" s="471">
        <v>4446.6763588896129</v>
      </c>
      <c r="H303" s="471">
        <v>691.93692420594834</v>
      </c>
      <c r="I303" s="471">
        <v>1873.78</v>
      </c>
      <c r="J303" s="471">
        <v>417.97</v>
      </c>
      <c r="K303" s="471">
        <v>227.55319503565363</v>
      </c>
      <c r="L303" s="471">
        <v>2941.3305107134365</v>
      </c>
      <c r="M303" s="572">
        <f t="shared" si="21"/>
        <v>0</v>
      </c>
      <c r="N303" s="471">
        <v>5498.8511898393162</v>
      </c>
      <c r="O303" s="471">
        <v>9470.9117602827446</v>
      </c>
      <c r="P303" s="471">
        <v>0</v>
      </c>
      <c r="Q303" s="471">
        <v>966.7471771206009</v>
      </c>
      <c r="R303" s="572">
        <f t="shared" si="22"/>
        <v>19167.893111883033</v>
      </c>
      <c r="S303" s="471">
        <v>343.7844634990484</v>
      </c>
      <c r="T303" s="471">
        <v>426.36688302528813</v>
      </c>
      <c r="U303" s="471">
        <v>409.29926140646683</v>
      </c>
      <c r="V303" s="471">
        <v>226.23768326117096</v>
      </c>
      <c r="W303" s="471">
        <v>115.43212095659494</v>
      </c>
      <c r="X303" s="471">
        <v>364.48787796994583</v>
      </c>
      <c r="Y303" s="471">
        <v>117.86920167067872</v>
      </c>
      <c r="Z303" s="471">
        <v>17966.216350849689</v>
      </c>
      <c r="AA303" s="471">
        <v>10954.245604860964</v>
      </c>
      <c r="AB303" s="471">
        <v>3462.3745392402889</v>
      </c>
      <c r="AC303" s="471">
        <v>175.00886040674649</v>
      </c>
      <c r="AD303" s="471">
        <v>21.544651375830533</v>
      </c>
      <c r="AE303" s="471">
        <v>2066.7267383149647</v>
      </c>
      <c r="AF303" s="471">
        <v>1332.0638751101737</v>
      </c>
      <c r="AG303" s="471">
        <v>1506.3355501185274</v>
      </c>
      <c r="AH303" s="685">
        <f t="shared" si="23"/>
        <v>83685.308339918192</v>
      </c>
      <c r="AI303" s="472">
        <f t="shared" si="24"/>
        <v>85191.643890036721</v>
      </c>
      <c r="AJ303" s="472"/>
      <c r="AK303" s="472"/>
      <c r="AL303" s="570">
        <v>166.35</v>
      </c>
      <c r="AM303" s="570">
        <v>19001.543111883035</v>
      </c>
      <c r="AN303" s="566">
        <v>0</v>
      </c>
      <c r="AO303" s="566">
        <f t="shared" si="25"/>
        <v>19167.893111883033</v>
      </c>
    </row>
    <row r="304" spans="1:41" x14ac:dyDescent="0.3">
      <c r="A304" s="466">
        <v>150000939</v>
      </c>
      <c r="B304" s="467" t="s">
        <v>336</v>
      </c>
      <c r="C304" s="468">
        <v>5138.55</v>
      </c>
      <c r="D304" s="469">
        <v>642.45000000000005</v>
      </c>
      <c r="E304" s="470"/>
      <c r="F304" s="470">
        <v>5138.55</v>
      </c>
      <c r="G304" s="471">
        <v>1116.9321425874373</v>
      </c>
      <c r="H304" s="471">
        <v>192.03684168767575</v>
      </c>
      <c r="I304" s="471">
        <v>654.11</v>
      </c>
      <c r="J304" s="471">
        <v>136.59</v>
      </c>
      <c r="K304" s="471">
        <v>187.6434939888255</v>
      </c>
      <c r="L304" s="471">
        <v>680.21168059321769</v>
      </c>
      <c r="M304" s="572">
        <f t="shared" si="21"/>
        <v>0</v>
      </c>
      <c r="N304" s="471">
        <v>1830.9645104121284</v>
      </c>
      <c r="O304" s="471">
        <v>3200.5185431553105</v>
      </c>
      <c r="P304" s="471">
        <v>0</v>
      </c>
      <c r="Q304" s="471">
        <v>315.67254763121656</v>
      </c>
      <c r="R304" s="572">
        <f t="shared" si="22"/>
        <v>7240.4783079843974</v>
      </c>
      <c r="S304" s="471">
        <v>55.191976228387048</v>
      </c>
      <c r="T304" s="471">
        <v>73.771443858362431</v>
      </c>
      <c r="U304" s="471">
        <v>108.2476822254237</v>
      </c>
      <c r="V304" s="471">
        <v>28.772477766920876</v>
      </c>
      <c r="W304" s="471">
        <v>57.116084523971821</v>
      </c>
      <c r="X304" s="471">
        <v>37.598949406075214</v>
      </c>
      <c r="Y304" s="471">
        <v>49.306111695899787</v>
      </c>
      <c r="Z304" s="471">
        <v>6075.2868211309042</v>
      </c>
      <c r="AA304" s="471">
        <v>3069.0012569030873</v>
      </c>
      <c r="AB304" s="471">
        <v>1298.3904522151083</v>
      </c>
      <c r="AC304" s="471">
        <v>150.00759463435415</v>
      </c>
      <c r="AD304" s="471">
        <v>18.466844036426171</v>
      </c>
      <c r="AE304" s="471">
        <v>2880.9390835228228</v>
      </c>
      <c r="AF304" s="471">
        <v>617.67833084734036</v>
      </c>
      <c r="AG304" s="471">
        <v>902.24799531105873</v>
      </c>
      <c r="AH304" s="685">
        <f t="shared" si="23"/>
        <v>30074.933177035295</v>
      </c>
      <c r="AI304" s="472">
        <f t="shared" si="24"/>
        <v>30977.181172346354</v>
      </c>
      <c r="AJ304" s="472"/>
      <c r="AK304" s="472"/>
      <c r="AL304" s="570">
        <v>63.19</v>
      </c>
      <c r="AM304" s="570">
        <v>7177.2883079843978</v>
      </c>
      <c r="AN304" s="566">
        <v>0</v>
      </c>
      <c r="AO304" s="566">
        <f t="shared" si="25"/>
        <v>7240.4783079843974</v>
      </c>
    </row>
    <row r="305" spans="1:41" x14ac:dyDescent="0.3">
      <c r="A305" s="466">
        <v>150000940</v>
      </c>
      <c r="B305" s="467" t="s">
        <v>376</v>
      </c>
      <c r="C305" s="468">
        <v>7450.81</v>
      </c>
      <c r="D305" s="469">
        <v>941.36</v>
      </c>
      <c r="E305" s="470"/>
      <c r="F305" s="470">
        <v>7450.81</v>
      </c>
      <c r="G305" s="471">
        <v>1713.9994494539276</v>
      </c>
      <c r="H305" s="471">
        <v>293.92414927923141</v>
      </c>
      <c r="I305" s="471">
        <v>1001.6</v>
      </c>
      <c r="J305" s="471">
        <v>195.09</v>
      </c>
      <c r="K305" s="471">
        <v>97.519365684823939</v>
      </c>
      <c r="L305" s="471">
        <v>1302.7247042989966</v>
      </c>
      <c r="M305" s="572">
        <f t="shared" si="21"/>
        <v>0</v>
      </c>
      <c r="N305" s="471">
        <v>2654.8673621593234</v>
      </c>
      <c r="O305" s="471">
        <v>7058.1113511023377</v>
      </c>
      <c r="P305" s="471">
        <v>0</v>
      </c>
      <c r="Q305" s="471">
        <v>473.50882144682487</v>
      </c>
      <c r="R305" s="572">
        <f t="shared" si="22"/>
        <v>9924.9706628408949</v>
      </c>
      <c r="S305" s="471">
        <v>142.66125361904955</v>
      </c>
      <c r="T305" s="471">
        <v>195.16163375359278</v>
      </c>
      <c r="U305" s="471">
        <v>243.74768870344172</v>
      </c>
      <c r="V305" s="471">
        <v>100.38033698296513</v>
      </c>
      <c r="W305" s="471">
        <v>49.470906063874629</v>
      </c>
      <c r="X305" s="471">
        <v>160.16315604489395</v>
      </c>
      <c r="Y305" s="471">
        <v>71.510810383329883</v>
      </c>
      <c r="Z305" s="471">
        <v>8735.5847024972791</v>
      </c>
      <c r="AA305" s="471">
        <v>4899.2750195349372</v>
      </c>
      <c r="AB305" s="471">
        <v>1298.3904522151083</v>
      </c>
      <c r="AC305" s="471">
        <v>190.79397330617849</v>
      </c>
      <c r="AD305" s="471">
        <v>23.48789444110152</v>
      </c>
      <c r="AE305" s="471">
        <v>2447.3164169178717</v>
      </c>
      <c r="AF305" s="471">
        <v>1389.7762444065161</v>
      </c>
      <c r="AG305" s="471">
        <v>1339.921090654095</v>
      </c>
      <c r="AH305" s="685">
        <f t="shared" si="23"/>
        <v>44664.036355136501</v>
      </c>
      <c r="AI305" s="472">
        <f t="shared" si="24"/>
        <v>46003.957445790598</v>
      </c>
      <c r="AJ305" s="472"/>
      <c r="AK305" s="472"/>
      <c r="AL305" s="570">
        <v>91.1</v>
      </c>
      <c r="AM305" s="570">
        <v>9833.8706628408945</v>
      </c>
      <c r="AN305" s="566">
        <v>0</v>
      </c>
      <c r="AO305" s="566">
        <f t="shared" si="25"/>
        <v>9924.9706628408949</v>
      </c>
    </row>
    <row r="306" spans="1:41" x14ac:dyDescent="0.3">
      <c r="A306" s="466">
        <v>150000941</v>
      </c>
      <c r="B306" s="467" t="s">
        <v>337</v>
      </c>
      <c r="C306" s="468">
        <v>6120.05</v>
      </c>
      <c r="D306" s="469">
        <v>717.15</v>
      </c>
      <c r="E306" s="470"/>
      <c r="F306" s="470">
        <v>6120.05</v>
      </c>
      <c r="G306" s="471">
        <v>842.28315136509104</v>
      </c>
      <c r="H306" s="471">
        <v>234.89271892795449</v>
      </c>
      <c r="I306" s="471">
        <v>818</v>
      </c>
      <c r="J306" s="471">
        <v>150.96</v>
      </c>
      <c r="K306" s="471">
        <v>90.863676549278793</v>
      </c>
      <c r="L306" s="471">
        <v>1070.9531263359538</v>
      </c>
      <c r="M306" s="572">
        <f t="shared" si="21"/>
        <v>0</v>
      </c>
      <c r="N306" s="471">
        <v>2180.6918978987742</v>
      </c>
      <c r="O306" s="471">
        <v>4474.1904245430651</v>
      </c>
      <c r="P306" s="471">
        <v>394.60553971773282</v>
      </c>
      <c r="Q306" s="471">
        <v>402.48249822980114</v>
      </c>
      <c r="R306" s="572">
        <f t="shared" si="22"/>
        <v>9724.6087688575335</v>
      </c>
      <c r="S306" s="471">
        <v>43.221517890003916</v>
      </c>
      <c r="T306" s="471">
        <v>60.071093490370153</v>
      </c>
      <c r="U306" s="471">
        <v>38.37075920514711</v>
      </c>
      <c r="V306" s="471">
        <v>35.66350593768432</v>
      </c>
      <c r="W306" s="471">
        <v>27.659892482584404</v>
      </c>
      <c r="X306" s="471">
        <v>57.097134633221827</v>
      </c>
      <c r="Y306" s="471">
        <v>90.327581420924687</v>
      </c>
      <c r="Z306" s="471">
        <v>6090.6480374095536</v>
      </c>
      <c r="AA306" s="471">
        <v>4434.0275574213347</v>
      </c>
      <c r="AB306" s="471">
        <v>757.39443045881319</v>
      </c>
      <c r="AC306" s="471">
        <v>151.77238986534655</v>
      </c>
      <c r="AD306" s="471">
        <v>18.684101025090008</v>
      </c>
      <c r="AE306" s="471">
        <v>1131.7863557142177</v>
      </c>
      <c r="AF306" s="471">
        <v>753.38038838198338</v>
      </c>
      <c r="AG306" s="471">
        <v>1022.2390964328438</v>
      </c>
      <c r="AH306" s="685">
        <f t="shared" si="23"/>
        <v>34074.63654776146</v>
      </c>
      <c r="AI306" s="472">
        <f t="shared" si="24"/>
        <v>35096.875644194304</v>
      </c>
      <c r="AJ306" s="472"/>
      <c r="AK306" s="472"/>
      <c r="AL306" s="570">
        <v>91.1</v>
      </c>
      <c r="AM306" s="570">
        <v>9633.5087688575331</v>
      </c>
      <c r="AN306" s="566">
        <v>0</v>
      </c>
      <c r="AO306" s="566">
        <f t="shared" si="25"/>
        <v>9724.6087688575335</v>
      </c>
    </row>
    <row r="307" spans="1:41" x14ac:dyDescent="0.3">
      <c r="A307" s="466">
        <v>150000943</v>
      </c>
      <c r="B307" s="467" t="s">
        <v>122</v>
      </c>
      <c r="C307" s="468">
        <v>105</v>
      </c>
      <c r="D307" s="473"/>
      <c r="E307" s="470"/>
      <c r="F307" s="470">
        <v>105</v>
      </c>
      <c r="G307" s="471">
        <v>0</v>
      </c>
      <c r="H307" s="471">
        <v>0</v>
      </c>
      <c r="I307" s="471">
        <v>0</v>
      </c>
      <c r="J307" s="471">
        <v>0</v>
      </c>
      <c r="K307" s="471">
        <v>0</v>
      </c>
      <c r="L307" s="471">
        <v>0</v>
      </c>
      <c r="M307" s="572">
        <f t="shared" si="21"/>
        <v>0</v>
      </c>
      <c r="N307" s="471">
        <v>0</v>
      </c>
      <c r="O307" s="471">
        <v>0</v>
      </c>
      <c r="P307" s="471">
        <v>0</v>
      </c>
      <c r="Q307" s="471">
        <v>31.567254763121657</v>
      </c>
      <c r="R307" s="572">
        <f t="shared" si="22"/>
        <v>131.42872417191259</v>
      </c>
      <c r="S307" s="471">
        <v>0</v>
      </c>
      <c r="T307" s="471">
        <v>0</v>
      </c>
      <c r="U307" s="471">
        <v>0</v>
      </c>
      <c r="V307" s="471">
        <v>0</v>
      </c>
      <c r="W307" s="471">
        <v>0</v>
      </c>
      <c r="X307" s="471">
        <v>0</v>
      </c>
      <c r="Y307" s="471">
        <v>0</v>
      </c>
      <c r="Z307" s="471">
        <v>14.356206452518503</v>
      </c>
      <c r="AA307" s="471">
        <v>0</v>
      </c>
      <c r="AB307" s="471">
        <v>0</v>
      </c>
      <c r="AC307" s="471">
        <v>0</v>
      </c>
      <c r="AD307" s="471">
        <v>0</v>
      </c>
      <c r="AE307" s="471">
        <v>0</v>
      </c>
      <c r="AF307" s="471">
        <v>0</v>
      </c>
      <c r="AG307" s="471">
        <v>3.1923393369759498</v>
      </c>
      <c r="AH307" s="685">
        <f t="shared" si="23"/>
        <v>177.35218538755277</v>
      </c>
      <c r="AI307" s="472">
        <f t="shared" si="24"/>
        <v>180.54452472452871</v>
      </c>
      <c r="AJ307" s="472"/>
      <c r="AK307" s="472"/>
      <c r="AL307" s="570">
        <v>12.805</v>
      </c>
      <c r="AM307" s="570">
        <v>118.6237241719126</v>
      </c>
      <c r="AN307" s="566">
        <v>0</v>
      </c>
      <c r="AO307" s="566">
        <f t="shared" si="25"/>
        <v>131.42872417191259</v>
      </c>
    </row>
    <row r="308" spans="1:41" x14ac:dyDescent="0.3">
      <c r="A308" s="466">
        <v>150000944</v>
      </c>
      <c r="B308" s="467" t="s">
        <v>123</v>
      </c>
      <c r="C308" s="468">
        <v>140.69999999999999</v>
      </c>
      <c r="D308" s="473"/>
      <c r="E308" s="470"/>
      <c r="F308" s="470">
        <v>140.69999999999999</v>
      </c>
      <c r="G308" s="471">
        <v>0</v>
      </c>
      <c r="H308" s="471">
        <v>0</v>
      </c>
      <c r="I308" s="471">
        <v>0</v>
      </c>
      <c r="J308" s="471">
        <v>0</v>
      </c>
      <c r="K308" s="471">
        <v>0</v>
      </c>
      <c r="L308" s="471">
        <v>0</v>
      </c>
      <c r="M308" s="572">
        <f t="shared" si="21"/>
        <v>0</v>
      </c>
      <c r="N308" s="471">
        <v>0</v>
      </c>
      <c r="O308" s="471">
        <v>0</v>
      </c>
      <c r="P308" s="471">
        <v>0</v>
      </c>
      <c r="Q308" s="471">
        <v>31.567254763121657</v>
      </c>
      <c r="R308" s="572">
        <f t="shared" si="22"/>
        <v>146.53759262079467</v>
      </c>
      <c r="S308" s="471">
        <v>0</v>
      </c>
      <c r="T308" s="471">
        <v>0</v>
      </c>
      <c r="U308" s="471">
        <v>0</v>
      </c>
      <c r="V308" s="471">
        <v>0</v>
      </c>
      <c r="W308" s="471">
        <v>0</v>
      </c>
      <c r="X308" s="471">
        <v>0</v>
      </c>
      <c r="Y308" s="471">
        <v>0</v>
      </c>
      <c r="Z308" s="471">
        <v>87.732372765390863</v>
      </c>
      <c r="AA308" s="471">
        <v>0</v>
      </c>
      <c r="AB308" s="471">
        <v>0</v>
      </c>
      <c r="AC308" s="471">
        <v>0</v>
      </c>
      <c r="AD308" s="471">
        <v>0</v>
      </c>
      <c r="AE308" s="471">
        <v>0</v>
      </c>
      <c r="AF308" s="471">
        <v>0</v>
      </c>
      <c r="AG308" s="471">
        <v>4.7850699626875288</v>
      </c>
      <c r="AH308" s="685">
        <f t="shared" si="23"/>
        <v>265.8372201493072</v>
      </c>
      <c r="AI308" s="472">
        <f t="shared" si="24"/>
        <v>270.62229011199474</v>
      </c>
      <c r="AJ308" s="472"/>
      <c r="AK308" s="472"/>
      <c r="AL308" s="570">
        <v>27.19</v>
      </c>
      <c r="AM308" s="570">
        <v>119.34759262079466</v>
      </c>
      <c r="AN308" s="566">
        <v>0</v>
      </c>
      <c r="AO308" s="566">
        <f t="shared" si="25"/>
        <v>146.53759262079467</v>
      </c>
    </row>
    <row r="309" spans="1:41" x14ac:dyDescent="0.3">
      <c r="A309" s="466">
        <v>150000945</v>
      </c>
      <c r="B309" s="467" t="s">
        <v>421</v>
      </c>
      <c r="C309" s="468">
        <v>6677.85</v>
      </c>
      <c r="D309" s="469">
        <v>613.75</v>
      </c>
      <c r="E309" s="470">
        <v>64.91</v>
      </c>
      <c r="F309" s="470">
        <v>6742.76</v>
      </c>
      <c r="G309" s="471">
        <v>2092.5113582260219</v>
      </c>
      <c r="H309" s="471">
        <v>325.98319397301213</v>
      </c>
      <c r="I309" s="471">
        <v>808.22</v>
      </c>
      <c r="J309" s="471">
        <v>175.81</v>
      </c>
      <c r="K309" s="471">
        <v>104.17501397504415</v>
      </c>
      <c r="L309" s="471">
        <v>935.84038284521625</v>
      </c>
      <c r="M309" s="572">
        <f t="shared" si="21"/>
        <v>0</v>
      </c>
      <c r="N309" s="471">
        <v>2402.5754857355641</v>
      </c>
      <c r="O309" s="471">
        <v>3174.39199759548</v>
      </c>
      <c r="P309" s="471">
        <v>394.60553971773282</v>
      </c>
      <c r="Q309" s="471">
        <v>453.77928721987388</v>
      </c>
      <c r="R309" s="572">
        <f t="shared" si="22"/>
        <v>8593.7323600466589</v>
      </c>
      <c r="S309" s="471">
        <v>163.52292060832303</v>
      </c>
      <c r="T309" s="471">
        <v>199.4568947180004</v>
      </c>
      <c r="U309" s="471">
        <v>229.33534973657356</v>
      </c>
      <c r="V309" s="471">
        <v>97.209426829951681</v>
      </c>
      <c r="W309" s="471">
        <v>52.842011746104383</v>
      </c>
      <c r="X309" s="471">
        <v>102.63094785733381</v>
      </c>
      <c r="Y309" s="471">
        <v>59.671551360139539</v>
      </c>
      <c r="Z309" s="471">
        <v>7389.7723195229109</v>
      </c>
      <c r="AA309" s="471">
        <v>6150.0328990141552</v>
      </c>
      <c r="AB309" s="471">
        <v>1298.3904522151083</v>
      </c>
      <c r="AC309" s="471">
        <v>182.31315177946502</v>
      </c>
      <c r="AD309" s="471">
        <v>22.443853912244748</v>
      </c>
      <c r="AE309" s="471">
        <v>2222.7061147915661</v>
      </c>
      <c r="AF309" s="471">
        <v>1006.0669782740772</v>
      </c>
      <c r="AG309" s="471">
        <v>695.48435085060999</v>
      </c>
      <c r="AH309" s="685">
        <f t="shared" si="23"/>
        <v>38638.019491700565</v>
      </c>
      <c r="AI309" s="472">
        <f t="shared" si="24"/>
        <v>39333.503842551174</v>
      </c>
      <c r="AJ309" s="472"/>
      <c r="AK309" s="472"/>
      <c r="AL309" s="570">
        <v>81.98</v>
      </c>
      <c r="AM309" s="570">
        <v>8511.7523600466593</v>
      </c>
      <c r="AN309" s="566">
        <v>0</v>
      </c>
      <c r="AO309" s="566">
        <f t="shared" si="25"/>
        <v>8593.7323600466589</v>
      </c>
    </row>
    <row r="310" spans="1:41" x14ac:dyDescent="0.3">
      <c r="A310" s="466">
        <v>150000946</v>
      </c>
      <c r="B310" s="467" t="s">
        <v>124</v>
      </c>
      <c r="C310" s="468">
        <v>100.2</v>
      </c>
      <c r="D310" s="473"/>
      <c r="E310" s="470"/>
      <c r="F310" s="470">
        <v>100.2</v>
      </c>
      <c r="G310" s="471">
        <v>0</v>
      </c>
      <c r="H310" s="471">
        <v>0</v>
      </c>
      <c r="I310" s="471">
        <v>0</v>
      </c>
      <c r="J310" s="471">
        <v>0</v>
      </c>
      <c r="K310" s="471">
        <v>0</v>
      </c>
      <c r="L310" s="471">
        <v>0</v>
      </c>
      <c r="M310" s="572">
        <f t="shared" si="21"/>
        <v>0</v>
      </c>
      <c r="N310" s="471">
        <v>0</v>
      </c>
      <c r="O310" s="471">
        <v>0</v>
      </c>
      <c r="P310" s="471">
        <v>0</v>
      </c>
      <c r="Q310" s="471">
        <v>27.621347917731452</v>
      </c>
      <c r="R310" s="572">
        <f t="shared" si="22"/>
        <v>96.093575918001306</v>
      </c>
      <c r="S310" s="471">
        <v>0</v>
      </c>
      <c r="T310" s="471">
        <v>0</v>
      </c>
      <c r="U310" s="471">
        <v>0</v>
      </c>
      <c r="V310" s="471">
        <v>0</v>
      </c>
      <c r="W310" s="471">
        <v>0</v>
      </c>
      <c r="X310" s="471">
        <v>0</v>
      </c>
      <c r="Y310" s="471">
        <v>0</v>
      </c>
      <c r="Z310" s="471">
        <v>39.878351256995849</v>
      </c>
      <c r="AA310" s="471">
        <v>0</v>
      </c>
      <c r="AB310" s="471">
        <v>0</v>
      </c>
      <c r="AC310" s="471">
        <v>0</v>
      </c>
      <c r="AD310" s="471">
        <v>0</v>
      </c>
      <c r="AE310" s="471">
        <v>0</v>
      </c>
      <c r="AF310" s="471">
        <v>0</v>
      </c>
      <c r="AG310" s="471">
        <v>4.9077982527818591</v>
      </c>
      <c r="AH310" s="685">
        <f t="shared" si="23"/>
        <v>163.59327509272862</v>
      </c>
      <c r="AI310" s="472">
        <f t="shared" si="24"/>
        <v>168.50107334551046</v>
      </c>
      <c r="AJ310" s="472"/>
      <c r="AK310" s="472"/>
      <c r="AL310" s="570">
        <v>27.19</v>
      </c>
      <c r="AM310" s="570">
        <v>68.903575918001309</v>
      </c>
      <c r="AN310" s="566">
        <v>0</v>
      </c>
      <c r="AO310" s="566">
        <f t="shared" si="25"/>
        <v>96.093575918001306</v>
      </c>
    </row>
    <row r="311" spans="1:41" x14ac:dyDescent="0.3">
      <c r="A311" s="466">
        <v>150000947</v>
      </c>
      <c r="B311" s="467" t="s">
        <v>268</v>
      </c>
      <c r="C311" s="468">
        <v>3267.3</v>
      </c>
      <c r="D311" s="469"/>
      <c r="E311" s="470"/>
      <c r="F311" s="470">
        <v>3267.3</v>
      </c>
      <c r="G311" s="471">
        <v>940.08884190951267</v>
      </c>
      <c r="H311" s="471">
        <v>195.16819499078184</v>
      </c>
      <c r="I311" s="471">
        <v>452.35</v>
      </c>
      <c r="J311" s="471">
        <v>88.99</v>
      </c>
      <c r="K311" s="471">
        <v>59.112908977718426</v>
      </c>
      <c r="L311" s="471">
        <v>676.70795532857437</v>
      </c>
      <c r="M311" s="572">
        <f t="shared" si="21"/>
        <v>0</v>
      </c>
      <c r="N311" s="471">
        <v>1164.202030703126</v>
      </c>
      <c r="O311" s="471">
        <v>0</v>
      </c>
      <c r="P311" s="471">
        <v>0</v>
      </c>
      <c r="Q311" s="471">
        <v>355.13161608511865</v>
      </c>
      <c r="R311" s="572">
        <f t="shared" si="22"/>
        <v>3795.022610286956</v>
      </c>
      <c r="S311" s="471">
        <v>167.74561118278154</v>
      </c>
      <c r="T311" s="471">
        <v>251.54943284259048</v>
      </c>
      <c r="U311" s="471">
        <v>174.79166954919475</v>
      </c>
      <c r="V311" s="471">
        <v>100.93986652610181</v>
      </c>
      <c r="W311" s="471">
        <v>59.973570119372766</v>
      </c>
      <c r="X311" s="471">
        <v>93.587369723254</v>
      </c>
      <c r="Y311" s="471">
        <v>53.862315927238768</v>
      </c>
      <c r="Z311" s="471">
        <v>3030.4286928093388</v>
      </c>
      <c r="AA311" s="471">
        <v>1595.8581334057224</v>
      </c>
      <c r="AB311" s="471">
        <v>1081.9920435125903</v>
      </c>
      <c r="AC311" s="471">
        <v>93.705724556721549</v>
      </c>
      <c r="AD311" s="471">
        <v>11.535742606414583</v>
      </c>
      <c r="AE311" s="471">
        <v>650.43399990742671</v>
      </c>
      <c r="AF311" s="471">
        <v>0</v>
      </c>
      <c r="AG311" s="471">
        <v>905.59069985703218</v>
      </c>
      <c r="AH311" s="685">
        <f t="shared" si="23"/>
        <v>15093.178330950535</v>
      </c>
      <c r="AI311" s="472">
        <f t="shared" si="24"/>
        <v>15998.769030807567</v>
      </c>
      <c r="AJ311" s="472"/>
      <c r="AK311" s="472"/>
      <c r="AL311" s="570">
        <v>75.709999999999994</v>
      </c>
      <c r="AM311" s="570">
        <v>3719.312610286956</v>
      </c>
      <c r="AN311" s="566">
        <v>0</v>
      </c>
      <c r="AO311" s="566">
        <f t="shared" si="25"/>
        <v>3795.022610286956</v>
      </c>
    </row>
    <row r="312" spans="1:41" x14ac:dyDescent="0.3">
      <c r="A312" s="466">
        <v>150000948</v>
      </c>
      <c r="B312" s="467" t="s">
        <v>383</v>
      </c>
      <c r="C312" s="468">
        <v>6615</v>
      </c>
      <c r="D312" s="469">
        <v>699.7</v>
      </c>
      <c r="E312" s="470"/>
      <c r="F312" s="470">
        <v>6615</v>
      </c>
      <c r="G312" s="471">
        <v>1418.8164511769655</v>
      </c>
      <c r="H312" s="471">
        <v>292.94308169694722</v>
      </c>
      <c r="I312" s="471">
        <v>817.17</v>
      </c>
      <c r="J312" s="471">
        <v>167.07</v>
      </c>
      <c r="K312" s="471">
        <v>72.400016863665712</v>
      </c>
      <c r="L312" s="471">
        <v>1066.738306546273</v>
      </c>
      <c r="M312" s="572">
        <f t="shared" si="21"/>
        <v>0</v>
      </c>
      <c r="N312" s="471">
        <v>2357.0521326787184</v>
      </c>
      <c r="O312" s="471">
        <v>7201.1332979473464</v>
      </c>
      <c r="P312" s="471">
        <v>0</v>
      </c>
      <c r="Q312" s="471">
        <v>426.15793930214238</v>
      </c>
      <c r="R312" s="572">
        <f t="shared" si="22"/>
        <v>8727.2862438235716</v>
      </c>
      <c r="S312" s="471">
        <v>117.09969918259424</v>
      </c>
      <c r="T312" s="471">
        <v>170.19709560077703</v>
      </c>
      <c r="U312" s="471">
        <v>188.66279147576893</v>
      </c>
      <c r="V312" s="471">
        <v>87.55987832096244</v>
      </c>
      <c r="W312" s="471">
        <v>36.728955578820965</v>
      </c>
      <c r="X312" s="471">
        <v>116.44629620530513</v>
      </c>
      <c r="Y312" s="471">
        <v>70.51208388726748</v>
      </c>
      <c r="Z312" s="471">
        <v>7556.9563570508581</v>
      </c>
      <c r="AA312" s="471">
        <v>5690.5305234284351</v>
      </c>
      <c r="AB312" s="471">
        <v>757.39443045881319</v>
      </c>
      <c r="AC312" s="471">
        <v>155.4000245068309</v>
      </c>
      <c r="AD312" s="471">
        <v>19.13068483512123</v>
      </c>
      <c r="AE312" s="471">
        <v>865.6855394451361</v>
      </c>
      <c r="AF312" s="471">
        <v>1310.2267624034496</v>
      </c>
      <c r="AG312" s="471">
        <v>1190.6789577724733</v>
      </c>
      <c r="AH312" s="685">
        <f t="shared" si="23"/>
        <v>39689.298592415769</v>
      </c>
      <c r="AI312" s="472">
        <f t="shared" si="24"/>
        <v>40879.97755018824</v>
      </c>
      <c r="AJ312" s="472"/>
      <c r="AK312" s="472"/>
      <c r="AL312" s="570">
        <v>94.48</v>
      </c>
      <c r="AM312" s="570">
        <v>8632.806243823572</v>
      </c>
      <c r="AN312" s="566">
        <v>0</v>
      </c>
      <c r="AO312" s="566">
        <f t="shared" si="25"/>
        <v>8727.2862438235716</v>
      </c>
    </row>
    <row r="313" spans="1:41" x14ac:dyDescent="0.3">
      <c r="A313" s="466">
        <v>150000949</v>
      </c>
      <c r="B313" s="467" t="s">
        <v>384</v>
      </c>
      <c r="C313" s="468">
        <v>9392.7999999999993</v>
      </c>
      <c r="D313" s="469">
        <v>999.75</v>
      </c>
      <c r="E313" s="470"/>
      <c r="F313" s="470">
        <v>9392.7999999999993</v>
      </c>
      <c r="G313" s="471">
        <v>2012.526262744668</v>
      </c>
      <c r="H313" s="471">
        <v>408.4183812928548</v>
      </c>
      <c r="I313" s="471">
        <v>1181.8599999999999</v>
      </c>
      <c r="J313" s="471">
        <v>243.85</v>
      </c>
      <c r="K313" s="471">
        <v>240.10075467632373</v>
      </c>
      <c r="L313" s="471">
        <v>1887.7434320664113</v>
      </c>
      <c r="M313" s="572">
        <f t="shared" si="21"/>
        <v>0</v>
      </c>
      <c r="N313" s="471">
        <v>3346.8358687565633</v>
      </c>
      <c r="O313" s="471">
        <v>11234.425732111231</v>
      </c>
      <c r="P313" s="471">
        <v>0</v>
      </c>
      <c r="Q313" s="471">
        <v>706.31732532484716</v>
      </c>
      <c r="R313" s="572">
        <f t="shared" si="22"/>
        <v>14223.023974875307</v>
      </c>
      <c r="S313" s="471">
        <v>65.830559083320935</v>
      </c>
      <c r="T313" s="471">
        <v>96.923008652291514</v>
      </c>
      <c r="U313" s="471">
        <v>107.58200871511234</v>
      </c>
      <c r="V313" s="471">
        <v>50.695790799740266</v>
      </c>
      <c r="W313" s="471">
        <v>48.718823694731888</v>
      </c>
      <c r="X313" s="471">
        <v>81.922042197746549</v>
      </c>
      <c r="Y313" s="471">
        <v>78.459781410812013</v>
      </c>
      <c r="Z313" s="471">
        <v>10168.559947888329</v>
      </c>
      <c r="AA313" s="471">
        <v>7546.5241060352582</v>
      </c>
      <c r="AB313" s="471">
        <v>865.59363481007222</v>
      </c>
      <c r="AC313" s="471">
        <v>216.80019191844156</v>
      </c>
      <c r="AD313" s="471">
        <v>26.689417565717235</v>
      </c>
      <c r="AE313" s="471">
        <v>1344.5422252283015</v>
      </c>
      <c r="AF313" s="471">
        <v>1372.6185129940898</v>
      </c>
      <c r="AG313" s="471">
        <v>1726.6968534852649</v>
      </c>
      <c r="AH313" s="685">
        <f t="shared" si="23"/>
        <v>57556.561782842175</v>
      </c>
      <c r="AI313" s="472">
        <f t="shared" si="24"/>
        <v>59283.258636327439</v>
      </c>
      <c r="AJ313" s="472"/>
      <c r="AK313" s="472"/>
      <c r="AL313" s="570">
        <v>119.35</v>
      </c>
      <c r="AM313" s="570">
        <v>14103.673974875306</v>
      </c>
      <c r="AN313" s="566">
        <v>0</v>
      </c>
      <c r="AO313" s="566">
        <f t="shared" si="25"/>
        <v>14223.023974875307</v>
      </c>
    </row>
    <row r="314" spans="1:41" x14ac:dyDescent="0.3">
      <c r="A314" s="466">
        <v>150000951</v>
      </c>
      <c r="B314" s="467" t="s">
        <v>170</v>
      </c>
      <c r="C314" s="468">
        <v>553.20000000000005</v>
      </c>
      <c r="D314" s="469"/>
      <c r="E314" s="470"/>
      <c r="F314" s="470">
        <v>553.20000000000005</v>
      </c>
      <c r="G314" s="471">
        <v>0</v>
      </c>
      <c r="H314" s="471">
        <v>0</v>
      </c>
      <c r="I314" s="471">
        <v>0</v>
      </c>
      <c r="J314" s="471">
        <v>0</v>
      </c>
      <c r="K314" s="471">
        <v>0</v>
      </c>
      <c r="L314" s="471">
        <v>91.923448160777511</v>
      </c>
      <c r="M314" s="572">
        <f t="shared" si="21"/>
        <v>0</v>
      </c>
      <c r="N314" s="471">
        <v>197.11583368070555</v>
      </c>
      <c r="O314" s="471">
        <v>0</v>
      </c>
      <c r="P314" s="471">
        <v>0</v>
      </c>
      <c r="Q314" s="471">
        <v>86.809950598584564</v>
      </c>
      <c r="R314" s="572">
        <f t="shared" si="22"/>
        <v>420.33774117476497</v>
      </c>
      <c r="S314" s="471">
        <v>0</v>
      </c>
      <c r="T314" s="471">
        <v>0</v>
      </c>
      <c r="U314" s="471">
        <v>0</v>
      </c>
      <c r="V314" s="471">
        <v>0</v>
      </c>
      <c r="W314" s="471">
        <v>0</v>
      </c>
      <c r="X314" s="471">
        <v>5.8996198763467351</v>
      </c>
      <c r="Y314" s="471">
        <v>9.4222626872290824</v>
      </c>
      <c r="Z314" s="471">
        <v>0</v>
      </c>
      <c r="AA314" s="471">
        <v>0</v>
      </c>
      <c r="AB314" s="471">
        <v>0</v>
      </c>
      <c r="AC314" s="471">
        <v>0</v>
      </c>
      <c r="AD314" s="471">
        <v>0</v>
      </c>
      <c r="AE314" s="471">
        <v>0</v>
      </c>
      <c r="AF314" s="471">
        <v>0</v>
      </c>
      <c r="AG314" s="471">
        <v>24.345265685352253</v>
      </c>
      <c r="AH314" s="685">
        <f t="shared" si="23"/>
        <v>811.50885617840845</v>
      </c>
      <c r="AI314" s="472">
        <f t="shared" si="24"/>
        <v>835.85412186376072</v>
      </c>
      <c r="AJ314" s="472"/>
      <c r="AK314" s="472"/>
      <c r="AL314" s="570">
        <v>70.7</v>
      </c>
      <c r="AM314" s="570">
        <v>349.63774117476498</v>
      </c>
      <c r="AN314" s="566">
        <v>0</v>
      </c>
      <c r="AO314" s="566">
        <f t="shared" si="25"/>
        <v>420.33774117476497</v>
      </c>
    </row>
    <row r="315" spans="1:41" x14ac:dyDescent="0.3">
      <c r="A315" s="466">
        <v>150000954</v>
      </c>
      <c r="B315" s="467" t="s">
        <v>171</v>
      </c>
      <c r="C315" s="468">
        <v>358.84</v>
      </c>
      <c r="D315" s="469"/>
      <c r="E315" s="470"/>
      <c r="F315" s="470">
        <v>358.84</v>
      </c>
      <c r="G315" s="471">
        <v>102.51240222286883</v>
      </c>
      <c r="H315" s="471">
        <v>20.170298149918619</v>
      </c>
      <c r="I315" s="471">
        <v>44.84</v>
      </c>
      <c r="J315" s="471">
        <v>0</v>
      </c>
      <c r="K315" s="471">
        <v>0</v>
      </c>
      <c r="L315" s="471">
        <v>73.089626537227289</v>
      </c>
      <c r="M315" s="572">
        <f t="shared" si="21"/>
        <v>0</v>
      </c>
      <c r="N315" s="471">
        <v>127.86161561457767</v>
      </c>
      <c r="O315" s="471">
        <v>0</v>
      </c>
      <c r="P315" s="471">
        <v>0</v>
      </c>
      <c r="Q315" s="471">
        <v>63.134509526243313</v>
      </c>
      <c r="R315" s="572">
        <f t="shared" si="22"/>
        <v>623.26567525684266</v>
      </c>
      <c r="S315" s="471">
        <v>19.927017168951291</v>
      </c>
      <c r="T315" s="471">
        <v>26.002241915669433</v>
      </c>
      <c r="U315" s="471">
        <v>20.457503065716885</v>
      </c>
      <c r="V315" s="471">
        <v>0</v>
      </c>
      <c r="W315" s="471">
        <v>0</v>
      </c>
      <c r="X315" s="471">
        <v>18.338174438874663</v>
      </c>
      <c r="Y315" s="471">
        <v>13.953532419340904</v>
      </c>
      <c r="Z315" s="471">
        <v>0</v>
      </c>
      <c r="AA315" s="471">
        <v>17.89411082214977</v>
      </c>
      <c r="AB315" s="471">
        <v>0</v>
      </c>
      <c r="AC315" s="471">
        <v>0</v>
      </c>
      <c r="AD315" s="471">
        <v>0</v>
      </c>
      <c r="AE315" s="471">
        <v>71.750513179236521</v>
      </c>
      <c r="AF315" s="471">
        <v>0</v>
      </c>
      <c r="AG315" s="471">
        <v>37.29591660952854</v>
      </c>
      <c r="AH315" s="685">
        <f t="shared" si="23"/>
        <v>1243.1972203176181</v>
      </c>
      <c r="AI315" s="472">
        <f t="shared" si="24"/>
        <v>1280.4931369271467</v>
      </c>
      <c r="AJ315" s="472"/>
      <c r="AK315" s="472"/>
      <c r="AL315" s="570">
        <v>16.829999999999998</v>
      </c>
      <c r="AM315" s="570">
        <v>606.43567525684261</v>
      </c>
      <c r="AN315" s="566">
        <v>0</v>
      </c>
      <c r="AO315" s="566">
        <f t="shared" si="25"/>
        <v>623.26567525684266</v>
      </c>
    </row>
    <row r="316" spans="1:41" x14ac:dyDescent="0.3">
      <c r="A316" s="466">
        <v>150000957</v>
      </c>
      <c r="B316" s="467" t="s">
        <v>377</v>
      </c>
      <c r="C316" s="468">
        <v>2163.8200000000002</v>
      </c>
      <c r="D316" s="469">
        <v>234.2</v>
      </c>
      <c r="E316" s="470"/>
      <c r="F316" s="470">
        <v>2163.8200000000002</v>
      </c>
      <c r="G316" s="471">
        <v>665.21122276348342</v>
      </c>
      <c r="H316" s="471">
        <v>100.16097341850138</v>
      </c>
      <c r="I316" s="471">
        <v>263.33999999999997</v>
      </c>
      <c r="J316" s="471">
        <v>61.56</v>
      </c>
      <c r="K316" s="471">
        <v>32.51454535665566</v>
      </c>
      <c r="L316" s="471">
        <v>180.76023473373581</v>
      </c>
      <c r="M316" s="572">
        <f t="shared" si="21"/>
        <v>0</v>
      </c>
      <c r="N316" s="471">
        <v>771.01081568146105</v>
      </c>
      <c r="O316" s="471">
        <v>1436.960005790688</v>
      </c>
      <c r="P316" s="471">
        <v>131.53517990591092</v>
      </c>
      <c r="Q316" s="471">
        <v>142.05264643404746</v>
      </c>
      <c r="R316" s="572">
        <f t="shared" si="22"/>
        <v>2730.6828815190192</v>
      </c>
      <c r="S316" s="471">
        <v>53.230022423612517</v>
      </c>
      <c r="T316" s="471">
        <v>66.457986212938039</v>
      </c>
      <c r="U316" s="471">
        <v>48.248022161284226</v>
      </c>
      <c r="V316" s="471">
        <v>34.155621616150434</v>
      </c>
      <c r="W316" s="471">
        <v>16.490308828845698</v>
      </c>
      <c r="X316" s="471">
        <v>21.813146642889613</v>
      </c>
      <c r="Y316" s="471">
        <v>19.232789584385941</v>
      </c>
      <c r="Z316" s="471">
        <v>2555.6904733129522</v>
      </c>
      <c r="AA316" s="471">
        <v>1531.7160965213061</v>
      </c>
      <c r="AB316" s="471">
        <v>584.27570349679877</v>
      </c>
      <c r="AC316" s="471">
        <v>65.076824142844814</v>
      </c>
      <c r="AD316" s="471">
        <v>8.0113514569790016</v>
      </c>
      <c r="AE316" s="471">
        <v>369.67112224954462</v>
      </c>
      <c r="AF316" s="471">
        <v>329.11648436562831</v>
      </c>
      <c r="AG316" s="471">
        <v>219.94154025515391</v>
      </c>
      <c r="AH316" s="685">
        <f t="shared" si="23"/>
        <v>12218.974458619661</v>
      </c>
      <c r="AI316" s="472">
        <f t="shared" si="24"/>
        <v>12438.915998874814</v>
      </c>
      <c r="AJ316" s="472"/>
      <c r="AK316" s="472"/>
      <c r="AL316" s="570">
        <v>23.85</v>
      </c>
      <c r="AM316" s="570">
        <v>2706.8328815190193</v>
      </c>
      <c r="AN316" s="566">
        <v>0</v>
      </c>
      <c r="AO316" s="566">
        <f t="shared" si="25"/>
        <v>2730.6828815190192</v>
      </c>
    </row>
    <row r="317" spans="1:41" x14ac:dyDescent="0.3">
      <c r="A317" s="466">
        <v>150000958</v>
      </c>
      <c r="B317" s="467" t="s">
        <v>380</v>
      </c>
      <c r="C317" s="468">
        <v>2135.1</v>
      </c>
      <c r="D317" s="469">
        <v>233.5</v>
      </c>
      <c r="E317" s="470"/>
      <c r="F317" s="470">
        <v>2135.1</v>
      </c>
      <c r="G317" s="471">
        <v>665.21105938218352</v>
      </c>
      <c r="H317" s="471">
        <v>100.16097341850138</v>
      </c>
      <c r="I317" s="471">
        <v>258.73</v>
      </c>
      <c r="J317" s="471">
        <v>58.12</v>
      </c>
      <c r="K317" s="471">
        <v>32.51454535665566</v>
      </c>
      <c r="L317" s="471">
        <v>180.76023473373581</v>
      </c>
      <c r="M317" s="572">
        <f t="shared" si="21"/>
        <v>0</v>
      </c>
      <c r="N317" s="471">
        <v>760.77732554532611</v>
      </c>
      <c r="O317" s="471">
        <v>1436.960005790688</v>
      </c>
      <c r="P317" s="471">
        <v>131.53517990591092</v>
      </c>
      <c r="Q317" s="471">
        <v>142.05264643404746</v>
      </c>
      <c r="R317" s="572">
        <f t="shared" si="22"/>
        <v>2742.6337855949109</v>
      </c>
      <c r="S317" s="471">
        <v>53.230022423612517</v>
      </c>
      <c r="T317" s="471">
        <v>66.457986212938039</v>
      </c>
      <c r="U317" s="471">
        <v>45.672291417892794</v>
      </c>
      <c r="V317" s="471">
        <v>29.906760454093973</v>
      </c>
      <c r="W317" s="471">
        <v>16.490308828845698</v>
      </c>
      <c r="X317" s="471">
        <v>21.813146642889613</v>
      </c>
      <c r="Y317" s="471">
        <v>25.902521407141478</v>
      </c>
      <c r="Z317" s="471">
        <v>2938.8308159880125</v>
      </c>
      <c r="AA317" s="471">
        <v>1500.4704912492909</v>
      </c>
      <c r="AB317" s="471">
        <v>584.27570349679877</v>
      </c>
      <c r="AC317" s="471">
        <v>59.096129193370558</v>
      </c>
      <c r="AD317" s="471">
        <v>7.2750916620626631</v>
      </c>
      <c r="AE317" s="471">
        <v>23.396906471490166</v>
      </c>
      <c r="AF317" s="471">
        <v>627.03709343593653</v>
      </c>
      <c r="AG317" s="471">
        <v>375.27933075139009</v>
      </c>
      <c r="AH317" s="685">
        <f t="shared" si="23"/>
        <v>12509.311025046332</v>
      </c>
      <c r="AI317" s="472">
        <f t="shared" si="24"/>
        <v>12884.590355797722</v>
      </c>
      <c r="AJ317" s="472"/>
      <c r="AK317" s="472"/>
      <c r="AL317" s="570">
        <v>8.4</v>
      </c>
      <c r="AM317" s="570">
        <v>2734.2337855949108</v>
      </c>
      <c r="AN317" s="566">
        <v>0</v>
      </c>
      <c r="AO317" s="566">
        <f t="shared" si="25"/>
        <v>2742.6337855949109</v>
      </c>
    </row>
    <row r="318" spans="1:41" x14ac:dyDescent="0.3">
      <c r="A318" s="466">
        <v>150000960</v>
      </c>
      <c r="B318" s="467" t="s">
        <v>378</v>
      </c>
      <c r="C318" s="468">
        <v>4314</v>
      </c>
      <c r="D318" s="469">
        <v>457.6</v>
      </c>
      <c r="E318" s="470"/>
      <c r="F318" s="470">
        <v>4314</v>
      </c>
      <c r="G318" s="471">
        <v>1313.8883235520016</v>
      </c>
      <c r="H318" s="471">
        <v>200.32194683700277</v>
      </c>
      <c r="I318" s="471">
        <v>535.01</v>
      </c>
      <c r="J318" s="471">
        <v>117.72</v>
      </c>
      <c r="K318" s="471">
        <v>65.004820328168279</v>
      </c>
      <c r="L318" s="471">
        <v>587.33955218936683</v>
      </c>
      <c r="M318" s="572">
        <f t="shared" si="21"/>
        <v>0</v>
      </c>
      <c r="N318" s="471">
        <v>1537.1614361868469</v>
      </c>
      <c r="O318" s="471">
        <v>3069.8746739721232</v>
      </c>
      <c r="P318" s="471">
        <v>263.07035981182185</v>
      </c>
      <c r="Q318" s="471">
        <v>284.10529286809492</v>
      </c>
      <c r="R318" s="572">
        <f t="shared" si="22"/>
        <v>5077.6073721487674</v>
      </c>
      <c r="S318" s="471">
        <v>82.705581956329112</v>
      </c>
      <c r="T318" s="471">
        <v>106.33277794070069</v>
      </c>
      <c r="U318" s="471">
        <v>79.379798649966872</v>
      </c>
      <c r="V318" s="471">
        <v>47.155071300886689</v>
      </c>
      <c r="W318" s="471">
        <v>26.384494126153122</v>
      </c>
      <c r="X318" s="471">
        <v>39.020441763512657</v>
      </c>
      <c r="Y318" s="471">
        <v>39.939398527722432</v>
      </c>
      <c r="Z318" s="471">
        <v>4916.0160207153558</v>
      </c>
      <c r="AA318" s="471">
        <v>3058.0002403862659</v>
      </c>
      <c r="AB318" s="471">
        <v>1146.9115661233459</v>
      </c>
      <c r="AC318" s="471">
        <v>121.3296721307276</v>
      </c>
      <c r="AD318" s="471">
        <v>14.936417970638814</v>
      </c>
      <c r="AE318" s="471">
        <v>734.66286320479117</v>
      </c>
      <c r="AF318" s="471">
        <v>655.11338120172479</v>
      </c>
      <c r="AG318" s="471">
        <v>434.1418470700616</v>
      </c>
      <c r="AH318" s="685">
        <f t="shared" si="23"/>
        <v>24118.991503892314</v>
      </c>
      <c r="AI318" s="472">
        <f t="shared" si="24"/>
        <v>24553.133350962376</v>
      </c>
      <c r="AJ318" s="472"/>
      <c r="AK318" s="472"/>
      <c r="AL318" s="570">
        <v>23.85</v>
      </c>
      <c r="AM318" s="570">
        <v>5053.757372148767</v>
      </c>
      <c r="AN318" s="566">
        <v>0</v>
      </c>
      <c r="AO318" s="566">
        <f t="shared" si="25"/>
        <v>5077.6073721487674</v>
      </c>
    </row>
    <row r="319" spans="1:41" x14ac:dyDescent="0.3">
      <c r="A319" s="466">
        <v>150000961</v>
      </c>
      <c r="B319" s="467" t="s">
        <v>381</v>
      </c>
      <c r="C319" s="468">
        <v>4349.8999999999996</v>
      </c>
      <c r="D319" s="469">
        <v>477.8</v>
      </c>
      <c r="E319" s="470"/>
      <c r="F319" s="470">
        <v>4349.8999999999996</v>
      </c>
      <c r="G319" s="471">
        <v>1309.0624390831224</v>
      </c>
      <c r="H319" s="471">
        <v>200.32194683700277</v>
      </c>
      <c r="I319" s="471">
        <v>542.63</v>
      </c>
      <c r="J319" s="471">
        <v>117.24</v>
      </c>
      <c r="K319" s="471">
        <v>65.004820328168279</v>
      </c>
      <c r="L319" s="471">
        <v>775.93096029869571</v>
      </c>
      <c r="M319" s="572">
        <f t="shared" si="21"/>
        <v>0</v>
      </c>
      <c r="N319" s="471">
        <v>1549.9532988570154</v>
      </c>
      <c r="O319" s="471">
        <v>2873.920011581376</v>
      </c>
      <c r="P319" s="471">
        <v>263.07035981182185</v>
      </c>
      <c r="Q319" s="471">
        <v>280.15938602270472</v>
      </c>
      <c r="R319" s="572">
        <f t="shared" si="22"/>
        <v>4932.2100638749998</v>
      </c>
      <c r="S319" s="471">
        <v>103.24030007118162</v>
      </c>
      <c r="T319" s="471">
        <v>132.91597242587585</v>
      </c>
      <c r="U319" s="471">
        <v>100.96236767896448</v>
      </c>
      <c r="V319" s="471">
        <v>55.079747212997127</v>
      </c>
      <c r="W319" s="471">
        <v>32.980617657691397</v>
      </c>
      <c r="X319" s="471">
        <v>48.840764337130459</v>
      </c>
      <c r="Y319" s="471">
        <v>27.597915573539716</v>
      </c>
      <c r="Z319" s="471">
        <v>4493.3510532438386</v>
      </c>
      <c r="AA319" s="471">
        <v>3000.918275988477</v>
      </c>
      <c r="AB319" s="471">
        <v>1298.3904522151083</v>
      </c>
      <c r="AC319" s="471">
        <v>117.28534972637001</v>
      </c>
      <c r="AD319" s="471">
        <v>14.438537371617523</v>
      </c>
      <c r="AE319" s="471">
        <v>46.793812942980331</v>
      </c>
      <c r="AF319" s="471">
        <v>1275.9112995785972</v>
      </c>
      <c r="AG319" s="471">
        <v>709.74629258157836</v>
      </c>
      <c r="AH319" s="685">
        <f t="shared" si="23"/>
        <v>23658.209752719278</v>
      </c>
      <c r="AI319" s="472">
        <f t="shared" si="24"/>
        <v>24367.956045300856</v>
      </c>
      <c r="AJ319" s="472"/>
      <c r="AK319" s="472"/>
      <c r="AL319" s="570">
        <v>8.4</v>
      </c>
      <c r="AM319" s="570">
        <v>4923.8100638750002</v>
      </c>
      <c r="AN319" s="566">
        <v>0</v>
      </c>
      <c r="AO319" s="566">
        <f t="shared" si="25"/>
        <v>4932.2100638749998</v>
      </c>
    </row>
    <row r="320" spans="1:41" x14ac:dyDescent="0.3">
      <c r="A320" s="466">
        <v>150000963</v>
      </c>
      <c r="B320" s="467" t="s">
        <v>379</v>
      </c>
      <c r="C320" s="468">
        <v>2140.7399999999998</v>
      </c>
      <c r="D320" s="469">
        <v>236.5</v>
      </c>
      <c r="E320" s="470"/>
      <c r="F320" s="470">
        <v>2140.7399999999998</v>
      </c>
      <c r="G320" s="471">
        <v>665.21122276348342</v>
      </c>
      <c r="H320" s="471">
        <v>100.16097341850138</v>
      </c>
      <c r="I320" s="471">
        <v>263.11</v>
      </c>
      <c r="J320" s="471">
        <v>58.36</v>
      </c>
      <c r="K320" s="471">
        <v>32.51454535665566</v>
      </c>
      <c r="L320" s="471">
        <v>180.76023473373581</v>
      </c>
      <c r="M320" s="572">
        <f t="shared" si="21"/>
        <v>0</v>
      </c>
      <c r="N320" s="471">
        <v>762.7869663659319</v>
      </c>
      <c r="O320" s="471">
        <v>1632.9146681814352</v>
      </c>
      <c r="P320" s="471">
        <v>131.53517990591092</v>
      </c>
      <c r="Q320" s="471">
        <v>142.05264643404746</v>
      </c>
      <c r="R320" s="572">
        <f t="shared" si="22"/>
        <v>2932.5853349271692</v>
      </c>
      <c r="S320" s="471">
        <v>53.230022423612517</v>
      </c>
      <c r="T320" s="471">
        <v>66.457986212938039</v>
      </c>
      <c r="U320" s="471">
        <v>46.562426944596147</v>
      </c>
      <c r="V320" s="471">
        <v>32.283507219230621</v>
      </c>
      <c r="W320" s="471">
        <v>16.490308828845698</v>
      </c>
      <c r="X320" s="471">
        <v>21.813146642889613</v>
      </c>
      <c r="Y320" s="471">
        <v>13.953532419340904</v>
      </c>
      <c r="Z320" s="471">
        <v>2812.9139680102535</v>
      </c>
      <c r="AA320" s="471">
        <v>1529.0783386326741</v>
      </c>
      <c r="AB320" s="471">
        <v>584.27570349679877</v>
      </c>
      <c r="AC320" s="471">
        <v>59.659883225493132</v>
      </c>
      <c r="AD320" s="471">
        <v>7.3444932001080563</v>
      </c>
      <c r="AE320" s="471">
        <v>366.55153472001268</v>
      </c>
      <c r="AF320" s="471">
        <v>325.99689683609631</v>
      </c>
      <c r="AG320" s="471">
        <v>231.09486337619566</v>
      </c>
      <c r="AH320" s="685">
        <f t="shared" si="23"/>
        <v>12838.60352089976</v>
      </c>
      <c r="AI320" s="472">
        <f t="shared" si="24"/>
        <v>13069.698384275956</v>
      </c>
      <c r="AJ320" s="472"/>
      <c r="AK320" s="472"/>
      <c r="AL320" s="570">
        <v>23.85</v>
      </c>
      <c r="AM320" s="570">
        <v>2908.7353349271693</v>
      </c>
      <c r="AN320" s="566">
        <v>0</v>
      </c>
      <c r="AO320" s="566">
        <f t="shared" si="25"/>
        <v>2932.5853349271692</v>
      </c>
    </row>
    <row r="321" spans="1:41" x14ac:dyDescent="0.3">
      <c r="A321" s="466">
        <v>150000964</v>
      </c>
      <c r="B321" s="467" t="s">
        <v>382</v>
      </c>
      <c r="C321" s="468">
        <v>2131.85</v>
      </c>
      <c r="D321" s="469">
        <v>234</v>
      </c>
      <c r="E321" s="470"/>
      <c r="F321" s="470">
        <v>2131.85</v>
      </c>
      <c r="G321" s="471">
        <v>665.21105938218352</v>
      </c>
      <c r="H321" s="471">
        <v>100.16097341850138</v>
      </c>
      <c r="I321" s="471">
        <v>263.77999999999997</v>
      </c>
      <c r="J321" s="471">
        <v>58.1</v>
      </c>
      <c r="K321" s="471">
        <v>32.51454535665566</v>
      </c>
      <c r="L321" s="471">
        <v>180.76023473373581</v>
      </c>
      <c r="M321" s="572">
        <f t="shared" si="21"/>
        <v>0</v>
      </c>
      <c r="N321" s="471">
        <v>759.61928783841665</v>
      </c>
      <c r="O321" s="471">
        <v>1436.960005790688</v>
      </c>
      <c r="P321" s="471">
        <v>131.53517990591092</v>
      </c>
      <c r="Q321" s="471">
        <v>142.05264643404746</v>
      </c>
      <c r="R321" s="572">
        <f t="shared" si="22"/>
        <v>2488.0716194843239</v>
      </c>
      <c r="S321" s="471">
        <v>21.292008969445007</v>
      </c>
      <c r="T321" s="471">
        <v>26.58319448517522</v>
      </c>
      <c r="U321" s="471">
        <v>22.003222170847501</v>
      </c>
      <c r="V321" s="471">
        <v>11.794445905062231</v>
      </c>
      <c r="W321" s="471">
        <v>6.5961235315382805</v>
      </c>
      <c r="X321" s="471">
        <v>8.7252586571558464</v>
      </c>
      <c r="Y321" s="471">
        <v>13.953532419340904</v>
      </c>
      <c r="Z321" s="471">
        <v>2931.6216774974168</v>
      </c>
      <c r="AA321" s="471">
        <v>1501.6300007690975</v>
      </c>
      <c r="AB321" s="471">
        <v>584.27570349679877</v>
      </c>
      <c r="AC321" s="471">
        <v>61.76783308473405</v>
      </c>
      <c r="AD321" s="471">
        <v>7.6039946032343053</v>
      </c>
      <c r="AE321" s="471">
        <v>21.837112706724156</v>
      </c>
      <c r="AF321" s="471">
        <v>623.91750590640459</v>
      </c>
      <c r="AG321" s="471">
        <v>363.07101499642317</v>
      </c>
      <c r="AH321" s="685">
        <f t="shared" si="23"/>
        <v>12102.367166547436</v>
      </c>
      <c r="AI321" s="472">
        <f t="shared" si="24"/>
        <v>12465.438181543859</v>
      </c>
      <c r="AJ321" s="472"/>
      <c r="AK321" s="472"/>
      <c r="AL321" s="570">
        <v>8.4</v>
      </c>
      <c r="AM321" s="570">
        <v>2479.6716194843239</v>
      </c>
      <c r="AN321" s="566">
        <v>0</v>
      </c>
      <c r="AO321" s="566">
        <f t="shared" si="25"/>
        <v>2488.0716194843239</v>
      </c>
    </row>
    <row r="322" spans="1:41" x14ac:dyDescent="0.3">
      <c r="A322" s="466">
        <v>150000966</v>
      </c>
      <c r="B322" s="467" t="s">
        <v>204</v>
      </c>
      <c r="C322" s="468">
        <v>934</v>
      </c>
      <c r="D322" s="469"/>
      <c r="E322" s="470">
        <v>238.81</v>
      </c>
      <c r="F322" s="470">
        <v>1172.81</v>
      </c>
      <c r="G322" s="471">
        <v>369.63173115848946</v>
      </c>
      <c r="H322" s="471">
        <v>75.132824411122613</v>
      </c>
      <c r="I322" s="471">
        <v>132.31</v>
      </c>
      <c r="J322" s="471">
        <v>0</v>
      </c>
      <c r="K322" s="471">
        <v>0</v>
      </c>
      <c r="L322" s="471">
        <v>245.28895374761245</v>
      </c>
      <c r="M322" s="572">
        <f t="shared" si="21"/>
        <v>0</v>
      </c>
      <c r="N322" s="471">
        <v>417.89483170475097</v>
      </c>
      <c r="O322" s="471">
        <v>0</v>
      </c>
      <c r="P322" s="471">
        <v>0</v>
      </c>
      <c r="Q322" s="471">
        <v>213.07896965107119</v>
      </c>
      <c r="R322" s="572">
        <f t="shared" si="22"/>
        <v>1104.4743047417053</v>
      </c>
      <c r="S322" s="471">
        <v>67.080587841203069</v>
      </c>
      <c r="T322" s="471">
        <v>96.81293766625403</v>
      </c>
      <c r="U322" s="471">
        <v>67.147496892016292</v>
      </c>
      <c r="V322" s="471">
        <v>0</v>
      </c>
      <c r="W322" s="471">
        <v>0</v>
      </c>
      <c r="X322" s="471">
        <v>28.667504304214575</v>
      </c>
      <c r="Y322" s="471">
        <v>0</v>
      </c>
      <c r="Z322" s="471">
        <v>1741.5297278498817</v>
      </c>
      <c r="AA322" s="471">
        <v>670.3983308582915</v>
      </c>
      <c r="AB322" s="471">
        <v>531.44596608374627</v>
      </c>
      <c r="AC322" s="471">
        <v>24.020823977396574</v>
      </c>
      <c r="AD322" s="471">
        <v>2.9571090123688966</v>
      </c>
      <c r="AE322" s="471">
        <v>230.84947718536966</v>
      </c>
      <c r="AF322" s="471">
        <v>0</v>
      </c>
      <c r="AG322" s="471">
        <v>180.56164731256484</v>
      </c>
      <c r="AH322" s="685">
        <f t="shared" si="23"/>
        <v>6018.7215770854946</v>
      </c>
      <c r="AI322" s="472">
        <f t="shared" si="24"/>
        <v>6199.2832243980592</v>
      </c>
      <c r="AJ322" s="472"/>
      <c r="AK322" s="472"/>
      <c r="AL322" s="570">
        <v>61.82</v>
      </c>
      <c r="AM322" s="570">
        <v>1042.6543047417053</v>
      </c>
      <c r="AN322" s="566">
        <v>0</v>
      </c>
      <c r="AO322" s="566">
        <f t="shared" si="25"/>
        <v>1104.4743047417053</v>
      </c>
    </row>
    <row r="323" spans="1:41" x14ac:dyDescent="0.3">
      <c r="A323" s="466">
        <v>150000967</v>
      </c>
      <c r="B323" s="467" t="s">
        <v>205</v>
      </c>
      <c r="C323" s="468">
        <v>1264.5999999999999</v>
      </c>
      <c r="D323" s="469"/>
      <c r="E323" s="470">
        <v>183.7</v>
      </c>
      <c r="F323" s="470">
        <v>1448.3</v>
      </c>
      <c r="G323" s="471">
        <v>433.42865098432856</v>
      </c>
      <c r="H323" s="471">
        <v>77.57415052703638</v>
      </c>
      <c r="I323" s="471">
        <v>170.83</v>
      </c>
      <c r="J323" s="471">
        <v>0</v>
      </c>
      <c r="K323" s="471">
        <v>0</v>
      </c>
      <c r="L323" s="471">
        <v>247.47965229655924</v>
      </c>
      <c r="M323" s="572">
        <f t="shared" si="21"/>
        <v>0</v>
      </c>
      <c r="N323" s="471">
        <v>516.0572341282824</v>
      </c>
      <c r="O323" s="471">
        <v>0</v>
      </c>
      <c r="P323" s="471">
        <v>0</v>
      </c>
      <c r="Q323" s="471">
        <v>319.61845447660681</v>
      </c>
      <c r="R323" s="572">
        <f t="shared" si="22"/>
        <v>1092.4207836904952</v>
      </c>
      <c r="S323" s="471">
        <v>73.460140401144486</v>
      </c>
      <c r="T323" s="471">
        <v>99.99339749450769</v>
      </c>
      <c r="U323" s="471">
        <v>95.681229302492454</v>
      </c>
      <c r="V323" s="471">
        <v>0</v>
      </c>
      <c r="W323" s="471">
        <v>0</v>
      </c>
      <c r="X323" s="471">
        <v>30.028070076793693</v>
      </c>
      <c r="Y323" s="471">
        <v>0</v>
      </c>
      <c r="Z323" s="471">
        <v>2289.5368246033481</v>
      </c>
      <c r="AA323" s="471">
        <v>748.25971130977496</v>
      </c>
      <c r="AB323" s="471">
        <v>1028.2590875012797</v>
      </c>
      <c r="AC323" s="471">
        <v>75.494018214674952</v>
      </c>
      <c r="AD323" s="471">
        <v>9.2937711817308184</v>
      </c>
      <c r="AE323" s="471">
        <v>207.45257071387951</v>
      </c>
      <c r="AF323" s="471">
        <v>0</v>
      </c>
      <c r="AG323" s="471">
        <v>0</v>
      </c>
      <c r="AH323" s="685">
        <f t="shared" si="23"/>
        <v>7514.8677469029335</v>
      </c>
      <c r="AI323" s="472">
        <f t="shared" si="24"/>
        <v>7514.8677469029335</v>
      </c>
      <c r="AJ323" s="472"/>
      <c r="AK323" s="472"/>
      <c r="AL323" s="570">
        <v>65.72</v>
      </c>
      <c r="AM323" s="570">
        <v>1026.7007836904952</v>
      </c>
      <c r="AN323" s="566">
        <v>0</v>
      </c>
      <c r="AO323" s="566">
        <f t="shared" si="25"/>
        <v>1092.4207836904952</v>
      </c>
    </row>
    <row r="324" spans="1:41" x14ac:dyDescent="0.3">
      <c r="A324" s="466">
        <v>150000968</v>
      </c>
      <c r="B324" s="467" t="s">
        <v>244</v>
      </c>
      <c r="C324" s="468">
        <v>1759.4</v>
      </c>
      <c r="D324" s="469"/>
      <c r="E324" s="470">
        <v>358</v>
      </c>
      <c r="F324" s="470">
        <v>2117.4</v>
      </c>
      <c r="G324" s="471">
        <v>509.34894802549263</v>
      </c>
      <c r="H324" s="471">
        <v>87.388036606302492</v>
      </c>
      <c r="I324" s="471">
        <v>224.37</v>
      </c>
      <c r="J324" s="471">
        <v>0</v>
      </c>
      <c r="K324" s="471">
        <v>0</v>
      </c>
      <c r="L324" s="471">
        <v>297.51984325224942</v>
      </c>
      <c r="M324" s="572">
        <f t="shared" si="21"/>
        <v>0</v>
      </c>
      <c r="N324" s="471">
        <v>754.47047403385022</v>
      </c>
      <c r="O324" s="471">
        <v>0</v>
      </c>
      <c r="P324" s="471">
        <v>0</v>
      </c>
      <c r="Q324" s="471">
        <v>437.99565983831303</v>
      </c>
      <c r="R324" s="572">
        <f t="shared" si="22"/>
        <v>1160.139940421097</v>
      </c>
      <c r="S324" s="471">
        <v>84.611857446792584</v>
      </c>
      <c r="T324" s="471">
        <v>112.642466497418</v>
      </c>
      <c r="U324" s="471">
        <v>137.35200269798972</v>
      </c>
      <c r="V324" s="471">
        <v>0</v>
      </c>
      <c r="W324" s="471">
        <v>0</v>
      </c>
      <c r="X324" s="471">
        <v>35.018585326851472</v>
      </c>
      <c r="Y324" s="471">
        <v>0</v>
      </c>
      <c r="Z324" s="471">
        <v>1854.1732184861526</v>
      </c>
      <c r="AA324" s="471">
        <v>827.65870848224961</v>
      </c>
      <c r="AB324" s="471">
        <v>950.99182061787099</v>
      </c>
      <c r="AC324" s="471">
        <v>0</v>
      </c>
      <c r="AD324" s="471">
        <v>0</v>
      </c>
      <c r="AE324" s="471">
        <v>257.36597118639179</v>
      </c>
      <c r="AF324" s="471">
        <v>0</v>
      </c>
      <c r="AG324" s="471">
        <v>0</v>
      </c>
      <c r="AH324" s="685">
        <f t="shared" si="23"/>
        <v>7731.0475329190213</v>
      </c>
      <c r="AI324" s="472">
        <f t="shared" si="24"/>
        <v>7731.0475329190213</v>
      </c>
      <c r="AJ324" s="472"/>
      <c r="AK324" s="472"/>
      <c r="AL324" s="570">
        <v>58.17</v>
      </c>
      <c r="AM324" s="570">
        <v>1101.9699404210969</v>
      </c>
      <c r="AN324" s="566">
        <v>0</v>
      </c>
      <c r="AO324" s="566">
        <f t="shared" si="25"/>
        <v>1160.139940421097</v>
      </c>
    </row>
    <row r="325" spans="1:41" x14ac:dyDescent="0.3">
      <c r="A325" s="466">
        <v>150000969</v>
      </c>
      <c r="B325" s="467" t="s">
        <v>192</v>
      </c>
      <c r="C325" s="468">
        <v>664</v>
      </c>
      <c r="D325" s="469"/>
      <c r="E325" s="470">
        <v>89.3</v>
      </c>
      <c r="F325" s="470">
        <v>753.3</v>
      </c>
      <c r="G325" s="471">
        <v>310.51948390675881</v>
      </c>
      <c r="H325" s="471">
        <v>63.247631410531021</v>
      </c>
      <c r="I325" s="471">
        <v>85.44</v>
      </c>
      <c r="J325" s="471">
        <v>0</v>
      </c>
      <c r="K325" s="471">
        <v>0</v>
      </c>
      <c r="L325" s="471">
        <v>188.00331223122086</v>
      </c>
      <c r="M325" s="572">
        <f t="shared" si="21"/>
        <v>0</v>
      </c>
      <c r="N325" s="471">
        <v>268.41532449688265</v>
      </c>
      <c r="O325" s="471">
        <v>0</v>
      </c>
      <c r="P325" s="471">
        <v>0</v>
      </c>
      <c r="Q325" s="471">
        <v>248.59213125958306</v>
      </c>
      <c r="R325" s="572">
        <f t="shared" si="22"/>
        <v>808.81450050029378</v>
      </c>
      <c r="S325" s="471">
        <v>51.892251133658675</v>
      </c>
      <c r="T325" s="471">
        <v>81.502893220459157</v>
      </c>
      <c r="U325" s="471">
        <v>35.714246205914094</v>
      </c>
      <c r="V325" s="471">
        <v>0</v>
      </c>
      <c r="W325" s="471">
        <v>0</v>
      </c>
      <c r="X325" s="471">
        <v>19.763241944729856</v>
      </c>
      <c r="Y325" s="471">
        <v>0</v>
      </c>
      <c r="Z325" s="471">
        <v>723.12700868235447</v>
      </c>
      <c r="AA325" s="471">
        <v>462.57596999447503</v>
      </c>
      <c r="AB325" s="471">
        <v>310.32564522142945</v>
      </c>
      <c r="AC325" s="471">
        <v>37.992119556086422</v>
      </c>
      <c r="AD325" s="471">
        <v>4.6770601726242758</v>
      </c>
      <c r="AE325" s="471">
        <v>145.06082012323901</v>
      </c>
      <c r="AF325" s="471">
        <v>0</v>
      </c>
      <c r="AG325" s="471">
        <v>0</v>
      </c>
      <c r="AH325" s="685">
        <f t="shared" si="23"/>
        <v>3845.6636400602406</v>
      </c>
      <c r="AI325" s="472">
        <f t="shared" si="24"/>
        <v>3845.6636400602406</v>
      </c>
      <c r="AJ325" s="472"/>
      <c r="AK325" s="472"/>
      <c r="AL325" s="570">
        <v>25.61</v>
      </c>
      <c r="AM325" s="570">
        <v>783.20450050029376</v>
      </c>
      <c r="AN325" s="566">
        <v>0</v>
      </c>
      <c r="AO325" s="566">
        <f t="shared" si="25"/>
        <v>808.81450050029378</v>
      </c>
    </row>
    <row r="326" spans="1:41" x14ac:dyDescent="0.3">
      <c r="A326" s="466">
        <v>150000970</v>
      </c>
      <c r="B326" s="467" t="s">
        <v>242</v>
      </c>
      <c r="C326" s="468">
        <v>2589.4</v>
      </c>
      <c r="D326" s="469"/>
      <c r="E326" s="470">
        <v>358.2</v>
      </c>
      <c r="F326" s="470">
        <v>2947.6</v>
      </c>
      <c r="G326" s="471">
        <v>725.78146993775988</v>
      </c>
      <c r="H326" s="471">
        <v>141.46318666382376</v>
      </c>
      <c r="I326" s="471">
        <v>309.37</v>
      </c>
      <c r="J326" s="471">
        <v>0</v>
      </c>
      <c r="K326" s="471">
        <v>0</v>
      </c>
      <c r="L326" s="471">
        <v>441.75834633058707</v>
      </c>
      <c r="M326" s="572">
        <f t="shared" ref="M326:M389" si="26">AN326</f>
        <v>0</v>
      </c>
      <c r="N326" s="471">
        <v>1050.286752272682</v>
      </c>
      <c r="O326" s="471">
        <v>0</v>
      </c>
      <c r="P326" s="471">
        <v>0</v>
      </c>
      <c r="Q326" s="471">
        <v>639.23690895321363</v>
      </c>
      <c r="R326" s="572">
        <f t="shared" ref="R326:R389" si="27">AO326</f>
        <v>2608.9229784155791</v>
      </c>
      <c r="S326" s="471">
        <v>117.53522012424784</v>
      </c>
      <c r="T326" s="471">
        <v>182.33148274553318</v>
      </c>
      <c r="U326" s="471">
        <v>167.70813930096779</v>
      </c>
      <c r="V326" s="471">
        <v>0</v>
      </c>
      <c r="W326" s="471">
        <v>0</v>
      </c>
      <c r="X326" s="471">
        <v>56.803266478894642</v>
      </c>
      <c r="Y326" s="471">
        <v>0</v>
      </c>
      <c r="Z326" s="471">
        <v>2173.7099871722216</v>
      </c>
      <c r="AA326" s="471">
        <v>978.47179765724263</v>
      </c>
      <c r="AB326" s="471">
        <v>960.29966002667061</v>
      </c>
      <c r="AC326" s="471">
        <v>115.86370912362614</v>
      </c>
      <c r="AD326" s="471">
        <v>14.263524797416096</v>
      </c>
      <c r="AE326" s="471">
        <v>310.39895918843621</v>
      </c>
      <c r="AF326" s="471">
        <v>0</v>
      </c>
      <c r="AG326" s="471">
        <v>659.6523233513343</v>
      </c>
      <c r="AH326" s="685">
        <f t="shared" ref="AH326:AH389" si="28">SUM(G326:AG326)-AG326</f>
        <v>10994.205389188903</v>
      </c>
      <c r="AI326" s="472">
        <f t="shared" ref="AI326:AI389" si="29">G326+H326+I326+J326+K326+L326+M326+N326+O326+P326+Q326+R326+S326+T326+U326+V326+W326+X326+Y326+Z326+AA326+AB326+AC326+AD326+AE326+AF326+AG326</f>
        <v>11653.857712540237</v>
      </c>
      <c r="AJ326" s="472"/>
      <c r="AK326" s="472"/>
      <c r="AL326" s="570">
        <v>98.23</v>
      </c>
      <c r="AM326" s="570">
        <v>2510.6929784155791</v>
      </c>
      <c r="AN326" s="566">
        <v>0</v>
      </c>
      <c r="AO326" s="566">
        <f t="shared" ref="AO326:AO389" si="30">AL326+AM326</f>
        <v>2608.9229784155791</v>
      </c>
    </row>
    <row r="327" spans="1:41" x14ac:dyDescent="0.3">
      <c r="A327" s="466">
        <v>150000971</v>
      </c>
      <c r="B327" s="467" t="s">
        <v>193</v>
      </c>
      <c r="C327" s="468">
        <v>1132.9000000000001</v>
      </c>
      <c r="D327" s="469"/>
      <c r="E327" s="470">
        <v>336.63</v>
      </c>
      <c r="F327" s="470">
        <v>1469.5300000000002</v>
      </c>
      <c r="G327" s="471">
        <v>490.05529328183388</v>
      </c>
      <c r="H327" s="471">
        <v>98.558196818709632</v>
      </c>
      <c r="I327" s="471">
        <v>174.56</v>
      </c>
      <c r="J327" s="471">
        <v>0</v>
      </c>
      <c r="K327" s="471">
        <v>0</v>
      </c>
      <c r="L327" s="471">
        <v>352.02186897368347</v>
      </c>
      <c r="M327" s="572">
        <f t="shared" si="26"/>
        <v>0</v>
      </c>
      <c r="N327" s="471">
        <v>523.62189274910929</v>
      </c>
      <c r="O327" s="471">
        <v>0</v>
      </c>
      <c r="P327" s="471">
        <v>0</v>
      </c>
      <c r="Q327" s="471">
        <v>343.29389554894806</v>
      </c>
      <c r="R327" s="572">
        <f t="shared" si="27"/>
        <v>1854.0418278284308</v>
      </c>
      <c r="S327" s="471">
        <v>82.211527339273175</v>
      </c>
      <c r="T327" s="471">
        <v>127.03963965971626</v>
      </c>
      <c r="U327" s="471">
        <v>74.612146727400756</v>
      </c>
      <c r="V327" s="471">
        <v>0</v>
      </c>
      <c r="W327" s="471">
        <v>0</v>
      </c>
      <c r="X327" s="471">
        <v>43.66879852262678</v>
      </c>
      <c r="Y327" s="471">
        <v>0</v>
      </c>
      <c r="Z327" s="471">
        <v>1148.6783645187138</v>
      </c>
      <c r="AA327" s="471">
        <v>1125.7119143045113</v>
      </c>
      <c r="AB327" s="471">
        <v>408.82061044172241</v>
      </c>
      <c r="AC327" s="471">
        <v>163.97889021304397</v>
      </c>
      <c r="AD327" s="471">
        <v>20.186795196681551</v>
      </c>
      <c r="AE327" s="471">
        <v>293.24122777601013</v>
      </c>
      <c r="AF327" s="471">
        <v>0</v>
      </c>
      <c r="AG327" s="471">
        <v>131.83745201820744</v>
      </c>
      <c r="AH327" s="685">
        <f t="shared" si="28"/>
        <v>7324.3028899004148</v>
      </c>
      <c r="AI327" s="472">
        <f t="shared" si="29"/>
        <v>7456.1403419186227</v>
      </c>
      <c r="AJ327" s="472"/>
      <c r="AK327" s="472"/>
      <c r="AL327" s="570">
        <v>73.84</v>
      </c>
      <c r="AM327" s="570">
        <v>1780.2018278284309</v>
      </c>
      <c r="AN327" s="566">
        <v>0</v>
      </c>
      <c r="AO327" s="566">
        <f t="shared" si="30"/>
        <v>1854.0418278284308</v>
      </c>
    </row>
    <row r="328" spans="1:41" x14ac:dyDescent="0.3">
      <c r="A328" s="466">
        <v>150000972</v>
      </c>
      <c r="B328" s="467" t="s">
        <v>201</v>
      </c>
      <c r="C328" s="468">
        <v>1931.4</v>
      </c>
      <c r="D328" s="469"/>
      <c r="E328" s="470">
        <v>236.2</v>
      </c>
      <c r="F328" s="470">
        <v>2167.6</v>
      </c>
      <c r="G328" s="471">
        <v>702.44576427791162</v>
      </c>
      <c r="H328" s="471">
        <v>114.48708408175725</v>
      </c>
      <c r="I328" s="471">
        <v>273.60000000000002</v>
      </c>
      <c r="J328" s="471">
        <v>0</v>
      </c>
      <c r="K328" s="471">
        <v>0</v>
      </c>
      <c r="L328" s="471">
        <v>401.26606349247578</v>
      </c>
      <c r="M328" s="572">
        <f t="shared" si="26"/>
        <v>0</v>
      </c>
      <c r="N328" s="471">
        <v>772.3577026144203</v>
      </c>
      <c r="O328" s="471">
        <v>0</v>
      </c>
      <c r="P328" s="471">
        <v>0</v>
      </c>
      <c r="Q328" s="471">
        <v>509.02198305533676</v>
      </c>
      <c r="R328" s="572">
        <f t="shared" si="27"/>
        <v>1620.4618902026718</v>
      </c>
      <c r="S328" s="471">
        <v>116.35071965263569</v>
      </c>
      <c r="T328" s="471">
        <v>147.56465387440588</v>
      </c>
      <c r="U328" s="471">
        <v>142.88173050925735</v>
      </c>
      <c r="V328" s="471">
        <v>0</v>
      </c>
      <c r="W328" s="471">
        <v>0</v>
      </c>
      <c r="X328" s="471">
        <v>51.916835135996294</v>
      </c>
      <c r="Y328" s="471">
        <v>0</v>
      </c>
      <c r="Z328" s="471">
        <v>2132.7374605868777</v>
      </c>
      <c r="AA328" s="471">
        <v>1134.2398188829136</v>
      </c>
      <c r="AB328" s="471">
        <v>613.44670013718155</v>
      </c>
      <c r="AC328" s="471">
        <v>111.52525418076981</v>
      </c>
      <c r="AD328" s="471">
        <v>13.729434700284163</v>
      </c>
      <c r="AE328" s="471">
        <v>244.88762106826377</v>
      </c>
      <c r="AF328" s="471">
        <v>0</v>
      </c>
      <c r="AG328" s="471">
        <v>273.08762149359472</v>
      </c>
      <c r="AH328" s="685">
        <f t="shared" si="28"/>
        <v>9102.9207164531581</v>
      </c>
      <c r="AI328" s="472">
        <f t="shared" si="29"/>
        <v>9376.0083379467524</v>
      </c>
      <c r="AJ328" s="472"/>
      <c r="AK328" s="472"/>
      <c r="AL328" s="570">
        <v>98.31</v>
      </c>
      <c r="AM328" s="570">
        <v>1522.1518902026719</v>
      </c>
      <c r="AN328" s="566">
        <v>0</v>
      </c>
      <c r="AO328" s="566">
        <f t="shared" si="30"/>
        <v>1620.4618902026718</v>
      </c>
    </row>
    <row r="329" spans="1:41" x14ac:dyDescent="0.3">
      <c r="A329" s="466">
        <v>150000973</v>
      </c>
      <c r="B329" s="467" t="s">
        <v>49</v>
      </c>
      <c r="C329" s="468">
        <v>132.19999999999999</v>
      </c>
      <c r="D329" s="473"/>
      <c r="E329" s="470">
        <v>0</v>
      </c>
      <c r="F329" s="470">
        <v>132.19999999999999</v>
      </c>
      <c r="G329" s="471">
        <v>0</v>
      </c>
      <c r="H329" s="471">
        <v>0</v>
      </c>
      <c r="I329" s="471">
        <v>0</v>
      </c>
      <c r="J329" s="471">
        <v>0</v>
      </c>
      <c r="K329" s="471">
        <v>0</v>
      </c>
      <c r="L329" s="471">
        <v>0</v>
      </c>
      <c r="M329" s="572">
        <f t="shared" si="26"/>
        <v>0</v>
      </c>
      <c r="N329" s="471">
        <v>0</v>
      </c>
      <c r="O329" s="471">
        <v>0</v>
      </c>
      <c r="P329" s="471">
        <v>0</v>
      </c>
      <c r="Q329" s="471">
        <v>39.45906845390207</v>
      </c>
      <c r="R329" s="572">
        <f t="shared" si="27"/>
        <v>181.97585377329497</v>
      </c>
      <c r="S329" s="471">
        <v>0</v>
      </c>
      <c r="T329" s="471">
        <v>0</v>
      </c>
      <c r="U329" s="471">
        <v>0</v>
      </c>
      <c r="V329" s="471">
        <v>0</v>
      </c>
      <c r="W329" s="471">
        <v>0</v>
      </c>
      <c r="X329" s="471">
        <v>0</v>
      </c>
      <c r="Y329" s="471">
        <v>0</v>
      </c>
      <c r="Z329" s="471">
        <v>7.9756702513991691</v>
      </c>
      <c r="AA329" s="471">
        <v>0</v>
      </c>
      <c r="AB329" s="471">
        <v>0</v>
      </c>
      <c r="AC329" s="471">
        <v>0</v>
      </c>
      <c r="AD329" s="471">
        <v>0</v>
      </c>
      <c r="AE329" s="471">
        <v>0</v>
      </c>
      <c r="AF329" s="471">
        <v>0</v>
      </c>
      <c r="AG329" s="471">
        <v>6.8823177743578867</v>
      </c>
      <c r="AH329" s="685">
        <f t="shared" si="28"/>
        <v>229.41059247859621</v>
      </c>
      <c r="AI329" s="472">
        <f t="shared" si="29"/>
        <v>236.2929102529541</v>
      </c>
      <c r="AJ329" s="472"/>
      <c r="AK329" s="472"/>
      <c r="AL329" s="570">
        <v>27.19</v>
      </c>
      <c r="AM329" s="570">
        <v>154.78585377329497</v>
      </c>
      <c r="AN329" s="566">
        <v>0</v>
      </c>
      <c r="AO329" s="566">
        <f t="shared" si="30"/>
        <v>181.97585377329497</v>
      </c>
    </row>
    <row r="330" spans="1:41" x14ac:dyDescent="0.3">
      <c r="A330" s="466">
        <v>150000974</v>
      </c>
      <c r="B330" s="467" t="s">
        <v>202</v>
      </c>
      <c r="C330" s="468">
        <v>1907.4</v>
      </c>
      <c r="D330" s="469"/>
      <c r="E330" s="470">
        <v>408.17</v>
      </c>
      <c r="F330" s="470">
        <v>2315.5700000000002</v>
      </c>
      <c r="G330" s="471">
        <v>546.1258662944839</v>
      </c>
      <c r="H330" s="471">
        <v>78.5109660981541</v>
      </c>
      <c r="I330" s="471">
        <v>269.18</v>
      </c>
      <c r="J330" s="471">
        <v>66.87</v>
      </c>
      <c r="K330" s="471">
        <v>0</v>
      </c>
      <c r="L330" s="471">
        <v>380.5252199090238</v>
      </c>
      <c r="M330" s="572">
        <f t="shared" si="26"/>
        <v>0</v>
      </c>
      <c r="N330" s="471">
        <v>825.08226861177036</v>
      </c>
      <c r="O330" s="471">
        <v>0</v>
      </c>
      <c r="P330" s="471">
        <v>0</v>
      </c>
      <c r="Q330" s="471">
        <v>126.26901905248663</v>
      </c>
      <c r="R330" s="572">
        <f t="shared" si="27"/>
        <v>2193.6816251870923</v>
      </c>
      <c r="S330" s="471">
        <v>92.043761140970886</v>
      </c>
      <c r="T330" s="471">
        <v>101.16848586476439</v>
      </c>
      <c r="U330" s="471">
        <v>139.21296560454007</v>
      </c>
      <c r="V330" s="471">
        <v>83.189606132103251</v>
      </c>
      <c r="W330" s="471">
        <v>0</v>
      </c>
      <c r="X330" s="471">
        <v>49.78972611547767</v>
      </c>
      <c r="Y330" s="471">
        <v>0</v>
      </c>
      <c r="Z330" s="471">
        <v>3613.9654427993546</v>
      </c>
      <c r="AA330" s="471">
        <v>1879.0432110755946</v>
      </c>
      <c r="AB330" s="471">
        <v>1152.8268652506176</v>
      </c>
      <c r="AC330" s="471">
        <v>0</v>
      </c>
      <c r="AD330" s="471">
        <v>0</v>
      </c>
      <c r="AE330" s="471">
        <v>237.08865224443372</v>
      </c>
      <c r="AF330" s="471">
        <v>0</v>
      </c>
      <c r="AG330" s="471">
        <v>213.02232626485559</v>
      </c>
      <c r="AH330" s="685">
        <f t="shared" si="28"/>
        <v>11834.573681380867</v>
      </c>
      <c r="AI330" s="472">
        <f t="shared" si="29"/>
        <v>12047.596007645723</v>
      </c>
      <c r="AJ330" s="472"/>
      <c r="AK330" s="472"/>
      <c r="AL330" s="570">
        <v>58.8</v>
      </c>
      <c r="AM330" s="570">
        <v>2134.8816251870921</v>
      </c>
      <c r="AN330" s="566">
        <v>0</v>
      </c>
      <c r="AO330" s="566">
        <f t="shared" si="30"/>
        <v>2193.6816251870923</v>
      </c>
    </row>
    <row r="331" spans="1:41" x14ac:dyDescent="0.3">
      <c r="A331" s="466">
        <v>150000975</v>
      </c>
      <c r="B331" s="467" t="s">
        <v>203</v>
      </c>
      <c r="C331" s="468">
        <v>2888.6</v>
      </c>
      <c r="D331" s="469"/>
      <c r="E331" s="470">
        <v>364.73</v>
      </c>
      <c r="F331" s="470">
        <v>3253.33</v>
      </c>
      <c r="G331" s="471">
        <v>819.53794061210942</v>
      </c>
      <c r="H331" s="471">
        <v>161.63340312309248</v>
      </c>
      <c r="I331" s="471">
        <v>381.05</v>
      </c>
      <c r="J331" s="471">
        <v>0</v>
      </c>
      <c r="K331" s="471">
        <v>0</v>
      </c>
      <c r="L331" s="471">
        <v>679.19295376779314</v>
      </c>
      <c r="M331" s="572">
        <f t="shared" si="26"/>
        <v>0</v>
      </c>
      <c r="N331" s="471">
        <v>1159.2242501598873</v>
      </c>
      <c r="O331" s="471">
        <v>0</v>
      </c>
      <c r="P331" s="471">
        <v>0</v>
      </c>
      <c r="Q331" s="471">
        <v>603.72374734470168</v>
      </c>
      <c r="R331" s="572">
        <f t="shared" si="27"/>
        <v>2161.9857633297534</v>
      </c>
      <c r="S331" s="471">
        <v>138.89838069576888</v>
      </c>
      <c r="T331" s="471">
        <v>208.33372466120261</v>
      </c>
      <c r="U331" s="471">
        <v>202.33130575794451</v>
      </c>
      <c r="V331" s="471">
        <v>0</v>
      </c>
      <c r="W331" s="471">
        <v>0</v>
      </c>
      <c r="X331" s="471">
        <v>91.20324742154807</v>
      </c>
      <c r="Y331" s="471">
        <v>0</v>
      </c>
      <c r="Z331" s="471">
        <v>3410.6786189424311</v>
      </c>
      <c r="AA331" s="471">
        <v>2217.9953670916329</v>
      </c>
      <c r="AB331" s="471">
        <v>1430.439953662727</v>
      </c>
      <c r="AC331" s="471">
        <v>84.563104818385909</v>
      </c>
      <c r="AD331" s="471">
        <v>10.410230706808871</v>
      </c>
      <c r="AE331" s="471">
        <v>193.41442683098538</v>
      </c>
      <c r="AF331" s="471">
        <v>0</v>
      </c>
      <c r="AG331" s="471">
        <v>0</v>
      </c>
      <c r="AH331" s="685">
        <f t="shared" si="28"/>
        <v>13954.616418926771</v>
      </c>
      <c r="AI331" s="472">
        <f t="shared" si="29"/>
        <v>13954.616418926771</v>
      </c>
      <c r="AJ331" s="472"/>
      <c r="AK331" s="472"/>
      <c r="AL331" s="570">
        <v>100.18</v>
      </c>
      <c r="AM331" s="570">
        <v>2061.8057633297535</v>
      </c>
      <c r="AN331" s="566">
        <v>0</v>
      </c>
      <c r="AO331" s="566">
        <f t="shared" si="30"/>
        <v>2161.9857633297534</v>
      </c>
    </row>
    <row r="332" spans="1:41" x14ac:dyDescent="0.3">
      <c r="A332" s="466">
        <v>150000976</v>
      </c>
      <c r="B332" s="467" t="s">
        <v>149</v>
      </c>
      <c r="C332" s="468">
        <v>821.7</v>
      </c>
      <c r="D332" s="469"/>
      <c r="E332" s="470">
        <v>102.8</v>
      </c>
      <c r="F332" s="470">
        <v>924.5</v>
      </c>
      <c r="G332" s="471">
        <v>377.36178563339558</v>
      </c>
      <c r="H332" s="471">
        <v>69.116620271561175</v>
      </c>
      <c r="I332" s="471">
        <v>104.78</v>
      </c>
      <c r="J332" s="471">
        <v>25.87</v>
      </c>
      <c r="K332" s="471">
        <v>0</v>
      </c>
      <c r="L332" s="471">
        <v>137.98576187134091</v>
      </c>
      <c r="M332" s="572">
        <f t="shared" si="26"/>
        <v>0</v>
      </c>
      <c r="N332" s="471">
        <v>329.41718770392674</v>
      </c>
      <c r="O332" s="471">
        <v>0</v>
      </c>
      <c r="P332" s="471">
        <v>0</v>
      </c>
      <c r="Q332" s="471">
        <v>63.134509526243313</v>
      </c>
      <c r="R332" s="572">
        <f t="shared" si="27"/>
        <v>806.31689840683214</v>
      </c>
      <c r="S332" s="471">
        <v>68.335821756708029</v>
      </c>
      <c r="T332" s="471">
        <v>89.092350960335338</v>
      </c>
      <c r="U332" s="471">
        <v>46.114140934044357</v>
      </c>
      <c r="V332" s="471">
        <v>30.848583200830014</v>
      </c>
      <c r="W332" s="471">
        <v>0</v>
      </c>
      <c r="X332" s="471">
        <v>14.816363198934827</v>
      </c>
      <c r="Y332" s="471">
        <v>29.545458721885282</v>
      </c>
      <c r="Z332" s="471">
        <v>1108.992640853643</v>
      </c>
      <c r="AA332" s="471">
        <v>605.68572961069594</v>
      </c>
      <c r="AB332" s="471">
        <v>380.99595635902074</v>
      </c>
      <c r="AC332" s="471">
        <v>0</v>
      </c>
      <c r="AD332" s="471">
        <v>0</v>
      </c>
      <c r="AE332" s="471">
        <v>218.37112706724159</v>
      </c>
      <c r="AF332" s="471">
        <v>0</v>
      </c>
      <c r="AG332" s="471">
        <v>135.20342808229918</v>
      </c>
      <c r="AH332" s="685">
        <f t="shared" si="28"/>
        <v>4506.7809360766396</v>
      </c>
      <c r="AI332" s="472">
        <f t="shared" si="29"/>
        <v>4641.9843641589387</v>
      </c>
      <c r="AJ332" s="472"/>
      <c r="AK332" s="472"/>
      <c r="AL332" s="570">
        <v>16.84</v>
      </c>
      <c r="AM332" s="570">
        <v>789.47689840683211</v>
      </c>
      <c r="AN332" s="566">
        <v>0</v>
      </c>
      <c r="AO332" s="566">
        <f t="shared" si="30"/>
        <v>806.31689840683214</v>
      </c>
    </row>
    <row r="333" spans="1:41" x14ac:dyDescent="0.3">
      <c r="A333" s="466">
        <v>150000977</v>
      </c>
      <c r="B333" s="467" t="s">
        <v>150</v>
      </c>
      <c r="C333" s="468">
        <v>654.20000000000005</v>
      </c>
      <c r="D333" s="469"/>
      <c r="E333" s="470">
        <v>255</v>
      </c>
      <c r="F333" s="470">
        <v>909.2</v>
      </c>
      <c r="G333" s="471">
        <v>362.95694338218703</v>
      </c>
      <c r="H333" s="471">
        <v>69.116620271561175</v>
      </c>
      <c r="I333" s="471">
        <v>99.3</v>
      </c>
      <c r="J333" s="471">
        <v>0</v>
      </c>
      <c r="K333" s="471">
        <v>0</v>
      </c>
      <c r="L333" s="471">
        <v>137.98576187134091</v>
      </c>
      <c r="M333" s="572">
        <f t="shared" si="26"/>
        <v>0</v>
      </c>
      <c r="N333" s="471">
        <v>323.9655024990916</v>
      </c>
      <c r="O333" s="471">
        <v>0</v>
      </c>
      <c r="P333" s="471">
        <v>0</v>
      </c>
      <c r="Q333" s="471">
        <v>153.89036697021808</v>
      </c>
      <c r="R333" s="572">
        <f t="shared" si="27"/>
        <v>1089.4088610326023</v>
      </c>
      <c r="S333" s="471">
        <v>67.461487126186029</v>
      </c>
      <c r="T333" s="471">
        <v>89.092350960335338</v>
      </c>
      <c r="U333" s="471">
        <v>52.886388444950484</v>
      </c>
      <c r="V333" s="471">
        <v>0</v>
      </c>
      <c r="W333" s="471">
        <v>0</v>
      </c>
      <c r="X333" s="471">
        <v>14.816363198934827</v>
      </c>
      <c r="Y333" s="471">
        <v>0</v>
      </c>
      <c r="Z333" s="471">
        <v>1391.3891133766674</v>
      </c>
      <c r="AA333" s="471">
        <v>566.67043495623238</v>
      </c>
      <c r="AB333" s="471">
        <v>215.45117370159446</v>
      </c>
      <c r="AC333" s="471">
        <v>0</v>
      </c>
      <c r="AD333" s="471">
        <v>0</v>
      </c>
      <c r="AE333" s="471">
        <v>90.46803835642865</v>
      </c>
      <c r="AF333" s="471">
        <v>0</v>
      </c>
      <c r="AG333" s="471">
        <v>0</v>
      </c>
      <c r="AH333" s="685">
        <f t="shared" si="28"/>
        <v>4724.8594061483309</v>
      </c>
      <c r="AI333" s="472">
        <f t="shared" si="29"/>
        <v>4724.8594061483309</v>
      </c>
      <c r="AJ333" s="472"/>
      <c r="AK333" s="472"/>
      <c r="AL333" s="570">
        <v>25.47</v>
      </c>
      <c r="AM333" s="570">
        <v>1063.9388610326023</v>
      </c>
      <c r="AN333" s="566">
        <v>0</v>
      </c>
      <c r="AO333" s="566">
        <f t="shared" si="30"/>
        <v>1089.4088610326023</v>
      </c>
    </row>
    <row r="334" spans="1:41" x14ac:dyDescent="0.3">
      <c r="A334" s="466">
        <v>150000978</v>
      </c>
      <c r="B334" s="467" t="s">
        <v>243</v>
      </c>
      <c r="C334" s="468">
        <v>1730</v>
      </c>
      <c r="D334" s="469"/>
      <c r="E334" s="470">
        <v>137.1</v>
      </c>
      <c r="F334" s="470">
        <v>1867.1</v>
      </c>
      <c r="G334" s="471">
        <v>509.34907056146744</v>
      </c>
      <c r="H334" s="471">
        <v>87.388036606302492</v>
      </c>
      <c r="I334" s="471">
        <v>237.27</v>
      </c>
      <c r="J334" s="471">
        <v>0</v>
      </c>
      <c r="K334" s="471">
        <v>0</v>
      </c>
      <c r="L334" s="471">
        <v>267.41148184148915</v>
      </c>
      <c r="M334" s="572">
        <f t="shared" si="26"/>
        <v>0</v>
      </c>
      <c r="N334" s="471">
        <v>665.28375463710279</v>
      </c>
      <c r="O334" s="471">
        <v>0</v>
      </c>
      <c r="P334" s="471">
        <v>0</v>
      </c>
      <c r="Q334" s="471">
        <v>437.99565983831303</v>
      </c>
      <c r="R334" s="572">
        <f t="shared" si="27"/>
        <v>1908.300330447239</v>
      </c>
      <c r="S334" s="471">
        <v>84.611857446792584</v>
      </c>
      <c r="T334" s="471">
        <v>112.642466497418</v>
      </c>
      <c r="U334" s="471">
        <v>98.525570266837363</v>
      </c>
      <c r="V334" s="471">
        <v>0</v>
      </c>
      <c r="W334" s="471">
        <v>0</v>
      </c>
      <c r="X334" s="471">
        <v>32.862786381711686</v>
      </c>
      <c r="Y334" s="471">
        <v>0</v>
      </c>
      <c r="Z334" s="471">
        <v>1235.0388606598187</v>
      </c>
      <c r="AA334" s="471">
        <v>710.73617452682424</v>
      </c>
      <c r="AB334" s="471">
        <v>585.93041297131469</v>
      </c>
      <c r="AC334" s="471">
        <v>0</v>
      </c>
      <c r="AD334" s="471">
        <v>0</v>
      </c>
      <c r="AE334" s="471">
        <v>187.17525177192132</v>
      </c>
      <c r="AF334" s="471">
        <v>0</v>
      </c>
      <c r="AG334" s="471">
        <v>257.7787817203639</v>
      </c>
      <c r="AH334" s="685">
        <f t="shared" si="28"/>
        <v>7160.5217144545531</v>
      </c>
      <c r="AI334" s="472">
        <f t="shared" si="29"/>
        <v>7418.3004961749175</v>
      </c>
      <c r="AJ334" s="472"/>
      <c r="AK334" s="472"/>
      <c r="AL334" s="570">
        <v>65.680000000000007</v>
      </c>
      <c r="AM334" s="570">
        <v>1842.620330447239</v>
      </c>
      <c r="AN334" s="566">
        <v>0</v>
      </c>
      <c r="AO334" s="566">
        <f t="shared" si="30"/>
        <v>1908.300330447239</v>
      </c>
    </row>
    <row r="335" spans="1:41" x14ac:dyDescent="0.3">
      <c r="A335" s="466">
        <v>150000981</v>
      </c>
      <c r="B335" s="467" t="s">
        <v>342</v>
      </c>
      <c r="C335" s="468">
        <v>2214.37</v>
      </c>
      <c r="D335" s="469">
        <v>213.63</v>
      </c>
      <c r="E335" s="470"/>
      <c r="F335" s="470">
        <v>2214.37</v>
      </c>
      <c r="G335" s="471">
        <v>625.06808510411258</v>
      </c>
      <c r="H335" s="471">
        <v>115.02997768106816</v>
      </c>
      <c r="I335" s="471">
        <v>240.97</v>
      </c>
      <c r="J335" s="471">
        <v>60.59</v>
      </c>
      <c r="K335" s="471">
        <v>32.51454535665566</v>
      </c>
      <c r="L335" s="471">
        <v>319.78524753520219</v>
      </c>
      <c r="M335" s="572">
        <f t="shared" si="26"/>
        <v>0</v>
      </c>
      <c r="N335" s="471">
        <v>789.02275601508302</v>
      </c>
      <c r="O335" s="471">
        <v>1728.2737741288088</v>
      </c>
      <c r="P335" s="471">
        <v>0</v>
      </c>
      <c r="Q335" s="471">
        <v>138.10673958865726</v>
      </c>
      <c r="R335" s="572">
        <f t="shared" si="27"/>
        <v>3198.0089611458379</v>
      </c>
      <c r="S335" s="471">
        <v>22.462403780588428</v>
      </c>
      <c r="T335" s="471">
        <v>30.422107952889679</v>
      </c>
      <c r="U335" s="471">
        <v>38.34683273588805</v>
      </c>
      <c r="V335" s="471">
        <v>15.046391549974324</v>
      </c>
      <c r="W335" s="471">
        <v>6.5961235315382805</v>
      </c>
      <c r="X335" s="471">
        <v>17.430653054924321</v>
      </c>
      <c r="Y335" s="471">
        <v>0</v>
      </c>
      <c r="Z335" s="471">
        <v>2755.1398465000038</v>
      </c>
      <c r="AA335" s="471">
        <v>1818.2906951753989</v>
      </c>
      <c r="AB335" s="471">
        <v>205.57848826739215</v>
      </c>
      <c r="AC335" s="471">
        <v>61.106034873111902</v>
      </c>
      <c r="AD335" s="471">
        <v>7.5225232324853675</v>
      </c>
      <c r="AE335" s="471">
        <v>380.58967860290676</v>
      </c>
      <c r="AF335" s="471">
        <v>474.17730448886743</v>
      </c>
      <c r="AG335" s="471">
        <v>392.40237510904183</v>
      </c>
      <c r="AH335" s="685">
        <f t="shared" si="28"/>
        <v>13080.079170301393</v>
      </c>
      <c r="AI335" s="472">
        <f t="shared" si="29"/>
        <v>13472.481545410436</v>
      </c>
      <c r="AJ335" s="472"/>
      <c r="AK335" s="472"/>
      <c r="AL335" s="570">
        <v>41.27</v>
      </c>
      <c r="AM335" s="570">
        <v>3156.7389611458379</v>
      </c>
      <c r="AN335" s="566">
        <v>0</v>
      </c>
      <c r="AO335" s="566">
        <f t="shared" si="30"/>
        <v>3198.0089611458379</v>
      </c>
    </row>
    <row r="336" spans="1:41" x14ac:dyDescent="0.3">
      <c r="A336" s="466">
        <v>150000982</v>
      </c>
      <c r="B336" s="467" t="s">
        <v>343</v>
      </c>
      <c r="C336" s="468">
        <v>5953.29</v>
      </c>
      <c r="D336" s="469">
        <v>569.36</v>
      </c>
      <c r="E336" s="470"/>
      <c r="F336" s="470">
        <v>5953.29</v>
      </c>
      <c r="G336" s="471">
        <v>1325.928744318438</v>
      </c>
      <c r="H336" s="471">
        <v>343.58546334373341</v>
      </c>
      <c r="I336" s="471">
        <v>647.23</v>
      </c>
      <c r="J336" s="471">
        <v>157.82</v>
      </c>
      <c r="K336" s="471">
        <v>97.519365684823939</v>
      </c>
      <c r="L336" s="471">
        <v>1026.9044768602475</v>
      </c>
      <c r="M336" s="572">
        <f t="shared" si="26"/>
        <v>0</v>
      </c>
      <c r="N336" s="471">
        <v>2121.2720923590155</v>
      </c>
      <c r="O336" s="471">
        <v>7201.1332979473464</v>
      </c>
      <c r="P336" s="471">
        <v>0</v>
      </c>
      <c r="Q336" s="471">
        <v>414.32021876597179</v>
      </c>
      <c r="R336" s="572">
        <f t="shared" si="27"/>
        <v>9106.5211973730802</v>
      </c>
      <c r="S336" s="471">
        <v>40.612155994323253</v>
      </c>
      <c r="T336" s="471">
        <v>90.865249567069739</v>
      </c>
      <c r="U336" s="471">
        <v>105.81371524185468</v>
      </c>
      <c r="V336" s="471">
        <v>35.518448681618807</v>
      </c>
      <c r="W336" s="471">
        <v>19.788362425549849</v>
      </c>
      <c r="X336" s="471">
        <v>24.435801658547344</v>
      </c>
      <c r="Y336" s="471">
        <v>0</v>
      </c>
      <c r="Z336" s="471">
        <v>5343.7880497771457</v>
      </c>
      <c r="AA336" s="471">
        <v>5585.0299612997524</v>
      </c>
      <c r="AB336" s="471">
        <v>508.53626045091738</v>
      </c>
      <c r="AC336" s="471">
        <v>183.32790903728568</v>
      </c>
      <c r="AD336" s="471">
        <v>22.568776680726458</v>
      </c>
      <c r="AE336" s="471">
        <v>1929.4648870155556</v>
      </c>
      <c r="AF336" s="471">
        <v>904.05646605838001</v>
      </c>
      <c r="AG336" s="471">
        <v>446.83249080649665</v>
      </c>
      <c r="AH336" s="685">
        <f t="shared" si="28"/>
        <v>37236.040900541382</v>
      </c>
      <c r="AI336" s="472">
        <f t="shared" si="29"/>
        <v>37682.873391347879</v>
      </c>
      <c r="AJ336" s="472"/>
      <c r="AK336" s="472"/>
      <c r="AL336" s="570">
        <v>122.68</v>
      </c>
      <c r="AM336" s="570">
        <v>8983.8411973730799</v>
      </c>
      <c r="AN336" s="566">
        <v>0</v>
      </c>
      <c r="AO336" s="566">
        <f t="shared" si="30"/>
        <v>9106.5211973730802</v>
      </c>
    </row>
    <row r="337" spans="1:41" x14ac:dyDescent="0.3">
      <c r="A337" s="466">
        <v>150000983</v>
      </c>
      <c r="B337" s="467" t="s">
        <v>344</v>
      </c>
      <c r="C337" s="468">
        <v>3858.65</v>
      </c>
      <c r="D337" s="469">
        <v>441.5</v>
      </c>
      <c r="E337" s="470"/>
      <c r="F337" s="470">
        <v>3858.65</v>
      </c>
      <c r="G337" s="471">
        <v>871.99130988404681</v>
      </c>
      <c r="H337" s="471">
        <v>128.19724491832335</v>
      </c>
      <c r="I337" s="471">
        <v>416.74</v>
      </c>
      <c r="J337" s="471">
        <v>106.63</v>
      </c>
      <c r="K337" s="471">
        <v>65.004820328168279</v>
      </c>
      <c r="L337" s="471">
        <v>751.42451272130438</v>
      </c>
      <c r="M337" s="572">
        <f t="shared" si="26"/>
        <v>0</v>
      </c>
      <c r="N337" s="471">
        <v>1374.9114454664759</v>
      </c>
      <c r="O337" s="471">
        <v>4800.7555319648973</v>
      </c>
      <c r="P337" s="471">
        <v>0</v>
      </c>
      <c r="Q337" s="471">
        <v>276.21347917731453</v>
      </c>
      <c r="R337" s="572">
        <f t="shared" si="27"/>
        <v>5735.0229413501493</v>
      </c>
      <c r="S337" s="471">
        <v>26.70420630466306</v>
      </c>
      <c r="T337" s="471">
        <v>34.575860107691469</v>
      </c>
      <c r="U337" s="471">
        <v>68.714332679559377</v>
      </c>
      <c r="V337" s="471">
        <v>25.64420955114651</v>
      </c>
      <c r="W337" s="471">
        <v>13.192247063076561</v>
      </c>
      <c r="X337" s="471">
        <v>22.495964651723806</v>
      </c>
      <c r="Y337" s="471">
        <v>0</v>
      </c>
      <c r="Z337" s="471">
        <v>3248.9523594782822</v>
      </c>
      <c r="AA337" s="471">
        <v>3849.7214901602201</v>
      </c>
      <c r="AB337" s="471">
        <v>335.41753348890296</v>
      </c>
      <c r="AC337" s="471">
        <v>99.000110249698736</v>
      </c>
      <c r="AD337" s="471">
        <v>12.187513572406095</v>
      </c>
      <c r="AE337" s="471">
        <v>54.592781766810397</v>
      </c>
      <c r="AF337" s="471">
        <v>394.93978123875405</v>
      </c>
      <c r="AG337" s="471">
        <v>272.55635611348333</v>
      </c>
      <c r="AH337" s="685">
        <f t="shared" si="28"/>
        <v>22713.029676123617</v>
      </c>
      <c r="AI337" s="472">
        <f t="shared" si="29"/>
        <v>22985.586032237101</v>
      </c>
      <c r="AJ337" s="472"/>
      <c r="AK337" s="472"/>
      <c r="AL337" s="570">
        <v>57.51</v>
      </c>
      <c r="AM337" s="570">
        <v>5677.512941350149</v>
      </c>
      <c r="AN337" s="566">
        <v>0</v>
      </c>
      <c r="AO337" s="566">
        <f t="shared" si="30"/>
        <v>5735.0229413501493</v>
      </c>
    </row>
    <row r="338" spans="1:41" x14ac:dyDescent="0.3">
      <c r="A338" s="466">
        <v>150000984</v>
      </c>
      <c r="B338" s="467" t="s">
        <v>345</v>
      </c>
      <c r="C338" s="468">
        <v>9788.74</v>
      </c>
      <c r="D338" s="469">
        <v>1089.02</v>
      </c>
      <c r="E338" s="470"/>
      <c r="F338" s="470">
        <v>9788.74</v>
      </c>
      <c r="G338" s="471">
        <v>2176.8588234977647</v>
      </c>
      <c r="H338" s="471">
        <v>355.42121697689004</v>
      </c>
      <c r="I338" s="471">
        <v>1044.29</v>
      </c>
      <c r="J338" s="471">
        <v>246.65</v>
      </c>
      <c r="K338" s="471">
        <v>97.519365684823939</v>
      </c>
      <c r="L338" s="471">
        <v>1378.2476610219285</v>
      </c>
      <c r="M338" s="572">
        <f t="shared" si="26"/>
        <v>0</v>
      </c>
      <c r="N338" s="471">
        <v>3487.9169301946304</v>
      </c>
      <c r="O338" s="471">
        <v>4632.2420984499977</v>
      </c>
      <c r="P338" s="471">
        <v>0</v>
      </c>
      <c r="Q338" s="471">
        <v>635.29100210782349</v>
      </c>
      <c r="R338" s="572">
        <f t="shared" si="27"/>
        <v>13904.224818171208</v>
      </c>
      <c r="S338" s="471">
        <v>177.66898556682935</v>
      </c>
      <c r="T338" s="471">
        <v>234.79140086135266</v>
      </c>
      <c r="U338" s="471">
        <v>459.86366742251522</v>
      </c>
      <c r="V338" s="471">
        <v>135.12905485607575</v>
      </c>
      <c r="W338" s="471">
        <v>49.470906063874629</v>
      </c>
      <c r="X338" s="471">
        <v>137.53503432501498</v>
      </c>
      <c r="Y338" s="471">
        <v>0</v>
      </c>
      <c r="Z338" s="471">
        <v>9103.6472232113083</v>
      </c>
      <c r="AA338" s="471">
        <v>5922.8596670626112</v>
      </c>
      <c r="AB338" s="471">
        <v>616.73546480217635</v>
      </c>
      <c r="AC338" s="471">
        <v>193.88971827387769</v>
      </c>
      <c r="AD338" s="471">
        <v>23.868999408716</v>
      </c>
      <c r="AE338" s="471">
        <v>3567.2483400198676</v>
      </c>
      <c r="AF338" s="471">
        <v>1605.0277839442256</v>
      </c>
      <c r="AG338" s="471">
        <v>1505.5919448577058</v>
      </c>
      <c r="AH338" s="685">
        <f t="shared" si="28"/>
        <v>50186.398161923527</v>
      </c>
      <c r="AI338" s="472">
        <f t="shared" si="29"/>
        <v>51691.990106781232</v>
      </c>
      <c r="AJ338" s="472"/>
      <c r="AK338" s="472"/>
      <c r="AL338" s="570">
        <v>119.56</v>
      </c>
      <c r="AM338" s="570">
        <v>13784.664818171208</v>
      </c>
      <c r="AN338" s="566">
        <v>0</v>
      </c>
      <c r="AO338" s="566">
        <f t="shared" si="30"/>
        <v>13904.224818171208</v>
      </c>
    </row>
    <row r="339" spans="1:41" x14ac:dyDescent="0.3">
      <c r="A339" s="466">
        <v>150000986</v>
      </c>
      <c r="B339" s="467" t="s">
        <v>346</v>
      </c>
      <c r="C339" s="468">
        <v>6581.9</v>
      </c>
      <c r="D339" s="469">
        <v>729.6</v>
      </c>
      <c r="E339" s="470"/>
      <c r="F339" s="470">
        <v>6581.9</v>
      </c>
      <c r="G339" s="471">
        <v>1453.1462784741004</v>
      </c>
      <c r="H339" s="471">
        <v>237.82696828651987</v>
      </c>
      <c r="I339" s="471">
        <v>706.64</v>
      </c>
      <c r="J339" s="471">
        <v>166.8</v>
      </c>
      <c r="K339" s="471">
        <v>65.004820328168279</v>
      </c>
      <c r="L339" s="471">
        <v>845.53800633577237</v>
      </c>
      <c r="M339" s="572">
        <f t="shared" si="26"/>
        <v>0</v>
      </c>
      <c r="N339" s="471">
        <v>2345.2579640329641</v>
      </c>
      <c r="O339" s="471">
        <v>2351.3891003847621</v>
      </c>
      <c r="P339" s="471">
        <v>0</v>
      </c>
      <c r="Q339" s="471">
        <v>426.15793930214238</v>
      </c>
      <c r="R339" s="572">
        <f t="shared" si="27"/>
        <v>10999.525786332411</v>
      </c>
      <c r="S339" s="471">
        <v>118.81636543642115</v>
      </c>
      <c r="T339" s="471">
        <v>156.74761259420535</v>
      </c>
      <c r="U339" s="471">
        <v>304.41632375605059</v>
      </c>
      <c r="V339" s="471">
        <v>92.946232799750248</v>
      </c>
      <c r="W339" s="471">
        <v>32.980617657691397</v>
      </c>
      <c r="X339" s="471">
        <v>112.05081838234747</v>
      </c>
      <c r="Y339" s="471">
        <v>0</v>
      </c>
      <c r="Z339" s="471">
        <v>7558.6545208680927</v>
      </c>
      <c r="AA339" s="471">
        <v>3789.2773112387767</v>
      </c>
      <c r="AB339" s="471">
        <v>530.1761013211692</v>
      </c>
      <c r="AC339" s="471">
        <v>187.76195705515408</v>
      </c>
      <c r="AD339" s="471">
        <v>23.114634864744346</v>
      </c>
      <c r="AE339" s="471">
        <v>1686.1370597120581</v>
      </c>
      <c r="AF339" s="471">
        <v>642.63503108359669</v>
      </c>
      <c r="AG339" s="471">
        <v>626.99402610444406</v>
      </c>
      <c r="AH339" s="685">
        <f t="shared" si="28"/>
        <v>34833.001450246898</v>
      </c>
      <c r="AI339" s="472">
        <f t="shared" si="29"/>
        <v>35459.995476351345</v>
      </c>
      <c r="AJ339" s="472"/>
      <c r="AK339" s="472"/>
      <c r="AL339" s="570">
        <v>81.98</v>
      </c>
      <c r="AM339" s="570">
        <v>10917.545786332412</v>
      </c>
      <c r="AN339" s="566">
        <v>0</v>
      </c>
      <c r="AO339" s="566">
        <f t="shared" si="30"/>
        <v>10999.525786332411</v>
      </c>
    </row>
    <row r="340" spans="1:41" x14ac:dyDescent="0.3">
      <c r="A340" s="466">
        <v>150000987</v>
      </c>
      <c r="B340" s="467" t="s">
        <v>50</v>
      </c>
      <c r="C340" s="468">
        <v>244.2</v>
      </c>
      <c r="D340" s="473"/>
      <c r="E340" s="470"/>
      <c r="F340" s="470">
        <v>244.2</v>
      </c>
      <c r="G340" s="471">
        <v>0</v>
      </c>
      <c r="H340" s="471">
        <v>0</v>
      </c>
      <c r="I340" s="471">
        <v>0</v>
      </c>
      <c r="J340" s="471">
        <v>0</v>
      </c>
      <c r="K340" s="471">
        <v>0</v>
      </c>
      <c r="L340" s="471">
        <v>0</v>
      </c>
      <c r="M340" s="572">
        <f t="shared" si="26"/>
        <v>0</v>
      </c>
      <c r="N340" s="471">
        <v>0</v>
      </c>
      <c r="O340" s="471">
        <v>0</v>
      </c>
      <c r="P340" s="471">
        <v>0</v>
      </c>
      <c r="Q340" s="471">
        <v>47.350882144682487</v>
      </c>
      <c r="R340" s="572">
        <f t="shared" si="27"/>
        <v>6.5640000000000001</v>
      </c>
      <c r="S340" s="471">
        <v>0</v>
      </c>
      <c r="T340" s="471">
        <v>0</v>
      </c>
      <c r="U340" s="471">
        <v>0</v>
      </c>
      <c r="V340" s="471">
        <v>0</v>
      </c>
      <c r="W340" s="471">
        <v>0</v>
      </c>
      <c r="X340" s="471">
        <v>0</v>
      </c>
      <c r="Y340" s="471">
        <v>0</v>
      </c>
      <c r="Z340" s="471">
        <v>13.957422939948543</v>
      </c>
      <c r="AA340" s="471">
        <v>0</v>
      </c>
      <c r="AB340" s="471">
        <v>0</v>
      </c>
      <c r="AC340" s="471">
        <v>0</v>
      </c>
      <c r="AD340" s="471">
        <v>0</v>
      </c>
      <c r="AE340" s="471">
        <v>0</v>
      </c>
      <c r="AF340" s="471">
        <v>0</v>
      </c>
      <c r="AG340" s="471">
        <v>2.0361691525389309</v>
      </c>
      <c r="AH340" s="685">
        <f t="shared" si="28"/>
        <v>67.872305084631023</v>
      </c>
      <c r="AI340" s="472">
        <f t="shared" si="29"/>
        <v>69.908474237169955</v>
      </c>
      <c r="AJ340" s="472"/>
      <c r="AK340" s="472"/>
      <c r="AL340" s="570">
        <v>6.5640000000000001</v>
      </c>
      <c r="AM340" s="570">
        <v>0</v>
      </c>
      <c r="AN340" s="566">
        <v>0</v>
      </c>
      <c r="AO340" s="566">
        <f t="shared" si="30"/>
        <v>6.5640000000000001</v>
      </c>
    </row>
    <row r="341" spans="1:41" x14ac:dyDescent="0.3">
      <c r="A341" s="466">
        <v>150000988</v>
      </c>
      <c r="B341" s="467" t="s">
        <v>51</v>
      </c>
      <c r="C341" s="468">
        <v>323.7</v>
      </c>
      <c r="D341" s="473"/>
      <c r="E341" s="470"/>
      <c r="F341" s="470">
        <v>323.7</v>
      </c>
      <c r="G341" s="471">
        <v>0</v>
      </c>
      <c r="H341" s="471">
        <v>0</v>
      </c>
      <c r="I341" s="471">
        <v>0</v>
      </c>
      <c r="J341" s="471">
        <v>0</v>
      </c>
      <c r="K341" s="471">
        <v>0</v>
      </c>
      <c r="L341" s="471">
        <v>0</v>
      </c>
      <c r="M341" s="572">
        <f t="shared" si="26"/>
        <v>0</v>
      </c>
      <c r="N341" s="471">
        <v>0</v>
      </c>
      <c r="O341" s="471">
        <v>0</v>
      </c>
      <c r="P341" s="471">
        <v>0</v>
      </c>
      <c r="Q341" s="471">
        <v>39.45906845390207</v>
      </c>
      <c r="R341" s="572">
        <f t="shared" si="27"/>
        <v>306.1263048914567</v>
      </c>
      <c r="S341" s="471">
        <v>0</v>
      </c>
      <c r="T341" s="471">
        <v>0</v>
      </c>
      <c r="U341" s="471">
        <v>0</v>
      </c>
      <c r="V341" s="471">
        <v>0</v>
      </c>
      <c r="W341" s="471">
        <v>0</v>
      </c>
      <c r="X341" s="471">
        <v>0</v>
      </c>
      <c r="Y341" s="471">
        <v>0</v>
      </c>
      <c r="Z341" s="471">
        <v>7.9756702513991691</v>
      </c>
      <c r="AA341" s="471">
        <v>0</v>
      </c>
      <c r="AB341" s="471">
        <v>0</v>
      </c>
      <c r="AC341" s="471">
        <v>0</v>
      </c>
      <c r="AD341" s="471">
        <v>0</v>
      </c>
      <c r="AE341" s="471">
        <v>0</v>
      </c>
      <c r="AF341" s="471">
        <v>0</v>
      </c>
      <c r="AG341" s="471">
        <v>10.606831307902738</v>
      </c>
      <c r="AH341" s="685">
        <f t="shared" si="28"/>
        <v>353.56104359675794</v>
      </c>
      <c r="AI341" s="472">
        <f t="shared" si="29"/>
        <v>364.16787490466066</v>
      </c>
      <c r="AJ341" s="472"/>
      <c r="AK341" s="472"/>
      <c r="AL341" s="570">
        <v>29.36</v>
      </c>
      <c r="AM341" s="570">
        <v>276.76630489145668</v>
      </c>
      <c r="AN341" s="566">
        <v>0</v>
      </c>
      <c r="AO341" s="566">
        <f t="shared" si="30"/>
        <v>306.1263048914567</v>
      </c>
    </row>
    <row r="342" spans="1:41" x14ac:dyDescent="0.3">
      <c r="A342" s="466">
        <v>150000989</v>
      </c>
      <c r="B342" s="467" t="s">
        <v>37</v>
      </c>
      <c r="C342" s="468">
        <v>206.8</v>
      </c>
      <c r="D342" s="473"/>
      <c r="E342" s="470">
        <v>50.11</v>
      </c>
      <c r="F342" s="470">
        <v>256.91000000000003</v>
      </c>
      <c r="G342" s="471">
        <v>0</v>
      </c>
      <c r="H342" s="471">
        <v>0</v>
      </c>
      <c r="I342" s="471">
        <v>0</v>
      </c>
      <c r="J342" s="471">
        <v>0</v>
      </c>
      <c r="K342" s="471">
        <v>0</v>
      </c>
      <c r="L342" s="471">
        <v>0</v>
      </c>
      <c r="M342" s="572">
        <f t="shared" si="26"/>
        <v>0</v>
      </c>
      <c r="N342" s="471">
        <v>0</v>
      </c>
      <c r="O342" s="471">
        <v>0</v>
      </c>
      <c r="P342" s="471">
        <v>0</v>
      </c>
      <c r="Q342" s="471">
        <v>39.45906845390207</v>
      </c>
      <c r="R342" s="572">
        <f t="shared" si="27"/>
        <v>232.17268371065222</v>
      </c>
      <c r="S342" s="471">
        <v>0</v>
      </c>
      <c r="T342" s="471">
        <v>0</v>
      </c>
      <c r="U342" s="471">
        <v>0</v>
      </c>
      <c r="V342" s="471">
        <v>0</v>
      </c>
      <c r="W342" s="471">
        <v>0</v>
      </c>
      <c r="X342" s="471">
        <v>0</v>
      </c>
      <c r="Y342" s="471">
        <v>0</v>
      </c>
      <c r="Z342" s="471">
        <v>7.9756702513991691</v>
      </c>
      <c r="AA342" s="471">
        <v>0</v>
      </c>
      <c r="AB342" s="471">
        <v>0</v>
      </c>
      <c r="AC342" s="471">
        <v>0</v>
      </c>
      <c r="AD342" s="471">
        <v>0</v>
      </c>
      <c r="AE342" s="471">
        <v>0</v>
      </c>
      <c r="AF342" s="471">
        <v>0</v>
      </c>
      <c r="AG342" s="471">
        <v>8.3882226724786033</v>
      </c>
      <c r="AH342" s="685">
        <f t="shared" si="28"/>
        <v>279.60742241595347</v>
      </c>
      <c r="AI342" s="472">
        <f t="shared" si="29"/>
        <v>287.99564508843207</v>
      </c>
      <c r="AJ342" s="472"/>
      <c r="AK342" s="472"/>
      <c r="AL342" s="570">
        <v>27.19</v>
      </c>
      <c r="AM342" s="570">
        <v>204.98268371065222</v>
      </c>
      <c r="AN342" s="566">
        <v>0</v>
      </c>
      <c r="AO342" s="566">
        <f t="shared" si="30"/>
        <v>232.17268371065222</v>
      </c>
    </row>
    <row r="343" spans="1:41" x14ac:dyDescent="0.3">
      <c r="A343" s="466">
        <v>150000991</v>
      </c>
      <c r="B343" s="467" t="s">
        <v>341</v>
      </c>
      <c r="C343" s="468">
        <v>4082.7</v>
      </c>
      <c r="D343" s="469">
        <v>442.1</v>
      </c>
      <c r="E343" s="470"/>
      <c r="F343" s="470">
        <v>4082.7</v>
      </c>
      <c r="G343" s="471">
        <v>993.4259222698397</v>
      </c>
      <c r="H343" s="471">
        <v>153.15139825584944</v>
      </c>
      <c r="I343" s="471">
        <v>306.19</v>
      </c>
      <c r="J343" s="471">
        <v>71.48</v>
      </c>
      <c r="K343" s="471">
        <v>65.004820328168279</v>
      </c>
      <c r="L343" s="471">
        <v>625.26180662985701</v>
      </c>
      <c r="M343" s="572">
        <f t="shared" si="26"/>
        <v>0</v>
      </c>
      <c r="N343" s="471">
        <v>1454.7447833843391</v>
      </c>
      <c r="O343" s="471">
        <v>3049.2296893570415</v>
      </c>
      <c r="P343" s="471">
        <v>0</v>
      </c>
      <c r="Q343" s="471">
        <v>213.07896965107119</v>
      </c>
      <c r="R343" s="572">
        <f t="shared" si="27"/>
        <v>4864.2904134541268</v>
      </c>
      <c r="S343" s="471">
        <v>88.75900440000531</v>
      </c>
      <c r="T343" s="471">
        <v>100.21665622868703</v>
      </c>
      <c r="U343" s="471">
        <v>85.340073871543112</v>
      </c>
      <c r="V343" s="471">
        <v>50.586994711653801</v>
      </c>
      <c r="W343" s="471">
        <v>32.980617657691397</v>
      </c>
      <c r="X343" s="471">
        <v>104.27028025908592</v>
      </c>
      <c r="Y343" s="471">
        <v>0</v>
      </c>
      <c r="Z343" s="471">
        <v>6311.9267204645512</v>
      </c>
      <c r="AA343" s="471">
        <v>2142.9114734998866</v>
      </c>
      <c r="AB343" s="471">
        <v>162.29880652688854</v>
      </c>
      <c r="AC343" s="471">
        <v>149.51737373685623</v>
      </c>
      <c r="AD343" s="471">
        <v>18.406494872908436</v>
      </c>
      <c r="AE343" s="471">
        <v>795.9627581600954</v>
      </c>
      <c r="AF343" s="471">
        <v>988.90924686165113</v>
      </c>
      <c r="AG343" s="471">
        <v>219.14826532398524</v>
      </c>
      <c r="AH343" s="685">
        <f t="shared" si="28"/>
        <v>22827.944304581797</v>
      </c>
      <c r="AI343" s="472">
        <f t="shared" si="29"/>
        <v>23047.092569905781</v>
      </c>
      <c r="AJ343" s="472"/>
      <c r="AK343" s="472"/>
      <c r="AL343" s="570">
        <v>75.7</v>
      </c>
      <c r="AM343" s="570">
        <v>4788.590413454127</v>
      </c>
      <c r="AN343" s="566">
        <v>0</v>
      </c>
      <c r="AO343" s="566">
        <f t="shared" si="30"/>
        <v>4864.2904134541268</v>
      </c>
    </row>
    <row r="344" spans="1:41" x14ac:dyDescent="0.3">
      <c r="A344" s="466">
        <v>150000992</v>
      </c>
      <c r="B344" s="467" t="s">
        <v>39</v>
      </c>
      <c r="C344" s="468">
        <v>263.39999999999998</v>
      </c>
      <c r="D344" s="473"/>
      <c r="E344" s="470"/>
      <c r="F344" s="470">
        <v>263.39999999999998</v>
      </c>
      <c r="G344" s="471">
        <v>0</v>
      </c>
      <c r="H344" s="471">
        <v>0</v>
      </c>
      <c r="I344" s="471">
        <v>0</v>
      </c>
      <c r="J344" s="471">
        <v>0</v>
      </c>
      <c r="K344" s="471">
        <v>0</v>
      </c>
      <c r="L344" s="471">
        <v>0</v>
      </c>
      <c r="M344" s="572">
        <f t="shared" si="26"/>
        <v>0</v>
      </c>
      <c r="N344" s="471">
        <v>0</v>
      </c>
      <c r="O344" s="471">
        <v>0</v>
      </c>
      <c r="P344" s="471">
        <v>0</v>
      </c>
      <c r="Q344" s="471">
        <v>39.45906845390207</v>
      </c>
      <c r="R344" s="572">
        <f t="shared" si="27"/>
        <v>255.28103932167801</v>
      </c>
      <c r="S344" s="471">
        <v>0</v>
      </c>
      <c r="T344" s="471">
        <v>0</v>
      </c>
      <c r="U344" s="471">
        <v>0</v>
      </c>
      <c r="V344" s="471">
        <v>0</v>
      </c>
      <c r="W344" s="471">
        <v>0</v>
      </c>
      <c r="X344" s="471">
        <v>0</v>
      </c>
      <c r="Y344" s="471">
        <v>0</v>
      </c>
      <c r="Z344" s="471">
        <v>13.957422939948543</v>
      </c>
      <c r="AA344" s="471">
        <v>0</v>
      </c>
      <c r="AB344" s="471">
        <v>0</v>
      </c>
      <c r="AC344" s="471">
        <v>0</v>
      </c>
      <c r="AD344" s="471">
        <v>0</v>
      </c>
      <c r="AE344" s="471">
        <v>0</v>
      </c>
      <c r="AF344" s="471">
        <v>0</v>
      </c>
      <c r="AG344" s="471">
        <v>9.2609259214658586</v>
      </c>
      <c r="AH344" s="685">
        <f t="shared" si="28"/>
        <v>308.69753071552861</v>
      </c>
      <c r="AI344" s="472">
        <f t="shared" si="29"/>
        <v>317.95845663699447</v>
      </c>
      <c r="AJ344" s="472"/>
      <c r="AK344" s="472"/>
      <c r="AL344" s="570">
        <v>41.25</v>
      </c>
      <c r="AM344" s="570">
        <v>214.03103932167801</v>
      </c>
      <c r="AN344" s="566">
        <v>0</v>
      </c>
      <c r="AO344" s="566">
        <f t="shared" si="30"/>
        <v>255.28103932167801</v>
      </c>
    </row>
    <row r="345" spans="1:41" x14ac:dyDescent="0.3">
      <c r="A345" s="466">
        <v>150000993</v>
      </c>
      <c r="B345" s="467" t="s">
        <v>41</v>
      </c>
      <c r="C345" s="468">
        <v>298.39999999999998</v>
      </c>
      <c r="D345" s="473"/>
      <c r="E345" s="470"/>
      <c r="F345" s="470">
        <v>298.39999999999998</v>
      </c>
      <c r="G345" s="471">
        <v>0</v>
      </c>
      <c r="H345" s="471">
        <v>0</v>
      </c>
      <c r="I345" s="471">
        <v>0</v>
      </c>
      <c r="J345" s="471">
        <v>0</v>
      </c>
      <c r="K345" s="471">
        <v>0</v>
      </c>
      <c r="L345" s="471">
        <v>0</v>
      </c>
      <c r="M345" s="572">
        <f t="shared" si="26"/>
        <v>0</v>
      </c>
      <c r="N345" s="471">
        <v>0</v>
      </c>
      <c r="O345" s="471">
        <v>0</v>
      </c>
      <c r="P345" s="471">
        <v>0</v>
      </c>
      <c r="Q345" s="471">
        <v>47.350882144682487</v>
      </c>
      <c r="R345" s="572">
        <f t="shared" si="27"/>
        <v>285.21716716461793</v>
      </c>
      <c r="S345" s="471">
        <v>0</v>
      </c>
      <c r="T345" s="471">
        <v>0</v>
      </c>
      <c r="U345" s="471">
        <v>0</v>
      </c>
      <c r="V345" s="471">
        <v>0</v>
      </c>
      <c r="W345" s="471">
        <v>0</v>
      </c>
      <c r="X345" s="471">
        <v>0</v>
      </c>
      <c r="Y345" s="471">
        <v>0</v>
      </c>
      <c r="Z345" s="471">
        <v>13.957422939948543</v>
      </c>
      <c r="AA345" s="471">
        <v>0</v>
      </c>
      <c r="AB345" s="471">
        <v>0</v>
      </c>
      <c r="AC345" s="471">
        <v>0</v>
      </c>
      <c r="AD345" s="471">
        <v>0</v>
      </c>
      <c r="AE345" s="471">
        <v>0</v>
      </c>
      <c r="AF345" s="471">
        <v>0</v>
      </c>
      <c r="AG345" s="471">
        <v>6.2374585004864809</v>
      </c>
      <c r="AH345" s="685">
        <f t="shared" si="28"/>
        <v>346.52547224924899</v>
      </c>
      <c r="AI345" s="472">
        <f t="shared" si="29"/>
        <v>352.76293074973546</v>
      </c>
      <c r="AJ345" s="472"/>
      <c r="AK345" s="472"/>
      <c r="AL345" s="570">
        <v>31.87</v>
      </c>
      <c r="AM345" s="570">
        <v>253.34716716461796</v>
      </c>
      <c r="AN345" s="566">
        <v>0</v>
      </c>
      <c r="AO345" s="566">
        <f t="shared" si="30"/>
        <v>285.21716716461793</v>
      </c>
    </row>
    <row r="346" spans="1:41" x14ac:dyDescent="0.3">
      <c r="A346" s="466">
        <v>150000994</v>
      </c>
      <c r="B346" s="467" t="s">
        <v>44</v>
      </c>
      <c r="C346" s="468">
        <v>239.9</v>
      </c>
      <c r="D346" s="473"/>
      <c r="E346" s="470"/>
      <c r="F346" s="470">
        <v>239.9</v>
      </c>
      <c r="G346" s="471">
        <v>0</v>
      </c>
      <c r="H346" s="471">
        <v>0</v>
      </c>
      <c r="I346" s="471">
        <v>0</v>
      </c>
      <c r="J346" s="471">
        <v>0</v>
      </c>
      <c r="K346" s="471">
        <v>0</v>
      </c>
      <c r="L346" s="471">
        <v>0</v>
      </c>
      <c r="M346" s="572">
        <f t="shared" si="26"/>
        <v>0</v>
      </c>
      <c r="N346" s="471">
        <v>0</v>
      </c>
      <c r="O346" s="471">
        <v>0</v>
      </c>
      <c r="P346" s="471">
        <v>0</v>
      </c>
      <c r="Q346" s="471">
        <v>47.350882144682487</v>
      </c>
      <c r="R346" s="572">
        <f t="shared" si="27"/>
        <v>264.41590620749884</v>
      </c>
      <c r="S346" s="471">
        <v>0</v>
      </c>
      <c r="T346" s="471">
        <v>0</v>
      </c>
      <c r="U346" s="471">
        <v>0</v>
      </c>
      <c r="V346" s="471">
        <v>0</v>
      </c>
      <c r="W346" s="471">
        <v>0</v>
      </c>
      <c r="X346" s="471">
        <v>0</v>
      </c>
      <c r="Y346" s="471">
        <v>0</v>
      </c>
      <c r="Z346" s="471">
        <v>7.9756702513991691</v>
      </c>
      <c r="AA346" s="471">
        <v>0</v>
      </c>
      <c r="AB346" s="471">
        <v>0</v>
      </c>
      <c r="AC346" s="471">
        <v>0</v>
      </c>
      <c r="AD346" s="471">
        <v>0</v>
      </c>
      <c r="AE346" s="471">
        <v>31.195875295320228</v>
      </c>
      <c r="AF346" s="471">
        <v>0</v>
      </c>
      <c r="AG346" s="471">
        <v>0</v>
      </c>
      <c r="AH346" s="685">
        <f t="shared" si="28"/>
        <v>350.93833389890068</v>
      </c>
      <c r="AI346" s="472">
        <f t="shared" si="29"/>
        <v>350.93833389890068</v>
      </c>
      <c r="AJ346" s="472"/>
      <c r="AK346" s="472"/>
      <c r="AL346" s="570">
        <v>31.24</v>
      </c>
      <c r="AM346" s="570">
        <v>233.17590620749883</v>
      </c>
      <c r="AN346" s="566">
        <v>0</v>
      </c>
      <c r="AO346" s="566">
        <f t="shared" si="30"/>
        <v>264.41590620749884</v>
      </c>
    </row>
    <row r="347" spans="1:41" x14ac:dyDescent="0.3">
      <c r="A347" s="466">
        <v>150000995</v>
      </c>
      <c r="B347" s="467" t="s">
        <v>47</v>
      </c>
      <c r="C347" s="468">
        <v>135.6</v>
      </c>
      <c r="D347" s="473"/>
      <c r="E347" s="470"/>
      <c r="F347" s="470">
        <v>135.6</v>
      </c>
      <c r="G347" s="471">
        <v>0</v>
      </c>
      <c r="H347" s="471">
        <v>0</v>
      </c>
      <c r="I347" s="471">
        <v>0</v>
      </c>
      <c r="J347" s="471">
        <v>0</v>
      </c>
      <c r="K347" s="471">
        <v>0</v>
      </c>
      <c r="L347" s="471">
        <v>0</v>
      </c>
      <c r="M347" s="572">
        <f t="shared" si="26"/>
        <v>0</v>
      </c>
      <c r="N347" s="471">
        <v>0</v>
      </c>
      <c r="O347" s="471">
        <v>0</v>
      </c>
      <c r="P347" s="471">
        <v>0</v>
      </c>
      <c r="Q347" s="471">
        <v>23.675441072341243</v>
      </c>
      <c r="R347" s="572">
        <f t="shared" si="27"/>
        <v>173.29273824181251</v>
      </c>
      <c r="S347" s="471">
        <v>0</v>
      </c>
      <c r="T347" s="471">
        <v>0</v>
      </c>
      <c r="U347" s="471">
        <v>0</v>
      </c>
      <c r="V347" s="471">
        <v>0</v>
      </c>
      <c r="W347" s="471">
        <v>0</v>
      </c>
      <c r="X347" s="471">
        <v>0</v>
      </c>
      <c r="Y347" s="471">
        <v>0</v>
      </c>
      <c r="Z347" s="471">
        <v>5.9817526885493768</v>
      </c>
      <c r="AA347" s="471">
        <v>0</v>
      </c>
      <c r="AB347" s="471">
        <v>0</v>
      </c>
      <c r="AC347" s="471">
        <v>0</v>
      </c>
      <c r="AD347" s="471">
        <v>0</v>
      </c>
      <c r="AE347" s="471">
        <v>9.3587625885960666</v>
      </c>
      <c r="AF347" s="471">
        <v>0</v>
      </c>
      <c r="AG347" s="471">
        <v>3.8215565026433853</v>
      </c>
      <c r="AH347" s="685">
        <f t="shared" si="28"/>
        <v>212.3086945912992</v>
      </c>
      <c r="AI347" s="472">
        <f t="shared" si="29"/>
        <v>216.13025109394258</v>
      </c>
      <c r="AJ347" s="472"/>
      <c r="AK347" s="472"/>
      <c r="AL347" s="570">
        <v>22.2</v>
      </c>
      <c r="AM347" s="570">
        <v>151.09273824181253</v>
      </c>
      <c r="AN347" s="566">
        <v>0</v>
      </c>
      <c r="AO347" s="566">
        <f t="shared" si="30"/>
        <v>173.29273824181251</v>
      </c>
    </row>
    <row r="348" spans="1:41" x14ac:dyDescent="0.3">
      <c r="A348" s="466">
        <v>150000996</v>
      </c>
      <c r="B348" s="467" t="s">
        <v>245</v>
      </c>
      <c r="C348" s="468">
        <v>3261</v>
      </c>
      <c r="D348" s="469"/>
      <c r="E348" s="470">
        <v>185.77</v>
      </c>
      <c r="F348" s="470">
        <v>3446.77</v>
      </c>
      <c r="G348" s="471">
        <v>963.27300184842852</v>
      </c>
      <c r="H348" s="471">
        <v>170.26344017536576</v>
      </c>
      <c r="I348" s="471">
        <v>375.95</v>
      </c>
      <c r="J348" s="471">
        <v>0</v>
      </c>
      <c r="K348" s="471">
        <v>0</v>
      </c>
      <c r="L348" s="471">
        <v>598.49131413483201</v>
      </c>
      <c r="M348" s="572">
        <f t="shared" si="26"/>
        <v>0</v>
      </c>
      <c r="N348" s="471">
        <v>1228.1506544751364</v>
      </c>
      <c r="O348" s="471">
        <v>0</v>
      </c>
      <c r="P348" s="471">
        <v>0</v>
      </c>
      <c r="Q348" s="471">
        <v>840.47815806811423</v>
      </c>
      <c r="R348" s="572">
        <f t="shared" si="27"/>
        <v>3607.8412736226146</v>
      </c>
      <c r="S348" s="471">
        <v>156.04462248894714</v>
      </c>
      <c r="T348" s="471">
        <v>219.44353856902279</v>
      </c>
      <c r="U348" s="471">
        <v>209.18937447049265</v>
      </c>
      <c r="V348" s="471">
        <v>0</v>
      </c>
      <c r="W348" s="471">
        <v>0</v>
      </c>
      <c r="X348" s="471">
        <v>83.128678399414</v>
      </c>
      <c r="Y348" s="471">
        <v>0</v>
      </c>
      <c r="Z348" s="471">
        <v>3306.8554335217045</v>
      </c>
      <c r="AA348" s="471">
        <v>2553.9783484652876</v>
      </c>
      <c r="AB348" s="471">
        <v>1716.4734056965819</v>
      </c>
      <c r="AC348" s="471">
        <v>0</v>
      </c>
      <c r="AD348" s="471">
        <v>0</v>
      </c>
      <c r="AE348" s="471">
        <v>458.57936684120727</v>
      </c>
      <c r="AF348" s="471">
        <v>0</v>
      </c>
      <c r="AG348" s="471">
        <v>0</v>
      </c>
      <c r="AH348" s="685">
        <f t="shared" si="28"/>
        <v>16488.140610777151</v>
      </c>
      <c r="AI348" s="472">
        <f t="shared" si="29"/>
        <v>16488.140610777151</v>
      </c>
      <c r="AJ348" s="472"/>
      <c r="AK348" s="472"/>
      <c r="AL348" s="570">
        <v>120.81</v>
      </c>
      <c r="AM348" s="570">
        <v>3487.0312736226147</v>
      </c>
      <c r="AN348" s="566">
        <v>0</v>
      </c>
      <c r="AO348" s="566">
        <f t="shared" si="30"/>
        <v>3607.8412736226146</v>
      </c>
    </row>
    <row r="349" spans="1:41" x14ac:dyDescent="0.3">
      <c r="A349" s="466">
        <v>150000999</v>
      </c>
      <c r="B349" s="467" t="s">
        <v>40</v>
      </c>
      <c r="C349" s="468">
        <v>298.60000000000002</v>
      </c>
      <c r="D349" s="473"/>
      <c r="E349" s="470"/>
      <c r="F349" s="470">
        <v>298.60000000000002</v>
      </c>
      <c r="G349" s="471">
        <v>0</v>
      </c>
      <c r="H349" s="471">
        <v>0</v>
      </c>
      <c r="I349" s="471">
        <v>0</v>
      </c>
      <c r="J349" s="471">
        <v>0</v>
      </c>
      <c r="K349" s="471">
        <v>0</v>
      </c>
      <c r="L349" s="471">
        <v>0</v>
      </c>
      <c r="M349" s="572">
        <f t="shared" si="26"/>
        <v>0</v>
      </c>
      <c r="N349" s="471">
        <v>0</v>
      </c>
      <c r="O349" s="471">
        <v>0</v>
      </c>
      <c r="P349" s="471">
        <v>0</v>
      </c>
      <c r="Q349" s="471">
        <v>39.45906845390207</v>
      </c>
      <c r="R349" s="572">
        <f t="shared" si="27"/>
        <v>287.34834566895728</v>
      </c>
      <c r="S349" s="471">
        <v>0</v>
      </c>
      <c r="T349" s="471">
        <v>0</v>
      </c>
      <c r="U349" s="471">
        <v>0</v>
      </c>
      <c r="V349" s="471">
        <v>0</v>
      </c>
      <c r="W349" s="471">
        <v>0</v>
      </c>
      <c r="X349" s="471">
        <v>0</v>
      </c>
      <c r="Y349" s="471">
        <v>0</v>
      </c>
      <c r="Z349" s="471">
        <v>17.945258065648133</v>
      </c>
      <c r="AA349" s="471">
        <v>0</v>
      </c>
      <c r="AB349" s="471">
        <v>0</v>
      </c>
      <c r="AC349" s="471">
        <v>0</v>
      </c>
      <c r="AD349" s="471">
        <v>0</v>
      </c>
      <c r="AE349" s="471">
        <v>0</v>
      </c>
      <c r="AF349" s="471">
        <v>0</v>
      </c>
      <c r="AG349" s="471">
        <v>6.2055480993931349</v>
      </c>
      <c r="AH349" s="685">
        <f t="shared" si="28"/>
        <v>344.75267218850752</v>
      </c>
      <c r="AI349" s="472">
        <f t="shared" si="29"/>
        <v>350.95822028790064</v>
      </c>
      <c r="AJ349" s="472"/>
      <c r="AK349" s="472"/>
      <c r="AL349" s="570">
        <v>31.87</v>
      </c>
      <c r="AM349" s="570">
        <v>255.4783456689573</v>
      </c>
      <c r="AN349" s="566">
        <v>0</v>
      </c>
      <c r="AO349" s="566">
        <f t="shared" si="30"/>
        <v>287.34834566895728</v>
      </c>
    </row>
    <row r="350" spans="1:41" x14ac:dyDescent="0.3">
      <c r="A350" s="466">
        <v>150001000</v>
      </c>
      <c r="B350" s="467" t="s">
        <v>42</v>
      </c>
      <c r="C350" s="468">
        <v>236.7</v>
      </c>
      <c r="D350" s="473"/>
      <c r="E350" s="470"/>
      <c r="F350" s="470">
        <v>236.7</v>
      </c>
      <c r="G350" s="471">
        <v>0</v>
      </c>
      <c r="H350" s="471">
        <v>0</v>
      </c>
      <c r="I350" s="471">
        <v>0</v>
      </c>
      <c r="J350" s="471">
        <v>0</v>
      </c>
      <c r="K350" s="471">
        <v>0</v>
      </c>
      <c r="L350" s="471">
        <v>0</v>
      </c>
      <c r="M350" s="572">
        <f t="shared" si="26"/>
        <v>0</v>
      </c>
      <c r="N350" s="471">
        <v>0</v>
      </c>
      <c r="O350" s="471">
        <v>0</v>
      </c>
      <c r="P350" s="471">
        <v>0</v>
      </c>
      <c r="Q350" s="471">
        <v>39.45906845390207</v>
      </c>
      <c r="R350" s="572">
        <f t="shared" si="27"/>
        <v>275.0618893069144</v>
      </c>
      <c r="S350" s="471">
        <v>0</v>
      </c>
      <c r="T350" s="471">
        <v>0</v>
      </c>
      <c r="U350" s="471">
        <v>0</v>
      </c>
      <c r="V350" s="471">
        <v>0</v>
      </c>
      <c r="W350" s="471">
        <v>0</v>
      </c>
      <c r="X350" s="471">
        <v>0</v>
      </c>
      <c r="Y350" s="471">
        <v>0</v>
      </c>
      <c r="Z350" s="471">
        <v>7.9756702513991691</v>
      </c>
      <c r="AA350" s="471">
        <v>0</v>
      </c>
      <c r="AB350" s="471">
        <v>0</v>
      </c>
      <c r="AC350" s="471">
        <v>0</v>
      </c>
      <c r="AD350" s="471">
        <v>0</v>
      </c>
      <c r="AE350" s="471">
        <v>3.1195875295320228</v>
      </c>
      <c r="AF350" s="471">
        <v>0</v>
      </c>
      <c r="AG350" s="471">
        <v>17.583275639254371</v>
      </c>
      <c r="AH350" s="685">
        <f t="shared" si="28"/>
        <v>325.61621554174764</v>
      </c>
      <c r="AI350" s="472">
        <f t="shared" si="29"/>
        <v>343.19949118100203</v>
      </c>
      <c r="AJ350" s="472"/>
      <c r="AK350" s="472"/>
      <c r="AL350" s="570">
        <v>27.19</v>
      </c>
      <c r="AM350" s="570">
        <v>247.87188930691437</v>
      </c>
      <c r="AN350" s="566">
        <v>0</v>
      </c>
      <c r="AO350" s="566">
        <f t="shared" si="30"/>
        <v>275.0618893069144</v>
      </c>
    </row>
    <row r="351" spans="1:41" x14ac:dyDescent="0.3">
      <c r="A351" s="466">
        <v>150001001</v>
      </c>
      <c r="B351" s="467" t="s">
        <v>45</v>
      </c>
      <c r="C351" s="468">
        <v>239.8</v>
      </c>
      <c r="D351" s="473"/>
      <c r="E351" s="470"/>
      <c r="F351" s="470">
        <v>239.8</v>
      </c>
      <c r="G351" s="471">
        <v>0</v>
      </c>
      <c r="H351" s="471">
        <v>0</v>
      </c>
      <c r="I351" s="471">
        <v>0</v>
      </c>
      <c r="J351" s="471">
        <v>0</v>
      </c>
      <c r="K351" s="471">
        <v>0</v>
      </c>
      <c r="L351" s="471">
        <v>0</v>
      </c>
      <c r="M351" s="572">
        <f t="shared" si="26"/>
        <v>0</v>
      </c>
      <c r="N351" s="471">
        <v>0</v>
      </c>
      <c r="O351" s="471">
        <v>0</v>
      </c>
      <c r="P351" s="471">
        <v>0</v>
      </c>
      <c r="Q351" s="471">
        <v>43.404975299292282</v>
      </c>
      <c r="R351" s="572">
        <f t="shared" si="27"/>
        <v>252.55066913607325</v>
      </c>
      <c r="S351" s="471">
        <v>0</v>
      </c>
      <c r="T351" s="471">
        <v>0</v>
      </c>
      <c r="U351" s="471">
        <v>0</v>
      </c>
      <c r="V351" s="471">
        <v>0</v>
      </c>
      <c r="W351" s="471">
        <v>0</v>
      </c>
      <c r="X351" s="471">
        <v>0</v>
      </c>
      <c r="Y351" s="471">
        <v>0</v>
      </c>
      <c r="Z351" s="471">
        <v>13.957422939948543</v>
      </c>
      <c r="AA351" s="471">
        <v>0</v>
      </c>
      <c r="AB351" s="471">
        <v>0</v>
      </c>
      <c r="AC351" s="471">
        <v>0</v>
      </c>
      <c r="AD351" s="471">
        <v>0</v>
      </c>
      <c r="AE351" s="471">
        <v>17.157731412426124</v>
      </c>
      <c r="AF351" s="471">
        <v>0</v>
      </c>
      <c r="AG351" s="471">
        <v>0</v>
      </c>
      <c r="AH351" s="685">
        <f t="shared" si="28"/>
        <v>327.07079878774022</v>
      </c>
      <c r="AI351" s="472">
        <f t="shared" si="29"/>
        <v>327.07079878774022</v>
      </c>
      <c r="AJ351" s="472"/>
      <c r="AK351" s="472"/>
      <c r="AL351" s="570">
        <v>38.46</v>
      </c>
      <c r="AM351" s="570">
        <v>214.09066913607325</v>
      </c>
      <c r="AN351" s="566">
        <v>0</v>
      </c>
      <c r="AO351" s="566">
        <f t="shared" si="30"/>
        <v>252.55066913607325</v>
      </c>
    </row>
    <row r="352" spans="1:41" x14ac:dyDescent="0.3">
      <c r="A352" s="466">
        <v>150001002</v>
      </c>
      <c r="B352" s="467" t="s">
        <v>48</v>
      </c>
      <c r="C352" s="468">
        <v>229.9</v>
      </c>
      <c r="D352" s="473"/>
      <c r="E352" s="470"/>
      <c r="F352" s="470">
        <v>229.9</v>
      </c>
      <c r="G352" s="471">
        <v>0</v>
      </c>
      <c r="H352" s="471">
        <v>0</v>
      </c>
      <c r="I352" s="471">
        <v>0</v>
      </c>
      <c r="J352" s="471">
        <v>0</v>
      </c>
      <c r="K352" s="471">
        <v>0</v>
      </c>
      <c r="L352" s="471">
        <v>0</v>
      </c>
      <c r="M352" s="572">
        <f t="shared" si="26"/>
        <v>0</v>
      </c>
      <c r="N352" s="471">
        <v>0</v>
      </c>
      <c r="O352" s="471">
        <v>0</v>
      </c>
      <c r="P352" s="471">
        <v>0</v>
      </c>
      <c r="Q352" s="471">
        <v>39.45906845390207</v>
      </c>
      <c r="R352" s="572">
        <f t="shared" si="27"/>
        <v>266.85804688625103</v>
      </c>
      <c r="S352" s="471">
        <v>0</v>
      </c>
      <c r="T352" s="471">
        <v>0</v>
      </c>
      <c r="U352" s="471">
        <v>0</v>
      </c>
      <c r="V352" s="471">
        <v>0</v>
      </c>
      <c r="W352" s="471">
        <v>0</v>
      </c>
      <c r="X352" s="471">
        <v>0</v>
      </c>
      <c r="Y352" s="471">
        <v>0</v>
      </c>
      <c r="Z352" s="471">
        <v>13.957422939948543</v>
      </c>
      <c r="AA352" s="471">
        <v>0</v>
      </c>
      <c r="AB352" s="471">
        <v>0</v>
      </c>
      <c r="AC352" s="471">
        <v>0</v>
      </c>
      <c r="AD352" s="471">
        <v>0</v>
      </c>
      <c r="AE352" s="471">
        <v>23.396906471490166</v>
      </c>
      <c r="AF352" s="471">
        <v>0</v>
      </c>
      <c r="AG352" s="471">
        <v>10.310143342547754</v>
      </c>
      <c r="AH352" s="685">
        <f t="shared" si="28"/>
        <v>343.67144475159182</v>
      </c>
      <c r="AI352" s="472">
        <f t="shared" si="29"/>
        <v>353.98158809413957</v>
      </c>
      <c r="AJ352" s="472"/>
      <c r="AK352" s="472"/>
      <c r="AL352" s="570">
        <v>27.19</v>
      </c>
      <c r="AM352" s="570">
        <v>239.66804688625101</v>
      </c>
      <c r="AN352" s="566">
        <v>0</v>
      </c>
      <c r="AO352" s="566">
        <f t="shared" si="30"/>
        <v>266.85804688625103</v>
      </c>
    </row>
    <row r="353" spans="1:41" x14ac:dyDescent="0.3">
      <c r="A353" s="466">
        <v>150001004</v>
      </c>
      <c r="B353" s="467" t="s">
        <v>43</v>
      </c>
      <c r="C353" s="468">
        <v>315.7</v>
      </c>
      <c r="D353" s="473"/>
      <c r="E353" s="470"/>
      <c r="F353" s="470">
        <v>315.7</v>
      </c>
      <c r="G353" s="471">
        <v>0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572">
        <f t="shared" si="26"/>
        <v>0</v>
      </c>
      <c r="N353" s="471">
        <v>0</v>
      </c>
      <c r="O353" s="471">
        <v>0</v>
      </c>
      <c r="P353" s="471">
        <v>0</v>
      </c>
      <c r="Q353" s="471">
        <v>43.404975299292282</v>
      </c>
      <c r="R353" s="572">
        <f t="shared" si="27"/>
        <v>300.91060869881647</v>
      </c>
      <c r="S353" s="471">
        <v>0</v>
      </c>
      <c r="T353" s="471">
        <v>0</v>
      </c>
      <c r="U353" s="471">
        <v>0</v>
      </c>
      <c r="V353" s="471">
        <v>0</v>
      </c>
      <c r="W353" s="471">
        <v>0</v>
      </c>
      <c r="X353" s="471">
        <v>0</v>
      </c>
      <c r="Y353" s="471">
        <v>0</v>
      </c>
      <c r="Z353" s="471">
        <v>11.963505377098754</v>
      </c>
      <c r="AA353" s="471">
        <v>0</v>
      </c>
      <c r="AB353" s="471">
        <v>0</v>
      </c>
      <c r="AC353" s="471">
        <v>0</v>
      </c>
      <c r="AD353" s="471">
        <v>0</v>
      </c>
      <c r="AE353" s="471">
        <v>0</v>
      </c>
      <c r="AF353" s="471">
        <v>0</v>
      </c>
      <c r="AG353" s="471">
        <v>10.688372681256226</v>
      </c>
      <c r="AH353" s="685">
        <f t="shared" si="28"/>
        <v>356.27908937520749</v>
      </c>
      <c r="AI353" s="472">
        <f t="shared" si="29"/>
        <v>366.96746205646372</v>
      </c>
      <c r="AJ353" s="472"/>
      <c r="AK353" s="472"/>
      <c r="AL353" s="570">
        <v>23.1</v>
      </c>
      <c r="AM353" s="570">
        <v>277.81060869881645</v>
      </c>
      <c r="AN353" s="566">
        <v>0</v>
      </c>
      <c r="AO353" s="566">
        <f t="shared" si="30"/>
        <v>300.91060869881647</v>
      </c>
    </row>
    <row r="354" spans="1:41" x14ac:dyDescent="0.3">
      <c r="A354" s="466">
        <v>150001005</v>
      </c>
      <c r="B354" s="467" t="s">
        <v>46</v>
      </c>
      <c r="C354" s="468">
        <v>242.2</v>
      </c>
      <c r="D354" s="473"/>
      <c r="E354" s="470"/>
      <c r="F354" s="470">
        <v>242.2</v>
      </c>
      <c r="G354" s="471">
        <v>0</v>
      </c>
      <c r="H354" s="471">
        <v>0</v>
      </c>
      <c r="I354" s="471">
        <v>0</v>
      </c>
      <c r="J354" s="471">
        <v>0</v>
      </c>
      <c r="K354" s="471">
        <v>0</v>
      </c>
      <c r="L354" s="471">
        <v>0</v>
      </c>
      <c r="M354" s="572">
        <f t="shared" si="26"/>
        <v>0</v>
      </c>
      <c r="N354" s="471">
        <v>0</v>
      </c>
      <c r="O354" s="471">
        <v>0</v>
      </c>
      <c r="P354" s="471">
        <v>0</v>
      </c>
      <c r="Q354" s="471">
        <v>35.513161608511865</v>
      </c>
      <c r="R354" s="572">
        <f t="shared" si="27"/>
        <v>270.3244687253507</v>
      </c>
      <c r="S354" s="471">
        <v>0</v>
      </c>
      <c r="T354" s="471">
        <v>0</v>
      </c>
      <c r="U354" s="471">
        <v>0</v>
      </c>
      <c r="V354" s="471">
        <v>0</v>
      </c>
      <c r="W354" s="471">
        <v>0</v>
      </c>
      <c r="X354" s="471">
        <v>0</v>
      </c>
      <c r="Y354" s="471">
        <v>0</v>
      </c>
      <c r="Z354" s="471">
        <v>9.9695878142489622</v>
      </c>
      <c r="AA354" s="471">
        <v>0</v>
      </c>
      <c r="AB354" s="471">
        <v>0</v>
      </c>
      <c r="AC354" s="471">
        <v>0</v>
      </c>
      <c r="AD354" s="471">
        <v>0</v>
      </c>
      <c r="AE354" s="471">
        <v>0</v>
      </c>
      <c r="AF354" s="471">
        <v>0</v>
      </c>
      <c r="AG354" s="471">
        <v>9.4742165444433439</v>
      </c>
      <c r="AH354" s="685">
        <f t="shared" si="28"/>
        <v>315.80721814811147</v>
      </c>
      <c r="AI354" s="472">
        <f t="shared" si="29"/>
        <v>325.2814346925548</v>
      </c>
      <c r="AJ354" s="472"/>
      <c r="AK354" s="472"/>
      <c r="AL354" s="570">
        <v>39.380000000000003</v>
      </c>
      <c r="AM354" s="570">
        <v>230.9444687253507</v>
      </c>
      <c r="AN354" s="566">
        <v>0</v>
      </c>
      <c r="AO354" s="566">
        <f t="shared" si="30"/>
        <v>270.3244687253507</v>
      </c>
    </row>
    <row r="355" spans="1:41" x14ac:dyDescent="0.3">
      <c r="A355" s="466">
        <v>150001007</v>
      </c>
      <c r="B355" s="467" t="s">
        <v>213</v>
      </c>
      <c r="C355" s="468">
        <v>2000.1</v>
      </c>
      <c r="D355" s="469"/>
      <c r="E355" s="470">
        <v>46.1</v>
      </c>
      <c r="F355" s="470">
        <v>2046.1999999999998</v>
      </c>
      <c r="G355" s="471">
        <v>658.05805461520981</v>
      </c>
      <c r="H355" s="471">
        <v>121.02162551821193</v>
      </c>
      <c r="I355" s="471">
        <v>237.6</v>
      </c>
      <c r="J355" s="471">
        <v>0</v>
      </c>
      <c r="K355" s="471">
        <v>0</v>
      </c>
      <c r="L355" s="471">
        <v>339.3674428142221</v>
      </c>
      <c r="M355" s="572">
        <f t="shared" si="26"/>
        <v>0</v>
      </c>
      <c r="N355" s="471">
        <v>729.10054027017293</v>
      </c>
      <c r="O355" s="471">
        <v>0</v>
      </c>
      <c r="P355" s="471">
        <v>0</v>
      </c>
      <c r="Q355" s="471">
        <v>556.37286520001919</v>
      </c>
      <c r="R355" s="572">
        <f t="shared" si="27"/>
        <v>2169.0201671278433</v>
      </c>
      <c r="S355" s="471">
        <v>104.84305157305938</v>
      </c>
      <c r="T355" s="471">
        <v>155.98930364484841</v>
      </c>
      <c r="U355" s="471">
        <v>117.85464172943765</v>
      </c>
      <c r="V355" s="471">
        <v>0</v>
      </c>
      <c r="W355" s="471">
        <v>0</v>
      </c>
      <c r="X355" s="471">
        <v>43.262285721355042</v>
      </c>
      <c r="Y355" s="471">
        <v>0</v>
      </c>
      <c r="Z355" s="471">
        <v>1061.6556587078496</v>
      </c>
      <c r="AA355" s="471">
        <v>925.69238979025988</v>
      </c>
      <c r="AB355" s="471">
        <v>608.61855662443156</v>
      </c>
      <c r="AC355" s="471">
        <v>167.31239231602962</v>
      </c>
      <c r="AD355" s="471">
        <v>20.597169508602132</v>
      </c>
      <c r="AE355" s="471">
        <v>276.083496363584</v>
      </c>
      <c r="AF355" s="471">
        <v>0</v>
      </c>
      <c r="AG355" s="471">
        <v>149.2640935474524</v>
      </c>
      <c r="AH355" s="685">
        <f t="shared" si="28"/>
        <v>8292.4496415251342</v>
      </c>
      <c r="AI355" s="472">
        <f t="shared" si="29"/>
        <v>8441.7137350725861</v>
      </c>
      <c r="AJ355" s="472"/>
      <c r="AK355" s="472"/>
      <c r="AL355" s="570">
        <v>122.71</v>
      </c>
      <c r="AM355" s="570">
        <v>2046.3101671278432</v>
      </c>
      <c r="AN355" s="566">
        <v>0</v>
      </c>
      <c r="AO355" s="566">
        <f t="shared" si="30"/>
        <v>2169.0201671278433</v>
      </c>
    </row>
    <row r="356" spans="1:41" x14ac:dyDescent="0.3">
      <c r="A356" s="466">
        <v>150001008</v>
      </c>
      <c r="B356" s="467" t="s">
        <v>211</v>
      </c>
      <c r="C356" s="468">
        <v>1440.1</v>
      </c>
      <c r="D356" s="469"/>
      <c r="E356" s="470">
        <v>45.5</v>
      </c>
      <c r="F356" s="470">
        <v>1485.6</v>
      </c>
      <c r="G356" s="471">
        <v>432.56792264927486</v>
      </c>
      <c r="H356" s="471">
        <v>75.946572552877242</v>
      </c>
      <c r="I356" s="471">
        <v>177.87</v>
      </c>
      <c r="J356" s="471">
        <v>0</v>
      </c>
      <c r="K356" s="471">
        <v>0</v>
      </c>
      <c r="L356" s="471">
        <v>250.55024604347807</v>
      </c>
      <c r="M356" s="572">
        <f t="shared" si="26"/>
        <v>0</v>
      </c>
      <c r="N356" s="471">
        <v>529.34794381065819</v>
      </c>
      <c r="O356" s="471">
        <v>0</v>
      </c>
      <c r="P356" s="471">
        <v>0</v>
      </c>
      <c r="Q356" s="471">
        <v>366.9693366212893</v>
      </c>
      <c r="R356" s="572">
        <f t="shared" si="27"/>
        <v>1218.7930019231592</v>
      </c>
      <c r="S356" s="471">
        <v>71.703338001730486</v>
      </c>
      <c r="T356" s="471">
        <v>97.881167455611291</v>
      </c>
      <c r="U356" s="471">
        <v>97.915358698750211</v>
      </c>
      <c r="V356" s="471">
        <v>0</v>
      </c>
      <c r="W356" s="471">
        <v>0</v>
      </c>
      <c r="X356" s="471">
        <v>29.121055930900873</v>
      </c>
      <c r="Y356" s="471">
        <v>0</v>
      </c>
      <c r="Z356" s="471">
        <v>2261.6117796955214</v>
      </c>
      <c r="AA356" s="471">
        <v>795.3435713943943</v>
      </c>
      <c r="AB356" s="471">
        <v>576.42830940423221</v>
      </c>
      <c r="AC356" s="471">
        <v>49.267200198537871</v>
      </c>
      <c r="AD356" s="471">
        <v>6.065090933532125</v>
      </c>
      <c r="AE356" s="471">
        <v>135.70205753464296</v>
      </c>
      <c r="AF356" s="471">
        <v>0</v>
      </c>
      <c r="AG356" s="471">
        <v>129.11551115127463</v>
      </c>
      <c r="AH356" s="685">
        <f t="shared" si="28"/>
        <v>7173.0839528485903</v>
      </c>
      <c r="AI356" s="472">
        <f t="shared" si="29"/>
        <v>7302.1994639998647</v>
      </c>
      <c r="AJ356" s="472"/>
      <c r="AK356" s="472"/>
      <c r="AL356" s="570">
        <v>38.479999999999997</v>
      </c>
      <c r="AM356" s="570">
        <v>1180.3130019231592</v>
      </c>
      <c r="AN356" s="566">
        <v>0</v>
      </c>
      <c r="AO356" s="566">
        <f t="shared" si="30"/>
        <v>1218.7930019231592</v>
      </c>
    </row>
    <row r="357" spans="1:41" x14ac:dyDescent="0.3">
      <c r="A357" s="466">
        <v>150001009</v>
      </c>
      <c r="B357" s="467" t="s">
        <v>212</v>
      </c>
      <c r="C357" s="468">
        <v>1399.9</v>
      </c>
      <c r="D357" s="469"/>
      <c r="E357" s="470">
        <v>85.1</v>
      </c>
      <c r="F357" s="470">
        <v>1485</v>
      </c>
      <c r="G357" s="471">
        <v>427.76630856553868</v>
      </c>
      <c r="H357" s="471">
        <v>75.946572552877242</v>
      </c>
      <c r="I357" s="471">
        <v>177.87</v>
      </c>
      <c r="J357" s="471">
        <v>0</v>
      </c>
      <c r="K357" s="471">
        <v>0</v>
      </c>
      <c r="L357" s="471">
        <v>250.55024604347807</v>
      </c>
      <c r="M357" s="572">
        <f t="shared" si="26"/>
        <v>0</v>
      </c>
      <c r="N357" s="471">
        <v>529.13415223399807</v>
      </c>
      <c r="O357" s="471">
        <v>0</v>
      </c>
      <c r="P357" s="471">
        <v>0</v>
      </c>
      <c r="Q357" s="471">
        <v>355.13161608511865</v>
      </c>
      <c r="R357" s="572">
        <f t="shared" si="27"/>
        <v>1533.5364556630975</v>
      </c>
      <c r="S357" s="471">
        <v>71.419983253270772</v>
      </c>
      <c r="T357" s="471">
        <v>97.881167455611291</v>
      </c>
      <c r="U357" s="471">
        <v>92.947281269480158</v>
      </c>
      <c r="V357" s="471">
        <v>0</v>
      </c>
      <c r="W357" s="471">
        <v>0</v>
      </c>
      <c r="X357" s="471">
        <v>29.121055930900873</v>
      </c>
      <c r="Y357" s="471">
        <v>0</v>
      </c>
      <c r="Z357" s="471">
        <v>864.59133615787005</v>
      </c>
      <c r="AA357" s="471">
        <v>672.75361011644304</v>
      </c>
      <c r="AB357" s="471">
        <v>515.26010183372318</v>
      </c>
      <c r="AC357" s="471">
        <v>51.473194237278378</v>
      </c>
      <c r="AD357" s="471">
        <v>6.3366621693619214</v>
      </c>
      <c r="AE357" s="471">
        <v>244.88762106826377</v>
      </c>
      <c r="AF357" s="471">
        <v>0</v>
      </c>
      <c r="AG357" s="471">
        <v>179.89822093908936</v>
      </c>
      <c r="AH357" s="685">
        <f t="shared" si="28"/>
        <v>5996.607364636312</v>
      </c>
      <c r="AI357" s="472">
        <f t="shared" si="29"/>
        <v>6176.5055855754017</v>
      </c>
      <c r="AJ357" s="472"/>
      <c r="AK357" s="472"/>
      <c r="AL357" s="570">
        <v>38.479999999999997</v>
      </c>
      <c r="AM357" s="570">
        <v>1495.0564556630975</v>
      </c>
      <c r="AN357" s="566">
        <v>0</v>
      </c>
      <c r="AO357" s="566">
        <f t="shared" si="30"/>
        <v>1533.5364556630975</v>
      </c>
    </row>
    <row r="358" spans="1:41" x14ac:dyDescent="0.3">
      <c r="A358" s="466">
        <v>150001010</v>
      </c>
      <c r="B358" s="467" t="s">
        <v>164</v>
      </c>
      <c r="C358" s="468">
        <v>539.29999999999995</v>
      </c>
      <c r="D358" s="469"/>
      <c r="E358" s="470">
        <v>205.3</v>
      </c>
      <c r="F358" s="470">
        <v>744.59999999999991</v>
      </c>
      <c r="G358" s="471">
        <v>271.24761948946497</v>
      </c>
      <c r="H358" s="471">
        <v>57.946419213829095</v>
      </c>
      <c r="I358" s="471">
        <v>84.58</v>
      </c>
      <c r="J358" s="471">
        <v>0</v>
      </c>
      <c r="K358" s="471">
        <v>0</v>
      </c>
      <c r="L358" s="471">
        <v>168.51106511774807</v>
      </c>
      <c r="M358" s="572">
        <f t="shared" si="26"/>
        <v>0</v>
      </c>
      <c r="N358" s="471">
        <v>265.31534663530971</v>
      </c>
      <c r="O358" s="471">
        <v>0</v>
      </c>
      <c r="P358" s="471">
        <v>0</v>
      </c>
      <c r="Q358" s="471">
        <v>130.21492589787684</v>
      </c>
      <c r="R358" s="572">
        <f t="shared" si="27"/>
        <v>754.05673346653964</v>
      </c>
      <c r="S358" s="471">
        <v>47.949820419335339</v>
      </c>
      <c r="T358" s="471">
        <v>74.695177798037108</v>
      </c>
      <c r="U358" s="471">
        <v>37.990742074113463</v>
      </c>
      <c r="V358" s="471">
        <v>0</v>
      </c>
      <c r="W358" s="471">
        <v>0</v>
      </c>
      <c r="X358" s="471">
        <v>20.389763532857327</v>
      </c>
      <c r="Y358" s="471">
        <v>0</v>
      </c>
      <c r="Z358" s="471">
        <v>746.80065572697015</v>
      </c>
      <c r="AA358" s="471">
        <v>418.216317980594</v>
      </c>
      <c r="AB358" s="471">
        <v>407.81588333387418</v>
      </c>
      <c r="AC358" s="471">
        <v>25.736597118639189</v>
      </c>
      <c r="AD358" s="471">
        <v>3.1683310846809607</v>
      </c>
      <c r="AE358" s="471">
        <v>70.190719414470507</v>
      </c>
      <c r="AF358" s="471">
        <v>0</v>
      </c>
      <c r="AG358" s="471">
        <v>0</v>
      </c>
      <c r="AH358" s="685">
        <f t="shared" si="28"/>
        <v>3584.826118304341</v>
      </c>
      <c r="AI358" s="472">
        <f t="shared" si="29"/>
        <v>3584.826118304341</v>
      </c>
      <c r="AJ358" s="472"/>
      <c r="AK358" s="472"/>
      <c r="AL358" s="570">
        <v>110.22</v>
      </c>
      <c r="AM358" s="570">
        <v>643.83673346653961</v>
      </c>
      <c r="AN358" s="566">
        <v>0</v>
      </c>
      <c r="AO358" s="566">
        <f t="shared" si="30"/>
        <v>754.05673346653964</v>
      </c>
    </row>
    <row r="359" spans="1:41" x14ac:dyDescent="0.3">
      <c r="A359" s="466">
        <v>150001011</v>
      </c>
      <c r="B359" s="467" t="s">
        <v>165</v>
      </c>
      <c r="C359" s="468">
        <v>422.9</v>
      </c>
      <c r="D359" s="469"/>
      <c r="E359" s="470"/>
      <c r="F359" s="470">
        <v>422.9</v>
      </c>
      <c r="G359" s="471">
        <v>175.78931025875247</v>
      </c>
      <c r="H359" s="471">
        <v>27.9622758299693</v>
      </c>
      <c r="I359" s="471">
        <v>47.36</v>
      </c>
      <c r="J359" s="471">
        <v>0</v>
      </c>
      <c r="K359" s="471">
        <v>0</v>
      </c>
      <c r="L359" s="471">
        <v>80.359004089472322</v>
      </c>
      <c r="M359" s="572">
        <f t="shared" si="26"/>
        <v>0</v>
      </c>
      <c r="N359" s="471">
        <v>150.6874296159985</v>
      </c>
      <c r="O359" s="471">
        <v>0</v>
      </c>
      <c r="P359" s="471">
        <v>0</v>
      </c>
      <c r="Q359" s="471">
        <v>94.701764289364974</v>
      </c>
      <c r="R359" s="572">
        <f t="shared" si="27"/>
        <v>507.51576240794361</v>
      </c>
      <c r="S359" s="471">
        <v>29.542653280315967</v>
      </c>
      <c r="T359" s="471">
        <v>36.04386687945734</v>
      </c>
      <c r="U359" s="471">
        <v>22.104545896594431</v>
      </c>
      <c r="V359" s="471">
        <v>0</v>
      </c>
      <c r="W359" s="471">
        <v>0</v>
      </c>
      <c r="X359" s="471">
        <v>6.5655994250196654</v>
      </c>
      <c r="Y359" s="471">
        <v>0</v>
      </c>
      <c r="Z359" s="471">
        <v>550.02695757911522</v>
      </c>
      <c r="AA359" s="471">
        <v>273.4855768423231</v>
      </c>
      <c r="AB359" s="471">
        <v>75.874200088470332</v>
      </c>
      <c r="AC359" s="471">
        <v>0</v>
      </c>
      <c r="AD359" s="471">
        <v>0</v>
      </c>
      <c r="AE359" s="471">
        <v>62.391750590640456</v>
      </c>
      <c r="AF359" s="471">
        <v>0</v>
      </c>
      <c r="AG359" s="471">
        <v>0</v>
      </c>
      <c r="AH359" s="685">
        <f t="shared" si="28"/>
        <v>2140.4106970734379</v>
      </c>
      <c r="AI359" s="472">
        <f t="shared" si="29"/>
        <v>2140.4106970734379</v>
      </c>
      <c r="AJ359" s="472"/>
      <c r="AK359" s="472"/>
      <c r="AL359" s="570">
        <v>65.67</v>
      </c>
      <c r="AM359" s="570">
        <v>441.8457624079436</v>
      </c>
      <c r="AN359" s="566">
        <v>0</v>
      </c>
      <c r="AO359" s="566">
        <f t="shared" si="30"/>
        <v>507.51576240794361</v>
      </c>
    </row>
    <row r="360" spans="1:41" x14ac:dyDescent="0.3">
      <c r="A360" s="466">
        <v>150001013</v>
      </c>
      <c r="B360" s="467" t="s">
        <v>260</v>
      </c>
      <c r="C360" s="468">
        <v>2612.75</v>
      </c>
      <c r="D360" s="469"/>
      <c r="E360" s="470">
        <v>863.48</v>
      </c>
      <c r="F360" s="470">
        <v>3476.23</v>
      </c>
      <c r="G360" s="471">
        <v>932.65613444240512</v>
      </c>
      <c r="H360" s="471">
        <v>190.26127237381124</v>
      </c>
      <c r="I360" s="471">
        <v>410.26</v>
      </c>
      <c r="J360" s="471">
        <v>0</v>
      </c>
      <c r="K360" s="471">
        <v>0</v>
      </c>
      <c r="L360" s="471">
        <v>625.48836898545255</v>
      </c>
      <c r="M360" s="572">
        <f t="shared" si="26"/>
        <v>0</v>
      </c>
      <c r="N360" s="471">
        <v>1238.6478208891522</v>
      </c>
      <c r="O360" s="471">
        <v>0</v>
      </c>
      <c r="P360" s="471">
        <v>0</v>
      </c>
      <c r="Q360" s="471">
        <v>769.45183485109044</v>
      </c>
      <c r="R360" s="572">
        <f t="shared" si="27"/>
        <v>2717.4651541262933</v>
      </c>
      <c r="S360" s="471">
        <v>154.62372253297457</v>
      </c>
      <c r="T360" s="471">
        <v>245.21278357122625</v>
      </c>
      <c r="U360" s="471">
        <v>215.4199605892465</v>
      </c>
      <c r="V360" s="471">
        <v>0</v>
      </c>
      <c r="W360" s="471">
        <v>0</v>
      </c>
      <c r="X360" s="471">
        <v>87.209309877955548</v>
      </c>
      <c r="Y360" s="471">
        <v>0</v>
      </c>
      <c r="Z360" s="471">
        <v>2317.9714945881315</v>
      </c>
      <c r="AA360" s="471">
        <v>1714.6455939331915</v>
      </c>
      <c r="AB360" s="471">
        <v>1262.613400555098</v>
      </c>
      <c r="AC360" s="471">
        <v>73.288024175934453</v>
      </c>
      <c r="AD360" s="471">
        <v>9.0221999459010203</v>
      </c>
      <c r="AE360" s="471">
        <v>403.98658507439688</v>
      </c>
      <c r="AF360" s="471">
        <v>0</v>
      </c>
      <c r="AG360" s="471">
        <v>320.83736785229422</v>
      </c>
      <c r="AH360" s="685">
        <f t="shared" si="28"/>
        <v>13368.22366051226</v>
      </c>
      <c r="AI360" s="472">
        <f t="shared" si="29"/>
        <v>13689.061028364555</v>
      </c>
      <c r="AJ360" s="472"/>
      <c r="AK360" s="472"/>
      <c r="AL360" s="570">
        <v>155.29</v>
      </c>
      <c r="AM360" s="570">
        <v>2562.1751541262934</v>
      </c>
      <c r="AN360" s="566">
        <v>0</v>
      </c>
      <c r="AO360" s="566">
        <f t="shared" si="30"/>
        <v>2717.4651541262933</v>
      </c>
    </row>
    <row r="361" spans="1:41" x14ac:dyDescent="0.3">
      <c r="A361" s="466">
        <v>150001014</v>
      </c>
      <c r="B361" s="467" t="s">
        <v>166</v>
      </c>
      <c r="C361" s="468">
        <v>339.3</v>
      </c>
      <c r="D361" s="469"/>
      <c r="E361" s="470"/>
      <c r="F361" s="470">
        <v>339.3</v>
      </c>
      <c r="G361" s="471">
        <v>69.672452925273646</v>
      </c>
      <c r="H361" s="471">
        <v>23.44964279273006</v>
      </c>
      <c r="I361" s="471">
        <v>38.43</v>
      </c>
      <c r="J361" s="471">
        <v>0</v>
      </c>
      <c r="K361" s="471">
        <v>0</v>
      </c>
      <c r="L361" s="471">
        <v>40.02394013130327</v>
      </c>
      <c r="M361" s="572">
        <f t="shared" si="26"/>
        <v>0</v>
      </c>
      <c r="N361" s="471">
        <v>120.8991366013438</v>
      </c>
      <c r="O361" s="471">
        <v>0</v>
      </c>
      <c r="P361" s="471">
        <v>0</v>
      </c>
      <c r="Q361" s="471">
        <v>47.350882144682487</v>
      </c>
      <c r="R361" s="572">
        <f t="shared" si="27"/>
        <v>382.5733903669618</v>
      </c>
      <c r="S361" s="471">
        <v>23.52965489579714</v>
      </c>
      <c r="T361" s="471">
        <v>30.202472453644113</v>
      </c>
      <c r="U361" s="471">
        <v>14.949541071562326</v>
      </c>
      <c r="V361" s="471">
        <v>0</v>
      </c>
      <c r="W361" s="471">
        <v>0</v>
      </c>
      <c r="X361" s="471">
        <v>4.891052041696593</v>
      </c>
      <c r="Y361" s="471">
        <v>0</v>
      </c>
      <c r="Z361" s="471">
        <v>293.79057606259948</v>
      </c>
      <c r="AA361" s="471">
        <v>209.70893661586248</v>
      </c>
      <c r="AB361" s="471">
        <v>180.54365137919456</v>
      </c>
      <c r="AC361" s="471">
        <v>0</v>
      </c>
      <c r="AD361" s="471">
        <v>0</v>
      </c>
      <c r="AE361" s="471">
        <v>1.5597937647660114</v>
      </c>
      <c r="AF361" s="471">
        <v>0</v>
      </c>
      <c r="AG361" s="471">
        <v>44.447253697422539</v>
      </c>
      <c r="AH361" s="685">
        <f t="shared" si="28"/>
        <v>1481.5751232474179</v>
      </c>
      <c r="AI361" s="472">
        <f t="shared" si="29"/>
        <v>1526.0223769448405</v>
      </c>
      <c r="AJ361" s="472"/>
      <c r="AK361" s="472"/>
      <c r="AL361" s="570">
        <v>35.619999999999997</v>
      </c>
      <c r="AM361" s="570">
        <v>346.9533903669618</v>
      </c>
      <c r="AN361" s="566">
        <v>0</v>
      </c>
      <c r="AO361" s="566">
        <f t="shared" si="30"/>
        <v>382.5733903669618</v>
      </c>
    </row>
    <row r="362" spans="1:41" ht="16.95" customHeight="1" x14ac:dyDescent="0.3">
      <c r="A362" s="466">
        <v>150001015</v>
      </c>
      <c r="B362" s="467" t="s">
        <v>99</v>
      </c>
      <c r="C362" s="468">
        <v>213.3</v>
      </c>
      <c r="D362" s="473"/>
      <c r="E362" s="470">
        <v>133.1</v>
      </c>
      <c r="F362" s="470">
        <v>346.4</v>
      </c>
      <c r="G362" s="471">
        <v>0</v>
      </c>
      <c r="H362" s="471">
        <v>0</v>
      </c>
      <c r="I362" s="471">
        <v>42.43</v>
      </c>
      <c r="J362" s="471">
        <v>0</v>
      </c>
      <c r="K362" s="471">
        <v>0</v>
      </c>
      <c r="L362" s="471">
        <v>0</v>
      </c>
      <c r="M362" s="572">
        <f t="shared" si="26"/>
        <v>0</v>
      </c>
      <c r="N362" s="471">
        <v>0</v>
      </c>
      <c r="O362" s="471">
        <v>0</v>
      </c>
      <c r="P362" s="471">
        <v>0</v>
      </c>
      <c r="Q362" s="471">
        <v>11.837720536170622</v>
      </c>
      <c r="R362" s="572">
        <f t="shared" si="27"/>
        <v>260.25160933270354</v>
      </c>
      <c r="S362" s="471">
        <v>0</v>
      </c>
      <c r="T362" s="471">
        <v>0</v>
      </c>
      <c r="U362" s="471">
        <v>18.754314438700092</v>
      </c>
      <c r="V362" s="471">
        <v>0</v>
      </c>
      <c r="W362" s="471">
        <v>0</v>
      </c>
      <c r="X362" s="471">
        <v>0</v>
      </c>
      <c r="Y362" s="471">
        <v>0</v>
      </c>
      <c r="Z362" s="471">
        <v>27.914845879897086</v>
      </c>
      <c r="AA362" s="471">
        <v>0</v>
      </c>
      <c r="AB362" s="471">
        <v>0</v>
      </c>
      <c r="AC362" s="471">
        <v>0</v>
      </c>
      <c r="AD362" s="471">
        <v>0</v>
      </c>
      <c r="AE362" s="471">
        <v>0</v>
      </c>
      <c r="AF362" s="471">
        <v>0</v>
      </c>
      <c r="AG362" s="471">
        <v>6.5013928233744824</v>
      </c>
      <c r="AH362" s="685">
        <f t="shared" si="28"/>
        <v>361.1884901874713</v>
      </c>
      <c r="AI362" s="472">
        <f t="shared" si="29"/>
        <v>367.68988301084579</v>
      </c>
      <c r="AJ362" s="472"/>
      <c r="AK362" s="472"/>
      <c r="AL362" s="570">
        <v>24.97</v>
      </c>
      <c r="AM362" s="570">
        <v>235.28160933270351</v>
      </c>
      <c r="AN362" s="566">
        <v>0</v>
      </c>
      <c r="AO362" s="566">
        <f t="shared" si="30"/>
        <v>260.25160933270354</v>
      </c>
    </row>
    <row r="363" spans="1:41" x14ac:dyDescent="0.3">
      <c r="A363" s="466">
        <v>150001016</v>
      </c>
      <c r="B363" s="467" t="s">
        <v>261</v>
      </c>
      <c r="C363" s="468">
        <v>2162.08</v>
      </c>
      <c r="D363" s="469"/>
      <c r="E363" s="470">
        <v>1136.2</v>
      </c>
      <c r="F363" s="470">
        <v>3298.2799999999997</v>
      </c>
      <c r="G363" s="471">
        <v>504.5654276873276</v>
      </c>
      <c r="H363" s="471">
        <v>100.21000433268688</v>
      </c>
      <c r="I363" s="471">
        <v>337.95</v>
      </c>
      <c r="J363" s="471">
        <v>99.8</v>
      </c>
      <c r="K363" s="471">
        <v>0</v>
      </c>
      <c r="L363" s="471">
        <v>449.55279078575325</v>
      </c>
      <c r="M363" s="572">
        <f t="shared" si="26"/>
        <v>0</v>
      </c>
      <c r="N363" s="471">
        <v>1175.2408024446809</v>
      </c>
      <c r="O363" s="471">
        <v>0</v>
      </c>
      <c r="P363" s="471">
        <v>0</v>
      </c>
      <c r="Q363" s="471">
        <v>142.05264643404746</v>
      </c>
      <c r="R363" s="572">
        <f t="shared" si="27"/>
        <v>3330.9294511061848</v>
      </c>
      <c r="S363" s="471">
        <v>93.719553380584799</v>
      </c>
      <c r="T363" s="471">
        <v>129.15186969861264</v>
      </c>
      <c r="U363" s="471">
        <v>208.76344805397778</v>
      </c>
      <c r="V363" s="471">
        <v>117.46053908215485</v>
      </c>
      <c r="W363" s="471">
        <v>0</v>
      </c>
      <c r="X363" s="471">
        <v>60.369590590226849</v>
      </c>
      <c r="Y363" s="471">
        <v>0</v>
      </c>
      <c r="Z363" s="471">
        <v>3154.1344141267291</v>
      </c>
      <c r="AA363" s="471">
        <v>1288.5399236319088</v>
      </c>
      <c r="AB363" s="471">
        <v>1376.113625936377</v>
      </c>
      <c r="AC363" s="471">
        <v>0</v>
      </c>
      <c r="AD363" s="471">
        <v>0</v>
      </c>
      <c r="AE363" s="471">
        <v>283.88246518741403</v>
      </c>
      <c r="AF363" s="471">
        <v>0</v>
      </c>
      <c r="AG363" s="471">
        <v>308.45847725948801</v>
      </c>
      <c r="AH363" s="685">
        <f t="shared" si="28"/>
        <v>12852.436552478668</v>
      </c>
      <c r="AI363" s="472">
        <f t="shared" si="29"/>
        <v>13160.895029738156</v>
      </c>
      <c r="AJ363" s="472"/>
      <c r="AK363" s="472"/>
      <c r="AL363" s="570">
        <v>38.46</v>
      </c>
      <c r="AM363" s="570">
        <v>3292.4694511061848</v>
      </c>
      <c r="AN363" s="566">
        <v>0</v>
      </c>
      <c r="AO363" s="566">
        <f t="shared" si="30"/>
        <v>3330.9294511061848</v>
      </c>
    </row>
    <row r="364" spans="1:41" x14ac:dyDescent="0.3">
      <c r="A364" s="466">
        <v>150001018</v>
      </c>
      <c r="B364" s="467" t="s">
        <v>429</v>
      </c>
      <c r="C364" s="468">
        <v>2338.0700000000002</v>
      </c>
      <c r="D364" s="469"/>
      <c r="E364" s="470">
        <v>478</v>
      </c>
      <c r="F364" s="470">
        <v>2816.07</v>
      </c>
      <c r="G364" s="471">
        <v>534.26328092037716</v>
      </c>
      <c r="H364" s="471">
        <v>107.11460580905481</v>
      </c>
      <c r="I364" s="471">
        <v>300.07</v>
      </c>
      <c r="J364" s="471">
        <v>88.66</v>
      </c>
      <c r="K364" s="471">
        <v>0</v>
      </c>
      <c r="L364" s="471">
        <v>441.06751788519489</v>
      </c>
      <c r="M364" s="572">
        <f t="shared" si="26"/>
        <v>0</v>
      </c>
      <c r="N364" s="471">
        <v>1003.4200754758215</v>
      </c>
      <c r="O364" s="471">
        <v>0</v>
      </c>
      <c r="P364" s="471">
        <v>0</v>
      </c>
      <c r="Q364" s="471">
        <v>130.21492589787684</v>
      </c>
      <c r="R364" s="572">
        <f t="shared" si="27"/>
        <v>3017.4105584508775</v>
      </c>
      <c r="S364" s="471">
        <v>92.517364507345363</v>
      </c>
      <c r="T364" s="471">
        <v>138.07177431460613</v>
      </c>
      <c r="U364" s="471">
        <v>185.46574215753765</v>
      </c>
      <c r="V364" s="471">
        <v>106.7344708267927</v>
      </c>
      <c r="W364" s="471">
        <v>0</v>
      </c>
      <c r="X364" s="471">
        <v>59.106282508825508</v>
      </c>
      <c r="Y364" s="471">
        <v>0</v>
      </c>
      <c r="Z364" s="471">
        <v>2615.7782197663905</v>
      </c>
      <c r="AA364" s="471">
        <v>1739.7725149661712</v>
      </c>
      <c r="AB364" s="471">
        <v>1017.1994065388228</v>
      </c>
      <c r="AC364" s="471">
        <v>143.14450206938366</v>
      </c>
      <c r="AD364" s="471">
        <v>17.621955747177918</v>
      </c>
      <c r="AE364" s="471">
        <v>48.353606707746344</v>
      </c>
      <c r="AF364" s="471">
        <v>0</v>
      </c>
      <c r="AG364" s="471">
        <v>565.72736661840008</v>
      </c>
      <c r="AH364" s="685">
        <f t="shared" si="28"/>
        <v>11785.986804550001</v>
      </c>
      <c r="AI364" s="472">
        <f t="shared" si="29"/>
        <v>12351.714171168402</v>
      </c>
      <c r="AJ364" s="472"/>
      <c r="AK364" s="472"/>
      <c r="AL364" s="570">
        <v>266.64999999999998</v>
      </c>
      <c r="AM364" s="570">
        <v>2750.7605584508774</v>
      </c>
      <c r="AN364" s="566">
        <v>0</v>
      </c>
      <c r="AO364" s="566">
        <f t="shared" si="30"/>
        <v>3017.4105584508775</v>
      </c>
    </row>
    <row r="365" spans="1:41" x14ac:dyDescent="0.3">
      <c r="A365" s="466">
        <v>150001019</v>
      </c>
      <c r="B365" s="467" t="s">
        <v>419</v>
      </c>
      <c r="C365" s="468">
        <v>6921.8</v>
      </c>
      <c r="D365" s="469">
        <v>646.79999999999995</v>
      </c>
      <c r="E365" s="470"/>
      <c r="F365" s="470">
        <v>6921.8</v>
      </c>
      <c r="G365" s="471">
        <v>2106.4234563023401</v>
      </c>
      <c r="H365" s="471">
        <v>326.87187722709331</v>
      </c>
      <c r="I365" s="471">
        <v>866.77</v>
      </c>
      <c r="J365" s="471">
        <v>182.11</v>
      </c>
      <c r="K365" s="471">
        <v>104.17501397504415</v>
      </c>
      <c r="L365" s="471">
        <v>931.08177490948219</v>
      </c>
      <c r="M365" s="572">
        <f t="shared" si="26"/>
        <v>0</v>
      </c>
      <c r="N365" s="471">
        <v>2466.3708922109681</v>
      </c>
      <c r="O365" s="471">
        <v>4465.7006899091248</v>
      </c>
      <c r="P365" s="471">
        <v>0</v>
      </c>
      <c r="Q365" s="471">
        <v>465.61700775604447</v>
      </c>
      <c r="R365" s="572">
        <f t="shared" si="27"/>
        <v>8577.4155988466737</v>
      </c>
      <c r="S365" s="471">
        <v>163.94797315367498</v>
      </c>
      <c r="T365" s="471">
        <v>195.03699058916126</v>
      </c>
      <c r="U365" s="471">
        <v>211.49130751604164</v>
      </c>
      <c r="V365" s="471">
        <v>89.986764075334577</v>
      </c>
      <c r="W365" s="471">
        <v>52.842011746104383</v>
      </c>
      <c r="X365" s="471">
        <v>110.03914908802879</v>
      </c>
      <c r="Y365" s="471">
        <v>59.172188112108344</v>
      </c>
      <c r="Z365" s="471">
        <v>7733.9053351259518</v>
      </c>
      <c r="AA365" s="471">
        <v>5736.37891265282</v>
      </c>
      <c r="AB365" s="471">
        <v>1406.5896565663672</v>
      </c>
      <c r="AC365" s="471">
        <v>131.13409008068538</v>
      </c>
      <c r="AD365" s="471">
        <v>16.143401240993466</v>
      </c>
      <c r="AE365" s="471">
        <v>1021.6649159217372</v>
      </c>
      <c r="AF365" s="471">
        <v>1530.1576832354569</v>
      </c>
      <c r="AG365" s="471">
        <v>1168.5308007072369</v>
      </c>
      <c r="AH365" s="685">
        <f t="shared" si="28"/>
        <v>38951.026690241219</v>
      </c>
      <c r="AI365" s="472">
        <f t="shared" si="29"/>
        <v>40119.557490948457</v>
      </c>
      <c r="AJ365" s="472"/>
      <c r="AK365" s="472"/>
      <c r="AL365" s="570">
        <v>88.24</v>
      </c>
      <c r="AM365" s="570">
        <v>8489.1755988466739</v>
      </c>
      <c r="AN365" s="566">
        <v>0</v>
      </c>
      <c r="AO365" s="566">
        <f t="shared" si="30"/>
        <v>8577.4155988466737</v>
      </c>
    </row>
    <row r="366" spans="1:41" x14ac:dyDescent="0.3">
      <c r="A366" s="466">
        <v>150001020</v>
      </c>
      <c r="B366" s="467" t="s">
        <v>100</v>
      </c>
      <c r="C366" s="468">
        <v>320.5</v>
      </c>
      <c r="D366" s="473"/>
      <c r="E366" s="470"/>
      <c r="F366" s="470">
        <v>320.5</v>
      </c>
      <c r="G366" s="471">
        <v>0</v>
      </c>
      <c r="H366" s="471">
        <v>0</v>
      </c>
      <c r="I366" s="471">
        <v>0</v>
      </c>
      <c r="J366" s="471">
        <v>0</v>
      </c>
      <c r="K366" s="471">
        <v>0</v>
      </c>
      <c r="L366" s="471">
        <v>0</v>
      </c>
      <c r="M366" s="572">
        <f t="shared" si="26"/>
        <v>0</v>
      </c>
      <c r="N366" s="471">
        <v>0</v>
      </c>
      <c r="O366" s="471">
        <v>0</v>
      </c>
      <c r="P366" s="471">
        <v>0</v>
      </c>
      <c r="Q366" s="471">
        <v>47.350882144682487</v>
      </c>
      <c r="R366" s="572">
        <f t="shared" si="27"/>
        <v>301.11849762664616</v>
      </c>
      <c r="S366" s="471">
        <v>0</v>
      </c>
      <c r="T366" s="471">
        <v>0</v>
      </c>
      <c r="U366" s="471">
        <v>0</v>
      </c>
      <c r="V366" s="471">
        <v>0</v>
      </c>
      <c r="W366" s="471">
        <v>0</v>
      </c>
      <c r="X366" s="471">
        <v>0</v>
      </c>
      <c r="Y366" s="471">
        <v>0</v>
      </c>
      <c r="Z366" s="471">
        <v>67.793197136892928</v>
      </c>
      <c r="AA366" s="471">
        <v>0</v>
      </c>
      <c r="AB366" s="471">
        <v>0</v>
      </c>
      <c r="AC366" s="471">
        <v>0</v>
      </c>
      <c r="AD366" s="471">
        <v>0</v>
      </c>
      <c r="AE366" s="471">
        <v>0</v>
      </c>
      <c r="AF366" s="471">
        <v>0</v>
      </c>
      <c r="AG366" s="471">
        <v>7.4927263843479883</v>
      </c>
      <c r="AH366" s="685">
        <f t="shared" si="28"/>
        <v>416.2625769082216</v>
      </c>
      <c r="AI366" s="472">
        <f t="shared" si="29"/>
        <v>423.75530329256958</v>
      </c>
      <c r="AJ366" s="472"/>
      <c r="AK366" s="472"/>
      <c r="AL366" s="570">
        <v>32.82</v>
      </c>
      <c r="AM366" s="570">
        <v>268.29849762664617</v>
      </c>
      <c r="AN366" s="566">
        <v>0</v>
      </c>
      <c r="AO366" s="566">
        <f t="shared" si="30"/>
        <v>301.11849762664616</v>
      </c>
    </row>
    <row r="367" spans="1:41" x14ac:dyDescent="0.3">
      <c r="A367" s="466">
        <v>150001021</v>
      </c>
      <c r="B367" s="467" t="s">
        <v>363</v>
      </c>
      <c r="C367" s="468">
        <v>11582.12</v>
      </c>
      <c r="D367" s="469">
        <v>1227.6300000000001</v>
      </c>
      <c r="E367" s="470"/>
      <c r="F367" s="470">
        <v>11582.12</v>
      </c>
      <c r="G367" s="471">
        <v>2476.7774336665648</v>
      </c>
      <c r="H367" s="471">
        <v>698.00452828854236</v>
      </c>
      <c r="I367" s="471">
        <v>1448.61</v>
      </c>
      <c r="J367" s="471">
        <v>315.47000000000003</v>
      </c>
      <c r="K367" s="471">
        <v>288.12093011878341</v>
      </c>
      <c r="L367" s="471">
        <v>1891.135659585862</v>
      </c>
      <c r="M367" s="572">
        <f t="shared" si="26"/>
        <v>0</v>
      </c>
      <c r="N367" s="471">
        <v>4126.9328264460837</v>
      </c>
      <c r="O367" s="471">
        <v>10352.663175504971</v>
      </c>
      <c r="P367" s="471">
        <v>526.14071962364369</v>
      </c>
      <c r="Q367" s="471">
        <v>844.42406491350437</v>
      </c>
      <c r="R367" s="572">
        <f t="shared" si="27"/>
        <v>17572.334047805973</v>
      </c>
      <c r="S367" s="471">
        <v>81.702297626668241</v>
      </c>
      <c r="T367" s="471">
        <v>168.4165808621197</v>
      </c>
      <c r="U367" s="471">
        <v>122.36267525666695</v>
      </c>
      <c r="V367" s="471">
        <v>51.513342319762067</v>
      </c>
      <c r="W367" s="471">
        <v>58.46452679686373</v>
      </c>
      <c r="X367" s="471">
        <v>83.306949881271066</v>
      </c>
      <c r="Y367" s="471">
        <v>93.746869895318611</v>
      </c>
      <c r="Z367" s="471">
        <v>12041.437088212679</v>
      </c>
      <c r="AA367" s="471">
        <v>7396.1468328990177</v>
      </c>
      <c r="AB367" s="471">
        <v>1298.3904522151083</v>
      </c>
      <c r="AC367" s="471">
        <v>143.38961251813259</v>
      </c>
      <c r="AD367" s="471">
        <v>17.652130328936781</v>
      </c>
      <c r="AE367" s="471">
        <v>647.31441237789454</v>
      </c>
      <c r="AF367" s="471">
        <v>2320.9731219718242</v>
      </c>
      <c r="AG367" s="471">
        <v>1171.1777450240913</v>
      </c>
      <c r="AH367" s="685">
        <f t="shared" si="28"/>
        <v>65065.430279116161</v>
      </c>
      <c r="AI367" s="472">
        <f t="shared" si="29"/>
        <v>66236.608024140252</v>
      </c>
      <c r="AJ367" s="472"/>
      <c r="AK367" s="472"/>
      <c r="AL367" s="570">
        <v>169.89</v>
      </c>
      <c r="AM367" s="570">
        <v>17402.444047805973</v>
      </c>
      <c r="AN367" s="566">
        <v>0</v>
      </c>
      <c r="AO367" s="566">
        <f t="shared" si="30"/>
        <v>17572.334047805973</v>
      </c>
    </row>
    <row r="368" spans="1:41" x14ac:dyDescent="0.3">
      <c r="A368" s="466">
        <v>150001022</v>
      </c>
      <c r="B368" s="467" t="s">
        <v>364</v>
      </c>
      <c r="C368" s="468">
        <v>3771.47</v>
      </c>
      <c r="D368" s="469">
        <v>405</v>
      </c>
      <c r="E368" s="470"/>
      <c r="F368" s="470">
        <v>3771.47</v>
      </c>
      <c r="G368" s="471">
        <v>826.3423912322296</v>
      </c>
      <c r="H368" s="471">
        <v>187.45364398787959</v>
      </c>
      <c r="I368" s="471">
        <v>447.11</v>
      </c>
      <c r="J368" s="471">
        <v>95.28</v>
      </c>
      <c r="K368" s="471">
        <v>60.567694237804837</v>
      </c>
      <c r="L368" s="471">
        <v>560.8858663902605</v>
      </c>
      <c r="M368" s="572">
        <f t="shared" si="26"/>
        <v>0</v>
      </c>
      <c r="N368" s="471">
        <v>1343.8475293777485</v>
      </c>
      <c r="O368" s="471">
        <v>3069.8746739721232</v>
      </c>
      <c r="P368" s="471">
        <v>263.07035981182185</v>
      </c>
      <c r="Q368" s="471">
        <v>284.10529286809492</v>
      </c>
      <c r="R368" s="572">
        <f t="shared" si="27"/>
        <v>5705.7323330689933</v>
      </c>
      <c r="S368" s="471">
        <v>68.997779864900011</v>
      </c>
      <c r="T368" s="471">
        <v>110.42533255977038</v>
      </c>
      <c r="U368" s="471">
        <v>88.743493553325834</v>
      </c>
      <c r="V368" s="471">
        <v>43.578689750987849</v>
      </c>
      <c r="W368" s="471">
        <v>30.729175612901876</v>
      </c>
      <c r="X368" s="471">
        <v>64.394984903218102</v>
      </c>
      <c r="Y368" s="471">
        <v>32.574408953449151</v>
      </c>
      <c r="Z368" s="471">
        <v>4467.4187217859117</v>
      </c>
      <c r="AA368" s="471">
        <v>2266.9531092915577</v>
      </c>
      <c r="AB368" s="471">
        <v>711.95076463128441</v>
      </c>
      <c r="AC368" s="471">
        <v>78.435343599662289</v>
      </c>
      <c r="AD368" s="471">
        <v>9.6558661628372136</v>
      </c>
      <c r="AE368" s="471">
        <v>698.78760661517299</v>
      </c>
      <c r="AF368" s="471">
        <v>761.17935720581352</v>
      </c>
      <c r="AG368" s="471">
        <v>401.00569954987947</v>
      </c>
      <c r="AH368" s="685">
        <f t="shared" si="28"/>
        <v>22278.094419437748</v>
      </c>
      <c r="AI368" s="472">
        <f t="shared" si="29"/>
        <v>22679.100118987626</v>
      </c>
      <c r="AJ368" s="472"/>
      <c r="AK368" s="472"/>
      <c r="AL368" s="570">
        <v>65.67</v>
      </c>
      <c r="AM368" s="570">
        <v>5640.0623330689932</v>
      </c>
      <c r="AN368" s="566">
        <v>0</v>
      </c>
      <c r="AO368" s="566">
        <f t="shared" si="30"/>
        <v>5705.7323330689933</v>
      </c>
    </row>
    <row r="369" spans="1:41" x14ac:dyDescent="0.3">
      <c r="A369" s="466">
        <v>150001023</v>
      </c>
      <c r="B369" s="467" t="s">
        <v>365</v>
      </c>
      <c r="C369" s="468">
        <v>3767.85</v>
      </c>
      <c r="D369" s="469">
        <v>406.43</v>
      </c>
      <c r="E369" s="470"/>
      <c r="F369" s="470">
        <v>3767.85</v>
      </c>
      <c r="G369" s="471">
        <v>826.29307440076957</v>
      </c>
      <c r="H369" s="471">
        <v>187.45364398787959</v>
      </c>
      <c r="I369" s="471">
        <v>399.18</v>
      </c>
      <c r="J369" s="471">
        <v>98.13</v>
      </c>
      <c r="K369" s="471">
        <v>60.567694237804837</v>
      </c>
      <c r="L369" s="471">
        <v>608.17549635905129</v>
      </c>
      <c r="M369" s="572">
        <f t="shared" si="26"/>
        <v>0</v>
      </c>
      <c r="N369" s="471">
        <v>1342.5576535318987</v>
      </c>
      <c r="O369" s="471">
        <v>2482.0329695679497</v>
      </c>
      <c r="P369" s="471">
        <v>0</v>
      </c>
      <c r="Q369" s="471">
        <v>284.10529286809492</v>
      </c>
      <c r="R369" s="572">
        <f t="shared" si="27"/>
        <v>5180.9921965202411</v>
      </c>
      <c r="S369" s="471">
        <v>68.997779864900011</v>
      </c>
      <c r="T369" s="471">
        <v>110.42533255977038</v>
      </c>
      <c r="U369" s="471">
        <v>158.61793776766015</v>
      </c>
      <c r="V369" s="471">
        <v>54.959248014381146</v>
      </c>
      <c r="W369" s="471">
        <v>30.729175612901876</v>
      </c>
      <c r="X369" s="471">
        <v>66.940239710160171</v>
      </c>
      <c r="Y369" s="471">
        <v>31.574272538568618</v>
      </c>
      <c r="Z369" s="471">
        <v>4049.4209469028065</v>
      </c>
      <c r="AA369" s="471">
        <v>3106.8536237665407</v>
      </c>
      <c r="AB369" s="471">
        <v>627.55538523730206</v>
      </c>
      <c r="AC369" s="471">
        <v>78.435343599662289</v>
      </c>
      <c r="AD369" s="471">
        <v>9.6558661628372136</v>
      </c>
      <c r="AE369" s="471">
        <v>603.64018696444634</v>
      </c>
      <c r="AF369" s="471">
        <v>745.58141955815336</v>
      </c>
      <c r="AG369" s="471">
        <v>381.83174603520797</v>
      </c>
      <c r="AH369" s="685">
        <f t="shared" si="28"/>
        <v>21212.874779733778</v>
      </c>
      <c r="AI369" s="472">
        <f t="shared" si="29"/>
        <v>21594.706525768986</v>
      </c>
      <c r="AJ369" s="472"/>
      <c r="AK369" s="472"/>
      <c r="AL369" s="570">
        <v>65.67</v>
      </c>
      <c r="AM369" s="570">
        <v>5115.3221965202411</v>
      </c>
      <c r="AN369" s="566">
        <v>0</v>
      </c>
      <c r="AO369" s="566">
        <f t="shared" si="30"/>
        <v>5180.9921965202411</v>
      </c>
    </row>
    <row r="370" spans="1:41" x14ac:dyDescent="0.3">
      <c r="A370" s="466">
        <v>150001024</v>
      </c>
      <c r="B370" s="467" t="s">
        <v>366</v>
      </c>
      <c r="C370" s="468">
        <v>4227.22</v>
      </c>
      <c r="D370" s="469">
        <v>344.66</v>
      </c>
      <c r="E370" s="470">
        <v>66.099999999999994</v>
      </c>
      <c r="F370" s="470">
        <v>4293.3200000000006</v>
      </c>
      <c r="G370" s="471">
        <v>1306.4196029160755</v>
      </c>
      <c r="H370" s="471">
        <v>203.77628984143419</v>
      </c>
      <c r="I370" s="471">
        <v>505.24</v>
      </c>
      <c r="J370" s="471">
        <v>116.72</v>
      </c>
      <c r="K370" s="471">
        <v>65.004820328168279</v>
      </c>
      <c r="L370" s="471">
        <v>563.80582999548301</v>
      </c>
      <c r="M370" s="572">
        <f t="shared" si="26"/>
        <v>0</v>
      </c>
      <c r="N370" s="471">
        <v>1529.7927531779587</v>
      </c>
      <c r="O370" s="471">
        <v>3456.5475482576176</v>
      </c>
      <c r="P370" s="471">
        <v>0</v>
      </c>
      <c r="Q370" s="471">
        <v>276.21347917731453</v>
      </c>
      <c r="R370" s="572">
        <f t="shared" si="27"/>
        <v>5523.0031082397245</v>
      </c>
      <c r="S370" s="471">
        <v>103.38992989367803</v>
      </c>
      <c r="T370" s="471">
        <v>124.86297817174597</v>
      </c>
      <c r="U370" s="471">
        <v>130.82600233785629</v>
      </c>
      <c r="V370" s="471">
        <v>68.092279580378744</v>
      </c>
      <c r="W370" s="471">
        <v>32.980617657691397</v>
      </c>
      <c r="X370" s="471">
        <v>63.645007559589921</v>
      </c>
      <c r="Y370" s="471">
        <v>31.907651343528812</v>
      </c>
      <c r="Z370" s="471">
        <v>5003.9523952147647</v>
      </c>
      <c r="AA370" s="471">
        <v>3461.1170306624749</v>
      </c>
      <c r="AB370" s="471">
        <v>865.59363481007222</v>
      </c>
      <c r="AC370" s="471">
        <v>58.826507699746713</v>
      </c>
      <c r="AD370" s="471">
        <v>7.2418996221279102</v>
      </c>
      <c r="AE370" s="471">
        <v>1197.9216113402965</v>
      </c>
      <c r="AF370" s="471">
        <v>857.8865706213063</v>
      </c>
      <c r="AG370" s="471">
        <v>459.98581587208253</v>
      </c>
      <c r="AH370" s="685">
        <f t="shared" si="28"/>
        <v>25554.767548449036</v>
      </c>
      <c r="AI370" s="472">
        <f t="shared" si="29"/>
        <v>26014.753364321117</v>
      </c>
      <c r="AJ370" s="472"/>
      <c r="AK370" s="472"/>
      <c r="AL370" s="570">
        <v>42.22</v>
      </c>
      <c r="AM370" s="570">
        <v>5480.7831082397242</v>
      </c>
      <c r="AN370" s="566">
        <v>0</v>
      </c>
      <c r="AO370" s="566">
        <f t="shared" si="30"/>
        <v>5523.0031082397245</v>
      </c>
    </row>
    <row r="371" spans="1:41" x14ac:dyDescent="0.3">
      <c r="A371" s="466">
        <v>150001025</v>
      </c>
      <c r="B371" s="467" t="s">
        <v>420</v>
      </c>
      <c r="C371" s="468">
        <v>5062.2</v>
      </c>
      <c r="D371" s="469">
        <v>311.8</v>
      </c>
      <c r="E371" s="470">
        <v>203.2</v>
      </c>
      <c r="F371" s="470">
        <v>5265.4</v>
      </c>
      <c r="G371" s="471">
        <v>1552.5021385919979</v>
      </c>
      <c r="H371" s="471">
        <v>257.82900755343513</v>
      </c>
      <c r="I371" s="471">
        <v>646.54</v>
      </c>
      <c r="J371" s="471">
        <v>132.49</v>
      </c>
      <c r="K371" s="471">
        <v>69.441905573206768</v>
      </c>
      <c r="L371" s="471">
        <v>593.03205671170531</v>
      </c>
      <c r="M371" s="572">
        <f t="shared" si="26"/>
        <v>0</v>
      </c>
      <c r="N371" s="471">
        <v>1876.1636129110391</v>
      </c>
      <c r="O371" s="471">
        <v>3553.2101961369735</v>
      </c>
      <c r="P371" s="471">
        <v>0</v>
      </c>
      <c r="Q371" s="471">
        <v>303.83482709504597</v>
      </c>
      <c r="R371" s="572">
        <f t="shared" si="27"/>
        <v>6492.2123728099787</v>
      </c>
      <c r="S371" s="471">
        <v>126.89779672068497</v>
      </c>
      <c r="T371" s="471">
        <v>149.92959122555783</v>
      </c>
      <c r="U371" s="471">
        <v>157.0999671378014</v>
      </c>
      <c r="V371" s="471">
        <v>74.54946966441409</v>
      </c>
      <c r="W371" s="471">
        <v>35.232039279818451</v>
      </c>
      <c r="X371" s="471">
        <v>69.56789107816337</v>
      </c>
      <c r="Y371" s="471">
        <v>40.438761775753619</v>
      </c>
      <c r="Z371" s="471">
        <v>6466.4109882044149</v>
      </c>
      <c r="AA371" s="471">
        <v>3794.0228978935816</v>
      </c>
      <c r="AB371" s="471">
        <v>649.19522610755416</v>
      </c>
      <c r="AC371" s="471">
        <v>49.022089749788933</v>
      </c>
      <c r="AD371" s="471">
        <v>6.0349163517732585</v>
      </c>
      <c r="AE371" s="471">
        <v>1001.387596979779</v>
      </c>
      <c r="AF371" s="471">
        <v>845.40822050317809</v>
      </c>
      <c r="AG371" s="471">
        <v>868.27360710166943</v>
      </c>
      <c r="AH371" s="685">
        <f t="shared" si="28"/>
        <v>28942.453570055644</v>
      </c>
      <c r="AI371" s="472">
        <f t="shared" si="29"/>
        <v>29810.727177157314</v>
      </c>
      <c r="AJ371" s="472"/>
      <c r="AK371" s="472"/>
      <c r="AL371" s="570">
        <v>42.22</v>
      </c>
      <c r="AM371" s="570">
        <v>6449.9923728099784</v>
      </c>
      <c r="AN371" s="566">
        <v>0</v>
      </c>
      <c r="AO371" s="566">
        <f t="shared" si="30"/>
        <v>6492.2123728099787</v>
      </c>
    </row>
    <row r="372" spans="1:41" x14ac:dyDescent="0.3">
      <c r="A372" s="466">
        <v>150001026</v>
      </c>
      <c r="B372" s="467" t="s">
        <v>334</v>
      </c>
      <c r="C372" s="468">
        <v>7052.84</v>
      </c>
      <c r="D372" s="469">
        <v>879.7</v>
      </c>
      <c r="E372" s="470"/>
      <c r="F372" s="470">
        <v>7052.84</v>
      </c>
      <c r="G372" s="471">
        <v>964.2507453376794</v>
      </c>
      <c r="H372" s="471">
        <v>321.93529264208638</v>
      </c>
      <c r="I372" s="471">
        <v>841.78</v>
      </c>
      <c r="J372" s="471">
        <v>190.73</v>
      </c>
      <c r="K372" s="471">
        <v>187.6434939888255</v>
      </c>
      <c r="L372" s="471">
        <v>1524.0279697011781</v>
      </c>
      <c r="M372" s="572">
        <f t="shared" si="26"/>
        <v>0</v>
      </c>
      <c r="N372" s="471">
        <v>2513.0629725535559</v>
      </c>
      <c r="O372" s="471">
        <v>5225.3425361182399</v>
      </c>
      <c r="P372" s="471">
        <v>526.14071962364369</v>
      </c>
      <c r="Q372" s="471">
        <v>505.07607620994651</v>
      </c>
      <c r="R372" s="572">
        <f t="shared" si="27"/>
        <v>11745.329050307673</v>
      </c>
      <c r="S372" s="471">
        <v>47.21689152156668</v>
      </c>
      <c r="T372" s="471">
        <v>82.347825803229483</v>
      </c>
      <c r="U372" s="471">
        <v>42.761284576601994</v>
      </c>
      <c r="V372" s="471">
        <v>38.584495751337634</v>
      </c>
      <c r="W372" s="471">
        <v>57.116084523971821</v>
      </c>
      <c r="X372" s="471">
        <v>58.909523780059018</v>
      </c>
      <c r="Y372" s="471">
        <v>93.216145822728791</v>
      </c>
      <c r="Z372" s="471">
        <v>8628.5653145563083</v>
      </c>
      <c r="AA372" s="471">
        <v>4322.6428033917409</v>
      </c>
      <c r="AB372" s="471">
        <v>1038.7123617720865</v>
      </c>
      <c r="AC372" s="471">
        <v>248.4194398070554</v>
      </c>
      <c r="AD372" s="471">
        <v>30.581938612610987</v>
      </c>
      <c r="AE372" s="471">
        <v>2140.0370452589677</v>
      </c>
      <c r="AF372" s="471">
        <v>2171.2329205542874</v>
      </c>
      <c r="AG372" s="471">
        <v>783.82193277987687</v>
      </c>
      <c r="AH372" s="685">
        <f t="shared" si="28"/>
        <v>43545.662932215375</v>
      </c>
      <c r="AI372" s="472">
        <f t="shared" si="29"/>
        <v>44329.484864995255</v>
      </c>
      <c r="AJ372" s="472"/>
      <c r="AK372" s="472"/>
      <c r="AL372" s="570">
        <v>71.59</v>
      </c>
      <c r="AM372" s="570">
        <v>11673.739050307673</v>
      </c>
      <c r="AN372" s="566">
        <v>0</v>
      </c>
      <c r="AO372" s="566">
        <f t="shared" si="30"/>
        <v>11745.329050307673</v>
      </c>
    </row>
    <row r="373" spans="1:41" x14ac:dyDescent="0.3">
      <c r="A373" s="466">
        <v>150001027</v>
      </c>
      <c r="B373" s="467" t="s">
        <v>367</v>
      </c>
      <c r="C373" s="468">
        <v>10260.299999999999</v>
      </c>
      <c r="D373" s="469">
        <v>1160.45</v>
      </c>
      <c r="E373" s="470">
        <v>121.25</v>
      </c>
      <c r="F373" s="470">
        <v>10381.549999999999</v>
      </c>
      <c r="G373" s="471">
        <v>2229.8084904229413</v>
      </c>
      <c r="H373" s="471">
        <v>367.92289079339582</v>
      </c>
      <c r="I373" s="471">
        <v>1294.1400000000001</v>
      </c>
      <c r="J373" s="471">
        <v>289.24</v>
      </c>
      <c r="K373" s="471">
        <v>384.16119931305292</v>
      </c>
      <c r="L373" s="471">
        <v>2067.396230407056</v>
      </c>
      <c r="M373" s="572">
        <f t="shared" si="26"/>
        <v>0</v>
      </c>
      <c r="N373" s="471">
        <v>3699.1465711278533</v>
      </c>
      <c r="O373" s="471">
        <v>7561.6907680570439</v>
      </c>
      <c r="P373" s="471">
        <v>0</v>
      </c>
      <c r="Q373" s="471">
        <v>631.34509526243312</v>
      </c>
      <c r="R373" s="572">
        <f t="shared" si="27"/>
        <v>15947.251458710629</v>
      </c>
      <c r="S373" s="471">
        <v>109.4183269750051</v>
      </c>
      <c r="T373" s="471">
        <v>146.85492339344199</v>
      </c>
      <c r="U373" s="471">
        <v>182.34618775929607</v>
      </c>
      <c r="V373" s="471">
        <v>100.15541108844116</v>
      </c>
      <c r="W373" s="471">
        <v>116.92661838614831</v>
      </c>
      <c r="X373" s="471">
        <v>139.36113317451768</v>
      </c>
      <c r="Y373" s="471">
        <v>63.506112576590589</v>
      </c>
      <c r="Z373" s="471">
        <v>9989.2028452581362</v>
      </c>
      <c r="AA373" s="471">
        <v>7065.9115504304746</v>
      </c>
      <c r="AB373" s="471">
        <v>1731.1872696201444</v>
      </c>
      <c r="AC373" s="471">
        <v>182.31315177946502</v>
      </c>
      <c r="AD373" s="471">
        <v>22.443853912244748</v>
      </c>
      <c r="AE373" s="471">
        <v>2551.8225991571944</v>
      </c>
      <c r="AF373" s="471">
        <v>1447.4886137028584</v>
      </c>
      <c r="AG373" s="471">
        <v>1749.6312390392509</v>
      </c>
      <c r="AH373" s="685">
        <f t="shared" si="28"/>
        <v>58321.04130130836</v>
      </c>
      <c r="AI373" s="472">
        <f t="shared" si="29"/>
        <v>60070.672540347608</v>
      </c>
      <c r="AJ373" s="472"/>
      <c r="AK373" s="472"/>
      <c r="AL373" s="570">
        <v>125.82</v>
      </c>
      <c r="AM373" s="570">
        <v>15821.431458710629</v>
      </c>
      <c r="AN373" s="566">
        <v>0</v>
      </c>
      <c r="AO373" s="566">
        <f t="shared" si="30"/>
        <v>15947.251458710629</v>
      </c>
    </row>
    <row r="374" spans="1:41" x14ac:dyDescent="0.3">
      <c r="A374" s="466">
        <v>150001028</v>
      </c>
      <c r="B374" s="467" t="s">
        <v>101</v>
      </c>
      <c r="C374" s="468">
        <v>110.7</v>
      </c>
      <c r="D374" s="473"/>
      <c r="E374" s="470"/>
      <c r="F374" s="470">
        <v>110.7</v>
      </c>
      <c r="G374" s="471">
        <v>0</v>
      </c>
      <c r="H374" s="471">
        <v>0</v>
      </c>
      <c r="I374" s="471">
        <v>0</v>
      </c>
      <c r="J374" s="471">
        <v>0</v>
      </c>
      <c r="K374" s="471">
        <v>0</v>
      </c>
      <c r="L374" s="471">
        <v>0</v>
      </c>
      <c r="M374" s="572">
        <f t="shared" si="26"/>
        <v>0</v>
      </c>
      <c r="N374" s="471">
        <v>0</v>
      </c>
      <c r="O374" s="471">
        <v>0</v>
      </c>
      <c r="P374" s="471">
        <v>0</v>
      </c>
      <c r="Q374" s="471">
        <v>19.729534226951035</v>
      </c>
      <c r="R374" s="572">
        <f t="shared" si="27"/>
        <v>176.13265243059743</v>
      </c>
      <c r="S374" s="471">
        <v>0</v>
      </c>
      <c r="T374" s="471">
        <v>0</v>
      </c>
      <c r="U374" s="471">
        <v>0</v>
      </c>
      <c r="V374" s="471">
        <v>0</v>
      </c>
      <c r="W374" s="471">
        <v>0</v>
      </c>
      <c r="X374" s="471">
        <v>0</v>
      </c>
      <c r="Y374" s="471">
        <v>0</v>
      </c>
      <c r="Z374" s="471">
        <v>17.945258065648133</v>
      </c>
      <c r="AA374" s="471">
        <v>0</v>
      </c>
      <c r="AB374" s="471">
        <v>0</v>
      </c>
      <c r="AC374" s="471">
        <v>0</v>
      </c>
      <c r="AD374" s="471">
        <v>0</v>
      </c>
      <c r="AE374" s="471">
        <v>0</v>
      </c>
      <c r="AF374" s="471">
        <v>0</v>
      </c>
      <c r="AG374" s="471">
        <v>1.2828446683391794</v>
      </c>
      <c r="AH374" s="685">
        <f t="shared" si="28"/>
        <v>213.80744472319662</v>
      </c>
      <c r="AI374" s="472">
        <f t="shared" si="29"/>
        <v>215.0902893915358</v>
      </c>
      <c r="AJ374" s="472"/>
      <c r="AK374" s="472"/>
      <c r="AL374" s="570">
        <v>33.11</v>
      </c>
      <c r="AM374" s="570">
        <v>143.02265243059742</v>
      </c>
      <c r="AN374" s="566">
        <v>0</v>
      </c>
      <c r="AO374" s="566">
        <f t="shared" si="30"/>
        <v>176.13265243059743</v>
      </c>
    </row>
    <row r="375" spans="1:41" x14ac:dyDescent="0.3">
      <c r="A375" s="466">
        <v>150001029</v>
      </c>
      <c r="B375" s="467" t="s">
        <v>368</v>
      </c>
      <c r="C375" s="468">
        <v>7425.1</v>
      </c>
      <c r="D375" s="469">
        <v>926.05</v>
      </c>
      <c r="E375" s="470"/>
      <c r="F375" s="470">
        <v>7425.1</v>
      </c>
      <c r="G375" s="471">
        <v>1718.8010635376636</v>
      </c>
      <c r="H375" s="471">
        <v>293.92414927923141</v>
      </c>
      <c r="I375" s="471">
        <v>1047.6600000000001</v>
      </c>
      <c r="J375" s="471">
        <v>195.22</v>
      </c>
      <c r="K375" s="471">
        <v>288.12093011878341</v>
      </c>
      <c r="L375" s="471">
        <v>1301.3312582820906</v>
      </c>
      <c r="M375" s="572">
        <f t="shared" si="26"/>
        <v>0</v>
      </c>
      <c r="N375" s="471">
        <v>2645.7063930994336</v>
      </c>
      <c r="O375" s="471">
        <v>5913.7686555817536</v>
      </c>
      <c r="P375" s="471">
        <v>0</v>
      </c>
      <c r="Q375" s="471">
        <v>473.50882144682487</v>
      </c>
      <c r="R375" s="572">
        <f t="shared" si="27"/>
        <v>10827.785478978927</v>
      </c>
      <c r="S375" s="471">
        <v>142.80295141594192</v>
      </c>
      <c r="T375" s="471">
        <v>195.16163375359278</v>
      </c>
      <c r="U375" s="471">
        <v>228.89769564199534</v>
      </c>
      <c r="V375" s="471">
        <v>95.322312002960345</v>
      </c>
      <c r="W375" s="471">
        <v>146.1613169921593</v>
      </c>
      <c r="X375" s="471">
        <v>115.71405087706115</v>
      </c>
      <c r="Y375" s="471">
        <v>71.510810383329883</v>
      </c>
      <c r="Z375" s="471">
        <v>9124.5148879977369</v>
      </c>
      <c r="AA375" s="471">
        <v>3622.0794671076778</v>
      </c>
      <c r="AB375" s="471">
        <v>3245.976130537771</v>
      </c>
      <c r="AC375" s="471">
        <v>183.93088074120806</v>
      </c>
      <c r="AD375" s="471">
        <v>22.643006151853267</v>
      </c>
      <c r="AE375" s="471">
        <v>2164.9937454952233</v>
      </c>
      <c r="AF375" s="471">
        <v>889.08244591662651</v>
      </c>
      <c r="AG375" s="471">
        <v>1348.6385425601954</v>
      </c>
      <c r="AH375" s="685">
        <f t="shared" si="28"/>
        <v>44954.618085339847</v>
      </c>
      <c r="AI375" s="472">
        <f t="shared" si="29"/>
        <v>46303.256627900046</v>
      </c>
      <c r="AJ375" s="472"/>
      <c r="AK375" s="472"/>
      <c r="AL375" s="570">
        <v>75.709999999999994</v>
      </c>
      <c r="AM375" s="570">
        <v>10752.075478978928</v>
      </c>
      <c r="AN375" s="566">
        <v>0</v>
      </c>
      <c r="AO375" s="566">
        <f t="shared" si="30"/>
        <v>10827.785478978927</v>
      </c>
    </row>
    <row r="376" spans="1:41" x14ac:dyDescent="0.3">
      <c r="A376" s="466">
        <v>150001030</v>
      </c>
      <c r="B376" s="467" t="s">
        <v>335</v>
      </c>
      <c r="C376" s="468">
        <v>6125.75</v>
      </c>
      <c r="D376" s="469">
        <v>715.15</v>
      </c>
      <c r="E376" s="470"/>
      <c r="F376" s="470">
        <v>6125.75</v>
      </c>
      <c r="G376" s="471">
        <v>842.28315136509104</v>
      </c>
      <c r="H376" s="471">
        <v>234.89271892795449</v>
      </c>
      <c r="I376" s="471">
        <v>792.82</v>
      </c>
      <c r="J376" s="471">
        <v>161.53</v>
      </c>
      <c r="K376" s="471">
        <v>90.863676549278793</v>
      </c>
      <c r="L376" s="471">
        <v>1069.559868681773</v>
      </c>
      <c r="M376" s="572">
        <f t="shared" si="26"/>
        <v>0</v>
      </c>
      <c r="N376" s="471">
        <v>2182.7229178770463</v>
      </c>
      <c r="O376" s="471">
        <v>6190.0415554739157</v>
      </c>
      <c r="P376" s="471">
        <v>0</v>
      </c>
      <c r="Q376" s="471">
        <v>402.48249822980114</v>
      </c>
      <c r="R376" s="572">
        <f t="shared" si="27"/>
        <v>9635.0386952012195</v>
      </c>
      <c r="S376" s="471">
        <v>43.221517890003916</v>
      </c>
      <c r="T376" s="471">
        <v>60.071093490370153</v>
      </c>
      <c r="U376" s="471">
        <v>39.009150506212009</v>
      </c>
      <c r="V376" s="471">
        <v>32.007763596526217</v>
      </c>
      <c r="W376" s="471">
        <v>27.659892482584404</v>
      </c>
      <c r="X376" s="471">
        <v>39.322345015722981</v>
      </c>
      <c r="Y376" s="471">
        <v>92.218165131400369</v>
      </c>
      <c r="Z376" s="471">
        <v>7164.2032924112091</v>
      </c>
      <c r="AA376" s="471">
        <v>3171.3413129758592</v>
      </c>
      <c r="AB376" s="471">
        <v>1084.1560275996153</v>
      </c>
      <c r="AC376" s="471">
        <v>205.89277694911351</v>
      </c>
      <c r="AD376" s="471">
        <v>25.346648677447686</v>
      </c>
      <c r="AE376" s="471">
        <v>987.3494530968851</v>
      </c>
      <c r="AF376" s="471">
        <v>917.15873368241455</v>
      </c>
      <c r="AG376" s="471">
        <v>638.84147860460598</v>
      </c>
      <c r="AH376" s="685">
        <f t="shared" si="28"/>
        <v>35491.193255811442</v>
      </c>
      <c r="AI376" s="472">
        <f t="shared" si="29"/>
        <v>36130.034734416047</v>
      </c>
      <c r="AJ376" s="472"/>
      <c r="AK376" s="472"/>
      <c r="AL376" s="570">
        <v>75.709999999999994</v>
      </c>
      <c r="AM376" s="570">
        <v>9559.3286952012204</v>
      </c>
      <c r="AN376" s="566">
        <v>0</v>
      </c>
      <c r="AO376" s="566">
        <f t="shared" si="30"/>
        <v>9635.0386952012195</v>
      </c>
    </row>
    <row r="377" spans="1:41" x14ac:dyDescent="0.3">
      <c r="A377" s="466">
        <v>150001031</v>
      </c>
      <c r="B377" s="467" t="s">
        <v>103</v>
      </c>
      <c r="C377" s="468">
        <v>159.9</v>
      </c>
      <c r="D377" s="473"/>
      <c r="E377" s="470"/>
      <c r="F377" s="470">
        <v>159.9</v>
      </c>
      <c r="G377" s="471">
        <v>0</v>
      </c>
      <c r="H377" s="471">
        <v>0</v>
      </c>
      <c r="I377" s="471">
        <v>0</v>
      </c>
      <c r="J377" s="471">
        <v>0</v>
      </c>
      <c r="K377" s="471">
        <v>0</v>
      </c>
      <c r="L377" s="471">
        <v>0</v>
      </c>
      <c r="M377" s="572">
        <f t="shared" si="26"/>
        <v>0</v>
      </c>
      <c r="N377" s="471">
        <v>0</v>
      </c>
      <c r="O377" s="471">
        <v>0</v>
      </c>
      <c r="P377" s="471">
        <v>0</v>
      </c>
      <c r="Q377" s="471">
        <v>19.729534226951035</v>
      </c>
      <c r="R377" s="572">
        <f t="shared" si="27"/>
        <v>169.72377766604467</v>
      </c>
      <c r="S377" s="471">
        <v>0</v>
      </c>
      <c r="T377" s="471">
        <v>0</v>
      </c>
      <c r="U377" s="471">
        <v>0</v>
      </c>
      <c r="V377" s="471">
        <v>0</v>
      </c>
      <c r="W377" s="471">
        <v>0</v>
      </c>
      <c r="X377" s="471">
        <v>0</v>
      </c>
      <c r="Y377" s="471">
        <v>0</v>
      </c>
      <c r="Z377" s="471">
        <v>91.720207891090439</v>
      </c>
      <c r="AA377" s="471">
        <v>0</v>
      </c>
      <c r="AB377" s="471">
        <v>0</v>
      </c>
      <c r="AC377" s="471">
        <v>0</v>
      </c>
      <c r="AD377" s="471">
        <v>0</v>
      </c>
      <c r="AE377" s="471">
        <v>0</v>
      </c>
      <c r="AF377" s="471">
        <v>0</v>
      </c>
      <c r="AG377" s="471">
        <v>15.183370068340651</v>
      </c>
      <c r="AH377" s="685">
        <f t="shared" si="28"/>
        <v>281.17351978408612</v>
      </c>
      <c r="AI377" s="472">
        <f t="shared" si="29"/>
        <v>296.35688985242678</v>
      </c>
      <c r="AJ377" s="472"/>
      <c r="AK377" s="472"/>
      <c r="AL377" s="570">
        <v>25.61</v>
      </c>
      <c r="AM377" s="570">
        <v>144.11377766604465</v>
      </c>
      <c r="AN377" s="566">
        <v>0</v>
      </c>
      <c r="AO377" s="566">
        <f t="shared" si="30"/>
        <v>169.72377766604467</v>
      </c>
    </row>
    <row r="378" spans="1:41" x14ac:dyDescent="0.3">
      <c r="A378" s="466">
        <v>150001032</v>
      </c>
      <c r="B378" s="467" t="s">
        <v>369</v>
      </c>
      <c r="C378" s="468">
        <v>6020</v>
      </c>
      <c r="D378" s="469">
        <v>735.55</v>
      </c>
      <c r="E378" s="470"/>
      <c r="F378" s="470">
        <v>6020</v>
      </c>
      <c r="G378" s="471">
        <v>1173.8463442300258</v>
      </c>
      <c r="H378" s="471">
        <v>155.34605852381267</v>
      </c>
      <c r="I378" s="471">
        <v>741.77</v>
      </c>
      <c r="J378" s="471">
        <v>155.68</v>
      </c>
      <c r="K378" s="471">
        <v>144.06044463672924</v>
      </c>
      <c r="L378" s="471">
        <v>1285.8249714463348</v>
      </c>
      <c r="M378" s="572">
        <f t="shared" si="26"/>
        <v>0</v>
      </c>
      <c r="N378" s="471">
        <v>2145.0421524906856</v>
      </c>
      <c r="O378" s="471">
        <v>7153.4593156656774</v>
      </c>
      <c r="P378" s="471">
        <v>0</v>
      </c>
      <c r="Q378" s="471">
        <v>422.21203245675218</v>
      </c>
      <c r="R378" s="572">
        <f t="shared" si="27"/>
        <v>8818.7557705959971</v>
      </c>
      <c r="S378" s="471">
        <v>84.906546698705966</v>
      </c>
      <c r="T378" s="471">
        <v>105.8483598043756</v>
      </c>
      <c r="U378" s="471">
        <v>175.62049056944369</v>
      </c>
      <c r="V378" s="471">
        <v>66.379736649360211</v>
      </c>
      <c r="W378" s="471">
        <v>73.08065849607965</v>
      </c>
      <c r="X378" s="471">
        <v>116.08016483482538</v>
      </c>
      <c r="Y378" s="471">
        <v>92.218165131400369</v>
      </c>
      <c r="Z378" s="471">
        <v>6727.0832192494163</v>
      </c>
      <c r="AA378" s="471">
        <v>5118.327728440071</v>
      </c>
      <c r="AB378" s="471">
        <v>779.03427132906495</v>
      </c>
      <c r="AC378" s="471">
        <v>225.13394717590566</v>
      </c>
      <c r="AD378" s="471">
        <v>27.715353345518686</v>
      </c>
      <c r="AE378" s="471">
        <v>2306.9349780889306</v>
      </c>
      <c r="AF378" s="471">
        <v>1010.7463595683753</v>
      </c>
      <c r="AG378" s="471">
        <v>1173.1532120828247</v>
      </c>
      <c r="AH378" s="685">
        <f t="shared" si="28"/>
        <v>39105.107069427482</v>
      </c>
      <c r="AI378" s="472">
        <f t="shared" si="29"/>
        <v>40278.260281510309</v>
      </c>
      <c r="AJ378" s="472"/>
      <c r="AK378" s="472"/>
      <c r="AL378" s="570">
        <v>73.260000000000005</v>
      </c>
      <c r="AM378" s="570">
        <v>8745.4957705959969</v>
      </c>
      <c r="AN378" s="566">
        <v>0</v>
      </c>
      <c r="AO378" s="566">
        <f t="shared" si="30"/>
        <v>8818.7557705959971</v>
      </c>
    </row>
    <row r="379" spans="1:41" x14ac:dyDescent="0.3">
      <c r="A379" s="466">
        <v>150001033</v>
      </c>
      <c r="B379" s="467" t="s">
        <v>362</v>
      </c>
      <c r="C379" s="468">
        <v>4024.2</v>
      </c>
      <c r="D379" s="469">
        <v>446.8</v>
      </c>
      <c r="E379" s="470"/>
      <c r="F379" s="470">
        <v>4024.2</v>
      </c>
      <c r="G379" s="471">
        <v>950.8501655849783</v>
      </c>
      <c r="H379" s="471">
        <v>162.32392045418419</v>
      </c>
      <c r="I379" s="471">
        <v>495.8</v>
      </c>
      <c r="J379" s="471">
        <v>99.52</v>
      </c>
      <c r="K379" s="471">
        <v>65.004820328168279</v>
      </c>
      <c r="L379" s="471">
        <v>746.32289050270447</v>
      </c>
      <c r="M379" s="572">
        <f t="shared" si="26"/>
        <v>0</v>
      </c>
      <c r="N379" s="471">
        <v>1433.9001046599697</v>
      </c>
      <c r="O379" s="471">
        <v>3456.5475482576176</v>
      </c>
      <c r="P379" s="471">
        <v>0</v>
      </c>
      <c r="Q379" s="471">
        <v>276.21347917731453</v>
      </c>
      <c r="R379" s="572">
        <f t="shared" si="27"/>
        <v>6204.9012085669665</v>
      </c>
      <c r="S379" s="471">
        <v>80.717994695241828</v>
      </c>
      <c r="T379" s="471">
        <v>108.42626074874063</v>
      </c>
      <c r="U379" s="471">
        <v>122.57084240676906</v>
      </c>
      <c r="V379" s="471">
        <v>49.752047607067865</v>
      </c>
      <c r="W379" s="471">
        <v>32.980617657691397</v>
      </c>
      <c r="X379" s="471">
        <v>71.995324683650708</v>
      </c>
      <c r="Y379" s="471">
        <v>32.907787758409334</v>
      </c>
      <c r="Z379" s="471">
        <v>4104.3623497174685</v>
      </c>
      <c r="AA379" s="471">
        <v>4053.3318650734304</v>
      </c>
      <c r="AB379" s="471">
        <v>540.99602175629514</v>
      </c>
      <c r="AC379" s="471">
        <v>93.950835005470495</v>
      </c>
      <c r="AD379" s="471">
        <v>11.565917188173449</v>
      </c>
      <c r="AE379" s="471">
        <v>530.32988002044374</v>
      </c>
      <c r="AF379" s="471">
        <v>578.68348672819025</v>
      </c>
      <c r="AG379" s="471">
        <v>729.11866105736829</v>
      </c>
      <c r="AH379" s="685">
        <f t="shared" si="28"/>
        <v>24303.955368578943</v>
      </c>
      <c r="AI379" s="472">
        <f t="shared" si="29"/>
        <v>25033.074029636311</v>
      </c>
      <c r="AJ379" s="472"/>
      <c r="AK379" s="472"/>
      <c r="AL379" s="570">
        <v>50.62</v>
      </c>
      <c r="AM379" s="570">
        <v>6154.2812085669666</v>
      </c>
      <c r="AN379" s="566">
        <v>0</v>
      </c>
      <c r="AO379" s="566">
        <f t="shared" si="30"/>
        <v>6204.9012085669665</v>
      </c>
    </row>
    <row r="380" spans="1:41" x14ac:dyDescent="0.3">
      <c r="A380" s="466">
        <v>150001035</v>
      </c>
      <c r="B380" s="467" t="s">
        <v>262</v>
      </c>
      <c r="C380" s="468">
        <v>2771.3</v>
      </c>
      <c r="D380" s="469"/>
      <c r="E380" s="470">
        <v>79.400000000000006</v>
      </c>
      <c r="F380" s="470">
        <v>2850.7000000000003</v>
      </c>
      <c r="G380" s="471">
        <v>882.48657912630836</v>
      </c>
      <c r="H380" s="471">
        <v>167.35415557246759</v>
      </c>
      <c r="I380" s="471">
        <v>368.62</v>
      </c>
      <c r="J380" s="471">
        <v>77.86</v>
      </c>
      <c r="K380" s="471">
        <v>59.112908977718426</v>
      </c>
      <c r="L380" s="471">
        <v>600.04083416095091</v>
      </c>
      <c r="M380" s="572">
        <f t="shared" si="26"/>
        <v>0</v>
      </c>
      <c r="N380" s="471">
        <v>1015.7594126420595</v>
      </c>
      <c r="O380" s="471">
        <v>0</v>
      </c>
      <c r="P380" s="471">
        <v>0</v>
      </c>
      <c r="Q380" s="471">
        <v>232.80850387802224</v>
      </c>
      <c r="R380" s="572">
        <f t="shared" si="27"/>
        <v>3142.0639886939443</v>
      </c>
      <c r="S380" s="471">
        <v>148.20379993944582</v>
      </c>
      <c r="T380" s="471">
        <v>215.71437418210596</v>
      </c>
      <c r="U380" s="471">
        <v>145.01711010176388</v>
      </c>
      <c r="V380" s="471">
        <v>72.106662364130642</v>
      </c>
      <c r="W380" s="471">
        <v>59.973570119372766</v>
      </c>
      <c r="X380" s="471">
        <v>82.957264330606762</v>
      </c>
      <c r="Y380" s="471">
        <v>116.37111192658503</v>
      </c>
      <c r="Z380" s="471">
        <v>3433.79059951304</v>
      </c>
      <c r="AA380" s="471">
        <v>1462.3430590231028</v>
      </c>
      <c r="AB380" s="471">
        <v>1621.4374932468329</v>
      </c>
      <c r="AC380" s="471">
        <v>139.22273488940056</v>
      </c>
      <c r="AD380" s="471">
        <v>17.139162439036053</v>
      </c>
      <c r="AE380" s="471">
        <v>502.25359225465553</v>
      </c>
      <c r="AF380" s="471">
        <v>0</v>
      </c>
      <c r="AG380" s="471">
        <v>349.50328601715722</v>
      </c>
      <c r="AH380" s="685">
        <f t="shared" si="28"/>
        <v>14562.636917381551</v>
      </c>
      <c r="AI380" s="472">
        <f t="shared" si="29"/>
        <v>14912.140203398709</v>
      </c>
      <c r="AJ380" s="472"/>
      <c r="AK380" s="472"/>
      <c r="AL380" s="570">
        <v>75.709999999999994</v>
      </c>
      <c r="AM380" s="570">
        <v>3066.3539886939443</v>
      </c>
      <c r="AN380" s="566">
        <v>0</v>
      </c>
      <c r="AO380" s="566">
        <f t="shared" si="30"/>
        <v>3142.0639886939443</v>
      </c>
    </row>
    <row r="381" spans="1:41" x14ac:dyDescent="0.3">
      <c r="A381" s="466">
        <v>150001036</v>
      </c>
      <c r="B381" s="467" t="s">
        <v>102</v>
      </c>
      <c r="C381" s="468">
        <v>211.4</v>
      </c>
      <c r="D381" s="473"/>
      <c r="E381" s="470"/>
      <c r="F381" s="470">
        <v>211.4</v>
      </c>
      <c r="G381" s="471">
        <v>0</v>
      </c>
      <c r="H381" s="471">
        <v>0</v>
      </c>
      <c r="I381" s="471">
        <v>0</v>
      </c>
      <c r="J381" s="471">
        <v>0</v>
      </c>
      <c r="K381" s="471">
        <v>0</v>
      </c>
      <c r="L381" s="471">
        <v>0</v>
      </c>
      <c r="M381" s="572">
        <f t="shared" si="26"/>
        <v>0</v>
      </c>
      <c r="N381" s="471">
        <v>0</v>
      </c>
      <c r="O381" s="471">
        <v>0</v>
      </c>
      <c r="P381" s="471">
        <v>0</v>
      </c>
      <c r="Q381" s="471">
        <v>19.729534226951035</v>
      </c>
      <c r="R381" s="572">
        <f t="shared" si="27"/>
        <v>221.05803373723614</v>
      </c>
      <c r="S381" s="471">
        <v>0</v>
      </c>
      <c r="T381" s="471">
        <v>0</v>
      </c>
      <c r="U381" s="471">
        <v>0</v>
      </c>
      <c r="V381" s="471">
        <v>0</v>
      </c>
      <c r="W381" s="471">
        <v>0</v>
      </c>
      <c r="X381" s="471">
        <v>0</v>
      </c>
      <c r="Y381" s="471">
        <v>0</v>
      </c>
      <c r="Z381" s="471">
        <v>79.756702513991698</v>
      </c>
      <c r="AA381" s="471">
        <v>0</v>
      </c>
      <c r="AB381" s="471">
        <v>0</v>
      </c>
      <c r="AC381" s="471">
        <v>0</v>
      </c>
      <c r="AD381" s="471">
        <v>0</v>
      </c>
      <c r="AE381" s="471">
        <v>0</v>
      </c>
      <c r="AF381" s="471">
        <v>0</v>
      </c>
      <c r="AG381" s="471">
        <v>9.6163281143453663</v>
      </c>
      <c r="AH381" s="685">
        <f t="shared" si="28"/>
        <v>320.54427047817887</v>
      </c>
      <c r="AI381" s="472">
        <f t="shared" si="29"/>
        <v>330.16059859252425</v>
      </c>
      <c r="AJ381" s="472"/>
      <c r="AK381" s="472"/>
      <c r="AL381" s="570">
        <v>33.11</v>
      </c>
      <c r="AM381" s="570">
        <v>187.94803373723616</v>
      </c>
      <c r="AN381" s="566">
        <v>0</v>
      </c>
      <c r="AO381" s="566">
        <f t="shared" si="30"/>
        <v>221.05803373723614</v>
      </c>
    </row>
    <row r="382" spans="1:41" x14ac:dyDescent="0.3">
      <c r="A382" s="466">
        <v>150001037</v>
      </c>
      <c r="B382" s="467" t="s">
        <v>104</v>
      </c>
      <c r="C382" s="468">
        <v>161.4</v>
      </c>
      <c r="D382" s="473"/>
      <c r="E382" s="470"/>
      <c r="F382" s="470">
        <v>161.4</v>
      </c>
      <c r="G382" s="471">
        <v>0</v>
      </c>
      <c r="H382" s="471">
        <v>0</v>
      </c>
      <c r="I382" s="471">
        <v>0</v>
      </c>
      <c r="J382" s="471">
        <v>0</v>
      </c>
      <c r="K382" s="471">
        <v>0</v>
      </c>
      <c r="L382" s="471">
        <v>0</v>
      </c>
      <c r="M382" s="572">
        <f t="shared" si="26"/>
        <v>0</v>
      </c>
      <c r="N382" s="471">
        <v>0</v>
      </c>
      <c r="O382" s="471">
        <v>0</v>
      </c>
      <c r="P382" s="471">
        <v>0</v>
      </c>
      <c r="Q382" s="471">
        <v>27.621347917731452</v>
      </c>
      <c r="R382" s="572">
        <f t="shared" si="27"/>
        <v>161.61791113272992</v>
      </c>
      <c r="S382" s="471">
        <v>0</v>
      </c>
      <c r="T382" s="471">
        <v>0</v>
      </c>
      <c r="U382" s="471">
        <v>0</v>
      </c>
      <c r="V382" s="471">
        <v>0</v>
      </c>
      <c r="W382" s="471">
        <v>0</v>
      </c>
      <c r="X382" s="471">
        <v>0</v>
      </c>
      <c r="Y382" s="471">
        <v>0</v>
      </c>
      <c r="Z382" s="471">
        <v>79.756702513991698</v>
      </c>
      <c r="AA382" s="471">
        <v>0</v>
      </c>
      <c r="AB382" s="471">
        <v>0</v>
      </c>
      <c r="AC382" s="471">
        <v>0</v>
      </c>
      <c r="AD382" s="471">
        <v>0</v>
      </c>
      <c r="AE382" s="471">
        <v>0</v>
      </c>
      <c r="AF382" s="471">
        <v>0</v>
      </c>
      <c r="AG382" s="471">
        <v>12.911806155093748</v>
      </c>
      <c r="AH382" s="685">
        <f t="shared" si="28"/>
        <v>268.99596156445307</v>
      </c>
      <c r="AI382" s="472">
        <f t="shared" si="29"/>
        <v>281.90776771954683</v>
      </c>
      <c r="AJ382" s="472"/>
      <c r="AK382" s="472"/>
      <c r="AL382" s="570">
        <v>27.48</v>
      </c>
      <c r="AM382" s="570">
        <v>134.13791113272993</v>
      </c>
      <c r="AN382" s="566">
        <v>0</v>
      </c>
      <c r="AO382" s="566">
        <f t="shared" si="30"/>
        <v>161.61791113272992</v>
      </c>
    </row>
    <row r="383" spans="1:41" x14ac:dyDescent="0.3">
      <c r="A383" s="466">
        <v>150001040</v>
      </c>
      <c r="B383" s="467" t="s">
        <v>216</v>
      </c>
      <c r="C383" s="468">
        <v>2013</v>
      </c>
      <c r="D383" s="469"/>
      <c r="E383" s="470">
        <v>470.2</v>
      </c>
      <c r="F383" s="470">
        <v>2483.1999999999998</v>
      </c>
      <c r="G383" s="471">
        <v>745.15772886349225</v>
      </c>
      <c r="H383" s="471">
        <v>189.86694194875494</v>
      </c>
      <c r="I383" s="471">
        <v>284.37</v>
      </c>
      <c r="J383" s="471">
        <v>0</v>
      </c>
      <c r="K383" s="471">
        <v>0</v>
      </c>
      <c r="L383" s="471">
        <v>771.9162790184497</v>
      </c>
      <c r="M383" s="572">
        <f t="shared" si="26"/>
        <v>0</v>
      </c>
      <c r="N383" s="471">
        <v>884.81207193768614</v>
      </c>
      <c r="O383" s="471">
        <v>0</v>
      </c>
      <c r="P383" s="471">
        <v>0</v>
      </c>
      <c r="Q383" s="471">
        <v>390.64477769363054</v>
      </c>
      <c r="R383" s="572">
        <f t="shared" si="27"/>
        <v>3447.3071837830544</v>
      </c>
      <c r="S383" s="471">
        <v>134.31754477993348</v>
      </c>
      <c r="T383" s="471">
        <v>244.71748788035035</v>
      </c>
      <c r="U383" s="471">
        <v>123.26835880875514</v>
      </c>
      <c r="V383" s="471">
        <v>0</v>
      </c>
      <c r="W383" s="471">
        <v>0</v>
      </c>
      <c r="X383" s="471">
        <v>111.41510992567788</v>
      </c>
      <c r="Y383" s="471">
        <v>0</v>
      </c>
      <c r="Z383" s="471">
        <v>1269.6923815224443</v>
      </c>
      <c r="AA383" s="471">
        <v>1401.9261460154057</v>
      </c>
      <c r="AB383" s="471">
        <v>377.85104801042473</v>
      </c>
      <c r="AC383" s="471">
        <v>72.116396230914503</v>
      </c>
      <c r="AD383" s="471">
        <v>8.8779654450936416</v>
      </c>
      <c r="AE383" s="471">
        <v>397.74741001533289</v>
      </c>
      <c r="AF383" s="471">
        <v>0</v>
      </c>
      <c r="AG383" s="471">
        <v>130.27205798255278</v>
      </c>
      <c r="AH383" s="685">
        <f t="shared" si="28"/>
        <v>10856.004831879398</v>
      </c>
      <c r="AI383" s="472">
        <f t="shared" si="29"/>
        <v>10986.276889861951</v>
      </c>
      <c r="AJ383" s="472"/>
      <c r="AK383" s="472"/>
      <c r="AL383" s="570">
        <v>91.37</v>
      </c>
      <c r="AM383" s="570">
        <v>3355.9371837830545</v>
      </c>
      <c r="AN383" s="566">
        <v>0</v>
      </c>
      <c r="AO383" s="566">
        <f t="shared" si="30"/>
        <v>3447.3071837830544</v>
      </c>
    </row>
    <row r="384" spans="1:41" x14ac:dyDescent="0.3">
      <c r="A384" s="466">
        <v>150001041</v>
      </c>
      <c r="B384" s="467" t="s">
        <v>196</v>
      </c>
      <c r="C384" s="468">
        <v>601.4</v>
      </c>
      <c r="D384" s="469"/>
      <c r="E384" s="470"/>
      <c r="F384" s="470">
        <v>601.4</v>
      </c>
      <c r="G384" s="471">
        <v>205.3927936534206</v>
      </c>
      <c r="H384" s="471">
        <v>30.748533848829332</v>
      </c>
      <c r="I384" s="471">
        <v>74.91</v>
      </c>
      <c r="J384" s="471">
        <v>0</v>
      </c>
      <c r="K384" s="471">
        <v>0</v>
      </c>
      <c r="L384" s="471">
        <v>107.28489139294675</v>
      </c>
      <c r="M384" s="572">
        <f t="shared" si="26"/>
        <v>0</v>
      </c>
      <c r="N384" s="471">
        <v>214.29042367240837</v>
      </c>
      <c r="O384" s="471">
        <v>0</v>
      </c>
      <c r="P384" s="471">
        <v>0</v>
      </c>
      <c r="Q384" s="471">
        <v>142.05264643404746</v>
      </c>
      <c r="R384" s="572">
        <f t="shared" si="27"/>
        <v>688.11328831782282</v>
      </c>
      <c r="S384" s="471">
        <v>37.200467863578638</v>
      </c>
      <c r="T384" s="471">
        <v>39.617672760513557</v>
      </c>
      <c r="U384" s="471">
        <v>34.140465526019817</v>
      </c>
      <c r="V384" s="471">
        <v>0</v>
      </c>
      <c r="W384" s="471">
        <v>0</v>
      </c>
      <c r="X384" s="471">
        <v>7.3717792993961071</v>
      </c>
      <c r="Y384" s="471">
        <v>0</v>
      </c>
      <c r="Z384" s="471">
        <v>544.72774828115962</v>
      </c>
      <c r="AA384" s="471">
        <v>425.03625894950056</v>
      </c>
      <c r="AB384" s="471">
        <v>136.39837600388086</v>
      </c>
      <c r="AC384" s="471">
        <v>0</v>
      </c>
      <c r="AD384" s="471">
        <v>0</v>
      </c>
      <c r="AE384" s="471">
        <v>90.46803835642865</v>
      </c>
      <c r="AF384" s="471">
        <v>0</v>
      </c>
      <c r="AG384" s="471">
        <v>0</v>
      </c>
      <c r="AH384" s="685">
        <f t="shared" si="28"/>
        <v>2777.7533843599535</v>
      </c>
      <c r="AI384" s="472">
        <f t="shared" si="29"/>
        <v>2777.7533843599535</v>
      </c>
      <c r="AJ384" s="472"/>
      <c r="AK384" s="472"/>
      <c r="AL384" s="570">
        <v>25.61</v>
      </c>
      <c r="AM384" s="570">
        <v>662.50328831782281</v>
      </c>
      <c r="AN384" s="566">
        <v>0</v>
      </c>
      <c r="AO384" s="566">
        <f t="shared" si="30"/>
        <v>688.11328831782282</v>
      </c>
    </row>
    <row r="385" spans="1:41" x14ac:dyDescent="0.3">
      <c r="A385" s="466">
        <v>150001042</v>
      </c>
      <c r="B385" s="467" t="s">
        <v>181</v>
      </c>
      <c r="C385" s="468">
        <v>427.1</v>
      </c>
      <c r="D385" s="469"/>
      <c r="E385" s="470"/>
      <c r="F385" s="470">
        <v>427.1</v>
      </c>
      <c r="G385" s="471">
        <v>186.2558599402567</v>
      </c>
      <c r="H385" s="471">
        <v>34.718640894682196</v>
      </c>
      <c r="I385" s="471">
        <v>51.42</v>
      </c>
      <c r="J385" s="471">
        <v>0</v>
      </c>
      <c r="K385" s="471">
        <v>0</v>
      </c>
      <c r="L385" s="471">
        <v>98.891409429387878</v>
      </c>
      <c r="M385" s="572">
        <f t="shared" si="26"/>
        <v>0</v>
      </c>
      <c r="N385" s="471">
        <v>152.18397065261991</v>
      </c>
      <c r="O385" s="471">
        <v>0</v>
      </c>
      <c r="P385" s="471">
        <v>0</v>
      </c>
      <c r="Q385" s="471">
        <v>94.701764289364974</v>
      </c>
      <c r="R385" s="572">
        <f t="shared" si="27"/>
        <v>412.27015585917673</v>
      </c>
      <c r="S385" s="471">
        <v>35.980365976895705</v>
      </c>
      <c r="T385" s="471">
        <v>44.754963276478016</v>
      </c>
      <c r="U385" s="471">
        <v>23.638951430175567</v>
      </c>
      <c r="V385" s="471">
        <v>0</v>
      </c>
      <c r="W385" s="471">
        <v>0</v>
      </c>
      <c r="X385" s="471">
        <v>9.8856385409863776</v>
      </c>
      <c r="Y385" s="471">
        <v>0</v>
      </c>
      <c r="Z385" s="471">
        <v>531.56678898605912</v>
      </c>
      <c r="AA385" s="471">
        <v>383.84034031162184</v>
      </c>
      <c r="AB385" s="471">
        <v>133.45560321916838</v>
      </c>
      <c r="AC385" s="471">
        <v>0</v>
      </c>
      <c r="AD385" s="471">
        <v>0</v>
      </c>
      <c r="AE385" s="471">
        <v>87.348450826896624</v>
      </c>
      <c r="AF385" s="471">
        <v>0</v>
      </c>
      <c r="AG385" s="471">
        <v>0</v>
      </c>
      <c r="AH385" s="685">
        <f t="shared" si="28"/>
        <v>2280.9129036337704</v>
      </c>
      <c r="AI385" s="472">
        <f t="shared" si="29"/>
        <v>2280.9129036337704</v>
      </c>
      <c r="AJ385" s="472"/>
      <c r="AK385" s="472"/>
      <c r="AL385" s="570">
        <v>50.66</v>
      </c>
      <c r="AM385" s="570">
        <v>361.61015585917676</v>
      </c>
      <c r="AN385" s="566">
        <v>0</v>
      </c>
      <c r="AO385" s="566">
        <f t="shared" si="30"/>
        <v>412.27015585917673</v>
      </c>
    </row>
    <row r="386" spans="1:41" x14ac:dyDescent="0.3">
      <c r="A386" s="466">
        <v>150001043</v>
      </c>
      <c r="B386" s="467" t="s">
        <v>217</v>
      </c>
      <c r="C386" s="468">
        <v>1282.0999999999999</v>
      </c>
      <c r="D386" s="469"/>
      <c r="E386" s="470"/>
      <c r="F386" s="470">
        <v>1282.0999999999999</v>
      </c>
      <c r="G386" s="471">
        <v>389.00875764325548</v>
      </c>
      <c r="H386" s="471">
        <v>75.946572552877242</v>
      </c>
      <c r="I386" s="471">
        <v>159.86000000000001</v>
      </c>
      <c r="J386" s="471">
        <v>0</v>
      </c>
      <c r="K386" s="471">
        <v>0</v>
      </c>
      <c r="L386" s="471">
        <v>241.48828900580446</v>
      </c>
      <c r="M386" s="572">
        <f t="shared" si="26"/>
        <v>0</v>
      </c>
      <c r="N386" s="471">
        <v>456.83696739340661</v>
      </c>
      <c r="O386" s="471">
        <v>0</v>
      </c>
      <c r="P386" s="471">
        <v>0</v>
      </c>
      <c r="Q386" s="471">
        <v>260.42985179575368</v>
      </c>
      <c r="R386" s="572">
        <f t="shared" si="27"/>
        <v>1011.2905916453768</v>
      </c>
      <c r="S386" s="471">
        <v>69.128793189800675</v>
      </c>
      <c r="T386" s="471">
        <v>97.881167455611291</v>
      </c>
      <c r="U386" s="471">
        <v>72.45868339084042</v>
      </c>
      <c r="V386" s="471">
        <v>0</v>
      </c>
      <c r="W386" s="471">
        <v>0</v>
      </c>
      <c r="X386" s="471">
        <v>29.121041030394103</v>
      </c>
      <c r="Y386" s="471">
        <v>0</v>
      </c>
      <c r="Z386" s="471">
        <v>1638.7295050569139</v>
      </c>
      <c r="AA386" s="471">
        <v>617.4135267516366</v>
      </c>
      <c r="AB386" s="471">
        <v>654.84101114964778</v>
      </c>
      <c r="AC386" s="471">
        <v>74.636131644053634</v>
      </c>
      <c r="AD386" s="471">
        <v>9.1881601455747877</v>
      </c>
      <c r="AE386" s="471">
        <v>141.94123259370701</v>
      </c>
      <c r="AF386" s="471">
        <v>0</v>
      </c>
      <c r="AG386" s="471">
        <v>0</v>
      </c>
      <c r="AH386" s="685">
        <f t="shared" si="28"/>
        <v>6000.2002824446554</v>
      </c>
      <c r="AI386" s="472">
        <f t="shared" si="29"/>
        <v>6000.2002824446554</v>
      </c>
      <c r="AJ386" s="472"/>
      <c r="AK386" s="472"/>
      <c r="AL386" s="570">
        <v>59.96</v>
      </c>
      <c r="AM386" s="570">
        <v>951.33059164537678</v>
      </c>
      <c r="AN386" s="566">
        <v>0</v>
      </c>
      <c r="AO386" s="566">
        <f t="shared" si="30"/>
        <v>1011.2905916453768</v>
      </c>
    </row>
    <row r="387" spans="1:41" x14ac:dyDescent="0.3">
      <c r="A387" s="466">
        <v>150001044</v>
      </c>
      <c r="B387" s="467" t="s">
        <v>269</v>
      </c>
      <c r="C387" s="468">
        <v>3228.8</v>
      </c>
      <c r="D387" s="469"/>
      <c r="E387" s="470">
        <v>276.7</v>
      </c>
      <c r="F387" s="470">
        <v>3505.5</v>
      </c>
      <c r="G387" s="471">
        <v>1010.5607892758605</v>
      </c>
      <c r="H387" s="471">
        <v>191.24752731236396</v>
      </c>
      <c r="I387" s="471">
        <v>412.34</v>
      </c>
      <c r="J387" s="471">
        <v>0</v>
      </c>
      <c r="K387" s="471">
        <v>0</v>
      </c>
      <c r="L387" s="471">
        <v>629.22263105776983</v>
      </c>
      <c r="M387" s="572">
        <f t="shared" si="26"/>
        <v>0</v>
      </c>
      <c r="N387" s="471">
        <v>1249.0772866372256</v>
      </c>
      <c r="O387" s="471">
        <v>0</v>
      </c>
      <c r="P387" s="471">
        <v>0</v>
      </c>
      <c r="Q387" s="471">
        <v>947.01764289364974</v>
      </c>
      <c r="R387" s="572">
        <f t="shared" si="27"/>
        <v>2788.3484626531599</v>
      </c>
      <c r="S387" s="471">
        <v>160.31300580948829</v>
      </c>
      <c r="T387" s="471">
        <v>246.48982157955629</v>
      </c>
      <c r="U387" s="471">
        <v>212.62232937412068</v>
      </c>
      <c r="V387" s="471">
        <v>0</v>
      </c>
      <c r="W387" s="471">
        <v>0</v>
      </c>
      <c r="X387" s="471">
        <v>88.463631657945996</v>
      </c>
      <c r="Y387" s="471">
        <v>0</v>
      </c>
      <c r="Z387" s="471">
        <v>1779.5174437193564</v>
      </c>
      <c r="AA387" s="471">
        <v>1230.5362737839916</v>
      </c>
      <c r="AB387" s="471">
        <v>846.01277454210333</v>
      </c>
      <c r="AC387" s="471">
        <v>108.04468580853479</v>
      </c>
      <c r="AD387" s="471">
        <v>13.30095563930826</v>
      </c>
      <c r="AE387" s="471">
        <v>396.18761625056686</v>
      </c>
      <c r="AF387" s="471">
        <v>0</v>
      </c>
      <c r="AG387" s="471">
        <v>295.42326907188004</v>
      </c>
      <c r="AH387" s="685">
        <f t="shared" si="28"/>
        <v>12309.302877995002</v>
      </c>
      <c r="AI387" s="472">
        <f t="shared" si="29"/>
        <v>12604.726147066882</v>
      </c>
      <c r="AJ387" s="472"/>
      <c r="AK387" s="472"/>
      <c r="AL387" s="570">
        <v>130.83000000000001</v>
      </c>
      <c r="AM387" s="570">
        <v>2657.51846265316</v>
      </c>
      <c r="AN387" s="566">
        <v>0</v>
      </c>
      <c r="AO387" s="566">
        <f t="shared" si="30"/>
        <v>2788.3484626531599</v>
      </c>
    </row>
    <row r="388" spans="1:41" x14ac:dyDescent="0.3">
      <c r="A388" s="466">
        <v>150001045</v>
      </c>
      <c r="B388" s="467" t="s">
        <v>271</v>
      </c>
      <c r="C388" s="468">
        <v>3571.4</v>
      </c>
      <c r="D388" s="469"/>
      <c r="E388" s="470"/>
      <c r="F388" s="470">
        <v>3571.4</v>
      </c>
      <c r="G388" s="471">
        <v>987.07992040875911</v>
      </c>
      <c r="H388" s="471">
        <v>172.60596924705948</v>
      </c>
      <c r="I388" s="471">
        <v>442.04</v>
      </c>
      <c r="J388" s="471">
        <v>0</v>
      </c>
      <c r="K388" s="471">
        <v>0</v>
      </c>
      <c r="L388" s="471">
        <v>637.87943712877382</v>
      </c>
      <c r="M388" s="572">
        <f t="shared" si="26"/>
        <v>0</v>
      </c>
      <c r="N388" s="471">
        <v>1272.5587281404046</v>
      </c>
      <c r="O388" s="471">
        <v>0</v>
      </c>
      <c r="P388" s="471">
        <v>0</v>
      </c>
      <c r="Q388" s="471">
        <v>947.01764289364974</v>
      </c>
      <c r="R388" s="572">
        <f t="shared" si="27"/>
        <v>4653.1273474679156</v>
      </c>
      <c r="S388" s="471">
        <v>154.60545840911331</v>
      </c>
      <c r="T388" s="471">
        <v>222.44441035159772</v>
      </c>
      <c r="U388" s="471">
        <v>235.33715959181504</v>
      </c>
      <c r="V388" s="471">
        <v>0</v>
      </c>
      <c r="W388" s="471">
        <v>0</v>
      </c>
      <c r="X388" s="471">
        <v>89.759052147660768</v>
      </c>
      <c r="Y388" s="471">
        <v>0</v>
      </c>
      <c r="Z388" s="471">
        <v>1229.3807144728487</v>
      </c>
      <c r="AA388" s="471">
        <v>1478.0282869075193</v>
      </c>
      <c r="AB388" s="471">
        <v>643.84870870848533</v>
      </c>
      <c r="AC388" s="471">
        <v>178.12176310585809</v>
      </c>
      <c r="AD388" s="471">
        <v>21.927868564168136</v>
      </c>
      <c r="AE388" s="471">
        <v>736.22265696955719</v>
      </c>
      <c r="AF388" s="471">
        <v>0</v>
      </c>
      <c r="AG388" s="471">
        <v>676.89528597672893</v>
      </c>
      <c r="AH388" s="685">
        <f t="shared" si="28"/>
        <v>14101.985124515186</v>
      </c>
      <c r="AI388" s="472">
        <f t="shared" si="29"/>
        <v>14778.880410491915</v>
      </c>
      <c r="AJ388" s="472"/>
      <c r="AK388" s="472"/>
      <c r="AL388" s="570">
        <v>103.1</v>
      </c>
      <c r="AM388" s="570">
        <v>4550.0273474679152</v>
      </c>
      <c r="AN388" s="566">
        <v>0</v>
      </c>
      <c r="AO388" s="566">
        <f t="shared" si="30"/>
        <v>4653.1273474679156</v>
      </c>
    </row>
    <row r="389" spans="1:41" x14ac:dyDescent="0.3">
      <c r="A389" s="466">
        <v>150001046</v>
      </c>
      <c r="B389" s="467" t="s">
        <v>272</v>
      </c>
      <c r="C389" s="468">
        <v>2470.9</v>
      </c>
      <c r="D389" s="469"/>
      <c r="E389" s="470">
        <v>210.6</v>
      </c>
      <c r="F389" s="470">
        <v>2681.5</v>
      </c>
      <c r="G389" s="471">
        <v>718.24945248348752</v>
      </c>
      <c r="H389" s="471">
        <v>150.46324291068532</v>
      </c>
      <c r="I389" s="471">
        <v>292.13</v>
      </c>
      <c r="J389" s="471">
        <v>0</v>
      </c>
      <c r="K389" s="471">
        <v>0</v>
      </c>
      <c r="L389" s="471">
        <v>474.94990102941267</v>
      </c>
      <c r="M389" s="572">
        <f t="shared" si="26"/>
        <v>0</v>
      </c>
      <c r="N389" s="471">
        <v>955.47018802388266</v>
      </c>
      <c r="O389" s="471">
        <v>0</v>
      </c>
      <c r="P389" s="471">
        <v>0</v>
      </c>
      <c r="Q389" s="471">
        <v>686.58779109789612</v>
      </c>
      <c r="R389" s="572">
        <f t="shared" si="27"/>
        <v>2537.5529423785902</v>
      </c>
      <c r="S389" s="471">
        <v>113.61151200533625</v>
      </c>
      <c r="T389" s="471">
        <v>193.93659234422933</v>
      </c>
      <c r="U389" s="471">
        <v>149.51401339164624</v>
      </c>
      <c r="V389" s="471">
        <v>0</v>
      </c>
      <c r="W389" s="471">
        <v>0</v>
      </c>
      <c r="X389" s="471">
        <v>65.24767721722371</v>
      </c>
      <c r="Y389" s="471">
        <v>0</v>
      </c>
      <c r="Z389" s="471">
        <v>1663.7635751928005</v>
      </c>
      <c r="AA389" s="471">
        <v>930.44529212190582</v>
      </c>
      <c r="AB389" s="471">
        <v>698.86185662439095</v>
      </c>
      <c r="AC389" s="471">
        <v>57.821554859876045</v>
      </c>
      <c r="AD389" s="471">
        <v>7.1181838369165593</v>
      </c>
      <c r="AE389" s="471">
        <v>400.86699754486489</v>
      </c>
      <c r="AF389" s="471">
        <v>0</v>
      </c>
      <c r="AG389" s="471">
        <v>242.31817855351548</v>
      </c>
      <c r="AH389" s="685">
        <f t="shared" si="28"/>
        <v>10096.590773063144</v>
      </c>
      <c r="AI389" s="472">
        <f t="shared" si="29"/>
        <v>10338.90895161666</v>
      </c>
      <c r="AJ389" s="472"/>
      <c r="AK389" s="472"/>
      <c r="AL389" s="570">
        <v>80.58</v>
      </c>
      <c r="AM389" s="570">
        <v>2456.9729423785902</v>
      </c>
      <c r="AN389" s="566">
        <v>0</v>
      </c>
      <c r="AO389" s="566">
        <f t="shared" si="30"/>
        <v>2537.5529423785902</v>
      </c>
    </row>
    <row r="390" spans="1:41" x14ac:dyDescent="0.3">
      <c r="A390" s="466">
        <v>150001047</v>
      </c>
      <c r="B390" s="467" t="s">
        <v>179</v>
      </c>
      <c r="C390" s="468">
        <v>635.11</v>
      </c>
      <c r="D390" s="469"/>
      <c r="E390" s="470">
        <v>127.7</v>
      </c>
      <c r="F390" s="470">
        <v>762.81000000000006</v>
      </c>
      <c r="G390" s="471">
        <v>207.12198242443901</v>
      </c>
      <c r="H390" s="471">
        <v>35.38419347010673</v>
      </c>
      <c r="I390" s="471">
        <v>94.34</v>
      </c>
      <c r="J390" s="471">
        <v>0</v>
      </c>
      <c r="K390" s="471">
        <v>0</v>
      </c>
      <c r="L390" s="471">
        <v>99.445678402056146</v>
      </c>
      <c r="M390" s="572">
        <f t="shared" ref="M390:M399" si="31">AN390</f>
        <v>0</v>
      </c>
      <c r="N390" s="471">
        <v>271.80392098694688</v>
      </c>
      <c r="O390" s="471">
        <v>0</v>
      </c>
      <c r="P390" s="471">
        <v>0</v>
      </c>
      <c r="Q390" s="471">
        <v>3.9459068453902071</v>
      </c>
      <c r="R390" s="572">
        <f t="shared" ref="R390:R399" si="32">AO390</f>
        <v>822.90178865139058</v>
      </c>
      <c r="S390" s="471">
        <v>41.333857203957649</v>
      </c>
      <c r="T390" s="471">
        <v>45.590155307044348</v>
      </c>
      <c r="U390" s="471">
        <v>41.503107631225085</v>
      </c>
      <c r="V390" s="471">
        <v>0</v>
      </c>
      <c r="W390" s="471">
        <v>0</v>
      </c>
      <c r="X390" s="471">
        <v>7.1905268073434492</v>
      </c>
      <c r="Y390" s="471">
        <v>0</v>
      </c>
      <c r="Z390" s="471">
        <v>366.70200182568448</v>
      </c>
      <c r="AA390" s="471">
        <v>17.168966411816687</v>
      </c>
      <c r="AB390" s="471">
        <v>158.27404169866344</v>
      </c>
      <c r="AC390" s="471">
        <v>0</v>
      </c>
      <c r="AD390" s="471">
        <v>0</v>
      </c>
      <c r="AE390" s="471">
        <v>591.16183684631835</v>
      </c>
      <c r="AF390" s="471">
        <v>0</v>
      </c>
      <c r="AG390" s="471">
        <v>33.646415574148598</v>
      </c>
      <c r="AH390" s="685">
        <f t="shared" ref="AH390:AH399" si="33">SUM(G390:AG390)-AG390</f>
        <v>2803.8679645123834</v>
      </c>
      <c r="AI390" s="472">
        <f t="shared" ref="AI390:AI399" si="34">G390+H390+I390+J390+K390+L390+M390+N390+O390+P390+Q390+R390+S390+T390+U390+V390+W390+X390+Y390+Z390+AA390+AB390+AC390+AD390+AE390+AF390+AG390</f>
        <v>2837.5143800865321</v>
      </c>
      <c r="AJ390" s="472"/>
      <c r="AK390" s="472"/>
      <c r="AL390" s="570">
        <v>8.77</v>
      </c>
      <c r="AM390" s="570">
        <v>814.13178865139059</v>
      </c>
      <c r="AN390" s="566">
        <v>0</v>
      </c>
      <c r="AO390" s="566">
        <f t="shared" ref="AO390:AO399" si="35">AL390+AM390</f>
        <v>822.90178865139058</v>
      </c>
    </row>
    <row r="391" spans="1:41" x14ac:dyDescent="0.3">
      <c r="A391" s="466">
        <v>150001048</v>
      </c>
      <c r="B391" s="467" t="s">
        <v>125</v>
      </c>
      <c r="C391" s="468">
        <v>63</v>
      </c>
      <c r="D391" s="473"/>
      <c r="E391" s="470"/>
      <c r="F391" s="470">
        <v>63</v>
      </c>
      <c r="G391" s="471">
        <v>0</v>
      </c>
      <c r="H391" s="471">
        <v>0</v>
      </c>
      <c r="I391" s="471">
        <v>0</v>
      </c>
      <c r="J391" s="471">
        <v>0</v>
      </c>
      <c r="K391" s="471">
        <v>0</v>
      </c>
      <c r="L391" s="471">
        <v>0</v>
      </c>
      <c r="M391" s="572">
        <f t="shared" si="31"/>
        <v>0</v>
      </c>
      <c r="N391" s="471">
        <v>0</v>
      </c>
      <c r="O391" s="471">
        <v>0</v>
      </c>
      <c r="P391" s="471">
        <v>0</v>
      </c>
      <c r="Q391" s="471">
        <v>23.675441072341243</v>
      </c>
      <c r="R391" s="572">
        <f t="shared" si="32"/>
        <v>94.29080290478197</v>
      </c>
      <c r="S391" s="471">
        <v>0</v>
      </c>
      <c r="T391" s="471">
        <v>0</v>
      </c>
      <c r="U391" s="471">
        <v>0</v>
      </c>
      <c r="V391" s="471">
        <v>0</v>
      </c>
      <c r="W391" s="471">
        <v>0</v>
      </c>
      <c r="X391" s="471">
        <v>0</v>
      </c>
      <c r="Y391" s="471">
        <v>0</v>
      </c>
      <c r="Z391" s="471">
        <v>0</v>
      </c>
      <c r="AA391" s="471">
        <v>0</v>
      </c>
      <c r="AB391" s="471">
        <v>0</v>
      </c>
      <c r="AC391" s="471">
        <v>0</v>
      </c>
      <c r="AD391" s="471">
        <v>0</v>
      </c>
      <c r="AE391" s="471">
        <v>0</v>
      </c>
      <c r="AF391" s="471">
        <v>0</v>
      </c>
      <c r="AG391" s="471">
        <v>0</v>
      </c>
      <c r="AH391" s="685">
        <f t="shared" si="33"/>
        <v>117.96624397712321</v>
      </c>
      <c r="AI391" s="472">
        <f t="shared" si="34"/>
        <v>117.96624397712321</v>
      </c>
      <c r="AJ391" s="472"/>
      <c r="AK391" s="472"/>
      <c r="AL391" s="570">
        <v>46.92</v>
      </c>
      <c r="AM391" s="570">
        <v>47.370802904781968</v>
      </c>
      <c r="AN391" s="566">
        <v>0</v>
      </c>
      <c r="AO391" s="566">
        <f t="shared" si="35"/>
        <v>94.29080290478197</v>
      </c>
    </row>
    <row r="392" spans="1:41" x14ac:dyDescent="0.3">
      <c r="A392" s="466">
        <v>150001049</v>
      </c>
      <c r="B392" s="467" t="s">
        <v>180</v>
      </c>
      <c r="C392" s="468">
        <v>253.7</v>
      </c>
      <c r="D392" s="469"/>
      <c r="E392" s="470"/>
      <c r="F392" s="470">
        <v>253.7</v>
      </c>
      <c r="G392" s="471">
        <v>58.189639346177863</v>
      </c>
      <c r="H392" s="471">
        <v>19.35650916283905</v>
      </c>
      <c r="I392" s="471">
        <v>0</v>
      </c>
      <c r="J392" s="471">
        <v>0</v>
      </c>
      <c r="K392" s="471">
        <v>0</v>
      </c>
      <c r="L392" s="471">
        <v>31.297155522562498</v>
      </c>
      <c r="M392" s="572">
        <f t="shared" si="31"/>
        <v>0</v>
      </c>
      <c r="N392" s="471">
        <v>90.39820499782175</v>
      </c>
      <c r="O392" s="471">
        <v>0</v>
      </c>
      <c r="P392" s="471">
        <v>0</v>
      </c>
      <c r="Q392" s="471">
        <v>31.567254763121657</v>
      </c>
      <c r="R392" s="572">
        <f t="shared" si="32"/>
        <v>300.18270682334878</v>
      </c>
      <c r="S392" s="471">
        <v>21.473773541493699</v>
      </c>
      <c r="T392" s="471">
        <v>24.93401212631219</v>
      </c>
      <c r="U392" s="471">
        <v>0</v>
      </c>
      <c r="V392" s="471">
        <v>0</v>
      </c>
      <c r="W392" s="471">
        <v>0</v>
      </c>
      <c r="X392" s="471">
        <v>4.9307038508416863</v>
      </c>
      <c r="Y392" s="471">
        <v>0</v>
      </c>
      <c r="Z392" s="471">
        <v>227.6270952676571</v>
      </c>
      <c r="AA392" s="471">
        <v>183.20193192555669</v>
      </c>
      <c r="AB392" s="471">
        <v>126.86258317615108</v>
      </c>
      <c r="AC392" s="471">
        <v>0</v>
      </c>
      <c r="AD392" s="471">
        <v>0</v>
      </c>
      <c r="AE392" s="471">
        <v>90.46803835642865</v>
      </c>
      <c r="AF392" s="471">
        <v>0</v>
      </c>
      <c r="AG392" s="471">
        <v>0</v>
      </c>
      <c r="AH392" s="685">
        <f t="shared" si="33"/>
        <v>1210.4896088603127</v>
      </c>
      <c r="AI392" s="472">
        <f t="shared" si="34"/>
        <v>1210.4896088603127</v>
      </c>
      <c r="AJ392" s="472"/>
      <c r="AK392" s="472"/>
      <c r="AL392" s="570">
        <v>25.61</v>
      </c>
      <c r="AM392" s="570">
        <v>274.57270682334877</v>
      </c>
      <c r="AN392" s="566">
        <v>0</v>
      </c>
      <c r="AO392" s="566">
        <f t="shared" si="35"/>
        <v>300.18270682334878</v>
      </c>
    </row>
    <row r="393" spans="1:41" x14ac:dyDescent="0.3">
      <c r="A393" s="466">
        <v>150001050</v>
      </c>
      <c r="B393" s="467" t="s">
        <v>270</v>
      </c>
      <c r="C393" s="468">
        <v>3564.3</v>
      </c>
      <c r="D393" s="469"/>
      <c r="E393" s="470"/>
      <c r="F393" s="470">
        <v>3564.3</v>
      </c>
      <c r="G393" s="471">
        <v>1017.3905576336454</v>
      </c>
      <c r="H393" s="471">
        <v>172.60596924705948</v>
      </c>
      <c r="I393" s="471">
        <v>403.33</v>
      </c>
      <c r="J393" s="471">
        <v>0</v>
      </c>
      <c r="K393" s="471">
        <v>0</v>
      </c>
      <c r="L393" s="471">
        <v>637.87943712877382</v>
      </c>
      <c r="M393" s="572">
        <f t="shared" si="31"/>
        <v>0</v>
      </c>
      <c r="N393" s="471">
        <v>1270.0288611499254</v>
      </c>
      <c r="O393" s="471">
        <v>0</v>
      </c>
      <c r="P393" s="471">
        <v>0</v>
      </c>
      <c r="Q393" s="471">
        <v>947.01764289364974</v>
      </c>
      <c r="R393" s="572">
        <f t="shared" si="32"/>
        <v>4580.9849253229668</v>
      </c>
      <c r="S393" s="471">
        <v>161.73768957262746</v>
      </c>
      <c r="T393" s="471">
        <v>222.44441035159772</v>
      </c>
      <c r="U393" s="471">
        <v>215.83782813009054</v>
      </c>
      <c r="V393" s="471">
        <v>0</v>
      </c>
      <c r="W393" s="471">
        <v>0</v>
      </c>
      <c r="X393" s="471">
        <v>89.759052147660768</v>
      </c>
      <c r="Y393" s="471">
        <v>0</v>
      </c>
      <c r="Z393" s="471">
        <v>1512.2177809960685</v>
      </c>
      <c r="AA393" s="471">
        <v>1256.1557803229839</v>
      </c>
      <c r="AB393" s="471">
        <v>686.08008766612329</v>
      </c>
      <c r="AC393" s="471">
        <v>174.88630518237201</v>
      </c>
      <c r="AD393" s="471">
        <v>21.529564084951097</v>
      </c>
      <c r="AE393" s="471">
        <v>138.82164506417499</v>
      </c>
      <c r="AF393" s="471">
        <v>0</v>
      </c>
      <c r="AG393" s="471">
        <v>810.52245221368037</v>
      </c>
      <c r="AH393" s="685">
        <f t="shared" si="33"/>
        <v>13508.707536894672</v>
      </c>
      <c r="AI393" s="472">
        <f t="shared" si="34"/>
        <v>14319.229989108351</v>
      </c>
      <c r="AJ393" s="472"/>
      <c r="AK393" s="472"/>
      <c r="AL393" s="570">
        <v>98.24</v>
      </c>
      <c r="AM393" s="570">
        <v>4482.744925322967</v>
      </c>
      <c r="AN393" s="566">
        <v>0</v>
      </c>
      <c r="AO393" s="566">
        <f t="shared" si="35"/>
        <v>4580.9849253229668</v>
      </c>
    </row>
    <row r="394" spans="1:41" x14ac:dyDescent="0.3">
      <c r="A394" s="466">
        <v>150001053</v>
      </c>
      <c r="B394" s="467" t="s">
        <v>146</v>
      </c>
      <c r="C394" s="468">
        <v>372.8</v>
      </c>
      <c r="D394" s="469"/>
      <c r="E394" s="470"/>
      <c r="F394" s="470">
        <v>372.8</v>
      </c>
      <c r="G394" s="471">
        <v>175.59690591549199</v>
      </c>
      <c r="H394" s="471">
        <v>28.554200343465709</v>
      </c>
      <c r="I394" s="471">
        <v>55.39</v>
      </c>
      <c r="J394" s="471">
        <v>0</v>
      </c>
      <c r="K394" s="471">
        <v>0</v>
      </c>
      <c r="L394" s="471">
        <v>37.140565644285786</v>
      </c>
      <c r="M394" s="572">
        <f t="shared" si="31"/>
        <v>0</v>
      </c>
      <c r="N394" s="471">
        <v>132.83583296487171</v>
      </c>
      <c r="O394" s="471">
        <v>0</v>
      </c>
      <c r="P394" s="471">
        <v>0</v>
      </c>
      <c r="Q394" s="471">
        <v>126.26901905248663</v>
      </c>
      <c r="R394" s="572">
        <f t="shared" si="32"/>
        <v>535.92984976059154</v>
      </c>
      <c r="S394" s="471">
        <v>32.823724337884556</v>
      </c>
      <c r="T394" s="471">
        <v>36.825609196911458</v>
      </c>
      <c r="U394" s="471">
        <v>21.772469150283939</v>
      </c>
      <c r="V394" s="471">
        <v>0</v>
      </c>
      <c r="W394" s="471">
        <v>0</v>
      </c>
      <c r="X394" s="471">
        <v>13.172784579641229</v>
      </c>
      <c r="Y394" s="471">
        <v>0</v>
      </c>
      <c r="Z394" s="471">
        <v>342.46658067025498</v>
      </c>
      <c r="AA394" s="471">
        <v>177.44390483294089</v>
      </c>
      <c r="AB394" s="471">
        <v>54.759492131233898</v>
      </c>
      <c r="AC394" s="471">
        <v>0</v>
      </c>
      <c r="AD394" s="471">
        <v>0</v>
      </c>
      <c r="AE394" s="471">
        <v>0</v>
      </c>
      <c r="AF394" s="471">
        <v>0</v>
      </c>
      <c r="AG394" s="471">
        <v>0</v>
      </c>
      <c r="AH394" s="685">
        <f t="shared" si="33"/>
        <v>1770.9809385803446</v>
      </c>
      <c r="AI394" s="472">
        <f t="shared" si="34"/>
        <v>1770.9809385803446</v>
      </c>
      <c r="AJ394" s="472"/>
      <c r="AK394" s="472"/>
      <c r="AL394" s="570">
        <v>25.61</v>
      </c>
      <c r="AM394" s="570">
        <v>510.31984976059152</v>
      </c>
      <c r="AN394" s="566">
        <v>0</v>
      </c>
      <c r="AO394" s="566">
        <f t="shared" si="35"/>
        <v>535.92984976059154</v>
      </c>
    </row>
    <row r="395" spans="1:41" x14ac:dyDescent="0.3">
      <c r="A395" s="466">
        <v>150001054</v>
      </c>
      <c r="B395" s="467" t="s">
        <v>85</v>
      </c>
      <c r="C395" s="468">
        <v>195.6</v>
      </c>
      <c r="D395" s="473"/>
      <c r="E395" s="470"/>
      <c r="F395" s="470">
        <v>195.6</v>
      </c>
      <c r="G395" s="471">
        <v>0</v>
      </c>
      <c r="H395" s="471">
        <v>0</v>
      </c>
      <c r="I395" s="471">
        <v>0</v>
      </c>
      <c r="J395" s="471">
        <v>0</v>
      </c>
      <c r="K395" s="471">
        <v>0</v>
      </c>
      <c r="L395" s="471">
        <v>0</v>
      </c>
      <c r="M395" s="572">
        <f t="shared" si="31"/>
        <v>0</v>
      </c>
      <c r="N395" s="471">
        <v>0</v>
      </c>
      <c r="O395" s="471">
        <v>0</v>
      </c>
      <c r="P395" s="471">
        <v>0</v>
      </c>
      <c r="Q395" s="471">
        <v>23.675441072341243</v>
      </c>
      <c r="R395" s="572">
        <f t="shared" si="32"/>
        <v>189.01559862230641</v>
      </c>
      <c r="S395" s="471">
        <v>0</v>
      </c>
      <c r="T395" s="471">
        <v>0</v>
      </c>
      <c r="U395" s="471">
        <v>0</v>
      </c>
      <c r="V395" s="471">
        <v>0</v>
      </c>
      <c r="W395" s="471">
        <v>0</v>
      </c>
      <c r="X395" s="471">
        <v>0</v>
      </c>
      <c r="Y395" s="471">
        <v>0</v>
      </c>
      <c r="Z395" s="471">
        <v>17.945258065648133</v>
      </c>
      <c r="AA395" s="471">
        <v>0</v>
      </c>
      <c r="AB395" s="471">
        <v>0</v>
      </c>
      <c r="AC395" s="471">
        <v>0</v>
      </c>
      <c r="AD395" s="471">
        <v>0</v>
      </c>
      <c r="AE395" s="471">
        <v>0</v>
      </c>
      <c r="AF395" s="471">
        <v>0</v>
      </c>
      <c r="AG395" s="471">
        <v>6.9190889328088749</v>
      </c>
      <c r="AH395" s="685">
        <f t="shared" si="33"/>
        <v>230.6362977602958</v>
      </c>
      <c r="AI395" s="472">
        <f t="shared" si="34"/>
        <v>237.55538669310468</v>
      </c>
      <c r="AJ395" s="472"/>
      <c r="AK395" s="472"/>
      <c r="AL395" s="570">
        <v>25.61</v>
      </c>
      <c r="AM395" s="570">
        <v>163.4055986223064</v>
      </c>
      <c r="AN395" s="566">
        <v>0</v>
      </c>
      <c r="AO395" s="566">
        <f t="shared" si="35"/>
        <v>189.01559862230641</v>
      </c>
    </row>
    <row r="396" spans="1:41" x14ac:dyDescent="0.3">
      <c r="A396" s="466">
        <v>150001071</v>
      </c>
      <c r="B396" s="467" t="s">
        <v>167</v>
      </c>
      <c r="C396" s="468">
        <v>373.83</v>
      </c>
      <c r="D396" s="469"/>
      <c r="E396" s="470">
        <v>0</v>
      </c>
      <c r="F396" s="470">
        <v>373.83</v>
      </c>
      <c r="G396" s="471">
        <v>148.1414241841062</v>
      </c>
      <c r="H396" s="471">
        <v>24.041567306226469</v>
      </c>
      <c r="I396" s="471">
        <v>55.32</v>
      </c>
      <c r="J396" s="471">
        <v>0</v>
      </c>
      <c r="K396" s="471">
        <v>0</v>
      </c>
      <c r="L396" s="471">
        <v>105.02902993287123</v>
      </c>
      <c r="M396" s="572">
        <f t="shared" si="31"/>
        <v>0</v>
      </c>
      <c r="N396" s="471">
        <v>133.20284183813837</v>
      </c>
      <c r="O396" s="471">
        <v>0</v>
      </c>
      <c r="P396" s="471">
        <v>0</v>
      </c>
      <c r="Q396" s="471">
        <v>7.8918136907804142</v>
      </c>
      <c r="R396" s="572">
        <f t="shared" si="32"/>
        <v>419.54411988521503</v>
      </c>
      <c r="S396" s="471">
        <v>25.610095370880416</v>
      </c>
      <c r="T396" s="471">
        <v>30.98421477109823</v>
      </c>
      <c r="U396" s="471">
        <v>17.716009375300594</v>
      </c>
      <c r="V396" s="471">
        <v>0</v>
      </c>
      <c r="W396" s="471">
        <v>0</v>
      </c>
      <c r="X396" s="471">
        <v>19.210932315163561</v>
      </c>
      <c r="Y396" s="471">
        <v>9.0599066072151508</v>
      </c>
      <c r="Z396" s="471">
        <v>0</v>
      </c>
      <c r="AA396" s="471">
        <v>17.244727768120139</v>
      </c>
      <c r="AB396" s="471">
        <v>0</v>
      </c>
      <c r="AC396" s="471">
        <v>7.3533134624683392</v>
      </c>
      <c r="AD396" s="471">
        <v>0.90523745276598877</v>
      </c>
      <c r="AE396" s="471">
        <v>107.62576976885478</v>
      </c>
      <c r="AF396" s="471">
        <v>0</v>
      </c>
      <c r="AG396" s="471">
        <v>20.319858067125686</v>
      </c>
      <c r="AH396" s="685">
        <f t="shared" si="33"/>
        <v>1128.8810037292048</v>
      </c>
      <c r="AI396" s="472">
        <f t="shared" si="34"/>
        <v>1149.2008617963306</v>
      </c>
      <c r="AJ396" s="472"/>
      <c r="AK396" s="472"/>
      <c r="AL396" s="570">
        <v>65.069999999999993</v>
      </c>
      <c r="AM396" s="570">
        <v>354.47411988521503</v>
      </c>
      <c r="AN396" s="566">
        <v>0</v>
      </c>
      <c r="AO396" s="566">
        <f t="shared" si="35"/>
        <v>419.54411988521503</v>
      </c>
    </row>
    <row r="397" spans="1:41" x14ac:dyDescent="0.3">
      <c r="A397" s="466">
        <v>150001094</v>
      </c>
      <c r="B397" s="467" t="s">
        <v>185</v>
      </c>
      <c r="C397" s="468">
        <v>304.89999999999998</v>
      </c>
      <c r="D397" s="469"/>
      <c r="E397" s="470"/>
      <c r="F397" s="470">
        <v>304.89999999999998</v>
      </c>
      <c r="G397" s="471">
        <v>0</v>
      </c>
      <c r="H397" s="471">
        <v>0</v>
      </c>
      <c r="I397" s="471">
        <v>0</v>
      </c>
      <c r="J397" s="471">
        <v>0</v>
      </c>
      <c r="K397" s="471">
        <v>0</v>
      </c>
      <c r="L397" s="471">
        <v>41.392641174184256</v>
      </c>
      <c r="M397" s="572">
        <f t="shared" si="31"/>
        <v>0</v>
      </c>
      <c r="N397" s="471">
        <v>108.64175287282559</v>
      </c>
      <c r="O397" s="471">
        <v>0</v>
      </c>
      <c r="P397" s="471">
        <v>0</v>
      </c>
      <c r="Q397" s="471">
        <v>0</v>
      </c>
      <c r="R397" s="572">
        <f t="shared" si="32"/>
        <v>423.4051535529976</v>
      </c>
      <c r="S397" s="471">
        <v>0</v>
      </c>
      <c r="T397" s="471">
        <v>0</v>
      </c>
      <c r="U397" s="471">
        <v>0</v>
      </c>
      <c r="V397" s="471">
        <v>0</v>
      </c>
      <c r="W397" s="471">
        <v>0</v>
      </c>
      <c r="X397" s="471">
        <v>11.529254215465631</v>
      </c>
      <c r="Y397" s="471">
        <v>0</v>
      </c>
      <c r="Z397" s="471">
        <v>0</v>
      </c>
      <c r="AA397" s="471">
        <v>19.48149162088886</v>
      </c>
      <c r="AB397" s="471">
        <v>0</v>
      </c>
      <c r="AC397" s="471">
        <v>0</v>
      </c>
      <c r="AD397" s="471">
        <v>0</v>
      </c>
      <c r="AE397" s="471">
        <v>7.798968823830057</v>
      </c>
      <c r="AF397" s="471">
        <v>0</v>
      </c>
      <c r="AG397" s="471">
        <v>18.367477867805757</v>
      </c>
      <c r="AH397" s="685">
        <f t="shared" si="33"/>
        <v>612.24926226019193</v>
      </c>
      <c r="AI397" s="472">
        <f t="shared" si="34"/>
        <v>630.61674012799767</v>
      </c>
      <c r="AJ397" s="472"/>
      <c r="AK397" s="472"/>
      <c r="AL397" s="570">
        <v>15.58</v>
      </c>
      <c r="AM397" s="570">
        <v>407.82515355299762</v>
      </c>
      <c r="AN397" s="566">
        <v>0</v>
      </c>
      <c r="AO397" s="566">
        <f t="shared" si="35"/>
        <v>423.4051535529976</v>
      </c>
    </row>
    <row r="398" spans="1:41" x14ac:dyDescent="0.3">
      <c r="A398" s="466">
        <v>150001561</v>
      </c>
      <c r="B398" s="467" t="s">
        <v>399</v>
      </c>
      <c r="C398" s="468">
        <v>3516.6</v>
      </c>
      <c r="D398" s="469">
        <v>191</v>
      </c>
      <c r="E398" s="470">
        <v>0</v>
      </c>
      <c r="F398" s="470">
        <v>3516.6</v>
      </c>
      <c r="G398" s="471">
        <v>1630.8262584901447</v>
      </c>
      <c r="H398" s="471">
        <v>258.39159686149475</v>
      </c>
      <c r="I398" s="471">
        <v>0</v>
      </c>
      <c r="J398" s="471">
        <v>0</v>
      </c>
      <c r="K398" s="471">
        <v>22.16131922134921</v>
      </c>
      <c r="L398" s="471">
        <v>601.50128046919724</v>
      </c>
      <c r="M398" s="572">
        <f t="shared" si="31"/>
        <v>0</v>
      </c>
      <c r="N398" s="471">
        <v>1253.0324308054394</v>
      </c>
      <c r="O398" s="471">
        <v>938.55019102777715</v>
      </c>
      <c r="P398" s="471">
        <v>139.26730042553675</v>
      </c>
      <c r="Q398" s="471">
        <v>390.64477769363054</v>
      </c>
      <c r="R398" s="572">
        <f t="shared" si="32"/>
        <v>3326.7112285679245</v>
      </c>
      <c r="S398" s="471">
        <v>128.3769876237462</v>
      </c>
      <c r="T398" s="471">
        <v>166.5261630315251</v>
      </c>
      <c r="U398" s="471">
        <v>0</v>
      </c>
      <c r="V398" s="471">
        <v>0</v>
      </c>
      <c r="W398" s="471">
        <v>11.245034186051155</v>
      </c>
      <c r="X398" s="471">
        <v>38.684483054308551</v>
      </c>
      <c r="Y398" s="471">
        <v>0</v>
      </c>
      <c r="Z398" s="471">
        <v>1582.4822890942385</v>
      </c>
      <c r="AA398" s="471">
        <v>2580.8825248602498</v>
      </c>
      <c r="AB398" s="471">
        <v>1141.1905311543567</v>
      </c>
      <c r="AC398" s="471">
        <v>8.3582663023390129</v>
      </c>
      <c r="AD398" s="471">
        <v>1.0289532379773405</v>
      </c>
      <c r="AE398" s="471">
        <v>221.49071459677359</v>
      </c>
      <c r="AF398" s="471">
        <v>639.51544355406463</v>
      </c>
      <c r="AG398" s="471">
        <v>271.4556199366462</v>
      </c>
      <c r="AH398" s="685">
        <f t="shared" si="33"/>
        <v>15080.867774258122</v>
      </c>
      <c r="AI398" s="472">
        <f t="shared" si="34"/>
        <v>15352.323394194769</v>
      </c>
      <c r="AJ398" s="472"/>
      <c r="AK398" s="472"/>
      <c r="AL398" s="570">
        <v>65.69</v>
      </c>
      <c r="AM398" s="570">
        <v>3261.0212285679245</v>
      </c>
      <c r="AN398" s="566">
        <v>0</v>
      </c>
      <c r="AO398" s="566">
        <f t="shared" si="35"/>
        <v>3326.7112285679245</v>
      </c>
    </row>
    <row r="399" spans="1:41" x14ac:dyDescent="0.3">
      <c r="A399" s="466">
        <v>150001562</v>
      </c>
      <c r="B399" s="467" t="s">
        <v>208</v>
      </c>
      <c r="C399" s="468">
        <v>2425.9</v>
      </c>
      <c r="D399" s="469"/>
      <c r="E399" s="470">
        <v>0</v>
      </c>
      <c r="F399" s="470">
        <v>2425.9</v>
      </c>
      <c r="G399" s="471">
        <v>756.78082022635908</v>
      </c>
      <c r="H399" s="471">
        <v>78.5109660981541</v>
      </c>
      <c r="I399" s="471">
        <v>0</v>
      </c>
      <c r="J399" s="471">
        <v>0</v>
      </c>
      <c r="K399" s="471">
        <v>0</v>
      </c>
      <c r="L399" s="471">
        <v>205.59158511054952</v>
      </c>
      <c r="M399" s="572">
        <f t="shared" si="31"/>
        <v>0</v>
      </c>
      <c r="N399" s="471">
        <v>864.39497636663702</v>
      </c>
      <c r="O399" s="471">
        <v>0</v>
      </c>
      <c r="P399" s="471">
        <v>0</v>
      </c>
      <c r="Q399" s="471">
        <v>82.864043753194352</v>
      </c>
      <c r="R399" s="572">
        <f t="shared" si="32"/>
        <v>4066.944644795873</v>
      </c>
      <c r="S399" s="471">
        <v>139.14317160682816</v>
      </c>
      <c r="T399" s="471">
        <v>101.16848586476439</v>
      </c>
      <c r="U399" s="471">
        <v>0</v>
      </c>
      <c r="V399" s="471">
        <v>0</v>
      </c>
      <c r="W399" s="471">
        <v>0</v>
      </c>
      <c r="X399" s="471">
        <v>60.580332383952396</v>
      </c>
      <c r="Y399" s="471">
        <v>0</v>
      </c>
      <c r="Z399" s="471">
        <v>1593.0365657492971</v>
      </c>
      <c r="AA399" s="471">
        <v>816.56724672011012</v>
      </c>
      <c r="AB399" s="471">
        <v>889.39745976734923</v>
      </c>
      <c r="AC399" s="471">
        <v>7.3778245073432345</v>
      </c>
      <c r="AD399" s="471">
        <v>0.90825491094187549</v>
      </c>
      <c r="AE399" s="471">
        <v>644.1948248483626</v>
      </c>
      <c r="AF399" s="471">
        <v>0</v>
      </c>
      <c r="AG399" s="471">
        <v>185.53430164877486</v>
      </c>
      <c r="AH399" s="685">
        <f t="shared" si="33"/>
        <v>10307.461202709716</v>
      </c>
      <c r="AI399" s="472">
        <f t="shared" si="34"/>
        <v>10492.995504358491</v>
      </c>
      <c r="AJ399" s="472"/>
      <c r="AK399" s="472"/>
      <c r="AL399" s="570">
        <v>24.19</v>
      </c>
      <c r="AM399" s="570">
        <v>4042.754644795873</v>
      </c>
      <c r="AN399" s="566">
        <v>0</v>
      </c>
      <c r="AO399" s="566">
        <f t="shared" si="35"/>
        <v>4066.944644795873</v>
      </c>
    </row>
    <row r="400" spans="1:41" x14ac:dyDescent="0.3">
      <c r="A400" s="474"/>
      <c r="B400" s="475"/>
      <c r="C400" s="476">
        <f t="shared" ref="C400:AH400" si="36">SUM(C5:C399)</f>
        <v>964778.39</v>
      </c>
      <c r="D400" s="476">
        <f t="shared" si="36"/>
        <v>52630.140000000007</v>
      </c>
      <c r="E400" s="476">
        <f t="shared" si="36"/>
        <v>50250.139999999992</v>
      </c>
      <c r="F400" s="476">
        <f t="shared" si="36"/>
        <v>1014475.6299999997</v>
      </c>
      <c r="G400" s="477">
        <f t="shared" si="36"/>
        <v>266018.59386543749</v>
      </c>
      <c r="H400" s="477">
        <f t="shared" si="36"/>
        <v>49900.785871810935</v>
      </c>
      <c r="I400" s="477">
        <f t="shared" si="36"/>
        <v>115231.59999999995</v>
      </c>
      <c r="J400" s="477">
        <f t="shared" si="36"/>
        <v>15747.63</v>
      </c>
      <c r="K400" s="477">
        <f t="shared" si="36"/>
        <v>13259.600033208082</v>
      </c>
      <c r="L400" s="477">
        <f t="shared" si="36"/>
        <v>175948.32096084414</v>
      </c>
      <c r="M400" s="574">
        <f t="shared" si="36"/>
        <v>0</v>
      </c>
      <c r="N400" s="477">
        <f t="shared" si="36"/>
        <v>353456.21545499988</v>
      </c>
      <c r="O400" s="477">
        <f t="shared" si="36"/>
        <v>433516.7566083236</v>
      </c>
      <c r="P400" s="477">
        <f t="shared" si="36"/>
        <v>6321.4207560033492</v>
      </c>
      <c r="Q400" s="477">
        <f t="shared" si="36"/>
        <v>127646.14054152781</v>
      </c>
      <c r="R400" s="574">
        <f t="shared" si="36"/>
        <v>1259253.1654243264</v>
      </c>
      <c r="S400" s="477">
        <f t="shared" si="36"/>
        <v>32039.261830197276</v>
      </c>
      <c r="T400" s="477">
        <f t="shared" si="36"/>
        <v>46416.732983447531</v>
      </c>
      <c r="U400" s="477">
        <f t="shared" si="36"/>
        <v>40461.088950519908</v>
      </c>
      <c r="V400" s="477">
        <f t="shared" si="36"/>
        <v>8400.399645326479</v>
      </c>
      <c r="W400" s="477">
        <f t="shared" si="36"/>
        <v>7303.1021113181869</v>
      </c>
      <c r="X400" s="477">
        <f t="shared" si="36"/>
        <v>21474.005869733857</v>
      </c>
      <c r="Y400" s="477">
        <f t="shared" si="36"/>
        <v>3867.7544070952185</v>
      </c>
      <c r="Z400" s="477">
        <f t="shared" si="36"/>
        <v>957440.05647872132</v>
      </c>
      <c r="AA400" s="477">
        <f t="shared" si="36"/>
        <v>623336.2386100837</v>
      </c>
      <c r="AB400" s="477">
        <f t="shared" si="36"/>
        <v>205777.32805190506</v>
      </c>
      <c r="AC400" s="477">
        <f t="shared" si="36"/>
        <v>27513.451783710028</v>
      </c>
      <c r="AD400" s="477">
        <f t="shared" si="36"/>
        <v>3387.0726627673357</v>
      </c>
      <c r="AE400" s="477">
        <f t="shared" si="36"/>
        <v>178424.49694881035</v>
      </c>
      <c r="AF400" s="477">
        <f t="shared" si="36"/>
        <v>97370.905662400604</v>
      </c>
      <c r="AG400" s="477">
        <f t="shared" si="36"/>
        <v>135161.79737580204</v>
      </c>
      <c r="AH400" s="103">
        <f t="shared" si="36"/>
        <v>5069512.125512518</v>
      </c>
      <c r="AI400" s="722">
        <f>AG400+AH400</f>
        <v>5204673.9228883199</v>
      </c>
      <c r="AJ400" s="472"/>
      <c r="AK400" s="472"/>
      <c r="AL400" s="571">
        <f>SUM(AL5:AL399)</f>
        <v>25731.260999999984</v>
      </c>
      <c r="AM400" s="571">
        <f>SUM(AM5:AM399)</f>
        <v>1233521.9044243249</v>
      </c>
      <c r="AN400" s="567"/>
      <c r="AO400" s="567">
        <f>SUM(AO5:AO399)</f>
        <v>1259253.1654243264</v>
      </c>
    </row>
    <row r="401" spans="1:40" s="190" customFormat="1" ht="13.2" x14ac:dyDescent="0.3">
      <c r="A401" s="459"/>
      <c r="C401" s="478"/>
      <c r="D401" s="478"/>
      <c r="E401" s="478"/>
      <c r="F401" s="478"/>
      <c r="G401" s="479"/>
      <c r="H401" s="479"/>
      <c r="I401" s="479"/>
      <c r="J401" s="479"/>
      <c r="K401" s="479"/>
      <c r="L401" s="479"/>
      <c r="M401" s="479"/>
      <c r="N401" s="479"/>
      <c r="O401" s="479"/>
      <c r="P401" s="479"/>
      <c r="Q401" s="479"/>
      <c r="R401" s="479"/>
      <c r="S401" s="479"/>
      <c r="T401" s="479"/>
      <c r="U401" s="479"/>
      <c r="V401" s="479"/>
      <c r="W401" s="479"/>
      <c r="X401" s="479"/>
      <c r="Y401" s="479"/>
      <c r="Z401" s="479"/>
      <c r="AA401" s="479"/>
      <c r="AB401" s="479"/>
      <c r="AC401" s="479"/>
      <c r="AD401" s="479"/>
      <c r="AE401" s="479"/>
      <c r="AF401" s="479"/>
      <c r="AG401" s="479"/>
      <c r="AL401" s="479"/>
      <c r="AM401" s="479"/>
      <c r="AN401" s="479"/>
    </row>
    <row r="402" spans="1:40" x14ac:dyDescent="0.3">
      <c r="B402" s="461"/>
      <c r="AG402" s="472">
        <f>SUM(G400:AG400)</f>
        <v>5204673.9228883199</v>
      </c>
    </row>
    <row r="403" spans="1:40" x14ac:dyDescent="0.3">
      <c r="AH403" s="472">
        <v>5204673.92</v>
      </c>
      <c r="AI403" s="461">
        <f>AI400*1.2</f>
        <v>6245608.7074659839</v>
      </c>
    </row>
  </sheetData>
  <autoFilter ref="A4:AK400" xr:uid="{00000000-0009-0000-0000-00000F000000}"/>
  <sortState xmlns:xlrd2="http://schemas.microsoft.com/office/spreadsheetml/2017/richdata2" ref="A5:AG399">
    <sortCondition ref="A5:A399"/>
  </sortState>
  <mergeCells count="2">
    <mergeCell ref="AL3:AM3"/>
    <mergeCell ref="AN3:AO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1:Z455"/>
  <sheetViews>
    <sheetView topLeftCell="A375" workbookViewId="0">
      <selection activeCell="M409" sqref="M409"/>
    </sheetView>
  </sheetViews>
  <sheetFormatPr defaultColWidth="9.109375" defaultRowHeight="14.4" x14ac:dyDescent="0.3"/>
  <cols>
    <col min="1" max="1" width="10.88671875" style="12" customWidth="1"/>
    <col min="2" max="2" width="36.109375" style="11" customWidth="1"/>
    <col min="3" max="3" width="12.109375" style="12" bestFit="1" customWidth="1"/>
    <col min="4" max="4" width="11.5546875" style="12" customWidth="1"/>
    <col min="5" max="5" width="12.44140625" style="12" customWidth="1"/>
    <col min="6" max="6" width="13.88671875" style="12" customWidth="1"/>
    <col min="7" max="7" width="11.33203125" style="12" customWidth="1"/>
    <col min="8" max="8" width="10.88671875" style="11" customWidth="1"/>
    <col min="9" max="9" width="11.33203125" style="12" customWidth="1"/>
    <col min="10" max="10" width="10.88671875" style="11" customWidth="1"/>
    <col min="11" max="11" width="11.33203125" style="12" customWidth="1"/>
    <col min="12" max="12" width="10.88671875" style="11" customWidth="1"/>
    <col min="13" max="13" width="14.109375" style="543" customWidth="1"/>
    <col min="14" max="14" width="13" style="547" customWidth="1"/>
    <col min="15" max="15" width="12.5546875" style="539" customWidth="1"/>
    <col min="16" max="16" width="11.109375" style="539" customWidth="1"/>
    <col min="17" max="17" width="12.6640625" style="539" customWidth="1"/>
    <col min="18" max="18" width="11.44140625" style="539" customWidth="1"/>
    <col min="19" max="19" width="13.109375" style="539" customWidth="1"/>
    <col min="20" max="20" width="12.5546875" style="539" customWidth="1"/>
    <col min="21" max="21" width="12.88671875" style="539" customWidth="1"/>
    <col min="22" max="22" width="15.109375" style="545" customWidth="1"/>
    <col min="23" max="24" width="9.109375" style="11"/>
    <col min="25" max="25" width="17.6640625" style="11" customWidth="1"/>
    <col min="26" max="26" width="15" style="517" customWidth="1"/>
    <col min="27" max="16384" width="9.109375" style="11"/>
  </cols>
  <sheetData>
    <row r="1" spans="1:26" ht="43.5" customHeight="1" x14ac:dyDescent="0.3">
      <c r="A1" s="11"/>
      <c r="B1" s="516" t="s">
        <v>1566</v>
      </c>
      <c r="C1" s="518" t="s">
        <v>1567</v>
      </c>
      <c r="D1" s="518" t="s">
        <v>1568</v>
      </c>
      <c r="E1" s="518" t="s">
        <v>1569</v>
      </c>
      <c r="F1" s="518" t="s">
        <v>1570</v>
      </c>
      <c r="G1" s="1434" t="s">
        <v>1571</v>
      </c>
      <c r="H1" s="1435"/>
      <c r="I1" s="1434" t="s">
        <v>1572</v>
      </c>
      <c r="J1" s="1435"/>
      <c r="K1" s="1434" t="s">
        <v>1573</v>
      </c>
      <c r="L1" s="1435"/>
      <c r="M1" s="1436" t="s">
        <v>1574</v>
      </c>
      <c r="N1" s="1438" t="s">
        <v>1575</v>
      </c>
      <c r="O1" s="1439" t="s">
        <v>1576</v>
      </c>
      <c r="P1" s="1438"/>
      <c r="Q1" s="1438"/>
      <c r="R1" s="1438"/>
      <c r="S1" s="1438"/>
      <c r="T1" s="1438"/>
      <c r="U1" s="1438"/>
      <c r="V1" s="1438"/>
    </row>
    <row r="2" spans="1:26" ht="39.6" x14ac:dyDescent="0.3">
      <c r="A2" s="491" t="s">
        <v>1125</v>
      </c>
      <c r="B2" s="516" t="s">
        <v>1577</v>
      </c>
      <c r="C2" s="508" t="s">
        <v>951</v>
      </c>
      <c r="D2" s="508" t="s">
        <v>951</v>
      </c>
      <c r="E2" s="508" t="s">
        <v>951</v>
      </c>
      <c r="F2" s="508" t="s">
        <v>951</v>
      </c>
      <c r="G2" s="501" t="s">
        <v>1580</v>
      </c>
      <c r="H2" s="518" t="s">
        <v>1579</v>
      </c>
      <c r="I2" s="501" t="s">
        <v>1580</v>
      </c>
      <c r="J2" s="518" t="s">
        <v>1579</v>
      </c>
      <c r="K2" s="501" t="s">
        <v>1580</v>
      </c>
      <c r="L2" s="518" t="s">
        <v>1579</v>
      </c>
      <c r="M2" s="1437"/>
      <c r="N2" s="1438"/>
      <c r="O2" s="519" t="s">
        <v>951</v>
      </c>
      <c r="P2" s="519" t="s">
        <v>952</v>
      </c>
      <c r="Q2" s="519" t="s">
        <v>953</v>
      </c>
      <c r="R2" s="519" t="s">
        <v>1581</v>
      </c>
      <c r="S2" s="519" t="s">
        <v>1140</v>
      </c>
      <c r="T2" s="520" t="s">
        <v>876</v>
      </c>
      <c r="U2" s="520" t="s">
        <v>1578</v>
      </c>
      <c r="V2" s="521" t="s">
        <v>922</v>
      </c>
      <c r="Z2" s="522" t="s">
        <v>1582</v>
      </c>
    </row>
    <row r="3" spans="1:26" x14ac:dyDescent="0.3">
      <c r="A3" s="489">
        <v>150000488</v>
      </c>
      <c r="B3" s="467" t="s">
        <v>34</v>
      </c>
      <c r="C3" s="509">
        <v>0</v>
      </c>
      <c r="D3" s="509">
        <v>0</v>
      </c>
      <c r="E3" s="524">
        <v>0</v>
      </c>
      <c r="F3" s="524">
        <v>0</v>
      </c>
      <c r="G3" s="473"/>
      <c r="H3" s="523">
        <v>0</v>
      </c>
      <c r="I3" s="473"/>
      <c r="J3" s="523">
        <v>0</v>
      </c>
      <c r="K3" s="473">
        <v>16.23</v>
      </c>
      <c r="L3" s="523">
        <v>16.23</v>
      </c>
      <c r="M3" s="525">
        <v>0</v>
      </c>
      <c r="N3" s="526">
        <v>16.23</v>
      </c>
      <c r="O3" s="527">
        <v>0</v>
      </c>
      <c r="P3" s="527">
        <v>0</v>
      </c>
      <c r="Q3" s="527">
        <v>0</v>
      </c>
      <c r="R3" s="527">
        <v>16.23</v>
      </c>
      <c r="S3" s="527">
        <v>0</v>
      </c>
      <c r="T3" s="527">
        <v>0</v>
      </c>
      <c r="U3" s="527">
        <v>0</v>
      </c>
      <c r="V3" s="528">
        <v>16.23</v>
      </c>
      <c r="W3" s="529">
        <v>1.220835581727777</v>
      </c>
      <c r="Y3" s="529">
        <v>0</v>
      </c>
      <c r="Z3" s="466">
        <v>3</v>
      </c>
    </row>
    <row r="4" spans="1:26" x14ac:dyDescent="0.3">
      <c r="A4" s="489">
        <v>150000490</v>
      </c>
      <c r="B4" s="467" t="s">
        <v>36</v>
      </c>
      <c r="C4" s="509">
        <v>0</v>
      </c>
      <c r="D4" s="509">
        <v>0</v>
      </c>
      <c r="E4" s="524">
        <v>0</v>
      </c>
      <c r="F4" s="524">
        <v>0</v>
      </c>
      <c r="G4" s="473"/>
      <c r="H4" s="523">
        <v>0</v>
      </c>
      <c r="I4" s="473"/>
      <c r="J4" s="523">
        <v>0</v>
      </c>
      <c r="K4" s="473">
        <v>27.19</v>
      </c>
      <c r="L4" s="523">
        <v>27.19</v>
      </c>
      <c r="M4" s="525">
        <v>0</v>
      </c>
      <c r="N4" s="526">
        <v>27.19</v>
      </c>
      <c r="O4" s="527">
        <v>0</v>
      </c>
      <c r="P4" s="527">
        <v>0</v>
      </c>
      <c r="Q4" s="527">
        <v>0</v>
      </c>
      <c r="R4" s="527">
        <v>27.19</v>
      </c>
      <c r="S4" s="527">
        <v>0</v>
      </c>
      <c r="T4" s="527">
        <v>0</v>
      </c>
      <c r="U4" s="527">
        <v>0</v>
      </c>
      <c r="V4" s="528">
        <v>27.19</v>
      </c>
      <c r="W4" s="529">
        <v>1.0962382926031202</v>
      </c>
      <c r="Y4" s="529">
        <v>0</v>
      </c>
      <c r="Z4" s="466">
        <v>2</v>
      </c>
    </row>
    <row r="5" spans="1:26" x14ac:dyDescent="0.3">
      <c r="A5" s="489">
        <v>150000492</v>
      </c>
      <c r="B5" s="467" t="s">
        <v>35</v>
      </c>
      <c r="C5" s="509">
        <v>0</v>
      </c>
      <c r="D5" s="509">
        <v>0</v>
      </c>
      <c r="E5" s="524">
        <v>0</v>
      </c>
      <c r="F5" s="524">
        <v>0</v>
      </c>
      <c r="G5" s="473"/>
      <c r="H5" s="523">
        <v>0</v>
      </c>
      <c r="I5" s="473"/>
      <c r="J5" s="523">
        <v>0</v>
      </c>
      <c r="K5" s="473">
        <v>13.08</v>
      </c>
      <c r="L5" s="523">
        <v>13.08</v>
      </c>
      <c r="M5" s="525">
        <v>0</v>
      </c>
      <c r="N5" s="526">
        <v>13.08</v>
      </c>
      <c r="O5" s="527">
        <v>0</v>
      </c>
      <c r="P5" s="527">
        <v>0</v>
      </c>
      <c r="Q5" s="527">
        <v>0</v>
      </c>
      <c r="R5" s="527">
        <v>13.08</v>
      </c>
      <c r="S5" s="527">
        <v>0</v>
      </c>
      <c r="T5" s="527">
        <v>0</v>
      </c>
      <c r="U5" s="527">
        <v>0</v>
      </c>
      <c r="V5" s="528">
        <v>13.08</v>
      </c>
      <c r="W5" s="529">
        <v>1.0972086171612341</v>
      </c>
      <c r="Y5" s="529">
        <v>0</v>
      </c>
      <c r="Z5" s="466">
        <v>2</v>
      </c>
    </row>
    <row r="6" spans="1:26" x14ac:dyDescent="0.3">
      <c r="A6" s="489">
        <v>150000493</v>
      </c>
      <c r="B6" s="467" t="s">
        <v>417</v>
      </c>
      <c r="C6" s="509">
        <v>849.8</v>
      </c>
      <c r="D6" s="509">
        <v>132.47</v>
      </c>
      <c r="E6" s="524">
        <v>42.26</v>
      </c>
      <c r="F6" s="524">
        <v>321.75</v>
      </c>
      <c r="G6" s="473">
        <v>895.47</v>
      </c>
      <c r="H6" s="523">
        <v>895.47</v>
      </c>
      <c r="I6" s="473">
        <v>183.48</v>
      </c>
      <c r="J6" s="523">
        <v>183.48</v>
      </c>
      <c r="K6" s="473">
        <v>75.709999999999994</v>
      </c>
      <c r="L6" s="523">
        <v>75.709999999999994</v>
      </c>
      <c r="M6" s="525">
        <v>2533.9432832073689</v>
      </c>
      <c r="N6" s="526">
        <v>7124.6407274393105</v>
      </c>
      <c r="O6" s="527">
        <v>1346.28</v>
      </c>
      <c r="P6" s="527">
        <v>296.1816</v>
      </c>
      <c r="Q6" s="527">
        <v>156.23100062739462</v>
      </c>
      <c r="R6" s="527">
        <v>1154.6600000000001</v>
      </c>
      <c r="S6" s="527">
        <v>2533.9432832073689</v>
      </c>
      <c r="T6" s="527">
        <v>1285.3384620601437</v>
      </c>
      <c r="U6" s="527">
        <v>352.00638154440333</v>
      </c>
      <c r="V6" s="528">
        <v>7124.6407274393114</v>
      </c>
      <c r="W6" s="529">
        <v>1.0483490889367937</v>
      </c>
      <c r="Y6" s="529">
        <v>0</v>
      </c>
      <c r="Z6" s="466">
        <v>3</v>
      </c>
    </row>
    <row r="7" spans="1:26" x14ac:dyDescent="0.3">
      <c r="A7" s="489">
        <v>150000494</v>
      </c>
      <c r="B7" s="467" t="s">
        <v>418</v>
      </c>
      <c r="C7" s="509">
        <v>959.07</v>
      </c>
      <c r="D7" s="509">
        <v>145.91</v>
      </c>
      <c r="E7" s="524">
        <v>42.26</v>
      </c>
      <c r="F7" s="524">
        <v>334.26</v>
      </c>
      <c r="G7" s="473">
        <v>1227.21</v>
      </c>
      <c r="H7" s="523">
        <v>1227.21</v>
      </c>
      <c r="I7" s="473">
        <v>250.57</v>
      </c>
      <c r="J7" s="523">
        <v>250.57</v>
      </c>
      <c r="K7" s="473">
        <v>95.76</v>
      </c>
      <c r="L7" s="523">
        <v>95.76</v>
      </c>
      <c r="M7" s="525">
        <v>3374.0230309218528</v>
      </c>
      <c r="N7" s="526">
        <v>8725.9209112433018</v>
      </c>
      <c r="O7" s="527">
        <v>1481.5</v>
      </c>
      <c r="P7" s="527">
        <v>325.93</v>
      </c>
      <c r="Q7" s="527">
        <v>169.4148192843285</v>
      </c>
      <c r="R7" s="527">
        <v>1573.54</v>
      </c>
      <c r="S7" s="527">
        <v>3374.0230309218528</v>
      </c>
      <c r="T7" s="527">
        <v>1414.437510430299</v>
      </c>
      <c r="U7" s="527">
        <v>387.07555060682159</v>
      </c>
      <c r="V7" s="528">
        <v>8725.9209112433036</v>
      </c>
      <c r="W7" s="529">
        <v>1.0495051125811448</v>
      </c>
      <c r="Y7" s="529">
        <v>0</v>
      </c>
      <c r="Z7" s="466">
        <v>3</v>
      </c>
    </row>
    <row r="8" spans="1:26" x14ac:dyDescent="0.3">
      <c r="A8" s="489">
        <v>150000495</v>
      </c>
      <c r="B8" s="467" t="s">
        <v>147</v>
      </c>
      <c r="C8" s="509">
        <v>35.380000000000003</v>
      </c>
      <c r="D8" s="509">
        <v>14.37</v>
      </c>
      <c r="E8" s="524">
        <v>0</v>
      </c>
      <c r="F8" s="524">
        <v>18.02</v>
      </c>
      <c r="G8" s="473">
        <v>54.68</v>
      </c>
      <c r="H8" s="523">
        <v>54.68</v>
      </c>
      <c r="I8" s="473"/>
      <c r="J8" s="523">
        <v>0</v>
      </c>
      <c r="K8" s="473">
        <v>8.69</v>
      </c>
      <c r="L8" s="523">
        <v>8.69</v>
      </c>
      <c r="M8" s="525">
        <v>146.06596836719382</v>
      </c>
      <c r="N8" s="526">
        <v>382.25165143056489</v>
      </c>
      <c r="O8" s="527">
        <v>67.77</v>
      </c>
      <c r="P8" s="527">
        <v>14.9094</v>
      </c>
      <c r="Q8" s="527">
        <v>7.7298221565805649</v>
      </c>
      <c r="R8" s="527">
        <v>63.37</v>
      </c>
      <c r="S8" s="527">
        <v>146.06596836719382</v>
      </c>
      <c r="T8" s="527">
        <v>64.702281526737352</v>
      </c>
      <c r="U8" s="527">
        <v>17.704179380053148</v>
      </c>
      <c r="V8" s="528">
        <v>382.25165143056483</v>
      </c>
      <c r="W8" s="529">
        <v>0.1612229396126092</v>
      </c>
      <c r="Y8" s="529"/>
      <c r="Z8" s="466">
        <v>3</v>
      </c>
    </row>
    <row r="9" spans="1:26" x14ac:dyDescent="0.3">
      <c r="A9" s="489">
        <v>150000496</v>
      </c>
      <c r="B9" s="467" t="s">
        <v>148</v>
      </c>
      <c r="C9" s="509">
        <v>35.380000000000003</v>
      </c>
      <c r="D9" s="509">
        <v>14.37</v>
      </c>
      <c r="E9" s="524">
        <v>0</v>
      </c>
      <c r="F9" s="524">
        <v>18.02</v>
      </c>
      <c r="G9" s="473">
        <v>53.58</v>
      </c>
      <c r="H9" s="523">
        <v>53.58</v>
      </c>
      <c r="I9" s="473"/>
      <c r="J9" s="523">
        <v>0</v>
      </c>
      <c r="K9" s="473">
        <v>50.66</v>
      </c>
      <c r="L9" s="523">
        <v>50.66</v>
      </c>
      <c r="M9" s="525">
        <v>143.9280526005918</v>
      </c>
      <c r="N9" s="526">
        <v>420.98373566396282</v>
      </c>
      <c r="O9" s="527">
        <v>67.77</v>
      </c>
      <c r="P9" s="527">
        <v>14.9094</v>
      </c>
      <c r="Q9" s="527">
        <v>7.7298221565805649</v>
      </c>
      <c r="R9" s="527">
        <v>104.24</v>
      </c>
      <c r="S9" s="527">
        <v>143.9280526005918</v>
      </c>
      <c r="T9" s="527">
        <v>64.702281526737352</v>
      </c>
      <c r="U9" s="527">
        <v>17.704179380053148</v>
      </c>
      <c r="V9" s="528">
        <v>420.98373566396288</v>
      </c>
      <c r="W9" s="529">
        <v>5.1057002642506608E-2</v>
      </c>
      <c r="Y9" s="529"/>
      <c r="Z9" s="466">
        <v>3</v>
      </c>
    </row>
    <row r="10" spans="1:26" x14ac:dyDescent="0.3">
      <c r="A10" s="489">
        <v>150000497</v>
      </c>
      <c r="B10" s="467" t="s">
        <v>340</v>
      </c>
      <c r="C10" s="509">
        <v>510.4</v>
      </c>
      <c r="D10" s="509">
        <v>77.11</v>
      </c>
      <c r="E10" s="524">
        <v>26.37</v>
      </c>
      <c r="F10" s="524">
        <v>143.61000000000001</v>
      </c>
      <c r="G10" s="473">
        <v>552.59</v>
      </c>
      <c r="H10" s="523">
        <v>552.59</v>
      </c>
      <c r="I10" s="473">
        <v>109.94</v>
      </c>
      <c r="J10" s="523">
        <v>109.94</v>
      </c>
      <c r="K10" s="473">
        <v>81.96</v>
      </c>
      <c r="L10" s="523">
        <v>81.96</v>
      </c>
      <c r="M10" s="525">
        <v>1483.4997504451364</v>
      </c>
      <c r="N10" s="526">
        <v>4214.3424322937726</v>
      </c>
      <c r="O10" s="527">
        <v>757.49</v>
      </c>
      <c r="P10" s="527">
        <v>166.64779999999999</v>
      </c>
      <c r="Q10" s="527">
        <v>135.52110734743451</v>
      </c>
      <c r="R10" s="527">
        <v>744.49</v>
      </c>
      <c r="S10" s="527">
        <v>1483.4997504451364</v>
      </c>
      <c r="T10" s="527">
        <v>723.20099208629586</v>
      </c>
      <c r="U10" s="527">
        <v>203.49278241490589</v>
      </c>
      <c r="V10" s="528">
        <v>4214.3424322937726</v>
      </c>
      <c r="W10" s="529">
        <v>0.1369633507853403</v>
      </c>
      <c r="Y10" s="529"/>
      <c r="Z10" s="466">
        <v>3</v>
      </c>
    </row>
    <row r="11" spans="1:26" x14ac:dyDescent="0.3">
      <c r="A11" s="489">
        <v>150000498</v>
      </c>
      <c r="B11" s="467" t="s">
        <v>241</v>
      </c>
      <c r="C11" s="509">
        <v>548.30999999999995</v>
      </c>
      <c r="D11" s="509">
        <v>115.41</v>
      </c>
      <c r="E11" s="524">
        <v>0</v>
      </c>
      <c r="F11" s="524">
        <v>448.07</v>
      </c>
      <c r="G11" s="473">
        <v>640.35</v>
      </c>
      <c r="H11" s="523">
        <v>640.35</v>
      </c>
      <c r="I11" s="473"/>
      <c r="J11" s="523">
        <v>0</v>
      </c>
      <c r="K11" s="473">
        <v>104.86</v>
      </c>
      <c r="L11" s="523">
        <v>104.86</v>
      </c>
      <c r="M11" s="525">
        <v>1742.6507732867435</v>
      </c>
      <c r="N11" s="526">
        <v>5321.8192470638223</v>
      </c>
      <c r="O11" s="527">
        <v>1111.79</v>
      </c>
      <c r="P11" s="527">
        <v>244.59380000000002</v>
      </c>
      <c r="Q11" s="527">
        <v>125.7855091546343</v>
      </c>
      <c r="R11" s="527">
        <v>745.21</v>
      </c>
      <c r="S11" s="527">
        <v>1742.6507732867435</v>
      </c>
      <c r="T11" s="527">
        <v>1061.4630305239973</v>
      </c>
      <c r="U11" s="527">
        <v>290.32613409844743</v>
      </c>
      <c r="V11" s="528">
        <v>5321.8192470638223</v>
      </c>
      <c r="W11" s="529">
        <v>0.18433898305084748</v>
      </c>
      <c r="Y11" s="529"/>
      <c r="Z11" s="466">
        <v>3</v>
      </c>
    </row>
    <row r="12" spans="1:26" x14ac:dyDescent="0.3">
      <c r="A12" s="489">
        <v>150000501</v>
      </c>
      <c r="B12" s="467" t="s">
        <v>263</v>
      </c>
      <c r="C12" s="509">
        <v>556.35</v>
      </c>
      <c r="D12" s="509">
        <v>116.69</v>
      </c>
      <c r="E12" s="524">
        <v>0</v>
      </c>
      <c r="F12" s="524">
        <v>418.69</v>
      </c>
      <c r="G12" s="473">
        <v>498.01</v>
      </c>
      <c r="H12" s="523">
        <v>498.01</v>
      </c>
      <c r="I12" s="473"/>
      <c r="J12" s="523">
        <v>0</v>
      </c>
      <c r="K12" s="473">
        <v>108.27</v>
      </c>
      <c r="L12" s="523">
        <v>108.27</v>
      </c>
      <c r="M12" s="525">
        <v>1613.9945656455789</v>
      </c>
      <c r="N12" s="526">
        <v>4987.0262319293161</v>
      </c>
      <c r="O12" s="527">
        <v>1091.73</v>
      </c>
      <c r="P12" s="527">
        <v>240.18060000000003</v>
      </c>
      <c r="Q12" s="527">
        <v>109.0888846047574</v>
      </c>
      <c r="R12" s="527">
        <v>606.28</v>
      </c>
      <c r="S12" s="527">
        <v>1613.9945656455789</v>
      </c>
      <c r="T12" s="527">
        <v>1042.3110788134125</v>
      </c>
      <c r="U12" s="527">
        <v>283.4411028655673</v>
      </c>
      <c r="V12" s="528">
        <v>4987.026231929317</v>
      </c>
      <c r="W12" s="529">
        <v>1.0122357765993593</v>
      </c>
      <c r="Y12" s="529">
        <v>0</v>
      </c>
      <c r="Z12" s="466">
        <v>1</v>
      </c>
    </row>
    <row r="13" spans="1:26" x14ac:dyDescent="0.3">
      <c r="A13" s="489">
        <v>150000502</v>
      </c>
      <c r="B13" s="467" t="s">
        <v>108</v>
      </c>
      <c r="C13" s="509">
        <v>0</v>
      </c>
      <c r="D13" s="509">
        <v>0</v>
      </c>
      <c r="E13" s="524">
        <v>0</v>
      </c>
      <c r="F13" s="524">
        <v>0</v>
      </c>
      <c r="G13" s="473"/>
      <c r="H13" s="523">
        <v>0</v>
      </c>
      <c r="I13" s="473"/>
      <c r="J13" s="523">
        <v>0</v>
      </c>
      <c r="K13" s="473">
        <v>33.74</v>
      </c>
      <c r="L13" s="523">
        <v>33.74</v>
      </c>
      <c r="M13" s="525">
        <v>0</v>
      </c>
      <c r="N13" s="526">
        <v>33.74</v>
      </c>
      <c r="O13" s="527">
        <v>0</v>
      </c>
      <c r="P13" s="527">
        <v>0</v>
      </c>
      <c r="Q13" s="527">
        <v>0</v>
      </c>
      <c r="R13" s="527">
        <v>33.74</v>
      </c>
      <c r="S13" s="527">
        <v>0</v>
      </c>
      <c r="T13" s="527">
        <v>0</v>
      </c>
      <c r="U13" s="527">
        <v>0</v>
      </c>
      <c r="V13" s="528">
        <v>33.74</v>
      </c>
      <c r="W13" s="529">
        <v>0.93248030500467116</v>
      </c>
      <c r="Y13" s="529">
        <v>0</v>
      </c>
      <c r="Z13" s="466">
        <v>1</v>
      </c>
    </row>
    <row r="14" spans="1:26" x14ac:dyDescent="0.3">
      <c r="A14" s="489">
        <v>150000503</v>
      </c>
      <c r="B14" s="467" t="s">
        <v>109</v>
      </c>
      <c r="C14" s="509">
        <v>0.01</v>
      </c>
      <c r="D14" s="509">
        <v>0</v>
      </c>
      <c r="E14" s="524">
        <v>0</v>
      </c>
      <c r="F14" s="524">
        <v>0</v>
      </c>
      <c r="G14" s="473"/>
      <c r="H14" s="523">
        <v>0</v>
      </c>
      <c r="I14" s="473"/>
      <c r="J14" s="523">
        <v>0</v>
      </c>
      <c r="K14" s="473">
        <v>31.86</v>
      </c>
      <c r="L14" s="523">
        <v>31.86</v>
      </c>
      <c r="M14" s="525">
        <v>0</v>
      </c>
      <c r="N14" s="526">
        <v>31.884756214974129</v>
      </c>
      <c r="O14" s="527">
        <v>0.01</v>
      </c>
      <c r="P14" s="527">
        <v>2.2000000000000001E-3</v>
      </c>
      <c r="Q14" s="527">
        <v>4.7271968583333302E-4</v>
      </c>
      <c r="R14" s="527">
        <v>31.86</v>
      </c>
      <c r="S14" s="527">
        <v>0</v>
      </c>
      <c r="T14" s="527">
        <v>9.5473338537313476E-3</v>
      </c>
      <c r="U14" s="527">
        <v>2.536161434563841E-3</v>
      </c>
      <c r="V14" s="528">
        <v>31.884756214974129</v>
      </c>
      <c r="W14" s="529">
        <v>1.042219532255497</v>
      </c>
      <c r="Y14" s="529">
        <v>0</v>
      </c>
      <c r="Z14" s="466">
        <v>1</v>
      </c>
    </row>
    <row r="15" spans="1:26" x14ac:dyDescent="0.3">
      <c r="A15" s="489">
        <v>150000504</v>
      </c>
      <c r="B15" s="467" t="s">
        <v>110</v>
      </c>
      <c r="C15" s="509">
        <v>0</v>
      </c>
      <c r="D15" s="509">
        <v>0</v>
      </c>
      <c r="E15" s="524">
        <v>0</v>
      </c>
      <c r="F15" s="524">
        <v>0</v>
      </c>
      <c r="G15" s="473"/>
      <c r="H15" s="523">
        <v>0</v>
      </c>
      <c r="I15" s="473"/>
      <c r="J15" s="523">
        <v>0</v>
      </c>
      <c r="K15" s="473">
        <v>48.15</v>
      </c>
      <c r="L15" s="523">
        <v>48.15</v>
      </c>
      <c r="M15" s="525">
        <v>0</v>
      </c>
      <c r="N15" s="526">
        <v>48.15</v>
      </c>
      <c r="O15" s="527">
        <v>0</v>
      </c>
      <c r="P15" s="527">
        <v>0</v>
      </c>
      <c r="Q15" s="527">
        <v>0</v>
      </c>
      <c r="R15" s="527">
        <v>48.15</v>
      </c>
      <c r="S15" s="527">
        <v>0</v>
      </c>
      <c r="T15" s="527">
        <v>0</v>
      </c>
      <c r="U15" s="527">
        <v>0</v>
      </c>
      <c r="V15" s="528">
        <v>48.15</v>
      </c>
      <c r="W15" s="529">
        <v>1.0881508264796087</v>
      </c>
      <c r="Y15" s="529">
        <v>0</v>
      </c>
      <c r="Z15" s="466">
        <v>1</v>
      </c>
    </row>
    <row r="16" spans="1:26" x14ac:dyDescent="0.3">
      <c r="A16" s="489">
        <v>150000505</v>
      </c>
      <c r="B16" s="467" t="s">
        <v>112</v>
      </c>
      <c r="C16" s="509">
        <v>0</v>
      </c>
      <c r="D16" s="509">
        <v>0</v>
      </c>
      <c r="E16" s="524">
        <v>0</v>
      </c>
      <c r="F16" s="524">
        <v>0</v>
      </c>
      <c r="G16" s="473"/>
      <c r="H16" s="523">
        <v>0</v>
      </c>
      <c r="I16" s="473"/>
      <c r="J16" s="523">
        <v>0</v>
      </c>
      <c r="K16" s="473">
        <v>32.880000000000003</v>
      </c>
      <c r="L16" s="523">
        <v>32.880000000000003</v>
      </c>
      <c r="M16" s="525">
        <v>0</v>
      </c>
      <c r="N16" s="526">
        <v>32.880000000000003</v>
      </c>
      <c r="O16" s="527">
        <v>0</v>
      </c>
      <c r="P16" s="527">
        <v>0</v>
      </c>
      <c r="Q16" s="527">
        <v>0</v>
      </c>
      <c r="R16" s="527">
        <v>32.880000000000003</v>
      </c>
      <c r="S16" s="527">
        <v>0</v>
      </c>
      <c r="T16" s="527">
        <v>0</v>
      </c>
      <c r="U16" s="527">
        <v>0</v>
      </c>
      <c r="V16" s="528">
        <v>32.880000000000003</v>
      </c>
      <c r="W16" s="529">
        <v>1.249483276311421</v>
      </c>
      <c r="Y16" s="529">
        <v>0</v>
      </c>
      <c r="Z16" s="466">
        <v>2</v>
      </c>
    </row>
    <row r="17" spans="1:26" x14ac:dyDescent="0.3">
      <c r="A17" s="489">
        <v>150000506</v>
      </c>
      <c r="B17" s="467" t="s">
        <v>111</v>
      </c>
      <c r="C17" s="509">
        <v>0</v>
      </c>
      <c r="D17" s="509">
        <v>0</v>
      </c>
      <c r="E17" s="524">
        <v>0</v>
      </c>
      <c r="F17" s="524">
        <v>0</v>
      </c>
      <c r="G17" s="473"/>
      <c r="H17" s="523">
        <v>0</v>
      </c>
      <c r="I17" s="473"/>
      <c r="J17" s="523">
        <v>0</v>
      </c>
      <c r="K17" s="473">
        <v>31.87</v>
      </c>
      <c r="L17" s="523">
        <v>31.87</v>
      </c>
      <c r="M17" s="525">
        <v>0</v>
      </c>
      <c r="N17" s="526">
        <v>31.87</v>
      </c>
      <c r="O17" s="527">
        <v>0</v>
      </c>
      <c r="P17" s="527">
        <v>0</v>
      </c>
      <c r="Q17" s="527">
        <v>0</v>
      </c>
      <c r="R17" s="527">
        <v>31.87</v>
      </c>
      <c r="S17" s="527">
        <v>0</v>
      </c>
      <c r="T17" s="527">
        <v>0</v>
      </c>
      <c r="U17" s="527">
        <v>0</v>
      </c>
      <c r="V17" s="528">
        <v>31.87</v>
      </c>
      <c r="W17" s="529">
        <v>0.10583472811490405</v>
      </c>
      <c r="Y17" s="529"/>
      <c r="Z17" s="466">
        <v>3</v>
      </c>
    </row>
    <row r="18" spans="1:26" x14ac:dyDescent="0.3">
      <c r="A18" s="489">
        <v>150000507</v>
      </c>
      <c r="B18" s="467" t="s">
        <v>113</v>
      </c>
      <c r="C18" s="509">
        <v>0</v>
      </c>
      <c r="D18" s="509">
        <v>0</v>
      </c>
      <c r="E18" s="524">
        <v>0</v>
      </c>
      <c r="F18" s="524">
        <v>0</v>
      </c>
      <c r="G18" s="473"/>
      <c r="H18" s="523">
        <v>0</v>
      </c>
      <c r="I18" s="473"/>
      <c r="J18" s="523">
        <v>0</v>
      </c>
      <c r="K18" s="473">
        <v>63.19</v>
      </c>
      <c r="L18" s="523">
        <v>63.19</v>
      </c>
      <c r="M18" s="525">
        <v>0</v>
      </c>
      <c r="N18" s="526">
        <v>63.19</v>
      </c>
      <c r="O18" s="527">
        <v>0</v>
      </c>
      <c r="P18" s="527">
        <v>0</v>
      </c>
      <c r="Q18" s="527">
        <v>0</v>
      </c>
      <c r="R18" s="527">
        <v>63.19</v>
      </c>
      <c r="S18" s="527">
        <v>0</v>
      </c>
      <c r="T18" s="527">
        <v>0</v>
      </c>
      <c r="U18" s="527">
        <v>0</v>
      </c>
      <c r="V18" s="528">
        <v>63.19</v>
      </c>
      <c r="W18" s="529">
        <v>0.93869241254066127</v>
      </c>
      <c r="Y18" s="529">
        <v>0</v>
      </c>
      <c r="Z18" s="466">
        <v>2</v>
      </c>
    </row>
    <row r="19" spans="1:26" x14ac:dyDescent="0.3">
      <c r="A19" s="489">
        <v>150000508</v>
      </c>
      <c r="B19" s="467" t="s">
        <v>114</v>
      </c>
      <c r="C19" s="509">
        <v>0</v>
      </c>
      <c r="D19" s="509">
        <v>0</v>
      </c>
      <c r="E19" s="524">
        <v>0</v>
      </c>
      <c r="F19" s="524">
        <v>0</v>
      </c>
      <c r="G19" s="473"/>
      <c r="H19" s="523">
        <v>0</v>
      </c>
      <c r="I19" s="473"/>
      <c r="J19" s="523">
        <v>0</v>
      </c>
      <c r="K19" s="473">
        <v>19.34</v>
      </c>
      <c r="L19" s="523">
        <v>19.34</v>
      </c>
      <c r="M19" s="525">
        <v>0</v>
      </c>
      <c r="N19" s="526">
        <v>19.34</v>
      </c>
      <c r="O19" s="527">
        <v>0</v>
      </c>
      <c r="P19" s="527">
        <v>0</v>
      </c>
      <c r="Q19" s="527">
        <v>0</v>
      </c>
      <c r="R19" s="527">
        <v>19.34</v>
      </c>
      <c r="S19" s="527">
        <v>0</v>
      </c>
      <c r="T19" s="527">
        <v>0</v>
      </c>
      <c r="U19" s="527">
        <v>0</v>
      </c>
      <c r="V19" s="528">
        <v>19.34</v>
      </c>
      <c r="W19" s="529">
        <v>1.16544558588347</v>
      </c>
      <c r="Y19" s="529">
        <v>0</v>
      </c>
      <c r="Z19" s="466">
        <v>2</v>
      </c>
    </row>
    <row r="20" spans="1:26" x14ac:dyDescent="0.3">
      <c r="A20" s="489">
        <v>150000509</v>
      </c>
      <c r="B20" s="467" t="s">
        <v>52</v>
      </c>
      <c r="C20" s="509">
        <v>0</v>
      </c>
      <c r="D20" s="509">
        <v>0</v>
      </c>
      <c r="E20" s="524">
        <v>0</v>
      </c>
      <c r="F20" s="524">
        <v>0</v>
      </c>
      <c r="G20" s="473"/>
      <c r="H20" s="523">
        <v>0</v>
      </c>
      <c r="I20" s="473"/>
      <c r="J20" s="523">
        <v>0</v>
      </c>
      <c r="K20" s="473">
        <v>27.19</v>
      </c>
      <c r="L20" s="523">
        <v>27.19</v>
      </c>
      <c r="M20" s="525">
        <v>0</v>
      </c>
      <c r="N20" s="526">
        <v>27.19</v>
      </c>
      <c r="O20" s="527">
        <v>0</v>
      </c>
      <c r="P20" s="527">
        <v>0</v>
      </c>
      <c r="Q20" s="527">
        <v>0</v>
      </c>
      <c r="R20" s="527">
        <v>27.19</v>
      </c>
      <c r="S20" s="527">
        <v>0</v>
      </c>
      <c r="T20" s="527">
        <v>0</v>
      </c>
      <c r="U20" s="527">
        <v>0</v>
      </c>
      <c r="V20" s="528">
        <v>27.19</v>
      </c>
      <c r="W20" s="529">
        <v>0.91727502164451313</v>
      </c>
      <c r="Y20" s="529">
        <v>0</v>
      </c>
      <c r="Z20" s="466">
        <v>3</v>
      </c>
    </row>
    <row r="21" spans="1:26" x14ac:dyDescent="0.3">
      <c r="A21" s="489">
        <v>150000510</v>
      </c>
      <c r="B21" s="467" t="s">
        <v>248</v>
      </c>
      <c r="C21" s="509">
        <v>220</v>
      </c>
      <c r="D21" s="509">
        <v>41.83</v>
      </c>
      <c r="E21" s="524">
        <v>0</v>
      </c>
      <c r="F21" s="524">
        <v>165.28</v>
      </c>
      <c r="G21" s="473">
        <v>358.35</v>
      </c>
      <c r="H21" s="523">
        <v>358.35</v>
      </c>
      <c r="I21" s="473"/>
      <c r="J21" s="523">
        <v>0</v>
      </c>
      <c r="K21" s="473">
        <v>49.39</v>
      </c>
      <c r="L21" s="523">
        <v>49.39</v>
      </c>
      <c r="M21" s="525">
        <v>1029.4278207765349</v>
      </c>
      <c r="N21" s="526">
        <v>2536.3892843533804</v>
      </c>
      <c r="O21" s="527">
        <v>427.11</v>
      </c>
      <c r="P21" s="527">
        <v>93.964200000000005</v>
      </c>
      <c r="Q21" s="527">
        <v>57.760856469443695</v>
      </c>
      <c r="R21" s="527">
        <v>407.74</v>
      </c>
      <c r="S21" s="527">
        <v>1029.4278207765349</v>
      </c>
      <c r="T21" s="527">
        <v>407.7761762267196</v>
      </c>
      <c r="U21" s="527">
        <v>112.61023088068231</v>
      </c>
      <c r="V21" s="528">
        <v>2536.3892843533804</v>
      </c>
      <c r="W21" s="529">
        <v>0.15660592255125286</v>
      </c>
      <c r="Y21" s="529"/>
      <c r="Z21" s="466">
        <v>3</v>
      </c>
    </row>
    <row r="22" spans="1:26" x14ac:dyDescent="0.3">
      <c r="A22" s="489">
        <v>150000511</v>
      </c>
      <c r="B22" s="467" t="s">
        <v>249</v>
      </c>
      <c r="C22" s="509">
        <v>402.63</v>
      </c>
      <c r="D22" s="509">
        <v>77.2</v>
      </c>
      <c r="E22" s="524">
        <v>0</v>
      </c>
      <c r="F22" s="524">
        <v>233.1</v>
      </c>
      <c r="G22" s="473">
        <v>403.96</v>
      </c>
      <c r="H22" s="523">
        <v>403.96</v>
      </c>
      <c r="I22" s="473"/>
      <c r="J22" s="523">
        <v>0</v>
      </c>
      <c r="K22" s="473">
        <v>163.36000000000001</v>
      </c>
      <c r="L22" s="523">
        <v>163.36000000000001</v>
      </c>
      <c r="M22" s="525">
        <v>1147.1699684291964</v>
      </c>
      <c r="N22" s="526">
        <v>3531.7857402050404</v>
      </c>
      <c r="O22" s="527">
        <v>712.93</v>
      </c>
      <c r="P22" s="527">
        <v>156.84460000000001</v>
      </c>
      <c r="Q22" s="527">
        <v>80.689427139040404</v>
      </c>
      <c r="R22" s="527">
        <v>567.31999999999994</v>
      </c>
      <c r="S22" s="527">
        <v>1147.1699684291964</v>
      </c>
      <c r="T22" s="527">
        <v>680.65807243406903</v>
      </c>
      <c r="U22" s="527">
        <v>186.17367220273431</v>
      </c>
      <c r="V22" s="528">
        <v>3531.7857402050404</v>
      </c>
      <c r="W22" s="529">
        <v>0.10673141326188881</v>
      </c>
      <c r="Y22" s="529"/>
      <c r="Z22" s="466">
        <v>3</v>
      </c>
    </row>
    <row r="23" spans="1:26" x14ac:dyDescent="0.3">
      <c r="A23" s="489">
        <v>150000512</v>
      </c>
      <c r="B23" s="467" t="s">
        <v>250</v>
      </c>
      <c r="C23" s="509">
        <v>179.84</v>
      </c>
      <c r="D23" s="509">
        <v>39.53</v>
      </c>
      <c r="E23" s="524">
        <v>0</v>
      </c>
      <c r="F23" s="524">
        <v>99.47</v>
      </c>
      <c r="G23" s="473">
        <v>195.16</v>
      </c>
      <c r="H23" s="523">
        <v>195.16</v>
      </c>
      <c r="I23" s="473"/>
      <c r="J23" s="523">
        <v>0</v>
      </c>
      <c r="K23" s="473">
        <v>65.67</v>
      </c>
      <c r="L23" s="523">
        <v>65.67</v>
      </c>
      <c r="M23" s="525">
        <v>666.92282339149767</v>
      </c>
      <c r="N23" s="526">
        <v>1749.3547291316477</v>
      </c>
      <c r="O23" s="527">
        <v>318.84000000000003</v>
      </c>
      <c r="P23" s="527">
        <v>70.144800000000004</v>
      </c>
      <c r="Q23" s="527">
        <v>44.0405411302918</v>
      </c>
      <c r="R23" s="527">
        <v>260.83</v>
      </c>
      <c r="S23" s="527">
        <v>666.92282339149767</v>
      </c>
      <c r="T23" s="527">
        <v>304.40719259237028</v>
      </c>
      <c r="U23" s="527">
        <v>84.169372017487731</v>
      </c>
      <c r="V23" s="528">
        <v>1749.3547291316479</v>
      </c>
      <c r="W23" s="529">
        <v>0.10680294906166221</v>
      </c>
      <c r="Y23" s="529"/>
      <c r="Z23" s="466">
        <v>3</v>
      </c>
    </row>
    <row r="24" spans="1:26" x14ac:dyDescent="0.3">
      <c r="A24" s="489">
        <v>150000513</v>
      </c>
      <c r="B24" s="467" t="s">
        <v>333</v>
      </c>
      <c r="C24" s="509">
        <v>268.62</v>
      </c>
      <c r="D24" s="509">
        <v>54.67</v>
      </c>
      <c r="E24" s="524">
        <v>13.79</v>
      </c>
      <c r="F24" s="524">
        <v>123.8</v>
      </c>
      <c r="G24" s="473">
        <v>462.95</v>
      </c>
      <c r="H24" s="523">
        <v>462.95</v>
      </c>
      <c r="I24" s="473">
        <v>97.06</v>
      </c>
      <c r="J24" s="523">
        <v>97.06</v>
      </c>
      <c r="K24" s="473">
        <v>10.61</v>
      </c>
      <c r="L24" s="523">
        <v>10.61</v>
      </c>
      <c r="M24" s="525">
        <v>1293.4390387942174</v>
      </c>
      <c r="N24" s="526">
        <v>3038.9946523306435</v>
      </c>
      <c r="O24" s="527">
        <v>460.88000000000005</v>
      </c>
      <c r="P24" s="527">
        <v>101.39360000000001</v>
      </c>
      <c r="Q24" s="527">
        <v>52.277690295955296</v>
      </c>
      <c r="R24" s="527">
        <v>570.62</v>
      </c>
      <c r="S24" s="527">
        <v>1293.4390387942174</v>
      </c>
      <c r="T24" s="527">
        <v>440.01752265077033</v>
      </c>
      <c r="U24" s="527">
        <v>120.36680058970066</v>
      </c>
      <c r="V24" s="528">
        <v>3038.9946523306439</v>
      </c>
      <c r="W24" s="529">
        <v>0.11487114490916774</v>
      </c>
      <c r="Y24" s="529"/>
      <c r="Z24" s="466">
        <v>3</v>
      </c>
    </row>
    <row r="25" spans="1:26" x14ac:dyDescent="0.3">
      <c r="A25" s="489">
        <v>150000514</v>
      </c>
      <c r="B25" s="467" t="s">
        <v>151</v>
      </c>
      <c r="C25" s="509">
        <v>48.79</v>
      </c>
      <c r="D25" s="509">
        <v>9.68</v>
      </c>
      <c r="E25" s="524">
        <v>0</v>
      </c>
      <c r="F25" s="524">
        <v>28.65</v>
      </c>
      <c r="G25" s="473">
        <v>32.04</v>
      </c>
      <c r="H25" s="523">
        <v>32.04</v>
      </c>
      <c r="I25" s="473"/>
      <c r="J25" s="523">
        <v>0</v>
      </c>
      <c r="K25" s="473">
        <v>25.61</v>
      </c>
      <c r="L25" s="523">
        <v>25.61</v>
      </c>
      <c r="M25" s="525">
        <v>90.326941138935027</v>
      </c>
      <c r="N25" s="526">
        <v>373.51253489011333</v>
      </c>
      <c r="O25" s="527">
        <v>87.12</v>
      </c>
      <c r="P25" s="527">
        <v>19.166399999999999</v>
      </c>
      <c r="Q25" s="527">
        <v>12.967727179833821</v>
      </c>
      <c r="R25" s="527">
        <v>57.65</v>
      </c>
      <c r="S25" s="527">
        <v>90.326941138935027</v>
      </c>
      <c r="T25" s="527">
        <v>83.176372533707493</v>
      </c>
      <c r="U25" s="527">
        <v>23.105094037636967</v>
      </c>
      <c r="V25" s="528">
        <v>373.51253489011327</v>
      </c>
      <c r="W25" s="529">
        <v>7.3170731707317083E-2</v>
      </c>
      <c r="Y25" s="529"/>
      <c r="Z25" s="466">
        <v>3</v>
      </c>
    </row>
    <row r="26" spans="1:26" x14ac:dyDescent="0.3">
      <c r="A26" s="489">
        <v>150000515</v>
      </c>
      <c r="B26" s="467" t="s">
        <v>53</v>
      </c>
      <c r="C26" s="509">
        <v>0</v>
      </c>
      <c r="D26" s="509">
        <v>0</v>
      </c>
      <c r="E26" s="524">
        <v>0</v>
      </c>
      <c r="F26" s="524">
        <v>0</v>
      </c>
      <c r="G26" s="473"/>
      <c r="H26" s="523">
        <v>0</v>
      </c>
      <c r="I26" s="473"/>
      <c r="J26" s="523">
        <v>0</v>
      </c>
      <c r="K26" s="473">
        <v>27.19</v>
      </c>
      <c r="L26" s="523">
        <v>27.19</v>
      </c>
      <c r="M26" s="525">
        <v>0</v>
      </c>
      <c r="N26" s="526">
        <v>27.19</v>
      </c>
      <c r="O26" s="527">
        <v>0</v>
      </c>
      <c r="P26" s="527">
        <v>0</v>
      </c>
      <c r="Q26" s="527">
        <v>0</v>
      </c>
      <c r="R26" s="527">
        <v>27.19</v>
      </c>
      <c r="S26" s="527">
        <v>0</v>
      </c>
      <c r="T26" s="527">
        <v>0</v>
      </c>
      <c r="U26" s="527">
        <v>0</v>
      </c>
      <c r="V26" s="528">
        <v>27.19</v>
      </c>
      <c r="W26" s="529">
        <v>0.13022092538557731</v>
      </c>
      <c r="Y26" s="529"/>
      <c r="Z26" s="466">
        <v>3</v>
      </c>
    </row>
    <row r="27" spans="1:26" x14ac:dyDescent="0.3">
      <c r="A27" s="489">
        <v>150000516</v>
      </c>
      <c r="B27" s="467" t="s">
        <v>55</v>
      </c>
      <c r="C27" s="509">
        <v>0</v>
      </c>
      <c r="D27" s="509">
        <v>0</v>
      </c>
      <c r="E27" s="524">
        <v>0</v>
      </c>
      <c r="F27" s="524">
        <v>0</v>
      </c>
      <c r="G27" s="473"/>
      <c r="H27" s="523">
        <v>0</v>
      </c>
      <c r="I27" s="473"/>
      <c r="J27" s="523">
        <v>0</v>
      </c>
      <c r="K27" s="473">
        <v>13.595000000000001</v>
      </c>
      <c r="L27" s="523">
        <v>13.595000000000001</v>
      </c>
      <c r="M27" s="525">
        <v>0</v>
      </c>
      <c r="N27" s="526">
        <v>13.595000000000001</v>
      </c>
      <c r="O27" s="527">
        <v>0</v>
      </c>
      <c r="P27" s="527">
        <v>0</v>
      </c>
      <c r="Q27" s="527">
        <v>0</v>
      </c>
      <c r="R27" s="527">
        <v>13.595000000000001</v>
      </c>
      <c r="S27" s="527">
        <v>0</v>
      </c>
      <c r="T27" s="527">
        <v>0</v>
      </c>
      <c r="U27" s="527">
        <v>0</v>
      </c>
      <c r="V27" s="528">
        <v>13.595000000000001</v>
      </c>
      <c r="W27" s="529">
        <v>0.16038365304420349</v>
      </c>
      <c r="Y27" s="529"/>
      <c r="Z27" s="466">
        <v>3</v>
      </c>
    </row>
    <row r="28" spans="1:26" x14ac:dyDescent="0.3">
      <c r="A28" s="489">
        <v>150000517</v>
      </c>
      <c r="B28" s="467" t="s">
        <v>251</v>
      </c>
      <c r="C28" s="509">
        <v>208.51</v>
      </c>
      <c r="D28" s="509">
        <v>39.42</v>
      </c>
      <c r="E28" s="524">
        <v>0</v>
      </c>
      <c r="F28" s="524">
        <v>93.09</v>
      </c>
      <c r="G28" s="473">
        <v>199.57</v>
      </c>
      <c r="H28" s="523">
        <v>199.57</v>
      </c>
      <c r="I28" s="473"/>
      <c r="J28" s="523">
        <v>0</v>
      </c>
      <c r="K28" s="473">
        <v>65.67</v>
      </c>
      <c r="L28" s="523">
        <v>65.67</v>
      </c>
      <c r="M28" s="525">
        <v>675.15379909291551</v>
      </c>
      <c r="N28" s="526">
        <v>1817.3871487528836</v>
      </c>
      <c r="O28" s="527">
        <v>341.02</v>
      </c>
      <c r="P28" s="527">
        <v>75.0244</v>
      </c>
      <c r="Q28" s="527">
        <v>45.521797496859904</v>
      </c>
      <c r="R28" s="527">
        <v>265.24</v>
      </c>
      <c r="S28" s="527">
        <v>675.15379909291551</v>
      </c>
      <c r="T28" s="527">
        <v>325.58317907994643</v>
      </c>
      <c r="U28" s="527">
        <v>89.843973083161927</v>
      </c>
      <c r="V28" s="528">
        <v>1817.3871487528838</v>
      </c>
      <c r="W28" s="529">
        <v>0.16259289843104874</v>
      </c>
      <c r="Y28" s="529"/>
      <c r="Z28" s="466">
        <v>3</v>
      </c>
    </row>
    <row r="29" spans="1:26" x14ac:dyDescent="0.3">
      <c r="A29" s="489">
        <v>150000518</v>
      </c>
      <c r="B29" s="467" t="s">
        <v>194</v>
      </c>
      <c r="C29" s="509">
        <v>119.86</v>
      </c>
      <c r="D29" s="509">
        <v>26.97</v>
      </c>
      <c r="E29" s="524">
        <v>0</v>
      </c>
      <c r="F29" s="524">
        <v>67.099999999999994</v>
      </c>
      <c r="G29" s="473">
        <v>94.83</v>
      </c>
      <c r="H29" s="523">
        <v>94.83</v>
      </c>
      <c r="I29" s="473"/>
      <c r="J29" s="523">
        <v>0</v>
      </c>
      <c r="K29" s="473">
        <v>65.67</v>
      </c>
      <c r="L29" s="523">
        <v>65.67</v>
      </c>
      <c r="M29" s="525">
        <v>301.98060203253425</v>
      </c>
      <c r="N29" s="526">
        <v>1024.4833074259413</v>
      </c>
      <c r="O29" s="527">
        <v>213.92999999999998</v>
      </c>
      <c r="P29" s="527">
        <v>47.064599999999999</v>
      </c>
      <c r="Q29" s="527">
        <v>39.187375582302472</v>
      </c>
      <c r="R29" s="527">
        <v>160.5</v>
      </c>
      <c r="S29" s="527">
        <v>301.98060203253425</v>
      </c>
      <c r="T29" s="527">
        <v>204.24611313287471</v>
      </c>
      <c r="U29" s="527">
        <v>57.574616678229816</v>
      </c>
      <c r="V29" s="528">
        <v>1024.4833074259411</v>
      </c>
      <c r="W29" s="529">
        <v>0.16371681415929204</v>
      </c>
      <c r="Y29" s="529"/>
      <c r="Z29" s="466">
        <v>3</v>
      </c>
    </row>
    <row r="30" spans="1:26" x14ac:dyDescent="0.3">
      <c r="A30" s="489">
        <v>150000519</v>
      </c>
      <c r="B30" s="467" t="s">
        <v>412</v>
      </c>
      <c r="C30" s="509">
        <v>274.45</v>
      </c>
      <c r="D30" s="509">
        <v>43.6</v>
      </c>
      <c r="E30" s="524">
        <v>14.09</v>
      </c>
      <c r="F30" s="524">
        <v>95.38</v>
      </c>
      <c r="G30" s="473">
        <v>336.46</v>
      </c>
      <c r="H30" s="523">
        <v>336.46</v>
      </c>
      <c r="I30" s="473">
        <v>72.95</v>
      </c>
      <c r="J30" s="523">
        <v>72.95</v>
      </c>
      <c r="K30" s="473">
        <v>25.58</v>
      </c>
      <c r="L30" s="523">
        <v>25.58</v>
      </c>
      <c r="M30" s="525">
        <v>960.77934551094438</v>
      </c>
      <c r="N30" s="526">
        <v>2510.3123328452448</v>
      </c>
      <c r="O30" s="527">
        <v>427.52</v>
      </c>
      <c r="P30" s="527">
        <v>94.054400000000001</v>
      </c>
      <c r="Q30" s="527">
        <v>70.621119234942896</v>
      </c>
      <c r="R30" s="527">
        <v>434.98999999999995</v>
      </c>
      <c r="S30" s="527">
        <v>960.77934551094438</v>
      </c>
      <c r="T30" s="527">
        <v>408.16761691472254</v>
      </c>
      <c r="U30" s="527">
        <v>114.17985118463507</v>
      </c>
      <c r="V30" s="528">
        <v>2510.3123328452448</v>
      </c>
      <c r="W30" s="529">
        <v>0.11826881252718574</v>
      </c>
      <c r="Y30" s="529"/>
      <c r="Z30" s="466">
        <v>3</v>
      </c>
    </row>
    <row r="31" spans="1:26" x14ac:dyDescent="0.3">
      <c r="A31" s="489">
        <v>150000521</v>
      </c>
      <c r="B31" s="467" t="s">
        <v>252</v>
      </c>
      <c r="C31" s="509">
        <v>182.45</v>
      </c>
      <c r="D31" s="509">
        <v>39.42</v>
      </c>
      <c r="E31" s="524">
        <v>0</v>
      </c>
      <c r="F31" s="524">
        <v>100.88</v>
      </c>
      <c r="G31" s="473">
        <v>221.33</v>
      </c>
      <c r="H31" s="523">
        <v>221.33</v>
      </c>
      <c r="I31" s="473"/>
      <c r="J31" s="523">
        <v>0</v>
      </c>
      <c r="K31" s="473">
        <v>65.72</v>
      </c>
      <c r="L31" s="523">
        <v>65.72</v>
      </c>
      <c r="M31" s="525">
        <v>663.18147079994412</v>
      </c>
      <c r="N31" s="526">
        <v>1785.0185131043659</v>
      </c>
      <c r="O31" s="527">
        <v>322.75</v>
      </c>
      <c r="P31" s="527">
        <v>71.00500000000001</v>
      </c>
      <c r="Q31" s="527">
        <v>47.371712988344598</v>
      </c>
      <c r="R31" s="527">
        <v>287.05</v>
      </c>
      <c r="S31" s="527">
        <v>663.18147079994412</v>
      </c>
      <c r="T31" s="527">
        <v>308.14020012917922</v>
      </c>
      <c r="U31" s="527">
        <v>85.520129186897918</v>
      </c>
      <c r="V31" s="528">
        <v>1785.0185131043661</v>
      </c>
      <c r="W31" s="529">
        <v>1.0898997114165738</v>
      </c>
      <c r="Y31" s="529">
        <v>0</v>
      </c>
      <c r="Z31" s="466">
        <v>2</v>
      </c>
    </row>
    <row r="32" spans="1:26" x14ac:dyDescent="0.3">
      <c r="A32" s="489">
        <v>150000522</v>
      </c>
      <c r="B32" s="467" t="s">
        <v>56</v>
      </c>
      <c r="C32" s="509">
        <v>0</v>
      </c>
      <c r="D32" s="509">
        <v>0</v>
      </c>
      <c r="E32" s="524">
        <v>0</v>
      </c>
      <c r="F32" s="524">
        <v>0</v>
      </c>
      <c r="G32" s="473"/>
      <c r="H32" s="523">
        <v>0</v>
      </c>
      <c r="I32" s="473"/>
      <c r="J32" s="523">
        <v>0</v>
      </c>
      <c r="K32" s="473">
        <v>27.19</v>
      </c>
      <c r="L32" s="523">
        <v>27.19</v>
      </c>
      <c r="M32" s="525">
        <v>0</v>
      </c>
      <c r="N32" s="526">
        <v>27.19</v>
      </c>
      <c r="O32" s="527">
        <v>0</v>
      </c>
      <c r="P32" s="527">
        <v>0</v>
      </c>
      <c r="Q32" s="527">
        <v>0</v>
      </c>
      <c r="R32" s="527">
        <v>27.19</v>
      </c>
      <c r="S32" s="527">
        <v>0</v>
      </c>
      <c r="T32" s="527">
        <v>0</v>
      </c>
      <c r="U32" s="527">
        <v>0</v>
      </c>
      <c r="V32" s="528">
        <v>27.19</v>
      </c>
      <c r="W32" s="529">
        <v>0.20567322239031774</v>
      </c>
      <c r="Y32" s="529"/>
      <c r="Z32" s="466">
        <v>2</v>
      </c>
    </row>
    <row r="33" spans="1:26" x14ac:dyDescent="0.3">
      <c r="A33" s="489">
        <v>150000523</v>
      </c>
      <c r="B33" s="467" t="s">
        <v>57</v>
      </c>
      <c r="C33" s="509">
        <v>0</v>
      </c>
      <c r="D33" s="509">
        <v>0</v>
      </c>
      <c r="E33" s="524">
        <v>0</v>
      </c>
      <c r="F33" s="524">
        <v>0</v>
      </c>
      <c r="G33" s="473"/>
      <c r="H33" s="523">
        <v>0</v>
      </c>
      <c r="I33" s="473"/>
      <c r="J33" s="523">
        <v>0</v>
      </c>
      <c r="K33" s="473">
        <v>50.66</v>
      </c>
      <c r="L33" s="523">
        <v>50.66</v>
      </c>
      <c r="M33" s="525">
        <v>0</v>
      </c>
      <c r="N33" s="526">
        <v>50.66</v>
      </c>
      <c r="O33" s="527">
        <v>0</v>
      </c>
      <c r="P33" s="527">
        <v>0</v>
      </c>
      <c r="Q33" s="527">
        <v>0</v>
      </c>
      <c r="R33" s="527">
        <v>50.66</v>
      </c>
      <c r="S33" s="527">
        <v>0</v>
      </c>
      <c r="T33" s="527">
        <v>0</v>
      </c>
      <c r="U33" s="527">
        <v>0</v>
      </c>
      <c r="V33" s="528">
        <v>50.66</v>
      </c>
      <c r="W33" s="529">
        <v>0.96092725372734655</v>
      </c>
      <c r="Y33" s="529">
        <v>0</v>
      </c>
      <c r="Z33" s="466">
        <v>2</v>
      </c>
    </row>
    <row r="34" spans="1:26" x14ac:dyDescent="0.3">
      <c r="A34" s="489">
        <v>150000524</v>
      </c>
      <c r="B34" s="467" t="s">
        <v>58</v>
      </c>
      <c r="C34" s="509">
        <v>0</v>
      </c>
      <c r="D34" s="509">
        <v>0</v>
      </c>
      <c r="E34" s="524">
        <v>0</v>
      </c>
      <c r="F34" s="524">
        <v>0</v>
      </c>
      <c r="G34" s="473"/>
      <c r="H34" s="523">
        <v>0</v>
      </c>
      <c r="I34" s="473"/>
      <c r="J34" s="523">
        <v>0</v>
      </c>
      <c r="K34" s="473">
        <v>13.595000000000001</v>
      </c>
      <c r="L34" s="523">
        <v>13.595000000000001</v>
      </c>
      <c r="M34" s="525">
        <v>0</v>
      </c>
      <c r="N34" s="526">
        <v>13.595000000000001</v>
      </c>
      <c r="O34" s="527">
        <v>0</v>
      </c>
      <c r="P34" s="527">
        <v>0</v>
      </c>
      <c r="Q34" s="527">
        <v>0</v>
      </c>
      <c r="R34" s="527">
        <v>13.595000000000001</v>
      </c>
      <c r="S34" s="527">
        <v>0</v>
      </c>
      <c r="T34" s="527">
        <v>0</v>
      </c>
      <c r="U34" s="527">
        <v>0</v>
      </c>
      <c r="V34" s="528">
        <v>13.595000000000001</v>
      </c>
      <c r="W34" s="529">
        <v>1.014596904606321</v>
      </c>
      <c r="Y34" s="529">
        <v>0</v>
      </c>
      <c r="Z34" s="466">
        <v>2</v>
      </c>
    </row>
    <row r="35" spans="1:26" x14ac:dyDescent="0.3">
      <c r="A35" s="489">
        <v>150000527</v>
      </c>
      <c r="B35" s="467" t="s">
        <v>60</v>
      </c>
      <c r="C35" s="509">
        <v>0</v>
      </c>
      <c r="D35" s="509">
        <v>0</v>
      </c>
      <c r="E35" s="524">
        <v>0</v>
      </c>
      <c r="F35" s="524">
        <v>0</v>
      </c>
      <c r="G35" s="473"/>
      <c r="H35" s="523">
        <v>0</v>
      </c>
      <c r="I35" s="473"/>
      <c r="J35" s="523">
        <v>0</v>
      </c>
      <c r="K35" s="473">
        <v>27.19</v>
      </c>
      <c r="L35" s="523">
        <v>27.19</v>
      </c>
      <c r="M35" s="525">
        <v>0</v>
      </c>
      <c r="N35" s="526">
        <v>27.19</v>
      </c>
      <c r="O35" s="527">
        <v>0</v>
      </c>
      <c r="P35" s="527">
        <v>0</v>
      </c>
      <c r="Q35" s="527">
        <v>0</v>
      </c>
      <c r="R35" s="527">
        <v>27.19</v>
      </c>
      <c r="S35" s="527">
        <v>0</v>
      </c>
      <c r="T35" s="527">
        <v>0</v>
      </c>
      <c r="U35" s="527">
        <v>0</v>
      </c>
      <c r="V35" s="528">
        <v>27.19</v>
      </c>
      <c r="W35" s="529">
        <v>1.1480490594702264</v>
      </c>
      <c r="Y35" s="529">
        <v>0</v>
      </c>
      <c r="Z35" s="466">
        <v>2</v>
      </c>
    </row>
    <row r="36" spans="1:26" x14ac:dyDescent="0.3">
      <c r="A36" s="489">
        <v>150000529</v>
      </c>
      <c r="B36" s="467" t="s">
        <v>347</v>
      </c>
      <c r="C36" s="509">
        <v>469.96</v>
      </c>
      <c r="D36" s="509">
        <v>79.569999999999993</v>
      </c>
      <c r="E36" s="524">
        <v>77.92</v>
      </c>
      <c r="F36" s="524">
        <v>620.69000000000005</v>
      </c>
      <c r="G36" s="473">
        <v>1062.27</v>
      </c>
      <c r="H36" s="523">
        <v>1062.27</v>
      </c>
      <c r="I36" s="473">
        <v>230.76</v>
      </c>
      <c r="J36" s="523">
        <v>230.76</v>
      </c>
      <c r="K36" s="473">
        <v>111.02</v>
      </c>
      <c r="L36" s="523">
        <v>111.02</v>
      </c>
      <c r="M36" s="525">
        <v>3008.4216188681862</v>
      </c>
      <c r="N36" s="526">
        <v>7633.7897578003958</v>
      </c>
      <c r="O36" s="527">
        <v>1248.1399999999999</v>
      </c>
      <c r="P36" s="527">
        <v>274.5908</v>
      </c>
      <c r="Q36" s="527">
        <v>176.93704433307369</v>
      </c>
      <c r="R36" s="527">
        <v>1404.05</v>
      </c>
      <c r="S36" s="527">
        <v>3008.4216188681862</v>
      </c>
      <c r="T36" s="527">
        <v>1191.6409276196246</v>
      </c>
      <c r="U36" s="527">
        <v>330.0093669795105</v>
      </c>
      <c r="V36" s="528">
        <v>7633.7897578003949</v>
      </c>
      <c r="W36" s="529">
        <v>1.1205398460450733</v>
      </c>
      <c r="Y36" s="529">
        <v>0</v>
      </c>
      <c r="Z36" s="466">
        <v>2</v>
      </c>
    </row>
    <row r="37" spans="1:26" x14ac:dyDescent="0.3">
      <c r="A37" s="489">
        <v>150000530</v>
      </c>
      <c r="B37" s="467" t="s">
        <v>62</v>
      </c>
      <c r="C37" s="509">
        <v>0</v>
      </c>
      <c r="D37" s="509">
        <v>0</v>
      </c>
      <c r="E37" s="524">
        <v>0</v>
      </c>
      <c r="F37" s="524">
        <v>0</v>
      </c>
      <c r="G37" s="473"/>
      <c r="H37" s="523">
        <v>0</v>
      </c>
      <c r="I37" s="473"/>
      <c r="J37" s="523">
        <v>0</v>
      </c>
      <c r="K37" s="473">
        <v>31.87</v>
      </c>
      <c r="L37" s="523">
        <v>31.87</v>
      </c>
      <c r="M37" s="525">
        <v>0</v>
      </c>
      <c r="N37" s="526">
        <v>31.87</v>
      </c>
      <c r="O37" s="527">
        <v>0</v>
      </c>
      <c r="P37" s="527">
        <v>0</v>
      </c>
      <c r="Q37" s="527">
        <v>0</v>
      </c>
      <c r="R37" s="527">
        <v>31.87</v>
      </c>
      <c r="S37" s="527">
        <v>0</v>
      </c>
      <c r="T37" s="527">
        <v>0</v>
      </c>
      <c r="U37" s="527">
        <v>0</v>
      </c>
      <c r="V37" s="528">
        <v>31.87</v>
      </c>
      <c r="W37" s="529">
        <v>0.98140557208845913</v>
      </c>
      <c r="Y37" s="529">
        <v>0</v>
      </c>
      <c r="Z37" s="466">
        <v>2</v>
      </c>
    </row>
    <row r="38" spans="1:26" x14ac:dyDescent="0.3">
      <c r="A38" s="489">
        <v>150000531</v>
      </c>
      <c r="B38" s="467" t="s">
        <v>348</v>
      </c>
      <c r="C38" s="509">
        <v>641.33000000000004</v>
      </c>
      <c r="D38" s="509">
        <v>106.93</v>
      </c>
      <c r="E38" s="524">
        <v>116.88</v>
      </c>
      <c r="F38" s="524">
        <v>483.03</v>
      </c>
      <c r="G38" s="473">
        <v>950.47</v>
      </c>
      <c r="H38" s="523">
        <v>950.47</v>
      </c>
      <c r="I38" s="473">
        <v>205.6</v>
      </c>
      <c r="J38" s="523">
        <v>205.6</v>
      </c>
      <c r="K38" s="473">
        <v>73.260000000000005</v>
      </c>
      <c r="L38" s="523">
        <v>73.260000000000005</v>
      </c>
      <c r="M38" s="525">
        <v>2713.1932674651703</v>
      </c>
      <c r="N38" s="526">
        <v>7407.1017813543367</v>
      </c>
      <c r="O38" s="527">
        <v>1348.17</v>
      </c>
      <c r="P38" s="527">
        <v>296.59739999999999</v>
      </c>
      <c r="Q38" s="527">
        <v>177.73792163324748</v>
      </c>
      <c r="R38" s="527">
        <v>1229.33</v>
      </c>
      <c r="S38" s="527">
        <v>2713.1932674651703</v>
      </c>
      <c r="T38" s="527">
        <v>1287.142908158499</v>
      </c>
      <c r="U38" s="527">
        <v>354.93028409741862</v>
      </c>
      <c r="V38" s="528">
        <v>7407.1017813543358</v>
      </c>
      <c r="W38" s="529">
        <v>1.1102210426428625</v>
      </c>
      <c r="Y38" s="529">
        <v>0</v>
      </c>
      <c r="Z38" s="466">
        <v>2</v>
      </c>
    </row>
    <row r="39" spans="1:26" x14ac:dyDescent="0.3">
      <c r="A39" s="489">
        <v>150000532</v>
      </c>
      <c r="B39" s="467" t="s">
        <v>253</v>
      </c>
      <c r="C39" s="509">
        <v>269.06</v>
      </c>
      <c r="D39" s="509">
        <v>58.04</v>
      </c>
      <c r="E39" s="524">
        <v>17.98</v>
      </c>
      <c r="F39" s="524">
        <v>157.88999999999999</v>
      </c>
      <c r="G39" s="473">
        <v>319.27999999999997</v>
      </c>
      <c r="H39" s="523">
        <v>319.27999999999997</v>
      </c>
      <c r="I39" s="473">
        <v>66.63</v>
      </c>
      <c r="J39" s="523">
        <v>66.63</v>
      </c>
      <c r="K39" s="473">
        <v>73.260000000000005</v>
      </c>
      <c r="L39" s="523">
        <v>73.260000000000005</v>
      </c>
      <c r="M39" s="525">
        <v>887.18872163155868</v>
      </c>
      <c r="N39" s="526">
        <v>2653.8433600780563</v>
      </c>
      <c r="O39" s="527">
        <v>502.97</v>
      </c>
      <c r="P39" s="527">
        <v>110.6534</v>
      </c>
      <c r="Q39" s="527">
        <v>79.713143308170899</v>
      </c>
      <c r="R39" s="527">
        <v>459.16999999999996</v>
      </c>
      <c r="S39" s="527">
        <v>887.18872163155868</v>
      </c>
      <c r="T39" s="527">
        <v>480.20225084112559</v>
      </c>
      <c r="U39" s="527">
        <v>133.94584429720095</v>
      </c>
      <c r="V39" s="528">
        <v>2653.8433600780559</v>
      </c>
      <c r="W39" s="529">
        <v>1.0433540619596815</v>
      </c>
      <c r="Y39" s="529">
        <v>0</v>
      </c>
      <c r="Z39" s="466">
        <v>2</v>
      </c>
    </row>
    <row r="40" spans="1:26" x14ac:dyDescent="0.3">
      <c r="A40" s="489">
        <v>150000533</v>
      </c>
      <c r="B40" s="467" t="s">
        <v>349</v>
      </c>
      <c r="C40" s="509">
        <v>1046.07</v>
      </c>
      <c r="D40" s="509">
        <v>180.21</v>
      </c>
      <c r="E40" s="524">
        <v>194.8</v>
      </c>
      <c r="F40" s="524">
        <v>919.73</v>
      </c>
      <c r="G40" s="473">
        <v>1439.12</v>
      </c>
      <c r="H40" s="523">
        <v>1439.12</v>
      </c>
      <c r="I40" s="473">
        <v>312.35000000000002</v>
      </c>
      <c r="J40" s="523">
        <v>312.35000000000002</v>
      </c>
      <c r="K40" s="473">
        <v>10.61</v>
      </c>
      <c r="L40" s="523">
        <v>10.61</v>
      </c>
      <c r="M40" s="525">
        <v>4054.0405883837875</v>
      </c>
      <c r="N40" s="526">
        <v>11776.89909877321</v>
      </c>
      <c r="O40" s="527">
        <v>2340.81</v>
      </c>
      <c r="P40" s="527">
        <v>514.97820000000002</v>
      </c>
      <c r="Q40" s="527">
        <v>259.4862535446515</v>
      </c>
      <c r="R40" s="527">
        <v>1762.0799999999997</v>
      </c>
      <c r="S40" s="527">
        <v>4054.0405883837875</v>
      </c>
      <c r="T40" s="527">
        <v>2234.8494558152879</v>
      </c>
      <c r="U40" s="527">
        <v>610.65460102948236</v>
      </c>
      <c r="V40" s="528">
        <v>11776.899098773209</v>
      </c>
      <c r="W40" s="529">
        <v>0.91209374795404496</v>
      </c>
      <c r="Y40" s="529">
        <v>0</v>
      </c>
      <c r="Z40" s="466">
        <v>2</v>
      </c>
    </row>
    <row r="41" spans="1:26" x14ac:dyDescent="0.3">
      <c r="A41" s="489">
        <v>150000534</v>
      </c>
      <c r="B41" s="467" t="s">
        <v>254</v>
      </c>
      <c r="C41" s="509">
        <v>269.08</v>
      </c>
      <c r="D41" s="509">
        <v>58.04</v>
      </c>
      <c r="E41" s="524">
        <v>17.98</v>
      </c>
      <c r="F41" s="524">
        <v>157.88999999999999</v>
      </c>
      <c r="G41" s="473">
        <v>319.98</v>
      </c>
      <c r="H41" s="523">
        <v>319.98</v>
      </c>
      <c r="I41" s="473">
        <v>67.790000000000006</v>
      </c>
      <c r="J41" s="523">
        <v>67.790000000000006</v>
      </c>
      <c r="K41" s="473">
        <v>56.92</v>
      </c>
      <c r="L41" s="523">
        <v>56.92</v>
      </c>
      <c r="M41" s="525">
        <v>884.17069720770564</v>
      </c>
      <c r="N41" s="526">
        <v>2636.3946524856633</v>
      </c>
      <c r="O41" s="527">
        <v>502.99</v>
      </c>
      <c r="P41" s="527">
        <v>110.65780000000001</v>
      </c>
      <c r="Q41" s="527">
        <v>79.7139131872284</v>
      </c>
      <c r="R41" s="527">
        <v>444.69000000000005</v>
      </c>
      <c r="S41" s="527">
        <v>884.17069720770564</v>
      </c>
      <c r="T41" s="527">
        <v>480.22134550883305</v>
      </c>
      <c r="U41" s="527">
        <v>133.95089658189613</v>
      </c>
      <c r="V41" s="528">
        <v>2636.3946524856628</v>
      </c>
      <c r="W41" s="529">
        <v>1.0044620418864605</v>
      </c>
      <c r="Y41" s="529">
        <v>0</v>
      </c>
      <c r="Z41" s="466">
        <v>3</v>
      </c>
    </row>
    <row r="42" spans="1:26" x14ac:dyDescent="0.3">
      <c r="A42" s="489">
        <v>150000535</v>
      </c>
      <c r="B42" s="467" t="s">
        <v>350</v>
      </c>
      <c r="C42" s="509">
        <v>1049.95</v>
      </c>
      <c r="D42" s="509">
        <v>180.21</v>
      </c>
      <c r="E42" s="524">
        <v>194.8</v>
      </c>
      <c r="F42" s="524">
        <v>919.73</v>
      </c>
      <c r="G42" s="473">
        <v>1384.39</v>
      </c>
      <c r="H42" s="523">
        <v>1384.39</v>
      </c>
      <c r="I42" s="473">
        <v>313.17</v>
      </c>
      <c r="J42" s="523">
        <v>313.17</v>
      </c>
      <c r="K42" s="473">
        <v>144.61000000000001</v>
      </c>
      <c r="L42" s="523">
        <v>144.61000000000001</v>
      </c>
      <c r="M42" s="525">
        <v>4082.1541807146041</v>
      </c>
      <c r="N42" s="526">
        <v>11894.705919271499</v>
      </c>
      <c r="O42" s="527">
        <v>2344.69</v>
      </c>
      <c r="P42" s="527">
        <v>515.83179999999993</v>
      </c>
      <c r="Q42" s="527">
        <v>259.66770920351149</v>
      </c>
      <c r="R42" s="527">
        <v>1842.17</v>
      </c>
      <c r="S42" s="527">
        <v>4082.1541807146041</v>
      </c>
      <c r="T42" s="527">
        <v>2238.5538213505351</v>
      </c>
      <c r="U42" s="527">
        <v>611.63840800284697</v>
      </c>
      <c r="V42" s="528">
        <v>11894.705919271499</v>
      </c>
      <c r="W42" s="529">
        <v>0.98146405476068832</v>
      </c>
      <c r="Y42" s="529">
        <v>0</v>
      </c>
      <c r="Z42" s="466">
        <v>3</v>
      </c>
    </row>
    <row r="43" spans="1:26" x14ac:dyDescent="0.3">
      <c r="A43" s="489">
        <v>150000537</v>
      </c>
      <c r="B43" s="467" t="s">
        <v>105</v>
      </c>
      <c r="C43" s="509">
        <v>0</v>
      </c>
      <c r="D43" s="509">
        <v>0</v>
      </c>
      <c r="E43" s="524">
        <v>0</v>
      </c>
      <c r="F43" s="524">
        <v>0</v>
      </c>
      <c r="G43" s="473"/>
      <c r="H43" s="523">
        <v>0</v>
      </c>
      <c r="I43" s="473"/>
      <c r="J43" s="523">
        <v>0</v>
      </c>
      <c r="K43" s="473">
        <v>13.537999999999998</v>
      </c>
      <c r="L43" s="523">
        <v>13.537999999999998</v>
      </c>
      <c r="M43" s="525">
        <v>0</v>
      </c>
      <c r="N43" s="526">
        <v>13.537999999999998</v>
      </c>
      <c r="O43" s="527">
        <v>0</v>
      </c>
      <c r="P43" s="527">
        <v>0</v>
      </c>
      <c r="Q43" s="527">
        <v>0</v>
      </c>
      <c r="R43" s="527">
        <v>13.537999999999998</v>
      </c>
      <c r="S43" s="527">
        <v>0</v>
      </c>
      <c r="T43" s="527">
        <v>0</v>
      </c>
      <c r="U43" s="527">
        <v>0</v>
      </c>
      <c r="V43" s="528">
        <v>13.537999999999998</v>
      </c>
      <c r="W43" s="529">
        <v>0.97765004167735303</v>
      </c>
      <c r="Y43" s="529">
        <v>0</v>
      </c>
      <c r="Z43" s="466">
        <v>3</v>
      </c>
    </row>
    <row r="44" spans="1:26" x14ac:dyDescent="0.3">
      <c r="A44" s="489">
        <v>150000538</v>
      </c>
      <c r="B44" s="467" t="s">
        <v>207</v>
      </c>
      <c r="C44" s="509">
        <v>155.51</v>
      </c>
      <c r="D44" s="509">
        <v>24.16</v>
      </c>
      <c r="E44" s="524">
        <v>0</v>
      </c>
      <c r="F44" s="524">
        <v>88.65</v>
      </c>
      <c r="G44" s="473">
        <v>168.01</v>
      </c>
      <c r="H44" s="523">
        <v>168.01</v>
      </c>
      <c r="I44" s="473"/>
      <c r="J44" s="523">
        <v>0</v>
      </c>
      <c r="K44" s="473">
        <v>65.67</v>
      </c>
      <c r="L44" s="523">
        <v>65.67</v>
      </c>
      <c r="M44" s="525">
        <v>523.53993931138939</v>
      </c>
      <c r="N44" s="526">
        <v>1453.7294745140714</v>
      </c>
      <c r="O44" s="527">
        <v>268.32</v>
      </c>
      <c r="P44" s="527">
        <v>59.0304</v>
      </c>
      <c r="Q44" s="527">
        <v>41.630844661485497</v>
      </c>
      <c r="R44" s="527">
        <v>233.68</v>
      </c>
      <c r="S44" s="527">
        <v>523.53993931138939</v>
      </c>
      <c r="T44" s="527">
        <v>256.1740619633195</v>
      </c>
      <c r="U44" s="527">
        <v>71.354228577877009</v>
      </c>
      <c r="V44" s="528">
        <v>1453.7294745140712</v>
      </c>
      <c r="W44" s="529">
        <v>0.90986827695658878</v>
      </c>
      <c r="Y44" s="529">
        <v>0</v>
      </c>
      <c r="Z44" s="466">
        <v>3</v>
      </c>
    </row>
    <row r="45" spans="1:26" x14ac:dyDescent="0.3">
      <c r="A45" s="489">
        <v>150000539</v>
      </c>
      <c r="B45" s="467" t="s">
        <v>54</v>
      </c>
      <c r="C45" s="509">
        <v>0</v>
      </c>
      <c r="D45" s="509">
        <v>0</v>
      </c>
      <c r="E45" s="524">
        <v>0</v>
      </c>
      <c r="F45" s="524">
        <v>0</v>
      </c>
      <c r="G45" s="473"/>
      <c r="H45" s="523">
        <v>0</v>
      </c>
      <c r="I45" s="473"/>
      <c r="J45" s="523">
        <v>0</v>
      </c>
      <c r="K45" s="473">
        <v>13.74</v>
      </c>
      <c r="L45" s="523">
        <v>13.74</v>
      </c>
      <c r="M45" s="525">
        <v>0</v>
      </c>
      <c r="N45" s="526">
        <v>13.74</v>
      </c>
      <c r="O45" s="527">
        <v>0</v>
      </c>
      <c r="P45" s="527">
        <v>0</v>
      </c>
      <c r="Q45" s="527">
        <v>0</v>
      </c>
      <c r="R45" s="527">
        <v>13.74</v>
      </c>
      <c r="S45" s="527">
        <v>0</v>
      </c>
      <c r="T45" s="527">
        <v>0</v>
      </c>
      <c r="U45" s="527">
        <v>0</v>
      </c>
      <c r="V45" s="528">
        <v>13.74</v>
      </c>
      <c r="W45" s="529">
        <v>0.89673104080243171</v>
      </c>
      <c r="Y45" s="529">
        <v>0</v>
      </c>
      <c r="Z45" s="466">
        <v>3</v>
      </c>
    </row>
    <row r="46" spans="1:26" x14ac:dyDescent="0.3">
      <c r="A46" s="489">
        <v>150000541</v>
      </c>
      <c r="B46" s="467" t="s">
        <v>59</v>
      </c>
      <c r="C46" s="509">
        <v>0</v>
      </c>
      <c r="D46" s="509">
        <v>0</v>
      </c>
      <c r="E46" s="524">
        <v>0</v>
      </c>
      <c r="F46" s="524">
        <v>0</v>
      </c>
      <c r="G46" s="473"/>
      <c r="H46" s="523">
        <v>0</v>
      </c>
      <c r="I46" s="473"/>
      <c r="J46" s="523">
        <v>0</v>
      </c>
      <c r="K46" s="473">
        <v>25.61</v>
      </c>
      <c r="L46" s="523">
        <v>25.61</v>
      </c>
      <c r="M46" s="525">
        <v>0</v>
      </c>
      <c r="N46" s="526">
        <v>25.61</v>
      </c>
      <c r="O46" s="527">
        <v>0</v>
      </c>
      <c r="P46" s="527">
        <v>0</v>
      </c>
      <c r="Q46" s="527">
        <v>0</v>
      </c>
      <c r="R46" s="527">
        <v>25.61</v>
      </c>
      <c r="S46" s="527">
        <v>0</v>
      </c>
      <c r="T46" s="527">
        <v>0</v>
      </c>
      <c r="U46" s="527">
        <v>0</v>
      </c>
      <c r="V46" s="528">
        <v>25.61</v>
      </c>
      <c r="W46" s="529">
        <v>1.0029501274044288</v>
      </c>
      <c r="Y46" s="529">
        <v>0</v>
      </c>
      <c r="Z46" s="466">
        <v>2</v>
      </c>
    </row>
    <row r="47" spans="1:26" x14ac:dyDescent="0.3">
      <c r="A47" s="489">
        <v>150000542</v>
      </c>
      <c r="B47" s="467" t="s">
        <v>61</v>
      </c>
      <c r="C47" s="509">
        <v>0</v>
      </c>
      <c r="D47" s="509">
        <v>0</v>
      </c>
      <c r="E47" s="524">
        <v>0</v>
      </c>
      <c r="F47" s="524">
        <v>0</v>
      </c>
      <c r="G47" s="473"/>
      <c r="H47" s="523">
        <v>0</v>
      </c>
      <c r="I47" s="473"/>
      <c r="J47" s="523">
        <v>0</v>
      </c>
      <c r="K47" s="473">
        <v>27.19</v>
      </c>
      <c r="L47" s="523">
        <v>27.19</v>
      </c>
      <c r="M47" s="525">
        <v>0</v>
      </c>
      <c r="N47" s="526">
        <v>27.19</v>
      </c>
      <c r="O47" s="527">
        <v>0</v>
      </c>
      <c r="P47" s="527">
        <v>0</v>
      </c>
      <c r="Q47" s="527">
        <v>0</v>
      </c>
      <c r="R47" s="527">
        <v>27.19</v>
      </c>
      <c r="S47" s="527">
        <v>0</v>
      </c>
      <c r="T47" s="527">
        <v>0</v>
      </c>
      <c r="U47" s="527">
        <v>0</v>
      </c>
      <c r="V47" s="528">
        <v>27.19</v>
      </c>
      <c r="W47" s="529">
        <v>2.6879606879606881E-2</v>
      </c>
      <c r="Y47" s="529"/>
      <c r="Z47" s="466">
        <v>3</v>
      </c>
    </row>
    <row r="48" spans="1:26" x14ac:dyDescent="0.3">
      <c r="A48" s="489">
        <v>150000543</v>
      </c>
      <c r="B48" s="467" t="s">
        <v>63</v>
      </c>
      <c r="C48" s="509">
        <v>0</v>
      </c>
      <c r="D48" s="509">
        <v>0</v>
      </c>
      <c r="E48" s="524">
        <v>0</v>
      </c>
      <c r="F48" s="524">
        <v>0</v>
      </c>
      <c r="G48" s="473"/>
      <c r="H48" s="523">
        <v>0</v>
      </c>
      <c r="I48" s="473"/>
      <c r="J48" s="523">
        <v>0</v>
      </c>
      <c r="K48" s="473">
        <v>19.34</v>
      </c>
      <c r="L48" s="523">
        <v>19.34</v>
      </c>
      <c r="M48" s="525">
        <v>0</v>
      </c>
      <c r="N48" s="526">
        <v>19.34</v>
      </c>
      <c r="O48" s="527">
        <v>0</v>
      </c>
      <c r="P48" s="527">
        <v>0</v>
      </c>
      <c r="Q48" s="527">
        <v>0</v>
      </c>
      <c r="R48" s="527">
        <v>19.34</v>
      </c>
      <c r="S48" s="527">
        <v>0</v>
      </c>
      <c r="T48" s="527">
        <v>0</v>
      </c>
      <c r="U48" s="527">
        <v>0</v>
      </c>
      <c r="V48" s="528">
        <v>19.34</v>
      </c>
      <c r="W48" s="529">
        <v>9.0701266604881065E-2</v>
      </c>
      <c r="Y48" s="529"/>
      <c r="Z48" s="466">
        <v>3</v>
      </c>
    </row>
    <row r="49" spans="1:26" x14ac:dyDescent="0.3">
      <c r="A49" s="489">
        <v>150000544</v>
      </c>
      <c r="B49" s="467" t="s">
        <v>64</v>
      </c>
      <c r="C49" s="509">
        <v>0</v>
      </c>
      <c r="D49" s="509">
        <v>0</v>
      </c>
      <c r="E49" s="524">
        <v>0</v>
      </c>
      <c r="F49" s="524">
        <v>0</v>
      </c>
      <c r="G49" s="473"/>
      <c r="H49" s="523">
        <v>0</v>
      </c>
      <c r="I49" s="473"/>
      <c r="J49" s="523">
        <v>0</v>
      </c>
      <c r="K49" s="473">
        <v>25.61</v>
      </c>
      <c r="L49" s="523">
        <v>25.61</v>
      </c>
      <c r="M49" s="525">
        <v>0</v>
      </c>
      <c r="N49" s="526">
        <v>25.61</v>
      </c>
      <c r="O49" s="527">
        <v>0</v>
      </c>
      <c r="P49" s="527">
        <v>0</v>
      </c>
      <c r="Q49" s="527">
        <v>0</v>
      </c>
      <c r="R49" s="527">
        <v>25.61</v>
      </c>
      <c r="S49" s="527">
        <v>0</v>
      </c>
      <c r="T49" s="527">
        <v>0</v>
      </c>
      <c r="U49" s="527">
        <v>0</v>
      </c>
      <c r="V49" s="528">
        <v>25.61</v>
      </c>
      <c r="W49" s="529">
        <v>1.1251103946924905</v>
      </c>
      <c r="Y49" s="529">
        <v>0</v>
      </c>
      <c r="Z49" s="466">
        <v>1</v>
      </c>
    </row>
    <row r="50" spans="1:26" x14ac:dyDescent="0.3">
      <c r="A50" s="489">
        <v>150000545</v>
      </c>
      <c r="B50" s="467" t="s">
        <v>106</v>
      </c>
      <c r="C50" s="509">
        <v>0</v>
      </c>
      <c r="D50" s="509">
        <v>0</v>
      </c>
      <c r="E50" s="524">
        <v>0</v>
      </c>
      <c r="F50" s="524">
        <v>0</v>
      </c>
      <c r="G50" s="473"/>
      <c r="H50" s="523">
        <v>0</v>
      </c>
      <c r="I50" s="473"/>
      <c r="J50" s="523">
        <v>0</v>
      </c>
      <c r="K50" s="473">
        <v>15.935</v>
      </c>
      <c r="L50" s="523">
        <v>15.935</v>
      </c>
      <c r="M50" s="525">
        <v>0</v>
      </c>
      <c r="N50" s="526">
        <v>15.935</v>
      </c>
      <c r="O50" s="527">
        <v>0</v>
      </c>
      <c r="P50" s="527">
        <v>0</v>
      </c>
      <c r="Q50" s="527">
        <v>0</v>
      </c>
      <c r="R50" s="527">
        <v>15.935</v>
      </c>
      <c r="S50" s="527">
        <v>0</v>
      </c>
      <c r="T50" s="527">
        <v>0</v>
      </c>
      <c r="U50" s="527">
        <v>0</v>
      </c>
      <c r="V50" s="528">
        <v>15.935</v>
      </c>
      <c r="W50" s="529">
        <v>1.2081633260862636</v>
      </c>
      <c r="Y50" s="529">
        <v>0</v>
      </c>
      <c r="Z50" s="466">
        <v>1</v>
      </c>
    </row>
    <row r="51" spans="1:26" x14ac:dyDescent="0.3">
      <c r="A51" s="489">
        <v>150000546</v>
      </c>
      <c r="B51" s="467" t="s">
        <v>107</v>
      </c>
      <c r="C51" s="509">
        <v>0</v>
      </c>
      <c r="D51" s="509">
        <v>0</v>
      </c>
      <c r="E51" s="524">
        <v>0</v>
      </c>
      <c r="F51" s="524">
        <v>0</v>
      </c>
      <c r="G51" s="473"/>
      <c r="H51" s="523">
        <v>0</v>
      </c>
      <c r="I51" s="473"/>
      <c r="J51" s="523">
        <v>0</v>
      </c>
      <c r="K51" s="473">
        <v>10.9</v>
      </c>
      <c r="L51" s="523">
        <v>10.9</v>
      </c>
      <c r="M51" s="525">
        <v>0</v>
      </c>
      <c r="N51" s="526">
        <v>10.9</v>
      </c>
      <c r="O51" s="527">
        <v>0</v>
      </c>
      <c r="P51" s="527">
        <v>0</v>
      </c>
      <c r="Q51" s="527">
        <v>0</v>
      </c>
      <c r="R51" s="527">
        <v>10.9</v>
      </c>
      <c r="S51" s="527">
        <v>0</v>
      </c>
      <c r="T51" s="527">
        <v>0</v>
      </c>
      <c r="U51" s="527">
        <v>0</v>
      </c>
      <c r="V51" s="528">
        <v>10.9</v>
      </c>
      <c r="W51" s="529">
        <v>1.1707284564263809</v>
      </c>
      <c r="Y51" s="529">
        <v>0</v>
      </c>
      <c r="Z51" s="466">
        <v>1</v>
      </c>
    </row>
    <row r="52" spans="1:26" x14ac:dyDescent="0.3">
      <c r="A52" s="489">
        <v>150000547</v>
      </c>
      <c r="B52" s="467" t="s">
        <v>247</v>
      </c>
      <c r="C52" s="509">
        <v>355.23</v>
      </c>
      <c r="D52" s="509">
        <v>67.87</v>
      </c>
      <c r="E52" s="524">
        <v>23.98</v>
      </c>
      <c r="F52" s="524">
        <v>225.48</v>
      </c>
      <c r="G52" s="473">
        <v>343.96</v>
      </c>
      <c r="H52" s="523">
        <v>343.96</v>
      </c>
      <c r="I52" s="473">
        <v>74.48</v>
      </c>
      <c r="J52" s="523">
        <v>74.48</v>
      </c>
      <c r="K52" s="473">
        <v>75.709999999999994</v>
      </c>
      <c r="L52" s="523">
        <v>75.709999999999994</v>
      </c>
      <c r="M52" s="525">
        <v>977.41945656099665</v>
      </c>
      <c r="N52" s="526">
        <v>3211.4252288232055</v>
      </c>
      <c r="O52" s="527">
        <v>672.56000000000006</v>
      </c>
      <c r="P52" s="527">
        <v>147.9632</v>
      </c>
      <c r="Q52" s="527">
        <v>98.976789525764005</v>
      </c>
      <c r="R52" s="527">
        <v>494.15</v>
      </c>
      <c r="S52" s="527">
        <v>977.41945656099665</v>
      </c>
      <c r="T52" s="527">
        <v>642.11548566655551</v>
      </c>
      <c r="U52" s="527">
        <v>178.24029706988901</v>
      </c>
      <c r="V52" s="528">
        <v>3211.4252288232051</v>
      </c>
      <c r="W52" s="529">
        <v>0.1088470776621297</v>
      </c>
      <c r="Y52" s="529"/>
      <c r="Z52" s="466">
        <v>2</v>
      </c>
    </row>
    <row r="53" spans="1:26" x14ac:dyDescent="0.3">
      <c r="A53" s="489">
        <v>150000548</v>
      </c>
      <c r="B53" s="467" t="s">
        <v>246</v>
      </c>
      <c r="C53" s="509">
        <v>255.42</v>
      </c>
      <c r="D53" s="509">
        <v>59.71</v>
      </c>
      <c r="E53" s="524">
        <v>17.98</v>
      </c>
      <c r="F53" s="524">
        <v>169.91</v>
      </c>
      <c r="G53" s="473">
        <v>276.48</v>
      </c>
      <c r="H53" s="523">
        <v>276.48</v>
      </c>
      <c r="I53" s="473">
        <v>54.24</v>
      </c>
      <c r="J53" s="523">
        <v>54.24</v>
      </c>
      <c r="K53" s="473">
        <v>38.130000000000003</v>
      </c>
      <c r="L53" s="523">
        <v>38.130000000000003</v>
      </c>
      <c r="M53" s="525">
        <v>780.30362288029119</v>
      </c>
      <c r="N53" s="526">
        <v>2463.8792533370852</v>
      </c>
      <c r="O53" s="527">
        <v>503.02</v>
      </c>
      <c r="P53" s="527">
        <v>110.6644</v>
      </c>
      <c r="Q53" s="527">
        <v>86.103592007767702</v>
      </c>
      <c r="R53" s="527">
        <v>368.85</v>
      </c>
      <c r="S53" s="527">
        <v>780.30362288029119</v>
      </c>
      <c r="T53" s="527">
        <v>480.24998751039431</v>
      </c>
      <c r="U53" s="527">
        <v>134.6876509386318</v>
      </c>
      <c r="V53" s="528">
        <v>2463.8792533370852</v>
      </c>
      <c r="W53" s="529">
        <v>0.87792890571790838</v>
      </c>
      <c r="Y53" s="529">
        <v>0</v>
      </c>
      <c r="Z53" s="466">
        <v>2</v>
      </c>
    </row>
    <row r="54" spans="1:26" x14ac:dyDescent="0.3">
      <c r="A54" s="489">
        <v>150000549</v>
      </c>
      <c r="B54" s="467" t="s">
        <v>206</v>
      </c>
      <c r="C54" s="509">
        <v>185.05</v>
      </c>
      <c r="D54" s="509">
        <v>45.92</v>
      </c>
      <c r="E54" s="524">
        <v>0</v>
      </c>
      <c r="F54" s="524">
        <v>85.66</v>
      </c>
      <c r="G54" s="473">
        <v>141.65</v>
      </c>
      <c r="H54" s="523">
        <v>141.65</v>
      </c>
      <c r="I54" s="473">
        <v>27.73</v>
      </c>
      <c r="J54" s="523">
        <v>27.73</v>
      </c>
      <c r="K54" s="473">
        <v>16.850000000000001</v>
      </c>
      <c r="L54" s="523">
        <v>16.850000000000001</v>
      </c>
      <c r="M54" s="525">
        <v>418.00529068602543</v>
      </c>
      <c r="N54" s="526">
        <v>1417.3205610983177</v>
      </c>
      <c r="O54" s="527">
        <v>316.63</v>
      </c>
      <c r="P54" s="527">
        <v>69.658600000000007</v>
      </c>
      <c r="Q54" s="527">
        <v>41.202557071581502</v>
      </c>
      <c r="R54" s="527">
        <v>186.23</v>
      </c>
      <c r="S54" s="527">
        <v>418.00529068602543</v>
      </c>
      <c r="T54" s="527">
        <v>302.29723181069568</v>
      </c>
      <c r="U54" s="527">
        <v>83.296881530015042</v>
      </c>
      <c r="V54" s="528">
        <v>1417.3205610983175</v>
      </c>
      <c r="W54" s="529">
        <v>1.096998210966001</v>
      </c>
      <c r="Y54" s="529">
        <v>0</v>
      </c>
      <c r="Z54" s="466">
        <v>2</v>
      </c>
    </row>
    <row r="55" spans="1:26" x14ac:dyDescent="0.3">
      <c r="A55" s="489">
        <v>150000552</v>
      </c>
      <c r="B55" s="467" t="s">
        <v>91</v>
      </c>
      <c r="C55" s="509">
        <v>0</v>
      </c>
      <c r="D55" s="509">
        <v>0</v>
      </c>
      <c r="E55" s="524">
        <v>0</v>
      </c>
      <c r="F55" s="524">
        <v>0</v>
      </c>
      <c r="G55" s="473"/>
      <c r="H55" s="523">
        <v>0</v>
      </c>
      <c r="I55" s="473"/>
      <c r="J55" s="523">
        <v>0</v>
      </c>
      <c r="K55" s="473">
        <v>19.34</v>
      </c>
      <c r="L55" s="523">
        <v>19.34</v>
      </c>
      <c r="M55" s="525">
        <v>0</v>
      </c>
      <c r="N55" s="526">
        <v>19.34</v>
      </c>
      <c r="O55" s="527">
        <v>0</v>
      </c>
      <c r="P55" s="527">
        <v>0</v>
      </c>
      <c r="Q55" s="527">
        <v>0</v>
      </c>
      <c r="R55" s="527">
        <v>19.34</v>
      </c>
      <c r="S55" s="527">
        <v>0</v>
      </c>
      <c r="T55" s="527">
        <v>0</v>
      </c>
      <c r="U55" s="527">
        <v>0</v>
      </c>
      <c r="V55" s="528">
        <v>19.34</v>
      </c>
      <c r="W55" s="529">
        <v>0.93463414496535135</v>
      </c>
      <c r="Y55" s="529">
        <v>0</v>
      </c>
      <c r="Z55" s="466">
        <v>2</v>
      </c>
    </row>
    <row r="56" spans="1:26" x14ac:dyDescent="0.3">
      <c r="A56" s="489">
        <v>150000553</v>
      </c>
      <c r="B56" s="467" t="s">
        <v>259</v>
      </c>
      <c r="C56" s="509">
        <v>378.74</v>
      </c>
      <c r="D56" s="509">
        <v>77.14</v>
      </c>
      <c r="E56" s="524">
        <v>0</v>
      </c>
      <c r="F56" s="524">
        <v>235.24</v>
      </c>
      <c r="G56" s="473">
        <v>373.94</v>
      </c>
      <c r="H56" s="523">
        <v>373.94</v>
      </c>
      <c r="I56" s="473"/>
      <c r="J56" s="523">
        <v>0</v>
      </c>
      <c r="K56" s="473">
        <v>99.5</v>
      </c>
      <c r="L56" s="523">
        <v>99.5</v>
      </c>
      <c r="M56" s="525">
        <v>1204.377031150522</v>
      </c>
      <c r="N56" s="526">
        <v>3441.7554431913331</v>
      </c>
      <c r="O56" s="527">
        <v>691.12</v>
      </c>
      <c r="P56" s="527">
        <v>152.04640000000001</v>
      </c>
      <c r="Q56" s="527">
        <v>80.229220947244798</v>
      </c>
      <c r="R56" s="527">
        <v>473.44</v>
      </c>
      <c r="S56" s="527">
        <v>1204.377031150522</v>
      </c>
      <c r="T56" s="527">
        <v>659.83533729908095</v>
      </c>
      <c r="U56" s="527">
        <v>180.70745379448584</v>
      </c>
      <c r="V56" s="528">
        <v>3441.7554431913341</v>
      </c>
      <c r="W56" s="529">
        <v>0.83718860945747764</v>
      </c>
      <c r="Y56" s="529">
        <v>0</v>
      </c>
      <c r="Z56" s="466">
        <v>2</v>
      </c>
    </row>
    <row r="57" spans="1:26" x14ac:dyDescent="0.3">
      <c r="A57" s="489">
        <v>150000555</v>
      </c>
      <c r="B57" s="467" t="s">
        <v>88</v>
      </c>
      <c r="C57" s="509">
        <v>0</v>
      </c>
      <c r="D57" s="509">
        <v>0</v>
      </c>
      <c r="E57" s="524">
        <v>0</v>
      </c>
      <c r="F57" s="524">
        <v>0</v>
      </c>
      <c r="G57" s="473"/>
      <c r="H57" s="523">
        <v>0</v>
      </c>
      <c r="I57" s="473"/>
      <c r="J57" s="523">
        <v>0</v>
      </c>
      <c r="K57" s="473">
        <v>35.619999999999997</v>
      </c>
      <c r="L57" s="523">
        <v>35.619999999999997</v>
      </c>
      <c r="M57" s="525">
        <v>0</v>
      </c>
      <c r="N57" s="526">
        <v>35.619999999999997</v>
      </c>
      <c r="O57" s="527">
        <v>0</v>
      </c>
      <c r="P57" s="527">
        <v>0</v>
      </c>
      <c r="Q57" s="527">
        <v>0</v>
      </c>
      <c r="R57" s="527">
        <v>35.619999999999997</v>
      </c>
      <c r="S57" s="527">
        <v>0</v>
      </c>
      <c r="T57" s="527">
        <v>0</v>
      </c>
      <c r="U57" s="527">
        <v>0</v>
      </c>
      <c r="V57" s="528">
        <v>35.619999999999997</v>
      </c>
      <c r="W57" s="529">
        <v>0.98940275948687895</v>
      </c>
      <c r="Y57" s="529">
        <v>0</v>
      </c>
      <c r="Z57" s="466">
        <v>2</v>
      </c>
    </row>
    <row r="58" spans="1:26" x14ac:dyDescent="0.3">
      <c r="A58" s="489">
        <v>150000556</v>
      </c>
      <c r="B58" s="467" t="s">
        <v>89</v>
      </c>
      <c r="C58" s="509">
        <v>0</v>
      </c>
      <c r="D58" s="509">
        <v>0</v>
      </c>
      <c r="E58" s="524">
        <v>0</v>
      </c>
      <c r="F58" s="524">
        <v>0</v>
      </c>
      <c r="G58" s="473"/>
      <c r="H58" s="523">
        <v>0</v>
      </c>
      <c r="I58" s="473"/>
      <c r="J58" s="523">
        <v>0</v>
      </c>
      <c r="K58" s="473">
        <v>40.49</v>
      </c>
      <c r="L58" s="523">
        <v>40.49</v>
      </c>
      <c r="M58" s="525">
        <v>0</v>
      </c>
      <c r="N58" s="526">
        <v>40.49</v>
      </c>
      <c r="O58" s="527">
        <v>0</v>
      </c>
      <c r="P58" s="527">
        <v>0</v>
      </c>
      <c r="Q58" s="527">
        <v>0</v>
      </c>
      <c r="R58" s="527">
        <v>40.49</v>
      </c>
      <c r="S58" s="527">
        <v>0</v>
      </c>
      <c r="T58" s="527">
        <v>0</v>
      </c>
      <c r="U58" s="527">
        <v>0</v>
      </c>
      <c r="V58" s="528">
        <v>40.49</v>
      </c>
      <c r="W58" s="529">
        <v>1.473422228363366</v>
      </c>
      <c r="Y58" s="529">
        <v>0</v>
      </c>
      <c r="Z58" s="466">
        <v>2</v>
      </c>
    </row>
    <row r="59" spans="1:26" x14ac:dyDescent="0.3">
      <c r="A59" s="489">
        <v>150000557</v>
      </c>
      <c r="B59" s="467" t="s">
        <v>90</v>
      </c>
      <c r="C59" s="509">
        <v>0</v>
      </c>
      <c r="D59" s="509">
        <v>0</v>
      </c>
      <c r="E59" s="524">
        <v>0</v>
      </c>
      <c r="F59" s="524">
        <v>0</v>
      </c>
      <c r="G59" s="473"/>
      <c r="H59" s="523">
        <v>0</v>
      </c>
      <c r="I59" s="473"/>
      <c r="J59" s="523">
        <v>0</v>
      </c>
      <c r="K59" s="473">
        <v>25.31</v>
      </c>
      <c r="L59" s="523">
        <v>25.31</v>
      </c>
      <c r="M59" s="525">
        <v>0</v>
      </c>
      <c r="N59" s="526">
        <v>25.31</v>
      </c>
      <c r="O59" s="527">
        <v>0</v>
      </c>
      <c r="P59" s="527">
        <v>0</v>
      </c>
      <c r="Q59" s="527">
        <v>0</v>
      </c>
      <c r="R59" s="527">
        <v>25.31</v>
      </c>
      <c r="S59" s="527">
        <v>0</v>
      </c>
      <c r="T59" s="527">
        <v>0</v>
      </c>
      <c r="U59" s="527">
        <v>0</v>
      </c>
      <c r="V59" s="528">
        <v>25.31</v>
      </c>
      <c r="W59" s="529">
        <v>0.13554336989032903</v>
      </c>
      <c r="Y59" s="529"/>
      <c r="Z59" s="466">
        <v>2</v>
      </c>
    </row>
    <row r="60" spans="1:26" x14ac:dyDescent="0.3">
      <c r="A60" s="489">
        <v>150000561</v>
      </c>
      <c r="B60" s="467" t="s">
        <v>71</v>
      </c>
      <c r="C60" s="509">
        <v>0</v>
      </c>
      <c r="D60" s="509">
        <v>0</v>
      </c>
      <c r="E60" s="524">
        <v>0</v>
      </c>
      <c r="F60" s="524">
        <v>0</v>
      </c>
      <c r="G60" s="473"/>
      <c r="H60" s="523">
        <v>0</v>
      </c>
      <c r="I60" s="473"/>
      <c r="J60" s="523">
        <v>0</v>
      </c>
      <c r="K60" s="473">
        <v>16.41</v>
      </c>
      <c r="L60" s="523">
        <v>16.41</v>
      </c>
      <c r="M60" s="525">
        <v>0</v>
      </c>
      <c r="N60" s="526">
        <v>16.41</v>
      </c>
      <c r="O60" s="527">
        <v>0</v>
      </c>
      <c r="P60" s="527">
        <v>0</v>
      </c>
      <c r="Q60" s="527">
        <v>0</v>
      </c>
      <c r="R60" s="527">
        <v>16.41</v>
      </c>
      <c r="S60" s="527">
        <v>0</v>
      </c>
      <c r="T60" s="527">
        <v>0</v>
      </c>
      <c r="U60" s="527">
        <v>0</v>
      </c>
      <c r="V60" s="528">
        <v>16.41</v>
      </c>
      <c r="W60" s="529">
        <v>0.1639618138424821</v>
      </c>
      <c r="Y60" s="529"/>
      <c r="Z60" s="466">
        <v>2</v>
      </c>
    </row>
    <row r="61" spans="1:26" x14ac:dyDescent="0.3">
      <c r="A61" s="489">
        <v>150000562</v>
      </c>
      <c r="B61" s="467" t="s">
        <v>73</v>
      </c>
      <c r="C61" s="509">
        <v>0</v>
      </c>
      <c r="D61" s="509">
        <v>0</v>
      </c>
      <c r="E61" s="524">
        <v>0</v>
      </c>
      <c r="F61" s="524">
        <v>0</v>
      </c>
      <c r="G61" s="473"/>
      <c r="H61" s="523">
        <v>0</v>
      </c>
      <c r="I61" s="473"/>
      <c r="J61" s="523">
        <v>0</v>
      </c>
      <c r="K61" s="473">
        <v>37.5</v>
      </c>
      <c r="L61" s="523">
        <v>37.5</v>
      </c>
      <c r="M61" s="525">
        <v>0</v>
      </c>
      <c r="N61" s="526">
        <v>37.5</v>
      </c>
      <c r="O61" s="527">
        <v>0</v>
      </c>
      <c r="P61" s="527">
        <v>0</v>
      </c>
      <c r="Q61" s="527">
        <v>0</v>
      </c>
      <c r="R61" s="527">
        <v>37.5</v>
      </c>
      <c r="S61" s="527">
        <v>0</v>
      </c>
      <c r="T61" s="527">
        <v>0</v>
      </c>
      <c r="U61" s="527">
        <v>0</v>
      </c>
      <c r="V61" s="528">
        <v>37.5</v>
      </c>
      <c r="W61" s="529">
        <v>4.207675642216032E-2</v>
      </c>
      <c r="Y61" s="529"/>
      <c r="Z61" s="466">
        <v>2</v>
      </c>
    </row>
    <row r="62" spans="1:26" x14ac:dyDescent="0.3">
      <c r="A62" s="489">
        <v>150000566</v>
      </c>
      <c r="B62" s="467" t="s">
        <v>68</v>
      </c>
      <c r="C62" s="509">
        <v>0</v>
      </c>
      <c r="D62" s="509">
        <v>0</v>
      </c>
      <c r="E62" s="524">
        <v>0</v>
      </c>
      <c r="F62" s="524">
        <v>0</v>
      </c>
      <c r="G62" s="473"/>
      <c r="H62" s="523">
        <v>0</v>
      </c>
      <c r="I62" s="473"/>
      <c r="J62" s="523">
        <v>0</v>
      </c>
      <c r="K62" s="473">
        <v>24.22</v>
      </c>
      <c r="L62" s="523">
        <v>24.22</v>
      </c>
      <c r="M62" s="525">
        <v>0</v>
      </c>
      <c r="N62" s="526">
        <v>24.22</v>
      </c>
      <c r="O62" s="527">
        <v>0</v>
      </c>
      <c r="P62" s="527">
        <v>0</v>
      </c>
      <c r="Q62" s="527">
        <v>0</v>
      </c>
      <c r="R62" s="527">
        <v>24.22</v>
      </c>
      <c r="S62" s="527">
        <v>0</v>
      </c>
      <c r="T62" s="527">
        <v>0</v>
      </c>
      <c r="U62" s="527">
        <v>0</v>
      </c>
      <c r="V62" s="528">
        <v>24.22</v>
      </c>
      <c r="W62" s="529">
        <v>0.95914457924471375</v>
      </c>
      <c r="Y62" s="529">
        <v>0</v>
      </c>
      <c r="Z62" s="466">
        <v>2</v>
      </c>
    </row>
    <row r="63" spans="1:26" x14ac:dyDescent="0.3">
      <c r="A63" s="489">
        <v>150000567</v>
      </c>
      <c r="B63" s="467" t="s">
        <v>70</v>
      </c>
      <c r="C63" s="509">
        <v>0</v>
      </c>
      <c r="D63" s="509">
        <v>0</v>
      </c>
      <c r="E63" s="524">
        <v>0</v>
      </c>
      <c r="F63" s="524">
        <v>0</v>
      </c>
      <c r="G63" s="473"/>
      <c r="H63" s="523">
        <v>0</v>
      </c>
      <c r="I63" s="473"/>
      <c r="J63" s="523">
        <v>0</v>
      </c>
      <c r="K63" s="473">
        <v>25.61</v>
      </c>
      <c r="L63" s="523">
        <v>25.61</v>
      </c>
      <c r="M63" s="525">
        <v>0</v>
      </c>
      <c r="N63" s="526">
        <v>25.61</v>
      </c>
      <c r="O63" s="527">
        <v>0</v>
      </c>
      <c r="P63" s="527">
        <v>0</v>
      </c>
      <c r="Q63" s="527">
        <v>0</v>
      </c>
      <c r="R63" s="527">
        <v>25.61</v>
      </c>
      <c r="S63" s="527">
        <v>0</v>
      </c>
      <c r="T63" s="527">
        <v>0</v>
      </c>
      <c r="U63" s="527">
        <v>0</v>
      </c>
      <c r="V63" s="528">
        <v>25.61</v>
      </c>
      <c r="W63" s="529">
        <v>1.2088298612695469</v>
      </c>
      <c r="Y63" s="529">
        <v>0</v>
      </c>
      <c r="Z63" s="466">
        <v>2</v>
      </c>
    </row>
    <row r="64" spans="1:26" x14ac:dyDescent="0.3">
      <c r="A64" s="489">
        <v>150000569</v>
      </c>
      <c r="B64" s="467" t="s">
        <v>72</v>
      </c>
      <c r="C64" s="509">
        <v>0</v>
      </c>
      <c r="D64" s="509">
        <v>0</v>
      </c>
      <c r="E64" s="524">
        <v>0</v>
      </c>
      <c r="F64" s="524">
        <v>0</v>
      </c>
      <c r="G64" s="473"/>
      <c r="H64" s="523">
        <v>0</v>
      </c>
      <c r="I64" s="473"/>
      <c r="J64" s="523">
        <v>0</v>
      </c>
      <c r="K64" s="473">
        <v>33.74</v>
      </c>
      <c r="L64" s="523">
        <v>33.74</v>
      </c>
      <c r="M64" s="525">
        <v>0</v>
      </c>
      <c r="N64" s="526">
        <v>33.74</v>
      </c>
      <c r="O64" s="527">
        <v>0</v>
      </c>
      <c r="P64" s="527">
        <v>0</v>
      </c>
      <c r="Q64" s="527">
        <v>0</v>
      </c>
      <c r="R64" s="527">
        <v>33.74</v>
      </c>
      <c r="S64" s="527">
        <v>0</v>
      </c>
      <c r="T64" s="527">
        <v>0</v>
      </c>
      <c r="U64" s="527">
        <v>0</v>
      </c>
      <c r="V64" s="528">
        <v>33.74</v>
      </c>
      <c r="W64" s="529">
        <v>0.9309866239598148</v>
      </c>
      <c r="Y64" s="529">
        <v>0</v>
      </c>
      <c r="Z64" s="466">
        <v>2</v>
      </c>
    </row>
    <row r="65" spans="1:26" x14ac:dyDescent="0.3">
      <c r="A65" s="489">
        <v>150000570</v>
      </c>
      <c r="B65" s="467" t="s">
        <v>74</v>
      </c>
      <c r="C65" s="509">
        <v>0</v>
      </c>
      <c r="D65" s="509">
        <v>0</v>
      </c>
      <c r="E65" s="524">
        <v>0</v>
      </c>
      <c r="F65" s="524">
        <v>0</v>
      </c>
      <c r="G65" s="473"/>
      <c r="H65" s="523">
        <v>0</v>
      </c>
      <c r="I65" s="473"/>
      <c r="J65" s="523">
        <v>0</v>
      </c>
      <c r="K65" s="473">
        <v>17.18</v>
      </c>
      <c r="L65" s="523">
        <v>17.18</v>
      </c>
      <c r="M65" s="525">
        <v>0</v>
      </c>
      <c r="N65" s="526">
        <v>17.18</v>
      </c>
      <c r="O65" s="527">
        <v>0</v>
      </c>
      <c r="P65" s="527">
        <v>0</v>
      </c>
      <c r="Q65" s="527">
        <v>0</v>
      </c>
      <c r="R65" s="527">
        <v>17.18</v>
      </c>
      <c r="S65" s="527">
        <v>0</v>
      </c>
      <c r="T65" s="527">
        <v>0</v>
      </c>
      <c r="U65" s="527">
        <v>0</v>
      </c>
      <c r="V65" s="528">
        <v>17.18</v>
      </c>
      <c r="W65" s="529">
        <v>0.95906861868921467</v>
      </c>
      <c r="Y65" s="529">
        <v>0</v>
      </c>
      <c r="Z65" s="466">
        <v>2</v>
      </c>
    </row>
    <row r="66" spans="1:26" x14ac:dyDescent="0.3">
      <c r="A66" s="489">
        <v>150000571</v>
      </c>
      <c r="B66" s="467" t="s">
        <v>69</v>
      </c>
      <c r="C66" s="509">
        <v>0</v>
      </c>
      <c r="D66" s="509">
        <v>0</v>
      </c>
      <c r="E66" s="524">
        <v>0</v>
      </c>
      <c r="F66" s="524">
        <v>0</v>
      </c>
      <c r="G66" s="473"/>
      <c r="H66" s="523">
        <v>0</v>
      </c>
      <c r="I66" s="473"/>
      <c r="J66" s="523">
        <v>0</v>
      </c>
      <c r="K66" s="473">
        <v>21.22</v>
      </c>
      <c r="L66" s="523">
        <v>21.22</v>
      </c>
      <c r="M66" s="525">
        <v>0</v>
      </c>
      <c r="N66" s="526">
        <v>21.22</v>
      </c>
      <c r="O66" s="527">
        <v>0</v>
      </c>
      <c r="P66" s="527">
        <v>0</v>
      </c>
      <c r="Q66" s="527">
        <v>0</v>
      </c>
      <c r="R66" s="527">
        <v>21.22</v>
      </c>
      <c r="S66" s="527">
        <v>0</v>
      </c>
      <c r="T66" s="527">
        <v>0</v>
      </c>
      <c r="U66" s="527">
        <v>0</v>
      </c>
      <c r="V66" s="528">
        <v>21.22</v>
      </c>
      <c r="W66" s="529">
        <v>0.10074101519081143</v>
      </c>
      <c r="Y66" s="529"/>
      <c r="Z66" s="466">
        <v>1</v>
      </c>
    </row>
    <row r="67" spans="1:26" x14ac:dyDescent="0.3">
      <c r="A67" s="489">
        <v>150000572</v>
      </c>
      <c r="B67" s="467" t="s">
        <v>152</v>
      </c>
      <c r="C67" s="509">
        <v>36.22</v>
      </c>
      <c r="D67" s="509">
        <v>6.85</v>
      </c>
      <c r="E67" s="524">
        <v>0</v>
      </c>
      <c r="F67" s="524">
        <v>0.99</v>
      </c>
      <c r="G67" s="473"/>
      <c r="H67" s="523">
        <v>0</v>
      </c>
      <c r="I67" s="473"/>
      <c r="J67" s="523">
        <v>0</v>
      </c>
      <c r="K67" s="473">
        <v>8.69</v>
      </c>
      <c r="L67" s="523">
        <v>8.69</v>
      </c>
      <c r="M67" s="525">
        <v>61.14439092481755</v>
      </c>
      <c r="N67" s="526">
        <v>179.17450692669743</v>
      </c>
      <c r="O67" s="527">
        <v>44.06</v>
      </c>
      <c r="P67" s="527">
        <v>9.6932000000000009</v>
      </c>
      <c r="Q67" s="527">
        <v>2.3199663124880452</v>
      </c>
      <c r="R67" s="527">
        <v>8.69</v>
      </c>
      <c r="S67" s="527">
        <v>61.14439092481755</v>
      </c>
      <c r="T67" s="527">
        <v>42.065552959540312</v>
      </c>
      <c r="U67" s="527">
        <v>11.20139672985152</v>
      </c>
      <c r="V67" s="528">
        <v>179.17450692669746</v>
      </c>
      <c r="W67" s="529">
        <v>0.16847356168939143</v>
      </c>
      <c r="Y67" s="529"/>
      <c r="Z67" s="466">
        <v>1</v>
      </c>
    </row>
    <row r="68" spans="1:26" x14ac:dyDescent="0.3">
      <c r="A68" s="489">
        <v>150000573</v>
      </c>
      <c r="B68" s="467" t="s">
        <v>75</v>
      </c>
      <c r="C68" s="509">
        <v>0</v>
      </c>
      <c r="D68" s="509">
        <v>0</v>
      </c>
      <c r="E68" s="524">
        <v>0</v>
      </c>
      <c r="F68" s="524">
        <v>0</v>
      </c>
      <c r="G68" s="473"/>
      <c r="H68" s="523">
        <v>0</v>
      </c>
      <c r="I68" s="473"/>
      <c r="J68" s="523">
        <v>0</v>
      </c>
      <c r="K68" s="473">
        <v>19.34</v>
      </c>
      <c r="L68" s="523">
        <v>19.34</v>
      </c>
      <c r="M68" s="525">
        <v>0</v>
      </c>
      <c r="N68" s="526">
        <v>19.34</v>
      </c>
      <c r="O68" s="527">
        <v>0</v>
      </c>
      <c r="P68" s="527">
        <v>0</v>
      </c>
      <c r="Q68" s="527">
        <v>0</v>
      </c>
      <c r="R68" s="527">
        <v>19.34</v>
      </c>
      <c r="S68" s="527">
        <v>0</v>
      </c>
      <c r="T68" s="527">
        <v>0</v>
      </c>
      <c r="U68" s="527">
        <v>0</v>
      </c>
      <c r="V68" s="528">
        <v>19.34</v>
      </c>
      <c r="W68" s="529">
        <v>6.3320912901723342E-2</v>
      </c>
      <c r="Y68" s="529"/>
      <c r="Z68" s="466">
        <v>1</v>
      </c>
    </row>
    <row r="69" spans="1:26" x14ac:dyDescent="0.3">
      <c r="A69" s="489">
        <v>150000578</v>
      </c>
      <c r="B69" s="467" t="s">
        <v>83</v>
      </c>
      <c r="C69" s="509">
        <v>0</v>
      </c>
      <c r="D69" s="509">
        <v>0</v>
      </c>
      <c r="E69" s="524">
        <v>0</v>
      </c>
      <c r="F69" s="524">
        <v>0</v>
      </c>
      <c r="G69" s="473"/>
      <c r="H69" s="523">
        <v>0</v>
      </c>
      <c r="I69" s="473"/>
      <c r="J69" s="523">
        <v>0</v>
      </c>
      <c r="K69" s="473">
        <v>33.74</v>
      </c>
      <c r="L69" s="523">
        <v>33.74</v>
      </c>
      <c r="M69" s="525">
        <v>0</v>
      </c>
      <c r="N69" s="526">
        <v>33.74</v>
      </c>
      <c r="O69" s="527">
        <v>0</v>
      </c>
      <c r="P69" s="527">
        <v>0</v>
      </c>
      <c r="Q69" s="527">
        <v>0</v>
      </c>
      <c r="R69" s="527">
        <v>33.74</v>
      </c>
      <c r="S69" s="527">
        <v>0</v>
      </c>
      <c r="T69" s="527">
        <v>0</v>
      </c>
      <c r="U69" s="527">
        <v>0</v>
      </c>
      <c r="V69" s="528">
        <v>33.74</v>
      </c>
      <c r="W69" s="529">
        <v>0.17050599201065247</v>
      </c>
      <c r="Y69" s="529"/>
      <c r="Z69" s="466">
        <v>1</v>
      </c>
    </row>
    <row r="70" spans="1:26" x14ac:dyDescent="0.3">
      <c r="A70" s="489">
        <v>150000580</v>
      </c>
      <c r="B70" s="467" t="s">
        <v>84</v>
      </c>
      <c r="C70" s="509">
        <v>0</v>
      </c>
      <c r="D70" s="509">
        <v>0</v>
      </c>
      <c r="E70" s="524">
        <v>0</v>
      </c>
      <c r="F70" s="524">
        <v>0</v>
      </c>
      <c r="G70" s="473"/>
      <c r="H70" s="523">
        <v>0</v>
      </c>
      <c r="I70" s="473"/>
      <c r="J70" s="523">
        <v>0</v>
      </c>
      <c r="K70" s="473">
        <v>13.08</v>
      </c>
      <c r="L70" s="523">
        <v>13.08</v>
      </c>
      <c r="M70" s="525">
        <v>0</v>
      </c>
      <c r="N70" s="526">
        <v>13.08</v>
      </c>
      <c r="O70" s="527">
        <v>0</v>
      </c>
      <c r="P70" s="527">
        <v>0</v>
      </c>
      <c r="Q70" s="527">
        <v>0</v>
      </c>
      <c r="R70" s="527">
        <v>13.08</v>
      </c>
      <c r="S70" s="527">
        <v>0</v>
      </c>
      <c r="T70" s="527">
        <v>0</v>
      </c>
      <c r="U70" s="527">
        <v>0</v>
      </c>
      <c r="V70" s="528">
        <v>13.08</v>
      </c>
      <c r="W70" s="529">
        <v>9.264054514480409E-2</v>
      </c>
      <c r="Y70" s="529"/>
      <c r="Z70" s="466">
        <v>1</v>
      </c>
    </row>
    <row r="71" spans="1:26" x14ac:dyDescent="0.3">
      <c r="A71" s="489">
        <v>150000587</v>
      </c>
      <c r="B71" s="467" t="s">
        <v>82</v>
      </c>
      <c r="C71" s="509">
        <v>0</v>
      </c>
      <c r="D71" s="509">
        <v>0</v>
      </c>
      <c r="E71" s="524">
        <v>0</v>
      </c>
      <c r="F71" s="524">
        <v>0</v>
      </c>
      <c r="G71" s="473"/>
      <c r="H71" s="523">
        <v>0</v>
      </c>
      <c r="I71" s="473"/>
      <c r="J71" s="523">
        <v>0</v>
      </c>
      <c r="K71" s="473">
        <v>16.96</v>
      </c>
      <c r="L71" s="523">
        <v>16.96</v>
      </c>
      <c r="M71" s="525">
        <v>0</v>
      </c>
      <c r="N71" s="526">
        <v>16.96</v>
      </c>
      <c r="O71" s="527">
        <v>0</v>
      </c>
      <c r="P71" s="527">
        <v>0</v>
      </c>
      <c r="Q71" s="527">
        <v>0</v>
      </c>
      <c r="R71" s="527">
        <v>16.96</v>
      </c>
      <c r="S71" s="527">
        <v>0</v>
      </c>
      <c r="T71" s="527">
        <v>0</v>
      </c>
      <c r="U71" s="527">
        <v>0</v>
      </c>
      <c r="V71" s="528">
        <v>16.96</v>
      </c>
      <c r="W71" s="529">
        <v>0.16508803885853068</v>
      </c>
      <c r="Y71" s="529"/>
      <c r="Z71" s="466">
        <v>1</v>
      </c>
    </row>
    <row r="72" spans="1:26" x14ac:dyDescent="0.3">
      <c r="A72" s="489">
        <v>150000590</v>
      </c>
      <c r="B72" s="467" t="s">
        <v>163</v>
      </c>
      <c r="C72" s="509">
        <v>69.58</v>
      </c>
      <c r="D72" s="509">
        <v>14.19</v>
      </c>
      <c r="E72" s="524">
        <v>0</v>
      </c>
      <c r="F72" s="524">
        <v>21.41</v>
      </c>
      <c r="G72" s="473"/>
      <c r="H72" s="523">
        <v>0</v>
      </c>
      <c r="I72" s="473"/>
      <c r="J72" s="523">
        <v>0</v>
      </c>
      <c r="K72" s="473">
        <v>35.04</v>
      </c>
      <c r="L72" s="523">
        <v>35.04</v>
      </c>
      <c r="M72" s="525">
        <v>133.08525647097528</v>
      </c>
      <c r="N72" s="526">
        <v>434.17112746372754</v>
      </c>
      <c r="O72" s="527">
        <v>105.17999999999999</v>
      </c>
      <c r="P72" s="527">
        <v>23.139600000000002</v>
      </c>
      <c r="Q72" s="527">
        <v>10.052226143353199</v>
      </c>
      <c r="R72" s="527">
        <v>35.04</v>
      </c>
      <c r="S72" s="527">
        <v>133.08525647097528</v>
      </c>
      <c r="T72" s="527">
        <v>100.4188574735463</v>
      </c>
      <c r="U72" s="527">
        <v>27.255187375852774</v>
      </c>
      <c r="V72" s="528">
        <v>434.17112746372754</v>
      </c>
      <c r="W72" s="529">
        <v>0.90415072252330564</v>
      </c>
      <c r="Y72" s="529">
        <v>0</v>
      </c>
      <c r="Z72" s="466">
        <v>1</v>
      </c>
    </row>
    <row r="73" spans="1:26" x14ac:dyDescent="0.3">
      <c r="A73" s="489">
        <v>150000591</v>
      </c>
      <c r="B73" s="467" t="s">
        <v>191</v>
      </c>
      <c r="C73" s="509">
        <v>31.36</v>
      </c>
      <c r="D73" s="509">
        <v>5.53</v>
      </c>
      <c r="E73" s="524">
        <v>0</v>
      </c>
      <c r="F73" s="524">
        <v>12.28</v>
      </c>
      <c r="G73" s="473">
        <v>20.64</v>
      </c>
      <c r="H73" s="523">
        <v>20.64</v>
      </c>
      <c r="I73" s="473">
        <v>6.22</v>
      </c>
      <c r="J73" s="523">
        <v>6.22</v>
      </c>
      <c r="K73" s="473">
        <v>16.829999999999998</v>
      </c>
      <c r="L73" s="523">
        <v>16.829999999999998</v>
      </c>
      <c r="M73" s="525">
        <v>52.877783293956441</v>
      </c>
      <c r="N73" s="526">
        <v>229.06508471295433</v>
      </c>
      <c r="O73" s="527">
        <v>49.17</v>
      </c>
      <c r="P73" s="527">
        <v>10.817399999999999</v>
      </c>
      <c r="Q73" s="527">
        <v>11.99191598870836</v>
      </c>
      <c r="R73" s="527">
        <v>43.69</v>
      </c>
      <c r="S73" s="527">
        <v>52.877783293956441</v>
      </c>
      <c r="T73" s="527">
        <v>46.944240558797034</v>
      </c>
      <c r="U73" s="527">
        <v>13.573744871492522</v>
      </c>
      <c r="V73" s="528">
        <v>229.06508471295439</v>
      </c>
      <c r="W73" s="529">
        <v>0.1822184105202973</v>
      </c>
      <c r="Y73" s="529"/>
      <c r="Z73" s="466">
        <v>1</v>
      </c>
    </row>
    <row r="74" spans="1:26" x14ac:dyDescent="0.3">
      <c r="A74" s="489">
        <v>150000592</v>
      </c>
      <c r="B74" s="467" t="s">
        <v>353</v>
      </c>
      <c r="C74" s="509">
        <v>828.32</v>
      </c>
      <c r="D74" s="509">
        <v>139.26</v>
      </c>
      <c r="E74" s="524">
        <v>155.84</v>
      </c>
      <c r="F74" s="524">
        <v>673.5</v>
      </c>
      <c r="G74" s="473">
        <v>1258.05</v>
      </c>
      <c r="H74" s="523">
        <v>1258.05</v>
      </c>
      <c r="I74" s="473">
        <v>261.92</v>
      </c>
      <c r="J74" s="523">
        <v>261.92</v>
      </c>
      <c r="K74" s="473">
        <v>71.59</v>
      </c>
      <c r="L74" s="523">
        <v>71.59</v>
      </c>
      <c r="M74" s="525">
        <v>3469.7660253361792</v>
      </c>
      <c r="N74" s="526">
        <v>9657.6580513556837</v>
      </c>
      <c r="O74" s="527">
        <v>1796.92</v>
      </c>
      <c r="P74" s="527">
        <v>395.32240000000002</v>
      </c>
      <c r="Q74" s="527">
        <v>217.63683603870697</v>
      </c>
      <c r="R74" s="527">
        <v>1591.56</v>
      </c>
      <c r="S74" s="527">
        <v>3469.7660253361792</v>
      </c>
      <c r="T74" s="527">
        <v>1715.5795148446932</v>
      </c>
      <c r="U74" s="527">
        <v>470.87327513610376</v>
      </c>
      <c r="V74" s="528">
        <v>9657.6580513556819</v>
      </c>
      <c r="W74" s="529">
        <v>0.15957095709570956</v>
      </c>
      <c r="Y74" s="529"/>
      <c r="Z74" s="466">
        <v>1</v>
      </c>
    </row>
    <row r="75" spans="1:26" x14ac:dyDescent="0.3">
      <c r="A75" s="489">
        <v>150000593</v>
      </c>
      <c r="B75" s="467" t="s">
        <v>255</v>
      </c>
      <c r="C75" s="509">
        <v>206.64</v>
      </c>
      <c r="D75" s="509">
        <v>39.57</v>
      </c>
      <c r="E75" s="524">
        <v>0</v>
      </c>
      <c r="F75" s="524">
        <v>98.29</v>
      </c>
      <c r="G75" s="473">
        <v>234.24</v>
      </c>
      <c r="H75" s="523">
        <v>234.24</v>
      </c>
      <c r="I75" s="473"/>
      <c r="J75" s="523">
        <v>0</v>
      </c>
      <c r="K75" s="473">
        <v>65.67</v>
      </c>
      <c r="L75" s="523">
        <v>65.67</v>
      </c>
      <c r="M75" s="525">
        <v>676.67528248014719</v>
      </c>
      <c r="N75" s="526">
        <v>1853.4238242175068</v>
      </c>
      <c r="O75" s="527">
        <v>344.5</v>
      </c>
      <c r="P75" s="527">
        <v>75.789999999999992</v>
      </c>
      <c r="Q75" s="527">
        <v>37.814776759517699</v>
      </c>
      <c r="R75" s="527">
        <v>299.91000000000003</v>
      </c>
      <c r="S75" s="527">
        <v>676.67528248014719</v>
      </c>
      <c r="T75" s="527">
        <v>328.90565126104491</v>
      </c>
      <c r="U75" s="527">
        <v>89.828113716796935</v>
      </c>
      <c r="V75" s="528">
        <v>1853.4238242175065</v>
      </c>
      <c r="W75" s="529">
        <v>0.18707085463842218</v>
      </c>
      <c r="Y75" s="529"/>
      <c r="Z75" s="466">
        <v>1</v>
      </c>
    </row>
    <row r="76" spans="1:26" x14ac:dyDescent="0.3">
      <c r="A76" s="489">
        <v>150000594</v>
      </c>
      <c r="B76" s="467" t="s">
        <v>354</v>
      </c>
      <c r="C76" s="509">
        <v>818.61</v>
      </c>
      <c r="D76" s="509">
        <v>139.26</v>
      </c>
      <c r="E76" s="524">
        <v>155.84</v>
      </c>
      <c r="F76" s="524">
        <v>673.5</v>
      </c>
      <c r="G76" s="473">
        <v>1171.58</v>
      </c>
      <c r="H76" s="523">
        <v>1171.58</v>
      </c>
      <c r="I76" s="473">
        <v>249.72</v>
      </c>
      <c r="J76" s="523">
        <v>249.72</v>
      </c>
      <c r="K76" s="473">
        <v>71.59</v>
      </c>
      <c r="L76" s="523">
        <v>71.59</v>
      </c>
      <c r="M76" s="525">
        <v>3305.8057020025267</v>
      </c>
      <c r="N76" s="526">
        <v>9370.9954689088572</v>
      </c>
      <c r="O76" s="527">
        <v>1787.21</v>
      </c>
      <c r="P76" s="527">
        <v>393.18619999999999</v>
      </c>
      <c r="Q76" s="527">
        <v>217.18323355246449</v>
      </c>
      <c r="R76" s="527">
        <v>1492.8899999999999</v>
      </c>
      <c r="S76" s="527">
        <v>3305.8057020025267</v>
      </c>
      <c r="T76" s="527">
        <v>1706.3090536727204</v>
      </c>
      <c r="U76" s="527">
        <v>468.41127968114534</v>
      </c>
      <c r="V76" s="528">
        <v>9370.995468908859</v>
      </c>
      <c r="W76" s="529">
        <v>0.97276272655516915</v>
      </c>
      <c r="Y76" s="529">
        <v>0</v>
      </c>
      <c r="Z76" s="466">
        <v>1</v>
      </c>
    </row>
    <row r="77" spans="1:26" x14ac:dyDescent="0.3">
      <c r="A77" s="489">
        <v>150000597</v>
      </c>
      <c r="B77" s="467" t="s">
        <v>352</v>
      </c>
      <c r="C77" s="509">
        <v>431.71</v>
      </c>
      <c r="D77" s="509">
        <v>73.790000000000006</v>
      </c>
      <c r="E77" s="524">
        <v>26.37</v>
      </c>
      <c r="F77" s="524">
        <v>306.10000000000002</v>
      </c>
      <c r="G77" s="473">
        <v>600.26</v>
      </c>
      <c r="H77" s="523">
        <v>600.26</v>
      </c>
      <c r="I77" s="473">
        <v>130.46</v>
      </c>
      <c r="J77" s="523">
        <v>130.46</v>
      </c>
      <c r="K77" s="473">
        <v>62.45</v>
      </c>
      <c r="L77" s="523">
        <v>62.45</v>
      </c>
      <c r="M77" s="525">
        <v>1680.1345530783565</v>
      </c>
      <c r="N77" s="526">
        <v>4661.4756561154645</v>
      </c>
      <c r="O77" s="527">
        <v>837.97</v>
      </c>
      <c r="P77" s="527">
        <v>184.35340000000002</v>
      </c>
      <c r="Q77" s="527">
        <v>141.64160791683952</v>
      </c>
      <c r="R77" s="527">
        <v>793.17000000000007</v>
      </c>
      <c r="S77" s="527">
        <v>1680.1345530783565</v>
      </c>
      <c r="T77" s="527">
        <v>800.03793494112574</v>
      </c>
      <c r="U77" s="527">
        <v>224.16816017914272</v>
      </c>
      <c r="V77" s="528">
        <v>4661.4756561154645</v>
      </c>
      <c r="W77" s="529">
        <v>1.0658561933265818</v>
      </c>
      <c r="Y77" s="529">
        <v>0</v>
      </c>
      <c r="Z77" s="466">
        <v>1</v>
      </c>
    </row>
    <row r="78" spans="1:26" x14ac:dyDescent="0.3">
      <c r="A78" s="489">
        <v>150000598</v>
      </c>
      <c r="B78" s="467" t="s">
        <v>76</v>
      </c>
      <c r="C78" s="509">
        <v>5.03</v>
      </c>
      <c r="D78" s="509">
        <v>0</v>
      </c>
      <c r="E78" s="524">
        <v>0</v>
      </c>
      <c r="F78" s="524">
        <v>0</v>
      </c>
      <c r="G78" s="473"/>
      <c r="H78" s="523">
        <v>0</v>
      </c>
      <c r="I78" s="473"/>
      <c r="J78" s="523">
        <v>0</v>
      </c>
      <c r="K78" s="473">
        <v>44.4</v>
      </c>
      <c r="L78" s="523">
        <v>44.4</v>
      </c>
      <c r="M78" s="525">
        <v>0</v>
      </c>
      <c r="N78" s="526">
        <v>56.897707558992138</v>
      </c>
      <c r="O78" s="527">
        <v>5.03</v>
      </c>
      <c r="P78" s="527">
        <v>1.1066</v>
      </c>
      <c r="Q78" s="527">
        <v>0.27846543081333303</v>
      </c>
      <c r="R78" s="527">
        <v>44.4</v>
      </c>
      <c r="S78" s="527">
        <v>0</v>
      </c>
      <c r="T78" s="527">
        <v>4.8023089284268679</v>
      </c>
      <c r="U78" s="527">
        <v>1.2803331997519403</v>
      </c>
      <c r="V78" s="528">
        <v>56.897707558992145</v>
      </c>
      <c r="W78" s="529">
        <v>1.0350997445647974</v>
      </c>
      <c r="Y78" s="529">
        <v>0</v>
      </c>
      <c r="Z78" s="466">
        <v>1</v>
      </c>
    </row>
    <row r="79" spans="1:26" x14ac:dyDescent="0.3">
      <c r="A79" s="489">
        <v>150000599</v>
      </c>
      <c r="B79" s="467" t="s">
        <v>77</v>
      </c>
      <c r="C79" s="509">
        <v>0</v>
      </c>
      <c r="D79" s="509">
        <v>0</v>
      </c>
      <c r="E79" s="524">
        <v>0</v>
      </c>
      <c r="F79" s="524">
        <v>0</v>
      </c>
      <c r="G79" s="473"/>
      <c r="H79" s="523">
        <v>0</v>
      </c>
      <c r="I79" s="473"/>
      <c r="J79" s="523">
        <v>0</v>
      </c>
      <c r="K79" s="473">
        <v>44.4</v>
      </c>
      <c r="L79" s="523">
        <v>44.4</v>
      </c>
      <c r="M79" s="525">
        <v>0</v>
      </c>
      <c r="N79" s="526">
        <v>44.4</v>
      </c>
      <c r="O79" s="527">
        <v>0</v>
      </c>
      <c r="P79" s="527">
        <v>0</v>
      </c>
      <c r="Q79" s="527">
        <v>0</v>
      </c>
      <c r="R79" s="527">
        <v>44.4</v>
      </c>
      <c r="S79" s="527">
        <v>0</v>
      </c>
      <c r="T79" s="527">
        <v>0</v>
      </c>
      <c r="U79" s="527">
        <v>0</v>
      </c>
      <c r="V79" s="528">
        <v>44.4</v>
      </c>
      <c r="W79" s="529">
        <v>1.0624625826088752</v>
      </c>
      <c r="Y79" s="529">
        <v>0</v>
      </c>
      <c r="Z79" s="466">
        <v>1</v>
      </c>
    </row>
    <row r="80" spans="1:26" x14ac:dyDescent="0.3">
      <c r="A80" s="489">
        <v>150000601</v>
      </c>
      <c r="B80" s="467" t="s">
        <v>78</v>
      </c>
      <c r="C80" s="509">
        <v>0</v>
      </c>
      <c r="D80" s="509">
        <v>0</v>
      </c>
      <c r="E80" s="524">
        <v>0</v>
      </c>
      <c r="F80" s="524">
        <v>0</v>
      </c>
      <c r="G80" s="473"/>
      <c r="H80" s="523">
        <v>0</v>
      </c>
      <c r="I80" s="473"/>
      <c r="J80" s="523">
        <v>0</v>
      </c>
      <c r="K80" s="473">
        <v>25.61</v>
      </c>
      <c r="L80" s="523">
        <v>25.61</v>
      </c>
      <c r="M80" s="525">
        <v>0</v>
      </c>
      <c r="N80" s="526">
        <v>25.61</v>
      </c>
      <c r="O80" s="527">
        <v>0</v>
      </c>
      <c r="P80" s="527">
        <v>0</v>
      </c>
      <c r="Q80" s="527">
        <v>0</v>
      </c>
      <c r="R80" s="527">
        <v>25.61</v>
      </c>
      <c r="S80" s="527">
        <v>0</v>
      </c>
      <c r="T80" s="527">
        <v>0</v>
      </c>
      <c r="U80" s="527">
        <v>0</v>
      </c>
      <c r="V80" s="528">
        <v>25.61</v>
      </c>
      <c r="W80" s="529">
        <v>1.0382540768974244</v>
      </c>
      <c r="Y80" s="529">
        <v>0</v>
      </c>
      <c r="Z80" s="466">
        <v>1</v>
      </c>
    </row>
    <row r="81" spans="1:26" x14ac:dyDescent="0.3">
      <c r="A81" s="489">
        <v>150000603</v>
      </c>
      <c r="B81" s="467" t="s">
        <v>153</v>
      </c>
      <c r="C81" s="509">
        <v>65.55</v>
      </c>
      <c r="D81" s="509">
        <v>11.83</v>
      </c>
      <c r="E81" s="524">
        <v>0</v>
      </c>
      <c r="F81" s="524">
        <v>28.83</v>
      </c>
      <c r="G81" s="473">
        <v>59.78</v>
      </c>
      <c r="H81" s="523">
        <v>59.78</v>
      </c>
      <c r="I81" s="473"/>
      <c r="J81" s="523">
        <v>0</v>
      </c>
      <c r="K81" s="473">
        <v>33.119999999999997</v>
      </c>
      <c r="L81" s="523">
        <v>33.119999999999997</v>
      </c>
      <c r="M81" s="525">
        <v>180.6182503484267</v>
      </c>
      <c r="N81" s="526">
        <v>548.51827225149407</v>
      </c>
      <c r="O81" s="527">
        <v>106.21</v>
      </c>
      <c r="P81" s="527">
        <v>23.366199999999999</v>
      </c>
      <c r="Q81" s="527">
        <v>15.849089701163351</v>
      </c>
      <c r="R81" s="527">
        <v>92.9</v>
      </c>
      <c r="S81" s="527">
        <v>180.6182503484267</v>
      </c>
      <c r="T81" s="527">
        <v>101.40223286048065</v>
      </c>
      <c r="U81" s="527">
        <v>28.172499341423361</v>
      </c>
      <c r="V81" s="528">
        <v>548.51827225149418</v>
      </c>
      <c r="W81" s="529">
        <v>0.36495370370370367</v>
      </c>
      <c r="Y81" s="529"/>
      <c r="Z81" s="466">
        <v>3</v>
      </c>
    </row>
    <row r="82" spans="1:26" x14ac:dyDescent="0.3">
      <c r="A82" s="489">
        <v>150000604</v>
      </c>
      <c r="B82" s="467" t="s">
        <v>154</v>
      </c>
      <c r="C82" s="509">
        <v>65.06</v>
      </c>
      <c r="D82" s="509">
        <v>11.67</v>
      </c>
      <c r="E82" s="524">
        <v>0</v>
      </c>
      <c r="F82" s="524">
        <v>28.77</v>
      </c>
      <c r="G82" s="473">
        <v>53.84</v>
      </c>
      <c r="H82" s="523">
        <v>53.84</v>
      </c>
      <c r="I82" s="473"/>
      <c r="J82" s="523">
        <v>0</v>
      </c>
      <c r="K82" s="473">
        <v>31.23</v>
      </c>
      <c r="L82" s="523">
        <v>31.23</v>
      </c>
      <c r="M82" s="525">
        <v>161.09195301346165</v>
      </c>
      <c r="N82" s="526">
        <v>519.27115140505396</v>
      </c>
      <c r="O82" s="527">
        <v>105.5</v>
      </c>
      <c r="P82" s="527">
        <v>23.21</v>
      </c>
      <c r="Q82" s="527">
        <v>15.696033147445132</v>
      </c>
      <c r="R82" s="527">
        <v>85.070000000000007</v>
      </c>
      <c r="S82" s="527">
        <v>161.09195301346165</v>
      </c>
      <c r="T82" s="527">
        <v>100.72437215686571</v>
      </c>
      <c r="U82" s="527">
        <v>27.978793087281481</v>
      </c>
      <c r="V82" s="528">
        <v>519.27115140505396</v>
      </c>
      <c r="W82" s="529">
        <v>0.17818265682656828</v>
      </c>
      <c r="Y82" s="529"/>
      <c r="Z82" s="466">
        <v>3</v>
      </c>
    </row>
    <row r="83" spans="1:26" x14ac:dyDescent="0.3">
      <c r="A83" s="489">
        <v>150000605</v>
      </c>
      <c r="B83" s="467" t="s">
        <v>155</v>
      </c>
      <c r="C83" s="509">
        <v>33.634999999999998</v>
      </c>
      <c r="D83" s="509">
        <v>13.82</v>
      </c>
      <c r="E83" s="524">
        <v>0</v>
      </c>
      <c r="F83" s="524">
        <v>12.33</v>
      </c>
      <c r="G83" s="473">
        <v>44.18</v>
      </c>
      <c r="H83" s="523">
        <v>44.18</v>
      </c>
      <c r="I83" s="473"/>
      <c r="J83" s="523">
        <v>0</v>
      </c>
      <c r="K83" s="473">
        <v>55.65</v>
      </c>
      <c r="L83" s="523">
        <v>55.65</v>
      </c>
      <c r="M83" s="525">
        <v>135.04501259036044</v>
      </c>
      <c r="N83" s="526">
        <v>388.85759061230135</v>
      </c>
      <c r="O83" s="527">
        <v>59.784999999999997</v>
      </c>
      <c r="P83" s="527">
        <v>13.152700000000001</v>
      </c>
      <c r="Q83" s="527">
        <v>8.19132900505533</v>
      </c>
      <c r="R83" s="527">
        <v>99.83</v>
      </c>
      <c r="S83" s="527">
        <v>135.04501259036044</v>
      </c>
      <c r="T83" s="527">
        <v>57.078735444532867</v>
      </c>
      <c r="U83" s="527">
        <v>15.77481357235272</v>
      </c>
      <c r="V83" s="528">
        <v>388.85759061230135</v>
      </c>
      <c r="W83" s="529">
        <v>0.23255705635770843</v>
      </c>
      <c r="Y83" s="529"/>
      <c r="Z83" s="466">
        <v>3</v>
      </c>
    </row>
    <row r="84" spans="1:26" x14ac:dyDescent="0.3">
      <c r="A84" s="489">
        <v>150000606</v>
      </c>
      <c r="B84" s="467" t="s">
        <v>156</v>
      </c>
      <c r="C84" s="509">
        <v>68.73</v>
      </c>
      <c r="D84" s="509">
        <v>24.87</v>
      </c>
      <c r="E84" s="524">
        <v>0</v>
      </c>
      <c r="F84" s="524">
        <v>24.734999999999999</v>
      </c>
      <c r="G84" s="473">
        <v>86.07</v>
      </c>
      <c r="H84" s="523">
        <v>86.07</v>
      </c>
      <c r="I84" s="473"/>
      <c r="J84" s="523">
        <v>0</v>
      </c>
      <c r="K84" s="473">
        <v>81.98</v>
      </c>
      <c r="L84" s="523">
        <v>81.98</v>
      </c>
      <c r="M84" s="525">
        <v>273.04747532452035</v>
      </c>
      <c r="N84" s="526">
        <v>745.77234974309215</v>
      </c>
      <c r="O84" s="527">
        <v>118.33500000000001</v>
      </c>
      <c r="P84" s="527">
        <v>26.0337</v>
      </c>
      <c r="Q84" s="527">
        <v>16.115246477697099</v>
      </c>
      <c r="R84" s="527">
        <v>168.05</v>
      </c>
      <c r="S84" s="527">
        <v>273.04747532452035</v>
      </c>
      <c r="T84" s="527">
        <v>112.97837515812991</v>
      </c>
      <c r="U84" s="527">
        <v>31.212552782744776</v>
      </c>
      <c r="V84" s="528">
        <v>745.77234974309204</v>
      </c>
      <c r="W84" s="529">
        <v>6.0884866767219707E-2</v>
      </c>
      <c r="Y84" s="529"/>
      <c r="Z84" s="466">
        <v>1</v>
      </c>
    </row>
    <row r="85" spans="1:26" x14ac:dyDescent="0.3">
      <c r="A85" s="489">
        <v>150000607</v>
      </c>
      <c r="B85" s="467" t="s">
        <v>157</v>
      </c>
      <c r="C85" s="509">
        <v>143.61000000000001</v>
      </c>
      <c r="D85" s="509">
        <v>29.85</v>
      </c>
      <c r="E85" s="524">
        <v>0</v>
      </c>
      <c r="F85" s="524">
        <v>49.47</v>
      </c>
      <c r="G85" s="473">
        <v>112.86</v>
      </c>
      <c r="H85" s="523">
        <v>112.86</v>
      </c>
      <c r="I85" s="473"/>
      <c r="J85" s="523">
        <v>0</v>
      </c>
      <c r="K85" s="473">
        <v>78.2</v>
      </c>
      <c r="L85" s="523">
        <v>78.2</v>
      </c>
      <c r="M85" s="525">
        <v>354.46643410261362</v>
      </c>
      <c r="N85" s="526">
        <v>1121.5635062187107</v>
      </c>
      <c r="O85" s="527">
        <v>222.93</v>
      </c>
      <c r="P85" s="527">
        <v>49.044600000000003</v>
      </c>
      <c r="Q85" s="527">
        <v>32.211384906594205</v>
      </c>
      <c r="R85" s="527">
        <v>191.06</v>
      </c>
      <c r="S85" s="527">
        <v>354.46643410261362</v>
      </c>
      <c r="T85" s="527">
        <v>212.83871360123297</v>
      </c>
      <c r="U85" s="527">
        <v>59.012373608269783</v>
      </c>
      <c r="V85" s="528">
        <v>1121.5635062187107</v>
      </c>
      <c r="W85" s="529">
        <v>8.8935456831517185E-2</v>
      </c>
      <c r="Y85" s="529"/>
      <c r="Z85" s="466">
        <v>1</v>
      </c>
    </row>
    <row r="86" spans="1:26" x14ac:dyDescent="0.3">
      <c r="A86" s="489">
        <v>150000608</v>
      </c>
      <c r="B86" s="467" t="s">
        <v>158</v>
      </c>
      <c r="C86" s="509">
        <v>108.38</v>
      </c>
      <c r="D86" s="509">
        <v>24.98</v>
      </c>
      <c r="E86" s="524">
        <v>0</v>
      </c>
      <c r="F86" s="524">
        <v>36.61</v>
      </c>
      <c r="G86" s="473">
        <v>68.790000000000006</v>
      </c>
      <c r="H86" s="523">
        <v>68.790000000000006</v>
      </c>
      <c r="I86" s="473"/>
      <c r="J86" s="523">
        <v>0</v>
      </c>
      <c r="K86" s="473">
        <v>51.77</v>
      </c>
      <c r="L86" s="523">
        <v>51.77</v>
      </c>
      <c r="M86" s="525">
        <v>213.18939705260831</v>
      </c>
      <c r="N86" s="526">
        <v>769.26540999591066</v>
      </c>
      <c r="O86" s="527">
        <v>169.96999999999997</v>
      </c>
      <c r="P86" s="527">
        <v>37.3934</v>
      </c>
      <c r="Q86" s="527">
        <v>21.259948120218098</v>
      </c>
      <c r="R86" s="527">
        <v>120.56</v>
      </c>
      <c r="S86" s="527">
        <v>213.18939705260831</v>
      </c>
      <c r="T86" s="527">
        <v>162.2760335118717</v>
      </c>
      <c r="U86" s="527">
        <v>44.61663131121248</v>
      </c>
      <c r="V86" s="528">
        <v>769.26540999591055</v>
      </c>
      <c r="W86" s="529">
        <v>0.19111940298507463</v>
      </c>
      <c r="Y86" s="529"/>
      <c r="Z86" s="466">
        <v>1</v>
      </c>
    </row>
    <row r="87" spans="1:26" x14ac:dyDescent="0.3">
      <c r="A87" s="489">
        <v>150000609</v>
      </c>
      <c r="B87" s="467" t="s">
        <v>159</v>
      </c>
      <c r="C87" s="509">
        <v>68.92</v>
      </c>
      <c r="D87" s="509">
        <v>23.99</v>
      </c>
      <c r="E87" s="524">
        <v>0</v>
      </c>
      <c r="F87" s="524">
        <v>36.61</v>
      </c>
      <c r="G87" s="473">
        <v>56.04</v>
      </c>
      <c r="H87" s="523">
        <v>56.04</v>
      </c>
      <c r="I87" s="473"/>
      <c r="J87" s="523">
        <v>0</v>
      </c>
      <c r="K87" s="473">
        <v>50.66</v>
      </c>
      <c r="L87" s="523">
        <v>50.66</v>
      </c>
      <c r="M87" s="525">
        <v>165.90226348831615</v>
      </c>
      <c r="N87" s="526">
        <v>606.42268989145475</v>
      </c>
      <c r="O87" s="527">
        <v>129.51999999999998</v>
      </c>
      <c r="P87" s="527">
        <v>28.494399999999999</v>
      </c>
      <c r="Q87" s="527">
        <v>17.9505765334406</v>
      </c>
      <c r="R87" s="527">
        <v>106.69999999999999</v>
      </c>
      <c r="S87" s="527">
        <v>165.90226348831615</v>
      </c>
      <c r="T87" s="527">
        <v>123.65706807352841</v>
      </c>
      <c r="U87" s="527">
        <v>34.198381796169556</v>
      </c>
      <c r="V87" s="528">
        <v>606.42268989145464</v>
      </c>
      <c r="W87" s="529">
        <v>0.12810304449648713</v>
      </c>
      <c r="Y87" s="529"/>
      <c r="Z87" s="466">
        <v>1</v>
      </c>
    </row>
    <row r="88" spans="1:26" x14ac:dyDescent="0.3">
      <c r="A88" s="489">
        <v>150000610</v>
      </c>
      <c r="B88" s="467" t="s">
        <v>160</v>
      </c>
      <c r="C88" s="509">
        <v>31.589999999999996</v>
      </c>
      <c r="D88" s="509">
        <v>20.010000000000002</v>
      </c>
      <c r="E88" s="524">
        <v>0</v>
      </c>
      <c r="F88" s="524">
        <v>18.02</v>
      </c>
      <c r="G88" s="473">
        <v>55.63</v>
      </c>
      <c r="H88" s="523">
        <v>55.63</v>
      </c>
      <c r="I88" s="473"/>
      <c r="J88" s="523">
        <v>0</v>
      </c>
      <c r="K88" s="473">
        <v>8.6999999999999993</v>
      </c>
      <c r="L88" s="523">
        <v>8.6999999999999993</v>
      </c>
      <c r="M88" s="525">
        <v>169.32292871487937</v>
      </c>
      <c r="N88" s="526">
        <v>412.01911903550956</v>
      </c>
      <c r="O88" s="527">
        <v>69.61999999999999</v>
      </c>
      <c r="P88" s="527">
        <v>15.3164</v>
      </c>
      <c r="Q88" s="527">
        <v>8.6884484705536504</v>
      </c>
      <c r="R88" s="527">
        <v>64.33</v>
      </c>
      <c r="S88" s="527">
        <v>169.32292871487937</v>
      </c>
      <c r="T88" s="527">
        <v>66.468538289677639</v>
      </c>
      <c r="U88" s="527">
        <v>18.272803560398913</v>
      </c>
      <c r="V88" s="528">
        <v>412.01911903550962</v>
      </c>
      <c r="W88" s="529">
        <v>0.13737785016286647</v>
      </c>
      <c r="Y88" s="529"/>
      <c r="Z88" s="466">
        <v>1</v>
      </c>
    </row>
    <row r="89" spans="1:26" x14ac:dyDescent="0.3">
      <c r="A89" s="489">
        <v>150000611</v>
      </c>
      <c r="B89" s="467" t="s">
        <v>195</v>
      </c>
      <c r="C89" s="509">
        <v>152.22</v>
      </c>
      <c r="D89" s="509">
        <v>33.01</v>
      </c>
      <c r="E89" s="524">
        <v>0</v>
      </c>
      <c r="F89" s="524">
        <v>59.15</v>
      </c>
      <c r="G89" s="473">
        <v>111.41</v>
      </c>
      <c r="H89" s="523">
        <v>111.41</v>
      </c>
      <c r="I89" s="473"/>
      <c r="J89" s="523">
        <v>0</v>
      </c>
      <c r="K89" s="473">
        <v>65.69</v>
      </c>
      <c r="L89" s="523">
        <v>65.69</v>
      </c>
      <c r="M89" s="525">
        <v>394.80177823250494</v>
      </c>
      <c r="N89" s="526">
        <v>1209.8032596187631</v>
      </c>
      <c r="O89" s="527">
        <v>244.38</v>
      </c>
      <c r="P89" s="527">
        <v>53.763599999999997</v>
      </c>
      <c r="Q89" s="527">
        <v>41.090036185572899</v>
      </c>
      <c r="R89" s="527">
        <v>177.1</v>
      </c>
      <c r="S89" s="527">
        <v>394.80177823250494</v>
      </c>
      <c r="T89" s="527">
        <v>233.31774471748668</v>
      </c>
      <c r="U89" s="527">
        <v>65.350100483198915</v>
      </c>
      <c r="V89" s="528">
        <v>1209.8032596187634</v>
      </c>
      <c r="W89" s="529">
        <v>0.1153562200073828</v>
      </c>
      <c r="Y89" s="529"/>
      <c r="Z89" s="466">
        <v>1</v>
      </c>
    </row>
    <row r="90" spans="1:26" x14ac:dyDescent="0.3">
      <c r="A90" s="489">
        <v>150000612</v>
      </c>
      <c r="B90" s="467" t="s">
        <v>161</v>
      </c>
      <c r="C90" s="509">
        <v>59.39</v>
      </c>
      <c r="D90" s="509">
        <v>23.32</v>
      </c>
      <c r="E90" s="524">
        <v>0</v>
      </c>
      <c r="F90" s="524">
        <v>36.61</v>
      </c>
      <c r="G90" s="473">
        <v>56.76</v>
      </c>
      <c r="H90" s="523">
        <v>56.76</v>
      </c>
      <c r="I90" s="473"/>
      <c r="J90" s="523">
        <v>0</v>
      </c>
      <c r="K90" s="473">
        <v>45.52</v>
      </c>
      <c r="L90" s="523">
        <v>45.52</v>
      </c>
      <c r="M90" s="525">
        <v>177.72493767762526</v>
      </c>
      <c r="N90" s="526">
        <v>588.15043196787383</v>
      </c>
      <c r="O90" s="527">
        <v>119.32000000000001</v>
      </c>
      <c r="P90" s="527">
        <v>26.250399999999999</v>
      </c>
      <c r="Q90" s="527">
        <v>17.088204771103101</v>
      </c>
      <c r="R90" s="527">
        <v>102.28</v>
      </c>
      <c r="S90" s="527">
        <v>177.72493767762526</v>
      </c>
      <c r="T90" s="527">
        <v>113.91878754272244</v>
      </c>
      <c r="U90" s="527">
        <v>31.568101976423058</v>
      </c>
      <c r="V90" s="528">
        <v>588.15043196787371</v>
      </c>
      <c r="W90" s="529">
        <v>6.0749646393210746E-2</v>
      </c>
      <c r="Y90" s="529"/>
      <c r="Z90" s="466">
        <v>1</v>
      </c>
    </row>
    <row r="91" spans="1:26" x14ac:dyDescent="0.3">
      <c r="A91" s="489">
        <v>150000613</v>
      </c>
      <c r="B91" s="467" t="s">
        <v>210</v>
      </c>
      <c r="C91" s="509">
        <v>171.21</v>
      </c>
      <c r="D91" s="509">
        <v>31.46</v>
      </c>
      <c r="E91" s="524">
        <v>0</v>
      </c>
      <c r="F91" s="524">
        <v>89.12</v>
      </c>
      <c r="G91" s="473">
        <v>180.32</v>
      </c>
      <c r="H91" s="523">
        <v>180.32</v>
      </c>
      <c r="I91" s="473"/>
      <c r="J91" s="523">
        <v>0</v>
      </c>
      <c r="K91" s="473">
        <v>65.69</v>
      </c>
      <c r="L91" s="523">
        <v>65.69</v>
      </c>
      <c r="M91" s="525">
        <v>528.14358459547248</v>
      </c>
      <c r="N91" s="526">
        <v>1530.112191692434</v>
      </c>
      <c r="O91" s="527">
        <v>291.79000000000002</v>
      </c>
      <c r="P91" s="527">
        <v>64.19380000000001</v>
      </c>
      <c r="Q91" s="527">
        <v>43.9486374359888</v>
      </c>
      <c r="R91" s="527">
        <v>246.01</v>
      </c>
      <c r="S91" s="527">
        <v>528.14358459547248</v>
      </c>
      <c r="T91" s="527">
        <v>278.58165451802699</v>
      </c>
      <c r="U91" s="527">
        <v>77.44451514294559</v>
      </c>
      <c r="V91" s="528">
        <v>1530.1121916924337</v>
      </c>
      <c r="W91" s="529">
        <v>1.0441404832558128</v>
      </c>
      <c r="Y91" s="529">
        <v>0</v>
      </c>
      <c r="Z91" s="466">
        <v>1</v>
      </c>
    </row>
    <row r="92" spans="1:26" x14ac:dyDescent="0.3">
      <c r="A92" s="489">
        <v>150000614</v>
      </c>
      <c r="B92" s="467" t="s">
        <v>162</v>
      </c>
      <c r="C92" s="509">
        <v>51.92</v>
      </c>
      <c r="D92" s="509">
        <v>18.53</v>
      </c>
      <c r="E92" s="524">
        <v>0</v>
      </c>
      <c r="F92" s="524">
        <v>28.215</v>
      </c>
      <c r="G92" s="473">
        <v>70.430000000000007</v>
      </c>
      <c r="H92" s="523">
        <v>70.430000000000007</v>
      </c>
      <c r="I92" s="473"/>
      <c r="J92" s="523">
        <v>0</v>
      </c>
      <c r="K92" s="473">
        <v>57.53</v>
      </c>
      <c r="L92" s="523">
        <v>57.53</v>
      </c>
      <c r="M92" s="525">
        <v>223.1627741038067</v>
      </c>
      <c r="N92" s="526">
        <v>601.633113413763</v>
      </c>
      <c r="O92" s="527">
        <v>98.665000000000006</v>
      </c>
      <c r="P92" s="527">
        <v>21.706299999999999</v>
      </c>
      <c r="Q92" s="527">
        <v>10.27662690714515</v>
      </c>
      <c r="R92" s="527">
        <v>127.96000000000001</v>
      </c>
      <c r="S92" s="527">
        <v>223.1627741038067</v>
      </c>
      <c r="T92" s="527">
        <v>94.19876946784035</v>
      </c>
      <c r="U92" s="527">
        <v>25.66364293497087</v>
      </c>
      <c r="V92" s="528">
        <v>601.633113413763</v>
      </c>
      <c r="W92" s="529">
        <v>0.12757255936675463</v>
      </c>
      <c r="Y92" s="529"/>
      <c r="Z92" s="466">
        <v>1</v>
      </c>
    </row>
    <row r="93" spans="1:26" x14ac:dyDescent="0.3">
      <c r="A93" s="489">
        <v>150000615</v>
      </c>
      <c r="B93" s="467" t="s">
        <v>256</v>
      </c>
      <c r="C93" s="509">
        <v>304.56</v>
      </c>
      <c r="D93" s="509">
        <v>58.37</v>
      </c>
      <c r="E93" s="524">
        <v>0</v>
      </c>
      <c r="F93" s="524">
        <v>157.76</v>
      </c>
      <c r="G93" s="473">
        <v>306.92</v>
      </c>
      <c r="H93" s="523">
        <v>306.92</v>
      </c>
      <c r="I93" s="473"/>
      <c r="J93" s="523">
        <v>0</v>
      </c>
      <c r="K93" s="473">
        <v>98.36</v>
      </c>
      <c r="L93" s="523">
        <v>98.36</v>
      </c>
      <c r="M93" s="525">
        <v>939.58191068508552</v>
      </c>
      <c r="N93" s="526">
        <v>2669.7582513080697</v>
      </c>
      <c r="O93" s="527">
        <v>520.69000000000005</v>
      </c>
      <c r="P93" s="527">
        <v>114.55180000000001</v>
      </c>
      <c r="Q93" s="527">
        <v>56.804820335734803</v>
      </c>
      <c r="R93" s="527">
        <v>405.28000000000003</v>
      </c>
      <c r="S93" s="527">
        <v>939.58191068508552</v>
      </c>
      <c r="T93" s="527">
        <v>497.1201264299375</v>
      </c>
      <c r="U93" s="527">
        <v>135.72959385731204</v>
      </c>
      <c r="V93" s="528">
        <v>2669.7582513080697</v>
      </c>
      <c r="W93" s="529">
        <v>0.98074133816024833</v>
      </c>
      <c r="Y93" s="529">
        <v>0</v>
      </c>
      <c r="Z93" s="466">
        <v>3</v>
      </c>
    </row>
    <row r="94" spans="1:26" x14ac:dyDescent="0.3">
      <c r="A94" s="489">
        <v>150000616</v>
      </c>
      <c r="B94" s="467" t="s">
        <v>257</v>
      </c>
      <c r="C94" s="509">
        <v>205.67</v>
      </c>
      <c r="D94" s="509">
        <v>39.42</v>
      </c>
      <c r="E94" s="524">
        <v>0</v>
      </c>
      <c r="F94" s="524">
        <v>99.48</v>
      </c>
      <c r="G94" s="473">
        <v>205.46</v>
      </c>
      <c r="H94" s="523">
        <v>205.46</v>
      </c>
      <c r="I94" s="473"/>
      <c r="J94" s="523">
        <v>0</v>
      </c>
      <c r="K94" s="473">
        <v>82.05</v>
      </c>
      <c r="L94" s="523">
        <v>82.05</v>
      </c>
      <c r="M94" s="525">
        <v>642.90690294666842</v>
      </c>
      <c r="N94" s="526">
        <v>1817.1617520814266</v>
      </c>
      <c r="O94" s="527">
        <v>344.57</v>
      </c>
      <c r="P94" s="527">
        <v>75.805399999999992</v>
      </c>
      <c r="Q94" s="527">
        <v>46.553996760301402</v>
      </c>
      <c r="R94" s="527">
        <v>287.51</v>
      </c>
      <c r="S94" s="527">
        <v>642.90690294666842</v>
      </c>
      <c r="T94" s="527">
        <v>328.97248259802109</v>
      </c>
      <c r="U94" s="527">
        <v>90.842969776435822</v>
      </c>
      <c r="V94" s="528">
        <v>1817.1617520814268</v>
      </c>
      <c r="W94" s="529">
        <v>0.94011297300837804</v>
      </c>
      <c r="Y94" s="529">
        <v>0</v>
      </c>
      <c r="Z94" s="466">
        <v>3</v>
      </c>
    </row>
    <row r="95" spans="1:26" x14ac:dyDescent="0.3">
      <c r="A95" s="489">
        <v>150000618</v>
      </c>
      <c r="B95" s="467" t="s">
        <v>416</v>
      </c>
      <c r="C95" s="509">
        <v>273.3</v>
      </c>
      <c r="D95" s="509">
        <v>43.12</v>
      </c>
      <c r="E95" s="524">
        <v>14.09</v>
      </c>
      <c r="F95" s="524">
        <v>99.83</v>
      </c>
      <c r="G95" s="473">
        <v>340.12</v>
      </c>
      <c r="H95" s="523">
        <v>340.12</v>
      </c>
      <c r="I95" s="473">
        <v>70</v>
      </c>
      <c r="J95" s="523">
        <v>70</v>
      </c>
      <c r="K95" s="473">
        <v>25.61</v>
      </c>
      <c r="L95" s="523">
        <v>25.61</v>
      </c>
      <c r="M95" s="525">
        <v>977.81140778487361</v>
      </c>
      <c r="N95" s="526">
        <v>2542.2696363732848</v>
      </c>
      <c r="O95" s="527">
        <v>430.34</v>
      </c>
      <c r="P95" s="527">
        <v>94.674799999999991</v>
      </c>
      <c r="Q95" s="527">
        <v>77.220399003902699</v>
      </c>
      <c r="R95" s="527">
        <v>435.73</v>
      </c>
      <c r="S95" s="527">
        <v>977.81140778487361</v>
      </c>
      <c r="T95" s="527">
        <v>410.85996506147478</v>
      </c>
      <c r="U95" s="527">
        <v>115.63306452303333</v>
      </c>
      <c r="V95" s="528">
        <v>2542.2696363732844</v>
      </c>
      <c r="W95" s="529">
        <v>0.96148330833369111</v>
      </c>
      <c r="Y95" s="529">
        <v>0</v>
      </c>
      <c r="Z95" s="466">
        <v>3</v>
      </c>
    </row>
    <row r="96" spans="1:26" x14ac:dyDescent="0.3">
      <c r="A96" s="489">
        <v>150000619</v>
      </c>
      <c r="B96" s="467" t="s">
        <v>359</v>
      </c>
      <c r="C96" s="509">
        <v>526.1</v>
      </c>
      <c r="D96" s="509">
        <v>81.08</v>
      </c>
      <c r="E96" s="524">
        <v>26.37</v>
      </c>
      <c r="F96" s="524">
        <v>184.93</v>
      </c>
      <c r="G96" s="473">
        <v>517.94000000000005</v>
      </c>
      <c r="H96" s="523">
        <v>517.94000000000005</v>
      </c>
      <c r="I96" s="473">
        <v>115.69</v>
      </c>
      <c r="J96" s="523">
        <v>115.69</v>
      </c>
      <c r="K96" s="473">
        <v>50.66</v>
      </c>
      <c r="L96" s="523">
        <v>50.66</v>
      </c>
      <c r="M96" s="525">
        <v>1515.8179104502703</v>
      </c>
      <c r="N96" s="526">
        <v>4344.1847148866809</v>
      </c>
      <c r="O96" s="527">
        <v>818.48</v>
      </c>
      <c r="P96" s="527">
        <v>180.06560000000002</v>
      </c>
      <c r="Q96" s="527">
        <v>144.45012299468951</v>
      </c>
      <c r="R96" s="527">
        <v>684.29000000000008</v>
      </c>
      <c r="S96" s="527">
        <v>1515.8179104502703</v>
      </c>
      <c r="T96" s="527">
        <v>781.43018126020331</v>
      </c>
      <c r="U96" s="527">
        <v>219.6509001815179</v>
      </c>
      <c r="V96" s="528">
        <v>4344.1847148866809</v>
      </c>
      <c r="W96" s="529">
        <v>0.98859565370138691</v>
      </c>
      <c r="Y96" s="529">
        <v>0</v>
      </c>
      <c r="Z96" s="466">
        <v>1</v>
      </c>
    </row>
    <row r="97" spans="1:26" x14ac:dyDescent="0.3">
      <c r="A97" s="489">
        <v>150000621</v>
      </c>
      <c r="B97" s="467" t="s">
        <v>80</v>
      </c>
      <c r="C97" s="509">
        <v>0</v>
      </c>
      <c r="D97" s="509">
        <v>0</v>
      </c>
      <c r="E97" s="524">
        <v>0</v>
      </c>
      <c r="F97" s="524">
        <v>0</v>
      </c>
      <c r="G97" s="473"/>
      <c r="H97" s="523">
        <v>0</v>
      </c>
      <c r="I97" s="473"/>
      <c r="J97" s="523">
        <v>0</v>
      </c>
      <c r="K97" s="473">
        <v>19.34</v>
      </c>
      <c r="L97" s="523">
        <v>19.34</v>
      </c>
      <c r="M97" s="525">
        <v>0</v>
      </c>
      <c r="N97" s="526">
        <v>19.34</v>
      </c>
      <c r="O97" s="527">
        <v>0</v>
      </c>
      <c r="P97" s="527">
        <v>0</v>
      </c>
      <c r="Q97" s="527">
        <v>0</v>
      </c>
      <c r="R97" s="527">
        <v>19.34</v>
      </c>
      <c r="S97" s="527">
        <v>0</v>
      </c>
      <c r="T97" s="527">
        <v>0</v>
      </c>
      <c r="U97" s="527">
        <v>0</v>
      </c>
      <c r="V97" s="528">
        <v>19.34</v>
      </c>
      <c r="W97" s="529">
        <v>0.22010718591486322</v>
      </c>
      <c r="Y97" s="529"/>
      <c r="Z97" s="466">
        <v>1</v>
      </c>
    </row>
    <row r="98" spans="1:26" x14ac:dyDescent="0.3">
      <c r="A98" s="489">
        <v>150000622</v>
      </c>
      <c r="B98" s="467" t="s">
        <v>81</v>
      </c>
      <c r="C98" s="509">
        <v>0</v>
      </c>
      <c r="D98" s="509">
        <v>0</v>
      </c>
      <c r="E98" s="524">
        <v>0</v>
      </c>
      <c r="F98" s="524">
        <v>0</v>
      </c>
      <c r="G98" s="473"/>
      <c r="H98" s="523">
        <v>0</v>
      </c>
      <c r="I98" s="473"/>
      <c r="J98" s="523">
        <v>0</v>
      </c>
      <c r="K98" s="473">
        <v>8.6999999999999993</v>
      </c>
      <c r="L98" s="523">
        <v>8.6999999999999993</v>
      </c>
      <c r="M98" s="525">
        <v>0</v>
      </c>
      <c r="N98" s="526">
        <v>8.6999999999999993</v>
      </c>
      <c r="O98" s="527">
        <v>0</v>
      </c>
      <c r="P98" s="527">
        <v>0</v>
      </c>
      <c r="Q98" s="527">
        <v>0</v>
      </c>
      <c r="R98" s="527">
        <v>8.6999999999999993</v>
      </c>
      <c r="S98" s="527">
        <v>0</v>
      </c>
      <c r="T98" s="527">
        <v>0</v>
      </c>
      <c r="U98" s="527">
        <v>0</v>
      </c>
      <c r="V98" s="528">
        <v>8.6999999999999993</v>
      </c>
      <c r="W98" s="529">
        <v>0.99177001492695294</v>
      </c>
      <c r="Y98" s="529">
        <v>0</v>
      </c>
      <c r="Z98" s="466">
        <v>1</v>
      </c>
    </row>
    <row r="99" spans="1:26" x14ac:dyDescent="0.3">
      <c r="A99" s="489">
        <v>150000623</v>
      </c>
      <c r="B99" s="467" t="s">
        <v>209</v>
      </c>
      <c r="C99" s="509">
        <v>178.06</v>
      </c>
      <c r="D99" s="509">
        <v>31.62</v>
      </c>
      <c r="E99" s="524">
        <v>0</v>
      </c>
      <c r="F99" s="524">
        <v>88.33</v>
      </c>
      <c r="G99" s="473">
        <v>177.45</v>
      </c>
      <c r="H99" s="523">
        <v>177.45</v>
      </c>
      <c r="I99" s="473"/>
      <c r="J99" s="523">
        <v>0</v>
      </c>
      <c r="K99" s="473">
        <v>65.67</v>
      </c>
      <c r="L99" s="523">
        <v>65.67</v>
      </c>
      <c r="M99" s="525">
        <v>524.71579298302049</v>
      </c>
      <c r="N99" s="526">
        <v>1535.9104795439866</v>
      </c>
      <c r="O99" s="527">
        <v>298.01</v>
      </c>
      <c r="P99" s="527">
        <v>65.562200000000004</v>
      </c>
      <c r="Q99" s="527">
        <v>41.296638102850999</v>
      </c>
      <c r="R99" s="527">
        <v>243.12</v>
      </c>
      <c r="S99" s="527">
        <v>524.71579298302049</v>
      </c>
      <c r="T99" s="527">
        <v>284.52009617504791</v>
      </c>
      <c r="U99" s="527">
        <v>78.685752283067046</v>
      </c>
      <c r="V99" s="528">
        <v>1535.9104795439864</v>
      </c>
      <c r="W99" s="529">
        <v>0.17731629392971246</v>
      </c>
      <c r="Y99" s="529"/>
      <c r="Z99" s="466">
        <v>1</v>
      </c>
    </row>
    <row r="100" spans="1:26" x14ac:dyDescent="0.3">
      <c r="A100" s="489">
        <v>150000625</v>
      </c>
      <c r="B100" s="467" t="s">
        <v>415</v>
      </c>
      <c r="C100" s="509">
        <v>573.45000000000005</v>
      </c>
      <c r="D100" s="509">
        <v>89.41</v>
      </c>
      <c r="E100" s="524">
        <v>28.17</v>
      </c>
      <c r="F100" s="524">
        <v>207.62</v>
      </c>
      <c r="G100" s="473">
        <v>656.16</v>
      </c>
      <c r="H100" s="523">
        <v>656.16</v>
      </c>
      <c r="I100" s="473">
        <v>126.06</v>
      </c>
      <c r="J100" s="523">
        <v>126.06</v>
      </c>
      <c r="K100" s="473">
        <v>50.66</v>
      </c>
      <c r="L100" s="523">
        <v>50.66</v>
      </c>
      <c r="M100" s="525">
        <v>1728.3801855446754</v>
      </c>
      <c r="N100" s="526">
        <v>4881.5650036409043</v>
      </c>
      <c r="O100" s="527">
        <v>898.65</v>
      </c>
      <c r="P100" s="527">
        <v>197.703</v>
      </c>
      <c r="Q100" s="527">
        <v>128.2760040460924</v>
      </c>
      <c r="R100" s="527">
        <v>832.88</v>
      </c>
      <c r="S100" s="527">
        <v>1728.3801855446754</v>
      </c>
      <c r="T100" s="527">
        <v>857.97115676556768</v>
      </c>
      <c r="U100" s="527">
        <v>237.7046572845685</v>
      </c>
      <c r="V100" s="528">
        <v>4881.5650036409043</v>
      </c>
      <c r="W100" s="529">
        <v>0.11005586592178772</v>
      </c>
      <c r="Y100" s="529"/>
      <c r="Z100" s="466">
        <v>1</v>
      </c>
    </row>
    <row r="101" spans="1:26" x14ac:dyDescent="0.3">
      <c r="A101" s="489">
        <v>150000626</v>
      </c>
      <c r="B101" s="467" t="s">
        <v>358</v>
      </c>
      <c r="C101" s="509">
        <v>655.55</v>
      </c>
      <c r="D101" s="509">
        <v>133.35</v>
      </c>
      <c r="E101" s="524">
        <v>77.92</v>
      </c>
      <c r="F101" s="524">
        <v>545.04</v>
      </c>
      <c r="G101" s="473">
        <v>1041.6400000000001</v>
      </c>
      <c r="H101" s="523">
        <v>1041.6400000000001</v>
      </c>
      <c r="I101" s="473">
        <v>193.61</v>
      </c>
      <c r="J101" s="523">
        <v>193.61</v>
      </c>
      <c r="K101" s="473">
        <v>155.84</v>
      </c>
      <c r="L101" s="523">
        <v>155.84</v>
      </c>
      <c r="M101" s="525">
        <v>2675.0421606101577</v>
      </c>
      <c r="N101" s="526">
        <v>7683.7808538775789</v>
      </c>
      <c r="O101" s="527">
        <v>1411.86</v>
      </c>
      <c r="P101" s="527">
        <v>310.60919999999999</v>
      </c>
      <c r="Q101" s="527">
        <v>176.61798920888549</v>
      </c>
      <c r="R101" s="527">
        <v>1391.09</v>
      </c>
      <c r="S101" s="527">
        <v>2675.0421606101577</v>
      </c>
      <c r="T101" s="527">
        <v>1347.9498774729141</v>
      </c>
      <c r="U101" s="527">
        <v>370.61162658562216</v>
      </c>
      <c r="V101" s="528">
        <v>7683.7808538775789</v>
      </c>
      <c r="W101" s="529">
        <v>0.97596393193379216</v>
      </c>
      <c r="Y101" s="529">
        <v>0</v>
      </c>
      <c r="Z101" s="466">
        <v>1</v>
      </c>
    </row>
    <row r="102" spans="1:26" x14ac:dyDescent="0.3">
      <c r="A102" s="489">
        <v>150000627</v>
      </c>
      <c r="B102" s="467" t="s">
        <v>355</v>
      </c>
      <c r="C102" s="509">
        <v>330.87</v>
      </c>
      <c r="D102" s="509">
        <v>67.03</v>
      </c>
      <c r="E102" s="524">
        <v>26.37</v>
      </c>
      <c r="F102" s="524">
        <v>237.95</v>
      </c>
      <c r="G102" s="473">
        <v>525.55999999999995</v>
      </c>
      <c r="H102" s="523">
        <v>525.55999999999995</v>
      </c>
      <c r="I102" s="473">
        <v>96.21</v>
      </c>
      <c r="J102" s="523">
        <v>96.21</v>
      </c>
      <c r="K102" s="473">
        <v>65.67</v>
      </c>
      <c r="L102" s="523">
        <v>65.67</v>
      </c>
      <c r="M102" s="525">
        <v>1345.9426868290186</v>
      </c>
      <c r="N102" s="526">
        <v>3760.3312255116152</v>
      </c>
      <c r="O102" s="527">
        <v>662.22</v>
      </c>
      <c r="P102" s="527">
        <v>145.6884</v>
      </c>
      <c r="Q102" s="527">
        <v>109.8785864256709</v>
      </c>
      <c r="R102" s="527">
        <v>687.43999999999994</v>
      </c>
      <c r="S102" s="527">
        <v>1345.9426868290186</v>
      </c>
      <c r="T102" s="527">
        <v>632.24354246179735</v>
      </c>
      <c r="U102" s="527">
        <v>176.9180097951288</v>
      </c>
      <c r="V102" s="528">
        <v>3760.3312255116161</v>
      </c>
      <c r="W102" s="529">
        <v>1.0100613268347975</v>
      </c>
      <c r="Y102" s="529">
        <v>0</v>
      </c>
      <c r="Z102" s="466">
        <v>1</v>
      </c>
    </row>
    <row r="103" spans="1:26" x14ac:dyDescent="0.3">
      <c r="A103" s="489">
        <v>150000628</v>
      </c>
      <c r="B103" s="467" t="s">
        <v>356</v>
      </c>
      <c r="C103" s="509">
        <v>525.76</v>
      </c>
      <c r="D103" s="509">
        <v>81.77</v>
      </c>
      <c r="E103" s="524">
        <v>26.37</v>
      </c>
      <c r="F103" s="524">
        <v>189.02</v>
      </c>
      <c r="G103" s="473">
        <v>608.72</v>
      </c>
      <c r="H103" s="523">
        <v>608.72</v>
      </c>
      <c r="I103" s="473">
        <v>117.76</v>
      </c>
      <c r="J103" s="523">
        <v>117.76</v>
      </c>
      <c r="K103" s="473">
        <v>58.8</v>
      </c>
      <c r="L103" s="523">
        <v>58.8</v>
      </c>
      <c r="M103" s="525">
        <v>1657.9394242280832</v>
      </c>
      <c r="N103" s="526">
        <v>4568.9259712367893</v>
      </c>
      <c r="O103" s="527">
        <v>822.92</v>
      </c>
      <c r="P103" s="527">
        <v>181.04239999999999</v>
      </c>
      <c r="Q103" s="527">
        <v>118.30599851433999</v>
      </c>
      <c r="R103" s="527">
        <v>785.28</v>
      </c>
      <c r="S103" s="527">
        <v>1657.9394242280832</v>
      </c>
      <c r="T103" s="527">
        <v>785.66919749125998</v>
      </c>
      <c r="U103" s="527">
        <v>217.7689510031058</v>
      </c>
      <c r="V103" s="528">
        <v>4568.9259712367893</v>
      </c>
      <c r="W103" s="529">
        <v>0.19456740442655934</v>
      </c>
      <c r="Y103" s="529"/>
      <c r="Z103" s="466">
        <v>1</v>
      </c>
    </row>
    <row r="104" spans="1:26" x14ac:dyDescent="0.3">
      <c r="A104" s="489">
        <v>150000629</v>
      </c>
      <c r="B104" s="467" t="s">
        <v>357</v>
      </c>
      <c r="C104" s="509">
        <v>807.59</v>
      </c>
      <c r="D104" s="509">
        <v>135.28</v>
      </c>
      <c r="E104" s="524">
        <v>155.84</v>
      </c>
      <c r="F104" s="524">
        <v>610.46</v>
      </c>
      <c r="G104" s="473">
        <v>1132.3</v>
      </c>
      <c r="H104" s="523">
        <v>1132.3</v>
      </c>
      <c r="I104" s="473">
        <v>246.38</v>
      </c>
      <c r="J104" s="523">
        <v>246.38</v>
      </c>
      <c r="K104" s="473">
        <v>107.03</v>
      </c>
      <c r="L104" s="523">
        <v>107.03</v>
      </c>
      <c r="M104" s="525">
        <v>3404.1818960027181</v>
      </c>
      <c r="N104" s="526">
        <v>9248.8026117446116</v>
      </c>
      <c r="O104" s="527">
        <v>1709.17</v>
      </c>
      <c r="P104" s="527">
        <v>376.01739999999995</v>
      </c>
      <c r="Q104" s="527">
        <v>195.37111187192801</v>
      </c>
      <c r="R104" s="527">
        <v>1485.7099999999998</v>
      </c>
      <c r="S104" s="527">
        <v>3404.1818960027181</v>
      </c>
      <c r="T104" s="527">
        <v>1631.8016602782009</v>
      </c>
      <c r="U104" s="527">
        <v>446.55054359176393</v>
      </c>
      <c r="V104" s="528">
        <v>9248.8026117446097</v>
      </c>
      <c r="W104" s="529">
        <v>0.99549452010314532</v>
      </c>
      <c r="Y104" s="529">
        <v>0</v>
      </c>
      <c r="Z104" s="466">
        <v>1</v>
      </c>
    </row>
    <row r="105" spans="1:26" x14ac:dyDescent="0.3">
      <c r="A105" s="489">
        <v>150000634</v>
      </c>
      <c r="B105" s="467" t="s">
        <v>86</v>
      </c>
      <c r="C105" s="509">
        <v>0</v>
      </c>
      <c r="D105" s="509">
        <v>0</v>
      </c>
      <c r="E105" s="524">
        <v>0</v>
      </c>
      <c r="F105" s="524">
        <v>0</v>
      </c>
      <c r="G105" s="473"/>
      <c r="H105" s="523">
        <v>0</v>
      </c>
      <c r="I105" s="473"/>
      <c r="J105" s="523">
        <v>0</v>
      </c>
      <c r="K105" s="473">
        <v>29.44</v>
      </c>
      <c r="L105" s="523">
        <v>29.44</v>
      </c>
      <c r="M105" s="525">
        <v>0</v>
      </c>
      <c r="N105" s="526">
        <v>29.44</v>
      </c>
      <c r="O105" s="527">
        <v>0</v>
      </c>
      <c r="P105" s="527">
        <v>0</v>
      </c>
      <c r="Q105" s="527">
        <v>0</v>
      </c>
      <c r="R105" s="527">
        <v>29.44</v>
      </c>
      <c r="S105" s="527">
        <v>0</v>
      </c>
      <c r="T105" s="527">
        <v>0</v>
      </c>
      <c r="U105" s="527">
        <v>0</v>
      </c>
      <c r="V105" s="528">
        <v>29.44</v>
      </c>
      <c r="W105" s="529">
        <v>0.98193966233038521</v>
      </c>
      <c r="Y105" s="529">
        <v>0</v>
      </c>
      <c r="Z105" s="466">
        <v>1</v>
      </c>
    </row>
    <row r="106" spans="1:26" x14ac:dyDescent="0.3">
      <c r="A106" s="489">
        <v>150000636</v>
      </c>
      <c r="B106" s="467" t="s">
        <v>258</v>
      </c>
      <c r="C106" s="509">
        <v>366.64</v>
      </c>
      <c r="D106" s="509">
        <v>75.48</v>
      </c>
      <c r="E106" s="524">
        <v>23.98</v>
      </c>
      <c r="F106" s="524">
        <v>216.24</v>
      </c>
      <c r="G106" s="473">
        <v>390.81</v>
      </c>
      <c r="H106" s="523">
        <v>390.81</v>
      </c>
      <c r="I106" s="473"/>
      <c r="J106" s="523">
        <v>0</v>
      </c>
      <c r="K106" s="473">
        <v>99.5</v>
      </c>
      <c r="L106" s="523">
        <v>99.5</v>
      </c>
      <c r="M106" s="525">
        <v>1131.5988152624452</v>
      </c>
      <c r="N106" s="526">
        <v>3356.6597188488586</v>
      </c>
      <c r="O106" s="527">
        <v>682.34</v>
      </c>
      <c r="P106" s="527">
        <v>150.1148</v>
      </c>
      <c r="Q106" s="527">
        <v>73.125998879027705</v>
      </c>
      <c r="R106" s="527">
        <v>490.31</v>
      </c>
      <c r="S106" s="527">
        <v>1131.5988152624452</v>
      </c>
      <c r="T106" s="527">
        <v>651.45277817550482</v>
      </c>
      <c r="U106" s="527">
        <v>177.71732653188087</v>
      </c>
      <c r="V106" s="528">
        <v>3356.6597188488586</v>
      </c>
      <c r="W106" s="529">
        <v>1.0063733733913813</v>
      </c>
      <c r="Y106" s="529">
        <v>0</v>
      </c>
      <c r="Z106" s="466">
        <v>1</v>
      </c>
    </row>
    <row r="107" spans="1:26" x14ac:dyDescent="0.3">
      <c r="A107" s="489">
        <v>150000637</v>
      </c>
      <c r="B107" s="467" t="s">
        <v>87</v>
      </c>
      <c r="C107" s="509">
        <v>0</v>
      </c>
      <c r="D107" s="509">
        <v>0</v>
      </c>
      <c r="E107" s="524">
        <v>0</v>
      </c>
      <c r="F107" s="524">
        <v>0</v>
      </c>
      <c r="G107" s="473"/>
      <c r="H107" s="523">
        <v>0</v>
      </c>
      <c r="I107" s="473"/>
      <c r="J107" s="523">
        <v>0</v>
      </c>
      <c r="K107" s="473">
        <v>25.61</v>
      </c>
      <c r="L107" s="523">
        <v>25.61</v>
      </c>
      <c r="M107" s="525">
        <v>0</v>
      </c>
      <c r="N107" s="526">
        <v>25.61</v>
      </c>
      <c r="O107" s="527">
        <v>0</v>
      </c>
      <c r="P107" s="527">
        <v>0</v>
      </c>
      <c r="Q107" s="527">
        <v>0</v>
      </c>
      <c r="R107" s="527">
        <v>25.61</v>
      </c>
      <c r="S107" s="527">
        <v>0</v>
      </c>
      <c r="T107" s="527">
        <v>0</v>
      </c>
      <c r="U107" s="527">
        <v>0</v>
      </c>
      <c r="V107" s="528">
        <v>25.61</v>
      </c>
      <c r="W107" s="529">
        <v>0.96808188329854172</v>
      </c>
      <c r="Y107" s="529">
        <v>0</v>
      </c>
      <c r="Z107" s="466">
        <v>1</v>
      </c>
    </row>
    <row r="108" spans="1:26" x14ac:dyDescent="0.3">
      <c r="A108" s="489">
        <v>150000638</v>
      </c>
      <c r="B108" s="467" t="s">
        <v>131</v>
      </c>
      <c r="C108" s="509">
        <v>0</v>
      </c>
      <c r="D108" s="509">
        <v>0</v>
      </c>
      <c r="E108" s="524">
        <v>0</v>
      </c>
      <c r="F108" s="524">
        <v>0</v>
      </c>
      <c r="G108" s="473"/>
      <c r="H108" s="523">
        <v>0</v>
      </c>
      <c r="I108" s="473"/>
      <c r="J108" s="523">
        <v>0</v>
      </c>
      <c r="K108" s="473">
        <v>19.11</v>
      </c>
      <c r="L108" s="523">
        <v>19.11</v>
      </c>
      <c r="M108" s="525">
        <v>0</v>
      </c>
      <c r="N108" s="526">
        <v>19.11</v>
      </c>
      <c r="O108" s="527">
        <v>0</v>
      </c>
      <c r="P108" s="527">
        <v>0</v>
      </c>
      <c r="Q108" s="527">
        <v>0</v>
      </c>
      <c r="R108" s="527">
        <v>19.11</v>
      </c>
      <c r="S108" s="527">
        <v>0</v>
      </c>
      <c r="T108" s="527">
        <v>0</v>
      </c>
      <c r="U108" s="527">
        <v>0</v>
      </c>
      <c r="V108" s="528">
        <v>19.11</v>
      </c>
      <c r="W108" s="529">
        <v>1.0234901762490731</v>
      </c>
      <c r="Y108" s="529">
        <v>0</v>
      </c>
      <c r="Z108" s="466">
        <v>1</v>
      </c>
    </row>
    <row r="109" spans="1:26" x14ac:dyDescent="0.3">
      <c r="A109" s="489">
        <v>150000639</v>
      </c>
      <c r="B109" s="467" t="s">
        <v>132</v>
      </c>
      <c r="C109" s="509">
        <v>0</v>
      </c>
      <c r="D109" s="509">
        <v>0</v>
      </c>
      <c r="E109" s="524">
        <v>0</v>
      </c>
      <c r="F109" s="524">
        <v>0</v>
      </c>
      <c r="G109" s="473"/>
      <c r="H109" s="523">
        <v>0</v>
      </c>
      <c r="I109" s="473"/>
      <c r="J109" s="523">
        <v>0</v>
      </c>
      <c r="K109" s="473">
        <v>31.24</v>
      </c>
      <c r="L109" s="523">
        <v>31.24</v>
      </c>
      <c r="M109" s="525">
        <v>0</v>
      </c>
      <c r="N109" s="526">
        <v>31.24</v>
      </c>
      <c r="O109" s="527">
        <v>0</v>
      </c>
      <c r="P109" s="527">
        <v>0</v>
      </c>
      <c r="Q109" s="527">
        <v>0</v>
      </c>
      <c r="R109" s="527">
        <v>31.24</v>
      </c>
      <c r="S109" s="527">
        <v>0</v>
      </c>
      <c r="T109" s="527">
        <v>0</v>
      </c>
      <c r="U109" s="527">
        <v>0</v>
      </c>
      <c r="V109" s="528">
        <v>31.24</v>
      </c>
      <c r="W109" s="529">
        <v>1.0821035159824308</v>
      </c>
      <c r="Y109" s="529">
        <v>0</v>
      </c>
      <c r="Z109" s="466">
        <v>2</v>
      </c>
    </row>
    <row r="110" spans="1:26" x14ac:dyDescent="0.3">
      <c r="A110" s="489">
        <v>150000643</v>
      </c>
      <c r="B110" s="467" t="s">
        <v>66</v>
      </c>
      <c r="C110" s="509">
        <v>0</v>
      </c>
      <c r="D110" s="509">
        <v>0</v>
      </c>
      <c r="E110" s="524">
        <v>0</v>
      </c>
      <c r="F110" s="524">
        <v>0</v>
      </c>
      <c r="G110" s="473"/>
      <c r="H110" s="523">
        <v>0</v>
      </c>
      <c r="I110" s="473"/>
      <c r="J110" s="523">
        <v>0</v>
      </c>
      <c r="K110" s="473">
        <v>38.630000000000003</v>
      </c>
      <c r="L110" s="523">
        <v>38.630000000000003</v>
      </c>
      <c r="M110" s="525">
        <v>0</v>
      </c>
      <c r="N110" s="526">
        <v>38.630000000000003</v>
      </c>
      <c r="O110" s="527">
        <v>0</v>
      </c>
      <c r="P110" s="527">
        <v>0</v>
      </c>
      <c r="Q110" s="527">
        <v>0</v>
      </c>
      <c r="R110" s="527">
        <v>38.630000000000003</v>
      </c>
      <c r="S110" s="527">
        <v>0</v>
      </c>
      <c r="T110" s="527">
        <v>0</v>
      </c>
      <c r="U110" s="527">
        <v>0</v>
      </c>
      <c r="V110" s="528">
        <v>38.630000000000003</v>
      </c>
      <c r="W110" s="529">
        <v>0.79536186479314874</v>
      </c>
      <c r="Y110" s="529">
        <v>0</v>
      </c>
      <c r="Z110" s="466">
        <v>2</v>
      </c>
    </row>
    <row r="111" spans="1:26" x14ac:dyDescent="0.3">
      <c r="A111" s="489">
        <v>150000644</v>
      </c>
      <c r="B111" s="467" t="s">
        <v>67</v>
      </c>
      <c r="C111" s="509">
        <v>0</v>
      </c>
      <c r="D111" s="509">
        <v>0</v>
      </c>
      <c r="E111" s="524">
        <v>0</v>
      </c>
      <c r="F111" s="524">
        <v>0</v>
      </c>
      <c r="G111" s="473">
        <v>22.45</v>
      </c>
      <c r="H111" s="523">
        <v>22.45</v>
      </c>
      <c r="I111" s="473"/>
      <c r="J111" s="523">
        <v>0</v>
      </c>
      <c r="K111" s="473">
        <v>27.48</v>
      </c>
      <c r="L111" s="523">
        <v>27.48</v>
      </c>
      <c r="M111" s="525">
        <v>0</v>
      </c>
      <c r="N111" s="526">
        <v>49.93</v>
      </c>
      <c r="O111" s="527">
        <v>0</v>
      </c>
      <c r="P111" s="527">
        <v>0</v>
      </c>
      <c r="Q111" s="527">
        <v>0</v>
      </c>
      <c r="R111" s="527">
        <v>49.93</v>
      </c>
      <c r="S111" s="527">
        <v>0</v>
      </c>
      <c r="T111" s="527">
        <v>0</v>
      </c>
      <c r="U111" s="527">
        <v>0</v>
      </c>
      <c r="V111" s="528">
        <v>49.93</v>
      </c>
      <c r="W111" s="529">
        <v>1.1485758712785974</v>
      </c>
      <c r="Y111" s="529">
        <v>0</v>
      </c>
      <c r="Z111" s="466">
        <v>2</v>
      </c>
    </row>
    <row r="112" spans="1:26" x14ac:dyDescent="0.3">
      <c r="A112" s="489">
        <v>150000645</v>
      </c>
      <c r="B112" s="467" t="s">
        <v>65</v>
      </c>
      <c r="C112" s="509">
        <v>0</v>
      </c>
      <c r="D112" s="509">
        <v>0</v>
      </c>
      <c r="E112" s="524">
        <v>0</v>
      </c>
      <c r="F112" s="524">
        <v>0</v>
      </c>
      <c r="G112" s="473"/>
      <c r="H112" s="523">
        <v>0</v>
      </c>
      <c r="I112" s="473"/>
      <c r="J112" s="523">
        <v>0</v>
      </c>
      <c r="K112" s="473">
        <v>78.83</v>
      </c>
      <c r="L112" s="523">
        <v>78.83</v>
      </c>
      <c r="M112" s="525">
        <v>0</v>
      </c>
      <c r="N112" s="526">
        <v>78.83</v>
      </c>
      <c r="O112" s="527">
        <v>0</v>
      </c>
      <c r="P112" s="527">
        <v>0</v>
      </c>
      <c r="Q112" s="527">
        <v>0</v>
      </c>
      <c r="R112" s="527">
        <v>78.83</v>
      </c>
      <c r="S112" s="527">
        <v>0</v>
      </c>
      <c r="T112" s="527">
        <v>0</v>
      </c>
      <c r="U112" s="527">
        <v>0</v>
      </c>
      <c r="V112" s="528">
        <v>78.83</v>
      </c>
      <c r="W112" s="529">
        <v>1.0260094739110854</v>
      </c>
      <c r="Y112" s="529">
        <v>0</v>
      </c>
      <c r="Z112" s="466">
        <v>2</v>
      </c>
    </row>
    <row r="113" spans="1:26" x14ac:dyDescent="0.3">
      <c r="A113" s="489">
        <v>150000647</v>
      </c>
      <c r="B113" s="467" t="s">
        <v>96</v>
      </c>
      <c r="C113" s="509">
        <v>0</v>
      </c>
      <c r="D113" s="509">
        <v>0</v>
      </c>
      <c r="E113" s="524">
        <v>0</v>
      </c>
      <c r="F113" s="524">
        <v>0</v>
      </c>
      <c r="G113" s="473"/>
      <c r="H113" s="523">
        <v>0</v>
      </c>
      <c r="I113" s="473"/>
      <c r="J113" s="523">
        <v>0</v>
      </c>
      <c r="K113" s="473">
        <v>29.07</v>
      </c>
      <c r="L113" s="523">
        <v>29.07</v>
      </c>
      <c r="M113" s="525">
        <v>0</v>
      </c>
      <c r="N113" s="526">
        <v>29.07</v>
      </c>
      <c r="O113" s="527">
        <v>0</v>
      </c>
      <c r="P113" s="527">
        <v>0</v>
      </c>
      <c r="Q113" s="527">
        <v>0</v>
      </c>
      <c r="R113" s="527">
        <v>29.07</v>
      </c>
      <c r="S113" s="527">
        <v>0</v>
      </c>
      <c r="T113" s="527">
        <v>0</v>
      </c>
      <c r="U113" s="527">
        <v>0</v>
      </c>
      <c r="V113" s="528">
        <v>29.07</v>
      </c>
      <c r="W113" s="529">
        <v>0.97321199235689948</v>
      </c>
      <c r="Y113" s="529">
        <v>0</v>
      </c>
      <c r="Z113" s="466">
        <v>2</v>
      </c>
    </row>
    <row r="114" spans="1:26" x14ac:dyDescent="0.3">
      <c r="A114" s="489">
        <v>150000648</v>
      </c>
      <c r="B114" s="467" t="s">
        <v>361</v>
      </c>
      <c r="C114" s="509">
        <v>286.73</v>
      </c>
      <c r="D114" s="509">
        <v>46.94</v>
      </c>
      <c r="E114" s="524">
        <v>13.19</v>
      </c>
      <c r="F114" s="524">
        <v>113.79</v>
      </c>
      <c r="G114" s="473">
        <v>410.03</v>
      </c>
      <c r="H114" s="523">
        <v>410.03</v>
      </c>
      <c r="I114" s="473">
        <v>97.32</v>
      </c>
      <c r="J114" s="523">
        <v>97.32</v>
      </c>
      <c r="K114" s="473">
        <v>31.87</v>
      </c>
      <c r="L114" s="523">
        <v>31.87</v>
      </c>
      <c r="M114" s="525">
        <v>1359.3581082644462</v>
      </c>
      <c r="N114" s="526">
        <v>3088.9833600236279</v>
      </c>
      <c r="O114" s="527">
        <v>460.65000000000003</v>
      </c>
      <c r="P114" s="527">
        <v>101.34299999999999</v>
      </c>
      <c r="Q114" s="527">
        <v>66.6627232412349</v>
      </c>
      <c r="R114" s="527">
        <v>539.21999999999991</v>
      </c>
      <c r="S114" s="527">
        <v>1359.3581082644462</v>
      </c>
      <c r="T114" s="527">
        <v>439.79793397213456</v>
      </c>
      <c r="U114" s="527">
        <v>121.95159454581265</v>
      </c>
      <c r="V114" s="528">
        <v>3088.9833600236284</v>
      </c>
      <c r="W114" s="529">
        <v>1.1274261220533883</v>
      </c>
      <c r="Y114" s="529">
        <v>0</v>
      </c>
      <c r="Z114" s="466">
        <v>2</v>
      </c>
    </row>
    <row r="115" spans="1:26" x14ac:dyDescent="0.3">
      <c r="A115" s="489">
        <v>150000658</v>
      </c>
      <c r="B115" s="467" t="s">
        <v>351</v>
      </c>
      <c r="C115" s="509">
        <v>526.03</v>
      </c>
      <c r="D115" s="509">
        <v>94.94</v>
      </c>
      <c r="E115" s="524">
        <v>26.37</v>
      </c>
      <c r="F115" s="524">
        <v>309.33999999999997</v>
      </c>
      <c r="G115" s="473">
        <v>539.74</v>
      </c>
      <c r="H115" s="523">
        <v>539.74</v>
      </c>
      <c r="I115" s="473">
        <v>128.63</v>
      </c>
      <c r="J115" s="523">
        <v>128.63</v>
      </c>
      <c r="K115" s="473">
        <v>54.16</v>
      </c>
      <c r="L115" s="523">
        <v>54.16</v>
      </c>
      <c r="M115" s="525">
        <v>1798.6285344422731</v>
      </c>
      <c r="N115" s="526">
        <v>4950.5861267653017</v>
      </c>
      <c r="O115" s="527">
        <v>956.68000000000006</v>
      </c>
      <c r="P115" s="527">
        <v>210.46960000000001</v>
      </c>
      <c r="Q115" s="527">
        <v>100.0198688644837</v>
      </c>
      <c r="R115" s="527">
        <v>722.53</v>
      </c>
      <c r="S115" s="527">
        <v>1798.6285344422731</v>
      </c>
      <c r="T115" s="527">
        <v>913.37433511877055</v>
      </c>
      <c r="U115" s="527">
        <v>248.88378833977413</v>
      </c>
      <c r="V115" s="528">
        <v>4950.5861267653017</v>
      </c>
      <c r="W115" s="529">
        <v>1.2857304908758178</v>
      </c>
      <c r="Y115" s="529">
        <v>0</v>
      </c>
      <c r="Z115" s="466">
        <v>2</v>
      </c>
    </row>
    <row r="116" spans="1:26" x14ac:dyDescent="0.3">
      <c r="A116" s="489">
        <v>150000659</v>
      </c>
      <c r="B116" s="467" t="s">
        <v>413</v>
      </c>
      <c r="C116" s="509">
        <v>286.45999999999998</v>
      </c>
      <c r="D116" s="509">
        <v>51.38</v>
      </c>
      <c r="E116" s="524">
        <v>8.99</v>
      </c>
      <c r="F116" s="524">
        <v>94.84</v>
      </c>
      <c r="G116" s="473">
        <v>286.37</v>
      </c>
      <c r="H116" s="523">
        <v>286.37</v>
      </c>
      <c r="I116" s="473">
        <v>69.11</v>
      </c>
      <c r="J116" s="523">
        <v>69.11</v>
      </c>
      <c r="K116" s="473">
        <v>27.74</v>
      </c>
      <c r="L116" s="523">
        <v>27.74</v>
      </c>
      <c r="M116" s="525">
        <v>928.38992164692388</v>
      </c>
      <c r="N116" s="526">
        <v>2449.4643511733289</v>
      </c>
      <c r="O116" s="527">
        <v>441.66999999999996</v>
      </c>
      <c r="P116" s="527">
        <v>97.167400000000001</v>
      </c>
      <c r="Q116" s="527">
        <v>60.771932978574497</v>
      </c>
      <c r="R116" s="527">
        <v>383.22</v>
      </c>
      <c r="S116" s="527">
        <v>928.38992164692388</v>
      </c>
      <c r="T116" s="527">
        <v>421.67709431775239</v>
      </c>
      <c r="U116" s="527">
        <v>116.56800223007821</v>
      </c>
      <c r="V116" s="528">
        <v>2449.4643511733289</v>
      </c>
      <c r="W116" s="529">
        <v>1.3024542308665263</v>
      </c>
      <c r="Y116" s="529">
        <v>0</v>
      </c>
      <c r="Z116" s="466">
        <v>2</v>
      </c>
    </row>
    <row r="117" spans="1:26" x14ac:dyDescent="0.3">
      <c r="A117" s="489">
        <v>150000660</v>
      </c>
      <c r="B117" s="467" t="s">
        <v>414</v>
      </c>
      <c r="C117" s="509">
        <v>516.29</v>
      </c>
      <c r="D117" s="509">
        <v>100.69</v>
      </c>
      <c r="E117" s="524">
        <v>28.17</v>
      </c>
      <c r="F117" s="524">
        <v>195.92</v>
      </c>
      <c r="G117" s="473">
        <v>498.94</v>
      </c>
      <c r="H117" s="523">
        <v>498.94</v>
      </c>
      <c r="I117" s="473">
        <v>125.98</v>
      </c>
      <c r="J117" s="523">
        <v>125.98</v>
      </c>
      <c r="K117" s="473">
        <v>50.19</v>
      </c>
      <c r="L117" s="523">
        <v>50.19</v>
      </c>
      <c r="M117" s="525">
        <v>1661.0536548614334</v>
      </c>
      <c r="N117" s="526">
        <v>4482.1467384591679</v>
      </c>
      <c r="O117" s="527">
        <v>841.06999999999994</v>
      </c>
      <c r="P117" s="527">
        <v>185.03539999999998</v>
      </c>
      <c r="Q117" s="527">
        <v>97.033885365381195</v>
      </c>
      <c r="R117" s="527">
        <v>675.1099999999999</v>
      </c>
      <c r="S117" s="527">
        <v>1661.0536548614334</v>
      </c>
      <c r="T117" s="527">
        <v>802.99760843578247</v>
      </c>
      <c r="U117" s="527">
        <v>219.84618979657071</v>
      </c>
      <c r="V117" s="528">
        <v>4482.1467384591679</v>
      </c>
      <c r="W117" s="529">
        <v>0.86704360066395125</v>
      </c>
      <c r="Y117" s="529">
        <v>0</v>
      </c>
      <c r="Z117" s="466">
        <v>2</v>
      </c>
    </row>
    <row r="118" spans="1:26" x14ac:dyDescent="0.3">
      <c r="A118" s="489">
        <v>150000670</v>
      </c>
      <c r="B118" s="467" t="s">
        <v>126</v>
      </c>
      <c r="C118" s="509">
        <v>0</v>
      </c>
      <c r="D118" s="509">
        <v>0</v>
      </c>
      <c r="E118" s="524">
        <v>0</v>
      </c>
      <c r="F118" s="524">
        <v>0</v>
      </c>
      <c r="G118" s="473"/>
      <c r="H118" s="523">
        <v>0</v>
      </c>
      <c r="I118" s="473"/>
      <c r="J118" s="523">
        <v>0</v>
      </c>
      <c r="K118" s="473">
        <v>31.87</v>
      </c>
      <c r="L118" s="523">
        <v>31.87</v>
      </c>
      <c r="M118" s="525">
        <v>0</v>
      </c>
      <c r="N118" s="526">
        <v>31.87</v>
      </c>
      <c r="O118" s="527">
        <v>0</v>
      </c>
      <c r="P118" s="527">
        <v>0</v>
      </c>
      <c r="Q118" s="527">
        <v>0</v>
      </c>
      <c r="R118" s="527">
        <v>31.87</v>
      </c>
      <c r="S118" s="527">
        <v>0</v>
      </c>
      <c r="T118" s="527">
        <v>0</v>
      </c>
      <c r="U118" s="527">
        <v>0</v>
      </c>
      <c r="V118" s="528">
        <v>31.87</v>
      </c>
      <c r="W118" s="529">
        <v>1.0918801982118802</v>
      </c>
      <c r="Y118" s="529">
        <v>0</v>
      </c>
      <c r="Z118" s="466">
        <v>2</v>
      </c>
    </row>
    <row r="119" spans="1:26" x14ac:dyDescent="0.3">
      <c r="A119" s="489">
        <v>150000671</v>
      </c>
      <c r="B119" s="467" t="s">
        <v>127</v>
      </c>
      <c r="C119" s="509">
        <v>0</v>
      </c>
      <c r="D119" s="509">
        <v>0</v>
      </c>
      <c r="E119" s="524">
        <v>0</v>
      </c>
      <c r="F119" s="524">
        <v>0</v>
      </c>
      <c r="G119" s="473"/>
      <c r="H119" s="523">
        <v>0</v>
      </c>
      <c r="I119" s="473"/>
      <c r="J119" s="523">
        <v>0</v>
      </c>
      <c r="K119" s="473">
        <v>25.61</v>
      </c>
      <c r="L119" s="523">
        <v>25.61</v>
      </c>
      <c r="M119" s="525">
        <v>0</v>
      </c>
      <c r="N119" s="526">
        <v>25.61</v>
      </c>
      <c r="O119" s="527">
        <v>0</v>
      </c>
      <c r="P119" s="527">
        <v>0</v>
      </c>
      <c r="Q119" s="527">
        <v>0</v>
      </c>
      <c r="R119" s="527">
        <v>25.61</v>
      </c>
      <c r="S119" s="527">
        <v>0</v>
      </c>
      <c r="T119" s="527">
        <v>0</v>
      </c>
      <c r="U119" s="527">
        <v>0</v>
      </c>
      <c r="V119" s="528">
        <v>25.61</v>
      </c>
      <c r="W119" s="529">
        <v>1.0429923126062655</v>
      </c>
      <c r="Y119" s="529">
        <v>0</v>
      </c>
      <c r="Z119" s="466">
        <v>2</v>
      </c>
    </row>
    <row r="120" spans="1:26" x14ac:dyDescent="0.3">
      <c r="A120" s="489">
        <v>150000672</v>
      </c>
      <c r="B120" s="467" t="s">
        <v>428</v>
      </c>
      <c r="C120" s="509">
        <v>436.83</v>
      </c>
      <c r="D120" s="509">
        <v>87.11</v>
      </c>
      <c r="E120" s="524">
        <v>0</v>
      </c>
      <c r="F120" s="524">
        <v>232.82</v>
      </c>
      <c r="G120" s="473">
        <v>368.83</v>
      </c>
      <c r="H120" s="523">
        <v>368.83</v>
      </c>
      <c r="I120" s="473"/>
      <c r="J120" s="523">
        <v>0</v>
      </c>
      <c r="K120" s="473">
        <v>130.83000000000001</v>
      </c>
      <c r="L120" s="523">
        <v>130.83000000000001</v>
      </c>
      <c r="M120" s="525">
        <v>1131.1356001796814</v>
      </c>
      <c r="N120" s="526">
        <v>3556.1294827325746</v>
      </c>
      <c r="O120" s="527">
        <v>756.76</v>
      </c>
      <c r="P120" s="527">
        <v>166.48719999999997</v>
      </c>
      <c r="Q120" s="527">
        <v>82.340961408670395</v>
      </c>
      <c r="R120" s="527">
        <v>499.65999999999997</v>
      </c>
      <c r="S120" s="527">
        <v>1131.1356001796814</v>
      </c>
      <c r="T120" s="527">
        <v>722.50403671497349</v>
      </c>
      <c r="U120" s="527">
        <v>197.24168442924935</v>
      </c>
      <c r="V120" s="528">
        <v>3556.1294827325751</v>
      </c>
      <c r="W120" s="529">
        <v>1.1791780583982392</v>
      </c>
      <c r="Y120" s="529">
        <v>0</v>
      </c>
      <c r="Z120" s="466">
        <v>2</v>
      </c>
    </row>
    <row r="121" spans="1:26" x14ac:dyDescent="0.3">
      <c r="A121" s="489">
        <v>150000673</v>
      </c>
      <c r="B121" s="467" t="s">
        <v>182</v>
      </c>
      <c r="C121" s="509">
        <v>119.9</v>
      </c>
      <c r="D121" s="509">
        <v>20.85</v>
      </c>
      <c r="E121" s="524">
        <v>0</v>
      </c>
      <c r="F121" s="524">
        <v>36.61</v>
      </c>
      <c r="G121" s="473">
        <v>68.88</v>
      </c>
      <c r="H121" s="523">
        <v>68.88</v>
      </c>
      <c r="I121" s="473"/>
      <c r="J121" s="523">
        <v>0</v>
      </c>
      <c r="K121" s="473">
        <v>16.84</v>
      </c>
      <c r="L121" s="523">
        <v>16.84</v>
      </c>
      <c r="M121" s="525">
        <v>214.96743033183233</v>
      </c>
      <c r="N121" s="526">
        <v>754.52486377949401</v>
      </c>
      <c r="O121" s="527">
        <v>177.36</v>
      </c>
      <c r="P121" s="527">
        <v>39.019199999999998</v>
      </c>
      <c r="Q121" s="527">
        <v>21.633142848553099</v>
      </c>
      <c r="R121" s="527">
        <v>85.72</v>
      </c>
      <c r="S121" s="527">
        <v>214.96743033183233</v>
      </c>
      <c r="T121" s="527">
        <v>169.33151322977918</v>
      </c>
      <c r="U121" s="527">
        <v>46.493577369329309</v>
      </c>
      <c r="V121" s="528">
        <v>754.5248637794939</v>
      </c>
      <c r="W121" s="529">
        <v>1.0323111222979273</v>
      </c>
      <c r="Y121" s="529">
        <v>0</v>
      </c>
      <c r="Z121" s="466">
        <v>2</v>
      </c>
    </row>
    <row r="122" spans="1:26" x14ac:dyDescent="0.3">
      <c r="A122" s="489">
        <v>150000676</v>
      </c>
      <c r="B122" s="467" t="s">
        <v>385</v>
      </c>
      <c r="C122" s="509">
        <v>520.98</v>
      </c>
      <c r="D122" s="509">
        <v>80.239999999999995</v>
      </c>
      <c r="E122" s="524">
        <v>26.37</v>
      </c>
      <c r="F122" s="524">
        <v>186.73</v>
      </c>
      <c r="G122" s="473">
        <v>505.68</v>
      </c>
      <c r="H122" s="523">
        <v>505.68</v>
      </c>
      <c r="I122" s="473">
        <v>125.85</v>
      </c>
      <c r="J122" s="523">
        <v>125.85</v>
      </c>
      <c r="K122" s="473">
        <v>50.66</v>
      </c>
      <c r="L122" s="523">
        <v>50.66</v>
      </c>
      <c r="M122" s="525">
        <v>1495.899661891428</v>
      </c>
      <c r="N122" s="526">
        <v>4278.5512482804761</v>
      </c>
      <c r="O122" s="527">
        <v>814.32</v>
      </c>
      <c r="P122" s="527">
        <v>179.15039999999999</v>
      </c>
      <c r="Q122" s="527">
        <v>114.34997620811069</v>
      </c>
      <c r="R122" s="527">
        <v>682.18999999999994</v>
      </c>
      <c r="S122" s="527">
        <v>1495.899661891428</v>
      </c>
      <c r="T122" s="527">
        <v>777.45849037705102</v>
      </c>
      <c r="U122" s="527">
        <v>215.18271980388707</v>
      </c>
      <c r="V122" s="528">
        <v>4278.551248280477</v>
      </c>
      <c r="W122" s="529">
        <v>0.96061490246489389</v>
      </c>
      <c r="Y122" s="529">
        <v>0</v>
      </c>
      <c r="Z122" s="466">
        <v>2</v>
      </c>
    </row>
    <row r="123" spans="1:26" x14ac:dyDescent="0.3">
      <c r="A123" s="489">
        <v>150000683</v>
      </c>
      <c r="B123" s="467" t="s">
        <v>115</v>
      </c>
      <c r="C123" s="509">
        <v>0</v>
      </c>
      <c r="D123" s="509">
        <v>0</v>
      </c>
      <c r="E123" s="524">
        <v>0</v>
      </c>
      <c r="F123" s="524">
        <v>0</v>
      </c>
      <c r="G123" s="473"/>
      <c r="H123" s="523">
        <v>0</v>
      </c>
      <c r="I123" s="473"/>
      <c r="J123" s="523">
        <v>0</v>
      </c>
      <c r="K123" s="473">
        <v>70.69</v>
      </c>
      <c r="L123" s="523">
        <v>70.69</v>
      </c>
      <c r="M123" s="525">
        <v>0</v>
      </c>
      <c r="N123" s="526">
        <v>70.69</v>
      </c>
      <c r="O123" s="527">
        <v>0</v>
      </c>
      <c r="P123" s="527">
        <v>0</v>
      </c>
      <c r="Q123" s="527">
        <v>0</v>
      </c>
      <c r="R123" s="527">
        <v>70.69</v>
      </c>
      <c r="S123" s="527">
        <v>0</v>
      </c>
      <c r="T123" s="527">
        <v>0</v>
      </c>
      <c r="U123" s="527">
        <v>0</v>
      </c>
      <c r="V123" s="528">
        <v>70.69</v>
      </c>
      <c r="W123" s="529">
        <v>1.0124570999040807</v>
      </c>
      <c r="Y123" s="529">
        <v>0</v>
      </c>
      <c r="Z123" s="466">
        <v>2</v>
      </c>
    </row>
    <row r="124" spans="1:26" x14ac:dyDescent="0.3">
      <c r="A124" s="489">
        <v>150000686</v>
      </c>
      <c r="B124" s="467" t="s">
        <v>97</v>
      </c>
      <c r="C124" s="509">
        <v>0</v>
      </c>
      <c r="D124" s="509">
        <v>0</v>
      </c>
      <c r="E124" s="524">
        <v>0</v>
      </c>
      <c r="F124" s="524">
        <v>0</v>
      </c>
      <c r="G124" s="473"/>
      <c r="H124" s="523">
        <v>0</v>
      </c>
      <c r="I124" s="473"/>
      <c r="J124" s="523">
        <v>0</v>
      </c>
      <c r="K124" s="473">
        <v>25.61</v>
      </c>
      <c r="L124" s="523">
        <v>25.61</v>
      </c>
      <c r="M124" s="525">
        <v>0</v>
      </c>
      <c r="N124" s="526">
        <v>25.61</v>
      </c>
      <c r="O124" s="527">
        <v>0</v>
      </c>
      <c r="P124" s="527">
        <v>0</v>
      </c>
      <c r="Q124" s="527">
        <v>0</v>
      </c>
      <c r="R124" s="527">
        <v>25.61</v>
      </c>
      <c r="S124" s="527">
        <v>0</v>
      </c>
      <c r="T124" s="527">
        <v>0</v>
      </c>
      <c r="U124" s="527">
        <v>0</v>
      </c>
      <c r="V124" s="528">
        <v>25.61</v>
      </c>
      <c r="W124" s="529">
        <v>1.0071283888939904</v>
      </c>
      <c r="Y124" s="529">
        <v>0</v>
      </c>
      <c r="Z124" s="466">
        <v>2</v>
      </c>
    </row>
    <row r="125" spans="1:26" x14ac:dyDescent="0.3">
      <c r="A125" s="489">
        <v>150000688</v>
      </c>
      <c r="B125" s="467" t="s">
        <v>92</v>
      </c>
      <c r="C125" s="509">
        <v>0</v>
      </c>
      <c r="D125" s="509">
        <v>0</v>
      </c>
      <c r="E125" s="524">
        <v>0</v>
      </c>
      <c r="F125" s="524">
        <v>0</v>
      </c>
      <c r="G125" s="473"/>
      <c r="H125" s="523">
        <v>0</v>
      </c>
      <c r="I125" s="473"/>
      <c r="J125" s="523">
        <v>0</v>
      </c>
      <c r="K125" s="473">
        <v>22.83</v>
      </c>
      <c r="L125" s="523">
        <v>22.83</v>
      </c>
      <c r="M125" s="525">
        <v>0</v>
      </c>
      <c r="N125" s="526">
        <v>22.83</v>
      </c>
      <c r="O125" s="527">
        <v>0</v>
      </c>
      <c r="P125" s="527">
        <v>0</v>
      </c>
      <c r="Q125" s="527">
        <v>0</v>
      </c>
      <c r="R125" s="527">
        <v>22.83</v>
      </c>
      <c r="S125" s="527">
        <v>0</v>
      </c>
      <c r="T125" s="527">
        <v>0</v>
      </c>
      <c r="U125" s="527">
        <v>0</v>
      </c>
      <c r="V125" s="528">
        <v>22.83</v>
      </c>
      <c r="W125" s="529">
        <v>0.92641558063307505</v>
      </c>
      <c r="Y125" s="529">
        <v>0</v>
      </c>
      <c r="Z125" s="466">
        <v>2</v>
      </c>
    </row>
    <row r="126" spans="1:26" x14ac:dyDescent="0.3">
      <c r="A126" s="489">
        <v>150000689</v>
      </c>
      <c r="B126" s="467" t="s">
        <v>93</v>
      </c>
      <c r="C126" s="509">
        <v>0</v>
      </c>
      <c r="D126" s="509">
        <v>0</v>
      </c>
      <c r="E126" s="524">
        <v>0</v>
      </c>
      <c r="F126" s="524">
        <v>0</v>
      </c>
      <c r="G126" s="473"/>
      <c r="H126" s="523">
        <v>0</v>
      </c>
      <c r="I126" s="473"/>
      <c r="J126" s="523">
        <v>0</v>
      </c>
      <c r="K126" s="473">
        <v>24.59</v>
      </c>
      <c r="L126" s="523">
        <v>24.59</v>
      </c>
      <c r="M126" s="525">
        <v>0</v>
      </c>
      <c r="N126" s="526">
        <v>24.59</v>
      </c>
      <c r="O126" s="527">
        <v>0</v>
      </c>
      <c r="P126" s="527">
        <v>0</v>
      </c>
      <c r="Q126" s="527">
        <v>0</v>
      </c>
      <c r="R126" s="527">
        <v>24.59</v>
      </c>
      <c r="S126" s="527">
        <v>0</v>
      </c>
      <c r="T126" s="527">
        <v>0</v>
      </c>
      <c r="U126" s="527">
        <v>0</v>
      </c>
      <c r="V126" s="528">
        <v>24.59</v>
      </c>
      <c r="W126" s="529">
        <v>1.0211759749151832</v>
      </c>
      <c r="Y126" s="529">
        <v>0</v>
      </c>
      <c r="Z126" s="466">
        <v>2</v>
      </c>
    </row>
    <row r="127" spans="1:26" x14ac:dyDescent="0.3">
      <c r="A127" s="489">
        <v>150000690</v>
      </c>
      <c r="B127" s="467" t="s">
        <v>95</v>
      </c>
      <c r="C127" s="509">
        <v>0</v>
      </c>
      <c r="D127" s="509">
        <v>0</v>
      </c>
      <c r="E127" s="524">
        <v>0</v>
      </c>
      <c r="F127" s="524">
        <v>0</v>
      </c>
      <c r="G127" s="473"/>
      <c r="H127" s="523">
        <v>0</v>
      </c>
      <c r="I127" s="473"/>
      <c r="J127" s="523">
        <v>0</v>
      </c>
      <c r="K127" s="473">
        <v>16.875</v>
      </c>
      <c r="L127" s="523">
        <v>16.875</v>
      </c>
      <c r="M127" s="525">
        <v>0</v>
      </c>
      <c r="N127" s="526">
        <v>16.875</v>
      </c>
      <c r="O127" s="527">
        <v>0</v>
      </c>
      <c r="P127" s="527">
        <v>0</v>
      </c>
      <c r="Q127" s="527">
        <v>0</v>
      </c>
      <c r="R127" s="527">
        <v>16.875</v>
      </c>
      <c r="S127" s="527">
        <v>0</v>
      </c>
      <c r="T127" s="527">
        <v>0</v>
      </c>
      <c r="U127" s="527">
        <v>0</v>
      </c>
      <c r="V127" s="528">
        <v>16.875</v>
      </c>
      <c r="W127" s="529">
        <v>0.14865488086087625</v>
      </c>
      <c r="Y127" s="529"/>
      <c r="Z127" s="466">
        <v>2</v>
      </c>
    </row>
    <row r="128" spans="1:26" x14ac:dyDescent="0.3">
      <c r="A128" s="489">
        <v>150000693</v>
      </c>
      <c r="B128" s="467" t="s">
        <v>94</v>
      </c>
      <c r="C128" s="509">
        <v>0</v>
      </c>
      <c r="D128" s="509">
        <v>0</v>
      </c>
      <c r="E128" s="524">
        <v>0</v>
      </c>
      <c r="F128" s="524">
        <v>0</v>
      </c>
      <c r="G128" s="473"/>
      <c r="H128" s="523">
        <v>0</v>
      </c>
      <c r="I128" s="473"/>
      <c r="J128" s="523">
        <v>0</v>
      </c>
      <c r="K128" s="473">
        <v>10.61</v>
      </c>
      <c r="L128" s="523">
        <v>10.61</v>
      </c>
      <c r="M128" s="525">
        <v>0</v>
      </c>
      <c r="N128" s="526">
        <v>10.61</v>
      </c>
      <c r="O128" s="527">
        <v>0</v>
      </c>
      <c r="P128" s="527">
        <v>0</v>
      </c>
      <c r="Q128" s="527">
        <v>0</v>
      </c>
      <c r="R128" s="527">
        <v>10.61</v>
      </c>
      <c r="S128" s="527">
        <v>0</v>
      </c>
      <c r="T128" s="527">
        <v>0</v>
      </c>
      <c r="U128" s="527">
        <v>0</v>
      </c>
      <c r="V128" s="528">
        <v>10.61</v>
      </c>
      <c r="W128" s="529">
        <v>6.5561416729464958E-2</v>
      </c>
      <c r="Y128" s="529"/>
      <c r="Z128" s="466">
        <v>2</v>
      </c>
    </row>
    <row r="129" spans="1:26" x14ac:dyDescent="0.3">
      <c r="A129" s="489">
        <v>150000694</v>
      </c>
      <c r="B129" s="467" t="s">
        <v>371</v>
      </c>
      <c r="C129" s="509">
        <v>741.28</v>
      </c>
      <c r="D129" s="509">
        <v>139.44999999999999</v>
      </c>
      <c r="E129" s="524">
        <v>39.56</v>
      </c>
      <c r="F129" s="524">
        <v>390.82</v>
      </c>
      <c r="G129" s="473">
        <v>662.53</v>
      </c>
      <c r="H129" s="523">
        <v>662.53</v>
      </c>
      <c r="I129" s="473">
        <v>161.52000000000001</v>
      </c>
      <c r="J129" s="523">
        <v>161.52000000000001</v>
      </c>
      <c r="K129" s="473">
        <v>75.709999999999994</v>
      </c>
      <c r="L129" s="523">
        <v>75.709999999999994</v>
      </c>
      <c r="M129" s="525">
        <v>2187.2232305657435</v>
      </c>
      <c r="N129" s="526">
        <v>6407.609454986994</v>
      </c>
      <c r="O129" s="527">
        <v>1311.11</v>
      </c>
      <c r="P129" s="527">
        <v>288.44420000000002</v>
      </c>
      <c r="Q129" s="527">
        <v>129.12850763533729</v>
      </c>
      <c r="R129" s="527">
        <v>899.76</v>
      </c>
      <c r="S129" s="527">
        <v>2187.2232305657435</v>
      </c>
      <c r="T129" s="527">
        <v>1251.7604888965707</v>
      </c>
      <c r="U129" s="527">
        <v>340.18302788934193</v>
      </c>
      <c r="V129" s="528">
        <v>6407.6094549869931</v>
      </c>
      <c r="W129" s="529">
        <v>0.14016528925619837</v>
      </c>
      <c r="Y129" s="529"/>
      <c r="Z129" s="466">
        <v>3</v>
      </c>
    </row>
    <row r="130" spans="1:26" x14ac:dyDescent="0.3">
      <c r="A130" s="489">
        <v>150000695</v>
      </c>
      <c r="B130" s="467" t="s">
        <v>372</v>
      </c>
      <c r="C130" s="509">
        <v>742.25</v>
      </c>
      <c r="D130" s="509">
        <v>130.22</v>
      </c>
      <c r="E130" s="524">
        <v>39.56</v>
      </c>
      <c r="F130" s="524">
        <v>392.99</v>
      </c>
      <c r="G130" s="473">
        <v>679.17</v>
      </c>
      <c r="H130" s="523">
        <v>679.17</v>
      </c>
      <c r="I130" s="473">
        <v>168.67</v>
      </c>
      <c r="J130" s="523">
        <v>168.67</v>
      </c>
      <c r="K130" s="473">
        <v>75.709999999999994</v>
      </c>
      <c r="L130" s="523">
        <v>75.709999999999994</v>
      </c>
      <c r="M130" s="525">
        <v>2246.2795904251798</v>
      </c>
      <c r="N130" s="526">
        <v>6478.7921551707559</v>
      </c>
      <c r="O130" s="527">
        <v>1305.02</v>
      </c>
      <c r="P130" s="527">
        <v>287.1044</v>
      </c>
      <c r="Q130" s="527">
        <v>131.9038630706213</v>
      </c>
      <c r="R130" s="527">
        <v>923.55</v>
      </c>
      <c r="S130" s="527">
        <v>2246.2795904251798</v>
      </c>
      <c r="T130" s="527">
        <v>1245.9461625796484</v>
      </c>
      <c r="U130" s="527">
        <v>338.98813909530639</v>
      </c>
      <c r="V130" s="528">
        <v>6478.7921551707559</v>
      </c>
      <c r="W130" s="529">
        <v>1.1624394309604487</v>
      </c>
      <c r="Y130" s="529">
        <v>0</v>
      </c>
      <c r="Z130" s="466">
        <v>3</v>
      </c>
    </row>
    <row r="131" spans="1:26" x14ac:dyDescent="0.3">
      <c r="A131" s="489">
        <v>150000696</v>
      </c>
      <c r="B131" s="467" t="s">
        <v>370</v>
      </c>
      <c r="C131" s="509">
        <v>741.63</v>
      </c>
      <c r="D131" s="509">
        <v>139.52000000000001</v>
      </c>
      <c r="E131" s="524">
        <v>39.56</v>
      </c>
      <c r="F131" s="524">
        <v>391.63</v>
      </c>
      <c r="G131" s="473">
        <v>679.17</v>
      </c>
      <c r="H131" s="523">
        <v>679.17</v>
      </c>
      <c r="I131" s="473">
        <v>168.67</v>
      </c>
      <c r="J131" s="523">
        <v>168.67</v>
      </c>
      <c r="K131" s="473">
        <v>75.709999999999994</v>
      </c>
      <c r="L131" s="523">
        <v>75.709999999999994</v>
      </c>
      <c r="M131" s="525">
        <v>2247.0813088376553</v>
      </c>
      <c r="N131" s="526">
        <v>6494.4315563511045</v>
      </c>
      <c r="O131" s="527">
        <v>1312.3400000000001</v>
      </c>
      <c r="P131" s="527">
        <v>288.71480000000003</v>
      </c>
      <c r="Q131" s="527">
        <v>129.3024444586089</v>
      </c>
      <c r="R131" s="527">
        <v>923.55</v>
      </c>
      <c r="S131" s="527">
        <v>2247.0813088376553</v>
      </c>
      <c r="T131" s="527">
        <v>1252.9348109605796</v>
      </c>
      <c r="U131" s="527">
        <v>340.50819209426032</v>
      </c>
      <c r="V131" s="528">
        <v>6494.4315563511045</v>
      </c>
      <c r="W131" s="529">
        <v>0.19418705035971223</v>
      </c>
      <c r="Y131" s="529"/>
      <c r="Z131" s="466">
        <v>3</v>
      </c>
    </row>
    <row r="132" spans="1:26" x14ac:dyDescent="0.3">
      <c r="A132" s="489">
        <v>150000697</v>
      </c>
      <c r="B132" s="467" t="s">
        <v>265</v>
      </c>
      <c r="C132" s="509">
        <v>355.93</v>
      </c>
      <c r="D132" s="509">
        <v>90.2</v>
      </c>
      <c r="E132" s="524">
        <v>23.98</v>
      </c>
      <c r="F132" s="524">
        <v>251.93</v>
      </c>
      <c r="G132" s="473">
        <v>338.21</v>
      </c>
      <c r="H132" s="523">
        <v>338.21</v>
      </c>
      <c r="I132" s="473">
        <v>80.72</v>
      </c>
      <c r="J132" s="523">
        <v>80.72</v>
      </c>
      <c r="K132" s="473">
        <v>75.709999999999994</v>
      </c>
      <c r="L132" s="523">
        <v>75.709999999999994</v>
      </c>
      <c r="M132" s="525">
        <v>977.84703971431713</v>
      </c>
      <c r="N132" s="526">
        <v>3306.8300744468925</v>
      </c>
      <c r="O132" s="527">
        <v>722.04</v>
      </c>
      <c r="P132" s="527">
        <v>158.84879999999998</v>
      </c>
      <c r="Q132" s="527">
        <v>76.178454532586997</v>
      </c>
      <c r="R132" s="527">
        <v>494.63999999999993</v>
      </c>
      <c r="S132" s="527">
        <v>977.84703971431713</v>
      </c>
      <c r="T132" s="527">
        <v>689.35569357481825</v>
      </c>
      <c r="U132" s="527">
        <v>187.9200866251698</v>
      </c>
      <c r="V132" s="528">
        <v>3306.830074446892</v>
      </c>
      <c r="W132" s="529">
        <v>6.9426751592356686E-2</v>
      </c>
      <c r="Y132" s="529"/>
      <c r="Z132" s="466">
        <v>3</v>
      </c>
    </row>
    <row r="133" spans="1:26" x14ac:dyDescent="0.3">
      <c r="A133" s="489">
        <v>150000698</v>
      </c>
      <c r="B133" s="467" t="s">
        <v>120</v>
      </c>
      <c r="C133" s="509">
        <v>0</v>
      </c>
      <c r="D133" s="509">
        <v>0</v>
      </c>
      <c r="E133" s="524">
        <v>0</v>
      </c>
      <c r="F133" s="524">
        <v>0</v>
      </c>
      <c r="G133" s="473"/>
      <c r="H133" s="523">
        <v>0</v>
      </c>
      <c r="I133" s="473"/>
      <c r="J133" s="523">
        <v>0</v>
      </c>
      <c r="K133" s="473">
        <v>31.84</v>
      </c>
      <c r="L133" s="523">
        <v>31.84</v>
      </c>
      <c r="M133" s="525">
        <v>0</v>
      </c>
      <c r="N133" s="526">
        <v>31.84</v>
      </c>
      <c r="O133" s="527">
        <v>0</v>
      </c>
      <c r="P133" s="527">
        <v>0</v>
      </c>
      <c r="Q133" s="527">
        <v>0</v>
      </c>
      <c r="R133" s="527">
        <v>31.84</v>
      </c>
      <c r="S133" s="527">
        <v>0</v>
      </c>
      <c r="T133" s="527">
        <v>0</v>
      </c>
      <c r="U133" s="527">
        <v>0</v>
      </c>
      <c r="V133" s="528">
        <v>31.84</v>
      </c>
      <c r="W133" s="529">
        <v>0.13093047034764826</v>
      </c>
      <c r="Y133" s="529"/>
      <c r="Z133" s="466">
        <v>3</v>
      </c>
    </row>
    <row r="134" spans="1:26" x14ac:dyDescent="0.3">
      <c r="A134" s="489">
        <v>150000699</v>
      </c>
      <c r="B134" s="467" t="s">
        <v>373</v>
      </c>
      <c r="C134" s="509">
        <v>439.28</v>
      </c>
      <c r="D134" s="509">
        <v>58.77</v>
      </c>
      <c r="E134" s="524">
        <v>26.37</v>
      </c>
      <c r="F134" s="524">
        <v>182.64</v>
      </c>
      <c r="G134" s="473">
        <v>455.21</v>
      </c>
      <c r="H134" s="523">
        <v>455.21</v>
      </c>
      <c r="I134" s="473">
        <v>109.54</v>
      </c>
      <c r="J134" s="523">
        <v>109.54</v>
      </c>
      <c r="K134" s="473">
        <v>119.56</v>
      </c>
      <c r="L134" s="523">
        <v>119.56</v>
      </c>
      <c r="M134" s="525">
        <v>1493.4766906892789</v>
      </c>
      <c r="N134" s="526">
        <v>3987.9802674418152</v>
      </c>
      <c r="O134" s="527">
        <v>707.06</v>
      </c>
      <c r="P134" s="527">
        <v>155.5532</v>
      </c>
      <c r="Q134" s="527">
        <v>87.080504610347504</v>
      </c>
      <c r="R134" s="527">
        <v>684.31</v>
      </c>
      <c r="S134" s="527">
        <v>1493.4766906892789</v>
      </c>
      <c r="T134" s="527">
        <v>675.05378746192866</v>
      </c>
      <c r="U134" s="527">
        <v>185.44608468026018</v>
      </c>
      <c r="V134" s="528">
        <v>3987.9802674418152</v>
      </c>
      <c r="W134" s="529">
        <v>0.14993633817163229</v>
      </c>
      <c r="Y134" s="529"/>
      <c r="Z134" s="466">
        <v>3</v>
      </c>
    </row>
    <row r="135" spans="1:26" x14ac:dyDescent="0.3">
      <c r="A135" s="489">
        <v>150000702</v>
      </c>
      <c r="B135" s="467" t="s">
        <v>338</v>
      </c>
      <c r="C135" s="509">
        <v>740</v>
      </c>
      <c r="D135" s="509">
        <v>140.21</v>
      </c>
      <c r="E135" s="524">
        <v>39.56</v>
      </c>
      <c r="F135" s="524">
        <v>395.7</v>
      </c>
      <c r="G135" s="473">
        <v>657.75</v>
      </c>
      <c r="H135" s="523">
        <v>657.75</v>
      </c>
      <c r="I135" s="473">
        <v>158.56</v>
      </c>
      <c r="J135" s="523">
        <v>158.56</v>
      </c>
      <c r="K135" s="473">
        <v>75.709999999999994</v>
      </c>
      <c r="L135" s="523">
        <v>75.709999999999994</v>
      </c>
      <c r="M135" s="525">
        <v>2171.9834543428151</v>
      </c>
      <c r="N135" s="526">
        <v>6390.3271900140089</v>
      </c>
      <c r="O135" s="527">
        <v>1315.47</v>
      </c>
      <c r="P135" s="527">
        <v>289.40340000000003</v>
      </c>
      <c r="Q135" s="527">
        <v>124.76049725540889</v>
      </c>
      <c r="R135" s="527">
        <v>892.02</v>
      </c>
      <c r="S135" s="527">
        <v>2171.9834543428151</v>
      </c>
      <c r="T135" s="527">
        <v>1255.9231264567977</v>
      </c>
      <c r="U135" s="527">
        <v>340.76671195898672</v>
      </c>
      <c r="V135" s="528">
        <v>6390.3271900140089</v>
      </c>
      <c r="W135" s="529">
        <v>1.0569493415356315</v>
      </c>
      <c r="Y135" s="529">
        <v>0</v>
      </c>
      <c r="Z135" s="466">
        <v>3</v>
      </c>
    </row>
    <row r="136" spans="1:26" x14ac:dyDescent="0.3">
      <c r="A136" s="489">
        <v>150000703</v>
      </c>
      <c r="B136" s="467" t="s">
        <v>339</v>
      </c>
      <c r="C136" s="509">
        <v>729.53</v>
      </c>
      <c r="D136" s="509">
        <v>138.5</v>
      </c>
      <c r="E136" s="524">
        <v>39.56</v>
      </c>
      <c r="F136" s="524">
        <v>455.64</v>
      </c>
      <c r="G136" s="473">
        <v>691.21</v>
      </c>
      <c r="H136" s="523">
        <v>691.21</v>
      </c>
      <c r="I136" s="473">
        <v>161.04</v>
      </c>
      <c r="J136" s="523">
        <v>161.04</v>
      </c>
      <c r="K136" s="473">
        <v>75.709999999999994</v>
      </c>
      <c r="L136" s="523">
        <v>75.709999999999994</v>
      </c>
      <c r="M136" s="525">
        <v>2250.5126636430518</v>
      </c>
      <c r="N136" s="526">
        <v>6628.6742910625107</v>
      </c>
      <c r="O136" s="527">
        <v>1363.23</v>
      </c>
      <c r="P136" s="527">
        <v>299.91059999999999</v>
      </c>
      <c r="Q136" s="527">
        <v>132.08239689742058</v>
      </c>
      <c r="R136" s="527">
        <v>927.96</v>
      </c>
      <c r="S136" s="527">
        <v>2250.5126636430518</v>
      </c>
      <c r="T136" s="527">
        <v>1301.5211929422185</v>
      </c>
      <c r="U136" s="527">
        <v>353.45743757981984</v>
      </c>
      <c r="V136" s="528">
        <v>6628.6742910625107</v>
      </c>
      <c r="W136" s="529">
        <v>0.1557312252964427</v>
      </c>
      <c r="Y136" s="529"/>
      <c r="Z136" s="466">
        <v>3</v>
      </c>
    </row>
    <row r="137" spans="1:26" x14ac:dyDescent="0.3">
      <c r="A137" s="489">
        <v>150000705</v>
      </c>
      <c r="B137" s="467" t="s">
        <v>141</v>
      </c>
      <c r="C137" s="509">
        <v>0</v>
      </c>
      <c r="D137" s="509">
        <v>0</v>
      </c>
      <c r="E137" s="524">
        <v>0</v>
      </c>
      <c r="F137" s="524">
        <v>0</v>
      </c>
      <c r="G137" s="473"/>
      <c r="H137" s="523">
        <v>0</v>
      </c>
      <c r="I137" s="473"/>
      <c r="J137" s="523">
        <v>0</v>
      </c>
      <c r="K137" s="473">
        <v>9.61</v>
      </c>
      <c r="L137" s="523">
        <v>9.61</v>
      </c>
      <c r="M137" s="525">
        <v>0</v>
      </c>
      <c r="N137" s="526">
        <v>9.61</v>
      </c>
      <c r="O137" s="527">
        <v>0</v>
      </c>
      <c r="P137" s="527">
        <v>0</v>
      </c>
      <c r="Q137" s="527">
        <v>0</v>
      </c>
      <c r="R137" s="527">
        <v>9.61</v>
      </c>
      <c r="S137" s="527">
        <v>0</v>
      </c>
      <c r="T137" s="527">
        <v>0</v>
      </c>
      <c r="U137" s="527">
        <v>0</v>
      </c>
      <c r="V137" s="528">
        <v>9.61</v>
      </c>
      <c r="W137" s="529">
        <v>0.20296296296296296</v>
      </c>
      <c r="Y137" s="529"/>
      <c r="Z137" s="466">
        <v>3</v>
      </c>
    </row>
    <row r="138" spans="1:26" x14ac:dyDescent="0.3">
      <c r="A138" s="489">
        <v>150000706</v>
      </c>
      <c r="B138" s="467" t="s">
        <v>143</v>
      </c>
      <c r="C138" s="509">
        <v>0</v>
      </c>
      <c r="D138" s="509">
        <v>0</v>
      </c>
      <c r="E138" s="524">
        <v>0</v>
      </c>
      <c r="F138" s="524">
        <v>0</v>
      </c>
      <c r="G138" s="473"/>
      <c r="H138" s="523">
        <v>0</v>
      </c>
      <c r="I138" s="473"/>
      <c r="J138" s="523">
        <v>0</v>
      </c>
      <c r="K138" s="473">
        <v>9.61</v>
      </c>
      <c r="L138" s="523">
        <v>9.61</v>
      </c>
      <c r="M138" s="525">
        <v>0</v>
      </c>
      <c r="N138" s="526">
        <v>9.61</v>
      </c>
      <c r="O138" s="527">
        <v>0</v>
      </c>
      <c r="P138" s="527">
        <v>0</v>
      </c>
      <c r="Q138" s="527">
        <v>0</v>
      </c>
      <c r="R138" s="527">
        <v>9.61</v>
      </c>
      <c r="S138" s="527">
        <v>0</v>
      </c>
      <c r="T138" s="527">
        <v>0</v>
      </c>
      <c r="U138" s="527">
        <v>0</v>
      </c>
      <c r="V138" s="528">
        <v>9.61</v>
      </c>
      <c r="W138" s="529">
        <v>0.22259483232545355</v>
      </c>
      <c r="Y138" s="529"/>
      <c r="Z138" s="466">
        <v>3</v>
      </c>
    </row>
    <row r="139" spans="1:26" x14ac:dyDescent="0.3">
      <c r="A139" s="489">
        <v>150000707</v>
      </c>
      <c r="B139" s="467" t="s">
        <v>144</v>
      </c>
      <c r="C139" s="509">
        <v>0</v>
      </c>
      <c r="D139" s="509">
        <v>0</v>
      </c>
      <c r="E139" s="524">
        <v>0</v>
      </c>
      <c r="F139" s="524">
        <v>0</v>
      </c>
      <c r="G139" s="473"/>
      <c r="H139" s="523">
        <v>0</v>
      </c>
      <c r="I139" s="473"/>
      <c r="J139" s="523">
        <v>0</v>
      </c>
      <c r="K139" s="473">
        <v>9.61</v>
      </c>
      <c r="L139" s="523">
        <v>9.61</v>
      </c>
      <c r="M139" s="525">
        <v>0</v>
      </c>
      <c r="N139" s="526">
        <v>9.61</v>
      </c>
      <c r="O139" s="527">
        <v>0</v>
      </c>
      <c r="P139" s="527">
        <v>0</v>
      </c>
      <c r="Q139" s="527">
        <v>0</v>
      </c>
      <c r="R139" s="527">
        <v>9.61</v>
      </c>
      <c r="S139" s="527">
        <v>0</v>
      </c>
      <c r="T139" s="527">
        <v>0</v>
      </c>
      <c r="U139" s="527">
        <v>0</v>
      </c>
      <c r="V139" s="528">
        <v>9.61</v>
      </c>
      <c r="W139" s="529">
        <v>0.22967332123411976</v>
      </c>
      <c r="Y139" s="529"/>
      <c r="Z139" s="466">
        <v>3</v>
      </c>
    </row>
    <row r="140" spans="1:26" x14ac:dyDescent="0.3">
      <c r="A140" s="489">
        <v>150000708</v>
      </c>
      <c r="B140" s="467" t="s">
        <v>145</v>
      </c>
      <c r="C140" s="509">
        <v>0</v>
      </c>
      <c r="D140" s="509">
        <v>0</v>
      </c>
      <c r="E140" s="524">
        <v>0</v>
      </c>
      <c r="F140" s="524">
        <v>0</v>
      </c>
      <c r="G140" s="473"/>
      <c r="H140" s="523">
        <v>0</v>
      </c>
      <c r="I140" s="473"/>
      <c r="J140" s="523">
        <v>0</v>
      </c>
      <c r="K140" s="473">
        <v>9.61</v>
      </c>
      <c r="L140" s="523">
        <v>9.61</v>
      </c>
      <c r="M140" s="525">
        <v>0</v>
      </c>
      <c r="N140" s="526">
        <v>9.61</v>
      </c>
      <c r="O140" s="527">
        <v>0</v>
      </c>
      <c r="P140" s="527">
        <v>0</v>
      </c>
      <c r="Q140" s="527">
        <v>0</v>
      </c>
      <c r="R140" s="527">
        <v>9.61</v>
      </c>
      <c r="S140" s="527">
        <v>0</v>
      </c>
      <c r="T140" s="527">
        <v>0</v>
      </c>
      <c r="U140" s="527">
        <v>0</v>
      </c>
      <c r="V140" s="528">
        <v>9.61</v>
      </c>
      <c r="W140" s="529">
        <v>0.19301397205588822</v>
      </c>
      <c r="Y140" s="529"/>
      <c r="Z140" s="466">
        <v>3</v>
      </c>
    </row>
    <row r="141" spans="1:26" x14ac:dyDescent="0.3">
      <c r="A141" s="489">
        <v>150000709</v>
      </c>
      <c r="B141" s="467" t="s">
        <v>142</v>
      </c>
      <c r="C141" s="509">
        <v>0</v>
      </c>
      <c r="D141" s="509">
        <v>0</v>
      </c>
      <c r="E141" s="524">
        <v>0</v>
      </c>
      <c r="F141" s="524">
        <v>0</v>
      </c>
      <c r="G141" s="473"/>
      <c r="H141" s="523">
        <v>0</v>
      </c>
      <c r="I141" s="473"/>
      <c r="J141" s="523">
        <v>0</v>
      </c>
      <c r="K141" s="473">
        <v>9.61</v>
      </c>
      <c r="L141" s="523">
        <v>9.61</v>
      </c>
      <c r="M141" s="525">
        <v>0</v>
      </c>
      <c r="N141" s="526">
        <v>9.61</v>
      </c>
      <c r="O141" s="527">
        <v>0</v>
      </c>
      <c r="P141" s="527">
        <v>0</v>
      </c>
      <c r="Q141" s="527">
        <v>0</v>
      </c>
      <c r="R141" s="527">
        <v>9.61</v>
      </c>
      <c r="S141" s="527">
        <v>0</v>
      </c>
      <c r="T141" s="527">
        <v>0</v>
      </c>
      <c r="U141" s="527">
        <v>0</v>
      </c>
      <c r="V141" s="528">
        <v>9.61</v>
      </c>
      <c r="W141" s="529">
        <v>1.0182557782255688</v>
      </c>
      <c r="Y141" s="529">
        <v>0</v>
      </c>
      <c r="Z141" s="466">
        <v>3</v>
      </c>
    </row>
    <row r="142" spans="1:26" x14ac:dyDescent="0.3">
      <c r="A142" s="489">
        <v>150000710</v>
      </c>
      <c r="B142" s="467" t="s">
        <v>278</v>
      </c>
      <c r="C142" s="509">
        <v>556.15</v>
      </c>
      <c r="D142" s="509">
        <v>114.9</v>
      </c>
      <c r="E142" s="524">
        <v>0</v>
      </c>
      <c r="F142" s="524">
        <v>410.06</v>
      </c>
      <c r="G142" s="473">
        <v>553.30999999999995</v>
      </c>
      <c r="H142" s="523">
        <v>553.30999999999995</v>
      </c>
      <c r="I142" s="473"/>
      <c r="J142" s="523">
        <v>0</v>
      </c>
      <c r="K142" s="473">
        <v>163.35</v>
      </c>
      <c r="L142" s="523">
        <v>163.35</v>
      </c>
      <c r="M142" s="525">
        <v>1629.1987099390635</v>
      </c>
      <c r="N142" s="526">
        <v>5079.0612076488214</v>
      </c>
      <c r="O142" s="527">
        <v>1081.1099999999999</v>
      </c>
      <c r="P142" s="527">
        <v>237.8442</v>
      </c>
      <c r="Q142" s="527">
        <v>102.0723440535351</v>
      </c>
      <c r="R142" s="527">
        <v>716.66</v>
      </c>
      <c r="S142" s="527">
        <v>1629.1987099390635</v>
      </c>
      <c r="T142" s="527">
        <v>1032.1718102607497</v>
      </c>
      <c r="U142" s="527">
        <v>280.00414339547359</v>
      </c>
      <c r="V142" s="528">
        <v>5079.0612076488214</v>
      </c>
      <c r="W142" s="529">
        <v>1.0018562664438302</v>
      </c>
      <c r="Y142" s="529">
        <v>0</v>
      </c>
      <c r="Z142" s="466">
        <v>1</v>
      </c>
    </row>
    <row r="143" spans="1:26" x14ac:dyDescent="0.3">
      <c r="A143" s="489">
        <v>150000711</v>
      </c>
      <c r="B143" s="467" t="s">
        <v>279</v>
      </c>
      <c r="C143" s="509">
        <v>556.26</v>
      </c>
      <c r="D143" s="509">
        <v>114.92</v>
      </c>
      <c r="E143" s="524">
        <v>43.76</v>
      </c>
      <c r="F143" s="524">
        <v>410.33</v>
      </c>
      <c r="G143" s="473">
        <v>571.29999999999995</v>
      </c>
      <c r="H143" s="523">
        <v>571.29999999999995</v>
      </c>
      <c r="I143" s="473"/>
      <c r="J143" s="523">
        <v>0</v>
      </c>
      <c r="K143" s="473">
        <v>163.35</v>
      </c>
      <c r="L143" s="523">
        <v>163.35</v>
      </c>
      <c r="M143" s="525">
        <v>1631.1584660584488</v>
      </c>
      <c r="N143" s="526">
        <v>5207.8756457838599</v>
      </c>
      <c r="O143" s="527">
        <v>1125.27</v>
      </c>
      <c r="P143" s="527">
        <v>247.55939999999998</v>
      </c>
      <c r="Q143" s="527">
        <v>103.74810908706601</v>
      </c>
      <c r="R143" s="527">
        <v>734.65</v>
      </c>
      <c r="S143" s="527">
        <v>1631.1584660584488</v>
      </c>
      <c r="T143" s="527">
        <v>1074.3328365588275</v>
      </c>
      <c r="U143" s="527">
        <v>291.15683407951764</v>
      </c>
      <c r="V143" s="528">
        <v>5207.8756457838599</v>
      </c>
      <c r="W143" s="529">
        <v>0.92151534055436135</v>
      </c>
      <c r="Y143" s="529">
        <v>0</v>
      </c>
      <c r="Z143" s="466">
        <v>1</v>
      </c>
    </row>
    <row r="144" spans="1:26" x14ac:dyDescent="0.3">
      <c r="A144" s="489">
        <v>150000712</v>
      </c>
      <c r="B144" s="467" t="s">
        <v>280</v>
      </c>
      <c r="C144" s="509">
        <v>382.87</v>
      </c>
      <c r="D144" s="509">
        <v>77.16</v>
      </c>
      <c r="E144" s="524">
        <v>0</v>
      </c>
      <c r="F144" s="524">
        <v>234.21</v>
      </c>
      <c r="G144" s="473">
        <v>397.23</v>
      </c>
      <c r="H144" s="523">
        <v>397.23</v>
      </c>
      <c r="I144" s="473"/>
      <c r="J144" s="523">
        <v>0</v>
      </c>
      <c r="K144" s="473">
        <v>99.5</v>
      </c>
      <c r="L144" s="523">
        <v>99.5</v>
      </c>
      <c r="M144" s="525">
        <v>1143.4036734870326</v>
      </c>
      <c r="N144" s="526">
        <v>3406.0895109145276</v>
      </c>
      <c r="O144" s="527">
        <v>694.24</v>
      </c>
      <c r="P144" s="527">
        <v>152.7328</v>
      </c>
      <c r="Q144" s="527">
        <v>75.254802132106605</v>
      </c>
      <c r="R144" s="527">
        <v>496.73</v>
      </c>
      <c r="S144" s="527">
        <v>1143.4036734870326</v>
      </c>
      <c r="T144" s="527">
        <v>662.81410546144514</v>
      </c>
      <c r="U144" s="527">
        <v>180.91412983394358</v>
      </c>
      <c r="V144" s="528">
        <v>3406.0895109145285</v>
      </c>
      <c r="W144" s="529">
        <v>9.4690999585234331E-2</v>
      </c>
      <c r="Y144" s="529"/>
      <c r="Z144" s="466">
        <v>3</v>
      </c>
    </row>
    <row r="145" spans="1:26" x14ac:dyDescent="0.3">
      <c r="A145" s="489">
        <v>150000713</v>
      </c>
      <c r="B145" s="467" t="s">
        <v>281</v>
      </c>
      <c r="C145" s="509">
        <v>728.21</v>
      </c>
      <c r="D145" s="509">
        <v>153.37</v>
      </c>
      <c r="E145" s="524">
        <v>67.73</v>
      </c>
      <c r="F145" s="524">
        <v>654.08000000000004</v>
      </c>
      <c r="G145" s="473">
        <v>729.07</v>
      </c>
      <c r="H145" s="523">
        <v>729.07</v>
      </c>
      <c r="I145" s="473"/>
      <c r="J145" s="523">
        <v>0</v>
      </c>
      <c r="K145" s="473">
        <v>165.89</v>
      </c>
      <c r="L145" s="523">
        <v>165.89</v>
      </c>
      <c r="M145" s="525">
        <v>2229.347297553692</v>
      </c>
      <c r="N145" s="526">
        <v>7170.4769005050512</v>
      </c>
      <c r="O145" s="527">
        <v>1603.39</v>
      </c>
      <c r="P145" s="527">
        <v>352.74580000000003</v>
      </c>
      <c r="Q145" s="527">
        <v>144.71219874026349</v>
      </c>
      <c r="R145" s="527">
        <v>894.96</v>
      </c>
      <c r="S145" s="527">
        <v>2229.347297553692</v>
      </c>
      <c r="T145" s="527">
        <v>1530.8099627734307</v>
      </c>
      <c r="U145" s="527">
        <v>414.5116414376655</v>
      </c>
      <c r="V145" s="528">
        <v>7170.4769005050512</v>
      </c>
      <c r="W145" s="529">
        <v>0.13017469560614081</v>
      </c>
      <c r="Y145" s="529"/>
      <c r="Z145" s="466">
        <v>3</v>
      </c>
    </row>
    <row r="146" spans="1:26" x14ac:dyDescent="0.3">
      <c r="A146" s="489">
        <v>150000714</v>
      </c>
      <c r="B146" s="467" t="s">
        <v>282</v>
      </c>
      <c r="C146" s="509">
        <v>352.28</v>
      </c>
      <c r="D146" s="509">
        <v>75.37</v>
      </c>
      <c r="E146" s="524">
        <v>0</v>
      </c>
      <c r="F146" s="524">
        <v>219</v>
      </c>
      <c r="G146" s="473">
        <v>340.68</v>
      </c>
      <c r="H146" s="523">
        <v>340.68</v>
      </c>
      <c r="I146" s="473"/>
      <c r="J146" s="523">
        <v>0</v>
      </c>
      <c r="K146" s="473">
        <v>98.27</v>
      </c>
      <c r="L146" s="523">
        <v>98.27</v>
      </c>
      <c r="M146" s="525">
        <v>986.22054313350839</v>
      </c>
      <c r="N146" s="526">
        <v>3077.7174580664537</v>
      </c>
      <c r="O146" s="527">
        <v>646.65</v>
      </c>
      <c r="P146" s="527">
        <v>142.26300000000001</v>
      </c>
      <c r="Q146" s="527">
        <v>76.959668864971306</v>
      </c>
      <c r="R146" s="527">
        <v>438.95</v>
      </c>
      <c r="S146" s="527">
        <v>986.22054313350839</v>
      </c>
      <c r="T146" s="527">
        <v>617.37834365153765</v>
      </c>
      <c r="U146" s="527">
        <v>169.2959024164366</v>
      </c>
      <c r="V146" s="528">
        <v>3077.7174580664541</v>
      </c>
      <c r="W146" s="529">
        <v>6.3992762364294326E-2</v>
      </c>
      <c r="Y146" s="529"/>
      <c r="Z146" s="466">
        <v>3</v>
      </c>
    </row>
    <row r="147" spans="1:26" x14ac:dyDescent="0.3">
      <c r="A147" s="489">
        <v>150000715</v>
      </c>
      <c r="B147" s="467" t="s">
        <v>283</v>
      </c>
      <c r="C147" s="509">
        <v>557.17999999999995</v>
      </c>
      <c r="D147" s="509">
        <v>115.05</v>
      </c>
      <c r="E147" s="524">
        <v>44.66</v>
      </c>
      <c r="F147" s="524">
        <v>411.89</v>
      </c>
      <c r="G147" s="473">
        <v>577.11</v>
      </c>
      <c r="H147" s="523">
        <v>577.11</v>
      </c>
      <c r="I147" s="473"/>
      <c r="J147" s="523">
        <v>0</v>
      </c>
      <c r="K147" s="473">
        <v>163.35</v>
      </c>
      <c r="L147" s="523">
        <v>163.35</v>
      </c>
      <c r="M147" s="525">
        <v>1632.0492642945328</v>
      </c>
      <c r="N147" s="526">
        <v>5218.4463401060766</v>
      </c>
      <c r="O147" s="527">
        <v>1128.7799999999997</v>
      </c>
      <c r="P147" s="527">
        <v>248.33159999999998</v>
      </c>
      <c r="Q147" s="527">
        <v>99.588237767795988</v>
      </c>
      <c r="R147" s="527">
        <v>740.46</v>
      </c>
      <c r="S147" s="527">
        <v>1632.0492642945328</v>
      </c>
      <c r="T147" s="527">
        <v>1077.683950741487</v>
      </c>
      <c r="U147" s="527">
        <v>291.55328730226097</v>
      </c>
      <c r="V147" s="528">
        <v>5218.4463401060766</v>
      </c>
      <c r="W147" s="529">
        <v>0.11875439831104856</v>
      </c>
      <c r="Y147" s="529"/>
      <c r="Z147" s="466">
        <v>3</v>
      </c>
    </row>
    <row r="148" spans="1:26" x14ac:dyDescent="0.3">
      <c r="A148" s="489">
        <v>150000716</v>
      </c>
      <c r="B148" s="467" t="s">
        <v>285</v>
      </c>
      <c r="C148" s="509">
        <v>417.23</v>
      </c>
      <c r="D148" s="509">
        <v>77.14</v>
      </c>
      <c r="E148" s="524">
        <v>0</v>
      </c>
      <c r="F148" s="524">
        <v>231.99</v>
      </c>
      <c r="G148" s="473">
        <v>387.32</v>
      </c>
      <c r="H148" s="523">
        <v>387.32</v>
      </c>
      <c r="I148" s="473"/>
      <c r="J148" s="523">
        <v>0</v>
      </c>
      <c r="K148" s="473">
        <v>81.96</v>
      </c>
      <c r="L148" s="523">
        <v>81.96</v>
      </c>
      <c r="M148" s="525">
        <v>1130.0381367528257</v>
      </c>
      <c r="N148" s="526">
        <v>3443.348355427172</v>
      </c>
      <c r="O148" s="527">
        <v>726.36</v>
      </c>
      <c r="P148" s="527">
        <v>159.79919999999998</v>
      </c>
      <c r="Q148" s="527">
        <v>75.478382389607901</v>
      </c>
      <c r="R148" s="527">
        <v>469.28</v>
      </c>
      <c r="S148" s="527">
        <v>1130.0381367528257</v>
      </c>
      <c r="T148" s="527">
        <v>693.48014179963025</v>
      </c>
      <c r="U148" s="527">
        <v>188.91249448510803</v>
      </c>
      <c r="V148" s="528">
        <v>3443.3483554271725</v>
      </c>
      <c r="W148" s="529">
        <v>0.80969419659859199</v>
      </c>
      <c r="Y148" s="529">
        <v>0</v>
      </c>
      <c r="Z148" s="466">
        <v>3</v>
      </c>
    </row>
    <row r="149" spans="1:26" x14ac:dyDescent="0.3">
      <c r="A149" s="489">
        <v>150000717</v>
      </c>
      <c r="B149" s="467" t="s">
        <v>286</v>
      </c>
      <c r="C149" s="509">
        <v>409.58</v>
      </c>
      <c r="D149" s="509">
        <v>77.14</v>
      </c>
      <c r="E149" s="524">
        <v>0</v>
      </c>
      <c r="F149" s="524">
        <v>232.08</v>
      </c>
      <c r="G149" s="473">
        <v>386.19</v>
      </c>
      <c r="H149" s="523">
        <v>386.19</v>
      </c>
      <c r="I149" s="473"/>
      <c r="J149" s="523">
        <v>0</v>
      </c>
      <c r="K149" s="473">
        <v>130.86000000000001</v>
      </c>
      <c r="L149" s="523">
        <v>130.86000000000001</v>
      </c>
      <c r="M149" s="525">
        <v>1127.8574626708914</v>
      </c>
      <c r="N149" s="526">
        <v>3470.2346732925571</v>
      </c>
      <c r="O149" s="527">
        <v>718.8</v>
      </c>
      <c r="P149" s="527">
        <v>158.136</v>
      </c>
      <c r="Q149" s="527">
        <v>75.132396694274206</v>
      </c>
      <c r="R149" s="527">
        <v>517.04999999999995</v>
      </c>
      <c r="S149" s="527">
        <v>1127.8574626708914</v>
      </c>
      <c r="T149" s="527">
        <v>686.26235740620928</v>
      </c>
      <c r="U149" s="527">
        <v>186.99645652118193</v>
      </c>
      <c r="V149" s="528">
        <v>3470.2346732925571</v>
      </c>
      <c r="W149" s="529">
        <v>0.10451195398166457</v>
      </c>
      <c r="Y149" s="529"/>
      <c r="Z149" s="466">
        <v>3</v>
      </c>
    </row>
    <row r="150" spans="1:26" x14ac:dyDescent="0.3">
      <c r="A150" s="489">
        <v>150000718</v>
      </c>
      <c r="B150" s="467" t="s">
        <v>287</v>
      </c>
      <c r="C150" s="509">
        <v>531.71</v>
      </c>
      <c r="D150" s="509">
        <v>114.08</v>
      </c>
      <c r="E150" s="524">
        <v>43.76</v>
      </c>
      <c r="F150" s="524">
        <v>434.54</v>
      </c>
      <c r="G150" s="473">
        <v>550.53</v>
      </c>
      <c r="H150" s="523">
        <v>550.53</v>
      </c>
      <c r="I150" s="473"/>
      <c r="J150" s="523">
        <v>0</v>
      </c>
      <c r="K150" s="473">
        <v>147.07</v>
      </c>
      <c r="L150" s="523">
        <v>147.07</v>
      </c>
      <c r="M150" s="525">
        <v>1587.9725675730881</v>
      </c>
      <c r="N150" s="526">
        <v>5136.2780543246608</v>
      </c>
      <c r="O150" s="527">
        <v>1124.0900000000001</v>
      </c>
      <c r="P150" s="527">
        <v>247.2998</v>
      </c>
      <c r="Q150" s="527">
        <v>114.067646309341</v>
      </c>
      <c r="R150" s="527">
        <v>697.59999999999991</v>
      </c>
      <c r="S150" s="527">
        <v>1587.9725675730881</v>
      </c>
      <c r="T150" s="527">
        <v>1073.206251164087</v>
      </c>
      <c r="U150" s="527">
        <v>292.04178927814428</v>
      </c>
      <c r="V150" s="528">
        <v>5136.2780543246599</v>
      </c>
      <c r="W150" s="529">
        <v>0.1191717077710563</v>
      </c>
      <c r="Y150" s="529"/>
      <c r="Z150" s="466">
        <v>3</v>
      </c>
    </row>
    <row r="151" spans="1:26" x14ac:dyDescent="0.3">
      <c r="A151" s="489">
        <v>150000719</v>
      </c>
      <c r="B151" s="467" t="s">
        <v>284</v>
      </c>
      <c r="C151" s="509">
        <v>728.94</v>
      </c>
      <c r="D151" s="509">
        <v>153.47999999999999</v>
      </c>
      <c r="E151" s="524">
        <v>67.73</v>
      </c>
      <c r="F151" s="524">
        <v>666.23</v>
      </c>
      <c r="G151" s="473">
        <v>752.54</v>
      </c>
      <c r="H151" s="523">
        <v>752.54</v>
      </c>
      <c r="I151" s="473"/>
      <c r="J151" s="523">
        <v>0</v>
      </c>
      <c r="K151" s="473">
        <v>118.47</v>
      </c>
      <c r="L151" s="523">
        <v>118.47</v>
      </c>
      <c r="M151" s="525">
        <v>2213.1347696569596</v>
      </c>
      <c r="N151" s="526">
        <v>7172.472931057624</v>
      </c>
      <c r="O151" s="527">
        <v>1616.38</v>
      </c>
      <c r="P151" s="527">
        <v>355.60360000000003</v>
      </c>
      <c r="Q151" s="527">
        <v>154.3020182752071</v>
      </c>
      <c r="R151" s="527">
        <v>871.01</v>
      </c>
      <c r="S151" s="527">
        <v>2213.1347696569596</v>
      </c>
      <c r="T151" s="527">
        <v>1543.2119494494277</v>
      </c>
      <c r="U151" s="527">
        <v>418.83059367602948</v>
      </c>
      <c r="V151" s="528">
        <v>7172.472931057624</v>
      </c>
      <c r="W151" s="529">
        <v>0.18403352078509205</v>
      </c>
      <c r="Y151" s="529"/>
      <c r="Z151" s="466">
        <v>3</v>
      </c>
    </row>
    <row r="152" spans="1:26" x14ac:dyDescent="0.3">
      <c r="A152" s="489">
        <v>150000720</v>
      </c>
      <c r="B152" s="467" t="s">
        <v>288</v>
      </c>
      <c r="C152" s="509">
        <v>359.19</v>
      </c>
      <c r="D152" s="509">
        <v>74</v>
      </c>
      <c r="E152" s="524">
        <v>0</v>
      </c>
      <c r="F152" s="524">
        <v>129.47999999999999</v>
      </c>
      <c r="G152" s="473">
        <v>437.11</v>
      </c>
      <c r="H152" s="523">
        <v>437.11</v>
      </c>
      <c r="I152" s="473">
        <v>110.37</v>
      </c>
      <c r="J152" s="523">
        <v>110.37</v>
      </c>
      <c r="K152" s="473">
        <v>88.24</v>
      </c>
      <c r="L152" s="523">
        <v>88.24</v>
      </c>
      <c r="M152" s="525">
        <v>1307.7274425010075</v>
      </c>
      <c r="N152" s="526">
        <v>3402.2308603519359</v>
      </c>
      <c r="O152" s="527">
        <v>562.66999999999996</v>
      </c>
      <c r="P152" s="527">
        <v>123.78740000000001</v>
      </c>
      <c r="Q152" s="527">
        <v>85.680468974426702</v>
      </c>
      <c r="R152" s="527">
        <v>635.72</v>
      </c>
      <c r="S152" s="527">
        <v>1307.7274425010075</v>
      </c>
      <c r="T152" s="527">
        <v>537.19983394790177</v>
      </c>
      <c r="U152" s="527">
        <v>149.44571492860018</v>
      </c>
      <c r="V152" s="528">
        <v>3402.2308603519368</v>
      </c>
      <c r="W152" s="529">
        <v>1.0128989533227575</v>
      </c>
      <c r="Y152" s="529">
        <v>0</v>
      </c>
      <c r="Z152" s="466">
        <v>2</v>
      </c>
    </row>
    <row r="153" spans="1:26" x14ac:dyDescent="0.3">
      <c r="A153" s="489">
        <v>150000721</v>
      </c>
      <c r="B153" s="467" t="s">
        <v>218</v>
      </c>
      <c r="C153" s="509">
        <v>352.78</v>
      </c>
      <c r="D153" s="509">
        <v>50.19</v>
      </c>
      <c r="E153" s="524">
        <v>0</v>
      </c>
      <c r="F153" s="524">
        <v>137.31</v>
      </c>
      <c r="G153" s="473">
        <v>312.66000000000003</v>
      </c>
      <c r="H153" s="523">
        <v>312.66000000000003</v>
      </c>
      <c r="I153" s="473"/>
      <c r="J153" s="523">
        <v>0</v>
      </c>
      <c r="K153" s="473">
        <v>171.06</v>
      </c>
      <c r="L153" s="523">
        <v>171.06</v>
      </c>
      <c r="M153" s="525">
        <v>994.80783812935977</v>
      </c>
      <c r="N153" s="526">
        <v>2870.224119027966</v>
      </c>
      <c r="O153" s="527">
        <v>540.28</v>
      </c>
      <c r="P153" s="527">
        <v>118.8616</v>
      </c>
      <c r="Q153" s="527">
        <v>74.158384051781596</v>
      </c>
      <c r="R153" s="527">
        <v>483.72</v>
      </c>
      <c r="S153" s="527">
        <v>994.80783812935977</v>
      </c>
      <c r="T153" s="527">
        <v>515.82335344939725</v>
      </c>
      <c r="U153" s="527">
        <v>142.57294339742745</v>
      </c>
      <c r="V153" s="528">
        <v>2870.2241190279665</v>
      </c>
      <c r="W153" s="529">
        <v>0.9950653301351835</v>
      </c>
      <c r="Y153" s="529">
        <v>0</v>
      </c>
      <c r="Z153" s="466">
        <v>1</v>
      </c>
    </row>
    <row r="154" spans="1:26" x14ac:dyDescent="0.3">
      <c r="A154" s="489">
        <v>150000722</v>
      </c>
      <c r="B154" s="467" t="s">
        <v>274</v>
      </c>
      <c r="C154" s="509">
        <v>407.19</v>
      </c>
      <c r="D154" s="509">
        <v>70</v>
      </c>
      <c r="E154" s="524">
        <v>0</v>
      </c>
      <c r="F154" s="524">
        <v>277.13</v>
      </c>
      <c r="G154" s="473">
        <v>406.5</v>
      </c>
      <c r="H154" s="523">
        <v>406.5</v>
      </c>
      <c r="I154" s="473"/>
      <c r="J154" s="523">
        <v>0</v>
      </c>
      <c r="K154" s="473">
        <v>98.29</v>
      </c>
      <c r="L154" s="523">
        <v>98.29</v>
      </c>
      <c r="M154" s="525">
        <v>1268.3185285366437</v>
      </c>
      <c r="N154" s="526">
        <v>3692.0611218050653</v>
      </c>
      <c r="O154" s="527">
        <v>754.31999999999994</v>
      </c>
      <c r="P154" s="527">
        <v>165.9504</v>
      </c>
      <c r="Q154" s="527">
        <v>81.919755598492799</v>
      </c>
      <c r="R154" s="527">
        <v>504.79</v>
      </c>
      <c r="S154" s="527">
        <v>1268.3185285366437</v>
      </c>
      <c r="T154" s="527">
        <v>720.17448725466306</v>
      </c>
      <c r="U154" s="527">
        <v>196.58795041526599</v>
      </c>
      <c r="V154" s="528">
        <v>3692.0611218050658</v>
      </c>
      <c r="W154" s="529">
        <v>1.0099308278760215</v>
      </c>
      <c r="Y154" s="529">
        <v>0</v>
      </c>
      <c r="Z154" s="466">
        <v>2</v>
      </c>
    </row>
    <row r="155" spans="1:26" x14ac:dyDescent="0.3">
      <c r="A155" s="489">
        <v>150000723</v>
      </c>
      <c r="B155" s="467" t="s">
        <v>275</v>
      </c>
      <c r="C155" s="509">
        <v>407.22</v>
      </c>
      <c r="D155" s="509">
        <v>70</v>
      </c>
      <c r="E155" s="524">
        <v>0</v>
      </c>
      <c r="F155" s="524">
        <v>239.74</v>
      </c>
      <c r="G155" s="473">
        <v>410.14</v>
      </c>
      <c r="H155" s="523">
        <v>410.14</v>
      </c>
      <c r="I155" s="473"/>
      <c r="J155" s="523">
        <v>0</v>
      </c>
      <c r="K155" s="473">
        <v>115.36</v>
      </c>
      <c r="L155" s="523">
        <v>115.36</v>
      </c>
      <c r="M155" s="525">
        <v>1273.9127414592524</v>
      </c>
      <c r="N155" s="526">
        <v>3626.9057693384711</v>
      </c>
      <c r="O155" s="527">
        <v>716.96</v>
      </c>
      <c r="P155" s="527">
        <v>157.7312</v>
      </c>
      <c r="Q155" s="527">
        <v>81.0778452703601</v>
      </c>
      <c r="R155" s="527">
        <v>525.5</v>
      </c>
      <c r="S155" s="527">
        <v>1273.9127414592524</v>
      </c>
      <c r="T155" s="527">
        <v>684.50564797712275</v>
      </c>
      <c r="U155" s="527">
        <v>187.21833463173556</v>
      </c>
      <c r="V155" s="528">
        <v>3626.9057693384707</v>
      </c>
      <c r="W155" s="529">
        <v>1.2863556949454096</v>
      </c>
      <c r="Y155" s="529">
        <v>0</v>
      </c>
      <c r="Z155" s="466">
        <v>2</v>
      </c>
    </row>
    <row r="156" spans="1:26" x14ac:dyDescent="0.3">
      <c r="A156" s="489">
        <v>150000724</v>
      </c>
      <c r="B156" s="467" t="s">
        <v>276</v>
      </c>
      <c r="C156" s="509">
        <v>407.36</v>
      </c>
      <c r="D156" s="509">
        <v>70</v>
      </c>
      <c r="E156" s="524">
        <v>0</v>
      </c>
      <c r="F156" s="524">
        <v>239.74</v>
      </c>
      <c r="G156" s="473">
        <v>410.14</v>
      </c>
      <c r="H156" s="523">
        <v>410.14</v>
      </c>
      <c r="I156" s="473"/>
      <c r="J156" s="523">
        <v>0</v>
      </c>
      <c r="K156" s="473">
        <v>98.24</v>
      </c>
      <c r="L156" s="523">
        <v>98.24</v>
      </c>
      <c r="M156" s="525">
        <v>1269.9932292204819</v>
      </c>
      <c r="N156" s="526">
        <v>3606.2491932299599</v>
      </c>
      <c r="O156" s="527">
        <v>717.1</v>
      </c>
      <c r="P156" s="527">
        <v>157.762</v>
      </c>
      <c r="Q156" s="527">
        <v>81.11708866478341</v>
      </c>
      <c r="R156" s="527">
        <v>508.38</v>
      </c>
      <c r="S156" s="527">
        <v>1269.9932292204819</v>
      </c>
      <c r="T156" s="527">
        <v>684.63931065107499</v>
      </c>
      <c r="U156" s="527">
        <v>187.25756469362028</v>
      </c>
      <c r="V156" s="528">
        <v>3606.2491932299608</v>
      </c>
      <c r="W156" s="529">
        <v>1.2954079446540376</v>
      </c>
      <c r="Y156" s="529">
        <v>0</v>
      </c>
      <c r="Z156" s="466">
        <v>2</v>
      </c>
    </row>
    <row r="157" spans="1:26" x14ac:dyDescent="0.3">
      <c r="A157" s="489">
        <v>150000725</v>
      </c>
      <c r="B157" s="467" t="s">
        <v>277</v>
      </c>
      <c r="C157" s="509">
        <v>407.21</v>
      </c>
      <c r="D157" s="509">
        <v>70</v>
      </c>
      <c r="E157" s="524">
        <v>0</v>
      </c>
      <c r="F157" s="524">
        <v>239.74</v>
      </c>
      <c r="G157" s="473">
        <v>405.76</v>
      </c>
      <c r="H157" s="523">
        <v>405.76</v>
      </c>
      <c r="I157" s="473"/>
      <c r="J157" s="523">
        <v>0</v>
      </c>
      <c r="K157" s="473">
        <v>98.24</v>
      </c>
      <c r="L157" s="523">
        <v>98.24</v>
      </c>
      <c r="M157" s="525">
        <v>1272.7582669452872</v>
      </c>
      <c r="N157" s="526">
        <v>3604.2255223981574</v>
      </c>
      <c r="O157" s="527">
        <v>716.95</v>
      </c>
      <c r="P157" s="527">
        <v>157.72900000000001</v>
      </c>
      <c r="Q157" s="527">
        <v>81.076460445525896</v>
      </c>
      <c r="R157" s="527">
        <v>504</v>
      </c>
      <c r="S157" s="527">
        <v>1272.7582669452872</v>
      </c>
      <c r="T157" s="527">
        <v>684.49610064326896</v>
      </c>
      <c r="U157" s="527">
        <v>187.2156943640756</v>
      </c>
      <c r="V157" s="528">
        <v>3604.2255223981579</v>
      </c>
      <c r="W157" s="529">
        <v>1.0219702369206931</v>
      </c>
      <c r="Y157" s="529">
        <v>0</v>
      </c>
      <c r="Z157" s="466">
        <v>2</v>
      </c>
    </row>
    <row r="158" spans="1:26" x14ac:dyDescent="0.3">
      <c r="A158" s="489">
        <v>150000726</v>
      </c>
      <c r="B158" s="467" t="s">
        <v>183</v>
      </c>
      <c r="C158" s="509">
        <v>65.12</v>
      </c>
      <c r="D158" s="509">
        <v>11.34</v>
      </c>
      <c r="E158" s="524">
        <v>0</v>
      </c>
      <c r="F158" s="524">
        <v>28.65</v>
      </c>
      <c r="G158" s="473">
        <v>47.75</v>
      </c>
      <c r="H158" s="523">
        <v>47.75</v>
      </c>
      <c r="I158" s="473"/>
      <c r="J158" s="523">
        <v>0</v>
      </c>
      <c r="K158" s="473">
        <v>65.67</v>
      </c>
      <c r="L158" s="523">
        <v>65.67</v>
      </c>
      <c r="M158" s="525">
        <v>145.98401492947406</v>
      </c>
      <c r="N158" s="526">
        <v>531.38664656979495</v>
      </c>
      <c r="O158" s="527">
        <v>105.11000000000001</v>
      </c>
      <c r="P158" s="527">
        <v>23.124200000000002</v>
      </c>
      <c r="Q158" s="527">
        <v>15.533024047488819</v>
      </c>
      <c r="R158" s="527">
        <v>113.42</v>
      </c>
      <c r="S158" s="527">
        <v>145.98401492947406</v>
      </c>
      <c r="T158" s="527">
        <v>100.3520261365702</v>
      </c>
      <c r="U158" s="527">
        <v>27.863381456261862</v>
      </c>
      <c r="V158" s="528">
        <v>531.38664656979495</v>
      </c>
      <c r="W158" s="529">
        <v>0.9669766355751569</v>
      </c>
      <c r="Y158" s="529">
        <v>0</v>
      </c>
      <c r="Z158" s="466">
        <v>2</v>
      </c>
    </row>
    <row r="159" spans="1:26" x14ac:dyDescent="0.3">
      <c r="A159" s="489">
        <v>150000727</v>
      </c>
      <c r="B159" s="467" t="s">
        <v>128</v>
      </c>
      <c r="C159" s="509">
        <v>0</v>
      </c>
      <c r="D159" s="509">
        <v>0</v>
      </c>
      <c r="E159" s="524">
        <v>0</v>
      </c>
      <c r="F159" s="524">
        <v>0</v>
      </c>
      <c r="G159" s="473"/>
      <c r="H159" s="523">
        <v>0</v>
      </c>
      <c r="I159" s="473"/>
      <c r="J159" s="523">
        <v>0</v>
      </c>
      <c r="K159" s="473">
        <v>29.36</v>
      </c>
      <c r="L159" s="523">
        <v>29.36</v>
      </c>
      <c r="M159" s="525">
        <v>0</v>
      </c>
      <c r="N159" s="526">
        <v>29.36</v>
      </c>
      <c r="O159" s="527">
        <v>0</v>
      </c>
      <c r="P159" s="527">
        <v>0</v>
      </c>
      <c r="Q159" s="527">
        <v>0</v>
      </c>
      <c r="R159" s="527">
        <v>29.36</v>
      </c>
      <c r="S159" s="527">
        <v>0</v>
      </c>
      <c r="T159" s="527">
        <v>0</v>
      </c>
      <c r="U159" s="527">
        <v>0</v>
      </c>
      <c r="V159" s="528">
        <v>29.36</v>
      </c>
      <c r="W159" s="529">
        <v>0.19457274826789842</v>
      </c>
      <c r="Y159" s="529"/>
      <c r="Z159" s="466">
        <v>2</v>
      </c>
    </row>
    <row r="160" spans="1:26" x14ac:dyDescent="0.3">
      <c r="A160" s="489">
        <v>150000728</v>
      </c>
      <c r="B160" s="467" t="s">
        <v>184</v>
      </c>
      <c r="C160" s="509">
        <v>66.349999999999994</v>
      </c>
      <c r="D160" s="509">
        <v>11.34</v>
      </c>
      <c r="E160" s="524">
        <v>0</v>
      </c>
      <c r="F160" s="524">
        <v>28.65</v>
      </c>
      <c r="G160" s="473">
        <v>53.76</v>
      </c>
      <c r="H160" s="523">
        <v>53.76</v>
      </c>
      <c r="I160" s="473"/>
      <c r="J160" s="523">
        <v>0</v>
      </c>
      <c r="K160" s="473">
        <v>65.67</v>
      </c>
      <c r="L160" s="523">
        <v>65.67</v>
      </c>
      <c r="M160" s="525">
        <v>160.55747407181113</v>
      </c>
      <c r="N160" s="526">
        <v>555.06413747233137</v>
      </c>
      <c r="O160" s="527">
        <v>106.34</v>
      </c>
      <c r="P160" s="527">
        <v>23.3948</v>
      </c>
      <c r="Q160" s="527">
        <v>15.63516428628299</v>
      </c>
      <c r="R160" s="527">
        <v>119.43</v>
      </c>
      <c r="S160" s="527">
        <v>160.55747407181113</v>
      </c>
      <c r="T160" s="527">
        <v>101.52634820057915</v>
      </c>
      <c r="U160" s="527">
        <v>28.18035091365806</v>
      </c>
      <c r="V160" s="528">
        <v>555.06413747233137</v>
      </c>
      <c r="W160" s="529">
        <v>0.82036061985351427</v>
      </c>
      <c r="Y160" s="529">
        <v>0</v>
      </c>
      <c r="Z160" s="466">
        <v>2</v>
      </c>
    </row>
    <row r="161" spans="1:26" x14ac:dyDescent="0.3">
      <c r="A161" s="489">
        <v>150000729</v>
      </c>
      <c r="B161" s="467" t="s">
        <v>273</v>
      </c>
      <c r="C161" s="509">
        <v>282.02</v>
      </c>
      <c r="D161" s="509">
        <v>60.69</v>
      </c>
      <c r="E161" s="524">
        <v>0</v>
      </c>
      <c r="F161" s="524">
        <v>175.25</v>
      </c>
      <c r="G161" s="473">
        <v>261.98</v>
      </c>
      <c r="H161" s="523">
        <v>261.98</v>
      </c>
      <c r="I161" s="473"/>
      <c r="J161" s="523">
        <v>0</v>
      </c>
      <c r="K161" s="473">
        <v>65.67</v>
      </c>
      <c r="L161" s="523">
        <v>65.67</v>
      </c>
      <c r="M161" s="525">
        <v>749.1969484762318</v>
      </c>
      <c r="N161" s="526">
        <v>2402.5349180609046</v>
      </c>
      <c r="O161" s="527">
        <v>517.96</v>
      </c>
      <c r="P161" s="527">
        <v>113.9512</v>
      </c>
      <c r="Q161" s="527">
        <v>63.452372659035198</v>
      </c>
      <c r="R161" s="527">
        <v>327.65000000000003</v>
      </c>
      <c r="S161" s="527">
        <v>749.1969484762318</v>
      </c>
      <c r="T161" s="527">
        <v>494.5137042878689</v>
      </c>
      <c r="U161" s="527">
        <v>135.81069263776843</v>
      </c>
      <c r="V161" s="528">
        <v>2402.5349180609046</v>
      </c>
      <c r="W161" s="529">
        <v>1.07900384283932</v>
      </c>
      <c r="Y161" s="529">
        <v>0</v>
      </c>
      <c r="Z161" s="466">
        <v>2</v>
      </c>
    </row>
    <row r="162" spans="1:26" x14ac:dyDescent="0.3">
      <c r="A162" s="489">
        <v>150000736</v>
      </c>
      <c r="B162" s="467" t="s">
        <v>219</v>
      </c>
      <c r="C162" s="509">
        <v>301.56</v>
      </c>
      <c r="D162" s="509">
        <v>61.84</v>
      </c>
      <c r="E162" s="524">
        <v>0</v>
      </c>
      <c r="F162" s="524">
        <v>216.08</v>
      </c>
      <c r="G162" s="473">
        <v>326.39</v>
      </c>
      <c r="H162" s="523">
        <v>326.39</v>
      </c>
      <c r="I162" s="473"/>
      <c r="J162" s="523">
        <v>0</v>
      </c>
      <c r="K162" s="473">
        <v>239.68</v>
      </c>
      <c r="L162" s="523">
        <v>239.68</v>
      </c>
      <c r="M162" s="525">
        <v>1014.4053993232113</v>
      </c>
      <c r="N162" s="526">
        <v>3059.1259622037687</v>
      </c>
      <c r="O162" s="527">
        <v>579.48</v>
      </c>
      <c r="P162" s="527">
        <v>127.48559999999999</v>
      </c>
      <c r="Q162" s="527">
        <v>66.955047302537096</v>
      </c>
      <c r="R162" s="527">
        <v>566.06999999999994</v>
      </c>
      <c r="S162" s="527">
        <v>1014.4053993232113</v>
      </c>
      <c r="T162" s="527">
        <v>553.24890215602409</v>
      </c>
      <c r="U162" s="527">
        <v>151.48101342199618</v>
      </c>
      <c r="V162" s="528">
        <v>3059.1259622037687</v>
      </c>
      <c r="W162" s="529">
        <v>0.97342945313520202</v>
      </c>
      <c r="Y162" s="529">
        <v>0</v>
      </c>
      <c r="Z162" s="466">
        <v>2</v>
      </c>
    </row>
    <row r="163" spans="1:26" x14ac:dyDescent="0.3">
      <c r="A163" s="489">
        <v>150000737</v>
      </c>
      <c r="B163" s="467" t="s">
        <v>221</v>
      </c>
      <c r="C163" s="509">
        <v>335.51</v>
      </c>
      <c r="D163" s="509">
        <v>61.28</v>
      </c>
      <c r="E163" s="524">
        <v>0</v>
      </c>
      <c r="F163" s="524">
        <v>211.35</v>
      </c>
      <c r="G163" s="473">
        <v>344.6</v>
      </c>
      <c r="H163" s="523">
        <v>344.6</v>
      </c>
      <c r="I163" s="473"/>
      <c r="J163" s="523">
        <v>0</v>
      </c>
      <c r="K163" s="473">
        <v>100.88</v>
      </c>
      <c r="L163" s="523">
        <v>100.88</v>
      </c>
      <c r="M163" s="525">
        <v>916.84517650727298</v>
      </c>
      <c r="N163" s="526">
        <v>2915.4325608033787</v>
      </c>
      <c r="O163" s="527">
        <v>608.14</v>
      </c>
      <c r="P163" s="527">
        <v>133.79079999999999</v>
      </c>
      <c r="Q163" s="527">
        <v>71.456247765209412</v>
      </c>
      <c r="R163" s="527">
        <v>445.48</v>
      </c>
      <c r="S163" s="527">
        <v>916.84517650727298</v>
      </c>
      <c r="T163" s="527">
        <v>580.61156098081824</v>
      </c>
      <c r="U163" s="527">
        <v>159.10877555007849</v>
      </c>
      <c r="V163" s="528">
        <v>2915.4325608033796</v>
      </c>
      <c r="W163" s="529">
        <v>1.021705772288267</v>
      </c>
      <c r="Y163" s="529">
        <v>0</v>
      </c>
      <c r="Z163" s="466">
        <v>1</v>
      </c>
    </row>
    <row r="164" spans="1:26" x14ac:dyDescent="0.3">
      <c r="A164" s="489">
        <v>150000738</v>
      </c>
      <c r="B164" s="467" t="s">
        <v>289</v>
      </c>
      <c r="C164" s="509">
        <v>407.41</v>
      </c>
      <c r="D164" s="509">
        <v>70.02</v>
      </c>
      <c r="E164" s="524">
        <v>0</v>
      </c>
      <c r="F164" s="524">
        <v>239.34</v>
      </c>
      <c r="G164" s="473">
        <v>435.18</v>
      </c>
      <c r="H164" s="523">
        <v>435.18</v>
      </c>
      <c r="I164" s="473"/>
      <c r="J164" s="523">
        <v>0</v>
      </c>
      <c r="K164" s="473">
        <v>98.29</v>
      </c>
      <c r="L164" s="523">
        <v>98.29</v>
      </c>
      <c r="M164" s="525">
        <v>1271.3116106098867</v>
      </c>
      <c r="N164" s="526">
        <v>3630.728575122901</v>
      </c>
      <c r="O164" s="527">
        <v>716.77</v>
      </c>
      <c r="P164" s="527">
        <v>157.68940000000001</v>
      </c>
      <c r="Q164" s="527">
        <v>80.103368395366601</v>
      </c>
      <c r="R164" s="527">
        <v>533.47</v>
      </c>
      <c r="S164" s="527">
        <v>1271.3116106098867</v>
      </c>
      <c r="T164" s="527">
        <v>684.32424863390179</v>
      </c>
      <c r="U164" s="527">
        <v>187.05994748374644</v>
      </c>
      <c r="V164" s="528">
        <v>3630.7285751229015</v>
      </c>
      <c r="W164" s="529">
        <v>0.10240249609984399</v>
      </c>
      <c r="Y164" s="529"/>
      <c r="Z164" s="466">
        <v>2</v>
      </c>
    </row>
    <row r="165" spans="1:26" x14ac:dyDescent="0.3">
      <c r="A165" s="489">
        <v>150000739</v>
      </c>
      <c r="B165" s="467" t="s">
        <v>222</v>
      </c>
      <c r="C165" s="509">
        <v>429.19</v>
      </c>
      <c r="D165" s="509">
        <v>77.87</v>
      </c>
      <c r="E165" s="524">
        <v>0</v>
      </c>
      <c r="F165" s="524">
        <v>319.2</v>
      </c>
      <c r="G165" s="473">
        <v>424.61</v>
      </c>
      <c r="H165" s="523">
        <v>424.61</v>
      </c>
      <c r="I165" s="473"/>
      <c r="J165" s="523">
        <v>0</v>
      </c>
      <c r="K165" s="473">
        <v>163.44</v>
      </c>
      <c r="L165" s="523">
        <v>163.44</v>
      </c>
      <c r="M165" s="525">
        <v>1294.0447815947546</v>
      </c>
      <c r="N165" s="526">
        <v>3987.1098928764777</v>
      </c>
      <c r="O165" s="527">
        <v>826.26</v>
      </c>
      <c r="P165" s="527">
        <v>181.77719999999999</v>
      </c>
      <c r="Q165" s="527">
        <v>92.470696600074902</v>
      </c>
      <c r="R165" s="527">
        <v>588.04999999999995</v>
      </c>
      <c r="S165" s="527">
        <v>1294.0447815947546</v>
      </c>
      <c r="T165" s="527">
        <v>788.85800699840638</v>
      </c>
      <c r="U165" s="527">
        <v>215.64920768324163</v>
      </c>
      <c r="V165" s="528">
        <v>3987.1098928764773</v>
      </c>
      <c r="W165" s="529">
        <v>0.9855658012614128</v>
      </c>
      <c r="Y165" s="529">
        <v>0</v>
      </c>
      <c r="Z165" s="466">
        <v>1</v>
      </c>
    </row>
    <row r="166" spans="1:26" x14ac:dyDescent="0.3">
      <c r="A166" s="489">
        <v>150000740</v>
      </c>
      <c r="B166" s="467" t="s">
        <v>197</v>
      </c>
      <c r="C166" s="509">
        <v>186.89</v>
      </c>
      <c r="D166" s="509">
        <v>47.25</v>
      </c>
      <c r="E166" s="524">
        <v>0</v>
      </c>
      <c r="F166" s="524">
        <v>117.52</v>
      </c>
      <c r="G166" s="473">
        <v>165.15</v>
      </c>
      <c r="H166" s="523">
        <v>165.15</v>
      </c>
      <c r="I166" s="473"/>
      <c r="J166" s="523">
        <v>0</v>
      </c>
      <c r="K166" s="473">
        <v>73.84</v>
      </c>
      <c r="L166" s="523">
        <v>73.84</v>
      </c>
      <c r="M166" s="525">
        <v>486.76778812583478</v>
      </c>
      <c r="N166" s="526">
        <v>1636.8461887558822</v>
      </c>
      <c r="O166" s="527">
        <v>351.65999999999997</v>
      </c>
      <c r="P166" s="527">
        <v>77.365200000000002</v>
      </c>
      <c r="Q166" s="527">
        <v>52.984802612039701</v>
      </c>
      <c r="R166" s="527">
        <v>238.99</v>
      </c>
      <c r="S166" s="527">
        <v>486.76778812583478</v>
      </c>
      <c r="T166" s="527">
        <v>335.74154230031655</v>
      </c>
      <c r="U166" s="527">
        <v>93.336855717691037</v>
      </c>
      <c r="V166" s="528">
        <v>1636.8461887558819</v>
      </c>
      <c r="W166" s="529">
        <v>1.1389988039707806</v>
      </c>
      <c r="Y166" s="529">
        <v>0</v>
      </c>
      <c r="Z166" s="466">
        <v>1</v>
      </c>
    </row>
    <row r="167" spans="1:26" x14ac:dyDescent="0.3">
      <c r="A167" s="489">
        <v>150000741</v>
      </c>
      <c r="B167" s="467" t="s">
        <v>224</v>
      </c>
      <c r="C167" s="509">
        <v>333.61</v>
      </c>
      <c r="D167" s="509">
        <v>53.33</v>
      </c>
      <c r="E167" s="524">
        <v>0</v>
      </c>
      <c r="F167" s="524">
        <v>203.01</v>
      </c>
      <c r="G167" s="473">
        <v>303.32</v>
      </c>
      <c r="H167" s="523">
        <v>303.32</v>
      </c>
      <c r="I167" s="473"/>
      <c r="J167" s="523">
        <v>0</v>
      </c>
      <c r="K167" s="473">
        <v>171.06</v>
      </c>
      <c r="L167" s="523">
        <v>171.06</v>
      </c>
      <c r="M167" s="525">
        <v>924.39914554926679</v>
      </c>
      <c r="N167" s="526">
        <v>2910.5716479751536</v>
      </c>
      <c r="O167" s="527">
        <v>589.95000000000005</v>
      </c>
      <c r="P167" s="527">
        <v>129.78899999999999</v>
      </c>
      <c r="Q167" s="527">
        <v>73.9322875915623</v>
      </c>
      <c r="R167" s="527">
        <v>474.38</v>
      </c>
      <c r="S167" s="527">
        <v>924.39914554926679</v>
      </c>
      <c r="T167" s="527">
        <v>563.24496070088082</v>
      </c>
      <c r="U167" s="527">
        <v>154.87625413344384</v>
      </c>
      <c r="V167" s="528">
        <v>2910.5716479751541</v>
      </c>
      <c r="W167" s="529">
        <v>0.95112969882457599</v>
      </c>
      <c r="Y167" s="529">
        <v>0</v>
      </c>
      <c r="Z167" s="466">
        <v>1</v>
      </c>
    </row>
    <row r="168" spans="1:26" x14ac:dyDescent="0.3">
      <c r="A168" s="489">
        <v>150000742</v>
      </c>
      <c r="B168" s="467" t="s">
        <v>290</v>
      </c>
      <c r="C168" s="509">
        <v>205.99</v>
      </c>
      <c r="D168" s="509">
        <v>39.49</v>
      </c>
      <c r="E168" s="524">
        <v>0</v>
      </c>
      <c r="F168" s="524">
        <v>99.28</v>
      </c>
      <c r="G168" s="473">
        <v>214.92</v>
      </c>
      <c r="H168" s="523">
        <v>214.92</v>
      </c>
      <c r="I168" s="473"/>
      <c r="J168" s="523">
        <v>0</v>
      </c>
      <c r="K168" s="473">
        <v>65.760000000000005</v>
      </c>
      <c r="L168" s="523">
        <v>65.760000000000005</v>
      </c>
      <c r="M168" s="525">
        <v>666.10328901430034</v>
      </c>
      <c r="N168" s="526">
        <v>1832.8879358619499</v>
      </c>
      <c r="O168" s="527">
        <v>344.76</v>
      </c>
      <c r="P168" s="527">
        <v>75.847200000000001</v>
      </c>
      <c r="Q168" s="527">
        <v>45.566180937518794</v>
      </c>
      <c r="R168" s="527">
        <v>280.68</v>
      </c>
      <c r="S168" s="527">
        <v>666.10328901430034</v>
      </c>
      <c r="T168" s="527">
        <v>329.15388194124193</v>
      </c>
      <c r="U168" s="527">
        <v>90.777383968888856</v>
      </c>
      <c r="V168" s="528">
        <v>1832.8879358619499</v>
      </c>
      <c r="W168" s="529">
        <v>0.95227452327385742</v>
      </c>
      <c r="Y168" s="529">
        <v>0</v>
      </c>
      <c r="Z168" s="466">
        <v>1</v>
      </c>
    </row>
    <row r="169" spans="1:26" x14ac:dyDescent="0.3">
      <c r="A169" s="489">
        <v>150000743</v>
      </c>
      <c r="B169" s="467" t="s">
        <v>220</v>
      </c>
      <c r="C169" s="509">
        <v>258.88</v>
      </c>
      <c r="D169" s="509">
        <v>46.27</v>
      </c>
      <c r="E169" s="524">
        <v>0</v>
      </c>
      <c r="F169" s="524">
        <v>140.9</v>
      </c>
      <c r="G169" s="473">
        <v>237.16</v>
      </c>
      <c r="H169" s="523">
        <v>237.16</v>
      </c>
      <c r="I169" s="473"/>
      <c r="J169" s="523">
        <v>0</v>
      </c>
      <c r="K169" s="473">
        <v>98.26</v>
      </c>
      <c r="L169" s="523">
        <v>98.26</v>
      </c>
      <c r="M169" s="525">
        <v>818.35852352580685</v>
      </c>
      <c r="N169" s="526">
        <v>2299.3932658745507</v>
      </c>
      <c r="O169" s="527">
        <v>446.04999999999995</v>
      </c>
      <c r="P169" s="527">
        <v>98.131</v>
      </c>
      <c r="Q169" s="527">
        <v>58.211904880384495</v>
      </c>
      <c r="R169" s="527">
        <v>335.42</v>
      </c>
      <c r="S169" s="527">
        <v>818.35852352580685</v>
      </c>
      <c r="T169" s="527">
        <v>425.85882654568678</v>
      </c>
      <c r="U169" s="527">
        <v>117.36301092267253</v>
      </c>
      <c r="V169" s="528">
        <v>2299.3932658745507</v>
      </c>
      <c r="W169" s="529">
        <v>1.0092374424126596</v>
      </c>
      <c r="Y169" s="529">
        <v>0</v>
      </c>
      <c r="Z169" s="466">
        <v>1</v>
      </c>
    </row>
    <row r="170" spans="1:26" x14ac:dyDescent="0.3">
      <c r="A170" s="489">
        <v>150000744</v>
      </c>
      <c r="B170" s="467" t="s">
        <v>223</v>
      </c>
      <c r="C170" s="509">
        <v>190.32</v>
      </c>
      <c r="D170" s="509">
        <v>36.81</v>
      </c>
      <c r="E170" s="524">
        <v>0</v>
      </c>
      <c r="F170" s="524">
        <v>81.47</v>
      </c>
      <c r="G170" s="473">
        <v>183.38</v>
      </c>
      <c r="H170" s="523">
        <v>183.38</v>
      </c>
      <c r="I170" s="473"/>
      <c r="J170" s="523">
        <v>0</v>
      </c>
      <c r="K170" s="473">
        <v>65.69</v>
      </c>
      <c r="L170" s="523">
        <v>65.69</v>
      </c>
      <c r="M170" s="525">
        <v>536.04674654601126</v>
      </c>
      <c r="N170" s="526">
        <v>1581.0166272561378</v>
      </c>
      <c r="O170" s="527">
        <v>308.60000000000002</v>
      </c>
      <c r="P170" s="527">
        <v>67.891999999999996</v>
      </c>
      <c r="Q170" s="527">
        <v>43.240841332160599</v>
      </c>
      <c r="R170" s="527">
        <v>249.07</v>
      </c>
      <c r="S170" s="527">
        <v>536.04674654601126</v>
      </c>
      <c r="T170" s="527">
        <v>294.63072272614937</v>
      </c>
      <c r="U170" s="527">
        <v>81.536316651816492</v>
      </c>
      <c r="V170" s="528">
        <v>1581.0166272561378</v>
      </c>
      <c r="W170" s="529">
        <v>0.98192325774706291</v>
      </c>
      <c r="Y170" s="529">
        <v>0</v>
      </c>
      <c r="Z170" s="466">
        <v>1</v>
      </c>
    </row>
    <row r="171" spans="1:26" x14ac:dyDescent="0.3">
      <c r="A171" s="489">
        <v>150000745</v>
      </c>
      <c r="B171" s="467" t="s">
        <v>133</v>
      </c>
      <c r="C171" s="509">
        <v>0</v>
      </c>
      <c r="D171" s="509">
        <v>0</v>
      </c>
      <c r="E171" s="524">
        <v>0</v>
      </c>
      <c r="F171" s="524">
        <v>0</v>
      </c>
      <c r="G171" s="473"/>
      <c r="H171" s="523">
        <v>0</v>
      </c>
      <c r="I171" s="473"/>
      <c r="J171" s="523">
        <v>0</v>
      </c>
      <c r="K171" s="473">
        <v>27.19</v>
      </c>
      <c r="L171" s="523">
        <v>27.19</v>
      </c>
      <c r="M171" s="525">
        <v>0</v>
      </c>
      <c r="N171" s="526">
        <v>27.19</v>
      </c>
      <c r="O171" s="527">
        <v>0</v>
      </c>
      <c r="P171" s="527">
        <v>0</v>
      </c>
      <c r="Q171" s="527">
        <v>0</v>
      </c>
      <c r="R171" s="527">
        <v>27.19</v>
      </c>
      <c r="S171" s="527">
        <v>0</v>
      </c>
      <c r="T171" s="527">
        <v>0</v>
      </c>
      <c r="U171" s="527">
        <v>0</v>
      </c>
      <c r="V171" s="528">
        <v>27.19</v>
      </c>
      <c r="W171" s="529">
        <v>0.93792294653264852</v>
      </c>
      <c r="Y171" s="529">
        <v>0</v>
      </c>
      <c r="Z171" s="466">
        <v>1</v>
      </c>
    </row>
    <row r="172" spans="1:26" x14ac:dyDescent="0.3">
      <c r="A172" s="489">
        <v>150000750</v>
      </c>
      <c r="B172" s="467" t="s">
        <v>129</v>
      </c>
      <c r="C172" s="509">
        <v>0</v>
      </c>
      <c r="D172" s="509">
        <v>0</v>
      </c>
      <c r="E172" s="524">
        <v>0</v>
      </c>
      <c r="F172" s="524">
        <v>0</v>
      </c>
      <c r="G172" s="473"/>
      <c r="H172" s="523">
        <v>0</v>
      </c>
      <c r="I172" s="473"/>
      <c r="J172" s="523">
        <v>0</v>
      </c>
      <c r="K172" s="473">
        <v>58.8</v>
      </c>
      <c r="L172" s="523">
        <v>58.8</v>
      </c>
      <c r="M172" s="525">
        <v>0</v>
      </c>
      <c r="N172" s="526">
        <v>58.8</v>
      </c>
      <c r="O172" s="527">
        <v>0</v>
      </c>
      <c r="P172" s="527">
        <v>0</v>
      </c>
      <c r="Q172" s="527">
        <v>0</v>
      </c>
      <c r="R172" s="527">
        <v>58.8</v>
      </c>
      <c r="S172" s="527">
        <v>0</v>
      </c>
      <c r="T172" s="527">
        <v>0</v>
      </c>
      <c r="U172" s="527">
        <v>0</v>
      </c>
      <c r="V172" s="528">
        <v>58.8</v>
      </c>
      <c r="W172" s="529">
        <v>1.0073289038789293</v>
      </c>
      <c r="Y172" s="529">
        <v>0</v>
      </c>
      <c r="Z172" s="466">
        <v>1</v>
      </c>
    </row>
    <row r="173" spans="1:26" x14ac:dyDescent="0.3">
      <c r="A173" s="489">
        <v>150000751</v>
      </c>
      <c r="B173" s="467" t="s">
        <v>130</v>
      </c>
      <c r="C173" s="509">
        <v>0</v>
      </c>
      <c r="D173" s="509">
        <v>0</v>
      </c>
      <c r="E173" s="524">
        <v>0</v>
      </c>
      <c r="F173" s="524">
        <v>0</v>
      </c>
      <c r="G173" s="473"/>
      <c r="H173" s="523">
        <v>0</v>
      </c>
      <c r="I173" s="473"/>
      <c r="J173" s="523">
        <v>0</v>
      </c>
      <c r="K173" s="473">
        <v>58.8</v>
      </c>
      <c r="L173" s="523">
        <v>58.8</v>
      </c>
      <c r="M173" s="525">
        <v>0</v>
      </c>
      <c r="N173" s="526">
        <v>58.8</v>
      </c>
      <c r="O173" s="527">
        <v>0</v>
      </c>
      <c r="P173" s="527">
        <v>0</v>
      </c>
      <c r="Q173" s="527">
        <v>0</v>
      </c>
      <c r="R173" s="527">
        <v>58.8</v>
      </c>
      <c r="S173" s="527">
        <v>0</v>
      </c>
      <c r="T173" s="527">
        <v>0</v>
      </c>
      <c r="U173" s="527">
        <v>0</v>
      </c>
      <c r="V173" s="528">
        <v>58.8</v>
      </c>
      <c r="W173" s="529">
        <v>0.299096657633243</v>
      </c>
      <c r="Y173" s="529"/>
      <c r="Z173" s="466">
        <v>1</v>
      </c>
    </row>
    <row r="174" spans="1:26" x14ac:dyDescent="0.3">
      <c r="A174" s="489">
        <v>150000752</v>
      </c>
      <c r="B174" s="467" t="s">
        <v>386</v>
      </c>
      <c r="C174" s="509">
        <v>386.56</v>
      </c>
      <c r="D174" s="509">
        <v>65.650000000000006</v>
      </c>
      <c r="E174" s="524">
        <v>26.37</v>
      </c>
      <c r="F174" s="524">
        <v>236.52</v>
      </c>
      <c r="G174" s="473">
        <v>487.43</v>
      </c>
      <c r="H174" s="523">
        <v>487.43</v>
      </c>
      <c r="I174" s="473">
        <v>104.96</v>
      </c>
      <c r="J174" s="523">
        <v>104.96</v>
      </c>
      <c r="K174" s="473">
        <v>58.8</v>
      </c>
      <c r="L174" s="523">
        <v>58.8</v>
      </c>
      <c r="M174" s="525">
        <v>1421.9634082964419</v>
      </c>
      <c r="N174" s="526">
        <v>3957.110734192659</v>
      </c>
      <c r="O174" s="527">
        <v>715.1</v>
      </c>
      <c r="P174" s="527">
        <v>157.322</v>
      </c>
      <c r="Q174" s="527">
        <v>135.80263730415498</v>
      </c>
      <c r="R174" s="527">
        <v>651.18999999999994</v>
      </c>
      <c r="S174" s="527">
        <v>1421.9634082964419</v>
      </c>
      <c r="T174" s="527">
        <v>682.72984388032864</v>
      </c>
      <c r="U174" s="527">
        <v>193.00284471173302</v>
      </c>
      <c r="V174" s="528">
        <v>3957.1107341926586</v>
      </c>
      <c r="W174" s="529">
        <v>0.15662251655629139</v>
      </c>
      <c r="Y174" s="529"/>
      <c r="Z174" s="466">
        <v>1</v>
      </c>
    </row>
    <row r="175" spans="1:26" x14ac:dyDescent="0.3">
      <c r="A175" s="489">
        <v>150000753</v>
      </c>
      <c r="B175" s="467" t="s">
        <v>239</v>
      </c>
      <c r="C175" s="509">
        <v>235.02</v>
      </c>
      <c r="D175" s="509">
        <v>56.22</v>
      </c>
      <c r="E175" s="524">
        <v>0</v>
      </c>
      <c r="F175" s="524">
        <v>145.88999999999999</v>
      </c>
      <c r="G175" s="473">
        <v>202.64</v>
      </c>
      <c r="H175" s="523">
        <v>202.64</v>
      </c>
      <c r="I175" s="473"/>
      <c r="J175" s="523">
        <v>0</v>
      </c>
      <c r="K175" s="473">
        <v>38.46</v>
      </c>
      <c r="L175" s="523">
        <v>38.46</v>
      </c>
      <c r="M175" s="525">
        <v>655.87692526405408</v>
      </c>
      <c r="N175" s="526">
        <v>2017.8458251945635</v>
      </c>
      <c r="O175" s="527">
        <v>437.13</v>
      </c>
      <c r="P175" s="527">
        <v>96.168599999999998</v>
      </c>
      <c r="Q175" s="527">
        <v>55.399783073148498</v>
      </c>
      <c r="R175" s="527">
        <v>241.1</v>
      </c>
      <c r="S175" s="527">
        <v>655.87692526405408</v>
      </c>
      <c r="T175" s="527">
        <v>417.34260474815846</v>
      </c>
      <c r="U175" s="527">
        <v>114.8279121092026</v>
      </c>
      <c r="V175" s="528">
        <v>2017.8458251945635</v>
      </c>
      <c r="W175" s="529">
        <v>1.0190399852281049</v>
      </c>
      <c r="Y175" s="529">
        <v>0</v>
      </c>
      <c r="Z175" s="466">
        <v>1</v>
      </c>
    </row>
    <row r="176" spans="1:26" x14ac:dyDescent="0.3">
      <c r="A176" s="489">
        <v>150000754</v>
      </c>
      <c r="B176" s="467" t="s">
        <v>240</v>
      </c>
      <c r="C176" s="509">
        <v>348.71</v>
      </c>
      <c r="D176" s="509">
        <v>66.790000000000006</v>
      </c>
      <c r="E176" s="524">
        <v>23.98</v>
      </c>
      <c r="F176" s="524">
        <v>210.13</v>
      </c>
      <c r="G176" s="473">
        <v>325.02</v>
      </c>
      <c r="H176" s="523">
        <v>325.02</v>
      </c>
      <c r="I176" s="473"/>
      <c r="J176" s="523">
        <v>0</v>
      </c>
      <c r="K176" s="473">
        <v>98.33</v>
      </c>
      <c r="L176" s="523">
        <v>98.33</v>
      </c>
      <c r="M176" s="525">
        <v>999.71791800665562</v>
      </c>
      <c r="N176" s="526">
        <v>3078.4162729969312</v>
      </c>
      <c r="O176" s="527">
        <v>649.61</v>
      </c>
      <c r="P176" s="527">
        <v>142.91419999999999</v>
      </c>
      <c r="Q176" s="527">
        <v>73.036903331109301</v>
      </c>
      <c r="R176" s="527">
        <v>423.34999999999997</v>
      </c>
      <c r="S176" s="527">
        <v>999.71791800665562</v>
      </c>
      <c r="T176" s="527">
        <v>620.20435447224213</v>
      </c>
      <c r="U176" s="527">
        <v>169.58289718692424</v>
      </c>
      <c r="V176" s="528">
        <v>3078.4162729969312</v>
      </c>
      <c r="W176" s="529">
        <v>0.8897493912420753</v>
      </c>
      <c r="Y176" s="529">
        <v>0</v>
      </c>
      <c r="Z176" s="466">
        <v>1</v>
      </c>
    </row>
    <row r="177" spans="1:26" x14ac:dyDescent="0.3">
      <c r="A177" s="489">
        <v>150000758</v>
      </c>
      <c r="B177" s="467" t="s">
        <v>388</v>
      </c>
      <c r="C177" s="509">
        <v>1129.05</v>
      </c>
      <c r="D177" s="509">
        <v>320.32</v>
      </c>
      <c r="E177" s="524">
        <v>46.15</v>
      </c>
      <c r="F177" s="524">
        <v>720.28</v>
      </c>
      <c r="G177" s="473">
        <v>1516.06</v>
      </c>
      <c r="H177" s="523">
        <v>1516.06</v>
      </c>
      <c r="I177" s="473">
        <v>329.41</v>
      </c>
      <c r="J177" s="523">
        <v>329.41</v>
      </c>
      <c r="K177" s="473">
        <v>124.87</v>
      </c>
      <c r="L177" s="523">
        <v>124.87</v>
      </c>
      <c r="M177" s="525">
        <v>4709.9424559984518</v>
      </c>
      <c r="N177" s="526">
        <v>12296.631573638755</v>
      </c>
      <c r="O177" s="527">
        <v>2215.8000000000002</v>
      </c>
      <c r="P177" s="527">
        <v>487.476</v>
      </c>
      <c r="Q177" s="527">
        <v>222.2055033647988</v>
      </c>
      <c r="R177" s="527">
        <v>1970.3400000000001</v>
      </c>
      <c r="S177" s="527">
        <v>4709.9424559984518</v>
      </c>
      <c r="T177" s="527">
        <v>2115.4982353097917</v>
      </c>
      <c r="U177" s="527">
        <v>575.36937896571226</v>
      </c>
      <c r="V177" s="528">
        <v>12296.631573638755</v>
      </c>
      <c r="W177" s="529">
        <v>0.16016260162601625</v>
      </c>
      <c r="Y177" s="529"/>
      <c r="Z177" s="466">
        <v>1</v>
      </c>
    </row>
    <row r="178" spans="1:26" x14ac:dyDescent="0.3">
      <c r="A178" s="489">
        <v>150000759</v>
      </c>
      <c r="B178" s="467" t="s">
        <v>389</v>
      </c>
      <c r="C178" s="509">
        <v>493.55</v>
      </c>
      <c r="D178" s="509">
        <v>78.569999999999993</v>
      </c>
      <c r="E178" s="524">
        <v>19.78</v>
      </c>
      <c r="F178" s="524">
        <v>372.02</v>
      </c>
      <c r="G178" s="473">
        <v>701.05</v>
      </c>
      <c r="H178" s="523">
        <v>701.05</v>
      </c>
      <c r="I178" s="473">
        <v>162.01</v>
      </c>
      <c r="J178" s="523">
        <v>162.01</v>
      </c>
      <c r="K178" s="473">
        <v>382.5</v>
      </c>
      <c r="L178" s="523">
        <v>382.5</v>
      </c>
      <c r="M178" s="525">
        <v>2027.3427631533564</v>
      </c>
      <c r="N178" s="526">
        <v>5725.7027697105641</v>
      </c>
      <c r="O178" s="527">
        <v>963.92</v>
      </c>
      <c r="P178" s="527">
        <v>212.06239999999997</v>
      </c>
      <c r="Q178" s="527">
        <v>105.25281603519619</v>
      </c>
      <c r="R178" s="527">
        <v>1245.56</v>
      </c>
      <c r="S178" s="527">
        <v>2027.3427631533564</v>
      </c>
      <c r="T178" s="527">
        <v>920.28660482887199</v>
      </c>
      <c r="U178" s="527">
        <v>251.27818569313854</v>
      </c>
      <c r="V178" s="528">
        <v>5725.7027697105632</v>
      </c>
      <c r="W178" s="529">
        <v>0.17026022304832714</v>
      </c>
      <c r="Y178" s="529"/>
      <c r="Z178" s="466">
        <v>1</v>
      </c>
    </row>
    <row r="179" spans="1:26" x14ac:dyDescent="0.3">
      <c r="A179" s="489">
        <v>150000760</v>
      </c>
      <c r="B179" s="467" t="s">
        <v>387</v>
      </c>
      <c r="C179" s="509">
        <v>901.25</v>
      </c>
      <c r="D179" s="509">
        <v>274.57</v>
      </c>
      <c r="E179" s="524">
        <v>39.56</v>
      </c>
      <c r="F179" s="524">
        <v>778.72</v>
      </c>
      <c r="G179" s="473">
        <v>1319.81</v>
      </c>
      <c r="H179" s="523">
        <v>1319.81</v>
      </c>
      <c r="I179" s="473">
        <v>300.26</v>
      </c>
      <c r="J179" s="523">
        <v>300.26</v>
      </c>
      <c r="K179" s="473">
        <v>150.88</v>
      </c>
      <c r="L179" s="523">
        <v>150.88</v>
      </c>
      <c r="M179" s="525">
        <v>4039.8127589570513</v>
      </c>
      <c r="N179" s="526">
        <v>10867.4209139174</v>
      </c>
      <c r="O179" s="527">
        <v>1994.1</v>
      </c>
      <c r="P179" s="527">
        <v>438.702</v>
      </c>
      <c r="Q179" s="527">
        <v>201.99072139162553</v>
      </c>
      <c r="R179" s="527">
        <v>1770.9499999999998</v>
      </c>
      <c r="S179" s="527">
        <v>4039.8127589570513</v>
      </c>
      <c r="T179" s="527">
        <v>1903.8338437725681</v>
      </c>
      <c r="U179" s="527">
        <v>518.03158979615534</v>
      </c>
      <c r="V179" s="528">
        <v>10867.420913917402</v>
      </c>
      <c r="W179" s="529">
        <v>0.97588537729694158</v>
      </c>
      <c r="Y179" s="529">
        <v>0</v>
      </c>
      <c r="Z179" s="466">
        <v>1</v>
      </c>
    </row>
    <row r="180" spans="1:26" x14ac:dyDescent="0.3">
      <c r="A180" s="489">
        <v>150000761</v>
      </c>
      <c r="B180" s="467" t="s">
        <v>390</v>
      </c>
      <c r="C180" s="509">
        <v>522.03</v>
      </c>
      <c r="D180" s="509">
        <v>80.42</v>
      </c>
      <c r="E180" s="524">
        <v>26.37</v>
      </c>
      <c r="F180" s="524">
        <v>243.46</v>
      </c>
      <c r="G180" s="473">
        <v>828.02</v>
      </c>
      <c r="H180" s="523">
        <v>828.02</v>
      </c>
      <c r="I180" s="473">
        <v>165.56</v>
      </c>
      <c r="J180" s="523">
        <v>165.56</v>
      </c>
      <c r="K180" s="473">
        <v>63.19</v>
      </c>
      <c r="L180" s="523">
        <v>63.19</v>
      </c>
      <c r="M180" s="525">
        <v>2428.4549560902815</v>
      </c>
      <c r="N180" s="526">
        <v>5700.6055196331617</v>
      </c>
      <c r="O180" s="527">
        <v>872.28</v>
      </c>
      <c r="P180" s="527">
        <v>191.90159999999997</v>
      </c>
      <c r="Q180" s="527">
        <v>91.448480708186395</v>
      </c>
      <c r="R180" s="527">
        <v>1056.77</v>
      </c>
      <c r="S180" s="527">
        <v>2428.4549560902815</v>
      </c>
      <c r="T180" s="527">
        <v>832.79483739327793</v>
      </c>
      <c r="U180" s="527">
        <v>226.9556454414149</v>
      </c>
      <c r="V180" s="528">
        <v>5700.6055196331608</v>
      </c>
      <c r="W180" s="529">
        <v>0.1250046168051708</v>
      </c>
      <c r="Y180" s="529"/>
      <c r="Z180" s="466">
        <v>2</v>
      </c>
    </row>
    <row r="181" spans="1:26" x14ac:dyDescent="0.3">
      <c r="A181" s="489">
        <v>150000762</v>
      </c>
      <c r="B181" s="467" t="s">
        <v>391</v>
      </c>
      <c r="C181" s="509">
        <v>288.74</v>
      </c>
      <c r="D181" s="509">
        <v>46.88</v>
      </c>
      <c r="E181" s="524">
        <v>13.19</v>
      </c>
      <c r="F181" s="524">
        <v>93.23</v>
      </c>
      <c r="G181" s="473">
        <v>0</v>
      </c>
      <c r="H181" s="523">
        <v>0</v>
      </c>
      <c r="I181" s="473">
        <v>0</v>
      </c>
      <c r="J181" s="523">
        <v>0</v>
      </c>
      <c r="K181" s="473">
        <v>33.11</v>
      </c>
      <c r="L181" s="523">
        <v>33.11</v>
      </c>
      <c r="M181" s="525">
        <v>1006.1744236217938</v>
      </c>
      <c r="N181" s="526">
        <v>2185.5220974790163</v>
      </c>
      <c r="O181" s="527">
        <v>442.04</v>
      </c>
      <c r="P181" s="527">
        <v>97.248799999999989</v>
      </c>
      <c r="Q181" s="527">
        <v>67.491700769247501</v>
      </c>
      <c r="R181" s="527">
        <v>33.11</v>
      </c>
      <c r="S181" s="527">
        <v>1006.1744236217938</v>
      </c>
      <c r="T181" s="527">
        <v>422.03034567034047</v>
      </c>
      <c r="U181" s="527">
        <v>117.42682741763471</v>
      </c>
      <c r="V181" s="528">
        <v>2185.5220974790163</v>
      </c>
      <c r="W181" s="529">
        <v>0.16773684210526316</v>
      </c>
      <c r="Y181" s="529"/>
      <c r="Z181" s="466">
        <v>2</v>
      </c>
    </row>
    <row r="182" spans="1:26" x14ac:dyDescent="0.3">
      <c r="A182" s="489">
        <v>150000763</v>
      </c>
      <c r="B182" s="467" t="s">
        <v>117</v>
      </c>
      <c r="C182" s="509">
        <v>0</v>
      </c>
      <c r="D182" s="509">
        <v>0</v>
      </c>
      <c r="E182" s="524">
        <v>0</v>
      </c>
      <c r="F182" s="524">
        <v>0</v>
      </c>
      <c r="G182" s="473"/>
      <c r="H182" s="523">
        <v>0</v>
      </c>
      <c r="I182" s="473"/>
      <c r="J182" s="523">
        <v>0</v>
      </c>
      <c r="K182" s="473">
        <v>19.34</v>
      </c>
      <c r="L182" s="523">
        <v>19.34</v>
      </c>
      <c r="M182" s="525">
        <v>0</v>
      </c>
      <c r="N182" s="526">
        <v>19.34</v>
      </c>
      <c r="O182" s="527">
        <v>0</v>
      </c>
      <c r="P182" s="527">
        <v>0</v>
      </c>
      <c r="Q182" s="527">
        <v>0</v>
      </c>
      <c r="R182" s="527">
        <v>19.34</v>
      </c>
      <c r="S182" s="527">
        <v>0</v>
      </c>
      <c r="T182" s="527">
        <v>0</v>
      </c>
      <c r="U182" s="527">
        <v>0</v>
      </c>
      <c r="V182" s="528">
        <v>19.34</v>
      </c>
      <c r="W182" s="529">
        <v>8.3015993907083016E-2</v>
      </c>
      <c r="Y182" s="529"/>
      <c r="Z182" s="466">
        <v>2</v>
      </c>
    </row>
    <row r="183" spans="1:26" x14ac:dyDescent="0.3">
      <c r="A183" s="489">
        <v>150000764</v>
      </c>
      <c r="B183" s="467" t="s">
        <v>118</v>
      </c>
      <c r="C183" s="509">
        <v>0</v>
      </c>
      <c r="D183" s="509">
        <v>0</v>
      </c>
      <c r="E183" s="524">
        <v>0</v>
      </c>
      <c r="F183" s="524">
        <v>0</v>
      </c>
      <c r="G183" s="473"/>
      <c r="H183" s="523">
        <v>0</v>
      </c>
      <c r="I183" s="473"/>
      <c r="J183" s="523">
        <v>0</v>
      </c>
      <c r="K183" s="473">
        <v>29.07</v>
      </c>
      <c r="L183" s="523">
        <v>29.07</v>
      </c>
      <c r="M183" s="525">
        <v>0</v>
      </c>
      <c r="N183" s="526">
        <v>29.07</v>
      </c>
      <c r="O183" s="527">
        <v>0</v>
      </c>
      <c r="P183" s="527">
        <v>0</v>
      </c>
      <c r="Q183" s="527">
        <v>0</v>
      </c>
      <c r="R183" s="527">
        <v>29.07</v>
      </c>
      <c r="S183" s="527">
        <v>0</v>
      </c>
      <c r="T183" s="527">
        <v>0</v>
      </c>
      <c r="U183" s="527">
        <v>0</v>
      </c>
      <c r="V183" s="528">
        <v>29.07</v>
      </c>
      <c r="W183" s="529">
        <v>0.24573925710123815</v>
      </c>
      <c r="Y183" s="529"/>
      <c r="Z183" s="466">
        <v>3</v>
      </c>
    </row>
    <row r="184" spans="1:26" x14ac:dyDescent="0.3">
      <c r="A184" s="489">
        <v>150000765</v>
      </c>
      <c r="B184" s="467" t="s">
        <v>264</v>
      </c>
      <c r="C184" s="509">
        <v>531.69000000000005</v>
      </c>
      <c r="D184" s="509">
        <v>110.9</v>
      </c>
      <c r="E184" s="524">
        <v>43.76</v>
      </c>
      <c r="F184" s="524">
        <v>373.24</v>
      </c>
      <c r="G184" s="473">
        <v>509.36</v>
      </c>
      <c r="H184" s="523">
        <v>509.36</v>
      </c>
      <c r="I184" s="473"/>
      <c r="J184" s="523">
        <v>0</v>
      </c>
      <c r="K184" s="473">
        <v>150.88</v>
      </c>
      <c r="L184" s="523">
        <v>150.88</v>
      </c>
      <c r="M184" s="525">
        <v>1611.9920512108617</v>
      </c>
      <c r="N184" s="526">
        <v>4955.7867779364587</v>
      </c>
      <c r="O184" s="527">
        <v>1059.5900000000001</v>
      </c>
      <c r="P184" s="527">
        <v>233.10979999999998</v>
      </c>
      <c r="Q184" s="527">
        <v>104.3110234642442</v>
      </c>
      <c r="R184" s="527">
        <v>660.24</v>
      </c>
      <c r="S184" s="527">
        <v>1611.9920512108617</v>
      </c>
      <c r="T184" s="527">
        <v>1011.6259478075201</v>
      </c>
      <c r="U184" s="527">
        <v>274.91795545383246</v>
      </c>
      <c r="V184" s="528">
        <v>4955.7867779364587</v>
      </c>
      <c r="W184" s="529">
        <v>0.15068410309534089</v>
      </c>
      <c r="Y184" s="529"/>
      <c r="Z184" s="466">
        <v>3</v>
      </c>
    </row>
    <row r="185" spans="1:26" x14ac:dyDescent="0.3">
      <c r="A185" s="489">
        <v>150000768</v>
      </c>
      <c r="B185" s="467" t="s">
        <v>116</v>
      </c>
      <c r="C185" s="509">
        <v>0</v>
      </c>
      <c r="D185" s="509">
        <v>0</v>
      </c>
      <c r="E185" s="524">
        <v>0</v>
      </c>
      <c r="F185" s="524">
        <v>0</v>
      </c>
      <c r="G185" s="473"/>
      <c r="H185" s="523">
        <v>0</v>
      </c>
      <c r="I185" s="473"/>
      <c r="J185" s="523">
        <v>0</v>
      </c>
      <c r="K185" s="473">
        <v>31.87</v>
      </c>
      <c r="L185" s="523">
        <v>31.87</v>
      </c>
      <c r="M185" s="525">
        <v>0</v>
      </c>
      <c r="N185" s="526">
        <v>31.87</v>
      </c>
      <c r="O185" s="527">
        <v>0</v>
      </c>
      <c r="P185" s="527">
        <v>0</v>
      </c>
      <c r="Q185" s="527">
        <v>0</v>
      </c>
      <c r="R185" s="527">
        <v>31.87</v>
      </c>
      <c r="S185" s="527">
        <v>0</v>
      </c>
      <c r="T185" s="527">
        <v>0</v>
      </c>
      <c r="U185" s="527">
        <v>0</v>
      </c>
      <c r="V185" s="528">
        <v>31.87</v>
      </c>
      <c r="W185" s="529">
        <v>0.26661129568106312</v>
      </c>
      <c r="Y185" s="529"/>
      <c r="Z185" s="466">
        <v>3</v>
      </c>
    </row>
    <row r="186" spans="1:26" x14ac:dyDescent="0.3">
      <c r="A186" s="489">
        <v>150000770</v>
      </c>
      <c r="B186" s="467" t="s">
        <v>119</v>
      </c>
      <c r="C186" s="509">
        <v>0</v>
      </c>
      <c r="D186" s="509">
        <v>0</v>
      </c>
      <c r="E186" s="524">
        <v>0</v>
      </c>
      <c r="F186" s="524">
        <v>0</v>
      </c>
      <c r="G186" s="473"/>
      <c r="H186" s="523">
        <v>0</v>
      </c>
      <c r="I186" s="473"/>
      <c r="J186" s="523">
        <v>0</v>
      </c>
      <c r="K186" s="473">
        <v>29.36</v>
      </c>
      <c r="L186" s="523">
        <v>29.36</v>
      </c>
      <c r="M186" s="525">
        <v>0</v>
      </c>
      <c r="N186" s="526">
        <v>29.36</v>
      </c>
      <c r="O186" s="527">
        <v>0</v>
      </c>
      <c r="P186" s="527">
        <v>0</v>
      </c>
      <c r="Q186" s="527">
        <v>0</v>
      </c>
      <c r="R186" s="527">
        <v>29.36</v>
      </c>
      <c r="S186" s="527">
        <v>0</v>
      </c>
      <c r="T186" s="527">
        <v>0</v>
      </c>
      <c r="U186" s="527">
        <v>0</v>
      </c>
      <c r="V186" s="528">
        <v>29.36</v>
      </c>
      <c r="W186" s="529">
        <v>0.31123046874999999</v>
      </c>
      <c r="Y186" s="529"/>
      <c r="Z186" s="466">
        <v>3</v>
      </c>
    </row>
    <row r="187" spans="1:26" x14ac:dyDescent="0.3">
      <c r="A187" s="489">
        <v>150000777</v>
      </c>
      <c r="B187" s="467" t="s">
        <v>168</v>
      </c>
      <c r="C187" s="509">
        <v>49.68</v>
      </c>
      <c r="D187" s="509">
        <v>7.69</v>
      </c>
      <c r="E187" s="524">
        <v>0</v>
      </c>
      <c r="F187" s="524">
        <v>16.350000000000001</v>
      </c>
      <c r="G187" s="473">
        <v>48.04</v>
      </c>
      <c r="H187" s="523">
        <v>48.04</v>
      </c>
      <c r="I187" s="473">
        <v>9.81</v>
      </c>
      <c r="J187" s="523">
        <v>9.81</v>
      </c>
      <c r="K187" s="473">
        <v>10.61</v>
      </c>
      <c r="L187" s="523">
        <v>10.61</v>
      </c>
      <c r="M187" s="525">
        <v>140.03348271243181</v>
      </c>
      <c r="N187" s="526">
        <v>400.27628852276615</v>
      </c>
      <c r="O187" s="527">
        <v>73.72</v>
      </c>
      <c r="P187" s="527">
        <v>16.218400000000003</v>
      </c>
      <c r="Q187" s="527">
        <v>11.81418594952728</v>
      </c>
      <c r="R187" s="527">
        <v>68.460000000000008</v>
      </c>
      <c r="S187" s="527">
        <v>140.03348271243181</v>
      </c>
      <c r="T187" s="527">
        <v>70.382945169707497</v>
      </c>
      <c r="U187" s="527">
        <v>19.647274691099597</v>
      </c>
      <c r="V187" s="528">
        <v>400.27628852276621</v>
      </c>
      <c r="W187" s="529">
        <v>0.18244367994673177</v>
      </c>
      <c r="Y187" s="529"/>
      <c r="Z187" s="466">
        <v>3</v>
      </c>
    </row>
    <row r="188" spans="1:26" x14ac:dyDescent="0.3">
      <c r="A188" s="489">
        <v>150000778</v>
      </c>
      <c r="B188" s="467" t="s">
        <v>214</v>
      </c>
      <c r="C188" s="509">
        <v>241.98</v>
      </c>
      <c r="D188" s="509">
        <v>45.74</v>
      </c>
      <c r="E188" s="524">
        <v>0</v>
      </c>
      <c r="F188" s="524">
        <v>156</v>
      </c>
      <c r="G188" s="473">
        <v>248.77</v>
      </c>
      <c r="H188" s="523">
        <v>248.77</v>
      </c>
      <c r="I188" s="473">
        <v>55.63</v>
      </c>
      <c r="J188" s="523">
        <v>55.63</v>
      </c>
      <c r="K188" s="473">
        <v>10.61</v>
      </c>
      <c r="L188" s="523">
        <v>10.61</v>
      </c>
      <c r="M188" s="525">
        <v>732.44994163784941</v>
      </c>
      <c r="N188" s="526">
        <v>2183.4606019703715</v>
      </c>
      <c r="O188" s="527">
        <v>443.71999999999997</v>
      </c>
      <c r="P188" s="527">
        <v>97.618400000000008</v>
      </c>
      <c r="Q188" s="527">
        <v>54.649870552800806</v>
      </c>
      <c r="R188" s="527">
        <v>315.01000000000005</v>
      </c>
      <c r="S188" s="527">
        <v>732.44994163784941</v>
      </c>
      <c r="T188" s="527">
        <v>423.6342977577674</v>
      </c>
      <c r="U188" s="527">
        <v>116.37809202195379</v>
      </c>
      <c r="V188" s="528">
        <v>2183.4606019703715</v>
      </c>
      <c r="W188" s="529">
        <v>0.19165908401577192</v>
      </c>
      <c r="Y188" s="529"/>
      <c r="Z188" s="466">
        <v>3</v>
      </c>
    </row>
    <row r="189" spans="1:26" x14ac:dyDescent="0.3">
      <c r="A189" s="489">
        <v>150000781</v>
      </c>
      <c r="B189" s="467" t="s">
        <v>33</v>
      </c>
      <c r="C189" s="509">
        <v>0</v>
      </c>
      <c r="D189" s="509">
        <v>0</v>
      </c>
      <c r="E189" s="524">
        <v>0</v>
      </c>
      <c r="F189" s="524">
        <v>0</v>
      </c>
      <c r="G189" s="473"/>
      <c r="H189" s="523">
        <v>0</v>
      </c>
      <c r="I189" s="473"/>
      <c r="J189" s="523">
        <v>0</v>
      </c>
      <c r="K189" s="473">
        <v>42.45</v>
      </c>
      <c r="L189" s="523">
        <v>42.45</v>
      </c>
      <c r="M189" s="525">
        <v>0</v>
      </c>
      <c r="N189" s="526">
        <v>42.45</v>
      </c>
      <c r="O189" s="527">
        <v>0</v>
      </c>
      <c r="P189" s="527">
        <v>0</v>
      </c>
      <c r="Q189" s="527">
        <v>0</v>
      </c>
      <c r="R189" s="527">
        <v>42.45</v>
      </c>
      <c r="S189" s="527">
        <v>0</v>
      </c>
      <c r="T189" s="527">
        <v>0</v>
      </c>
      <c r="U189" s="527">
        <v>0</v>
      </c>
      <c r="V189" s="528">
        <v>42.45</v>
      </c>
      <c r="W189" s="529">
        <v>0.1274044795783926</v>
      </c>
      <c r="Y189" s="529"/>
      <c r="Z189" s="466">
        <v>3</v>
      </c>
    </row>
    <row r="190" spans="1:26" x14ac:dyDescent="0.3">
      <c r="A190" s="489">
        <v>150000795</v>
      </c>
      <c r="B190" s="467" t="s">
        <v>291</v>
      </c>
      <c r="C190" s="509">
        <v>352.33</v>
      </c>
      <c r="D190" s="509">
        <v>67.41</v>
      </c>
      <c r="E190" s="524">
        <v>0</v>
      </c>
      <c r="F190" s="524">
        <v>220.17</v>
      </c>
      <c r="G190" s="473"/>
      <c r="H190" s="523">
        <v>0</v>
      </c>
      <c r="I190" s="473"/>
      <c r="J190" s="523">
        <v>0</v>
      </c>
      <c r="K190" s="473">
        <v>103.09</v>
      </c>
      <c r="L190" s="523">
        <v>103.09</v>
      </c>
      <c r="M190" s="525">
        <v>984.23940785645698</v>
      </c>
      <c r="N190" s="526">
        <v>2724.3656584580945</v>
      </c>
      <c r="O190" s="527">
        <v>639.91</v>
      </c>
      <c r="P190" s="527">
        <v>140.78020000000001</v>
      </c>
      <c r="Q190" s="527">
        <v>77.695704445096197</v>
      </c>
      <c r="R190" s="527">
        <v>103.09</v>
      </c>
      <c r="S190" s="527">
        <v>984.23940785645698</v>
      </c>
      <c r="T190" s="527">
        <v>610.94344063412268</v>
      </c>
      <c r="U190" s="527">
        <v>167.70690552241877</v>
      </c>
      <c r="V190" s="528">
        <v>2724.3656584580945</v>
      </c>
      <c r="W190" s="529">
        <v>1.1009787183344593</v>
      </c>
      <c r="Y190" s="529">
        <v>0</v>
      </c>
      <c r="Z190" s="466">
        <v>2</v>
      </c>
    </row>
    <row r="191" spans="1:26" x14ac:dyDescent="0.3">
      <c r="A191" s="489">
        <v>150000796</v>
      </c>
      <c r="B191" s="467" t="s">
        <v>98</v>
      </c>
      <c r="C191" s="509">
        <v>0</v>
      </c>
      <c r="D191" s="509">
        <v>0</v>
      </c>
      <c r="E191" s="524">
        <v>0</v>
      </c>
      <c r="F191" s="524">
        <v>0</v>
      </c>
      <c r="G191" s="473">
        <v>14.05</v>
      </c>
      <c r="H191" s="523">
        <v>14.05</v>
      </c>
      <c r="I191" s="473"/>
      <c r="J191" s="523">
        <v>0</v>
      </c>
      <c r="K191" s="473">
        <v>19.329999999999998</v>
      </c>
      <c r="L191" s="523">
        <v>19.329999999999998</v>
      </c>
      <c r="M191" s="525">
        <v>0</v>
      </c>
      <c r="N191" s="526">
        <v>33.379999999999995</v>
      </c>
      <c r="O191" s="527">
        <v>0</v>
      </c>
      <c r="P191" s="527">
        <v>0</v>
      </c>
      <c r="Q191" s="527">
        <v>0</v>
      </c>
      <c r="R191" s="527">
        <v>33.379999999999995</v>
      </c>
      <c r="S191" s="527">
        <v>0</v>
      </c>
      <c r="T191" s="527">
        <v>0</v>
      </c>
      <c r="U191" s="527">
        <v>0</v>
      </c>
      <c r="V191" s="528">
        <v>33.379999999999995</v>
      </c>
      <c r="W191" s="529">
        <v>1.0622011101237456</v>
      </c>
      <c r="Y191" s="529">
        <v>0</v>
      </c>
      <c r="Z191" s="466">
        <v>3</v>
      </c>
    </row>
    <row r="192" spans="1:26" x14ac:dyDescent="0.3">
      <c r="A192" s="489">
        <v>150000797</v>
      </c>
      <c r="B192" s="467" t="s">
        <v>231</v>
      </c>
      <c r="C192" s="509">
        <v>579.07000000000005</v>
      </c>
      <c r="D192" s="509">
        <v>125.02</v>
      </c>
      <c r="E192" s="524">
        <v>0</v>
      </c>
      <c r="F192" s="524">
        <v>665.58</v>
      </c>
      <c r="G192" s="473">
        <v>493.65</v>
      </c>
      <c r="H192" s="523">
        <v>493.65</v>
      </c>
      <c r="I192" s="473"/>
      <c r="J192" s="523">
        <v>0</v>
      </c>
      <c r="K192" s="473">
        <v>183.56</v>
      </c>
      <c r="L192" s="523">
        <v>183.56</v>
      </c>
      <c r="M192" s="525">
        <v>1767.3793323204404</v>
      </c>
      <c r="N192" s="526">
        <v>5899.8701229798608</v>
      </c>
      <c r="O192" s="527">
        <v>1369.67</v>
      </c>
      <c r="P192" s="527">
        <v>301.32740000000001</v>
      </c>
      <c r="Q192" s="527">
        <v>122.6359400023577</v>
      </c>
      <c r="R192" s="527">
        <v>677.21</v>
      </c>
      <c r="S192" s="527">
        <v>1767.3793323204404</v>
      </c>
      <c r="T192" s="527">
        <v>1307.6696759440217</v>
      </c>
      <c r="U192" s="527">
        <v>353.97777471304101</v>
      </c>
      <c r="V192" s="528">
        <v>5899.8701229798608</v>
      </c>
      <c r="W192" s="529">
        <v>1.4199097537954211</v>
      </c>
      <c r="Y192" s="529">
        <v>0</v>
      </c>
      <c r="Z192" s="466">
        <v>3</v>
      </c>
    </row>
    <row r="193" spans="1:26" x14ac:dyDescent="0.3">
      <c r="A193" s="489">
        <v>150000798</v>
      </c>
      <c r="B193" s="467" t="s">
        <v>225</v>
      </c>
      <c r="C193" s="509">
        <v>131.13999999999999</v>
      </c>
      <c r="D193" s="509">
        <v>23.83</v>
      </c>
      <c r="E193" s="524">
        <v>0</v>
      </c>
      <c r="F193" s="524">
        <v>87.42</v>
      </c>
      <c r="G193" s="473">
        <v>157.44</v>
      </c>
      <c r="H193" s="523">
        <v>157.44</v>
      </c>
      <c r="I193" s="473"/>
      <c r="J193" s="523">
        <v>0</v>
      </c>
      <c r="K193" s="473">
        <v>30.72</v>
      </c>
      <c r="L193" s="523">
        <v>30.72</v>
      </c>
      <c r="M193" s="525">
        <v>469.59319813413202</v>
      </c>
      <c r="N193" s="526">
        <v>1290.1368196390579</v>
      </c>
      <c r="O193" s="527">
        <v>242.39</v>
      </c>
      <c r="P193" s="527">
        <v>53.325800000000001</v>
      </c>
      <c r="Q193" s="527">
        <v>40.465175346556606</v>
      </c>
      <c r="R193" s="527">
        <v>188.16</v>
      </c>
      <c r="S193" s="527">
        <v>469.59319813413202</v>
      </c>
      <c r="T193" s="527">
        <v>231.41782528059412</v>
      </c>
      <c r="U193" s="527">
        <v>64.78482087777509</v>
      </c>
      <c r="V193" s="528">
        <v>1290.1368196390576</v>
      </c>
      <c r="W193" s="529">
        <v>0.2671416596814753</v>
      </c>
      <c r="Y193" s="529"/>
      <c r="Z193" s="466">
        <v>3</v>
      </c>
    </row>
    <row r="194" spans="1:26" x14ac:dyDescent="0.3">
      <c r="A194" s="489">
        <v>150000799</v>
      </c>
      <c r="B194" s="467" t="s">
        <v>292</v>
      </c>
      <c r="C194" s="509">
        <v>222.22</v>
      </c>
      <c r="D194" s="509">
        <v>42.74</v>
      </c>
      <c r="E194" s="524">
        <v>0</v>
      </c>
      <c r="F194" s="524">
        <v>111.9</v>
      </c>
      <c r="G194" s="473">
        <v>230.29</v>
      </c>
      <c r="H194" s="523">
        <v>230.29</v>
      </c>
      <c r="I194" s="473"/>
      <c r="J194" s="523">
        <v>0</v>
      </c>
      <c r="K194" s="473">
        <v>82</v>
      </c>
      <c r="L194" s="523">
        <v>82</v>
      </c>
      <c r="M194" s="525">
        <v>736.33382194717638</v>
      </c>
      <c r="N194" s="526">
        <v>2015.4443883269525</v>
      </c>
      <c r="O194" s="527">
        <v>376.86</v>
      </c>
      <c r="P194" s="527">
        <v>82.909199999999998</v>
      </c>
      <c r="Q194" s="527">
        <v>48.204180585548798</v>
      </c>
      <c r="R194" s="527">
        <v>312.28999999999996</v>
      </c>
      <c r="S194" s="527">
        <v>736.33382194717638</v>
      </c>
      <c r="T194" s="527">
        <v>359.80082361171958</v>
      </c>
      <c r="U194" s="527">
        <v>99.046362182507877</v>
      </c>
      <c r="V194" s="528">
        <v>2015.4443883269525</v>
      </c>
      <c r="W194" s="529">
        <v>0.10579868708971553</v>
      </c>
      <c r="Y194" s="529"/>
      <c r="Z194" s="466">
        <v>3</v>
      </c>
    </row>
    <row r="195" spans="1:26" x14ac:dyDescent="0.3">
      <c r="A195" s="489">
        <v>150000800</v>
      </c>
      <c r="B195" s="467" t="s">
        <v>226</v>
      </c>
      <c r="C195" s="509">
        <v>155.51</v>
      </c>
      <c r="D195" s="509">
        <v>24.16</v>
      </c>
      <c r="E195" s="524">
        <v>0</v>
      </c>
      <c r="F195" s="524">
        <v>88.65</v>
      </c>
      <c r="G195" s="473">
        <v>172.77</v>
      </c>
      <c r="H195" s="523">
        <v>172.77</v>
      </c>
      <c r="I195" s="473"/>
      <c r="J195" s="523">
        <v>0</v>
      </c>
      <c r="K195" s="473">
        <v>38.46</v>
      </c>
      <c r="L195" s="523">
        <v>38.46</v>
      </c>
      <c r="M195" s="525">
        <v>517.66067095323388</v>
      </c>
      <c r="N195" s="526">
        <v>1425.4002061559158</v>
      </c>
      <c r="O195" s="527">
        <v>268.32</v>
      </c>
      <c r="P195" s="527">
        <v>59.0304</v>
      </c>
      <c r="Q195" s="527">
        <v>41.630844661485497</v>
      </c>
      <c r="R195" s="527">
        <v>211.23000000000002</v>
      </c>
      <c r="S195" s="527">
        <v>517.66067095323388</v>
      </c>
      <c r="T195" s="527">
        <v>256.1740619633195</v>
      </c>
      <c r="U195" s="527">
        <v>71.354228577877009</v>
      </c>
      <c r="V195" s="528">
        <v>1425.4002061559158</v>
      </c>
      <c r="W195" s="529">
        <v>0.12694323144104805</v>
      </c>
      <c r="Y195" s="529"/>
      <c r="Z195" s="466">
        <v>3</v>
      </c>
    </row>
    <row r="196" spans="1:26" x14ac:dyDescent="0.3">
      <c r="A196" s="489">
        <v>150000801</v>
      </c>
      <c r="B196" s="467" t="s">
        <v>294</v>
      </c>
      <c r="C196" s="509">
        <v>487.64</v>
      </c>
      <c r="D196" s="509">
        <v>96.35</v>
      </c>
      <c r="E196" s="524">
        <v>0</v>
      </c>
      <c r="F196" s="524">
        <v>329.75</v>
      </c>
      <c r="G196" s="473">
        <v>460.8</v>
      </c>
      <c r="H196" s="523">
        <v>460.8</v>
      </c>
      <c r="I196" s="473"/>
      <c r="J196" s="523">
        <v>0</v>
      </c>
      <c r="K196" s="473">
        <v>163.35</v>
      </c>
      <c r="L196" s="523">
        <v>163.35</v>
      </c>
      <c r="M196" s="525">
        <v>1500.8560632770002</v>
      </c>
      <c r="N196" s="526">
        <v>4446.6750003000852</v>
      </c>
      <c r="O196" s="527">
        <v>913.74</v>
      </c>
      <c r="P196" s="527">
        <v>201.02280000000002</v>
      </c>
      <c r="Q196" s="527">
        <v>96.683648418550007</v>
      </c>
      <c r="R196" s="527">
        <v>624.15</v>
      </c>
      <c r="S196" s="527">
        <v>1500.8560632770002</v>
      </c>
      <c r="T196" s="527">
        <v>872.37808355084826</v>
      </c>
      <c r="U196" s="527">
        <v>237.84440505368701</v>
      </c>
      <c r="V196" s="528">
        <v>4446.6750003000852</v>
      </c>
      <c r="W196" s="529">
        <v>0.2031833910034602</v>
      </c>
      <c r="Y196" s="529"/>
      <c r="Z196" s="466">
        <v>3</v>
      </c>
    </row>
    <row r="197" spans="1:26" x14ac:dyDescent="0.3">
      <c r="A197" s="489">
        <v>150000802</v>
      </c>
      <c r="B197" s="467" t="s">
        <v>295</v>
      </c>
      <c r="C197" s="509">
        <v>402.42</v>
      </c>
      <c r="D197" s="509">
        <v>77.16</v>
      </c>
      <c r="E197" s="524">
        <v>0</v>
      </c>
      <c r="F197" s="524">
        <v>232.82</v>
      </c>
      <c r="G197" s="473">
        <v>346.51</v>
      </c>
      <c r="H197" s="523">
        <v>346.51</v>
      </c>
      <c r="I197" s="473"/>
      <c r="J197" s="523">
        <v>0</v>
      </c>
      <c r="K197" s="473">
        <v>70.819999999999993</v>
      </c>
      <c r="L197" s="523">
        <v>70.819999999999993</v>
      </c>
      <c r="M197" s="525">
        <v>1141.5044916477011</v>
      </c>
      <c r="N197" s="526">
        <v>3374.80610835274</v>
      </c>
      <c r="O197" s="527">
        <v>712.40000000000009</v>
      </c>
      <c r="P197" s="527">
        <v>156.72800000000001</v>
      </c>
      <c r="Q197" s="527">
        <v>80.653534416624595</v>
      </c>
      <c r="R197" s="527">
        <v>417.33</v>
      </c>
      <c r="S197" s="527">
        <v>1141.5044916477011</v>
      </c>
      <c r="T197" s="527">
        <v>680.15206373982119</v>
      </c>
      <c r="U197" s="527">
        <v>186.03801854859259</v>
      </c>
      <c r="V197" s="528">
        <v>3374.8061083527391</v>
      </c>
      <c r="W197" s="529">
        <v>1.018514729065563</v>
      </c>
      <c r="Y197" s="529">
        <v>0</v>
      </c>
      <c r="Z197" s="466">
        <v>3</v>
      </c>
    </row>
    <row r="198" spans="1:26" x14ac:dyDescent="0.3">
      <c r="A198" s="489">
        <v>150000803</v>
      </c>
      <c r="B198" s="467" t="s">
        <v>227</v>
      </c>
      <c r="C198" s="509">
        <v>166.56</v>
      </c>
      <c r="D198" s="509">
        <v>30.07</v>
      </c>
      <c r="E198" s="524">
        <v>0</v>
      </c>
      <c r="F198" s="524">
        <v>83.55</v>
      </c>
      <c r="G198" s="473">
        <v>192.81</v>
      </c>
      <c r="H198" s="523">
        <v>192.81</v>
      </c>
      <c r="I198" s="473"/>
      <c r="J198" s="523">
        <v>0</v>
      </c>
      <c r="K198" s="473">
        <v>38.46</v>
      </c>
      <c r="L198" s="523">
        <v>38.46</v>
      </c>
      <c r="M198" s="525">
        <v>572.67637001379239</v>
      </c>
      <c r="N198" s="526">
        <v>1529.4974729180008</v>
      </c>
      <c r="O198" s="527">
        <v>280.18</v>
      </c>
      <c r="P198" s="527">
        <v>61.639600000000002</v>
      </c>
      <c r="Q198" s="527">
        <v>41.904898115105901</v>
      </c>
      <c r="R198" s="527">
        <v>231.27</v>
      </c>
      <c r="S198" s="527">
        <v>572.67637001379239</v>
      </c>
      <c r="T198" s="527">
        <v>267.4971999138449</v>
      </c>
      <c r="U198" s="527">
        <v>74.329404875257623</v>
      </c>
      <c r="V198" s="528">
        <v>1529.4974729180008</v>
      </c>
      <c r="W198" s="529">
        <v>1.0954411634670256</v>
      </c>
      <c r="Y198" s="529">
        <v>0</v>
      </c>
      <c r="Z198" s="466">
        <v>2</v>
      </c>
    </row>
    <row r="199" spans="1:26" x14ac:dyDescent="0.3">
      <c r="A199" s="489">
        <v>150000805</v>
      </c>
      <c r="B199" s="467" t="s">
        <v>296</v>
      </c>
      <c r="C199" s="509">
        <v>385.93</v>
      </c>
      <c r="D199" s="509">
        <v>77.650000000000006</v>
      </c>
      <c r="E199" s="524">
        <v>0</v>
      </c>
      <c r="F199" s="524">
        <v>240.99</v>
      </c>
      <c r="G199" s="473">
        <v>431.89</v>
      </c>
      <c r="H199" s="523">
        <v>431.89</v>
      </c>
      <c r="I199" s="473"/>
      <c r="J199" s="523">
        <v>0</v>
      </c>
      <c r="K199" s="473">
        <v>107.42</v>
      </c>
      <c r="L199" s="523">
        <v>107.42</v>
      </c>
      <c r="M199" s="525">
        <v>1321.9232031912447</v>
      </c>
      <c r="N199" s="526">
        <v>3682.3241384157518</v>
      </c>
      <c r="O199" s="527">
        <v>704.57</v>
      </c>
      <c r="P199" s="527">
        <v>155.00540000000001</v>
      </c>
      <c r="Q199" s="527">
        <v>102.27656448490579</v>
      </c>
      <c r="R199" s="527">
        <v>539.30999999999995</v>
      </c>
      <c r="S199" s="527">
        <v>1321.9232031912447</v>
      </c>
      <c r="T199" s="527">
        <v>672.67650133234963</v>
      </c>
      <c r="U199" s="527">
        <v>186.5624694072514</v>
      </c>
      <c r="V199" s="528">
        <v>3682.3241384157513</v>
      </c>
      <c r="W199" s="529">
        <v>0.27548713951675757</v>
      </c>
      <c r="Y199" s="529"/>
      <c r="Z199" s="466">
        <v>3</v>
      </c>
    </row>
    <row r="200" spans="1:26" x14ac:dyDescent="0.3">
      <c r="A200" s="489">
        <v>150000806</v>
      </c>
      <c r="B200" s="467" t="s">
        <v>228</v>
      </c>
      <c r="C200" s="509">
        <v>275.83999999999997</v>
      </c>
      <c r="D200" s="509">
        <v>57.81</v>
      </c>
      <c r="E200" s="524">
        <v>0</v>
      </c>
      <c r="F200" s="524">
        <v>232.58</v>
      </c>
      <c r="G200" s="473">
        <v>271.64999999999998</v>
      </c>
      <c r="H200" s="523">
        <v>271.64999999999998</v>
      </c>
      <c r="I200" s="473"/>
      <c r="J200" s="523">
        <v>0</v>
      </c>
      <c r="K200" s="473">
        <v>38.479999999999997</v>
      </c>
      <c r="L200" s="523">
        <v>38.479999999999997</v>
      </c>
      <c r="M200" s="525">
        <v>967.76320368184429</v>
      </c>
      <c r="N200" s="526">
        <v>2732.0853713572542</v>
      </c>
      <c r="O200" s="527">
        <v>566.23</v>
      </c>
      <c r="P200" s="527">
        <v>124.57060000000001</v>
      </c>
      <c r="Q200" s="527">
        <v>73.817520609684607</v>
      </c>
      <c r="R200" s="527">
        <v>310.13</v>
      </c>
      <c r="S200" s="527">
        <v>967.76320368184429</v>
      </c>
      <c r="T200" s="527">
        <v>540.59868479983015</v>
      </c>
      <c r="U200" s="527">
        <v>148.97536226589489</v>
      </c>
      <c r="V200" s="528">
        <v>2732.0853713572537</v>
      </c>
      <c r="W200" s="529">
        <v>1.0298208884589874</v>
      </c>
      <c r="Y200" s="529">
        <v>0</v>
      </c>
      <c r="Z200" s="466">
        <v>3</v>
      </c>
    </row>
    <row r="201" spans="1:26" x14ac:dyDescent="0.3">
      <c r="A201" s="489">
        <v>150000807</v>
      </c>
      <c r="B201" s="467" t="s">
        <v>187</v>
      </c>
      <c r="C201" s="509">
        <v>64.209999999999994</v>
      </c>
      <c r="D201" s="509">
        <v>11.3</v>
      </c>
      <c r="E201" s="524">
        <v>0</v>
      </c>
      <c r="F201" s="524">
        <v>11.36</v>
      </c>
      <c r="G201" s="473"/>
      <c r="H201" s="523">
        <v>0</v>
      </c>
      <c r="I201" s="473"/>
      <c r="J201" s="523">
        <v>0</v>
      </c>
      <c r="K201" s="473">
        <v>34.69</v>
      </c>
      <c r="L201" s="523">
        <v>34.69</v>
      </c>
      <c r="M201" s="525">
        <v>107.14521183620418</v>
      </c>
      <c r="N201" s="526">
        <v>362.65725917395332</v>
      </c>
      <c r="O201" s="527">
        <v>86.86999999999999</v>
      </c>
      <c r="P201" s="527">
        <v>19.111400000000003</v>
      </c>
      <c r="Q201" s="527">
        <v>9.2807454678443797</v>
      </c>
      <c r="R201" s="527">
        <v>34.69</v>
      </c>
      <c r="S201" s="527">
        <v>107.14521183620418</v>
      </c>
      <c r="T201" s="527">
        <v>82.937689187364214</v>
      </c>
      <c r="U201" s="527">
        <v>22.622212682540539</v>
      </c>
      <c r="V201" s="528">
        <v>362.65725917395332</v>
      </c>
      <c r="W201" s="529">
        <v>1.2049812609579462</v>
      </c>
      <c r="Y201" s="529">
        <v>0</v>
      </c>
      <c r="Z201" s="466">
        <v>3</v>
      </c>
    </row>
    <row r="202" spans="1:26" x14ac:dyDescent="0.3">
      <c r="A202" s="489">
        <v>150000808</v>
      </c>
      <c r="B202" s="467" t="s">
        <v>297</v>
      </c>
      <c r="C202" s="509">
        <v>205.6</v>
      </c>
      <c r="D202" s="509">
        <v>39.42</v>
      </c>
      <c r="E202" s="524">
        <v>0</v>
      </c>
      <c r="F202" s="524">
        <v>99.01</v>
      </c>
      <c r="G202" s="473">
        <v>228.23</v>
      </c>
      <c r="H202" s="523">
        <v>228.23</v>
      </c>
      <c r="I202" s="473"/>
      <c r="J202" s="523">
        <v>0</v>
      </c>
      <c r="K202" s="473">
        <v>34.409999999999997</v>
      </c>
      <c r="L202" s="523">
        <v>34.409999999999997</v>
      </c>
      <c r="M202" s="525">
        <v>695.10767958120095</v>
      </c>
      <c r="N202" s="526">
        <v>1842.022706007652</v>
      </c>
      <c r="O202" s="527">
        <v>344.03</v>
      </c>
      <c r="P202" s="527">
        <v>75.686599999999999</v>
      </c>
      <c r="Q202" s="527">
        <v>45.511552164027599</v>
      </c>
      <c r="R202" s="527">
        <v>262.64</v>
      </c>
      <c r="S202" s="527">
        <v>695.10767958120095</v>
      </c>
      <c r="T202" s="527">
        <v>328.45692656991957</v>
      </c>
      <c r="U202" s="527">
        <v>90.589947692503983</v>
      </c>
      <c r="V202" s="528">
        <v>1842.022706007652</v>
      </c>
      <c r="W202" s="529">
        <v>1.0438600176246815</v>
      </c>
      <c r="Y202" s="529">
        <v>0</v>
      </c>
      <c r="Z202" s="466">
        <v>3</v>
      </c>
    </row>
    <row r="203" spans="1:26" x14ac:dyDescent="0.3">
      <c r="A203" s="489">
        <v>150000809</v>
      </c>
      <c r="B203" s="467" t="s">
        <v>299</v>
      </c>
      <c r="C203" s="509">
        <v>278.37</v>
      </c>
      <c r="D203" s="509">
        <v>51.96</v>
      </c>
      <c r="E203" s="524">
        <v>0</v>
      </c>
      <c r="F203" s="524">
        <v>148.44999999999999</v>
      </c>
      <c r="G203" s="473">
        <v>290.79000000000002</v>
      </c>
      <c r="H203" s="523">
        <v>290.79000000000002</v>
      </c>
      <c r="I203" s="473"/>
      <c r="J203" s="523">
        <v>0</v>
      </c>
      <c r="K203" s="473">
        <v>68.180000000000007</v>
      </c>
      <c r="L203" s="523">
        <v>68.180000000000007</v>
      </c>
      <c r="M203" s="525">
        <v>906.16985044604019</v>
      </c>
      <c r="N203" s="526">
        <v>2489.5285372002613</v>
      </c>
      <c r="O203" s="527">
        <v>478.78</v>
      </c>
      <c r="P203" s="527">
        <v>105.33160000000001</v>
      </c>
      <c r="Q203" s="527">
        <v>57.7367938730494</v>
      </c>
      <c r="R203" s="527">
        <v>358.97</v>
      </c>
      <c r="S203" s="527">
        <v>906.16985044604019</v>
      </c>
      <c r="T203" s="527">
        <v>457.10725024894953</v>
      </c>
      <c r="U203" s="527">
        <v>125.43304263222228</v>
      </c>
      <c r="V203" s="528">
        <v>2489.5285372002613</v>
      </c>
      <c r="W203" s="529">
        <v>1.0277076190127656</v>
      </c>
      <c r="Y203" s="529">
        <v>0</v>
      </c>
      <c r="Z203" s="466">
        <v>3</v>
      </c>
    </row>
    <row r="204" spans="1:26" x14ac:dyDescent="0.3">
      <c r="A204" s="489">
        <v>150000810</v>
      </c>
      <c r="B204" s="467" t="s">
        <v>300</v>
      </c>
      <c r="C204" s="509">
        <v>336.11</v>
      </c>
      <c r="D204" s="509">
        <v>66.790000000000006</v>
      </c>
      <c r="E204" s="524">
        <v>0</v>
      </c>
      <c r="F204" s="524">
        <v>200.83</v>
      </c>
      <c r="G204" s="473">
        <v>304.25</v>
      </c>
      <c r="H204" s="523">
        <v>304.25</v>
      </c>
      <c r="I204" s="473"/>
      <c r="J204" s="523">
        <v>0</v>
      </c>
      <c r="K204" s="473">
        <v>98.23</v>
      </c>
      <c r="L204" s="523">
        <v>98.23</v>
      </c>
      <c r="M204" s="525">
        <v>1068.5160473759086</v>
      </c>
      <c r="N204" s="526">
        <v>3011.2567706873574</v>
      </c>
      <c r="O204" s="527">
        <v>603.73</v>
      </c>
      <c r="P204" s="527">
        <v>132.82059999999998</v>
      </c>
      <c r="Q204" s="527">
        <v>69.516242898424096</v>
      </c>
      <c r="R204" s="527">
        <v>402.48</v>
      </c>
      <c r="S204" s="527">
        <v>1068.5160473759086</v>
      </c>
      <c r="T204" s="527">
        <v>576.40118675132271</v>
      </c>
      <c r="U204" s="527">
        <v>157.79269366170206</v>
      </c>
      <c r="V204" s="528">
        <v>3011.2567706873579</v>
      </c>
      <c r="W204" s="529">
        <v>0.1768888888888889</v>
      </c>
      <c r="Y204" s="529"/>
      <c r="Z204" s="466">
        <v>3</v>
      </c>
    </row>
    <row r="205" spans="1:26" x14ac:dyDescent="0.3">
      <c r="A205" s="489">
        <v>150000811</v>
      </c>
      <c r="B205" s="467" t="s">
        <v>301</v>
      </c>
      <c r="C205" s="509">
        <v>305.88</v>
      </c>
      <c r="D205" s="509">
        <v>52.31</v>
      </c>
      <c r="E205" s="524">
        <v>0</v>
      </c>
      <c r="F205" s="524">
        <v>160.07</v>
      </c>
      <c r="G205" s="473">
        <v>295.91000000000003</v>
      </c>
      <c r="H205" s="523">
        <v>295.91000000000003</v>
      </c>
      <c r="I205" s="473"/>
      <c r="J205" s="523">
        <v>0</v>
      </c>
      <c r="K205" s="473">
        <v>73.819999999999993</v>
      </c>
      <c r="L205" s="523">
        <v>73.819999999999993</v>
      </c>
      <c r="M205" s="525">
        <v>927.85544270527339</v>
      </c>
      <c r="N205" s="526">
        <v>2623.29955679562</v>
      </c>
      <c r="O205" s="527">
        <v>518.26</v>
      </c>
      <c r="P205" s="527">
        <v>114.0172</v>
      </c>
      <c r="Q205" s="527">
        <v>62.823418763605801</v>
      </c>
      <c r="R205" s="527">
        <v>369.73</v>
      </c>
      <c r="S205" s="527">
        <v>927.85544270527339</v>
      </c>
      <c r="T205" s="527">
        <v>494.80012430348086</v>
      </c>
      <c r="U205" s="527">
        <v>135.81337102326012</v>
      </c>
      <c r="V205" s="528">
        <v>2623.29955679562</v>
      </c>
      <c r="W205" s="529">
        <v>0.95146735397285287</v>
      </c>
      <c r="Y205" s="529">
        <v>0</v>
      </c>
      <c r="Z205" s="466">
        <v>3</v>
      </c>
    </row>
    <row r="206" spans="1:26" x14ac:dyDescent="0.3">
      <c r="A206" s="489">
        <v>150000812</v>
      </c>
      <c r="B206" s="467" t="s">
        <v>302</v>
      </c>
      <c r="C206" s="509">
        <v>198.78</v>
      </c>
      <c r="D206" s="509">
        <v>39.31</v>
      </c>
      <c r="E206" s="524">
        <v>0</v>
      </c>
      <c r="F206" s="524">
        <v>154.6</v>
      </c>
      <c r="G206" s="473">
        <v>347.67</v>
      </c>
      <c r="H206" s="523">
        <v>347.67</v>
      </c>
      <c r="I206" s="473"/>
      <c r="J206" s="523">
        <v>0</v>
      </c>
      <c r="K206" s="473">
        <v>38.450000000000003</v>
      </c>
      <c r="L206" s="523">
        <v>38.450000000000003</v>
      </c>
      <c r="M206" s="525">
        <v>990.88832589058939</v>
      </c>
      <c r="N206" s="526">
        <v>2387.8573159450461</v>
      </c>
      <c r="O206" s="527">
        <v>392.69</v>
      </c>
      <c r="P206" s="527">
        <v>86.391800000000003</v>
      </c>
      <c r="Q206" s="527">
        <v>53.296063358191603</v>
      </c>
      <c r="R206" s="527">
        <v>386.12</v>
      </c>
      <c r="S206" s="527">
        <v>990.88832589058939</v>
      </c>
      <c r="T206" s="527">
        <v>374.9142531021763</v>
      </c>
      <c r="U206" s="527">
        <v>103.55687359408904</v>
      </c>
      <c r="V206" s="528">
        <v>2387.8573159450466</v>
      </c>
      <c r="W206" s="529">
        <v>1.2929351554660167</v>
      </c>
      <c r="Y206" s="529">
        <v>0</v>
      </c>
      <c r="Z206" s="466">
        <v>2</v>
      </c>
    </row>
    <row r="207" spans="1:26" x14ac:dyDescent="0.3">
      <c r="A207" s="489">
        <v>150000813</v>
      </c>
      <c r="B207" s="467" t="s">
        <v>188</v>
      </c>
      <c r="C207" s="509">
        <v>32.86</v>
      </c>
      <c r="D207" s="509">
        <v>11.54</v>
      </c>
      <c r="E207" s="524">
        <v>0</v>
      </c>
      <c r="F207" s="524">
        <v>17.25</v>
      </c>
      <c r="G207" s="473"/>
      <c r="H207" s="523">
        <v>0</v>
      </c>
      <c r="I207" s="473"/>
      <c r="J207" s="523">
        <v>0</v>
      </c>
      <c r="K207" s="473">
        <v>34.409999999999997</v>
      </c>
      <c r="L207" s="523">
        <v>34.409999999999997</v>
      </c>
      <c r="M207" s="525">
        <v>133.01399261208854</v>
      </c>
      <c r="N207" s="526">
        <v>325.3038203027408</v>
      </c>
      <c r="O207" s="527">
        <v>61.65</v>
      </c>
      <c r="P207" s="527">
        <v>13.563000000000001</v>
      </c>
      <c r="Q207" s="527">
        <v>7.6334454373904652</v>
      </c>
      <c r="R207" s="527">
        <v>34.409999999999997</v>
      </c>
      <c r="S207" s="527">
        <v>133.01399261208854</v>
      </c>
      <c r="T207" s="527">
        <v>58.859313208253759</v>
      </c>
      <c r="U207" s="527">
        <v>16.174069045008043</v>
      </c>
      <c r="V207" s="528">
        <v>325.3038203027408</v>
      </c>
      <c r="W207" s="529">
        <v>0.65028792812994041</v>
      </c>
      <c r="Y207" s="529">
        <v>0</v>
      </c>
      <c r="Z207" s="466">
        <v>1</v>
      </c>
    </row>
    <row r="208" spans="1:26" x14ac:dyDescent="0.3">
      <c r="A208" s="489">
        <v>150000814</v>
      </c>
      <c r="B208" s="467" t="s">
        <v>304</v>
      </c>
      <c r="C208" s="509">
        <v>353.92</v>
      </c>
      <c r="D208" s="509">
        <v>74.349999999999994</v>
      </c>
      <c r="E208" s="524">
        <v>0</v>
      </c>
      <c r="F208" s="524">
        <v>206.54</v>
      </c>
      <c r="G208" s="473">
        <v>319.37</v>
      </c>
      <c r="H208" s="523">
        <v>319.37</v>
      </c>
      <c r="I208" s="473"/>
      <c r="J208" s="523">
        <v>0</v>
      </c>
      <c r="K208" s="473">
        <v>130.79</v>
      </c>
      <c r="L208" s="523">
        <v>130.79</v>
      </c>
      <c r="M208" s="525">
        <v>1152.6929174929182</v>
      </c>
      <c r="N208" s="526">
        <v>3221.6325111889382</v>
      </c>
      <c r="O208" s="527">
        <v>634.80999999999995</v>
      </c>
      <c r="P208" s="527">
        <v>139.65819999999999</v>
      </c>
      <c r="Q208" s="527">
        <v>72.400499127370907</v>
      </c>
      <c r="R208" s="527">
        <v>450.15999999999997</v>
      </c>
      <c r="S208" s="527">
        <v>1152.6929174929182</v>
      </c>
      <c r="T208" s="527">
        <v>606.07430036871972</v>
      </c>
      <c r="U208" s="527">
        <v>165.83659419992949</v>
      </c>
      <c r="V208" s="528">
        <v>3221.6325111889382</v>
      </c>
      <c r="W208" s="529">
        <v>1.0737485857891886</v>
      </c>
      <c r="Y208" s="529">
        <v>0</v>
      </c>
      <c r="Z208" s="466">
        <v>1</v>
      </c>
    </row>
    <row r="209" spans="1:26" x14ac:dyDescent="0.3">
      <c r="A209" s="489">
        <v>150000816</v>
      </c>
      <c r="B209" s="467" t="s">
        <v>229</v>
      </c>
      <c r="C209" s="509">
        <v>310.35000000000002</v>
      </c>
      <c r="D209" s="509">
        <v>50.81</v>
      </c>
      <c r="E209" s="524">
        <v>0</v>
      </c>
      <c r="F209" s="524">
        <v>181.7</v>
      </c>
      <c r="G209" s="473">
        <v>287.44</v>
      </c>
      <c r="H209" s="523">
        <v>287.44</v>
      </c>
      <c r="I209" s="473">
        <v>74.22</v>
      </c>
      <c r="J209" s="523">
        <v>74.22</v>
      </c>
      <c r="K209" s="473">
        <v>130.79</v>
      </c>
      <c r="L209" s="523">
        <v>130.79</v>
      </c>
      <c r="M209" s="525">
        <v>886.64355311107522</v>
      </c>
      <c r="N209" s="526">
        <v>2770.3474696348903</v>
      </c>
      <c r="O209" s="527">
        <v>542.86</v>
      </c>
      <c r="P209" s="527">
        <v>119.42920000000001</v>
      </c>
      <c r="Q209" s="527">
        <v>68.150525757509001</v>
      </c>
      <c r="R209" s="527">
        <v>492.44999999999993</v>
      </c>
      <c r="S209" s="527">
        <v>886.64355311107522</v>
      </c>
      <c r="T209" s="527">
        <v>518.28656558366004</v>
      </c>
      <c r="U209" s="527">
        <v>142.52762518264612</v>
      </c>
      <c r="V209" s="528">
        <v>2770.3474696348903</v>
      </c>
      <c r="W209" s="529">
        <v>1.1964134234549066</v>
      </c>
      <c r="Y209" s="529">
        <v>0</v>
      </c>
      <c r="Z209" s="466">
        <v>2</v>
      </c>
    </row>
    <row r="210" spans="1:26" x14ac:dyDescent="0.3">
      <c r="A210" s="489">
        <v>150000819</v>
      </c>
      <c r="B210" s="467" t="s">
        <v>423</v>
      </c>
      <c r="C210" s="509">
        <v>885.99</v>
      </c>
      <c r="D210" s="509">
        <v>151.75</v>
      </c>
      <c r="E210" s="524">
        <v>42.26</v>
      </c>
      <c r="F210" s="524">
        <v>312.16000000000003</v>
      </c>
      <c r="G210" s="473">
        <v>713.76</v>
      </c>
      <c r="H210" s="523">
        <v>713.76</v>
      </c>
      <c r="I210" s="473">
        <v>181.01</v>
      </c>
      <c r="J210" s="523">
        <v>181.01</v>
      </c>
      <c r="K210" s="473">
        <v>42.12</v>
      </c>
      <c r="L210" s="523">
        <v>42.12</v>
      </c>
      <c r="M210" s="525">
        <v>2412.4063350689889</v>
      </c>
      <c r="N210" s="526">
        <v>6872.8149514900997</v>
      </c>
      <c r="O210" s="527">
        <v>1392.16</v>
      </c>
      <c r="P210" s="527">
        <v>306.27519999999998</v>
      </c>
      <c r="Q210" s="527">
        <v>134.973357569862</v>
      </c>
      <c r="R210" s="527">
        <v>936.89</v>
      </c>
      <c r="S210" s="527">
        <v>2412.4063350689889</v>
      </c>
      <c r="T210" s="527">
        <v>1329.1416297810636</v>
      </c>
      <c r="U210" s="527">
        <v>360.96842907018498</v>
      </c>
      <c r="V210" s="528">
        <v>6872.8149514900997</v>
      </c>
      <c r="W210" s="529">
        <v>1.0006103386078711</v>
      </c>
      <c r="Y210" s="529">
        <v>0</v>
      </c>
      <c r="Z210" s="466">
        <v>2</v>
      </c>
    </row>
    <row r="211" spans="1:26" x14ac:dyDescent="0.3">
      <c r="A211" s="489">
        <v>150000820</v>
      </c>
      <c r="B211" s="467" t="s">
        <v>394</v>
      </c>
      <c r="C211" s="509">
        <v>483.26</v>
      </c>
      <c r="D211" s="509">
        <v>92.98</v>
      </c>
      <c r="E211" s="524">
        <v>26.37</v>
      </c>
      <c r="F211" s="524">
        <v>187.53</v>
      </c>
      <c r="G211" s="473">
        <v>458.42</v>
      </c>
      <c r="H211" s="523">
        <v>458.42</v>
      </c>
      <c r="I211" s="473">
        <v>124.64</v>
      </c>
      <c r="J211" s="523">
        <v>124.64</v>
      </c>
      <c r="K211" s="473">
        <v>42.12</v>
      </c>
      <c r="L211" s="523">
        <v>42.12</v>
      </c>
      <c r="M211" s="525">
        <v>1492.4896862436979</v>
      </c>
      <c r="N211" s="526">
        <v>4137.5489005410027</v>
      </c>
      <c r="O211" s="527">
        <v>790.14</v>
      </c>
      <c r="P211" s="527">
        <v>173.83079999999998</v>
      </c>
      <c r="Q211" s="527">
        <v>94.607954261484295</v>
      </c>
      <c r="R211" s="527">
        <v>625.18000000000006</v>
      </c>
      <c r="S211" s="527">
        <v>1492.4896862436979</v>
      </c>
      <c r="T211" s="527">
        <v>754.37303711872869</v>
      </c>
      <c r="U211" s="527">
        <v>206.92742291709192</v>
      </c>
      <c r="V211" s="528">
        <v>4137.5489005410018</v>
      </c>
      <c r="W211" s="529">
        <v>1.1037335653318932</v>
      </c>
      <c r="Y211" s="529">
        <v>0</v>
      </c>
      <c r="Z211" s="466">
        <v>2</v>
      </c>
    </row>
    <row r="212" spans="1:26" x14ac:dyDescent="0.3">
      <c r="A212" s="489">
        <v>150000827</v>
      </c>
      <c r="B212" s="467" t="s">
        <v>298</v>
      </c>
      <c r="C212" s="509">
        <v>487.64</v>
      </c>
      <c r="D212" s="509">
        <v>96.46</v>
      </c>
      <c r="E212" s="524">
        <v>0</v>
      </c>
      <c r="F212" s="524">
        <v>320.60000000000002</v>
      </c>
      <c r="G212" s="473">
        <v>480.42</v>
      </c>
      <c r="H212" s="523">
        <v>480.42</v>
      </c>
      <c r="I212" s="473"/>
      <c r="J212" s="523">
        <v>0</v>
      </c>
      <c r="K212" s="473">
        <v>163.35</v>
      </c>
      <c r="L212" s="523">
        <v>163.35</v>
      </c>
      <c r="M212" s="525">
        <v>1575.1807049029192</v>
      </c>
      <c r="N212" s="526">
        <v>4518.1328192764304</v>
      </c>
      <c r="O212" s="527">
        <v>904.7</v>
      </c>
      <c r="P212" s="527">
        <v>199.03399999999999</v>
      </c>
      <c r="Q212" s="527">
        <v>96.160088103034298</v>
      </c>
      <c r="R212" s="527">
        <v>643.77</v>
      </c>
      <c r="S212" s="527">
        <v>1575.1807049029192</v>
      </c>
      <c r="T212" s="527">
        <v>863.74729374707499</v>
      </c>
      <c r="U212" s="527">
        <v>235.54073252340217</v>
      </c>
      <c r="V212" s="528">
        <v>4518.1328192764304</v>
      </c>
      <c r="W212" s="529">
        <v>0.87439135848684713</v>
      </c>
      <c r="Y212" s="529">
        <v>0</v>
      </c>
      <c r="Z212" s="466">
        <v>2</v>
      </c>
    </row>
    <row r="213" spans="1:26" x14ac:dyDescent="0.3">
      <c r="A213" s="489">
        <v>150000828</v>
      </c>
      <c r="B213" s="467" t="s">
        <v>303</v>
      </c>
      <c r="C213" s="509">
        <v>305.88</v>
      </c>
      <c r="D213" s="509">
        <v>52.31</v>
      </c>
      <c r="E213" s="524">
        <v>0</v>
      </c>
      <c r="F213" s="524">
        <v>158.66999999999999</v>
      </c>
      <c r="G213" s="473">
        <v>295.55</v>
      </c>
      <c r="H213" s="523">
        <v>295.55</v>
      </c>
      <c r="I213" s="473"/>
      <c r="J213" s="523">
        <v>0</v>
      </c>
      <c r="K213" s="473">
        <v>100.13</v>
      </c>
      <c r="L213" s="523">
        <v>100.13</v>
      </c>
      <c r="M213" s="525">
        <v>924.83385508847584</v>
      </c>
      <c r="N213" s="526">
        <v>2639.419588007037</v>
      </c>
      <c r="O213" s="527">
        <v>516.86</v>
      </c>
      <c r="P213" s="527">
        <v>113.70920000000001</v>
      </c>
      <c r="Q213" s="527">
        <v>59.757151963346999</v>
      </c>
      <c r="R213" s="527">
        <v>395.68</v>
      </c>
      <c r="S213" s="527">
        <v>924.83385508847584</v>
      </c>
      <c r="T213" s="527">
        <v>493.46349756395841</v>
      </c>
      <c r="U213" s="527">
        <v>135.11588339125589</v>
      </c>
      <c r="V213" s="528">
        <v>2639.419588007037</v>
      </c>
      <c r="W213" s="529">
        <v>1.2940493485819906</v>
      </c>
      <c r="Y213" s="529">
        <v>0</v>
      </c>
      <c r="Z213" s="466">
        <v>2</v>
      </c>
    </row>
    <row r="214" spans="1:26" x14ac:dyDescent="0.3">
      <c r="A214" s="489">
        <v>150000829</v>
      </c>
      <c r="B214" s="467" t="s">
        <v>230</v>
      </c>
      <c r="C214" s="509">
        <v>324.35000000000002</v>
      </c>
      <c r="D214" s="509">
        <v>51</v>
      </c>
      <c r="E214" s="524">
        <v>0</v>
      </c>
      <c r="F214" s="524">
        <v>181.34</v>
      </c>
      <c r="G214" s="473">
        <v>317.33</v>
      </c>
      <c r="H214" s="523">
        <v>317.33</v>
      </c>
      <c r="I214" s="473"/>
      <c r="J214" s="523">
        <v>0</v>
      </c>
      <c r="K214" s="473">
        <v>63.36</v>
      </c>
      <c r="L214" s="523">
        <v>63.36</v>
      </c>
      <c r="M214" s="525">
        <v>919.73136279218568</v>
      </c>
      <c r="N214" s="526">
        <v>2725.5330557254779</v>
      </c>
      <c r="O214" s="527">
        <v>556.69000000000005</v>
      </c>
      <c r="P214" s="527">
        <v>122.4718</v>
      </c>
      <c r="Q214" s="527">
        <v>68.4631645104554</v>
      </c>
      <c r="R214" s="527">
        <v>380.69</v>
      </c>
      <c r="S214" s="527">
        <v>919.73136279218568</v>
      </c>
      <c r="T214" s="527">
        <v>531.49052830337041</v>
      </c>
      <c r="U214" s="527">
        <v>145.99620011946655</v>
      </c>
      <c r="V214" s="528">
        <v>2725.5330557254783</v>
      </c>
      <c r="W214" s="529">
        <v>1.01963607380544</v>
      </c>
      <c r="Y214" s="529">
        <v>0</v>
      </c>
      <c r="Z214" s="466">
        <v>2</v>
      </c>
    </row>
    <row r="215" spans="1:26" x14ac:dyDescent="0.3">
      <c r="A215" s="489">
        <v>150000830</v>
      </c>
      <c r="B215" s="467" t="s">
        <v>293</v>
      </c>
      <c r="C215" s="509">
        <v>553.66999999999996</v>
      </c>
      <c r="D215" s="509">
        <v>114.83</v>
      </c>
      <c r="E215" s="524">
        <v>43.76</v>
      </c>
      <c r="F215" s="524">
        <v>423.58</v>
      </c>
      <c r="G215" s="473">
        <v>584.28</v>
      </c>
      <c r="H215" s="523">
        <v>584.28</v>
      </c>
      <c r="I215" s="473"/>
      <c r="J215" s="523">
        <v>0</v>
      </c>
      <c r="K215" s="473">
        <v>86.78</v>
      </c>
      <c r="L215" s="523">
        <v>86.78</v>
      </c>
      <c r="M215" s="525">
        <v>2124.1262099074293</v>
      </c>
      <c r="N215" s="526">
        <v>5692.280839025796</v>
      </c>
      <c r="O215" s="527">
        <v>1135.8399999999999</v>
      </c>
      <c r="P215" s="527">
        <v>249.88479999999998</v>
      </c>
      <c r="Q215" s="527">
        <v>130.15131511186911</v>
      </c>
      <c r="R215" s="527">
        <v>671.06</v>
      </c>
      <c r="S215" s="527">
        <v>2124.1262099074293</v>
      </c>
      <c r="T215" s="527">
        <v>1084.4243684422215</v>
      </c>
      <c r="U215" s="527">
        <v>296.79414556427713</v>
      </c>
      <c r="V215" s="528">
        <v>5692.2808390257969</v>
      </c>
      <c r="W215" s="529">
        <v>1.00204560151036</v>
      </c>
      <c r="Y215" s="529">
        <v>0</v>
      </c>
      <c r="Z215" s="466">
        <v>2</v>
      </c>
    </row>
    <row r="216" spans="1:26" x14ac:dyDescent="0.3">
      <c r="A216" s="489">
        <v>150000832</v>
      </c>
      <c r="B216" s="467" t="s">
        <v>422</v>
      </c>
      <c r="C216" s="509">
        <v>556.92999999999995</v>
      </c>
      <c r="D216" s="509">
        <v>86.47</v>
      </c>
      <c r="E216" s="524">
        <v>17.98</v>
      </c>
      <c r="F216" s="524">
        <v>196.53</v>
      </c>
      <c r="G216" s="473">
        <v>559.85</v>
      </c>
      <c r="H216" s="523">
        <v>559.85</v>
      </c>
      <c r="I216" s="473">
        <v>112.31</v>
      </c>
      <c r="J216" s="523">
        <v>112.31</v>
      </c>
      <c r="K216" s="473">
        <v>69.45</v>
      </c>
      <c r="L216" s="523">
        <v>69.45</v>
      </c>
      <c r="M216" s="525">
        <v>1566.6646737659546</v>
      </c>
      <c r="N216" s="526">
        <v>4555.7776399374325</v>
      </c>
      <c r="O216" s="527">
        <v>857.91</v>
      </c>
      <c r="P216" s="527">
        <v>188.74020000000002</v>
      </c>
      <c r="Q216" s="527">
        <v>151.5310082852495</v>
      </c>
      <c r="R216" s="527">
        <v>741.61000000000013</v>
      </c>
      <c r="S216" s="527">
        <v>1566.6646737659546</v>
      </c>
      <c r="T216" s="527">
        <v>819.07531864546593</v>
      </c>
      <c r="U216" s="527">
        <v>230.24643924076275</v>
      </c>
      <c r="V216" s="528">
        <v>4555.7776399374334</v>
      </c>
      <c r="W216" s="529">
        <v>0.86439316567745517</v>
      </c>
      <c r="Y216" s="529">
        <v>0</v>
      </c>
      <c r="Z216" s="466">
        <v>2</v>
      </c>
    </row>
    <row r="217" spans="1:26" x14ac:dyDescent="0.3">
      <c r="A217" s="489">
        <v>150000833</v>
      </c>
      <c r="B217" s="467" t="s">
        <v>392</v>
      </c>
      <c r="C217" s="509">
        <v>556.91999999999996</v>
      </c>
      <c r="D217" s="509">
        <v>79.69</v>
      </c>
      <c r="E217" s="524">
        <v>28.17</v>
      </c>
      <c r="F217" s="524">
        <v>189.82</v>
      </c>
      <c r="G217" s="473">
        <v>587.14</v>
      </c>
      <c r="H217" s="523">
        <v>587.14</v>
      </c>
      <c r="I217" s="473">
        <v>121.32</v>
      </c>
      <c r="J217" s="523">
        <v>121.32</v>
      </c>
      <c r="K217" s="473">
        <v>50.66</v>
      </c>
      <c r="L217" s="523">
        <v>50.66</v>
      </c>
      <c r="M217" s="525">
        <v>1693.2649190782372</v>
      </c>
      <c r="N217" s="526">
        <v>4688.4704944982459</v>
      </c>
      <c r="O217" s="527">
        <v>854.59999999999991</v>
      </c>
      <c r="P217" s="527">
        <v>188.012</v>
      </c>
      <c r="Q217" s="527">
        <v>148.48164470411899</v>
      </c>
      <c r="R217" s="527">
        <v>759.12</v>
      </c>
      <c r="S217" s="527">
        <v>1693.2649190782372</v>
      </c>
      <c r="T217" s="527">
        <v>815.915151139881</v>
      </c>
      <c r="U217" s="527">
        <v>229.07677957600848</v>
      </c>
      <c r="V217" s="528">
        <v>4688.4704944982459</v>
      </c>
      <c r="W217" s="529">
        <v>8.5881492318946609E-2</v>
      </c>
      <c r="Y217" s="529"/>
      <c r="Z217" s="466">
        <v>1</v>
      </c>
    </row>
    <row r="218" spans="1:26" x14ac:dyDescent="0.3">
      <c r="A218" s="489">
        <v>150000834</v>
      </c>
      <c r="B218" s="467" t="s">
        <v>79</v>
      </c>
      <c r="C218" s="509">
        <v>0</v>
      </c>
      <c r="D218" s="509">
        <v>0</v>
      </c>
      <c r="E218" s="524">
        <v>0</v>
      </c>
      <c r="F218" s="524">
        <v>0</v>
      </c>
      <c r="G218" s="473"/>
      <c r="H218" s="523">
        <v>0</v>
      </c>
      <c r="I218" s="473"/>
      <c r="J218" s="523">
        <v>0</v>
      </c>
      <c r="K218" s="473">
        <v>38.68</v>
      </c>
      <c r="L218" s="523">
        <v>38.68</v>
      </c>
      <c r="M218" s="525">
        <v>0</v>
      </c>
      <c r="N218" s="526">
        <v>38.68</v>
      </c>
      <c r="O218" s="527">
        <v>0</v>
      </c>
      <c r="P218" s="527">
        <v>0</v>
      </c>
      <c r="Q218" s="527">
        <v>0</v>
      </c>
      <c r="R218" s="527">
        <v>38.68</v>
      </c>
      <c r="S218" s="527">
        <v>0</v>
      </c>
      <c r="T218" s="527">
        <v>0</v>
      </c>
      <c r="U218" s="527">
        <v>0</v>
      </c>
      <c r="V218" s="528">
        <v>38.68</v>
      </c>
      <c r="W218" s="529">
        <v>0.91646390734579908</v>
      </c>
      <c r="Y218" s="529">
        <v>0</v>
      </c>
      <c r="Z218" s="466">
        <v>1</v>
      </c>
    </row>
    <row r="219" spans="1:26" x14ac:dyDescent="0.3">
      <c r="A219" s="489">
        <v>150000835</v>
      </c>
      <c r="B219" s="467" t="s">
        <v>137</v>
      </c>
      <c r="C219" s="509">
        <v>0</v>
      </c>
      <c r="D219" s="509">
        <v>0</v>
      </c>
      <c r="E219" s="524">
        <v>0</v>
      </c>
      <c r="F219" s="524">
        <v>0</v>
      </c>
      <c r="G219" s="473"/>
      <c r="H219" s="523">
        <v>0</v>
      </c>
      <c r="I219" s="473"/>
      <c r="J219" s="523">
        <v>0</v>
      </c>
      <c r="K219" s="473">
        <v>25.61</v>
      </c>
      <c r="L219" s="523">
        <v>25.61</v>
      </c>
      <c r="M219" s="525">
        <v>0</v>
      </c>
      <c r="N219" s="526">
        <v>25.61</v>
      </c>
      <c r="O219" s="527">
        <v>0</v>
      </c>
      <c r="P219" s="527">
        <v>0</v>
      </c>
      <c r="Q219" s="527">
        <v>0</v>
      </c>
      <c r="R219" s="527">
        <v>25.61</v>
      </c>
      <c r="S219" s="527">
        <v>0</v>
      </c>
      <c r="T219" s="527">
        <v>0</v>
      </c>
      <c r="U219" s="527">
        <v>0</v>
      </c>
      <c r="V219" s="528">
        <v>25.61</v>
      </c>
      <c r="W219" s="529">
        <v>1.0539177183209039</v>
      </c>
      <c r="Y219" s="529">
        <v>0</v>
      </c>
      <c r="Z219" s="466">
        <v>1</v>
      </c>
    </row>
    <row r="220" spans="1:26" x14ac:dyDescent="0.3">
      <c r="A220" s="489">
        <v>150000836</v>
      </c>
      <c r="B220" s="467" t="s">
        <v>198</v>
      </c>
      <c r="C220" s="509">
        <v>216.97</v>
      </c>
      <c r="D220" s="509">
        <v>48.51</v>
      </c>
      <c r="E220" s="524">
        <v>7.19</v>
      </c>
      <c r="F220" s="524">
        <v>56.27</v>
      </c>
      <c r="G220" s="473">
        <v>185.06</v>
      </c>
      <c r="H220" s="523">
        <v>185.06</v>
      </c>
      <c r="I220" s="473">
        <v>44.92</v>
      </c>
      <c r="J220" s="523">
        <v>44.92</v>
      </c>
      <c r="K220" s="473">
        <v>11.84</v>
      </c>
      <c r="L220" s="523">
        <v>11.84</v>
      </c>
      <c r="M220" s="525">
        <v>562.52127012243284</v>
      </c>
      <c r="N220" s="526">
        <v>1698.9138229439591</v>
      </c>
      <c r="O220" s="527">
        <v>328.94</v>
      </c>
      <c r="P220" s="527">
        <v>72.366800000000012</v>
      </c>
      <c r="Q220" s="527">
        <v>87.5708706808296</v>
      </c>
      <c r="R220" s="527">
        <v>241.82000000000002</v>
      </c>
      <c r="S220" s="527">
        <v>562.52127012243284</v>
      </c>
      <c r="T220" s="527">
        <v>314.04999978463894</v>
      </c>
      <c r="U220" s="527">
        <v>91.644882356057565</v>
      </c>
      <c r="V220" s="528">
        <v>1698.9138229439591</v>
      </c>
      <c r="W220" s="529">
        <v>1.2462064055740196</v>
      </c>
      <c r="Y220" s="529">
        <v>0</v>
      </c>
      <c r="Z220" s="466">
        <v>2</v>
      </c>
    </row>
    <row r="221" spans="1:26" x14ac:dyDescent="0.3">
      <c r="A221" s="489">
        <v>150000837</v>
      </c>
      <c r="B221" s="467" t="s">
        <v>199</v>
      </c>
      <c r="C221" s="509">
        <v>96.65</v>
      </c>
      <c r="D221" s="509">
        <v>14.66</v>
      </c>
      <c r="E221" s="524">
        <v>0</v>
      </c>
      <c r="F221" s="524">
        <v>37.93</v>
      </c>
      <c r="G221" s="473">
        <v>67.14</v>
      </c>
      <c r="H221" s="523">
        <v>67.14</v>
      </c>
      <c r="I221" s="473"/>
      <c r="J221" s="523">
        <v>0</v>
      </c>
      <c r="K221" s="473">
        <v>11.84</v>
      </c>
      <c r="L221" s="523">
        <v>11.84</v>
      </c>
      <c r="M221" s="525">
        <v>224.87310671708835</v>
      </c>
      <c r="N221" s="526">
        <v>703.59845589333986</v>
      </c>
      <c r="O221" s="527">
        <v>149.24</v>
      </c>
      <c r="P221" s="527">
        <v>32.832800000000006</v>
      </c>
      <c r="Q221" s="527">
        <v>34.23604896342443</v>
      </c>
      <c r="R221" s="527">
        <v>78.98</v>
      </c>
      <c r="S221" s="527">
        <v>224.87310671708835</v>
      </c>
      <c r="T221" s="527">
        <v>142.48441043308665</v>
      </c>
      <c r="U221" s="527">
        <v>40.952089779740426</v>
      </c>
      <c r="V221" s="528">
        <v>703.59845589333986</v>
      </c>
      <c r="W221" s="529">
        <v>0.94611878239372682</v>
      </c>
      <c r="Y221" s="529">
        <v>0</v>
      </c>
      <c r="Z221" s="466">
        <v>1</v>
      </c>
    </row>
    <row r="222" spans="1:26" x14ac:dyDescent="0.3">
      <c r="A222" s="489">
        <v>150000839</v>
      </c>
      <c r="B222" s="467" t="s">
        <v>135</v>
      </c>
      <c r="C222" s="509">
        <v>0</v>
      </c>
      <c r="D222" s="509">
        <v>0</v>
      </c>
      <c r="E222" s="524">
        <v>0</v>
      </c>
      <c r="F222" s="524">
        <v>0</v>
      </c>
      <c r="G222" s="473"/>
      <c r="H222" s="523">
        <v>0</v>
      </c>
      <c r="I222" s="473"/>
      <c r="J222" s="523">
        <v>0</v>
      </c>
      <c r="K222" s="473">
        <v>11.84</v>
      </c>
      <c r="L222" s="523">
        <v>11.84</v>
      </c>
      <c r="M222" s="525">
        <v>0</v>
      </c>
      <c r="N222" s="526">
        <v>11.84</v>
      </c>
      <c r="O222" s="527">
        <v>0</v>
      </c>
      <c r="P222" s="527">
        <v>0</v>
      </c>
      <c r="Q222" s="527">
        <v>0</v>
      </c>
      <c r="R222" s="527">
        <v>11.84</v>
      </c>
      <c r="S222" s="527">
        <v>0</v>
      </c>
      <c r="T222" s="527">
        <v>0</v>
      </c>
      <c r="U222" s="527">
        <v>0</v>
      </c>
      <c r="V222" s="528">
        <v>11.84</v>
      </c>
      <c r="W222" s="529">
        <v>1.0845643820828235</v>
      </c>
      <c r="Y222" s="529">
        <v>0</v>
      </c>
      <c r="Z222" s="466">
        <v>2</v>
      </c>
    </row>
    <row r="223" spans="1:26" x14ac:dyDescent="0.3">
      <c r="A223" s="489">
        <v>150000840</v>
      </c>
      <c r="B223" s="467" t="s">
        <v>393</v>
      </c>
      <c r="C223" s="509">
        <v>527.03</v>
      </c>
      <c r="D223" s="509">
        <v>82.64</v>
      </c>
      <c r="E223" s="524">
        <v>26.37</v>
      </c>
      <c r="F223" s="524">
        <v>196.3</v>
      </c>
      <c r="G223" s="473">
        <v>495.91</v>
      </c>
      <c r="H223" s="523">
        <v>495.91</v>
      </c>
      <c r="I223" s="473">
        <v>110.7</v>
      </c>
      <c r="J223" s="523">
        <v>110.7</v>
      </c>
      <c r="K223" s="473">
        <v>50.66</v>
      </c>
      <c r="L223" s="523">
        <v>50.66</v>
      </c>
      <c r="M223" s="525">
        <v>1502.4416841372304</v>
      </c>
      <c r="N223" s="526">
        <v>4306.6767761061674</v>
      </c>
      <c r="O223" s="527">
        <v>832.33999999999992</v>
      </c>
      <c r="P223" s="527">
        <v>183.1148</v>
      </c>
      <c r="Q223" s="527">
        <v>116.9007139073009</v>
      </c>
      <c r="R223" s="527">
        <v>657.27</v>
      </c>
      <c r="S223" s="527">
        <v>1502.4416841372304</v>
      </c>
      <c r="T223" s="527">
        <v>794.66278598147494</v>
      </c>
      <c r="U223" s="527">
        <v>219.94679208016157</v>
      </c>
      <c r="V223" s="528">
        <v>4306.6767761061674</v>
      </c>
      <c r="W223" s="529">
        <v>0.98658065779107273</v>
      </c>
      <c r="Y223" s="529">
        <v>0</v>
      </c>
      <c r="Z223" s="466">
        <v>1</v>
      </c>
    </row>
    <row r="224" spans="1:26" x14ac:dyDescent="0.3">
      <c r="A224" s="489">
        <v>150000841</v>
      </c>
      <c r="B224" s="467" t="s">
        <v>136</v>
      </c>
      <c r="C224" s="509">
        <v>0</v>
      </c>
      <c r="D224" s="509">
        <v>0</v>
      </c>
      <c r="E224" s="524">
        <v>0</v>
      </c>
      <c r="F224" s="524">
        <v>0</v>
      </c>
      <c r="G224" s="473"/>
      <c r="H224" s="523">
        <v>0</v>
      </c>
      <c r="I224" s="473"/>
      <c r="J224" s="523">
        <v>0</v>
      </c>
      <c r="K224" s="473">
        <v>25.6</v>
      </c>
      <c r="L224" s="523">
        <v>25.6</v>
      </c>
      <c r="M224" s="525">
        <v>0</v>
      </c>
      <c r="N224" s="526">
        <v>25.6</v>
      </c>
      <c r="O224" s="527">
        <v>0</v>
      </c>
      <c r="P224" s="527">
        <v>0</v>
      </c>
      <c r="Q224" s="527">
        <v>0</v>
      </c>
      <c r="R224" s="527">
        <v>25.6</v>
      </c>
      <c r="S224" s="527">
        <v>0</v>
      </c>
      <c r="T224" s="527">
        <v>0</v>
      </c>
      <c r="U224" s="527">
        <v>0</v>
      </c>
      <c r="V224" s="528">
        <v>25.6</v>
      </c>
      <c r="W224" s="529">
        <v>0.89537578468755197</v>
      </c>
      <c r="Y224" s="529">
        <v>0</v>
      </c>
      <c r="Z224" s="466">
        <v>1</v>
      </c>
    </row>
    <row r="225" spans="1:26" x14ac:dyDescent="0.3">
      <c r="A225" s="489">
        <v>150000845</v>
      </c>
      <c r="B225" s="467" t="s">
        <v>138</v>
      </c>
      <c r="C225" s="509">
        <v>0</v>
      </c>
      <c r="D225" s="509">
        <v>0</v>
      </c>
      <c r="E225" s="524">
        <v>0</v>
      </c>
      <c r="F225" s="524">
        <v>0</v>
      </c>
      <c r="G225" s="473"/>
      <c r="H225" s="523">
        <v>0</v>
      </c>
      <c r="I225" s="473"/>
      <c r="J225" s="523">
        <v>0</v>
      </c>
      <c r="K225" s="473">
        <v>11.84</v>
      </c>
      <c r="L225" s="523">
        <v>11.84</v>
      </c>
      <c r="M225" s="525">
        <v>0</v>
      </c>
      <c r="N225" s="526">
        <v>11.84</v>
      </c>
      <c r="O225" s="527">
        <v>0</v>
      </c>
      <c r="P225" s="527">
        <v>0</v>
      </c>
      <c r="Q225" s="527">
        <v>0</v>
      </c>
      <c r="R225" s="527">
        <v>11.84</v>
      </c>
      <c r="S225" s="527">
        <v>0</v>
      </c>
      <c r="T225" s="527">
        <v>0</v>
      </c>
      <c r="U225" s="527">
        <v>0</v>
      </c>
      <c r="V225" s="528">
        <v>11.84</v>
      </c>
      <c r="W225" s="529">
        <v>0.96977003260614891</v>
      </c>
      <c r="Y225" s="529">
        <v>0</v>
      </c>
      <c r="Z225" s="466">
        <v>1</v>
      </c>
    </row>
    <row r="226" spans="1:26" x14ac:dyDescent="0.3">
      <c r="A226" s="489">
        <v>150000846</v>
      </c>
      <c r="B226" s="467" t="s">
        <v>139</v>
      </c>
      <c r="C226" s="509">
        <v>0</v>
      </c>
      <c r="D226" s="509">
        <v>0</v>
      </c>
      <c r="E226" s="524">
        <v>0</v>
      </c>
      <c r="F226" s="524">
        <v>0</v>
      </c>
      <c r="G226" s="473"/>
      <c r="H226" s="523">
        <v>0</v>
      </c>
      <c r="I226" s="473"/>
      <c r="J226" s="523">
        <v>0</v>
      </c>
      <c r="K226" s="473">
        <v>11.84</v>
      </c>
      <c r="L226" s="523">
        <v>11.84</v>
      </c>
      <c r="M226" s="525">
        <v>0</v>
      </c>
      <c r="N226" s="526">
        <v>11.84</v>
      </c>
      <c r="O226" s="527">
        <v>0</v>
      </c>
      <c r="P226" s="527">
        <v>0</v>
      </c>
      <c r="Q226" s="527">
        <v>0</v>
      </c>
      <c r="R226" s="527">
        <v>11.84</v>
      </c>
      <c r="S226" s="527">
        <v>0</v>
      </c>
      <c r="T226" s="527">
        <v>0</v>
      </c>
      <c r="U226" s="527">
        <v>0</v>
      </c>
      <c r="V226" s="528">
        <v>11.84</v>
      </c>
      <c r="W226" s="529">
        <v>1.0153676585751936</v>
      </c>
      <c r="Y226" s="529">
        <v>0</v>
      </c>
      <c r="Z226" s="466">
        <v>1</v>
      </c>
    </row>
    <row r="227" spans="1:26" x14ac:dyDescent="0.3">
      <c r="A227" s="489">
        <v>150000848</v>
      </c>
      <c r="B227" s="467" t="s">
        <v>186</v>
      </c>
      <c r="C227" s="509">
        <v>16.454999999999998</v>
      </c>
      <c r="D227" s="509">
        <v>7.69</v>
      </c>
      <c r="E227" s="524">
        <v>0</v>
      </c>
      <c r="F227" s="524">
        <v>12.33</v>
      </c>
      <c r="G227" s="473"/>
      <c r="H227" s="523">
        <v>0</v>
      </c>
      <c r="I227" s="473"/>
      <c r="J227" s="523">
        <v>0</v>
      </c>
      <c r="K227" s="473">
        <v>25.61</v>
      </c>
      <c r="L227" s="523">
        <v>25.61</v>
      </c>
      <c r="M227" s="525">
        <v>93.070599706074262</v>
      </c>
      <c r="N227" s="526">
        <v>214.55905695389811</v>
      </c>
      <c r="O227" s="527">
        <v>36.475000000000001</v>
      </c>
      <c r="P227" s="527">
        <v>8.0244999999999997</v>
      </c>
      <c r="Q227" s="527">
        <v>6.7327458944032443</v>
      </c>
      <c r="R227" s="527">
        <v>25.61</v>
      </c>
      <c r="S227" s="527">
        <v>93.070599706074262</v>
      </c>
      <c r="T227" s="527">
        <v>34.823900231485091</v>
      </c>
      <c r="U227" s="527">
        <v>9.8223111219355008</v>
      </c>
      <c r="V227" s="528">
        <v>214.55905695389811</v>
      </c>
      <c r="W227" s="529">
        <v>0.97478159077623083</v>
      </c>
      <c r="Y227" s="529">
        <v>0</v>
      </c>
      <c r="Z227" s="466">
        <v>1</v>
      </c>
    </row>
    <row r="228" spans="1:26" x14ac:dyDescent="0.3">
      <c r="A228" s="489">
        <v>150000851</v>
      </c>
      <c r="B228" s="467" t="s">
        <v>134</v>
      </c>
      <c r="C228" s="509">
        <v>0</v>
      </c>
      <c r="D228" s="509">
        <v>0</v>
      </c>
      <c r="E228" s="524">
        <v>0</v>
      </c>
      <c r="F228" s="524">
        <v>0</v>
      </c>
      <c r="G228" s="473"/>
      <c r="H228" s="523">
        <v>0</v>
      </c>
      <c r="I228" s="473"/>
      <c r="J228" s="523">
        <v>0</v>
      </c>
      <c r="K228" s="473">
        <v>19.45</v>
      </c>
      <c r="L228" s="523">
        <v>19.45</v>
      </c>
      <c r="M228" s="525">
        <v>0</v>
      </c>
      <c r="N228" s="526">
        <v>19.45</v>
      </c>
      <c r="O228" s="527">
        <v>0</v>
      </c>
      <c r="P228" s="527">
        <v>0</v>
      </c>
      <c r="Q228" s="527">
        <v>0</v>
      </c>
      <c r="R228" s="527">
        <v>19.45</v>
      </c>
      <c r="S228" s="527">
        <v>0</v>
      </c>
      <c r="T228" s="527">
        <v>0</v>
      </c>
      <c r="U228" s="527">
        <v>0</v>
      </c>
      <c r="V228" s="528">
        <v>19.45</v>
      </c>
      <c r="W228" s="529">
        <v>1.2734141429736823</v>
      </c>
      <c r="Y228" s="529">
        <v>0</v>
      </c>
      <c r="Z228" s="466">
        <v>2</v>
      </c>
    </row>
    <row r="229" spans="1:26" x14ac:dyDescent="0.3">
      <c r="A229" s="489">
        <v>150000861</v>
      </c>
      <c r="B229" s="467" t="s">
        <v>232</v>
      </c>
      <c r="C229" s="509">
        <v>399.57</v>
      </c>
      <c r="D229" s="509">
        <v>82.53</v>
      </c>
      <c r="E229" s="524">
        <v>0</v>
      </c>
      <c r="F229" s="524">
        <v>356.51</v>
      </c>
      <c r="G229" s="473">
        <v>383.62</v>
      </c>
      <c r="H229" s="523">
        <v>383.62</v>
      </c>
      <c r="I229" s="473"/>
      <c r="J229" s="523">
        <v>0</v>
      </c>
      <c r="K229" s="473">
        <v>103.15</v>
      </c>
      <c r="L229" s="523">
        <v>103.15</v>
      </c>
      <c r="M229" s="525">
        <v>1211.9844480866807</v>
      </c>
      <c r="N229" s="526">
        <v>3824.997520623092</v>
      </c>
      <c r="O229" s="527">
        <v>838.61</v>
      </c>
      <c r="P229" s="527">
        <v>184.49419999999998</v>
      </c>
      <c r="Q229" s="527">
        <v>84.665992629642901</v>
      </c>
      <c r="R229" s="527">
        <v>486.77</v>
      </c>
      <c r="S229" s="527">
        <v>1211.9844480866807</v>
      </c>
      <c r="T229" s="527">
        <v>800.64896430776457</v>
      </c>
      <c r="U229" s="527">
        <v>217.82391559900418</v>
      </c>
      <c r="V229" s="528">
        <v>3824.997520623092</v>
      </c>
      <c r="W229" s="529">
        <v>0.96701519293541416</v>
      </c>
      <c r="Y229" s="529">
        <v>0</v>
      </c>
      <c r="Z229" s="466">
        <v>1</v>
      </c>
    </row>
    <row r="230" spans="1:26" x14ac:dyDescent="0.3">
      <c r="A230" s="489">
        <v>150000862</v>
      </c>
      <c r="B230" s="467" t="s">
        <v>234</v>
      </c>
      <c r="C230" s="509">
        <v>475.15</v>
      </c>
      <c r="D230" s="509">
        <v>96.84</v>
      </c>
      <c r="E230" s="524">
        <v>0</v>
      </c>
      <c r="F230" s="524">
        <v>454.55</v>
      </c>
      <c r="G230" s="473">
        <v>453.19</v>
      </c>
      <c r="H230" s="523">
        <v>453.19</v>
      </c>
      <c r="I230" s="473"/>
      <c r="J230" s="523">
        <v>0</v>
      </c>
      <c r="K230" s="473">
        <v>562.26</v>
      </c>
      <c r="L230" s="523">
        <v>562.26</v>
      </c>
      <c r="M230" s="525">
        <v>1598.4839867588814</v>
      </c>
      <c r="N230" s="526">
        <v>5212.6996332859781</v>
      </c>
      <c r="O230" s="527">
        <v>1026.54</v>
      </c>
      <c r="P230" s="527">
        <v>225.83879999999999</v>
      </c>
      <c r="Q230" s="527">
        <v>100.0831366188591</v>
      </c>
      <c r="R230" s="527">
        <v>1015.45</v>
      </c>
      <c r="S230" s="527">
        <v>1598.4839867588814</v>
      </c>
      <c r="T230" s="527">
        <v>980.07200942093777</v>
      </c>
      <c r="U230" s="527">
        <v>266.23170048729975</v>
      </c>
      <c r="V230" s="528">
        <v>5212.6996332859771</v>
      </c>
      <c r="W230" s="529">
        <v>1.0502640211048542</v>
      </c>
      <c r="Y230" s="529">
        <v>0</v>
      </c>
      <c r="Z230" s="466">
        <v>1</v>
      </c>
    </row>
    <row r="231" spans="1:26" x14ac:dyDescent="0.3">
      <c r="A231" s="489">
        <v>150000863</v>
      </c>
      <c r="B231" s="467" t="s">
        <v>235</v>
      </c>
      <c r="C231" s="509">
        <v>361.59</v>
      </c>
      <c r="D231" s="509">
        <v>77.67</v>
      </c>
      <c r="E231" s="524">
        <v>0</v>
      </c>
      <c r="F231" s="524">
        <v>326.05</v>
      </c>
      <c r="G231" s="473">
        <v>340.84</v>
      </c>
      <c r="H231" s="523">
        <v>340.84</v>
      </c>
      <c r="I231" s="473">
        <v>98.13</v>
      </c>
      <c r="J231" s="523">
        <v>98.13</v>
      </c>
      <c r="K231" s="473">
        <v>100.76</v>
      </c>
      <c r="L231" s="523">
        <v>100.76</v>
      </c>
      <c r="M231" s="525">
        <v>1184.0133834736378</v>
      </c>
      <c r="N231" s="526">
        <v>3681.3526977872707</v>
      </c>
      <c r="O231" s="527">
        <v>765.31</v>
      </c>
      <c r="P231" s="527">
        <v>168.3682</v>
      </c>
      <c r="Q231" s="527">
        <v>92.715951787736103</v>
      </c>
      <c r="R231" s="527">
        <v>539.73</v>
      </c>
      <c r="S231" s="527">
        <v>1184.0133834736378</v>
      </c>
      <c r="T231" s="527">
        <v>730.66700715991374</v>
      </c>
      <c r="U231" s="527">
        <v>200.54815536598295</v>
      </c>
      <c r="V231" s="528">
        <v>3681.3526977872707</v>
      </c>
      <c r="W231" s="529">
        <v>0.97030565036446892</v>
      </c>
      <c r="Y231" s="529">
        <v>0</v>
      </c>
      <c r="Z231" s="466">
        <v>1</v>
      </c>
    </row>
    <row r="232" spans="1:26" x14ac:dyDescent="0.3">
      <c r="A232" s="489">
        <v>150000864</v>
      </c>
      <c r="B232" s="467" t="s">
        <v>200</v>
      </c>
      <c r="C232" s="509">
        <v>356.44</v>
      </c>
      <c r="D232" s="509">
        <v>67.5</v>
      </c>
      <c r="E232" s="524">
        <v>0</v>
      </c>
      <c r="F232" s="524">
        <v>436</v>
      </c>
      <c r="G232" s="473">
        <v>383.88</v>
      </c>
      <c r="H232" s="523">
        <v>383.88</v>
      </c>
      <c r="I232" s="473"/>
      <c r="J232" s="523">
        <v>0</v>
      </c>
      <c r="K232" s="473">
        <v>57.52</v>
      </c>
      <c r="L232" s="523">
        <v>57.52</v>
      </c>
      <c r="M232" s="525">
        <v>1415.6779359426321</v>
      </c>
      <c r="N232" s="526">
        <v>4055.8271955425635</v>
      </c>
      <c r="O232" s="527">
        <v>859.94</v>
      </c>
      <c r="P232" s="527">
        <v>189.18680000000001</v>
      </c>
      <c r="Q232" s="527">
        <v>103.35718805732949</v>
      </c>
      <c r="R232" s="527">
        <v>441.4</v>
      </c>
      <c r="S232" s="527">
        <v>1415.6779359426321</v>
      </c>
      <c r="T232" s="527">
        <v>821.01342741777353</v>
      </c>
      <c r="U232" s="527">
        <v>225.25184412482861</v>
      </c>
      <c r="V232" s="528">
        <v>4055.8271955425635</v>
      </c>
      <c r="W232" s="529">
        <v>0.12195238095238095</v>
      </c>
      <c r="Y232" s="529"/>
      <c r="Z232" s="466">
        <v>1</v>
      </c>
    </row>
    <row r="233" spans="1:26" x14ac:dyDescent="0.3">
      <c r="A233" s="489">
        <v>150000865</v>
      </c>
      <c r="B233" s="467" t="s">
        <v>305</v>
      </c>
      <c r="C233" s="509">
        <v>925.73</v>
      </c>
      <c r="D233" s="509">
        <v>193.41</v>
      </c>
      <c r="E233" s="524">
        <v>0</v>
      </c>
      <c r="F233" s="524">
        <v>1000.64</v>
      </c>
      <c r="G233" s="473">
        <v>1035.0899999999999</v>
      </c>
      <c r="H233" s="523">
        <v>1035.0899999999999</v>
      </c>
      <c r="I233" s="473"/>
      <c r="J233" s="523">
        <v>0</v>
      </c>
      <c r="K233" s="473">
        <v>326.16000000000003</v>
      </c>
      <c r="L233" s="523">
        <v>326.16000000000003</v>
      </c>
      <c r="M233" s="525">
        <v>3241.8285726869617</v>
      </c>
      <c r="N233" s="526">
        <v>9962.6407604618071</v>
      </c>
      <c r="O233" s="527">
        <v>2119.7800000000002</v>
      </c>
      <c r="P233" s="527">
        <v>466.35159999999996</v>
      </c>
      <c r="Q233" s="527">
        <v>200.54312420404901</v>
      </c>
      <c r="R233" s="527">
        <v>1361.25</v>
      </c>
      <c r="S233" s="527">
        <v>3241.8285726869617</v>
      </c>
      <c r="T233" s="527">
        <v>2023.8247356462637</v>
      </c>
      <c r="U233" s="527">
        <v>549.06272792453262</v>
      </c>
      <c r="V233" s="528">
        <v>9962.6407604618071</v>
      </c>
      <c r="W233" s="529">
        <v>0.19324804548685148</v>
      </c>
      <c r="Y233" s="529"/>
      <c r="Z233" s="466">
        <v>1</v>
      </c>
    </row>
    <row r="234" spans="1:26" x14ac:dyDescent="0.3">
      <c r="A234" s="489">
        <v>150000866</v>
      </c>
      <c r="B234" s="467" t="s">
        <v>308</v>
      </c>
      <c r="C234" s="509">
        <v>591.13</v>
      </c>
      <c r="D234" s="509">
        <v>115.74</v>
      </c>
      <c r="E234" s="524">
        <v>0</v>
      </c>
      <c r="F234" s="524">
        <v>438.56</v>
      </c>
      <c r="G234" s="473">
        <v>635.70000000000005</v>
      </c>
      <c r="H234" s="523">
        <v>635.70000000000005</v>
      </c>
      <c r="I234" s="473"/>
      <c r="J234" s="523">
        <v>0</v>
      </c>
      <c r="K234" s="473">
        <v>147.07</v>
      </c>
      <c r="L234" s="523">
        <v>147.07</v>
      </c>
      <c r="M234" s="525">
        <v>1791.0389334708359</v>
      </c>
      <c r="N234" s="526">
        <v>5520.5842284085111</v>
      </c>
      <c r="O234" s="527">
        <v>1145.43</v>
      </c>
      <c r="P234" s="527">
        <v>251.99459999999999</v>
      </c>
      <c r="Q234" s="527">
        <v>153.8867298978158</v>
      </c>
      <c r="R234" s="527">
        <v>782.77</v>
      </c>
      <c r="S234" s="527">
        <v>1791.0389334708359</v>
      </c>
      <c r="T234" s="527">
        <v>1093.5802616079498</v>
      </c>
      <c r="U234" s="527">
        <v>301.88370343190985</v>
      </c>
      <c r="V234" s="528">
        <v>5520.5842284085111</v>
      </c>
      <c r="W234" s="529">
        <v>1.0273382761294867</v>
      </c>
      <c r="Y234" s="529">
        <v>0</v>
      </c>
      <c r="Z234" s="466">
        <v>1</v>
      </c>
    </row>
    <row r="235" spans="1:26" x14ac:dyDescent="0.3">
      <c r="A235" s="489">
        <v>150000867</v>
      </c>
      <c r="B235" s="467" t="s">
        <v>309</v>
      </c>
      <c r="C235" s="509">
        <v>291.31</v>
      </c>
      <c r="D235" s="509">
        <v>59.36</v>
      </c>
      <c r="E235" s="524">
        <v>0</v>
      </c>
      <c r="F235" s="524">
        <v>169.45</v>
      </c>
      <c r="G235" s="473">
        <v>388.41</v>
      </c>
      <c r="H235" s="523">
        <v>388.41</v>
      </c>
      <c r="I235" s="473"/>
      <c r="J235" s="523">
        <v>0</v>
      </c>
      <c r="K235" s="473">
        <v>122.71</v>
      </c>
      <c r="L235" s="523">
        <v>122.71</v>
      </c>
      <c r="M235" s="525">
        <v>1012.1285190317805</v>
      </c>
      <c r="N235" s="526">
        <v>2867.9711900482948</v>
      </c>
      <c r="O235" s="527">
        <v>520.12</v>
      </c>
      <c r="P235" s="527">
        <v>114.4264</v>
      </c>
      <c r="Q235" s="527">
        <v>75.839631539048099</v>
      </c>
      <c r="R235" s="527">
        <v>511.12</v>
      </c>
      <c r="S235" s="527">
        <v>1012.1285190317805</v>
      </c>
      <c r="T235" s="527">
        <v>496.57592840027485</v>
      </c>
      <c r="U235" s="527">
        <v>137.76071107719156</v>
      </c>
      <c r="V235" s="528">
        <v>2867.9711900482948</v>
      </c>
      <c r="W235" s="529">
        <v>0.27135728542914173</v>
      </c>
      <c r="Y235" s="529"/>
      <c r="Z235" s="466">
        <v>1</v>
      </c>
    </row>
    <row r="236" spans="1:26" x14ac:dyDescent="0.3">
      <c r="A236" s="489">
        <v>150000868</v>
      </c>
      <c r="B236" s="467" t="s">
        <v>310</v>
      </c>
      <c r="C236" s="509">
        <v>373.25</v>
      </c>
      <c r="D236" s="509">
        <v>77.489999999999995</v>
      </c>
      <c r="E236" s="524">
        <v>0</v>
      </c>
      <c r="F236" s="524">
        <v>236.51</v>
      </c>
      <c r="G236" s="473">
        <v>435.74</v>
      </c>
      <c r="H236" s="523">
        <v>435.74</v>
      </c>
      <c r="I236" s="473"/>
      <c r="J236" s="523">
        <v>0</v>
      </c>
      <c r="K236" s="473">
        <v>100.83</v>
      </c>
      <c r="L236" s="523">
        <v>100.83</v>
      </c>
      <c r="M236" s="525">
        <v>1174.2074764908232</v>
      </c>
      <c r="N236" s="526">
        <v>3465.1677137517663</v>
      </c>
      <c r="O236" s="527">
        <v>687.25</v>
      </c>
      <c r="P236" s="527">
        <v>151.19499999999999</v>
      </c>
      <c r="Q236" s="527">
        <v>80.075431373398999</v>
      </c>
      <c r="R236" s="527">
        <v>536.57000000000005</v>
      </c>
      <c r="S236" s="527">
        <v>1174.2074764908232</v>
      </c>
      <c r="T236" s="527">
        <v>656.14051909768682</v>
      </c>
      <c r="U236" s="527">
        <v>179.72928678985755</v>
      </c>
      <c r="V236" s="528">
        <v>3465.1677137517663</v>
      </c>
      <c r="W236" s="529">
        <v>1.1178434584855119</v>
      </c>
      <c r="Y236" s="529">
        <v>0</v>
      </c>
      <c r="Z236" s="466">
        <v>1</v>
      </c>
    </row>
    <row r="237" spans="1:26" x14ac:dyDescent="0.3">
      <c r="A237" s="489">
        <v>150000869</v>
      </c>
      <c r="B237" s="467" t="s">
        <v>311</v>
      </c>
      <c r="C237" s="509">
        <v>605.51</v>
      </c>
      <c r="D237" s="509">
        <v>138.46</v>
      </c>
      <c r="E237" s="524">
        <v>41.96</v>
      </c>
      <c r="F237" s="524">
        <v>566.66999999999996</v>
      </c>
      <c r="G237" s="473">
        <v>657.41</v>
      </c>
      <c r="H237" s="523">
        <v>657.41</v>
      </c>
      <c r="I237" s="473">
        <v>149.16</v>
      </c>
      <c r="J237" s="523">
        <v>149.16</v>
      </c>
      <c r="K237" s="473">
        <v>170.29</v>
      </c>
      <c r="L237" s="523">
        <v>170.29</v>
      </c>
      <c r="M237" s="525">
        <v>2052.823155898308</v>
      </c>
      <c r="N237" s="526">
        <v>6476.6955078692017</v>
      </c>
      <c r="O237" s="527">
        <v>1352.6</v>
      </c>
      <c r="P237" s="527">
        <v>297.572</v>
      </c>
      <c r="Q237" s="527">
        <v>152.3372640747105</v>
      </c>
      <c r="R237" s="527">
        <v>976.8599999999999</v>
      </c>
      <c r="S237" s="527">
        <v>2052.823155898308</v>
      </c>
      <c r="T237" s="527">
        <v>1291.3723770557021</v>
      </c>
      <c r="U237" s="527">
        <v>353.1307108404817</v>
      </c>
      <c r="V237" s="528">
        <v>6476.6955078692026</v>
      </c>
      <c r="W237" s="529">
        <v>0.95036583355443227</v>
      </c>
      <c r="Y237" s="529">
        <v>0</v>
      </c>
      <c r="Z237" s="466">
        <v>1</v>
      </c>
    </row>
    <row r="238" spans="1:26" x14ac:dyDescent="0.3">
      <c r="A238" s="489">
        <v>150000871</v>
      </c>
      <c r="B238" s="467" t="s">
        <v>140</v>
      </c>
      <c r="C238" s="509">
        <v>0</v>
      </c>
      <c r="D238" s="509">
        <v>0</v>
      </c>
      <c r="E238" s="524">
        <v>0</v>
      </c>
      <c r="F238" s="524">
        <v>0</v>
      </c>
      <c r="G238" s="473"/>
      <c r="H238" s="523">
        <v>0</v>
      </c>
      <c r="I238" s="473"/>
      <c r="J238" s="523">
        <v>0</v>
      </c>
      <c r="K238" s="473">
        <v>13.08</v>
      </c>
      <c r="L238" s="523">
        <v>13.08</v>
      </c>
      <c r="M238" s="525">
        <v>0</v>
      </c>
      <c r="N238" s="526">
        <v>13.08</v>
      </c>
      <c r="O238" s="527">
        <v>0</v>
      </c>
      <c r="P238" s="527">
        <v>0</v>
      </c>
      <c r="Q238" s="527">
        <v>0</v>
      </c>
      <c r="R238" s="527">
        <v>13.08</v>
      </c>
      <c r="S238" s="527">
        <v>0</v>
      </c>
      <c r="T238" s="527">
        <v>0</v>
      </c>
      <c r="U238" s="527">
        <v>0</v>
      </c>
      <c r="V238" s="528">
        <v>13.08</v>
      </c>
      <c r="W238" s="529">
        <v>1.0050980218397945</v>
      </c>
      <c r="Y238" s="529">
        <v>0</v>
      </c>
      <c r="Z238" s="466">
        <v>1</v>
      </c>
    </row>
    <row r="239" spans="1:26" x14ac:dyDescent="0.3">
      <c r="A239" s="489">
        <v>150000872</v>
      </c>
      <c r="B239" s="467" t="s">
        <v>233</v>
      </c>
      <c r="C239" s="509">
        <v>256.14999999999998</v>
      </c>
      <c r="D239" s="509">
        <v>63.16</v>
      </c>
      <c r="E239" s="524">
        <v>0</v>
      </c>
      <c r="F239" s="524">
        <v>86.41</v>
      </c>
      <c r="G239" s="473">
        <v>139.38</v>
      </c>
      <c r="H239" s="523">
        <v>139.38</v>
      </c>
      <c r="I239" s="473">
        <v>33.97</v>
      </c>
      <c r="J239" s="523">
        <v>33.97</v>
      </c>
      <c r="K239" s="473">
        <v>49.44</v>
      </c>
      <c r="L239" s="523">
        <v>49.44</v>
      </c>
      <c r="M239" s="525">
        <v>431.28887398251265</v>
      </c>
      <c r="N239" s="526">
        <v>1695.9766494575019</v>
      </c>
      <c r="O239" s="527">
        <v>405.71999999999991</v>
      </c>
      <c r="P239" s="527">
        <v>89.258399999999995</v>
      </c>
      <c r="Q239" s="527">
        <v>52.827266159520804</v>
      </c>
      <c r="R239" s="527">
        <v>222.79</v>
      </c>
      <c r="S239" s="527">
        <v>431.28887398251265</v>
      </c>
      <c r="T239" s="527">
        <v>387.3544291135882</v>
      </c>
      <c r="U239" s="527">
        <v>106.73768020187998</v>
      </c>
      <c r="V239" s="528">
        <v>1695.9766494575015</v>
      </c>
      <c r="W239" s="529">
        <v>1.0335981270241679</v>
      </c>
      <c r="Y239" s="529">
        <v>0</v>
      </c>
      <c r="Z239" s="466">
        <v>2</v>
      </c>
    </row>
    <row r="240" spans="1:26" x14ac:dyDescent="0.3">
      <c r="A240" s="489">
        <v>150000873</v>
      </c>
      <c r="B240" s="467" t="s">
        <v>306</v>
      </c>
      <c r="C240" s="509">
        <v>302.61</v>
      </c>
      <c r="D240" s="509">
        <v>58.37</v>
      </c>
      <c r="E240" s="524">
        <v>0</v>
      </c>
      <c r="F240" s="524">
        <v>162.09</v>
      </c>
      <c r="G240" s="473">
        <v>293.68</v>
      </c>
      <c r="H240" s="523">
        <v>293.68</v>
      </c>
      <c r="I240" s="473"/>
      <c r="J240" s="523">
        <v>0</v>
      </c>
      <c r="K240" s="473">
        <v>98.26</v>
      </c>
      <c r="L240" s="523">
        <v>98.26</v>
      </c>
      <c r="M240" s="525">
        <v>929.80094605288116</v>
      </c>
      <c r="N240" s="526">
        <v>2662.680231276559</v>
      </c>
      <c r="O240" s="527">
        <v>523.07000000000005</v>
      </c>
      <c r="P240" s="527">
        <v>115.0754</v>
      </c>
      <c r="Q240" s="527">
        <v>66.028372896697505</v>
      </c>
      <c r="R240" s="527">
        <v>391.94</v>
      </c>
      <c r="S240" s="527">
        <v>929.80094605288116</v>
      </c>
      <c r="T240" s="527">
        <v>499.39239188712565</v>
      </c>
      <c r="U240" s="527">
        <v>137.3731204398548</v>
      </c>
      <c r="V240" s="528">
        <v>2662.6802312765594</v>
      </c>
      <c r="W240" s="529">
        <v>1.0098686488677733</v>
      </c>
      <c r="Y240" s="529">
        <v>0</v>
      </c>
      <c r="Z240" s="466">
        <v>2</v>
      </c>
    </row>
    <row r="241" spans="1:26" x14ac:dyDescent="0.3">
      <c r="A241" s="489">
        <v>150000874</v>
      </c>
      <c r="B241" s="467" t="s">
        <v>307</v>
      </c>
      <c r="C241" s="509">
        <v>273.49</v>
      </c>
      <c r="D241" s="509">
        <v>58.37</v>
      </c>
      <c r="E241" s="524">
        <v>17.98</v>
      </c>
      <c r="F241" s="524">
        <v>164.89</v>
      </c>
      <c r="G241" s="473">
        <v>266.27999999999997</v>
      </c>
      <c r="H241" s="523">
        <v>266.27999999999997</v>
      </c>
      <c r="I241" s="473">
        <v>60.29</v>
      </c>
      <c r="J241" s="523">
        <v>60.29</v>
      </c>
      <c r="K241" s="473">
        <v>50.66</v>
      </c>
      <c r="L241" s="523">
        <v>50.66</v>
      </c>
      <c r="M241" s="525">
        <v>933.30712791010853</v>
      </c>
      <c r="N241" s="526">
        <v>2637.3434670319848</v>
      </c>
      <c r="O241" s="527">
        <v>514.73</v>
      </c>
      <c r="P241" s="527">
        <v>113.2406</v>
      </c>
      <c r="Q241" s="527">
        <v>71.480559167209094</v>
      </c>
      <c r="R241" s="527">
        <v>377.23</v>
      </c>
      <c r="S241" s="527">
        <v>933.30712791010853</v>
      </c>
      <c r="T241" s="527">
        <v>491.42991545311361</v>
      </c>
      <c r="U241" s="527">
        <v>135.92526450155336</v>
      </c>
      <c r="V241" s="528">
        <v>2637.3434670319848</v>
      </c>
      <c r="W241" s="529">
        <v>1.0122820336352683</v>
      </c>
      <c r="Y241" s="529">
        <v>0</v>
      </c>
      <c r="Z241" s="466">
        <v>2</v>
      </c>
    </row>
    <row r="242" spans="1:26" x14ac:dyDescent="0.3">
      <c r="A242" s="489">
        <v>150000875</v>
      </c>
      <c r="B242" s="467" t="s">
        <v>312</v>
      </c>
      <c r="C242" s="509">
        <v>430.23</v>
      </c>
      <c r="D242" s="509">
        <v>87.11</v>
      </c>
      <c r="E242" s="524">
        <v>0</v>
      </c>
      <c r="F242" s="524">
        <v>233.64</v>
      </c>
      <c r="G242" s="473">
        <v>411.55</v>
      </c>
      <c r="H242" s="523">
        <v>411.55</v>
      </c>
      <c r="I242" s="473"/>
      <c r="J242" s="523">
        <v>0</v>
      </c>
      <c r="K242" s="473">
        <v>99.5</v>
      </c>
      <c r="L242" s="523">
        <v>99.5</v>
      </c>
      <c r="M242" s="525">
        <v>1136.6941811728466</v>
      </c>
      <c r="N242" s="526">
        <v>3558.470015987898</v>
      </c>
      <c r="O242" s="527">
        <v>750.98</v>
      </c>
      <c r="P242" s="527">
        <v>165.21559999999999</v>
      </c>
      <c r="Q242" s="527">
        <v>81.799400574631804</v>
      </c>
      <c r="R242" s="527">
        <v>511.05</v>
      </c>
      <c r="S242" s="527">
        <v>1136.6941811728466</v>
      </c>
      <c r="T242" s="527">
        <v>716.98567774751677</v>
      </c>
      <c r="U242" s="527">
        <v>195.74515649290288</v>
      </c>
      <c r="V242" s="528">
        <v>3558.470015987898</v>
      </c>
      <c r="W242" s="529">
        <v>0.99639857708277757</v>
      </c>
      <c r="Y242" s="529">
        <v>0</v>
      </c>
      <c r="Z242" s="466">
        <v>2</v>
      </c>
    </row>
    <row r="243" spans="1:26" x14ac:dyDescent="0.3">
      <c r="A243" s="489">
        <v>150000878</v>
      </c>
      <c r="B243" s="467" t="s">
        <v>236</v>
      </c>
      <c r="C243" s="509">
        <v>225.55</v>
      </c>
      <c r="D243" s="509">
        <v>37.21</v>
      </c>
      <c r="E243" s="524">
        <v>0</v>
      </c>
      <c r="F243" s="524">
        <v>151.97999999999999</v>
      </c>
      <c r="G243" s="473">
        <v>285.93</v>
      </c>
      <c r="H243" s="523">
        <v>285.93</v>
      </c>
      <c r="I243" s="473"/>
      <c r="J243" s="523">
        <v>0</v>
      </c>
      <c r="K243" s="473">
        <v>66.31</v>
      </c>
      <c r="L243" s="523">
        <v>66.31</v>
      </c>
      <c r="M243" s="525">
        <v>853.91562591734271</v>
      </c>
      <c r="N243" s="526">
        <v>2281.0052421262735</v>
      </c>
      <c r="O243" s="527">
        <v>414.74</v>
      </c>
      <c r="P243" s="527">
        <v>91.242800000000003</v>
      </c>
      <c r="Q243" s="527">
        <v>62.787245803083906</v>
      </c>
      <c r="R243" s="527">
        <v>352.24</v>
      </c>
      <c r="S243" s="527">
        <v>853.91562591734271</v>
      </c>
      <c r="T243" s="527">
        <v>395.96612424965394</v>
      </c>
      <c r="U243" s="527">
        <v>110.11344615619282</v>
      </c>
      <c r="V243" s="528">
        <v>2281.0052421262735</v>
      </c>
      <c r="W243" s="529">
        <v>1.1950277954930668</v>
      </c>
      <c r="Y243" s="529">
        <v>0</v>
      </c>
      <c r="Z243" s="466">
        <v>2</v>
      </c>
    </row>
    <row r="244" spans="1:26" x14ac:dyDescent="0.3">
      <c r="A244" s="489">
        <v>150000879</v>
      </c>
      <c r="B244" s="467" t="s">
        <v>329</v>
      </c>
      <c r="C244" s="509">
        <v>434.67</v>
      </c>
      <c r="D244" s="509">
        <v>81.36</v>
      </c>
      <c r="E244" s="524">
        <v>0</v>
      </c>
      <c r="F244" s="524">
        <v>330.1</v>
      </c>
      <c r="G244" s="473">
        <v>546.98</v>
      </c>
      <c r="H244" s="523">
        <v>546.98</v>
      </c>
      <c r="I244" s="473"/>
      <c r="J244" s="523">
        <v>0</v>
      </c>
      <c r="K244" s="473">
        <v>163.35</v>
      </c>
      <c r="L244" s="523">
        <v>163.35</v>
      </c>
      <c r="M244" s="525">
        <v>1601.3452306931836</v>
      </c>
      <c r="N244" s="526">
        <v>4466.4622038316384</v>
      </c>
      <c r="O244" s="527">
        <v>846.13</v>
      </c>
      <c r="P244" s="527">
        <v>186.14859999999999</v>
      </c>
      <c r="Q244" s="527">
        <v>93.931705603265797</v>
      </c>
      <c r="R244" s="527">
        <v>710.33</v>
      </c>
      <c r="S244" s="527">
        <v>1601.3452306931836</v>
      </c>
      <c r="T244" s="527">
        <v>807.82855936577062</v>
      </c>
      <c r="U244" s="527">
        <v>220.74810816941849</v>
      </c>
      <c r="V244" s="528">
        <v>4466.4622038316393</v>
      </c>
      <c r="W244" s="529">
        <v>0.9397697661063027</v>
      </c>
      <c r="Y244" s="529">
        <v>0</v>
      </c>
      <c r="Z244" s="466">
        <v>2</v>
      </c>
    </row>
    <row r="245" spans="1:26" x14ac:dyDescent="0.3">
      <c r="A245" s="489">
        <v>150000880</v>
      </c>
      <c r="B245" s="467" t="s">
        <v>237</v>
      </c>
      <c r="C245" s="509">
        <v>297.58999999999997</v>
      </c>
      <c r="D245" s="509">
        <v>57.59</v>
      </c>
      <c r="E245" s="524">
        <v>0</v>
      </c>
      <c r="F245" s="524">
        <v>233.51</v>
      </c>
      <c r="G245" s="473">
        <v>329.05</v>
      </c>
      <c r="H245" s="523">
        <v>329.05</v>
      </c>
      <c r="I245" s="473"/>
      <c r="J245" s="523">
        <v>0</v>
      </c>
      <c r="K245" s="473">
        <v>41.29</v>
      </c>
      <c r="L245" s="523">
        <v>41.29</v>
      </c>
      <c r="M245" s="525">
        <v>971.45110837923266</v>
      </c>
      <c r="N245" s="526">
        <v>2857.0030293653044</v>
      </c>
      <c r="O245" s="527">
        <v>588.68999999999994</v>
      </c>
      <c r="P245" s="527">
        <v>129.51179999999999</v>
      </c>
      <c r="Q245" s="527">
        <v>79.741566364727603</v>
      </c>
      <c r="R245" s="527">
        <v>370.34000000000003</v>
      </c>
      <c r="S245" s="527">
        <v>971.45110837923266</v>
      </c>
      <c r="T245" s="527">
        <v>562.04199663531074</v>
      </c>
      <c r="U245" s="527">
        <v>155.22655798603336</v>
      </c>
      <c r="V245" s="528">
        <v>2857.003029365304</v>
      </c>
      <c r="W245" s="529">
        <v>0.74476190476190474</v>
      </c>
      <c r="Y245" s="529"/>
      <c r="Z245" s="466">
        <v>2</v>
      </c>
    </row>
    <row r="246" spans="1:26" x14ac:dyDescent="0.3">
      <c r="A246" s="489">
        <v>150000881</v>
      </c>
      <c r="B246" s="467" t="s">
        <v>411</v>
      </c>
      <c r="C246" s="509">
        <v>228.81</v>
      </c>
      <c r="D246" s="509">
        <v>33.65</v>
      </c>
      <c r="E246" s="524">
        <v>13.19</v>
      </c>
      <c r="F246" s="524">
        <v>111.32</v>
      </c>
      <c r="G246" s="473">
        <v>276.22000000000003</v>
      </c>
      <c r="H246" s="523">
        <v>276.22000000000003</v>
      </c>
      <c r="I246" s="473">
        <v>64.040000000000006</v>
      </c>
      <c r="J246" s="523">
        <v>64.040000000000006</v>
      </c>
      <c r="K246" s="473">
        <v>8.6999999999999993</v>
      </c>
      <c r="L246" s="523">
        <v>8.6999999999999993</v>
      </c>
      <c r="M246" s="525">
        <v>857.09043083074675</v>
      </c>
      <c r="N246" s="526">
        <v>2229.2428871779566</v>
      </c>
      <c r="O246" s="527">
        <v>386.96999999999997</v>
      </c>
      <c r="P246" s="527">
        <v>85.133399999999995</v>
      </c>
      <c r="Q246" s="527">
        <v>76.814472730528706</v>
      </c>
      <c r="R246" s="527">
        <v>348.96000000000004</v>
      </c>
      <c r="S246" s="527">
        <v>857.09043083074675</v>
      </c>
      <c r="T246" s="527">
        <v>369.45317813784197</v>
      </c>
      <c r="U246" s="527">
        <v>104.82140547883935</v>
      </c>
      <c r="V246" s="528">
        <v>2229.2428871779571</v>
      </c>
      <c r="W246" s="529">
        <v>0.88628895951675657</v>
      </c>
      <c r="Y246" s="529">
        <v>0</v>
      </c>
      <c r="Z246" s="466">
        <v>2</v>
      </c>
    </row>
    <row r="247" spans="1:26" x14ac:dyDescent="0.3">
      <c r="A247" s="489">
        <v>150000882</v>
      </c>
      <c r="B247" s="467" t="s">
        <v>330</v>
      </c>
      <c r="C247" s="509">
        <v>289.24</v>
      </c>
      <c r="D247" s="509">
        <v>59.03</v>
      </c>
      <c r="E247" s="524">
        <v>0</v>
      </c>
      <c r="F247" s="524">
        <v>178.2</v>
      </c>
      <c r="G247" s="473">
        <v>360.86</v>
      </c>
      <c r="H247" s="523">
        <v>360.86</v>
      </c>
      <c r="I247" s="473"/>
      <c r="J247" s="523">
        <v>0</v>
      </c>
      <c r="K247" s="473">
        <v>90.12</v>
      </c>
      <c r="L247" s="523">
        <v>90.12</v>
      </c>
      <c r="M247" s="525">
        <v>1072.4391228076231</v>
      </c>
      <c r="N247" s="526">
        <v>2879.7833020010721</v>
      </c>
      <c r="O247" s="527">
        <v>526.47</v>
      </c>
      <c r="P247" s="527">
        <v>115.82339999999999</v>
      </c>
      <c r="Q247" s="527">
        <v>72.478963244951302</v>
      </c>
      <c r="R247" s="527">
        <v>450.98</v>
      </c>
      <c r="S247" s="527">
        <v>1072.4391228076231</v>
      </c>
      <c r="T247" s="527">
        <v>502.63848539739428</v>
      </c>
      <c r="U247" s="527">
        <v>138.95333055110376</v>
      </c>
      <c r="V247" s="528">
        <v>2879.7833020010721</v>
      </c>
      <c r="W247" s="529">
        <v>1.0945072207642252</v>
      </c>
      <c r="Y247" s="529">
        <v>0</v>
      </c>
      <c r="Z247" s="466">
        <v>2</v>
      </c>
    </row>
    <row r="248" spans="1:26" x14ac:dyDescent="0.3">
      <c r="A248" s="489">
        <v>150000883</v>
      </c>
      <c r="B248" s="467" t="s">
        <v>331</v>
      </c>
      <c r="C248" s="509">
        <v>207.5</v>
      </c>
      <c r="D248" s="509">
        <v>35.11</v>
      </c>
      <c r="E248" s="524">
        <v>0</v>
      </c>
      <c r="F248" s="524">
        <v>95.27</v>
      </c>
      <c r="G248" s="473">
        <v>228.91</v>
      </c>
      <c r="H248" s="523">
        <v>228.91</v>
      </c>
      <c r="I248" s="473"/>
      <c r="J248" s="523">
        <v>0</v>
      </c>
      <c r="K248" s="473">
        <v>65.69</v>
      </c>
      <c r="L248" s="523">
        <v>65.69</v>
      </c>
      <c r="M248" s="525">
        <v>659.88195413348842</v>
      </c>
      <c r="N248" s="526">
        <v>1831.1208591427594</v>
      </c>
      <c r="O248" s="527">
        <v>337.88</v>
      </c>
      <c r="P248" s="527">
        <v>74.333600000000004</v>
      </c>
      <c r="Q248" s="527">
        <v>52.032326915845196</v>
      </c>
      <c r="R248" s="527">
        <v>294.60000000000002</v>
      </c>
      <c r="S248" s="527">
        <v>659.88195413348842</v>
      </c>
      <c r="T248" s="527">
        <v>322.58531624987478</v>
      </c>
      <c r="U248" s="527">
        <v>89.807661843550974</v>
      </c>
      <c r="V248" s="528">
        <v>1831.1208591427592</v>
      </c>
      <c r="W248" s="529">
        <v>1.3442516528142041</v>
      </c>
      <c r="Y248" s="529">
        <v>0</v>
      </c>
      <c r="Z248" s="466">
        <v>2</v>
      </c>
    </row>
    <row r="249" spans="1:26" x14ac:dyDescent="0.3">
      <c r="A249" s="489">
        <v>150000884</v>
      </c>
      <c r="B249" s="467" t="s">
        <v>332</v>
      </c>
      <c r="C249" s="509">
        <v>372.37</v>
      </c>
      <c r="D249" s="509">
        <v>77.34</v>
      </c>
      <c r="E249" s="524">
        <v>0</v>
      </c>
      <c r="F249" s="524">
        <v>236.59</v>
      </c>
      <c r="G249" s="473">
        <v>391.89</v>
      </c>
      <c r="H249" s="523">
        <v>391.89</v>
      </c>
      <c r="I249" s="473"/>
      <c r="J249" s="523">
        <v>0</v>
      </c>
      <c r="K249" s="473">
        <v>100.88</v>
      </c>
      <c r="L249" s="523">
        <v>100.88</v>
      </c>
      <c r="M249" s="525">
        <v>1211.6103128275254</v>
      </c>
      <c r="N249" s="526">
        <v>3461.3678635346319</v>
      </c>
      <c r="O249" s="527">
        <v>686.30000000000007</v>
      </c>
      <c r="P249" s="527">
        <v>150.98600000000002</v>
      </c>
      <c r="Q249" s="527">
        <v>84.472658606490299</v>
      </c>
      <c r="R249" s="527">
        <v>492.77</v>
      </c>
      <c r="S249" s="527">
        <v>1211.6103128275254</v>
      </c>
      <c r="T249" s="527">
        <v>655.23352238158236</v>
      </c>
      <c r="U249" s="527">
        <v>179.99536971903382</v>
      </c>
      <c r="V249" s="528">
        <v>3461.3678635346323</v>
      </c>
      <c r="W249" s="529">
        <v>1.0787774640007364</v>
      </c>
      <c r="Y249" s="529">
        <v>0</v>
      </c>
      <c r="Z249" s="466">
        <v>2</v>
      </c>
    </row>
    <row r="250" spans="1:26" x14ac:dyDescent="0.3">
      <c r="A250" s="489">
        <v>150000885</v>
      </c>
      <c r="B250" s="467" t="s">
        <v>238</v>
      </c>
      <c r="C250" s="509">
        <v>178.98</v>
      </c>
      <c r="D250" s="509">
        <v>31.46</v>
      </c>
      <c r="E250" s="524">
        <v>0</v>
      </c>
      <c r="F250" s="524">
        <v>90.52</v>
      </c>
      <c r="G250" s="473">
        <v>181.62</v>
      </c>
      <c r="H250" s="523">
        <v>181.62</v>
      </c>
      <c r="I250" s="473"/>
      <c r="J250" s="523">
        <v>0</v>
      </c>
      <c r="K250" s="473">
        <v>65.69</v>
      </c>
      <c r="L250" s="523">
        <v>65.69</v>
      </c>
      <c r="M250" s="525">
        <v>532.55481746056137</v>
      </c>
      <c r="N250" s="526">
        <v>1561.8626114118715</v>
      </c>
      <c r="O250" s="527">
        <v>300.95999999999998</v>
      </c>
      <c r="P250" s="527">
        <v>66.211199999999991</v>
      </c>
      <c r="Q250" s="527">
        <v>47.377923088004707</v>
      </c>
      <c r="R250" s="527">
        <v>247.31</v>
      </c>
      <c r="S250" s="527">
        <v>532.55481746056137</v>
      </c>
      <c r="T250" s="527">
        <v>287.3365596618986</v>
      </c>
      <c r="U250" s="527">
        <v>80.112111201406677</v>
      </c>
      <c r="V250" s="528">
        <v>1561.8626114118715</v>
      </c>
      <c r="W250" s="529">
        <v>3.9941812136325854E-2</v>
      </c>
      <c r="Y250" s="529"/>
      <c r="Z250" s="466">
        <v>3</v>
      </c>
    </row>
    <row r="251" spans="1:26" x14ac:dyDescent="0.3">
      <c r="A251" s="489">
        <v>150000886</v>
      </c>
      <c r="B251" s="467" t="s">
        <v>396</v>
      </c>
      <c r="C251" s="509">
        <v>228.81</v>
      </c>
      <c r="D251" s="509">
        <v>33.630000000000003</v>
      </c>
      <c r="E251" s="524">
        <v>13.19</v>
      </c>
      <c r="F251" s="524">
        <v>114.59</v>
      </c>
      <c r="G251" s="473">
        <v>240.54</v>
      </c>
      <c r="H251" s="523">
        <v>240.54</v>
      </c>
      <c r="I251" s="473">
        <v>60.88</v>
      </c>
      <c r="J251" s="523">
        <v>60.88</v>
      </c>
      <c r="K251" s="473">
        <v>25</v>
      </c>
      <c r="L251" s="523">
        <v>25</v>
      </c>
      <c r="M251" s="525">
        <v>760.12526123651242</v>
      </c>
      <c r="N251" s="526">
        <v>2108.2743350960682</v>
      </c>
      <c r="O251" s="527">
        <v>390.22</v>
      </c>
      <c r="P251" s="527">
        <v>85.848399999999998</v>
      </c>
      <c r="Q251" s="527">
        <v>68.433123609088398</v>
      </c>
      <c r="R251" s="527">
        <v>326.42</v>
      </c>
      <c r="S251" s="527">
        <v>760.12526123651242</v>
      </c>
      <c r="T251" s="527">
        <v>372.55606164030462</v>
      </c>
      <c r="U251" s="527">
        <v>104.67148861016283</v>
      </c>
      <c r="V251" s="528">
        <v>2108.2743350960682</v>
      </c>
      <c r="W251" s="529">
        <v>4.7787170561909495E-2</v>
      </c>
      <c r="Y251" s="529"/>
      <c r="Z251" s="466">
        <v>3</v>
      </c>
    </row>
    <row r="252" spans="1:26" x14ac:dyDescent="0.3">
      <c r="A252" s="489">
        <v>150000887</v>
      </c>
      <c r="B252" s="467" t="s">
        <v>397</v>
      </c>
      <c r="C252" s="509">
        <v>781.01</v>
      </c>
      <c r="D252" s="509">
        <v>121.7</v>
      </c>
      <c r="E252" s="524">
        <v>39.56</v>
      </c>
      <c r="F252" s="524">
        <v>320.99</v>
      </c>
      <c r="G252" s="473">
        <v>796.01</v>
      </c>
      <c r="H252" s="523">
        <v>796.01</v>
      </c>
      <c r="I252" s="473">
        <v>168.89</v>
      </c>
      <c r="J252" s="523">
        <v>168.89</v>
      </c>
      <c r="K252" s="473">
        <v>100.13</v>
      </c>
      <c r="L252" s="523">
        <v>100.13</v>
      </c>
      <c r="M252" s="525">
        <v>2287.7943514196463</v>
      </c>
      <c r="N252" s="526">
        <v>6558.9841947608111</v>
      </c>
      <c r="O252" s="527">
        <v>1263.26</v>
      </c>
      <c r="P252" s="527">
        <v>277.91720000000004</v>
      </c>
      <c r="Q252" s="527">
        <v>130.44967827715971</v>
      </c>
      <c r="R252" s="527">
        <v>1065.03</v>
      </c>
      <c r="S252" s="527">
        <v>2287.7943514196463</v>
      </c>
      <c r="T252" s="527">
        <v>1206.0764964064663</v>
      </c>
      <c r="U252" s="527">
        <v>328.45646865753747</v>
      </c>
      <c r="V252" s="528">
        <v>6558.9841947608102</v>
      </c>
      <c r="W252" s="529">
        <v>3.9495314811770509E-2</v>
      </c>
      <c r="Y252" s="529"/>
      <c r="Z252" s="466">
        <v>3</v>
      </c>
    </row>
    <row r="253" spans="1:26" x14ac:dyDescent="0.3">
      <c r="A253" s="489">
        <v>150000888</v>
      </c>
      <c r="B253" s="467" t="s">
        <v>313</v>
      </c>
      <c r="C253" s="509">
        <v>371.35</v>
      </c>
      <c r="D253" s="509">
        <v>77.16</v>
      </c>
      <c r="E253" s="524">
        <v>0</v>
      </c>
      <c r="F253" s="524">
        <v>235.15</v>
      </c>
      <c r="G253" s="473">
        <v>382.56</v>
      </c>
      <c r="H253" s="523">
        <v>382.56</v>
      </c>
      <c r="I253" s="473"/>
      <c r="J253" s="523">
        <v>0</v>
      </c>
      <c r="K253" s="473">
        <v>99.5</v>
      </c>
      <c r="L253" s="523">
        <v>99.5</v>
      </c>
      <c r="M253" s="525">
        <v>1202.4208382240811</v>
      </c>
      <c r="N253" s="526">
        <v>3434.8936274722355</v>
      </c>
      <c r="O253" s="527">
        <v>683.66</v>
      </c>
      <c r="P253" s="527">
        <v>150.40520000000001</v>
      </c>
      <c r="Q253" s="527">
        <v>84.312747641721302</v>
      </c>
      <c r="R253" s="527">
        <v>482.06</v>
      </c>
      <c r="S253" s="527">
        <v>1202.4208382240811</v>
      </c>
      <c r="T253" s="527">
        <v>652.71302624419729</v>
      </c>
      <c r="U253" s="527">
        <v>179.32181536223587</v>
      </c>
      <c r="V253" s="528">
        <v>3434.8936274722359</v>
      </c>
      <c r="W253" s="529">
        <v>2.9469487887151178E-2</v>
      </c>
      <c r="Y253" s="529"/>
      <c r="Z253" s="466">
        <v>3</v>
      </c>
    </row>
    <row r="254" spans="1:26" x14ac:dyDescent="0.3">
      <c r="A254" s="489">
        <v>150000889</v>
      </c>
      <c r="B254" s="467" t="s">
        <v>427</v>
      </c>
      <c r="C254" s="509">
        <v>741.81</v>
      </c>
      <c r="D254" s="509">
        <v>119.13</v>
      </c>
      <c r="E254" s="524">
        <v>29.97</v>
      </c>
      <c r="F254" s="524">
        <v>192.31</v>
      </c>
      <c r="G254" s="473">
        <v>568.88</v>
      </c>
      <c r="H254" s="523">
        <v>568.88</v>
      </c>
      <c r="I254" s="473">
        <v>131.99</v>
      </c>
      <c r="J254" s="523">
        <v>131.99</v>
      </c>
      <c r="K254" s="473">
        <v>75.709999999999994</v>
      </c>
      <c r="L254" s="523">
        <v>75.709999999999994</v>
      </c>
      <c r="M254" s="525">
        <v>1872.878349016361</v>
      </c>
      <c r="N254" s="526">
        <v>5419.1784317173078</v>
      </c>
      <c r="O254" s="527">
        <v>1083.22</v>
      </c>
      <c r="P254" s="527">
        <v>238.30840000000001</v>
      </c>
      <c r="Q254" s="527">
        <v>130.2601813936802</v>
      </c>
      <c r="R254" s="527">
        <v>776.58</v>
      </c>
      <c r="S254" s="527">
        <v>1872.878349016361</v>
      </c>
      <c r="T254" s="527">
        <v>1034.186297703887</v>
      </c>
      <c r="U254" s="527">
        <v>283.74520360337874</v>
      </c>
      <c r="V254" s="528">
        <v>5419.1784317173078</v>
      </c>
      <c r="W254" s="529">
        <v>3.9809444904722449E-2</v>
      </c>
      <c r="Y254" s="529"/>
      <c r="Z254" s="466">
        <v>3</v>
      </c>
    </row>
    <row r="255" spans="1:26" x14ac:dyDescent="0.3">
      <c r="A255" s="489">
        <v>150000890</v>
      </c>
      <c r="B255" s="467" t="s">
        <v>398</v>
      </c>
      <c r="C255" s="509">
        <v>691.12</v>
      </c>
      <c r="D255" s="509">
        <v>137.88999999999999</v>
      </c>
      <c r="E255" s="524">
        <v>52.75</v>
      </c>
      <c r="F255" s="524">
        <v>458.15</v>
      </c>
      <c r="G255" s="473">
        <v>1044.78</v>
      </c>
      <c r="H255" s="523">
        <v>1044.78</v>
      </c>
      <c r="I255" s="473">
        <v>246.15</v>
      </c>
      <c r="J255" s="523">
        <v>246.15</v>
      </c>
      <c r="K255" s="473">
        <v>133.34</v>
      </c>
      <c r="L255" s="523">
        <v>133.34</v>
      </c>
      <c r="M255" s="525">
        <v>3010.7911421761701</v>
      </c>
      <c r="N255" s="526">
        <v>7856.5892556627905</v>
      </c>
      <c r="O255" s="527">
        <v>1339.9099999999999</v>
      </c>
      <c r="P255" s="527">
        <v>294.78020000000004</v>
      </c>
      <c r="Q255" s="527">
        <v>157.0611363771188</v>
      </c>
      <c r="R255" s="527">
        <v>1424.27</v>
      </c>
      <c r="S255" s="527">
        <v>3010.7911421761701</v>
      </c>
      <c r="T255" s="527">
        <v>1279.2568103953172</v>
      </c>
      <c r="U255" s="527">
        <v>350.5199667141851</v>
      </c>
      <c r="V255" s="528">
        <v>7856.5892556627914</v>
      </c>
      <c r="W255" s="529">
        <v>1.5435652608689647</v>
      </c>
      <c r="Y255" s="529">
        <v>0</v>
      </c>
      <c r="Z255" s="466">
        <v>3</v>
      </c>
    </row>
    <row r="256" spans="1:26" x14ac:dyDescent="0.3">
      <c r="A256" s="489">
        <v>150000891</v>
      </c>
      <c r="B256" s="467" t="s">
        <v>189</v>
      </c>
      <c r="C256" s="509">
        <v>31.83</v>
      </c>
      <c r="D256" s="509">
        <v>10.35</v>
      </c>
      <c r="E256" s="524">
        <v>0</v>
      </c>
      <c r="F256" s="524">
        <v>0.99</v>
      </c>
      <c r="G256" s="473"/>
      <c r="H256" s="523">
        <v>0</v>
      </c>
      <c r="I256" s="473"/>
      <c r="J256" s="523">
        <v>0</v>
      </c>
      <c r="K256" s="473">
        <v>113.03399999999999</v>
      </c>
      <c r="L256" s="523">
        <v>113.03399999999999</v>
      </c>
      <c r="M256" s="525">
        <v>104.85051558005135</v>
      </c>
      <c r="N256" s="526">
        <v>324.98184608845014</v>
      </c>
      <c r="O256" s="527">
        <v>43.17</v>
      </c>
      <c r="P256" s="527">
        <v>9.4974000000000007</v>
      </c>
      <c r="Q256" s="527">
        <v>2.2424566876455452</v>
      </c>
      <c r="R256" s="527">
        <v>113.03399999999999</v>
      </c>
      <c r="S256" s="527">
        <v>104.85051558005135</v>
      </c>
      <c r="T256" s="527">
        <v>41.215840246558223</v>
      </c>
      <c r="U256" s="527">
        <v>10.971633574195041</v>
      </c>
      <c r="V256" s="528">
        <v>324.98184608845014</v>
      </c>
      <c r="W256" s="529">
        <v>1.1245362264429624</v>
      </c>
      <c r="Y256" s="529">
        <v>0</v>
      </c>
      <c r="Z256" s="466">
        <v>2</v>
      </c>
    </row>
    <row r="257" spans="1:26" x14ac:dyDescent="0.3">
      <c r="A257" s="489">
        <v>150000892</v>
      </c>
      <c r="B257" s="467" t="s">
        <v>400</v>
      </c>
      <c r="C257" s="509">
        <v>558.41</v>
      </c>
      <c r="D257" s="509">
        <v>92.03</v>
      </c>
      <c r="E257" s="524">
        <v>26.37</v>
      </c>
      <c r="F257" s="524">
        <v>176.83</v>
      </c>
      <c r="G257" s="473">
        <v>449.56</v>
      </c>
      <c r="H257" s="523">
        <v>449.56</v>
      </c>
      <c r="I257" s="473">
        <v>111.24</v>
      </c>
      <c r="J257" s="523">
        <v>111.24</v>
      </c>
      <c r="K257" s="473">
        <v>66.94</v>
      </c>
      <c r="L257" s="523">
        <v>66.94</v>
      </c>
      <c r="M257" s="525">
        <v>1480.1147171480163</v>
      </c>
      <c r="N257" s="526">
        <v>4277.9122541938686</v>
      </c>
      <c r="O257" s="527">
        <v>853.64</v>
      </c>
      <c r="P257" s="527">
        <v>187.80080000000001</v>
      </c>
      <c r="Q257" s="527">
        <v>91.305622087023409</v>
      </c>
      <c r="R257" s="527">
        <v>627.74</v>
      </c>
      <c r="S257" s="527">
        <v>1480.1147171480163</v>
      </c>
      <c r="T257" s="527">
        <v>814.99860708992276</v>
      </c>
      <c r="U257" s="527">
        <v>222.31250786890638</v>
      </c>
      <c r="V257" s="528">
        <v>4277.9122541938696</v>
      </c>
      <c r="W257" s="529">
        <v>1.401170397767268</v>
      </c>
      <c r="Y257" s="529">
        <v>0</v>
      </c>
      <c r="Z257" s="466">
        <v>2</v>
      </c>
    </row>
    <row r="258" spans="1:26" x14ac:dyDescent="0.3">
      <c r="A258" s="489">
        <v>150000893</v>
      </c>
      <c r="B258" s="467" t="s">
        <v>314</v>
      </c>
      <c r="C258" s="509">
        <v>352.41</v>
      </c>
      <c r="D258" s="509">
        <v>67.41</v>
      </c>
      <c r="E258" s="524">
        <v>23.98</v>
      </c>
      <c r="F258" s="524">
        <v>219.48</v>
      </c>
      <c r="G258" s="473">
        <v>332.47</v>
      </c>
      <c r="H258" s="523">
        <v>332.47</v>
      </c>
      <c r="I258" s="473"/>
      <c r="J258" s="523">
        <v>0</v>
      </c>
      <c r="K258" s="473">
        <v>75.650000000000006</v>
      </c>
      <c r="L258" s="523">
        <v>75.650000000000006</v>
      </c>
      <c r="M258" s="525">
        <v>979.55737232759861</v>
      </c>
      <c r="N258" s="526">
        <v>3086.1334628897512</v>
      </c>
      <c r="O258" s="527">
        <v>663.28000000000009</v>
      </c>
      <c r="P258" s="527">
        <v>145.92160000000001</v>
      </c>
      <c r="Q258" s="527">
        <v>81.999842414823206</v>
      </c>
      <c r="R258" s="527">
        <v>408.12</v>
      </c>
      <c r="S258" s="527">
        <v>979.55737232759861</v>
      </c>
      <c r="T258" s="527">
        <v>633.2555598502928</v>
      </c>
      <c r="U258" s="527">
        <v>173.99908829703631</v>
      </c>
      <c r="V258" s="528">
        <v>3086.1334628897512</v>
      </c>
      <c r="W258" s="529">
        <v>1.1619668828795562</v>
      </c>
      <c r="Y258" s="529">
        <v>0</v>
      </c>
      <c r="Z258" s="466">
        <v>2</v>
      </c>
    </row>
    <row r="259" spans="1:26" x14ac:dyDescent="0.3">
      <c r="A259" s="489">
        <v>150000894</v>
      </c>
      <c r="B259" s="467" t="s">
        <v>315</v>
      </c>
      <c r="C259" s="509">
        <v>490.65</v>
      </c>
      <c r="D259" s="509">
        <v>114.97</v>
      </c>
      <c r="E259" s="524">
        <v>35.96</v>
      </c>
      <c r="F259" s="524">
        <v>414.51</v>
      </c>
      <c r="G259" s="473">
        <v>468.55</v>
      </c>
      <c r="H259" s="523">
        <v>468.55</v>
      </c>
      <c r="I259" s="473"/>
      <c r="J259" s="523">
        <v>0</v>
      </c>
      <c r="K259" s="473">
        <v>113.9</v>
      </c>
      <c r="L259" s="523">
        <v>113.9</v>
      </c>
      <c r="M259" s="525">
        <v>1506.5500456020504</v>
      </c>
      <c r="N259" s="526">
        <v>4776.1902116479614</v>
      </c>
      <c r="O259" s="527">
        <v>1056.0900000000001</v>
      </c>
      <c r="P259" s="527">
        <v>232.33980000000003</v>
      </c>
      <c r="Q259" s="527">
        <v>115.18559543809189</v>
      </c>
      <c r="R259" s="527">
        <v>582.45000000000005</v>
      </c>
      <c r="S259" s="527">
        <v>1506.5500456020504</v>
      </c>
      <c r="T259" s="527">
        <v>1008.2843809587139</v>
      </c>
      <c r="U259" s="527">
        <v>275.29038964910478</v>
      </c>
      <c r="V259" s="528">
        <v>4776.1902116479614</v>
      </c>
      <c r="W259" s="529">
        <v>1.1078734532448375</v>
      </c>
      <c r="Y259" s="529">
        <v>0</v>
      </c>
      <c r="Z259" s="466">
        <v>2</v>
      </c>
    </row>
    <row r="260" spans="1:26" x14ac:dyDescent="0.3">
      <c r="A260" s="489">
        <v>150000895</v>
      </c>
      <c r="B260" s="467" t="s">
        <v>316</v>
      </c>
      <c r="C260" s="509">
        <v>349.39</v>
      </c>
      <c r="D260" s="509">
        <v>66.680000000000007</v>
      </c>
      <c r="E260" s="524">
        <v>0</v>
      </c>
      <c r="F260" s="524">
        <v>212.22</v>
      </c>
      <c r="G260" s="473">
        <v>330.42</v>
      </c>
      <c r="H260" s="523">
        <v>330.42</v>
      </c>
      <c r="I260" s="473"/>
      <c r="J260" s="523">
        <v>0</v>
      </c>
      <c r="K260" s="473">
        <v>96.3</v>
      </c>
      <c r="L260" s="523">
        <v>96.3</v>
      </c>
      <c r="M260" s="525">
        <v>976.81371376045945</v>
      </c>
      <c r="N260" s="526">
        <v>3013.2411141318335</v>
      </c>
      <c r="O260" s="527">
        <v>628.29</v>
      </c>
      <c r="P260" s="527">
        <v>138.22379999999998</v>
      </c>
      <c r="Q260" s="527">
        <v>78.436972348474399</v>
      </c>
      <c r="R260" s="527">
        <v>426.72</v>
      </c>
      <c r="S260" s="527">
        <v>976.81371376045945</v>
      </c>
      <c r="T260" s="527">
        <v>599.84943869608685</v>
      </c>
      <c r="U260" s="527">
        <v>164.90718932681301</v>
      </c>
      <c r="V260" s="528">
        <v>3013.2411141318339</v>
      </c>
      <c r="W260" s="529">
        <v>1.0208321031000194</v>
      </c>
      <c r="Y260" s="529">
        <v>0</v>
      </c>
      <c r="Z260" s="466">
        <v>2</v>
      </c>
    </row>
    <row r="261" spans="1:26" x14ac:dyDescent="0.3">
      <c r="A261" s="489">
        <v>150000896</v>
      </c>
      <c r="B261" s="467" t="s">
        <v>317</v>
      </c>
      <c r="C261" s="509">
        <v>353.81</v>
      </c>
      <c r="D261" s="509">
        <v>67.41</v>
      </c>
      <c r="E261" s="524">
        <v>0</v>
      </c>
      <c r="F261" s="524">
        <v>218.92</v>
      </c>
      <c r="G261" s="473">
        <v>339.47</v>
      </c>
      <c r="H261" s="523">
        <v>339.47</v>
      </c>
      <c r="I261" s="473"/>
      <c r="J261" s="523">
        <v>0</v>
      </c>
      <c r="K261" s="473">
        <v>65.7</v>
      </c>
      <c r="L261" s="523">
        <v>65.7</v>
      </c>
      <c r="M261" s="525">
        <v>966.35574246883129</v>
      </c>
      <c r="N261" s="526">
        <v>3011.1414266101974</v>
      </c>
      <c r="O261" s="527">
        <v>640.14</v>
      </c>
      <c r="P261" s="527">
        <v>140.83080000000001</v>
      </c>
      <c r="Q261" s="527">
        <v>79.510698091965693</v>
      </c>
      <c r="R261" s="527">
        <v>405.17</v>
      </c>
      <c r="S261" s="527">
        <v>966.35574246883129</v>
      </c>
      <c r="T261" s="527">
        <v>611.16302931275845</v>
      </c>
      <c r="U261" s="527">
        <v>167.97115673664177</v>
      </c>
      <c r="V261" s="528">
        <v>3011.141426610197</v>
      </c>
      <c r="W261" s="529">
        <v>1.0950243194141422</v>
      </c>
      <c r="Y261" s="529">
        <v>0</v>
      </c>
      <c r="Z261" s="466">
        <v>2</v>
      </c>
    </row>
    <row r="262" spans="1:26" x14ac:dyDescent="0.3">
      <c r="A262" s="489">
        <v>150000898</v>
      </c>
      <c r="B262" s="467" t="s">
        <v>190</v>
      </c>
      <c r="C262" s="509">
        <v>64.86</v>
      </c>
      <c r="D262" s="509">
        <v>14.9</v>
      </c>
      <c r="E262" s="524">
        <v>0</v>
      </c>
      <c r="F262" s="524">
        <v>21.12</v>
      </c>
      <c r="G262" s="473">
        <v>53.61</v>
      </c>
      <c r="H262" s="523">
        <v>53.61</v>
      </c>
      <c r="I262" s="473"/>
      <c r="J262" s="523">
        <v>0</v>
      </c>
      <c r="K262" s="473">
        <v>70.790000000000006</v>
      </c>
      <c r="L262" s="523">
        <v>70.790000000000006</v>
      </c>
      <c r="M262" s="525">
        <v>168.218338902135</v>
      </c>
      <c r="N262" s="526">
        <v>552.73889290257625</v>
      </c>
      <c r="O262" s="527">
        <v>100.88000000000001</v>
      </c>
      <c r="P262" s="527">
        <v>22.1936</v>
      </c>
      <c r="Q262" s="527">
        <v>14.085284438211929</v>
      </c>
      <c r="R262" s="527">
        <v>124.4</v>
      </c>
      <c r="S262" s="527">
        <v>168.218338902135</v>
      </c>
      <c r="T262" s="527">
        <v>96.313503916441832</v>
      </c>
      <c r="U262" s="527">
        <v>26.648165645787429</v>
      </c>
      <c r="V262" s="528">
        <v>552.73889290257625</v>
      </c>
      <c r="W262" s="529">
        <v>1.0203951128879383</v>
      </c>
      <c r="Y262" s="529">
        <v>0</v>
      </c>
      <c r="Z262" s="466">
        <v>2</v>
      </c>
    </row>
    <row r="263" spans="1:26" x14ac:dyDescent="0.3">
      <c r="A263" s="489">
        <v>150000899</v>
      </c>
      <c r="B263" s="467" t="s">
        <v>402</v>
      </c>
      <c r="C263" s="509">
        <v>855.06</v>
      </c>
      <c r="D263" s="509">
        <v>139.65</v>
      </c>
      <c r="E263" s="524">
        <v>39.56</v>
      </c>
      <c r="F263" s="524">
        <v>302.81</v>
      </c>
      <c r="G263" s="473">
        <v>666.6</v>
      </c>
      <c r="H263" s="523">
        <v>666.6</v>
      </c>
      <c r="I263" s="473">
        <v>163.18</v>
      </c>
      <c r="J263" s="523">
        <v>163.18</v>
      </c>
      <c r="K263" s="473">
        <v>75.709999999999994</v>
      </c>
      <c r="L263" s="523">
        <v>75.709999999999994</v>
      </c>
      <c r="M263" s="525">
        <v>2213.4554570219502</v>
      </c>
      <c r="N263" s="526">
        <v>6506.6993859775957</v>
      </c>
      <c r="O263" s="527">
        <v>1337.08</v>
      </c>
      <c r="P263" s="527">
        <v>294.1576</v>
      </c>
      <c r="Q263" s="527">
        <v>132.90145865646258</v>
      </c>
      <c r="R263" s="527">
        <v>905.49</v>
      </c>
      <c r="S263" s="527">
        <v>2213.4554570219502</v>
      </c>
      <c r="T263" s="527">
        <v>1276.5549149147109</v>
      </c>
      <c r="U263" s="527">
        <v>347.05995538447178</v>
      </c>
      <c r="V263" s="528">
        <v>6506.6993859775957</v>
      </c>
      <c r="W263" s="529">
        <v>1.0068886599595253</v>
      </c>
      <c r="Y263" s="529">
        <v>0</v>
      </c>
      <c r="Z263" s="466">
        <v>2</v>
      </c>
    </row>
    <row r="264" spans="1:26" x14ac:dyDescent="0.3">
      <c r="A264" s="489">
        <v>150000900</v>
      </c>
      <c r="B264" s="467" t="s">
        <v>425</v>
      </c>
      <c r="C264" s="509">
        <v>379.95</v>
      </c>
      <c r="D264" s="509">
        <v>49.68</v>
      </c>
      <c r="E264" s="524">
        <v>26.97</v>
      </c>
      <c r="F264" s="524">
        <v>166.18</v>
      </c>
      <c r="G264" s="473">
        <v>428.79</v>
      </c>
      <c r="H264" s="523">
        <v>428.79</v>
      </c>
      <c r="I264" s="473">
        <v>109.05</v>
      </c>
      <c r="J264" s="523">
        <v>109.05</v>
      </c>
      <c r="K264" s="473"/>
      <c r="L264" s="523">
        <v>0</v>
      </c>
      <c r="M264" s="525">
        <v>1552.7717844759861</v>
      </c>
      <c r="N264" s="526">
        <v>3695.4332101622422</v>
      </c>
      <c r="O264" s="527">
        <v>622.78</v>
      </c>
      <c r="P264" s="527">
        <v>137.01159999999999</v>
      </c>
      <c r="Q264" s="527">
        <v>86.034324462708298</v>
      </c>
      <c r="R264" s="527">
        <v>537.84</v>
      </c>
      <c r="S264" s="527">
        <v>1552.7717844759861</v>
      </c>
      <c r="T264" s="527">
        <v>594.58885774268083</v>
      </c>
      <c r="U264" s="527">
        <v>164.40664348086679</v>
      </c>
      <c r="V264" s="528">
        <v>3695.4332101622422</v>
      </c>
      <c r="W264" s="529">
        <v>1.0982958775307889</v>
      </c>
      <c r="Y264" s="529">
        <v>0</v>
      </c>
      <c r="Z264" s="466">
        <v>1</v>
      </c>
    </row>
    <row r="265" spans="1:26" x14ac:dyDescent="0.3">
      <c r="A265" s="489">
        <v>150000901</v>
      </c>
      <c r="B265" s="467" t="s">
        <v>424</v>
      </c>
      <c r="C265" s="509">
        <v>1152.4000000000001</v>
      </c>
      <c r="D265" s="509">
        <v>202.33</v>
      </c>
      <c r="E265" s="524">
        <v>56.34</v>
      </c>
      <c r="F265" s="524">
        <v>456.37</v>
      </c>
      <c r="G265" s="473">
        <v>973.48</v>
      </c>
      <c r="H265" s="523">
        <v>973.48</v>
      </c>
      <c r="I265" s="473">
        <v>240.14</v>
      </c>
      <c r="J265" s="523">
        <v>240.14</v>
      </c>
      <c r="K265" s="473">
        <v>133.34</v>
      </c>
      <c r="L265" s="523">
        <v>133.34</v>
      </c>
      <c r="M265" s="525">
        <v>3547.3723676638319</v>
      </c>
      <c r="N265" s="526">
        <v>9615.2278998605798</v>
      </c>
      <c r="O265" s="527">
        <v>1867.44</v>
      </c>
      <c r="P265" s="527">
        <v>410.83679999999993</v>
      </c>
      <c r="Q265" s="527">
        <v>176.07718018402011</v>
      </c>
      <c r="R265" s="527">
        <v>1346.9599999999998</v>
      </c>
      <c r="S265" s="527">
        <v>3547.3723676638319</v>
      </c>
      <c r="T265" s="527">
        <v>1782.907313181207</v>
      </c>
      <c r="U265" s="527">
        <v>483.63423883152024</v>
      </c>
      <c r="V265" s="528">
        <v>9615.2278998605798</v>
      </c>
      <c r="W265" s="529">
        <v>1.0096676970150764</v>
      </c>
      <c r="Y265" s="529">
        <v>0</v>
      </c>
      <c r="Z265" s="466">
        <v>1</v>
      </c>
    </row>
    <row r="266" spans="1:26" x14ac:dyDescent="0.3">
      <c r="A266" s="489">
        <v>150000902</v>
      </c>
      <c r="B266" s="467" t="s">
        <v>403</v>
      </c>
      <c r="C266" s="509">
        <v>361.58</v>
      </c>
      <c r="D266" s="509">
        <v>92.14</v>
      </c>
      <c r="E266" s="524">
        <v>26.37</v>
      </c>
      <c r="F266" s="524">
        <v>286.27999999999997</v>
      </c>
      <c r="G266" s="473">
        <v>386.49</v>
      </c>
      <c r="H266" s="523">
        <v>386.49</v>
      </c>
      <c r="I266" s="473">
        <v>95.33</v>
      </c>
      <c r="J266" s="523">
        <v>95.33</v>
      </c>
      <c r="K266" s="473">
        <v>50.66</v>
      </c>
      <c r="L266" s="523">
        <v>50.66</v>
      </c>
      <c r="M266" s="525">
        <v>1276.0862891552979</v>
      </c>
      <c r="N266" s="526">
        <v>3770.9694802026052</v>
      </c>
      <c r="O266" s="527">
        <v>766.36999999999989</v>
      </c>
      <c r="P266" s="527">
        <v>168.60140000000001</v>
      </c>
      <c r="Q266" s="527">
        <v>94.713500302495603</v>
      </c>
      <c r="R266" s="527">
        <v>532.48</v>
      </c>
      <c r="S266" s="527">
        <v>1276.0862891552979</v>
      </c>
      <c r="T266" s="527">
        <v>731.67902454840919</v>
      </c>
      <c r="U266" s="527">
        <v>201.03926619640288</v>
      </c>
      <c r="V266" s="528">
        <v>3770.9694802026056</v>
      </c>
      <c r="W266" s="529">
        <v>1.0515229544852995</v>
      </c>
      <c r="Y266" s="529">
        <v>0</v>
      </c>
      <c r="Z266" s="466">
        <v>1</v>
      </c>
    </row>
    <row r="267" spans="1:26" x14ac:dyDescent="0.3">
      <c r="A267" s="489">
        <v>150000903</v>
      </c>
      <c r="B267" s="467" t="s">
        <v>404</v>
      </c>
      <c r="C267" s="509">
        <v>364.16</v>
      </c>
      <c r="D267" s="509">
        <v>52.76</v>
      </c>
      <c r="E267" s="524">
        <v>26.37</v>
      </c>
      <c r="F267" s="524">
        <v>289.13</v>
      </c>
      <c r="G267" s="473">
        <v>444.9</v>
      </c>
      <c r="H267" s="523">
        <v>444.9</v>
      </c>
      <c r="I267" s="473">
        <v>114.89</v>
      </c>
      <c r="J267" s="523">
        <v>114.89</v>
      </c>
      <c r="K267" s="473">
        <v>50.66</v>
      </c>
      <c r="L267" s="523">
        <v>50.66</v>
      </c>
      <c r="M267" s="525">
        <v>1451.5735416638797</v>
      </c>
      <c r="N267" s="526">
        <v>3940.0553819267589</v>
      </c>
      <c r="O267" s="527">
        <v>732.42000000000007</v>
      </c>
      <c r="P267" s="527">
        <v>161.13240000000002</v>
      </c>
      <c r="Q267" s="527">
        <v>92.817808442725493</v>
      </c>
      <c r="R267" s="527">
        <v>610.44999999999993</v>
      </c>
      <c r="S267" s="527">
        <v>1451.5735416638797</v>
      </c>
      <c r="T267" s="527">
        <v>699.26582611499134</v>
      </c>
      <c r="U267" s="527">
        <v>192.3958057051629</v>
      </c>
      <c r="V267" s="528">
        <v>3940.0553819267589</v>
      </c>
      <c r="W267" s="529">
        <v>1.1241940480819417</v>
      </c>
      <c r="Y267" s="529">
        <v>0</v>
      </c>
      <c r="Z267" s="466">
        <v>1</v>
      </c>
    </row>
    <row r="268" spans="1:26" x14ac:dyDescent="0.3">
      <c r="A268" s="489">
        <v>150000904</v>
      </c>
      <c r="B268" s="467" t="s">
        <v>405</v>
      </c>
      <c r="C268" s="509">
        <v>540.32000000000005</v>
      </c>
      <c r="D268" s="509">
        <v>93.33</v>
      </c>
      <c r="E268" s="524">
        <v>26.37</v>
      </c>
      <c r="F268" s="524">
        <v>189.53</v>
      </c>
      <c r="G268" s="473">
        <v>473.17</v>
      </c>
      <c r="H268" s="523">
        <v>473.17</v>
      </c>
      <c r="I268" s="473">
        <v>114.07</v>
      </c>
      <c r="J268" s="523">
        <v>114.07</v>
      </c>
      <c r="K268" s="473">
        <v>50.66</v>
      </c>
      <c r="L268" s="523">
        <v>50.66</v>
      </c>
      <c r="M268" s="525">
        <v>1563.2796404688349</v>
      </c>
      <c r="N268" s="526">
        <v>4352.3119824217947</v>
      </c>
      <c r="O268" s="527">
        <v>849.55000000000007</v>
      </c>
      <c r="P268" s="527">
        <v>186.90099999999998</v>
      </c>
      <c r="Q268" s="527">
        <v>83.2138865542166</v>
      </c>
      <c r="R268" s="527">
        <v>637.9</v>
      </c>
      <c r="S268" s="527">
        <v>1563.2796404688349</v>
      </c>
      <c r="T268" s="527">
        <v>811.09374754374676</v>
      </c>
      <c r="U268" s="527">
        <v>220.37370785499672</v>
      </c>
      <c r="V268" s="528">
        <v>4352.3119824217947</v>
      </c>
      <c r="W268" s="529">
        <v>1.1154728742007769</v>
      </c>
      <c r="Y268" s="529">
        <v>0</v>
      </c>
      <c r="Z268" s="466">
        <v>1</v>
      </c>
    </row>
    <row r="269" spans="1:26" x14ac:dyDescent="0.3">
      <c r="A269" s="489">
        <v>150000905</v>
      </c>
      <c r="B269" s="467" t="s">
        <v>426</v>
      </c>
      <c r="C269" s="509">
        <v>392.29</v>
      </c>
      <c r="D269" s="509">
        <v>67.599999999999994</v>
      </c>
      <c r="E269" s="524">
        <v>26.97</v>
      </c>
      <c r="F269" s="524">
        <v>242.91</v>
      </c>
      <c r="G269" s="473">
        <v>556.64</v>
      </c>
      <c r="H269" s="523">
        <v>556.64</v>
      </c>
      <c r="I269" s="473">
        <v>129.33000000000001</v>
      </c>
      <c r="J269" s="523">
        <v>129.33000000000001</v>
      </c>
      <c r="K269" s="473"/>
      <c r="L269" s="523">
        <v>0</v>
      </c>
      <c r="M269" s="525">
        <v>1861.0200428976086</v>
      </c>
      <c r="N269" s="526">
        <v>4392.9622112569978</v>
      </c>
      <c r="O269" s="527">
        <v>729.77</v>
      </c>
      <c r="P269" s="527">
        <v>160.54939999999999</v>
      </c>
      <c r="Q269" s="527">
        <v>69.8055473328358</v>
      </c>
      <c r="R269" s="527">
        <v>685.97</v>
      </c>
      <c r="S269" s="527">
        <v>1861.0200428976086</v>
      </c>
      <c r="T269" s="527">
        <v>696.7357826437526</v>
      </c>
      <c r="U269" s="527">
        <v>189.11143838280063</v>
      </c>
      <c r="V269" s="528">
        <v>4392.9622112569978</v>
      </c>
      <c r="W269" s="529">
        <v>8.5714285714285715E-2</v>
      </c>
      <c r="Y269" s="529"/>
      <c r="Z269" s="466">
        <v>2</v>
      </c>
    </row>
    <row r="270" spans="1:26" x14ac:dyDescent="0.3">
      <c r="A270" s="489">
        <v>150000906</v>
      </c>
      <c r="B270" s="467" t="s">
        <v>406</v>
      </c>
      <c r="C270" s="509">
        <v>354.83</v>
      </c>
      <c r="D270" s="509">
        <v>91.98</v>
      </c>
      <c r="E270" s="524">
        <v>26.37</v>
      </c>
      <c r="F270" s="524">
        <v>285.32</v>
      </c>
      <c r="G270" s="473">
        <v>418.87</v>
      </c>
      <c r="H270" s="523">
        <v>418.87</v>
      </c>
      <c r="I270" s="473">
        <v>101.69</v>
      </c>
      <c r="J270" s="523">
        <v>101.69</v>
      </c>
      <c r="K270" s="473">
        <v>50.66</v>
      </c>
      <c r="L270" s="523">
        <v>50.66</v>
      </c>
      <c r="M270" s="525">
        <v>1402.6010178369163</v>
      </c>
      <c r="N270" s="526">
        <v>3916.7805992797093</v>
      </c>
      <c r="O270" s="527">
        <v>758.5</v>
      </c>
      <c r="P270" s="527">
        <v>166.87</v>
      </c>
      <c r="Q270" s="527">
        <v>94.376951659591896</v>
      </c>
      <c r="R270" s="527">
        <v>571.21999999999991</v>
      </c>
      <c r="S270" s="527">
        <v>1402.6010178369163</v>
      </c>
      <c r="T270" s="527">
        <v>724.1652728055227</v>
      </c>
      <c r="U270" s="527">
        <v>199.0473569776787</v>
      </c>
      <c r="V270" s="528">
        <v>3916.7805992797098</v>
      </c>
      <c r="W270" s="529">
        <v>0.98828293422589175</v>
      </c>
      <c r="Y270" s="529">
        <v>0</v>
      </c>
      <c r="Z270" s="466">
        <v>2</v>
      </c>
    </row>
    <row r="271" spans="1:26" x14ac:dyDescent="0.3">
      <c r="A271" s="489">
        <v>150000907</v>
      </c>
      <c r="B271" s="467" t="s">
        <v>407</v>
      </c>
      <c r="C271" s="509">
        <v>848.84</v>
      </c>
      <c r="D271" s="509">
        <v>139.9</v>
      </c>
      <c r="E271" s="524">
        <v>39.56</v>
      </c>
      <c r="F271" s="524">
        <v>306.04000000000002</v>
      </c>
      <c r="G271" s="473">
        <v>684.54</v>
      </c>
      <c r="H271" s="523">
        <v>684.54</v>
      </c>
      <c r="I271" s="473">
        <v>161.24</v>
      </c>
      <c r="J271" s="523">
        <v>161.24</v>
      </c>
      <c r="K271" s="473">
        <v>98.23</v>
      </c>
      <c r="L271" s="523">
        <v>98.23</v>
      </c>
      <c r="M271" s="525">
        <v>2247.5694662710293</v>
      </c>
      <c r="N271" s="526">
        <v>6569.1675781103777</v>
      </c>
      <c r="O271" s="527">
        <v>1334.34</v>
      </c>
      <c r="P271" s="527">
        <v>293.5548</v>
      </c>
      <c r="Q271" s="527">
        <v>129.73585266409961</v>
      </c>
      <c r="R271" s="527">
        <v>944.01</v>
      </c>
      <c r="S271" s="527">
        <v>2247.5694662710293</v>
      </c>
      <c r="T271" s="527">
        <v>1273.9389454387888</v>
      </c>
      <c r="U271" s="527">
        <v>346.01851373646048</v>
      </c>
      <c r="V271" s="528">
        <v>6569.1675781103786</v>
      </c>
      <c r="W271" s="529">
        <v>1.0215483830653393</v>
      </c>
      <c r="Y271" s="529">
        <v>0</v>
      </c>
      <c r="Z271" s="466">
        <v>2</v>
      </c>
    </row>
    <row r="272" spans="1:26" x14ac:dyDescent="0.3">
      <c r="A272" s="489">
        <v>150000908</v>
      </c>
      <c r="B272" s="467" t="s">
        <v>408</v>
      </c>
      <c r="C272" s="509">
        <v>846.68</v>
      </c>
      <c r="D272" s="509">
        <v>140.18</v>
      </c>
      <c r="E272" s="524">
        <v>39.56</v>
      </c>
      <c r="F272" s="524">
        <v>308.33999999999997</v>
      </c>
      <c r="G272" s="473">
        <v>686.19</v>
      </c>
      <c r="H272" s="523">
        <v>686.19</v>
      </c>
      <c r="I272" s="473">
        <v>161.16</v>
      </c>
      <c r="J272" s="523">
        <v>161.16</v>
      </c>
      <c r="K272" s="473">
        <v>75.709999999999994</v>
      </c>
      <c r="L272" s="523">
        <v>75.709999999999994</v>
      </c>
      <c r="M272" s="525">
        <v>2253.6197678905132</v>
      </c>
      <c r="N272" s="526">
        <v>6555.3814315305699</v>
      </c>
      <c r="O272" s="527">
        <v>1334.7599999999998</v>
      </c>
      <c r="P272" s="527">
        <v>293.6472</v>
      </c>
      <c r="Q272" s="527">
        <v>129.82193813432019</v>
      </c>
      <c r="R272" s="527">
        <v>923.06000000000006</v>
      </c>
      <c r="S272" s="527">
        <v>2253.6197678905132</v>
      </c>
      <c r="T272" s="527">
        <v>1274.3399334606452</v>
      </c>
      <c r="U272" s="527">
        <v>346.13259204509097</v>
      </c>
      <c r="V272" s="528">
        <v>6555.3814315305699</v>
      </c>
      <c r="W272" s="529">
        <v>1.0178789612489438</v>
      </c>
      <c r="Y272" s="529">
        <v>0</v>
      </c>
      <c r="Z272" s="466">
        <v>2</v>
      </c>
    </row>
    <row r="273" spans="1:26" x14ac:dyDescent="0.3">
      <c r="A273" s="489">
        <v>150000909</v>
      </c>
      <c r="B273" s="467" t="s">
        <v>409</v>
      </c>
      <c r="C273" s="509">
        <v>845.8</v>
      </c>
      <c r="D273" s="509">
        <v>139.41</v>
      </c>
      <c r="E273" s="524">
        <v>39.56</v>
      </c>
      <c r="F273" s="524">
        <v>302.01</v>
      </c>
      <c r="G273" s="473">
        <v>688.04</v>
      </c>
      <c r="H273" s="523">
        <v>688.04</v>
      </c>
      <c r="I273" s="473">
        <v>166.5</v>
      </c>
      <c r="J273" s="523">
        <v>166.5</v>
      </c>
      <c r="K273" s="473">
        <v>75.709999999999994</v>
      </c>
      <c r="L273" s="523">
        <v>75.709999999999994</v>
      </c>
      <c r="M273" s="525">
        <v>2257.3504309032337</v>
      </c>
      <c r="N273" s="526">
        <v>6546.3493341685789</v>
      </c>
      <c r="O273" s="527">
        <v>1326.78</v>
      </c>
      <c r="P273" s="527">
        <v>291.89159999999998</v>
      </c>
      <c r="Q273" s="527">
        <v>129.2676195703221</v>
      </c>
      <c r="R273" s="527">
        <v>930.25</v>
      </c>
      <c r="S273" s="527">
        <v>2257.3504309032337</v>
      </c>
      <c r="T273" s="527">
        <v>1266.7211610453678</v>
      </c>
      <c r="U273" s="527">
        <v>344.0885226496556</v>
      </c>
      <c r="V273" s="528">
        <v>6546.3493341685798</v>
      </c>
      <c r="W273" s="529">
        <v>1.0310108161663618</v>
      </c>
      <c r="Y273" s="529">
        <v>0</v>
      </c>
      <c r="Z273" s="466">
        <v>2</v>
      </c>
    </row>
    <row r="274" spans="1:26" x14ac:dyDescent="0.3">
      <c r="A274" s="489">
        <v>150000910</v>
      </c>
      <c r="B274" s="467" t="s">
        <v>410</v>
      </c>
      <c r="C274" s="509">
        <v>841.92</v>
      </c>
      <c r="D274" s="509">
        <v>139.65</v>
      </c>
      <c r="E274" s="524">
        <v>39.56</v>
      </c>
      <c r="F274" s="524">
        <v>304.02</v>
      </c>
      <c r="G274" s="473">
        <v>688.04</v>
      </c>
      <c r="H274" s="523">
        <v>688.04</v>
      </c>
      <c r="I274" s="473">
        <v>162.32</v>
      </c>
      <c r="J274" s="523">
        <v>162.32</v>
      </c>
      <c r="K274" s="473">
        <v>75.709999999999994</v>
      </c>
      <c r="L274" s="523">
        <v>75.709999999999994</v>
      </c>
      <c r="M274" s="525">
        <v>2261.6832735235471</v>
      </c>
      <c r="N274" s="526">
        <v>6542.4062457954096</v>
      </c>
      <c r="O274" s="527">
        <v>1325.1499999999999</v>
      </c>
      <c r="P274" s="527">
        <v>291.53300000000002</v>
      </c>
      <c r="Q274" s="527">
        <v>129.1361134641821</v>
      </c>
      <c r="R274" s="527">
        <v>926.06999999999994</v>
      </c>
      <c r="S274" s="527">
        <v>2261.6832735235471</v>
      </c>
      <c r="T274" s="527">
        <v>1265.1649456272094</v>
      </c>
      <c r="U274" s="527">
        <v>343.66891318047141</v>
      </c>
      <c r="V274" s="528">
        <v>6542.4062457954105</v>
      </c>
      <c r="W274" s="529">
        <v>0.92980688730520522</v>
      </c>
      <c r="Y274" s="529">
        <v>0</v>
      </c>
      <c r="Z274" s="466">
        <v>2</v>
      </c>
    </row>
    <row r="275" spans="1:26" x14ac:dyDescent="0.3">
      <c r="A275" s="489">
        <v>150000911</v>
      </c>
      <c r="B275" s="467" t="s">
        <v>318</v>
      </c>
      <c r="C275" s="509">
        <v>676.71</v>
      </c>
      <c r="D275" s="509">
        <v>135.86000000000001</v>
      </c>
      <c r="E275" s="524">
        <v>67.73</v>
      </c>
      <c r="F275" s="524">
        <v>620.97</v>
      </c>
      <c r="G275" s="473">
        <v>729.4</v>
      </c>
      <c r="H275" s="523">
        <v>729.4</v>
      </c>
      <c r="I275" s="473"/>
      <c r="J275" s="523">
        <v>0</v>
      </c>
      <c r="K275" s="473">
        <v>93.66</v>
      </c>
      <c r="L275" s="523">
        <v>93.66</v>
      </c>
      <c r="M275" s="525">
        <v>2089.4848481025879</v>
      </c>
      <c r="N275" s="526">
        <v>6705.59345898018</v>
      </c>
      <c r="O275" s="527">
        <v>1501.27</v>
      </c>
      <c r="P275" s="527">
        <v>330.27940000000001</v>
      </c>
      <c r="Q275" s="527">
        <v>139.6060723972667</v>
      </c>
      <c r="R275" s="527">
        <v>823.06</v>
      </c>
      <c r="S275" s="527">
        <v>2089.4848481025879</v>
      </c>
      <c r="T275" s="527">
        <v>1433.3125894591262</v>
      </c>
      <c r="U275" s="527">
        <v>388.58054902119943</v>
      </c>
      <c r="V275" s="528">
        <v>6705.5934589801809</v>
      </c>
      <c r="W275" s="529">
        <v>1.1044037452880111</v>
      </c>
      <c r="Y275" s="529">
        <v>0</v>
      </c>
      <c r="Z275" s="466">
        <v>2</v>
      </c>
    </row>
    <row r="276" spans="1:26" x14ac:dyDescent="0.3">
      <c r="A276" s="489">
        <v>150000912</v>
      </c>
      <c r="B276" s="467" t="s">
        <v>319</v>
      </c>
      <c r="C276" s="509">
        <v>530.94000000000005</v>
      </c>
      <c r="D276" s="509">
        <v>102.01</v>
      </c>
      <c r="E276" s="524">
        <v>32.369999999999997</v>
      </c>
      <c r="F276" s="524">
        <v>397.71</v>
      </c>
      <c r="G276" s="473">
        <v>522.33000000000004</v>
      </c>
      <c r="H276" s="523">
        <v>522.33000000000004</v>
      </c>
      <c r="I276" s="473"/>
      <c r="J276" s="523">
        <v>0</v>
      </c>
      <c r="K276" s="473">
        <v>147.07</v>
      </c>
      <c r="L276" s="523">
        <v>147.07</v>
      </c>
      <c r="M276" s="525">
        <v>1591.8635742683039</v>
      </c>
      <c r="N276" s="526">
        <v>4952.6267709241965</v>
      </c>
      <c r="O276" s="527">
        <v>1063.03</v>
      </c>
      <c r="P276" s="527">
        <v>233.86660000000001</v>
      </c>
      <c r="Q276" s="527">
        <v>103.83846837995611</v>
      </c>
      <c r="R276" s="527">
        <v>669.40000000000009</v>
      </c>
      <c r="S276" s="527">
        <v>1591.8635742683039</v>
      </c>
      <c r="T276" s="527">
        <v>1014.9102306532035</v>
      </c>
      <c r="U276" s="527">
        <v>275.71789762273278</v>
      </c>
      <c r="V276" s="528">
        <v>4952.6267709241956</v>
      </c>
      <c r="W276" s="529">
        <v>1.0895759784586321</v>
      </c>
      <c r="Y276" s="529">
        <v>0</v>
      </c>
      <c r="Z276" s="466">
        <v>2</v>
      </c>
    </row>
    <row r="277" spans="1:26" x14ac:dyDescent="0.3">
      <c r="A277" s="489">
        <v>150000913</v>
      </c>
      <c r="B277" s="467" t="s">
        <v>320</v>
      </c>
      <c r="C277" s="509">
        <v>352.38</v>
      </c>
      <c r="D277" s="509">
        <v>67.41</v>
      </c>
      <c r="E277" s="524">
        <v>32.369999999999997</v>
      </c>
      <c r="F277" s="524">
        <v>219.35</v>
      </c>
      <c r="G277" s="473">
        <v>344.53</v>
      </c>
      <c r="H277" s="523">
        <v>344.53</v>
      </c>
      <c r="I277" s="473"/>
      <c r="J277" s="523">
        <v>0</v>
      </c>
      <c r="K277" s="473">
        <v>98.23</v>
      </c>
      <c r="L277" s="523">
        <v>98.23</v>
      </c>
      <c r="M277" s="525">
        <v>990.503501052601</v>
      </c>
      <c r="N277" s="526">
        <v>3151.9238758213387</v>
      </c>
      <c r="O277" s="527">
        <v>671.51</v>
      </c>
      <c r="P277" s="527">
        <v>147.73220000000001</v>
      </c>
      <c r="Q277" s="527">
        <v>82.236233993721299</v>
      </c>
      <c r="R277" s="527">
        <v>442.76</v>
      </c>
      <c r="S277" s="527">
        <v>990.503501052601</v>
      </c>
      <c r="T277" s="527">
        <v>641.11301561191374</v>
      </c>
      <c r="U277" s="527">
        <v>176.06892516310239</v>
      </c>
      <c r="V277" s="528">
        <v>3151.9238758213387</v>
      </c>
      <c r="W277" s="529">
        <v>1.0298544149338862</v>
      </c>
      <c r="Y277" s="529">
        <v>0</v>
      </c>
      <c r="Z277" s="466">
        <v>3</v>
      </c>
    </row>
    <row r="278" spans="1:26" x14ac:dyDescent="0.3">
      <c r="A278" s="489">
        <v>150000914</v>
      </c>
      <c r="B278" s="467" t="s">
        <v>321</v>
      </c>
      <c r="C278" s="509">
        <v>352.38</v>
      </c>
      <c r="D278" s="509">
        <v>67.41</v>
      </c>
      <c r="E278" s="524">
        <v>32.369999999999997</v>
      </c>
      <c r="F278" s="524">
        <v>219.35</v>
      </c>
      <c r="G278" s="473">
        <v>344.53</v>
      </c>
      <c r="H278" s="523">
        <v>344.53</v>
      </c>
      <c r="I278" s="473"/>
      <c r="J278" s="523">
        <v>0</v>
      </c>
      <c r="K278" s="473">
        <v>98.23</v>
      </c>
      <c r="L278" s="523">
        <v>98.23</v>
      </c>
      <c r="M278" s="525">
        <v>984.26078701412314</v>
      </c>
      <c r="N278" s="526">
        <v>3145.6811617828607</v>
      </c>
      <c r="O278" s="527">
        <v>671.51</v>
      </c>
      <c r="P278" s="527">
        <v>147.73220000000001</v>
      </c>
      <c r="Q278" s="527">
        <v>82.236233993721299</v>
      </c>
      <c r="R278" s="527">
        <v>442.76</v>
      </c>
      <c r="S278" s="527">
        <v>984.26078701412314</v>
      </c>
      <c r="T278" s="527">
        <v>641.11301561191374</v>
      </c>
      <c r="U278" s="527">
        <v>176.06892516310239</v>
      </c>
      <c r="V278" s="528">
        <v>3145.6811617828607</v>
      </c>
      <c r="W278" s="529">
        <v>1.1225977457676153</v>
      </c>
      <c r="Y278" s="529">
        <v>0</v>
      </c>
      <c r="Z278" s="466">
        <v>3</v>
      </c>
    </row>
    <row r="279" spans="1:26" x14ac:dyDescent="0.3">
      <c r="A279" s="489">
        <v>150000915</v>
      </c>
      <c r="B279" s="467" t="s">
        <v>322</v>
      </c>
      <c r="C279" s="509">
        <v>352.34</v>
      </c>
      <c r="D279" s="509">
        <v>67.41</v>
      </c>
      <c r="E279" s="524">
        <v>32.369999999999997</v>
      </c>
      <c r="F279" s="524">
        <v>219.31</v>
      </c>
      <c r="G279" s="473">
        <v>344.53</v>
      </c>
      <c r="H279" s="523">
        <v>344.53</v>
      </c>
      <c r="I279" s="473"/>
      <c r="J279" s="523">
        <v>0</v>
      </c>
      <c r="K279" s="473">
        <v>98.23</v>
      </c>
      <c r="L279" s="523">
        <v>98.23</v>
      </c>
      <c r="M279" s="525">
        <v>977.52635234932677</v>
      </c>
      <c r="N279" s="526">
        <v>3138.7466097805473</v>
      </c>
      <c r="O279" s="527">
        <v>671.43000000000006</v>
      </c>
      <c r="P279" s="527">
        <v>147.71459999999999</v>
      </c>
      <c r="Q279" s="527">
        <v>82.230596436526497</v>
      </c>
      <c r="R279" s="527">
        <v>442.76</v>
      </c>
      <c r="S279" s="527">
        <v>977.52635234932677</v>
      </c>
      <c r="T279" s="527">
        <v>641.03663694108388</v>
      </c>
      <c r="U279" s="527">
        <v>176.04842405361015</v>
      </c>
      <c r="V279" s="528">
        <v>3138.7466097805477</v>
      </c>
      <c r="W279" s="529">
        <v>1.129633052193298</v>
      </c>
      <c r="Y279" s="529">
        <v>0</v>
      </c>
      <c r="Z279" s="466">
        <v>3</v>
      </c>
    </row>
    <row r="280" spans="1:26" x14ac:dyDescent="0.3">
      <c r="A280" s="489">
        <v>150000916</v>
      </c>
      <c r="B280" s="467" t="s">
        <v>323</v>
      </c>
      <c r="C280" s="509">
        <v>694.81</v>
      </c>
      <c r="D280" s="509">
        <v>135.81</v>
      </c>
      <c r="E280" s="524">
        <v>67.73</v>
      </c>
      <c r="F280" s="524">
        <v>625.1</v>
      </c>
      <c r="G280" s="473">
        <v>722.23</v>
      </c>
      <c r="H280" s="523">
        <v>722.23</v>
      </c>
      <c r="I280" s="473"/>
      <c r="J280" s="523">
        <v>0</v>
      </c>
      <c r="K280" s="473">
        <v>93.66</v>
      </c>
      <c r="L280" s="523">
        <v>93.66</v>
      </c>
      <c r="M280" s="525">
        <v>2063.2989431546575</v>
      </c>
      <c r="N280" s="526">
        <v>6740.5861836413678</v>
      </c>
      <c r="O280" s="527">
        <v>1523.4499999999998</v>
      </c>
      <c r="P280" s="527">
        <v>335.15899999999999</v>
      </c>
      <c r="Q280" s="527">
        <v>152.7171098123199</v>
      </c>
      <c r="R280" s="527">
        <v>815.89</v>
      </c>
      <c r="S280" s="527">
        <v>2063.2989431546575</v>
      </c>
      <c r="T280" s="527">
        <v>1454.488575946702</v>
      </c>
      <c r="U280" s="527">
        <v>395.58255472768917</v>
      </c>
      <c r="V280" s="528">
        <v>6740.5861836413678</v>
      </c>
      <c r="W280" s="529">
        <v>1.0991614190310914</v>
      </c>
      <c r="Y280" s="529">
        <v>0</v>
      </c>
      <c r="Z280" s="466">
        <v>3</v>
      </c>
    </row>
    <row r="281" spans="1:26" x14ac:dyDescent="0.3">
      <c r="A281" s="489">
        <v>150000917</v>
      </c>
      <c r="B281" s="467" t="s">
        <v>324</v>
      </c>
      <c r="C281" s="509">
        <v>531.76</v>
      </c>
      <c r="D281" s="509">
        <v>102.14</v>
      </c>
      <c r="E281" s="524">
        <v>43.76</v>
      </c>
      <c r="F281" s="524">
        <v>399.54</v>
      </c>
      <c r="G281" s="473">
        <v>540.14</v>
      </c>
      <c r="H281" s="523">
        <v>540.14</v>
      </c>
      <c r="I281" s="473"/>
      <c r="J281" s="523">
        <v>0</v>
      </c>
      <c r="K281" s="473">
        <v>147.06</v>
      </c>
      <c r="L281" s="523">
        <v>147.06</v>
      </c>
      <c r="M281" s="525">
        <v>1584.0174234048743</v>
      </c>
      <c r="N281" s="526">
        <v>4997.551946103009</v>
      </c>
      <c r="O281" s="527">
        <v>1077.2</v>
      </c>
      <c r="P281" s="527">
        <v>236.98399999999998</v>
      </c>
      <c r="Q281" s="527">
        <v>104.4111693281057</v>
      </c>
      <c r="R281" s="527">
        <v>687.2</v>
      </c>
      <c r="S281" s="527">
        <v>1584.0174234048743</v>
      </c>
      <c r="T281" s="527">
        <v>1028.4388027239409</v>
      </c>
      <c r="U281" s="527">
        <v>279.30055064608803</v>
      </c>
      <c r="V281" s="528">
        <v>4997.551946103009</v>
      </c>
      <c r="W281" s="529">
        <v>1.0177009748193981</v>
      </c>
      <c r="Y281" s="529">
        <v>0</v>
      </c>
      <c r="Z281" s="466">
        <v>3</v>
      </c>
    </row>
    <row r="282" spans="1:26" x14ac:dyDescent="0.3">
      <c r="A282" s="489">
        <v>150000918</v>
      </c>
      <c r="B282" s="467" t="s">
        <v>325</v>
      </c>
      <c r="C282" s="509">
        <v>552.37</v>
      </c>
      <c r="D282" s="509">
        <v>114.92</v>
      </c>
      <c r="E282" s="524">
        <v>43.76</v>
      </c>
      <c r="F282" s="524">
        <v>410.55</v>
      </c>
      <c r="G282" s="473">
        <v>559.63</v>
      </c>
      <c r="H282" s="523">
        <v>559.63</v>
      </c>
      <c r="I282" s="473"/>
      <c r="J282" s="523">
        <v>0</v>
      </c>
      <c r="K282" s="473">
        <v>82.91</v>
      </c>
      <c r="L282" s="523">
        <v>82.91</v>
      </c>
      <c r="M282" s="525">
        <v>1635.9331446038598</v>
      </c>
      <c r="N282" s="526">
        <v>5114.6750577204912</v>
      </c>
      <c r="O282" s="527">
        <v>1121.5999999999999</v>
      </c>
      <c r="P282" s="527">
        <v>246.75199999999998</v>
      </c>
      <c r="Q282" s="527">
        <v>106.46498384446892</v>
      </c>
      <c r="R282" s="527">
        <v>642.54</v>
      </c>
      <c r="S282" s="527">
        <v>1635.9331446038598</v>
      </c>
      <c r="T282" s="527">
        <v>1070.8289650345082</v>
      </c>
      <c r="U282" s="527">
        <v>290.55596423765508</v>
      </c>
      <c r="V282" s="528">
        <v>5114.6750577204921</v>
      </c>
      <c r="W282" s="529">
        <v>1.1102824161096576</v>
      </c>
      <c r="Y282" s="529">
        <v>0</v>
      </c>
      <c r="Z282" s="466">
        <v>3</v>
      </c>
    </row>
    <row r="283" spans="1:26" x14ac:dyDescent="0.3">
      <c r="A283" s="489">
        <v>150000919</v>
      </c>
      <c r="B283" s="467" t="s">
        <v>326</v>
      </c>
      <c r="C283" s="509">
        <v>556.15</v>
      </c>
      <c r="D283" s="509">
        <v>114.9</v>
      </c>
      <c r="E283" s="524">
        <v>43.76</v>
      </c>
      <c r="F283" s="524">
        <v>414.99</v>
      </c>
      <c r="G283" s="473">
        <v>550.21</v>
      </c>
      <c r="H283" s="523">
        <v>550.21</v>
      </c>
      <c r="I283" s="473"/>
      <c r="J283" s="523">
        <v>0</v>
      </c>
      <c r="K283" s="473">
        <v>177.92</v>
      </c>
      <c r="L283" s="523">
        <v>177.92</v>
      </c>
      <c r="M283" s="525">
        <v>1627.203321890235</v>
      </c>
      <c r="N283" s="526">
        <v>5222.971556424035</v>
      </c>
      <c r="O283" s="527">
        <v>1129.8</v>
      </c>
      <c r="P283" s="527">
        <v>248.55599999999998</v>
      </c>
      <c r="Q283" s="527">
        <v>116.8479835965483</v>
      </c>
      <c r="R283" s="527">
        <v>728.13</v>
      </c>
      <c r="S283" s="527">
        <v>1627.203321890235</v>
      </c>
      <c r="T283" s="527">
        <v>1078.6577787945678</v>
      </c>
      <c r="U283" s="527">
        <v>293.77647214268387</v>
      </c>
      <c r="V283" s="528">
        <v>5222.971556424035</v>
      </c>
      <c r="W283" s="529">
        <v>1.1708089237504262</v>
      </c>
      <c r="Y283" s="529">
        <v>0</v>
      </c>
      <c r="Z283" s="466">
        <v>3</v>
      </c>
    </row>
    <row r="284" spans="1:26" x14ac:dyDescent="0.3">
      <c r="A284" s="489">
        <v>150000920</v>
      </c>
      <c r="B284" s="467" t="s">
        <v>327</v>
      </c>
      <c r="C284" s="509">
        <v>556.26</v>
      </c>
      <c r="D284" s="509">
        <v>114.92</v>
      </c>
      <c r="E284" s="524">
        <v>43.76</v>
      </c>
      <c r="F284" s="524">
        <v>415.35</v>
      </c>
      <c r="G284" s="473">
        <v>553.9</v>
      </c>
      <c r="H284" s="523">
        <v>553.9</v>
      </c>
      <c r="I284" s="473"/>
      <c r="J284" s="523">
        <v>0</v>
      </c>
      <c r="K284" s="473">
        <v>177.92</v>
      </c>
      <c r="L284" s="523">
        <v>177.92</v>
      </c>
      <c r="M284" s="525">
        <v>1622.6068029920407</v>
      </c>
      <c r="N284" s="526">
        <v>5223.2770075398566</v>
      </c>
      <c r="O284" s="527">
        <v>1130.29</v>
      </c>
      <c r="P284" s="527">
        <v>248.66379999999998</v>
      </c>
      <c r="Q284" s="527">
        <v>116.87017344554211</v>
      </c>
      <c r="R284" s="527">
        <v>731.81999999999994</v>
      </c>
      <c r="S284" s="527">
        <v>1622.6068029920407</v>
      </c>
      <c r="T284" s="527">
        <v>1079.1255981534007</v>
      </c>
      <c r="U284" s="527">
        <v>293.90063294887375</v>
      </c>
      <c r="V284" s="528">
        <v>5223.2770075398576</v>
      </c>
      <c r="W284" s="529">
        <v>1.0474403390176426</v>
      </c>
      <c r="Y284" s="529">
        <v>0</v>
      </c>
      <c r="Z284" s="466">
        <v>3</v>
      </c>
    </row>
    <row r="285" spans="1:26" x14ac:dyDescent="0.3">
      <c r="A285" s="489">
        <v>150000921</v>
      </c>
      <c r="B285" s="467" t="s">
        <v>328</v>
      </c>
      <c r="C285" s="509">
        <v>730.68</v>
      </c>
      <c r="D285" s="509">
        <v>153.46</v>
      </c>
      <c r="E285" s="524">
        <v>67.73</v>
      </c>
      <c r="F285" s="524">
        <v>658.9</v>
      </c>
      <c r="G285" s="473">
        <v>763.26</v>
      </c>
      <c r="H285" s="523">
        <v>763.26</v>
      </c>
      <c r="I285" s="473"/>
      <c r="J285" s="523">
        <v>0</v>
      </c>
      <c r="K285" s="473">
        <v>182.16</v>
      </c>
      <c r="L285" s="523">
        <v>182.16</v>
      </c>
      <c r="M285" s="525">
        <v>2199.9972772711908</v>
      </c>
      <c r="N285" s="526">
        <v>7255.1428901825748</v>
      </c>
      <c r="O285" s="527">
        <v>1610.77</v>
      </c>
      <c r="P285" s="527">
        <v>354.36939999999998</v>
      </c>
      <c r="Q285" s="527">
        <v>185.70765265757649</v>
      </c>
      <c r="R285" s="527">
        <v>945.42</v>
      </c>
      <c r="S285" s="527">
        <v>2199.9972772711908</v>
      </c>
      <c r="T285" s="527">
        <v>1537.8558951574844</v>
      </c>
      <c r="U285" s="527">
        <v>421.02266509632329</v>
      </c>
      <c r="V285" s="528">
        <v>7255.1428901825748</v>
      </c>
      <c r="W285" s="529">
        <v>0.84800237049395033</v>
      </c>
      <c r="Y285" s="529">
        <v>0</v>
      </c>
      <c r="Z285" s="466">
        <v>3</v>
      </c>
    </row>
    <row r="286" spans="1:26" x14ac:dyDescent="0.3">
      <c r="A286" s="489">
        <v>150000922</v>
      </c>
      <c r="B286" s="467" t="s">
        <v>401</v>
      </c>
      <c r="C286" s="509">
        <v>560.67999999999995</v>
      </c>
      <c r="D286" s="509">
        <v>92.71</v>
      </c>
      <c r="E286" s="524">
        <v>26.37</v>
      </c>
      <c r="F286" s="524">
        <v>179.9</v>
      </c>
      <c r="G286" s="473">
        <v>459.06</v>
      </c>
      <c r="H286" s="523">
        <v>459.06</v>
      </c>
      <c r="I286" s="473">
        <v>114.41</v>
      </c>
      <c r="J286" s="523">
        <v>114.41</v>
      </c>
      <c r="K286" s="473">
        <v>50.66</v>
      </c>
      <c r="L286" s="523">
        <v>50.66</v>
      </c>
      <c r="M286" s="525">
        <v>1513.3058594245128</v>
      </c>
      <c r="N286" s="526">
        <v>4322.2269251067255</v>
      </c>
      <c r="O286" s="527">
        <v>859.66</v>
      </c>
      <c r="P286" s="527">
        <v>189.12520000000001</v>
      </c>
      <c r="Q286" s="527">
        <v>91.437872860729598</v>
      </c>
      <c r="R286" s="527">
        <v>624.13</v>
      </c>
      <c r="S286" s="527">
        <v>1513.3058594245128</v>
      </c>
      <c r="T286" s="527">
        <v>820.74610206986904</v>
      </c>
      <c r="U286" s="527">
        <v>223.82189075161395</v>
      </c>
      <c r="V286" s="528">
        <v>4322.2269251067255</v>
      </c>
      <c r="W286" s="529">
        <v>0.96581099078514421</v>
      </c>
      <c r="Y286" s="529">
        <v>0</v>
      </c>
      <c r="Z286" s="466">
        <v>3</v>
      </c>
    </row>
    <row r="287" spans="1:26" x14ac:dyDescent="0.3">
      <c r="A287" s="489">
        <v>150000924</v>
      </c>
      <c r="B287" s="467" t="s">
        <v>174</v>
      </c>
      <c r="C287" s="509">
        <v>80.08</v>
      </c>
      <c r="D287" s="509">
        <v>22.18</v>
      </c>
      <c r="E287" s="524">
        <v>0</v>
      </c>
      <c r="F287" s="524">
        <v>36.61</v>
      </c>
      <c r="G287" s="473">
        <v>54.67</v>
      </c>
      <c r="H287" s="523">
        <v>54.67</v>
      </c>
      <c r="I287" s="473"/>
      <c r="J287" s="523">
        <v>0</v>
      </c>
      <c r="K287" s="473">
        <v>33.11</v>
      </c>
      <c r="L287" s="523">
        <v>33.11</v>
      </c>
      <c r="M287" s="525">
        <v>169.00224134988906</v>
      </c>
      <c r="N287" s="526">
        <v>613.76760603243804</v>
      </c>
      <c r="O287" s="527">
        <v>138.87</v>
      </c>
      <c r="P287" s="527">
        <v>30.551400000000001</v>
      </c>
      <c r="Q287" s="527">
        <v>18.40861527255143</v>
      </c>
      <c r="R287" s="527">
        <v>87.78</v>
      </c>
      <c r="S287" s="527">
        <v>169.00224134988906</v>
      </c>
      <c r="T287" s="527">
        <v>132.5838252267672</v>
      </c>
      <c r="U287" s="527">
        <v>36.571524183230295</v>
      </c>
      <c r="V287" s="528">
        <v>613.76760603243804</v>
      </c>
      <c r="W287" s="529">
        <v>1.0529610700590861</v>
      </c>
      <c r="Y287" s="529">
        <v>0</v>
      </c>
      <c r="Z287" s="466">
        <v>3</v>
      </c>
    </row>
    <row r="288" spans="1:26" x14ac:dyDescent="0.3">
      <c r="A288" s="489">
        <v>150000925</v>
      </c>
      <c r="B288" s="467" t="s">
        <v>176</v>
      </c>
      <c r="C288" s="509">
        <v>80.11</v>
      </c>
      <c r="D288" s="509">
        <v>18.190000000000001</v>
      </c>
      <c r="E288" s="524">
        <v>0</v>
      </c>
      <c r="F288" s="524">
        <v>36.04</v>
      </c>
      <c r="G288" s="473">
        <v>47.93</v>
      </c>
      <c r="H288" s="523">
        <v>47.93</v>
      </c>
      <c r="I288" s="473"/>
      <c r="J288" s="523">
        <v>0</v>
      </c>
      <c r="K288" s="473">
        <v>33.11</v>
      </c>
      <c r="L288" s="523">
        <v>33.11</v>
      </c>
      <c r="M288" s="525">
        <v>170.81946975150078</v>
      </c>
      <c r="N288" s="526">
        <v>597.4313508321851</v>
      </c>
      <c r="O288" s="527">
        <v>134.34</v>
      </c>
      <c r="P288" s="527">
        <v>29.554799999999997</v>
      </c>
      <c r="Q288" s="527">
        <v>18.015933301505299</v>
      </c>
      <c r="R288" s="527">
        <v>81.039999999999992</v>
      </c>
      <c r="S288" s="527">
        <v>170.81946975150078</v>
      </c>
      <c r="T288" s="527">
        <v>128.25888299102692</v>
      </c>
      <c r="U288" s="527">
        <v>35.402264788152081</v>
      </c>
      <c r="V288" s="528">
        <v>597.43135083218499</v>
      </c>
      <c r="W288" s="529">
        <v>0.96716956697107337</v>
      </c>
      <c r="Y288" s="529">
        <v>0</v>
      </c>
      <c r="Z288" s="466">
        <v>3</v>
      </c>
    </row>
    <row r="289" spans="1:26" x14ac:dyDescent="0.3">
      <c r="A289" s="489">
        <v>150000926</v>
      </c>
      <c r="B289" s="467" t="s">
        <v>177</v>
      </c>
      <c r="C289" s="509">
        <v>47.56</v>
      </c>
      <c r="D289" s="509">
        <v>18.190000000000001</v>
      </c>
      <c r="E289" s="524">
        <v>0</v>
      </c>
      <c r="F289" s="524">
        <v>36.04</v>
      </c>
      <c r="G289" s="473"/>
      <c r="H289" s="523">
        <v>0</v>
      </c>
      <c r="I289" s="473"/>
      <c r="J289" s="523">
        <v>0</v>
      </c>
      <c r="K289" s="473">
        <v>30.94</v>
      </c>
      <c r="L289" s="523">
        <v>30.94</v>
      </c>
      <c r="M289" s="525">
        <v>144.13115459841899</v>
      </c>
      <c r="N289" s="526">
        <v>438.70629255250219</v>
      </c>
      <c r="O289" s="527">
        <v>101.78999999999999</v>
      </c>
      <c r="P289" s="527">
        <v>22.393799999999999</v>
      </c>
      <c r="Q289" s="527">
        <v>15.260807897589471</v>
      </c>
      <c r="R289" s="527">
        <v>30.94</v>
      </c>
      <c r="S289" s="527">
        <v>144.13115459841899</v>
      </c>
      <c r="T289" s="527">
        <v>97.182311297131392</v>
      </c>
      <c r="U289" s="527">
        <v>27.00821875936229</v>
      </c>
      <c r="V289" s="528">
        <v>438.70629255250213</v>
      </c>
      <c r="W289" s="529">
        <v>0.99202515953360715</v>
      </c>
      <c r="Y289" s="529">
        <v>0</v>
      </c>
      <c r="Z289" s="466">
        <v>3</v>
      </c>
    </row>
    <row r="290" spans="1:26" x14ac:dyDescent="0.3">
      <c r="A290" s="489">
        <v>150000927</v>
      </c>
      <c r="B290" s="467" t="s">
        <v>178</v>
      </c>
      <c r="C290" s="509">
        <v>94.17</v>
      </c>
      <c r="D290" s="509">
        <v>24.05</v>
      </c>
      <c r="E290" s="524">
        <v>0</v>
      </c>
      <c r="F290" s="524">
        <v>36.61</v>
      </c>
      <c r="G290" s="473">
        <v>75.36</v>
      </c>
      <c r="H290" s="523">
        <v>75.36</v>
      </c>
      <c r="I290" s="473"/>
      <c r="J290" s="523">
        <v>0</v>
      </c>
      <c r="K290" s="473">
        <v>80.08</v>
      </c>
      <c r="L290" s="523">
        <v>80.08</v>
      </c>
      <c r="M290" s="525">
        <v>214.82490261405886</v>
      </c>
      <c r="N290" s="526">
        <v>767.74138679883288</v>
      </c>
      <c r="O290" s="527">
        <v>154.82999999999998</v>
      </c>
      <c r="P290" s="527">
        <v>34.062600000000003</v>
      </c>
      <c r="Q290" s="527">
        <v>20.042859229118932</v>
      </c>
      <c r="R290" s="527">
        <v>155.44</v>
      </c>
      <c r="S290" s="527">
        <v>214.82490261405886</v>
      </c>
      <c r="T290" s="527">
        <v>147.82137005732244</v>
      </c>
      <c r="U290" s="527">
        <v>40.719654898332642</v>
      </c>
      <c r="V290" s="528">
        <v>767.74138679883299</v>
      </c>
      <c r="W290" s="529">
        <v>0.84109636624423156</v>
      </c>
      <c r="Y290" s="529">
        <v>0</v>
      </c>
      <c r="Z290" s="466">
        <v>3</v>
      </c>
    </row>
    <row r="291" spans="1:26" x14ac:dyDescent="0.3">
      <c r="A291" s="489">
        <v>150000928</v>
      </c>
      <c r="B291" s="467" t="s">
        <v>169</v>
      </c>
      <c r="C291" s="509">
        <v>85.24</v>
      </c>
      <c r="D291" s="509">
        <v>19.010000000000002</v>
      </c>
      <c r="E291" s="524">
        <v>0</v>
      </c>
      <c r="F291" s="524">
        <v>36.04</v>
      </c>
      <c r="G291" s="473">
        <v>54.37</v>
      </c>
      <c r="H291" s="523">
        <v>54.37</v>
      </c>
      <c r="I291" s="473"/>
      <c r="J291" s="523">
        <v>0</v>
      </c>
      <c r="K291" s="473">
        <v>33.74</v>
      </c>
      <c r="L291" s="523">
        <v>33.74</v>
      </c>
      <c r="M291" s="525">
        <v>170.74820589261404</v>
      </c>
      <c r="N291" s="526">
        <v>619.5745264993152</v>
      </c>
      <c r="O291" s="527">
        <v>140.29</v>
      </c>
      <c r="P291" s="527">
        <v>30.863800000000001</v>
      </c>
      <c r="Q291" s="527">
        <v>18.669230353312798</v>
      </c>
      <c r="R291" s="527">
        <v>88.11</v>
      </c>
      <c r="S291" s="527">
        <v>170.74820589261404</v>
      </c>
      <c r="T291" s="527">
        <v>133.93954663399708</v>
      </c>
      <c r="U291" s="527">
        <v>36.953743619391318</v>
      </c>
      <c r="V291" s="528">
        <v>619.5745264993152</v>
      </c>
      <c r="W291" s="529">
        <v>0.99502601369786037</v>
      </c>
      <c r="Y291" s="529">
        <v>0</v>
      </c>
      <c r="Z291" s="466">
        <v>3</v>
      </c>
    </row>
    <row r="292" spans="1:26" x14ac:dyDescent="0.3">
      <c r="A292" s="489">
        <v>150000929</v>
      </c>
      <c r="B292" s="467" t="s">
        <v>1094</v>
      </c>
      <c r="C292" s="509">
        <v>89.44</v>
      </c>
      <c r="D292" s="509">
        <v>19.010000000000002</v>
      </c>
      <c r="E292" s="524">
        <v>0</v>
      </c>
      <c r="F292" s="524">
        <v>36.04</v>
      </c>
      <c r="G292" s="473"/>
      <c r="H292" s="523">
        <v>0</v>
      </c>
      <c r="I292" s="473"/>
      <c r="J292" s="523">
        <v>0</v>
      </c>
      <c r="K292" s="473">
        <v>39.369999999999997</v>
      </c>
      <c r="L292" s="523">
        <v>39.369999999999997</v>
      </c>
      <c r="M292" s="525">
        <v>174.16887111917728</v>
      </c>
      <c r="N292" s="526">
        <v>584.80688138475841</v>
      </c>
      <c r="O292" s="527">
        <v>144.49</v>
      </c>
      <c r="P292" s="527">
        <v>31.787800000000001</v>
      </c>
      <c r="Q292" s="527">
        <v>19.006067261665301</v>
      </c>
      <c r="R292" s="527">
        <v>39.369999999999997</v>
      </c>
      <c r="S292" s="527">
        <v>174.16887111917728</v>
      </c>
      <c r="T292" s="527">
        <v>137.94942685256424</v>
      </c>
      <c r="U292" s="527">
        <v>38.034716151351631</v>
      </c>
      <c r="V292" s="528">
        <v>584.80688138475841</v>
      </c>
      <c r="W292" s="529">
        <v>1.0414455221855021</v>
      </c>
      <c r="Y292" s="529">
        <v>0</v>
      </c>
      <c r="Z292" s="466">
        <v>3</v>
      </c>
    </row>
    <row r="293" spans="1:26" x14ac:dyDescent="0.3">
      <c r="A293" s="489">
        <v>150000930</v>
      </c>
      <c r="B293" s="467" t="s">
        <v>172</v>
      </c>
      <c r="C293" s="509">
        <v>28.33</v>
      </c>
      <c r="D293" s="509">
        <v>11.5</v>
      </c>
      <c r="E293" s="524">
        <v>0</v>
      </c>
      <c r="F293" s="524">
        <v>12.33</v>
      </c>
      <c r="G293" s="473">
        <v>41.44</v>
      </c>
      <c r="H293" s="523">
        <v>41.44</v>
      </c>
      <c r="I293" s="473"/>
      <c r="J293" s="523">
        <v>0</v>
      </c>
      <c r="K293" s="473">
        <v>34.729999999999997</v>
      </c>
      <c r="L293" s="523">
        <v>34.729999999999997</v>
      </c>
      <c r="M293" s="525">
        <v>116.83709664479997</v>
      </c>
      <c r="N293" s="526">
        <v>328.10013002952093</v>
      </c>
      <c r="O293" s="527">
        <v>52.16</v>
      </c>
      <c r="P293" s="527">
        <v>11.475199999999999</v>
      </c>
      <c r="Q293" s="527">
        <v>7.8192742184553294</v>
      </c>
      <c r="R293" s="527">
        <v>76.169999999999987</v>
      </c>
      <c r="S293" s="527">
        <v>116.83709664479997</v>
      </c>
      <c r="T293" s="527">
        <v>49.798893381062712</v>
      </c>
      <c r="U293" s="527">
        <v>13.839665785202921</v>
      </c>
      <c r="V293" s="528">
        <v>328.10013002952087</v>
      </c>
      <c r="W293" s="529">
        <v>1.0364698249931332</v>
      </c>
      <c r="Y293" s="529">
        <v>0</v>
      </c>
      <c r="Z293" s="466">
        <v>3</v>
      </c>
    </row>
    <row r="294" spans="1:26" x14ac:dyDescent="0.3">
      <c r="A294" s="489">
        <v>150000931</v>
      </c>
      <c r="B294" s="467" t="s">
        <v>266</v>
      </c>
      <c r="C294" s="509">
        <v>264.92</v>
      </c>
      <c r="D294" s="509">
        <v>55.89</v>
      </c>
      <c r="E294" s="524">
        <v>17.98</v>
      </c>
      <c r="F294" s="524">
        <v>180.49</v>
      </c>
      <c r="G294" s="473">
        <v>258.68</v>
      </c>
      <c r="H294" s="523">
        <v>258.68</v>
      </c>
      <c r="I294" s="473">
        <v>65.27</v>
      </c>
      <c r="J294" s="523">
        <v>65.27</v>
      </c>
      <c r="K294" s="473">
        <v>50.66</v>
      </c>
      <c r="L294" s="523">
        <v>50.66</v>
      </c>
      <c r="M294" s="525">
        <v>816.80140820913175</v>
      </c>
      <c r="N294" s="526">
        <v>2530.1215638172589</v>
      </c>
      <c r="O294" s="527">
        <v>519.28</v>
      </c>
      <c r="P294" s="527">
        <v>114.24160000000001</v>
      </c>
      <c r="Q294" s="527">
        <v>72.269846984889398</v>
      </c>
      <c r="R294" s="527">
        <v>374.61</v>
      </c>
      <c r="S294" s="527">
        <v>816.80140820913175</v>
      </c>
      <c r="T294" s="527">
        <v>495.77395235656149</v>
      </c>
      <c r="U294" s="527">
        <v>137.14475626667596</v>
      </c>
      <c r="V294" s="528">
        <v>2530.1215638172584</v>
      </c>
      <c r="W294" s="529">
        <v>1.0333311762028574</v>
      </c>
      <c r="Y294" s="529">
        <v>0</v>
      </c>
      <c r="Z294" s="466">
        <v>3</v>
      </c>
    </row>
    <row r="295" spans="1:26" x14ac:dyDescent="0.3">
      <c r="A295" s="489">
        <v>150000932</v>
      </c>
      <c r="B295" s="467" t="s">
        <v>173</v>
      </c>
      <c r="C295" s="509">
        <v>14.442</v>
      </c>
      <c r="D295" s="509">
        <v>8.18</v>
      </c>
      <c r="E295" s="524">
        <v>0</v>
      </c>
      <c r="F295" s="524">
        <v>3.71</v>
      </c>
      <c r="G295" s="473">
        <v>40.31</v>
      </c>
      <c r="H295" s="523">
        <v>40.31</v>
      </c>
      <c r="I295" s="473"/>
      <c r="J295" s="523">
        <v>0</v>
      </c>
      <c r="K295" s="473">
        <v>68.06</v>
      </c>
      <c r="L295" s="523">
        <v>68.06</v>
      </c>
      <c r="M295" s="525">
        <v>126.24392601784884</v>
      </c>
      <c r="N295" s="526">
        <v>309.79685831188993</v>
      </c>
      <c r="O295" s="527">
        <v>26.332000000000001</v>
      </c>
      <c r="P295" s="527">
        <v>5.7930400000000004</v>
      </c>
      <c r="Q295" s="527">
        <v>10.215703910979469</v>
      </c>
      <c r="R295" s="527">
        <v>108.37</v>
      </c>
      <c r="S295" s="527">
        <v>126.24392601784884</v>
      </c>
      <c r="T295" s="527">
        <v>25.140039503645387</v>
      </c>
      <c r="U295" s="527">
        <v>7.7021488794162334</v>
      </c>
      <c r="V295" s="528">
        <v>309.79685831188993</v>
      </c>
      <c r="W295" s="529">
        <v>1.030730343496957</v>
      </c>
      <c r="Y295" s="529">
        <v>0</v>
      </c>
      <c r="Z295" s="466">
        <v>3</v>
      </c>
    </row>
    <row r="296" spans="1:26" x14ac:dyDescent="0.3">
      <c r="A296" s="489">
        <v>150000933</v>
      </c>
      <c r="B296" s="467" t="s">
        <v>267</v>
      </c>
      <c r="C296" s="509">
        <v>467.81</v>
      </c>
      <c r="D296" s="509">
        <v>97.61</v>
      </c>
      <c r="E296" s="524">
        <v>29.97</v>
      </c>
      <c r="F296" s="524">
        <v>336.23</v>
      </c>
      <c r="G296" s="473">
        <v>539.11</v>
      </c>
      <c r="H296" s="523">
        <v>539.11</v>
      </c>
      <c r="I296" s="473">
        <v>128.52000000000001</v>
      </c>
      <c r="J296" s="523">
        <v>128.52000000000001</v>
      </c>
      <c r="K296" s="473">
        <v>100.77</v>
      </c>
      <c r="L296" s="523">
        <v>100.77</v>
      </c>
      <c r="M296" s="525">
        <v>1687.1968014940319</v>
      </c>
      <c r="N296" s="526">
        <v>4828.0481839939257</v>
      </c>
      <c r="O296" s="527">
        <v>931.62</v>
      </c>
      <c r="P296" s="527">
        <v>204.95639999999997</v>
      </c>
      <c r="Q296" s="527">
        <v>103.379430791061</v>
      </c>
      <c r="R296" s="527">
        <v>768.4</v>
      </c>
      <c r="S296" s="527">
        <v>1687.1968014940319</v>
      </c>
      <c r="T296" s="527">
        <v>889.44871648131982</v>
      </c>
      <c r="U296" s="527">
        <v>243.04683522751273</v>
      </c>
      <c r="V296" s="528">
        <v>4828.0481839939257</v>
      </c>
      <c r="W296" s="529">
        <v>1.1435030659506999</v>
      </c>
      <c r="Y296" s="529">
        <v>0</v>
      </c>
      <c r="Z296" s="466">
        <v>3</v>
      </c>
    </row>
    <row r="297" spans="1:26" x14ac:dyDescent="0.3">
      <c r="A297" s="489">
        <v>150000934</v>
      </c>
      <c r="B297" s="467" t="s">
        <v>215</v>
      </c>
      <c r="C297" s="509">
        <v>219.15</v>
      </c>
      <c r="D297" s="509">
        <v>31.68</v>
      </c>
      <c r="E297" s="524">
        <v>0</v>
      </c>
      <c r="F297" s="524">
        <v>139.53</v>
      </c>
      <c r="G297" s="473">
        <v>212.44</v>
      </c>
      <c r="H297" s="523">
        <v>212.44</v>
      </c>
      <c r="I297" s="473"/>
      <c r="J297" s="523">
        <v>0</v>
      </c>
      <c r="K297" s="473">
        <v>53.81</v>
      </c>
      <c r="L297" s="523">
        <v>53.81</v>
      </c>
      <c r="M297" s="525">
        <v>705.92909655315145</v>
      </c>
      <c r="N297" s="526">
        <v>1985.22268434428</v>
      </c>
      <c r="O297" s="527">
        <v>390.36</v>
      </c>
      <c r="P297" s="527">
        <v>85.879199999999997</v>
      </c>
      <c r="Q297" s="527">
        <v>60.332963343267402</v>
      </c>
      <c r="R297" s="527">
        <v>266.25</v>
      </c>
      <c r="S297" s="527">
        <v>705.92909655315145</v>
      </c>
      <c r="T297" s="527">
        <v>372.68972431425686</v>
      </c>
      <c r="U297" s="527">
        <v>103.78170013360422</v>
      </c>
      <c r="V297" s="528">
        <v>1985.22268434428</v>
      </c>
      <c r="W297" s="529">
        <v>1.1085852488459358</v>
      </c>
      <c r="Y297" s="529">
        <v>0</v>
      </c>
      <c r="Z297" s="466">
        <v>3</v>
      </c>
    </row>
    <row r="298" spans="1:26" x14ac:dyDescent="0.3">
      <c r="A298" s="489">
        <v>150000935</v>
      </c>
      <c r="B298" s="467" t="s">
        <v>175</v>
      </c>
      <c r="C298" s="509">
        <v>18.506999999999998</v>
      </c>
      <c r="D298" s="509">
        <v>9.4600000000000009</v>
      </c>
      <c r="E298" s="524">
        <v>0</v>
      </c>
      <c r="F298" s="524">
        <v>12.125</v>
      </c>
      <c r="G298" s="473">
        <v>31.96</v>
      </c>
      <c r="H298" s="523">
        <v>31.96</v>
      </c>
      <c r="I298" s="473"/>
      <c r="J298" s="523">
        <v>0</v>
      </c>
      <c r="K298" s="473">
        <v>8.69</v>
      </c>
      <c r="L298" s="523">
        <v>8.69</v>
      </c>
      <c r="M298" s="525">
        <v>101.97858206691599</v>
      </c>
      <c r="N298" s="526">
        <v>247.38932401688766</v>
      </c>
      <c r="O298" s="527">
        <v>40.091999999999999</v>
      </c>
      <c r="P298" s="527">
        <v>8.8202400000000001</v>
      </c>
      <c r="Q298" s="527">
        <v>6.8390703416895207</v>
      </c>
      <c r="R298" s="527">
        <v>40.65</v>
      </c>
      <c r="S298" s="527">
        <v>101.97858206691599</v>
      </c>
      <c r="T298" s="527">
        <v>38.277170886379722</v>
      </c>
      <c r="U298" s="527">
        <v>10.732260721902437</v>
      </c>
      <c r="V298" s="528">
        <v>247.38932401688766</v>
      </c>
      <c r="W298" s="529">
        <v>1.1338589821719891</v>
      </c>
      <c r="Y298" s="529">
        <v>0</v>
      </c>
      <c r="Z298" s="466">
        <v>3</v>
      </c>
    </row>
    <row r="299" spans="1:26" x14ac:dyDescent="0.3">
      <c r="A299" s="489">
        <v>150000936</v>
      </c>
      <c r="B299" s="467" t="s">
        <v>121</v>
      </c>
      <c r="C299" s="509">
        <v>0</v>
      </c>
      <c r="D299" s="509">
        <v>0</v>
      </c>
      <c r="E299" s="524">
        <v>0</v>
      </c>
      <c r="F299" s="524">
        <v>0</v>
      </c>
      <c r="G299" s="473"/>
      <c r="H299" s="523">
        <v>0</v>
      </c>
      <c r="I299" s="473"/>
      <c r="J299" s="523">
        <v>0</v>
      </c>
      <c r="K299" s="473">
        <v>29.35</v>
      </c>
      <c r="L299" s="523">
        <v>29.35</v>
      </c>
      <c r="M299" s="525">
        <v>0</v>
      </c>
      <c r="N299" s="526">
        <v>29.35</v>
      </c>
      <c r="O299" s="527">
        <v>0</v>
      </c>
      <c r="P299" s="527">
        <v>0</v>
      </c>
      <c r="Q299" s="527">
        <v>0</v>
      </c>
      <c r="R299" s="527">
        <v>29.35</v>
      </c>
      <c r="S299" s="527">
        <v>0</v>
      </c>
      <c r="T299" s="527">
        <v>0</v>
      </c>
      <c r="U299" s="527">
        <v>0</v>
      </c>
      <c r="V299" s="528">
        <v>29.35</v>
      </c>
      <c r="W299" s="529">
        <v>1.1387905592379033</v>
      </c>
      <c r="Y299" s="529">
        <v>0</v>
      </c>
      <c r="Z299" s="466">
        <v>3</v>
      </c>
    </row>
    <row r="300" spans="1:26" x14ac:dyDescent="0.3">
      <c r="A300" s="489">
        <v>150000937</v>
      </c>
      <c r="B300" s="467" t="s">
        <v>374</v>
      </c>
      <c r="C300" s="509">
        <v>194.72</v>
      </c>
      <c r="D300" s="509">
        <v>75.86</v>
      </c>
      <c r="E300" s="524">
        <v>38.96</v>
      </c>
      <c r="F300" s="524">
        <v>247.04</v>
      </c>
      <c r="G300" s="473">
        <v>441.65</v>
      </c>
      <c r="H300" s="523">
        <v>441.65</v>
      </c>
      <c r="I300" s="473">
        <v>103.69</v>
      </c>
      <c r="J300" s="523">
        <v>103.69</v>
      </c>
      <c r="K300" s="473">
        <v>78.22</v>
      </c>
      <c r="L300" s="523">
        <v>78.22</v>
      </c>
      <c r="M300" s="525">
        <v>1358.752365463909</v>
      </c>
      <c r="N300" s="526">
        <v>3494.7518178817359</v>
      </c>
      <c r="O300" s="527">
        <v>556.57999999999993</v>
      </c>
      <c r="P300" s="527">
        <v>122.44759999999999</v>
      </c>
      <c r="Q300" s="527">
        <v>147.08381357423951</v>
      </c>
      <c r="R300" s="527">
        <v>623.55999999999995</v>
      </c>
      <c r="S300" s="527">
        <v>1358.752365463909</v>
      </c>
      <c r="T300" s="527">
        <v>531.38550763097942</v>
      </c>
      <c r="U300" s="527">
        <v>154.94253121260817</v>
      </c>
      <c r="V300" s="528">
        <v>3494.7518178817359</v>
      </c>
      <c r="W300" s="529">
        <v>1.1441082633886956</v>
      </c>
      <c r="Y300" s="529">
        <v>0</v>
      </c>
      <c r="Z300" s="466">
        <v>3</v>
      </c>
    </row>
    <row r="301" spans="1:26" x14ac:dyDescent="0.3">
      <c r="A301" s="489">
        <v>150000938</v>
      </c>
      <c r="B301" s="467" t="s">
        <v>375</v>
      </c>
      <c r="C301" s="509">
        <v>1784.68</v>
      </c>
      <c r="D301" s="509">
        <v>280.61</v>
      </c>
      <c r="E301" s="524">
        <v>92.31</v>
      </c>
      <c r="F301" s="524">
        <v>1125.78</v>
      </c>
      <c r="G301" s="473">
        <v>1873.78</v>
      </c>
      <c r="H301" s="523">
        <v>1873.78</v>
      </c>
      <c r="I301" s="473">
        <v>417.97</v>
      </c>
      <c r="J301" s="523">
        <v>417.97</v>
      </c>
      <c r="K301" s="473">
        <v>166.35</v>
      </c>
      <c r="L301" s="523">
        <v>166.35</v>
      </c>
      <c r="M301" s="525">
        <v>5498.8511898393162</v>
      </c>
      <c r="N301" s="526">
        <v>16264.448178683968</v>
      </c>
      <c r="O301" s="527">
        <v>3283.38</v>
      </c>
      <c r="P301" s="527">
        <v>722.34359999999992</v>
      </c>
      <c r="Q301" s="527">
        <v>315.95566850124953</v>
      </c>
      <c r="R301" s="527">
        <v>2458.1</v>
      </c>
      <c r="S301" s="527">
        <v>5498.8511898393162</v>
      </c>
      <c r="T301" s="527">
        <v>3134.7525028664436</v>
      </c>
      <c r="U301" s="527">
        <v>851.06521747695899</v>
      </c>
      <c r="V301" s="528">
        <v>16264.448178683968</v>
      </c>
      <c r="W301" s="529">
        <v>1.1640586164175617</v>
      </c>
      <c r="Y301" s="529">
        <v>0</v>
      </c>
      <c r="Z301" s="466">
        <v>3</v>
      </c>
    </row>
    <row r="302" spans="1:26" x14ac:dyDescent="0.3">
      <c r="A302" s="489">
        <v>150000939</v>
      </c>
      <c r="B302" s="467" t="s">
        <v>336</v>
      </c>
      <c r="C302" s="509">
        <v>447.71</v>
      </c>
      <c r="D302" s="509">
        <v>77.88</v>
      </c>
      <c r="E302" s="524">
        <v>76.12</v>
      </c>
      <c r="F302" s="524">
        <v>239.82</v>
      </c>
      <c r="G302" s="473">
        <v>654.11</v>
      </c>
      <c r="H302" s="523">
        <v>654.11</v>
      </c>
      <c r="I302" s="473">
        <v>136.59</v>
      </c>
      <c r="J302" s="523">
        <v>136.59</v>
      </c>
      <c r="K302" s="473">
        <v>63.19</v>
      </c>
      <c r="L302" s="523">
        <v>63.19</v>
      </c>
      <c r="M302" s="525">
        <v>1830.9645104121284</v>
      </c>
      <c r="N302" s="526">
        <v>4861.6786692692849</v>
      </c>
      <c r="O302" s="527">
        <v>841.53</v>
      </c>
      <c r="P302" s="527">
        <v>185.13660000000002</v>
      </c>
      <c r="Q302" s="527">
        <v>123.7150556194172</v>
      </c>
      <c r="R302" s="527">
        <v>853.8900000000001</v>
      </c>
      <c r="S302" s="527">
        <v>1830.9645104121284</v>
      </c>
      <c r="T302" s="527">
        <v>803.43678579305401</v>
      </c>
      <c r="U302" s="527">
        <v>223.00571744468527</v>
      </c>
      <c r="V302" s="528">
        <v>4861.6786692692849</v>
      </c>
      <c r="W302" s="529">
        <v>1.124182194601959</v>
      </c>
      <c r="Y302" s="529">
        <v>0</v>
      </c>
      <c r="Z302" s="466">
        <v>3</v>
      </c>
    </row>
    <row r="303" spans="1:26" x14ac:dyDescent="0.3">
      <c r="A303" s="489">
        <v>150000940</v>
      </c>
      <c r="B303" s="467" t="s">
        <v>376</v>
      </c>
      <c r="C303" s="509">
        <v>687.6</v>
      </c>
      <c r="D303" s="509">
        <v>119.2</v>
      </c>
      <c r="E303" s="524">
        <v>39.56</v>
      </c>
      <c r="F303" s="524">
        <v>473.15</v>
      </c>
      <c r="G303" s="473">
        <v>1001.6</v>
      </c>
      <c r="H303" s="523">
        <v>1001.6</v>
      </c>
      <c r="I303" s="473">
        <v>195.09</v>
      </c>
      <c r="J303" s="523">
        <v>195.09</v>
      </c>
      <c r="K303" s="473">
        <v>91.1</v>
      </c>
      <c r="L303" s="523">
        <v>91.1</v>
      </c>
      <c r="M303" s="525">
        <v>2654.8673621593234</v>
      </c>
      <c r="N303" s="526">
        <v>7350.8250308763036</v>
      </c>
      <c r="O303" s="527">
        <v>1319.5100000000002</v>
      </c>
      <c r="P303" s="527">
        <v>290.29219999999998</v>
      </c>
      <c r="Q303" s="527">
        <v>189.43396936543348</v>
      </c>
      <c r="R303" s="527">
        <v>1287.79</v>
      </c>
      <c r="S303" s="527">
        <v>2654.8673621593234</v>
      </c>
      <c r="T303" s="527">
        <v>1259.7802493337051</v>
      </c>
      <c r="U303" s="527">
        <v>349.15125001784054</v>
      </c>
      <c r="V303" s="528">
        <v>7350.8250308763027</v>
      </c>
      <c r="W303" s="529">
        <v>1.1140170451560578</v>
      </c>
      <c r="Y303" s="529">
        <v>0</v>
      </c>
      <c r="Z303" s="466">
        <v>3</v>
      </c>
    </row>
    <row r="304" spans="1:26" x14ac:dyDescent="0.3">
      <c r="A304" s="489">
        <v>150000941</v>
      </c>
      <c r="B304" s="467" t="s">
        <v>337</v>
      </c>
      <c r="C304" s="509">
        <v>336.68</v>
      </c>
      <c r="D304" s="509">
        <v>95.26</v>
      </c>
      <c r="E304" s="524">
        <v>36.86</v>
      </c>
      <c r="F304" s="524">
        <v>378.37</v>
      </c>
      <c r="G304" s="473">
        <v>818</v>
      </c>
      <c r="H304" s="523">
        <v>818</v>
      </c>
      <c r="I304" s="473">
        <v>150.96</v>
      </c>
      <c r="J304" s="523">
        <v>150.96</v>
      </c>
      <c r="K304" s="473">
        <v>91.1</v>
      </c>
      <c r="L304" s="523">
        <v>91.1</v>
      </c>
      <c r="M304" s="525">
        <v>2180.6918978987742</v>
      </c>
      <c r="N304" s="526">
        <v>5479.7445710770517</v>
      </c>
      <c r="O304" s="527">
        <v>847.17000000000007</v>
      </c>
      <c r="P304" s="527">
        <v>186.37739999999999</v>
      </c>
      <c r="Q304" s="527">
        <v>167.2491925951395</v>
      </c>
      <c r="R304" s="527">
        <v>1060.06</v>
      </c>
      <c r="S304" s="527">
        <v>2180.6918978987742</v>
      </c>
      <c r="T304" s="527">
        <v>808.8214820865586</v>
      </c>
      <c r="U304" s="527">
        <v>229.37459849658001</v>
      </c>
      <c r="V304" s="528">
        <v>5479.7445710770526</v>
      </c>
      <c r="W304" s="529">
        <v>1.1437080509829933</v>
      </c>
      <c r="Y304" s="529">
        <v>0</v>
      </c>
      <c r="Z304" s="466">
        <v>3</v>
      </c>
    </row>
    <row r="305" spans="1:26" x14ac:dyDescent="0.3">
      <c r="A305" s="489">
        <v>150000943</v>
      </c>
      <c r="B305" s="467" t="s">
        <v>122</v>
      </c>
      <c r="C305" s="509">
        <v>0</v>
      </c>
      <c r="D305" s="509">
        <v>0</v>
      </c>
      <c r="E305" s="524">
        <v>0</v>
      </c>
      <c r="F305" s="524">
        <v>0</v>
      </c>
      <c r="G305" s="473"/>
      <c r="H305" s="523">
        <v>0</v>
      </c>
      <c r="I305" s="473"/>
      <c r="J305" s="523">
        <v>0</v>
      </c>
      <c r="K305" s="473">
        <v>12.805</v>
      </c>
      <c r="L305" s="523">
        <v>12.805</v>
      </c>
      <c r="M305" s="525">
        <v>0</v>
      </c>
      <c r="N305" s="526">
        <v>12.805</v>
      </c>
      <c r="O305" s="527">
        <v>0</v>
      </c>
      <c r="P305" s="527">
        <v>0</v>
      </c>
      <c r="Q305" s="527">
        <v>0</v>
      </c>
      <c r="R305" s="527">
        <v>12.805</v>
      </c>
      <c r="S305" s="527">
        <v>0</v>
      </c>
      <c r="T305" s="527">
        <v>0</v>
      </c>
      <c r="U305" s="527">
        <v>0</v>
      </c>
      <c r="V305" s="528">
        <v>12.805</v>
      </c>
      <c r="W305" s="529">
        <v>1.1470150220782329</v>
      </c>
      <c r="Y305" s="529">
        <v>0</v>
      </c>
      <c r="Z305" s="466">
        <v>3</v>
      </c>
    </row>
    <row r="306" spans="1:26" x14ac:dyDescent="0.3">
      <c r="A306" s="489">
        <v>150000944</v>
      </c>
      <c r="B306" s="467" t="s">
        <v>123</v>
      </c>
      <c r="C306" s="509">
        <v>0</v>
      </c>
      <c r="D306" s="509">
        <v>0</v>
      </c>
      <c r="E306" s="524">
        <v>0</v>
      </c>
      <c r="F306" s="524">
        <v>0</v>
      </c>
      <c r="G306" s="473"/>
      <c r="H306" s="523">
        <v>0</v>
      </c>
      <c r="I306" s="473"/>
      <c r="J306" s="523">
        <v>0</v>
      </c>
      <c r="K306" s="473">
        <v>27.19</v>
      </c>
      <c r="L306" s="523">
        <v>27.19</v>
      </c>
      <c r="M306" s="525">
        <v>0</v>
      </c>
      <c r="N306" s="526">
        <v>27.19</v>
      </c>
      <c r="O306" s="527">
        <v>0</v>
      </c>
      <c r="P306" s="527">
        <v>0</v>
      </c>
      <c r="Q306" s="527">
        <v>0</v>
      </c>
      <c r="R306" s="527">
        <v>27.19</v>
      </c>
      <c r="S306" s="527">
        <v>0</v>
      </c>
      <c r="T306" s="527">
        <v>0</v>
      </c>
      <c r="U306" s="527">
        <v>0</v>
      </c>
      <c r="V306" s="528">
        <v>27.19</v>
      </c>
      <c r="W306" s="529">
        <v>1.1750684522900141</v>
      </c>
      <c r="Y306" s="529">
        <v>0</v>
      </c>
      <c r="Z306" s="466">
        <v>3</v>
      </c>
    </row>
    <row r="307" spans="1:26" x14ac:dyDescent="0.3">
      <c r="A307" s="489">
        <v>150000945</v>
      </c>
      <c r="B307" s="467" t="s">
        <v>421</v>
      </c>
      <c r="C307" s="509">
        <v>840.09</v>
      </c>
      <c r="D307" s="509">
        <v>132.19999999999999</v>
      </c>
      <c r="E307" s="524">
        <v>42.26</v>
      </c>
      <c r="F307" s="524">
        <v>329.11</v>
      </c>
      <c r="G307" s="473">
        <v>808.22</v>
      </c>
      <c r="H307" s="523">
        <v>808.22</v>
      </c>
      <c r="I307" s="473">
        <v>175.81</v>
      </c>
      <c r="J307" s="523">
        <v>175.81</v>
      </c>
      <c r="K307" s="473">
        <v>81.98</v>
      </c>
      <c r="L307" s="523">
        <v>81.98</v>
      </c>
      <c r="M307" s="525">
        <v>2402.5754857355641</v>
      </c>
      <c r="N307" s="526">
        <v>6927.0954347548586</v>
      </c>
      <c r="O307" s="527">
        <v>1343.6599999999999</v>
      </c>
      <c r="P307" s="527">
        <v>295.60519999999997</v>
      </c>
      <c r="Q307" s="527">
        <v>182.09910115389249</v>
      </c>
      <c r="R307" s="527">
        <v>1066.01</v>
      </c>
      <c r="S307" s="527">
        <v>2402.5754857355641</v>
      </c>
      <c r="T307" s="527">
        <v>1282.8370605904663</v>
      </c>
      <c r="U307" s="527">
        <v>354.30858727493592</v>
      </c>
      <c r="V307" s="528">
        <v>6927.0954347548586</v>
      </c>
      <c r="W307" s="529">
        <v>0.95181087428959588</v>
      </c>
      <c r="Y307" s="529">
        <v>0</v>
      </c>
      <c r="Z307" s="466">
        <v>2</v>
      </c>
    </row>
    <row r="308" spans="1:26" x14ac:dyDescent="0.3">
      <c r="A308" s="489">
        <v>150000946</v>
      </c>
      <c r="B308" s="467" t="s">
        <v>124</v>
      </c>
      <c r="C308" s="509">
        <v>0</v>
      </c>
      <c r="D308" s="509">
        <v>0</v>
      </c>
      <c r="E308" s="524">
        <v>0</v>
      </c>
      <c r="F308" s="524">
        <v>0</v>
      </c>
      <c r="G308" s="473"/>
      <c r="H308" s="523">
        <v>0</v>
      </c>
      <c r="I308" s="473"/>
      <c r="J308" s="523">
        <v>0</v>
      </c>
      <c r="K308" s="473">
        <v>27.19</v>
      </c>
      <c r="L308" s="523">
        <v>27.19</v>
      </c>
      <c r="M308" s="525">
        <v>0</v>
      </c>
      <c r="N308" s="526">
        <v>27.19</v>
      </c>
      <c r="O308" s="527">
        <v>0</v>
      </c>
      <c r="P308" s="527">
        <v>0</v>
      </c>
      <c r="Q308" s="527">
        <v>0</v>
      </c>
      <c r="R308" s="527">
        <v>27.19</v>
      </c>
      <c r="S308" s="527">
        <v>0</v>
      </c>
      <c r="T308" s="527">
        <v>0</v>
      </c>
      <c r="U308" s="527">
        <v>0</v>
      </c>
      <c r="V308" s="528">
        <v>27.19</v>
      </c>
      <c r="W308" s="529">
        <v>0.99384357013073477</v>
      </c>
      <c r="Y308" s="529">
        <v>0</v>
      </c>
      <c r="Z308" s="466">
        <v>2</v>
      </c>
    </row>
    <row r="309" spans="1:26" x14ac:dyDescent="0.3">
      <c r="A309" s="489">
        <v>150000947</v>
      </c>
      <c r="B309" s="467" t="s">
        <v>268</v>
      </c>
      <c r="C309" s="509">
        <v>375.88</v>
      </c>
      <c r="D309" s="509">
        <v>79.150000000000006</v>
      </c>
      <c r="E309" s="524">
        <v>23.98</v>
      </c>
      <c r="F309" s="524">
        <v>252.85</v>
      </c>
      <c r="G309" s="473">
        <v>452.35</v>
      </c>
      <c r="H309" s="523">
        <v>452.35</v>
      </c>
      <c r="I309" s="473">
        <v>88.99</v>
      </c>
      <c r="J309" s="523">
        <v>88.99</v>
      </c>
      <c r="K309" s="473">
        <v>75.709999999999994</v>
      </c>
      <c r="L309" s="523">
        <v>75.709999999999994</v>
      </c>
      <c r="M309" s="525">
        <v>1164.202030703126</v>
      </c>
      <c r="N309" s="526">
        <v>3652.3299319097132</v>
      </c>
      <c r="O309" s="527">
        <v>731.86</v>
      </c>
      <c r="P309" s="527">
        <v>161.00919999999999</v>
      </c>
      <c r="Q309" s="527">
        <v>87.794119456351098</v>
      </c>
      <c r="R309" s="527">
        <v>617.05000000000007</v>
      </c>
      <c r="S309" s="527">
        <v>1164.202030703126</v>
      </c>
      <c r="T309" s="527">
        <v>698.73117541918236</v>
      </c>
      <c r="U309" s="527">
        <v>191.68340633105393</v>
      </c>
      <c r="V309" s="528">
        <v>3652.3299319097137</v>
      </c>
      <c r="W309" s="529">
        <v>1.047922324487063</v>
      </c>
      <c r="Y309" s="529">
        <v>0</v>
      </c>
      <c r="Z309" s="466">
        <v>2</v>
      </c>
    </row>
    <row r="310" spans="1:26" x14ac:dyDescent="0.3">
      <c r="A310" s="489">
        <v>150000948</v>
      </c>
      <c r="B310" s="467" t="s">
        <v>383</v>
      </c>
      <c r="C310" s="509">
        <v>568.75</v>
      </c>
      <c r="D310" s="509">
        <v>118.8</v>
      </c>
      <c r="E310" s="524">
        <v>29.37</v>
      </c>
      <c r="F310" s="524">
        <v>394.66</v>
      </c>
      <c r="G310" s="473">
        <v>817.17</v>
      </c>
      <c r="H310" s="523">
        <v>817.17</v>
      </c>
      <c r="I310" s="473">
        <v>167.07</v>
      </c>
      <c r="J310" s="523">
        <v>167.07</v>
      </c>
      <c r="K310" s="473">
        <v>94.48</v>
      </c>
      <c r="L310" s="523">
        <v>94.48</v>
      </c>
      <c r="M310" s="525">
        <v>2357.0521326787184</v>
      </c>
      <c r="N310" s="526">
        <v>6286.6699889625706</v>
      </c>
      <c r="O310" s="527">
        <v>1111.58</v>
      </c>
      <c r="P310" s="527">
        <v>244.54759999999999</v>
      </c>
      <c r="Q310" s="527">
        <v>141.44622311049321</v>
      </c>
      <c r="R310" s="527">
        <v>1078.72</v>
      </c>
      <c r="S310" s="527">
        <v>2357.0521326787184</v>
      </c>
      <c r="T310" s="527">
        <v>1061.2625365130693</v>
      </c>
      <c r="U310" s="527">
        <v>292.06149666028887</v>
      </c>
      <c r="V310" s="528">
        <v>6286.6699889625697</v>
      </c>
      <c r="W310" s="529">
        <v>0.92676597953685746</v>
      </c>
      <c r="Y310" s="529">
        <v>0</v>
      </c>
      <c r="Z310" s="466">
        <v>2</v>
      </c>
    </row>
    <row r="311" spans="1:26" x14ac:dyDescent="0.3">
      <c r="A311" s="489">
        <v>150000949</v>
      </c>
      <c r="B311" s="467" t="s">
        <v>384</v>
      </c>
      <c r="C311" s="509">
        <v>806.97</v>
      </c>
      <c r="D311" s="509">
        <v>165.63</v>
      </c>
      <c r="E311" s="524">
        <v>97.4</v>
      </c>
      <c r="F311" s="524">
        <v>703.69</v>
      </c>
      <c r="G311" s="473">
        <v>1181.8599999999999</v>
      </c>
      <c r="H311" s="523">
        <v>1181.8599999999999</v>
      </c>
      <c r="I311" s="473">
        <v>243.85</v>
      </c>
      <c r="J311" s="523">
        <v>243.85</v>
      </c>
      <c r="K311" s="473">
        <v>119.35</v>
      </c>
      <c r="L311" s="523">
        <v>119.35</v>
      </c>
      <c r="M311" s="525">
        <v>3346.8358687565633</v>
      </c>
      <c r="N311" s="526">
        <v>9440.6846995368214</v>
      </c>
      <c r="O311" s="527">
        <v>1773.69</v>
      </c>
      <c r="P311" s="527">
        <v>390.21180000000004</v>
      </c>
      <c r="Q311" s="527">
        <v>225.48328108671899</v>
      </c>
      <c r="R311" s="527">
        <v>1545.0599999999997</v>
      </c>
      <c r="S311" s="527">
        <v>3346.8358687565633</v>
      </c>
      <c r="T311" s="527">
        <v>1693.4010583024756</v>
      </c>
      <c r="U311" s="527">
        <v>466.00269139106342</v>
      </c>
      <c r="V311" s="528">
        <v>9440.6846995368214</v>
      </c>
      <c r="W311" s="529">
        <v>0.95681175039988842</v>
      </c>
      <c r="Y311" s="529">
        <v>0</v>
      </c>
      <c r="Z311" s="466">
        <v>2</v>
      </c>
    </row>
    <row r="312" spans="1:26" x14ac:dyDescent="0.3">
      <c r="A312" s="489">
        <v>150000951</v>
      </c>
      <c r="B312" s="467" t="s">
        <v>170</v>
      </c>
      <c r="C312" s="509">
        <v>0</v>
      </c>
      <c r="D312" s="509">
        <v>0</v>
      </c>
      <c r="E312" s="524">
        <v>0</v>
      </c>
      <c r="F312" s="524">
        <v>34.119999999999997</v>
      </c>
      <c r="G312" s="473"/>
      <c r="H312" s="523">
        <v>0</v>
      </c>
      <c r="I312" s="473"/>
      <c r="J312" s="523">
        <v>0</v>
      </c>
      <c r="K312" s="473">
        <v>70.7</v>
      </c>
      <c r="L312" s="523">
        <v>70.7</v>
      </c>
      <c r="M312" s="525">
        <v>197.11583368070555</v>
      </c>
      <c r="N312" s="526">
        <v>359.73928184148303</v>
      </c>
      <c r="O312" s="527">
        <v>34.119999999999997</v>
      </c>
      <c r="P312" s="527">
        <v>7.5064000000000002</v>
      </c>
      <c r="Q312" s="527">
        <v>8.3044065918219605</v>
      </c>
      <c r="R312" s="527">
        <v>70.7</v>
      </c>
      <c r="S312" s="527">
        <v>197.11583368070555</v>
      </c>
      <c r="T312" s="527">
        <v>32.575503108931358</v>
      </c>
      <c r="U312" s="527">
        <v>9.4171384600241854</v>
      </c>
      <c r="V312" s="528">
        <v>359.73928184148309</v>
      </c>
      <c r="W312" s="529">
        <v>0.98875819904681528</v>
      </c>
      <c r="Y312" s="529">
        <v>0</v>
      </c>
      <c r="Z312" s="466">
        <v>2</v>
      </c>
    </row>
    <row r="313" spans="1:26" x14ac:dyDescent="0.3">
      <c r="A313" s="489">
        <v>150000954</v>
      </c>
      <c r="B313" s="467" t="s">
        <v>171</v>
      </c>
      <c r="C313" s="509">
        <v>41.22</v>
      </c>
      <c r="D313" s="509">
        <v>8.18</v>
      </c>
      <c r="E313" s="524">
        <v>0</v>
      </c>
      <c r="F313" s="524">
        <v>22.55</v>
      </c>
      <c r="G313" s="473">
        <v>44.84</v>
      </c>
      <c r="H313" s="523">
        <v>44.84</v>
      </c>
      <c r="I313" s="473"/>
      <c r="J313" s="523">
        <v>0</v>
      </c>
      <c r="K313" s="473">
        <v>16.829999999999998</v>
      </c>
      <c r="L313" s="523">
        <v>16.829999999999998</v>
      </c>
      <c r="M313" s="525">
        <v>127.86161561457767</v>
      </c>
      <c r="N313" s="526">
        <v>385.3039425245924</v>
      </c>
      <c r="O313" s="527">
        <v>71.95</v>
      </c>
      <c r="P313" s="527">
        <v>15.829000000000001</v>
      </c>
      <c r="Q313" s="527">
        <v>19.244276880949467</v>
      </c>
      <c r="R313" s="527">
        <v>61.67</v>
      </c>
      <c r="S313" s="527">
        <v>127.86161561457767</v>
      </c>
      <c r="T313" s="527">
        <v>68.69306707759705</v>
      </c>
      <c r="U313" s="527">
        <v>20.055982951468231</v>
      </c>
      <c r="V313" s="528">
        <v>385.30394252459246</v>
      </c>
      <c r="W313" s="529">
        <v>1.017944583214855</v>
      </c>
      <c r="Y313" s="529">
        <v>0</v>
      </c>
      <c r="Z313" s="466">
        <v>2</v>
      </c>
    </row>
    <row r="314" spans="1:26" x14ac:dyDescent="0.3">
      <c r="A314" s="489">
        <v>150000957</v>
      </c>
      <c r="B314" s="467" t="s">
        <v>377</v>
      </c>
      <c r="C314" s="509">
        <v>266.77999999999997</v>
      </c>
      <c r="D314" s="509">
        <v>40.619999999999997</v>
      </c>
      <c r="E314" s="524">
        <v>13.19</v>
      </c>
      <c r="F314" s="524">
        <v>72.95</v>
      </c>
      <c r="G314" s="473">
        <v>263.33999999999997</v>
      </c>
      <c r="H314" s="523">
        <v>263.33999999999997</v>
      </c>
      <c r="I314" s="473">
        <v>61.56</v>
      </c>
      <c r="J314" s="523">
        <v>61.56</v>
      </c>
      <c r="K314" s="473">
        <v>23.85</v>
      </c>
      <c r="L314" s="523">
        <v>23.85</v>
      </c>
      <c r="M314" s="525">
        <v>771.01081568146105</v>
      </c>
      <c r="N314" s="526">
        <v>2098.4077919538372</v>
      </c>
      <c r="O314" s="527">
        <v>393.53999999999996</v>
      </c>
      <c r="P314" s="527">
        <v>86.578800000000001</v>
      </c>
      <c r="Q314" s="527">
        <v>22.544475797856673</v>
      </c>
      <c r="R314" s="527">
        <v>348.75</v>
      </c>
      <c r="S314" s="527">
        <v>771.01081568146105</v>
      </c>
      <c r="T314" s="527">
        <v>375.72577647974344</v>
      </c>
      <c r="U314" s="527">
        <v>100.25792399477609</v>
      </c>
      <c r="V314" s="528">
        <v>2098.4077919538372</v>
      </c>
      <c r="W314" s="529">
        <v>1.0450037544572939</v>
      </c>
      <c r="Y314" s="529">
        <v>0</v>
      </c>
      <c r="Z314" s="466">
        <v>2</v>
      </c>
    </row>
    <row r="315" spans="1:26" x14ac:dyDescent="0.3">
      <c r="A315" s="489">
        <v>150000958</v>
      </c>
      <c r="B315" s="467" t="s">
        <v>380</v>
      </c>
      <c r="C315" s="509">
        <v>266.77999999999997</v>
      </c>
      <c r="D315" s="509">
        <v>40.619999999999997</v>
      </c>
      <c r="E315" s="524">
        <v>13.19</v>
      </c>
      <c r="F315" s="524">
        <v>72.95</v>
      </c>
      <c r="G315" s="473">
        <v>258.73</v>
      </c>
      <c r="H315" s="523">
        <v>258.73</v>
      </c>
      <c r="I315" s="473">
        <v>58.12</v>
      </c>
      <c r="J315" s="523">
        <v>58.12</v>
      </c>
      <c r="K315" s="473">
        <v>8.4</v>
      </c>
      <c r="L315" s="523">
        <v>8.4</v>
      </c>
      <c r="M315" s="525">
        <v>760.77732554532611</v>
      </c>
      <c r="N315" s="526">
        <v>2064.6741384364027</v>
      </c>
      <c r="O315" s="527">
        <v>393.53999999999996</v>
      </c>
      <c r="P315" s="527">
        <v>86.578800000000001</v>
      </c>
      <c r="Q315" s="527">
        <v>22.544329154226673</v>
      </c>
      <c r="R315" s="527">
        <v>325.25</v>
      </c>
      <c r="S315" s="527">
        <v>760.77732554532611</v>
      </c>
      <c r="T315" s="527">
        <v>375.72577647974344</v>
      </c>
      <c r="U315" s="527">
        <v>100.25790725710627</v>
      </c>
      <c r="V315" s="528">
        <v>2064.6741384364027</v>
      </c>
      <c r="W315" s="529">
        <v>1.12021719411957</v>
      </c>
      <c r="Y315" s="529">
        <v>0</v>
      </c>
      <c r="Z315" s="466">
        <v>2</v>
      </c>
    </row>
    <row r="316" spans="1:26" x14ac:dyDescent="0.3">
      <c r="A316" s="489">
        <v>150000960</v>
      </c>
      <c r="B316" s="467" t="s">
        <v>378</v>
      </c>
      <c r="C316" s="509">
        <v>527.13</v>
      </c>
      <c r="D316" s="509">
        <v>81.239999999999995</v>
      </c>
      <c r="E316" s="524">
        <v>26.37</v>
      </c>
      <c r="F316" s="524">
        <v>195.04</v>
      </c>
      <c r="G316" s="473">
        <v>535.01</v>
      </c>
      <c r="H316" s="523">
        <v>535.01</v>
      </c>
      <c r="I316" s="473">
        <v>117.72</v>
      </c>
      <c r="J316" s="523">
        <v>117.72</v>
      </c>
      <c r="K316" s="473">
        <v>23.85</v>
      </c>
      <c r="L316" s="523">
        <v>23.85</v>
      </c>
      <c r="M316" s="525">
        <v>1537.1614361868469</v>
      </c>
      <c r="N316" s="526">
        <v>4380.2960790933857</v>
      </c>
      <c r="O316" s="527">
        <v>829.78</v>
      </c>
      <c r="P316" s="527">
        <v>182.55160000000001</v>
      </c>
      <c r="Q316" s="527">
        <v>140.05072206806901</v>
      </c>
      <c r="R316" s="527">
        <v>676.58</v>
      </c>
      <c r="S316" s="527">
        <v>1537.1614361868469</v>
      </c>
      <c r="T316" s="527">
        <v>792.21866851491973</v>
      </c>
      <c r="U316" s="527">
        <v>221.95365232355059</v>
      </c>
      <c r="V316" s="528">
        <v>4380.2960790933857</v>
      </c>
      <c r="W316" s="529">
        <v>1.2506627942640378</v>
      </c>
      <c r="Y316" s="529">
        <v>0</v>
      </c>
      <c r="Z316" s="466">
        <v>2</v>
      </c>
    </row>
    <row r="317" spans="1:26" x14ac:dyDescent="0.3">
      <c r="A317" s="489">
        <v>150000961</v>
      </c>
      <c r="B317" s="467" t="s">
        <v>381</v>
      </c>
      <c r="C317" s="509">
        <v>525.17999999999995</v>
      </c>
      <c r="D317" s="509">
        <v>81.239999999999995</v>
      </c>
      <c r="E317" s="524">
        <v>26.37</v>
      </c>
      <c r="F317" s="524">
        <v>206.24</v>
      </c>
      <c r="G317" s="473">
        <v>542.63</v>
      </c>
      <c r="H317" s="523">
        <v>542.63</v>
      </c>
      <c r="I317" s="473">
        <v>117.24</v>
      </c>
      <c r="J317" s="523">
        <v>117.24</v>
      </c>
      <c r="K317" s="473">
        <v>8.4</v>
      </c>
      <c r="L317" s="523">
        <v>8.4</v>
      </c>
      <c r="M317" s="525">
        <v>1549.9532988570154</v>
      </c>
      <c r="N317" s="526">
        <v>4568.5434654040046</v>
      </c>
      <c r="O317" s="527">
        <v>839.03</v>
      </c>
      <c r="P317" s="527">
        <v>184.58659999999998</v>
      </c>
      <c r="Q317" s="527">
        <v>284.8740212342135</v>
      </c>
      <c r="R317" s="527">
        <v>668.27</v>
      </c>
      <c r="S317" s="527">
        <v>1549.9532988570154</v>
      </c>
      <c r="T317" s="527">
        <v>801.04995232962119</v>
      </c>
      <c r="U317" s="527">
        <v>240.77959298315437</v>
      </c>
      <c r="V317" s="528">
        <v>4568.5434654040046</v>
      </c>
      <c r="W317" s="529">
        <v>0.15061436672967865</v>
      </c>
      <c r="Y317" s="529"/>
      <c r="Z317" s="466">
        <v>2</v>
      </c>
    </row>
    <row r="318" spans="1:26" x14ac:dyDescent="0.3">
      <c r="A318" s="489">
        <v>150000963</v>
      </c>
      <c r="B318" s="467" t="s">
        <v>379</v>
      </c>
      <c r="C318" s="509">
        <v>266.77999999999997</v>
      </c>
      <c r="D318" s="509">
        <v>40.619999999999997</v>
      </c>
      <c r="E318" s="524">
        <v>13.19</v>
      </c>
      <c r="F318" s="524">
        <v>72.95</v>
      </c>
      <c r="G318" s="473">
        <v>263.11</v>
      </c>
      <c r="H318" s="523">
        <v>263.11</v>
      </c>
      <c r="I318" s="473">
        <v>58.36</v>
      </c>
      <c r="J318" s="523">
        <v>58.36</v>
      </c>
      <c r="K318" s="473">
        <v>23.85</v>
      </c>
      <c r="L318" s="523">
        <v>23.85</v>
      </c>
      <c r="M318" s="525">
        <v>762.7869663659319</v>
      </c>
      <c r="N318" s="526">
        <v>2086.7539426383082</v>
      </c>
      <c r="O318" s="527">
        <v>393.53999999999996</v>
      </c>
      <c r="P318" s="527">
        <v>86.578800000000001</v>
      </c>
      <c r="Q318" s="527">
        <v>22.544475797856673</v>
      </c>
      <c r="R318" s="527">
        <v>345.32000000000005</v>
      </c>
      <c r="S318" s="527">
        <v>762.7869663659319</v>
      </c>
      <c r="T318" s="527">
        <v>375.72577647974344</v>
      </c>
      <c r="U318" s="527">
        <v>100.25792399477609</v>
      </c>
      <c r="V318" s="528">
        <v>2086.7539426383082</v>
      </c>
      <c r="W318" s="529">
        <v>1.0191394522129669</v>
      </c>
      <c r="Y318" s="529">
        <v>0</v>
      </c>
      <c r="Z318" s="466">
        <v>2</v>
      </c>
    </row>
    <row r="319" spans="1:26" x14ac:dyDescent="0.3">
      <c r="A319" s="489">
        <v>150000964</v>
      </c>
      <c r="B319" s="467" t="s">
        <v>382</v>
      </c>
      <c r="C319" s="509">
        <v>266.77999999999997</v>
      </c>
      <c r="D319" s="509">
        <v>40.619999999999997</v>
      </c>
      <c r="E319" s="524">
        <v>13.19</v>
      </c>
      <c r="F319" s="524">
        <v>72.95</v>
      </c>
      <c r="G319" s="473">
        <v>263.77999999999997</v>
      </c>
      <c r="H319" s="523">
        <v>263.77999999999997</v>
      </c>
      <c r="I319" s="473">
        <v>58.1</v>
      </c>
      <c r="J319" s="523">
        <v>58.1</v>
      </c>
      <c r="K319" s="473">
        <v>8.4</v>
      </c>
      <c r="L319" s="523">
        <v>8.4</v>
      </c>
      <c r="M319" s="525">
        <v>759.61928783841665</v>
      </c>
      <c r="N319" s="526">
        <v>2068.546100729493</v>
      </c>
      <c r="O319" s="527">
        <v>393.53999999999996</v>
      </c>
      <c r="P319" s="527">
        <v>86.578800000000001</v>
      </c>
      <c r="Q319" s="527">
        <v>22.544329154226673</v>
      </c>
      <c r="R319" s="527">
        <v>330.28</v>
      </c>
      <c r="S319" s="527">
        <v>759.61928783841665</v>
      </c>
      <c r="T319" s="527">
        <v>375.72577647974344</v>
      </c>
      <c r="U319" s="527">
        <v>100.25790725710627</v>
      </c>
      <c r="V319" s="528">
        <v>2068.546100729493</v>
      </c>
      <c r="W319" s="529">
        <v>0.11149325206791467</v>
      </c>
      <c r="Y319" s="529"/>
      <c r="Z319" s="466">
        <v>2</v>
      </c>
    </row>
    <row r="320" spans="1:26" x14ac:dyDescent="0.3">
      <c r="A320" s="489">
        <v>150000966</v>
      </c>
      <c r="B320" s="467" t="s">
        <v>204</v>
      </c>
      <c r="C320" s="509">
        <v>147.58000000000001</v>
      </c>
      <c r="D320" s="509">
        <v>30.47</v>
      </c>
      <c r="E320" s="524">
        <v>0</v>
      </c>
      <c r="F320" s="524">
        <v>86.37</v>
      </c>
      <c r="G320" s="473">
        <v>132.31</v>
      </c>
      <c r="H320" s="523">
        <v>132.31</v>
      </c>
      <c r="I320" s="473"/>
      <c r="J320" s="523">
        <v>0</v>
      </c>
      <c r="K320" s="473">
        <v>61.82</v>
      </c>
      <c r="L320" s="523">
        <v>61.82</v>
      </c>
      <c r="M320" s="525">
        <v>417.89483170475097</v>
      </c>
      <c r="N320" s="526">
        <v>1302.0783410219756</v>
      </c>
      <c r="O320" s="527">
        <v>264.42</v>
      </c>
      <c r="P320" s="527">
        <v>58.172399999999996</v>
      </c>
      <c r="Q320" s="527">
        <v>44.317669417236999</v>
      </c>
      <c r="R320" s="527">
        <v>194.13</v>
      </c>
      <c r="S320" s="527">
        <v>417.89483170475097</v>
      </c>
      <c r="T320" s="527">
        <v>252.45060176036432</v>
      </c>
      <c r="U320" s="527">
        <v>70.692838139623248</v>
      </c>
      <c r="V320" s="528">
        <v>1302.0783410219756</v>
      </c>
      <c r="W320" s="529">
        <v>1.2970140262870271</v>
      </c>
      <c r="Y320" s="529">
        <v>0</v>
      </c>
      <c r="Z320" s="466">
        <v>2</v>
      </c>
    </row>
    <row r="321" spans="1:26" x14ac:dyDescent="0.3">
      <c r="A321" s="489">
        <v>150000967</v>
      </c>
      <c r="B321" s="467" t="s">
        <v>205</v>
      </c>
      <c r="C321" s="509">
        <v>173.15</v>
      </c>
      <c r="D321" s="509">
        <v>31.46</v>
      </c>
      <c r="E321" s="524">
        <v>0</v>
      </c>
      <c r="F321" s="524">
        <v>88.65</v>
      </c>
      <c r="G321" s="473">
        <v>170.83</v>
      </c>
      <c r="H321" s="523">
        <v>170.83</v>
      </c>
      <c r="I321" s="473"/>
      <c r="J321" s="523">
        <v>0</v>
      </c>
      <c r="K321" s="473">
        <v>65.72</v>
      </c>
      <c r="L321" s="523">
        <v>65.72</v>
      </c>
      <c r="M321" s="525">
        <v>516.0572341282824</v>
      </c>
      <c r="N321" s="526">
        <v>1511.0896879362067</v>
      </c>
      <c r="O321" s="527">
        <v>293.26</v>
      </c>
      <c r="P321" s="527">
        <v>64.517200000000003</v>
      </c>
      <c r="Q321" s="527">
        <v>43.017069473583007</v>
      </c>
      <c r="R321" s="527">
        <v>236.55</v>
      </c>
      <c r="S321" s="527">
        <v>516.0572341282824</v>
      </c>
      <c r="T321" s="527">
        <v>279.9851125945255</v>
      </c>
      <c r="U321" s="527">
        <v>77.70307173981567</v>
      </c>
      <c r="V321" s="528">
        <v>1511.0896879362067</v>
      </c>
      <c r="W321" s="529">
        <v>0.15580556145192104</v>
      </c>
      <c r="Y321" s="529"/>
      <c r="Z321" s="466">
        <v>2</v>
      </c>
    </row>
    <row r="322" spans="1:26" x14ac:dyDescent="0.3">
      <c r="A322" s="489">
        <v>150000968</v>
      </c>
      <c r="B322" s="467" t="s">
        <v>244</v>
      </c>
      <c r="C322" s="509">
        <v>203.73</v>
      </c>
      <c r="D322" s="509">
        <v>35.44</v>
      </c>
      <c r="E322" s="524">
        <v>0</v>
      </c>
      <c r="F322" s="524">
        <v>108.5</v>
      </c>
      <c r="G322" s="473">
        <v>224.37</v>
      </c>
      <c r="H322" s="523">
        <v>224.37</v>
      </c>
      <c r="I322" s="473"/>
      <c r="J322" s="523">
        <v>0</v>
      </c>
      <c r="K322" s="473">
        <v>58.17</v>
      </c>
      <c r="L322" s="523">
        <v>58.17</v>
      </c>
      <c r="M322" s="525">
        <v>754.47047403385022</v>
      </c>
      <c r="N322" s="526">
        <v>1931.2673019178949</v>
      </c>
      <c r="O322" s="527">
        <v>347.66999999999996</v>
      </c>
      <c r="P322" s="527">
        <v>76.487399999999994</v>
      </c>
      <c r="Q322" s="527">
        <v>46.554734016708601</v>
      </c>
      <c r="R322" s="527">
        <v>282.54000000000002</v>
      </c>
      <c r="S322" s="527">
        <v>754.47047403385022</v>
      </c>
      <c r="T322" s="527">
        <v>331.93215609267776</v>
      </c>
      <c r="U322" s="527">
        <v>91.612537774658193</v>
      </c>
      <c r="V322" s="528">
        <v>1931.2673019178949</v>
      </c>
      <c r="W322" s="529">
        <v>1.2318334164942994</v>
      </c>
      <c r="Y322" s="529">
        <v>0</v>
      </c>
      <c r="Z322" s="466">
        <v>2</v>
      </c>
    </row>
    <row r="323" spans="1:26" x14ac:dyDescent="0.3">
      <c r="A323" s="489">
        <v>150000969</v>
      </c>
      <c r="B323" s="467" t="s">
        <v>192</v>
      </c>
      <c r="C323" s="509">
        <v>124.19</v>
      </c>
      <c r="D323" s="509">
        <v>25.65</v>
      </c>
      <c r="E323" s="524">
        <v>0</v>
      </c>
      <c r="F323" s="524">
        <v>63.99</v>
      </c>
      <c r="G323" s="473">
        <v>85.44</v>
      </c>
      <c r="H323" s="523">
        <v>85.44</v>
      </c>
      <c r="I323" s="473"/>
      <c r="J323" s="523">
        <v>0</v>
      </c>
      <c r="K323" s="473">
        <v>25.61</v>
      </c>
      <c r="L323" s="523">
        <v>25.61</v>
      </c>
      <c r="M323" s="525">
        <v>268.41532449688265</v>
      </c>
      <c r="N323" s="526">
        <v>941.23575204539338</v>
      </c>
      <c r="O323" s="527">
        <v>213.83</v>
      </c>
      <c r="P323" s="527">
        <v>47.042599999999993</v>
      </c>
      <c r="Q323" s="527">
        <v>39.196366882893201</v>
      </c>
      <c r="R323" s="527">
        <v>111.05</v>
      </c>
      <c r="S323" s="527">
        <v>268.41532449688265</v>
      </c>
      <c r="T323" s="527">
        <v>204.15063979433739</v>
      </c>
      <c r="U323" s="527">
        <v>57.550820871280123</v>
      </c>
      <c r="V323" s="528">
        <v>941.23575204539338</v>
      </c>
      <c r="W323" s="529">
        <v>1.1426495377441761</v>
      </c>
      <c r="Y323" s="529">
        <v>0</v>
      </c>
      <c r="Z323" s="466">
        <v>2</v>
      </c>
    </row>
    <row r="324" spans="1:26" x14ac:dyDescent="0.3">
      <c r="A324" s="489">
        <v>150000970</v>
      </c>
      <c r="B324" s="467" t="s">
        <v>242</v>
      </c>
      <c r="C324" s="509">
        <v>290.63</v>
      </c>
      <c r="D324" s="509">
        <v>57.37</v>
      </c>
      <c r="E324" s="524">
        <v>0</v>
      </c>
      <c r="F324" s="524">
        <v>163.6</v>
      </c>
      <c r="G324" s="473">
        <v>309.37</v>
      </c>
      <c r="H324" s="523">
        <v>309.37</v>
      </c>
      <c r="I324" s="473"/>
      <c r="J324" s="523">
        <v>0</v>
      </c>
      <c r="K324" s="473">
        <v>98.23</v>
      </c>
      <c r="L324" s="523">
        <v>98.23</v>
      </c>
      <c r="M324" s="525">
        <v>1050.286752272682</v>
      </c>
      <c r="N324" s="526">
        <v>2766.8897552048525</v>
      </c>
      <c r="O324" s="527">
        <v>511.6</v>
      </c>
      <c r="P324" s="527">
        <v>112.55199999999999</v>
      </c>
      <c r="Q324" s="527">
        <v>62.308009154198899</v>
      </c>
      <c r="R324" s="527">
        <v>407.6</v>
      </c>
      <c r="S324" s="527">
        <v>1050.286752272682</v>
      </c>
      <c r="T324" s="527">
        <v>488.44159995689574</v>
      </c>
      <c r="U324" s="527">
        <v>134.1013938210761</v>
      </c>
      <c r="V324" s="528">
        <v>2766.8897552048529</v>
      </c>
      <c r="W324" s="529">
        <v>1.0280540560292153</v>
      </c>
      <c r="Y324" s="529">
        <v>0</v>
      </c>
      <c r="Z324" s="466">
        <v>2</v>
      </c>
    </row>
    <row r="325" spans="1:26" x14ac:dyDescent="0.3">
      <c r="A325" s="489">
        <v>150000971</v>
      </c>
      <c r="B325" s="467" t="s">
        <v>193</v>
      </c>
      <c r="C325" s="509">
        <v>195.62</v>
      </c>
      <c r="D325" s="509">
        <v>39.97</v>
      </c>
      <c r="E325" s="524">
        <v>0</v>
      </c>
      <c r="F325" s="524">
        <v>127.43</v>
      </c>
      <c r="G325" s="473">
        <v>174.56</v>
      </c>
      <c r="H325" s="523">
        <v>174.56</v>
      </c>
      <c r="I325" s="473"/>
      <c r="J325" s="523">
        <v>0</v>
      </c>
      <c r="K325" s="473">
        <v>73.84</v>
      </c>
      <c r="L325" s="523">
        <v>73.84</v>
      </c>
      <c r="M325" s="525">
        <v>523.62189274910929</v>
      </c>
      <c r="N325" s="526">
        <v>1712.6572518233361</v>
      </c>
      <c r="O325" s="527">
        <v>363.02</v>
      </c>
      <c r="P325" s="527">
        <v>79.864400000000003</v>
      </c>
      <c r="Q325" s="527">
        <v>54.799838521979801</v>
      </c>
      <c r="R325" s="527">
        <v>248.4</v>
      </c>
      <c r="S325" s="527">
        <v>523.62189274910929</v>
      </c>
      <c r="T325" s="527">
        <v>346.58731355815542</v>
      </c>
      <c r="U325" s="527">
        <v>96.36380699409176</v>
      </c>
      <c r="V325" s="528">
        <v>1712.6572518233361</v>
      </c>
      <c r="W325" s="529">
        <v>1.037241500717816</v>
      </c>
      <c r="Y325" s="529">
        <v>0</v>
      </c>
      <c r="Z325" s="466">
        <v>2</v>
      </c>
    </row>
    <row r="326" spans="1:26" x14ac:dyDescent="0.3">
      <c r="A326" s="489">
        <v>150000972</v>
      </c>
      <c r="B326" s="467" t="s">
        <v>201</v>
      </c>
      <c r="C326" s="509">
        <v>280.60000000000002</v>
      </c>
      <c r="D326" s="509">
        <v>46.43</v>
      </c>
      <c r="E326" s="524">
        <v>0</v>
      </c>
      <c r="F326" s="524">
        <v>146.46</v>
      </c>
      <c r="G326" s="473">
        <v>273.60000000000002</v>
      </c>
      <c r="H326" s="523">
        <v>273.60000000000002</v>
      </c>
      <c r="I326" s="473"/>
      <c r="J326" s="523">
        <v>0</v>
      </c>
      <c r="K326" s="473">
        <v>98.31</v>
      </c>
      <c r="L326" s="523">
        <v>98.31</v>
      </c>
      <c r="M326" s="525">
        <v>772.3577026144203</v>
      </c>
      <c r="N326" s="526">
        <v>2362.4666144665648</v>
      </c>
      <c r="O326" s="527">
        <v>473.49</v>
      </c>
      <c r="P326" s="527">
        <v>104.1678</v>
      </c>
      <c r="Q326" s="527">
        <v>63.685472817645106</v>
      </c>
      <c r="R326" s="527">
        <v>371.91</v>
      </c>
      <c r="S326" s="527">
        <v>772.3577026144203</v>
      </c>
      <c r="T326" s="527">
        <v>452.0567106403256</v>
      </c>
      <c r="U326" s="527">
        <v>124.79892839417407</v>
      </c>
      <c r="V326" s="528">
        <v>2362.4666144665653</v>
      </c>
      <c r="W326" s="529">
        <v>1.0144623431803734</v>
      </c>
      <c r="Y326" s="529">
        <v>0</v>
      </c>
      <c r="Z326" s="466">
        <v>2</v>
      </c>
    </row>
    <row r="327" spans="1:26" x14ac:dyDescent="0.3">
      <c r="A327" s="489">
        <v>150000973</v>
      </c>
      <c r="B327" s="467" t="s">
        <v>49</v>
      </c>
      <c r="C327" s="509">
        <v>0</v>
      </c>
      <c r="D327" s="509">
        <v>0</v>
      </c>
      <c r="E327" s="524">
        <v>0</v>
      </c>
      <c r="F327" s="524">
        <v>0</v>
      </c>
      <c r="G327" s="473"/>
      <c r="H327" s="523">
        <v>0</v>
      </c>
      <c r="I327" s="473"/>
      <c r="J327" s="523">
        <v>0</v>
      </c>
      <c r="K327" s="473">
        <v>27.19</v>
      </c>
      <c r="L327" s="523">
        <v>27.19</v>
      </c>
      <c r="M327" s="525">
        <v>0</v>
      </c>
      <c r="N327" s="526">
        <v>27.19</v>
      </c>
      <c r="O327" s="527">
        <v>0</v>
      </c>
      <c r="P327" s="527">
        <v>0</v>
      </c>
      <c r="Q327" s="527">
        <v>0</v>
      </c>
      <c r="R327" s="527">
        <v>27.19</v>
      </c>
      <c r="S327" s="527">
        <v>0</v>
      </c>
      <c r="T327" s="527">
        <v>0</v>
      </c>
      <c r="U327" s="527">
        <v>0</v>
      </c>
      <c r="V327" s="528">
        <v>27.19</v>
      </c>
      <c r="W327" s="529">
        <v>1.0117976525531567</v>
      </c>
      <c r="Y327" s="529">
        <v>0</v>
      </c>
      <c r="Z327" s="466">
        <v>2</v>
      </c>
    </row>
    <row r="328" spans="1:26" x14ac:dyDescent="0.3">
      <c r="A328" s="489">
        <v>150000974</v>
      </c>
      <c r="B328" s="467" t="s">
        <v>202</v>
      </c>
      <c r="C328" s="509">
        <v>217.46</v>
      </c>
      <c r="D328" s="509">
        <v>31.84</v>
      </c>
      <c r="E328" s="524">
        <v>0</v>
      </c>
      <c r="F328" s="524">
        <v>139.05000000000001</v>
      </c>
      <c r="G328" s="473">
        <v>269.18</v>
      </c>
      <c r="H328" s="523">
        <v>269.18</v>
      </c>
      <c r="I328" s="473">
        <v>66.87</v>
      </c>
      <c r="J328" s="523">
        <v>66.87</v>
      </c>
      <c r="K328" s="473">
        <v>58.8</v>
      </c>
      <c r="L328" s="523">
        <v>58.8</v>
      </c>
      <c r="M328" s="525">
        <v>825.08226861177036</v>
      </c>
      <c r="N328" s="526">
        <v>2225.0943209134321</v>
      </c>
      <c r="O328" s="527">
        <v>388.35</v>
      </c>
      <c r="P328" s="527">
        <v>85.437000000000012</v>
      </c>
      <c r="Q328" s="527">
        <v>57.630069360950699</v>
      </c>
      <c r="R328" s="527">
        <v>394.85</v>
      </c>
      <c r="S328" s="527">
        <v>825.08226861177036</v>
      </c>
      <c r="T328" s="527">
        <v>370.77071020965695</v>
      </c>
      <c r="U328" s="527">
        <v>102.97427273105414</v>
      </c>
      <c r="V328" s="528">
        <v>2225.0943209134321</v>
      </c>
      <c r="W328" s="529">
        <v>1.0090330021607627</v>
      </c>
      <c r="Y328" s="529">
        <v>0</v>
      </c>
      <c r="Z328" s="466">
        <v>2</v>
      </c>
    </row>
    <row r="329" spans="1:26" x14ac:dyDescent="0.3">
      <c r="A329" s="489">
        <v>150000975</v>
      </c>
      <c r="B329" s="467" t="s">
        <v>203</v>
      </c>
      <c r="C329" s="509">
        <v>326.98</v>
      </c>
      <c r="D329" s="509">
        <v>65.55</v>
      </c>
      <c r="E329" s="524">
        <v>0</v>
      </c>
      <c r="F329" s="524">
        <v>253.19</v>
      </c>
      <c r="G329" s="473">
        <v>381.05</v>
      </c>
      <c r="H329" s="523">
        <v>381.05</v>
      </c>
      <c r="I329" s="473"/>
      <c r="J329" s="523">
        <v>0</v>
      </c>
      <c r="K329" s="473">
        <v>100.18</v>
      </c>
      <c r="L329" s="523">
        <v>100.18</v>
      </c>
      <c r="M329" s="525">
        <v>1159.2242501598873</v>
      </c>
      <c r="N329" s="526">
        <v>3300.8185476628823</v>
      </c>
      <c r="O329" s="527">
        <v>645.72</v>
      </c>
      <c r="P329" s="527">
        <v>142.05839999999998</v>
      </c>
      <c r="Q329" s="527">
        <v>85.998698255180699</v>
      </c>
      <c r="R329" s="527">
        <v>481.23</v>
      </c>
      <c r="S329" s="527">
        <v>1159.2242501598873</v>
      </c>
      <c r="T329" s="527">
        <v>616.49044160314065</v>
      </c>
      <c r="U329" s="527">
        <v>170.09675764467363</v>
      </c>
      <c r="V329" s="528">
        <v>3300.8185476628823</v>
      </c>
      <c r="W329" s="529">
        <v>1.1108328866541612</v>
      </c>
      <c r="Y329" s="529">
        <v>0</v>
      </c>
      <c r="Z329" s="466">
        <v>3</v>
      </c>
    </row>
    <row r="330" spans="1:26" x14ac:dyDescent="0.3">
      <c r="A330" s="489">
        <v>150000976</v>
      </c>
      <c r="B330" s="467" t="s">
        <v>149</v>
      </c>
      <c r="C330" s="509">
        <v>150.19</v>
      </c>
      <c r="D330" s="509">
        <v>28.03</v>
      </c>
      <c r="E330" s="524">
        <v>0</v>
      </c>
      <c r="F330" s="524">
        <v>48.74</v>
      </c>
      <c r="G330" s="473">
        <v>104.78</v>
      </c>
      <c r="H330" s="523">
        <v>104.78</v>
      </c>
      <c r="I330" s="473">
        <v>25.87</v>
      </c>
      <c r="J330" s="523">
        <v>25.87</v>
      </c>
      <c r="K330" s="473">
        <v>16.84</v>
      </c>
      <c r="L330" s="523">
        <v>16.84</v>
      </c>
      <c r="M330" s="525">
        <v>329.41718770392674</v>
      </c>
      <c r="N330" s="526">
        <v>1061.3713554802243</v>
      </c>
      <c r="O330" s="527">
        <v>226.96</v>
      </c>
      <c r="P330" s="527">
        <v>49.931200000000004</v>
      </c>
      <c r="Q330" s="527">
        <v>31.010987467276401</v>
      </c>
      <c r="R330" s="527">
        <v>147.49</v>
      </c>
      <c r="S330" s="527">
        <v>329.41718770392674</v>
      </c>
      <c r="T330" s="527">
        <v>216.68628914428666</v>
      </c>
      <c r="U330" s="527">
        <v>59.875691164734555</v>
      </c>
      <c r="V330" s="528">
        <v>1061.3713554802243</v>
      </c>
      <c r="W330" s="529">
        <v>1.1376372156459129</v>
      </c>
      <c r="Y330" s="529">
        <v>0</v>
      </c>
      <c r="Z330" s="466">
        <v>3</v>
      </c>
    </row>
    <row r="331" spans="1:26" x14ac:dyDescent="0.3">
      <c r="A331" s="489">
        <v>150000977</v>
      </c>
      <c r="B331" s="467" t="s">
        <v>150</v>
      </c>
      <c r="C331" s="509">
        <v>144.37</v>
      </c>
      <c r="D331" s="509">
        <v>28.03</v>
      </c>
      <c r="E331" s="524">
        <v>0</v>
      </c>
      <c r="F331" s="524">
        <v>48.74</v>
      </c>
      <c r="G331" s="473">
        <v>99.3</v>
      </c>
      <c r="H331" s="523">
        <v>99.3</v>
      </c>
      <c r="I331" s="473"/>
      <c r="J331" s="523">
        <v>0</v>
      </c>
      <c r="K331" s="473">
        <v>25.47</v>
      </c>
      <c r="L331" s="523">
        <v>25.47</v>
      </c>
      <c r="M331" s="525">
        <v>323.9655024990916</v>
      </c>
      <c r="N331" s="526">
        <v>1018.7948280241808</v>
      </c>
      <c r="O331" s="527">
        <v>221.14000000000001</v>
      </c>
      <c r="P331" s="527">
        <v>48.650799999999997</v>
      </c>
      <c r="Q331" s="527">
        <v>30.738803978986404</v>
      </c>
      <c r="R331" s="527">
        <v>124.77</v>
      </c>
      <c r="S331" s="527">
        <v>323.9655024990916</v>
      </c>
      <c r="T331" s="527">
        <v>211.12974084141501</v>
      </c>
      <c r="U331" s="527">
        <v>58.399980704687671</v>
      </c>
      <c r="V331" s="528">
        <v>1018.7948280241807</v>
      </c>
      <c r="W331" s="529">
        <v>1.0614408886808153</v>
      </c>
      <c r="Y331" s="529">
        <v>0</v>
      </c>
      <c r="Z331" s="466">
        <v>3</v>
      </c>
    </row>
    <row r="332" spans="1:26" x14ac:dyDescent="0.3">
      <c r="A332" s="489">
        <v>150000978</v>
      </c>
      <c r="B332" s="467" t="s">
        <v>243</v>
      </c>
      <c r="C332" s="509">
        <v>203.73</v>
      </c>
      <c r="D332" s="509">
        <v>35.44</v>
      </c>
      <c r="E332" s="524">
        <v>0</v>
      </c>
      <c r="F332" s="524">
        <v>94.96</v>
      </c>
      <c r="G332" s="473">
        <v>237.27</v>
      </c>
      <c r="H332" s="523">
        <v>237.27</v>
      </c>
      <c r="I332" s="473"/>
      <c r="J332" s="523">
        <v>0</v>
      </c>
      <c r="K332" s="473">
        <v>65.680000000000007</v>
      </c>
      <c r="L332" s="523">
        <v>65.680000000000007</v>
      </c>
      <c r="M332" s="525">
        <v>665.28375463710279</v>
      </c>
      <c r="N332" s="526">
        <v>1832.3823436463622</v>
      </c>
      <c r="O332" s="527">
        <v>334.13</v>
      </c>
      <c r="P332" s="527">
        <v>73.508600000000001</v>
      </c>
      <c r="Q332" s="527">
        <v>48.976837079193103</v>
      </c>
      <c r="R332" s="527">
        <v>302.95000000000005</v>
      </c>
      <c r="S332" s="527">
        <v>665.28375463710279</v>
      </c>
      <c r="T332" s="527">
        <v>319.00506605472549</v>
      </c>
      <c r="U332" s="527">
        <v>88.528085875340551</v>
      </c>
      <c r="V332" s="528">
        <v>1832.382343646362</v>
      </c>
      <c r="W332" s="529">
        <v>1.1460660583232187</v>
      </c>
      <c r="Y332" s="529">
        <v>0</v>
      </c>
      <c r="Z332" s="466">
        <v>3</v>
      </c>
    </row>
    <row r="333" spans="1:26" x14ac:dyDescent="0.3">
      <c r="A333" s="489">
        <v>150000981</v>
      </c>
      <c r="B333" s="467" t="s">
        <v>342</v>
      </c>
      <c r="C333" s="509">
        <v>250.54</v>
      </c>
      <c r="D333" s="509">
        <v>46.65</v>
      </c>
      <c r="E333" s="524">
        <v>13.19</v>
      </c>
      <c r="F333" s="524">
        <v>117.24</v>
      </c>
      <c r="G333" s="473">
        <v>240.97</v>
      </c>
      <c r="H333" s="523">
        <v>240.97</v>
      </c>
      <c r="I333" s="473">
        <v>60.59</v>
      </c>
      <c r="J333" s="523">
        <v>60.59</v>
      </c>
      <c r="K333" s="473">
        <v>41.27</v>
      </c>
      <c r="L333" s="523">
        <v>41.27</v>
      </c>
      <c r="M333" s="525">
        <v>789.02275601508302</v>
      </c>
      <c r="N333" s="526">
        <v>2224.2506116921213</v>
      </c>
      <c r="O333" s="527">
        <v>427.62</v>
      </c>
      <c r="P333" s="527">
        <v>94.076399999999992</v>
      </c>
      <c r="Q333" s="527">
        <v>50.527182084013305</v>
      </c>
      <c r="R333" s="527">
        <v>342.83</v>
      </c>
      <c r="S333" s="527">
        <v>789.02275601508302</v>
      </c>
      <c r="T333" s="527">
        <v>408.26309025325986</v>
      </c>
      <c r="U333" s="527">
        <v>111.91118333976536</v>
      </c>
      <c r="V333" s="528">
        <v>2224.2506116921213</v>
      </c>
      <c r="W333" s="529">
        <v>1.1119724900883206</v>
      </c>
      <c r="Y333" s="529">
        <v>0</v>
      </c>
      <c r="Z333" s="466">
        <v>3</v>
      </c>
    </row>
    <row r="334" spans="1:26" x14ac:dyDescent="0.3">
      <c r="A334" s="489">
        <v>150000982</v>
      </c>
      <c r="B334" s="467" t="s">
        <v>343</v>
      </c>
      <c r="C334" s="509">
        <v>531.61</v>
      </c>
      <c r="D334" s="509">
        <v>139.34</v>
      </c>
      <c r="E334" s="524">
        <v>39.56</v>
      </c>
      <c r="F334" s="524">
        <v>386.9</v>
      </c>
      <c r="G334" s="473">
        <v>647.23</v>
      </c>
      <c r="H334" s="523">
        <v>647.23</v>
      </c>
      <c r="I334" s="473">
        <v>157.82</v>
      </c>
      <c r="J334" s="523">
        <v>157.82</v>
      </c>
      <c r="K334" s="473">
        <v>122.68</v>
      </c>
      <c r="L334" s="523">
        <v>122.68</v>
      </c>
      <c r="M334" s="525">
        <v>2121.2720923590155</v>
      </c>
      <c r="N334" s="526">
        <v>5842.9401425662581</v>
      </c>
      <c r="O334" s="527">
        <v>1097.4099999999999</v>
      </c>
      <c r="P334" s="527">
        <v>241.43020000000001</v>
      </c>
      <c r="Q334" s="527">
        <v>121.1376617277877</v>
      </c>
      <c r="R334" s="527">
        <v>927.73</v>
      </c>
      <c r="S334" s="527">
        <v>2121.2720923590155</v>
      </c>
      <c r="T334" s="527">
        <v>1047.7339644423319</v>
      </c>
      <c r="U334" s="527">
        <v>286.22622403712353</v>
      </c>
      <c r="V334" s="528">
        <v>5842.9401425662581</v>
      </c>
      <c r="W334" s="529">
        <v>1.1393241359967854</v>
      </c>
      <c r="Y334" s="529">
        <v>0</v>
      </c>
      <c r="Z334" s="466">
        <v>3</v>
      </c>
    </row>
    <row r="335" spans="1:26" x14ac:dyDescent="0.3">
      <c r="A335" s="489">
        <v>150000983</v>
      </c>
      <c r="B335" s="467" t="s">
        <v>344</v>
      </c>
      <c r="C335" s="509">
        <v>349.72</v>
      </c>
      <c r="D335" s="509">
        <v>51.99</v>
      </c>
      <c r="E335" s="524">
        <v>26.37</v>
      </c>
      <c r="F335" s="524">
        <v>280.39</v>
      </c>
      <c r="G335" s="473">
        <v>416.74</v>
      </c>
      <c r="H335" s="523">
        <v>416.74</v>
      </c>
      <c r="I335" s="473">
        <v>106.63</v>
      </c>
      <c r="J335" s="523">
        <v>106.63</v>
      </c>
      <c r="K335" s="473">
        <v>57.51</v>
      </c>
      <c r="L335" s="523">
        <v>57.51</v>
      </c>
      <c r="M335" s="525">
        <v>1374.9114454664759</v>
      </c>
      <c r="N335" s="526">
        <v>3772.4093333183191</v>
      </c>
      <c r="O335" s="527">
        <v>708.47</v>
      </c>
      <c r="P335" s="527">
        <v>155.86340000000001</v>
      </c>
      <c r="Q335" s="527">
        <v>89.780300233372401</v>
      </c>
      <c r="R335" s="527">
        <v>580.88</v>
      </c>
      <c r="S335" s="527">
        <v>1374.9114454664759</v>
      </c>
      <c r="T335" s="527">
        <v>676.39996153530478</v>
      </c>
      <c r="U335" s="527">
        <v>186.1042260831656</v>
      </c>
      <c r="V335" s="528">
        <v>3772.4093333183182</v>
      </c>
      <c r="W335" s="529">
        <v>1.1547830386014755</v>
      </c>
      <c r="Y335" s="529">
        <v>0</v>
      </c>
      <c r="Z335" s="466">
        <v>3</v>
      </c>
    </row>
    <row r="336" spans="1:26" x14ac:dyDescent="0.3">
      <c r="A336" s="489">
        <v>150000984</v>
      </c>
      <c r="B336" s="467" t="s">
        <v>345</v>
      </c>
      <c r="C336" s="509">
        <v>873.14</v>
      </c>
      <c r="D336" s="509">
        <v>144.13999999999999</v>
      </c>
      <c r="E336" s="524">
        <v>39.56</v>
      </c>
      <c r="F336" s="524">
        <v>524.71</v>
      </c>
      <c r="G336" s="473">
        <v>1044.29</v>
      </c>
      <c r="H336" s="523">
        <v>1044.29</v>
      </c>
      <c r="I336" s="473">
        <v>246.65</v>
      </c>
      <c r="J336" s="523">
        <v>246.65</v>
      </c>
      <c r="K336" s="473">
        <v>119.56</v>
      </c>
      <c r="L336" s="523">
        <v>119.56</v>
      </c>
      <c r="M336" s="525">
        <v>3487.9169301946304</v>
      </c>
      <c r="N336" s="526">
        <v>8906.4639973760386</v>
      </c>
      <c r="O336" s="527">
        <v>1581.55</v>
      </c>
      <c r="P336" s="527">
        <v>347.94100000000003</v>
      </c>
      <c r="Q336" s="527">
        <v>157.9913202098796</v>
      </c>
      <c r="R336" s="527">
        <v>1410.5</v>
      </c>
      <c r="S336" s="527">
        <v>3487.9169301946304</v>
      </c>
      <c r="T336" s="527">
        <v>1509.9585856368813</v>
      </c>
      <c r="U336" s="527">
        <v>410.60616133464589</v>
      </c>
      <c r="V336" s="528">
        <v>8906.4639973760386</v>
      </c>
      <c r="W336" s="529">
        <v>1.0857434068736316</v>
      </c>
      <c r="Y336" s="529">
        <v>0</v>
      </c>
      <c r="Z336" s="466">
        <v>3</v>
      </c>
    </row>
    <row r="337" spans="1:26" x14ac:dyDescent="0.3">
      <c r="A337" s="489">
        <v>150000986</v>
      </c>
      <c r="B337" s="467" t="s">
        <v>346</v>
      </c>
      <c r="C337" s="509">
        <v>582.87</v>
      </c>
      <c r="D337" s="509">
        <v>96.45</v>
      </c>
      <c r="E337" s="524">
        <v>26.37</v>
      </c>
      <c r="F337" s="524">
        <v>317.85000000000002</v>
      </c>
      <c r="G337" s="473">
        <v>706.64</v>
      </c>
      <c r="H337" s="523">
        <v>706.64</v>
      </c>
      <c r="I337" s="473">
        <v>166.8</v>
      </c>
      <c r="J337" s="523">
        <v>166.8</v>
      </c>
      <c r="K337" s="473">
        <v>81.98</v>
      </c>
      <c r="L337" s="523">
        <v>81.98</v>
      </c>
      <c r="M337" s="525">
        <v>2345.2579640329641</v>
      </c>
      <c r="N337" s="526">
        <v>5902.1940374575252</v>
      </c>
      <c r="O337" s="527">
        <v>1023.5400000000001</v>
      </c>
      <c r="P337" s="527">
        <v>225.17880000000002</v>
      </c>
      <c r="Q337" s="527">
        <v>109.0759949677669</v>
      </c>
      <c r="R337" s="527">
        <v>955.42000000000007</v>
      </c>
      <c r="S337" s="527">
        <v>2345.2579640329641</v>
      </c>
      <c r="T337" s="527">
        <v>977.20780926481837</v>
      </c>
      <c r="U337" s="527">
        <v>266.5134691919755</v>
      </c>
      <c r="V337" s="528">
        <v>5902.1940374575252</v>
      </c>
      <c r="W337" s="529">
        <v>1.0963367368946253</v>
      </c>
      <c r="Y337" s="529">
        <v>0</v>
      </c>
      <c r="Z337" s="466">
        <v>3</v>
      </c>
    </row>
    <row r="338" spans="1:26" x14ac:dyDescent="0.3">
      <c r="A338" s="489">
        <v>150000987</v>
      </c>
      <c r="B338" s="467" t="s">
        <v>50</v>
      </c>
      <c r="C338" s="509">
        <v>0</v>
      </c>
      <c r="D338" s="509">
        <v>0</v>
      </c>
      <c r="E338" s="524">
        <v>0</v>
      </c>
      <c r="F338" s="524">
        <v>0</v>
      </c>
      <c r="G338" s="473"/>
      <c r="H338" s="523">
        <v>0</v>
      </c>
      <c r="I338" s="473"/>
      <c r="J338" s="523">
        <v>0</v>
      </c>
      <c r="K338" s="473">
        <v>6.5640000000000001</v>
      </c>
      <c r="L338" s="523">
        <v>6.5640000000000001</v>
      </c>
      <c r="M338" s="525">
        <v>0</v>
      </c>
      <c r="N338" s="526">
        <v>6.5640000000000001</v>
      </c>
      <c r="O338" s="527">
        <v>0</v>
      </c>
      <c r="P338" s="527">
        <v>0</v>
      </c>
      <c r="Q338" s="527">
        <v>0</v>
      </c>
      <c r="R338" s="527">
        <v>6.5640000000000001</v>
      </c>
      <c r="S338" s="527">
        <v>0</v>
      </c>
      <c r="T338" s="527">
        <v>0</v>
      </c>
      <c r="U338" s="527">
        <v>0</v>
      </c>
      <c r="V338" s="528">
        <v>6.5640000000000001</v>
      </c>
      <c r="W338" s="529">
        <v>1.1525104461528204</v>
      </c>
      <c r="Y338" s="529">
        <v>0</v>
      </c>
      <c r="Z338" s="466">
        <v>3</v>
      </c>
    </row>
    <row r="339" spans="1:26" x14ac:dyDescent="0.3">
      <c r="A339" s="489">
        <v>150000988</v>
      </c>
      <c r="B339" s="467" t="s">
        <v>51</v>
      </c>
      <c r="C339" s="509">
        <v>0</v>
      </c>
      <c r="D339" s="509">
        <v>0</v>
      </c>
      <c r="E339" s="524">
        <v>0</v>
      </c>
      <c r="F339" s="524">
        <v>0</v>
      </c>
      <c r="G339" s="473"/>
      <c r="H339" s="523">
        <v>0</v>
      </c>
      <c r="I339" s="473"/>
      <c r="J339" s="523">
        <v>0</v>
      </c>
      <c r="K339" s="473">
        <v>29.36</v>
      </c>
      <c r="L339" s="523">
        <v>29.36</v>
      </c>
      <c r="M339" s="525">
        <v>0</v>
      </c>
      <c r="N339" s="526">
        <v>29.36</v>
      </c>
      <c r="O339" s="527">
        <v>0</v>
      </c>
      <c r="P339" s="527">
        <v>0</v>
      </c>
      <c r="Q339" s="527">
        <v>0</v>
      </c>
      <c r="R339" s="527">
        <v>29.36</v>
      </c>
      <c r="S339" s="527">
        <v>0</v>
      </c>
      <c r="T339" s="527">
        <v>0</v>
      </c>
      <c r="U339" s="527">
        <v>0</v>
      </c>
      <c r="V339" s="528">
        <v>29.36</v>
      </c>
      <c r="W339" s="529">
        <v>0.92701312235414213</v>
      </c>
      <c r="Y339" s="529">
        <v>0</v>
      </c>
      <c r="Z339" s="466">
        <v>3</v>
      </c>
    </row>
    <row r="340" spans="1:26" x14ac:dyDescent="0.3">
      <c r="A340" s="489">
        <v>150000989</v>
      </c>
      <c r="B340" s="467" t="s">
        <v>37</v>
      </c>
      <c r="C340" s="509">
        <v>0</v>
      </c>
      <c r="D340" s="509">
        <v>0</v>
      </c>
      <c r="E340" s="524">
        <v>0</v>
      </c>
      <c r="F340" s="524">
        <v>0</v>
      </c>
      <c r="G340" s="473"/>
      <c r="H340" s="523">
        <v>0</v>
      </c>
      <c r="I340" s="473"/>
      <c r="J340" s="523">
        <v>0</v>
      </c>
      <c r="K340" s="473">
        <v>27.19</v>
      </c>
      <c r="L340" s="523">
        <v>27.19</v>
      </c>
      <c r="M340" s="525">
        <v>0</v>
      </c>
      <c r="N340" s="526">
        <v>27.19</v>
      </c>
      <c r="O340" s="527">
        <v>0</v>
      </c>
      <c r="P340" s="527">
        <v>0</v>
      </c>
      <c r="Q340" s="527">
        <v>0</v>
      </c>
      <c r="R340" s="527">
        <v>27.19</v>
      </c>
      <c r="S340" s="527">
        <v>0</v>
      </c>
      <c r="T340" s="527">
        <v>0</v>
      </c>
      <c r="U340" s="527">
        <v>0</v>
      </c>
      <c r="V340" s="528">
        <v>27.19</v>
      </c>
      <c r="W340" s="529">
        <v>0.21319796954314718</v>
      </c>
      <c r="Y340" s="529"/>
      <c r="Z340" s="466">
        <v>1</v>
      </c>
    </row>
    <row r="341" spans="1:26" x14ac:dyDescent="0.3">
      <c r="A341" s="489">
        <v>150000991</v>
      </c>
      <c r="B341" s="467" t="s">
        <v>341</v>
      </c>
      <c r="C341" s="509">
        <v>396.35</v>
      </c>
      <c r="D341" s="509">
        <v>62.11</v>
      </c>
      <c r="E341" s="524">
        <v>26.37</v>
      </c>
      <c r="F341" s="524">
        <v>239.18</v>
      </c>
      <c r="G341" s="473">
        <v>306.19</v>
      </c>
      <c r="H341" s="523">
        <v>306.19</v>
      </c>
      <c r="I341" s="473">
        <v>71.48</v>
      </c>
      <c r="J341" s="523">
        <v>71.48</v>
      </c>
      <c r="K341" s="473">
        <v>75.7</v>
      </c>
      <c r="L341" s="523">
        <v>75.7</v>
      </c>
      <c r="M341" s="525">
        <v>1454.7447833843391</v>
      </c>
      <c r="N341" s="526">
        <v>3744.9587308680539</v>
      </c>
      <c r="O341" s="527">
        <v>724.01</v>
      </c>
      <c r="P341" s="527">
        <v>159.28219999999999</v>
      </c>
      <c r="Q341" s="527">
        <v>74.138935397367703</v>
      </c>
      <c r="R341" s="527">
        <v>453.37</v>
      </c>
      <c r="S341" s="527">
        <v>1454.7447833843391</v>
      </c>
      <c r="T341" s="527">
        <v>691.23651834400334</v>
      </c>
      <c r="U341" s="527">
        <v>188.17629374234326</v>
      </c>
      <c r="V341" s="528">
        <v>3744.9587308680534</v>
      </c>
      <c r="W341" s="529">
        <v>0.40246406570841886</v>
      </c>
      <c r="Y341" s="529"/>
      <c r="Z341" s="466">
        <v>1</v>
      </c>
    </row>
    <row r="342" spans="1:26" x14ac:dyDescent="0.3">
      <c r="A342" s="489">
        <v>150000992</v>
      </c>
      <c r="B342" s="467" t="s">
        <v>39</v>
      </c>
      <c r="C342" s="509">
        <v>0</v>
      </c>
      <c r="D342" s="509">
        <v>0</v>
      </c>
      <c r="E342" s="524">
        <v>0</v>
      </c>
      <c r="F342" s="524">
        <v>0</v>
      </c>
      <c r="G342" s="473"/>
      <c r="H342" s="523">
        <v>0</v>
      </c>
      <c r="I342" s="473"/>
      <c r="J342" s="523">
        <v>0</v>
      </c>
      <c r="K342" s="473">
        <v>41.25</v>
      </c>
      <c r="L342" s="523">
        <v>41.25</v>
      </c>
      <c r="M342" s="525">
        <v>0</v>
      </c>
      <c r="N342" s="526">
        <v>41.25</v>
      </c>
      <c r="O342" s="527">
        <v>0</v>
      </c>
      <c r="P342" s="527">
        <v>0</v>
      </c>
      <c r="Q342" s="527">
        <v>0</v>
      </c>
      <c r="R342" s="527">
        <v>41.25</v>
      </c>
      <c r="S342" s="527">
        <v>0</v>
      </c>
      <c r="T342" s="527">
        <v>0</v>
      </c>
      <c r="U342" s="527">
        <v>0</v>
      </c>
      <c r="V342" s="528">
        <v>41.25</v>
      </c>
      <c r="W342" s="529">
        <v>0.99158311428888624</v>
      </c>
      <c r="Y342" s="529">
        <v>0</v>
      </c>
      <c r="Z342" s="466">
        <v>1</v>
      </c>
    </row>
    <row r="343" spans="1:26" x14ac:dyDescent="0.3">
      <c r="A343" s="489">
        <v>150000993</v>
      </c>
      <c r="B343" s="467" t="s">
        <v>41</v>
      </c>
      <c r="C343" s="509">
        <v>0</v>
      </c>
      <c r="D343" s="509">
        <v>0</v>
      </c>
      <c r="E343" s="524">
        <v>0</v>
      </c>
      <c r="F343" s="524">
        <v>0</v>
      </c>
      <c r="G343" s="473"/>
      <c r="H343" s="523">
        <v>0</v>
      </c>
      <c r="I343" s="473"/>
      <c r="J343" s="523">
        <v>0</v>
      </c>
      <c r="K343" s="473">
        <v>31.87</v>
      </c>
      <c r="L343" s="523">
        <v>31.87</v>
      </c>
      <c r="M343" s="525">
        <v>0</v>
      </c>
      <c r="N343" s="526">
        <v>31.87</v>
      </c>
      <c r="O343" s="527">
        <v>0</v>
      </c>
      <c r="P343" s="527">
        <v>0</v>
      </c>
      <c r="Q343" s="527">
        <v>0</v>
      </c>
      <c r="R343" s="527">
        <v>31.87</v>
      </c>
      <c r="S343" s="527">
        <v>0</v>
      </c>
      <c r="T343" s="527">
        <v>0</v>
      </c>
      <c r="U343" s="527">
        <v>0</v>
      </c>
      <c r="V343" s="528">
        <v>31.87</v>
      </c>
      <c r="W343" s="529">
        <v>0.95852753169689942</v>
      </c>
      <c r="Y343" s="529">
        <v>0</v>
      </c>
      <c r="Z343" s="466">
        <v>2</v>
      </c>
    </row>
    <row r="344" spans="1:26" x14ac:dyDescent="0.3">
      <c r="A344" s="489">
        <v>150000994</v>
      </c>
      <c r="B344" s="467" t="s">
        <v>44</v>
      </c>
      <c r="C344" s="509">
        <v>0</v>
      </c>
      <c r="D344" s="509">
        <v>0</v>
      </c>
      <c r="E344" s="524">
        <v>0</v>
      </c>
      <c r="F344" s="524">
        <v>0</v>
      </c>
      <c r="G344" s="473"/>
      <c r="H344" s="523">
        <v>0</v>
      </c>
      <c r="I344" s="473"/>
      <c r="J344" s="523">
        <v>0</v>
      </c>
      <c r="K344" s="473">
        <v>31.24</v>
      </c>
      <c r="L344" s="523">
        <v>31.24</v>
      </c>
      <c r="M344" s="525">
        <v>0</v>
      </c>
      <c r="N344" s="526">
        <v>31.24</v>
      </c>
      <c r="O344" s="527">
        <v>0</v>
      </c>
      <c r="P344" s="527">
        <v>0</v>
      </c>
      <c r="Q344" s="527">
        <v>0</v>
      </c>
      <c r="R344" s="527">
        <v>31.24</v>
      </c>
      <c r="S344" s="527">
        <v>0</v>
      </c>
      <c r="T344" s="527">
        <v>0</v>
      </c>
      <c r="U344" s="527">
        <v>0</v>
      </c>
      <c r="V344" s="528">
        <v>31.24</v>
      </c>
      <c r="W344" s="529">
        <v>0.93027189337516081</v>
      </c>
      <c r="Y344" s="529">
        <v>0</v>
      </c>
      <c r="Z344" s="466">
        <v>2</v>
      </c>
    </row>
    <row r="345" spans="1:26" x14ac:dyDescent="0.3">
      <c r="A345" s="489">
        <v>150000995</v>
      </c>
      <c r="B345" s="467" t="s">
        <v>47</v>
      </c>
      <c r="C345" s="509">
        <v>0</v>
      </c>
      <c r="D345" s="509">
        <v>0</v>
      </c>
      <c r="E345" s="524">
        <v>0</v>
      </c>
      <c r="F345" s="524">
        <v>0</v>
      </c>
      <c r="G345" s="473"/>
      <c r="H345" s="523">
        <v>0</v>
      </c>
      <c r="I345" s="473"/>
      <c r="J345" s="523">
        <v>0</v>
      </c>
      <c r="K345" s="473">
        <v>22.2</v>
      </c>
      <c r="L345" s="523">
        <v>22.2</v>
      </c>
      <c r="M345" s="525">
        <v>0</v>
      </c>
      <c r="N345" s="526">
        <v>22.2</v>
      </c>
      <c r="O345" s="527">
        <v>0</v>
      </c>
      <c r="P345" s="527">
        <v>0</v>
      </c>
      <c r="Q345" s="527">
        <v>0</v>
      </c>
      <c r="R345" s="527">
        <v>22.2</v>
      </c>
      <c r="S345" s="527">
        <v>0</v>
      </c>
      <c r="T345" s="527">
        <v>0</v>
      </c>
      <c r="U345" s="527">
        <v>0</v>
      </c>
      <c r="V345" s="528">
        <v>22.2</v>
      </c>
      <c r="W345" s="529">
        <v>1.0063312470491421</v>
      </c>
      <c r="Y345" s="529">
        <v>0</v>
      </c>
      <c r="Z345" s="466">
        <v>2</v>
      </c>
    </row>
    <row r="346" spans="1:26" x14ac:dyDescent="0.3">
      <c r="A346" s="489">
        <v>150000996</v>
      </c>
      <c r="B346" s="467" t="s">
        <v>245</v>
      </c>
      <c r="C346" s="509">
        <v>385.71</v>
      </c>
      <c r="D346" s="509">
        <v>69.05</v>
      </c>
      <c r="E346" s="524">
        <v>0</v>
      </c>
      <c r="F346" s="524">
        <v>222.71</v>
      </c>
      <c r="G346" s="473">
        <v>375.95</v>
      </c>
      <c r="H346" s="523">
        <v>375.95</v>
      </c>
      <c r="I346" s="473"/>
      <c r="J346" s="523">
        <v>0</v>
      </c>
      <c r="K346" s="473">
        <v>120.81</v>
      </c>
      <c r="L346" s="523">
        <v>120.81</v>
      </c>
      <c r="M346" s="525">
        <v>1228.1506544751364</v>
      </c>
      <c r="N346" s="526">
        <v>3456.9384106337625</v>
      </c>
      <c r="O346" s="527">
        <v>677.47</v>
      </c>
      <c r="P346" s="527">
        <v>149.04340000000002</v>
      </c>
      <c r="Q346" s="527">
        <v>81.272777085300802</v>
      </c>
      <c r="R346" s="527">
        <v>496.76</v>
      </c>
      <c r="S346" s="527">
        <v>1228.1506544751364</v>
      </c>
      <c r="T346" s="527">
        <v>646.80322658873763</v>
      </c>
      <c r="U346" s="527">
        <v>177.43835248458799</v>
      </c>
      <c r="V346" s="528">
        <v>3456.9384106337629</v>
      </c>
      <c r="W346" s="529">
        <v>0.83643130028261925</v>
      </c>
      <c r="Y346" s="529">
        <v>0</v>
      </c>
      <c r="Z346" s="466">
        <v>2</v>
      </c>
    </row>
    <row r="347" spans="1:26" x14ac:dyDescent="0.3">
      <c r="A347" s="489">
        <v>150000999</v>
      </c>
      <c r="B347" s="467" t="s">
        <v>40</v>
      </c>
      <c r="C347" s="509">
        <v>0</v>
      </c>
      <c r="D347" s="509">
        <v>0</v>
      </c>
      <c r="E347" s="524">
        <v>0</v>
      </c>
      <c r="F347" s="524">
        <v>0</v>
      </c>
      <c r="G347" s="473"/>
      <c r="H347" s="523">
        <v>0</v>
      </c>
      <c r="I347" s="473"/>
      <c r="J347" s="523">
        <v>0</v>
      </c>
      <c r="K347" s="473">
        <v>31.87</v>
      </c>
      <c r="L347" s="523">
        <v>31.87</v>
      </c>
      <c r="M347" s="525">
        <v>0</v>
      </c>
      <c r="N347" s="526">
        <v>31.87</v>
      </c>
      <c r="O347" s="527">
        <v>0</v>
      </c>
      <c r="P347" s="527">
        <v>0</v>
      </c>
      <c r="Q347" s="527">
        <v>0</v>
      </c>
      <c r="R347" s="527">
        <v>31.87</v>
      </c>
      <c r="S347" s="527">
        <v>0</v>
      </c>
      <c r="T347" s="527">
        <v>0</v>
      </c>
      <c r="U347" s="527">
        <v>0</v>
      </c>
      <c r="V347" s="528">
        <v>31.87</v>
      </c>
      <c r="W347" s="529">
        <v>0.77396490455379852</v>
      </c>
      <c r="Y347" s="529">
        <v>0</v>
      </c>
      <c r="Z347" s="466">
        <v>2</v>
      </c>
    </row>
    <row r="348" spans="1:26" x14ac:dyDescent="0.3">
      <c r="A348" s="489">
        <v>150001000</v>
      </c>
      <c r="B348" s="467" t="s">
        <v>42</v>
      </c>
      <c r="C348" s="509">
        <v>0</v>
      </c>
      <c r="D348" s="509">
        <v>0</v>
      </c>
      <c r="E348" s="524">
        <v>0</v>
      </c>
      <c r="F348" s="524">
        <v>0</v>
      </c>
      <c r="G348" s="473"/>
      <c r="H348" s="523">
        <v>0</v>
      </c>
      <c r="I348" s="473"/>
      <c r="J348" s="523">
        <v>0</v>
      </c>
      <c r="K348" s="473">
        <v>27.19</v>
      </c>
      <c r="L348" s="523">
        <v>27.19</v>
      </c>
      <c r="M348" s="525">
        <v>0</v>
      </c>
      <c r="N348" s="526">
        <v>27.19</v>
      </c>
      <c r="O348" s="527">
        <v>0</v>
      </c>
      <c r="P348" s="527">
        <v>0</v>
      </c>
      <c r="Q348" s="527">
        <v>0</v>
      </c>
      <c r="R348" s="527">
        <v>27.19</v>
      </c>
      <c r="S348" s="527">
        <v>0</v>
      </c>
      <c r="T348" s="527">
        <v>0</v>
      </c>
      <c r="U348" s="527">
        <v>0</v>
      </c>
      <c r="V348" s="528">
        <v>27.19</v>
      </c>
      <c r="W348" s="529">
        <v>0.21069459757442116</v>
      </c>
      <c r="Y348" s="529"/>
      <c r="Z348" s="466">
        <v>2</v>
      </c>
    </row>
    <row r="349" spans="1:26" x14ac:dyDescent="0.3">
      <c r="A349" s="489">
        <v>150001001</v>
      </c>
      <c r="B349" s="467" t="s">
        <v>45</v>
      </c>
      <c r="C349" s="509">
        <v>0</v>
      </c>
      <c r="D349" s="509">
        <v>0</v>
      </c>
      <c r="E349" s="524">
        <v>0</v>
      </c>
      <c r="F349" s="524">
        <v>0</v>
      </c>
      <c r="G349" s="473"/>
      <c r="H349" s="523">
        <v>0</v>
      </c>
      <c r="I349" s="473"/>
      <c r="J349" s="523">
        <v>0</v>
      </c>
      <c r="K349" s="473">
        <v>38.46</v>
      </c>
      <c r="L349" s="523">
        <v>38.46</v>
      </c>
      <c r="M349" s="525">
        <v>0</v>
      </c>
      <c r="N349" s="526">
        <v>38.46</v>
      </c>
      <c r="O349" s="527">
        <v>0</v>
      </c>
      <c r="P349" s="527">
        <v>0</v>
      </c>
      <c r="Q349" s="527">
        <v>0</v>
      </c>
      <c r="R349" s="527">
        <v>38.46</v>
      </c>
      <c r="S349" s="527">
        <v>0</v>
      </c>
      <c r="T349" s="527">
        <v>0</v>
      </c>
      <c r="U349" s="527">
        <v>0</v>
      </c>
      <c r="V349" s="528">
        <v>38.46</v>
      </c>
      <c r="W349" s="529">
        <v>0.18269005847953215</v>
      </c>
      <c r="Y349" s="529"/>
      <c r="Z349" s="466">
        <v>2</v>
      </c>
    </row>
    <row r="350" spans="1:26" x14ac:dyDescent="0.3">
      <c r="A350" s="489">
        <v>150001002</v>
      </c>
      <c r="B350" s="467" t="s">
        <v>48</v>
      </c>
      <c r="C350" s="509">
        <v>0</v>
      </c>
      <c r="D350" s="509">
        <v>0</v>
      </c>
      <c r="E350" s="524">
        <v>0</v>
      </c>
      <c r="F350" s="524">
        <v>0</v>
      </c>
      <c r="G350" s="473"/>
      <c r="H350" s="523">
        <v>0</v>
      </c>
      <c r="I350" s="473"/>
      <c r="J350" s="523">
        <v>0</v>
      </c>
      <c r="K350" s="473">
        <v>27.19</v>
      </c>
      <c r="L350" s="523">
        <v>27.19</v>
      </c>
      <c r="M350" s="525">
        <v>0</v>
      </c>
      <c r="N350" s="526">
        <v>27.19</v>
      </c>
      <c r="O350" s="527">
        <v>0</v>
      </c>
      <c r="P350" s="527">
        <v>0</v>
      </c>
      <c r="Q350" s="527">
        <v>0</v>
      </c>
      <c r="R350" s="527">
        <v>27.19</v>
      </c>
      <c r="S350" s="527">
        <v>0</v>
      </c>
      <c r="T350" s="527">
        <v>0</v>
      </c>
      <c r="U350" s="527">
        <v>0</v>
      </c>
      <c r="V350" s="528">
        <v>27.19</v>
      </c>
      <c r="W350" s="529">
        <v>1.0745463353836697</v>
      </c>
      <c r="Y350" s="529">
        <v>0</v>
      </c>
      <c r="Z350" s="466">
        <v>2</v>
      </c>
    </row>
    <row r="351" spans="1:26" x14ac:dyDescent="0.3">
      <c r="A351" s="489">
        <v>150001004</v>
      </c>
      <c r="B351" s="467" t="s">
        <v>43</v>
      </c>
      <c r="C351" s="509">
        <v>0</v>
      </c>
      <c r="D351" s="509">
        <v>0</v>
      </c>
      <c r="E351" s="524">
        <v>0</v>
      </c>
      <c r="F351" s="524">
        <v>0</v>
      </c>
      <c r="G351" s="473"/>
      <c r="H351" s="523">
        <v>0</v>
      </c>
      <c r="I351" s="473"/>
      <c r="J351" s="523">
        <v>0</v>
      </c>
      <c r="K351" s="473">
        <v>23.1</v>
      </c>
      <c r="L351" s="523">
        <v>23.1</v>
      </c>
      <c r="M351" s="525">
        <v>0</v>
      </c>
      <c r="N351" s="526">
        <v>23.1</v>
      </c>
      <c r="O351" s="527">
        <v>0</v>
      </c>
      <c r="P351" s="527">
        <v>0</v>
      </c>
      <c r="Q351" s="527">
        <v>0</v>
      </c>
      <c r="R351" s="527">
        <v>23.1</v>
      </c>
      <c r="S351" s="527">
        <v>0</v>
      </c>
      <c r="T351" s="527">
        <v>0</v>
      </c>
      <c r="U351" s="527">
        <v>0</v>
      </c>
      <c r="V351" s="528">
        <v>23.1</v>
      </c>
      <c r="W351" s="529">
        <v>1.00117266768605</v>
      </c>
      <c r="Y351" s="529">
        <v>0</v>
      </c>
      <c r="Z351" s="466">
        <v>2</v>
      </c>
    </row>
    <row r="352" spans="1:26" x14ac:dyDescent="0.3">
      <c r="A352" s="489">
        <v>150001005</v>
      </c>
      <c r="B352" s="467" t="s">
        <v>46</v>
      </c>
      <c r="C352" s="509">
        <v>0</v>
      </c>
      <c r="D352" s="509">
        <v>0</v>
      </c>
      <c r="E352" s="524">
        <v>0</v>
      </c>
      <c r="F352" s="524">
        <v>0</v>
      </c>
      <c r="G352" s="473"/>
      <c r="H352" s="523">
        <v>0</v>
      </c>
      <c r="I352" s="473"/>
      <c r="J352" s="523">
        <v>0</v>
      </c>
      <c r="K352" s="473">
        <v>39.380000000000003</v>
      </c>
      <c r="L352" s="523">
        <v>39.380000000000003</v>
      </c>
      <c r="M352" s="525">
        <v>0</v>
      </c>
      <c r="N352" s="526">
        <v>39.380000000000003</v>
      </c>
      <c r="O352" s="527">
        <v>0</v>
      </c>
      <c r="P352" s="527">
        <v>0</v>
      </c>
      <c r="Q352" s="527">
        <v>0</v>
      </c>
      <c r="R352" s="527">
        <v>39.380000000000003</v>
      </c>
      <c r="S352" s="527">
        <v>0</v>
      </c>
      <c r="T352" s="527">
        <v>0</v>
      </c>
      <c r="U352" s="527">
        <v>0</v>
      </c>
      <c r="V352" s="528">
        <v>39.380000000000003</v>
      </c>
      <c r="W352" s="529">
        <v>1.1330428513479383</v>
      </c>
      <c r="Y352" s="529">
        <v>0</v>
      </c>
      <c r="Z352" s="466">
        <v>2</v>
      </c>
    </row>
    <row r="353" spans="1:26" x14ac:dyDescent="0.3">
      <c r="A353" s="489">
        <v>150001007</v>
      </c>
      <c r="B353" s="467" t="s">
        <v>213</v>
      </c>
      <c r="C353" s="509">
        <v>263.33</v>
      </c>
      <c r="D353" s="509">
        <v>49.08</v>
      </c>
      <c r="E353" s="524">
        <v>0</v>
      </c>
      <c r="F353" s="524">
        <v>122.07</v>
      </c>
      <c r="G353" s="473">
        <v>237.6</v>
      </c>
      <c r="H353" s="523">
        <v>237.6</v>
      </c>
      <c r="I353" s="473"/>
      <c r="J353" s="523">
        <v>0</v>
      </c>
      <c r="K353" s="473">
        <v>122.71</v>
      </c>
      <c r="L353" s="523">
        <v>122.71</v>
      </c>
      <c r="M353" s="525">
        <v>729.10054027017293</v>
      </c>
      <c r="N353" s="526">
        <v>2207.8576632178169</v>
      </c>
      <c r="O353" s="527">
        <v>434.47999999999996</v>
      </c>
      <c r="P353" s="527">
        <v>95.585599999999999</v>
      </c>
      <c r="Q353" s="527">
        <v>58.989149579778797</v>
      </c>
      <c r="R353" s="527">
        <v>360.31</v>
      </c>
      <c r="S353" s="527">
        <v>729.10054027017293</v>
      </c>
      <c r="T353" s="527">
        <v>414.81256127691955</v>
      </c>
      <c r="U353" s="527">
        <v>114.5798120909455</v>
      </c>
      <c r="V353" s="528">
        <v>2207.8576632178165</v>
      </c>
      <c r="W353" s="529">
        <v>1.0176093991207438</v>
      </c>
      <c r="Y353" s="529">
        <v>0</v>
      </c>
      <c r="Z353" s="466">
        <v>2</v>
      </c>
    </row>
    <row r="354" spans="1:26" x14ac:dyDescent="0.3">
      <c r="A354" s="489">
        <v>150001008</v>
      </c>
      <c r="B354" s="467" t="s">
        <v>211</v>
      </c>
      <c r="C354" s="509">
        <v>172.94</v>
      </c>
      <c r="D354" s="509">
        <v>30.8</v>
      </c>
      <c r="E354" s="524">
        <v>0</v>
      </c>
      <c r="F354" s="524">
        <v>88.06</v>
      </c>
      <c r="G354" s="473">
        <v>177.87</v>
      </c>
      <c r="H354" s="523">
        <v>177.87</v>
      </c>
      <c r="I354" s="473"/>
      <c r="J354" s="523">
        <v>0</v>
      </c>
      <c r="K354" s="473">
        <v>38.479999999999997</v>
      </c>
      <c r="L354" s="523">
        <v>38.479999999999997</v>
      </c>
      <c r="M354" s="525">
        <v>529.34794381065819</v>
      </c>
      <c r="N354" s="526">
        <v>1504.7626850562883</v>
      </c>
      <c r="O354" s="527">
        <v>291.8</v>
      </c>
      <c r="P354" s="527">
        <v>64.195999999999998</v>
      </c>
      <c r="Q354" s="527">
        <v>46.714814958847597</v>
      </c>
      <c r="R354" s="527">
        <v>216.35</v>
      </c>
      <c r="S354" s="527">
        <v>529.34794381065819</v>
      </c>
      <c r="T354" s="527">
        <v>278.59120185188073</v>
      </c>
      <c r="U354" s="527">
        <v>77.762724434901898</v>
      </c>
      <c r="V354" s="528">
        <v>1504.7626850562883</v>
      </c>
      <c r="W354" s="529">
        <v>1.0978632301336777</v>
      </c>
      <c r="Y354" s="529">
        <v>0</v>
      </c>
      <c r="Z354" s="466">
        <v>2</v>
      </c>
    </row>
    <row r="355" spans="1:26" x14ac:dyDescent="0.3">
      <c r="A355" s="489">
        <v>150001009</v>
      </c>
      <c r="B355" s="467" t="s">
        <v>212</v>
      </c>
      <c r="C355" s="509">
        <v>171</v>
      </c>
      <c r="D355" s="509">
        <v>30.8</v>
      </c>
      <c r="E355" s="524">
        <v>0</v>
      </c>
      <c r="F355" s="524">
        <v>88.06</v>
      </c>
      <c r="G355" s="473">
        <v>177.87</v>
      </c>
      <c r="H355" s="523">
        <v>177.87</v>
      </c>
      <c r="I355" s="473"/>
      <c r="J355" s="523">
        <v>0</v>
      </c>
      <c r="K355" s="473">
        <v>38.479999999999997</v>
      </c>
      <c r="L355" s="523">
        <v>38.479999999999997</v>
      </c>
      <c r="M355" s="525">
        <v>529.13415223399807</v>
      </c>
      <c r="N355" s="526">
        <v>1499.7472793958921</v>
      </c>
      <c r="O355" s="527">
        <v>289.86</v>
      </c>
      <c r="P355" s="527">
        <v>63.769199999999998</v>
      </c>
      <c r="Q355" s="527">
        <v>46.624087129417596</v>
      </c>
      <c r="R355" s="527">
        <v>216.35</v>
      </c>
      <c r="S355" s="527">
        <v>529.13415223399807</v>
      </c>
      <c r="T355" s="527">
        <v>276.73901908425682</v>
      </c>
      <c r="U355" s="527">
        <v>77.270820948219594</v>
      </c>
      <c r="V355" s="528">
        <v>1499.7472793958921</v>
      </c>
      <c r="W355" s="529">
        <v>1.1981891433686276</v>
      </c>
      <c r="Y355" s="529">
        <v>0</v>
      </c>
      <c r="Z355" s="466">
        <v>2</v>
      </c>
    </row>
    <row r="356" spans="1:26" x14ac:dyDescent="0.3">
      <c r="A356" s="489">
        <v>150001010</v>
      </c>
      <c r="B356" s="467" t="s">
        <v>164</v>
      </c>
      <c r="C356" s="509">
        <v>107.82</v>
      </c>
      <c r="D356" s="509">
        <v>23.5</v>
      </c>
      <c r="E356" s="524">
        <v>0</v>
      </c>
      <c r="F356" s="524">
        <v>64.510000000000005</v>
      </c>
      <c r="G356" s="473">
        <v>84.58</v>
      </c>
      <c r="H356" s="523">
        <v>84.58</v>
      </c>
      <c r="I356" s="473"/>
      <c r="J356" s="523">
        <v>0</v>
      </c>
      <c r="K356" s="473">
        <v>110.22</v>
      </c>
      <c r="L356" s="523">
        <v>110.22</v>
      </c>
      <c r="M356" s="525">
        <v>265.31534663530971</v>
      </c>
      <c r="N356" s="526">
        <v>957.82045045635186</v>
      </c>
      <c r="O356" s="527">
        <v>195.82999999999998</v>
      </c>
      <c r="P356" s="527">
        <v>43.082599999999999</v>
      </c>
      <c r="Q356" s="527">
        <v>20.839444625835398</v>
      </c>
      <c r="R356" s="527">
        <v>194.8</v>
      </c>
      <c r="S356" s="527">
        <v>265.31534663530971</v>
      </c>
      <c r="T356" s="527">
        <v>186.965438857621</v>
      </c>
      <c r="U356" s="527">
        <v>50.987620337585724</v>
      </c>
      <c r="V356" s="528">
        <v>957.82045045635186</v>
      </c>
      <c r="W356" s="529">
        <v>1.0509283616432716</v>
      </c>
      <c r="Y356" s="529">
        <v>0</v>
      </c>
      <c r="Z356" s="466">
        <v>2</v>
      </c>
    </row>
    <row r="357" spans="1:26" x14ac:dyDescent="0.3">
      <c r="A357" s="489">
        <v>150001011</v>
      </c>
      <c r="B357" s="467" t="s">
        <v>165</v>
      </c>
      <c r="C357" s="509">
        <v>70</v>
      </c>
      <c r="D357" s="509">
        <v>11.34</v>
      </c>
      <c r="E357" s="524">
        <v>0</v>
      </c>
      <c r="F357" s="524">
        <v>28.65</v>
      </c>
      <c r="G357" s="473">
        <v>47.36</v>
      </c>
      <c r="H357" s="523">
        <v>47.36</v>
      </c>
      <c r="I357" s="473"/>
      <c r="J357" s="523">
        <v>0</v>
      </c>
      <c r="K357" s="473">
        <v>65.67</v>
      </c>
      <c r="L357" s="523">
        <v>65.67</v>
      </c>
      <c r="M357" s="525">
        <v>150.6874296159985</v>
      </c>
      <c r="N357" s="526">
        <v>547.82801979419264</v>
      </c>
      <c r="O357" s="527">
        <v>109.99000000000001</v>
      </c>
      <c r="P357" s="527">
        <v>24.197800000000001</v>
      </c>
      <c r="Q357" s="527">
        <v>15.80582956762299</v>
      </c>
      <c r="R357" s="527">
        <v>113.03</v>
      </c>
      <c r="S357" s="527">
        <v>150.6874296159985</v>
      </c>
      <c r="T357" s="527">
        <v>105.01112505719109</v>
      </c>
      <c r="U357" s="527">
        <v>29.105835553379997</v>
      </c>
      <c r="V357" s="528">
        <v>547.82801979419253</v>
      </c>
      <c r="W357" s="529">
        <v>1.1219102062117541</v>
      </c>
      <c r="Y357" s="529">
        <v>0</v>
      </c>
      <c r="Z357" s="466">
        <v>2</v>
      </c>
    </row>
    <row r="358" spans="1:26" x14ac:dyDescent="0.3">
      <c r="A358" s="489">
        <v>150001013</v>
      </c>
      <c r="B358" s="467" t="s">
        <v>260</v>
      </c>
      <c r="C358" s="509">
        <v>373.29</v>
      </c>
      <c r="D358" s="509">
        <v>77.16</v>
      </c>
      <c r="E358" s="524">
        <v>0</v>
      </c>
      <c r="F358" s="524">
        <v>233.75</v>
      </c>
      <c r="G358" s="473">
        <v>410.26</v>
      </c>
      <c r="H358" s="523">
        <v>410.26</v>
      </c>
      <c r="I358" s="473"/>
      <c r="J358" s="523">
        <v>0</v>
      </c>
      <c r="K358" s="473">
        <v>155.29</v>
      </c>
      <c r="L358" s="523">
        <v>155.29</v>
      </c>
      <c r="M358" s="525">
        <v>1238.6478208891522</v>
      </c>
      <c r="N358" s="526">
        <v>3552.6035966908212</v>
      </c>
      <c r="O358" s="527">
        <v>684.2</v>
      </c>
      <c r="P358" s="527">
        <v>150.524</v>
      </c>
      <c r="Q358" s="527">
        <v>81.336987550755396</v>
      </c>
      <c r="R358" s="527">
        <v>565.54999999999995</v>
      </c>
      <c r="S358" s="527">
        <v>1238.6478208891522</v>
      </c>
      <c r="T358" s="527">
        <v>653.22858227229881</v>
      </c>
      <c r="U358" s="527">
        <v>179.11620597861454</v>
      </c>
      <c r="V358" s="528">
        <v>3552.6035966908212</v>
      </c>
      <c r="W358" s="529">
        <v>0.98046856524122705</v>
      </c>
      <c r="Y358" s="529">
        <v>0</v>
      </c>
      <c r="Z358" s="466">
        <v>2</v>
      </c>
    </row>
    <row r="359" spans="1:26" x14ac:dyDescent="0.3">
      <c r="A359" s="489">
        <v>150001014</v>
      </c>
      <c r="B359" s="467" t="s">
        <v>166</v>
      </c>
      <c r="C359" s="509">
        <v>27.68</v>
      </c>
      <c r="D359" s="509">
        <v>9.51</v>
      </c>
      <c r="E359" s="524">
        <v>0</v>
      </c>
      <c r="F359" s="524">
        <v>14.27</v>
      </c>
      <c r="G359" s="473">
        <v>38.43</v>
      </c>
      <c r="H359" s="523">
        <v>38.43</v>
      </c>
      <c r="I359" s="473"/>
      <c r="J359" s="523">
        <v>0</v>
      </c>
      <c r="K359" s="473">
        <v>35.619999999999997</v>
      </c>
      <c r="L359" s="523">
        <v>35.619999999999997</v>
      </c>
      <c r="M359" s="525">
        <v>120.8991366013438</v>
      </c>
      <c r="N359" s="526">
        <v>328.09517245065081</v>
      </c>
      <c r="O359" s="527">
        <v>51.459999999999994</v>
      </c>
      <c r="P359" s="527">
        <v>11.321199999999999</v>
      </c>
      <c r="Q359" s="527">
        <v>7.5940510797676204</v>
      </c>
      <c r="R359" s="527">
        <v>74.05</v>
      </c>
      <c r="S359" s="527">
        <v>120.8991366013438</v>
      </c>
      <c r="T359" s="527">
        <v>49.130580011301518</v>
      </c>
      <c r="U359" s="527">
        <v>13.64020475823785</v>
      </c>
      <c r="V359" s="528">
        <v>328.09517245065075</v>
      </c>
      <c r="W359" s="529">
        <v>9.8764983654195421E-2</v>
      </c>
      <c r="Y359" s="529"/>
      <c r="Z359" s="466">
        <v>2</v>
      </c>
    </row>
    <row r="360" spans="1:26" x14ac:dyDescent="0.3">
      <c r="A360" s="489">
        <v>150001015</v>
      </c>
      <c r="B360" s="467" t="s">
        <v>99</v>
      </c>
      <c r="C360" s="509">
        <v>0</v>
      </c>
      <c r="D360" s="509">
        <v>0</v>
      </c>
      <c r="E360" s="524">
        <v>0</v>
      </c>
      <c r="F360" s="524">
        <v>0</v>
      </c>
      <c r="G360" s="473">
        <v>42.43</v>
      </c>
      <c r="H360" s="523">
        <v>42.43</v>
      </c>
      <c r="I360" s="473"/>
      <c r="J360" s="523">
        <v>0</v>
      </c>
      <c r="K360" s="473">
        <v>24.97</v>
      </c>
      <c r="L360" s="523">
        <v>24.97</v>
      </c>
      <c r="M360" s="525">
        <v>0</v>
      </c>
      <c r="N360" s="526">
        <v>67.400000000000006</v>
      </c>
      <c r="O360" s="527">
        <v>0</v>
      </c>
      <c r="P360" s="527">
        <v>0</v>
      </c>
      <c r="Q360" s="527">
        <v>0</v>
      </c>
      <c r="R360" s="527">
        <v>67.400000000000006</v>
      </c>
      <c r="S360" s="527">
        <v>0</v>
      </c>
      <c r="T360" s="527">
        <v>0</v>
      </c>
      <c r="U360" s="527">
        <v>0</v>
      </c>
      <c r="V360" s="528">
        <v>67.400000000000006</v>
      </c>
      <c r="W360" s="529">
        <v>0.54317610379471915</v>
      </c>
      <c r="Y360" s="529">
        <v>0</v>
      </c>
      <c r="Z360" s="466">
        <v>1</v>
      </c>
    </row>
    <row r="361" spans="1:26" x14ac:dyDescent="0.3">
      <c r="A361" s="489">
        <v>150001016</v>
      </c>
      <c r="B361" s="467" t="s">
        <v>261</v>
      </c>
      <c r="C361" s="509">
        <v>201.04</v>
      </c>
      <c r="D361" s="509">
        <v>40.64</v>
      </c>
      <c r="E361" s="524">
        <v>0</v>
      </c>
      <c r="F361" s="524">
        <v>165.56</v>
      </c>
      <c r="G361" s="473">
        <v>337.95</v>
      </c>
      <c r="H361" s="523">
        <v>337.95</v>
      </c>
      <c r="I361" s="473">
        <v>99.8</v>
      </c>
      <c r="J361" s="523">
        <v>99.8</v>
      </c>
      <c r="K361" s="473">
        <v>38.46</v>
      </c>
      <c r="L361" s="523">
        <v>38.46</v>
      </c>
      <c r="M361" s="525">
        <v>1175.2408024446809</v>
      </c>
      <c r="N361" s="526">
        <v>2705.7790252504487</v>
      </c>
      <c r="O361" s="527">
        <v>407.24</v>
      </c>
      <c r="P361" s="527">
        <v>89.592800000000011</v>
      </c>
      <c r="Q361" s="527">
        <v>60.678676048722707</v>
      </c>
      <c r="R361" s="527">
        <v>476.21</v>
      </c>
      <c r="S361" s="527">
        <v>1175.2408024446809</v>
      </c>
      <c r="T361" s="527">
        <v>388.80562385935542</v>
      </c>
      <c r="U361" s="527">
        <v>108.01112289768966</v>
      </c>
      <c r="V361" s="528">
        <v>2705.7790252504487</v>
      </c>
      <c r="W361" s="529">
        <v>0.11570493753718025</v>
      </c>
      <c r="Y361" s="529"/>
      <c r="Z361" s="466">
        <v>3</v>
      </c>
    </row>
    <row r="362" spans="1:26" x14ac:dyDescent="0.3">
      <c r="A362" s="489">
        <v>150001018</v>
      </c>
      <c r="B362" s="467" t="s">
        <v>429</v>
      </c>
      <c r="C362" s="509">
        <v>213.28</v>
      </c>
      <c r="D362" s="509">
        <v>43.44</v>
      </c>
      <c r="E362" s="524">
        <v>0</v>
      </c>
      <c r="F362" s="524">
        <v>162.09</v>
      </c>
      <c r="G362" s="473">
        <v>300.07</v>
      </c>
      <c r="H362" s="523">
        <v>300.07</v>
      </c>
      <c r="I362" s="473">
        <v>88.66</v>
      </c>
      <c r="J362" s="523">
        <v>88.66</v>
      </c>
      <c r="K362" s="473">
        <v>266.64999999999998</v>
      </c>
      <c r="L362" s="523">
        <v>266.64999999999998</v>
      </c>
      <c r="M362" s="525">
        <v>1003.4200754758215</v>
      </c>
      <c r="N362" s="526">
        <v>2741.2454800904488</v>
      </c>
      <c r="O362" s="527">
        <v>418.81000000000006</v>
      </c>
      <c r="P362" s="527">
        <v>92.138199999999998</v>
      </c>
      <c r="Q362" s="527">
        <v>60.753715414627493</v>
      </c>
      <c r="R362" s="527">
        <v>655.38</v>
      </c>
      <c r="S362" s="527">
        <v>1003.4200754758215</v>
      </c>
      <c r="T362" s="527">
        <v>399.85188912812259</v>
      </c>
      <c r="U362" s="527">
        <v>110.89160007187687</v>
      </c>
      <c r="V362" s="528">
        <v>2741.2454800904484</v>
      </c>
      <c r="W362" s="529">
        <v>0.98628854062575833</v>
      </c>
      <c r="Y362" s="529">
        <v>0</v>
      </c>
      <c r="Z362" s="466">
        <v>3</v>
      </c>
    </row>
    <row r="363" spans="1:26" x14ac:dyDescent="0.3">
      <c r="A363" s="489">
        <v>150001019</v>
      </c>
      <c r="B363" s="467" t="s">
        <v>419</v>
      </c>
      <c r="C363" s="509">
        <v>845.73</v>
      </c>
      <c r="D363" s="509">
        <v>132.56</v>
      </c>
      <c r="E363" s="524">
        <v>42.26</v>
      </c>
      <c r="F363" s="524">
        <v>331.58</v>
      </c>
      <c r="G363" s="473">
        <v>866.77</v>
      </c>
      <c r="H363" s="523">
        <v>866.77</v>
      </c>
      <c r="I363" s="473">
        <v>182.11</v>
      </c>
      <c r="J363" s="523">
        <v>182.11</v>
      </c>
      <c r="K363" s="473">
        <v>88.24</v>
      </c>
      <c r="L363" s="523">
        <v>88.24</v>
      </c>
      <c r="M363" s="525">
        <v>2466.3708922109681</v>
      </c>
      <c r="N363" s="526">
        <v>7072.0430146249273</v>
      </c>
      <c r="O363" s="527">
        <v>1352.1299999999999</v>
      </c>
      <c r="P363" s="527">
        <v>297.46859999999998</v>
      </c>
      <c r="Q363" s="527">
        <v>172.69250786239502</v>
      </c>
      <c r="R363" s="527">
        <v>1137.1200000000001</v>
      </c>
      <c r="S363" s="527">
        <v>2466.3708922109681</v>
      </c>
      <c r="T363" s="527">
        <v>1290.9236523645768</v>
      </c>
      <c r="U363" s="527">
        <v>355.33736218698806</v>
      </c>
      <c r="V363" s="528">
        <v>7072.0430146249273</v>
      </c>
      <c r="W363" s="529">
        <v>1.036157578224489</v>
      </c>
      <c r="Y363" s="529">
        <v>0</v>
      </c>
      <c r="Z363" s="466">
        <v>1</v>
      </c>
    </row>
    <row r="364" spans="1:26" x14ac:dyDescent="0.3">
      <c r="A364" s="489">
        <v>150001020</v>
      </c>
      <c r="B364" s="467" t="s">
        <v>100</v>
      </c>
      <c r="C364" s="509">
        <v>0</v>
      </c>
      <c r="D364" s="509">
        <v>0</v>
      </c>
      <c r="E364" s="524">
        <v>0</v>
      </c>
      <c r="F364" s="524">
        <v>0</v>
      </c>
      <c r="G364" s="473"/>
      <c r="H364" s="523">
        <v>0</v>
      </c>
      <c r="I364" s="473"/>
      <c r="J364" s="523">
        <v>0</v>
      </c>
      <c r="K364" s="473">
        <v>32.82</v>
      </c>
      <c r="L364" s="523">
        <v>32.82</v>
      </c>
      <c r="M364" s="525">
        <v>0</v>
      </c>
      <c r="N364" s="526">
        <v>32.82</v>
      </c>
      <c r="O364" s="527">
        <v>0</v>
      </c>
      <c r="P364" s="527">
        <v>0</v>
      </c>
      <c r="Q364" s="527">
        <v>0</v>
      </c>
      <c r="R364" s="527">
        <v>32.82</v>
      </c>
      <c r="S364" s="527">
        <v>0</v>
      </c>
      <c r="T364" s="527">
        <v>0</v>
      </c>
      <c r="U364" s="527">
        <v>0</v>
      </c>
      <c r="V364" s="528">
        <v>32.82</v>
      </c>
      <c r="W364" s="529">
        <v>0.9866102343170905</v>
      </c>
      <c r="Y364" s="529">
        <v>0</v>
      </c>
      <c r="Z364" s="466">
        <v>1</v>
      </c>
    </row>
    <row r="365" spans="1:26" x14ac:dyDescent="0.3">
      <c r="A365" s="489">
        <v>150001021</v>
      </c>
      <c r="B365" s="467" t="s">
        <v>363</v>
      </c>
      <c r="C365" s="509">
        <v>992.54</v>
      </c>
      <c r="D365" s="509">
        <v>283.07</v>
      </c>
      <c r="E365" s="524">
        <v>116.88</v>
      </c>
      <c r="F365" s="524">
        <v>664.77</v>
      </c>
      <c r="G365" s="473">
        <v>1448.61</v>
      </c>
      <c r="H365" s="523">
        <v>1448.61</v>
      </c>
      <c r="I365" s="473">
        <v>315.47000000000003</v>
      </c>
      <c r="J365" s="523">
        <v>315.47000000000003</v>
      </c>
      <c r="K365" s="473">
        <v>169.89</v>
      </c>
      <c r="L365" s="523">
        <v>169.89</v>
      </c>
      <c r="M365" s="525">
        <v>4126.9328264460837</v>
      </c>
      <c r="N365" s="526">
        <v>11414.941378105836</v>
      </c>
      <c r="O365" s="527">
        <v>2057.2599999999998</v>
      </c>
      <c r="P365" s="527">
        <v>452.59720000000004</v>
      </c>
      <c r="Q365" s="527">
        <v>331.54969069674053</v>
      </c>
      <c r="R365" s="527">
        <v>1933.9699999999998</v>
      </c>
      <c r="S365" s="527">
        <v>4126.9328264460837</v>
      </c>
      <c r="T365" s="527">
        <v>1964.1348043927353</v>
      </c>
      <c r="U365" s="527">
        <v>548.49685657027669</v>
      </c>
      <c r="V365" s="528">
        <v>11414.941378105836</v>
      </c>
      <c r="W365" s="529">
        <v>1.0761473509494894</v>
      </c>
      <c r="Y365" s="529">
        <v>0</v>
      </c>
      <c r="Z365" s="466">
        <v>1</v>
      </c>
    </row>
    <row r="366" spans="1:26" x14ac:dyDescent="0.3">
      <c r="A366" s="489">
        <v>150001022</v>
      </c>
      <c r="B366" s="467" t="s">
        <v>364</v>
      </c>
      <c r="C366" s="509">
        <v>331.12</v>
      </c>
      <c r="D366" s="509">
        <v>76.02</v>
      </c>
      <c r="E366" s="524">
        <v>24.57</v>
      </c>
      <c r="F366" s="524">
        <v>197.56</v>
      </c>
      <c r="G366" s="473">
        <v>447.11</v>
      </c>
      <c r="H366" s="523">
        <v>447.11</v>
      </c>
      <c r="I366" s="473">
        <v>95.28</v>
      </c>
      <c r="J366" s="523">
        <v>95.28</v>
      </c>
      <c r="K366" s="473">
        <v>65.67</v>
      </c>
      <c r="L366" s="523">
        <v>65.67</v>
      </c>
      <c r="M366" s="525">
        <v>1343.8475293777485</v>
      </c>
      <c r="N366" s="526">
        <v>3587.1571252259237</v>
      </c>
      <c r="O366" s="527">
        <v>629.27</v>
      </c>
      <c r="P366" s="527">
        <v>138.43940000000001</v>
      </c>
      <c r="Q366" s="527">
        <v>99.231247551480607</v>
      </c>
      <c r="R366" s="527">
        <v>608.05999999999995</v>
      </c>
      <c r="S366" s="527">
        <v>1343.8475293777485</v>
      </c>
      <c r="T366" s="527">
        <v>600.78507741375256</v>
      </c>
      <c r="U366" s="527">
        <v>167.5238708829414</v>
      </c>
      <c r="V366" s="528">
        <v>3587.1571252259232</v>
      </c>
      <c r="W366" s="529">
        <v>1.1148763363862142</v>
      </c>
      <c r="Y366" s="529">
        <v>0</v>
      </c>
      <c r="Z366" s="466">
        <v>1</v>
      </c>
    </row>
    <row r="367" spans="1:26" x14ac:dyDescent="0.3">
      <c r="A367" s="489">
        <v>150001023</v>
      </c>
      <c r="B367" s="467" t="s">
        <v>365</v>
      </c>
      <c r="C367" s="509">
        <v>331.1</v>
      </c>
      <c r="D367" s="509">
        <v>76.02</v>
      </c>
      <c r="E367" s="524">
        <v>24.57</v>
      </c>
      <c r="F367" s="524">
        <v>214.13</v>
      </c>
      <c r="G367" s="473">
        <v>399.18</v>
      </c>
      <c r="H367" s="523">
        <v>399.18</v>
      </c>
      <c r="I367" s="473">
        <v>98.13</v>
      </c>
      <c r="J367" s="523">
        <v>98.13</v>
      </c>
      <c r="K367" s="473">
        <v>65.67</v>
      </c>
      <c r="L367" s="523">
        <v>65.67</v>
      </c>
      <c r="M367" s="525">
        <v>1342.5576535318987</v>
      </c>
      <c r="N367" s="526">
        <v>3588.027562517404</v>
      </c>
      <c r="O367" s="527">
        <v>645.81999999999994</v>
      </c>
      <c r="P367" s="527">
        <v>142.0804</v>
      </c>
      <c r="Q367" s="527">
        <v>105.64016830725311</v>
      </c>
      <c r="R367" s="527">
        <v>562.98</v>
      </c>
      <c r="S367" s="527">
        <v>1342.5576535318987</v>
      </c>
      <c r="T367" s="527">
        <v>616.58591494167786</v>
      </c>
      <c r="U367" s="527">
        <v>172.36342573657407</v>
      </c>
      <c r="V367" s="528">
        <v>3588.0275625174036</v>
      </c>
      <c r="W367" s="529">
        <v>9.2355694227769111E-2</v>
      </c>
      <c r="Y367" s="529"/>
      <c r="Z367" s="466">
        <v>1</v>
      </c>
    </row>
    <row r="368" spans="1:26" x14ac:dyDescent="0.3">
      <c r="A368" s="489">
        <v>150001024</v>
      </c>
      <c r="B368" s="467" t="s">
        <v>366</v>
      </c>
      <c r="C368" s="509">
        <v>524.12</v>
      </c>
      <c r="D368" s="509">
        <v>82.64</v>
      </c>
      <c r="E368" s="524">
        <v>26.37</v>
      </c>
      <c r="F368" s="524">
        <v>195.59</v>
      </c>
      <c r="G368" s="473">
        <v>505.24</v>
      </c>
      <c r="H368" s="523">
        <v>505.24</v>
      </c>
      <c r="I368" s="473">
        <v>116.72</v>
      </c>
      <c r="J368" s="523">
        <v>116.72</v>
      </c>
      <c r="K368" s="473">
        <v>42.22</v>
      </c>
      <c r="L368" s="523">
        <v>42.22</v>
      </c>
      <c r="M368" s="525">
        <v>1529.7927531779587</v>
      </c>
      <c r="N368" s="526">
        <v>4332.9792962591191</v>
      </c>
      <c r="O368" s="527">
        <v>828.72</v>
      </c>
      <c r="P368" s="527">
        <v>182.3184</v>
      </c>
      <c r="Q368" s="527">
        <v>117.63001694890829</v>
      </c>
      <c r="R368" s="527">
        <v>664.18000000000006</v>
      </c>
      <c r="S368" s="527">
        <v>1529.7927531779587</v>
      </c>
      <c r="T368" s="527">
        <v>791.20665112642428</v>
      </c>
      <c r="U368" s="527">
        <v>219.13147500582841</v>
      </c>
      <c r="V368" s="528">
        <v>4332.97929625912</v>
      </c>
      <c r="W368" s="529">
        <v>1.0213721080943154</v>
      </c>
      <c r="Y368" s="529">
        <v>0</v>
      </c>
      <c r="Z368" s="466">
        <v>1</v>
      </c>
    </row>
    <row r="369" spans="1:26" x14ac:dyDescent="0.3">
      <c r="A369" s="489">
        <v>150001025</v>
      </c>
      <c r="B369" s="467" t="s">
        <v>420</v>
      </c>
      <c r="C369" s="509">
        <v>623.08000000000004</v>
      </c>
      <c r="D369" s="509">
        <v>104.56</v>
      </c>
      <c r="E369" s="524">
        <v>28.17</v>
      </c>
      <c r="F369" s="524">
        <v>207.35</v>
      </c>
      <c r="G369" s="473">
        <v>646.54</v>
      </c>
      <c r="H369" s="523">
        <v>646.54</v>
      </c>
      <c r="I369" s="473">
        <v>132.49</v>
      </c>
      <c r="J369" s="523">
        <v>132.49</v>
      </c>
      <c r="K369" s="473">
        <v>42.22</v>
      </c>
      <c r="L369" s="523">
        <v>42.22</v>
      </c>
      <c r="M369" s="525">
        <v>1876.1636129110391</v>
      </c>
      <c r="N369" s="526">
        <v>5170.2187213413836</v>
      </c>
      <c r="O369" s="527">
        <v>963.16000000000008</v>
      </c>
      <c r="P369" s="527">
        <v>211.89519999999996</v>
      </c>
      <c r="Q369" s="527">
        <v>124.86128373773701</v>
      </c>
      <c r="R369" s="527">
        <v>821.25</v>
      </c>
      <c r="S369" s="527">
        <v>1876.1636129110391</v>
      </c>
      <c r="T369" s="527">
        <v>919.5610074559886</v>
      </c>
      <c r="U369" s="527">
        <v>253.32761723661949</v>
      </c>
      <c r="V369" s="528">
        <v>5170.2187213413845</v>
      </c>
      <c r="W369" s="529">
        <v>0.14849187935034802</v>
      </c>
      <c r="Y369" s="529"/>
      <c r="Z369" s="466">
        <v>1</v>
      </c>
    </row>
    <row r="370" spans="1:26" x14ac:dyDescent="0.3">
      <c r="A370" s="489">
        <v>150001026</v>
      </c>
      <c r="B370" s="467" t="s">
        <v>334</v>
      </c>
      <c r="C370" s="509">
        <v>387.11</v>
      </c>
      <c r="D370" s="509">
        <v>130.56</v>
      </c>
      <c r="E370" s="524">
        <v>76.12</v>
      </c>
      <c r="F370" s="524">
        <v>558.91999999999996</v>
      </c>
      <c r="G370" s="473">
        <v>841.78</v>
      </c>
      <c r="H370" s="523">
        <v>841.78</v>
      </c>
      <c r="I370" s="473">
        <v>190.73</v>
      </c>
      <c r="J370" s="523">
        <v>190.73</v>
      </c>
      <c r="K370" s="473">
        <v>71.59</v>
      </c>
      <c r="L370" s="523">
        <v>71.59</v>
      </c>
      <c r="M370" s="525">
        <v>2513.0629725535559</v>
      </c>
      <c r="N370" s="526">
        <v>6615.0204742233254</v>
      </c>
      <c r="O370" s="527">
        <v>1152.71</v>
      </c>
      <c r="P370" s="527">
        <v>253.59619999999998</v>
      </c>
      <c r="Q370" s="527">
        <v>183.90373823567847</v>
      </c>
      <c r="R370" s="527">
        <v>1104.0999999999999</v>
      </c>
      <c r="S370" s="527">
        <v>2513.0629725535559</v>
      </c>
      <c r="T370" s="527">
        <v>1100.5307206534662</v>
      </c>
      <c r="U370" s="527">
        <v>307.11684278062461</v>
      </c>
      <c r="V370" s="528">
        <v>6615.0204742233245</v>
      </c>
      <c r="W370" s="529">
        <v>0.82143589951722096</v>
      </c>
      <c r="Y370" s="529">
        <v>0</v>
      </c>
      <c r="Z370" s="466">
        <v>2</v>
      </c>
    </row>
    <row r="371" spans="1:26" x14ac:dyDescent="0.3">
      <c r="A371" s="489">
        <v>150001027</v>
      </c>
      <c r="B371" s="467" t="s">
        <v>367</v>
      </c>
      <c r="C371" s="509">
        <v>894</v>
      </c>
      <c r="D371" s="509">
        <v>149.21</v>
      </c>
      <c r="E371" s="524">
        <v>155.84</v>
      </c>
      <c r="F371" s="524">
        <v>740.88</v>
      </c>
      <c r="G371" s="473">
        <v>1294.1400000000001</v>
      </c>
      <c r="H371" s="523">
        <v>1294.1400000000001</v>
      </c>
      <c r="I371" s="473">
        <v>289.24</v>
      </c>
      <c r="J371" s="523">
        <v>289.24</v>
      </c>
      <c r="K371" s="473">
        <v>125.82</v>
      </c>
      <c r="L371" s="523">
        <v>125.82</v>
      </c>
      <c r="M371" s="525">
        <v>3699.1465711278533</v>
      </c>
      <c r="N371" s="526">
        <v>10457.635382064298</v>
      </c>
      <c r="O371" s="527">
        <v>1939.9299999999998</v>
      </c>
      <c r="P371" s="527">
        <v>426.78459999999995</v>
      </c>
      <c r="Q371" s="527">
        <v>313.18164057383751</v>
      </c>
      <c r="R371" s="527">
        <v>1709.2</v>
      </c>
      <c r="S371" s="527">
        <v>3699.1465711278533</v>
      </c>
      <c r="T371" s="527">
        <v>1852.1159362869053</v>
      </c>
      <c r="U371" s="527">
        <v>517.27663407570333</v>
      </c>
      <c r="V371" s="528">
        <v>10457.635382064298</v>
      </c>
      <c r="W371" s="529">
        <v>0.19914463452566097</v>
      </c>
      <c r="Y371" s="529"/>
      <c r="Z371" s="466">
        <v>2</v>
      </c>
    </row>
    <row r="372" spans="1:26" x14ac:dyDescent="0.3">
      <c r="A372" s="489">
        <v>150001028</v>
      </c>
      <c r="B372" s="467" t="s">
        <v>101</v>
      </c>
      <c r="C372" s="509">
        <v>0</v>
      </c>
      <c r="D372" s="509">
        <v>0</v>
      </c>
      <c r="E372" s="524">
        <v>0</v>
      </c>
      <c r="F372" s="524">
        <v>0</v>
      </c>
      <c r="G372" s="473"/>
      <c r="H372" s="523">
        <v>0</v>
      </c>
      <c r="I372" s="473"/>
      <c r="J372" s="523">
        <v>0</v>
      </c>
      <c r="K372" s="473">
        <v>33.11</v>
      </c>
      <c r="L372" s="523">
        <v>33.11</v>
      </c>
      <c r="M372" s="525">
        <v>0</v>
      </c>
      <c r="N372" s="526">
        <v>33.11</v>
      </c>
      <c r="O372" s="527">
        <v>0</v>
      </c>
      <c r="P372" s="527">
        <v>0</v>
      </c>
      <c r="Q372" s="527">
        <v>0</v>
      </c>
      <c r="R372" s="527">
        <v>33.11</v>
      </c>
      <c r="S372" s="527">
        <v>0</v>
      </c>
      <c r="T372" s="527">
        <v>0</v>
      </c>
      <c r="U372" s="527">
        <v>0</v>
      </c>
      <c r="V372" s="528">
        <v>33.11</v>
      </c>
      <c r="W372" s="529">
        <v>4.6835443037974683E-2</v>
      </c>
      <c r="Y372" s="529"/>
      <c r="Z372" s="466">
        <v>1</v>
      </c>
    </row>
    <row r="373" spans="1:26" x14ac:dyDescent="0.3">
      <c r="A373" s="489">
        <v>150001029</v>
      </c>
      <c r="B373" s="467" t="s">
        <v>368</v>
      </c>
      <c r="C373" s="509">
        <v>689.54</v>
      </c>
      <c r="D373" s="509">
        <v>119.2</v>
      </c>
      <c r="E373" s="524">
        <v>116.88</v>
      </c>
      <c r="F373" s="524">
        <v>472.12</v>
      </c>
      <c r="G373" s="473">
        <v>1047.6600000000001</v>
      </c>
      <c r="H373" s="523">
        <v>1047.6600000000001</v>
      </c>
      <c r="I373" s="473">
        <v>195.22</v>
      </c>
      <c r="J373" s="523">
        <v>195.22</v>
      </c>
      <c r="K373" s="473">
        <v>75.709999999999994</v>
      </c>
      <c r="L373" s="523">
        <v>75.709999999999994</v>
      </c>
      <c r="M373" s="525">
        <v>2645.7063930994336</v>
      </c>
      <c r="N373" s="526">
        <v>7566.4737943172031</v>
      </c>
      <c r="O373" s="527">
        <v>1397.74</v>
      </c>
      <c r="P373" s="527">
        <v>307.50279999999998</v>
      </c>
      <c r="Q373" s="527">
        <v>193.43889594384399</v>
      </c>
      <c r="R373" s="527">
        <v>1318.5900000000001</v>
      </c>
      <c r="S373" s="527">
        <v>2645.7063930994336</v>
      </c>
      <c r="T373" s="527">
        <v>1334.4690420714455</v>
      </c>
      <c r="U373" s="527">
        <v>369.02666320247948</v>
      </c>
      <c r="V373" s="528">
        <v>7566.4737943172022</v>
      </c>
      <c r="W373" s="529">
        <v>9.3819334389857373E-2</v>
      </c>
      <c r="Y373" s="529"/>
      <c r="Z373" s="466">
        <v>1</v>
      </c>
    </row>
    <row r="374" spans="1:26" x14ac:dyDescent="0.3">
      <c r="A374" s="489">
        <v>150001030</v>
      </c>
      <c r="B374" s="467" t="s">
        <v>335</v>
      </c>
      <c r="C374" s="509">
        <v>336.68</v>
      </c>
      <c r="D374" s="509">
        <v>95.26</v>
      </c>
      <c r="E374" s="524">
        <v>36.86</v>
      </c>
      <c r="F374" s="524">
        <v>377.34</v>
      </c>
      <c r="G374" s="473">
        <v>792.82</v>
      </c>
      <c r="H374" s="523">
        <v>792.82</v>
      </c>
      <c r="I374" s="473">
        <v>161.53</v>
      </c>
      <c r="J374" s="523">
        <v>161.53</v>
      </c>
      <c r="K374" s="473">
        <v>75.709999999999994</v>
      </c>
      <c r="L374" s="523">
        <v>75.709999999999994</v>
      </c>
      <c r="M374" s="525">
        <v>2182.7229178770463</v>
      </c>
      <c r="N374" s="526">
        <v>5450.382333401144</v>
      </c>
      <c r="O374" s="527">
        <v>846.14</v>
      </c>
      <c r="P374" s="527">
        <v>186.1508</v>
      </c>
      <c r="Q374" s="527">
        <v>168.2386432268695</v>
      </c>
      <c r="R374" s="527">
        <v>1030.06</v>
      </c>
      <c r="S374" s="527">
        <v>2182.7229178770463</v>
      </c>
      <c r="T374" s="527">
        <v>807.83810669962418</v>
      </c>
      <c r="U374" s="527">
        <v>229.23186559760342</v>
      </c>
      <c r="V374" s="528">
        <v>5450.3823334011431</v>
      </c>
      <c r="W374" s="529">
        <v>0.97893377315354546</v>
      </c>
      <c r="Y374" s="529">
        <v>0</v>
      </c>
      <c r="Z374" s="466">
        <v>2</v>
      </c>
    </row>
    <row r="375" spans="1:26" x14ac:dyDescent="0.3">
      <c r="A375" s="489">
        <v>150001031</v>
      </c>
      <c r="B375" s="467" t="s">
        <v>103</v>
      </c>
      <c r="C375" s="509">
        <v>0</v>
      </c>
      <c r="D375" s="509">
        <v>0</v>
      </c>
      <c r="E375" s="524">
        <v>0</v>
      </c>
      <c r="F375" s="524">
        <v>0</v>
      </c>
      <c r="G375" s="473"/>
      <c r="H375" s="523">
        <v>0</v>
      </c>
      <c r="I375" s="473"/>
      <c r="J375" s="523">
        <v>0</v>
      </c>
      <c r="K375" s="473">
        <v>25.61</v>
      </c>
      <c r="L375" s="523">
        <v>25.61</v>
      </c>
      <c r="M375" s="525">
        <v>0</v>
      </c>
      <c r="N375" s="526">
        <v>25.61</v>
      </c>
      <c r="O375" s="527">
        <v>0</v>
      </c>
      <c r="P375" s="527">
        <v>0</v>
      </c>
      <c r="Q375" s="527">
        <v>0</v>
      </c>
      <c r="R375" s="527">
        <v>25.61</v>
      </c>
      <c r="S375" s="527">
        <v>0</v>
      </c>
      <c r="T375" s="527">
        <v>0</v>
      </c>
      <c r="U375" s="527">
        <v>0</v>
      </c>
      <c r="V375" s="528">
        <v>25.61</v>
      </c>
      <c r="W375" s="529">
        <v>1.0151343655040139</v>
      </c>
      <c r="Y375" s="529">
        <v>0</v>
      </c>
      <c r="Z375" s="466">
        <v>3</v>
      </c>
    </row>
    <row r="376" spans="1:26" x14ac:dyDescent="0.3">
      <c r="A376" s="489">
        <v>150001032</v>
      </c>
      <c r="B376" s="467" t="s">
        <v>369</v>
      </c>
      <c r="C376" s="509">
        <v>470.53</v>
      </c>
      <c r="D376" s="509">
        <v>63</v>
      </c>
      <c r="E376" s="524">
        <v>58.44</v>
      </c>
      <c r="F376" s="524">
        <v>471.58</v>
      </c>
      <c r="G376" s="473">
        <v>741.77</v>
      </c>
      <c r="H376" s="523">
        <v>741.77</v>
      </c>
      <c r="I376" s="473">
        <v>155.68</v>
      </c>
      <c r="J376" s="523">
        <v>155.68</v>
      </c>
      <c r="K376" s="473">
        <v>73.260000000000005</v>
      </c>
      <c r="L376" s="523">
        <v>73.260000000000005</v>
      </c>
      <c r="M376" s="525">
        <v>2145.0421524906856</v>
      </c>
      <c r="N376" s="526">
        <v>5874.8299713275883</v>
      </c>
      <c r="O376" s="527">
        <v>1063.55</v>
      </c>
      <c r="P376" s="527">
        <v>233.98099999999999</v>
      </c>
      <c r="Q376" s="527">
        <v>163.48517466654869</v>
      </c>
      <c r="R376" s="527">
        <v>970.71</v>
      </c>
      <c r="S376" s="527">
        <v>2145.0421524906856</v>
      </c>
      <c r="T376" s="527">
        <v>1015.4066920135974</v>
      </c>
      <c r="U376" s="527">
        <v>282.65495215675634</v>
      </c>
      <c r="V376" s="528">
        <v>5874.8299713275883</v>
      </c>
      <c r="W376" s="529">
        <v>0.9878048193659984</v>
      </c>
      <c r="Y376" s="529">
        <v>0</v>
      </c>
      <c r="Z376" s="466">
        <v>3</v>
      </c>
    </row>
    <row r="377" spans="1:26" x14ac:dyDescent="0.3">
      <c r="A377" s="489">
        <v>150001033</v>
      </c>
      <c r="B377" s="467" t="s">
        <v>362</v>
      </c>
      <c r="C377" s="509">
        <v>382.55</v>
      </c>
      <c r="D377" s="509">
        <v>65.83</v>
      </c>
      <c r="E377" s="524">
        <v>26.37</v>
      </c>
      <c r="F377" s="524">
        <v>279.05</v>
      </c>
      <c r="G377" s="473">
        <v>495.8</v>
      </c>
      <c r="H377" s="523">
        <v>495.8</v>
      </c>
      <c r="I377" s="473">
        <v>99.52</v>
      </c>
      <c r="J377" s="523">
        <v>99.52</v>
      </c>
      <c r="K377" s="473">
        <v>50.62</v>
      </c>
      <c r="L377" s="523">
        <v>50.62</v>
      </c>
      <c r="M377" s="525">
        <v>1433.9001046599697</v>
      </c>
      <c r="N377" s="526">
        <v>4004.3419015300046</v>
      </c>
      <c r="O377" s="527">
        <v>753.8</v>
      </c>
      <c r="P377" s="527">
        <v>165.83600000000001</v>
      </c>
      <c r="Q377" s="527">
        <v>88.031329933735904</v>
      </c>
      <c r="R377" s="527">
        <v>645.94000000000005</v>
      </c>
      <c r="S377" s="527">
        <v>1433.9001046599697</v>
      </c>
      <c r="T377" s="527">
        <v>719.67802589426901</v>
      </c>
      <c r="U377" s="527">
        <v>197.15644104203034</v>
      </c>
      <c r="V377" s="528">
        <v>4004.3419015300051</v>
      </c>
      <c r="W377" s="529">
        <v>0.97529367932589039</v>
      </c>
      <c r="Y377" s="529">
        <v>0</v>
      </c>
      <c r="Z377" s="466">
        <v>2</v>
      </c>
    </row>
    <row r="378" spans="1:26" x14ac:dyDescent="0.3">
      <c r="A378" s="489">
        <v>150001035</v>
      </c>
      <c r="B378" s="467" t="s">
        <v>262</v>
      </c>
      <c r="C378" s="509">
        <v>353.31</v>
      </c>
      <c r="D378" s="509">
        <v>67.87</v>
      </c>
      <c r="E378" s="524">
        <v>23.98</v>
      </c>
      <c r="F378" s="524">
        <v>223.08</v>
      </c>
      <c r="G378" s="473">
        <v>368.62</v>
      </c>
      <c r="H378" s="523">
        <v>368.62</v>
      </c>
      <c r="I378" s="473">
        <v>77.86</v>
      </c>
      <c r="J378" s="523">
        <v>77.86</v>
      </c>
      <c r="K378" s="473">
        <v>75.709999999999994</v>
      </c>
      <c r="L378" s="523">
        <v>75.709999999999994</v>
      </c>
      <c r="M378" s="525">
        <v>1015.7594126420595</v>
      </c>
      <c r="N378" s="526">
        <v>3246.9438904795052</v>
      </c>
      <c r="O378" s="527">
        <v>668.24</v>
      </c>
      <c r="P378" s="527">
        <v>147.0128</v>
      </c>
      <c r="Q378" s="527">
        <v>80.6719423352978</v>
      </c>
      <c r="R378" s="527">
        <v>522.19000000000005</v>
      </c>
      <c r="S378" s="527">
        <v>1015.7594126420595</v>
      </c>
      <c r="T378" s="527">
        <v>637.99103744174363</v>
      </c>
      <c r="U378" s="527">
        <v>175.07869806040392</v>
      </c>
      <c r="V378" s="528">
        <v>3246.9438904795047</v>
      </c>
      <c r="W378" s="529">
        <v>0.95487240015194619</v>
      </c>
      <c r="Y378" s="529">
        <v>0</v>
      </c>
      <c r="Z378" s="466">
        <v>3</v>
      </c>
    </row>
    <row r="379" spans="1:26" x14ac:dyDescent="0.3">
      <c r="A379" s="489">
        <v>150001036</v>
      </c>
      <c r="B379" s="467" t="s">
        <v>102</v>
      </c>
      <c r="C379" s="509">
        <v>0</v>
      </c>
      <c r="D379" s="509">
        <v>0</v>
      </c>
      <c r="E379" s="524">
        <v>0</v>
      </c>
      <c r="F379" s="524">
        <v>0</v>
      </c>
      <c r="G379" s="473"/>
      <c r="H379" s="523">
        <v>0</v>
      </c>
      <c r="I379" s="473"/>
      <c r="J379" s="523">
        <v>0</v>
      </c>
      <c r="K379" s="473">
        <v>33.11</v>
      </c>
      <c r="L379" s="523">
        <v>33.11</v>
      </c>
      <c r="M379" s="525">
        <v>0</v>
      </c>
      <c r="N379" s="526">
        <v>33.11</v>
      </c>
      <c r="O379" s="527">
        <v>0</v>
      </c>
      <c r="P379" s="527">
        <v>0</v>
      </c>
      <c r="Q379" s="527">
        <v>0</v>
      </c>
      <c r="R379" s="527">
        <v>33.11</v>
      </c>
      <c r="S379" s="527">
        <v>0</v>
      </c>
      <c r="T379" s="527">
        <v>0</v>
      </c>
      <c r="U379" s="527">
        <v>0</v>
      </c>
      <c r="V379" s="528">
        <v>33.11</v>
      </c>
      <c r="W379" s="529">
        <v>0.98114000974388482</v>
      </c>
      <c r="Y379" s="529">
        <v>0</v>
      </c>
      <c r="Z379" s="466">
        <v>2</v>
      </c>
    </row>
    <row r="380" spans="1:26" x14ac:dyDescent="0.3">
      <c r="A380" s="489">
        <v>150001037</v>
      </c>
      <c r="B380" s="467" t="s">
        <v>104</v>
      </c>
      <c r="C380" s="509">
        <v>0</v>
      </c>
      <c r="D380" s="509">
        <v>0</v>
      </c>
      <c r="E380" s="524">
        <v>0</v>
      </c>
      <c r="F380" s="524">
        <v>0</v>
      </c>
      <c r="G380" s="473"/>
      <c r="H380" s="523">
        <v>0</v>
      </c>
      <c r="I380" s="473"/>
      <c r="J380" s="523">
        <v>0</v>
      </c>
      <c r="K380" s="473">
        <v>27.48</v>
      </c>
      <c r="L380" s="523">
        <v>27.48</v>
      </c>
      <c r="M380" s="525">
        <v>0</v>
      </c>
      <c r="N380" s="526">
        <v>27.48</v>
      </c>
      <c r="O380" s="527">
        <v>0</v>
      </c>
      <c r="P380" s="527">
        <v>0</v>
      </c>
      <c r="Q380" s="527">
        <v>0</v>
      </c>
      <c r="R380" s="527">
        <v>27.48</v>
      </c>
      <c r="S380" s="527">
        <v>0</v>
      </c>
      <c r="T380" s="527">
        <v>0</v>
      </c>
      <c r="U380" s="527">
        <v>0</v>
      </c>
      <c r="V380" s="528">
        <v>27.48</v>
      </c>
      <c r="W380" s="529">
        <v>1.0556882418313116</v>
      </c>
      <c r="Y380" s="529">
        <v>0</v>
      </c>
      <c r="Z380" s="466">
        <v>2</v>
      </c>
    </row>
    <row r="381" spans="1:26" x14ac:dyDescent="0.3">
      <c r="A381" s="489">
        <v>150001040</v>
      </c>
      <c r="B381" s="467" t="s">
        <v>216</v>
      </c>
      <c r="C381" s="509">
        <v>297.12</v>
      </c>
      <c r="D381" s="509">
        <v>77</v>
      </c>
      <c r="E381" s="524">
        <v>0</v>
      </c>
      <c r="F381" s="524">
        <v>296.18</v>
      </c>
      <c r="G381" s="473">
        <v>284.37</v>
      </c>
      <c r="H381" s="523">
        <v>284.37</v>
      </c>
      <c r="I381" s="473"/>
      <c r="J381" s="523">
        <v>0</v>
      </c>
      <c r="K381" s="473">
        <v>91.37</v>
      </c>
      <c r="L381" s="523">
        <v>91.37</v>
      </c>
      <c r="M381" s="525">
        <v>884.81207193768614</v>
      </c>
      <c r="N381" s="526">
        <v>2967.4930217683827</v>
      </c>
      <c r="O381" s="527">
        <v>670.3</v>
      </c>
      <c r="P381" s="527">
        <v>147.46600000000001</v>
      </c>
      <c r="Q381" s="527">
        <v>74.3488381430803</v>
      </c>
      <c r="R381" s="527">
        <v>375.74</v>
      </c>
      <c r="S381" s="527">
        <v>884.81207193768614</v>
      </c>
      <c r="T381" s="527">
        <v>639.95778821561225</v>
      </c>
      <c r="U381" s="527">
        <v>174.86832347200442</v>
      </c>
      <c r="V381" s="528">
        <v>2967.4930217683832</v>
      </c>
      <c r="W381" s="529">
        <v>1.0534417868500248</v>
      </c>
      <c r="Y381" s="529">
        <v>0</v>
      </c>
      <c r="Z381" s="466">
        <v>2</v>
      </c>
    </row>
    <row r="382" spans="1:26" x14ac:dyDescent="0.3">
      <c r="A382" s="489">
        <v>150001041</v>
      </c>
      <c r="B382" s="467" t="s">
        <v>196</v>
      </c>
      <c r="C382" s="509">
        <v>81.78</v>
      </c>
      <c r="D382" s="509">
        <v>12.47</v>
      </c>
      <c r="E382" s="524">
        <v>0</v>
      </c>
      <c r="F382" s="524">
        <v>32.479999999999997</v>
      </c>
      <c r="G382" s="473">
        <v>74.91</v>
      </c>
      <c r="H382" s="523">
        <v>74.91</v>
      </c>
      <c r="I382" s="473"/>
      <c r="J382" s="523">
        <v>0</v>
      </c>
      <c r="K382" s="473">
        <v>25.61</v>
      </c>
      <c r="L382" s="523">
        <v>25.61</v>
      </c>
      <c r="M382" s="525">
        <v>214.29042367240837</v>
      </c>
      <c r="N382" s="526">
        <v>658.23664256760503</v>
      </c>
      <c r="O382" s="527">
        <v>126.72999999999999</v>
      </c>
      <c r="P382" s="527">
        <v>27.880600000000001</v>
      </c>
      <c r="Q382" s="527">
        <v>32.639805493954398</v>
      </c>
      <c r="R382" s="527">
        <v>100.52</v>
      </c>
      <c r="S382" s="527">
        <v>214.29042367240837</v>
      </c>
      <c r="T382" s="527">
        <v>120.99336192833738</v>
      </c>
      <c r="U382" s="527">
        <v>35.182451472904866</v>
      </c>
      <c r="V382" s="528">
        <v>658.23664256760503</v>
      </c>
      <c r="W382" s="529">
        <v>0.95165347991413685</v>
      </c>
      <c r="Y382" s="529">
        <v>0</v>
      </c>
      <c r="Z382" s="466">
        <v>2</v>
      </c>
    </row>
    <row r="383" spans="1:26" x14ac:dyDescent="0.3">
      <c r="A383" s="489">
        <v>150001042</v>
      </c>
      <c r="B383" s="467" t="s">
        <v>181</v>
      </c>
      <c r="C383" s="509">
        <v>73.98</v>
      </c>
      <c r="D383" s="509">
        <v>14.08</v>
      </c>
      <c r="E383" s="524">
        <v>0</v>
      </c>
      <c r="F383" s="524">
        <v>36.04</v>
      </c>
      <c r="G383" s="473">
        <v>51.42</v>
      </c>
      <c r="H383" s="523">
        <v>51.42</v>
      </c>
      <c r="I383" s="473"/>
      <c r="J383" s="523">
        <v>0</v>
      </c>
      <c r="K383" s="473">
        <v>50.66</v>
      </c>
      <c r="L383" s="523">
        <v>50.66</v>
      </c>
      <c r="M383" s="525">
        <v>152.18397065261991</v>
      </c>
      <c r="N383" s="526">
        <v>574.12988091694672</v>
      </c>
      <c r="O383" s="527">
        <v>124.1</v>
      </c>
      <c r="P383" s="527">
        <v>27.302</v>
      </c>
      <c r="Q383" s="527">
        <v>17.212691944872802</v>
      </c>
      <c r="R383" s="527">
        <v>102.08</v>
      </c>
      <c r="S383" s="527">
        <v>152.18397065261991</v>
      </c>
      <c r="T383" s="527">
        <v>118.48241312480604</v>
      </c>
      <c r="U383" s="527">
        <v>32.768805194647939</v>
      </c>
      <c r="V383" s="528">
        <v>574.1298809169466</v>
      </c>
      <c r="W383" s="529">
        <v>0.99255625115655555</v>
      </c>
      <c r="Y383" s="529">
        <v>0</v>
      </c>
      <c r="Z383" s="466">
        <v>3</v>
      </c>
    </row>
    <row r="384" spans="1:26" x14ac:dyDescent="0.3">
      <c r="A384" s="489">
        <v>150001043</v>
      </c>
      <c r="B384" s="467" t="s">
        <v>217</v>
      </c>
      <c r="C384" s="509">
        <v>155.35</v>
      </c>
      <c r="D384" s="509">
        <v>30.8</v>
      </c>
      <c r="E384" s="524">
        <v>0</v>
      </c>
      <c r="F384" s="524">
        <v>86.2</v>
      </c>
      <c r="G384" s="473">
        <v>159.86000000000001</v>
      </c>
      <c r="H384" s="523">
        <v>159.86000000000001</v>
      </c>
      <c r="I384" s="473"/>
      <c r="J384" s="523">
        <v>0</v>
      </c>
      <c r="K384" s="473">
        <v>59.96</v>
      </c>
      <c r="L384" s="523">
        <v>59.96</v>
      </c>
      <c r="M384" s="525">
        <v>456.83696739340661</v>
      </c>
      <c r="N384" s="526">
        <v>1383.1005865953439</v>
      </c>
      <c r="O384" s="527">
        <v>272.35000000000002</v>
      </c>
      <c r="P384" s="527">
        <v>59.917000000000002</v>
      </c>
      <c r="Q384" s="527">
        <v>41.783051471738297</v>
      </c>
      <c r="R384" s="527">
        <v>219.82000000000002</v>
      </c>
      <c r="S384" s="527">
        <v>456.83696739340661</v>
      </c>
      <c r="T384" s="527">
        <v>260.02163750637328</v>
      </c>
      <c r="U384" s="527">
        <v>72.371930223825643</v>
      </c>
      <c r="V384" s="528">
        <v>1383.1005865953439</v>
      </c>
      <c r="W384" s="529">
        <v>1.0059224489533334</v>
      </c>
      <c r="Y384" s="529">
        <v>0</v>
      </c>
      <c r="Z384" s="466">
        <v>2</v>
      </c>
    </row>
    <row r="385" spans="1:26" x14ac:dyDescent="0.3">
      <c r="A385" s="489">
        <v>150001044</v>
      </c>
      <c r="B385" s="467" t="s">
        <v>269</v>
      </c>
      <c r="C385" s="509">
        <v>404.7</v>
      </c>
      <c r="D385" s="509">
        <v>77.56</v>
      </c>
      <c r="E385" s="524">
        <v>0</v>
      </c>
      <c r="F385" s="524">
        <v>236.2</v>
      </c>
      <c r="G385" s="473">
        <v>412.34</v>
      </c>
      <c r="H385" s="523">
        <v>412.34</v>
      </c>
      <c r="I385" s="473"/>
      <c r="J385" s="523">
        <v>0</v>
      </c>
      <c r="K385" s="473">
        <v>130.83000000000001</v>
      </c>
      <c r="L385" s="523">
        <v>130.83000000000001</v>
      </c>
      <c r="M385" s="525">
        <v>1249.0772866372256</v>
      </c>
      <c r="N385" s="526">
        <v>3623.2782342832197</v>
      </c>
      <c r="O385" s="527">
        <v>718.46</v>
      </c>
      <c r="P385" s="527">
        <v>158.06119999999999</v>
      </c>
      <c r="Q385" s="527">
        <v>80.991221197764204</v>
      </c>
      <c r="R385" s="527">
        <v>543.16999999999996</v>
      </c>
      <c r="S385" s="527">
        <v>1249.0772866372256</v>
      </c>
      <c r="T385" s="527">
        <v>685.9377480551824</v>
      </c>
      <c r="U385" s="527">
        <v>187.58077839304781</v>
      </c>
      <c r="V385" s="528">
        <v>3623.2782342832202</v>
      </c>
      <c r="W385" s="529">
        <v>1.2060434292449396</v>
      </c>
      <c r="Y385" s="529">
        <v>0</v>
      </c>
      <c r="Z385" s="466">
        <v>3</v>
      </c>
    </row>
    <row r="386" spans="1:26" x14ac:dyDescent="0.3">
      <c r="A386" s="489">
        <v>150001045</v>
      </c>
      <c r="B386" s="467" t="s">
        <v>271</v>
      </c>
      <c r="C386" s="509">
        <v>395.19</v>
      </c>
      <c r="D386" s="509">
        <v>70</v>
      </c>
      <c r="E386" s="524">
        <v>0</v>
      </c>
      <c r="F386" s="524">
        <v>239.74</v>
      </c>
      <c r="G386" s="473">
        <v>442.04</v>
      </c>
      <c r="H386" s="523">
        <v>442.04</v>
      </c>
      <c r="I386" s="473"/>
      <c r="J386" s="523">
        <v>0</v>
      </c>
      <c r="K386" s="473">
        <v>103.1</v>
      </c>
      <c r="L386" s="523">
        <v>103.1</v>
      </c>
      <c r="M386" s="525">
        <v>1272.5587281404046</v>
      </c>
      <c r="N386" s="526">
        <v>3615.2640549249968</v>
      </c>
      <c r="O386" s="527">
        <v>704.93000000000006</v>
      </c>
      <c r="P386" s="527">
        <v>155.08460000000002</v>
      </c>
      <c r="Q386" s="527">
        <v>80.378143428045107</v>
      </c>
      <c r="R386" s="527">
        <v>545.14</v>
      </c>
      <c r="S386" s="527">
        <v>1272.5587281404046</v>
      </c>
      <c r="T386" s="527">
        <v>673.02020535108386</v>
      </c>
      <c r="U386" s="527">
        <v>184.1523780054635</v>
      </c>
      <c r="V386" s="528">
        <v>3615.2640549249973</v>
      </c>
      <c r="W386" s="529">
        <v>0.94423964835331764</v>
      </c>
      <c r="Y386" s="529">
        <v>0</v>
      </c>
      <c r="Z386" s="466">
        <v>2</v>
      </c>
    </row>
    <row r="387" spans="1:26" x14ac:dyDescent="0.3">
      <c r="A387" s="489">
        <v>150001046</v>
      </c>
      <c r="B387" s="467" t="s">
        <v>272</v>
      </c>
      <c r="C387" s="509">
        <v>287.91000000000003</v>
      </c>
      <c r="D387" s="509">
        <v>61.02</v>
      </c>
      <c r="E387" s="524">
        <v>0</v>
      </c>
      <c r="F387" s="524">
        <v>177.33</v>
      </c>
      <c r="G387" s="473">
        <v>292.13</v>
      </c>
      <c r="H387" s="523">
        <v>292.13</v>
      </c>
      <c r="I387" s="473"/>
      <c r="J387" s="523">
        <v>0</v>
      </c>
      <c r="K387" s="473">
        <v>80.58</v>
      </c>
      <c r="L387" s="523">
        <v>80.58</v>
      </c>
      <c r="M387" s="525">
        <v>955.47018802388266</v>
      </c>
      <c r="N387" s="526">
        <v>2671.8427844474681</v>
      </c>
      <c r="O387" s="527">
        <v>526.26</v>
      </c>
      <c r="P387" s="527">
        <v>115.77719999999999</v>
      </c>
      <c r="Q387" s="527">
        <v>61.535293772264296</v>
      </c>
      <c r="R387" s="527">
        <v>372.71</v>
      </c>
      <c r="S387" s="527">
        <v>955.47018802388266</v>
      </c>
      <c r="T387" s="527">
        <v>502.43799138646597</v>
      </c>
      <c r="U387" s="527">
        <v>137.65211126485531</v>
      </c>
      <c r="V387" s="528">
        <v>2671.8427844474681</v>
      </c>
      <c r="W387" s="529">
        <v>1.0220401337517657</v>
      </c>
      <c r="Y387" s="529">
        <v>0</v>
      </c>
      <c r="Z387" s="466">
        <v>2</v>
      </c>
    </row>
    <row r="388" spans="1:26" x14ac:dyDescent="0.3">
      <c r="A388" s="489">
        <v>150001047</v>
      </c>
      <c r="B388" s="467" t="s">
        <v>179</v>
      </c>
      <c r="C388" s="509">
        <v>82.04</v>
      </c>
      <c r="D388" s="509">
        <v>14.35</v>
      </c>
      <c r="E388" s="524">
        <v>0</v>
      </c>
      <c r="F388" s="524">
        <v>35.619999999999997</v>
      </c>
      <c r="G388" s="473">
        <v>94.34</v>
      </c>
      <c r="H388" s="523">
        <v>94.34</v>
      </c>
      <c r="I388" s="473"/>
      <c r="J388" s="523">
        <v>0</v>
      </c>
      <c r="K388" s="473">
        <v>8.77</v>
      </c>
      <c r="L388" s="523">
        <v>8.77</v>
      </c>
      <c r="M388" s="525">
        <v>271.80392098694688</v>
      </c>
      <c r="N388" s="526">
        <v>716.86577528354871</v>
      </c>
      <c r="O388" s="527">
        <v>132.01</v>
      </c>
      <c r="P388" s="527">
        <v>29.042200000000001</v>
      </c>
      <c r="Q388" s="527">
        <v>19.833890556497302</v>
      </c>
      <c r="R388" s="527">
        <v>103.11</v>
      </c>
      <c r="S388" s="527">
        <v>271.80392098694688</v>
      </c>
      <c r="T388" s="527">
        <v>126.03435420310753</v>
      </c>
      <c r="U388" s="527">
        <v>35.03140953699706</v>
      </c>
      <c r="V388" s="528">
        <v>716.86577528354883</v>
      </c>
      <c r="W388" s="529">
        <v>0.97891918541655654</v>
      </c>
      <c r="Y388" s="529">
        <v>0</v>
      </c>
      <c r="Z388" s="466">
        <v>2</v>
      </c>
    </row>
    <row r="389" spans="1:26" x14ac:dyDescent="0.3">
      <c r="A389" s="489">
        <v>150001048</v>
      </c>
      <c r="B389" s="467" t="s">
        <v>125</v>
      </c>
      <c r="C389" s="509">
        <v>0</v>
      </c>
      <c r="D389" s="509">
        <v>0</v>
      </c>
      <c r="E389" s="524">
        <v>0</v>
      </c>
      <c r="F389" s="524">
        <v>0</v>
      </c>
      <c r="G389" s="473"/>
      <c r="H389" s="523">
        <v>0</v>
      </c>
      <c r="I389" s="473"/>
      <c r="J389" s="523">
        <v>0</v>
      </c>
      <c r="K389" s="473">
        <v>46.92</v>
      </c>
      <c r="L389" s="523">
        <v>46.92</v>
      </c>
      <c r="M389" s="525">
        <v>0</v>
      </c>
      <c r="N389" s="526">
        <v>46.92</v>
      </c>
      <c r="O389" s="527">
        <v>0</v>
      </c>
      <c r="P389" s="527">
        <v>0</v>
      </c>
      <c r="Q389" s="527">
        <v>0</v>
      </c>
      <c r="R389" s="527">
        <v>46.92</v>
      </c>
      <c r="S389" s="527">
        <v>0</v>
      </c>
      <c r="T389" s="527">
        <v>0</v>
      </c>
      <c r="U389" s="527">
        <v>0</v>
      </c>
      <c r="V389" s="528">
        <v>46.92</v>
      </c>
      <c r="W389" s="529">
        <v>1.0041673127183761</v>
      </c>
      <c r="Y389" s="529">
        <v>0</v>
      </c>
      <c r="Z389" s="466">
        <v>2</v>
      </c>
    </row>
    <row r="390" spans="1:26" x14ac:dyDescent="0.3">
      <c r="A390" s="489">
        <v>150001049</v>
      </c>
      <c r="B390" s="467" t="s">
        <v>180</v>
      </c>
      <c r="C390" s="509">
        <v>23.045000000000002</v>
      </c>
      <c r="D390" s="509">
        <v>7.85</v>
      </c>
      <c r="E390" s="524">
        <v>0</v>
      </c>
      <c r="F390" s="524">
        <v>10.715</v>
      </c>
      <c r="G390" s="473"/>
      <c r="H390" s="523">
        <v>0</v>
      </c>
      <c r="I390" s="473"/>
      <c r="J390" s="523">
        <v>0</v>
      </c>
      <c r="K390" s="473">
        <v>25.61</v>
      </c>
      <c r="L390" s="523">
        <v>25.61</v>
      </c>
      <c r="M390" s="525">
        <v>90.39820499782175</v>
      </c>
      <c r="N390" s="526">
        <v>224.85150902940117</v>
      </c>
      <c r="O390" s="527">
        <v>41.61</v>
      </c>
      <c r="P390" s="527">
        <v>9.1541999999999994</v>
      </c>
      <c r="Q390" s="527">
        <v>7.2021472592292746</v>
      </c>
      <c r="R390" s="527">
        <v>25.61</v>
      </c>
      <c r="S390" s="527">
        <v>90.39820499782175</v>
      </c>
      <c r="T390" s="527">
        <v>39.726456165376135</v>
      </c>
      <c r="U390" s="527">
        <v>11.150500606973994</v>
      </c>
      <c r="V390" s="528">
        <v>224.85150902940114</v>
      </c>
      <c r="W390" s="529">
        <v>1.0074115041457834</v>
      </c>
      <c r="Y390" s="529">
        <v>0</v>
      </c>
      <c r="Z390" s="466">
        <v>2</v>
      </c>
    </row>
    <row r="391" spans="1:26" x14ac:dyDescent="0.3">
      <c r="A391" s="489">
        <v>150001050</v>
      </c>
      <c r="B391" s="467" t="s">
        <v>270</v>
      </c>
      <c r="C391" s="509">
        <v>407.36</v>
      </c>
      <c r="D391" s="509">
        <v>70</v>
      </c>
      <c r="E391" s="524">
        <v>0</v>
      </c>
      <c r="F391" s="524">
        <v>239.74</v>
      </c>
      <c r="G391" s="473">
        <v>403.33</v>
      </c>
      <c r="H391" s="523">
        <v>403.33</v>
      </c>
      <c r="I391" s="473"/>
      <c r="J391" s="523">
        <v>0</v>
      </c>
      <c r="K391" s="473">
        <v>98.24</v>
      </c>
      <c r="L391" s="523">
        <v>98.24</v>
      </c>
      <c r="M391" s="525">
        <v>1270.0288611499254</v>
      </c>
      <c r="N391" s="526">
        <v>3599.4748251594037</v>
      </c>
      <c r="O391" s="527">
        <v>717.1</v>
      </c>
      <c r="P391" s="527">
        <v>157.762</v>
      </c>
      <c r="Q391" s="527">
        <v>81.11708866478341</v>
      </c>
      <c r="R391" s="527">
        <v>501.57</v>
      </c>
      <c r="S391" s="527">
        <v>1270.0288611499254</v>
      </c>
      <c r="T391" s="527">
        <v>684.63931065107499</v>
      </c>
      <c r="U391" s="527">
        <v>187.25756469362028</v>
      </c>
      <c r="V391" s="528">
        <v>3599.4748251594042</v>
      </c>
      <c r="W391" s="529">
        <v>0.85866349597074565</v>
      </c>
      <c r="Y391" s="529">
        <v>0</v>
      </c>
      <c r="Z391" s="466">
        <v>2</v>
      </c>
    </row>
    <row r="392" spans="1:26" x14ac:dyDescent="0.3">
      <c r="A392" s="489">
        <v>150001053</v>
      </c>
      <c r="B392" s="467" t="s">
        <v>146</v>
      </c>
      <c r="C392" s="509">
        <v>69.87</v>
      </c>
      <c r="D392" s="509">
        <v>11.58</v>
      </c>
      <c r="E392" s="524">
        <v>0</v>
      </c>
      <c r="F392" s="524">
        <v>10.96</v>
      </c>
      <c r="G392" s="473">
        <v>55.39</v>
      </c>
      <c r="H392" s="523">
        <v>55.39</v>
      </c>
      <c r="I392" s="473"/>
      <c r="J392" s="523">
        <v>0</v>
      </c>
      <c r="K392" s="473">
        <v>25.61</v>
      </c>
      <c r="L392" s="523">
        <v>25.61</v>
      </c>
      <c r="M392" s="525">
        <v>132.83583296487171</v>
      </c>
      <c r="N392" s="526">
        <v>455.12750486811518</v>
      </c>
      <c r="O392" s="527">
        <v>92.41</v>
      </c>
      <c r="P392" s="527">
        <v>20.330200000000001</v>
      </c>
      <c r="Q392" s="527">
        <v>15.605327301428261</v>
      </c>
      <c r="R392" s="527">
        <v>81</v>
      </c>
      <c r="S392" s="527">
        <v>132.83583296487171</v>
      </c>
      <c r="T392" s="527">
        <v>88.2269121423314</v>
      </c>
      <c r="U392" s="527">
        <v>24.719232459483838</v>
      </c>
      <c r="V392" s="528">
        <v>455.12750486811524</v>
      </c>
      <c r="W392" s="529">
        <v>1.0169136003602504</v>
      </c>
      <c r="Y392" s="529">
        <v>0</v>
      </c>
      <c r="Z392" s="466">
        <v>2</v>
      </c>
    </row>
    <row r="393" spans="1:26" x14ac:dyDescent="0.3">
      <c r="A393" s="489">
        <v>150001054</v>
      </c>
      <c r="B393" s="467" t="s">
        <v>85</v>
      </c>
      <c r="C393" s="509">
        <v>0</v>
      </c>
      <c r="D393" s="509">
        <v>0</v>
      </c>
      <c r="E393" s="524">
        <v>0</v>
      </c>
      <c r="F393" s="524">
        <v>0</v>
      </c>
      <c r="G393" s="473"/>
      <c r="H393" s="523">
        <v>0</v>
      </c>
      <c r="I393" s="473"/>
      <c r="J393" s="523">
        <v>0</v>
      </c>
      <c r="K393" s="473">
        <v>25.61</v>
      </c>
      <c r="L393" s="523">
        <v>25.61</v>
      </c>
      <c r="M393" s="525">
        <v>0</v>
      </c>
      <c r="N393" s="526">
        <v>25.61</v>
      </c>
      <c r="O393" s="527">
        <v>0</v>
      </c>
      <c r="P393" s="527">
        <v>0</v>
      </c>
      <c r="Q393" s="527">
        <v>0</v>
      </c>
      <c r="R393" s="527">
        <v>25.61</v>
      </c>
      <c r="S393" s="527">
        <v>0</v>
      </c>
      <c r="T393" s="527">
        <v>0</v>
      </c>
      <c r="U393" s="527">
        <v>0</v>
      </c>
      <c r="V393" s="528">
        <v>25.61</v>
      </c>
      <c r="W393" s="529">
        <v>0.87142732467918782</v>
      </c>
      <c r="Y393" s="529">
        <v>0</v>
      </c>
      <c r="Z393" s="466">
        <v>3</v>
      </c>
    </row>
    <row r="394" spans="1:26" x14ac:dyDescent="0.3">
      <c r="A394" s="489">
        <v>150001071</v>
      </c>
      <c r="B394" s="467" t="s">
        <v>167</v>
      </c>
      <c r="C394" s="509">
        <v>59.65</v>
      </c>
      <c r="D394" s="509">
        <v>9.75</v>
      </c>
      <c r="E394" s="524">
        <v>0</v>
      </c>
      <c r="F394" s="524">
        <v>36.42</v>
      </c>
      <c r="G394" s="473">
        <v>55.32</v>
      </c>
      <c r="H394" s="523">
        <v>55.32</v>
      </c>
      <c r="I394" s="473"/>
      <c r="J394" s="523">
        <v>0</v>
      </c>
      <c r="K394" s="473">
        <v>65.069999999999993</v>
      </c>
      <c r="L394" s="523">
        <v>65.069999999999993</v>
      </c>
      <c r="M394" s="525">
        <v>133.20284183813837</v>
      </c>
      <c r="N394" s="526">
        <v>530.80486326134223</v>
      </c>
      <c r="O394" s="527">
        <v>105.82000000000001</v>
      </c>
      <c r="P394" s="527">
        <v>23.2804</v>
      </c>
      <c r="Q394" s="527">
        <v>18.682625968646928</v>
      </c>
      <c r="R394" s="527">
        <v>120.38999999999999</v>
      </c>
      <c r="S394" s="527">
        <v>133.20284183813837</v>
      </c>
      <c r="T394" s="527">
        <v>101.02988684018513</v>
      </c>
      <c r="U394" s="527">
        <v>28.399108614371862</v>
      </c>
      <c r="V394" s="528">
        <v>530.80486326134223</v>
      </c>
      <c r="W394" s="529">
        <v>0.99586785508158837</v>
      </c>
      <c r="Y394" s="529">
        <v>0</v>
      </c>
      <c r="Z394" s="466">
        <v>2</v>
      </c>
    </row>
    <row r="395" spans="1:26" x14ac:dyDescent="0.3">
      <c r="A395" s="489">
        <v>150001094</v>
      </c>
      <c r="B395" s="467" t="s">
        <v>185</v>
      </c>
      <c r="C395" s="509">
        <v>0</v>
      </c>
      <c r="D395" s="509">
        <v>0</v>
      </c>
      <c r="E395" s="524">
        <v>0</v>
      </c>
      <c r="F395" s="524">
        <v>12.17</v>
      </c>
      <c r="G395" s="473"/>
      <c r="H395" s="523">
        <v>0</v>
      </c>
      <c r="I395" s="473"/>
      <c r="J395" s="523">
        <v>0</v>
      </c>
      <c r="K395" s="473">
        <v>15.58</v>
      </c>
      <c r="L395" s="523">
        <v>15.58</v>
      </c>
      <c r="M395" s="525">
        <v>108.64175287282559</v>
      </c>
      <c r="N395" s="526">
        <v>165.61439404700985</v>
      </c>
      <c r="O395" s="527">
        <v>12.17</v>
      </c>
      <c r="P395" s="527">
        <v>2.6774</v>
      </c>
      <c r="Q395" s="527">
        <v>10.685648371139401</v>
      </c>
      <c r="R395" s="527">
        <v>15.58</v>
      </c>
      <c r="S395" s="527">
        <v>108.64175287282559</v>
      </c>
      <c r="T395" s="527">
        <v>11.61910529999105</v>
      </c>
      <c r="U395" s="527">
        <v>4.2404875030538038</v>
      </c>
      <c r="V395" s="528">
        <v>165.61439404700985</v>
      </c>
      <c r="W395" s="529">
        <v>1.1133315662790817</v>
      </c>
      <c r="Y395" s="529">
        <v>0</v>
      </c>
      <c r="Z395" s="466">
        <v>2</v>
      </c>
    </row>
    <row r="396" spans="1:26" x14ac:dyDescent="0.3">
      <c r="A396" s="489">
        <v>150001561</v>
      </c>
      <c r="B396" s="467" t="s">
        <v>399</v>
      </c>
      <c r="C396" s="509">
        <v>656.69</v>
      </c>
      <c r="D396" s="509">
        <v>104.79</v>
      </c>
      <c r="E396" s="524">
        <v>8.99</v>
      </c>
      <c r="F396" s="524">
        <v>214.09</v>
      </c>
      <c r="G396" s="473">
        <v>0</v>
      </c>
      <c r="H396" s="523">
        <v>0</v>
      </c>
      <c r="I396" s="473">
        <v>0</v>
      </c>
      <c r="J396" s="523">
        <v>0</v>
      </c>
      <c r="K396" s="473">
        <v>65.69</v>
      </c>
      <c r="L396" s="523">
        <v>65.69</v>
      </c>
      <c r="M396" s="525">
        <v>1253.0324308054394</v>
      </c>
      <c r="N396" s="526">
        <v>3831.6028858476257</v>
      </c>
      <c r="O396" s="527">
        <v>984.56000000000006</v>
      </c>
      <c r="P396" s="527">
        <v>216.60320000000002</v>
      </c>
      <c r="Q396" s="527">
        <v>114.2917992258452</v>
      </c>
      <c r="R396" s="527">
        <v>65.69</v>
      </c>
      <c r="S396" s="527">
        <v>1253.0324308054394</v>
      </c>
      <c r="T396" s="527">
        <v>939.99230190297362</v>
      </c>
      <c r="U396" s="527">
        <v>257.43315391336699</v>
      </c>
      <c r="V396" s="528">
        <v>3831.6028858476252</v>
      </c>
      <c r="W396" s="529">
        <v>1.0559170369306827</v>
      </c>
      <c r="Y396" s="529">
        <v>0</v>
      </c>
      <c r="Z396" s="466">
        <v>2</v>
      </c>
    </row>
    <row r="397" spans="1:26" x14ac:dyDescent="0.3">
      <c r="A397" s="489">
        <v>150001562</v>
      </c>
      <c r="B397" s="467" t="s">
        <v>208</v>
      </c>
      <c r="C397" s="509">
        <v>299.58</v>
      </c>
      <c r="D397" s="509">
        <v>31.84</v>
      </c>
      <c r="E397" s="524">
        <v>0</v>
      </c>
      <c r="F397" s="524">
        <v>83.71</v>
      </c>
      <c r="G397" s="473"/>
      <c r="H397" s="523">
        <v>0</v>
      </c>
      <c r="I397" s="473"/>
      <c r="J397" s="523">
        <v>0</v>
      </c>
      <c r="K397" s="473">
        <v>24.19</v>
      </c>
      <c r="L397" s="523">
        <v>24.19</v>
      </c>
      <c r="M397" s="525">
        <v>864.39497636663702</v>
      </c>
      <c r="N397" s="526">
        <v>1929.4683478016996</v>
      </c>
      <c r="O397" s="527">
        <v>415.12999999999994</v>
      </c>
      <c r="P397" s="527">
        <v>91.328600000000009</v>
      </c>
      <c r="Q397" s="527">
        <v>31.452542035489881</v>
      </c>
      <c r="R397" s="527">
        <v>24.19</v>
      </c>
      <c r="S397" s="527">
        <v>864.39497636663702</v>
      </c>
      <c r="T397" s="527">
        <v>396.33847026994943</v>
      </c>
      <c r="U397" s="527">
        <v>106.63375912962336</v>
      </c>
      <c r="V397" s="528">
        <v>1929.4683478016996</v>
      </c>
      <c r="W397" s="529">
        <v>1.1894659629805568</v>
      </c>
      <c r="Y397" s="529">
        <v>0</v>
      </c>
      <c r="Z397" s="466">
        <v>2</v>
      </c>
    </row>
    <row r="398" spans="1:26" x14ac:dyDescent="0.3">
      <c r="A398" s="491"/>
      <c r="B398" s="491"/>
      <c r="C398" s="510">
        <v>106563.894</v>
      </c>
      <c r="D398" s="510">
        <v>20237.090000000011</v>
      </c>
      <c r="E398" s="510">
        <v>5378.9299999999957</v>
      </c>
      <c r="F398" s="510">
        <v>65163.959999999992</v>
      </c>
      <c r="G398" s="510">
        <v>115231.59999999989</v>
      </c>
      <c r="H398" s="510">
        <v>115231.59999999989</v>
      </c>
      <c r="I398" s="510">
        <v>15747.629999999994</v>
      </c>
      <c r="J398" s="510">
        <v>15747.629999999994</v>
      </c>
      <c r="K398" s="510">
        <v>25806.970999999983</v>
      </c>
      <c r="L398" s="510">
        <v>25806.970999999983</v>
      </c>
      <c r="M398" s="530">
        <v>353456.21545499994</v>
      </c>
      <c r="N398" s="526">
        <v>1015369.7171863003</v>
      </c>
      <c r="O398" s="526">
        <v>197343.87399999998</v>
      </c>
      <c r="P398" s="526">
        <v>43415.652280000009</v>
      </c>
      <c r="Q398" s="526">
        <v>24208.998949184777</v>
      </c>
      <c r="R398" s="526">
        <v>156786.20099999991</v>
      </c>
      <c r="S398" s="526">
        <v>353456.21545499994</v>
      </c>
      <c r="T398" s="526">
        <v>188410.78490666929</v>
      </c>
      <c r="U398" s="526">
        <v>51747.990595446623</v>
      </c>
      <c r="V398" s="526">
        <v>1015369.7171863003</v>
      </c>
      <c r="Y398" s="529">
        <v>0</v>
      </c>
    </row>
    <row r="399" spans="1:26" s="536" customFormat="1" ht="13.8" x14ac:dyDescent="0.3">
      <c r="A399" s="531"/>
      <c r="B399" s="532" t="s">
        <v>1583</v>
      </c>
      <c r="C399" s="511">
        <v>11.837674488510842</v>
      </c>
      <c r="D399" s="511">
        <v>2.2480417618250512</v>
      </c>
      <c r="E399" s="511">
        <v>0.59751966680652235</v>
      </c>
      <c r="F399" s="511">
        <v>7.2387533704646794</v>
      </c>
      <c r="G399" s="26"/>
      <c r="H399" s="15"/>
      <c r="I399" s="26"/>
      <c r="J399" s="15"/>
      <c r="K399" s="26"/>
      <c r="L399" s="15"/>
      <c r="M399" s="533"/>
      <c r="N399" s="534"/>
      <c r="O399" s="535">
        <v>21.921989287607097</v>
      </c>
      <c r="P399" s="533"/>
      <c r="Q399" s="533"/>
      <c r="R399" s="533"/>
      <c r="S399" s="533"/>
      <c r="T399" s="533"/>
      <c r="U399" s="533"/>
      <c r="V399" s="533"/>
      <c r="Z399" s="537"/>
    </row>
    <row r="400" spans="1:26" ht="18" x14ac:dyDescent="0.3">
      <c r="M400" s="533"/>
      <c r="N400" s="538">
        <v>1.0008813293881693</v>
      </c>
      <c r="V400" s="540"/>
    </row>
    <row r="401" spans="1:26" ht="18" x14ac:dyDescent="0.3">
      <c r="B401" s="11" t="s">
        <v>1584</v>
      </c>
      <c r="C401" s="512">
        <v>32696.870000000003</v>
      </c>
      <c r="D401" s="512">
        <v>6021.0199999999968</v>
      </c>
      <c r="E401" s="512">
        <v>2913.5999999999995</v>
      </c>
      <c r="F401" s="512">
        <v>20964.75</v>
      </c>
      <c r="M401" s="533"/>
      <c r="N401" s="538"/>
      <c r="V401" s="540"/>
      <c r="Z401" s="11"/>
    </row>
    <row r="402" spans="1:26" ht="18" x14ac:dyDescent="0.3">
      <c r="B402" s="11" t="s">
        <v>1585</v>
      </c>
      <c r="C402" s="512">
        <v>38771.203999999983</v>
      </c>
      <c r="D402" s="512">
        <v>7582.43</v>
      </c>
      <c r="E402" s="512">
        <v>531.08000000000004</v>
      </c>
      <c r="F402" s="512">
        <v>23522.829999999998</v>
      </c>
      <c r="M402" s="533"/>
      <c r="N402" s="538"/>
      <c r="V402" s="540"/>
      <c r="Z402" s="11"/>
    </row>
    <row r="403" spans="1:26" ht="18" x14ac:dyDescent="0.3">
      <c r="B403" s="11" t="s">
        <v>1586</v>
      </c>
      <c r="C403" s="512">
        <v>35095.82</v>
      </c>
      <c r="D403" s="512">
        <v>6633.6399999999994</v>
      </c>
      <c r="E403" s="512">
        <v>1934.2499999999998</v>
      </c>
      <c r="F403" s="512">
        <v>20676.380000000005</v>
      </c>
      <c r="M403" s="533"/>
      <c r="N403" s="538"/>
      <c r="V403" s="540"/>
      <c r="Z403" s="11"/>
    </row>
    <row r="404" spans="1:26" ht="18" x14ac:dyDescent="0.3">
      <c r="C404" s="513">
        <v>106563.894</v>
      </c>
      <c r="D404" s="513">
        <v>20237.089999999997</v>
      </c>
      <c r="E404" s="513">
        <v>5378.9299999999994</v>
      </c>
      <c r="F404" s="513">
        <v>65163.960000000006</v>
      </c>
      <c r="M404" s="533"/>
      <c r="N404" s="538"/>
      <c r="V404" s="540"/>
      <c r="Z404" s="11"/>
    </row>
    <row r="405" spans="1:26" ht="18" x14ac:dyDescent="0.3">
      <c r="M405" s="533"/>
      <c r="N405" s="538"/>
      <c r="V405" s="540"/>
      <c r="Z405" s="11"/>
    </row>
    <row r="406" spans="1:26" ht="18" x14ac:dyDescent="0.3">
      <c r="M406" s="533"/>
      <c r="N406" s="538"/>
      <c r="V406" s="540"/>
      <c r="Z406" s="11"/>
    </row>
    <row r="407" spans="1:26" ht="18" x14ac:dyDescent="0.3">
      <c r="M407" s="533"/>
      <c r="N407" s="538"/>
      <c r="V407" s="540"/>
      <c r="Z407" s="11"/>
    </row>
    <row r="408" spans="1:26" ht="18" x14ac:dyDescent="0.3">
      <c r="B408" s="541" t="s">
        <v>1587</v>
      </c>
      <c r="M408" s="533"/>
      <c r="N408" s="538"/>
      <c r="V408" s="540"/>
      <c r="Z408" s="11"/>
    </row>
    <row r="409" spans="1:26" ht="18" x14ac:dyDescent="0.3">
      <c r="B409" s="541"/>
      <c r="M409" s="533">
        <v>353456.22437096608</v>
      </c>
      <c r="N409" s="538"/>
      <c r="V409" s="540"/>
      <c r="Z409" s="11"/>
    </row>
    <row r="410" spans="1:26" ht="18" x14ac:dyDescent="0.3">
      <c r="B410" s="541"/>
      <c r="M410" s="533"/>
      <c r="N410" s="538"/>
      <c r="V410" s="540"/>
      <c r="Z410" s="11"/>
    </row>
    <row r="411" spans="1:26" ht="18" x14ac:dyDescent="0.3">
      <c r="B411" s="541" t="s">
        <v>874</v>
      </c>
      <c r="M411" s="542"/>
      <c r="N411" s="538"/>
      <c r="V411" s="540"/>
      <c r="Z411" s="11"/>
    </row>
    <row r="412" spans="1:26" ht="18" hidden="1" x14ac:dyDescent="0.3">
      <c r="N412" s="544"/>
      <c r="Z412" s="11"/>
    </row>
    <row r="413" spans="1:26" ht="18" hidden="1" x14ac:dyDescent="0.3">
      <c r="N413" s="544"/>
      <c r="Z413" s="11"/>
    </row>
    <row r="414" spans="1:26" ht="13.8" hidden="1" x14ac:dyDescent="0.3">
      <c r="A414" s="11"/>
      <c r="C414" s="11"/>
      <c r="M414" s="546">
        <v>0.35631929443366872</v>
      </c>
      <c r="N414" s="11"/>
      <c r="Z414" s="11"/>
    </row>
    <row r="415" spans="1:26" hidden="1" x14ac:dyDescent="0.3">
      <c r="L415" s="12"/>
      <c r="Z415" s="11"/>
    </row>
    <row r="416" spans="1:26" hidden="1" x14ac:dyDescent="0.3">
      <c r="K416" s="548"/>
      <c r="L416" s="12"/>
      <c r="Z416" s="11"/>
    </row>
    <row r="417" spans="1:26" hidden="1" x14ac:dyDescent="0.3">
      <c r="K417" s="548"/>
      <c r="L417" s="12"/>
      <c r="Z417" s="11"/>
    </row>
    <row r="418" spans="1:26" hidden="1" x14ac:dyDescent="0.3">
      <c r="A418" s="489">
        <v>150000813</v>
      </c>
      <c r="B418" s="467" t="s">
        <v>188</v>
      </c>
      <c r="C418" s="514">
        <v>65.72</v>
      </c>
      <c r="D418" s="514">
        <v>11.54</v>
      </c>
      <c r="E418" s="550">
        <v>0</v>
      </c>
      <c r="F418" s="550">
        <v>34.5</v>
      </c>
      <c r="G418" s="473"/>
      <c r="H418" s="549">
        <v>0</v>
      </c>
      <c r="I418" s="473"/>
      <c r="J418" s="549">
        <v>0</v>
      </c>
      <c r="K418" s="473">
        <v>34.409999999999997</v>
      </c>
      <c r="L418" s="549">
        <v>34.409999999999997</v>
      </c>
      <c r="M418" s="551">
        <v>133.01399261208854</v>
      </c>
      <c r="N418" s="552">
        <v>454.72824469414746</v>
      </c>
      <c r="O418" s="527">
        <v>111.75999999999999</v>
      </c>
      <c r="P418" s="527">
        <v>24.587199999999999</v>
      </c>
      <c r="Q418" s="527">
        <v>14.82303726767843</v>
      </c>
      <c r="R418" s="527">
        <v>34.409999999999997</v>
      </c>
      <c r="S418" s="527">
        <v>133.01399261208854</v>
      </c>
      <c r="T418" s="527">
        <v>106.70100314930154</v>
      </c>
      <c r="U418" s="527">
        <v>29.433011665078908</v>
      </c>
      <c r="V418" s="553">
        <v>454.72824469414741</v>
      </c>
      <c r="W418" s="529">
        <v>1.218130845684831</v>
      </c>
      <c r="Z418" s="11"/>
    </row>
    <row r="419" spans="1:26" hidden="1" x14ac:dyDescent="0.3">
      <c r="C419" s="515">
        <v>32.86</v>
      </c>
      <c r="F419" s="515">
        <v>17.25</v>
      </c>
      <c r="K419" s="548"/>
      <c r="L419" s="12"/>
      <c r="Z419" s="11"/>
    </row>
    <row r="420" spans="1:26" hidden="1" x14ac:dyDescent="0.3">
      <c r="K420" s="548"/>
      <c r="L420" s="12"/>
      <c r="Z420" s="11"/>
    </row>
    <row r="421" spans="1:26" hidden="1" x14ac:dyDescent="0.3">
      <c r="A421" s="489">
        <v>150000606</v>
      </c>
      <c r="B421" s="467" t="s">
        <v>156</v>
      </c>
      <c r="C421" s="514">
        <v>137.46</v>
      </c>
      <c r="D421" s="514">
        <v>24.87</v>
      </c>
      <c r="E421" s="550">
        <v>0</v>
      </c>
      <c r="F421" s="550">
        <v>49.47</v>
      </c>
      <c r="G421" s="473">
        <v>86.07</v>
      </c>
      <c r="H421" s="549">
        <v>86.07</v>
      </c>
      <c r="I421" s="473"/>
      <c r="J421" s="549">
        <v>0</v>
      </c>
      <c r="K421" s="473">
        <v>81.98</v>
      </c>
      <c r="L421" s="549">
        <v>81.98</v>
      </c>
      <c r="M421" s="551">
        <v>273.04747532452035</v>
      </c>
      <c r="N421" s="552">
        <v>989.12262241547819</v>
      </c>
      <c r="O421" s="527">
        <v>211.8</v>
      </c>
      <c r="P421" s="527">
        <v>46.596000000000004</v>
      </c>
      <c r="Q421" s="527">
        <v>31.2739365569042</v>
      </c>
      <c r="R421" s="527">
        <v>168.05</v>
      </c>
      <c r="S421" s="527">
        <v>273.04747532452035</v>
      </c>
      <c r="T421" s="527">
        <v>202.21253102202994</v>
      </c>
      <c r="U421" s="527">
        <v>56.142679512023875</v>
      </c>
      <c r="V421" s="553">
        <v>989.1226224154783</v>
      </c>
      <c r="W421" s="529">
        <v>1.2907772705408826</v>
      </c>
      <c r="Z421" s="11"/>
    </row>
    <row r="422" spans="1:26" hidden="1" x14ac:dyDescent="0.3">
      <c r="C422" s="515">
        <v>68.73</v>
      </c>
      <c r="F422" s="515">
        <v>24.734999999999999</v>
      </c>
      <c r="K422" s="548"/>
      <c r="L422" s="12"/>
      <c r="Z422" s="11"/>
    </row>
    <row r="423" spans="1:26" hidden="1" x14ac:dyDescent="0.3">
      <c r="K423" s="548"/>
      <c r="L423" s="12"/>
      <c r="Z423" s="11"/>
    </row>
    <row r="424" spans="1:26" hidden="1" x14ac:dyDescent="0.3">
      <c r="A424" s="489">
        <v>150000930</v>
      </c>
      <c r="B424" s="467" t="s">
        <v>172</v>
      </c>
      <c r="C424" s="514">
        <v>56.66</v>
      </c>
      <c r="D424" s="514">
        <v>11.5</v>
      </c>
      <c r="E424" s="550">
        <v>0</v>
      </c>
      <c r="F424" s="550">
        <v>24.66</v>
      </c>
      <c r="G424" s="473">
        <v>41.44</v>
      </c>
      <c r="H424" s="549">
        <v>41.44</v>
      </c>
      <c r="I424" s="473"/>
      <c r="J424" s="549">
        <v>0</v>
      </c>
      <c r="K424" s="473">
        <v>34.729999999999997</v>
      </c>
      <c r="L424" s="549">
        <v>34.729999999999997</v>
      </c>
      <c r="M424" s="551">
        <v>116.83709664479997</v>
      </c>
      <c r="N424" s="552">
        <v>434.83655715921634</v>
      </c>
      <c r="O424" s="527">
        <v>92.82</v>
      </c>
      <c r="P424" s="527">
        <v>20.420400000000001</v>
      </c>
      <c r="Q424" s="527">
        <v>15.196381231553159</v>
      </c>
      <c r="R424" s="527">
        <v>76.169999999999987</v>
      </c>
      <c r="S424" s="527">
        <v>116.83709664479997</v>
      </c>
      <c r="T424" s="527">
        <v>88.618352830334373</v>
      </c>
      <c r="U424" s="527">
        <v>24.774326452528801</v>
      </c>
      <c r="V424" s="553">
        <v>434.83655715921628</v>
      </c>
      <c r="W424" s="529">
        <v>1.3261255174114557</v>
      </c>
      <c r="Z424" s="11"/>
    </row>
    <row r="425" spans="1:26" hidden="1" x14ac:dyDescent="0.3">
      <c r="C425" s="515">
        <v>28.33</v>
      </c>
      <c r="F425" s="515">
        <v>12.33</v>
      </c>
      <c r="K425" s="548"/>
      <c r="L425" s="12"/>
      <c r="Z425" s="11"/>
    </row>
    <row r="426" spans="1:26" hidden="1" x14ac:dyDescent="0.3">
      <c r="K426" s="548"/>
      <c r="L426" s="12"/>
      <c r="Z426" s="11"/>
    </row>
    <row r="427" spans="1:26" hidden="1" x14ac:dyDescent="0.3">
      <c r="A427" s="489">
        <v>150000605</v>
      </c>
      <c r="B427" s="467" t="s">
        <v>155</v>
      </c>
      <c r="C427" s="514">
        <v>67.27</v>
      </c>
      <c r="D427" s="514">
        <v>13.82</v>
      </c>
      <c r="E427" s="550">
        <v>0</v>
      </c>
      <c r="F427" s="550">
        <v>24.66</v>
      </c>
      <c r="G427" s="473">
        <v>44.18</v>
      </c>
      <c r="H427" s="549">
        <v>44.18</v>
      </c>
      <c r="I427" s="473"/>
      <c r="J427" s="549">
        <v>0</v>
      </c>
      <c r="K427" s="473">
        <v>55.65</v>
      </c>
      <c r="L427" s="549">
        <v>55.65</v>
      </c>
      <c r="M427" s="551">
        <v>135.04501259036044</v>
      </c>
      <c r="N427" s="552">
        <v>508.76289162049147</v>
      </c>
      <c r="O427" s="527">
        <v>105.75</v>
      </c>
      <c r="P427" s="527">
        <v>23.265000000000001</v>
      </c>
      <c r="Q427" s="527">
        <v>15.85125815589816</v>
      </c>
      <c r="R427" s="527">
        <v>99.83</v>
      </c>
      <c r="S427" s="527">
        <v>135.04501259036044</v>
      </c>
      <c r="T427" s="527">
        <v>100.96305550320901</v>
      </c>
      <c r="U427" s="527">
        <v>28.05856537102386</v>
      </c>
      <c r="V427" s="553">
        <v>508.76289162049147</v>
      </c>
      <c r="W427" s="529">
        <v>1.3423822997902151</v>
      </c>
      <c r="Z427" s="11"/>
    </row>
    <row r="428" spans="1:26" hidden="1" x14ac:dyDescent="0.3">
      <c r="C428" s="515">
        <v>33.634999999999998</v>
      </c>
      <c r="F428" s="515">
        <v>12.33</v>
      </c>
      <c r="K428" s="548"/>
      <c r="L428" s="12"/>
      <c r="Z428" s="11"/>
    </row>
    <row r="429" spans="1:26" hidden="1" x14ac:dyDescent="0.3">
      <c r="Z429" s="11"/>
    </row>
    <row r="430" spans="1:26" hidden="1" x14ac:dyDescent="0.3">
      <c r="A430" s="489">
        <v>150000848</v>
      </c>
      <c r="B430" s="467" t="s">
        <v>186</v>
      </c>
      <c r="C430" s="514">
        <v>32.909999999999997</v>
      </c>
      <c r="D430" s="514">
        <v>7.69</v>
      </c>
      <c r="E430" s="550">
        <v>0</v>
      </c>
      <c r="F430" s="550">
        <v>24.66</v>
      </c>
      <c r="G430" s="473"/>
      <c r="H430" s="549">
        <v>0</v>
      </c>
      <c r="I430" s="473"/>
      <c r="J430" s="549">
        <v>0</v>
      </c>
      <c r="K430" s="473">
        <v>25.61</v>
      </c>
      <c r="L430" s="549">
        <v>25.61</v>
      </c>
      <c r="M430" s="551">
        <v>93.070599706074262</v>
      </c>
      <c r="N430" s="552">
        <v>291.47533546393913</v>
      </c>
      <c r="O430" s="527">
        <v>65.259999999999991</v>
      </c>
      <c r="P430" s="527">
        <v>14.357200000000001</v>
      </c>
      <c r="Q430" s="527">
        <v>13.169601604373989</v>
      </c>
      <c r="R430" s="527">
        <v>25.61</v>
      </c>
      <c r="S430" s="527">
        <v>93.070599706074262</v>
      </c>
      <c r="T430" s="527">
        <v>62.305900729450777</v>
      </c>
      <c r="U430" s="527">
        <v>17.702033424040156</v>
      </c>
      <c r="V430" s="553">
        <v>291.47533546393919</v>
      </c>
      <c r="W430" s="529">
        <v>1.1159086350074241</v>
      </c>
      <c r="Z430" s="11"/>
    </row>
    <row r="431" spans="1:26" hidden="1" x14ac:dyDescent="0.3">
      <c r="C431" s="515">
        <v>16.454999999999998</v>
      </c>
      <c r="F431" s="515">
        <v>12.33</v>
      </c>
      <c r="Z431" s="11"/>
    </row>
    <row r="432" spans="1:26" hidden="1" x14ac:dyDescent="0.3">
      <c r="Z432" s="11"/>
    </row>
    <row r="433" spans="1:26" hidden="1" x14ac:dyDescent="0.3">
      <c r="A433" s="489">
        <v>150001014</v>
      </c>
      <c r="B433" s="467" t="s">
        <v>166</v>
      </c>
      <c r="C433" s="514">
        <v>55.36</v>
      </c>
      <c r="D433" s="514">
        <v>9.51</v>
      </c>
      <c r="E433" s="550">
        <v>0</v>
      </c>
      <c r="F433" s="550">
        <v>28.54</v>
      </c>
      <c r="G433" s="473">
        <v>38.43</v>
      </c>
      <c r="H433" s="549">
        <v>38.43</v>
      </c>
      <c r="I433" s="473"/>
      <c r="J433" s="549">
        <v>0</v>
      </c>
      <c r="K433" s="473">
        <v>35.619999999999997</v>
      </c>
      <c r="L433" s="549">
        <v>35.619999999999997</v>
      </c>
      <c r="M433" s="551">
        <v>120.8991366013438</v>
      </c>
      <c r="N433" s="552">
        <v>437.79156550722769</v>
      </c>
      <c r="O433" s="527">
        <v>93.41</v>
      </c>
      <c r="P433" s="527">
        <v>20.5502</v>
      </c>
      <c r="Q433" s="527">
        <v>14.82248292903774</v>
      </c>
      <c r="R433" s="527">
        <v>74.05</v>
      </c>
      <c r="S433" s="527">
        <v>120.8991366013438</v>
      </c>
      <c r="T433" s="527">
        <v>89.181645527704518</v>
      </c>
      <c r="U433" s="527">
        <v>24.878100449141652</v>
      </c>
      <c r="V433" s="553">
        <v>437.79156550722769</v>
      </c>
      <c r="W433" s="529">
        <v>1.2902787076546645</v>
      </c>
      <c r="Z433" s="11"/>
    </row>
    <row r="434" spans="1:26" hidden="1" x14ac:dyDescent="0.3">
      <c r="C434" s="515">
        <v>27.68</v>
      </c>
      <c r="F434" s="515">
        <v>14.27</v>
      </c>
      <c r="Z434" s="11"/>
    </row>
    <row r="435" spans="1:26" hidden="1" x14ac:dyDescent="0.3">
      <c r="Z435" s="11"/>
    </row>
    <row r="436" spans="1:26" hidden="1" x14ac:dyDescent="0.3">
      <c r="A436" s="489">
        <v>150000614</v>
      </c>
      <c r="B436" s="467" t="s">
        <v>162</v>
      </c>
      <c r="C436" s="514">
        <v>103.84</v>
      </c>
      <c r="D436" s="514">
        <v>18.53</v>
      </c>
      <c r="E436" s="550">
        <v>0</v>
      </c>
      <c r="F436" s="550">
        <v>56.43</v>
      </c>
      <c r="G436" s="473">
        <v>70.430000000000007</v>
      </c>
      <c r="H436" s="549">
        <v>70.430000000000007</v>
      </c>
      <c r="I436" s="473"/>
      <c r="J436" s="549">
        <v>0</v>
      </c>
      <c r="K436" s="473">
        <v>57.53</v>
      </c>
      <c r="L436" s="549">
        <v>57.53</v>
      </c>
      <c r="M436" s="551">
        <v>223.1627741038067</v>
      </c>
      <c r="N436" s="552">
        <v>806.45224570507025</v>
      </c>
      <c r="O436" s="527">
        <v>178.8</v>
      </c>
      <c r="P436" s="527">
        <v>39.335999999999999</v>
      </c>
      <c r="Q436" s="527">
        <v>19.840712416120301</v>
      </c>
      <c r="R436" s="527">
        <v>127.96000000000001</v>
      </c>
      <c r="S436" s="527">
        <v>223.1627741038067</v>
      </c>
      <c r="T436" s="527">
        <v>170.70632930471652</v>
      </c>
      <c r="U436" s="527">
        <v>46.646429880426723</v>
      </c>
      <c r="V436" s="553">
        <v>806.45224570507025</v>
      </c>
      <c r="W436" s="529">
        <v>1.2876452909229927</v>
      </c>
      <c r="Z436" s="11"/>
    </row>
    <row r="437" spans="1:26" hidden="1" x14ac:dyDescent="0.3">
      <c r="C437" s="515">
        <v>51.92</v>
      </c>
      <c r="F437" s="515">
        <v>28.215</v>
      </c>
      <c r="Z437" s="11"/>
    </row>
    <row r="438" spans="1:26" hidden="1" x14ac:dyDescent="0.3">
      <c r="Z438" s="11"/>
    </row>
    <row r="439" spans="1:26" hidden="1" x14ac:dyDescent="0.3">
      <c r="A439" s="489">
        <v>150000495</v>
      </c>
      <c r="B439" s="467" t="s">
        <v>147</v>
      </c>
      <c r="C439" s="514">
        <v>70.760000000000005</v>
      </c>
      <c r="D439" s="514">
        <v>14.37</v>
      </c>
      <c r="E439" s="550">
        <v>0</v>
      </c>
      <c r="F439" s="550">
        <v>36.04</v>
      </c>
      <c r="G439" s="473">
        <v>54.68</v>
      </c>
      <c r="H439" s="549">
        <v>54.68</v>
      </c>
      <c r="I439" s="473"/>
      <c r="J439" s="549">
        <v>0</v>
      </c>
      <c r="K439" s="473">
        <v>8.69</v>
      </c>
      <c r="L439" s="549">
        <v>8.69</v>
      </c>
      <c r="M439" s="551">
        <v>146.06596836719382</v>
      </c>
      <c r="N439" s="552">
        <v>519.63374250171921</v>
      </c>
      <c r="O439" s="527">
        <v>121.17000000000002</v>
      </c>
      <c r="P439" s="527">
        <v>26.657399999999999</v>
      </c>
      <c r="Q439" s="527">
        <v>14.906981132598631</v>
      </c>
      <c r="R439" s="527">
        <v>63.37</v>
      </c>
      <c r="S439" s="527">
        <v>146.06596836719382</v>
      </c>
      <c r="T439" s="527">
        <v>115.68504430566276</v>
      </c>
      <c r="U439" s="527">
        <v>31.77834869626399</v>
      </c>
      <c r="V439" s="553">
        <v>519.63374250171921</v>
      </c>
      <c r="W439" s="529">
        <v>1.2676157941641724</v>
      </c>
      <c r="Z439" s="11"/>
    </row>
    <row r="440" spans="1:26" hidden="1" x14ac:dyDescent="0.3">
      <c r="C440" s="515">
        <v>35.380000000000003</v>
      </c>
      <c r="F440" s="515">
        <v>18.02</v>
      </c>
      <c r="Z440" s="11"/>
    </row>
    <row r="441" spans="1:26" hidden="1" x14ac:dyDescent="0.3">
      <c r="Z441" s="11"/>
    </row>
    <row r="442" spans="1:26" hidden="1" x14ac:dyDescent="0.3">
      <c r="A442" s="489">
        <v>150001049</v>
      </c>
      <c r="B442" s="467" t="s">
        <v>180</v>
      </c>
      <c r="C442" s="514">
        <v>46.09</v>
      </c>
      <c r="D442" s="514">
        <v>7.85</v>
      </c>
      <c r="E442" s="550">
        <v>0</v>
      </c>
      <c r="F442" s="550">
        <v>21.43</v>
      </c>
      <c r="G442" s="473"/>
      <c r="H442" s="549">
        <v>0</v>
      </c>
      <c r="I442" s="473"/>
      <c r="J442" s="549">
        <v>0</v>
      </c>
      <c r="K442" s="473">
        <v>25.61</v>
      </c>
      <c r="L442" s="549">
        <v>25.61</v>
      </c>
      <c r="M442" s="551">
        <v>90.39820499782175</v>
      </c>
      <c r="N442" s="552">
        <v>314.33830389814159</v>
      </c>
      <c r="O442" s="527">
        <v>75.37</v>
      </c>
      <c r="P442" s="527">
        <v>16.581399999999999</v>
      </c>
      <c r="Q442" s="527">
        <v>14.102428606103551</v>
      </c>
      <c r="R442" s="527">
        <v>25.61</v>
      </c>
      <c r="S442" s="527">
        <v>90.39820499782175</v>
      </c>
      <c r="T442" s="527">
        <v>71.958255255573164</v>
      </c>
      <c r="U442" s="527">
        <v>20.318015038643047</v>
      </c>
      <c r="V442" s="553">
        <v>314.33830389814153</v>
      </c>
      <c r="W442" s="529">
        <v>1.2390157820186896</v>
      </c>
      <c r="Z442" s="11"/>
    </row>
    <row r="443" spans="1:26" hidden="1" x14ac:dyDescent="0.3">
      <c r="C443" s="515">
        <v>23.045000000000002</v>
      </c>
      <c r="F443" s="515">
        <v>10.715</v>
      </c>
      <c r="Z443" s="11"/>
    </row>
    <row r="444" spans="1:26" hidden="1" x14ac:dyDescent="0.3">
      <c r="Z444" s="11"/>
    </row>
    <row r="445" spans="1:26" hidden="1" x14ac:dyDescent="0.3">
      <c r="A445" s="489">
        <v>150000496</v>
      </c>
      <c r="B445" s="467" t="s">
        <v>148</v>
      </c>
      <c r="C445" s="514">
        <v>70.760000000000005</v>
      </c>
      <c r="D445" s="514">
        <v>14.37</v>
      </c>
      <c r="E445" s="550">
        <v>0</v>
      </c>
      <c r="F445" s="550">
        <v>36.04</v>
      </c>
      <c r="G445" s="473">
        <v>53.58</v>
      </c>
      <c r="H445" s="549">
        <v>53.58</v>
      </c>
      <c r="I445" s="473"/>
      <c r="J445" s="549">
        <v>0</v>
      </c>
      <c r="K445" s="473">
        <v>50.66</v>
      </c>
      <c r="L445" s="549">
        <v>50.66</v>
      </c>
      <c r="M445" s="551">
        <v>143.9280526005918</v>
      </c>
      <c r="N445" s="552">
        <v>558.36582673511725</v>
      </c>
      <c r="O445" s="527">
        <v>121.17000000000002</v>
      </c>
      <c r="P445" s="527">
        <v>26.657399999999999</v>
      </c>
      <c r="Q445" s="527">
        <v>14.906981132598631</v>
      </c>
      <c r="R445" s="527">
        <v>104.24</v>
      </c>
      <c r="S445" s="527">
        <v>143.9280526005918</v>
      </c>
      <c r="T445" s="527">
        <v>115.68504430566276</v>
      </c>
      <c r="U445" s="527">
        <v>31.77834869626399</v>
      </c>
      <c r="V445" s="553">
        <v>558.36582673511714</v>
      </c>
      <c r="W445" s="529">
        <v>1.3823331437009312</v>
      </c>
      <c r="Z445" s="11"/>
    </row>
    <row r="446" spans="1:26" hidden="1" x14ac:dyDescent="0.3">
      <c r="C446" s="515">
        <v>35.380000000000003</v>
      </c>
      <c r="F446" s="515">
        <v>18.02</v>
      </c>
      <c r="Z446" s="11"/>
    </row>
    <row r="447" spans="1:26" hidden="1" x14ac:dyDescent="0.3">
      <c r="Z447" s="11"/>
    </row>
    <row r="448" spans="1:26" hidden="1" x14ac:dyDescent="0.3">
      <c r="A448" s="489">
        <v>150000932</v>
      </c>
      <c r="B448" s="467" t="s">
        <v>173</v>
      </c>
      <c r="C448" s="514">
        <v>48.14</v>
      </c>
      <c r="D448" s="514">
        <v>8.18</v>
      </c>
      <c r="E448" s="550">
        <v>0</v>
      </c>
      <c r="F448" s="550">
        <v>3.71</v>
      </c>
      <c r="G448" s="473">
        <v>40.31</v>
      </c>
      <c r="H448" s="549">
        <v>40.31</v>
      </c>
      <c r="I448" s="473"/>
      <c r="J448" s="549">
        <v>0</v>
      </c>
      <c r="K448" s="473">
        <v>68.06</v>
      </c>
      <c r="L448" s="549">
        <v>68.06</v>
      </c>
      <c r="M448" s="551">
        <v>126.24392601784884</v>
      </c>
      <c r="N448" s="552">
        <v>394.93069477578524</v>
      </c>
      <c r="O448" s="527">
        <v>60.03</v>
      </c>
      <c r="P448" s="527">
        <v>13.2066</v>
      </c>
      <c r="Q448" s="527">
        <v>13.343801079360968</v>
      </c>
      <c r="R448" s="527">
        <v>108.37</v>
      </c>
      <c r="S448" s="527">
        <v>126.24392601784884</v>
      </c>
      <c r="T448" s="527">
        <v>57.312645123949274</v>
      </c>
      <c r="U448" s="527">
        <v>16.423722554626121</v>
      </c>
      <c r="V448" s="553">
        <v>394.93069477578518</v>
      </c>
      <c r="W448" s="529">
        <v>1.1146787885288885</v>
      </c>
      <c r="Z448" s="11"/>
    </row>
    <row r="449" spans="1:26" hidden="1" x14ac:dyDescent="0.3">
      <c r="C449" s="515">
        <v>14.442</v>
      </c>
      <c r="Z449" s="11"/>
    </row>
    <row r="450" spans="1:26" hidden="1" x14ac:dyDescent="0.3">
      <c r="Z450" s="11"/>
    </row>
    <row r="451" spans="1:26" hidden="1" x14ac:dyDescent="0.3">
      <c r="A451" s="489">
        <v>150000610</v>
      </c>
      <c r="B451" s="467" t="s">
        <v>160</v>
      </c>
      <c r="C451" s="514">
        <v>105.3</v>
      </c>
      <c r="D451" s="514">
        <v>20.010000000000002</v>
      </c>
      <c r="E451" s="550">
        <v>0</v>
      </c>
      <c r="F451" s="550">
        <v>36.04</v>
      </c>
      <c r="G451" s="473">
        <v>55.63</v>
      </c>
      <c r="H451" s="549">
        <v>55.63</v>
      </c>
      <c r="I451" s="473"/>
      <c r="J451" s="549">
        <v>0</v>
      </c>
      <c r="K451" s="473">
        <v>8.6999999999999993</v>
      </c>
      <c r="L451" s="549">
        <v>8.6999999999999993</v>
      </c>
      <c r="M451" s="551">
        <v>169.32292871487937</v>
      </c>
      <c r="N451" s="552">
        <v>647.15119619418238</v>
      </c>
      <c r="O451" s="527">
        <v>161.35</v>
      </c>
      <c r="P451" s="527">
        <v>35.497</v>
      </c>
      <c r="Q451" s="527">
        <v>20.2440221478778</v>
      </c>
      <c r="R451" s="527">
        <v>64.33</v>
      </c>
      <c r="S451" s="527">
        <v>169.32292871487937</v>
      </c>
      <c r="T451" s="527">
        <v>154.04623172995531</v>
      </c>
      <c r="U451" s="527">
        <v>42.361013601469935</v>
      </c>
      <c r="V451" s="553">
        <v>647.15119619418238</v>
      </c>
      <c r="W451" s="529">
        <v>1.3618501603412929</v>
      </c>
      <c r="Z451" s="11"/>
    </row>
    <row r="452" spans="1:26" hidden="1" x14ac:dyDescent="0.3">
      <c r="C452" s="515">
        <v>31.589999999999996</v>
      </c>
      <c r="F452" s="515">
        <v>18.02</v>
      </c>
      <c r="Z452" s="11"/>
    </row>
    <row r="453" spans="1:26" hidden="1" x14ac:dyDescent="0.3">
      <c r="Z453" s="11"/>
    </row>
    <row r="454" spans="1:26" hidden="1" x14ac:dyDescent="0.3">
      <c r="A454" s="489">
        <v>150000935</v>
      </c>
      <c r="B454" s="467" t="s">
        <v>175</v>
      </c>
      <c r="C454" s="514">
        <v>61.69</v>
      </c>
      <c r="D454" s="514">
        <v>9.4600000000000009</v>
      </c>
      <c r="E454" s="550">
        <v>0</v>
      </c>
      <c r="F454" s="550">
        <v>24.25</v>
      </c>
      <c r="G454" s="473">
        <v>31.96</v>
      </c>
      <c r="H454" s="549">
        <v>31.96</v>
      </c>
      <c r="I454" s="473"/>
      <c r="J454" s="549">
        <v>0</v>
      </c>
      <c r="K454" s="473">
        <v>8.69</v>
      </c>
      <c r="L454" s="549">
        <v>8.69</v>
      </c>
      <c r="M454" s="551">
        <v>101.97858206691599</v>
      </c>
      <c r="N454" s="552">
        <v>391.00288118945588</v>
      </c>
      <c r="O454" s="527">
        <v>95.4</v>
      </c>
      <c r="P454" s="527">
        <v>20.988</v>
      </c>
      <c r="Q454" s="527">
        <v>15.459918808354711</v>
      </c>
      <c r="R454" s="527">
        <v>40.65</v>
      </c>
      <c r="S454" s="527">
        <v>101.97858206691599</v>
      </c>
      <c r="T454" s="527">
        <v>91.08156496459705</v>
      </c>
      <c r="U454" s="527">
        <v>25.444815349588147</v>
      </c>
      <c r="V454" s="553">
        <v>391.00288118945588</v>
      </c>
      <c r="W454" s="529">
        <v>1.3661875653020821</v>
      </c>
      <c r="Z454" s="11"/>
    </row>
    <row r="455" spans="1:26" hidden="1" x14ac:dyDescent="0.3">
      <c r="C455" s="515">
        <v>18.506999999999998</v>
      </c>
      <c r="F455" s="515">
        <v>12.125</v>
      </c>
      <c r="Z455" s="11"/>
    </row>
  </sheetData>
  <sortState xmlns:xlrd2="http://schemas.microsoft.com/office/spreadsheetml/2017/richdata2" ref="A3:V397">
    <sortCondition ref="A3:A397"/>
  </sortState>
  <mergeCells count="6">
    <mergeCell ref="K1:L1"/>
    <mergeCell ref="M1:M2"/>
    <mergeCell ref="N1:N2"/>
    <mergeCell ref="O1:V1"/>
    <mergeCell ref="G1:H1"/>
    <mergeCell ref="I1:J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1:F406"/>
  <sheetViews>
    <sheetView workbookViewId="0">
      <selection activeCell="Q420" sqref="Q420"/>
    </sheetView>
  </sheetViews>
  <sheetFormatPr defaultRowHeight="14.4" x14ac:dyDescent="0.3"/>
  <cols>
    <col min="1" max="1" width="17.44140625" customWidth="1"/>
    <col min="2" max="2" width="39.109375" style="190" customWidth="1"/>
    <col min="3" max="3" width="12.109375" customWidth="1"/>
    <col min="4" max="4" width="11" customWidth="1"/>
    <col min="5" max="5" width="10.5546875" customWidth="1"/>
    <col min="6" max="6" width="10.88671875" customWidth="1"/>
  </cols>
  <sheetData>
    <row r="1" spans="1:6" x14ac:dyDescent="0.3">
      <c r="B1" s="190" t="s">
        <v>0</v>
      </c>
    </row>
    <row r="2" spans="1:6" x14ac:dyDescent="0.3">
      <c r="B2" s="31" t="s">
        <v>1087</v>
      </c>
    </row>
    <row r="3" spans="1:6" x14ac:dyDescent="0.3">
      <c r="B3" s="31"/>
    </row>
    <row r="4" spans="1:6" x14ac:dyDescent="0.3">
      <c r="B4" s="208" t="s">
        <v>966</v>
      </c>
    </row>
    <row r="5" spans="1:6" x14ac:dyDescent="0.3">
      <c r="B5" s="208" t="s">
        <v>967</v>
      </c>
    </row>
    <row r="6" spans="1:6" ht="15" thickBot="1" x14ac:dyDescent="0.35"/>
    <row r="7" spans="1:6" x14ac:dyDescent="0.3">
      <c r="B7" s="1395" t="s">
        <v>1</v>
      </c>
      <c r="C7" s="1387" t="s">
        <v>978</v>
      </c>
      <c r="D7" s="1388"/>
      <c r="E7" s="1388"/>
      <c r="F7" s="1389"/>
    </row>
    <row r="8" spans="1:6" x14ac:dyDescent="0.3">
      <c r="B8" s="1396"/>
      <c r="C8" s="29" t="s">
        <v>979</v>
      </c>
      <c r="D8" s="29" t="s">
        <v>980</v>
      </c>
      <c r="E8" s="29" t="s">
        <v>981</v>
      </c>
      <c r="F8" s="29" t="s">
        <v>982</v>
      </c>
    </row>
    <row r="9" spans="1:6" x14ac:dyDescent="0.3">
      <c r="A9" s="318">
        <v>150001053</v>
      </c>
      <c r="B9" s="250" t="s">
        <v>146</v>
      </c>
      <c r="C9" s="29">
        <f>VLOOKUP($A9,'зарплата в цінах'!$A$2:$F$397,3)</f>
        <v>69.87</v>
      </c>
      <c r="D9" s="29">
        <f>VLOOKUP($A9,'зарплата в цінах'!$A$2:$F$397,4)</f>
        <v>11.58</v>
      </c>
      <c r="E9" s="29">
        <f>VLOOKUP($A9,'зарплата в цінах'!$A$2:$F$397,5)</f>
        <v>0</v>
      </c>
      <c r="F9" s="29">
        <f>VLOOKUP($A9,'зарплата в цінах'!$A$2:$F$397,6)</f>
        <v>10.96</v>
      </c>
    </row>
    <row r="10" spans="1:6" x14ac:dyDescent="0.3">
      <c r="A10" s="318">
        <v>150000753</v>
      </c>
      <c r="B10" s="250" t="s">
        <v>239</v>
      </c>
      <c r="C10" s="29">
        <f>VLOOKUP($A10,'зарплата в цінах'!$A$2:$F$397,3)</f>
        <v>235.02</v>
      </c>
      <c r="D10" s="29">
        <f>VLOOKUP($A10,'зарплата в цінах'!$A$2:$F$397,4)</f>
        <v>56.22</v>
      </c>
      <c r="E10" s="29">
        <f>VLOOKUP($A10,'зарплата в цінах'!$A$2:$F$397,5)</f>
        <v>0</v>
      </c>
      <c r="F10" s="29">
        <f>VLOOKUP($A10,'зарплата в цінах'!$A$2:$F$397,6)</f>
        <v>145.88999999999999</v>
      </c>
    </row>
    <row r="11" spans="1:6" x14ac:dyDescent="0.3">
      <c r="A11" s="318">
        <v>150000754</v>
      </c>
      <c r="B11" s="250" t="s">
        <v>240</v>
      </c>
      <c r="C11" s="29">
        <f>VLOOKUP($A11,'зарплата в цінах'!$A$2:$F$397,3)</f>
        <v>348.71</v>
      </c>
      <c r="D11" s="29">
        <f>VLOOKUP($A11,'зарплата в цінах'!$A$2:$F$397,4)</f>
        <v>66.790000000000006</v>
      </c>
      <c r="E11" s="29">
        <f>VLOOKUP($A11,'зарплата в цінах'!$A$2:$F$397,5)</f>
        <v>23.98</v>
      </c>
      <c r="F11" s="29">
        <f>VLOOKUP($A11,'зарплата в цінах'!$A$2:$F$397,6)</f>
        <v>210.13</v>
      </c>
    </row>
    <row r="12" spans="1:6" x14ac:dyDescent="0.3">
      <c r="A12" s="318">
        <v>150000702</v>
      </c>
      <c r="B12" s="250" t="s">
        <v>338</v>
      </c>
      <c r="C12" s="29">
        <f>VLOOKUP($A12,'зарплата в цінах'!$A$2:$F$397,3)</f>
        <v>740</v>
      </c>
      <c r="D12" s="29">
        <f>VLOOKUP($A12,'зарплата в цінах'!$A$2:$F$397,4)</f>
        <v>140.21</v>
      </c>
      <c r="E12" s="29">
        <f>VLOOKUP($A12,'зарплата в цінах'!$A$2:$F$397,5)</f>
        <v>39.56</v>
      </c>
      <c r="F12" s="29">
        <f>VLOOKUP($A12,'зарплата в цінах'!$A$2:$F$397,6)</f>
        <v>395.7</v>
      </c>
    </row>
    <row r="13" spans="1:6" x14ac:dyDescent="0.3">
      <c r="A13" s="318">
        <v>150000703</v>
      </c>
      <c r="B13" s="250" t="s">
        <v>339</v>
      </c>
      <c r="C13" s="29">
        <f>VLOOKUP($A13,'зарплата в цінах'!$A$2:$F$397,3)</f>
        <v>729.53</v>
      </c>
      <c r="D13" s="29">
        <f>VLOOKUP($A13,'зарплата в цінах'!$A$2:$F$397,4)</f>
        <v>138.5</v>
      </c>
      <c r="E13" s="29">
        <f>VLOOKUP($A13,'зарплата в цінах'!$A$2:$F$397,5)</f>
        <v>39.56</v>
      </c>
      <c r="F13" s="29">
        <f>VLOOKUP($A13,'зарплата в цінах'!$A$2:$F$397,6)</f>
        <v>455.64</v>
      </c>
    </row>
    <row r="14" spans="1:6" x14ac:dyDescent="0.3">
      <c r="A14" s="318">
        <v>150000781</v>
      </c>
      <c r="B14" s="424" t="s">
        <v>33</v>
      </c>
      <c r="C14" s="29">
        <f>VLOOKUP($A14,'зарплата в цінах'!$A$2:$F$397,3)</f>
        <v>0</v>
      </c>
      <c r="D14" s="29">
        <f>VLOOKUP($A14,'зарплата в цінах'!$A$2:$F$397,4)</f>
        <v>0</v>
      </c>
      <c r="E14" s="29">
        <f>VLOOKUP($A14,'зарплата в цінах'!$A$2:$F$397,5)</f>
        <v>0</v>
      </c>
      <c r="F14" s="29">
        <f>VLOOKUP($A14,'зарплата в цінах'!$A$2:$F$397,6)</f>
        <v>0</v>
      </c>
    </row>
    <row r="15" spans="1:6" x14ac:dyDescent="0.3">
      <c r="A15" s="318">
        <v>150000488</v>
      </c>
      <c r="B15" s="424" t="s">
        <v>34</v>
      </c>
      <c r="C15" s="29">
        <f>VLOOKUP($A15,'зарплата в цінах'!$A$2:$F$397,3)</f>
        <v>0</v>
      </c>
      <c r="D15" s="29">
        <f>VLOOKUP($A15,'зарплата в цінах'!$A$2:$F$397,4)</f>
        <v>0</v>
      </c>
      <c r="E15" s="29">
        <f>VLOOKUP($A15,'зарплата в цінах'!$A$2:$F$397,5)</f>
        <v>0</v>
      </c>
      <c r="F15" s="29">
        <f>VLOOKUP($A15,'зарплата в цінах'!$A$2:$F$397,6)</f>
        <v>0</v>
      </c>
    </row>
    <row r="16" spans="1:6" x14ac:dyDescent="0.3">
      <c r="A16" s="318">
        <v>150000492</v>
      </c>
      <c r="B16" s="424" t="s">
        <v>35</v>
      </c>
      <c r="C16" s="29">
        <f>VLOOKUP($A16,'зарплата в цінах'!$A$2:$F$397,3)</f>
        <v>0</v>
      </c>
      <c r="D16" s="29">
        <f>VLOOKUP($A16,'зарплата в цінах'!$A$2:$F$397,4)</f>
        <v>0</v>
      </c>
      <c r="E16" s="29">
        <f>VLOOKUP($A16,'зарплата в цінах'!$A$2:$F$397,5)</f>
        <v>0</v>
      </c>
      <c r="F16" s="29">
        <f>VLOOKUP($A16,'зарплата в цінах'!$A$2:$F$397,6)</f>
        <v>0</v>
      </c>
    </row>
    <row r="17" spans="1:6" x14ac:dyDescent="0.3">
      <c r="A17" s="318">
        <v>150000490</v>
      </c>
      <c r="B17" s="424" t="s">
        <v>36</v>
      </c>
      <c r="C17" s="29">
        <f>VLOOKUP($A17,'зарплата в цінах'!$A$2:$F$397,3)</f>
        <v>0</v>
      </c>
      <c r="D17" s="29">
        <f>VLOOKUP($A17,'зарплата в цінах'!$A$2:$F$397,4)</f>
        <v>0</v>
      </c>
      <c r="E17" s="29">
        <f>VLOOKUP($A17,'зарплата в цінах'!$A$2:$F$397,5)</f>
        <v>0</v>
      </c>
      <c r="F17" s="29">
        <f>VLOOKUP($A17,'зарплата в цінах'!$A$2:$F$397,6)</f>
        <v>0</v>
      </c>
    </row>
    <row r="18" spans="1:6" x14ac:dyDescent="0.3">
      <c r="A18" s="318">
        <v>150000497</v>
      </c>
      <c r="B18" s="250" t="s">
        <v>340</v>
      </c>
      <c r="C18" s="29">
        <f>VLOOKUP($A18,'зарплата в цінах'!$A$2:$F$397,3)</f>
        <v>510.4</v>
      </c>
      <c r="D18" s="29">
        <f>VLOOKUP($A18,'зарплата в цінах'!$A$2:$F$397,4)</f>
        <v>77.11</v>
      </c>
      <c r="E18" s="29">
        <f>VLOOKUP($A18,'зарплата в цінах'!$A$2:$F$397,5)</f>
        <v>26.37</v>
      </c>
      <c r="F18" s="29">
        <f>VLOOKUP($A18,'зарплата в цінах'!$A$2:$F$397,6)</f>
        <v>143.61000000000001</v>
      </c>
    </row>
    <row r="19" spans="1:6" x14ac:dyDescent="0.3">
      <c r="A19" s="318">
        <v>150000495</v>
      </c>
      <c r="B19" s="250" t="s">
        <v>147</v>
      </c>
      <c r="C19" s="29">
        <f>VLOOKUP($A19,'зарплата в цінах'!$A$2:$F$397,3)</f>
        <v>35.380000000000003</v>
      </c>
      <c r="D19" s="29">
        <f>VLOOKUP($A19,'зарплата в цінах'!$A$2:$F$397,4)</f>
        <v>14.37</v>
      </c>
      <c r="E19" s="29">
        <f>VLOOKUP($A19,'зарплата в цінах'!$A$2:$F$397,5)</f>
        <v>0</v>
      </c>
      <c r="F19" s="29">
        <f>VLOOKUP($A19,'зарплата в цінах'!$A$2:$F$397,6)</f>
        <v>18.02</v>
      </c>
    </row>
    <row r="20" spans="1:6" x14ac:dyDescent="0.3">
      <c r="A20" s="318">
        <v>150000496</v>
      </c>
      <c r="B20" s="250" t="s">
        <v>148</v>
      </c>
      <c r="C20" s="29">
        <f>VLOOKUP($A20,'зарплата в цінах'!$A$2:$F$397,3)</f>
        <v>35.380000000000003</v>
      </c>
      <c r="D20" s="29">
        <f>VLOOKUP($A20,'зарплата в цінах'!$A$2:$F$397,4)</f>
        <v>14.37</v>
      </c>
      <c r="E20" s="29">
        <f>VLOOKUP($A20,'зарплата в цінах'!$A$2:$F$397,5)</f>
        <v>0</v>
      </c>
      <c r="F20" s="29">
        <f>VLOOKUP($A20,'зарплата в цінах'!$A$2:$F$397,6)</f>
        <v>18.02</v>
      </c>
    </row>
    <row r="21" spans="1:6" x14ac:dyDescent="0.3">
      <c r="A21" s="318">
        <v>150000498</v>
      </c>
      <c r="B21" s="250" t="s">
        <v>241</v>
      </c>
      <c r="C21" s="29">
        <f>VLOOKUP($A21,'зарплата в цінах'!$A$2:$F$397,3)</f>
        <v>548.30999999999995</v>
      </c>
      <c r="D21" s="29">
        <f>VLOOKUP($A21,'зарплата в цінах'!$A$2:$F$397,4)</f>
        <v>115.41</v>
      </c>
      <c r="E21" s="29">
        <f>VLOOKUP($A21,'зарплата в цінах'!$A$2:$F$397,5)</f>
        <v>0</v>
      </c>
      <c r="F21" s="29">
        <f>VLOOKUP($A21,'зарплата в цінах'!$A$2:$F$397,6)</f>
        <v>448.07</v>
      </c>
    </row>
    <row r="22" spans="1:6" x14ac:dyDescent="0.3">
      <c r="A22" s="318">
        <v>150000969</v>
      </c>
      <c r="B22" s="250" t="s">
        <v>192</v>
      </c>
      <c r="C22" s="29">
        <f>VLOOKUP($A22,'зарплата в цінах'!$A$2:$F$397,3)</f>
        <v>124.19</v>
      </c>
      <c r="D22" s="29">
        <f>VLOOKUP($A22,'зарплата в цінах'!$A$2:$F$397,4)</f>
        <v>25.65</v>
      </c>
      <c r="E22" s="29">
        <f>VLOOKUP($A22,'зарплата в цінах'!$A$2:$F$397,5)</f>
        <v>0</v>
      </c>
      <c r="F22" s="29">
        <f>VLOOKUP($A22,'зарплата в цінах'!$A$2:$F$397,6)</f>
        <v>63.99</v>
      </c>
    </row>
    <row r="23" spans="1:6" x14ac:dyDescent="0.3">
      <c r="A23" s="318">
        <v>150000989</v>
      </c>
      <c r="B23" s="424" t="s">
        <v>37</v>
      </c>
      <c r="C23" s="29">
        <f>VLOOKUP($A23,'зарплата в цінах'!$A$2:$F$397,3)</f>
        <v>0</v>
      </c>
      <c r="D23" s="29">
        <f>VLOOKUP($A23,'зарплата в цінах'!$A$2:$F$397,4)</f>
        <v>0</v>
      </c>
      <c r="E23" s="29">
        <f>VLOOKUP($A23,'зарплата в цінах'!$A$2:$F$397,5)</f>
        <v>0</v>
      </c>
      <c r="F23" s="29">
        <f>VLOOKUP($A23,'зарплата в цінах'!$A$2:$F$397,6)</f>
        <v>0</v>
      </c>
    </row>
    <row r="24" spans="1:6" x14ac:dyDescent="0.3">
      <c r="A24" s="318">
        <v>150000970</v>
      </c>
      <c r="B24" s="250" t="s">
        <v>242</v>
      </c>
      <c r="C24" s="29">
        <f>VLOOKUP($A24,'зарплата в цінах'!$A$2:$F$397,3)</f>
        <v>290.63</v>
      </c>
      <c r="D24" s="29">
        <f>VLOOKUP($A24,'зарплата в цінах'!$A$2:$F$397,4)</f>
        <v>57.37</v>
      </c>
      <c r="E24" s="29">
        <f>VLOOKUP($A24,'зарплата в цінах'!$A$2:$F$397,5)</f>
        <v>0</v>
      </c>
      <c r="F24" s="29">
        <f>VLOOKUP($A24,'зарплата в цінах'!$A$2:$F$397,6)</f>
        <v>163.6</v>
      </c>
    </row>
    <row r="25" spans="1:6" x14ac:dyDescent="0.3">
      <c r="A25" s="318">
        <v>150000971</v>
      </c>
      <c r="B25" s="250" t="s">
        <v>193</v>
      </c>
      <c r="C25" s="29">
        <f>VLOOKUP($A25,'зарплата в цінах'!$A$2:$F$397,3)</f>
        <v>195.62</v>
      </c>
      <c r="D25" s="29">
        <f>VLOOKUP($A25,'зарплата в цінах'!$A$2:$F$397,4)</f>
        <v>39.97</v>
      </c>
      <c r="E25" s="29">
        <f>VLOOKUP($A25,'зарплата в цінах'!$A$2:$F$397,5)</f>
        <v>0</v>
      </c>
      <c r="F25" s="29">
        <f>VLOOKUP($A25,'зарплата в цінах'!$A$2:$F$397,6)</f>
        <v>127.43</v>
      </c>
    </row>
    <row r="26" spans="1:6" x14ac:dyDescent="0.3">
      <c r="A26" s="318">
        <v>150000991</v>
      </c>
      <c r="B26" s="250" t="s">
        <v>341</v>
      </c>
      <c r="C26" s="29">
        <f>VLOOKUP($A26,'зарплата в цінах'!$A$2:$F$397,3)</f>
        <v>396.35</v>
      </c>
      <c r="D26" s="29">
        <f>VLOOKUP($A26,'зарплата в цінах'!$A$2:$F$397,4)</f>
        <v>62.11</v>
      </c>
      <c r="E26" s="29">
        <f>VLOOKUP($A26,'зарплата в цінах'!$A$2:$F$397,5)</f>
        <v>26.37</v>
      </c>
      <c r="F26" s="29">
        <f>VLOOKUP($A26,'зарплата в цінах'!$A$2:$F$397,6)</f>
        <v>239.18</v>
      </c>
    </row>
    <row r="27" spans="1:6" x14ac:dyDescent="0.3">
      <c r="A27" s="318">
        <v>150000992</v>
      </c>
      <c r="B27" s="424" t="s">
        <v>39</v>
      </c>
      <c r="C27" s="29">
        <f>VLOOKUP($A27,'зарплата в цінах'!$A$2:$F$397,3)</f>
        <v>0</v>
      </c>
      <c r="D27" s="29">
        <f>VLOOKUP($A27,'зарплата в цінах'!$A$2:$F$397,4)</f>
        <v>0</v>
      </c>
      <c r="E27" s="29">
        <f>VLOOKUP($A27,'зарплата в цінах'!$A$2:$F$397,5)</f>
        <v>0</v>
      </c>
      <c r="F27" s="29">
        <f>VLOOKUP($A27,'зарплата в цінах'!$A$2:$F$397,6)</f>
        <v>0</v>
      </c>
    </row>
    <row r="28" spans="1:6" x14ac:dyDescent="0.3">
      <c r="A28" s="318">
        <v>150000999</v>
      </c>
      <c r="B28" s="424" t="s">
        <v>40</v>
      </c>
      <c r="C28" s="29">
        <f>VLOOKUP($A28,'зарплата в цінах'!$A$2:$F$397,3)</f>
        <v>0</v>
      </c>
      <c r="D28" s="29">
        <f>VLOOKUP($A28,'зарплата в цінах'!$A$2:$F$397,4)</f>
        <v>0</v>
      </c>
      <c r="E28" s="29">
        <f>VLOOKUP($A28,'зарплата в цінах'!$A$2:$F$397,5)</f>
        <v>0</v>
      </c>
      <c r="F28" s="29">
        <f>VLOOKUP($A28,'зарплата в цінах'!$A$2:$F$397,6)</f>
        <v>0</v>
      </c>
    </row>
    <row r="29" spans="1:6" x14ac:dyDescent="0.3">
      <c r="A29" s="318">
        <v>150000993</v>
      </c>
      <c r="B29" s="424" t="s">
        <v>41</v>
      </c>
      <c r="C29" s="29">
        <f>VLOOKUP($A29,'зарплата в цінах'!$A$2:$F$397,3)</f>
        <v>0</v>
      </c>
      <c r="D29" s="29">
        <f>VLOOKUP($A29,'зарплата в цінах'!$A$2:$F$397,4)</f>
        <v>0</v>
      </c>
      <c r="E29" s="29">
        <f>VLOOKUP($A29,'зарплата в цінах'!$A$2:$F$397,5)</f>
        <v>0</v>
      </c>
      <c r="F29" s="29">
        <f>VLOOKUP($A29,'зарплата в цінах'!$A$2:$F$397,6)</f>
        <v>0</v>
      </c>
    </row>
    <row r="30" spans="1:6" x14ac:dyDescent="0.3">
      <c r="A30" s="318">
        <v>150001000</v>
      </c>
      <c r="B30" s="424" t="s">
        <v>42</v>
      </c>
      <c r="C30" s="29">
        <f>VLOOKUP($A30,'зарплата в цінах'!$A$2:$F$397,3)</f>
        <v>0</v>
      </c>
      <c r="D30" s="29">
        <f>VLOOKUP($A30,'зарплата в цінах'!$A$2:$F$397,4)</f>
        <v>0</v>
      </c>
      <c r="E30" s="29">
        <f>VLOOKUP($A30,'зарплата в цінах'!$A$2:$F$397,5)</f>
        <v>0</v>
      </c>
      <c r="F30" s="29">
        <f>VLOOKUP($A30,'зарплата в цінах'!$A$2:$F$397,6)</f>
        <v>0</v>
      </c>
    </row>
    <row r="31" spans="1:6" x14ac:dyDescent="0.3">
      <c r="A31" s="318">
        <v>150001004</v>
      </c>
      <c r="B31" s="424" t="s">
        <v>43</v>
      </c>
      <c r="C31" s="29">
        <f>VLOOKUP($A31,'зарплата в цінах'!$A$2:$F$397,3)</f>
        <v>0</v>
      </c>
      <c r="D31" s="29">
        <f>VLOOKUP($A31,'зарплата в цінах'!$A$2:$F$397,4)</f>
        <v>0</v>
      </c>
      <c r="E31" s="29">
        <f>VLOOKUP($A31,'зарплата в цінах'!$A$2:$F$397,5)</f>
        <v>0</v>
      </c>
      <c r="F31" s="29">
        <f>VLOOKUP($A31,'зарплата в цінах'!$A$2:$F$397,6)</f>
        <v>0</v>
      </c>
    </row>
    <row r="32" spans="1:6" x14ac:dyDescent="0.3">
      <c r="A32" s="318">
        <v>150000994</v>
      </c>
      <c r="B32" s="424" t="s">
        <v>44</v>
      </c>
      <c r="C32" s="29">
        <f>VLOOKUP($A32,'зарплата в цінах'!$A$2:$F$397,3)</f>
        <v>0</v>
      </c>
      <c r="D32" s="29">
        <f>VLOOKUP($A32,'зарплата в цінах'!$A$2:$F$397,4)</f>
        <v>0</v>
      </c>
      <c r="E32" s="29">
        <f>VLOOKUP($A32,'зарплата в цінах'!$A$2:$F$397,5)</f>
        <v>0</v>
      </c>
      <c r="F32" s="29">
        <f>VLOOKUP($A32,'зарплата в цінах'!$A$2:$F$397,6)</f>
        <v>0</v>
      </c>
    </row>
    <row r="33" spans="1:6" x14ac:dyDescent="0.3">
      <c r="A33" s="318">
        <v>150001001</v>
      </c>
      <c r="B33" s="424" t="s">
        <v>45</v>
      </c>
      <c r="C33" s="29">
        <f>VLOOKUP($A33,'зарплата в цінах'!$A$2:$F$397,3)</f>
        <v>0</v>
      </c>
      <c r="D33" s="29">
        <f>VLOOKUP($A33,'зарплата в цінах'!$A$2:$F$397,4)</f>
        <v>0</v>
      </c>
      <c r="E33" s="29">
        <f>VLOOKUP($A33,'зарплата в цінах'!$A$2:$F$397,5)</f>
        <v>0</v>
      </c>
      <c r="F33" s="29">
        <f>VLOOKUP($A33,'зарплата в цінах'!$A$2:$F$397,6)</f>
        <v>0</v>
      </c>
    </row>
    <row r="34" spans="1:6" x14ac:dyDescent="0.3">
      <c r="A34" s="318">
        <v>150001005</v>
      </c>
      <c r="B34" s="424" t="s">
        <v>46</v>
      </c>
      <c r="C34" s="29">
        <f>VLOOKUP($A34,'зарплата в цінах'!$A$2:$F$397,3)</f>
        <v>0</v>
      </c>
      <c r="D34" s="29">
        <f>VLOOKUP($A34,'зарплата в цінах'!$A$2:$F$397,4)</f>
        <v>0</v>
      </c>
      <c r="E34" s="29">
        <f>VLOOKUP($A34,'зарплата в цінах'!$A$2:$F$397,5)</f>
        <v>0</v>
      </c>
      <c r="F34" s="29">
        <f>VLOOKUP($A34,'зарплата в цінах'!$A$2:$F$397,6)</f>
        <v>0</v>
      </c>
    </row>
    <row r="35" spans="1:6" x14ac:dyDescent="0.3">
      <c r="A35" s="318">
        <v>150000995</v>
      </c>
      <c r="B35" s="424" t="s">
        <v>47</v>
      </c>
      <c r="C35" s="29">
        <f>VLOOKUP($A35,'зарплата в цінах'!$A$2:$F$397,3)</f>
        <v>0</v>
      </c>
      <c r="D35" s="29">
        <f>VLOOKUP($A35,'зарплата в цінах'!$A$2:$F$397,4)</f>
        <v>0</v>
      </c>
      <c r="E35" s="29">
        <f>VLOOKUP($A35,'зарплата в цінах'!$A$2:$F$397,5)</f>
        <v>0</v>
      </c>
      <c r="F35" s="29">
        <f>VLOOKUP($A35,'зарплата в цінах'!$A$2:$F$397,6)</f>
        <v>0</v>
      </c>
    </row>
    <row r="36" spans="1:6" x14ac:dyDescent="0.3">
      <c r="A36" s="318">
        <v>150001002</v>
      </c>
      <c r="B36" s="424" t="s">
        <v>48</v>
      </c>
      <c r="C36" s="29">
        <f>VLOOKUP($A36,'зарплата в цінах'!$A$2:$F$397,3)</f>
        <v>0</v>
      </c>
      <c r="D36" s="29">
        <f>VLOOKUP($A36,'зарплата в цінах'!$A$2:$F$397,4)</f>
        <v>0</v>
      </c>
      <c r="E36" s="29">
        <f>VLOOKUP($A36,'зарплата в цінах'!$A$2:$F$397,5)</f>
        <v>0</v>
      </c>
      <c r="F36" s="29">
        <f>VLOOKUP($A36,'зарплата в цінах'!$A$2:$F$397,6)</f>
        <v>0</v>
      </c>
    </row>
    <row r="37" spans="1:6" x14ac:dyDescent="0.3">
      <c r="A37" s="318">
        <v>150000972</v>
      </c>
      <c r="B37" s="250" t="s">
        <v>201</v>
      </c>
      <c r="C37" s="29">
        <f>VLOOKUP($A37,'зарплата в цінах'!$A$2:$F$397,3)</f>
        <v>280.60000000000002</v>
      </c>
      <c r="D37" s="29">
        <f>VLOOKUP($A37,'зарплата в цінах'!$A$2:$F$397,4)</f>
        <v>46.43</v>
      </c>
      <c r="E37" s="29">
        <f>VLOOKUP($A37,'зарплата в цінах'!$A$2:$F$397,5)</f>
        <v>0</v>
      </c>
      <c r="F37" s="29">
        <f>VLOOKUP($A37,'зарплата в цінах'!$A$2:$F$397,6)</f>
        <v>146.46</v>
      </c>
    </row>
    <row r="38" spans="1:6" x14ac:dyDescent="0.3">
      <c r="A38" s="318">
        <v>150000973</v>
      </c>
      <c r="B38" s="424" t="s">
        <v>49</v>
      </c>
      <c r="C38" s="29">
        <f>VLOOKUP($A38,'зарплата в цінах'!$A$2:$F$397,3)</f>
        <v>0</v>
      </c>
      <c r="D38" s="29">
        <f>VLOOKUP($A38,'зарплата в цінах'!$A$2:$F$397,4)</f>
        <v>0</v>
      </c>
      <c r="E38" s="29">
        <f>VLOOKUP($A38,'зарплата в цінах'!$A$2:$F$397,5)</f>
        <v>0</v>
      </c>
      <c r="F38" s="29">
        <f>VLOOKUP($A38,'зарплата в цінах'!$A$2:$F$397,6)</f>
        <v>0</v>
      </c>
    </row>
    <row r="39" spans="1:6" x14ac:dyDescent="0.3">
      <c r="A39" s="318">
        <v>150000974</v>
      </c>
      <c r="B39" s="250" t="s">
        <v>202</v>
      </c>
      <c r="C39" s="29">
        <f>VLOOKUP($A39,'зарплата в цінах'!$A$2:$F$397,3)</f>
        <v>217.46</v>
      </c>
      <c r="D39" s="29">
        <f>VLOOKUP($A39,'зарплата в цінах'!$A$2:$F$397,4)</f>
        <v>31.84</v>
      </c>
      <c r="E39" s="29">
        <f>VLOOKUP($A39,'зарплата в цінах'!$A$2:$F$397,5)</f>
        <v>0</v>
      </c>
      <c r="F39" s="29">
        <f>VLOOKUP($A39,'зарплата в цінах'!$A$2:$F$397,6)</f>
        <v>139.05000000000001</v>
      </c>
    </row>
    <row r="40" spans="1:6" x14ac:dyDescent="0.3">
      <c r="A40" s="318">
        <v>150000975</v>
      </c>
      <c r="B40" s="250" t="s">
        <v>203</v>
      </c>
      <c r="C40" s="29">
        <f>VLOOKUP($A40,'зарплата в цінах'!$A$2:$F$397,3)</f>
        <v>326.98</v>
      </c>
      <c r="D40" s="29">
        <f>VLOOKUP($A40,'зарплата в цінах'!$A$2:$F$397,4)</f>
        <v>65.55</v>
      </c>
      <c r="E40" s="29">
        <f>VLOOKUP($A40,'зарплата в цінах'!$A$2:$F$397,5)</f>
        <v>0</v>
      </c>
      <c r="F40" s="29">
        <f>VLOOKUP($A40,'зарплата в цінах'!$A$2:$F$397,6)</f>
        <v>253.19</v>
      </c>
    </row>
    <row r="41" spans="1:6" x14ac:dyDescent="0.3">
      <c r="A41" s="318">
        <v>150000976</v>
      </c>
      <c r="B41" s="250" t="s">
        <v>149</v>
      </c>
      <c r="C41" s="29">
        <f>VLOOKUP($A41,'зарплата в цінах'!$A$2:$F$397,3)</f>
        <v>150.19</v>
      </c>
      <c r="D41" s="29">
        <f>VLOOKUP($A41,'зарплата в цінах'!$A$2:$F$397,4)</f>
        <v>28.03</v>
      </c>
      <c r="E41" s="29">
        <f>VLOOKUP($A41,'зарплата в цінах'!$A$2:$F$397,5)</f>
        <v>0</v>
      </c>
      <c r="F41" s="29">
        <f>VLOOKUP($A41,'зарплата в цінах'!$A$2:$F$397,6)</f>
        <v>48.74</v>
      </c>
    </row>
    <row r="42" spans="1:6" x14ac:dyDescent="0.3">
      <c r="A42" s="318">
        <v>150000977</v>
      </c>
      <c r="B42" s="250" t="s">
        <v>150</v>
      </c>
      <c r="C42" s="29">
        <f>VLOOKUP($A42,'зарплата в цінах'!$A$2:$F$397,3)</f>
        <v>144.37</v>
      </c>
      <c r="D42" s="29">
        <f>VLOOKUP($A42,'зарплата в цінах'!$A$2:$F$397,4)</f>
        <v>28.03</v>
      </c>
      <c r="E42" s="29">
        <f>VLOOKUP($A42,'зарплата в цінах'!$A$2:$F$397,5)</f>
        <v>0</v>
      </c>
      <c r="F42" s="29">
        <f>VLOOKUP($A42,'зарплата в цінах'!$A$2:$F$397,6)</f>
        <v>48.74</v>
      </c>
    </row>
    <row r="43" spans="1:6" x14ac:dyDescent="0.3">
      <c r="A43" s="318">
        <v>150000978</v>
      </c>
      <c r="B43" s="250" t="s">
        <v>243</v>
      </c>
      <c r="C43" s="29">
        <f>VLOOKUP($A43,'зарплата в цінах'!$A$2:$F$397,3)</f>
        <v>203.73</v>
      </c>
      <c r="D43" s="29">
        <f>VLOOKUP($A43,'зарплата в цінах'!$A$2:$F$397,4)</f>
        <v>35.44</v>
      </c>
      <c r="E43" s="29">
        <f>VLOOKUP($A43,'зарплата в цінах'!$A$2:$F$397,5)</f>
        <v>0</v>
      </c>
      <c r="F43" s="29">
        <f>VLOOKUP($A43,'зарплата в цінах'!$A$2:$F$397,6)</f>
        <v>94.96</v>
      </c>
    </row>
    <row r="44" spans="1:6" x14ac:dyDescent="0.3">
      <c r="A44" s="318">
        <v>150000966</v>
      </c>
      <c r="B44" s="250" t="s">
        <v>204</v>
      </c>
      <c r="C44" s="29">
        <f>VLOOKUP($A44,'зарплата в цінах'!$A$2:$F$397,3)</f>
        <v>147.58000000000001</v>
      </c>
      <c r="D44" s="29">
        <f>VLOOKUP($A44,'зарплата в цінах'!$A$2:$F$397,4)</f>
        <v>30.47</v>
      </c>
      <c r="E44" s="29">
        <f>VLOOKUP($A44,'зарплата в цінах'!$A$2:$F$397,5)</f>
        <v>0</v>
      </c>
      <c r="F44" s="29">
        <f>VLOOKUP($A44,'зарплата в цінах'!$A$2:$F$397,6)</f>
        <v>86.37</v>
      </c>
    </row>
    <row r="45" spans="1:6" x14ac:dyDescent="0.3">
      <c r="A45" s="318">
        <v>150000967</v>
      </c>
      <c r="B45" s="250" t="s">
        <v>205</v>
      </c>
      <c r="C45" s="29">
        <f>VLOOKUP($A45,'зарплата в цінах'!$A$2:$F$397,3)</f>
        <v>173.15</v>
      </c>
      <c r="D45" s="29">
        <f>VLOOKUP($A45,'зарплата в цінах'!$A$2:$F$397,4)</f>
        <v>31.46</v>
      </c>
      <c r="E45" s="29">
        <f>VLOOKUP($A45,'зарплата в цінах'!$A$2:$F$397,5)</f>
        <v>0</v>
      </c>
      <c r="F45" s="29">
        <f>VLOOKUP($A45,'зарплата в цінах'!$A$2:$F$397,6)</f>
        <v>88.65</v>
      </c>
    </row>
    <row r="46" spans="1:6" x14ac:dyDescent="0.3">
      <c r="A46" s="318">
        <v>150000968</v>
      </c>
      <c r="B46" s="250" t="s">
        <v>244</v>
      </c>
      <c r="C46" s="29">
        <f>VLOOKUP($A46,'зарплата в цінах'!$A$2:$F$397,3)</f>
        <v>203.73</v>
      </c>
      <c r="D46" s="29">
        <f>VLOOKUP($A46,'зарплата в цінах'!$A$2:$F$397,4)</f>
        <v>35.44</v>
      </c>
      <c r="E46" s="29">
        <f>VLOOKUP($A46,'зарплата в цінах'!$A$2:$F$397,5)</f>
        <v>0</v>
      </c>
      <c r="F46" s="29">
        <f>VLOOKUP($A46,'зарплата в цінах'!$A$2:$F$397,6)</f>
        <v>108.5</v>
      </c>
    </row>
    <row r="47" spans="1:6" x14ac:dyDescent="0.3">
      <c r="A47" s="318">
        <v>150000981</v>
      </c>
      <c r="B47" s="250" t="s">
        <v>342</v>
      </c>
      <c r="C47" s="29">
        <f>VLOOKUP($A47,'зарплата в цінах'!$A$2:$F$397,3)</f>
        <v>250.54</v>
      </c>
      <c r="D47" s="29">
        <f>VLOOKUP($A47,'зарплата в цінах'!$A$2:$F$397,4)</f>
        <v>46.65</v>
      </c>
      <c r="E47" s="29">
        <f>VLOOKUP($A47,'зарплата в цінах'!$A$2:$F$397,5)</f>
        <v>13.19</v>
      </c>
      <c r="F47" s="29">
        <f>VLOOKUP($A47,'зарплата в цінах'!$A$2:$F$397,6)</f>
        <v>117.24</v>
      </c>
    </row>
    <row r="48" spans="1:6" x14ac:dyDescent="0.3">
      <c r="A48" s="318">
        <v>150000982</v>
      </c>
      <c r="B48" s="250" t="s">
        <v>343</v>
      </c>
      <c r="C48" s="29">
        <f>VLOOKUP($A48,'зарплата в цінах'!$A$2:$F$397,3)</f>
        <v>531.61</v>
      </c>
      <c r="D48" s="29">
        <f>VLOOKUP($A48,'зарплата в цінах'!$A$2:$F$397,4)</f>
        <v>139.34</v>
      </c>
      <c r="E48" s="29">
        <f>VLOOKUP($A48,'зарплата в цінах'!$A$2:$F$397,5)</f>
        <v>39.56</v>
      </c>
      <c r="F48" s="29">
        <f>VLOOKUP($A48,'зарплата в цінах'!$A$2:$F$397,6)</f>
        <v>386.9</v>
      </c>
    </row>
    <row r="49" spans="1:6" x14ac:dyDescent="0.3">
      <c r="A49" s="318">
        <v>150000983</v>
      </c>
      <c r="B49" s="250" t="s">
        <v>344</v>
      </c>
      <c r="C49" s="29">
        <f>VLOOKUP($A49,'зарплата в цінах'!$A$2:$F$397,3)</f>
        <v>349.72</v>
      </c>
      <c r="D49" s="29">
        <f>VLOOKUP($A49,'зарплата в цінах'!$A$2:$F$397,4)</f>
        <v>51.99</v>
      </c>
      <c r="E49" s="29">
        <f>VLOOKUP($A49,'зарплата в цінах'!$A$2:$F$397,5)</f>
        <v>26.37</v>
      </c>
      <c r="F49" s="29">
        <f>VLOOKUP($A49,'зарплата в цінах'!$A$2:$F$397,6)</f>
        <v>280.39</v>
      </c>
    </row>
    <row r="50" spans="1:6" x14ac:dyDescent="0.3">
      <c r="A50" s="318">
        <v>150000984</v>
      </c>
      <c r="B50" s="250" t="s">
        <v>345</v>
      </c>
      <c r="C50" s="29">
        <f>VLOOKUP($A50,'зарплата в цінах'!$A$2:$F$397,3)</f>
        <v>873.14</v>
      </c>
      <c r="D50" s="29">
        <f>VLOOKUP($A50,'зарплата в цінах'!$A$2:$F$397,4)</f>
        <v>144.13999999999999</v>
      </c>
      <c r="E50" s="29">
        <f>VLOOKUP($A50,'зарплата в цінах'!$A$2:$F$397,5)</f>
        <v>39.56</v>
      </c>
      <c r="F50" s="29">
        <f>VLOOKUP($A50,'зарплата в цінах'!$A$2:$F$397,6)</f>
        <v>524.71</v>
      </c>
    </row>
    <row r="51" spans="1:6" x14ac:dyDescent="0.3">
      <c r="A51" s="318">
        <v>150000986</v>
      </c>
      <c r="B51" s="250" t="s">
        <v>346</v>
      </c>
      <c r="C51" s="29">
        <f>VLOOKUP($A51,'зарплата в цінах'!$A$2:$F$397,3)</f>
        <v>582.87</v>
      </c>
      <c r="D51" s="29">
        <f>VLOOKUP($A51,'зарплата в цінах'!$A$2:$F$397,4)</f>
        <v>96.45</v>
      </c>
      <c r="E51" s="29">
        <f>VLOOKUP($A51,'зарплата в цінах'!$A$2:$F$397,5)</f>
        <v>26.37</v>
      </c>
      <c r="F51" s="29">
        <f>VLOOKUP($A51,'зарплата в цінах'!$A$2:$F$397,6)</f>
        <v>317.85000000000002</v>
      </c>
    </row>
    <row r="52" spans="1:6" x14ac:dyDescent="0.3">
      <c r="A52" s="318">
        <v>150000996</v>
      </c>
      <c r="B52" s="250" t="s">
        <v>245</v>
      </c>
      <c r="C52" s="29">
        <f>VLOOKUP($A52,'зарплата в цінах'!$A$2:$F$397,3)</f>
        <v>385.71</v>
      </c>
      <c r="D52" s="29">
        <f>VLOOKUP($A52,'зарплата в цінах'!$A$2:$F$397,4)</f>
        <v>69.05</v>
      </c>
      <c r="E52" s="29">
        <f>VLOOKUP($A52,'зарплата в цінах'!$A$2:$F$397,5)</f>
        <v>0</v>
      </c>
      <c r="F52" s="29">
        <f>VLOOKUP($A52,'зарплата в цінах'!$A$2:$F$397,6)</f>
        <v>222.71</v>
      </c>
    </row>
    <row r="53" spans="1:6" x14ac:dyDescent="0.3">
      <c r="A53" s="318">
        <v>150000987</v>
      </c>
      <c r="B53" s="424" t="s">
        <v>50</v>
      </c>
      <c r="C53" s="29">
        <f>VLOOKUP($A53,'зарплата в цінах'!$A$2:$F$397,3)</f>
        <v>0</v>
      </c>
      <c r="D53" s="29">
        <f>VLOOKUP($A53,'зарплата в цінах'!$A$2:$F$397,4)</f>
        <v>0</v>
      </c>
      <c r="E53" s="29">
        <f>VLOOKUP($A53,'зарплата в цінах'!$A$2:$F$397,5)</f>
        <v>0</v>
      </c>
      <c r="F53" s="29">
        <f>VLOOKUP($A53,'зарплата в цінах'!$A$2:$F$397,6)</f>
        <v>0</v>
      </c>
    </row>
    <row r="54" spans="1:6" x14ac:dyDescent="0.3">
      <c r="A54" s="318">
        <v>150000988</v>
      </c>
      <c r="B54" s="424" t="s">
        <v>51</v>
      </c>
      <c r="C54" s="29">
        <f>VLOOKUP($A54,'зарплата в цінах'!$A$2:$F$397,3)</f>
        <v>0</v>
      </c>
      <c r="D54" s="29">
        <f>VLOOKUP($A54,'зарплата в цінах'!$A$2:$F$397,4)</f>
        <v>0</v>
      </c>
      <c r="E54" s="29">
        <f>VLOOKUP($A54,'зарплата в цінах'!$A$2:$F$397,5)</f>
        <v>0</v>
      </c>
      <c r="F54" s="29">
        <f>VLOOKUP($A54,'зарплата в цінах'!$A$2:$F$397,6)</f>
        <v>0</v>
      </c>
    </row>
    <row r="55" spans="1:6" x14ac:dyDescent="0.3">
      <c r="A55" s="318">
        <v>150000548</v>
      </c>
      <c r="B55" s="250" t="s">
        <v>246</v>
      </c>
      <c r="C55" s="29">
        <f>VLOOKUP($A55,'зарплата в цінах'!$A$2:$F$397,3)</f>
        <v>255.42</v>
      </c>
      <c r="D55" s="29">
        <f>VLOOKUP($A55,'зарплата в цінах'!$A$2:$F$397,4)</f>
        <v>59.71</v>
      </c>
      <c r="E55" s="29">
        <f>VLOOKUP($A55,'зарплата в цінах'!$A$2:$F$397,5)</f>
        <v>17.98</v>
      </c>
      <c r="F55" s="29">
        <f>VLOOKUP($A55,'зарплата в цінах'!$A$2:$F$397,6)</f>
        <v>169.91</v>
      </c>
    </row>
    <row r="56" spans="1:6" x14ac:dyDescent="0.3">
      <c r="A56" s="318">
        <v>150000549</v>
      </c>
      <c r="B56" s="250" t="s">
        <v>206</v>
      </c>
      <c r="C56" s="29">
        <f>VLOOKUP($A56,'зарплата в цінах'!$A$2:$F$397,3)</f>
        <v>185.05</v>
      </c>
      <c r="D56" s="29">
        <f>VLOOKUP($A56,'зарплата в цінах'!$A$2:$F$397,4)</f>
        <v>45.92</v>
      </c>
      <c r="E56" s="29">
        <f>VLOOKUP($A56,'зарплата в цінах'!$A$2:$F$397,5)</f>
        <v>0</v>
      </c>
      <c r="F56" s="29">
        <f>VLOOKUP($A56,'зарплата в цінах'!$A$2:$F$397,6)</f>
        <v>85.66</v>
      </c>
    </row>
    <row r="57" spans="1:6" x14ac:dyDescent="0.3">
      <c r="A57" s="318">
        <v>150000547</v>
      </c>
      <c r="B57" s="250" t="s">
        <v>247</v>
      </c>
      <c r="C57" s="29">
        <f>VLOOKUP($A57,'зарплата в цінах'!$A$2:$F$397,3)</f>
        <v>355.23</v>
      </c>
      <c r="D57" s="29">
        <f>VLOOKUP($A57,'зарплата в цінах'!$A$2:$F$397,4)</f>
        <v>67.87</v>
      </c>
      <c r="E57" s="29">
        <f>VLOOKUP($A57,'зарплата в цінах'!$A$2:$F$397,5)</f>
        <v>23.98</v>
      </c>
      <c r="F57" s="29">
        <f>VLOOKUP($A57,'зарплата в цінах'!$A$2:$F$397,6)</f>
        <v>225.48</v>
      </c>
    </row>
    <row r="58" spans="1:6" x14ac:dyDescent="0.3">
      <c r="A58" s="318">
        <v>150000509</v>
      </c>
      <c r="B58" s="424" t="s">
        <v>52</v>
      </c>
      <c r="C58" s="29">
        <f>VLOOKUP($A58,'зарплата в цінах'!$A$2:$F$397,3)</f>
        <v>0</v>
      </c>
      <c r="D58" s="29">
        <f>VLOOKUP($A58,'зарплата в цінах'!$A$2:$F$397,4)</f>
        <v>0</v>
      </c>
      <c r="E58" s="29">
        <f>VLOOKUP($A58,'зарплата в цінах'!$A$2:$F$397,5)</f>
        <v>0</v>
      </c>
      <c r="F58" s="29">
        <f>VLOOKUP($A58,'зарплата в цінах'!$A$2:$F$397,6)</f>
        <v>0</v>
      </c>
    </row>
    <row r="59" spans="1:6" x14ac:dyDescent="0.3">
      <c r="A59" s="318">
        <v>150000510</v>
      </c>
      <c r="B59" s="250" t="s">
        <v>248</v>
      </c>
      <c r="C59" s="29">
        <f>VLOOKUP($A59,'зарплата в цінах'!$A$2:$F$397,3)</f>
        <v>220</v>
      </c>
      <c r="D59" s="29">
        <f>VLOOKUP($A59,'зарплата в цінах'!$A$2:$F$397,4)</f>
        <v>41.83</v>
      </c>
      <c r="E59" s="29">
        <f>VLOOKUP($A59,'зарплата в цінах'!$A$2:$F$397,5)</f>
        <v>0</v>
      </c>
      <c r="F59" s="29">
        <f>VLOOKUP($A59,'зарплата в цінах'!$A$2:$F$397,6)</f>
        <v>165.28</v>
      </c>
    </row>
    <row r="60" spans="1:6" x14ac:dyDescent="0.3">
      <c r="A60" s="318">
        <v>150000511</v>
      </c>
      <c r="B60" s="250" t="s">
        <v>249</v>
      </c>
      <c r="C60" s="29">
        <f>VLOOKUP($A60,'зарплата в цінах'!$A$2:$F$397,3)</f>
        <v>402.63</v>
      </c>
      <c r="D60" s="29">
        <f>VLOOKUP($A60,'зарплата в цінах'!$A$2:$F$397,4)</f>
        <v>77.2</v>
      </c>
      <c r="E60" s="29">
        <f>VLOOKUP($A60,'зарплата в цінах'!$A$2:$F$397,5)</f>
        <v>0</v>
      </c>
      <c r="F60" s="29">
        <f>VLOOKUP($A60,'зарплата в цінах'!$A$2:$F$397,6)</f>
        <v>233.1</v>
      </c>
    </row>
    <row r="61" spans="1:6" x14ac:dyDescent="0.3">
      <c r="A61" s="318">
        <v>150000512</v>
      </c>
      <c r="B61" s="250" t="s">
        <v>250</v>
      </c>
      <c r="C61" s="29">
        <f>VLOOKUP($A61,'зарплата в цінах'!$A$2:$F$397,3)</f>
        <v>179.84</v>
      </c>
      <c r="D61" s="29">
        <f>VLOOKUP($A61,'зарплата в цінах'!$A$2:$F$397,4)</f>
        <v>39.53</v>
      </c>
      <c r="E61" s="29">
        <f>VLOOKUP($A61,'зарплата в цінах'!$A$2:$F$397,5)</f>
        <v>0</v>
      </c>
      <c r="F61" s="29">
        <f>VLOOKUP($A61,'зарплата в цінах'!$A$2:$F$397,6)</f>
        <v>99.47</v>
      </c>
    </row>
    <row r="62" spans="1:6" x14ac:dyDescent="0.3">
      <c r="A62" s="318">
        <v>150000513</v>
      </c>
      <c r="B62" s="250" t="s">
        <v>333</v>
      </c>
      <c r="C62" s="29">
        <f>VLOOKUP($A62,'зарплата в цінах'!$A$2:$F$397,3)</f>
        <v>268.62</v>
      </c>
      <c r="D62" s="29">
        <f>VLOOKUP($A62,'зарплата в цінах'!$A$2:$F$397,4)</f>
        <v>54.67</v>
      </c>
      <c r="E62" s="29">
        <f>VLOOKUP($A62,'зарплата в цінах'!$A$2:$F$397,5)</f>
        <v>13.79</v>
      </c>
      <c r="F62" s="29">
        <f>VLOOKUP($A62,'зарплата в цінах'!$A$2:$F$397,6)</f>
        <v>123.8</v>
      </c>
    </row>
    <row r="63" spans="1:6" x14ac:dyDescent="0.3">
      <c r="A63" s="318">
        <v>150000538</v>
      </c>
      <c r="B63" s="250" t="s">
        <v>207</v>
      </c>
      <c r="C63" s="29">
        <f>VLOOKUP($A63,'зарплата в цінах'!$A$2:$F$397,3)</f>
        <v>155.51</v>
      </c>
      <c r="D63" s="29">
        <f>VLOOKUP($A63,'зарплата в цінах'!$A$2:$F$397,4)</f>
        <v>24.16</v>
      </c>
      <c r="E63" s="29">
        <f>VLOOKUP($A63,'зарплата в цінах'!$A$2:$F$397,5)</f>
        <v>0</v>
      </c>
      <c r="F63" s="29">
        <f>VLOOKUP($A63,'зарплата в цінах'!$A$2:$F$397,6)</f>
        <v>88.65</v>
      </c>
    </row>
    <row r="64" spans="1:6" x14ac:dyDescent="0.3">
      <c r="A64" s="318">
        <v>150000514</v>
      </c>
      <c r="B64" s="250" t="s">
        <v>151</v>
      </c>
      <c r="C64" s="29">
        <f>VLOOKUP($A64,'зарплата в цінах'!$A$2:$F$397,3)</f>
        <v>48.79</v>
      </c>
      <c r="D64" s="29">
        <f>VLOOKUP($A64,'зарплата в цінах'!$A$2:$F$397,4)</f>
        <v>9.68</v>
      </c>
      <c r="E64" s="29">
        <f>VLOOKUP($A64,'зарплата в цінах'!$A$2:$F$397,5)</f>
        <v>0</v>
      </c>
      <c r="F64" s="29">
        <f>VLOOKUP($A64,'зарплата в цінах'!$A$2:$F$397,6)</f>
        <v>28.65</v>
      </c>
    </row>
    <row r="65" spans="1:6" x14ac:dyDescent="0.3">
      <c r="A65" s="318">
        <v>150000515</v>
      </c>
      <c r="B65" s="424" t="s">
        <v>53</v>
      </c>
      <c r="C65" s="29">
        <f>VLOOKUP($A65,'зарплата в цінах'!$A$2:$F$397,3)</f>
        <v>0</v>
      </c>
      <c r="D65" s="29">
        <f>VLOOKUP($A65,'зарплата в цінах'!$A$2:$F$397,4)</f>
        <v>0</v>
      </c>
      <c r="E65" s="29">
        <f>VLOOKUP($A65,'зарплата в цінах'!$A$2:$F$397,5)</f>
        <v>0</v>
      </c>
      <c r="F65" s="29">
        <f>VLOOKUP($A65,'зарплата в цінах'!$A$2:$F$397,6)</f>
        <v>0</v>
      </c>
    </row>
    <row r="66" spans="1:6" x14ac:dyDescent="0.3">
      <c r="A66" s="318">
        <v>150000539</v>
      </c>
      <c r="B66" s="424" t="s">
        <v>54</v>
      </c>
      <c r="C66" s="29">
        <f>VLOOKUP($A66,'зарплата в цінах'!$A$2:$F$397,3)</f>
        <v>0</v>
      </c>
      <c r="D66" s="29">
        <f>VLOOKUP($A66,'зарплата в цінах'!$A$2:$F$397,4)</f>
        <v>0</v>
      </c>
      <c r="E66" s="29">
        <f>VLOOKUP($A66,'зарплата в цінах'!$A$2:$F$397,5)</f>
        <v>0</v>
      </c>
      <c r="F66" s="29">
        <f>VLOOKUP($A66,'зарплата в цінах'!$A$2:$F$397,6)</f>
        <v>0</v>
      </c>
    </row>
    <row r="67" spans="1:6" x14ac:dyDescent="0.3">
      <c r="A67" s="318">
        <v>150000516</v>
      </c>
      <c r="B67" s="424" t="s">
        <v>55</v>
      </c>
      <c r="C67" s="29">
        <f>VLOOKUP($A67,'зарплата в цінах'!$A$2:$F$397,3)</f>
        <v>0</v>
      </c>
      <c r="D67" s="29">
        <f>VLOOKUP($A67,'зарплата в цінах'!$A$2:$F$397,4)</f>
        <v>0</v>
      </c>
      <c r="E67" s="29">
        <f>VLOOKUP($A67,'зарплата в цінах'!$A$2:$F$397,5)</f>
        <v>0</v>
      </c>
      <c r="F67" s="29">
        <f>VLOOKUP($A67,'зарплата в цінах'!$A$2:$F$397,6)</f>
        <v>0</v>
      </c>
    </row>
    <row r="68" spans="1:6" x14ac:dyDescent="0.3">
      <c r="A68" s="318">
        <v>150000517</v>
      </c>
      <c r="B68" s="250" t="s">
        <v>251</v>
      </c>
      <c r="C68" s="29">
        <f>VLOOKUP($A68,'зарплата в цінах'!$A$2:$F$397,3)</f>
        <v>208.51</v>
      </c>
      <c r="D68" s="29">
        <f>VLOOKUP($A68,'зарплата в цінах'!$A$2:$F$397,4)</f>
        <v>39.42</v>
      </c>
      <c r="E68" s="29">
        <f>VLOOKUP($A68,'зарплата в цінах'!$A$2:$F$397,5)</f>
        <v>0</v>
      </c>
      <c r="F68" s="29">
        <f>VLOOKUP($A68,'зарплата в цінах'!$A$2:$F$397,6)</f>
        <v>93.09</v>
      </c>
    </row>
    <row r="69" spans="1:6" x14ac:dyDescent="0.3">
      <c r="A69" s="318">
        <v>150000518</v>
      </c>
      <c r="B69" s="250" t="s">
        <v>194</v>
      </c>
      <c r="C69" s="29">
        <f>VLOOKUP($A69,'зарплата в цінах'!$A$2:$F$397,3)</f>
        <v>119.86</v>
      </c>
      <c r="D69" s="29">
        <f>VLOOKUP($A69,'зарплата в цінах'!$A$2:$F$397,4)</f>
        <v>26.97</v>
      </c>
      <c r="E69" s="29">
        <f>VLOOKUP($A69,'зарплата в цінах'!$A$2:$F$397,5)</f>
        <v>0</v>
      </c>
      <c r="F69" s="29">
        <f>VLOOKUP($A69,'зарплата в цінах'!$A$2:$F$397,6)</f>
        <v>67.099999999999994</v>
      </c>
    </row>
    <row r="70" spans="1:6" x14ac:dyDescent="0.3">
      <c r="A70" s="318">
        <v>150000519</v>
      </c>
      <c r="B70" s="250" t="s">
        <v>412</v>
      </c>
      <c r="C70" s="29">
        <f>VLOOKUP($A70,'зарплата в цінах'!$A$2:$F$397,3)</f>
        <v>274.45</v>
      </c>
      <c r="D70" s="29">
        <f>VLOOKUP($A70,'зарплата в цінах'!$A$2:$F$397,4)</f>
        <v>43.6</v>
      </c>
      <c r="E70" s="29">
        <f>VLOOKUP($A70,'зарплата в цінах'!$A$2:$F$397,5)</f>
        <v>14.09</v>
      </c>
      <c r="F70" s="29">
        <f>VLOOKUP($A70,'зарплата в цінах'!$A$2:$F$397,6)</f>
        <v>95.38</v>
      </c>
    </row>
    <row r="71" spans="1:6" x14ac:dyDescent="0.3">
      <c r="A71" s="318">
        <v>150000521</v>
      </c>
      <c r="B71" s="250" t="s">
        <v>252</v>
      </c>
      <c r="C71" s="29">
        <f>VLOOKUP($A71,'зарплата в цінах'!$A$2:$F$397,3)</f>
        <v>182.45</v>
      </c>
      <c r="D71" s="29">
        <f>VLOOKUP($A71,'зарплата в цінах'!$A$2:$F$397,4)</f>
        <v>39.42</v>
      </c>
      <c r="E71" s="29">
        <f>VLOOKUP($A71,'зарплата в цінах'!$A$2:$F$397,5)</f>
        <v>0</v>
      </c>
      <c r="F71" s="29">
        <f>VLOOKUP($A71,'зарплата в цінах'!$A$2:$F$397,6)</f>
        <v>100.88</v>
      </c>
    </row>
    <row r="72" spans="1:6" x14ac:dyDescent="0.3">
      <c r="A72" s="318">
        <v>150000522</v>
      </c>
      <c r="B72" s="424" t="s">
        <v>56</v>
      </c>
      <c r="C72" s="29">
        <f>VLOOKUP($A72,'зарплата в цінах'!$A$2:$F$397,3)</f>
        <v>0</v>
      </c>
      <c r="D72" s="29">
        <f>VLOOKUP($A72,'зарплата в цінах'!$A$2:$F$397,4)</f>
        <v>0</v>
      </c>
      <c r="E72" s="29">
        <f>VLOOKUP($A72,'зарплата в цінах'!$A$2:$F$397,5)</f>
        <v>0</v>
      </c>
      <c r="F72" s="29">
        <f>VLOOKUP($A72,'зарплата в цінах'!$A$2:$F$397,6)</f>
        <v>0</v>
      </c>
    </row>
    <row r="73" spans="1:6" x14ac:dyDescent="0.3">
      <c r="A73" s="318">
        <v>150000523</v>
      </c>
      <c r="B73" s="424" t="s">
        <v>57</v>
      </c>
      <c r="C73" s="29">
        <f>VLOOKUP($A73,'зарплата в цінах'!$A$2:$F$397,3)</f>
        <v>0</v>
      </c>
      <c r="D73" s="29">
        <f>VLOOKUP($A73,'зарплата в цінах'!$A$2:$F$397,4)</f>
        <v>0</v>
      </c>
      <c r="E73" s="29">
        <f>VLOOKUP($A73,'зарплата в цінах'!$A$2:$F$397,5)</f>
        <v>0</v>
      </c>
      <c r="F73" s="29">
        <f>VLOOKUP($A73,'зарплата в цінах'!$A$2:$F$397,6)</f>
        <v>0</v>
      </c>
    </row>
    <row r="74" spans="1:6" x14ac:dyDescent="0.3">
      <c r="A74" s="318">
        <v>150000524</v>
      </c>
      <c r="B74" s="424" t="s">
        <v>58</v>
      </c>
      <c r="C74" s="29">
        <f>VLOOKUP($A74,'зарплата в цінах'!$A$2:$F$397,3)</f>
        <v>0</v>
      </c>
      <c r="D74" s="29">
        <f>VLOOKUP($A74,'зарплата в цінах'!$A$2:$F$397,4)</f>
        <v>0</v>
      </c>
      <c r="E74" s="29">
        <f>VLOOKUP($A74,'зарплата в цінах'!$A$2:$F$397,5)</f>
        <v>0</v>
      </c>
      <c r="F74" s="29">
        <f>VLOOKUP($A74,'зарплата в цінах'!$A$2:$F$397,6)</f>
        <v>0</v>
      </c>
    </row>
    <row r="75" spans="1:6" x14ac:dyDescent="0.3">
      <c r="A75" s="318">
        <v>150000541</v>
      </c>
      <c r="B75" s="424" t="s">
        <v>59</v>
      </c>
      <c r="C75" s="29">
        <f>VLOOKUP($A75,'зарплата в цінах'!$A$2:$F$397,3)</f>
        <v>0</v>
      </c>
      <c r="D75" s="29">
        <f>VLOOKUP($A75,'зарплата в цінах'!$A$2:$F$397,4)</f>
        <v>0</v>
      </c>
      <c r="E75" s="29">
        <f>VLOOKUP($A75,'зарплата в цінах'!$A$2:$F$397,5)</f>
        <v>0</v>
      </c>
      <c r="F75" s="29">
        <f>VLOOKUP($A75,'зарплата в цінах'!$A$2:$F$397,6)</f>
        <v>0</v>
      </c>
    </row>
    <row r="76" spans="1:6" x14ac:dyDescent="0.3">
      <c r="A76" s="318">
        <v>150000527</v>
      </c>
      <c r="B76" s="424" t="s">
        <v>60</v>
      </c>
      <c r="C76" s="29">
        <f>VLOOKUP($A76,'зарплата в цінах'!$A$2:$F$397,3)</f>
        <v>0</v>
      </c>
      <c r="D76" s="29">
        <f>VLOOKUP($A76,'зарплата в цінах'!$A$2:$F$397,4)</f>
        <v>0</v>
      </c>
      <c r="E76" s="29">
        <f>VLOOKUP($A76,'зарплата в цінах'!$A$2:$F$397,5)</f>
        <v>0</v>
      </c>
      <c r="F76" s="29">
        <f>VLOOKUP($A76,'зарплата в цінах'!$A$2:$F$397,6)</f>
        <v>0</v>
      </c>
    </row>
    <row r="77" spans="1:6" x14ac:dyDescent="0.3">
      <c r="A77" s="318">
        <v>150000542</v>
      </c>
      <c r="B77" s="424" t="s">
        <v>61</v>
      </c>
      <c r="C77" s="29">
        <f>VLOOKUP($A77,'зарплата в цінах'!$A$2:$F$397,3)</f>
        <v>0</v>
      </c>
      <c r="D77" s="29">
        <f>VLOOKUP($A77,'зарплата в цінах'!$A$2:$F$397,4)</f>
        <v>0</v>
      </c>
      <c r="E77" s="29">
        <f>VLOOKUP($A77,'зарплата в цінах'!$A$2:$F$397,5)</f>
        <v>0</v>
      </c>
      <c r="F77" s="29">
        <f>VLOOKUP($A77,'зарплата в цінах'!$A$2:$F$397,6)</f>
        <v>0</v>
      </c>
    </row>
    <row r="78" spans="1:6" x14ac:dyDescent="0.3">
      <c r="A78" s="318">
        <v>150000529</v>
      </c>
      <c r="B78" s="250" t="s">
        <v>347</v>
      </c>
      <c r="C78" s="29">
        <f>VLOOKUP($A78,'зарплата в цінах'!$A$2:$F$397,3)</f>
        <v>469.96</v>
      </c>
      <c r="D78" s="29">
        <f>VLOOKUP($A78,'зарплата в цінах'!$A$2:$F$397,4)</f>
        <v>79.569999999999993</v>
      </c>
      <c r="E78" s="29">
        <f>VLOOKUP($A78,'зарплата в цінах'!$A$2:$F$397,5)</f>
        <v>77.92</v>
      </c>
      <c r="F78" s="29">
        <f>VLOOKUP($A78,'зарплата в цінах'!$A$2:$F$397,6)</f>
        <v>620.69000000000005</v>
      </c>
    </row>
    <row r="79" spans="1:6" x14ac:dyDescent="0.3">
      <c r="A79" s="318">
        <v>150000530</v>
      </c>
      <c r="B79" s="424" t="s">
        <v>62</v>
      </c>
      <c r="C79" s="29">
        <f>VLOOKUP($A79,'зарплата в цінах'!$A$2:$F$397,3)</f>
        <v>0</v>
      </c>
      <c r="D79" s="29">
        <f>VLOOKUP($A79,'зарплата в цінах'!$A$2:$F$397,4)</f>
        <v>0</v>
      </c>
      <c r="E79" s="29">
        <f>VLOOKUP($A79,'зарплата в цінах'!$A$2:$F$397,5)</f>
        <v>0</v>
      </c>
      <c r="F79" s="29">
        <f>VLOOKUP($A79,'зарплата в цінах'!$A$2:$F$397,6)</f>
        <v>0</v>
      </c>
    </row>
    <row r="80" spans="1:6" x14ac:dyDescent="0.3">
      <c r="A80" s="318">
        <v>150000543</v>
      </c>
      <c r="B80" s="424" t="s">
        <v>63</v>
      </c>
      <c r="C80" s="29">
        <f>VLOOKUP($A80,'зарплата в цінах'!$A$2:$F$397,3)</f>
        <v>0</v>
      </c>
      <c r="D80" s="29">
        <f>VLOOKUP($A80,'зарплата в цінах'!$A$2:$F$397,4)</f>
        <v>0</v>
      </c>
      <c r="E80" s="29">
        <f>VLOOKUP($A80,'зарплата в цінах'!$A$2:$F$397,5)</f>
        <v>0</v>
      </c>
      <c r="F80" s="29">
        <f>VLOOKUP($A80,'зарплата в цінах'!$A$2:$F$397,6)</f>
        <v>0</v>
      </c>
    </row>
    <row r="81" spans="1:6" x14ac:dyDescent="0.3">
      <c r="A81" s="318">
        <v>150000544</v>
      </c>
      <c r="B81" s="424" t="s">
        <v>64</v>
      </c>
      <c r="C81" s="29">
        <f>VLOOKUP($A81,'зарплата в цінах'!$A$2:$F$397,3)</f>
        <v>0</v>
      </c>
      <c r="D81" s="29">
        <f>VLOOKUP($A81,'зарплата в цінах'!$A$2:$F$397,4)</f>
        <v>0</v>
      </c>
      <c r="E81" s="29">
        <f>VLOOKUP($A81,'зарплата в цінах'!$A$2:$F$397,5)</f>
        <v>0</v>
      </c>
      <c r="F81" s="29">
        <f>VLOOKUP($A81,'зарплата в цінах'!$A$2:$F$397,6)</f>
        <v>0</v>
      </c>
    </row>
    <row r="82" spans="1:6" x14ac:dyDescent="0.3">
      <c r="A82" s="318">
        <v>150000531</v>
      </c>
      <c r="B82" s="250" t="s">
        <v>348</v>
      </c>
      <c r="C82" s="29">
        <f>VLOOKUP($A82,'зарплата в цінах'!$A$2:$F$397,3)</f>
        <v>641.33000000000004</v>
      </c>
      <c r="D82" s="29">
        <f>VLOOKUP($A82,'зарплата в цінах'!$A$2:$F$397,4)</f>
        <v>106.93</v>
      </c>
      <c r="E82" s="29">
        <f>VLOOKUP($A82,'зарплата в цінах'!$A$2:$F$397,5)</f>
        <v>116.88</v>
      </c>
      <c r="F82" s="29">
        <f>VLOOKUP($A82,'зарплата в цінах'!$A$2:$F$397,6)</f>
        <v>483.03</v>
      </c>
    </row>
    <row r="83" spans="1:6" x14ac:dyDescent="0.3">
      <c r="A83" s="318">
        <v>150000532</v>
      </c>
      <c r="B83" s="250" t="s">
        <v>253</v>
      </c>
      <c r="C83" s="29">
        <f>VLOOKUP($A83,'зарплата в цінах'!$A$2:$F$397,3)</f>
        <v>269.06</v>
      </c>
      <c r="D83" s="29">
        <f>VLOOKUP($A83,'зарплата в цінах'!$A$2:$F$397,4)</f>
        <v>58.04</v>
      </c>
      <c r="E83" s="29">
        <f>VLOOKUP($A83,'зарплата в цінах'!$A$2:$F$397,5)</f>
        <v>17.98</v>
      </c>
      <c r="F83" s="29">
        <f>VLOOKUP($A83,'зарплата в цінах'!$A$2:$F$397,6)</f>
        <v>157.88999999999999</v>
      </c>
    </row>
    <row r="84" spans="1:6" x14ac:dyDescent="0.3">
      <c r="A84" s="318">
        <v>150000533</v>
      </c>
      <c r="B84" s="250" t="s">
        <v>349</v>
      </c>
      <c r="C84" s="29">
        <f>VLOOKUP($A84,'зарплата в цінах'!$A$2:$F$397,3)</f>
        <v>1046.07</v>
      </c>
      <c r="D84" s="29">
        <f>VLOOKUP($A84,'зарплата в цінах'!$A$2:$F$397,4)</f>
        <v>180.21</v>
      </c>
      <c r="E84" s="29">
        <f>VLOOKUP($A84,'зарплата в цінах'!$A$2:$F$397,5)</f>
        <v>194.8</v>
      </c>
      <c r="F84" s="29">
        <f>VLOOKUP($A84,'зарплата в цінах'!$A$2:$F$397,6)</f>
        <v>919.73</v>
      </c>
    </row>
    <row r="85" spans="1:6" x14ac:dyDescent="0.3">
      <c r="A85" s="318">
        <v>150000534</v>
      </c>
      <c r="B85" s="250" t="s">
        <v>254</v>
      </c>
      <c r="C85" s="29">
        <f>VLOOKUP($A85,'зарплата в цінах'!$A$2:$F$397,3)</f>
        <v>269.08</v>
      </c>
      <c r="D85" s="29">
        <f>VLOOKUP($A85,'зарплата в цінах'!$A$2:$F$397,4)</f>
        <v>58.04</v>
      </c>
      <c r="E85" s="29">
        <f>VLOOKUP($A85,'зарплата в цінах'!$A$2:$F$397,5)</f>
        <v>17.98</v>
      </c>
      <c r="F85" s="29">
        <f>VLOOKUP($A85,'зарплата в цінах'!$A$2:$F$397,6)</f>
        <v>157.88999999999999</v>
      </c>
    </row>
    <row r="86" spans="1:6" x14ac:dyDescent="0.3">
      <c r="A86" s="318">
        <v>150000535</v>
      </c>
      <c r="B86" s="250" t="s">
        <v>350</v>
      </c>
      <c r="C86" s="29">
        <f>VLOOKUP($A86,'зарплата в цінах'!$A$2:$F$397,3)</f>
        <v>1049.95</v>
      </c>
      <c r="D86" s="29">
        <f>VLOOKUP($A86,'зарплата в цінах'!$A$2:$F$397,4)</f>
        <v>180.21</v>
      </c>
      <c r="E86" s="29">
        <f>VLOOKUP($A86,'зарплата в цінах'!$A$2:$F$397,5)</f>
        <v>194.8</v>
      </c>
      <c r="F86" s="29">
        <f>VLOOKUP($A86,'зарплата в цінах'!$A$2:$F$397,6)</f>
        <v>919.73</v>
      </c>
    </row>
    <row r="87" spans="1:6" x14ac:dyDescent="0.3">
      <c r="A87" s="318">
        <v>150000645</v>
      </c>
      <c r="B87" s="424" t="s">
        <v>65</v>
      </c>
      <c r="C87" s="29">
        <f>VLOOKUP($A87,'зарплата в цінах'!$A$2:$F$397,3)</f>
        <v>0</v>
      </c>
      <c r="D87" s="29">
        <f>VLOOKUP($A87,'зарплата в цінах'!$A$2:$F$397,4)</f>
        <v>0</v>
      </c>
      <c r="E87" s="29">
        <f>VLOOKUP($A87,'зарплата в цінах'!$A$2:$F$397,5)</f>
        <v>0</v>
      </c>
      <c r="F87" s="29">
        <f>VLOOKUP($A87,'зарплата в цінах'!$A$2:$F$397,6)</f>
        <v>0</v>
      </c>
    </row>
    <row r="88" spans="1:6" x14ac:dyDescent="0.3">
      <c r="A88" s="318">
        <v>150000643</v>
      </c>
      <c r="B88" s="424" t="s">
        <v>66</v>
      </c>
      <c r="C88" s="29">
        <f>VLOOKUP($A88,'зарплата в цінах'!$A$2:$F$397,3)</f>
        <v>0</v>
      </c>
      <c r="D88" s="29">
        <f>VLOOKUP($A88,'зарплата в цінах'!$A$2:$F$397,4)</f>
        <v>0</v>
      </c>
      <c r="E88" s="29">
        <f>VLOOKUP($A88,'зарплата в цінах'!$A$2:$F$397,5)</f>
        <v>0</v>
      </c>
      <c r="F88" s="29">
        <f>VLOOKUP($A88,'зарплата в цінах'!$A$2:$F$397,6)</f>
        <v>0</v>
      </c>
    </row>
    <row r="89" spans="1:6" x14ac:dyDescent="0.3">
      <c r="A89" s="318">
        <v>150000644</v>
      </c>
      <c r="B89" s="424" t="s">
        <v>67</v>
      </c>
      <c r="C89" s="29">
        <f>VLOOKUP($A89,'зарплата в цінах'!$A$2:$F$397,3)</f>
        <v>0</v>
      </c>
      <c r="D89" s="29">
        <f>VLOOKUP($A89,'зарплата в цінах'!$A$2:$F$397,4)</f>
        <v>0</v>
      </c>
      <c r="E89" s="29">
        <f>VLOOKUP($A89,'зарплата в цінах'!$A$2:$F$397,5)</f>
        <v>0</v>
      </c>
      <c r="F89" s="29">
        <f>VLOOKUP($A89,'зарплата в цінах'!$A$2:$F$397,6)</f>
        <v>0</v>
      </c>
    </row>
    <row r="90" spans="1:6" x14ac:dyDescent="0.3">
      <c r="A90" s="318">
        <v>150000566</v>
      </c>
      <c r="B90" s="424" t="s">
        <v>68</v>
      </c>
      <c r="C90" s="29">
        <f>VLOOKUP($A90,'зарплата в цінах'!$A$2:$F$397,3)</f>
        <v>0</v>
      </c>
      <c r="D90" s="29">
        <f>VLOOKUP($A90,'зарплата в цінах'!$A$2:$F$397,4)</f>
        <v>0</v>
      </c>
      <c r="E90" s="29">
        <f>VLOOKUP($A90,'зарплата в цінах'!$A$2:$F$397,5)</f>
        <v>0</v>
      </c>
      <c r="F90" s="29">
        <f>VLOOKUP($A90,'зарплата в цінах'!$A$2:$F$397,6)</f>
        <v>0</v>
      </c>
    </row>
    <row r="91" spans="1:6" x14ac:dyDescent="0.3">
      <c r="A91" s="318">
        <v>150000571</v>
      </c>
      <c r="B91" s="424" t="s">
        <v>69</v>
      </c>
      <c r="C91" s="29">
        <f>VLOOKUP($A91,'зарплата в цінах'!$A$2:$F$397,3)</f>
        <v>0</v>
      </c>
      <c r="D91" s="29">
        <f>VLOOKUP($A91,'зарплата в цінах'!$A$2:$F$397,4)</f>
        <v>0</v>
      </c>
      <c r="E91" s="29">
        <f>VLOOKUP($A91,'зарплата в цінах'!$A$2:$F$397,5)</f>
        <v>0</v>
      </c>
      <c r="F91" s="29">
        <f>VLOOKUP($A91,'зарплата в цінах'!$A$2:$F$397,6)</f>
        <v>0</v>
      </c>
    </row>
    <row r="92" spans="1:6" x14ac:dyDescent="0.3">
      <c r="A92" s="318">
        <v>150000567</v>
      </c>
      <c r="B92" s="424" t="s">
        <v>70</v>
      </c>
      <c r="C92" s="29">
        <f>VLOOKUP($A92,'зарплата в цінах'!$A$2:$F$397,3)</f>
        <v>0</v>
      </c>
      <c r="D92" s="29">
        <f>VLOOKUP($A92,'зарплата в цінах'!$A$2:$F$397,4)</f>
        <v>0</v>
      </c>
      <c r="E92" s="29">
        <f>VLOOKUP($A92,'зарплата в цінах'!$A$2:$F$397,5)</f>
        <v>0</v>
      </c>
      <c r="F92" s="29">
        <f>VLOOKUP($A92,'зарплата в цінах'!$A$2:$F$397,6)</f>
        <v>0</v>
      </c>
    </row>
    <row r="93" spans="1:6" x14ac:dyDescent="0.3">
      <c r="A93" s="318">
        <v>150000561</v>
      </c>
      <c r="B93" s="424" t="s">
        <v>71</v>
      </c>
      <c r="C93" s="29">
        <f>VLOOKUP($A93,'зарплата в цінах'!$A$2:$F$397,3)</f>
        <v>0</v>
      </c>
      <c r="D93" s="29">
        <f>VLOOKUP($A93,'зарплата в цінах'!$A$2:$F$397,4)</f>
        <v>0</v>
      </c>
      <c r="E93" s="29">
        <f>VLOOKUP($A93,'зарплата в цінах'!$A$2:$F$397,5)</f>
        <v>0</v>
      </c>
      <c r="F93" s="29">
        <f>VLOOKUP($A93,'зарплата в цінах'!$A$2:$F$397,6)</f>
        <v>0</v>
      </c>
    </row>
    <row r="94" spans="1:6" x14ac:dyDescent="0.3">
      <c r="A94" s="318">
        <v>150000569</v>
      </c>
      <c r="B94" s="424" t="s">
        <v>72</v>
      </c>
      <c r="C94" s="29">
        <f>VLOOKUP($A94,'зарплата в цінах'!$A$2:$F$397,3)</f>
        <v>0</v>
      </c>
      <c r="D94" s="29">
        <f>VLOOKUP($A94,'зарплата в цінах'!$A$2:$F$397,4)</f>
        <v>0</v>
      </c>
      <c r="E94" s="29">
        <f>VLOOKUP($A94,'зарплата в цінах'!$A$2:$F$397,5)</f>
        <v>0</v>
      </c>
      <c r="F94" s="29">
        <f>VLOOKUP($A94,'зарплата в цінах'!$A$2:$F$397,6)</f>
        <v>0</v>
      </c>
    </row>
    <row r="95" spans="1:6" x14ac:dyDescent="0.3">
      <c r="A95" s="318">
        <v>150000562</v>
      </c>
      <c r="B95" s="424" t="s">
        <v>73</v>
      </c>
      <c r="C95" s="29">
        <f>VLOOKUP($A95,'зарплата в цінах'!$A$2:$F$397,3)</f>
        <v>0</v>
      </c>
      <c r="D95" s="29">
        <f>VLOOKUP($A95,'зарплата в цінах'!$A$2:$F$397,4)</f>
        <v>0</v>
      </c>
      <c r="E95" s="29">
        <f>VLOOKUP($A95,'зарплата в цінах'!$A$2:$F$397,5)</f>
        <v>0</v>
      </c>
      <c r="F95" s="29">
        <f>VLOOKUP($A95,'зарплата в цінах'!$A$2:$F$397,6)</f>
        <v>0</v>
      </c>
    </row>
    <row r="96" spans="1:6" x14ac:dyDescent="0.3">
      <c r="A96" s="318">
        <v>150000570</v>
      </c>
      <c r="B96" s="424" t="s">
        <v>74</v>
      </c>
      <c r="C96" s="29">
        <f>VLOOKUP($A96,'зарплата в цінах'!$A$2:$F$397,3)</f>
        <v>0</v>
      </c>
      <c r="D96" s="29">
        <f>VLOOKUP($A96,'зарплата в цінах'!$A$2:$F$397,4)</f>
        <v>0</v>
      </c>
      <c r="E96" s="29">
        <f>VLOOKUP($A96,'зарплата в цінах'!$A$2:$F$397,5)</f>
        <v>0</v>
      </c>
      <c r="F96" s="29">
        <f>VLOOKUP($A96,'зарплата в цінах'!$A$2:$F$397,6)</f>
        <v>0</v>
      </c>
    </row>
    <row r="97" spans="1:6" x14ac:dyDescent="0.3">
      <c r="A97" s="318">
        <v>150000572</v>
      </c>
      <c r="B97" s="250" t="s">
        <v>152</v>
      </c>
      <c r="C97" s="29">
        <f>VLOOKUP($A97,'зарплата в цінах'!$A$2:$F$397,3)</f>
        <v>36.22</v>
      </c>
      <c r="D97" s="29">
        <f>VLOOKUP($A97,'зарплата в цінах'!$A$2:$F$397,4)</f>
        <v>6.85</v>
      </c>
      <c r="E97" s="29">
        <f>VLOOKUP($A97,'зарплата в цінах'!$A$2:$F$397,5)</f>
        <v>0</v>
      </c>
      <c r="F97" s="29">
        <f>VLOOKUP($A97,'зарплата в цінах'!$A$2:$F$397,6)</f>
        <v>0.99</v>
      </c>
    </row>
    <row r="98" spans="1:6" x14ac:dyDescent="0.3">
      <c r="A98" s="318">
        <v>150000573</v>
      </c>
      <c r="B98" s="424" t="s">
        <v>75</v>
      </c>
      <c r="C98" s="29">
        <f>VLOOKUP($A98,'зарплата в цінах'!$A$2:$F$397,3)</f>
        <v>0</v>
      </c>
      <c r="D98" s="29">
        <f>VLOOKUP($A98,'зарплата в цінах'!$A$2:$F$397,4)</f>
        <v>0</v>
      </c>
      <c r="E98" s="29">
        <f>VLOOKUP($A98,'зарплата в цінах'!$A$2:$F$397,5)</f>
        <v>0</v>
      </c>
      <c r="F98" s="29">
        <f>VLOOKUP($A98,'зарплата в цінах'!$A$2:$F$397,6)</f>
        <v>0</v>
      </c>
    </row>
    <row r="99" spans="1:6" x14ac:dyDescent="0.3">
      <c r="A99" s="318">
        <v>150000658</v>
      </c>
      <c r="B99" s="250" t="s">
        <v>351</v>
      </c>
      <c r="C99" s="29">
        <f>VLOOKUP($A99,'зарплата в цінах'!$A$2:$F$397,3)</f>
        <v>526.03</v>
      </c>
      <c r="D99" s="29">
        <f>VLOOKUP($A99,'зарплата в цінах'!$A$2:$F$397,4)</f>
        <v>94.94</v>
      </c>
      <c r="E99" s="29">
        <f>VLOOKUP($A99,'зарплата в цінах'!$A$2:$F$397,5)</f>
        <v>26.37</v>
      </c>
      <c r="F99" s="29">
        <f>VLOOKUP($A99,'зарплата в цінах'!$A$2:$F$397,6)</f>
        <v>309.33999999999997</v>
      </c>
    </row>
    <row r="100" spans="1:6" x14ac:dyDescent="0.3">
      <c r="A100" s="318">
        <v>150000659</v>
      </c>
      <c r="B100" s="250" t="s">
        <v>413</v>
      </c>
      <c r="C100" s="29">
        <f>VLOOKUP($A100,'зарплата в цінах'!$A$2:$F$397,3)</f>
        <v>286.45999999999998</v>
      </c>
      <c r="D100" s="29">
        <f>VLOOKUP($A100,'зарплата в цінах'!$A$2:$F$397,4)</f>
        <v>51.38</v>
      </c>
      <c r="E100" s="29">
        <f>VLOOKUP($A100,'зарплата в цінах'!$A$2:$F$397,5)</f>
        <v>8.99</v>
      </c>
      <c r="F100" s="29">
        <f>VLOOKUP($A100,'зарплата в цінах'!$A$2:$F$397,6)</f>
        <v>94.84</v>
      </c>
    </row>
    <row r="101" spans="1:6" x14ac:dyDescent="0.3">
      <c r="A101" s="318">
        <v>150000660</v>
      </c>
      <c r="B101" s="250" t="s">
        <v>414</v>
      </c>
      <c r="C101" s="29">
        <f>VLOOKUP($A101,'зарплата в цінах'!$A$2:$F$397,3)</f>
        <v>516.29</v>
      </c>
      <c r="D101" s="29">
        <f>VLOOKUP($A101,'зарплата в цінах'!$A$2:$F$397,4)</f>
        <v>100.69</v>
      </c>
      <c r="E101" s="29">
        <f>VLOOKUP($A101,'зарплата в цінах'!$A$2:$F$397,5)</f>
        <v>28.17</v>
      </c>
      <c r="F101" s="29">
        <f>VLOOKUP($A101,'зарплата в цінах'!$A$2:$F$397,6)</f>
        <v>195.92</v>
      </c>
    </row>
    <row r="102" spans="1:6" x14ac:dyDescent="0.3">
      <c r="A102" s="318">
        <v>150000597</v>
      </c>
      <c r="B102" s="250" t="s">
        <v>352</v>
      </c>
      <c r="C102" s="29">
        <f>VLOOKUP($A102,'зарплата в цінах'!$A$2:$F$397,3)</f>
        <v>431.71</v>
      </c>
      <c r="D102" s="29">
        <f>VLOOKUP($A102,'зарплата в цінах'!$A$2:$F$397,4)</f>
        <v>73.790000000000006</v>
      </c>
      <c r="E102" s="29">
        <f>VLOOKUP($A102,'зарплата в цінах'!$A$2:$F$397,5)</f>
        <v>26.37</v>
      </c>
      <c r="F102" s="29">
        <f>VLOOKUP($A102,'зарплата в цінах'!$A$2:$F$397,6)</f>
        <v>306.10000000000002</v>
      </c>
    </row>
    <row r="103" spans="1:6" x14ac:dyDescent="0.3">
      <c r="A103" s="318">
        <v>150000598</v>
      </c>
      <c r="B103" s="424" t="s">
        <v>76</v>
      </c>
      <c r="C103" s="29">
        <f>VLOOKUP($A103,'зарплата в цінах'!$A$2:$F$397,3)</f>
        <v>5.03</v>
      </c>
      <c r="D103" s="29">
        <f>VLOOKUP($A103,'зарплата в цінах'!$A$2:$F$397,4)</f>
        <v>0</v>
      </c>
      <c r="E103" s="29">
        <f>VLOOKUP($A103,'зарплата в цінах'!$A$2:$F$397,5)</f>
        <v>0</v>
      </c>
      <c r="F103" s="29">
        <f>VLOOKUP($A103,'зарплата в цінах'!$A$2:$F$397,6)</f>
        <v>0</v>
      </c>
    </row>
    <row r="104" spans="1:6" x14ac:dyDescent="0.3">
      <c r="A104" s="318">
        <v>150000592</v>
      </c>
      <c r="B104" s="250" t="s">
        <v>353</v>
      </c>
      <c r="C104" s="29">
        <f>VLOOKUP($A104,'зарплата в цінах'!$A$2:$F$397,3)</f>
        <v>828.32</v>
      </c>
      <c r="D104" s="29">
        <f>VLOOKUP($A104,'зарплата в цінах'!$A$2:$F$397,4)</f>
        <v>139.26</v>
      </c>
      <c r="E104" s="29">
        <f>VLOOKUP($A104,'зарплата в цінах'!$A$2:$F$397,5)</f>
        <v>155.84</v>
      </c>
      <c r="F104" s="29">
        <f>VLOOKUP($A104,'зарплата в цінах'!$A$2:$F$397,6)</f>
        <v>673.5</v>
      </c>
    </row>
    <row r="105" spans="1:6" x14ac:dyDescent="0.3">
      <c r="A105" s="318">
        <v>150000599</v>
      </c>
      <c r="B105" s="424" t="s">
        <v>77</v>
      </c>
      <c r="C105" s="29">
        <f>VLOOKUP($A105,'зарплата в цінах'!$A$2:$F$397,3)</f>
        <v>0</v>
      </c>
      <c r="D105" s="29">
        <f>VLOOKUP($A105,'зарплата в цінах'!$A$2:$F$397,4)</f>
        <v>0</v>
      </c>
      <c r="E105" s="29">
        <f>VLOOKUP($A105,'зарплата в цінах'!$A$2:$F$397,5)</f>
        <v>0</v>
      </c>
      <c r="F105" s="29">
        <f>VLOOKUP($A105,'зарплата в цінах'!$A$2:$F$397,6)</f>
        <v>0</v>
      </c>
    </row>
    <row r="106" spans="1:6" x14ac:dyDescent="0.3">
      <c r="A106" s="318">
        <v>150000601</v>
      </c>
      <c r="B106" s="424" t="s">
        <v>78</v>
      </c>
      <c r="C106" s="29">
        <f>VLOOKUP($A106,'зарплата в цінах'!$A$2:$F$397,3)</f>
        <v>0</v>
      </c>
      <c r="D106" s="29">
        <f>VLOOKUP($A106,'зарплата в цінах'!$A$2:$F$397,4)</f>
        <v>0</v>
      </c>
      <c r="E106" s="29">
        <f>VLOOKUP($A106,'зарплата в цінах'!$A$2:$F$397,5)</f>
        <v>0</v>
      </c>
      <c r="F106" s="29">
        <f>VLOOKUP($A106,'зарплата в цінах'!$A$2:$F$397,6)</f>
        <v>0</v>
      </c>
    </row>
    <row r="107" spans="1:6" x14ac:dyDescent="0.3">
      <c r="A107" s="318">
        <v>150000593</v>
      </c>
      <c r="B107" s="250" t="s">
        <v>255</v>
      </c>
      <c r="C107" s="29">
        <f>VLOOKUP($A107,'зарплата в цінах'!$A$2:$F$397,3)</f>
        <v>206.64</v>
      </c>
      <c r="D107" s="29">
        <f>VLOOKUP($A107,'зарплата в цінах'!$A$2:$F$397,4)</f>
        <v>39.57</v>
      </c>
      <c r="E107" s="29">
        <f>VLOOKUP($A107,'зарплата в цінах'!$A$2:$F$397,5)</f>
        <v>0</v>
      </c>
      <c r="F107" s="29">
        <f>VLOOKUP($A107,'зарплата в цінах'!$A$2:$F$397,6)</f>
        <v>98.29</v>
      </c>
    </row>
    <row r="108" spans="1:6" x14ac:dyDescent="0.3">
      <c r="A108" s="318">
        <v>150000594</v>
      </c>
      <c r="B108" s="250" t="s">
        <v>354</v>
      </c>
      <c r="C108" s="29">
        <f>VLOOKUP($A108,'зарплата в цінах'!$A$2:$F$397,3)</f>
        <v>818.61</v>
      </c>
      <c r="D108" s="29">
        <f>VLOOKUP($A108,'зарплата в цінах'!$A$2:$F$397,4)</f>
        <v>139.26</v>
      </c>
      <c r="E108" s="29">
        <f>VLOOKUP($A108,'зарплата в цінах'!$A$2:$F$397,5)</f>
        <v>155.84</v>
      </c>
      <c r="F108" s="29">
        <f>VLOOKUP($A108,'зарплата в цінах'!$A$2:$F$397,6)</f>
        <v>673.5</v>
      </c>
    </row>
    <row r="109" spans="1:6" x14ac:dyDescent="0.3">
      <c r="A109" s="318">
        <v>150000834</v>
      </c>
      <c r="B109" s="424" t="s">
        <v>79</v>
      </c>
      <c r="C109" s="29">
        <f>VLOOKUP($A109,'зарплата в цінах'!$A$2:$F$397,3)</f>
        <v>0</v>
      </c>
      <c r="D109" s="29">
        <f>VLOOKUP($A109,'зарплата в цінах'!$A$2:$F$397,4)</f>
        <v>0</v>
      </c>
      <c r="E109" s="29">
        <f>VLOOKUP($A109,'зарплата в цінах'!$A$2:$F$397,5)</f>
        <v>0</v>
      </c>
      <c r="F109" s="29">
        <f>VLOOKUP($A109,'зарплата в цінах'!$A$2:$F$397,6)</f>
        <v>0</v>
      </c>
    </row>
    <row r="110" spans="1:6" x14ac:dyDescent="0.3">
      <c r="A110" s="318">
        <v>150000627</v>
      </c>
      <c r="B110" s="250" t="s">
        <v>355</v>
      </c>
      <c r="C110" s="29">
        <f>VLOOKUP($A110,'зарплата в цінах'!$A$2:$F$397,3)</f>
        <v>330.87</v>
      </c>
      <c r="D110" s="29">
        <f>VLOOKUP($A110,'зарплата в цінах'!$A$2:$F$397,4)</f>
        <v>67.03</v>
      </c>
      <c r="E110" s="29">
        <f>VLOOKUP($A110,'зарплата в цінах'!$A$2:$F$397,5)</f>
        <v>26.37</v>
      </c>
      <c r="F110" s="29">
        <f>VLOOKUP($A110,'зарплата в цінах'!$A$2:$F$397,6)</f>
        <v>237.95</v>
      </c>
    </row>
    <row r="111" spans="1:6" x14ac:dyDescent="0.3">
      <c r="A111" s="318">
        <v>150000628</v>
      </c>
      <c r="B111" s="250" t="s">
        <v>356</v>
      </c>
      <c r="C111" s="29">
        <f>VLOOKUP($A111,'зарплата в цінах'!$A$2:$F$397,3)</f>
        <v>525.76</v>
      </c>
      <c r="D111" s="29">
        <f>VLOOKUP($A111,'зарплата в цінах'!$A$2:$F$397,4)</f>
        <v>81.77</v>
      </c>
      <c r="E111" s="29">
        <f>VLOOKUP($A111,'зарплата в цінах'!$A$2:$F$397,5)</f>
        <v>26.37</v>
      </c>
      <c r="F111" s="29">
        <f>VLOOKUP($A111,'зарплата в цінах'!$A$2:$F$397,6)</f>
        <v>189.02</v>
      </c>
    </row>
    <row r="112" spans="1:6" x14ac:dyDescent="0.3">
      <c r="A112" s="318">
        <v>150000625</v>
      </c>
      <c r="B112" s="250" t="s">
        <v>415</v>
      </c>
      <c r="C112" s="29">
        <f>VLOOKUP($A112,'зарплата в цінах'!$A$2:$F$397,3)</f>
        <v>573.45000000000005</v>
      </c>
      <c r="D112" s="29">
        <f>VLOOKUP($A112,'зарплата в цінах'!$A$2:$F$397,4)</f>
        <v>89.41</v>
      </c>
      <c r="E112" s="29">
        <f>VLOOKUP($A112,'зарплата в цінах'!$A$2:$F$397,5)</f>
        <v>28.17</v>
      </c>
      <c r="F112" s="29">
        <f>VLOOKUP($A112,'зарплата в цінах'!$A$2:$F$397,6)</f>
        <v>207.62</v>
      </c>
    </row>
    <row r="113" spans="1:6" x14ac:dyDescent="0.3">
      <c r="A113" s="318">
        <v>150000629</v>
      </c>
      <c r="B113" s="250" t="s">
        <v>357</v>
      </c>
      <c r="C113" s="29">
        <f>VLOOKUP($A113,'зарплата в цінах'!$A$2:$F$397,3)</f>
        <v>807.59</v>
      </c>
      <c r="D113" s="29">
        <f>VLOOKUP($A113,'зарплата в цінах'!$A$2:$F$397,4)</f>
        <v>135.28</v>
      </c>
      <c r="E113" s="29">
        <f>VLOOKUP($A113,'зарплата в цінах'!$A$2:$F$397,5)</f>
        <v>155.84</v>
      </c>
      <c r="F113" s="29">
        <f>VLOOKUP($A113,'зарплата в цінах'!$A$2:$F$397,6)</f>
        <v>610.46</v>
      </c>
    </row>
    <row r="114" spans="1:6" x14ac:dyDescent="0.3">
      <c r="A114" s="318">
        <v>150000626</v>
      </c>
      <c r="B114" s="250" t="s">
        <v>358</v>
      </c>
      <c r="C114" s="29">
        <f>VLOOKUP($A114,'зарплата в цінах'!$A$2:$F$397,3)</f>
        <v>655.55</v>
      </c>
      <c r="D114" s="29">
        <f>VLOOKUP($A114,'зарплата в цінах'!$A$2:$F$397,4)</f>
        <v>133.35</v>
      </c>
      <c r="E114" s="29">
        <f>VLOOKUP($A114,'зарплата в цінах'!$A$2:$F$397,5)</f>
        <v>77.92</v>
      </c>
      <c r="F114" s="29">
        <f>VLOOKUP($A114,'зарплата в цінах'!$A$2:$F$397,6)</f>
        <v>545.04</v>
      </c>
    </row>
    <row r="115" spans="1:6" x14ac:dyDescent="0.3">
      <c r="A115" s="318">
        <v>150000603</v>
      </c>
      <c r="B115" s="250" t="s">
        <v>153</v>
      </c>
      <c r="C115" s="29">
        <f>VLOOKUP($A115,'зарплата в цінах'!$A$2:$F$397,3)</f>
        <v>65.55</v>
      </c>
      <c r="D115" s="29">
        <f>VLOOKUP($A115,'зарплата в цінах'!$A$2:$F$397,4)</f>
        <v>11.83</v>
      </c>
      <c r="E115" s="29">
        <f>VLOOKUP($A115,'зарплата в цінах'!$A$2:$F$397,5)</f>
        <v>0</v>
      </c>
      <c r="F115" s="29">
        <f>VLOOKUP($A115,'зарплата в цінах'!$A$2:$F$397,6)</f>
        <v>28.83</v>
      </c>
    </row>
    <row r="116" spans="1:6" x14ac:dyDescent="0.3">
      <c r="A116" s="318">
        <v>150001562</v>
      </c>
      <c r="B116" s="250" t="s">
        <v>208</v>
      </c>
      <c r="C116" s="29">
        <f>VLOOKUP($A116,'зарплата в цінах'!$A$2:$F$397,3)</f>
        <v>299.58</v>
      </c>
      <c r="D116" s="29">
        <f>VLOOKUP($A116,'зарплата в цінах'!$A$2:$F$397,4)</f>
        <v>31.84</v>
      </c>
      <c r="E116" s="29">
        <f>VLOOKUP($A116,'зарплата в цінах'!$A$2:$F$397,5)</f>
        <v>0</v>
      </c>
      <c r="F116" s="29">
        <f>VLOOKUP($A116,'зарплата в цінах'!$A$2:$F$397,6)</f>
        <v>83.71</v>
      </c>
    </row>
    <row r="117" spans="1:6" x14ac:dyDescent="0.3">
      <c r="A117" s="318">
        <v>150000604</v>
      </c>
      <c r="B117" s="250" t="s">
        <v>154</v>
      </c>
      <c r="C117" s="29">
        <f>VLOOKUP($A117,'зарплата в цінах'!$A$2:$F$397,3)</f>
        <v>65.06</v>
      </c>
      <c r="D117" s="29">
        <f>VLOOKUP($A117,'зарплата в цінах'!$A$2:$F$397,4)</f>
        <v>11.67</v>
      </c>
      <c r="E117" s="29">
        <f>VLOOKUP($A117,'зарплата в цінах'!$A$2:$F$397,5)</f>
        <v>0</v>
      </c>
      <c r="F117" s="29">
        <f>VLOOKUP($A117,'зарплата в цінах'!$A$2:$F$397,6)</f>
        <v>28.77</v>
      </c>
    </row>
    <row r="118" spans="1:6" x14ac:dyDescent="0.3">
      <c r="A118" s="318">
        <v>150000605</v>
      </c>
      <c r="B118" s="250" t="s">
        <v>155</v>
      </c>
      <c r="C118" s="29">
        <f>VLOOKUP($A118,'зарплата в цінах'!$A$2:$F$397,3)</f>
        <v>33.634999999999998</v>
      </c>
      <c r="D118" s="29">
        <f>VLOOKUP($A118,'зарплата в цінах'!$A$2:$F$397,4)</f>
        <v>13.82</v>
      </c>
      <c r="E118" s="29">
        <f>VLOOKUP($A118,'зарплата в цінах'!$A$2:$F$397,5)</f>
        <v>0</v>
      </c>
      <c r="F118" s="29">
        <f>VLOOKUP($A118,'зарплата в цінах'!$A$2:$F$397,6)</f>
        <v>12.33</v>
      </c>
    </row>
    <row r="119" spans="1:6" x14ac:dyDescent="0.3">
      <c r="A119" s="318">
        <v>150000606</v>
      </c>
      <c r="B119" s="250" t="s">
        <v>156</v>
      </c>
      <c r="C119" s="29">
        <f>VLOOKUP($A119,'зарплата в цінах'!$A$2:$F$397,3)</f>
        <v>68.73</v>
      </c>
      <c r="D119" s="29">
        <f>VLOOKUP($A119,'зарплата в цінах'!$A$2:$F$397,4)</f>
        <v>24.87</v>
      </c>
      <c r="E119" s="29">
        <f>VLOOKUP($A119,'зарплата в цінах'!$A$2:$F$397,5)</f>
        <v>0</v>
      </c>
      <c r="F119" s="29">
        <f>VLOOKUP($A119,'зарплата в цінах'!$A$2:$F$397,6)</f>
        <v>24.734999999999999</v>
      </c>
    </row>
    <row r="120" spans="1:6" x14ac:dyDescent="0.3">
      <c r="A120" s="318">
        <v>150000607</v>
      </c>
      <c r="B120" s="250" t="s">
        <v>157</v>
      </c>
      <c r="C120" s="29">
        <f>VLOOKUP($A120,'зарплата в цінах'!$A$2:$F$397,3)</f>
        <v>143.61000000000001</v>
      </c>
      <c r="D120" s="29">
        <f>VLOOKUP($A120,'зарплата в цінах'!$A$2:$F$397,4)</f>
        <v>29.85</v>
      </c>
      <c r="E120" s="29">
        <f>VLOOKUP($A120,'зарплата в цінах'!$A$2:$F$397,5)</f>
        <v>0</v>
      </c>
      <c r="F120" s="29">
        <f>VLOOKUP($A120,'зарплата в цінах'!$A$2:$F$397,6)</f>
        <v>49.47</v>
      </c>
    </row>
    <row r="121" spans="1:6" x14ac:dyDescent="0.3">
      <c r="A121" s="318">
        <v>150000608</v>
      </c>
      <c r="B121" s="250" t="s">
        <v>158</v>
      </c>
      <c r="C121" s="29">
        <f>VLOOKUP($A121,'зарплата в цінах'!$A$2:$F$397,3)</f>
        <v>108.38</v>
      </c>
      <c r="D121" s="29">
        <f>VLOOKUP($A121,'зарплата в цінах'!$A$2:$F$397,4)</f>
        <v>24.98</v>
      </c>
      <c r="E121" s="29">
        <f>VLOOKUP($A121,'зарплата в цінах'!$A$2:$F$397,5)</f>
        <v>0</v>
      </c>
      <c r="F121" s="29">
        <f>VLOOKUP($A121,'зарплата в цінах'!$A$2:$F$397,6)</f>
        <v>36.61</v>
      </c>
    </row>
    <row r="122" spans="1:6" x14ac:dyDescent="0.3">
      <c r="A122" s="318">
        <v>150000609</v>
      </c>
      <c r="B122" s="250" t="s">
        <v>159</v>
      </c>
      <c r="C122" s="29">
        <f>VLOOKUP($A122,'зарплата в цінах'!$A$2:$F$397,3)</f>
        <v>68.92</v>
      </c>
      <c r="D122" s="29">
        <f>VLOOKUP($A122,'зарплата в цінах'!$A$2:$F$397,4)</f>
        <v>23.99</v>
      </c>
      <c r="E122" s="29">
        <f>VLOOKUP($A122,'зарплата в цінах'!$A$2:$F$397,5)</f>
        <v>0</v>
      </c>
      <c r="F122" s="29">
        <f>VLOOKUP($A122,'зарплата в цінах'!$A$2:$F$397,6)</f>
        <v>36.61</v>
      </c>
    </row>
    <row r="123" spans="1:6" x14ac:dyDescent="0.3">
      <c r="A123" s="318">
        <v>150000610</v>
      </c>
      <c r="B123" s="250" t="s">
        <v>160</v>
      </c>
      <c r="C123" s="29">
        <f>VLOOKUP($A123,'зарплата в цінах'!$A$2:$F$397,3)</f>
        <v>31.589999999999996</v>
      </c>
      <c r="D123" s="29">
        <f>VLOOKUP($A123,'зарплата в цінах'!$A$2:$F$397,4)</f>
        <v>20.010000000000002</v>
      </c>
      <c r="E123" s="29">
        <f>VLOOKUP($A123,'зарплата в цінах'!$A$2:$F$397,5)</f>
        <v>0</v>
      </c>
      <c r="F123" s="29">
        <f>VLOOKUP($A123,'зарплата в цінах'!$A$2:$F$397,6)</f>
        <v>18.02</v>
      </c>
    </row>
    <row r="124" spans="1:6" x14ac:dyDescent="0.3">
      <c r="A124" s="318">
        <v>150000611</v>
      </c>
      <c r="B124" s="250" t="s">
        <v>195</v>
      </c>
      <c r="C124" s="29">
        <f>VLOOKUP($A124,'зарплата в цінах'!$A$2:$F$397,3)</f>
        <v>152.22</v>
      </c>
      <c r="D124" s="29">
        <f>VLOOKUP($A124,'зарплата в цінах'!$A$2:$F$397,4)</f>
        <v>33.01</v>
      </c>
      <c r="E124" s="29">
        <f>VLOOKUP($A124,'зарплата в цінах'!$A$2:$F$397,5)</f>
        <v>0</v>
      </c>
      <c r="F124" s="29">
        <f>VLOOKUP($A124,'зарплата в цінах'!$A$2:$F$397,6)</f>
        <v>59.15</v>
      </c>
    </row>
    <row r="125" spans="1:6" x14ac:dyDescent="0.3">
      <c r="A125" s="318">
        <v>150000623</v>
      </c>
      <c r="B125" s="250" t="s">
        <v>209</v>
      </c>
      <c r="C125" s="29">
        <f>VLOOKUP($A125,'зарплата в цінах'!$A$2:$F$397,3)</f>
        <v>178.06</v>
      </c>
      <c r="D125" s="29">
        <f>VLOOKUP($A125,'зарплата в цінах'!$A$2:$F$397,4)</f>
        <v>31.62</v>
      </c>
      <c r="E125" s="29">
        <f>VLOOKUP($A125,'зарплата в цінах'!$A$2:$F$397,5)</f>
        <v>0</v>
      </c>
      <c r="F125" s="29">
        <f>VLOOKUP($A125,'зарплата в цінах'!$A$2:$F$397,6)</f>
        <v>88.33</v>
      </c>
    </row>
    <row r="126" spans="1:6" x14ac:dyDescent="0.3">
      <c r="A126" s="318">
        <v>150000612</v>
      </c>
      <c r="B126" s="250" t="s">
        <v>161</v>
      </c>
      <c r="C126" s="29">
        <f>VLOOKUP($A126,'зарплата в цінах'!$A$2:$F$397,3)</f>
        <v>59.39</v>
      </c>
      <c r="D126" s="29">
        <f>VLOOKUP($A126,'зарплата в цінах'!$A$2:$F$397,4)</f>
        <v>23.32</v>
      </c>
      <c r="E126" s="29">
        <f>VLOOKUP($A126,'зарплата в цінах'!$A$2:$F$397,5)</f>
        <v>0</v>
      </c>
      <c r="F126" s="29">
        <f>VLOOKUP($A126,'зарплата в цінах'!$A$2:$F$397,6)</f>
        <v>36.61</v>
      </c>
    </row>
    <row r="127" spans="1:6" x14ac:dyDescent="0.3">
      <c r="A127" s="318">
        <v>150000613</v>
      </c>
      <c r="B127" s="250" t="s">
        <v>210</v>
      </c>
      <c r="C127" s="29">
        <f>VLOOKUP($A127,'зарплата в цінах'!$A$2:$F$397,3)</f>
        <v>171.21</v>
      </c>
      <c r="D127" s="29">
        <f>VLOOKUP($A127,'зарплата в цінах'!$A$2:$F$397,4)</f>
        <v>31.46</v>
      </c>
      <c r="E127" s="29">
        <f>VLOOKUP($A127,'зарплата в цінах'!$A$2:$F$397,5)</f>
        <v>0</v>
      </c>
      <c r="F127" s="29">
        <f>VLOOKUP($A127,'зарплата в цінах'!$A$2:$F$397,6)</f>
        <v>89.12</v>
      </c>
    </row>
    <row r="128" spans="1:6" x14ac:dyDescent="0.3">
      <c r="A128" s="318">
        <v>150000614</v>
      </c>
      <c r="B128" s="250" t="s">
        <v>162</v>
      </c>
      <c r="C128" s="29">
        <f>VLOOKUP($A128,'зарплата в цінах'!$A$2:$F$397,3)</f>
        <v>51.92</v>
      </c>
      <c r="D128" s="29">
        <f>VLOOKUP($A128,'зарплата в цінах'!$A$2:$F$397,4)</f>
        <v>18.53</v>
      </c>
      <c r="E128" s="29">
        <f>VLOOKUP($A128,'зарплата в цінах'!$A$2:$F$397,5)</f>
        <v>0</v>
      </c>
      <c r="F128" s="29">
        <f>VLOOKUP($A128,'зарплата в цінах'!$A$2:$F$397,6)</f>
        <v>28.215</v>
      </c>
    </row>
    <row r="129" spans="1:6" x14ac:dyDescent="0.3">
      <c r="A129" s="318">
        <v>150000615</v>
      </c>
      <c r="B129" s="250" t="s">
        <v>256</v>
      </c>
      <c r="C129" s="29">
        <f>VLOOKUP($A129,'зарплата в цінах'!$A$2:$F$397,3)</f>
        <v>304.56</v>
      </c>
      <c r="D129" s="29">
        <f>VLOOKUP($A129,'зарплата в цінах'!$A$2:$F$397,4)</f>
        <v>58.37</v>
      </c>
      <c r="E129" s="29">
        <f>VLOOKUP($A129,'зарплата в цінах'!$A$2:$F$397,5)</f>
        <v>0</v>
      </c>
      <c r="F129" s="29">
        <f>VLOOKUP($A129,'зарплата в цінах'!$A$2:$F$397,6)</f>
        <v>157.76</v>
      </c>
    </row>
    <row r="130" spans="1:6" x14ac:dyDescent="0.3">
      <c r="A130" s="318">
        <v>150000616</v>
      </c>
      <c r="B130" s="250" t="s">
        <v>257</v>
      </c>
      <c r="C130" s="29">
        <f>VLOOKUP($A130,'зарплата в цінах'!$A$2:$F$397,3)</f>
        <v>205.67</v>
      </c>
      <c r="D130" s="29">
        <f>VLOOKUP($A130,'зарплата в цінах'!$A$2:$F$397,4)</f>
        <v>39.42</v>
      </c>
      <c r="E130" s="29">
        <f>VLOOKUP($A130,'зарплата в цінах'!$A$2:$F$397,5)</f>
        <v>0</v>
      </c>
      <c r="F130" s="29">
        <f>VLOOKUP($A130,'зарплата в цінах'!$A$2:$F$397,6)</f>
        <v>99.48</v>
      </c>
    </row>
    <row r="131" spans="1:6" x14ac:dyDescent="0.3">
      <c r="A131" s="318">
        <v>150000618</v>
      </c>
      <c r="B131" s="250" t="s">
        <v>416</v>
      </c>
      <c r="C131" s="29">
        <f>VLOOKUP($A131,'зарплата в цінах'!$A$2:$F$397,3)</f>
        <v>273.3</v>
      </c>
      <c r="D131" s="29">
        <f>VLOOKUP($A131,'зарплата в цінах'!$A$2:$F$397,4)</f>
        <v>43.12</v>
      </c>
      <c r="E131" s="29">
        <f>VLOOKUP($A131,'зарплата в цінах'!$A$2:$F$397,5)</f>
        <v>14.09</v>
      </c>
      <c r="F131" s="29">
        <f>VLOOKUP($A131,'зарплата в цінах'!$A$2:$F$397,6)</f>
        <v>99.83</v>
      </c>
    </row>
    <row r="132" spans="1:6" x14ac:dyDescent="0.3">
      <c r="A132" s="318">
        <v>150000619</v>
      </c>
      <c r="B132" s="250" t="s">
        <v>359</v>
      </c>
      <c r="C132" s="29">
        <f>VLOOKUP($A132,'зарплата в цінах'!$A$2:$F$397,3)</f>
        <v>526.1</v>
      </c>
      <c r="D132" s="29">
        <f>VLOOKUP($A132,'зарплата в цінах'!$A$2:$F$397,4)</f>
        <v>81.08</v>
      </c>
      <c r="E132" s="29">
        <f>VLOOKUP($A132,'зарплата в цінах'!$A$2:$F$397,5)</f>
        <v>26.37</v>
      </c>
      <c r="F132" s="29">
        <f>VLOOKUP($A132,'зарплата в цінах'!$A$2:$F$397,6)</f>
        <v>184.93</v>
      </c>
    </row>
    <row r="133" spans="1:6" x14ac:dyDescent="0.3">
      <c r="A133" s="318">
        <v>150000621</v>
      </c>
      <c r="B133" s="424" t="s">
        <v>80</v>
      </c>
      <c r="C133" s="29">
        <f>VLOOKUP($A133,'зарплата в цінах'!$A$2:$F$397,3)</f>
        <v>0</v>
      </c>
      <c r="D133" s="29">
        <f>VLOOKUP($A133,'зарплата в цінах'!$A$2:$F$397,4)</f>
        <v>0</v>
      </c>
      <c r="E133" s="29">
        <f>VLOOKUP($A133,'зарплата в цінах'!$A$2:$F$397,5)</f>
        <v>0</v>
      </c>
      <c r="F133" s="29">
        <f>VLOOKUP($A133,'зарплата в цінах'!$A$2:$F$397,6)</f>
        <v>0</v>
      </c>
    </row>
    <row r="134" spans="1:6" x14ac:dyDescent="0.3">
      <c r="A134" s="318">
        <v>150000622</v>
      </c>
      <c r="B134" s="424" t="s">
        <v>81</v>
      </c>
      <c r="C134" s="29">
        <f>VLOOKUP($A134,'зарплата в цінах'!$A$2:$F$397,3)</f>
        <v>0</v>
      </c>
      <c r="D134" s="29">
        <f>VLOOKUP($A134,'зарплата в цінах'!$A$2:$F$397,4)</f>
        <v>0</v>
      </c>
      <c r="E134" s="29">
        <f>VLOOKUP($A134,'зарплата в цінах'!$A$2:$F$397,5)</f>
        <v>0</v>
      </c>
      <c r="F134" s="29">
        <f>VLOOKUP($A134,'зарплата в цінах'!$A$2:$F$397,6)</f>
        <v>0</v>
      </c>
    </row>
    <row r="135" spans="1:6" x14ac:dyDescent="0.3">
      <c r="A135" s="318">
        <v>150000587</v>
      </c>
      <c r="B135" s="424" t="s">
        <v>82</v>
      </c>
      <c r="C135" s="29">
        <f>VLOOKUP($A135,'зарплата в цінах'!$A$2:$F$397,3)</f>
        <v>0</v>
      </c>
      <c r="D135" s="29">
        <f>VLOOKUP($A135,'зарплата в цінах'!$A$2:$F$397,4)</f>
        <v>0</v>
      </c>
      <c r="E135" s="29">
        <f>VLOOKUP($A135,'зарплата в цінах'!$A$2:$F$397,5)</f>
        <v>0</v>
      </c>
      <c r="F135" s="29">
        <f>VLOOKUP($A135,'зарплата в цінах'!$A$2:$F$397,6)</f>
        <v>0</v>
      </c>
    </row>
    <row r="136" spans="1:6" x14ac:dyDescent="0.3">
      <c r="A136" s="318">
        <v>150000590</v>
      </c>
      <c r="B136" s="250" t="s">
        <v>163</v>
      </c>
      <c r="C136" s="29">
        <f>VLOOKUP($A136,'зарплата в цінах'!$A$2:$F$397,3)</f>
        <v>69.58</v>
      </c>
      <c r="D136" s="29">
        <f>VLOOKUP($A136,'зарплата в цінах'!$A$2:$F$397,4)</f>
        <v>14.19</v>
      </c>
      <c r="E136" s="29">
        <f>VLOOKUP($A136,'зарплата в цінах'!$A$2:$F$397,5)</f>
        <v>0</v>
      </c>
      <c r="F136" s="29">
        <f>VLOOKUP($A136,'зарплата в цінах'!$A$2:$F$397,6)</f>
        <v>21.41</v>
      </c>
    </row>
    <row r="137" spans="1:6" x14ac:dyDescent="0.3">
      <c r="A137" s="318">
        <v>150000578</v>
      </c>
      <c r="B137" s="424" t="s">
        <v>83</v>
      </c>
      <c r="C137" s="29">
        <f>VLOOKUP($A137,'зарплата в цінах'!$A$2:$F$397,3)</f>
        <v>0</v>
      </c>
      <c r="D137" s="29">
        <f>VLOOKUP($A137,'зарплата в цінах'!$A$2:$F$397,4)</f>
        <v>0</v>
      </c>
      <c r="E137" s="29">
        <f>VLOOKUP($A137,'зарплата в цінах'!$A$2:$F$397,5)</f>
        <v>0</v>
      </c>
      <c r="F137" s="29">
        <f>VLOOKUP($A137,'зарплата в цінах'!$A$2:$F$397,6)</f>
        <v>0</v>
      </c>
    </row>
    <row r="138" spans="1:6" x14ac:dyDescent="0.3">
      <c r="A138" s="318">
        <v>150000580</v>
      </c>
      <c r="B138" s="424" t="s">
        <v>84</v>
      </c>
      <c r="C138" s="29">
        <f>VLOOKUP($A138,'зарплата в цінах'!$A$2:$F$397,3)</f>
        <v>0</v>
      </c>
      <c r="D138" s="29">
        <f>VLOOKUP($A138,'зарплата в цінах'!$A$2:$F$397,4)</f>
        <v>0</v>
      </c>
      <c r="E138" s="29">
        <f>VLOOKUP($A138,'зарплата в цінах'!$A$2:$F$397,5)</f>
        <v>0</v>
      </c>
      <c r="F138" s="29">
        <f>VLOOKUP($A138,'зарплата в цінах'!$A$2:$F$397,6)</f>
        <v>0</v>
      </c>
    </row>
    <row r="139" spans="1:6" x14ac:dyDescent="0.3">
      <c r="A139" s="318">
        <v>150001054</v>
      </c>
      <c r="B139" s="424" t="s">
        <v>85</v>
      </c>
      <c r="C139" s="29">
        <f>VLOOKUP($A139,'зарплата в цінах'!$A$2:$F$397,3)</f>
        <v>0</v>
      </c>
      <c r="D139" s="29">
        <f>VLOOKUP($A139,'зарплата в цінах'!$A$2:$F$397,4)</f>
        <v>0</v>
      </c>
      <c r="E139" s="29">
        <f>VLOOKUP($A139,'зарплата в цінах'!$A$2:$F$397,5)</f>
        <v>0</v>
      </c>
      <c r="F139" s="29">
        <f>VLOOKUP($A139,'зарплата в цінах'!$A$2:$F$397,6)</f>
        <v>0</v>
      </c>
    </row>
    <row r="140" spans="1:6" x14ac:dyDescent="0.3">
      <c r="A140" s="318">
        <v>150000634</v>
      </c>
      <c r="B140" s="424" t="s">
        <v>86</v>
      </c>
      <c r="C140" s="29">
        <f>VLOOKUP($A140,'зарплата в цінах'!$A$2:$F$397,3)</f>
        <v>0</v>
      </c>
      <c r="D140" s="29">
        <f>VLOOKUP($A140,'зарплата в цінах'!$A$2:$F$397,4)</f>
        <v>0</v>
      </c>
      <c r="E140" s="29">
        <f>VLOOKUP($A140,'зарплата в цінах'!$A$2:$F$397,5)</f>
        <v>0</v>
      </c>
      <c r="F140" s="29">
        <f>VLOOKUP($A140,'зарплата в цінах'!$A$2:$F$397,6)</f>
        <v>0</v>
      </c>
    </row>
    <row r="141" spans="1:6" x14ac:dyDescent="0.3">
      <c r="A141" s="318">
        <v>150000636</v>
      </c>
      <c r="B141" s="250" t="s">
        <v>258</v>
      </c>
      <c r="C141" s="29">
        <f>VLOOKUP($A141,'зарплата в цінах'!$A$2:$F$397,3)</f>
        <v>366.64</v>
      </c>
      <c r="D141" s="29">
        <f>VLOOKUP($A141,'зарплата в цінах'!$A$2:$F$397,4)</f>
        <v>75.48</v>
      </c>
      <c r="E141" s="29">
        <f>VLOOKUP($A141,'зарплата в цінах'!$A$2:$F$397,5)</f>
        <v>23.98</v>
      </c>
      <c r="F141" s="29">
        <f>VLOOKUP($A141,'зарплата в цінах'!$A$2:$F$397,6)</f>
        <v>216.24</v>
      </c>
    </row>
    <row r="142" spans="1:6" x14ac:dyDescent="0.3">
      <c r="A142" s="318">
        <v>150000637</v>
      </c>
      <c r="B142" s="424" t="s">
        <v>87</v>
      </c>
      <c r="C142" s="29">
        <f>VLOOKUP($A142,'зарплата в цінах'!$A$2:$F$397,3)</f>
        <v>0</v>
      </c>
      <c r="D142" s="29">
        <f>VLOOKUP($A142,'зарплата в цінах'!$A$2:$F$397,4)</f>
        <v>0</v>
      </c>
      <c r="E142" s="29">
        <f>VLOOKUP($A142,'зарплата в цінах'!$A$2:$F$397,5)</f>
        <v>0</v>
      </c>
      <c r="F142" s="29">
        <f>VLOOKUP($A142,'зарплата в цінах'!$A$2:$F$397,6)</f>
        <v>0</v>
      </c>
    </row>
    <row r="143" spans="1:6" x14ac:dyDescent="0.3">
      <c r="A143" s="318">
        <v>150000555</v>
      </c>
      <c r="B143" s="424" t="s">
        <v>88</v>
      </c>
      <c r="C143" s="29">
        <f>VLOOKUP($A143,'зарплата в цінах'!$A$2:$F$397,3)</f>
        <v>0</v>
      </c>
      <c r="D143" s="29">
        <f>VLOOKUP($A143,'зарплата в цінах'!$A$2:$F$397,4)</f>
        <v>0</v>
      </c>
      <c r="E143" s="29">
        <f>VLOOKUP($A143,'зарплата в цінах'!$A$2:$F$397,5)</f>
        <v>0</v>
      </c>
      <c r="F143" s="29">
        <f>VLOOKUP($A143,'зарплата в цінах'!$A$2:$F$397,6)</f>
        <v>0</v>
      </c>
    </row>
    <row r="144" spans="1:6" x14ac:dyDescent="0.3">
      <c r="A144" s="318">
        <v>150000556</v>
      </c>
      <c r="B144" s="424" t="s">
        <v>89</v>
      </c>
      <c r="C144" s="29">
        <f>VLOOKUP($A144,'зарплата в цінах'!$A$2:$F$397,3)</f>
        <v>0</v>
      </c>
      <c r="D144" s="29">
        <f>VLOOKUP($A144,'зарплата в цінах'!$A$2:$F$397,4)</f>
        <v>0</v>
      </c>
      <c r="E144" s="29">
        <f>VLOOKUP($A144,'зарплата в цінах'!$A$2:$F$397,5)</f>
        <v>0</v>
      </c>
      <c r="F144" s="29">
        <f>VLOOKUP($A144,'зарплата в цінах'!$A$2:$F$397,6)</f>
        <v>0</v>
      </c>
    </row>
    <row r="145" spans="1:6" x14ac:dyDescent="0.3">
      <c r="A145" s="318">
        <v>150000557</v>
      </c>
      <c r="B145" s="424" t="s">
        <v>90</v>
      </c>
      <c r="C145" s="29">
        <f>VLOOKUP($A145,'зарплата в цінах'!$A$2:$F$397,3)</f>
        <v>0</v>
      </c>
      <c r="D145" s="29">
        <f>VLOOKUP($A145,'зарплата в цінах'!$A$2:$F$397,4)</f>
        <v>0</v>
      </c>
      <c r="E145" s="29">
        <f>VLOOKUP($A145,'зарплата в цінах'!$A$2:$F$397,5)</f>
        <v>0</v>
      </c>
      <c r="F145" s="29">
        <f>VLOOKUP($A145,'зарплата в цінах'!$A$2:$F$397,6)</f>
        <v>0</v>
      </c>
    </row>
    <row r="146" spans="1:6" x14ac:dyDescent="0.3">
      <c r="A146" s="318">
        <v>150000552</v>
      </c>
      <c r="B146" s="424" t="s">
        <v>91</v>
      </c>
      <c r="C146" s="29">
        <f>VLOOKUP($A146,'зарплата в цінах'!$A$2:$F$397,3)</f>
        <v>0</v>
      </c>
      <c r="D146" s="29">
        <f>VLOOKUP($A146,'зарплата в цінах'!$A$2:$F$397,4)</f>
        <v>0</v>
      </c>
      <c r="E146" s="29">
        <f>VLOOKUP($A146,'зарплата в цінах'!$A$2:$F$397,5)</f>
        <v>0</v>
      </c>
      <c r="F146" s="29">
        <f>VLOOKUP($A146,'зарплата в цінах'!$A$2:$F$397,6)</f>
        <v>0</v>
      </c>
    </row>
    <row r="147" spans="1:6" x14ac:dyDescent="0.3">
      <c r="A147" s="318">
        <v>150000553</v>
      </c>
      <c r="B147" s="250" t="s">
        <v>259</v>
      </c>
      <c r="C147" s="29">
        <f>VLOOKUP($A147,'зарплата в цінах'!$A$2:$F$397,3)</f>
        <v>378.74</v>
      </c>
      <c r="D147" s="29">
        <f>VLOOKUP($A147,'зарплата в цінах'!$A$2:$F$397,4)</f>
        <v>77.14</v>
      </c>
      <c r="E147" s="29">
        <f>VLOOKUP($A147,'зарплата в цінах'!$A$2:$F$397,5)</f>
        <v>0</v>
      </c>
      <c r="F147" s="29">
        <f>VLOOKUP($A147,'зарплата в цінах'!$A$2:$F$397,6)</f>
        <v>235.24</v>
      </c>
    </row>
    <row r="148" spans="1:6" x14ac:dyDescent="0.3">
      <c r="A148" s="318">
        <v>150000493</v>
      </c>
      <c r="B148" s="250" t="s">
        <v>417</v>
      </c>
      <c r="C148" s="29">
        <f>VLOOKUP($A148,'зарплата в цінах'!$A$2:$F$397,3)</f>
        <v>849.8</v>
      </c>
      <c r="D148" s="29">
        <f>VLOOKUP($A148,'зарплата в цінах'!$A$2:$F$397,4)</f>
        <v>132.47</v>
      </c>
      <c r="E148" s="29">
        <f>VLOOKUP($A148,'зарплата в цінах'!$A$2:$F$397,5)</f>
        <v>42.26</v>
      </c>
      <c r="F148" s="29">
        <f>VLOOKUP($A148,'зарплата в цінах'!$A$2:$F$397,6)</f>
        <v>321.75</v>
      </c>
    </row>
    <row r="149" spans="1:6" x14ac:dyDescent="0.3">
      <c r="A149" s="318">
        <v>150000494</v>
      </c>
      <c r="B149" s="250" t="s">
        <v>418</v>
      </c>
      <c r="C149" s="29">
        <f>VLOOKUP($A149,'зарплата в цінах'!$A$2:$F$397,3)</f>
        <v>959.07</v>
      </c>
      <c r="D149" s="29">
        <f>VLOOKUP($A149,'зарплата в цінах'!$A$2:$F$397,4)</f>
        <v>145.91</v>
      </c>
      <c r="E149" s="29">
        <f>VLOOKUP($A149,'зарплата в цінах'!$A$2:$F$397,5)</f>
        <v>42.26</v>
      </c>
      <c r="F149" s="29">
        <f>VLOOKUP($A149,'зарплата в цінах'!$A$2:$F$397,6)</f>
        <v>334.26</v>
      </c>
    </row>
    <row r="150" spans="1:6" x14ac:dyDescent="0.3">
      <c r="A150" s="318">
        <v>150000688</v>
      </c>
      <c r="B150" s="424" t="s">
        <v>92</v>
      </c>
      <c r="C150" s="29">
        <f>VLOOKUP($A150,'зарплата в цінах'!$A$2:$F$397,3)</f>
        <v>0</v>
      </c>
      <c r="D150" s="29">
        <f>VLOOKUP($A150,'зарплата в цінах'!$A$2:$F$397,4)</f>
        <v>0</v>
      </c>
      <c r="E150" s="29">
        <f>VLOOKUP($A150,'зарплата в цінах'!$A$2:$F$397,5)</f>
        <v>0</v>
      </c>
      <c r="F150" s="29">
        <f>VLOOKUP($A150,'зарплата в цінах'!$A$2:$F$397,6)</f>
        <v>0</v>
      </c>
    </row>
    <row r="151" spans="1:6" x14ac:dyDescent="0.3">
      <c r="A151" s="318">
        <v>150000689</v>
      </c>
      <c r="B151" s="424" t="s">
        <v>93</v>
      </c>
      <c r="C151" s="29">
        <f>VLOOKUP($A151,'зарплата в цінах'!$A$2:$F$397,3)</f>
        <v>0</v>
      </c>
      <c r="D151" s="29">
        <f>VLOOKUP($A151,'зарплата в цінах'!$A$2:$F$397,4)</f>
        <v>0</v>
      </c>
      <c r="E151" s="29">
        <f>VLOOKUP($A151,'зарплата в цінах'!$A$2:$F$397,5)</f>
        <v>0</v>
      </c>
      <c r="F151" s="29">
        <f>VLOOKUP($A151,'зарплата в цінах'!$A$2:$F$397,6)</f>
        <v>0</v>
      </c>
    </row>
    <row r="152" spans="1:6" x14ac:dyDescent="0.3">
      <c r="A152" s="318">
        <v>150000693</v>
      </c>
      <c r="B152" s="424" t="s">
        <v>94</v>
      </c>
      <c r="C152" s="29">
        <f>VLOOKUP($A152,'зарплата в цінах'!$A$2:$F$397,3)</f>
        <v>0</v>
      </c>
      <c r="D152" s="29">
        <f>VLOOKUP($A152,'зарплата в цінах'!$A$2:$F$397,4)</f>
        <v>0</v>
      </c>
      <c r="E152" s="29">
        <f>VLOOKUP($A152,'зарплата в цінах'!$A$2:$F$397,5)</f>
        <v>0</v>
      </c>
      <c r="F152" s="29">
        <f>VLOOKUP($A152,'зарплата в цінах'!$A$2:$F$397,6)</f>
        <v>0</v>
      </c>
    </row>
    <row r="153" spans="1:6" x14ac:dyDescent="0.3">
      <c r="A153" s="318">
        <v>150000690</v>
      </c>
      <c r="B153" s="424" t="s">
        <v>95</v>
      </c>
      <c r="C153" s="29">
        <f>VLOOKUP($A153,'зарплата в цінах'!$A$2:$F$397,3)</f>
        <v>0</v>
      </c>
      <c r="D153" s="29">
        <f>VLOOKUP($A153,'зарплата в цінах'!$A$2:$F$397,4)</f>
        <v>0</v>
      </c>
      <c r="E153" s="29">
        <f>VLOOKUP($A153,'зарплата в цінах'!$A$2:$F$397,5)</f>
        <v>0</v>
      </c>
      <c r="F153" s="29">
        <f>VLOOKUP($A153,'зарплата в цінах'!$A$2:$F$397,6)</f>
        <v>0</v>
      </c>
    </row>
    <row r="154" spans="1:6" x14ac:dyDescent="0.3">
      <c r="A154" s="318">
        <v>150000648</v>
      </c>
      <c r="B154" s="250" t="s">
        <v>361</v>
      </c>
      <c r="C154" s="29">
        <f>VLOOKUP($A154,'зарплата в цінах'!$A$2:$F$397,3)</f>
        <v>286.73</v>
      </c>
      <c r="D154" s="29">
        <f>VLOOKUP($A154,'зарплата в цінах'!$A$2:$F$397,4)</f>
        <v>46.94</v>
      </c>
      <c r="E154" s="29">
        <f>VLOOKUP($A154,'зарплата в цінах'!$A$2:$F$397,5)</f>
        <v>13.19</v>
      </c>
      <c r="F154" s="29">
        <f>VLOOKUP($A154,'зарплата в цінах'!$A$2:$F$397,6)</f>
        <v>113.79</v>
      </c>
    </row>
    <row r="155" spans="1:6" x14ac:dyDescent="0.3">
      <c r="A155" s="318">
        <v>150000647</v>
      </c>
      <c r="B155" s="424" t="s">
        <v>96</v>
      </c>
      <c r="C155" s="29">
        <f>VLOOKUP($A155,'зарплата в цінах'!$A$2:$F$397,3)</f>
        <v>0</v>
      </c>
      <c r="D155" s="29">
        <f>VLOOKUP($A155,'зарплата в цінах'!$A$2:$F$397,4)</f>
        <v>0</v>
      </c>
      <c r="E155" s="29">
        <f>VLOOKUP($A155,'зарплата в цінах'!$A$2:$F$397,5)</f>
        <v>0</v>
      </c>
      <c r="F155" s="29">
        <f>VLOOKUP($A155,'зарплата в цінах'!$A$2:$F$397,6)</f>
        <v>0</v>
      </c>
    </row>
    <row r="156" spans="1:6" x14ac:dyDescent="0.3">
      <c r="A156" s="318">
        <v>150000686</v>
      </c>
      <c r="B156" s="424" t="s">
        <v>97</v>
      </c>
      <c r="C156" s="29">
        <f>VLOOKUP($A156,'зарплата в цінах'!$A$2:$F$397,3)</f>
        <v>0</v>
      </c>
      <c r="D156" s="29">
        <f>VLOOKUP($A156,'зарплата в цінах'!$A$2:$F$397,4)</f>
        <v>0</v>
      </c>
      <c r="E156" s="29">
        <f>VLOOKUP($A156,'зарплата в цінах'!$A$2:$F$397,5)</f>
        <v>0</v>
      </c>
      <c r="F156" s="29">
        <f>VLOOKUP($A156,'зарплата в цінах'!$A$2:$F$397,6)</f>
        <v>0</v>
      </c>
    </row>
    <row r="157" spans="1:6" x14ac:dyDescent="0.3">
      <c r="A157" s="318">
        <v>150000796</v>
      </c>
      <c r="B157" s="424" t="s">
        <v>98</v>
      </c>
      <c r="C157" s="29">
        <f>VLOOKUP($A157,'зарплата в цінах'!$A$2:$F$397,3)</f>
        <v>0</v>
      </c>
      <c r="D157" s="29">
        <f>VLOOKUP($A157,'зарплата в цінах'!$A$2:$F$397,4)</f>
        <v>0</v>
      </c>
      <c r="E157" s="29">
        <f>VLOOKUP($A157,'зарплата в цінах'!$A$2:$F$397,5)</f>
        <v>0</v>
      </c>
      <c r="F157" s="29">
        <f>VLOOKUP($A157,'зарплата в цінах'!$A$2:$F$397,6)</f>
        <v>0</v>
      </c>
    </row>
    <row r="158" spans="1:6" x14ac:dyDescent="0.3">
      <c r="A158" s="318">
        <v>150001008</v>
      </c>
      <c r="B158" s="250" t="s">
        <v>211</v>
      </c>
      <c r="C158" s="29">
        <f>VLOOKUP($A158,'зарплата в цінах'!$A$2:$F$397,3)</f>
        <v>172.94</v>
      </c>
      <c r="D158" s="29">
        <f>VLOOKUP($A158,'зарплата в цінах'!$A$2:$F$397,4)</f>
        <v>30.8</v>
      </c>
      <c r="E158" s="29">
        <f>VLOOKUP($A158,'зарплата в цінах'!$A$2:$F$397,5)</f>
        <v>0</v>
      </c>
      <c r="F158" s="29">
        <f>VLOOKUP($A158,'зарплата в цінах'!$A$2:$F$397,6)</f>
        <v>88.06</v>
      </c>
    </row>
    <row r="159" spans="1:6" x14ac:dyDescent="0.3">
      <c r="A159" s="318">
        <v>150001033</v>
      </c>
      <c r="B159" s="250" t="s">
        <v>362</v>
      </c>
      <c r="C159" s="29">
        <f>VLOOKUP($A159,'зарплата в цінах'!$A$2:$F$397,3)</f>
        <v>382.55</v>
      </c>
      <c r="D159" s="29">
        <f>VLOOKUP($A159,'зарплата в цінах'!$A$2:$F$397,4)</f>
        <v>65.83</v>
      </c>
      <c r="E159" s="29">
        <f>VLOOKUP($A159,'зарплата в цінах'!$A$2:$F$397,5)</f>
        <v>26.37</v>
      </c>
      <c r="F159" s="29">
        <f>VLOOKUP($A159,'зарплата в цінах'!$A$2:$F$397,6)</f>
        <v>279.05</v>
      </c>
    </row>
    <row r="160" spans="1:6" x14ac:dyDescent="0.3">
      <c r="A160" s="318">
        <v>150001009</v>
      </c>
      <c r="B160" s="250" t="s">
        <v>212</v>
      </c>
      <c r="C160" s="29">
        <f>VLOOKUP($A160,'зарплата в цінах'!$A$2:$F$397,3)</f>
        <v>171</v>
      </c>
      <c r="D160" s="29">
        <f>VLOOKUP($A160,'зарплата в цінах'!$A$2:$F$397,4)</f>
        <v>30.8</v>
      </c>
      <c r="E160" s="29">
        <f>VLOOKUP($A160,'зарплата в цінах'!$A$2:$F$397,5)</f>
        <v>0</v>
      </c>
      <c r="F160" s="29">
        <f>VLOOKUP($A160,'зарплата в цінах'!$A$2:$F$397,6)</f>
        <v>88.06</v>
      </c>
    </row>
    <row r="161" spans="1:6" x14ac:dyDescent="0.3">
      <c r="A161" s="318">
        <v>150001010</v>
      </c>
      <c r="B161" s="250" t="s">
        <v>164</v>
      </c>
      <c r="C161" s="29">
        <f>VLOOKUP($A161,'зарплата в цінах'!$A$2:$F$397,3)</f>
        <v>107.82</v>
      </c>
      <c r="D161" s="29">
        <f>VLOOKUP($A161,'зарплата в цінах'!$A$2:$F$397,4)</f>
        <v>23.5</v>
      </c>
      <c r="E161" s="29">
        <f>VLOOKUP($A161,'зарплата в цінах'!$A$2:$F$397,5)</f>
        <v>0</v>
      </c>
      <c r="F161" s="29">
        <f>VLOOKUP($A161,'зарплата в цінах'!$A$2:$F$397,6)</f>
        <v>64.510000000000005</v>
      </c>
    </row>
    <row r="162" spans="1:6" x14ac:dyDescent="0.3">
      <c r="A162" s="318">
        <v>150001011</v>
      </c>
      <c r="B162" s="250" t="s">
        <v>165</v>
      </c>
      <c r="C162" s="29">
        <f>VLOOKUP($A162,'зарплата в цінах'!$A$2:$F$397,3)</f>
        <v>70</v>
      </c>
      <c r="D162" s="29">
        <f>VLOOKUP($A162,'зарплата в цінах'!$A$2:$F$397,4)</f>
        <v>11.34</v>
      </c>
      <c r="E162" s="29">
        <f>VLOOKUP($A162,'зарплата в цінах'!$A$2:$F$397,5)</f>
        <v>0</v>
      </c>
      <c r="F162" s="29">
        <f>VLOOKUP($A162,'зарплата в цінах'!$A$2:$F$397,6)</f>
        <v>28.65</v>
      </c>
    </row>
    <row r="163" spans="1:6" x14ac:dyDescent="0.3">
      <c r="A163" s="419">
        <v>150001013</v>
      </c>
      <c r="B163" s="250" t="s">
        <v>260</v>
      </c>
      <c r="C163" s="29">
        <f>VLOOKUP($A163,'зарплата в цінах'!$A$2:$F$397,3)</f>
        <v>373.29</v>
      </c>
      <c r="D163" s="29">
        <f>VLOOKUP($A163,'зарплата в цінах'!$A$2:$F$397,4)</f>
        <v>77.16</v>
      </c>
      <c r="E163" s="29">
        <f>VLOOKUP($A163,'зарплата в цінах'!$A$2:$F$397,5)</f>
        <v>0</v>
      </c>
      <c r="F163" s="29">
        <f>VLOOKUP($A163,'зарплата в цінах'!$A$2:$F$397,6)</f>
        <v>233.75</v>
      </c>
    </row>
    <row r="164" spans="1:6" x14ac:dyDescent="0.3">
      <c r="A164" s="318">
        <v>150001014</v>
      </c>
      <c r="B164" s="250" t="s">
        <v>166</v>
      </c>
      <c r="C164" s="29">
        <f>VLOOKUP($A164,'зарплата в цінах'!$A$2:$F$397,3)</f>
        <v>27.68</v>
      </c>
      <c r="D164" s="29">
        <f>VLOOKUP($A164,'зарплата в цінах'!$A$2:$F$397,4)</f>
        <v>9.51</v>
      </c>
      <c r="E164" s="29">
        <f>VLOOKUP($A164,'зарплата в цінах'!$A$2:$F$397,5)</f>
        <v>0</v>
      </c>
      <c r="F164" s="29">
        <f>VLOOKUP($A164,'зарплата в цінах'!$A$2:$F$397,6)</f>
        <v>14.27</v>
      </c>
    </row>
    <row r="165" spans="1:6" x14ac:dyDescent="0.3">
      <c r="A165" s="318">
        <v>150001015</v>
      </c>
      <c r="B165" s="424" t="s">
        <v>99</v>
      </c>
      <c r="C165" s="29">
        <f>VLOOKUP($A165,'зарплата в цінах'!$A$2:$F$397,3)</f>
        <v>0</v>
      </c>
      <c r="D165" s="29">
        <f>VLOOKUP($A165,'зарплата в цінах'!$A$2:$F$397,4)</f>
        <v>0</v>
      </c>
      <c r="E165" s="29">
        <f>VLOOKUP($A165,'зарплата в цінах'!$A$2:$F$397,5)</f>
        <v>0</v>
      </c>
      <c r="F165" s="29">
        <f>VLOOKUP($A165,'зарплата в цінах'!$A$2:$F$397,6)</f>
        <v>0</v>
      </c>
    </row>
    <row r="166" spans="1:6" x14ac:dyDescent="0.3">
      <c r="A166" s="318">
        <v>150001016</v>
      </c>
      <c r="B166" s="250" t="s">
        <v>261</v>
      </c>
      <c r="C166" s="29">
        <f>VLOOKUP($A166,'зарплата в цінах'!$A$2:$F$397,3)</f>
        <v>201.04</v>
      </c>
      <c r="D166" s="29">
        <f>VLOOKUP($A166,'зарплата в цінах'!$A$2:$F$397,4)</f>
        <v>40.64</v>
      </c>
      <c r="E166" s="29">
        <f>VLOOKUP($A166,'зарплата в цінах'!$A$2:$F$397,5)</f>
        <v>0</v>
      </c>
      <c r="F166" s="29">
        <f>VLOOKUP($A166,'зарплата в цінах'!$A$2:$F$397,6)</f>
        <v>165.56</v>
      </c>
    </row>
    <row r="167" spans="1:6" x14ac:dyDescent="0.3">
      <c r="A167" s="318">
        <v>150001007</v>
      </c>
      <c r="B167" s="250" t="s">
        <v>213</v>
      </c>
      <c r="C167" s="29">
        <f>VLOOKUP($A167,'зарплата в цінах'!$A$2:$F$397,3)</f>
        <v>263.33</v>
      </c>
      <c r="D167" s="29">
        <f>VLOOKUP($A167,'зарплата в цінах'!$A$2:$F$397,4)</f>
        <v>49.08</v>
      </c>
      <c r="E167" s="29">
        <f>VLOOKUP($A167,'зарплата в цінах'!$A$2:$F$397,5)</f>
        <v>0</v>
      </c>
      <c r="F167" s="29">
        <f>VLOOKUP($A167,'зарплата в цінах'!$A$2:$F$397,6)</f>
        <v>122.07</v>
      </c>
    </row>
    <row r="168" spans="1:6" x14ac:dyDescent="0.3">
      <c r="A168" s="318">
        <v>150001018</v>
      </c>
      <c r="B168" s="425" t="s">
        <v>429</v>
      </c>
      <c r="C168" s="29">
        <f>VLOOKUP($A168,'зарплата в цінах'!$A$2:$F$397,3)</f>
        <v>213.28</v>
      </c>
      <c r="D168" s="29">
        <f>VLOOKUP($A168,'зарплата в цінах'!$A$2:$F$397,4)</f>
        <v>43.44</v>
      </c>
      <c r="E168" s="29">
        <f>VLOOKUP($A168,'зарплата в цінах'!$A$2:$F$397,5)</f>
        <v>0</v>
      </c>
      <c r="F168" s="29">
        <f>VLOOKUP($A168,'зарплата в цінах'!$A$2:$F$397,6)</f>
        <v>162.09</v>
      </c>
    </row>
    <row r="169" spans="1:6" x14ac:dyDescent="0.3">
      <c r="A169" s="318">
        <v>150001019</v>
      </c>
      <c r="B169" s="250" t="s">
        <v>419</v>
      </c>
      <c r="C169" s="29">
        <f>VLOOKUP($A169,'зарплата в цінах'!$A$2:$F$397,3)</f>
        <v>845.73</v>
      </c>
      <c r="D169" s="29">
        <f>VLOOKUP($A169,'зарплата в цінах'!$A$2:$F$397,4)</f>
        <v>132.56</v>
      </c>
      <c r="E169" s="29">
        <f>VLOOKUP($A169,'зарплата в цінах'!$A$2:$F$397,5)</f>
        <v>42.26</v>
      </c>
      <c r="F169" s="29">
        <f>VLOOKUP($A169,'зарплата в цінах'!$A$2:$F$397,6)</f>
        <v>331.58</v>
      </c>
    </row>
    <row r="170" spans="1:6" x14ac:dyDescent="0.3">
      <c r="A170" s="318">
        <v>150001020</v>
      </c>
      <c r="B170" s="424" t="s">
        <v>100</v>
      </c>
      <c r="C170" s="29">
        <f>VLOOKUP($A170,'зарплата в цінах'!$A$2:$F$397,3)</f>
        <v>0</v>
      </c>
      <c r="D170" s="29">
        <f>VLOOKUP($A170,'зарплата в цінах'!$A$2:$F$397,4)</f>
        <v>0</v>
      </c>
      <c r="E170" s="29">
        <f>VLOOKUP($A170,'зарплата в цінах'!$A$2:$F$397,5)</f>
        <v>0</v>
      </c>
      <c r="F170" s="29">
        <f>VLOOKUP($A170,'зарплата в цінах'!$A$2:$F$397,6)</f>
        <v>0</v>
      </c>
    </row>
    <row r="171" spans="1:6" x14ac:dyDescent="0.3">
      <c r="A171" s="318">
        <v>150001021</v>
      </c>
      <c r="B171" s="250" t="s">
        <v>363</v>
      </c>
      <c r="C171" s="29">
        <f>VLOOKUP($A171,'зарплата в цінах'!$A$2:$F$397,3)</f>
        <v>992.54</v>
      </c>
      <c r="D171" s="29">
        <f>VLOOKUP($A171,'зарплата в цінах'!$A$2:$F$397,4)</f>
        <v>283.07</v>
      </c>
      <c r="E171" s="29">
        <f>VLOOKUP($A171,'зарплата в цінах'!$A$2:$F$397,5)</f>
        <v>116.88</v>
      </c>
      <c r="F171" s="29">
        <f>VLOOKUP($A171,'зарплата в цінах'!$A$2:$F$397,6)</f>
        <v>664.77</v>
      </c>
    </row>
    <row r="172" spans="1:6" x14ac:dyDescent="0.3">
      <c r="A172" s="318">
        <v>150001035</v>
      </c>
      <c r="B172" s="250" t="s">
        <v>262</v>
      </c>
      <c r="C172" s="29">
        <f>VLOOKUP($A172,'зарплата в цінах'!$A$2:$F$397,3)</f>
        <v>353.31</v>
      </c>
      <c r="D172" s="29">
        <f>VLOOKUP($A172,'зарплата в цінах'!$A$2:$F$397,4)</f>
        <v>67.87</v>
      </c>
      <c r="E172" s="29">
        <f>VLOOKUP($A172,'зарплата в цінах'!$A$2:$F$397,5)</f>
        <v>23.98</v>
      </c>
      <c r="F172" s="29">
        <f>VLOOKUP($A172,'зарплата в цінах'!$A$2:$F$397,6)</f>
        <v>223.08</v>
      </c>
    </row>
    <row r="173" spans="1:6" x14ac:dyDescent="0.3">
      <c r="A173" s="318">
        <v>150001022</v>
      </c>
      <c r="B173" s="250" t="s">
        <v>364</v>
      </c>
      <c r="C173" s="29">
        <f>VLOOKUP($A173,'зарплата в цінах'!$A$2:$F$397,3)</f>
        <v>331.12</v>
      </c>
      <c r="D173" s="29">
        <f>VLOOKUP($A173,'зарплата в цінах'!$A$2:$F$397,4)</f>
        <v>76.02</v>
      </c>
      <c r="E173" s="29">
        <f>VLOOKUP($A173,'зарплата в цінах'!$A$2:$F$397,5)</f>
        <v>24.57</v>
      </c>
      <c r="F173" s="29">
        <f>VLOOKUP($A173,'зарплата в цінах'!$A$2:$F$397,6)</f>
        <v>197.56</v>
      </c>
    </row>
    <row r="174" spans="1:6" x14ac:dyDescent="0.3">
      <c r="A174" s="318">
        <v>150001023</v>
      </c>
      <c r="B174" s="250" t="s">
        <v>365</v>
      </c>
      <c r="C174" s="29">
        <f>VLOOKUP($A174,'зарплата в цінах'!$A$2:$F$397,3)</f>
        <v>331.1</v>
      </c>
      <c r="D174" s="29">
        <f>VLOOKUP($A174,'зарплата в цінах'!$A$2:$F$397,4)</f>
        <v>76.02</v>
      </c>
      <c r="E174" s="29">
        <f>VLOOKUP($A174,'зарплата в цінах'!$A$2:$F$397,5)</f>
        <v>24.57</v>
      </c>
      <c r="F174" s="29">
        <f>VLOOKUP($A174,'зарплата в цінах'!$A$2:$F$397,6)</f>
        <v>214.13</v>
      </c>
    </row>
    <row r="175" spans="1:6" x14ac:dyDescent="0.3">
      <c r="A175" s="318">
        <v>150001024</v>
      </c>
      <c r="B175" s="250" t="s">
        <v>366</v>
      </c>
      <c r="C175" s="29">
        <f>VLOOKUP($A175,'зарплата в цінах'!$A$2:$F$397,3)</f>
        <v>524.12</v>
      </c>
      <c r="D175" s="29">
        <f>VLOOKUP($A175,'зарплата в цінах'!$A$2:$F$397,4)</f>
        <v>82.64</v>
      </c>
      <c r="E175" s="29">
        <f>VLOOKUP($A175,'зарплата в цінах'!$A$2:$F$397,5)</f>
        <v>26.37</v>
      </c>
      <c r="F175" s="29">
        <f>VLOOKUP($A175,'зарплата в цінах'!$A$2:$F$397,6)</f>
        <v>195.59</v>
      </c>
    </row>
    <row r="176" spans="1:6" x14ac:dyDescent="0.3">
      <c r="A176" s="318">
        <v>150001025</v>
      </c>
      <c r="B176" s="250" t="s">
        <v>420</v>
      </c>
      <c r="C176" s="29">
        <f>VLOOKUP($A176,'зарплата в цінах'!$A$2:$F$397,3)</f>
        <v>623.08000000000004</v>
      </c>
      <c r="D176" s="29">
        <f>VLOOKUP($A176,'зарплата в цінах'!$A$2:$F$397,4)</f>
        <v>104.56</v>
      </c>
      <c r="E176" s="29">
        <f>VLOOKUP($A176,'зарплата в цінах'!$A$2:$F$397,5)</f>
        <v>28.17</v>
      </c>
      <c r="F176" s="29">
        <f>VLOOKUP($A176,'зарплата в цінах'!$A$2:$F$397,6)</f>
        <v>207.35</v>
      </c>
    </row>
    <row r="177" spans="1:6" x14ac:dyDescent="0.3">
      <c r="A177" s="318">
        <v>150001026</v>
      </c>
      <c r="B177" s="250" t="s">
        <v>334</v>
      </c>
      <c r="C177" s="29">
        <f>VLOOKUP($A177,'зарплата в цінах'!$A$2:$F$397,3)</f>
        <v>387.11</v>
      </c>
      <c r="D177" s="29">
        <f>VLOOKUP($A177,'зарплата в цінах'!$A$2:$F$397,4)</f>
        <v>130.56</v>
      </c>
      <c r="E177" s="29">
        <f>VLOOKUP($A177,'зарплата в цінах'!$A$2:$F$397,5)</f>
        <v>76.12</v>
      </c>
      <c r="F177" s="29">
        <f>VLOOKUP($A177,'зарплата в цінах'!$A$2:$F$397,6)</f>
        <v>558.91999999999996</v>
      </c>
    </row>
    <row r="178" spans="1:6" x14ac:dyDescent="0.3">
      <c r="A178" s="318">
        <v>150001027</v>
      </c>
      <c r="B178" s="250" t="s">
        <v>367</v>
      </c>
      <c r="C178" s="29">
        <f>VLOOKUP($A178,'зарплата в цінах'!$A$2:$F$397,3)</f>
        <v>894</v>
      </c>
      <c r="D178" s="29">
        <f>VLOOKUP($A178,'зарплата в цінах'!$A$2:$F$397,4)</f>
        <v>149.21</v>
      </c>
      <c r="E178" s="29">
        <f>VLOOKUP($A178,'зарплата в цінах'!$A$2:$F$397,5)</f>
        <v>155.84</v>
      </c>
      <c r="F178" s="29">
        <f>VLOOKUP($A178,'зарплата в цінах'!$A$2:$F$397,6)</f>
        <v>740.88</v>
      </c>
    </row>
    <row r="179" spans="1:6" x14ac:dyDescent="0.3">
      <c r="A179" s="318">
        <v>150001028</v>
      </c>
      <c r="B179" s="424" t="s">
        <v>101</v>
      </c>
      <c r="C179" s="29">
        <f>VLOOKUP($A179,'зарплата в цінах'!$A$2:$F$397,3)</f>
        <v>0</v>
      </c>
      <c r="D179" s="29">
        <f>VLOOKUP($A179,'зарплата в цінах'!$A$2:$F$397,4)</f>
        <v>0</v>
      </c>
      <c r="E179" s="29">
        <f>VLOOKUP($A179,'зарплата в цінах'!$A$2:$F$397,5)</f>
        <v>0</v>
      </c>
      <c r="F179" s="29">
        <f>VLOOKUP($A179,'зарплата в цінах'!$A$2:$F$397,6)</f>
        <v>0</v>
      </c>
    </row>
    <row r="180" spans="1:6" x14ac:dyDescent="0.3">
      <c r="A180" s="318">
        <v>150001036</v>
      </c>
      <c r="B180" s="424" t="s">
        <v>102</v>
      </c>
      <c r="C180" s="29">
        <f>VLOOKUP($A180,'зарплата в цінах'!$A$2:$F$397,3)</f>
        <v>0</v>
      </c>
      <c r="D180" s="29">
        <f>VLOOKUP($A180,'зарплата в цінах'!$A$2:$F$397,4)</f>
        <v>0</v>
      </c>
      <c r="E180" s="29">
        <f>VLOOKUP($A180,'зарплата в цінах'!$A$2:$F$397,5)</f>
        <v>0</v>
      </c>
      <c r="F180" s="29">
        <f>VLOOKUP($A180,'зарплата в цінах'!$A$2:$F$397,6)</f>
        <v>0</v>
      </c>
    </row>
    <row r="181" spans="1:6" x14ac:dyDescent="0.3">
      <c r="A181" s="318">
        <v>150001029</v>
      </c>
      <c r="B181" s="250" t="s">
        <v>368</v>
      </c>
      <c r="C181" s="29">
        <f>VLOOKUP($A181,'зарплата в цінах'!$A$2:$F$397,3)</f>
        <v>689.54</v>
      </c>
      <c r="D181" s="29">
        <f>VLOOKUP($A181,'зарплата в цінах'!$A$2:$F$397,4)</f>
        <v>119.2</v>
      </c>
      <c r="E181" s="29">
        <f>VLOOKUP($A181,'зарплата в цінах'!$A$2:$F$397,5)</f>
        <v>116.88</v>
      </c>
      <c r="F181" s="29">
        <f>VLOOKUP($A181,'зарплата в цінах'!$A$2:$F$397,6)</f>
        <v>472.12</v>
      </c>
    </row>
    <row r="182" spans="1:6" x14ac:dyDescent="0.3">
      <c r="A182" s="318">
        <v>150001030</v>
      </c>
      <c r="B182" s="250" t="s">
        <v>335</v>
      </c>
      <c r="C182" s="29">
        <f>VLOOKUP($A182,'зарплата в цінах'!$A$2:$F$397,3)</f>
        <v>336.68</v>
      </c>
      <c r="D182" s="29">
        <f>VLOOKUP($A182,'зарплата в цінах'!$A$2:$F$397,4)</f>
        <v>95.26</v>
      </c>
      <c r="E182" s="29">
        <f>VLOOKUP($A182,'зарплата в цінах'!$A$2:$F$397,5)</f>
        <v>36.86</v>
      </c>
      <c r="F182" s="29">
        <f>VLOOKUP($A182,'зарплата в цінах'!$A$2:$F$397,6)</f>
        <v>377.34</v>
      </c>
    </row>
    <row r="183" spans="1:6" x14ac:dyDescent="0.3">
      <c r="A183" s="318">
        <v>150001031</v>
      </c>
      <c r="B183" s="424" t="s">
        <v>103</v>
      </c>
      <c r="C183" s="29">
        <f>VLOOKUP($A183,'зарплата в цінах'!$A$2:$F$397,3)</f>
        <v>0</v>
      </c>
      <c r="D183" s="29">
        <f>VLOOKUP($A183,'зарплата в цінах'!$A$2:$F$397,4)</f>
        <v>0</v>
      </c>
      <c r="E183" s="29">
        <f>VLOOKUP($A183,'зарплата в цінах'!$A$2:$F$397,5)</f>
        <v>0</v>
      </c>
      <c r="F183" s="29">
        <f>VLOOKUP($A183,'зарплата в цінах'!$A$2:$F$397,6)</f>
        <v>0</v>
      </c>
    </row>
    <row r="184" spans="1:6" x14ac:dyDescent="0.3">
      <c r="A184" s="318">
        <v>150001037</v>
      </c>
      <c r="B184" s="424" t="s">
        <v>104</v>
      </c>
      <c r="C184" s="29">
        <f>VLOOKUP($A184,'зарплата в цінах'!$A$2:$F$397,3)</f>
        <v>0</v>
      </c>
      <c r="D184" s="29">
        <f>VLOOKUP($A184,'зарплата в цінах'!$A$2:$F$397,4)</f>
        <v>0</v>
      </c>
      <c r="E184" s="29">
        <f>VLOOKUP($A184,'зарплата в цінах'!$A$2:$F$397,5)</f>
        <v>0</v>
      </c>
      <c r="F184" s="29">
        <f>VLOOKUP($A184,'зарплата в цінах'!$A$2:$F$397,6)</f>
        <v>0</v>
      </c>
    </row>
    <row r="185" spans="1:6" x14ac:dyDescent="0.3">
      <c r="A185" s="318">
        <v>150001032</v>
      </c>
      <c r="B185" s="250" t="s">
        <v>369</v>
      </c>
      <c r="C185" s="29">
        <f>VLOOKUP($A185,'зарплата в цінах'!$A$2:$F$397,3)</f>
        <v>470.53</v>
      </c>
      <c r="D185" s="29">
        <f>VLOOKUP($A185,'зарплата в цінах'!$A$2:$F$397,4)</f>
        <v>63</v>
      </c>
      <c r="E185" s="29">
        <f>VLOOKUP($A185,'зарплата в цінах'!$A$2:$F$397,5)</f>
        <v>58.44</v>
      </c>
      <c r="F185" s="29">
        <f>VLOOKUP($A185,'зарплата в цінах'!$A$2:$F$397,6)</f>
        <v>471.58</v>
      </c>
    </row>
    <row r="186" spans="1:6" x14ac:dyDescent="0.3">
      <c r="A186" s="318">
        <v>150000537</v>
      </c>
      <c r="B186" s="424" t="s">
        <v>105</v>
      </c>
      <c r="C186" s="29">
        <f>VLOOKUP($A186,'зарплата в цінах'!$A$2:$F$397,3)</f>
        <v>0</v>
      </c>
      <c r="D186" s="29">
        <f>VLOOKUP($A186,'зарплата в цінах'!$A$2:$F$397,4)</f>
        <v>0</v>
      </c>
      <c r="E186" s="29">
        <f>VLOOKUP($A186,'зарплата в цінах'!$A$2:$F$397,5)</f>
        <v>0</v>
      </c>
      <c r="F186" s="29">
        <f>VLOOKUP($A186,'зарплата в цінах'!$A$2:$F$397,6)</f>
        <v>0</v>
      </c>
    </row>
    <row r="187" spans="1:6" x14ac:dyDescent="0.3">
      <c r="A187" s="318">
        <v>150000545</v>
      </c>
      <c r="B187" s="424" t="s">
        <v>106</v>
      </c>
      <c r="C187" s="29">
        <f>VLOOKUP($A187,'зарплата в цінах'!$A$2:$F$397,3)</f>
        <v>0</v>
      </c>
      <c r="D187" s="29">
        <f>VLOOKUP($A187,'зарплата в цінах'!$A$2:$F$397,4)</f>
        <v>0</v>
      </c>
      <c r="E187" s="29">
        <f>VLOOKUP($A187,'зарплата в цінах'!$A$2:$F$397,5)</f>
        <v>0</v>
      </c>
      <c r="F187" s="29">
        <f>VLOOKUP($A187,'зарплата в цінах'!$A$2:$F$397,6)</f>
        <v>0</v>
      </c>
    </row>
    <row r="188" spans="1:6" x14ac:dyDescent="0.3">
      <c r="A188" s="318">
        <v>150000546</v>
      </c>
      <c r="B188" s="424" t="s">
        <v>107</v>
      </c>
      <c r="C188" s="29">
        <f>VLOOKUP($A188,'зарплата в цінах'!$A$2:$F$397,3)</f>
        <v>0</v>
      </c>
      <c r="D188" s="29">
        <f>VLOOKUP($A188,'зарплата в цінах'!$A$2:$F$397,4)</f>
        <v>0</v>
      </c>
      <c r="E188" s="29">
        <f>VLOOKUP($A188,'зарплата в цінах'!$A$2:$F$397,5)</f>
        <v>0</v>
      </c>
      <c r="F188" s="29">
        <f>VLOOKUP($A188,'зарплата в цінах'!$A$2:$F$397,6)</f>
        <v>0</v>
      </c>
    </row>
    <row r="189" spans="1:6" x14ac:dyDescent="0.3">
      <c r="A189" s="318">
        <v>150000502</v>
      </c>
      <c r="B189" s="424" t="s">
        <v>108</v>
      </c>
      <c r="C189" s="29">
        <f>VLOOKUP($A189,'зарплата в цінах'!$A$2:$F$397,3)</f>
        <v>0</v>
      </c>
      <c r="D189" s="29">
        <f>VLOOKUP($A189,'зарплата в цінах'!$A$2:$F$397,4)</f>
        <v>0</v>
      </c>
      <c r="E189" s="29">
        <f>VLOOKUP($A189,'зарплата в цінах'!$A$2:$F$397,5)</f>
        <v>0</v>
      </c>
      <c r="F189" s="29">
        <f>VLOOKUP($A189,'зарплата в цінах'!$A$2:$F$397,6)</f>
        <v>0</v>
      </c>
    </row>
    <row r="190" spans="1:6" x14ac:dyDescent="0.3">
      <c r="A190" s="318">
        <v>150000503</v>
      </c>
      <c r="B190" s="424" t="s">
        <v>109</v>
      </c>
      <c r="C190" s="29">
        <f>VLOOKUP($A190,'зарплата в цінах'!$A$2:$F$397,3)</f>
        <v>0.01</v>
      </c>
      <c r="D190" s="29">
        <f>VLOOKUP($A190,'зарплата в цінах'!$A$2:$F$397,4)</f>
        <v>0</v>
      </c>
      <c r="E190" s="29">
        <f>VLOOKUP($A190,'зарплата в цінах'!$A$2:$F$397,5)</f>
        <v>0</v>
      </c>
      <c r="F190" s="29">
        <f>VLOOKUP($A190,'зарплата в цінах'!$A$2:$F$397,6)</f>
        <v>0</v>
      </c>
    </row>
    <row r="191" spans="1:6" x14ac:dyDescent="0.3">
      <c r="A191" s="318">
        <v>150000504</v>
      </c>
      <c r="B191" s="424" t="s">
        <v>110</v>
      </c>
      <c r="C191" s="29">
        <f>VLOOKUP($A191,'зарплата в цінах'!$A$2:$F$397,3)</f>
        <v>0</v>
      </c>
      <c r="D191" s="29">
        <f>VLOOKUP($A191,'зарплата в цінах'!$A$2:$F$397,4)</f>
        <v>0</v>
      </c>
      <c r="E191" s="29">
        <f>VLOOKUP($A191,'зарплата в цінах'!$A$2:$F$397,5)</f>
        <v>0</v>
      </c>
      <c r="F191" s="29">
        <f>VLOOKUP($A191,'зарплата в цінах'!$A$2:$F$397,6)</f>
        <v>0</v>
      </c>
    </row>
    <row r="192" spans="1:6" x14ac:dyDescent="0.3">
      <c r="A192" s="318">
        <v>150000506</v>
      </c>
      <c r="B192" s="424" t="s">
        <v>111</v>
      </c>
      <c r="C192" s="29">
        <f>VLOOKUP($A192,'зарплата в цінах'!$A$2:$F$397,3)</f>
        <v>0</v>
      </c>
      <c r="D192" s="29">
        <f>VLOOKUP($A192,'зарплата в цінах'!$A$2:$F$397,4)</f>
        <v>0</v>
      </c>
      <c r="E192" s="29">
        <f>VLOOKUP($A192,'зарплата в цінах'!$A$2:$F$397,5)</f>
        <v>0</v>
      </c>
      <c r="F192" s="29">
        <f>VLOOKUP($A192,'зарплата в цінах'!$A$2:$F$397,6)</f>
        <v>0</v>
      </c>
    </row>
    <row r="193" spans="1:6" x14ac:dyDescent="0.3">
      <c r="A193" s="318">
        <v>150000505</v>
      </c>
      <c r="B193" s="424" t="s">
        <v>112</v>
      </c>
      <c r="C193" s="29">
        <f>VLOOKUP($A193,'зарплата в цінах'!$A$2:$F$397,3)</f>
        <v>0</v>
      </c>
      <c r="D193" s="29">
        <f>VLOOKUP($A193,'зарплата в цінах'!$A$2:$F$397,4)</f>
        <v>0</v>
      </c>
      <c r="E193" s="29">
        <f>VLOOKUP($A193,'зарплата в цінах'!$A$2:$F$397,5)</f>
        <v>0</v>
      </c>
      <c r="F193" s="29">
        <f>VLOOKUP($A193,'зарплата в цінах'!$A$2:$F$397,6)</f>
        <v>0</v>
      </c>
    </row>
    <row r="194" spans="1:6" x14ac:dyDescent="0.3">
      <c r="A194" s="318">
        <v>150000507</v>
      </c>
      <c r="B194" s="424" t="s">
        <v>113</v>
      </c>
      <c r="C194" s="29">
        <f>VLOOKUP($A194,'зарплата в цінах'!$A$2:$F$397,3)</f>
        <v>0</v>
      </c>
      <c r="D194" s="29">
        <f>VLOOKUP($A194,'зарплата в цінах'!$A$2:$F$397,4)</f>
        <v>0</v>
      </c>
      <c r="E194" s="29">
        <f>VLOOKUP($A194,'зарплата в цінах'!$A$2:$F$397,5)</f>
        <v>0</v>
      </c>
      <c r="F194" s="29">
        <f>VLOOKUP($A194,'зарплата в цінах'!$A$2:$F$397,6)</f>
        <v>0</v>
      </c>
    </row>
    <row r="195" spans="1:6" x14ac:dyDescent="0.3">
      <c r="A195" s="318">
        <v>150000508</v>
      </c>
      <c r="B195" s="424" t="s">
        <v>114</v>
      </c>
      <c r="C195" s="29">
        <f>VLOOKUP($A195,'зарплата в цінах'!$A$2:$F$397,3)</f>
        <v>0</v>
      </c>
      <c r="D195" s="29">
        <f>VLOOKUP($A195,'зарплата в цінах'!$A$2:$F$397,4)</f>
        <v>0</v>
      </c>
      <c r="E195" s="29">
        <f>VLOOKUP($A195,'зарплата в цінах'!$A$2:$F$397,5)</f>
        <v>0</v>
      </c>
      <c r="F195" s="29">
        <f>VLOOKUP($A195,'зарплата в цінах'!$A$2:$F$397,6)</f>
        <v>0</v>
      </c>
    </row>
    <row r="196" spans="1:6" x14ac:dyDescent="0.3">
      <c r="A196" s="318">
        <v>150000501</v>
      </c>
      <c r="B196" s="250" t="s">
        <v>263</v>
      </c>
      <c r="C196" s="29">
        <f>VLOOKUP($A196,'зарплата в цінах'!$A$2:$F$397,3)</f>
        <v>556.35</v>
      </c>
      <c r="D196" s="29">
        <f>VLOOKUP($A196,'зарплата в цінах'!$A$2:$F$397,4)</f>
        <v>116.69</v>
      </c>
      <c r="E196" s="29">
        <f>VLOOKUP($A196,'зарплата в цінах'!$A$2:$F$397,5)</f>
        <v>0</v>
      </c>
      <c r="F196" s="29">
        <f>VLOOKUP($A196,'зарплата в цінах'!$A$2:$F$397,6)</f>
        <v>418.69</v>
      </c>
    </row>
    <row r="197" spans="1:6" x14ac:dyDescent="0.3">
      <c r="A197" s="318">
        <v>150000778</v>
      </c>
      <c r="B197" s="250" t="s">
        <v>214</v>
      </c>
      <c r="C197" s="29">
        <f>VLOOKUP($A197,'зарплата в цінах'!$A$2:$F$397,3)</f>
        <v>241.98</v>
      </c>
      <c r="D197" s="29">
        <f>VLOOKUP($A197,'зарплата в цінах'!$A$2:$F$397,4)</f>
        <v>45.74</v>
      </c>
      <c r="E197" s="29">
        <f>VLOOKUP($A197,'зарплата в цінах'!$A$2:$F$397,5)</f>
        <v>0</v>
      </c>
      <c r="F197" s="29">
        <f>VLOOKUP($A197,'зарплата в цінах'!$A$2:$F$397,6)</f>
        <v>156</v>
      </c>
    </row>
    <row r="198" spans="1:6" x14ac:dyDescent="0.3">
      <c r="A198" s="318">
        <v>150001071</v>
      </c>
      <c r="B198" s="250" t="s">
        <v>167</v>
      </c>
      <c r="C198" s="29">
        <f>VLOOKUP($A198,'зарплата в цінах'!$A$2:$F$397,3)</f>
        <v>59.65</v>
      </c>
      <c r="D198" s="29">
        <f>VLOOKUP($A198,'зарплата в цінах'!$A$2:$F$397,4)</f>
        <v>9.75</v>
      </c>
      <c r="E198" s="29">
        <f>VLOOKUP($A198,'зарплата в цінах'!$A$2:$F$397,5)</f>
        <v>0</v>
      </c>
      <c r="F198" s="29">
        <f>VLOOKUP($A198,'зарплата в цінах'!$A$2:$F$397,6)</f>
        <v>36.42</v>
      </c>
    </row>
    <row r="199" spans="1:6" x14ac:dyDescent="0.3">
      <c r="A199" s="318">
        <v>150000768</v>
      </c>
      <c r="B199" s="424" t="s">
        <v>116</v>
      </c>
      <c r="C199" s="29">
        <f>VLOOKUP($A199,'зарплата в цінах'!$A$2:$F$397,3)</f>
        <v>0</v>
      </c>
      <c r="D199" s="29">
        <f>VLOOKUP($A199,'зарплата в цінах'!$A$2:$F$397,4)</f>
        <v>0</v>
      </c>
      <c r="E199" s="29">
        <f>VLOOKUP($A199,'зарплата в цінах'!$A$2:$F$397,5)</f>
        <v>0</v>
      </c>
      <c r="F199" s="29">
        <f>VLOOKUP($A199,'зарплата в цінах'!$A$2:$F$397,6)</f>
        <v>0</v>
      </c>
    </row>
    <row r="200" spans="1:6" x14ac:dyDescent="0.3">
      <c r="A200" s="318">
        <v>150000763</v>
      </c>
      <c r="B200" s="424" t="s">
        <v>117</v>
      </c>
      <c r="C200" s="29">
        <f>VLOOKUP($A200,'зарплата в цінах'!$A$2:$F$397,3)</f>
        <v>0</v>
      </c>
      <c r="D200" s="29">
        <f>VLOOKUP($A200,'зарплата в цінах'!$A$2:$F$397,4)</f>
        <v>0</v>
      </c>
      <c r="E200" s="29">
        <f>VLOOKUP($A200,'зарплата в цінах'!$A$2:$F$397,5)</f>
        <v>0</v>
      </c>
      <c r="F200" s="29">
        <f>VLOOKUP($A200,'зарплата в цінах'!$A$2:$F$397,6)</f>
        <v>0</v>
      </c>
    </row>
    <row r="201" spans="1:6" x14ac:dyDescent="0.3">
      <c r="A201" s="318">
        <v>150000764</v>
      </c>
      <c r="B201" s="424" t="s">
        <v>118</v>
      </c>
      <c r="C201" s="29">
        <f>VLOOKUP($A201,'зарплата в цінах'!$A$2:$F$397,3)</f>
        <v>0</v>
      </c>
      <c r="D201" s="29">
        <f>VLOOKUP($A201,'зарплата в цінах'!$A$2:$F$397,4)</f>
        <v>0</v>
      </c>
      <c r="E201" s="29">
        <f>VLOOKUP($A201,'зарплата в цінах'!$A$2:$F$397,5)</f>
        <v>0</v>
      </c>
      <c r="F201" s="29">
        <f>VLOOKUP($A201,'зарплата в цінах'!$A$2:$F$397,6)</f>
        <v>0</v>
      </c>
    </row>
    <row r="202" spans="1:6" x14ac:dyDescent="0.3">
      <c r="A202" s="318">
        <v>150000770</v>
      </c>
      <c r="B202" s="424" t="s">
        <v>119</v>
      </c>
      <c r="C202" s="29">
        <f>VLOOKUP($A202,'зарплата в цінах'!$A$2:$F$397,3)</f>
        <v>0</v>
      </c>
      <c r="D202" s="29">
        <f>VLOOKUP($A202,'зарплата в цінах'!$A$2:$F$397,4)</f>
        <v>0</v>
      </c>
      <c r="E202" s="29">
        <f>VLOOKUP($A202,'зарплата в цінах'!$A$2:$F$397,5)</f>
        <v>0</v>
      </c>
      <c r="F202" s="29">
        <f>VLOOKUP($A202,'зарплата в цінах'!$A$2:$F$397,6)</f>
        <v>0</v>
      </c>
    </row>
    <row r="203" spans="1:6" x14ac:dyDescent="0.3">
      <c r="A203" s="318">
        <v>150000777</v>
      </c>
      <c r="B203" s="250" t="s">
        <v>168</v>
      </c>
      <c r="C203" s="29">
        <f>VLOOKUP($A203,'зарплата в цінах'!$A$2:$F$397,3)</f>
        <v>49.68</v>
      </c>
      <c r="D203" s="29">
        <f>VLOOKUP($A203,'зарплата в цінах'!$A$2:$F$397,4)</f>
        <v>7.69</v>
      </c>
      <c r="E203" s="29">
        <f>VLOOKUP($A203,'зарплата в цінах'!$A$2:$F$397,5)</f>
        <v>0</v>
      </c>
      <c r="F203" s="29">
        <f>VLOOKUP($A203,'зарплата в цінах'!$A$2:$F$397,6)</f>
        <v>16.350000000000001</v>
      </c>
    </row>
    <row r="204" spans="1:6" x14ac:dyDescent="0.3">
      <c r="A204" s="318">
        <v>150000765</v>
      </c>
      <c r="B204" s="250" t="s">
        <v>264</v>
      </c>
      <c r="C204" s="29">
        <f>VLOOKUP($A204,'зарплата в цінах'!$A$2:$F$397,3)</f>
        <v>531.69000000000005</v>
      </c>
      <c r="D204" s="29">
        <f>VLOOKUP($A204,'зарплата в цінах'!$A$2:$F$397,4)</f>
        <v>110.9</v>
      </c>
      <c r="E204" s="29">
        <f>VLOOKUP($A204,'зарплата в цінах'!$A$2:$F$397,5)</f>
        <v>43.76</v>
      </c>
      <c r="F204" s="29">
        <f>VLOOKUP($A204,'зарплата в цінах'!$A$2:$F$397,6)</f>
        <v>373.24</v>
      </c>
    </row>
    <row r="205" spans="1:6" x14ac:dyDescent="0.3">
      <c r="A205" s="318">
        <v>150000683</v>
      </c>
      <c r="B205" s="424" t="s">
        <v>115</v>
      </c>
      <c r="C205" s="29">
        <f>VLOOKUP($A205,'зарплата в цінах'!$A$2:$F$397,3)</f>
        <v>0</v>
      </c>
      <c r="D205" s="29">
        <f>VLOOKUP($A205,'зарплата в цінах'!$A$2:$F$397,4)</f>
        <v>0</v>
      </c>
      <c r="E205" s="29">
        <f>VLOOKUP($A205,'зарплата в цінах'!$A$2:$F$397,5)</f>
        <v>0</v>
      </c>
      <c r="F205" s="29">
        <f>VLOOKUP($A205,'зарплата в цінах'!$A$2:$F$397,6)</f>
        <v>0</v>
      </c>
    </row>
    <row r="206" spans="1:6" x14ac:dyDescent="0.3">
      <c r="A206" s="318">
        <v>150000696</v>
      </c>
      <c r="B206" s="250" t="s">
        <v>370</v>
      </c>
      <c r="C206" s="29">
        <f>VLOOKUP($A206,'зарплата в цінах'!$A$2:$F$397,3)</f>
        <v>741.63</v>
      </c>
      <c r="D206" s="29">
        <f>VLOOKUP($A206,'зарплата в цінах'!$A$2:$F$397,4)</f>
        <v>139.52000000000001</v>
      </c>
      <c r="E206" s="29">
        <f>VLOOKUP($A206,'зарплата в цінах'!$A$2:$F$397,5)</f>
        <v>39.56</v>
      </c>
      <c r="F206" s="29">
        <f>VLOOKUP($A206,'зарплата в цінах'!$A$2:$F$397,6)</f>
        <v>391.63</v>
      </c>
    </row>
    <row r="207" spans="1:6" x14ac:dyDescent="0.3">
      <c r="A207" s="318">
        <v>150000697</v>
      </c>
      <c r="B207" s="250" t="s">
        <v>265</v>
      </c>
      <c r="C207" s="29">
        <f>VLOOKUP($A207,'зарплата в цінах'!$A$2:$F$397,3)</f>
        <v>355.93</v>
      </c>
      <c r="D207" s="29">
        <f>VLOOKUP($A207,'зарплата в цінах'!$A$2:$F$397,4)</f>
        <v>90.2</v>
      </c>
      <c r="E207" s="29">
        <f>VLOOKUP($A207,'зарплата в цінах'!$A$2:$F$397,5)</f>
        <v>23.98</v>
      </c>
      <c r="F207" s="29">
        <f>VLOOKUP($A207,'зарплата в цінах'!$A$2:$F$397,6)</f>
        <v>251.93</v>
      </c>
    </row>
    <row r="208" spans="1:6" x14ac:dyDescent="0.3">
      <c r="A208" s="318">
        <v>150000694</v>
      </c>
      <c r="B208" s="250" t="s">
        <v>371</v>
      </c>
      <c r="C208" s="29">
        <f>VLOOKUP($A208,'зарплата в цінах'!$A$2:$F$397,3)</f>
        <v>741.28</v>
      </c>
      <c r="D208" s="29">
        <f>VLOOKUP($A208,'зарплата в цінах'!$A$2:$F$397,4)</f>
        <v>139.44999999999999</v>
      </c>
      <c r="E208" s="29">
        <f>VLOOKUP($A208,'зарплата в цінах'!$A$2:$F$397,5)</f>
        <v>39.56</v>
      </c>
      <c r="F208" s="29">
        <f>VLOOKUP($A208,'зарплата в цінах'!$A$2:$F$397,6)</f>
        <v>390.82</v>
      </c>
    </row>
    <row r="209" spans="1:6" x14ac:dyDescent="0.3">
      <c r="A209" s="318">
        <v>150000695</v>
      </c>
      <c r="B209" s="250" t="s">
        <v>372</v>
      </c>
      <c r="C209" s="29">
        <f>VLOOKUP($A209,'зарплата в цінах'!$A$2:$F$397,3)</f>
        <v>742.25</v>
      </c>
      <c r="D209" s="29">
        <f>VLOOKUP($A209,'зарплата в цінах'!$A$2:$F$397,4)</f>
        <v>130.22</v>
      </c>
      <c r="E209" s="29">
        <f>VLOOKUP($A209,'зарплата в цінах'!$A$2:$F$397,5)</f>
        <v>39.56</v>
      </c>
      <c r="F209" s="29">
        <f>VLOOKUP($A209,'зарплата в цінах'!$A$2:$F$397,6)</f>
        <v>392.99</v>
      </c>
    </row>
    <row r="210" spans="1:6" x14ac:dyDescent="0.3">
      <c r="A210" s="318">
        <v>150000698</v>
      </c>
      <c r="B210" s="424" t="s">
        <v>120</v>
      </c>
      <c r="C210" s="29">
        <f>VLOOKUP($A210,'зарплата в цінах'!$A$2:$F$397,3)</f>
        <v>0</v>
      </c>
      <c r="D210" s="29">
        <f>VLOOKUP($A210,'зарплата в цінах'!$A$2:$F$397,4)</f>
        <v>0</v>
      </c>
      <c r="E210" s="29">
        <f>VLOOKUP($A210,'зарплата в цінах'!$A$2:$F$397,5)</f>
        <v>0</v>
      </c>
      <c r="F210" s="29">
        <f>VLOOKUP($A210,'зарплата в цінах'!$A$2:$F$397,6)</f>
        <v>0</v>
      </c>
    </row>
    <row r="211" spans="1:6" x14ac:dyDescent="0.3">
      <c r="A211" s="318">
        <v>150000699</v>
      </c>
      <c r="B211" s="250" t="s">
        <v>373</v>
      </c>
      <c r="C211" s="29">
        <f>VLOOKUP($A211,'зарплата в цінах'!$A$2:$F$397,3)</f>
        <v>439.28</v>
      </c>
      <c r="D211" s="29">
        <f>VLOOKUP($A211,'зарплата в цінах'!$A$2:$F$397,4)</f>
        <v>58.77</v>
      </c>
      <c r="E211" s="29">
        <f>VLOOKUP($A211,'зарплата в цінах'!$A$2:$F$397,5)</f>
        <v>26.37</v>
      </c>
      <c r="F211" s="29">
        <f>VLOOKUP($A211,'зарплата в цінах'!$A$2:$F$397,6)</f>
        <v>182.64</v>
      </c>
    </row>
    <row r="212" spans="1:6" x14ac:dyDescent="0.3">
      <c r="A212" s="318">
        <v>150000928</v>
      </c>
      <c r="B212" s="250" t="s">
        <v>169</v>
      </c>
      <c r="C212" s="29">
        <f>VLOOKUP($A212,'зарплата в цінах'!$A$2:$F$397,3)</f>
        <v>85.24</v>
      </c>
      <c r="D212" s="29">
        <f>VLOOKUP($A212,'зарплата в цінах'!$A$2:$F$397,4)</f>
        <v>19.010000000000002</v>
      </c>
      <c r="E212" s="29">
        <f>VLOOKUP($A212,'зарплата в цінах'!$A$2:$F$397,5)</f>
        <v>0</v>
      </c>
      <c r="F212" s="29">
        <f>VLOOKUP($A212,'зарплата в цінах'!$A$2:$F$397,6)</f>
        <v>36.04</v>
      </c>
    </row>
    <row r="213" spans="1:6" x14ac:dyDescent="0.3">
      <c r="A213" s="318">
        <v>150000951</v>
      </c>
      <c r="B213" s="250" t="s">
        <v>170</v>
      </c>
      <c r="C213" s="29">
        <f>VLOOKUP($A213,'зарплата в цінах'!$A$2:$F$397,3)</f>
        <v>0</v>
      </c>
      <c r="D213" s="29">
        <f>VLOOKUP($A213,'зарплата в цінах'!$A$2:$F$397,4)</f>
        <v>0</v>
      </c>
      <c r="E213" s="29">
        <f>VLOOKUP($A213,'зарплата в цінах'!$A$2:$F$397,5)</f>
        <v>0</v>
      </c>
      <c r="F213" s="29">
        <f>VLOOKUP($A213,'зарплата в цінах'!$A$2:$F$397,6)</f>
        <v>34.119999999999997</v>
      </c>
    </row>
    <row r="214" spans="1:6" x14ac:dyDescent="0.3">
      <c r="A214" s="318">
        <v>150000954</v>
      </c>
      <c r="B214" s="250" t="s">
        <v>171</v>
      </c>
      <c r="C214" s="29">
        <f>VLOOKUP($A214,'зарплата в цінах'!$A$2:$F$397,3)</f>
        <v>41.22</v>
      </c>
      <c r="D214" s="29">
        <f>VLOOKUP($A214,'зарплата в цінах'!$A$2:$F$397,4)</f>
        <v>8.18</v>
      </c>
      <c r="E214" s="29">
        <f>VLOOKUP($A214,'зарплата в цінах'!$A$2:$F$397,5)</f>
        <v>0</v>
      </c>
      <c r="F214" s="29">
        <f>VLOOKUP($A214,'зарплата в цінах'!$A$2:$F$397,6)</f>
        <v>22.55</v>
      </c>
    </row>
    <row r="215" spans="1:6" x14ac:dyDescent="0.3">
      <c r="A215" s="318">
        <v>150000929</v>
      </c>
      <c r="B215" s="250" t="s">
        <v>1094</v>
      </c>
      <c r="C215" s="29">
        <f>VLOOKUP($A215,'зарплата в цінах'!$A$2:$F$397,3)</f>
        <v>89.44</v>
      </c>
      <c r="D215" s="29">
        <f>VLOOKUP($A215,'зарплата в цінах'!$A$2:$F$397,4)</f>
        <v>19.010000000000002</v>
      </c>
      <c r="E215" s="29">
        <f>VLOOKUP($A215,'зарплата в цінах'!$A$2:$F$397,5)</f>
        <v>0</v>
      </c>
      <c r="F215" s="29">
        <f>VLOOKUP($A215,'зарплата в цінах'!$A$2:$F$397,6)</f>
        <v>36.04</v>
      </c>
    </row>
    <row r="216" spans="1:6" x14ac:dyDescent="0.3">
      <c r="A216" s="318">
        <v>150000930</v>
      </c>
      <c r="B216" s="250" t="s">
        <v>172</v>
      </c>
      <c r="C216" s="29">
        <f>VLOOKUP($A216,'зарплата в цінах'!$A$2:$F$397,3)</f>
        <v>28.33</v>
      </c>
      <c r="D216" s="29">
        <f>VLOOKUP($A216,'зарплата в цінах'!$A$2:$F$397,4)</f>
        <v>11.5</v>
      </c>
      <c r="E216" s="29">
        <f>VLOOKUP($A216,'зарплата в цінах'!$A$2:$F$397,5)</f>
        <v>0</v>
      </c>
      <c r="F216" s="29">
        <f>VLOOKUP($A216,'зарплата в цінах'!$A$2:$F$397,6)</f>
        <v>12.33</v>
      </c>
    </row>
    <row r="217" spans="1:6" x14ac:dyDescent="0.3">
      <c r="A217" s="318">
        <v>150000931</v>
      </c>
      <c r="B217" s="250" t="s">
        <v>266</v>
      </c>
      <c r="C217" s="29">
        <f>VLOOKUP($A217,'зарплата в цінах'!$A$2:$F$397,3)</f>
        <v>264.92</v>
      </c>
      <c r="D217" s="29">
        <f>VLOOKUP($A217,'зарплата в цінах'!$A$2:$F$397,4)</f>
        <v>55.89</v>
      </c>
      <c r="E217" s="29">
        <f>VLOOKUP($A217,'зарплата в цінах'!$A$2:$F$397,5)</f>
        <v>17.98</v>
      </c>
      <c r="F217" s="29">
        <f>VLOOKUP($A217,'зарплата в цінах'!$A$2:$F$397,6)</f>
        <v>180.49</v>
      </c>
    </row>
    <row r="218" spans="1:6" x14ac:dyDescent="0.3">
      <c r="A218" s="318">
        <v>150000932</v>
      </c>
      <c r="B218" s="250" t="s">
        <v>173</v>
      </c>
      <c r="C218" s="29">
        <f>VLOOKUP($A218,'зарплата в цінах'!$A$2:$F$397,3)</f>
        <v>14.442</v>
      </c>
      <c r="D218" s="29">
        <f>VLOOKUP($A218,'зарплата в цінах'!$A$2:$F$397,4)</f>
        <v>8.18</v>
      </c>
      <c r="E218" s="29">
        <f>VLOOKUP($A218,'зарплата в цінах'!$A$2:$F$397,5)</f>
        <v>0</v>
      </c>
      <c r="F218" s="29">
        <f>VLOOKUP($A218,'зарплата в цінах'!$A$2:$F$397,6)</f>
        <v>3.71</v>
      </c>
    </row>
    <row r="219" spans="1:6" x14ac:dyDescent="0.3">
      <c r="A219" s="318">
        <v>150000924</v>
      </c>
      <c r="B219" s="250" t="s">
        <v>174</v>
      </c>
      <c r="C219" s="29">
        <f>VLOOKUP($A219,'зарплата в цінах'!$A$2:$F$397,3)</f>
        <v>80.08</v>
      </c>
      <c r="D219" s="29">
        <f>VLOOKUP($A219,'зарплата в цінах'!$A$2:$F$397,4)</f>
        <v>22.18</v>
      </c>
      <c r="E219" s="29">
        <f>VLOOKUP($A219,'зарплата в цінах'!$A$2:$F$397,5)</f>
        <v>0</v>
      </c>
      <c r="F219" s="29">
        <f>VLOOKUP($A219,'зарплата в цінах'!$A$2:$F$397,6)</f>
        <v>36.61</v>
      </c>
    </row>
    <row r="220" spans="1:6" x14ac:dyDescent="0.3">
      <c r="A220" s="318">
        <v>150000933</v>
      </c>
      <c r="B220" s="250" t="s">
        <v>267</v>
      </c>
      <c r="C220" s="29">
        <f>VLOOKUP($A220,'зарплата в цінах'!$A$2:$F$397,3)</f>
        <v>467.81</v>
      </c>
      <c r="D220" s="29">
        <f>VLOOKUP($A220,'зарплата в цінах'!$A$2:$F$397,4)</f>
        <v>97.61</v>
      </c>
      <c r="E220" s="29">
        <f>VLOOKUP($A220,'зарплата в цінах'!$A$2:$F$397,5)</f>
        <v>29.97</v>
      </c>
      <c r="F220" s="29">
        <f>VLOOKUP($A220,'зарплата в цінах'!$A$2:$F$397,6)</f>
        <v>336.23</v>
      </c>
    </row>
    <row r="221" spans="1:6" x14ac:dyDescent="0.3">
      <c r="A221" s="318">
        <v>150000934</v>
      </c>
      <c r="B221" s="250" t="s">
        <v>215</v>
      </c>
      <c r="C221" s="29">
        <f>VLOOKUP($A221,'зарплата в цінах'!$A$2:$F$397,3)</f>
        <v>219.15</v>
      </c>
      <c r="D221" s="29">
        <f>VLOOKUP($A221,'зарплата в цінах'!$A$2:$F$397,4)</f>
        <v>31.68</v>
      </c>
      <c r="E221" s="29">
        <f>VLOOKUP($A221,'зарплата в цінах'!$A$2:$F$397,5)</f>
        <v>0</v>
      </c>
      <c r="F221" s="29">
        <f>VLOOKUP($A221,'зарплата в цінах'!$A$2:$F$397,6)</f>
        <v>139.53</v>
      </c>
    </row>
    <row r="222" spans="1:6" x14ac:dyDescent="0.3">
      <c r="A222" s="318">
        <v>150000935</v>
      </c>
      <c r="B222" s="250" t="s">
        <v>175</v>
      </c>
      <c r="C222" s="29">
        <f>VLOOKUP($A222,'зарплата в цінах'!$A$2:$F$397,3)</f>
        <v>18.506999999999998</v>
      </c>
      <c r="D222" s="29">
        <f>VLOOKUP($A222,'зарплата в цінах'!$A$2:$F$397,4)</f>
        <v>9.4600000000000009</v>
      </c>
      <c r="E222" s="29">
        <f>VLOOKUP($A222,'зарплата в цінах'!$A$2:$F$397,5)</f>
        <v>0</v>
      </c>
      <c r="F222" s="29">
        <f>VLOOKUP($A222,'зарплата в цінах'!$A$2:$F$397,6)</f>
        <v>12.125</v>
      </c>
    </row>
    <row r="223" spans="1:6" x14ac:dyDescent="0.3">
      <c r="A223" s="318">
        <v>150000936</v>
      </c>
      <c r="B223" s="424" t="s">
        <v>121</v>
      </c>
      <c r="C223" s="29">
        <f>VLOOKUP($A223,'зарплата в цінах'!$A$2:$F$397,3)</f>
        <v>0</v>
      </c>
      <c r="D223" s="29">
        <f>VLOOKUP($A223,'зарплата в цінах'!$A$2:$F$397,4)</f>
        <v>0</v>
      </c>
      <c r="E223" s="29">
        <f>VLOOKUP($A223,'зарплата в цінах'!$A$2:$F$397,5)</f>
        <v>0</v>
      </c>
      <c r="F223" s="29">
        <f>VLOOKUP($A223,'зарплата в цінах'!$A$2:$F$397,6)</f>
        <v>0</v>
      </c>
    </row>
    <row r="224" spans="1:6" x14ac:dyDescent="0.3">
      <c r="A224" s="318">
        <v>150000937</v>
      </c>
      <c r="B224" s="250" t="s">
        <v>374</v>
      </c>
      <c r="C224" s="29">
        <f>VLOOKUP($A224,'зарплата в цінах'!$A$2:$F$397,3)</f>
        <v>194.72</v>
      </c>
      <c r="D224" s="29">
        <f>VLOOKUP($A224,'зарплата в цінах'!$A$2:$F$397,4)</f>
        <v>75.86</v>
      </c>
      <c r="E224" s="29">
        <f>VLOOKUP($A224,'зарплата в цінах'!$A$2:$F$397,5)</f>
        <v>38.96</v>
      </c>
      <c r="F224" s="29">
        <f>VLOOKUP($A224,'зарплата в цінах'!$A$2:$F$397,6)</f>
        <v>247.04</v>
      </c>
    </row>
    <row r="225" spans="1:6" x14ac:dyDescent="0.3">
      <c r="A225" s="318">
        <v>150000938</v>
      </c>
      <c r="B225" s="250" t="s">
        <v>375</v>
      </c>
      <c r="C225" s="29">
        <f>VLOOKUP($A225,'зарплата в цінах'!$A$2:$F$397,3)</f>
        <v>1784.68</v>
      </c>
      <c r="D225" s="29">
        <f>VLOOKUP($A225,'зарплата в цінах'!$A$2:$F$397,4)</f>
        <v>280.61</v>
      </c>
      <c r="E225" s="29">
        <f>VLOOKUP($A225,'зарплата в цінах'!$A$2:$F$397,5)</f>
        <v>92.31</v>
      </c>
      <c r="F225" s="29">
        <f>VLOOKUP($A225,'зарплата в цінах'!$A$2:$F$397,6)</f>
        <v>1125.78</v>
      </c>
    </row>
    <row r="226" spans="1:6" x14ac:dyDescent="0.3">
      <c r="A226" s="318">
        <v>150000925</v>
      </c>
      <c r="B226" s="250" t="s">
        <v>176</v>
      </c>
      <c r="C226" s="29">
        <f>VLOOKUP($A226,'зарплата в цінах'!$A$2:$F$397,3)</f>
        <v>80.11</v>
      </c>
      <c r="D226" s="29">
        <f>VLOOKUP($A226,'зарплата в цінах'!$A$2:$F$397,4)</f>
        <v>18.190000000000001</v>
      </c>
      <c r="E226" s="29">
        <f>VLOOKUP($A226,'зарплата в цінах'!$A$2:$F$397,5)</f>
        <v>0</v>
      </c>
      <c r="F226" s="29">
        <f>VLOOKUP($A226,'зарплата в цінах'!$A$2:$F$397,6)</f>
        <v>36.04</v>
      </c>
    </row>
    <row r="227" spans="1:6" x14ac:dyDescent="0.3">
      <c r="A227" s="318">
        <v>150000939</v>
      </c>
      <c r="B227" s="250" t="s">
        <v>336</v>
      </c>
      <c r="C227" s="29">
        <f>VLOOKUP($A227,'зарплата в цінах'!$A$2:$F$397,3)</f>
        <v>447.71</v>
      </c>
      <c r="D227" s="29">
        <f>VLOOKUP($A227,'зарплата в цінах'!$A$2:$F$397,4)</f>
        <v>77.88</v>
      </c>
      <c r="E227" s="29">
        <f>VLOOKUP($A227,'зарплата в цінах'!$A$2:$F$397,5)</f>
        <v>76.12</v>
      </c>
      <c r="F227" s="29">
        <f>VLOOKUP($A227,'зарплата в цінах'!$A$2:$F$397,6)</f>
        <v>239.82</v>
      </c>
    </row>
    <row r="228" spans="1:6" x14ac:dyDescent="0.3">
      <c r="A228" s="318">
        <v>150000926</v>
      </c>
      <c r="B228" s="250" t="s">
        <v>177</v>
      </c>
      <c r="C228" s="29">
        <f>VLOOKUP($A228,'зарплата в цінах'!$A$2:$F$397,3)</f>
        <v>47.56</v>
      </c>
      <c r="D228" s="29">
        <f>VLOOKUP($A228,'зарплата в цінах'!$A$2:$F$397,4)</f>
        <v>18.190000000000001</v>
      </c>
      <c r="E228" s="29">
        <f>VLOOKUP($A228,'зарплата в цінах'!$A$2:$F$397,5)</f>
        <v>0</v>
      </c>
      <c r="F228" s="29">
        <f>VLOOKUP($A228,'зарплата в цінах'!$A$2:$F$397,6)</f>
        <v>36.04</v>
      </c>
    </row>
    <row r="229" spans="1:6" x14ac:dyDescent="0.3">
      <c r="A229" s="318">
        <v>150000940</v>
      </c>
      <c r="B229" s="250" t="s">
        <v>376</v>
      </c>
      <c r="C229" s="29">
        <f>VLOOKUP($A229,'зарплата в цінах'!$A$2:$F$397,3)</f>
        <v>687.6</v>
      </c>
      <c r="D229" s="29">
        <f>VLOOKUP($A229,'зарплата в цінах'!$A$2:$F$397,4)</f>
        <v>119.2</v>
      </c>
      <c r="E229" s="29">
        <f>VLOOKUP($A229,'зарплата в цінах'!$A$2:$F$397,5)</f>
        <v>39.56</v>
      </c>
      <c r="F229" s="29">
        <f>VLOOKUP($A229,'зарплата в цінах'!$A$2:$F$397,6)</f>
        <v>473.15</v>
      </c>
    </row>
    <row r="230" spans="1:6" x14ac:dyDescent="0.3">
      <c r="A230" s="318">
        <v>150000941</v>
      </c>
      <c r="B230" s="250" t="s">
        <v>337</v>
      </c>
      <c r="C230" s="29">
        <f>VLOOKUP($A230,'зарплата в цінах'!$A$2:$F$397,3)</f>
        <v>336.68</v>
      </c>
      <c r="D230" s="29">
        <f>VLOOKUP($A230,'зарплата в цінах'!$A$2:$F$397,4)</f>
        <v>95.26</v>
      </c>
      <c r="E230" s="29">
        <f>VLOOKUP($A230,'зарплата в цінах'!$A$2:$F$397,5)</f>
        <v>36.86</v>
      </c>
      <c r="F230" s="29">
        <f>VLOOKUP($A230,'зарплата в цінах'!$A$2:$F$397,6)</f>
        <v>378.37</v>
      </c>
    </row>
    <row r="231" spans="1:6" x14ac:dyDescent="0.3">
      <c r="A231" s="318">
        <v>150000957</v>
      </c>
      <c r="B231" s="250" t="s">
        <v>377</v>
      </c>
      <c r="C231" s="29">
        <f>VLOOKUP($A231,'зарплата в цінах'!$A$2:$F$397,3)</f>
        <v>266.77999999999997</v>
      </c>
      <c r="D231" s="29">
        <f>VLOOKUP($A231,'зарплата в цінах'!$A$2:$F$397,4)</f>
        <v>40.619999999999997</v>
      </c>
      <c r="E231" s="29">
        <f>VLOOKUP($A231,'зарплата в цінах'!$A$2:$F$397,5)</f>
        <v>13.19</v>
      </c>
      <c r="F231" s="29">
        <f>VLOOKUP($A231,'зарплата в цінах'!$A$2:$F$397,6)</f>
        <v>72.95</v>
      </c>
    </row>
    <row r="232" spans="1:6" x14ac:dyDescent="0.3">
      <c r="A232" s="318">
        <v>150000960</v>
      </c>
      <c r="B232" s="250" t="s">
        <v>378</v>
      </c>
      <c r="C232" s="29">
        <f>VLOOKUP($A232,'зарплата в цінах'!$A$2:$F$397,3)</f>
        <v>527.13</v>
      </c>
      <c r="D232" s="29">
        <f>VLOOKUP($A232,'зарплата в цінах'!$A$2:$F$397,4)</f>
        <v>81.239999999999995</v>
      </c>
      <c r="E232" s="29">
        <f>VLOOKUP($A232,'зарплата в цінах'!$A$2:$F$397,5)</f>
        <v>26.37</v>
      </c>
      <c r="F232" s="29">
        <f>VLOOKUP($A232,'зарплата в цінах'!$A$2:$F$397,6)</f>
        <v>195.04</v>
      </c>
    </row>
    <row r="233" spans="1:6" x14ac:dyDescent="0.3">
      <c r="A233" s="318">
        <v>150000963</v>
      </c>
      <c r="B233" s="250" t="s">
        <v>379</v>
      </c>
      <c r="C233" s="29">
        <f>VLOOKUP($A233,'зарплата в цінах'!$A$2:$F$397,3)</f>
        <v>266.77999999999997</v>
      </c>
      <c r="D233" s="29">
        <f>VLOOKUP($A233,'зарплата в цінах'!$A$2:$F$397,4)</f>
        <v>40.619999999999997</v>
      </c>
      <c r="E233" s="29">
        <f>VLOOKUP($A233,'зарплата в цінах'!$A$2:$F$397,5)</f>
        <v>13.19</v>
      </c>
      <c r="F233" s="29">
        <f>VLOOKUP($A233,'зарплата в цінах'!$A$2:$F$397,6)</f>
        <v>72.95</v>
      </c>
    </row>
    <row r="234" spans="1:6" x14ac:dyDescent="0.3">
      <c r="A234" s="318">
        <v>150000927</v>
      </c>
      <c r="B234" s="250" t="s">
        <v>178</v>
      </c>
      <c r="C234" s="29">
        <f>VLOOKUP($A234,'зарплата в цінах'!$A$2:$F$397,3)</f>
        <v>94.17</v>
      </c>
      <c r="D234" s="29">
        <f>VLOOKUP($A234,'зарплата в цінах'!$A$2:$F$397,4)</f>
        <v>24.05</v>
      </c>
      <c r="E234" s="29">
        <f>VLOOKUP($A234,'зарплата в цінах'!$A$2:$F$397,5)</f>
        <v>0</v>
      </c>
      <c r="F234" s="29">
        <f>VLOOKUP($A234,'зарплата в цінах'!$A$2:$F$397,6)</f>
        <v>36.61</v>
      </c>
    </row>
    <row r="235" spans="1:6" x14ac:dyDescent="0.3">
      <c r="A235" s="318">
        <v>150000958</v>
      </c>
      <c r="B235" s="250" t="s">
        <v>380</v>
      </c>
      <c r="C235" s="29">
        <f>VLOOKUP($A235,'зарплата в цінах'!$A$2:$F$397,3)</f>
        <v>266.77999999999997</v>
      </c>
      <c r="D235" s="29">
        <f>VLOOKUP($A235,'зарплата в цінах'!$A$2:$F$397,4)</f>
        <v>40.619999999999997</v>
      </c>
      <c r="E235" s="29">
        <f>VLOOKUP($A235,'зарплата в цінах'!$A$2:$F$397,5)</f>
        <v>13.19</v>
      </c>
      <c r="F235" s="29">
        <f>VLOOKUP($A235,'зарплата в цінах'!$A$2:$F$397,6)</f>
        <v>72.95</v>
      </c>
    </row>
    <row r="236" spans="1:6" x14ac:dyDescent="0.3">
      <c r="A236" s="318">
        <v>150000961</v>
      </c>
      <c r="B236" s="250" t="s">
        <v>381</v>
      </c>
      <c r="C236" s="29">
        <f>VLOOKUP($A236,'зарплата в цінах'!$A$2:$F$397,3)</f>
        <v>525.17999999999995</v>
      </c>
      <c r="D236" s="29">
        <f>VLOOKUP($A236,'зарплата в цінах'!$A$2:$F$397,4)</f>
        <v>81.239999999999995</v>
      </c>
      <c r="E236" s="29">
        <f>VLOOKUP($A236,'зарплата в цінах'!$A$2:$F$397,5)</f>
        <v>26.37</v>
      </c>
      <c r="F236" s="29">
        <f>VLOOKUP($A236,'зарплата в цінах'!$A$2:$F$397,6)</f>
        <v>206.24</v>
      </c>
    </row>
    <row r="237" spans="1:6" x14ac:dyDescent="0.3">
      <c r="A237" s="318">
        <v>150000964</v>
      </c>
      <c r="B237" s="250" t="s">
        <v>382</v>
      </c>
      <c r="C237" s="29">
        <f>VLOOKUP($A237,'зарплата в цінах'!$A$2:$F$397,3)</f>
        <v>266.77999999999997</v>
      </c>
      <c r="D237" s="29">
        <f>VLOOKUP($A237,'зарплата в цінах'!$A$2:$F$397,4)</f>
        <v>40.619999999999997</v>
      </c>
      <c r="E237" s="29">
        <f>VLOOKUP($A237,'зарплата в цінах'!$A$2:$F$397,5)</f>
        <v>13.19</v>
      </c>
      <c r="F237" s="29">
        <f>VLOOKUP($A237,'зарплата в цінах'!$A$2:$F$397,6)</f>
        <v>72.95</v>
      </c>
    </row>
    <row r="238" spans="1:6" x14ac:dyDescent="0.3">
      <c r="A238" s="318">
        <v>150000943</v>
      </c>
      <c r="B238" s="424" t="s">
        <v>122</v>
      </c>
      <c r="C238" s="29">
        <f>VLOOKUP($A238,'зарплата в цінах'!$A$2:$F$397,3)</f>
        <v>0</v>
      </c>
      <c r="D238" s="29">
        <f>VLOOKUP($A238,'зарплата в цінах'!$A$2:$F$397,4)</f>
        <v>0</v>
      </c>
      <c r="E238" s="29">
        <f>VLOOKUP($A238,'зарплата в цінах'!$A$2:$F$397,5)</f>
        <v>0</v>
      </c>
      <c r="F238" s="29">
        <f>VLOOKUP($A238,'зарплата в цінах'!$A$2:$F$397,6)</f>
        <v>0</v>
      </c>
    </row>
    <row r="239" spans="1:6" x14ac:dyDescent="0.3">
      <c r="A239" s="318">
        <v>150000944</v>
      </c>
      <c r="B239" s="424" t="s">
        <v>123</v>
      </c>
      <c r="C239" s="29">
        <f>VLOOKUP($A239,'зарплата в цінах'!$A$2:$F$397,3)</f>
        <v>0</v>
      </c>
      <c r="D239" s="29">
        <f>VLOOKUP($A239,'зарплата в цінах'!$A$2:$F$397,4)</f>
        <v>0</v>
      </c>
      <c r="E239" s="29">
        <f>VLOOKUP($A239,'зарплата в цінах'!$A$2:$F$397,5)</f>
        <v>0</v>
      </c>
      <c r="F239" s="29">
        <f>VLOOKUP($A239,'зарплата в цінах'!$A$2:$F$397,6)</f>
        <v>0</v>
      </c>
    </row>
    <row r="240" spans="1:6" x14ac:dyDescent="0.3">
      <c r="A240" s="318">
        <v>150000945</v>
      </c>
      <c r="B240" s="250" t="s">
        <v>421</v>
      </c>
      <c r="C240" s="29">
        <f>VLOOKUP($A240,'зарплата в цінах'!$A$2:$F$397,3)</f>
        <v>840.09</v>
      </c>
      <c r="D240" s="29">
        <f>VLOOKUP($A240,'зарплата в цінах'!$A$2:$F$397,4)</f>
        <v>132.19999999999999</v>
      </c>
      <c r="E240" s="29">
        <f>VLOOKUP($A240,'зарплата в цінах'!$A$2:$F$397,5)</f>
        <v>42.26</v>
      </c>
      <c r="F240" s="29">
        <f>VLOOKUP($A240,'зарплата в цінах'!$A$2:$F$397,6)</f>
        <v>329.11</v>
      </c>
    </row>
    <row r="241" spans="1:6" x14ac:dyDescent="0.3">
      <c r="A241" s="318">
        <v>150000946</v>
      </c>
      <c r="B241" s="424" t="s">
        <v>124</v>
      </c>
      <c r="C241" s="29">
        <f>VLOOKUP($A241,'зарплата в цінах'!$A$2:$F$397,3)</f>
        <v>0</v>
      </c>
      <c r="D241" s="29">
        <f>VLOOKUP($A241,'зарплата в цінах'!$A$2:$F$397,4)</f>
        <v>0</v>
      </c>
      <c r="E241" s="29">
        <f>VLOOKUP($A241,'зарплата в цінах'!$A$2:$F$397,5)</f>
        <v>0</v>
      </c>
      <c r="F241" s="29">
        <f>VLOOKUP($A241,'зарплата в цінах'!$A$2:$F$397,6)</f>
        <v>0</v>
      </c>
    </row>
    <row r="242" spans="1:6" x14ac:dyDescent="0.3">
      <c r="A242" s="318">
        <v>150000947</v>
      </c>
      <c r="B242" s="250" t="s">
        <v>268</v>
      </c>
      <c r="C242" s="29">
        <f>VLOOKUP($A242,'зарплата в цінах'!$A$2:$F$397,3)</f>
        <v>375.88</v>
      </c>
      <c r="D242" s="29">
        <f>VLOOKUP($A242,'зарплата в цінах'!$A$2:$F$397,4)</f>
        <v>79.150000000000006</v>
      </c>
      <c r="E242" s="29">
        <f>VLOOKUP($A242,'зарплата в цінах'!$A$2:$F$397,5)</f>
        <v>23.98</v>
      </c>
      <c r="F242" s="29">
        <f>VLOOKUP($A242,'зарплата в цінах'!$A$2:$F$397,6)</f>
        <v>252.85</v>
      </c>
    </row>
    <row r="243" spans="1:6" x14ac:dyDescent="0.3">
      <c r="A243" s="318">
        <v>150000948</v>
      </c>
      <c r="B243" s="250" t="s">
        <v>383</v>
      </c>
      <c r="C243" s="29">
        <f>VLOOKUP($A243,'зарплата в цінах'!$A$2:$F$397,3)</f>
        <v>568.75</v>
      </c>
      <c r="D243" s="29">
        <f>VLOOKUP($A243,'зарплата в цінах'!$A$2:$F$397,4)</f>
        <v>118.8</v>
      </c>
      <c r="E243" s="29">
        <f>VLOOKUP($A243,'зарплата в цінах'!$A$2:$F$397,5)</f>
        <v>29.37</v>
      </c>
      <c r="F243" s="29">
        <f>VLOOKUP($A243,'зарплата в цінах'!$A$2:$F$397,6)</f>
        <v>394.66</v>
      </c>
    </row>
    <row r="244" spans="1:6" x14ac:dyDescent="0.3">
      <c r="A244" s="318">
        <v>150000949</v>
      </c>
      <c r="B244" s="250" t="s">
        <v>384</v>
      </c>
      <c r="C244" s="29">
        <f>VLOOKUP($A244,'зарплата в цінах'!$A$2:$F$397,3)</f>
        <v>806.97</v>
      </c>
      <c r="D244" s="29">
        <f>VLOOKUP($A244,'зарплата в цінах'!$A$2:$F$397,4)</f>
        <v>165.63</v>
      </c>
      <c r="E244" s="29">
        <f>VLOOKUP($A244,'зарплата в цінах'!$A$2:$F$397,5)</f>
        <v>97.4</v>
      </c>
      <c r="F244" s="29">
        <f>VLOOKUP($A244,'зарплата в цінах'!$A$2:$F$397,6)</f>
        <v>703.69</v>
      </c>
    </row>
    <row r="245" spans="1:6" x14ac:dyDescent="0.3">
      <c r="A245" s="318">
        <v>150001044</v>
      </c>
      <c r="B245" s="250" t="s">
        <v>269</v>
      </c>
      <c r="C245" s="29">
        <f>VLOOKUP($A245,'зарплата в цінах'!$A$2:$F$397,3)</f>
        <v>404.7</v>
      </c>
      <c r="D245" s="29">
        <f>VLOOKUP($A245,'зарплата в цінах'!$A$2:$F$397,4)</f>
        <v>77.56</v>
      </c>
      <c r="E245" s="29">
        <f>VLOOKUP($A245,'зарплата в цінах'!$A$2:$F$397,5)</f>
        <v>0</v>
      </c>
      <c r="F245" s="29">
        <f>VLOOKUP($A245,'зарплата в цінах'!$A$2:$F$397,6)</f>
        <v>236.2</v>
      </c>
    </row>
    <row r="246" spans="1:6" x14ac:dyDescent="0.3">
      <c r="A246" s="318">
        <v>150001050</v>
      </c>
      <c r="B246" s="250" t="s">
        <v>270</v>
      </c>
      <c r="C246" s="29">
        <f>VLOOKUP($A246,'зарплата в цінах'!$A$2:$F$397,3)</f>
        <v>407.36</v>
      </c>
      <c r="D246" s="29">
        <f>VLOOKUP($A246,'зарплата в цінах'!$A$2:$F$397,4)</f>
        <v>70</v>
      </c>
      <c r="E246" s="29">
        <f>VLOOKUP($A246,'зарплата в цінах'!$A$2:$F$397,5)</f>
        <v>0</v>
      </c>
      <c r="F246" s="29">
        <f>VLOOKUP($A246,'зарплата в цінах'!$A$2:$F$397,6)</f>
        <v>239.74</v>
      </c>
    </row>
    <row r="247" spans="1:6" x14ac:dyDescent="0.3">
      <c r="A247" s="318">
        <v>150001045</v>
      </c>
      <c r="B247" s="250" t="s">
        <v>271</v>
      </c>
      <c r="C247" s="29">
        <f>VLOOKUP($A247,'зарплата в цінах'!$A$2:$F$397,3)</f>
        <v>395.19</v>
      </c>
      <c r="D247" s="29">
        <f>VLOOKUP($A247,'зарплата в цінах'!$A$2:$F$397,4)</f>
        <v>70</v>
      </c>
      <c r="E247" s="29">
        <f>VLOOKUP($A247,'зарплата в цінах'!$A$2:$F$397,5)</f>
        <v>0</v>
      </c>
      <c r="F247" s="29">
        <f>VLOOKUP($A247,'зарплата в цінах'!$A$2:$F$397,6)</f>
        <v>239.74</v>
      </c>
    </row>
    <row r="248" spans="1:6" x14ac:dyDescent="0.3">
      <c r="A248" s="318">
        <v>150001046</v>
      </c>
      <c r="B248" s="250" t="s">
        <v>272</v>
      </c>
      <c r="C248" s="29">
        <f>VLOOKUP($A248,'зарплата в цінах'!$A$2:$F$397,3)</f>
        <v>287.91000000000003</v>
      </c>
      <c r="D248" s="29">
        <f>VLOOKUP($A248,'зарплата в цінах'!$A$2:$F$397,4)</f>
        <v>61.02</v>
      </c>
      <c r="E248" s="29">
        <f>VLOOKUP($A248,'зарплата в цінах'!$A$2:$F$397,5)</f>
        <v>0</v>
      </c>
      <c r="F248" s="29">
        <f>VLOOKUP($A248,'зарплата в цінах'!$A$2:$F$397,6)</f>
        <v>177.33</v>
      </c>
    </row>
    <row r="249" spans="1:6" x14ac:dyDescent="0.3">
      <c r="A249" s="318">
        <v>150001040</v>
      </c>
      <c r="B249" s="250" t="s">
        <v>216</v>
      </c>
      <c r="C249" s="29">
        <f>VLOOKUP($A249,'зарплата в цінах'!$A$2:$F$397,3)</f>
        <v>297.12</v>
      </c>
      <c r="D249" s="29">
        <f>VLOOKUP($A249,'зарплата в цінах'!$A$2:$F$397,4)</f>
        <v>77</v>
      </c>
      <c r="E249" s="29">
        <f>VLOOKUP($A249,'зарплата в цінах'!$A$2:$F$397,5)</f>
        <v>0</v>
      </c>
      <c r="F249" s="29">
        <f>VLOOKUP($A249,'зарплата в цінах'!$A$2:$F$397,6)</f>
        <v>296.18</v>
      </c>
    </row>
    <row r="250" spans="1:6" x14ac:dyDescent="0.3">
      <c r="A250" s="318">
        <v>150001047</v>
      </c>
      <c r="B250" s="250" t="s">
        <v>179</v>
      </c>
      <c r="C250" s="29">
        <f>VLOOKUP($A250,'зарплата в цінах'!$A$2:$F$397,3)</f>
        <v>82.04</v>
      </c>
      <c r="D250" s="29">
        <f>VLOOKUP($A250,'зарплата в цінах'!$A$2:$F$397,4)</f>
        <v>14.35</v>
      </c>
      <c r="E250" s="29">
        <f>VLOOKUP($A250,'зарплата в цінах'!$A$2:$F$397,5)</f>
        <v>0</v>
      </c>
      <c r="F250" s="29">
        <f>VLOOKUP($A250,'зарплата в цінах'!$A$2:$F$397,6)</f>
        <v>35.619999999999997</v>
      </c>
    </row>
    <row r="251" spans="1:6" x14ac:dyDescent="0.3">
      <c r="A251" s="318">
        <v>150001048</v>
      </c>
      <c r="B251" s="424" t="s">
        <v>125</v>
      </c>
      <c r="C251" s="29">
        <f>VLOOKUP($A251,'зарплата в цінах'!$A$2:$F$397,3)</f>
        <v>0</v>
      </c>
      <c r="D251" s="29">
        <f>VLOOKUP($A251,'зарплата в цінах'!$A$2:$F$397,4)</f>
        <v>0</v>
      </c>
      <c r="E251" s="29">
        <f>VLOOKUP($A251,'зарплата в цінах'!$A$2:$F$397,5)</f>
        <v>0</v>
      </c>
      <c r="F251" s="29">
        <f>VLOOKUP($A251,'зарплата в цінах'!$A$2:$F$397,6)</f>
        <v>0</v>
      </c>
    </row>
    <row r="252" spans="1:6" x14ac:dyDescent="0.3">
      <c r="A252" s="318">
        <v>150001049</v>
      </c>
      <c r="B252" s="250" t="s">
        <v>180</v>
      </c>
      <c r="C252" s="29">
        <f>VLOOKUP($A252,'зарплата в цінах'!$A$2:$F$397,3)</f>
        <v>23.045000000000002</v>
      </c>
      <c r="D252" s="29">
        <f>VLOOKUP($A252,'зарплата в цінах'!$A$2:$F$397,4)</f>
        <v>7.85</v>
      </c>
      <c r="E252" s="29">
        <f>VLOOKUP($A252,'зарплата в цінах'!$A$2:$F$397,5)</f>
        <v>0</v>
      </c>
      <c r="F252" s="29">
        <f>VLOOKUP($A252,'зарплата в цінах'!$A$2:$F$397,6)</f>
        <v>10.715</v>
      </c>
    </row>
    <row r="253" spans="1:6" x14ac:dyDescent="0.3">
      <c r="A253" s="318">
        <v>150001041</v>
      </c>
      <c r="B253" s="250" t="s">
        <v>196</v>
      </c>
      <c r="C253" s="29">
        <f>VLOOKUP($A253,'зарплата в цінах'!$A$2:$F$397,3)</f>
        <v>81.78</v>
      </c>
      <c r="D253" s="29">
        <f>VLOOKUP($A253,'зарплата в цінах'!$A$2:$F$397,4)</f>
        <v>12.47</v>
      </c>
      <c r="E253" s="29">
        <f>VLOOKUP($A253,'зарплата в цінах'!$A$2:$F$397,5)</f>
        <v>0</v>
      </c>
      <c r="F253" s="29">
        <f>VLOOKUP($A253,'зарплата в цінах'!$A$2:$F$397,6)</f>
        <v>32.479999999999997</v>
      </c>
    </row>
    <row r="254" spans="1:6" x14ac:dyDescent="0.3">
      <c r="A254" s="318">
        <v>150001042</v>
      </c>
      <c r="B254" s="250" t="s">
        <v>181</v>
      </c>
      <c r="C254" s="29">
        <f>VLOOKUP($A254,'зарплата в цінах'!$A$2:$F$397,3)</f>
        <v>73.98</v>
      </c>
      <c r="D254" s="29">
        <f>VLOOKUP($A254,'зарплата в цінах'!$A$2:$F$397,4)</f>
        <v>14.08</v>
      </c>
      <c r="E254" s="29">
        <f>VLOOKUP($A254,'зарплата в цінах'!$A$2:$F$397,5)</f>
        <v>0</v>
      </c>
      <c r="F254" s="29">
        <f>VLOOKUP($A254,'зарплата в цінах'!$A$2:$F$397,6)</f>
        <v>36.04</v>
      </c>
    </row>
    <row r="255" spans="1:6" x14ac:dyDescent="0.3">
      <c r="A255" s="318">
        <v>150001043</v>
      </c>
      <c r="B255" s="250" t="s">
        <v>217</v>
      </c>
      <c r="C255" s="29">
        <f>VLOOKUP($A255,'зарплата в цінах'!$A$2:$F$397,3)</f>
        <v>155.35</v>
      </c>
      <c r="D255" s="29">
        <f>VLOOKUP($A255,'зарплата в цінах'!$A$2:$F$397,4)</f>
        <v>30.8</v>
      </c>
      <c r="E255" s="29">
        <f>VLOOKUP($A255,'зарплата в цінах'!$A$2:$F$397,5)</f>
        <v>0</v>
      </c>
      <c r="F255" s="29">
        <f>VLOOKUP($A255,'зарплата в цінах'!$A$2:$F$397,6)</f>
        <v>86.2</v>
      </c>
    </row>
    <row r="256" spans="1:6" x14ac:dyDescent="0.3">
      <c r="A256" s="318">
        <v>150000672</v>
      </c>
      <c r="B256" s="425" t="s">
        <v>428</v>
      </c>
      <c r="C256" s="29">
        <f>VLOOKUP($A256,'зарплата в цінах'!$A$2:$F$397,3)</f>
        <v>436.83</v>
      </c>
      <c r="D256" s="29">
        <f>VLOOKUP($A256,'зарплата в цінах'!$A$2:$F$397,4)</f>
        <v>87.11</v>
      </c>
      <c r="E256" s="29">
        <f>VLOOKUP($A256,'зарплата в цінах'!$A$2:$F$397,5)</f>
        <v>0</v>
      </c>
      <c r="F256" s="29">
        <f>VLOOKUP($A256,'зарплата в цінах'!$A$2:$F$397,6)</f>
        <v>232.82</v>
      </c>
    </row>
    <row r="257" spans="1:6" x14ac:dyDescent="0.3">
      <c r="A257" s="318">
        <v>150000673</v>
      </c>
      <c r="B257" s="250" t="s">
        <v>182</v>
      </c>
      <c r="C257" s="29">
        <f>VLOOKUP($A257,'зарплата в цінах'!$A$2:$F$397,3)</f>
        <v>119.9</v>
      </c>
      <c r="D257" s="29">
        <f>VLOOKUP($A257,'зарплата в цінах'!$A$2:$F$397,4)</f>
        <v>20.85</v>
      </c>
      <c r="E257" s="29">
        <f>VLOOKUP($A257,'зарплата в цінах'!$A$2:$F$397,5)</f>
        <v>0</v>
      </c>
      <c r="F257" s="29">
        <f>VLOOKUP($A257,'зарплата в цінах'!$A$2:$F$397,6)</f>
        <v>36.61</v>
      </c>
    </row>
    <row r="258" spans="1:6" x14ac:dyDescent="0.3">
      <c r="A258" s="318">
        <v>150000670</v>
      </c>
      <c r="B258" s="424" t="s">
        <v>126</v>
      </c>
      <c r="C258" s="29">
        <f>VLOOKUP($A258,'зарплата в цінах'!$A$2:$F$397,3)</f>
        <v>0</v>
      </c>
      <c r="D258" s="29">
        <f>VLOOKUP($A258,'зарплата в цінах'!$A$2:$F$397,4)</f>
        <v>0</v>
      </c>
      <c r="E258" s="29">
        <f>VLOOKUP($A258,'зарплата в цінах'!$A$2:$F$397,5)</f>
        <v>0</v>
      </c>
      <c r="F258" s="29">
        <f>VLOOKUP($A258,'зарплата в цінах'!$A$2:$F$397,6)</f>
        <v>0</v>
      </c>
    </row>
    <row r="259" spans="1:6" x14ac:dyDescent="0.3">
      <c r="A259" s="318">
        <v>150000676</v>
      </c>
      <c r="B259" s="250" t="s">
        <v>385</v>
      </c>
      <c r="C259" s="29">
        <f>VLOOKUP($A259,'зарплата в цінах'!$A$2:$F$397,3)</f>
        <v>520.98</v>
      </c>
      <c r="D259" s="29">
        <f>VLOOKUP($A259,'зарплата в цінах'!$A$2:$F$397,4)</f>
        <v>80.239999999999995</v>
      </c>
      <c r="E259" s="29">
        <f>VLOOKUP($A259,'зарплата в цінах'!$A$2:$F$397,5)</f>
        <v>26.37</v>
      </c>
      <c r="F259" s="29">
        <f>VLOOKUP($A259,'зарплата в цінах'!$A$2:$F$397,6)</f>
        <v>186.73</v>
      </c>
    </row>
    <row r="260" spans="1:6" x14ac:dyDescent="0.3">
      <c r="A260" s="318">
        <v>150000671</v>
      </c>
      <c r="B260" s="424" t="s">
        <v>127</v>
      </c>
      <c r="C260" s="29">
        <f>VLOOKUP($A260,'зарплата в цінах'!$A$2:$F$397,3)</f>
        <v>0</v>
      </c>
      <c r="D260" s="29">
        <f>VLOOKUP($A260,'зарплата в цінах'!$A$2:$F$397,4)</f>
        <v>0</v>
      </c>
      <c r="E260" s="29">
        <f>VLOOKUP($A260,'зарплата в цінах'!$A$2:$F$397,5)</f>
        <v>0</v>
      </c>
      <c r="F260" s="29">
        <f>VLOOKUP($A260,'зарплата в цінах'!$A$2:$F$397,6)</f>
        <v>0</v>
      </c>
    </row>
    <row r="261" spans="1:6" x14ac:dyDescent="0.3">
      <c r="A261" s="318">
        <v>150000726</v>
      </c>
      <c r="B261" s="250" t="s">
        <v>183</v>
      </c>
      <c r="C261" s="29">
        <f>VLOOKUP($A261,'зарплата в цінах'!$A$2:$F$397,3)</f>
        <v>65.12</v>
      </c>
      <c r="D261" s="29">
        <f>VLOOKUP($A261,'зарплата в цінах'!$A$2:$F$397,4)</f>
        <v>11.34</v>
      </c>
      <c r="E261" s="29">
        <f>VLOOKUP($A261,'зарплата в цінах'!$A$2:$F$397,5)</f>
        <v>0</v>
      </c>
      <c r="F261" s="29">
        <f>VLOOKUP($A261,'зарплата в цінах'!$A$2:$F$397,6)</f>
        <v>28.65</v>
      </c>
    </row>
    <row r="262" spans="1:6" x14ac:dyDescent="0.3">
      <c r="A262" s="318">
        <v>150000727</v>
      </c>
      <c r="B262" s="424" t="s">
        <v>128</v>
      </c>
      <c r="C262" s="29">
        <f>VLOOKUP($A262,'зарплата в цінах'!$A$2:$F$397,3)</f>
        <v>0</v>
      </c>
      <c r="D262" s="29">
        <f>VLOOKUP($A262,'зарплата в цінах'!$A$2:$F$397,4)</f>
        <v>0</v>
      </c>
      <c r="E262" s="29">
        <f>VLOOKUP($A262,'зарплата в цінах'!$A$2:$F$397,5)</f>
        <v>0</v>
      </c>
      <c r="F262" s="29">
        <f>VLOOKUP($A262,'зарплата в цінах'!$A$2:$F$397,6)</f>
        <v>0</v>
      </c>
    </row>
    <row r="263" spans="1:6" x14ac:dyDescent="0.3">
      <c r="A263" s="318">
        <v>150000728</v>
      </c>
      <c r="B263" s="250" t="s">
        <v>184</v>
      </c>
      <c r="C263" s="29">
        <f>VLOOKUP($A263,'зарплата в цінах'!$A$2:$F$397,3)</f>
        <v>66.349999999999994</v>
      </c>
      <c r="D263" s="29">
        <f>VLOOKUP($A263,'зарплата в цінах'!$A$2:$F$397,4)</f>
        <v>11.34</v>
      </c>
      <c r="E263" s="29">
        <f>VLOOKUP($A263,'зарплата в цінах'!$A$2:$F$397,5)</f>
        <v>0</v>
      </c>
      <c r="F263" s="29">
        <f>VLOOKUP($A263,'зарплата в цінах'!$A$2:$F$397,6)</f>
        <v>28.65</v>
      </c>
    </row>
    <row r="264" spans="1:6" x14ac:dyDescent="0.3">
      <c r="A264" s="318">
        <v>150000729</v>
      </c>
      <c r="B264" s="250" t="s">
        <v>273</v>
      </c>
      <c r="C264" s="29">
        <f>VLOOKUP($A264,'зарплата в цінах'!$A$2:$F$397,3)</f>
        <v>282.02</v>
      </c>
      <c r="D264" s="29">
        <f>VLOOKUP($A264,'зарплата в цінах'!$A$2:$F$397,4)</f>
        <v>60.69</v>
      </c>
      <c r="E264" s="29">
        <f>VLOOKUP($A264,'зарплата в цінах'!$A$2:$F$397,5)</f>
        <v>0</v>
      </c>
      <c r="F264" s="29">
        <f>VLOOKUP($A264,'зарплата в цінах'!$A$2:$F$397,6)</f>
        <v>175.25</v>
      </c>
    </row>
    <row r="265" spans="1:6" x14ac:dyDescent="0.3">
      <c r="A265" s="318">
        <v>150000721</v>
      </c>
      <c r="B265" s="250" t="s">
        <v>218</v>
      </c>
      <c r="C265" s="29">
        <f>VLOOKUP($A265,'зарплата в цінах'!$A$2:$F$397,3)</f>
        <v>352.78</v>
      </c>
      <c r="D265" s="29">
        <f>VLOOKUP($A265,'зарплата в цінах'!$A$2:$F$397,4)</f>
        <v>50.19</v>
      </c>
      <c r="E265" s="29">
        <f>VLOOKUP($A265,'зарплата в цінах'!$A$2:$F$397,5)</f>
        <v>0</v>
      </c>
      <c r="F265" s="29">
        <f>VLOOKUP($A265,'зарплата в цінах'!$A$2:$F$397,6)</f>
        <v>137.31</v>
      </c>
    </row>
    <row r="266" spans="1:6" x14ac:dyDescent="0.3">
      <c r="A266" s="318">
        <v>150000722</v>
      </c>
      <c r="B266" s="250" t="s">
        <v>274</v>
      </c>
      <c r="C266" s="29">
        <f>VLOOKUP($A266,'зарплата в цінах'!$A$2:$F$397,3)</f>
        <v>407.19</v>
      </c>
      <c r="D266" s="29">
        <f>VLOOKUP($A266,'зарплата в цінах'!$A$2:$F$397,4)</f>
        <v>70</v>
      </c>
      <c r="E266" s="29">
        <f>VLOOKUP($A266,'зарплата в цінах'!$A$2:$F$397,5)</f>
        <v>0</v>
      </c>
      <c r="F266" s="29">
        <f>VLOOKUP($A266,'зарплата в цінах'!$A$2:$F$397,6)</f>
        <v>277.13</v>
      </c>
    </row>
    <row r="267" spans="1:6" x14ac:dyDescent="0.3">
      <c r="A267" s="318">
        <v>150000723</v>
      </c>
      <c r="B267" s="250" t="s">
        <v>275</v>
      </c>
      <c r="C267" s="29">
        <f>VLOOKUP($A267,'зарплата в цінах'!$A$2:$F$397,3)</f>
        <v>407.22</v>
      </c>
      <c r="D267" s="29">
        <f>VLOOKUP($A267,'зарплата в цінах'!$A$2:$F$397,4)</f>
        <v>70</v>
      </c>
      <c r="E267" s="29">
        <f>VLOOKUP($A267,'зарплата в цінах'!$A$2:$F$397,5)</f>
        <v>0</v>
      </c>
      <c r="F267" s="29">
        <f>VLOOKUP($A267,'зарплата в цінах'!$A$2:$F$397,6)</f>
        <v>239.74</v>
      </c>
    </row>
    <row r="268" spans="1:6" x14ac:dyDescent="0.3">
      <c r="A268" s="318">
        <v>150000724</v>
      </c>
      <c r="B268" s="250" t="s">
        <v>276</v>
      </c>
      <c r="C268" s="29">
        <f>VLOOKUP($A268,'зарплата в цінах'!$A$2:$F$397,3)</f>
        <v>407.36</v>
      </c>
      <c r="D268" s="29">
        <f>VLOOKUP($A268,'зарплата в цінах'!$A$2:$F$397,4)</f>
        <v>70</v>
      </c>
      <c r="E268" s="29">
        <f>VLOOKUP($A268,'зарплата в цінах'!$A$2:$F$397,5)</f>
        <v>0</v>
      </c>
      <c r="F268" s="29">
        <f>VLOOKUP($A268,'зарплата в цінах'!$A$2:$F$397,6)</f>
        <v>239.74</v>
      </c>
    </row>
    <row r="269" spans="1:6" x14ac:dyDescent="0.3">
      <c r="A269" s="318">
        <v>150000725</v>
      </c>
      <c r="B269" s="250" t="s">
        <v>277</v>
      </c>
      <c r="C269" s="29">
        <f>VLOOKUP($A269,'зарплата в цінах'!$A$2:$F$397,3)</f>
        <v>407.21</v>
      </c>
      <c r="D269" s="29">
        <f>VLOOKUP($A269,'зарплата в цінах'!$A$2:$F$397,4)</f>
        <v>70</v>
      </c>
      <c r="E269" s="29">
        <f>VLOOKUP($A269,'зарплата в цінах'!$A$2:$F$397,5)</f>
        <v>0</v>
      </c>
      <c r="F269" s="29">
        <f>VLOOKUP($A269,'зарплата в цінах'!$A$2:$F$397,6)</f>
        <v>239.74</v>
      </c>
    </row>
    <row r="270" spans="1:6" x14ac:dyDescent="0.3">
      <c r="A270" s="318">
        <v>150000710</v>
      </c>
      <c r="B270" s="250" t="s">
        <v>278</v>
      </c>
      <c r="C270" s="29">
        <f>VLOOKUP($A270,'зарплата в цінах'!$A$2:$F$397,3)</f>
        <v>556.15</v>
      </c>
      <c r="D270" s="29">
        <f>VLOOKUP($A270,'зарплата в цінах'!$A$2:$F$397,4)</f>
        <v>114.9</v>
      </c>
      <c r="E270" s="29">
        <f>VLOOKUP($A270,'зарплата в цінах'!$A$2:$F$397,5)</f>
        <v>0</v>
      </c>
      <c r="F270" s="29">
        <f>VLOOKUP($A270,'зарплата в цінах'!$A$2:$F$397,6)</f>
        <v>410.06</v>
      </c>
    </row>
    <row r="271" spans="1:6" x14ac:dyDescent="0.3">
      <c r="A271" s="318">
        <v>150000711</v>
      </c>
      <c r="B271" s="250" t="s">
        <v>279</v>
      </c>
      <c r="C271" s="29">
        <f>VLOOKUP($A271,'зарплата в цінах'!$A$2:$F$397,3)</f>
        <v>556.26</v>
      </c>
      <c r="D271" s="29">
        <f>VLOOKUP($A271,'зарплата в цінах'!$A$2:$F$397,4)</f>
        <v>114.92</v>
      </c>
      <c r="E271" s="29">
        <f>VLOOKUP($A271,'зарплата в цінах'!$A$2:$F$397,5)</f>
        <v>43.76</v>
      </c>
      <c r="F271" s="29">
        <f>VLOOKUP($A271,'зарплата в цінах'!$A$2:$F$397,6)</f>
        <v>410.33</v>
      </c>
    </row>
    <row r="272" spans="1:6" x14ac:dyDescent="0.3">
      <c r="A272" s="318">
        <v>150000712</v>
      </c>
      <c r="B272" s="250" t="s">
        <v>280</v>
      </c>
      <c r="C272" s="29">
        <f>VLOOKUP($A272,'зарплата в цінах'!$A$2:$F$397,3)</f>
        <v>382.87</v>
      </c>
      <c r="D272" s="29">
        <f>VLOOKUP($A272,'зарплата в цінах'!$A$2:$F$397,4)</f>
        <v>77.16</v>
      </c>
      <c r="E272" s="29">
        <f>VLOOKUP($A272,'зарплата в цінах'!$A$2:$F$397,5)</f>
        <v>0</v>
      </c>
      <c r="F272" s="29">
        <f>VLOOKUP($A272,'зарплата в цінах'!$A$2:$F$397,6)</f>
        <v>234.21</v>
      </c>
    </row>
    <row r="273" spans="1:6" x14ac:dyDescent="0.3">
      <c r="A273" s="318">
        <v>150000713</v>
      </c>
      <c r="B273" s="250" t="s">
        <v>281</v>
      </c>
      <c r="C273" s="29">
        <f>VLOOKUP($A273,'зарплата в цінах'!$A$2:$F$397,3)</f>
        <v>728.21</v>
      </c>
      <c r="D273" s="29">
        <f>VLOOKUP($A273,'зарплата в цінах'!$A$2:$F$397,4)</f>
        <v>153.37</v>
      </c>
      <c r="E273" s="29">
        <f>VLOOKUP($A273,'зарплата в цінах'!$A$2:$F$397,5)</f>
        <v>67.73</v>
      </c>
      <c r="F273" s="29">
        <f>VLOOKUP($A273,'зарплата в цінах'!$A$2:$F$397,6)</f>
        <v>654.08000000000004</v>
      </c>
    </row>
    <row r="274" spans="1:6" x14ac:dyDescent="0.3">
      <c r="A274" s="318">
        <v>150000714</v>
      </c>
      <c r="B274" s="250" t="s">
        <v>282</v>
      </c>
      <c r="C274" s="29">
        <f>VLOOKUP($A274,'зарплата в цінах'!$A$2:$F$397,3)</f>
        <v>352.28</v>
      </c>
      <c r="D274" s="29">
        <f>VLOOKUP($A274,'зарплата в цінах'!$A$2:$F$397,4)</f>
        <v>75.37</v>
      </c>
      <c r="E274" s="29">
        <f>VLOOKUP($A274,'зарплата в цінах'!$A$2:$F$397,5)</f>
        <v>0</v>
      </c>
      <c r="F274" s="29">
        <f>VLOOKUP($A274,'зарплата в цінах'!$A$2:$F$397,6)</f>
        <v>219</v>
      </c>
    </row>
    <row r="275" spans="1:6" x14ac:dyDescent="0.3">
      <c r="A275" s="318">
        <v>150000715</v>
      </c>
      <c r="B275" s="250" t="s">
        <v>283</v>
      </c>
      <c r="C275" s="29">
        <f>VLOOKUP($A275,'зарплата в цінах'!$A$2:$F$397,3)</f>
        <v>557.17999999999995</v>
      </c>
      <c r="D275" s="29">
        <f>VLOOKUP($A275,'зарплата в цінах'!$A$2:$F$397,4)</f>
        <v>115.05</v>
      </c>
      <c r="E275" s="29">
        <f>VLOOKUP($A275,'зарплата в цінах'!$A$2:$F$397,5)</f>
        <v>44.66</v>
      </c>
      <c r="F275" s="29">
        <f>VLOOKUP($A275,'зарплата в цінах'!$A$2:$F$397,6)</f>
        <v>411.89</v>
      </c>
    </row>
    <row r="276" spans="1:6" x14ac:dyDescent="0.3">
      <c r="A276" s="318">
        <v>150000719</v>
      </c>
      <c r="B276" s="250" t="s">
        <v>284</v>
      </c>
      <c r="C276" s="29">
        <f>VLOOKUP($A276,'зарплата в цінах'!$A$2:$F$397,3)</f>
        <v>728.94</v>
      </c>
      <c r="D276" s="29">
        <f>VLOOKUP($A276,'зарплата в цінах'!$A$2:$F$397,4)</f>
        <v>153.47999999999999</v>
      </c>
      <c r="E276" s="29">
        <f>VLOOKUP($A276,'зарплата в цінах'!$A$2:$F$397,5)</f>
        <v>67.73</v>
      </c>
      <c r="F276" s="29">
        <f>VLOOKUP($A276,'зарплата в цінах'!$A$2:$F$397,6)</f>
        <v>666.23</v>
      </c>
    </row>
    <row r="277" spans="1:6" x14ac:dyDescent="0.3">
      <c r="A277" s="318">
        <v>150000716</v>
      </c>
      <c r="B277" s="250" t="s">
        <v>285</v>
      </c>
      <c r="C277" s="29">
        <f>VLOOKUP($A277,'зарплата в цінах'!$A$2:$F$397,3)</f>
        <v>417.23</v>
      </c>
      <c r="D277" s="29">
        <f>VLOOKUP($A277,'зарплата в цінах'!$A$2:$F$397,4)</f>
        <v>77.14</v>
      </c>
      <c r="E277" s="29">
        <f>VLOOKUP($A277,'зарплата в цінах'!$A$2:$F$397,5)</f>
        <v>0</v>
      </c>
      <c r="F277" s="29">
        <f>VLOOKUP($A277,'зарплата в цінах'!$A$2:$F$397,6)</f>
        <v>231.99</v>
      </c>
    </row>
    <row r="278" spans="1:6" x14ac:dyDescent="0.3">
      <c r="A278" s="318">
        <v>150000717</v>
      </c>
      <c r="B278" s="250" t="s">
        <v>286</v>
      </c>
      <c r="C278" s="29">
        <f>VLOOKUP($A278,'зарплата в цінах'!$A$2:$F$397,3)</f>
        <v>409.58</v>
      </c>
      <c r="D278" s="29">
        <f>VLOOKUP($A278,'зарплата в цінах'!$A$2:$F$397,4)</f>
        <v>77.14</v>
      </c>
      <c r="E278" s="29">
        <f>VLOOKUP($A278,'зарплата в цінах'!$A$2:$F$397,5)</f>
        <v>0</v>
      </c>
      <c r="F278" s="29">
        <f>VLOOKUP($A278,'зарплата в цінах'!$A$2:$F$397,6)</f>
        <v>232.08</v>
      </c>
    </row>
    <row r="279" spans="1:6" x14ac:dyDescent="0.3">
      <c r="A279" s="318">
        <v>150000718</v>
      </c>
      <c r="B279" s="250" t="s">
        <v>287</v>
      </c>
      <c r="C279" s="29">
        <f>VLOOKUP($A279,'зарплата в цінах'!$A$2:$F$397,3)</f>
        <v>531.71</v>
      </c>
      <c r="D279" s="29">
        <f>VLOOKUP($A279,'зарплата в цінах'!$A$2:$F$397,4)</f>
        <v>114.08</v>
      </c>
      <c r="E279" s="29">
        <f>VLOOKUP($A279,'зарплата в цінах'!$A$2:$F$397,5)</f>
        <v>43.76</v>
      </c>
      <c r="F279" s="29">
        <f>VLOOKUP($A279,'зарплата в цінах'!$A$2:$F$397,6)</f>
        <v>434.54</v>
      </c>
    </row>
    <row r="280" spans="1:6" x14ac:dyDescent="0.3">
      <c r="A280" s="318">
        <v>150000720</v>
      </c>
      <c r="B280" s="250" t="s">
        <v>288</v>
      </c>
      <c r="C280" s="29">
        <f>VLOOKUP($A280,'зарплата в цінах'!$A$2:$F$397,3)</f>
        <v>359.19</v>
      </c>
      <c r="D280" s="29">
        <f>VLOOKUP($A280,'зарплата в цінах'!$A$2:$F$397,4)</f>
        <v>74</v>
      </c>
      <c r="E280" s="29">
        <f>VLOOKUP($A280,'зарплата в цінах'!$A$2:$F$397,5)</f>
        <v>0</v>
      </c>
      <c r="F280" s="29">
        <f>VLOOKUP($A280,'зарплата в цінах'!$A$2:$F$397,6)</f>
        <v>129.47999999999999</v>
      </c>
    </row>
    <row r="281" spans="1:6" x14ac:dyDescent="0.3">
      <c r="A281" s="318">
        <v>150000750</v>
      </c>
      <c r="B281" s="424" t="s">
        <v>129</v>
      </c>
      <c r="C281" s="29">
        <f>VLOOKUP($A281,'зарплата в цінах'!$A$2:$F$397,3)</f>
        <v>0</v>
      </c>
      <c r="D281" s="29">
        <f>VLOOKUP($A281,'зарплата в цінах'!$A$2:$F$397,4)</f>
        <v>0</v>
      </c>
      <c r="E281" s="29">
        <f>VLOOKUP($A281,'зарплата в цінах'!$A$2:$F$397,5)</f>
        <v>0</v>
      </c>
      <c r="F281" s="29">
        <f>VLOOKUP($A281,'зарплата в цінах'!$A$2:$F$397,6)</f>
        <v>0</v>
      </c>
    </row>
    <row r="282" spans="1:6" x14ac:dyDescent="0.3">
      <c r="A282" s="318">
        <v>150000751</v>
      </c>
      <c r="B282" s="424" t="s">
        <v>130</v>
      </c>
      <c r="C282" s="29">
        <f>VLOOKUP($A282,'зарплата в цінах'!$A$2:$F$397,3)</f>
        <v>0</v>
      </c>
      <c r="D282" s="29">
        <f>VLOOKUP($A282,'зарплата в цінах'!$A$2:$F$397,4)</f>
        <v>0</v>
      </c>
      <c r="E282" s="29">
        <f>VLOOKUP($A282,'зарплата в цінах'!$A$2:$F$397,5)</f>
        <v>0</v>
      </c>
      <c r="F282" s="29">
        <f>VLOOKUP($A282,'зарплата в цінах'!$A$2:$F$397,6)</f>
        <v>0</v>
      </c>
    </row>
    <row r="283" spans="1:6" x14ac:dyDescent="0.3">
      <c r="A283" s="318">
        <v>150000752</v>
      </c>
      <c r="B283" s="250" t="s">
        <v>386</v>
      </c>
      <c r="C283" s="29">
        <f>VLOOKUP($A283,'зарплата в цінах'!$A$2:$F$397,3)</f>
        <v>386.56</v>
      </c>
      <c r="D283" s="29">
        <f>VLOOKUP($A283,'зарплата в цінах'!$A$2:$F$397,4)</f>
        <v>65.650000000000006</v>
      </c>
      <c r="E283" s="29">
        <f>VLOOKUP($A283,'зарплата в цінах'!$A$2:$F$397,5)</f>
        <v>26.37</v>
      </c>
      <c r="F283" s="29">
        <f>VLOOKUP($A283,'зарплата в цінах'!$A$2:$F$397,6)</f>
        <v>236.52</v>
      </c>
    </row>
    <row r="284" spans="1:6" x14ac:dyDescent="0.3">
      <c r="A284" s="318">
        <v>150000760</v>
      </c>
      <c r="B284" s="250" t="s">
        <v>387</v>
      </c>
      <c r="C284" s="29">
        <f>VLOOKUP($A284,'зарплата в цінах'!$A$2:$F$397,3)</f>
        <v>901.25</v>
      </c>
      <c r="D284" s="29">
        <f>VLOOKUP($A284,'зарплата в цінах'!$A$2:$F$397,4)</f>
        <v>274.57</v>
      </c>
      <c r="E284" s="29">
        <f>VLOOKUP($A284,'зарплата в цінах'!$A$2:$F$397,5)</f>
        <v>39.56</v>
      </c>
      <c r="F284" s="29">
        <f>VLOOKUP($A284,'зарплата в цінах'!$A$2:$F$397,6)</f>
        <v>778.72</v>
      </c>
    </row>
    <row r="285" spans="1:6" x14ac:dyDescent="0.3">
      <c r="A285" s="318">
        <v>150000758</v>
      </c>
      <c r="B285" s="250" t="s">
        <v>388</v>
      </c>
      <c r="C285" s="29">
        <f>VLOOKUP($A285,'зарплата в цінах'!$A$2:$F$397,3)</f>
        <v>1129.05</v>
      </c>
      <c r="D285" s="29">
        <f>VLOOKUP($A285,'зарплата в цінах'!$A$2:$F$397,4)</f>
        <v>320.32</v>
      </c>
      <c r="E285" s="29">
        <f>VLOOKUP($A285,'зарплата в цінах'!$A$2:$F$397,5)</f>
        <v>46.15</v>
      </c>
      <c r="F285" s="29">
        <f>VLOOKUP($A285,'зарплата в цінах'!$A$2:$F$397,6)</f>
        <v>720.28</v>
      </c>
    </row>
    <row r="286" spans="1:6" x14ac:dyDescent="0.3">
      <c r="A286" s="318">
        <v>150000759</v>
      </c>
      <c r="B286" s="250" t="s">
        <v>389</v>
      </c>
      <c r="C286" s="29">
        <f>VLOOKUP($A286,'зарплата в цінах'!$A$2:$F$397,3)</f>
        <v>493.55</v>
      </c>
      <c r="D286" s="29">
        <f>VLOOKUP($A286,'зарплата в цінах'!$A$2:$F$397,4)</f>
        <v>78.569999999999993</v>
      </c>
      <c r="E286" s="29">
        <f>VLOOKUP($A286,'зарплата в цінах'!$A$2:$F$397,5)</f>
        <v>19.78</v>
      </c>
      <c r="F286" s="29">
        <f>VLOOKUP($A286,'зарплата в цінах'!$A$2:$F$397,6)</f>
        <v>372.02</v>
      </c>
    </row>
    <row r="287" spans="1:6" x14ac:dyDescent="0.3">
      <c r="A287" s="318">
        <v>150000761</v>
      </c>
      <c r="B287" s="250" t="s">
        <v>390</v>
      </c>
      <c r="C287" s="29">
        <f>VLOOKUP($A287,'зарплата в цінах'!$A$2:$F$397,3)</f>
        <v>522.03</v>
      </c>
      <c r="D287" s="29">
        <f>VLOOKUP($A287,'зарплата в цінах'!$A$2:$F$397,4)</f>
        <v>80.42</v>
      </c>
      <c r="E287" s="29">
        <f>VLOOKUP($A287,'зарплата в цінах'!$A$2:$F$397,5)</f>
        <v>26.37</v>
      </c>
      <c r="F287" s="29">
        <f>VLOOKUP($A287,'зарплата в цінах'!$A$2:$F$397,6)</f>
        <v>243.46</v>
      </c>
    </row>
    <row r="288" spans="1:6" x14ac:dyDescent="0.3">
      <c r="A288" s="318">
        <v>150000762</v>
      </c>
      <c r="B288" s="250" t="s">
        <v>391</v>
      </c>
      <c r="C288" s="29">
        <f>VLOOKUP($A288,'зарплата в цінах'!$A$2:$F$397,3)</f>
        <v>288.74</v>
      </c>
      <c r="D288" s="29">
        <f>VLOOKUP($A288,'зарплата в цінах'!$A$2:$F$397,4)</f>
        <v>46.88</v>
      </c>
      <c r="E288" s="29">
        <f>VLOOKUP($A288,'зарплата в цінах'!$A$2:$F$397,5)</f>
        <v>13.19</v>
      </c>
      <c r="F288" s="29">
        <f>VLOOKUP($A288,'зарплата в цінах'!$A$2:$F$397,6)</f>
        <v>93.23</v>
      </c>
    </row>
    <row r="289" spans="1:6" x14ac:dyDescent="0.3">
      <c r="A289" s="318">
        <v>150000638</v>
      </c>
      <c r="B289" s="424" t="s">
        <v>131</v>
      </c>
      <c r="C289" s="29">
        <f>VLOOKUP($A289,'зарплата в цінах'!$A$2:$F$397,3)</f>
        <v>0</v>
      </c>
      <c r="D289" s="29">
        <f>VLOOKUP($A289,'зарплата в цінах'!$A$2:$F$397,4)</f>
        <v>0</v>
      </c>
      <c r="E289" s="29">
        <f>VLOOKUP($A289,'зарплата в цінах'!$A$2:$F$397,5)</f>
        <v>0</v>
      </c>
      <c r="F289" s="29">
        <f>VLOOKUP($A289,'зарплата в цінах'!$A$2:$F$397,6)</f>
        <v>0</v>
      </c>
    </row>
    <row r="290" spans="1:6" x14ac:dyDescent="0.3">
      <c r="A290" s="318">
        <v>150000639</v>
      </c>
      <c r="B290" s="424" t="s">
        <v>132</v>
      </c>
      <c r="C290" s="29">
        <f>VLOOKUP($A290,'зарплата в цінах'!$A$2:$F$397,3)</f>
        <v>0</v>
      </c>
      <c r="D290" s="29">
        <f>VLOOKUP($A290,'зарплата в цінах'!$A$2:$F$397,4)</f>
        <v>0</v>
      </c>
      <c r="E290" s="29">
        <f>VLOOKUP($A290,'зарплата в цінах'!$A$2:$F$397,5)</f>
        <v>0</v>
      </c>
      <c r="F290" s="29">
        <f>VLOOKUP($A290,'зарплата в цінах'!$A$2:$F$397,6)</f>
        <v>0</v>
      </c>
    </row>
    <row r="291" spans="1:6" x14ac:dyDescent="0.3">
      <c r="A291" s="318">
        <v>150000736</v>
      </c>
      <c r="B291" s="250" t="s">
        <v>219</v>
      </c>
      <c r="C291" s="29">
        <f>VLOOKUP($A291,'зарплата в цінах'!$A$2:$F$397,3)</f>
        <v>301.56</v>
      </c>
      <c r="D291" s="29">
        <f>VLOOKUP($A291,'зарплата в цінах'!$A$2:$F$397,4)</f>
        <v>61.84</v>
      </c>
      <c r="E291" s="29">
        <f>VLOOKUP($A291,'зарплата в цінах'!$A$2:$F$397,5)</f>
        <v>0</v>
      </c>
      <c r="F291" s="29">
        <f>VLOOKUP($A291,'зарплата в цінах'!$A$2:$F$397,6)</f>
        <v>216.08</v>
      </c>
    </row>
    <row r="292" spans="1:6" x14ac:dyDescent="0.3">
      <c r="A292" s="318">
        <v>150000743</v>
      </c>
      <c r="B292" s="250" t="s">
        <v>220</v>
      </c>
      <c r="C292" s="29">
        <f>VLOOKUP($A292,'зарплата в цінах'!$A$2:$F$397,3)</f>
        <v>258.88</v>
      </c>
      <c r="D292" s="29">
        <f>VLOOKUP($A292,'зарплата в цінах'!$A$2:$F$397,4)</f>
        <v>46.27</v>
      </c>
      <c r="E292" s="29">
        <f>VLOOKUP($A292,'зарплата в цінах'!$A$2:$F$397,5)</f>
        <v>0</v>
      </c>
      <c r="F292" s="29">
        <f>VLOOKUP($A292,'зарплата в цінах'!$A$2:$F$397,6)</f>
        <v>140.9</v>
      </c>
    </row>
    <row r="293" spans="1:6" x14ac:dyDescent="0.3">
      <c r="A293" s="318">
        <v>150000737</v>
      </c>
      <c r="B293" s="250" t="s">
        <v>221</v>
      </c>
      <c r="C293" s="29">
        <f>VLOOKUP($A293,'зарплата в цінах'!$A$2:$F$397,3)</f>
        <v>335.51</v>
      </c>
      <c r="D293" s="29">
        <f>VLOOKUP($A293,'зарплата в цінах'!$A$2:$F$397,4)</f>
        <v>61.28</v>
      </c>
      <c r="E293" s="29">
        <f>VLOOKUP($A293,'зарплата в цінах'!$A$2:$F$397,5)</f>
        <v>0</v>
      </c>
      <c r="F293" s="29">
        <f>VLOOKUP($A293,'зарплата в цінах'!$A$2:$F$397,6)</f>
        <v>211.35</v>
      </c>
    </row>
    <row r="294" spans="1:6" x14ac:dyDescent="0.3">
      <c r="A294" s="318">
        <v>150000738</v>
      </c>
      <c r="B294" s="250" t="s">
        <v>289</v>
      </c>
      <c r="C294" s="29">
        <f>VLOOKUP($A294,'зарплата в цінах'!$A$2:$F$397,3)</f>
        <v>407.41</v>
      </c>
      <c r="D294" s="29">
        <f>VLOOKUP($A294,'зарплата в цінах'!$A$2:$F$397,4)</f>
        <v>70.02</v>
      </c>
      <c r="E294" s="29">
        <f>VLOOKUP($A294,'зарплата в цінах'!$A$2:$F$397,5)</f>
        <v>0</v>
      </c>
      <c r="F294" s="29">
        <f>VLOOKUP($A294,'зарплата в цінах'!$A$2:$F$397,6)</f>
        <v>239.34</v>
      </c>
    </row>
    <row r="295" spans="1:6" x14ac:dyDescent="0.3">
      <c r="A295" s="318">
        <v>150000739</v>
      </c>
      <c r="B295" s="250" t="s">
        <v>222</v>
      </c>
      <c r="C295" s="29">
        <f>VLOOKUP($A295,'зарплата в цінах'!$A$2:$F$397,3)</f>
        <v>429.19</v>
      </c>
      <c r="D295" s="29">
        <f>VLOOKUP($A295,'зарплата в цінах'!$A$2:$F$397,4)</f>
        <v>77.87</v>
      </c>
      <c r="E295" s="29">
        <f>VLOOKUP($A295,'зарплата в цінах'!$A$2:$F$397,5)</f>
        <v>0</v>
      </c>
      <c r="F295" s="29">
        <f>VLOOKUP($A295,'зарплата в цінах'!$A$2:$F$397,6)</f>
        <v>319.2</v>
      </c>
    </row>
    <row r="296" spans="1:6" x14ac:dyDescent="0.3">
      <c r="A296" s="318">
        <v>150000740</v>
      </c>
      <c r="B296" s="250" t="s">
        <v>197</v>
      </c>
      <c r="C296" s="29">
        <f>VLOOKUP($A296,'зарплата в цінах'!$A$2:$F$397,3)</f>
        <v>186.89</v>
      </c>
      <c r="D296" s="29">
        <f>VLOOKUP($A296,'зарплата в цінах'!$A$2:$F$397,4)</f>
        <v>47.25</v>
      </c>
      <c r="E296" s="29">
        <f>VLOOKUP($A296,'зарплата в цінах'!$A$2:$F$397,5)</f>
        <v>0</v>
      </c>
      <c r="F296" s="29">
        <f>VLOOKUP($A296,'зарплата в цінах'!$A$2:$F$397,6)</f>
        <v>117.52</v>
      </c>
    </row>
    <row r="297" spans="1:6" x14ac:dyDescent="0.3">
      <c r="A297" s="318">
        <v>150000744</v>
      </c>
      <c r="B297" s="250" t="s">
        <v>223</v>
      </c>
      <c r="C297" s="29">
        <f>VLOOKUP($A297,'зарплата в цінах'!$A$2:$F$397,3)</f>
        <v>190.32</v>
      </c>
      <c r="D297" s="29">
        <f>VLOOKUP($A297,'зарплата в цінах'!$A$2:$F$397,4)</f>
        <v>36.81</v>
      </c>
      <c r="E297" s="29">
        <f>VLOOKUP($A297,'зарплата в цінах'!$A$2:$F$397,5)</f>
        <v>0</v>
      </c>
      <c r="F297" s="29">
        <f>VLOOKUP($A297,'зарплата в цінах'!$A$2:$F$397,6)</f>
        <v>81.47</v>
      </c>
    </row>
    <row r="298" spans="1:6" x14ac:dyDescent="0.3">
      <c r="A298" s="318">
        <v>150000741</v>
      </c>
      <c r="B298" s="250" t="s">
        <v>224</v>
      </c>
      <c r="C298" s="29">
        <f>VLOOKUP($A298,'зарплата в цінах'!$A$2:$F$397,3)</f>
        <v>333.61</v>
      </c>
      <c r="D298" s="29">
        <f>VLOOKUP($A298,'зарплата в цінах'!$A$2:$F$397,4)</f>
        <v>53.33</v>
      </c>
      <c r="E298" s="29">
        <f>VLOOKUP($A298,'зарплата в цінах'!$A$2:$F$397,5)</f>
        <v>0</v>
      </c>
      <c r="F298" s="29">
        <f>VLOOKUP($A298,'зарплата в цінах'!$A$2:$F$397,6)</f>
        <v>203.01</v>
      </c>
    </row>
    <row r="299" spans="1:6" x14ac:dyDescent="0.3">
      <c r="A299" s="318">
        <v>150000742</v>
      </c>
      <c r="B299" s="250" t="s">
        <v>290</v>
      </c>
      <c r="C299" s="29">
        <f>VLOOKUP($A299,'зарплата в цінах'!$A$2:$F$397,3)</f>
        <v>205.99</v>
      </c>
      <c r="D299" s="29">
        <f>VLOOKUP($A299,'зарплата в цінах'!$A$2:$F$397,4)</f>
        <v>39.49</v>
      </c>
      <c r="E299" s="29">
        <f>VLOOKUP($A299,'зарплата в цінах'!$A$2:$F$397,5)</f>
        <v>0</v>
      </c>
      <c r="F299" s="29">
        <f>VLOOKUP($A299,'зарплата в цінах'!$A$2:$F$397,6)</f>
        <v>99.28</v>
      </c>
    </row>
    <row r="300" spans="1:6" x14ac:dyDescent="0.3">
      <c r="A300" s="318">
        <v>150000745</v>
      </c>
      <c r="B300" s="424" t="s">
        <v>133</v>
      </c>
      <c r="C300" s="29">
        <f>VLOOKUP($A300,'зарплата в цінах'!$A$2:$F$397,3)</f>
        <v>0</v>
      </c>
      <c r="D300" s="29">
        <f>VLOOKUP($A300,'зарплата в цінах'!$A$2:$F$397,4)</f>
        <v>0</v>
      </c>
      <c r="E300" s="29">
        <f>VLOOKUP($A300,'зарплата в цінах'!$A$2:$F$397,5)</f>
        <v>0</v>
      </c>
      <c r="F300" s="29">
        <f>VLOOKUP($A300,'зарплата в цінах'!$A$2:$F$397,6)</f>
        <v>0</v>
      </c>
    </row>
    <row r="301" spans="1:6" x14ac:dyDescent="0.3">
      <c r="A301" s="318">
        <v>150001094</v>
      </c>
      <c r="B301" s="250" t="s">
        <v>185</v>
      </c>
      <c r="C301" s="29">
        <f>VLOOKUP($A301,'зарплата в цінах'!$A$2:$F$397,3)</f>
        <v>0</v>
      </c>
      <c r="D301" s="29">
        <f>VLOOKUP($A301,'зарплата в цінах'!$A$2:$F$397,4)</f>
        <v>0</v>
      </c>
      <c r="E301" s="29">
        <f>VLOOKUP($A301,'зарплата в цінах'!$A$2:$F$397,5)</f>
        <v>0</v>
      </c>
      <c r="F301" s="29">
        <f>VLOOKUP($A301,'зарплата в цінах'!$A$2:$F$397,6)</f>
        <v>12.17</v>
      </c>
    </row>
    <row r="302" spans="1:6" x14ac:dyDescent="0.3">
      <c r="A302" s="318">
        <v>150000851</v>
      </c>
      <c r="B302" s="424" t="s">
        <v>134</v>
      </c>
      <c r="C302" s="29">
        <f>VLOOKUP($A302,'зарплата в цінах'!$A$2:$F$397,3)</f>
        <v>0</v>
      </c>
      <c r="D302" s="29">
        <f>VLOOKUP($A302,'зарплата в цінах'!$A$2:$F$397,4)</f>
        <v>0</v>
      </c>
      <c r="E302" s="29">
        <f>VLOOKUP($A302,'зарплата в цінах'!$A$2:$F$397,5)</f>
        <v>0</v>
      </c>
      <c r="F302" s="29">
        <f>VLOOKUP($A302,'зарплата в цінах'!$A$2:$F$397,6)</f>
        <v>0</v>
      </c>
    </row>
    <row r="303" spans="1:6" x14ac:dyDescent="0.3">
      <c r="A303" s="318">
        <v>150000795</v>
      </c>
      <c r="B303" s="250" t="s">
        <v>291</v>
      </c>
      <c r="C303" s="29">
        <f>VLOOKUP($A303,'зарплата в цінах'!$A$2:$F$397,3)</f>
        <v>352.33</v>
      </c>
      <c r="D303" s="29">
        <f>VLOOKUP($A303,'зарплата в цінах'!$A$2:$F$397,4)</f>
        <v>67.41</v>
      </c>
      <c r="E303" s="29">
        <f>VLOOKUP($A303,'зарплата в цінах'!$A$2:$F$397,5)</f>
        <v>0</v>
      </c>
      <c r="F303" s="29">
        <f>VLOOKUP($A303,'зарплата в цінах'!$A$2:$F$397,6)</f>
        <v>220.17</v>
      </c>
    </row>
    <row r="304" spans="1:6" x14ac:dyDescent="0.3">
      <c r="A304" s="318">
        <v>150000832</v>
      </c>
      <c r="B304" s="250" t="s">
        <v>422</v>
      </c>
      <c r="C304" s="29">
        <f>VLOOKUP($A304,'зарплата в цінах'!$A$2:$F$397,3)</f>
        <v>556.92999999999995</v>
      </c>
      <c r="D304" s="29">
        <f>VLOOKUP($A304,'зарплата в цінах'!$A$2:$F$397,4)</f>
        <v>86.47</v>
      </c>
      <c r="E304" s="29">
        <f>VLOOKUP($A304,'зарплата в цінах'!$A$2:$F$397,5)</f>
        <v>17.98</v>
      </c>
      <c r="F304" s="29">
        <f>VLOOKUP($A304,'зарплата в цінах'!$A$2:$F$397,6)</f>
        <v>196.53</v>
      </c>
    </row>
    <row r="305" spans="1:6" x14ac:dyDescent="0.3">
      <c r="A305" s="318">
        <v>150000833</v>
      </c>
      <c r="B305" s="250" t="s">
        <v>392</v>
      </c>
      <c r="C305" s="29">
        <f>VLOOKUP($A305,'зарплата в цінах'!$A$2:$F$397,3)</f>
        <v>556.91999999999996</v>
      </c>
      <c r="D305" s="29">
        <f>VLOOKUP($A305,'зарплата в цінах'!$A$2:$F$397,4)</f>
        <v>79.69</v>
      </c>
      <c r="E305" s="29">
        <f>VLOOKUP($A305,'зарплата в цінах'!$A$2:$F$397,5)</f>
        <v>28.17</v>
      </c>
      <c r="F305" s="29">
        <f>VLOOKUP($A305,'зарплата в цінах'!$A$2:$F$397,6)</f>
        <v>189.82</v>
      </c>
    </row>
    <row r="306" spans="1:6" x14ac:dyDescent="0.3">
      <c r="A306" s="318">
        <v>150000836</v>
      </c>
      <c r="B306" s="250" t="s">
        <v>198</v>
      </c>
      <c r="C306" s="29">
        <f>VLOOKUP($A306,'зарплата в цінах'!$A$2:$F$397,3)</f>
        <v>216.97</v>
      </c>
      <c r="D306" s="29">
        <f>VLOOKUP($A306,'зарплата в цінах'!$A$2:$F$397,4)</f>
        <v>48.51</v>
      </c>
      <c r="E306" s="29">
        <f>VLOOKUP($A306,'зарплата в цінах'!$A$2:$F$397,5)</f>
        <v>7.19</v>
      </c>
      <c r="F306" s="29">
        <f>VLOOKUP($A306,'зарплата в цінах'!$A$2:$F$397,6)</f>
        <v>56.27</v>
      </c>
    </row>
    <row r="307" spans="1:6" x14ac:dyDescent="0.3">
      <c r="A307" s="318">
        <v>150000837</v>
      </c>
      <c r="B307" s="250" t="s">
        <v>199</v>
      </c>
      <c r="C307" s="29">
        <f>VLOOKUP($A307,'зарплата в цінах'!$A$2:$F$397,3)</f>
        <v>96.65</v>
      </c>
      <c r="D307" s="29">
        <f>VLOOKUP($A307,'зарплата в цінах'!$A$2:$F$397,4)</f>
        <v>14.66</v>
      </c>
      <c r="E307" s="29">
        <f>VLOOKUP($A307,'зарплата в цінах'!$A$2:$F$397,5)</f>
        <v>0</v>
      </c>
      <c r="F307" s="29">
        <f>VLOOKUP($A307,'зарплата в цінах'!$A$2:$F$397,6)</f>
        <v>37.93</v>
      </c>
    </row>
    <row r="308" spans="1:6" x14ac:dyDescent="0.3">
      <c r="A308" s="318">
        <v>150000839</v>
      </c>
      <c r="B308" s="424" t="s">
        <v>135</v>
      </c>
      <c r="C308" s="29">
        <f>VLOOKUP($A308,'зарплата в цінах'!$A$2:$F$397,3)</f>
        <v>0</v>
      </c>
      <c r="D308" s="29">
        <f>VLOOKUP($A308,'зарплата в цінах'!$A$2:$F$397,4)</f>
        <v>0</v>
      </c>
      <c r="E308" s="29">
        <f>VLOOKUP($A308,'зарплата в цінах'!$A$2:$F$397,5)</f>
        <v>0</v>
      </c>
      <c r="F308" s="29">
        <f>VLOOKUP($A308,'зарплата в цінах'!$A$2:$F$397,6)</f>
        <v>0</v>
      </c>
    </row>
    <row r="309" spans="1:6" x14ac:dyDescent="0.3">
      <c r="A309" s="318">
        <v>150000840</v>
      </c>
      <c r="B309" s="250" t="s">
        <v>393</v>
      </c>
      <c r="C309" s="29">
        <f>VLOOKUP($A309,'зарплата в цінах'!$A$2:$F$397,3)</f>
        <v>527.03</v>
      </c>
      <c r="D309" s="29">
        <f>VLOOKUP($A309,'зарплата в цінах'!$A$2:$F$397,4)</f>
        <v>82.64</v>
      </c>
      <c r="E309" s="29">
        <f>VLOOKUP($A309,'зарплата в цінах'!$A$2:$F$397,5)</f>
        <v>26.37</v>
      </c>
      <c r="F309" s="29">
        <f>VLOOKUP($A309,'зарплата в цінах'!$A$2:$F$397,6)</f>
        <v>196.3</v>
      </c>
    </row>
    <row r="310" spans="1:6" x14ac:dyDescent="0.3">
      <c r="A310" s="318">
        <v>150000841</v>
      </c>
      <c r="B310" s="424" t="s">
        <v>136</v>
      </c>
      <c r="C310" s="29">
        <f>VLOOKUP($A310,'зарплата в цінах'!$A$2:$F$397,3)</f>
        <v>0</v>
      </c>
      <c r="D310" s="29">
        <f>VLOOKUP($A310,'зарплата в цінах'!$A$2:$F$397,4)</f>
        <v>0</v>
      </c>
      <c r="E310" s="29">
        <f>VLOOKUP($A310,'зарплата в цінах'!$A$2:$F$397,5)</f>
        <v>0</v>
      </c>
      <c r="F310" s="29">
        <f>VLOOKUP($A310,'зарплата в цінах'!$A$2:$F$397,6)</f>
        <v>0</v>
      </c>
    </row>
    <row r="311" spans="1:6" x14ac:dyDescent="0.3">
      <c r="A311" s="318">
        <v>150000848</v>
      </c>
      <c r="B311" s="250" t="s">
        <v>186</v>
      </c>
      <c r="C311" s="29">
        <f>VLOOKUP($A311,'зарплата в цінах'!$A$2:$F$397,3)</f>
        <v>16.454999999999998</v>
      </c>
      <c r="D311" s="29">
        <f>VLOOKUP($A311,'зарплата в цінах'!$A$2:$F$397,4)</f>
        <v>7.69</v>
      </c>
      <c r="E311" s="29">
        <f>VLOOKUP($A311,'зарплата в цінах'!$A$2:$F$397,5)</f>
        <v>0</v>
      </c>
      <c r="F311" s="29">
        <f>VLOOKUP($A311,'зарплата в цінах'!$A$2:$F$397,6)</f>
        <v>12.33</v>
      </c>
    </row>
    <row r="312" spans="1:6" x14ac:dyDescent="0.3">
      <c r="A312" s="318">
        <v>150000835</v>
      </c>
      <c r="B312" s="424" t="s">
        <v>137</v>
      </c>
      <c r="C312" s="29">
        <f>VLOOKUP($A312,'зарплата в цінах'!$A$2:$F$397,3)</f>
        <v>0</v>
      </c>
      <c r="D312" s="29">
        <f>VLOOKUP($A312,'зарплата в цінах'!$A$2:$F$397,4)</f>
        <v>0</v>
      </c>
      <c r="E312" s="29">
        <f>VLOOKUP($A312,'зарплата в цінах'!$A$2:$F$397,5)</f>
        <v>0</v>
      </c>
      <c r="F312" s="29">
        <f>VLOOKUP($A312,'зарплата в цінах'!$A$2:$F$397,6)</f>
        <v>0</v>
      </c>
    </row>
    <row r="313" spans="1:6" x14ac:dyDescent="0.3">
      <c r="A313" s="318">
        <v>150000845</v>
      </c>
      <c r="B313" s="424" t="s">
        <v>138</v>
      </c>
      <c r="C313" s="29">
        <f>VLOOKUP($A313,'зарплата в цінах'!$A$2:$F$397,3)</f>
        <v>0</v>
      </c>
      <c r="D313" s="29">
        <f>VLOOKUP($A313,'зарплата в цінах'!$A$2:$F$397,4)</f>
        <v>0</v>
      </c>
      <c r="E313" s="29">
        <f>VLOOKUP($A313,'зарплата в цінах'!$A$2:$F$397,5)</f>
        <v>0</v>
      </c>
      <c r="F313" s="29">
        <f>VLOOKUP($A313,'зарплата в цінах'!$A$2:$F$397,6)</f>
        <v>0</v>
      </c>
    </row>
    <row r="314" spans="1:6" x14ac:dyDescent="0.3">
      <c r="A314" s="318">
        <v>150000846</v>
      </c>
      <c r="B314" s="424" t="s">
        <v>139</v>
      </c>
      <c r="C314" s="29">
        <f>VLOOKUP($A314,'зарплата в цінах'!$A$2:$F$397,3)</f>
        <v>0</v>
      </c>
      <c r="D314" s="29">
        <f>VLOOKUP($A314,'зарплата в цінах'!$A$2:$F$397,4)</f>
        <v>0</v>
      </c>
      <c r="E314" s="29">
        <f>VLOOKUP($A314,'зарплата в цінах'!$A$2:$F$397,5)</f>
        <v>0</v>
      </c>
      <c r="F314" s="29">
        <f>VLOOKUP($A314,'зарплата в цінах'!$A$2:$F$397,6)</f>
        <v>0</v>
      </c>
    </row>
    <row r="315" spans="1:6" x14ac:dyDescent="0.3">
      <c r="A315" s="318">
        <v>150000798</v>
      </c>
      <c r="B315" s="250" t="s">
        <v>225</v>
      </c>
      <c r="C315" s="29">
        <f>VLOOKUP($A315,'зарплата в цінах'!$A$2:$F$397,3)</f>
        <v>131.13999999999999</v>
      </c>
      <c r="D315" s="29">
        <f>VLOOKUP($A315,'зарплата в цінах'!$A$2:$F$397,4)</f>
        <v>23.83</v>
      </c>
      <c r="E315" s="29">
        <f>VLOOKUP($A315,'зарплата в цінах'!$A$2:$F$397,5)</f>
        <v>0</v>
      </c>
      <c r="F315" s="29">
        <f>VLOOKUP($A315,'зарплата в цінах'!$A$2:$F$397,6)</f>
        <v>87.42</v>
      </c>
    </row>
    <row r="316" spans="1:6" x14ac:dyDescent="0.3">
      <c r="A316" s="318">
        <v>150000819</v>
      </c>
      <c r="B316" s="250" t="s">
        <v>423</v>
      </c>
      <c r="C316" s="29">
        <f>VLOOKUP($A316,'зарплата в цінах'!$A$2:$F$397,3)</f>
        <v>885.99</v>
      </c>
      <c r="D316" s="29">
        <f>VLOOKUP($A316,'зарплата в цінах'!$A$2:$F$397,4)</f>
        <v>151.75</v>
      </c>
      <c r="E316" s="29">
        <f>VLOOKUP($A316,'зарплата в цінах'!$A$2:$F$397,5)</f>
        <v>42.26</v>
      </c>
      <c r="F316" s="29">
        <f>VLOOKUP($A316,'зарплата в цінах'!$A$2:$F$397,6)</f>
        <v>312.16000000000003</v>
      </c>
    </row>
    <row r="317" spans="1:6" x14ac:dyDescent="0.3">
      <c r="A317" s="318">
        <v>150000820</v>
      </c>
      <c r="B317" s="250" t="s">
        <v>394</v>
      </c>
      <c r="C317" s="29">
        <f>VLOOKUP($A317,'зарплата в цінах'!$A$2:$F$397,3)</f>
        <v>483.26</v>
      </c>
      <c r="D317" s="29">
        <f>VLOOKUP($A317,'зарплата в цінах'!$A$2:$F$397,4)</f>
        <v>92.98</v>
      </c>
      <c r="E317" s="29">
        <f>VLOOKUP($A317,'зарплата в цінах'!$A$2:$F$397,5)</f>
        <v>26.37</v>
      </c>
      <c r="F317" s="29">
        <f>VLOOKUP($A317,'зарплата в цінах'!$A$2:$F$397,6)</f>
        <v>187.53</v>
      </c>
    </row>
    <row r="318" spans="1:6" x14ac:dyDescent="0.3">
      <c r="A318" s="318">
        <v>150000799</v>
      </c>
      <c r="B318" s="250" t="s">
        <v>292</v>
      </c>
      <c r="C318" s="29">
        <f>VLOOKUP($A318,'зарплата в цінах'!$A$2:$F$397,3)</f>
        <v>222.22</v>
      </c>
      <c r="D318" s="29">
        <f>VLOOKUP($A318,'зарплата в цінах'!$A$2:$F$397,4)</f>
        <v>42.74</v>
      </c>
      <c r="E318" s="29">
        <f>VLOOKUP($A318,'зарплата в цінах'!$A$2:$F$397,5)</f>
        <v>0</v>
      </c>
      <c r="F318" s="29">
        <f>VLOOKUP($A318,'зарплата в цінах'!$A$2:$F$397,6)</f>
        <v>111.9</v>
      </c>
    </row>
    <row r="319" spans="1:6" x14ac:dyDescent="0.3">
      <c r="A319" s="318">
        <v>150000830</v>
      </c>
      <c r="B319" s="250" t="s">
        <v>293</v>
      </c>
      <c r="C319" s="29">
        <f>VLOOKUP($A319,'зарплата в цінах'!$A$2:$F$397,3)</f>
        <v>553.66999999999996</v>
      </c>
      <c r="D319" s="29">
        <f>VLOOKUP($A319,'зарплата в цінах'!$A$2:$F$397,4)</f>
        <v>114.83</v>
      </c>
      <c r="E319" s="29">
        <f>VLOOKUP($A319,'зарплата в цінах'!$A$2:$F$397,5)</f>
        <v>43.76</v>
      </c>
      <c r="F319" s="29">
        <f>VLOOKUP($A319,'зарплата в цінах'!$A$2:$F$397,6)</f>
        <v>423.58</v>
      </c>
    </row>
    <row r="320" spans="1:6" x14ac:dyDescent="0.3">
      <c r="A320" s="318">
        <v>150000800</v>
      </c>
      <c r="B320" s="250" t="s">
        <v>226</v>
      </c>
      <c r="C320" s="29">
        <f>VLOOKUP($A320,'зарплата в цінах'!$A$2:$F$397,3)</f>
        <v>155.51</v>
      </c>
      <c r="D320" s="29">
        <f>VLOOKUP($A320,'зарплата в цінах'!$A$2:$F$397,4)</f>
        <v>24.16</v>
      </c>
      <c r="E320" s="29">
        <f>VLOOKUP($A320,'зарплата в цінах'!$A$2:$F$397,5)</f>
        <v>0</v>
      </c>
      <c r="F320" s="29">
        <f>VLOOKUP($A320,'зарплата в цінах'!$A$2:$F$397,6)</f>
        <v>88.65</v>
      </c>
    </row>
    <row r="321" spans="1:6" x14ac:dyDescent="0.3">
      <c r="A321" s="318">
        <v>150000801</v>
      </c>
      <c r="B321" s="250" t="s">
        <v>294</v>
      </c>
      <c r="C321" s="29">
        <f>VLOOKUP($A321,'зарплата в цінах'!$A$2:$F$397,3)</f>
        <v>487.64</v>
      </c>
      <c r="D321" s="29">
        <f>VLOOKUP($A321,'зарплата в цінах'!$A$2:$F$397,4)</f>
        <v>96.35</v>
      </c>
      <c r="E321" s="29">
        <f>VLOOKUP($A321,'зарплата в цінах'!$A$2:$F$397,5)</f>
        <v>0</v>
      </c>
      <c r="F321" s="29">
        <f>VLOOKUP($A321,'зарплата в цінах'!$A$2:$F$397,6)</f>
        <v>329.75</v>
      </c>
    </row>
    <row r="322" spans="1:6" x14ac:dyDescent="0.3">
      <c r="A322" s="318">
        <v>150000802</v>
      </c>
      <c r="B322" s="250" t="s">
        <v>295</v>
      </c>
      <c r="C322" s="29">
        <f>VLOOKUP($A322,'зарплата в цінах'!$A$2:$F$397,3)</f>
        <v>402.42</v>
      </c>
      <c r="D322" s="29">
        <f>VLOOKUP($A322,'зарплата в цінах'!$A$2:$F$397,4)</f>
        <v>77.16</v>
      </c>
      <c r="E322" s="29">
        <f>VLOOKUP($A322,'зарплата в цінах'!$A$2:$F$397,5)</f>
        <v>0</v>
      </c>
      <c r="F322" s="29">
        <f>VLOOKUP($A322,'зарплата в цінах'!$A$2:$F$397,6)</f>
        <v>232.82</v>
      </c>
    </row>
    <row r="323" spans="1:6" x14ac:dyDescent="0.3">
      <c r="A323" s="318">
        <v>150000803</v>
      </c>
      <c r="B323" s="250" t="s">
        <v>227</v>
      </c>
      <c r="C323" s="29">
        <f>VLOOKUP($A323,'зарплата в цінах'!$A$2:$F$397,3)</f>
        <v>166.56</v>
      </c>
      <c r="D323" s="29">
        <f>VLOOKUP($A323,'зарплата в цінах'!$A$2:$F$397,4)</f>
        <v>30.07</v>
      </c>
      <c r="E323" s="29">
        <f>VLOOKUP($A323,'зарплата в цінах'!$A$2:$F$397,5)</f>
        <v>0</v>
      </c>
      <c r="F323" s="29">
        <f>VLOOKUP($A323,'зарплата в цінах'!$A$2:$F$397,6)</f>
        <v>83.55</v>
      </c>
    </row>
    <row r="324" spans="1:6" x14ac:dyDescent="0.3">
      <c r="A324" s="318">
        <v>150000805</v>
      </c>
      <c r="B324" s="250" t="s">
        <v>296</v>
      </c>
      <c r="C324" s="29">
        <f>VLOOKUP($A324,'зарплата в цінах'!$A$2:$F$397,3)</f>
        <v>385.93</v>
      </c>
      <c r="D324" s="29">
        <f>VLOOKUP($A324,'зарплата в цінах'!$A$2:$F$397,4)</f>
        <v>77.650000000000006</v>
      </c>
      <c r="E324" s="29">
        <f>VLOOKUP($A324,'зарплата в цінах'!$A$2:$F$397,5)</f>
        <v>0</v>
      </c>
      <c r="F324" s="29">
        <f>VLOOKUP($A324,'зарплата в цінах'!$A$2:$F$397,6)</f>
        <v>240.99</v>
      </c>
    </row>
    <row r="325" spans="1:6" x14ac:dyDescent="0.3">
      <c r="A325" s="318">
        <v>150000806</v>
      </c>
      <c r="B325" s="250" t="s">
        <v>228</v>
      </c>
      <c r="C325" s="29">
        <f>VLOOKUP($A325,'зарплата в цінах'!$A$2:$F$397,3)</f>
        <v>275.83999999999997</v>
      </c>
      <c r="D325" s="29">
        <f>VLOOKUP($A325,'зарплата в цінах'!$A$2:$F$397,4)</f>
        <v>57.81</v>
      </c>
      <c r="E325" s="29">
        <f>VLOOKUP($A325,'зарплата в цінах'!$A$2:$F$397,5)</f>
        <v>0</v>
      </c>
      <c r="F325" s="29">
        <f>VLOOKUP($A325,'зарплата в цінах'!$A$2:$F$397,6)</f>
        <v>232.58</v>
      </c>
    </row>
    <row r="326" spans="1:6" x14ac:dyDescent="0.3">
      <c r="A326" s="318">
        <v>150000807</v>
      </c>
      <c r="B326" s="250" t="s">
        <v>187</v>
      </c>
      <c r="C326" s="29">
        <f>VLOOKUP($A326,'зарплата в цінах'!$A$2:$F$397,3)</f>
        <v>64.209999999999994</v>
      </c>
      <c r="D326" s="29">
        <f>VLOOKUP($A326,'зарплата в цінах'!$A$2:$F$397,4)</f>
        <v>11.3</v>
      </c>
      <c r="E326" s="29">
        <f>VLOOKUP($A326,'зарплата в цінах'!$A$2:$F$397,5)</f>
        <v>0</v>
      </c>
      <c r="F326" s="29">
        <f>VLOOKUP($A326,'зарплата в цінах'!$A$2:$F$397,6)</f>
        <v>11.36</v>
      </c>
    </row>
    <row r="327" spans="1:6" x14ac:dyDescent="0.3">
      <c r="A327" s="318">
        <v>150000808</v>
      </c>
      <c r="B327" s="250" t="s">
        <v>297</v>
      </c>
      <c r="C327" s="29">
        <f>VLOOKUP($A327,'зарплата в цінах'!$A$2:$F$397,3)</f>
        <v>205.6</v>
      </c>
      <c r="D327" s="29">
        <f>VLOOKUP($A327,'зарплата в цінах'!$A$2:$F$397,4)</f>
        <v>39.42</v>
      </c>
      <c r="E327" s="29">
        <f>VLOOKUP($A327,'зарплата в цінах'!$A$2:$F$397,5)</f>
        <v>0</v>
      </c>
      <c r="F327" s="29">
        <f>VLOOKUP($A327,'зарплата в цінах'!$A$2:$F$397,6)</f>
        <v>99.01</v>
      </c>
    </row>
    <row r="328" spans="1:6" x14ac:dyDescent="0.3">
      <c r="A328" s="318">
        <v>150000827</v>
      </c>
      <c r="B328" s="250" t="s">
        <v>298</v>
      </c>
      <c r="C328" s="29">
        <f>VLOOKUP($A328,'зарплата в цінах'!$A$2:$F$397,3)</f>
        <v>487.64</v>
      </c>
      <c r="D328" s="29">
        <f>VLOOKUP($A328,'зарплата в цінах'!$A$2:$F$397,4)</f>
        <v>96.46</v>
      </c>
      <c r="E328" s="29">
        <f>VLOOKUP($A328,'зарплата в цінах'!$A$2:$F$397,5)</f>
        <v>0</v>
      </c>
      <c r="F328" s="29">
        <f>VLOOKUP($A328,'зарплата в цінах'!$A$2:$F$397,6)</f>
        <v>320.60000000000002</v>
      </c>
    </row>
    <row r="329" spans="1:6" x14ac:dyDescent="0.3">
      <c r="A329" s="318">
        <v>150000809</v>
      </c>
      <c r="B329" s="250" t="s">
        <v>299</v>
      </c>
      <c r="C329" s="29">
        <f>VLOOKUP($A329,'зарплата в цінах'!$A$2:$F$397,3)</f>
        <v>278.37</v>
      </c>
      <c r="D329" s="29">
        <f>VLOOKUP($A329,'зарплата в цінах'!$A$2:$F$397,4)</f>
        <v>51.96</v>
      </c>
      <c r="E329" s="29">
        <f>VLOOKUP($A329,'зарплата в цінах'!$A$2:$F$397,5)</f>
        <v>0</v>
      </c>
      <c r="F329" s="29">
        <f>VLOOKUP($A329,'зарплата в цінах'!$A$2:$F$397,6)</f>
        <v>148.44999999999999</v>
      </c>
    </row>
    <row r="330" spans="1:6" x14ac:dyDescent="0.3">
      <c r="A330" s="318">
        <v>150000810</v>
      </c>
      <c r="B330" s="250" t="s">
        <v>300</v>
      </c>
      <c r="C330" s="29">
        <f>VLOOKUP($A330,'зарплата в цінах'!$A$2:$F$397,3)</f>
        <v>336.11</v>
      </c>
      <c r="D330" s="29">
        <f>VLOOKUP($A330,'зарплата в цінах'!$A$2:$F$397,4)</f>
        <v>66.790000000000006</v>
      </c>
      <c r="E330" s="29">
        <f>VLOOKUP($A330,'зарплата в цінах'!$A$2:$F$397,5)</f>
        <v>0</v>
      </c>
      <c r="F330" s="29">
        <f>VLOOKUP($A330,'зарплата в цінах'!$A$2:$F$397,6)</f>
        <v>200.83</v>
      </c>
    </row>
    <row r="331" spans="1:6" x14ac:dyDescent="0.3">
      <c r="A331" s="318">
        <v>150000811</v>
      </c>
      <c r="B331" s="250" t="s">
        <v>301</v>
      </c>
      <c r="C331" s="29">
        <f>VLOOKUP($A331,'зарплата в цінах'!$A$2:$F$397,3)</f>
        <v>305.88</v>
      </c>
      <c r="D331" s="29">
        <f>VLOOKUP($A331,'зарплата в цінах'!$A$2:$F$397,4)</f>
        <v>52.31</v>
      </c>
      <c r="E331" s="29">
        <f>VLOOKUP($A331,'зарплата в цінах'!$A$2:$F$397,5)</f>
        <v>0</v>
      </c>
      <c r="F331" s="29">
        <f>VLOOKUP($A331,'зарплата в цінах'!$A$2:$F$397,6)</f>
        <v>160.07</v>
      </c>
    </row>
    <row r="332" spans="1:6" x14ac:dyDescent="0.3">
      <c r="A332" s="318">
        <v>150000812</v>
      </c>
      <c r="B332" s="250" t="s">
        <v>302</v>
      </c>
      <c r="C332" s="29">
        <f>VLOOKUP($A332,'зарплата в цінах'!$A$2:$F$397,3)</f>
        <v>198.78</v>
      </c>
      <c r="D332" s="29">
        <f>VLOOKUP($A332,'зарплата в цінах'!$A$2:$F$397,4)</f>
        <v>39.31</v>
      </c>
      <c r="E332" s="29">
        <f>VLOOKUP($A332,'зарплата в цінах'!$A$2:$F$397,5)</f>
        <v>0</v>
      </c>
      <c r="F332" s="29">
        <f>VLOOKUP($A332,'зарплата в цінах'!$A$2:$F$397,6)</f>
        <v>154.6</v>
      </c>
    </row>
    <row r="333" spans="1:6" x14ac:dyDescent="0.3">
      <c r="A333" s="318">
        <v>150000828</v>
      </c>
      <c r="B333" s="250" t="s">
        <v>303</v>
      </c>
      <c r="C333" s="29">
        <f>VLOOKUP($A333,'зарплата в цінах'!$A$2:$F$397,3)</f>
        <v>305.88</v>
      </c>
      <c r="D333" s="29">
        <f>VLOOKUP($A333,'зарплата в цінах'!$A$2:$F$397,4)</f>
        <v>52.31</v>
      </c>
      <c r="E333" s="29">
        <f>VLOOKUP($A333,'зарплата в цінах'!$A$2:$F$397,5)</f>
        <v>0</v>
      </c>
      <c r="F333" s="29">
        <f>VLOOKUP($A333,'зарплата в цінах'!$A$2:$F$397,6)</f>
        <v>158.66999999999999</v>
      </c>
    </row>
    <row r="334" spans="1:6" x14ac:dyDescent="0.3">
      <c r="A334" s="318">
        <v>150000813</v>
      </c>
      <c r="B334" s="250" t="s">
        <v>188</v>
      </c>
      <c r="C334" s="29">
        <f>VLOOKUP($A334,'зарплата в цінах'!$A$2:$F$397,3)</f>
        <v>32.86</v>
      </c>
      <c r="D334" s="29">
        <f>VLOOKUP($A334,'зарплата в цінах'!$A$2:$F$397,4)</f>
        <v>11.54</v>
      </c>
      <c r="E334" s="29">
        <f>VLOOKUP($A334,'зарплата в цінах'!$A$2:$F$397,5)</f>
        <v>0</v>
      </c>
      <c r="F334" s="29">
        <f>VLOOKUP($A334,'зарплата в цінах'!$A$2:$F$397,6)</f>
        <v>17.25</v>
      </c>
    </row>
    <row r="335" spans="1:6" x14ac:dyDescent="0.3">
      <c r="A335" s="318">
        <v>150000814</v>
      </c>
      <c r="B335" s="250" t="s">
        <v>304</v>
      </c>
      <c r="C335" s="29">
        <f>VLOOKUP($A335,'зарплата в цінах'!$A$2:$F$397,3)</f>
        <v>353.92</v>
      </c>
      <c r="D335" s="29">
        <f>VLOOKUP($A335,'зарплата в цінах'!$A$2:$F$397,4)</f>
        <v>74.349999999999994</v>
      </c>
      <c r="E335" s="29">
        <f>VLOOKUP($A335,'зарплата в цінах'!$A$2:$F$397,5)</f>
        <v>0</v>
      </c>
      <c r="F335" s="29">
        <f>VLOOKUP($A335,'зарплата в цінах'!$A$2:$F$397,6)</f>
        <v>206.54</v>
      </c>
    </row>
    <row r="336" spans="1:6" x14ac:dyDescent="0.3">
      <c r="A336" s="318">
        <v>150000816</v>
      </c>
      <c r="B336" s="250" t="s">
        <v>229</v>
      </c>
      <c r="C336" s="29">
        <f>VLOOKUP($A336,'зарплата в цінах'!$A$2:$F$397,3)</f>
        <v>310.35000000000002</v>
      </c>
      <c r="D336" s="29">
        <f>VLOOKUP($A336,'зарплата в цінах'!$A$2:$F$397,4)</f>
        <v>50.81</v>
      </c>
      <c r="E336" s="29">
        <f>VLOOKUP($A336,'зарплата в цінах'!$A$2:$F$397,5)</f>
        <v>0</v>
      </c>
      <c r="F336" s="29">
        <f>VLOOKUP($A336,'зарплата в цінах'!$A$2:$F$397,6)</f>
        <v>181.7</v>
      </c>
    </row>
    <row r="337" spans="1:6" x14ac:dyDescent="0.3">
      <c r="A337" s="318">
        <v>150000829</v>
      </c>
      <c r="B337" s="250" t="s">
        <v>230</v>
      </c>
      <c r="C337" s="29">
        <f>VLOOKUP($A337,'зарплата в цінах'!$A$2:$F$397,3)</f>
        <v>324.35000000000002</v>
      </c>
      <c r="D337" s="29">
        <f>VLOOKUP($A337,'зарплата в цінах'!$A$2:$F$397,4)</f>
        <v>51</v>
      </c>
      <c r="E337" s="29">
        <f>VLOOKUP($A337,'зарплата в цінах'!$A$2:$F$397,5)</f>
        <v>0</v>
      </c>
      <c r="F337" s="29">
        <f>VLOOKUP($A337,'зарплата в цінах'!$A$2:$F$397,6)</f>
        <v>181.34</v>
      </c>
    </row>
    <row r="338" spans="1:6" x14ac:dyDescent="0.3">
      <c r="A338" s="318">
        <v>150000797</v>
      </c>
      <c r="B338" s="250" t="s">
        <v>231</v>
      </c>
      <c r="C338" s="29">
        <f>VLOOKUP($A338,'зарплата в цінах'!$A$2:$F$397,3)</f>
        <v>579.07000000000005</v>
      </c>
      <c r="D338" s="29">
        <f>VLOOKUP($A338,'зарплата в цінах'!$A$2:$F$397,4)</f>
        <v>125.02</v>
      </c>
      <c r="E338" s="29">
        <f>VLOOKUP($A338,'зарплата в цінах'!$A$2:$F$397,5)</f>
        <v>0</v>
      </c>
      <c r="F338" s="29">
        <f>VLOOKUP($A338,'зарплата в цінах'!$A$2:$F$397,6)</f>
        <v>665.58</v>
      </c>
    </row>
    <row r="339" spans="1:6" x14ac:dyDescent="0.3">
      <c r="A339" s="318">
        <v>150000705</v>
      </c>
      <c r="B339" s="424" t="s">
        <v>141</v>
      </c>
      <c r="C339" s="29">
        <f>VLOOKUP($A339,'зарплата в цінах'!$A$2:$F$397,3)</f>
        <v>0</v>
      </c>
      <c r="D339" s="29">
        <f>VLOOKUP($A339,'зарплата в цінах'!$A$2:$F$397,4)</f>
        <v>0</v>
      </c>
      <c r="E339" s="29">
        <f>VLOOKUP($A339,'зарплата в цінах'!$A$2:$F$397,5)</f>
        <v>0</v>
      </c>
      <c r="F339" s="29">
        <f>VLOOKUP($A339,'зарплата в цінах'!$A$2:$F$397,6)</f>
        <v>0</v>
      </c>
    </row>
    <row r="340" spans="1:6" x14ac:dyDescent="0.3">
      <c r="A340" s="318">
        <v>150000709</v>
      </c>
      <c r="B340" s="424" t="s">
        <v>142</v>
      </c>
      <c r="C340" s="29">
        <f>VLOOKUP($A340,'зарплата в цінах'!$A$2:$F$397,3)</f>
        <v>0</v>
      </c>
      <c r="D340" s="29">
        <f>VLOOKUP($A340,'зарплата в цінах'!$A$2:$F$397,4)</f>
        <v>0</v>
      </c>
      <c r="E340" s="29">
        <f>VLOOKUP($A340,'зарплата в цінах'!$A$2:$F$397,5)</f>
        <v>0</v>
      </c>
      <c r="F340" s="29">
        <f>VLOOKUP($A340,'зарплата в цінах'!$A$2:$F$397,6)</f>
        <v>0</v>
      </c>
    </row>
    <row r="341" spans="1:6" x14ac:dyDescent="0.3">
      <c r="A341" s="318">
        <v>150000706</v>
      </c>
      <c r="B341" s="424" t="s">
        <v>143</v>
      </c>
      <c r="C341" s="29">
        <f>VLOOKUP($A341,'зарплата в цінах'!$A$2:$F$397,3)</f>
        <v>0</v>
      </c>
      <c r="D341" s="29">
        <f>VLOOKUP($A341,'зарплата в цінах'!$A$2:$F$397,4)</f>
        <v>0</v>
      </c>
      <c r="E341" s="29">
        <f>VLOOKUP($A341,'зарплата в цінах'!$A$2:$F$397,5)</f>
        <v>0</v>
      </c>
      <c r="F341" s="29">
        <f>VLOOKUP($A341,'зарплата в цінах'!$A$2:$F$397,6)</f>
        <v>0</v>
      </c>
    </row>
    <row r="342" spans="1:6" x14ac:dyDescent="0.3">
      <c r="A342" s="318">
        <v>150000707</v>
      </c>
      <c r="B342" s="424" t="s">
        <v>144</v>
      </c>
      <c r="C342" s="29">
        <f>VLOOKUP($A342,'зарплата в цінах'!$A$2:$F$397,3)</f>
        <v>0</v>
      </c>
      <c r="D342" s="29">
        <f>VLOOKUP($A342,'зарплата в цінах'!$A$2:$F$397,4)</f>
        <v>0</v>
      </c>
      <c r="E342" s="29">
        <f>VLOOKUP($A342,'зарплата в цінах'!$A$2:$F$397,5)</f>
        <v>0</v>
      </c>
      <c r="F342" s="29">
        <f>VLOOKUP($A342,'зарплата в цінах'!$A$2:$F$397,6)</f>
        <v>0</v>
      </c>
    </row>
    <row r="343" spans="1:6" x14ac:dyDescent="0.3">
      <c r="A343" s="318">
        <v>150000708</v>
      </c>
      <c r="B343" s="424" t="s">
        <v>145</v>
      </c>
      <c r="C343" s="29">
        <f>VLOOKUP($A343,'зарплата в цінах'!$A$2:$F$397,3)</f>
        <v>0</v>
      </c>
      <c r="D343" s="29">
        <f>VLOOKUP($A343,'зарплата в цінах'!$A$2:$F$397,4)</f>
        <v>0</v>
      </c>
      <c r="E343" s="29">
        <f>VLOOKUP($A343,'зарплата в цінах'!$A$2:$F$397,5)</f>
        <v>0</v>
      </c>
      <c r="F343" s="29">
        <f>VLOOKUP($A343,'зарплата в цінах'!$A$2:$F$397,6)</f>
        <v>0</v>
      </c>
    </row>
    <row r="344" spans="1:6" x14ac:dyDescent="0.3">
      <c r="A344" s="318">
        <v>150000591</v>
      </c>
      <c r="B344" s="250" t="s">
        <v>191</v>
      </c>
      <c r="C344" s="29">
        <f>VLOOKUP($A344,'зарплата в цінах'!$A$2:$F$397,3)</f>
        <v>31.36</v>
      </c>
      <c r="D344" s="29">
        <f>VLOOKUP($A344,'зарплата в цінах'!$A$2:$F$397,4)</f>
        <v>5.53</v>
      </c>
      <c r="E344" s="29">
        <f>VLOOKUP($A344,'зарплата в цінах'!$A$2:$F$397,5)</f>
        <v>0</v>
      </c>
      <c r="F344" s="29">
        <f>VLOOKUP($A344,'зарплата в цінах'!$A$2:$F$397,6)</f>
        <v>12.28</v>
      </c>
    </row>
    <row r="345" spans="1:6" x14ac:dyDescent="0.3">
      <c r="A345" s="318">
        <v>150000861</v>
      </c>
      <c r="B345" s="250" t="s">
        <v>232</v>
      </c>
      <c r="C345" s="29">
        <f>VLOOKUP($A345,'зарплата в цінах'!$A$2:$F$397,3)</f>
        <v>399.57</v>
      </c>
      <c r="D345" s="29">
        <f>VLOOKUP($A345,'зарплата в цінах'!$A$2:$F$397,4)</f>
        <v>82.53</v>
      </c>
      <c r="E345" s="29">
        <f>VLOOKUP($A345,'зарплата в цінах'!$A$2:$F$397,5)</f>
        <v>0</v>
      </c>
      <c r="F345" s="29">
        <f>VLOOKUP($A345,'зарплата в цінах'!$A$2:$F$397,6)</f>
        <v>356.51</v>
      </c>
    </row>
    <row r="346" spans="1:6" x14ac:dyDescent="0.3">
      <c r="A346" s="318">
        <v>150000872</v>
      </c>
      <c r="B346" s="250" t="s">
        <v>233</v>
      </c>
      <c r="C346" s="29">
        <f>VLOOKUP($A346,'зарплата в цінах'!$A$2:$F$397,3)</f>
        <v>256.14999999999998</v>
      </c>
      <c r="D346" s="29">
        <f>VLOOKUP($A346,'зарплата в цінах'!$A$2:$F$397,4)</f>
        <v>63.16</v>
      </c>
      <c r="E346" s="29">
        <f>VLOOKUP($A346,'зарплата в цінах'!$A$2:$F$397,5)</f>
        <v>0</v>
      </c>
      <c r="F346" s="29">
        <f>VLOOKUP($A346,'зарплата в цінах'!$A$2:$F$397,6)</f>
        <v>86.41</v>
      </c>
    </row>
    <row r="347" spans="1:6" x14ac:dyDescent="0.3">
      <c r="A347" s="318">
        <v>150000862</v>
      </c>
      <c r="B347" s="250" t="s">
        <v>234</v>
      </c>
      <c r="C347" s="29">
        <f>VLOOKUP($A347,'зарплата в цінах'!$A$2:$F$397,3)</f>
        <v>475.15</v>
      </c>
      <c r="D347" s="29">
        <f>VLOOKUP($A347,'зарплата в цінах'!$A$2:$F$397,4)</f>
        <v>96.84</v>
      </c>
      <c r="E347" s="29">
        <f>VLOOKUP($A347,'зарплата в цінах'!$A$2:$F$397,5)</f>
        <v>0</v>
      </c>
      <c r="F347" s="29">
        <f>VLOOKUP($A347,'зарплата в цінах'!$A$2:$F$397,6)</f>
        <v>454.55</v>
      </c>
    </row>
    <row r="348" spans="1:6" x14ac:dyDescent="0.3">
      <c r="A348" s="318">
        <v>150000863</v>
      </c>
      <c r="B348" s="250" t="s">
        <v>235</v>
      </c>
      <c r="C348" s="29">
        <f>VLOOKUP($A348,'зарплата в цінах'!$A$2:$F$397,3)</f>
        <v>361.59</v>
      </c>
      <c r="D348" s="29">
        <f>VLOOKUP($A348,'зарплата в цінах'!$A$2:$F$397,4)</f>
        <v>77.67</v>
      </c>
      <c r="E348" s="29">
        <f>VLOOKUP($A348,'зарплата в цінах'!$A$2:$F$397,5)</f>
        <v>0</v>
      </c>
      <c r="F348" s="29">
        <f>VLOOKUP($A348,'зарплата в цінах'!$A$2:$F$397,6)</f>
        <v>326.05</v>
      </c>
    </row>
    <row r="349" spans="1:6" x14ac:dyDescent="0.3">
      <c r="A349" s="318">
        <v>150000864</v>
      </c>
      <c r="B349" s="250" t="s">
        <v>200</v>
      </c>
      <c r="C349" s="29">
        <f>VLOOKUP($A349,'зарплата в цінах'!$A$2:$F$397,3)</f>
        <v>356.44</v>
      </c>
      <c r="D349" s="29">
        <f>VLOOKUP($A349,'зарплата в цінах'!$A$2:$F$397,4)</f>
        <v>67.5</v>
      </c>
      <c r="E349" s="29">
        <f>VLOOKUP($A349,'зарплата в цінах'!$A$2:$F$397,5)</f>
        <v>0</v>
      </c>
      <c r="F349" s="29">
        <f>VLOOKUP($A349,'зарплата в цінах'!$A$2:$F$397,6)</f>
        <v>436</v>
      </c>
    </row>
    <row r="350" spans="1:6" x14ac:dyDescent="0.3">
      <c r="A350" s="318">
        <v>150000865</v>
      </c>
      <c r="B350" s="250" t="s">
        <v>305</v>
      </c>
      <c r="C350" s="29">
        <f>VLOOKUP($A350,'зарплата в цінах'!$A$2:$F$397,3)</f>
        <v>925.73</v>
      </c>
      <c r="D350" s="29">
        <f>VLOOKUP($A350,'зарплата в цінах'!$A$2:$F$397,4)</f>
        <v>193.41</v>
      </c>
      <c r="E350" s="29">
        <f>VLOOKUP($A350,'зарплата в цінах'!$A$2:$F$397,5)</f>
        <v>0</v>
      </c>
      <c r="F350" s="29">
        <f>VLOOKUP($A350,'зарплата в цінах'!$A$2:$F$397,6)</f>
        <v>1000.64</v>
      </c>
    </row>
    <row r="351" spans="1:6" x14ac:dyDescent="0.3">
      <c r="A351" s="318">
        <v>150000873</v>
      </c>
      <c r="B351" s="250" t="s">
        <v>306</v>
      </c>
      <c r="C351" s="29">
        <f>VLOOKUP($A351,'зарплата в цінах'!$A$2:$F$397,3)</f>
        <v>302.61</v>
      </c>
      <c r="D351" s="29">
        <f>VLOOKUP($A351,'зарплата в цінах'!$A$2:$F$397,4)</f>
        <v>58.37</v>
      </c>
      <c r="E351" s="29">
        <f>VLOOKUP($A351,'зарплата в цінах'!$A$2:$F$397,5)</f>
        <v>0</v>
      </c>
      <c r="F351" s="29">
        <f>VLOOKUP($A351,'зарплата в цінах'!$A$2:$F$397,6)</f>
        <v>162.09</v>
      </c>
    </row>
    <row r="352" spans="1:6" x14ac:dyDescent="0.3">
      <c r="A352" s="318">
        <v>150000874</v>
      </c>
      <c r="B352" s="250" t="s">
        <v>307</v>
      </c>
      <c r="C352" s="29">
        <f>VLOOKUP($A352,'зарплата в цінах'!$A$2:$F$397,3)</f>
        <v>273.49</v>
      </c>
      <c r="D352" s="29">
        <f>VLOOKUP($A352,'зарплата в цінах'!$A$2:$F$397,4)</f>
        <v>58.37</v>
      </c>
      <c r="E352" s="29">
        <f>VLOOKUP($A352,'зарплата в цінах'!$A$2:$F$397,5)</f>
        <v>17.98</v>
      </c>
      <c r="F352" s="29">
        <f>VLOOKUP($A352,'зарплата в цінах'!$A$2:$F$397,6)</f>
        <v>164.89</v>
      </c>
    </row>
    <row r="353" spans="1:6" x14ac:dyDescent="0.3">
      <c r="A353" s="318">
        <v>150000866</v>
      </c>
      <c r="B353" s="250" t="s">
        <v>308</v>
      </c>
      <c r="C353" s="29">
        <f>VLOOKUP($A353,'зарплата в цінах'!$A$2:$F$397,3)</f>
        <v>591.13</v>
      </c>
      <c r="D353" s="29">
        <f>VLOOKUP($A353,'зарплата в цінах'!$A$2:$F$397,4)</f>
        <v>115.74</v>
      </c>
      <c r="E353" s="29">
        <f>VLOOKUP($A353,'зарплата в цінах'!$A$2:$F$397,5)</f>
        <v>0</v>
      </c>
      <c r="F353" s="29">
        <f>VLOOKUP($A353,'зарплата в цінах'!$A$2:$F$397,6)</f>
        <v>438.56</v>
      </c>
    </row>
    <row r="354" spans="1:6" x14ac:dyDescent="0.3">
      <c r="A354" s="318">
        <v>150000867</v>
      </c>
      <c r="B354" s="250" t="s">
        <v>309</v>
      </c>
      <c r="C354" s="29">
        <f>VLOOKUP($A354,'зарплата в цінах'!$A$2:$F$397,3)</f>
        <v>291.31</v>
      </c>
      <c r="D354" s="29">
        <f>VLOOKUP($A354,'зарплата в цінах'!$A$2:$F$397,4)</f>
        <v>59.36</v>
      </c>
      <c r="E354" s="29">
        <f>VLOOKUP($A354,'зарплата в цінах'!$A$2:$F$397,5)</f>
        <v>0</v>
      </c>
      <c r="F354" s="29">
        <f>VLOOKUP($A354,'зарплата в цінах'!$A$2:$F$397,6)</f>
        <v>169.45</v>
      </c>
    </row>
    <row r="355" spans="1:6" x14ac:dyDescent="0.3">
      <c r="A355" s="318">
        <v>150000868</v>
      </c>
      <c r="B355" s="250" t="s">
        <v>310</v>
      </c>
      <c r="C355" s="29">
        <f>VLOOKUP($A355,'зарплата в цінах'!$A$2:$F$397,3)</f>
        <v>373.25</v>
      </c>
      <c r="D355" s="29">
        <f>VLOOKUP($A355,'зарплата в цінах'!$A$2:$F$397,4)</f>
        <v>77.489999999999995</v>
      </c>
      <c r="E355" s="29">
        <f>VLOOKUP($A355,'зарплата в цінах'!$A$2:$F$397,5)</f>
        <v>0</v>
      </c>
      <c r="F355" s="29">
        <f>VLOOKUP($A355,'зарплата в цінах'!$A$2:$F$397,6)</f>
        <v>236.51</v>
      </c>
    </row>
    <row r="356" spans="1:6" x14ac:dyDescent="0.3">
      <c r="A356" s="318">
        <v>150000869</v>
      </c>
      <c r="B356" s="250" t="s">
        <v>311</v>
      </c>
      <c r="C356" s="29">
        <f>VLOOKUP($A356,'зарплата в цінах'!$A$2:$F$397,3)</f>
        <v>605.51</v>
      </c>
      <c r="D356" s="29">
        <f>VLOOKUP($A356,'зарплата в цінах'!$A$2:$F$397,4)</f>
        <v>138.46</v>
      </c>
      <c r="E356" s="29">
        <f>VLOOKUP($A356,'зарплата в цінах'!$A$2:$F$397,5)</f>
        <v>41.96</v>
      </c>
      <c r="F356" s="29">
        <f>VLOOKUP($A356,'зарплата в цінах'!$A$2:$F$397,6)</f>
        <v>566.66999999999996</v>
      </c>
    </row>
    <row r="357" spans="1:6" x14ac:dyDescent="0.3">
      <c r="A357" s="318">
        <v>150000875</v>
      </c>
      <c r="B357" s="250" t="s">
        <v>312</v>
      </c>
      <c r="C357" s="29">
        <f>VLOOKUP($A357,'зарплата в цінах'!$A$2:$F$397,3)</f>
        <v>430.23</v>
      </c>
      <c r="D357" s="29">
        <f>VLOOKUP($A357,'зарплата в цінах'!$A$2:$F$397,4)</f>
        <v>87.11</v>
      </c>
      <c r="E357" s="29">
        <f>VLOOKUP($A357,'зарплата в цінах'!$A$2:$F$397,5)</f>
        <v>0</v>
      </c>
      <c r="F357" s="29">
        <f>VLOOKUP($A357,'зарплата в цінах'!$A$2:$F$397,6)</f>
        <v>233.64</v>
      </c>
    </row>
    <row r="358" spans="1:6" x14ac:dyDescent="0.3">
      <c r="A358" s="318">
        <v>150000871</v>
      </c>
      <c r="B358" s="424" t="s">
        <v>140</v>
      </c>
      <c r="C358" s="29">
        <f>VLOOKUP($A358,'зарплата в цінах'!$A$2:$F$397,3)</f>
        <v>0</v>
      </c>
      <c r="D358" s="29">
        <f>VLOOKUP($A358,'зарплата в цінах'!$A$2:$F$397,4)</f>
        <v>0</v>
      </c>
      <c r="E358" s="29">
        <f>VLOOKUP($A358,'зарплата в цінах'!$A$2:$F$397,5)</f>
        <v>0</v>
      </c>
      <c r="F358" s="29">
        <f>VLOOKUP($A358,'зарплата в цінах'!$A$2:$F$397,6)</f>
        <v>0</v>
      </c>
    </row>
    <row r="359" spans="1:6" x14ac:dyDescent="0.3">
      <c r="A359" s="318">
        <v>150000886</v>
      </c>
      <c r="B359" s="250" t="s">
        <v>396</v>
      </c>
      <c r="C359" s="29">
        <f>VLOOKUP($A359,'зарплата в цінах'!$A$2:$F$397,3)</f>
        <v>228.81</v>
      </c>
      <c r="D359" s="29">
        <f>VLOOKUP($A359,'зарплата в цінах'!$A$2:$F$397,4)</f>
        <v>33.630000000000003</v>
      </c>
      <c r="E359" s="29">
        <f>VLOOKUP($A359,'зарплата в цінах'!$A$2:$F$397,5)</f>
        <v>13.19</v>
      </c>
      <c r="F359" s="29">
        <f>VLOOKUP($A359,'зарплата в цінах'!$A$2:$F$397,6)</f>
        <v>114.59</v>
      </c>
    </row>
    <row r="360" spans="1:6" x14ac:dyDescent="0.3">
      <c r="A360" s="318">
        <v>150000887</v>
      </c>
      <c r="B360" s="250" t="s">
        <v>397</v>
      </c>
      <c r="C360" s="29">
        <f>VLOOKUP($A360,'зарплата в цінах'!$A$2:$F$397,3)</f>
        <v>781.01</v>
      </c>
      <c r="D360" s="29">
        <f>VLOOKUP($A360,'зарплата в цінах'!$A$2:$F$397,4)</f>
        <v>121.7</v>
      </c>
      <c r="E360" s="29">
        <f>VLOOKUP($A360,'зарплата в цінах'!$A$2:$F$397,5)</f>
        <v>39.56</v>
      </c>
      <c r="F360" s="29">
        <f>VLOOKUP($A360,'зарплата в цінах'!$A$2:$F$397,6)</f>
        <v>320.99</v>
      </c>
    </row>
    <row r="361" spans="1:6" x14ac:dyDescent="0.3">
      <c r="A361" s="318">
        <v>150000888</v>
      </c>
      <c r="B361" s="250" t="s">
        <v>313</v>
      </c>
      <c r="C361" s="29">
        <f>VLOOKUP($A361,'зарплата в цінах'!$A$2:$F$397,3)</f>
        <v>371.35</v>
      </c>
      <c r="D361" s="29">
        <f>VLOOKUP($A361,'зарплата в цінах'!$A$2:$F$397,4)</f>
        <v>77.16</v>
      </c>
      <c r="E361" s="29">
        <f>VLOOKUP($A361,'зарплата в цінах'!$A$2:$F$397,5)</f>
        <v>0</v>
      </c>
      <c r="F361" s="29">
        <f>VLOOKUP($A361,'зарплата в цінах'!$A$2:$F$397,6)</f>
        <v>235.15</v>
      </c>
    </row>
    <row r="362" spans="1:6" x14ac:dyDescent="0.3">
      <c r="A362" s="318">
        <v>150000889</v>
      </c>
      <c r="B362" s="250" t="s">
        <v>427</v>
      </c>
      <c r="C362" s="29">
        <f>VLOOKUP($A362,'зарплата в цінах'!$A$2:$F$397,3)</f>
        <v>741.81</v>
      </c>
      <c r="D362" s="29">
        <f>VLOOKUP($A362,'зарплата в цінах'!$A$2:$F$397,4)</f>
        <v>119.13</v>
      </c>
      <c r="E362" s="29">
        <f>VLOOKUP($A362,'зарплата в цінах'!$A$2:$F$397,5)</f>
        <v>29.97</v>
      </c>
      <c r="F362" s="29">
        <f>VLOOKUP($A362,'зарплата в цінах'!$A$2:$F$397,6)</f>
        <v>192.31</v>
      </c>
    </row>
    <row r="363" spans="1:6" x14ac:dyDescent="0.3">
      <c r="A363" s="318">
        <v>150000890</v>
      </c>
      <c r="B363" s="250" t="s">
        <v>398</v>
      </c>
      <c r="C363" s="29">
        <f>VLOOKUP($A363,'зарплата в цінах'!$A$2:$F$397,3)</f>
        <v>691.12</v>
      </c>
      <c r="D363" s="29">
        <f>VLOOKUP($A363,'зарплата в цінах'!$A$2:$F$397,4)</f>
        <v>137.88999999999999</v>
      </c>
      <c r="E363" s="29">
        <f>VLOOKUP($A363,'зарплата в цінах'!$A$2:$F$397,5)</f>
        <v>52.75</v>
      </c>
      <c r="F363" s="29">
        <f>VLOOKUP($A363,'зарплата в цінах'!$A$2:$F$397,6)</f>
        <v>458.15</v>
      </c>
    </row>
    <row r="364" spans="1:6" x14ac:dyDescent="0.3">
      <c r="A364" s="318">
        <v>150000891</v>
      </c>
      <c r="B364" s="250" t="s">
        <v>189</v>
      </c>
      <c r="C364" s="29">
        <f>VLOOKUP($A364,'зарплата в цінах'!$A$2:$F$397,3)</f>
        <v>31.83</v>
      </c>
      <c r="D364" s="29">
        <f>VLOOKUP($A364,'зарплата в цінах'!$A$2:$F$397,4)</f>
        <v>10.35</v>
      </c>
      <c r="E364" s="29">
        <f>VLOOKUP($A364,'зарплата в цінах'!$A$2:$F$397,5)</f>
        <v>0</v>
      </c>
      <c r="F364" s="29">
        <f>VLOOKUP($A364,'зарплата в цінах'!$A$2:$F$397,6)</f>
        <v>0.99</v>
      </c>
    </row>
    <row r="365" spans="1:6" x14ac:dyDescent="0.3">
      <c r="A365" s="318">
        <v>150001561</v>
      </c>
      <c r="B365" s="250" t="s">
        <v>399</v>
      </c>
      <c r="C365" s="29">
        <f>VLOOKUP($A365,'зарплата в цінах'!$A$2:$F$397,3)</f>
        <v>656.69</v>
      </c>
      <c r="D365" s="29">
        <f>VLOOKUP($A365,'зарплата в цінах'!$A$2:$F$397,4)</f>
        <v>104.79</v>
      </c>
      <c r="E365" s="29">
        <f>VLOOKUP($A365,'зарплата в цінах'!$A$2:$F$397,5)</f>
        <v>8.99</v>
      </c>
      <c r="F365" s="29">
        <f>VLOOKUP($A365,'зарплата в цінах'!$A$2:$F$397,6)</f>
        <v>214.09</v>
      </c>
    </row>
    <row r="366" spans="1:6" x14ac:dyDescent="0.3">
      <c r="A366" s="318">
        <v>150000892</v>
      </c>
      <c r="B366" s="250" t="s">
        <v>400</v>
      </c>
      <c r="C366" s="29">
        <f>VLOOKUP($A366,'зарплата в цінах'!$A$2:$F$397,3)</f>
        <v>558.41</v>
      </c>
      <c r="D366" s="29">
        <f>VLOOKUP($A366,'зарплата в цінах'!$A$2:$F$397,4)</f>
        <v>92.03</v>
      </c>
      <c r="E366" s="29">
        <f>VLOOKUP($A366,'зарплата в цінах'!$A$2:$F$397,5)</f>
        <v>26.37</v>
      </c>
      <c r="F366" s="29">
        <f>VLOOKUP($A366,'зарплата в цінах'!$A$2:$F$397,6)</f>
        <v>176.83</v>
      </c>
    </row>
    <row r="367" spans="1:6" x14ac:dyDescent="0.3">
      <c r="A367" s="318">
        <v>150000893</v>
      </c>
      <c r="B367" s="250" t="s">
        <v>314</v>
      </c>
      <c r="C367" s="29">
        <f>VLOOKUP($A367,'зарплата в цінах'!$A$2:$F$397,3)</f>
        <v>352.41</v>
      </c>
      <c r="D367" s="29">
        <f>VLOOKUP($A367,'зарплата в цінах'!$A$2:$F$397,4)</f>
        <v>67.41</v>
      </c>
      <c r="E367" s="29">
        <f>VLOOKUP($A367,'зарплата в цінах'!$A$2:$F$397,5)</f>
        <v>23.98</v>
      </c>
      <c r="F367" s="29">
        <f>VLOOKUP($A367,'зарплата в цінах'!$A$2:$F$397,6)</f>
        <v>219.48</v>
      </c>
    </row>
    <row r="368" spans="1:6" x14ac:dyDescent="0.3">
      <c r="A368" s="318">
        <v>150000894</v>
      </c>
      <c r="B368" s="250" t="s">
        <v>315</v>
      </c>
      <c r="C368" s="29">
        <f>VLOOKUP($A368,'зарплата в цінах'!$A$2:$F$397,3)</f>
        <v>490.65</v>
      </c>
      <c r="D368" s="29">
        <f>VLOOKUP($A368,'зарплата в цінах'!$A$2:$F$397,4)</f>
        <v>114.97</v>
      </c>
      <c r="E368" s="29">
        <f>VLOOKUP($A368,'зарплата в цінах'!$A$2:$F$397,5)</f>
        <v>35.96</v>
      </c>
      <c r="F368" s="29">
        <f>VLOOKUP($A368,'зарплата в цінах'!$A$2:$F$397,6)</f>
        <v>414.51</v>
      </c>
    </row>
    <row r="369" spans="1:6" x14ac:dyDescent="0.3">
      <c r="A369" s="318">
        <v>150000895</v>
      </c>
      <c r="B369" s="250" t="s">
        <v>316</v>
      </c>
      <c r="C369" s="29">
        <f>VLOOKUP($A369,'зарплата в цінах'!$A$2:$F$397,3)</f>
        <v>349.39</v>
      </c>
      <c r="D369" s="29">
        <f>VLOOKUP($A369,'зарплата в цінах'!$A$2:$F$397,4)</f>
        <v>66.680000000000007</v>
      </c>
      <c r="E369" s="29">
        <f>VLOOKUP($A369,'зарплата в цінах'!$A$2:$F$397,5)</f>
        <v>0</v>
      </c>
      <c r="F369" s="29">
        <f>VLOOKUP($A369,'зарплата в цінах'!$A$2:$F$397,6)</f>
        <v>212.22</v>
      </c>
    </row>
    <row r="370" spans="1:6" x14ac:dyDescent="0.3">
      <c r="A370" s="318">
        <v>150000922</v>
      </c>
      <c r="B370" s="250" t="s">
        <v>401</v>
      </c>
      <c r="C370" s="29">
        <f>VLOOKUP($A370,'зарплата в цінах'!$A$2:$F$397,3)</f>
        <v>560.67999999999995</v>
      </c>
      <c r="D370" s="29">
        <f>VLOOKUP($A370,'зарплата в цінах'!$A$2:$F$397,4)</f>
        <v>92.71</v>
      </c>
      <c r="E370" s="29">
        <f>VLOOKUP($A370,'зарплата в цінах'!$A$2:$F$397,5)</f>
        <v>26.37</v>
      </c>
      <c r="F370" s="29">
        <f>VLOOKUP($A370,'зарплата в цінах'!$A$2:$F$397,6)</f>
        <v>179.9</v>
      </c>
    </row>
    <row r="371" spans="1:6" x14ac:dyDescent="0.3">
      <c r="A371" s="318">
        <v>150000896</v>
      </c>
      <c r="B371" s="250" t="s">
        <v>317</v>
      </c>
      <c r="C371" s="29">
        <f>VLOOKUP($A371,'зарплата в цінах'!$A$2:$F$397,3)</f>
        <v>353.81</v>
      </c>
      <c r="D371" s="29">
        <f>VLOOKUP($A371,'зарплата в цінах'!$A$2:$F$397,4)</f>
        <v>67.41</v>
      </c>
      <c r="E371" s="29">
        <f>VLOOKUP($A371,'зарплата в цінах'!$A$2:$F$397,5)</f>
        <v>0</v>
      </c>
      <c r="F371" s="29">
        <f>VLOOKUP($A371,'зарплата в цінах'!$A$2:$F$397,6)</f>
        <v>218.92</v>
      </c>
    </row>
    <row r="372" spans="1:6" x14ac:dyDescent="0.3">
      <c r="A372" s="318">
        <v>150000898</v>
      </c>
      <c r="B372" s="250" t="s">
        <v>190</v>
      </c>
      <c r="C372" s="29">
        <f>VLOOKUP($A372,'зарплата в цінах'!$A$2:$F$397,3)</f>
        <v>64.86</v>
      </c>
      <c r="D372" s="29">
        <f>VLOOKUP($A372,'зарплата в цінах'!$A$2:$F$397,4)</f>
        <v>14.9</v>
      </c>
      <c r="E372" s="29">
        <f>VLOOKUP($A372,'зарплата в цінах'!$A$2:$F$397,5)</f>
        <v>0</v>
      </c>
      <c r="F372" s="29">
        <f>VLOOKUP($A372,'зарплата в цінах'!$A$2:$F$397,6)</f>
        <v>21.12</v>
      </c>
    </row>
    <row r="373" spans="1:6" x14ac:dyDescent="0.3">
      <c r="A373" s="318">
        <v>150000899</v>
      </c>
      <c r="B373" s="250" t="s">
        <v>402</v>
      </c>
      <c r="C373" s="29">
        <f>VLOOKUP($A373,'зарплата в цінах'!$A$2:$F$397,3)</f>
        <v>855.06</v>
      </c>
      <c r="D373" s="29">
        <f>VLOOKUP($A373,'зарплата в цінах'!$A$2:$F$397,4)</f>
        <v>139.65</v>
      </c>
      <c r="E373" s="29">
        <f>VLOOKUP($A373,'зарплата в цінах'!$A$2:$F$397,5)</f>
        <v>39.56</v>
      </c>
      <c r="F373" s="29">
        <f>VLOOKUP($A373,'зарплата в цінах'!$A$2:$F$397,6)</f>
        <v>302.81</v>
      </c>
    </row>
    <row r="374" spans="1:6" x14ac:dyDescent="0.3">
      <c r="A374" s="318">
        <v>150000900</v>
      </c>
      <c r="B374" s="250" t="s">
        <v>425</v>
      </c>
      <c r="C374" s="29">
        <f>VLOOKUP($A374,'зарплата в цінах'!$A$2:$F$397,3)</f>
        <v>379.95</v>
      </c>
      <c r="D374" s="29">
        <f>VLOOKUP($A374,'зарплата в цінах'!$A$2:$F$397,4)</f>
        <v>49.68</v>
      </c>
      <c r="E374" s="29">
        <f>VLOOKUP($A374,'зарплата в цінах'!$A$2:$F$397,5)</f>
        <v>26.97</v>
      </c>
      <c r="F374" s="29">
        <f>VLOOKUP($A374,'зарплата в цінах'!$A$2:$F$397,6)</f>
        <v>166.18</v>
      </c>
    </row>
    <row r="375" spans="1:6" x14ac:dyDescent="0.3">
      <c r="A375" s="318">
        <v>150000901</v>
      </c>
      <c r="B375" s="250" t="s">
        <v>424</v>
      </c>
      <c r="C375" s="29">
        <f>VLOOKUP($A375,'зарплата в цінах'!$A$2:$F$397,3)</f>
        <v>1152.4000000000001</v>
      </c>
      <c r="D375" s="29">
        <f>VLOOKUP($A375,'зарплата в цінах'!$A$2:$F$397,4)</f>
        <v>202.33</v>
      </c>
      <c r="E375" s="29">
        <f>VLOOKUP($A375,'зарплата в цінах'!$A$2:$F$397,5)</f>
        <v>56.34</v>
      </c>
      <c r="F375" s="29">
        <f>VLOOKUP($A375,'зарплата в цінах'!$A$2:$F$397,6)</f>
        <v>456.37</v>
      </c>
    </row>
    <row r="376" spans="1:6" x14ac:dyDescent="0.3">
      <c r="A376" s="318">
        <v>150000902</v>
      </c>
      <c r="B376" s="250" t="s">
        <v>403</v>
      </c>
      <c r="C376" s="29">
        <f>VLOOKUP($A376,'зарплата в цінах'!$A$2:$F$397,3)</f>
        <v>361.58</v>
      </c>
      <c r="D376" s="29">
        <f>VLOOKUP($A376,'зарплата в цінах'!$A$2:$F$397,4)</f>
        <v>92.14</v>
      </c>
      <c r="E376" s="29">
        <f>VLOOKUP($A376,'зарплата в цінах'!$A$2:$F$397,5)</f>
        <v>26.37</v>
      </c>
      <c r="F376" s="29">
        <f>VLOOKUP($A376,'зарплата в цінах'!$A$2:$F$397,6)</f>
        <v>286.27999999999997</v>
      </c>
    </row>
    <row r="377" spans="1:6" x14ac:dyDescent="0.3">
      <c r="A377" s="318">
        <v>150000903</v>
      </c>
      <c r="B377" s="250" t="s">
        <v>404</v>
      </c>
      <c r="C377" s="29">
        <f>VLOOKUP($A377,'зарплата в цінах'!$A$2:$F$397,3)</f>
        <v>364.16</v>
      </c>
      <c r="D377" s="29">
        <f>VLOOKUP($A377,'зарплата в цінах'!$A$2:$F$397,4)</f>
        <v>52.76</v>
      </c>
      <c r="E377" s="29">
        <f>VLOOKUP($A377,'зарплата в цінах'!$A$2:$F$397,5)</f>
        <v>26.37</v>
      </c>
      <c r="F377" s="29">
        <f>VLOOKUP($A377,'зарплата в цінах'!$A$2:$F$397,6)</f>
        <v>289.13</v>
      </c>
    </row>
    <row r="378" spans="1:6" x14ac:dyDescent="0.3">
      <c r="A378" s="318">
        <v>150000904</v>
      </c>
      <c r="B378" s="250" t="s">
        <v>405</v>
      </c>
      <c r="C378" s="29">
        <f>VLOOKUP($A378,'зарплата в цінах'!$A$2:$F$397,3)</f>
        <v>540.32000000000005</v>
      </c>
      <c r="D378" s="29">
        <f>VLOOKUP($A378,'зарплата в цінах'!$A$2:$F$397,4)</f>
        <v>93.33</v>
      </c>
      <c r="E378" s="29">
        <f>VLOOKUP($A378,'зарплата в цінах'!$A$2:$F$397,5)</f>
        <v>26.37</v>
      </c>
      <c r="F378" s="29">
        <f>VLOOKUP($A378,'зарплата в цінах'!$A$2:$F$397,6)</f>
        <v>189.53</v>
      </c>
    </row>
    <row r="379" spans="1:6" x14ac:dyDescent="0.3">
      <c r="A379" s="318">
        <v>150000905</v>
      </c>
      <c r="B379" s="250" t="s">
        <v>426</v>
      </c>
      <c r="C379" s="29">
        <f>VLOOKUP($A379,'зарплата в цінах'!$A$2:$F$397,3)</f>
        <v>392.29</v>
      </c>
      <c r="D379" s="29">
        <f>VLOOKUP($A379,'зарплата в цінах'!$A$2:$F$397,4)</f>
        <v>67.599999999999994</v>
      </c>
      <c r="E379" s="29">
        <f>VLOOKUP($A379,'зарплата в цінах'!$A$2:$F$397,5)</f>
        <v>26.97</v>
      </c>
      <c r="F379" s="29">
        <f>VLOOKUP($A379,'зарплата в цінах'!$A$2:$F$397,6)</f>
        <v>242.91</v>
      </c>
    </row>
    <row r="380" spans="1:6" x14ac:dyDescent="0.3">
      <c r="A380" s="318">
        <v>150000906</v>
      </c>
      <c r="B380" s="250" t="s">
        <v>406</v>
      </c>
      <c r="C380" s="29">
        <f>VLOOKUP($A380,'зарплата в цінах'!$A$2:$F$397,3)</f>
        <v>354.83</v>
      </c>
      <c r="D380" s="29">
        <f>VLOOKUP($A380,'зарплата в цінах'!$A$2:$F$397,4)</f>
        <v>91.98</v>
      </c>
      <c r="E380" s="29">
        <f>VLOOKUP($A380,'зарплата в цінах'!$A$2:$F$397,5)</f>
        <v>26.37</v>
      </c>
      <c r="F380" s="29">
        <f>VLOOKUP($A380,'зарплата в цінах'!$A$2:$F$397,6)</f>
        <v>285.32</v>
      </c>
    </row>
    <row r="381" spans="1:6" x14ac:dyDescent="0.3">
      <c r="A381" s="318">
        <v>150000907</v>
      </c>
      <c r="B381" s="250" t="s">
        <v>407</v>
      </c>
      <c r="C381" s="29">
        <f>VLOOKUP($A381,'зарплата в цінах'!$A$2:$F$397,3)</f>
        <v>848.84</v>
      </c>
      <c r="D381" s="29">
        <f>VLOOKUP($A381,'зарплата в цінах'!$A$2:$F$397,4)</f>
        <v>139.9</v>
      </c>
      <c r="E381" s="29">
        <f>VLOOKUP($A381,'зарплата в цінах'!$A$2:$F$397,5)</f>
        <v>39.56</v>
      </c>
      <c r="F381" s="29">
        <f>VLOOKUP($A381,'зарплата в цінах'!$A$2:$F$397,6)</f>
        <v>306.04000000000002</v>
      </c>
    </row>
    <row r="382" spans="1:6" x14ac:dyDescent="0.3">
      <c r="A382" s="318">
        <v>150000908</v>
      </c>
      <c r="B382" s="250" t="s">
        <v>408</v>
      </c>
      <c r="C382" s="29">
        <f>VLOOKUP($A382,'зарплата в цінах'!$A$2:$F$397,3)</f>
        <v>846.68</v>
      </c>
      <c r="D382" s="29">
        <f>VLOOKUP($A382,'зарплата в цінах'!$A$2:$F$397,4)</f>
        <v>140.18</v>
      </c>
      <c r="E382" s="29">
        <f>VLOOKUP($A382,'зарплата в цінах'!$A$2:$F$397,5)</f>
        <v>39.56</v>
      </c>
      <c r="F382" s="29">
        <f>VLOOKUP($A382,'зарплата в цінах'!$A$2:$F$397,6)</f>
        <v>308.33999999999997</v>
      </c>
    </row>
    <row r="383" spans="1:6" x14ac:dyDescent="0.3">
      <c r="A383" s="318">
        <v>150000909</v>
      </c>
      <c r="B383" s="250" t="s">
        <v>409</v>
      </c>
      <c r="C383" s="29">
        <f>VLOOKUP($A383,'зарплата в цінах'!$A$2:$F$397,3)</f>
        <v>845.8</v>
      </c>
      <c r="D383" s="29">
        <f>VLOOKUP($A383,'зарплата в цінах'!$A$2:$F$397,4)</f>
        <v>139.41</v>
      </c>
      <c r="E383" s="29">
        <f>VLOOKUP($A383,'зарплата в цінах'!$A$2:$F$397,5)</f>
        <v>39.56</v>
      </c>
      <c r="F383" s="29">
        <f>VLOOKUP($A383,'зарплата в цінах'!$A$2:$F$397,6)</f>
        <v>302.01</v>
      </c>
    </row>
    <row r="384" spans="1:6" x14ac:dyDescent="0.3">
      <c r="A384" s="318">
        <v>150000910</v>
      </c>
      <c r="B384" s="250" t="s">
        <v>410</v>
      </c>
      <c r="C384" s="29">
        <f>VLOOKUP($A384,'зарплата в цінах'!$A$2:$F$397,3)</f>
        <v>841.92</v>
      </c>
      <c r="D384" s="29">
        <f>VLOOKUP($A384,'зарплата в цінах'!$A$2:$F$397,4)</f>
        <v>139.65</v>
      </c>
      <c r="E384" s="29">
        <f>VLOOKUP($A384,'зарплата в цінах'!$A$2:$F$397,5)</f>
        <v>39.56</v>
      </c>
      <c r="F384" s="29">
        <f>VLOOKUP($A384,'зарплата в цінах'!$A$2:$F$397,6)</f>
        <v>304.02</v>
      </c>
    </row>
    <row r="385" spans="1:6" x14ac:dyDescent="0.3">
      <c r="A385" s="318">
        <v>150000911</v>
      </c>
      <c r="B385" s="250" t="s">
        <v>318</v>
      </c>
      <c r="C385" s="29">
        <f>VLOOKUP($A385,'зарплата в цінах'!$A$2:$F$397,3)</f>
        <v>676.71</v>
      </c>
      <c r="D385" s="29">
        <f>VLOOKUP($A385,'зарплата в цінах'!$A$2:$F$397,4)</f>
        <v>135.86000000000001</v>
      </c>
      <c r="E385" s="29">
        <f>VLOOKUP($A385,'зарплата в цінах'!$A$2:$F$397,5)</f>
        <v>67.73</v>
      </c>
      <c r="F385" s="29">
        <f>VLOOKUP($A385,'зарплата в цінах'!$A$2:$F$397,6)</f>
        <v>620.97</v>
      </c>
    </row>
    <row r="386" spans="1:6" x14ac:dyDescent="0.3">
      <c r="A386" s="318">
        <v>150000912</v>
      </c>
      <c r="B386" s="250" t="s">
        <v>319</v>
      </c>
      <c r="C386" s="29">
        <f>VLOOKUP($A386,'зарплата в цінах'!$A$2:$F$397,3)</f>
        <v>530.94000000000005</v>
      </c>
      <c r="D386" s="29">
        <f>VLOOKUP($A386,'зарплата в цінах'!$A$2:$F$397,4)</f>
        <v>102.01</v>
      </c>
      <c r="E386" s="29">
        <f>VLOOKUP($A386,'зарплата в цінах'!$A$2:$F$397,5)</f>
        <v>32.369999999999997</v>
      </c>
      <c r="F386" s="29">
        <f>VLOOKUP($A386,'зарплата в цінах'!$A$2:$F$397,6)</f>
        <v>397.71</v>
      </c>
    </row>
    <row r="387" spans="1:6" x14ac:dyDescent="0.3">
      <c r="A387" s="318">
        <v>150000913</v>
      </c>
      <c r="B387" s="250" t="s">
        <v>320</v>
      </c>
      <c r="C387" s="29">
        <f>VLOOKUP($A387,'зарплата в цінах'!$A$2:$F$397,3)</f>
        <v>352.38</v>
      </c>
      <c r="D387" s="29">
        <f>VLOOKUP($A387,'зарплата в цінах'!$A$2:$F$397,4)</f>
        <v>67.41</v>
      </c>
      <c r="E387" s="29">
        <f>VLOOKUP($A387,'зарплата в цінах'!$A$2:$F$397,5)</f>
        <v>32.369999999999997</v>
      </c>
      <c r="F387" s="29">
        <f>VLOOKUP($A387,'зарплата в цінах'!$A$2:$F$397,6)</f>
        <v>219.35</v>
      </c>
    </row>
    <row r="388" spans="1:6" x14ac:dyDescent="0.3">
      <c r="A388" s="318">
        <v>150000914</v>
      </c>
      <c r="B388" s="250" t="s">
        <v>321</v>
      </c>
      <c r="C388" s="29">
        <f>VLOOKUP($A388,'зарплата в цінах'!$A$2:$F$397,3)</f>
        <v>352.38</v>
      </c>
      <c r="D388" s="29">
        <f>VLOOKUP($A388,'зарплата в цінах'!$A$2:$F$397,4)</f>
        <v>67.41</v>
      </c>
      <c r="E388" s="29">
        <f>VLOOKUP($A388,'зарплата в цінах'!$A$2:$F$397,5)</f>
        <v>32.369999999999997</v>
      </c>
      <c r="F388" s="29">
        <f>VLOOKUP($A388,'зарплата в цінах'!$A$2:$F$397,6)</f>
        <v>219.35</v>
      </c>
    </row>
    <row r="389" spans="1:6" x14ac:dyDescent="0.3">
      <c r="A389" s="318">
        <v>150000915</v>
      </c>
      <c r="B389" s="250" t="s">
        <v>322</v>
      </c>
      <c r="C389" s="29">
        <f>VLOOKUP($A389,'зарплата в цінах'!$A$2:$F$397,3)</f>
        <v>352.34</v>
      </c>
      <c r="D389" s="29">
        <f>VLOOKUP($A389,'зарплата в цінах'!$A$2:$F$397,4)</f>
        <v>67.41</v>
      </c>
      <c r="E389" s="29">
        <f>VLOOKUP($A389,'зарплата в цінах'!$A$2:$F$397,5)</f>
        <v>32.369999999999997</v>
      </c>
      <c r="F389" s="29">
        <f>VLOOKUP($A389,'зарплата в цінах'!$A$2:$F$397,6)</f>
        <v>219.31</v>
      </c>
    </row>
    <row r="390" spans="1:6" x14ac:dyDescent="0.3">
      <c r="A390" s="318">
        <v>150000916</v>
      </c>
      <c r="B390" s="250" t="s">
        <v>323</v>
      </c>
      <c r="C390" s="29">
        <f>VLOOKUP($A390,'зарплата в цінах'!$A$2:$F$397,3)</f>
        <v>694.81</v>
      </c>
      <c r="D390" s="29">
        <f>VLOOKUP($A390,'зарплата в цінах'!$A$2:$F$397,4)</f>
        <v>135.81</v>
      </c>
      <c r="E390" s="29">
        <f>VLOOKUP($A390,'зарплата в цінах'!$A$2:$F$397,5)</f>
        <v>67.73</v>
      </c>
      <c r="F390" s="29">
        <f>VLOOKUP($A390,'зарплата в цінах'!$A$2:$F$397,6)</f>
        <v>625.1</v>
      </c>
    </row>
    <row r="391" spans="1:6" x14ac:dyDescent="0.3">
      <c r="A391" s="318">
        <v>150000917</v>
      </c>
      <c r="B391" s="250" t="s">
        <v>324</v>
      </c>
      <c r="C391" s="29">
        <f>VLOOKUP($A391,'зарплата в цінах'!$A$2:$F$397,3)</f>
        <v>531.76</v>
      </c>
      <c r="D391" s="29">
        <f>VLOOKUP($A391,'зарплата в цінах'!$A$2:$F$397,4)</f>
        <v>102.14</v>
      </c>
      <c r="E391" s="29">
        <f>VLOOKUP($A391,'зарплата в цінах'!$A$2:$F$397,5)</f>
        <v>43.76</v>
      </c>
      <c r="F391" s="29">
        <f>VLOOKUP($A391,'зарплата в цінах'!$A$2:$F$397,6)</f>
        <v>399.54</v>
      </c>
    </row>
    <row r="392" spans="1:6" x14ac:dyDescent="0.3">
      <c r="A392" s="318">
        <v>150000918</v>
      </c>
      <c r="B392" s="250" t="s">
        <v>325</v>
      </c>
      <c r="C392" s="29">
        <f>VLOOKUP($A392,'зарплата в цінах'!$A$2:$F$397,3)</f>
        <v>552.37</v>
      </c>
      <c r="D392" s="29">
        <f>VLOOKUP($A392,'зарплата в цінах'!$A$2:$F$397,4)</f>
        <v>114.92</v>
      </c>
      <c r="E392" s="29">
        <f>VLOOKUP($A392,'зарплата в цінах'!$A$2:$F$397,5)</f>
        <v>43.76</v>
      </c>
      <c r="F392" s="29">
        <f>VLOOKUP($A392,'зарплата в цінах'!$A$2:$F$397,6)</f>
        <v>410.55</v>
      </c>
    </row>
    <row r="393" spans="1:6" x14ac:dyDescent="0.3">
      <c r="A393" s="318">
        <v>150000919</v>
      </c>
      <c r="B393" s="250" t="s">
        <v>326</v>
      </c>
      <c r="C393" s="29">
        <f>VLOOKUP($A393,'зарплата в цінах'!$A$2:$F$397,3)</f>
        <v>556.15</v>
      </c>
      <c r="D393" s="29">
        <f>VLOOKUP($A393,'зарплата в цінах'!$A$2:$F$397,4)</f>
        <v>114.9</v>
      </c>
      <c r="E393" s="29">
        <f>VLOOKUP($A393,'зарплата в цінах'!$A$2:$F$397,5)</f>
        <v>43.76</v>
      </c>
      <c r="F393" s="29">
        <f>VLOOKUP($A393,'зарплата в цінах'!$A$2:$F$397,6)</f>
        <v>414.99</v>
      </c>
    </row>
    <row r="394" spans="1:6" x14ac:dyDescent="0.3">
      <c r="A394" s="318">
        <v>150000920</v>
      </c>
      <c r="B394" s="250" t="s">
        <v>327</v>
      </c>
      <c r="C394" s="29">
        <f>VLOOKUP($A394,'зарплата в цінах'!$A$2:$F$397,3)</f>
        <v>556.26</v>
      </c>
      <c r="D394" s="29">
        <f>VLOOKUP($A394,'зарплата в цінах'!$A$2:$F$397,4)</f>
        <v>114.92</v>
      </c>
      <c r="E394" s="29">
        <f>VLOOKUP($A394,'зарплата в цінах'!$A$2:$F$397,5)</f>
        <v>43.76</v>
      </c>
      <c r="F394" s="29">
        <f>VLOOKUP($A394,'зарплата в цінах'!$A$2:$F$397,6)</f>
        <v>415.35</v>
      </c>
    </row>
    <row r="395" spans="1:6" x14ac:dyDescent="0.3">
      <c r="A395" s="318">
        <v>150000921</v>
      </c>
      <c r="B395" s="250" t="s">
        <v>328</v>
      </c>
      <c r="C395" s="29">
        <f>VLOOKUP($A395,'зарплата в цінах'!$A$2:$F$397,3)</f>
        <v>730.68</v>
      </c>
      <c r="D395" s="29">
        <f>VLOOKUP($A395,'зарплата в цінах'!$A$2:$F$397,4)</f>
        <v>153.46</v>
      </c>
      <c r="E395" s="29">
        <f>VLOOKUP($A395,'зарплата в цінах'!$A$2:$F$397,5)</f>
        <v>67.73</v>
      </c>
      <c r="F395" s="29">
        <f>VLOOKUP($A395,'зарплата в цінах'!$A$2:$F$397,6)</f>
        <v>658.9</v>
      </c>
    </row>
    <row r="396" spans="1:6" x14ac:dyDescent="0.3">
      <c r="A396" s="318">
        <v>150000878</v>
      </c>
      <c r="B396" s="250" t="s">
        <v>236</v>
      </c>
      <c r="C396" s="29">
        <f>VLOOKUP($A396,'зарплата в цінах'!$A$2:$F$397,3)</f>
        <v>225.55</v>
      </c>
      <c r="D396" s="29">
        <f>VLOOKUP($A396,'зарплата в цінах'!$A$2:$F$397,4)</f>
        <v>37.21</v>
      </c>
      <c r="E396" s="29">
        <f>VLOOKUP($A396,'зарплата в цінах'!$A$2:$F$397,5)</f>
        <v>0</v>
      </c>
      <c r="F396" s="29">
        <f>VLOOKUP($A396,'зарплата в цінах'!$A$2:$F$397,6)</f>
        <v>151.97999999999999</v>
      </c>
    </row>
    <row r="397" spans="1:6" x14ac:dyDescent="0.3">
      <c r="A397" s="318">
        <v>150000879</v>
      </c>
      <c r="B397" s="250" t="s">
        <v>329</v>
      </c>
      <c r="C397" s="29">
        <f>VLOOKUP($A397,'зарплата в цінах'!$A$2:$F$397,3)</f>
        <v>434.67</v>
      </c>
      <c r="D397" s="29">
        <f>VLOOKUP($A397,'зарплата в цінах'!$A$2:$F$397,4)</f>
        <v>81.36</v>
      </c>
      <c r="E397" s="29">
        <f>VLOOKUP($A397,'зарплата в цінах'!$A$2:$F$397,5)</f>
        <v>0</v>
      </c>
      <c r="F397" s="29">
        <f>VLOOKUP($A397,'зарплата в цінах'!$A$2:$F$397,6)</f>
        <v>330.1</v>
      </c>
    </row>
    <row r="398" spans="1:6" x14ac:dyDescent="0.3">
      <c r="A398" s="318">
        <v>150000880</v>
      </c>
      <c r="B398" s="250" t="s">
        <v>237</v>
      </c>
      <c r="C398" s="29">
        <f>VLOOKUP($A398,'зарплата в цінах'!$A$2:$F$397,3)</f>
        <v>297.58999999999997</v>
      </c>
      <c r="D398" s="29">
        <f>VLOOKUP($A398,'зарплата в цінах'!$A$2:$F$397,4)</f>
        <v>57.59</v>
      </c>
      <c r="E398" s="29">
        <f>VLOOKUP($A398,'зарплата в цінах'!$A$2:$F$397,5)</f>
        <v>0</v>
      </c>
      <c r="F398" s="29">
        <f>VLOOKUP($A398,'зарплата в цінах'!$A$2:$F$397,6)</f>
        <v>233.51</v>
      </c>
    </row>
    <row r="399" spans="1:6" x14ac:dyDescent="0.3">
      <c r="A399" s="318">
        <v>150000881</v>
      </c>
      <c r="B399" s="250" t="s">
        <v>411</v>
      </c>
      <c r="C399" s="29">
        <f>VLOOKUP($A399,'зарплата в цінах'!$A$2:$F$397,3)</f>
        <v>228.81</v>
      </c>
      <c r="D399" s="29">
        <f>VLOOKUP($A399,'зарплата в цінах'!$A$2:$F$397,4)</f>
        <v>33.65</v>
      </c>
      <c r="E399" s="29">
        <f>VLOOKUP($A399,'зарплата в цінах'!$A$2:$F$397,5)</f>
        <v>13.19</v>
      </c>
      <c r="F399" s="29">
        <f>VLOOKUP($A399,'зарплата в цінах'!$A$2:$F$397,6)</f>
        <v>111.32</v>
      </c>
    </row>
    <row r="400" spans="1:6" x14ac:dyDescent="0.3">
      <c r="A400" s="318">
        <v>150000882</v>
      </c>
      <c r="B400" s="250" t="s">
        <v>330</v>
      </c>
      <c r="C400" s="29">
        <f>VLOOKUP($A400,'зарплата в цінах'!$A$2:$F$397,3)</f>
        <v>289.24</v>
      </c>
      <c r="D400" s="29">
        <f>VLOOKUP($A400,'зарплата в цінах'!$A$2:$F$397,4)</f>
        <v>59.03</v>
      </c>
      <c r="E400" s="29">
        <f>VLOOKUP($A400,'зарплата в цінах'!$A$2:$F$397,5)</f>
        <v>0</v>
      </c>
      <c r="F400" s="29">
        <f>VLOOKUP($A400,'зарплата в цінах'!$A$2:$F$397,6)</f>
        <v>178.2</v>
      </c>
    </row>
    <row r="401" spans="1:6" x14ac:dyDescent="0.3">
      <c r="A401" s="318">
        <v>150000883</v>
      </c>
      <c r="B401" s="250" t="s">
        <v>331</v>
      </c>
      <c r="C401" s="29">
        <f>VLOOKUP($A401,'зарплата в цінах'!$A$2:$F$397,3)</f>
        <v>207.5</v>
      </c>
      <c r="D401" s="29">
        <f>VLOOKUP($A401,'зарплата в цінах'!$A$2:$F$397,4)</f>
        <v>35.11</v>
      </c>
      <c r="E401" s="29">
        <f>VLOOKUP($A401,'зарплата в цінах'!$A$2:$F$397,5)</f>
        <v>0</v>
      </c>
      <c r="F401" s="29">
        <f>VLOOKUP($A401,'зарплата в цінах'!$A$2:$F$397,6)</f>
        <v>95.27</v>
      </c>
    </row>
    <row r="402" spans="1:6" x14ac:dyDescent="0.3">
      <c r="A402" s="318">
        <v>150000884</v>
      </c>
      <c r="B402" s="250" t="s">
        <v>332</v>
      </c>
      <c r="C402" s="29">
        <f>VLOOKUP($A402,'зарплата в цінах'!$A$2:$F$397,3)</f>
        <v>372.37</v>
      </c>
      <c r="D402" s="29">
        <f>VLOOKUP($A402,'зарплата в цінах'!$A$2:$F$397,4)</f>
        <v>77.34</v>
      </c>
      <c r="E402" s="29">
        <f>VLOOKUP($A402,'зарплата в цінах'!$A$2:$F$397,5)</f>
        <v>0</v>
      </c>
      <c r="F402" s="29">
        <f>VLOOKUP($A402,'зарплата в цінах'!$A$2:$F$397,6)</f>
        <v>236.59</v>
      </c>
    </row>
    <row r="403" spans="1:6" x14ac:dyDescent="0.3">
      <c r="A403" s="554">
        <v>150000885</v>
      </c>
      <c r="B403" s="426" t="s">
        <v>238</v>
      </c>
      <c r="C403" s="29">
        <f>VLOOKUP($A403,'зарплата в цінах'!$A$2:$F$397,3)</f>
        <v>178.98</v>
      </c>
      <c r="D403" s="29">
        <f>VLOOKUP($A403,'зарплата в цінах'!$A$2:$F$397,4)</f>
        <v>31.46</v>
      </c>
      <c r="E403" s="29">
        <f>VLOOKUP($A403,'зарплата в цінах'!$A$2:$F$397,5)</f>
        <v>0</v>
      </c>
      <c r="F403" s="29">
        <f>VLOOKUP($A403,'зарплата в цінах'!$A$2:$F$397,6)</f>
        <v>90.52</v>
      </c>
    </row>
    <row r="404" spans="1:6" x14ac:dyDescent="0.3">
      <c r="A404" s="555"/>
      <c r="B404" s="264" t="s">
        <v>824</v>
      </c>
      <c r="C404" s="556">
        <f>SUM(C9:C403)</f>
        <v>106563.89399999999</v>
      </c>
      <c r="D404" s="556">
        <f>SUM(D9:D403)</f>
        <v>20237.090000000004</v>
      </c>
      <c r="E404" s="556">
        <f>SUM(E9:E403)</f>
        <v>5378.93</v>
      </c>
      <c r="F404" s="556">
        <f>SUM(F9:F403)</f>
        <v>65163.959999999992</v>
      </c>
    </row>
    <row r="406" spans="1:6" x14ac:dyDescent="0.3">
      <c r="C406">
        <f>'зарплата в цінах'!C398</f>
        <v>106563.894</v>
      </c>
      <c r="D406">
        <f>'зарплата в цінах'!D398</f>
        <v>20237.090000000011</v>
      </c>
      <c r="E406">
        <f>'зарплата в цінах'!E398</f>
        <v>5378.9299999999957</v>
      </c>
      <c r="F406">
        <f>'зарплата в цінах'!F398</f>
        <v>65163.959999999992</v>
      </c>
    </row>
  </sheetData>
  <mergeCells count="2">
    <mergeCell ref="B7:B8"/>
    <mergeCell ref="C7:F7"/>
  </mergeCells>
  <conditionalFormatting sqref="A163">
    <cfRule type="duplicateValues" dxfId="1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rgb="FF9900FF"/>
  </sheetPr>
  <dimension ref="A1:T270"/>
  <sheetViews>
    <sheetView topLeftCell="A31" workbookViewId="0">
      <selection activeCell="S47" sqref="S47"/>
    </sheetView>
  </sheetViews>
  <sheetFormatPr defaultRowHeight="14.4" x14ac:dyDescent="0.3"/>
  <cols>
    <col min="1" max="1" width="46.5546875" customWidth="1"/>
    <col min="4" max="4" width="9.33203125" customWidth="1"/>
    <col min="5" max="5" width="9.6640625" customWidth="1"/>
    <col min="6" max="6" width="8.33203125" customWidth="1"/>
    <col min="8" max="8" width="8.109375" customWidth="1"/>
    <col min="9" max="9" width="8.33203125" customWidth="1"/>
    <col min="10" max="10" width="12" customWidth="1"/>
    <col min="11" max="11" width="8.6640625" customWidth="1"/>
    <col min="12" max="12" width="9" customWidth="1"/>
    <col min="13" max="13" width="11.109375" customWidth="1"/>
    <col min="14" max="15" width="10.5546875" customWidth="1"/>
    <col min="16" max="16" width="10.109375" customWidth="1"/>
    <col min="17" max="17" width="11.44140625" style="640" bestFit="1" customWidth="1"/>
    <col min="18" max="18" width="10.5546875" style="640" customWidth="1"/>
    <col min="19" max="19" width="12.33203125" style="640" customWidth="1"/>
    <col min="20" max="20" width="9.109375" style="586"/>
  </cols>
  <sheetData>
    <row r="1" spans="1:20" x14ac:dyDescent="0.3">
      <c r="A1" t="s">
        <v>0</v>
      </c>
      <c r="O1" s="626" t="str">
        <f>місяць!A2</f>
        <v>2024 рік</v>
      </c>
      <c r="P1" s="626">
        <v>2021</v>
      </c>
    </row>
    <row r="2" spans="1:20" ht="12" customHeight="1" x14ac:dyDescent="0.3"/>
    <row r="3" spans="1:20" ht="18" x14ac:dyDescent="0.35">
      <c r="A3" s="634" t="s">
        <v>1628</v>
      </c>
    </row>
    <row r="4" spans="1:20" ht="8.25" customHeight="1" thickBot="1" x14ac:dyDescent="0.35"/>
    <row r="5" spans="1:20" ht="16.5" customHeight="1" thickBot="1" x14ac:dyDescent="0.45">
      <c r="A5" s="1440" t="s">
        <v>1627</v>
      </c>
      <c r="B5" s="1455" t="s">
        <v>1584</v>
      </c>
      <c r="C5" s="1444"/>
      <c r="D5" s="1444"/>
      <c r="E5" s="1444"/>
      <c r="F5" s="1444"/>
      <c r="G5" s="1444"/>
      <c r="H5" s="1444"/>
      <c r="I5" s="1444"/>
      <c r="J5" s="1444"/>
      <c r="K5" s="1444"/>
      <c r="L5" s="1444"/>
      <c r="M5" s="1444"/>
      <c r="N5" s="1444"/>
      <c r="O5" s="1444"/>
      <c r="P5" s="1445"/>
    </row>
    <row r="6" spans="1:20" x14ac:dyDescent="0.3">
      <c r="A6" s="1453"/>
      <c r="B6" s="1446" t="s">
        <v>951</v>
      </c>
      <c r="C6" s="1447"/>
      <c r="D6" s="1448"/>
      <c r="E6" s="1456" t="s">
        <v>952</v>
      </c>
      <c r="F6" s="1447"/>
      <c r="G6" s="1457"/>
      <c r="H6" s="1446" t="s">
        <v>953</v>
      </c>
      <c r="I6" s="1447"/>
      <c r="J6" s="1448"/>
      <c r="K6" s="1456" t="s">
        <v>1599</v>
      </c>
      <c r="L6" s="1447"/>
      <c r="M6" s="1457"/>
      <c r="N6" s="1446" t="s">
        <v>957</v>
      </c>
      <c r="O6" s="1447"/>
      <c r="P6" s="1448"/>
    </row>
    <row r="7" spans="1:20" ht="15" thickBot="1" x14ac:dyDescent="0.35">
      <c r="A7" s="1454"/>
      <c r="B7" s="607" t="s">
        <v>1013</v>
      </c>
      <c r="C7" s="595" t="s">
        <v>440</v>
      </c>
      <c r="D7" s="596" t="s">
        <v>1109</v>
      </c>
      <c r="E7" s="602" t="s">
        <v>1013</v>
      </c>
      <c r="F7" s="595" t="s">
        <v>440</v>
      </c>
      <c r="G7" s="613" t="s">
        <v>1109</v>
      </c>
      <c r="H7" s="607" t="s">
        <v>1013</v>
      </c>
      <c r="I7" s="595" t="s">
        <v>440</v>
      </c>
      <c r="J7" s="596" t="s">
        <v>1109</v>
      </c>
      <c r="K7" s="602" t="s">
        <v>1013</v>
      </c>
      <c r="L7" s="595" t="s">
        <v>440</v>
      </c>
      <c r="M7" s="613" t="s">
        <v>1109</v>
      </c>
      <c r="N7" s="607" t="s">
        <v>1013</v>
      </c>
      <c r="O7" s="595" t="s">
        <v>440</v>
      </c>
      <c r="P7" s="596" t="s">
        <v>1109</v>
      </c>
    </row>
    <row r="8" spans="1:20" x14ac:dyDescent="0.3">
      <c r="A8" s="597" t="s">
        <v>1594</v>
      </c>
      <c r="B8" s="608"/>
      <c r="C8" s="593"/>
      <c r="D8" s="594"/>
      <c r="E8" s="603"/>
      <c r="F8" s="593"/>
      <c r="G8" s="614"/>
      <c r="H8" s="608"/>
      <c r="I8" s="593"/>
      <c r="J8" s="594"/>
      <c r="K8" s="603"/>
      <c r="L8" s="593"/>
      <c r="M8" s="614"/>
      <c r="N8" s="608"/>
      <c r="O8" s="593"/>
      <c r="P8" s="594"/>
    </row>
    <row r="9" spans="1:20" x14ac:dyDescent="0.3">
      <c r="A9" s="598" t="s">
        <v>1595</v>
      </c>
      <c r="B9" s="609">
        <v>41632</v>
      </c>
      <c r="C9" s="587">
        <f>'первичка 2'!D376+'первичка 2'!L376+'первичка 2'!Z376</f>
        <v>34680.305803577285</v>
      </c>
      <c r="D9" s="590">
        <f>C9-B9</f>
        <v>-6951.6941964227153</v>
      </c>
      <c r="E9" s="604">
        <v>9159</v>
      </c>
      <c r="F9" s="587">
        <f>'первичка 2'!E376+'первичка 2'!M376+'первичка 2'!AA376</f>
        <v>7239.9159689445487</v>
      </c>
      <c r="G9" s="615">
        <f>F9-E9</f>
        <v>-1919.0840310554513</v>
      </c>
      <c r="H9" s="609">
        <v>2423</v>
      </c>
      <c r="I9" s="587" t="e">
        <f>'первичка 2'!F376+'первичка 2'!G376+'первичка 2'!N376+'первичка 2'!AB376</f>
        <v>#REF!</v>
      </c>
      <c r="J9" s="590" t="e">
        <f>I9-H9</f>
        <v>#REF!</v>
      </c>
      <c r="K9" s="604">
        <v>0</v>
      </c>
      <c r="L9" s="587">
        <f>'первичка 2'!O376+'первичка 2'!AC376</f>
        <v>0</v>
      </c>
      <c r="M9" s="615">
        <f>L9-K9</f>
        <v>0</v>
      </c>
      <c r="N9" s="609">
        <f t="shared" ref="N9:O12" si="0">B9+E9+H9+K9</f>
        <v>53214</v>
      </c>
      <c r="O9" s="587" t="e">
        <f t="shared" si="0"/>
        <v>#REF!</v>
      </c>
      <c r="P9" s="590" t="e">
        <f>O9-N9</f>
        <v>#REF!</v>
      </c>
    </row>
    <row r="10" spans="1:20" x14ac:dyDescent="0.3">
      <c r="A10" s="598" t="s">
        <v>1596</v>
      </c>
      <c r="B10" s="609">
        <v>0</v>
      </c>
      <c r="C10" s="587">
        <v>0</v>
      </c>
      <c r="D10" s="590">
        <f>C10-B10</f>
        <v>0</v>
      </c>
      <c r="E10" s="604">
        <v>0</v>
      </c>
      <c r="F10" s="587">
        <v>0</v>
      </c>
      <c r="G10" s="615">
        <f>F10-E10</f>
        <v>0</v>
      </c>
      <c r="H10" s="609">
        <v>0</v>
      </c>
      <c r="I10" s="587">
        <v>0</v>
      </c>
      <c r="J10" s="590">
        <f>I10-H10</f>
        <v>0</v>
      </c>
      <c r="K10" s="604">
        <v>8223</v>
      </c>
      <c r="L10" s="587">
        <f>'первичка 2'!W376</f>
        <v>8223.8393333333333</v>
      </c>
      <c r="M10" s="615">
        <f>L10-K10</f>
        <v>0.83933333333334303</v>
      </c>
      <c r="N10" s="609">
        <f t="shared" si="0"/>
        <v>8223</v>
      </c>
      <c r="O10" s="587">
        <f t="shared" si="0"/>
        <v>8223.8393333333333</v>
      </c>
      <c r="P10" s="590">
        <f>O10-N10</f>
        <v>0.83933333333334303</v>
      </c>
    </row>
    <row r="11" spans="1:20" x14ac:dyDescent="0.3">
      <c r="A11" s="598" t="s">
        <v>1597</v>
      </c>
      <c r="B11" s="609">
        <v>0</v>
      </c>
      <c r="C11" s="587">
        <v>0</v>
      </c>
      <c r="D11" s="590">
        <f>C11-B11</f>
        <v>0</v>
      </c>
      <c r="E11" s="604">
        <v>0</v>
      </c>
      <c r="F11" s="587">
        <v>0</v>
      </c>
      <c r="G11" s="615">
        <f>F11-E11</f>
        <v>0</v>
      </c>
      <c r="H11" s="609">
        <v>0</v>
      </c>
      <c r="I11" s="587">
        <v>0</v>
      </c>
      <c r="J11" s="590">
        <f>I11-H11</f>
        <v>0</v>
      </c>
      <c r="K11" s="604">
        <v>41918</v>
      </c>
      <c r="L11" s="587">
        <f>'первичка 2'!T376</f>
        <v>41917.468333333338</v>
      </c>
      <c r="M11" s="615">
        <f>L11-K11</f>
        <v>-0.53166666666220408</v>
      </c>
      <c r="N11" s="609">
        <f t="shared" si="0"/>
        <v>41918</v>
      </c>
      <c r="O11" s="587">
        <f t="shared" si="0"/>
        <v>41917.468333333338</v>
      </c>
      <c r="P11" s="590">
        <f>O11-N11</f>
        <v>-0.53166666666220408</v>
      </c>
    </row>
    <row r="12" spans="1:20" x14ac:dyDescent="0.3">
      <c r="A12" s="598" t="s">
        <v>1598</v>
      </c>
      <c r="B12" s="609">
        <v>20965</v>
      </c>
      <c r="C12" s="587">
        <f>'первичка 2'!AH376</f>
        <v>17394.878829866215</v>
      </c>
      <c r="D12" s="590">
        <f>C12-B12</f>
        <v>-3570.1211701337852</v>
      </c>
      <c r="E12" s="604">
        <v>4612</v>
      </c>
      <c r="F12" s="587">
        <f>'первичка 2'!AI376</f>
        <v>3469.6815639678448</v>
      </c>
      <c r="G12" s="615">
        <f>F12-E12</f>
        <v>-1142.3184360321552</v>
      </c>
      <c r="H12" s="609">
        <v>6279</v>
      </c>
      <c r="I12" s="587" t="e">
        <f>'первичка 2'!AJ376+'первичка 2'!AK376</f>
        <v>#REF!</v>
      </c>
      <c r="J12" s="590" t="e">
        <f>I12-H12</f>
        <v>#REF!</v>
      </c>
      <c r="K12" s="604">
        <v>0</v>
      </c>
      <c r="L12" s="587">
        <f>'первичка 2'!AL376</f>
        <v>12040</v>
      </c>
      <c r="M12" s="615">
        <f>L12-K12</f>
        <v>12040</v>
      </c>
      <c r="N12" s="609">
        <f t="shared" si="0"/>
        <v>31856</v>
      </c>
      <c r="O12" s="587" t="e">
        <f t="shared" si="0"/>
        <v>#REF!</v>
      </c>
      <c r="P12" s="590" t="e">
        <f>O12-N12</f>
        <v>#REF!</v>
      </c>
    </row>
    <row r="13" spans="1:20" x14ac:dyDescent="0.3">
      <c r="A13" s="598" t="s">
        <v>1602</v>
      </c>
      <c r="B13" s="609"/>
      <c r="C13" s="587"/>
      <c r="D13" s="590"/>
      <c r="E13" s="604"/>
      <c r="F13" s="587"/>
      <c r="G13" s="615"/>
      <c r="H13" s="609"/>
      <c r="I13" s="587"/>
      <c r="J13" s="590"/>
      <c r="K13" s="604"/>
      <c r="L13" s="587"/>
      <c r="M13" s="615"/>
      <c r="N13" s="609"/>
      <c r="O13" s="587"/>
      <c r="P13" s="590"/>
    </row>
    <row r="14" spans="1:20" s="581" customFormat="1" x14ac:dyDescent="0.3">
      <c r="A14" s="599" t="s">
        <v>957</v>
      </c>
      <c r="B14" s="610">
        <f>SUM(B9:B12)</f>
        <v>62597</v>
      </c>
      <c r="C14" s="588">
        <f t="shared" ref="C14:O14" si="1">SUM(C9:C12)</f>
        <v>52075.184633443496</v>
      </c>
      <c r="D14" s="591">
        <f>C14-B14</f>
        <v>-10521.815366556504</v>
      </c>
      <c r="E14" s="605">
        <f t="shared" si="1"/>
        <v>13771</v>
      </c>
      <c r="F14" s="588">
        <f t="shared" si="1"/>
        <v>10709.597532912394</v>
      </c>
      <c r="G14" s="616">
        <f>F14-E14</f>
        <v>-3061.4024670876061</v>
      </c>
      <c r="H14" s="610">
        <f t="shared" si="1"/>
        <v>8702</v>
      </c>
      <c r="I14" s="588" t="e">
        <f t="shared" si="1"/>
        <v>#REF!</v>
      </c>
      <c r="J14" s="591" t="e">
        <f>I14-H14</f>
        <v>#REF!</v>
      </c>
      <c r="K14" s="605">
        <f t="shared" si="1"/>
        <v>50141</v>
      </c>
      <c r="L14" s="588">
        <f t="shared" si="1"/>
        <v>62181.307666666675</v>
      </c>
      <c r="M14" s="615">
        <f>L14-K14</f>
        <v>12040.307666666675</v>
      </c>
      <c r="N14" s="610">
        <f t="shared" si="1"/>
        <v>135211</v>
      </c>
      <c r="O14" s="588" t="e">
        <f t="shared" si="1"/>
        <v>#REF!</v>
      </c>
      <c r="P14" s="591" t="e">
        <f>O14-N14</f>
        <v>#REF!</v>
      </c>
      <c r="Q14" s="640"/>
      <c r="R14" s="640"/>
      <c r="S14" s="640"/>
      <c r="T14" s="586"/>
    </row>
    <row r="15" spans="1:20" x14ac:dyDescent="0.3">
      <c r="A15" s="598"/>
      <c r="B15" s="609"/>
      <c r="C15" s="587"/>
      <c r="D15" s="590"/>
      <c r="E15" s="604"/>
      <c r="F15" s="587"/>
      <c r="G15" s="615"/>
      <c r="H15" s="609"/>
      <c r="I15" s="587"/>
      <c r="J15" s="590"/>
      <c r="K15" s="604"/>
      <c r="L15" s="587"/>
      <c r="M15" s="615"/>
      <c r="N15" s="609"/>
      <c r="O15" s="587"/>
      <c r="P15" s="590"/>
    </row>
    <row r="16" spans="1:20" x14ac:dyDescent="0.3">
      <c r="A16" s="599" t="s">
        <v>1607</v>
      </c>
      <c r="B16" s="609"/>
      <c r="C16" s="587"/>
      <c r="D16" s="590"/>
      <c r="E16" s="604"/>
      <c r="F16" s="587"/>
      <c r="G16" s="615"/>
      <c r="H16" s="609"/>
      <c r="I16" s="587"/>
      <c r="J16" s="590"/>
      <c r="K16" s="605">
        <v>119063</v>
      </c>
      <c r="L16" s="588" t="e">
        <f>'первичка 2'!AT376</f>
        <v>#REF!</v>
      </c>
      <c r="M16" s="616" t="e">
        <f>L16-K16</f>
        <v>#REF!</v>
      </c>
      <c r="N16" s="610">
        <f>B16+E16+H16+K16</f>
        <v>119063</v>
      </c>
      <c r="O16" s="588" t="e">
        <f>C16+F16+I16+L16</f>
        <v>#REF!</v>
      </c>
      <c r="P16" s="591" t="e">
        <f>O16-N16</f>
        <v>#REF!</v>
      </c>
    </row>
    <row r="17" spans="1:20" x14ac:dyDescent="0.3">
      <c r="A17" s="598"/>
      <c r="B17" s="609"/>
      <c r="C17" s="587"/>
      <c r="D17" s="590"/>
      <c r="E17" s="604"/>
      <c r="F17" s="587"/>
      <c r="G17" s="615"/>
      <c r="H17" s="609"/>
      <c r="I17" s="587"/>
      <c r="J17" s="590"/>
      <c r="K17" s="604"/>
      <c r="L17" s="587"/>
      <c r="M17" s="615"/>
      <c r="N17" s="609"/>
      <c r="O17" s="587"/>
      <c r="P17" s="590"/>
    </row>
    <row r="18" spans="1:20" x14ac:dyDescent="0.3">
      <c r="A18" s="599" t="s">
        <v>926</v>
      </c>
      <c r="B18" s="609"/>
      <c r="C18" s="587"/>
      <c r="D18" s="590"/>
      <c r="E18" s="604"/>
      <c r="F18" s="587"/>
      <c r="G18" s="615"/>
      <c r="H18" s="609"/>
      <c r="I18" s="587"/>
      <c r="J18" s="590"/>
      <c r="K18" s="605">
        <v>205656</v>
      </c>
      <c r="L18" s="588">
        <f>'первичка 1'!Y370</f>
        <v>202711.79499999998</v>
      </c>
      <c r="M18" s="616">
        <f>L18-K18</f>
        <v>-2944.2050000000163</v>
      </c>
      <c r="N18" s="610">
        <f>B18+E18+H18+K18</f>
        <v>205656</v>
      </c>
      <c r="O18" s="588">
        <f>C18+F18+I18+L18</f>
        <v>202711.79499999998</v>
      </c>
      <c r="P18" s="591">
        <f>O18-N18</f>
        <v>-2944.2050000000163</v>
      </c>
    </row>
    <row r="19" spans="1:20" x14ac:dyDescent="0.3">
      <c r="A19" s="599" t="s">
        <v>927</v>
      </c>
      <c r="B19" s="609"/>
      <c r="C19" s="587"/>
      <c r="D19" s="590"/>
      <c r="E19" s="604"/>
      <c r="F19" s="587"/>
      <c r="G19" s="615"/>
      <c r="H19" s="609"/>
      <c r="I19" s="587"/>
      <c r="J19" s="590"/>
      <c r="K19" s="605">
        <v>4250</v>
      </c>
      <c r="L19" s="588">
        <f>'первичка 1'!AC370</f>
        <v>6431.5699999999988</v>
      </c>
      <c r="M19" s="616">
        <f>L19-K19</f>
        <v>2181.5699999999988</v>
      </c>
      <c r="N19" s="610">
        <f>B19+E19+H19+K19</f>
        <v>4250</v>
      </c>
      <c r="O19" s="588">
        <f>C19+F19+I19+L19</f>
        <v>6431.5699999999988</v>
      </c>
      <c r="P19" s="591">
        <f>O19-N19</f>
        <v>2181.5699999999988</v>
      </c>
    </row>
    <row r="20" spans="1:20" x14ac:dyDescent="0.3">
      <c r="A20" s="599"/>
      <c r="B20" s="609"/>
      <c r="C20" s="587"/>
      <c r="D20" s="590"/>
      <c r="E20" s="604"/>
      <c r="F20" s="587"/>
      <c r="G20" s="615"/>
      <c r="H20" s="609"/>
      <c r="I20" s="587"/>
      <c r="J20" s="590"/>
      <c r="K20" s="605"/>
      <c r="L20" s="588"/>
      <c r="M20" s="616"/>
      <c r="N20" s="610"/>
      <c r="O20" s="588"/>
      <c r="P20" s="591"/>
    </row>
    <row r="21" spans="1:20" x14ac:dyDescent="0.3">
      <c r="A21" s="599" t="s">
        <v>928</v>
      </c>
      <c r="B21" s="609"/>
      <c r="C21" s="587"/>
      <c r="D21" s="590"/>
      <c r="E21" s="604"/>
      <c r="F21" s="587"/>
      <c r="G21" s="615"/>
      <c r="H21" s="609"/>
      <c r="I21" s="587"/>
      <c r="J21" s="590"/>
      <c r="K21" s="605">
        <v>24537</v>
      </c>
      <c r="L21" s="588">
        <f>'первичка 1'!AL370</f>
        <v>30026.25</v>
      </c>
      <c r="M21" s="616">
        <f>L21-K21</f>
        <v>5489.25</v>
      </c>
      <c r="N21" s="610">
        <f>B21+E21+H21+K21</f>
        <v>24537</v>
      </c>
      <c r="O21" s="588">
        <f>C21+F21+I21+L21</f>
        <v>30026.25</v>
      </c>
      <c r="P21" s="591">
        <f>O21-N21</f>
        <v>5489.25</v>
      </c>
    </row>
    <row r="22" spans="1:20" x14ac:dyDescent="0.3">
      <c r="A22" s="598"/>
      <c r="B22" s="609"/>
      <c r="C22" s="587"/>
      <c r="D22" s="590"/>
      <c r="E22" s="604"/>
      <c r="F22" s="587"/>
      <c r="G22" s="615"/>
      <c r="H22" s="609"/>
      <c r="I22" s="587"/>
      <c r="J22" s="590"/>
      <c r="K22" s="604"/>
      <c r="L22" s="587"/>
      <c r="M22" s="615"/>
      <c r="N22" s="609"/>
      <c r="O22" s="587"/>
      <c r="P22" s="590"/>
    </row>
    <row r="23" spans="1:20" x14ac:dyDescent="0.3">
      <c r="A23" s="599" t="s">
        <v>1600</v>
      </c>
      <c r="B23" s="610">
        <f>55615+4675</f>
        <v>60290</v>
      </c>
      <c r="C23" s="588">
        <v>84493</v>
      </c>
      <c r="D23" s="591">
        <f>C23-B23</f>
        <v>24203</v>
      </c>
      <c r="E23" s="605">
        <f>12235+1029</f>
        <v>13264</v>
      </c>
      <c r="F23" s="588">
        <v>18334</v>
      </c>
      <c r="G23" s="616">
        <f>F23-E23</f>
        <v>5070</v>
      </c>
      <c r="H23" s="610">
        <v>76305</v>
      </c>
      <c r="I23" s="588">
        <v>47611</v>
      </c>
      <c r="J23" s="591">
        <f>I23-H23</f>
        <v>-28694</v>
      </c>
      <c r="K23" s="618">
        <f>223475+39855</f>
        <v>263330</v>
      </c>
      <c r="L23" s="588">
        <v>317088</v>
      </c>
      <c r="M23" s="616">
        <f>L23-K23</f>
        <v>53758</v>
      </c>
      <c r="N23" s="610">
        <f>B23+E23+H23+K23</f>
        <v>413189</v>
      </c>
      <c r="O23" s="588">
        <f>C23+F23+I23+L23</f>
        <v>467526</v>
      </c>
      <c r="P23" s="591">
        <f>O23-N23</f>
        <v>54337</v>
      </c>
    </row>
    <row r="24" spans="1:20" ht="9.75" customHeight="1" x14ac:dyDescent="0.3">
      <c r="A24" s="598"/>
      <c r="B24" s="609"/>
      <c r="C24" s="587"/>
      <c r="D24" s="590"/>
      <c r="E24" s="604"/>
      <c r="F24" s="587"/>
      <c r="G24" s="615"/>
      <c r="H24" s="609"/>
      <c r="I24" s="587"/>
      <c r="J24" s="590"/>
      <c r="K24" s="604"/>
      <c r="L24" s="587"/>
      <c r="M24" s="615"/>
      <c r="N24" s="609"/>
      <c r="O24" s="587"/>
      <c r="P24" s="590"/>
    </row>
    <row r="25" spans="1:20" x14ac:dyDescent="0.3">
      <c r="A25" s="599" t="s">
        <v>1601</v>
      </c>
      <c r="B25" s="609"/>
      <c r="C25" s="587"/>
      <c r="D25" s="590"/>
      <c r="E25" s="604"/>
      <c r="F25" s="587"/>
      <c r="G25" s="615"/>
      <c r="H25" s="609"/>
      <c r="I25" s="587"/>
      <c r="J25" s="590"/>
      <c r="K25" s="604"/>
      <c r="L25" s="587"/>
      <c r="M25" s="615"/>
      <c r="N25" s="609"/>
      <c r="O25" s="587"/>
      <c r="P25" s="590"/>
    </row>
    <row r="26" spans="1:20" x14ac:dyDescent="0.3">
      <c r="A26" s="598" t="s">
        <v>1595</v>
      </c>
      <c r="B26" s="609">
        <v>5308</v>
      </c>
      <c r="C26" s="587">
        <v>7593</v>
      </c>
      <c r="D26" s="590">
        <f t="shared" ref="D26:D31" si="2">C26-B26</f>
        <v>2285</v>
      </c>
      <c r="E26" s="604">
        <v>1167</v>
      </c>
      <c r="F26" s="587">
        <v>1670</v>
      </c>
      <c r="G26" s="615">
        <f t="shared" ref="G26:G31" si="3">F26-E26</f>
        <v>503</v>
      </c>
      <c r="H26" s="609">
        <v>6250</v>
      </c>
      <c r="I26" s="587">
        <v>15665</v>
      </c>
      <c r="J26" s="590">
        <f t="shared" ref="J26:J31" si="4">I26-H26</f>
        <v>9415</v>
      </c>
      <c r="K26" s="604">
        <v>0</v>
      </c>
      <c r="L26" s="587">
        <v>0</v>
      </c>
      <c r="M26" s="615">
        <f t="shared" ref="M26:M31" si="5">L26-K26</f>
        <v>0</v>
      </c>
      <c r="N26" s="609">
        <f t="shared" ref="N26:O30" si="6">B26+E26+H26+K26</f>
        <v>12725</v>
      </c>
      <c r="O26" s="587">
        <f t="shared" si="6"/>
        <v>24928</v>
      </c>
      <c r="P26" s="590">
        <f t="shared" ref="P26:P31" si="7">O26-N26</f>
        <v>12203</v>
      </c>
    </row>
    <row r="27" spans="1:20" x14ac:dyDescent="0.3">
      <c r="A27" s="598" t="s">
        <v>1596</v>
      </c>
      <c r="B27" s="609">
        <v>1122</v>
      </c>
      <c r="C27" s="587">
        <v>226</v>
      </c>
      <c r="D27" s="590">
        <f t="shared" si="2"/>
        <v>-896</v>
      </c>
      <c r="E27" s="604">
        <v>247</v>
      </c>
      <c r="F27" s="587">
        <v>50</v>
      </c>
      <c r="G27" s="615">
        <f t="shared" si="3"/>
        <v>-197</v>
      </c>
      <c r="H27" s="609">
        <v>862</v>
      </c>
      <c r="I27" s="587">
        <v>514</v>
      </c>
      <c r="J27" s="590">
        <f t="shared" si="4"/>
        <v>-348</v>
      </c>
      <c r="K27" s="604">
        <v>0</v>
      </c>
      <c r="L27" s="587">
        <v>0</v>
      </c>
      <c r="M27" s="615">
        <f t="shared" si="5"/>
        <v>0</v>
      </c>
      <c r="N27" s="609">
        <f t="shared" si="6"/>
        <v>2231</v>
      </c>
      <c r="O27" s="587">
        <f t="shared" si="6"/>
        <v>790</v>
      </c>
      <c r="P27" s="590">
        <f t="shared" si="7"/>
        <v>-1441</v>
      </c>
    </row>
    <row r="28" spans="1:20" x14ac:dyDescent="0.3">
      <c r="A28" s="598" t="s">
        <v>1597</v>
      </c>
      <c r="B28" s="609">
        <v>2799</v>
      </c>
      <c r="C28" s="587">
        <v>0</v>
      </c>
      <c r="D28" s="590">
        <f t="shared" si="2"/>
        <v>-2799</v>
      </c>
      <c r="E28" s="604">
        <v>616</v>
      </c>
      <c r="F28" s="587">
        <v>0</v>
      </c>
      <c r="G28" s="615">
        <f t="shared" si="3"/>
        <v>-616</v>
      </c>
      <c r="H28" s="609">
        <v>1776</v>
      </c>
      <c r="I28" s="587">
        <v>0</v>
      </c>
      <c r="J28" s="590">
        <f t="shared" si="4"/>
        <v>-1776</v>
      </c>
      <c r="K28" s="604">
        <v>0</v>
      </c>
      <c r="L28" s="587">
        <v>3070</v>
      </c>
      <c r="M28" s="615">
        <f t="shared" si="5"/>
        <v>3070</v>
      </c>
      <c r="N28" s="609">
        <f t="shared" si="6"/>
        <v>5191</v>
      </c>
      <c r="O28" s="587">
        <f t="shared" si="6"/>
        <v>3070</v>
      </c>
      <c r="P28" s="590">
        <f t="shared" si="7"/>
        <v>-2121</v>
      </c>
    </row>
    <row r="29" spans="1:20" x14ac:dyDescent="0.3">
      <c r="A29" s="598" t="s">
        <v>1598</v>
      </c>
      <c r="B29" s="609">
        <v>1617</v>
      </c>
      <c r="C29" s="587">
        <v>1890</v>
      </c>
      <c r="D29" s="590">
        <f t="shared" si="2"/>
        <v>273</v>
      </c>
      <c r="E29" s="604">
        <v>356</v>
      </c>
      <c r="F29" s="587">
        <v>416</v>
      </c>
      <c r="G29" s="615">
        <f t="shared" si="3"/>
        <v>60</v>
      </c>
      <c r="H29" s="609">
        <v>1420</v>
      </c>
      <c r="I29" s="587">
        <v>779</v>
      </c>
      <c r="J29" s="590">
        <f t="shared" si="4"/>
        <v>-641</v>
      </c>
      <c r="K29" s="604">
        <v>0</v>
      </c>
      <c r="L29" s="587">
        <v>0</v>
      </c>
      <c r="M29" s="615">
        <f t="shared" si="5"/>
        <v>0</v>
      </c>
      <c r="N29" s="609">
        <f t="shared" si="6"/>
        <v>3393</v>
      </c>
      <c r="O29" s="587">
        <f t="shared" si="6"/>
        <v>3085</v>
      </c>
      <c r="P29" s="590">
        <f t="shared" si="7"/>
        <v>-308</v>
      </c>
    </row>
    <row r="30" spans="1:20" x14ac:dyDescent="0.3">
      <c r="A30" s="598" t="s">
        <v>1602</v>
      </c>
      <c r="B30" s="609">
        <v>1330</v>
      </c>
      <c r="C30" s="587">
        <v>0</v>
      </c>
      <c r="D30" s="590">
        <f t="shared" si="2"/>
        <v>-1330</v>
      </c>
      <c r="E30" s="604">
        <v>292</v>
      </c>
      <c r="F30" s="587">
        <v>0</v>
      </c>
      <c r="G30" s="615">
        <f t="shared" si="3"/>
        <v>-292</v>
      </c>
      <c r="H30" s="609">
        <v>425</v>
      </c>
      <c r="I30" s="587">
        <v>0</v>
      </c>
      <c r="J30" s="590">
        <f t="shared" si="4"/>
        <v>-425</v>
      </c>
      <c r="K30" s="604">
        <v>0</v>
      </c>
      <c r="L30" s="587">
        <v>0</v>
      </c>
      <c r="M30" s="615">
        <f t="shared" si="5"/>
        <v>0</v>
      </c>
      <c r="N30" s="609">
        <f t="shared" si="6"/>
        <v>2047</v>
      </c>
      <c r="O30" s="587">
        <f t="shared" si="6"/>
        <v>0</v>
      </c>
      <c r="P30" s="590">
        <f t="shared" si="7"/>
        <v>-2047</v>
      </c>
    </row>
    <row r="31" spans="1:20" s="581" customFormat="1" x14ac:dyDescent="0.3">
      <c r="A31" s="599" t="s">
        <v>957</v>
      </c>
      <c r="B31" s="610">
        <f>SUM(B26:B30)</f>
        <v>12176</v>
      </c>
      <c r="C31" s="588">
        <f>SUM(C26:C30)</f>
        <v>9709</v>
      </c>
      <c r="D31" s="591">
        <f t="shared" si="2"/>
        <v>-2467</v>
      </c>
      <c r="E31" s="605">
        <f>SUM(E26:E30)</f>
        <v>2678</v>
      </c>
      <c r="F31" s="588">
        <f>SUM(F26:F30)</f>
        <v>2136</v>
      </c>
      <c r="G31" s="616">
        <f t="shared" si="3"/>
        <v>-542</v>
      </c>
      <c r="H31" s="610">
        <f>SUM(H26:H30)</f>
        <v>10733</v>
      </c>
      <c r="I31" s="588">
        <f>SUM(I26:I30)</f>
        <v>16958</v>
      </c>
      <c r="J31" s="591">
        <f t="shared" si="4"/>
        <v>6225</v>
      </c>
      <c r="K31" s="605">
        <f>SUM(K26:K30)</f>
        <v>0</v>
      </c>
      <c r="L31" s="588">
        <f>SUM(L26:L30)</f>
        <v>3070</v>
      </c>
      <c r="M31" s="616">
        <f t="shared" si="5"/>
        <v>3070</v>
      </c>
      <c r="N31" s="610">
        <f>SUM(N26:N30)</f>
        <v>25587</v>
      </c>
      <c r="O31" s="588">
        <f>SUM(O26:O30)</f>
        <v>31873</v>
      </c>
      <c r="P31" s="591">
        <f t="shared" si="7"/>
        <v>6286</v>
      </c>
      <c r="Q31" s="640"/>
      <c r="R31" s="640"/>
      <c r="S31" s="640"/>
      <c r="T31" s="586"/>
    </row>
    <row r="32" spans="1:20" ht="9" customHeight="1" x14ac:dyDescent="0.3">
      <c r="A32" s="598"/>
      <c r="B32" s="609"/>
      <c r="C32" s="587"/>
      <c r="D32" s="590"/>
      <c r="E32" s="604"/>
      <c r="F32" s="587"/>
      <c r="G32" s="615"/>
      <c r="H32" s="609"/>
      <c r="I32" s="587"/>
      <c r="J32" s="590"/>
      <c r="K32" s="604"/>
      <c r="L32" s="587"/>
      <c r="M32" s="615"/>
      <c r="N32" s="609"/>
      <c r="O32" s="587"/>
      <c r="P32" s="590"/>
    </row>
    <row r="33" spans="1:20" x14ac:dyDescent="0.3">
      <c r="A33" s="598"/>
      <c r="B33" s="609"/>
      <c r="C33" s="587"/>
      <c r="D33" s="590"/>
      <c r="E33" s="604"/>
      <c r="F33" s="587"/>
      <c r="G33" s="615"/>
      <c r="H33" s="609"/>
      <c r="I33" s="587"/>
      <c r="J33" s="590"/>
      <c r="K33" s="604"/>
      <c r="L33" s="587"/>
      <c r="M33" s="615"/>
      <c r="N33" s="609"/>
      <c r="O33" s="587"/>
      <c r="P33" s="590"/>
    </row>
    <row r="34" spans="1:20" s="581" customFormat="1" x14ac:dyDescent="0.3">
      <c r="A34" s="599" t="s">
        <v>14</v>
      </c>
      <c r="B34" s="610">
        <v>172511</v>
      </c>
      <c r="C34" s="588">
        <f>'первичка 1'!D370</f>
        <v>203224.07072812755</v>
      </c>
      <c r="D34" s="591">
        <f>C34-B34</f>
        <v>30713.070728127554</v>
      </c>
      <c r="E34" s="605">
        <v>37952</v>
      </c>
      <c r="F34" s="588">
        <f>'первичка 1'!E370</f>
        <v>44709.332897306835</v>
      </c>
      <c r="G34" s="616">
        <f>F34-E34</f>
        <v>6757.3328973068346</v>
      </c>
      <c r="H34" s="610">
        <v>20960</v>
      </c>
      <c r="I34" s="588">
        <f>'первичка 1'!F370</f>
        <v>11413.049999999996</v>
      </c>
      <c r="J34" s="591">
        <f>I34-H34</f>
        <v>-9546.9500000000044</v>
      </c>
      <c r="K34" s="605">
        <v>0</v>
      </c>
      <c r="L34" s="588">
        <f>'первичка 1'!G370</f>
        <v>0</v>
      </c>
      <c r="M34" s="616">
        <f>L34-K34</f>
        <v>0</v>
      </c>
      <c r="N34" s="610">
        <f>B34+E34+H34+K34</f>
        <v>231423</v>
      </c>
      <c r="O34" s="588">
        <f>C34+F34+I34+L34</f>
        <v>259346.45362543437</v>
      </c>
      <c r="P34" s="591">
        <f>O34-N34</f>
        <v>27923.453625434369</v>
      </c>
      <c r="Q34" s="640"/>
      <c r="R34" s="640"/>
      <c r="S34" s="640"/>
      <c r="T34" s="586"/>
    </row>
    <row r="35" spans="1:20" x14ac:dyDescent="0.3">
      <c r="A35" s="598"/>
      <c r="B35" s="609"/>
      <c r="C35" s="587"/>
      <c r="D35" s="590"/>
      <c r="E35" s="604"/>
      <c r="F35" s="587"/>
      <c r="G35" s="615"/>
      <c r="H35" s="609"/>
      <c r="I35" s="587"/>
      <c r="J35" s="590"/>
      <c r="K35" s="604"/>
      <c r="L35" s="587"/>
      <c r="M35" s="615"/>
      <c r="N35" s="609"/>
      <c r="O35" s="587"/>
      <c r="P35" s="590"/>
    </row>
    <row r="36" spans="1:20" s="581" customFormat="1" x14ac:dyDescent="0.3">
      <c r="A36" s="599" t="s">
        <v>1603</v>
      </c>
      <c r="B36" s="610">
        <v>95753</v>
      </c>
      <c r="C36" s="588">
        <f>'первичка 1'!L370</f>
        <v>117115.4808975698</v>
      </c>
      <c r="D36" s="591">
        <f>C36-B36</f>
        <v>21362.480897569796</v>
      </c>
      <c r="E36" s="605">
        <v>21066</v>
      </c>
      <c r="F36" s="588">
        <f>'первичка 1'!M370</f>
        <v>25765.284525568535</v>
      </c>
      <c r="G36" s="616">
        <f>F36-E36</f>
        <v>4699.2845255685352</v>
      </c>
      <c r="H36" s="610">
        <v>4079</v>
      </c>
      <c r="I36" s="588">
        <f>'первичка 1'!N370+'первичка 1'!O370</f>
        <v>8607.7929524720184</v>
      </c>
      <c r="J36" s="591">
        <f>I36-H36</f>
        <v>4528.7929524720184</v>
      </c>
      <c r="K36" s="605">
        <v>0</v>
      </c>
      <c r="L36" s="588">
        <v>0</v>
      </c>
      <c r="M36" s="616">
        <f>L36-K36</f>
        <v>0</v>
      </c>
      <c r="N36" s="610">
        <f>B36+E36+H36+K36</f>
        <v>120898</v>
      </c>
      <c r="O36" s="588">
        <f>C36+F36+I36+L36</f>
        <v>151488.55837561036</v>
      </c>
      <c r="P36" s="591">
        <f>O36-N36</f>
        <v>30590.558375610359</v>
      </c>
      <c r="Q36" s="640"/>
      <c r="R36" s="640"/>
      <c r="S36" s="640"/>
      <c r="T36" s="586"/>
    </row>
    <row r="37" spans="1:20" x14ac:dyDescent="0.3">
      <c r="A37" s="598"/>
      <c r="B37" s="609"/>
      <c r="C37" s="587"/>
      <c r="D37" s="590"/>
      <c r="E37" s="604"/>
      <c r="F37" s="587"/>
      <c r="G37" s="615"/>
      <c r="H37" s="609"/>
      <c r="I37" s="587"/>
      <c r="J37" s="590"/>
      <c r="K37" s="604"/>
      <c r="L37" s="587"/>
      <c r="M37" s="615"/>
      <c r="N37" s="609"/>
      <c r="O37" s="587"/>
      <c r="P37" s="590"/>
    </row>
    <row r="38" spans="1:20" s="581" customFormat="1" x14ac:dyDescent="0.3">
      <c r="A38" s="599" t="s">
        <v>959</v>
      </c>
      <c r="B38" s="610"/>
      <c r="C38" s="588"/>
      <c r="D38" s="591"/>
      <c r="E38" s="605"/>
      <c r="F38" s="588"/>
      <c r="G38" s="616"/>
      <c r="H38" s="610"/>
      <c r="I38" s="588"/>
      <c r="J38" s="591"/>
      <c r="K38" s="605">
        <v>7263</v>
      </c>
      <c r="L38" s="588">
        <f>'первичка 1'!S370</f>
        <v>7263.2999999999984</v>
      </c>
      <c r="M38" s="616">
        <f>L38-K38</f>
        <v>0.29999999999836291</v>
      </c>
      <c r="N38" s="610">
        <f>B38+E38+H38+K38</f>
        <v>7263</v>
      </c>
      <c r="O38" s="588">
        <f>C38+F38+I38+L38</f>
        <v>7263.2999999999984</v>
      </c>
      <c r="P38" s="591">
        <f>O38-N38</f>
        <v>0.29999999999836291</v>
      </c>
      <c r="Q38" s="640"/>
      <c r="R38" s="640"/>
      <c r="S38" s="640"/>
      <c r="T38" s="586"/>
    </row>
    <row r="39" spans="1:20" s="581" customFormat="1" x14ac:dyDescent="0.3">
      <c r="A39" s="599" t="s">
        <v>962</v>
      </c>
      <c r="B39" s="610"/>
      <c r="C39" s="588"/>
      <c r="D39" s="591"/>
      <c r="E39" s="605"/>
      <c r="F39" s="588"/>
      <c r="G39" s="616"/>
      <c r="H39" s="610"/>
      <c r="I39" s="588"/>
      <c r="J39" s="591"/>
      <c r="K39" s="605">
        <v>894</v>
      </c>
      <c r="L39" s="588">
        <f>'первичка 1'!V370</f>
        <v>0</v>
      </c>
      <c r="M39" s="616">
        <f>L39-K39</f>
        <v>-894</v>
      </c>
      <c r="N39" s="610">
        <f>B39+E39+H39+K39</f>
        <v>894</v>
      </c>
      <c r="O39" s="588">
        <f>C39+F39+I39+L39</f>
        <v>0</v>
      </c>
      <c r="P39" s="591">
        <f>O39-N39</f>
        <v>-894</v>
      </c>
      <c r="Q39" s="640"/>
      <c r="R39" s="640"/>
      <c r="S39" s="640"/>
      <c r="T39" s="586"/>
    </row>
    <row r="40" spans="1:20" x14ac:dyDescent="0.3">
      <c r="A40" s="598"/>
      <c r="B40" s="609"/>
      <c r="C40" s="587"/>
      <c r="D40" s="590"/>
      <c r="E40" s="604"/>
      <c r="F40" s="587"/>
      <c r="G40" s="615"/>
      <c r="H40" s="609"/>
      <c r="I40" s="587"/>
      <c r="J40" s="590"/>
      <c r="K40" s="604"/>
      <c r="L40" s="587"/>
      <c r="M40" s="615"/>
      <c r="N40" s="609"/>
      <c r="O40" s="587"/>
      <c r="P40" s="590"/>
    </row>
    <row r="41" spans="1:20" s="581" customFormat="1" x14ac:dyDescent="0.3">
      <c r="A41" s="599" t="s">
        <v>964</v>
      </c>
      <c r="B41" s="610"/>
      <c r="C41" s="588"/>
      <c r="D41" s="591"/>
      <c r="E41" s="605"/>
      <c r="F41" s="588"/>
      <c r="G41" s="616"/>
      <c r="H41" s="610"/>
      <c r="I41" s="588"/>
      <c r="J41" s="591"/>
      <c r="K41" s="605">
        <v>60373</v>
      </c>
      <c r="L41" s="588">
        <f>'первичка 1'!AF370</f>
        <v>51900.200000000004</v>
      </c>
      <c r="M41" s="616">
        <f>L41-K41</f>
        <v>-8472.7999999999956</v>
      </c>
      <c r="N41" s="610">
        <f>B41+E41+H41+K41</f>
        <v>60373</v>
      </c>
      <c r="O41" s="588">
        <f>C41+F41+I41+L41</f>
        <v>51900.200000000004</v>
      </c>
      <c r="P41" s="591">
        <f>O41-N41</f>
        <v>-8472.7999999999956</v>
      </c>
      <c r="Q41" s="640"/>
      <c r="R41" s="640"/>
      <c r="S41" s="640"/>
      <c r="T41" s="586"/>
    </row>
    <row r="42" spans="1:20" s="581" customFormat="1" x14ac:dyDescent="0.3">
      <c r="A42" s="599" t="s">
        <v>1604</v>
      </c>
      <c r="B42" s="610"/>
      <c r="C42" s="588"/>
      <c r="D42" s="611"/>
      <c r="E42" s="605"/>
      <c r="F42" s="588"/>
      <c r="G42" s="616"/>
      <c r="H42" s="610"/>
      <c r="I42" s="588"/>
      <c r="J42" s="591"/>
      <c r="K42" s="605">
        <v>46296</v>
      </c>
      <c r="L42" s="588">
        <f>'первичка 1'!AI370</f>
        <v>56247.399999999987</v>
      </c>
      <c r="M42" s="616">
        <f>L42-K42</f>
        <v>9951.3999999999869</v>
      </c>
      <c r="N42" s="610">
        <f>B42+E42+H42+K42</f>
        <v>46296</v>
      </c>
      <c r="O42" s="588">
        <f>C42+F42+I42+L42</f>
        <v>56247.399999999987</v>
      </c>
      <c r="P42" s="591">
        <f>O42-N42</f>
        <v>9951.3999999999869</v>
      </c>
      <c r="Q42" s="640"/>
      <c r="R42" s="640"/>
      <c r="S42" s="640"/>
      <c r="T42" s="586"/>
    </row>
    <row r="43" spans="1:20" x14ac:dyDescent="0.3">
      <c r="A43" s="598"/>
      <c r="B43" s="609"/>
      <c r="C43" s="587"/>
      <c r="D43" s="590"/>
      <c r="E43" s="604"/>
      <c r="F43" s="587"/>
      <c r="G43" s="615"/>
      <c r="H43" s="609"/>
      <c r="I43" s="587"/>
      <c r="J43" s="590"/>
      <c r="K43" s="604"/>
      <c r="L43" s="587"/>
      <c r="M43" s="615"/>
      <c r="N43" s="609"/>
      <c r="O43" s="587"/>
      <c r="P43" s="590"/>
    </row>
    <row r="44" spans="1:20" s="582" customFormat="1" ht="15.6" x14ac:dyDescent="0.3">
      <c r="A44" s="600" t="s">
        <v>1605</v>
      </c>
      <c r="B44" s="610">
        <f>B14+B18+B19+B21+B23+B31+B34+B36+B38+B39+B41+B42</f>
        <v>403327</v>
      </c>
      <c r="C44" s="588">
        <f>C14+C18+C19+C21+C23+C31+C34+C36+C38+C39+C41+C42</f>
        <v>466616.73625914083</v>
      </c>
      <c r="D44" s="591">
        <f>C44-B44</f>
        <v>63289.736259140831</v>
      </c>
      <c r="E44" s="605">
        <f>E14+E18+E19+E21+E23+E31+E34+E36+E38+E39+E41+E42</f>
        <v>88731</v>
      </c>
      <c r="F44" s="588">
        <f>F14+F18+F19+F21+F23+F31+F34+F36+F38+F39+F41+F42</f>
        <v>101654.21495578777</v>
      </c>
      <c r="G44" s="616">
        <f>F44-E44</f>
        <v>12923.214955787771</v>
      </c>
      <c r="H44" s="610">
        <f>H14+H18+H19+H21+H23+H31+H34+H36+H38+H39+H41+H42</f>
        <v>120779</v>
      </c>
      <c r="I44" s="588" t="e">
        <f>I14+I18+I19+I21+I23+I31+I34+I36+I38+I39+I41+I42</f>
        <v>#REF!</v>
      </c>
      <c r="J44" s="591" t="e">
        <f>I44-H44</f>
        <v>#REF!</v>
      </c>
      <c r="K44" s="605">
        <f>K14+K18+K19+K21+K23+K31+K34+K36+K38+K39+K41+K42+K16</f>
        <v>781803</v>
      </c>
      <c r="L44" s="588" t="e">
        <f>L14+L18+L19+L21+L23+L31+L34+L36+L38+L39+L41+L42+L16</f>
        <v>#REF!</v>
      </c>
      <c r="M44" s="616" t="e">
        <f>L44-K44</f>
        <v>#REF!</v>
      </c>
      <c r="N44" s="610">
        <f>N14+N18+N19+N21+N23+N31+N34+N36+N38+N39+N41+N42+N16</f>
        <v>1394640</v>
      </c>
      <c r="O44" s="588" t="e">
        <f>O14+O18+O19+O21+O23+O31+O34+O36+O38+O39+O41+O42+O16</f>
        <v>#REF!</v>
      </c>
      <c r="P44" s="591" t="e">
        <f>O44-N44</f>
        <v>#REF!</v>
      </c>
      <c r="Q44" s="640"/>
      <c r="R44" s="640"/>
      <c r="S44" s="640"/>
      <c r="T44" s="586"/>
    </row>
    <row r="45" spans="1:20" x14ac:dyDescent="0.3">
      <c r="A45" s="598"/>
      <c r="B45" s="612"/>
      <c r="C45" s="555"/>
      <c r="D45" s="592"/>
      <c r="E45" s="606"/>
      <c r="F45" s="555"/>
      <c r="G45" s="617"/>
      <c r="H45" s="612"/>
      <c r="I45" s="555"/>
      <c r="J45" s="592"/>
      <c r="K45" s="606"/>
      <c r="L45" s="555"/>
      <c r="M45" s="617"/>
      <c r="N45" s="612"/>
      <c r="O45" s="555"/>
      <c r="P45" s="592"/>
    </row>
    <row r="46" spans="1:20" s="581" customFormat="1" x14ac:dyDescent="0.3">
      <c r="A46" s="599" t="s">
        <v>1626</v>
      </c>
      <c r="B46" s="650">
        <v>72739</v>
      </c>
      <c r="C46" s="580">
        <f>75617+6805</f>
        <v>82422</v>
      </c>
      <c r="D46" s="638">
        <f>C46-B46</f>
        <v>9683</v>
      </c>
      <c r="E46" s="651">
        <v>15857</v>
      </c>
      <c r="F46" s="580">
        <f>16636+1497</f>
        <v>18133</v>
      </c>
      <c r="G46" s="639">
        <f>F46-E46</f>
        <v>2276</v>
      </c>
      <c r="H46" s="650">
        <v>17441</v>
      </c>
      <c r="I46" s="580">
        <f>169+3637+25+417+66+2338</f>
        <v>6652</v>
      </c>
      <c r="J46" s="638">
        <f>I46-H46</f>
        <v>-10789</v>
      </c>
      <c r="K46" s="651">
        <v>29650</v>
      </c>
      <c r="L46" s="580">
        <f>3310+8321+421+168+25191+2392+1430+1620+1700</f>
        <v>44553</v>
      </c>
      <c r="M46" s="639">
        <f>L46-K46</f>
        <v>14903</v>
      </c>
      <c r="N46" s="650">
        <f>135687</f>
        <v>135687</v>
      </c>
      <c r="O46" s="652">
        <f>C46+F46+I46+L46</f>
        <v>151760</v>
      </c>
      <c r="P46" s="638">
        <f>O46-N46</f>
        <v>16073</v>
      </c>
      <c r="Q46" s="640"/>
      <c r="R46" s="640"/>
      <c r="S46" s="640"/>
      <c r="T46" s="586"/>
    </row>
    <row r="47" spans="1:20" x14ac:dyDescent="0.3">
      <c r="A47" s="601" t="s">
        <v>1624</v>
      </c>
      <c r="B47" s="609"/>
      <c r="C47" s="587"/>
      <c r="D47" s="590"/>
      <c r="E47" s="604"/>
      <c r="F47" s="587"/>
      <c r="G47" s="615"/>
      <c r="H47" s="609"/>
      <c r="I47" s="587"/>
      <c r="J47" s="590"/>
      <c r="K47" s="604"/>
      <c r="L47" s="587"/>
      <c r="M47" s="615"/>
      <c r="N47" s="609">
        <f>31485</f>
        <v>31485</v>
      </c>
      <c r="O47" s="587">
        <f>C211</f>
        <v>30449.364747413016</v>
      </c>
      <c r="P47" s="590">
        <f>O47-N47</f>
        <v>-1035.6352525869843</v>
      </c>
    </row>
    <row r="48" spans="1:20" x14ac:dyDescent="0.3">
      <c r="A48" s="601" t="s">
        <v>1621</v>
      </c>
      <c r="B48" s="609"/>
      <c r="C48" s="587"/>
      <c r="D48" s="590"/>
      <c r="E48" s="604"/>
      <c r="F48" s="587"/>
      <c r="G48" s="615"/>
      <c r="H48" s="609"/>
      <c r="I48" s="587"/>
      <c r="J48" s="590"/>
      <c r="K48" s="604"/>
      <c r="L48" s="587"/>
      <c r="M48" s="615"/>
      <c r="N48" s="609">
        <v>121089</v>
      </c>
      <c r="O48" s="587">
        <f>C212</f>
        <v>91879.421327247794</v>
      </c>
      <c r="P48" s="590">
        <f>O48-N48</f>
        <v>-29209.578672752206</v>
      </c>
    </row>
    <row r="49" spans="1:17" customFormat="1" x14ac:dyDescent="0.3">
      <c r="A49" s="619" t="s">
        <v>1622</v>
      </c>
      <c r="B49" s="623"/>
      <c r="C49" s="624"/>
      <c r="D49" s="625"/>
      <c r="E49" s="631"/>
      <c r="F49" s="624"/>
      <c r="G49" s="648"/>
      <c r="H49" s="623"/>
      <c r="I49" s="624"/>
      <c r="J49" s="625"/>
      <c r="K49" s="631"/>
      <c r="L49" s="624"/>
      <c r="M49" s="648"/>
      <c r="N49" s="623">
        <v>52477</v>
      </c>
      <c r="O49" s="624">
        <f>C213</f>
        <v>54844.926645834443</v>
      </c>
      <c r="P49" s="625">
        <f>O49-N49</f>
        <v>2367.9266458344428</v>
      </c>
      <c r="Q49" s="640"/>
    </row>
    <row r="50" spans="1:17" customFormat="1" ht="15" thickBot="1" x14ac:dyDescent="0.35">
      <c r="A50" s="619" t="s">
        <v>1625</v>
      </c>
      <c r="B50" s="623"/>
      <c r="C50" s="624"/>
      <c r="D50" s="625"/>
      <c r="E50" s="631"/>
      <c r="F50" s="624"/>
      <c r="G50" s="648"/>
      <c r="H50" s="623"/>
      <c r="I50" s="624"/>
      <c r="J50" s="625"/>
      <c r="K50" s="631"/>
      <c r="L50" s="624"/>
      <c r="M50" s="648"/>
      <c r="N50" s="623"/>
      <c r="O50" s="624">
        <f>C214</f>
        <v>-8636</v>
      </c>
      <c r="P50" s="625"/>
      <c r="Q50" s="640"/>
    </row>
    <row r="51" spans="1:17" customFormat="1" ht="15" thickBot="1" x14ac:dyDescent="0.35">
      <c r="A51" s="630" t="s">
        <v>1623</v>
      </c>
      <c r="B51" s="653">
        <f>B44+B46</f>
        <v>476066</v>
      </c>
      <c r="C51" s="654">
        <f>C44+C46</f>
        <v>549038.73625914077</v>
      </c>
      <c r="D51" s="629">
        <f>C51-B51</f>
        <v>72972.736259140773</v>
      </c>
      <c r="E51" s="653">
        <f>E44+E46</f>
        <v>104588</v>
      </c>
      <c r="F51" s="654">
        <f>F44+F46</f>
        <v>119787.21495578777</v>
      </c>
      <c r="G51" s="629">
        <f>F51-E51</f>
        <v>15199.214955787771</v>
      </c>
      <c r="H51" s="653">
        <f>H44+H46</f>
        <v>138220</v>
      </c>
      <c r="I51" s="654" t="e">
        <f>I44+I46</f>
        <v>#REF!</v>
      </c>
      <c r="J51" s="629" t="e">
        <f>I51-H51</f>
        <v>#REF!</v>
      </c>
      <c r="K51" s="653">
        <f>K44+K46</f>
        <v>811453</v>
      </c>
      <c r="L51" s="654" t="e">
        <f>L44+L46</f>
        <v>#REF!</v>
      </c>
      <c r="M51" s="629" t="e">
        <f>L51-K51</f>
        <v>#REF!</v>
      </c>
      <c r="N51" s="655">
        <f>N44+N46+N47+N48+N49</f>
        <v>1735378</v>
      </c>
      <c r="O51" s="654" t="e">
        <f>O44+O46+O47+O48+O49+O50</f>
        <v>#REF!</v>
      </c>
      <c r="P51" s="629" t="e">
        <f>O51-N51</f>
        <v>#REF!</v>
      </c>
      <c r="Q51" s="649"/>
    </row>
    <row r="52" spans="1:17" customFormat="1" ht="15" thickBot="1" x14ac:dyDescent="0.35">
      <c r="P52" s="627" t="e">
        <f>O51/N51</f>
        <v>#REF!</v>
      </c>
      <c r="Q52" s="640"/>
    </row>
    <row r="54" spans="1:17" customFormat="1" ht="18.600000000000001" thickBot="1" x14ac:dyDescent="0.4">
      <c r="A54" s="634" t="str">
        <f>A3</f>
        <v>Фактичні витрати з утримання будинків і прибудинкової території</v>
      </c>
      <c r="O54" s="626" t="str">
        <f>O1</f>
        <v>2024 рік</v>
      </c>
      <c r="P54" s="626">
        <f>P1</f>
        <v>2021</v>
      </c>
      <c r="Q54" s="640"/>
    </row>
    <row r="55" spans="1:17" customFormat="1" ht="21.6" thickBot="1" x14ac:dyDescent="0.45">
      <c r="A55" s="1440" t="s">
        <v>1627</v>
      </c>
      <c r="B55" s="1443" t="s">
        <v>1585</v>
      </c>
      <c r="C55" s="1444"/>
      <c r="D55" s="1444"/>
      <c r="E55" s="1444"/>
      <c r="F55" s="1444"/>
      <c r="G55" s="1444"/>
      <c r="H55" s="1444"/>
      <c r="I55" s="1444"/>
      <c r="J55" s="1444"/>
      <c r="K55" s="1444"/>
      <c r="L55" s="1444"/>
      <c r="M55" s="1444"/>
      <c r="N55" s="1444"/>
      <c r="O55" s="1444"/>
      <c r="P55" s="1445"/>
      <c r="Q55" s="640"/>
    </row>
    <row r="56" spans="1:17" customFormat="1" x14ac:dyDescent="0.3">
      <c r="A56" s="1441"/>
      <c r="B56" s="1446" t="s">
        <v>951</v>
      </c>
      <c r="C56" s="1447"/>
      <c r="D56" s="1448"/>
      <c r="E56" s="1449" t="s">
        <v>952</v>
      </c>
      <c r="F56" s="1450"/>
      <c r="G56" s="1451"/>
      <c r="H56" s="1446" t="s">
        <v>953</v>
      </c>
      <c r="I56" s="1447"/>
      <c r="J56" s="1448"/>
      <c r="K56" s="1446" t="s">
        <v>1599</v>
      </c>
      <c r="L56" s="1447"/>
      <c r="M56" s="1448"/>
      <c r="N56" s="1446" t="s">
        <v>957</v>
      </c>
      <c r="O56" s="1447"/>
      <c r="P56" s="1448"/>
      <c r="Q56" s="640"/>
    </row>
    <row r="57" spans="1:17" customFormat="1" ht="15" thickBot="1" x14ac:dyDescent="0.35">
      <c r="A57" s="1442"/>
      <c r="B57" s="607" t="s">
        <v>1013</v>
      </c>
      <c r="C57" s="595" t="s">
        <v>440</v>
      </c>
      <c r="D57" s="596" t="s">
        <v>1109</v>
      </c>
      <c r="E57" s="602" t="s">
        <v>1013</v>
      </c>
      <c r="F57" s="595" t="s">
        <v>440</v>
      </c>
      <c r="G57" s="613" t="s">
        <v>1109</v>
      </c>
      <c r="H57" s="607" t="s">
        <v>1013</v>
      </c>
      <c r="I57" s="595" t="s">
        <v>440</v>
      </c>
      <c r="J57" s="596" t="s">
        <v>1109</v>
      </c>
      <c r="K57" s="607" t="s">
        <v>1013</v>
      </c>
      <c r="L57" s="595" t="s">
        <v>440</v>
      </c>
      <c r="M57" s="596" t="s">
        <v>1109</v>
      </c>
      <c r="N57" s="607" t="s">
        <v>1013</v>
      </c>
      <c r="O57" s="595" t="s">
        <v>440</v>
      </c>
      <c r="P57" s="596" t="s">
        <v>1109</v>
      </c>
      <c r="Q57" s="640"/>
    </row>
    <row r="58" spans="1:17" customFormat="1" x14ac:dyDescent="0.3">
      <c r="A58" s="597" t="s">
        <v>1594</v>
      </c>
      <c r="B58" s="608"/>
      <c r="C58" s="593"/>
      <c r="D58" s="594"/>
      <c r="E58" s="603"/>
      <c r="F58" s="593"/>
      <c r="G58" s="614"/>
      <c r="H58" s="608"/>
      <c r="I58" s="593"/>
      <c r="J58" s="594"/>
      <c r="K58" s="608"/>
      <c r="L58" s="593"/>
      <c r="M58" s="594"/>
      <c r="N58" s="608"/>
      <c r="O58" s="593"/>
      <c r="P58" s="594"/>
      <c r="Q58" s="640"/>
    </row>
    <row r="59" spans="1:17" customFormat="1" x14ac:dyDescent="0.3">
      <c r="A59" s="598" t="s">
        <v>1595</v>
      </c>
      <c r="B59" s="609">
        <v>46884</v>
      </c>
      <c r="C59" s="587">
        <f>'первичка 2'!D377+'первичка 2'!L377+'первичка 2'!Z377</f>
        <v>52464.519123688289</v>
      </c>
      <c r="D59" s="590">
        <f>C59-B59</f>
        <v>5580.5191236882893</v>
      </c>
      <c r="E59" s="604">
        <v>10315</v>
      </c>
      <c r="F59" s="587">
        <f>'первичка 2'!E377+'первичка 2'!M377+'первичка 2'!AA377</f>
        <v>10952.123687085235</v>
      </c>
      <c r="G59" s="615">
        <f>F59-E59</f>
        <v>637.12368708523536</v>
      </c>
      <c r="H59" s="609">
        <v>2986</v>
      </c>
      <c r="I59" s="587" t="e">
        <f>'первичка 2'!F377+'первичка 2'!G377+'первичка 2'!N377+'первичка 2'!AB377</f>
        <v>#REF!</v>
      </c>
      <c r="J59" s="590" t="e">
        <f>I59-H59</f>
        <v>#REF!</v>
      </c>
      <c r="K59" s="609">
        <v>0</v>
      </c>
      <c r="L59" s="587">
        <f>'первичка 2'!O377+'первичка 2'!AC377</f>
        <v>0</v>
      </c>
      <c r="M59" s="590">
        <f>L59-K59</f>
        <v>0</v>
      </c>
      <c r="N59" s="609">
        <f t="shared" ref="N59:O62" si="8">B59+E59+H59+K59</f>
        <v>60185</v>
      </c>
      <c r="O59" s="587" t="e">
        <f t="shared" si="8"/>
        <v>#REF!</v>
      </c>
      <c r="P59" s="590" t="e">
        <f>O59-N59</f>
        <v>#REF!</v>
      </c>
      <c r="Q59" s="640"/>
    </row>
    <row r="60" spans="1:17" customFormat="1" x14ac:dyDescent="0.3">
      <c r="A60" s="598" t="s">
        <v>1596</v>
      </c>
      <c r="B60" s="609">
        <v>0</v>
      </c>
      <c r="C60" s="587">
        <v>0</v>
      </c>
      <c r="D60" s="590">
        <f>C60-B60</f>
        <v>0</v>
      </c>
      <c r="E60" s="604">
        <v>0</v>
      </c>
      <c r="F60" s="587">
        <v>0</v>
      </c>
      <c r="G60" s="615">
        <f>F60-E60</f>
        <v>0</v>
      </c>
      <c r="H60" s="609">
        <v>0</v>
      </c>
      <c r="I60" s="587">
        <v>0</v>
      </c>
      <c r="J60" s="590">
        <f>I60-H60</f>
        <v>0</v>
      </c>
      <c r="K60" s="609">
        <v>2852</v>
      </c>
      <c r="L60" s="587">
        <f>'первичка 2'!W377</f>
        <v>2852.7999999999997</v>
      </c>
      <c r="M60" s="590">
        <f>L60-K60</f>
        <v>0.79999999999972715</v>
      </c>
      <c r="N60" s="609">
        <f t="shared" si="8"/>
        <v>2852</v>
      </c>
      <c r="O60" s="587">
        <f t="shared" si="8"/>
        <v>2852.7999999999997</v>
      </c>
      <c r="P60" s="590">
        <f>O60-N60</f>
        <v>0.79999999999972715</v>
      </c>
      <c r="Q60" s="640"/>
    </row>
    <row r="61" spans="1:17" customFormat="1" x14ac:dyDescent="0.3">
      <c r="A61" s="598" t="s">
        <v>1597</v>
      </c>
      <c r="B61" s="609">
        <v>0</v>
      </c>
      <c r="C61" s="587">
        <v>0</v>
      </c>
      <c r="D61" s="590">
        <f>C61-B61</f>
        <v>0</v>
      </c>
      <c r="E61" s="604">
        <v>0</v>
      </c>
      <c r="F61" s="587">
        <v>0</v>
      </c>
      <c r="G61" s="615">
        <f>F61-E61</f>
        <v>0</v>
      </c>
      <c r="H61" s="609">
        <v>0</v>
      </c>
      <c r="I61" s="587">
        <v>0</v>
      </c>
      <c r="J61" s="590">
        <f>I61-H61</f>
        <v>0</v>
      </c>
      <c r="K61" s="609">
        <v>39450</v>
      </c>
      <c r="L61" s="587">
        <f>'первичка 2'!T377</f>
        <v>39450.693000000007</v>
      </c>
      <c r="M61" s="590">
        <f>L61-K61</f>
        <v>0.69300000000657747</v>
      </c>
      <c r="N61" s="609">
        <f t="shared" si="8"/>
        <v>39450</v>
      </c>
      <c r="O61" s="587">
        <f t="shared" si="8"/>
        <v>39450.693000000007</v>
      </c>
      <c r="P61" s="590">
        <f>O61-N61</f>
        <v>0.69300000000657747</v>
      </c>
      <c r="Q61" s="640"/>
    </row>
    <row r="62" spans="1:17" customFormat="1" x14ac:dyDescent="0.3">
      <c r="A62" s="598" t="s">
        <v>1598</v>
      </c>
      <c r="B62" s="609">
        <v>23523</v>
      </c>
      <c r="C62" s="587">
        <f>'первичка 2'!AH377</f>
        <v>24390.630241513842</v>
      </c>
      <c r="D62" s="590">
        <f>C62-B62</f>
        <v>867.63024151384161</v>
      </c>
      <c r="E62" s="604">
        <v>5175</v>
      </c>
      <c r="F62" s="587">
        <f>'первичка 2'!AI377</f>
        <v>4865.0939687625296</v>
      </c>
      <c r="G62" s="615">
        <f>F62-E62</f>
        <v>-309.90603123747042</v>
      </c>
      <c r="H62" s="609">
        <v>5671</v>
      </c>
      <c r="I62" s="587" t="e">
        <f>'первичка 2'!AJ377+'первичка 2'!AK377</f>
        <v>#REF!</v>
      </c>
      <c r="J62" s="590" t="e">
        <f>I62-H62</f>
        <v>#REF!</v>
      </c>
      <c r="K62" s="609">
        <v>0</v>
      </c>
      <c r="L62" s="587">
        <f>'первичка 2'!AL377</f>
        <v>8295.65</v>
      </c>
      <c r="M62" s="590">
        <f>L62-K62</f>
        <v>8295.65</v>
      </c>
      <c r="N62" s="609">
        <f t="shared" si="8"/>
        <v>34369</v>
      </c>
      <c r="O62" s="587" t="e">
        <f t="shared" si="8"/>
        <v>#REF!</v>
      </c>
      <c r="P62" s="590" t="e">
        <f>O62-N62</f>
        <v>#REF!</v>
      </c>
      <c r="Q62" s="640"/>
    </row>
    <row r="63" spans="1:17" customFormat="1" x14ac:dyDescent="0.3">
      <c r="A63" s="598" t="s">
        <v>1602</v>
      </c>
      <c r="B63" s="609"/>
      <c r="C63" s="587"/>
      <c r="D63" s="590"/>
      <c r="E63" s="604"/>
      <c r="F63" s="587"/>
      <c r="G63" s="615"/>
      <c r="H63" s="609"/>
      <c r="I63" s="587"/>
      <c r="J63" s="590"/>
      <c r="K63" s="609"/>
      <c r="L63" s="587">
        <f>'первичка 2'!AQ377</f>
        <v>0</v>
      </c>
      <c r="M63" s="590"/>
      <c r="N63" s="609"/>
      <c r="O63" s="587">
        <f>C63+F63+I63+L63</f>
        <v>0</v>
      </c>
      <c r="P63" s="590"/>
      <c r="Q63" s="640"/>
    </row>
    <row r="64" spans="1:17" customFormat="1" x14ac:dyDescent="0.3">
      <c r="A64" s="599" t="s">
        <v>957</v>
      </c>
      <c r="B64" s="610">
        <f>SUM(B59:B62)</f>
        <v>70407</v>
      </c>
      <c r="C64" s="588">
        <f>SUM(C59:C62)</f>
        <v>76855.149365202131</v>
      </c>
      <c r="D64" s="591">
        <f>C64-B64</f>
        <v>6448.1493652021309</v>
      </c>
      <c r="E64" s="605">
        <f>SUM(E59:E62)</f>
        <v>15490</v>
      </c>
      <c r="F64" s="588">
        <f>SUM(F59:F62)</f>
        <v>15817.217655847766</v>
      </c>
      <c r="G64" s="616">
        <f>F64-E64</f>
        <v>327.21765584776585</v>
      </c>
      <c r="H64" s="610">
        <f>SUM(H59:H62)</f>
        <v>8657</v>
      </c>
      <c r="I64" s="588" t="e">
        <f>SUM(I59:I62)</f>
        <v>#REF!</v>
      </c>
      <c r="J64" s="591" t="e">
        <f>I64-H64</f>
        <v>#REF!</v>
      </c>
      <c r="K64" s="610">
        <f>SUM(K59:K62)</f>
        <v>42302</v>
      </c>
      <c r="L64" s="588">
        <f>SUM(L59:L63)</f>
        <v>50599.143000000011</v>
      </c>
      <c r="M64" s="590">
        <f>L64-K64</f>
        <v>8297.1430000000109</v>
      </c>
      <c r="N64" s="610">
        <f>SUM(N59:N62)</f>
        <v>136856</v>
      </c>
      <c r="O64" s="588" t="e">
        <f>SUM(O59:O63)</f>
        <v>#REF!</v>
      </c>
      <c r="P64" s="591" t="e">
        <f>O64-N64</f>
        <v>#REF!</v>
      </c>
      <c r="Q64" s="640"/>
    </row>
    <row r="65" spans="1:17" customFormat="1" x14ac:dyDescent="0.3">
      <c r="A65" s="598"/>
      <c r="B65" s="609"/>
      <c r="C65" s="587"/>
      <c r="D65" s="590"/>
      <c r="E65" s="604"/>
      <c r="F65" s="587"/>
      <c r="G65" s="615"/>
      <c r="H65" s="609"/>
      <c r="I65" s="587"/>
      <c r="J65" s="590"/>
      <c r="K65" s="609"/>
      <c r="L65" s="587"/>
      <c r="M65" s="590"/>
      <c r="N65" s="609"/>
      <c r="O65" s="587"/>
      <c r="P65" s="590"/>
      <c r="Q65" s="640"/>
    </row>
    <row r="66" spans="1:17" customFormat="1" x14ac:dyDescent="0.3">
      <c r="A66" s="599" t="s">
        <v>1607</v>
      </c>
      <c r="B66" s="609"/>
      <c r="C66" s="587"/>
      <c r="D66" s="590"/>
      <c r="E66" s="604"/>
      <c r="F66" s="587"/>
      <c r="G66" s="615"/>
      <c r="H66" s="609"/>
      <c r="I66" s="587"/>
      <c r="J66" s="590"/>
      <c r="K66" s="610">
        <v>125798</v>
      </c>
      <c r="L66" s="588" t="e">
        <f>'первичка 2'!AT377</f>
        <v>#REF!</v>
      </c>
      <c r="M66" s="591" t="e">
        <f>L66-K66</f>
        <v>#REF!</v>
      </c>
      <c r="N66" s="610">
        <f>B66+E66+H66+K66</f>
        <v>125798</v>
      </c>
      <c r="O66" s="588" t="e">
        <f>C66+F66+I66+L66</f>
        <v>#REF!</v>
      </c>
      <c r="P66" s="591" t="e">
        <f>O66-N66</f>
        <v>#REF!</v>
      </c>
      <c r="Q66" s="640"/>
    </row>
    <row r="67" spans="1:17" customFormat="1" x14ac:dyDescent="0.3">
      <c r="A67" s="598"/>
      <c r="B67" s="609"/>
      <c r="C67" s="587"/>
      <c r="D67" s="590"/>
      <c r="E67" s="604"/>
      <c r="F67" s="587"/>
      <c r="G67" s="615"/>
      <c r="H67" s="609"/>
      <c r="I67" s="587"/>
      <c r="J67" s="590"/>
      <c r="K67" s="609"/>
      <c r="L67" s="587"/>
      <c r="M67" s="590"/>
      <c r="N67" s="609"/>
      <c r="O67" s="587"/>
      <c r="P67" s="590"/>
      <c r="Q67" s="640"/>
    </row>
    <row r="68" spans="1:17" customFormat="1" x14ac:dyDescent="0.3">
      <c r="A68" s="599" t="s">
        <v>926</v>
      </c>
      <c r="B68" s="609"/>
      <c r="C68" s="587"/>
      <c r="D68" s="590"/>
      <c r="E68" s="604"/>
      <c r="F68" s="587"/>
      <c r="G68" s="615"/>
      <c r="H68" s="609"/>
      <c r="I68" s="587"/>
      <c r="J68" s="590"/>
      <c r="K68" s="610">
        <v>59450</v>
      </c>
      <c r="L68" s="588">
        <f>'первичка 1'!Y371</f>
        <v>59618.289999999994</v>
      </c>
      <c r="M68" s="591">
        <f>L68-K68</f>
        <v>168.2899999999936</v>
      </c>
      <c r="N68" s="610">
        <f>B68+E68+H68+K68</f>
        <v>59450</v>
      </c>
      <c r="O68" s="588">
        <f>C68+F68+I68+L68</f>
        <v>59618.289999999994</v>
      </c>
      <c r="P68" s="591">
        <f>O68-N68</f>
        <v>168.2899999999936</v>
      </c>
      <c r="Q68" s="640"/>
    </row>
    <row r="69" spans="1:17" customFormat="1" x14ac:dyDescent="0.3">
      <c r="A69" s="599" t="s">
        <v>927</v>
      </c>
      <c r="B69" s="609"/>
      <c r="C69" s="587"/>
      <c r="D69" s="590"/>
      <c r="E69" s="604"/>
      <c r="F69" s="587"/>
      <c r="G69" s="615"/>
      <c r="H69" s="609"/>
      <c r="I69" s="587"/>
      <c r="J69" s="590"/>
      <c r="K69" s="610">
        <v>1188</v>
      </c>
      <c r="L69" s="588">
        <f>'первичка 1'!AC371</f>
        <v>1684.9700000000003</v>
      </c>
      <c r="M69" s="591">
        <f>L69-K69</f>
        <v>496.97000000000025</v>
      </c>
      <c r="N69" s="610">
        <f>B69+E69+H69+K69</f>
        <v>1188</v>
      </c>
      <c r="O69" s="588">
        <f>C69+F69+I69+L69</f>
        <v>1684.9700000000003</v>
      </c>
      <c r="P69" s="591">
        <f>O69-N69</f>
        <v>496.97000000000025</v>
      </c>
      <c r="Q69" s="640"/>
    </row>
    <row r="70" spans="1:17" customFormat="1" x14ac:dyDescent="0.3">
      <c r="A70" s="599"/>
      <c r="B70" s="609"/>
      <c r="C70" s="587"/>
      <c r="D70" s="590"/>
      <c r="E70" s="604"/>
      <c r="F70" s="587"/>
      <c r="G70" s="615"/>
      <c r="H70" s="609"/>
      <c r="I70" s="587"/>
      <c r="J70" s="590"/>
      <c r="K70" s="610"/>
      <c r="L70" s="588"/>
      <c r="M70" s="591"/>
      <c r="N70" s="610"/>
      <c r="O70" s="588"/>
      <c r="P70" s="591"/>
      <c r="Q70" s="640"/>
    </row>
    <row r="71" spans="1:17" customFormat="1" x14ac:dyDescent="0.3">
      <c r="A71" s="599" t="s">
        <v>928</v>
      </c>
      <c r="B71" s="609"/>
      <c r="C71" s="587"/>
      <c r="D71" s="590"/>
      <c r="E71" s="604"/>
      <c r="F71" s="587"/>
      <c r="G71" s="615"/>
      <c r="H71" s="609"/>
      <c r="I71" s="587"/>
      <c r="J71" s="590"/>
      <c r="K71" s="610">
        <v>55367</v>
      </c>
      <c r="L71" s="588">
        <f>'первичка 1'!AL371</f>
        <v>65003.75</v>
      </c>
      <c r="M71" s="591">
        <f>L71-K71</f>
        <v>9636.75</v>
      </c>
      <c r="N71" s="610">
        <f>B71+E71+H71+K71</f>
        <v>55367</v>
      </c>
      <c r="O71" s="588">
        <f>C71+F71+I71+L71</f>
        <v>65003.75</v>
      </c>
      <c r="P71" s="591">
        <f>O71-N71</f>
        <v>9636.75</v>
      </c>
      <c r="Q71" s="640"/>
    </row>
    <row r="72" spans="1:17" customFormat="1" x14ac:dyDescent="0.3">
      <c r="A72" s="598"/>
      <c r="B72" s="609"/>
      <c r="C72" s="587"/>
      <c r="D72" s="590"/>
      <c r="E72" s="604"/>
      <c r="F72" s="587"/>
      <c r="G72" s="615"/>
      <c r="H72" s="609"/>
      <c r="I72" s="587"/>
      <c r="J72" s="590"/>
      <c r="K72" s="609"/>
      <c r="L72" s="587"/>
      <c r="M72" s="590"/>
      <c r="N72" s="609"/>
      <c r="O72" s="587"/>
      <c r="P72" s="590"/>
      <c r="Q72" s="640"/>
    </row>
    <row r="73" spans="1:17" customFormat="1" x14ac:dyDescent="0.3">
      <c r="A73" s="599" t="s">
        <v>1600</v>
      </c>
      <c r="B73" s="610">
        <f>78591+10088</f>
        <v>88679</v>
      </c>
      <c r="C73" s="588">
        <v>106098</v>
      </c>
      <c r="D73" s="591">
        <f>C73-B73</f>
        <v>17419</v>
      </c>
      <c r="E73" s="605">
        <f>17290+2219</f>
        <v>19509</v>
      </c>
      <c r="F73" s="588">
        <v>23022</v>
      </c>
      <c r="G73" s="616">
        <f>F73-E73</f>
        <v>3513</v>
      </c>
      <c r="H73" s="610">
        <v>96498</v>
      </c>
      <c r="I73" s="588">
        <v>85909</v>
      </c>
      <c r="J73" s="591">
        <f>I73-H73</f>
        <v>-10589</v>
      </c>
      <c r="K73" s="610">
        <f>70820+43157</f>
        <v>113977</v>
      </c>
      <c r="L73" s="588">
        <v>24933</v>
      </c>
      <c r="M73" s="591">
        <f>L73-K73</f>
        <v>-89044</v>
      </c>
      <c r="N73" s="610">
        <f>B73+E73+H73+K73</f>
        <v>318663</v>
      </c>
      <c r="O73" s="588">
        <f>C73+F73+I73+L73</f>
        <v>239962</v>
      </c>
      <c r="P73" s="591">
        <f>O73-N73</f>
        <v>-78701</v>
      </c>
      <c r="Q73" s="640"/>
    </row>
    <row r="74" spans="1:17" customFormat="1" x14ac:dyDescent="0.3">
      <c r="A74" s="598"/>
      <c r="B74" s="609"/>
      <c r="C74" s="587"/>
      <c r="D74" s="590"/>
      <c r="E74" s="604"/>
      <c r="F74" s="587"/>
      <c r="G74" s="615"/>
      <c r="H74" s="609"/>
      <c r="I74" s="587"/>
      <c r="J74" s="590"/>
      <c r="K74" s="609"/>
      <c r="L74" s="587"/>
      <c r="M74" s="590"/>
      <c r="N74" s="609"/>
      <c r="O74" s="587"/>
      <c r="P74" s="590"/>
      <c r="Q74" s="640"/>
    </row>
    <row r="75" spans="1:17" customFormat="1" x14ac:dyDescent="0.3">
      <c r="A75" s="599" t="s">
        <v>1601</v>
      </c>
      <c r="B75" s="609"/>
      <c r="C75" s="587"/>
      <c r="D75" s="590"/>
      <c r="E75" s="604"/>
      <c r="F75" s="587"/>
      <c r="G75" s="615"/>
      <c r="H75" s="609"/>
      <c r="I75" s="587"/>
      <c r="J75" s="590"/>
      <c r="K75" s="609"/>
      <c r="L75" s="587"/>
      <c r="M75" s="590"/>
      <c r="N75" s="609"/>
      <c r="O75" s="587"/>
      <c r="P75" s="590"/>
      <c r="Q75" s="640"/>
    </row>
    <row r="76" spans="1:17" customFormat="1" x14ac:dyDescent="0.3">
      <c r="A76" s="598" t="s">
        <v>1595</v>
      </c>
      <c r="B76" s="609">
        <v>9861</v>
      </c>
      <c r="C76" s="587">
        <v>6040</v>
      </c>
      <c r="D76" s="590">
        <f t="shared" ref="D76:D81" si="9">C76-B76</f>
        <v>-3821</v>
      </c>
      <c r="E76" s="604">
        <v>2169</v>
      </c>
      <c r="F76" s="587">
        <v>1329</v>
      </c>
      <c r="G76" s="615">
        <f t="shared" ref="G76:G81" si="10">F76-E76</f>
        <v>-840</v>
      </c>
      <c r="H76" s="609">
        <v>11478</v>
      </c>
      <c r="I76" s="587">
        <v>13395</v>
      </c>
      <c r="J76" s="590">
        <f t="shared" ref="J76:J81" si="11">I76-H76</f>
        <v>1917</v>
      </c>
      <c r="K76" s="609">
        <v>0</v>
      </c>
      <c r="L76" s="587">
        <v>1093</v>
      </c>
      <c r="M76" s="590">
        <f t="shared" ref="M76:M81" si="12">L76-K76</f>
        <v>1093</v>
      </c>
      <c r="N76" s="609">
        <f t="shared" ref="N76:O80" si="13">B76+E76+H76+K76</f>
        <v>23508</v>
      </c>
      <c r="O76" s="587">
        <f t="shared" si="13"/>
        <v>21857</v>
      </c>
      <c r="P76" s="590">
        <f t="shared" ref="P76:P81" si="14">O76-N76</f>
        <v>-1651</v>
      </c>
      <c r="Q76" s="640"/>
    </row>
    <row r="77" spans="1:17" customFormat="1" x14ac:dyDescent="0.3">
      <c r="A77" s="598" t="s">
        <v>1596</v>
      </c>
      <c r="B77" s="609">
        <v>556</v>
      </c>
      <c r="C77" s="587">
        <v>0</v>
      </c>
      <c r="D77" s="590">
        <f t="shared" si="9"/>
        <v>-556</v>
      </c>
      <c r="E77" s="604">
        <v>122</v>
      </c>
      <c r="F77" s="587">
        <v>0</v>
      </c>
      <c r="G77" s="615">
        <f t="shared" si="10"/>
        <v>-122</v>
      </c>
      <c r="H77" s="609">
        <v>434</v>
      </c>
      <c r="I77" s="587">
        <v>0</v>
      </c>
      <c r="J77" s="590">
        <f t="shared" si="11"/>
        <v>-434</v>
      </c>
      <c r="K77" s="609">
        <v>0</v>
      </c>
      <c r="L77" s="587">
        <v>0</v>
      </c>
      <c r="M77" s="590">
        <f t="shared" si="12"/>
        <v>0</v>
      </c>
      <c r="N77" s="609">
        <f t="shared" si="13"/>
        <v>1112</v>
      </c>
      <c r="O77" s="587">
        <f t="shared" si="13"/>
        <v>0</v>
      </c>
      <c r="P77" s="590">
        <f t="shared" si="14"/>
        <v>-1112</v>
      </c>
      <c r="Q77" s="640"/>
    </row>
    <row r="78" spans="1:17" customFormat="1" x14ac:dyDescent="0.3">
      <c r="A78" s="598" t="s">
        <v>1597</v>
      </c>
      <c r="B78" s="609">
        <v>5646</v>
      </c>
      <c r="C78" s="587">
        <v>0</v>
      </c>
      <c r="D78" s="590">
        <f t="shared" si="9"/>
        <v>-5646</v>
      </c>
      <c r="E78" s="604">
        <v>1242</v>
      </c>
      <c r="F78" s="587">
        <v>0</v>
      </c>
      <c r="G78" s="615">
        <f t="shared" si="10"/>
        <v>-1242</v>
      </c>
      <c r="H78" s="609">
        <v>3697</v>
      </c>
      <c r="I78" s="587">
        <v>0</v>
      </c>
      <c r="J78" s="590">
        <f t="shared" si="11"/>
        <v>-3697</v>
      </c>
      <c r="K78" s="609">
        <v>0</v>
      </c>
      <c r="L78" s="587">
        <v>0</v>
      </c>
      <c r="M78" s="590">
        <f t="shared" si="12"/>
        <v>0</v>
      </c>
      <c r="N78" s="609">
        <f t="shared" si="13"/>
        <v>10585</v>
      </c>
      <c r="O78" s="587">
        <f t="shared" si="13"/>
        <v>0</v>
      </c>
      <c r="P78" s="590">
        <f t="shared" si="14"/>
        <v>-10585</v>
      </c>
      <c r="Q78" s="640"/>
    </row>
    <row r="79" spans="1:17" customFormat="1" x14ac:dyDescent="0.3">
      <c r="A79" s="598" t="s">
        <v>1598</v>
      </c>
      <c r="B79" s="609">
        <v>2431</v>
      </c>
      <c r="C79" s="587">
        <v>20718</v>
      </c>
      <c r="D79" s="590">
        <f t="shared" si="9"/>
        <v>18287</v>
      </c>
      <c r="E79" s="604">
        <v>535</v>
      </c>
      <c r="F79" s="587">
        <v>4558</v>
      </c>
      <c r="G79" s="615">
        <f t="shared" si="10"/>
        <v>4023</v>
      </c>
      <c r="H79" s="609">
        <v>2168</v>
      </c>
      <c r="I79" s="587">
        <v>10068</v>
      </c>
      <c r="J79" s="590">
        <f t="shared" si="11"/>
        <v>7900</v>
      </c>
      <c r="K79" s="609">
        <v>0</v>
      </c>
      <c r="L79" s="587">
        <v>0</v>
      </c>
      <c r="M79" s="590">
        <f t="shared" si="12"/>
        <v>0</v>
      </c>
      <c r="N79" s="609">
        <f t="shared" si="13"/>
        <v>5134</v>
      </c>
      <c r="O79" s="587">
        <f t="shared" si="13"/>
        <v>35344</v>
      </c>
      <c r="P79" s="590">
        <f t="shared" si="14"/>
        <v>30210</v>
      </c>
      <c r="Q79" s="640"/>
    </row>
    <row r="80" spans="1:17" customFormat="1" x14ac:dyDescent="0.3">
      <c r="A80" s="598" t="s">
        <v>1602</v>
      </c>
      <c r="B80" s="609">
        <v>59</v>
      </c>
      <c r="C80" s="587">
        <v>0</v>
      </c>
      <c r="D80" s="590">
        <f t="shared" si="9"/>
        <v>-59</v>
      </c>
      <c r="E80" s="604">
        <v>13</v>
      </c>
      <c r="F80" s="587">
        <v>0</v>
      </c>
      <c r="G80" s="615">
        <f t="shared" si="10"/>
        <v>-13</v>
      </c>
      <c r="H80" s="609">
        <v>19</v>
      </c>
      <c r="I80" s="587">
        <v>0</v>
      </c>
      <c r="J80" s="590">
        <f t="shared" si="11"/>
        <v>-19</v>
      </c>
      <c r="K80" s="609">
        <v>0</v>
      </c>
      <c r="L80" s="587">
        <v>0</v>
      </c>
      <c r="M80" s="590">
        <f t="shared" si="12"/>
        <v>0</v>
      </c>
      <c r="N80" s="609">
        <f t="shared" si="13"/>
        <v>91</v>
      </c>
      <c r="O80" s="587">
        <f t="shared" si="13"/>
        <v>0</v>
      </c>
      <c r="P80" s="590">
        <f t="shared" si="14"/>
        <v>-91</v>
      </c>
      <c r="Q80" s="640"/>
    </row>
    <row r="81" spans="1:19" customFormat="1" x14ac:dyDescent="0.3">
      <c r="A81" s="599" t="s">
        <v>957</v>
      </c>
      <c r="B81" s="610">
        <f>SUM(B76:B80)</f>
        <v>18553</v>
      </c>
      <c r="C81" s="588">
        <f>SUM(C76:C80)</f>
        <v>26758</v>
      </c>
      <c r="D81" s="591">
        <f t="shared" si="9"/>
        <v>8205</v>
      </c>
      <c r="E81" s="605">
        <f>SUM(E76:E80)</f>
        <v>4081</v>
      </c>
      <c r="F81" s="588">
        <f>SUM(F76:F80)</f>
        <v>5887</v>
      </c>
      <c r="G81" s="616">
        <f t="shared" si="10"/>
        <v>1806</v>
      </c>
      <c r="H81" s="610">
        <f>SUM(H76:H80)</f>
        <v>17796</v>
      </c>
      <c r="I81" s="588">
        <f>SUM(I76:I80)</f>
        <v>23463</v>
      </c>
      <c r="J81" s="591">
        <f t="shared" si="11"/>
        <v>5667</v>
      </c>
      <c r="K81" s="610">
        <f>SUM(K76:K80)</f>
        <v>0</v>
      </c>
      <c r="L81" s="588">
        <f>SUM(L76:L80)</f>
        <v>1093</v>
      </c>
      <c r="M81" s="591">
        <f t="shared" si="12"/>
        <v>1093</v>
      </c>
      <c r="N81" s="610">
        <f>SUM(N76:N80)</f>
        <v>40430</v>
      </c>
      <c r="O81" s="588">
        <f>SUM(O76:O80)</f>
        <v>57201</v>
      </c>
      <c r="P81" s="591">
        <f t="shared" si="14"/>
        <v>16771</v>
      </c>
    </row>
    <row r="82" spans="1:19" customFormat="1" x14ac:dyDescent="0.3">
      <c r="A82" s="598"/>
      <c r="B82" s="609"/>
      <c r="C82" s="587"/>
      <c r="D82" s="590"/>
      <c r="E82" s="604"/>
      <c r="F82" s="587"/>
      <c r="G82" s="615"/>
      <c r="H82" s="609"/>
      <c r="I82" s="587"/>
      <c r="J82" s="590"/>
      <c r="K82" s="609"/>
      <c r="L82" s="587"/>
      <c r="M82" s="590"/>
      <c r="N82" s="609"/>
      <c r="O82" s="587"/>
      <c r="P82" s="590"/>
    </row>
    <row r="83" spans="1:19" customFormat="1" x14ac:dyDescent="0.3">
      <c r="A83" s="598"/>
      <c r="B83" s="609"/>
      <c r="C83" s="587"/>
      <c r="D83" s="590"/>
      <c r="E83" s="604"/>
      <c r="F83" s="587"/>
      <c r="G83" s="615"/>
      <c r="H83" s="609"/>
      <c r="I83" s="587"/>
      <c r="J83" s="590"/>
      <c r="K83" s="609"/>
      <c r="L83" s="587"/>
      <c r="M83" s="590"/>
      <c r="N83" s="609"/>
      <c r="O83" s="587"/>
      <c r="P83" s="590"/>
    </row>
    <row r="84" spans="1:19" customFormat="1" x14ac:dyDescent="0.3">
      <c r="A84" s="599" t="s">
        <v>14</v>
      </c>
      <c r="B84" s="610">
        <v>162130</v>
      </c>
      <c r="C84" s="588">
        <f>'первичка 1'!D371</f>
        <v>208593.12200226975</v>
      </c>
      <c r="D84" s="591">
        <f>C84-B84</f>
        <v>46463.122002269753</v>
      </c>
      <c r="E84" s="605">
        <v>35669</v>
      </c>
      <c r="F84" s="588">
        <f>'первичка 1'!E371</f>
        <v>45890.525164041159</v>
      </c>
      <c r="G84" s="616">
        <f>F84-E84</f>
        <v>10221.525164041159</v>
      </c>
      <c r="H84" s="610">
        <v>19902</v>
      </c>
      <c r="I84" s="588">
        <f>'первичка 1'!F371</f>
        <v>16628.7</v>
      </c>
      <c r="J84" s="591">
        <f>I84-H84</f>
        <v>-3273.2999999999993</v>
      </c>
      <c r="K84" s="610">
        <v>0</v>
      </c>
      <c r="L84" s="588">
        <f>'первичка 1'!G371</f>
        <v>0</v>
      </c>
      <c r="M84" s="591">
        <f>L84-K84</f>
        <v>0</v>
      </c>
      <c r="N84" s="610">
        <f>B84+E84+H84+K84</f>
        <v>217701</v>
      </c>
      <c r="O84" s="588">
        <f>C84+F84+I84+L84</f>
        <v>271112.34716631094</v>
      </c>
      <c r="P84" s="591">
        <f>O84-N84</f>
        <v>53411.347166310938</v>
      </c>
    </row>
    <row r="85" spans="1:19" customFormat="1" x14ac:dyDescent="0.3">
      <c r="A85" s="598"/>
      <c r="B85" s="609"/>
      <c r="C85" s="587"/>
      <c r="D85" s="590"/>
      <c r="E85" s="604"/>
      <c r="F85" s="587"/>
      <c r="G85" s="615"/>
      <c r="H85" s="609"/>
      <c r="I85" s="587"/>
      <c r="J85" s="590"/>
      <c r="K85" s="609"/>
      <c r="L85" s="587"/>
      <c r="M85" s="590"/>
      <c r="N85" s="609"/>
      <c r="O85" s="587"/>
      <c r="P85" s="590"/>
    </row>
    <row r="86" spans="1:19" customFormat="1" x14ac:dyDescent="0.3">
      <c r="A86" s="599" t="s">
        <v>1603</v>
      </c>
      <c r="B86" s="610">
        <v>79550</v>
      </c>
      <c r="C86" s="588">
        <f>'первичка 1'!L371</f>
        <v>102319.19886095823</v>
      </c>
      <c r="D86" s="591">
        <f>C86-B86</f>
        <v>22769.198860958233</v>
      </c>
      <c r="E86" s="605">
        <v>17501</v>
      </c>
      <c r="F86" s="588">
        <f>'первичка 1'!M371</f>
        <v>22510.117798914507</v>
      </c>
      <c r="G86" s="616">
        <f>F86-E86</f>
        <v>5009.1177989145071</v>
      </c>
      <c r="H86" s="610">
        <v>4063</v>
      </c>
      <c r="I86" s="588">
        <f>'первичка 1'!N371+'первичка 1'!O371</f>
        <v>9349.1636589728205</v>
      </c>
      <c r="J86" s="591">
        <f>I86-H86</f>
        <v>5286.1636589728205</v>
      </c>
      <c r="K86" s="610">
        <v>0</v>
      </c>
      <c r="L86" s="588">
        <v>0</v>
      </c>
      <c r="M86" s="591">
        <f>L86-K86</f>
        <v>0</v>
      </c>
      <c r="N86" s="610">
        <f>B86+E86+H86+K86</f>
        <v>101114</v>
      </c>
      <c r="O86" s="588">
        <f>C86+F86+I86+L86</f>
        <v>134178.48031884557</v>
      </c>
      <c r="P86" s="591">
        <f>O86-N86</f>
        <v>33064.48031884557</v>
      </c>
    </row>
    <row r="87" spans="1:19" customFormat="1" x14ac:dyDescent="0.3">
      <c r="A87" s="598"/>
      <c r="B87" s="609"/>
      <c r="C87" s="587"/>
      <c r="D87" s="590"/>
      <c r="E87" s="604"/>
      <c r="F87" s="587"/>
      <c r="G87" s="615"/>
      <c r="H87" s="609"/>
      <c r="I87" s="587"/>
      <c r="J87" s="590"/>
      <c r="K87" s="609"/>
      <c r="L87" s="587"/>
      <c r="M87" s="590"/>
      <c r="N87" s="609"/>
      <c r="O87" s="587"/>
      <c r="P87" s="590"/>
    </row>
    <row r="88" spans="1:19" customFormat="1" x14ac:dyDescent="0.3">
      <c r="A88" s="599" t="s">
        <v>959</v>
      </c>
      <c r="B88" s="610"/>
      <c r="C88" s="588"/>
      <c r="D88" s="591"/>
      <c r="E88" s="605"/>
      <c r="F88" s="588"/>
      <c r="G88" s="616"/>
      <c r="H88" s="610"/>
      <c r="I88" s="588"/>
      <c r="J88" s="591"/>
      <c r="K88" s="610">
        <v>8670</v>
      </c>
      <c r="L88" s="588">
        <f>'первичка 1'!S371</f>
        <v>8669.9513999999999</v>
      </c>
      <c r="M88" s="591">
        <f>L88-K88</f>
        <v>-4.860000000007858E-2</v>
      </c>
      <c r="N88" s="610">
        <f>B88+E88+H88+K88</f>
        <v>8670</v>
      </c>
      <c r="O88" s="588">
        <f>C88+F88+I88+L88</f>
        <v>8669.9513999999999</v>
      </c>
      <c r="P88" s="591">
        <f>O88-N88</f>
        <v>-4.860000000007858E-2</v>
      </c>
    </row>
    <row r="89" spans="1:19" customFormat="1" x14ac:dyDescent="0.3">
      <c r="A89" s="599" t="s">
        <v>962</v>
      </c>
      <c r="B89" s="610"/>
      <c r="C89" s="588"/>
      <c r="D89" s="591"/>
      <c r="E89" s="605"/>
      <c r="F89" s="588"/>
      <c r="G89" s="616"/>
      <c r="H89" s="610"/>
      <c r="I89" s="588"/>
      <c r="J89" s="591"/>
      <c r="K89" s="610">
        <v>1067</v>
      </c>
      <c r="L89" s="588">
        <f>'первичка 1'!V371</f>
        <v>0</v>
      </c>
      <c r="M89" s="591">
        <f>L89-K89</f>
        <v>-1067</v>
      </c>
      <c r="N89" s="610">
        <f>B89+E89+H89+K89</f>
        <v>1067</v>
      </c>
      <c r="O89" s="588">
        <f>C89+F89+I89+L89</f>
        <v>0</v>
      </c>
      <c r="P89" s="591">
        <f>O89-N89</f>
        <v>-1067</v>
      </c>
    </row>
    <row r="90" spans="1:19" customFormat="1" x14ac:dyDescent="0.3">
      <c r="A90" s="598"/>
      <c r="B90" s="609"/>
      <c r="C90" s="587"/>
      <c r="D90" s="590"/>
      <c r="E90" s="604"/>
      <c r="F90" s="587"/>
      <c r="G90" s="615"/>
      <c r="H90" s="609"/>
      <c r="I90" s="587"/>
      <c r="J90" s="590"/>
      <c r="K90" s="609"/>
      <c r="L90" s="587"/>
      <c r="M90" s="590"/>
      <c r="N90" s="609"/>
      <c r="O90" s="587"/>
      <c r="P90" s="590"/>
    </row>
    <row r="91" spans="1:19" customFormat="1" x14ac:dyDescent="0.3">
      <c r="A91" s="599" t="s">
        <v>964</v>
      </c>
      <c r="B91" s="610"/>
      <c r="C91" s="588"/>
      <c r="D91" s="591"/>
      <c r="E91" s="605"/>
      <c r="F91" s="588"/>
      <c r="G91" s="616"/>
      <c r="H91" s="610"/>
      <c r="I91" s="588"/>
      <c r="J91" s="591"/>
      <c r="K91" s="610">
        <v>43629</v>
      </c>
      <c r="L91" s="711">
        <f>'первичка 1'!AF371-1306</f>
        <v>42462.999999999993</v>
      </c>
      <c r="M91" s="591">
        <f>L91-K91</f>
        <v>-1166.0000000000073</v>
      </c>
      <c r="N91" s="610">
        <f>B91+E91+H91+K91</f>
        <v>43629</v>
      </c>
      <c r="O91" s="588">
        <f>C91+F91+I91+L91</f>
        <v>42462.999999999993</v>
      </c>
      <c r="P91" s="591">
        <f>O91-N91</f>
        <v>-1166.0000000000073</v>
      </c>
      <c r="Q91" s="724" t="s">
        <v>1684</v>
      </c>
      <c r="R91" s="724"/>
      <c r="S91" s="724"/>
    </row>
    <row r="92" spans="1:19" customFormat="1" x14ac:dyDescent="0.3">
      <c r="A92" s="599" t="s">
        <v>1604</v>
      </c>
      <c r="B92" s="610"/>
      <c r="C92" s="588"/>
      <c r="D92" s="611"/>
      <c r="E92" s="605"/>
      <c r="F92" s="588"/>
      <c r="G92" s="616"/>
      <c r="H92" s="610"/>
      <c r="I92" s="588"/>
      <c r="J92" s="591"/>
      <c r="K92" s="610">
        <v>13667</v>
      </c>
      <c r="L92" s="588">
        <f>'первичка 1'!AI371</f>
        <v>20152</v>
      </c>
      <c r="M92" s="591">
        <f>L92-K92</f>
        <v>6485</v>
      </c>
      <c r="N92" s="610">
        <f>B92+E92+H92+K92</f>
        <v>13667</v>
      </c>
      <c r="O92" s="588">
        <f>C92+F92+I92+L92</f>
        <v>20152</v>
      </c>
      <c r="P92" s="591">
        <f>O92-N92</f>
        <v>6485</v>
      </c>
    </row>
    <row r="93" spans="1:19" customFormat="1" x14ac:dyDescent="0.3">
      <c r="A93" s="598"/>
      <c r="B93" s="609"/>
      <c r="C93" s="587"/>
      <c r="D93" s="590"/>
      <c r="E93" s="604"/>
      <c r="F93" s="587"/>
      <c r="G93" s="615"/>
      <c r="H93" s="609"/>
      <c r="I93" s="587"/>
      <c r="J93" s="590"/>
      <c r="K93" s="609"/>
      <c r="L93" s="587"/>
      <c r="M93" s="590"/>
      <c r="N93" s="609"/>
      <c r="O93" s="587"/>
      <c r="P93" s="590"/>
    </row>
    <row r="94" spans="1:19" customFormat="1" ht="15.6" x14ac:dyDescent="0.3">
      <c r="A94" s="600" t="s">
        <v>1605</v>
      </c>
      <c r="B94" s="610">
        <f>B64+B68+B69+B71+B73+B81+B84+B86+B88+B89+B91+B92</f>
        <v>419319</v>
      </c>
      <c r="C94" s="588">
        <f>C64+C68+C69+C71+C73+C81+C84+C86+C88+C89+C91+C92</f>
        <v>520623.47022843012</v>
      </c>
      <c r="D94" s="591">
        <f>C94-B94</f>
        <v>101304.47022843012</v>
      </c>
      <c r="E94" s="605">
        <f>E64+E68+E69+E71+E73+E81+E84+E86+E88+E89+E91+E92</f>
        <v>92250</v>
      </c>
      <c r="F94" s="588">
        <f>F64+F68+F69+F71+F73+F81+F84+F86+F88+F89+F91+F92</f>
        <v>113126.86061880343</v>
      </c>
      <c r="G94" s="616">
        <f>F94-E94</f>
        <v>20876.860618803432</v>
      </c>
      <c r="H94" s="610">
        <f>H64+H68+H69+H71+H73+H81+H84+H86+H88+H89+H91+H92</f>
        <v>146916</v>
      </c>
      <c r="I94" s="588" t="e">
        <f>I64+I68+I69+I71+I73+I81+I84+I86+I88+I89+I91+I92</f>
        <v>#REF!</v>
      </c>
      <c r="J94" s="591" t="e">
        <f>I94-H94</f>
        <v>#REF!</v>
      </c>
      <c r="K94" s="610">
        <f>K64+K68+K69+K71+K73+K81+K84+K86+K88+K89+K91+K92+K66</f>
        <v>465115</v>
      </c>
      <c r="L94" s="588" t="e">
        <f>L64+L68+L69+L71+L73+L81+L84+L86+L88+L89+L91+L92+L66</f>
        <v>#REF!</v>
      </c>
      <c r="M94" s="591" t="e">
        <f>L94-K94</f>
        <v>#REF!</v>
      </c>
      <c r="N94" s="610">
        <f>N64+N68+N69+N71+N73+N81+N84+N86+N88+N89+N91+N92+N66</f>
        <v>1123600</v>
      </c>
      <c r="O94" s="588" t="e">
        <f>O64+O68+O69+O71+O73+O81+O84+O86+O88+O89+O91+O92+O66</f>
        <v>#REF!</v>
      </c>
      <c r="P94" s="591" t="e">
        <f>O94-N94</f>
        <v>#REF!</v>
      </c>
    </row>
    <row r="95" spans="1:19" customFormat="1" x14ac:dyDescent="0.3">
      <c r="A95" s="598"/>
      <c r="B95" s="612"/>
      <c r="C95" s="555"/>
      <c r="D95" s="592"/>
      <c r="E95" s="606"/>
      <c r="F95" s="555"/>
      <c r="G95" s="617"/>
      <c r="H95" s="612"/>
      <c r="I95" s="555"/>
      <c r="J95" s="592"/>
      <c r="K95" s="612"/>
      <c r="L95" s="555"/>
      <c r="M95" s="592"/>
      <c r="N95" s="612"/>
      <c r="O95" s="555"/>
      <c r="P95" s="592"/>
    </row>
    <row r="96" spans="1:19" customFormat="1" x14ac:dyDescent="0.3">
      <c r="A96" s="599" t="s">
        <v>1606</v>
      </c>
      <c r="B96" s="650">
        <v>72739</v>
      </c>
      <c r="C96" s="580">
        <f>86852+7817</f>
        <v>94669</v>
      </c>
      <c r="D96" s="638">
        <f>C96-B96</f>
        <v>21930</v>
      </c>
      <c r="E96" s="651">
        <v>15857</v>
      </c>
      <c r="F96" s="580">
        <f>19108+1720</f>
        <v>20828</v>
      </c>
      <c r="G96" s="638">
        <f>F96-E96</f>
        <v>4971</v>
      </c>
      <c r="H96" s="650">
        <v>15061</v>
      </c>
      <c r="I96" s="580">
        <f>1064+3637+25+1177+3459+1414</f>
        <v>10776</v>
      </c>
      <c r="J96" s="638">
        <f>I96-H96</f>
        <v>-4285</v>
      </c>
      <c r="K96" s="650">
        <v>35223</v>
      </c>
      <c r="L96" s="580">
        <f>1169+11031+73+209+6273+25191+2392+88+315+1430+340+2550+525</f>
        <v>51586</v>
      </c>
      <c r="M96" s="638">
        <f>L96-K96</f>
        <v>16363</v>
      </c>
      <c r="N96" s="650">
        <f>138880</f>
        <v>138880</v>
      </c>
      <c r="O96" s="652">
        <f>C96+F96+I96+L96</f>
        <v>177859</v>
      </c>
      <c r="P96" s="638">
        <f>O96-N96</f>
        <v>38979</v>
      </c>
    </row>
    <row r="97" spans="1:16" customFormat="1" x14ac:dyDescent="0.3">
      <c r="A97" s="601" t="s">
        <v>1624</v>
      </c>
      <c r="B97" s="609"/>
      <c r="C97" s="587"/>
      <c r="D97" s="590"/>
      <c r="E97" s="604"/>
      <c r="F97" s="587"/>
      <c r="G97" s="615"/>
      <c r="H97" s="609"/>
      <c r="I97" s="587"/>
      <c r="J97" s="590"/>
      <c r="K97" s="609"/>
      <c r="L97" s="587"/>
      <c r="M97" s="590"/>
      <c r="N97" s="609">
        <v>30259</v>
      </c>
      <c r="O97" s="587">
        <f>D211+D215</f>
        <v>37085.841398403172</v>
      </c>
      <c r="P97" s="590">
        <f>O97-N97</f>
        <v>6826.8413984031722</v>
      </c>
    </row>
    <row r="98" spans="1:16" customFormat="1" x14ac:dyDescent="0.3">
      <c r="A98" s="601" t="s">
        <v>1621</v>
      </c>
      <c r="B98" s="609"/>
      <c r="C98" s="587"/>
      <c r="D98" s="590"/>
      <c r="E98" s="604"/>
      <c r="F98" s="587"/>
      <c r="G98" s="615"/>
      <c r="H98" s="609"/>
      <c r="I98" s="587"/>
      <c r="J98" s="590"/>
      <c r="K98" s="609"/>
      <c r="L98" s="587"/>
      <c r="M98" s="590"/>
      <c r="N98" s="609">
        <v>116342</v>
      </c>
      <c r="O98" s="587">
        <f>D212</f>
        <v>92976.1937767216</v>
      </c>
      <c r="P98" s="590">
        <f>O98-N98</f>
        <v>-23365.8062232784</v>
      </c>
    </row>
    <row r="99" spans="1:16" customFormat="1" x14ac:dyDescent="0.3">
      <c r="A99" s="619" t="s">
        <v>1622</v>
      </c>
      <c r="B99" s="623"/>
      <c r="C99" s="624"/>
      <c r="D99" s="625"/>
      <c r="E99" s="631"/>
      <c r="F99" s="624"/>
      <c r="G99" s="648"/>
      <c r="H99" s="623"/>
      <c r="I99" s="624"/>
      <c r="J99" s="625"/>
      <c r="K99" s="623"/>
      <c r="L99" s="624"/>
      <c r="M99" s="625"/>
      <c r="N99" s="623">
        <v>62143</v>
      </c>
      <c r="O99" s="624">
        <f>D213</f>
        <v>64948.184947831156</v>
      </c>
      <c r="P99" s="625">
        <f>O99-N99</f>
        <v>2805.184947831156</v>
      </c>
    </row>
    <row r="100" spans="1:16" customFormat="1" ht="15" thickBot="1" x14ac:dyDescent="0.35">
      <c r="A100" s="619" t="s">
        <v>1625</v>
      </c>
      <c r="B100" s="623"/>
      <c r="C100" s="624"/>
      <c r="D100" s="625"/>
      <c r="E100" s="631"/>
      <c r="F100" s="624"/>
      <c r="G100" s="648"/>
      <c r="H100" s="623"/>
      <c r="I100" s="624"/>
      <c r="J100" s="625"/>
      <c r="K100" s="631"/>
      <c r="L100" s="624"/>
      <c r="M100" s="648"/>
      <c r="N100" s="623"/>
      <c r="O100" s="624">
        <f>D214</f>
        <v>-8636</v>
      </c>
      <c r="P100" s="625"/>
    </row>
    <row r="101" spans="1:16" customFormat="1" ht="15" thickBot="1" x14ac:dyDescent="0.35">
      <c r="A101" s="630" t="s">
        <v>1623</v>
      </c>
      <c r="B101" s="653">
        <f>B94+B96</f>
        <v>492058</v>
      </c>
      <c r="C101" s="654">
        <f>C94+C96</f>
        <v>615292.47022843012</v>
      </c>
      <c r="D101" s="629">
        <f>C101-B101</f>
        <v>123234.47022843012</v>
      </c>
      <c r="E101" s="653">
        <f>E94+E96</f>
        <v>108107</v>
      </c>
      <c r="F101" s="654">
        <f>F94+F96</f>
        <v>133954.86061880342</v>
      </c>
      <c r="G101" s="629">
        <f>F101-E101</f>
        <v>25847.860618803417</v>
      </c>
      <c r="H101" s="653">
        <f>H94+H96</f>
        <v>161977</v>
      </c>
      <c r="I101" s="654" t="e">
        <f>I94+I96</f>
        <v>#REF!</v>
      </c>
      <c r="J101" s="629" t="e">
        <f>I101-H101</f>
        <v>#REF!</v>
      </c>
      <c r="K101" s="653">
        <f>K94+K96</f>
        <v>500338</v>
      </c>
      <c r="L101" s="654" t="e">
        <f>L94+L96</f>
        <v>#REF!</v>
      </c>
      <c r="M101" s="629" t="e">
        <f>L101-K101</f>
        <v>#REF!</v>
      </c>
      <c r="N101" s="633">
        <f>N94+N96+N97+N98+N99</f>
        <v>1471224</v>
      </c>
      <c r="O101" s="628" t="e">
        <f>O94+O96+O97+O98+O99+O100</f>
        <v>#REF!</v>
      </c>
      <c r="P101" s="629" t="e">
        <f>O101-N101</f>
        <v>#REF!</v>
      </c>
    </row>
    <row r="102" spans="1:16" customFormat="1" ht="15" thickBot="1" x14ac:dyDescent="0.35">
      <c r="N102" s="589"/>
      <c r="P102" s="627" t="e">
        <f>O101/N101</f>
        <v>#REF!</v>
      </c>
    </row>
    <row r="103" spans="1:16" customFormat="1" ht="18" x14ac:dyDescent="0.35">
      <c r="A103" s="634" t="str">
        <f>A54</f>
        <v>Фактичні витрати з утримання будинків і прибудинкової території</v>
      </c>
      <c r="N103" s="589"/>
      <c r="O103" s="626" t="str">
        <f>O54</f>
        <v>2024 рік</v>
      </c>
      <c r="P103" s="626">
        <f>P54</f>
        <v>2021</v>
      </c>
    </row>
    <row r="104" spans="1:16" customFormat="1" ht="15" thickBot="1" x14ac:dyDescent="0.35">
      <c r="N104" s="589"/>
    </row>
    <row r="105" spans="1:16" customFormat="1" ht="21.6" thickBot="1" x14ac:dyDescent="0.45">
      <c r="A105" s="1440" t="s">
        <v>1627</v>
      </c>
      <c r="B105" s="1443" t="s">
        <v>1586</v>
      </c>
      <c r="C105" s="1444"/>
      <c r="D105" s="1444"/>
      <c r="E105" s="1444"/>
      <c r="F105" s="1444"/>
      <c r="G105" s="1444"/>
      <c r="H105" s="1444"/>
      <c r="I105" s="1444"/>
      <c r="J105" s="1444"/>
      <c r="K105" s="1444"/>
      <c r="L105" s="1444"/>
      <c r="M105" s="1444"/>
      <c r="N105" s="1444"/>
      <c r="O105" s="1444"/>
      <c r="P105" s="1445"/>
    </row>
    <row r="106" spans="1:16" customFormat="1" x14ac:dyDescent="0.3">
      <c r="A106" s="1441"/>
      <c r="B106" s="1446" t="s">
        <v>951</v>
      </c>
      <c r="C106" s="1447"/>
      <c r="D106" s="1448"/>
      <c r="E106" s="1449" t="s">
        <v>952</v>
      </c>
      <c r="F106" s="1450"/>
      <c r="G106" s="1451"/>
      <c r="H106" s="1446" t="s">
        <v>953</v>
      </c>
      <c r="I106" s="1447"/>
      <c r="J106" s="1448"/>
      <c r="K106" s="1446" t="s">
        <v>1599</v>
      </c>
      <c r="L106" s="1447"/>
      <c r="M106" s="1448"/>
      <c r="N106" s="1449" t="s">
        <v>957</v>
      </c>
      <c r="O106" s="1450"/>
      <c r="P106" s="1452"/>
    </row>
    <row r="107" spans="1:16" customFormat="1" ht="15" thickBot="1" x14ac:dyDescent="0.35">
      <c r="A107" s="1442"/>
      <c r="B107" s="607" t="s">
        <v>1013</v>
      </c>
      <c r="C107" s="595" t="s">
        <v>440</v>
      </c>
      <c r="D107" s="596" t="s">
        <v>1109</v>
      </c>
      <c r="E107" s="602" t="s">
        <v>1013</v>
      </c>
      <c r="F107" s="595" t="s">
        <v>440</v>
      </c>
      <c r="G107" s="613" t="s">
        <v>1109</v>
      </c>
      <c r="H107" s="607" t="s">
        <v>1013</v>
      </c>
      <c r="I107" s="595" t="s">
        <v>440</v>
      </c>
      <c r="J107" s="596" t="s">
        <v>1109</v>
      </c>
      <c r="K107" s="607" t="s">
        <v>1013</v>
      </c>
      <c r="L107" s="595" t="s">
        <v>440</v>
      </c>
      <c r="M107" s="596" t="s">
        <v>1109</v>
      </c>
      <c r="N107" s="602" t="s">
        <v>1013</v>
      </c>
      <c r="O107" s="595" t="s">
        <v>440</v>
      </c>
      <c r="P107" s="596" t="s">
        <v>1109</v>
      </c>
    </row>
    <row r="108" spans="1:16" customFormat="1" x14ac:dyDescent="0.3">
      <c r="A108" s="597" t="s">
        <v>1594</v>
      </c>
      <c r="B108" s="608"/>
      <c r="C108" s="593"/>
      <c r="D108" s="594"/>
      <c r="E108" s="603"/>
      <c r="F108" s="593"/>
      <c r="G108" s="614"/>
      <c r="H108" s="608"/>
      <c r="I108" s="593"/>
      <c r="J108" s="594"/>
      <c r="K108" s="608"/>
      <c r="L108" s="593"/>
      <c r="M108" s="594"/>
      <c r="N108" s="603"/>
      <c r="O108" s="593"/>
      <c r="P108" s="594"/>
    </row>
    <row r="109" spans="1:16" customFormat="1" x14ac:dyDescent="0.3">
      <c r="A109" s="598" t="s">
        <v>1595</v>
      </c>
      <c r="B109" s="609">
        <v>43664</v>
      </c>
      <c r="C109" s="587">
        <f>'первичка 2'!D378+'первичка 2'!L378+'первичка 2'!Z378</f>
        <v>53026.197230736667</v>
      </c>
      <c r="D109" s="590">
        <f>C109-B109</f>
        <v>9362.1972307366668</v>
      </c>
      <c r="E109" s="604">
        <v>9606</v>
      </c>
      <c r="F109" s="587">
        <f>'первичка 2'!E378+'первичка 2'!M378+'первичка 2'!AA378</f>
        <v>11069.960343970208</v>
      </c>
      <c r="G109" s="615">
        <f>F109-E109</f>
        <v>1463.9603439702078</v>
      </c>
      <c r="H109" s="609">
        <v>2592</v>
      </c>
      <c r="I109" s="587" t="e">
        <f>'первичка 2'!F378+'первичка 2'!G378+'первичка 2'!N378+'первичка 2'!AB378</f>
        <v>#REF!</v>
      </c>
      <c r="J109" s="590" t="e">
        <f>I109-H109</f>
        <v>#REF!</v>
      </c>
      <c r="K109" s="609">
        <v>0</v>
      </c>
      <c r="L109" s="587">
        <f>'первичка 2'!O429+'первичка 2'!AC429</f>
        <v>0</v>
      </c>
      <c r="M109" s="590">
        <f>L109-K109</f>
        <v>0</v>
      </c>
      <c r="N109" s="604">
        <f t="shared" ref="N109:O112" si="15">B109+E109+H109+K109</f>
        <v>55862</v>
      </c>
      <c r="O109" s="587" t="e">
        <f t="shared" si="15"/>
        <v>#REF!</v>
      </c>
      <c r="P109" s="590" t="e">
        <f>O109-N109</f>
        <v>#REF!</v>
      </c>
    </row>
    <row r="110" spans="1:16" customFormat="1" x14ac:dyDescent="0.3">
      <c r="A110" s="598" t="s">
        <v>1596</v>
      </c>
      <c r="B110" s="609">
        <v>0</v>
      </c>
      <c r="C110" s="587">
        <v>0</v>
      </c>
      <c r="D110" s="590">
        <f>C110-B110</f>
        <v>0</v>
      </c>
      <c r="E110" s="604">
        <v>0</v>
      </c>
      <c r="F110" s="587">
        <v>0</v>
      </c>
      <c r="G110" s="615">
        <f>F110-E110</f>
        <v>0</v>
      </c>
      <c r="H110" s="609">
        <v>0</v>
      </c>
      <c r="I110" s="587">
        <v>0</v>
      </c>
      <c r="J110" s="590">
        <f>I110-H110</f>
        <v>0</v>
      </c>
      <c r="K110" s="609">
        <v>4672</v>
      </c>
      <c r="L110" s="587">
        <f>'первичка 2'!W378</f>
        <v>4670.67</v>
      </c>
      <c r="M110" s="590">
        <f>L110-K110</f>
        <v>-1.3299999999999272</v>
      </c>
      <c r="N110" s="604">
        <f t="shared" si="15"/>
        <v>4672</v>
      </c>
      <c r="O110" s="587">
        <f t="shared" si="15"/>
        <v>4670.67</v>
      </c>
      <c r="P110" s="590">
        <f>O110-N110</f>
        <v>-1.3299999999999272</v>
      </c>
    </row>
    <row r="111" spans="1:16" customFormat="1" x14ac:dyDescent="0.3">
      <c r="A111" s="598" t="s">
        <v>1597</v>
      </c>
      <c r="B111" s="609">
        <v>0</v>
      </c>
      <c r="C111" s="587">
        <v>0</v>
      </c>
      <c r="D111" s="590">
        <f>C111-B111</f>
        <v>0</v>
      </c>
      <c r="E111" s="604">
        <v>0</v>
      </c>
      <c r="F111" s="587">
        <v>0</v>
      </c>
      <c r="G111" s="615">
        <f>F111-E111</f>
        <v>0</v>
      </c>
      <c r="H111" s="609">
        <v>0</v>
      </c>
      <c r="I111" s="587">
        <v>0</v>
      </c>
      <c r="J111" s="590">
        <f>I111-H111</f>
        <v>0</v>
      </c>
      <c r="K111" s="609">
        <v>33864</v>
      </c>
      <c r="L111" s="587">
        <f>'первичка 2'!T378</f>
        <v>33865.87999999999</v>
      </c>
      <c r="M111" s="590">
        <f>L111-K111</f>
        <v>1.8799999999901047</v>
      </c>
      <c r="N111" s="604">
        <f t="shared" si="15"/>
        <v>33864</v>
      </c>
      <c r="O111" s="587">
        <f t="shared" si="15"/>
        <v>33865.87999999999</v>
      </c>
      <c r="P111" s="590">
        <f>O111-N111</f>
        <v>1.8799999999901047</v>
      </c>
    </row>
    <row r="112" spans="1:16" customFormat="1" x14ac:dyDescent="0.3">
      <c r="A112" s="598" t="s">
        <v>1598</v>
      </c>
      <c r="B112" s="609">
        <v>20676</v>
      </c>
      <c r="C112" s="587">
        <f>'первичка 2'!AH378</f>
        <v>26807.740125258657</v>
      </c>
      <c r="D112" s="590">
        <f>C112-B112</f>
        <v>6131.7401252586569</v>
      </c>
      <c r="E112" s="604">
        <v>4549</v>
      </c>
      <c r="F112" s="587">
        <f>'первичка 2'!AI378</f>
        <v>5347.2244672696233</v>
      </c>
      <c r="G112" s="615">
        <f>F112-E112</f>
        <v>798.22446726962335</v>
      </c>
      <c r="H112" s="609">
        <v>4258</v>
      </c>
      <c r="I112" s="587" t="e">
        <f>'первичка 2'!AJ378+'первичка 2'!AK378</f>
        <v>#REF!</v>
      </c>
      <c r="J112" s="590" t="e">
        <f>I112-H112</f>
        <v>#REF!</v>
      </c>
      <c r="K112" s="609">
        <v>0</v>
      </c>
      <c r="L112" s="587">
        <f>'первичка 2'!AL378</f>
        <v>6510.33</v>
      </c>
      <c r="M112" s="590">
        <f>L112-K112</f>
        <v>6510.33</v>
      </c>
      <c r="N112" s="604">
        <f t="shared" si="15"/>
        <v>29483</v>
      </c>
      <c r="O112" s="587" t="e">
        <f t="shared" si="15"/>
        <v>#REF!</v>
      </c>
      <c r="P112" s="590" t="e">
        <f>O112-N112</f>
        <v>#REF!</v>
      </c>
    </row>
    <row r="113" spans="1:16" customFormat="1" x14ac:dyDescent="0.3">
      <c r="A113" s="598" t="s">
        <v>1602</v>
      </c>
      <c r="B113" s="609"/>
      <c r="C113" s="587"/>
      <c r="D113" s="590"/>
      <c r="E113" s="604"/>
      <c r="F113" s="587"/>
      <c r="G113" s="615"/>
      <c r="H113" s="609"/>
      <c r="I113" s="587"/>
      <c r="J113" s="590"/>
      <c r="K113" s="609"/>
      <c r="L113" s="587">
        <f>'первичка 2'!AQ378</f>
        <v>0</v>
      </c>
      <c r="M113" s="590"/>
      <c r="N113" s="604"/>
      <c r="O113" s="587">
        <f>C113+F113+I113+L113</f>
        <v>0</v>
      </c>
      <c r="P113" s="590"/>
    </row>
    <row r="114" spans="1:16" customFormat="1" x14ac:dyDescent="0.3">
      <c r="A114" s="599" t="s">
        <v>957</v>
      </c>
      <c r="B114" s="610">
        <f>SUM(B109:B112)</f>
        <v>64340</v>
      </c>
      <c r="C114" s="588">
        <f>SUM(C109:C112)</f>
        <v>79833.937355995324</v>
      </c>
      <c r="D114" s="591">
        <f>C114-B114</f>
        <v>15493.937355995324</v>
      </c>
      <c r="E114" s="605">
        <f>SUM(E109:E112)</f>
        <v>14155</v>
      </c>
      <c r="F114" s="588">
        <f>SUM(F109:F112)</f>
        <v>16417.184811239829</v>
      </c>
      <c r="G114" s="616">
        <f>F114-E114</f>
        <v>2262.1848112398293</v>
      </c>
      <c r="H114" s="610">
        <f>SUM(H109:H112)</f>
        <v>6850</v>
      </c>
      <c r="I114" s="588" t="e">
        <f>SUM(I109:I112)</f>
        <v>#REF!</v>
      </c>
      <c r="J114" s="591" t="e">
        <f>I114-H114</f>
        <v>#REF!</v>
      </c>
      <c r="K114" s="610">
        <f>SUM(K109:K112)</f>
        <v>38536</v>
      </c>
      <c r="L114" s="588">
        <f>SUM(L109:L113)</f>
        <v>45046.87999999999</v>
      </c>
      <c r="M114" s="590">
        <f>L114-K114</f>
        <v>6510.8799999999901</v>
      </c>
      <c r="N114" s="605">
        <f>SUM(N109:N112)</f>
        <v>123881</v>
      </c>
      <c r="O114" s="588" t="e">
        <f>SUM(O109:O113)</f>
        <v>#REF!</v>
      </c>
      <c r="P114" s="591" t="e">
        <f>O114-N114</f>
        <v>#REF!</v>
      </c>
    </row>
    <row r="115" spans="1:16" customFormat="1" x14ac:dyDescent="0.3">
      <c r="A115" s="598"/>
      <c r="B115" s="609"/>
      <c r="C115" s="587"/>
      <c r="D115" s="590"/>
      <c r="E115" s="604"/>
      <c r="F115" s="587"/>
      <c r="G115" s="615"/>
      <c r="H115" s="609"/>
      <c r="I115" s="587"/>
      <c r="J115" s="590"/>
      <c r="K115" s="609"/>
      <c r="L115" s="587"/>
      <c r="M115" s="590"/>
      <c r="N115" s="604"/>
      <c r="O115" s="587"/>
      <c r="P115" s="590"/>
    </row>
    <row r="116" spans="1:16" customFormat="1" x14ac:dyDescent="0.3">
      <c r="A116" s="599" t="s">
        <v>1607</v>
      </c>
      <c r="B116" s="609"/>
      <c r="C116" s="587"/>
      <c r="D116" s="590"/>
      <c r="E116" s="604"/>
      <c r="F116" s="587"/>
      <c r="G116" s="615"/>
      <c r="H116" s="609"/>
      <c r="I116" s="587"/>
      <c r="J116" s="590"/>
      <c r="K116" s="610">
        <v>108595</v>
      </c>
      <c r="L116" s="588" t="e">
        <f>'первичка 2'!AT378</f>
        <v>#REF!</v>
      </c>
      <c r="M116" s="591" t="e">
        <f>L116-K116</f>
        <v>#REF!</v>
      </c>
      <c r="N116" s="605">
        <f>B116+E116+H116+K116</f>
        <v>108595</v>
      </c>
      <c r="O116" s="588" t="e">
        <f>C116+F116+I116+L116</f>
        <v>#REF!</v>
      </c>
      <c r="P116" s="591" t="e">
        <f>O116-N116</f>
        <v>#REF!</v>
      </c>
    </row>
    <row r="117" spans="1:16" customFormat="1" x14ac:dyDescent="0.3">
      <c r="A117" s="598"/>
      <c r="B117" s="609"/>
      <c r="C117" s="587"/>
      <c r="D117" s="590"/>
      <c r="E117" s="604"/>
      <c r="F117" s="587"/>
      <c r="G117" s="615"/>
      <c r="H117" s="609"/>
      <c r="I117" s="587"/>
      <c r="J117" s="590"/>
      <c r="K117" s="609"/>
      <c r="L117" s="587"/>
      <c r="M117" s="590"/>
      <c r="N117" s="604"/>
      <c r="O117" s="587"/>
      <c r="P117" s="590"/>
    </row>
    <row r="118" spans="1:16" customFormat="1" x14ac:dyDescent="0.3">
      <c r="A118" s="599" t="s">
        <v>926</v>
      </c>
      <c r="B118" s="609"/>
      <c r="C118" s="587"/>
      <c r="D118" s="590"/>
      <c r="E118" s="604"/>
      <c r="F118" s="587"/>
      <c r="G118" s="615"/>
      <c r="H118" s="609"/>
      <c r="I118" s="587"/>
      <c r="J118" s="590"/>
      <c r="K118" s="610">
        <v>123999</v>
      </c>
      <c r="L118" s="588">
        <f>'первичка 1'!Y372</f>
        <v>123936.49500000001</v>
      </c>
      <c r="M118" s="591">
        <f>L118-K118</f>
        <v>-62.504999999990105</v>
      </c>
      <c r="N118" s="605">
        <f>B118+E118+H118+K118</f>
        <v>123999</v>
      </c>
      <c r="O118" s="588">
        <f>C118+F118+I118+L118</f>
        <v>123936.49500000001</v>
      </c>
      <c r="P118" s="591">
        <f>O118-N118</f>
        <v>-62.504999999990105</v>
      </c>
    </row>
    <row r="119" spans="1:16" customFormat="1" x14ac:dyDescent="0.3">
      <c r="A119" s="599" t="s">
        <v>927</v>
      </c>
      <c r="B119" s="609"/>
      <c r="C119" s="587"/>
      <c r="D119" s="590"/>
      <c r="E119" s="604"/>
      <c r="F119" s="587"/>
      <c r="G119" s="615"/>
      <c r="H119" s="609"/>
      <c r="I119" s="587"/>
      <c r="J119" s="590"/>
      <c r="K119" s="610">
        <v>236</v>
      </c>
      <c r="L119" s="588">
        <f>'первичка 1'!AC372</f>
        <v>2127.8410000000003</v>
      </c>
      <c r="M119" s="591">
        <f>L119-K119</f>
        <v>1891.8410000000003</v>
      </c>
      <c r="N119" s="605">
        <f>B119+E119+H119+K119</f>
        <v>236</v>
      </c>
      <c r="O119" s="588">
        <f>C119+F119+I119+L119</f>
        <v>2127.8410000000003</v>
      </c>
      <c r="P119" s="591">
        <f>O119-N119</f>
        <v>1891.8410000000003</v>
      </c>
    </row>
    <row r="120" spans="1:16" customFormat="1" x14ac:dyDescent="0.3">
      <c r="A120" s="599"/>
      <c r="B120" s="609"/>
      <c r="C120" s="587"/>
      <c r="D120" s="590"/>
      <c r="E120" s="604"/>
      <c r="F120" s="587"/>
      <c r="G120" s="615"/>
      <c r="H120" s="609"/>
      <c r="I120" s="587"/>
      <c r="J120" s="590"/>
      <c r="K120" s="610"/>
      <c r="L120" s="588"/>
      <c r="M120" s="591"/>
      <c r="N120" s="605"/>
      <c r="O120" s="588"/>
      <c r="P120" s="591"/>
    </row>
    <row r="121" spans="1:16" customFormat="1" x14ac:dyDescent="0.3">
      <c r="A121" s="599" t="s">
        <v>928</v>
      </c>
      <c r="B121" s="609"/>
      <c r="C121" s="587"/>
      <c r="D121" s="590"/>
      <c r="E121" s="604"/>
      <c r="F121" s="587"/>
      <c r="G121" s="615"/>
      <c r="H121" s="609"/>
      <c r="I121" s="587"/>
      <c r="J121" s="590"/>
      <c r="K121" s="610">
        <v>34666</v>
      </c>
      <c r="L121" s="588">
        <f>'первичка 1'!AL372</f>
        <v>75118.75</v>
      </c>
      <c r="M121" s="591">
        <f>L121-K121</f>
        <v>40452.75</v>
      </c>
      <c r="N121" s="605">
        <f>B121+E121+H121+K121</f>
        <v>34666</v>
      </c>
      <c r="O121" s="588">
        <f>C121+F121+I121+L121</f>
        <v>75118.75</v>
      </c>
      <c r="P121" s="591">
        <f>O121-N121</f>
        <v>40452.75</v>
      </c>
    </row>
    <row r="122" spans="1:16" customFormat="1" x14ac:dyDescent="0.3">
      <c r="A122" s="598"/>
      <c r="B122" s="609"/>
      <c r="C122" s="587"/>
      <c r="D122" s="590"/>
      <c r="E122" s="604"/>
      <c r="F122" s="587"/>
      <c r="G122" s="615"/>
      <c r="H122" s="609"/>
      <c r="I122" s="587"/>
      <c r="J122" s="590"/>
      <c r="K122" s="609"/>
      <c r="L122" s="587"/>
      <c r="M122" s="590"/>
      <c r="N122" s="604"/>
      <c r="O122" s="587"/>
      <c r="P122" s="590"/>
    </row>
    <row r="123" spans="1:16" customFormat="1" x14ac:dyDescent="0.3">
      <c r="A123" s="599" t="s">
        <v>1600</v>
      </c>
      <c r="B123" s="610">
        <f>69613+6328</f>
        <v>75941</v>
      </c>
      <c r="C123" s="588">
        <v>54948</v>
      </c>
      <c r="D123" s="591">
        <f>C123-B123</f>
        <v>-20993</v>
      </c>
      <c r="E123" s="605">
        <f>15315+1392</f>
        <v>16707</v>
      </c>
      <c r="F123" s="588">
        <v>11923</v>
      </c>
      <c r="G123" s="616">
        <f>F123-E123</f>
        <v>-4784</v>
      </c>
      <c r="H123" s="610">
        <v>91477</v>
      </c>
      <c r="I123" s="588">
        <v>42478</v>
      </c>
      <c r="J123" s="591">
        <f>I123-H123</f>
        <v>-48999</v>
      </c>
      <c r="K123" s="610">
        <f>135273+9188</f>
        <v>144461</v>
      </c>
      <c r="L123" s="588">
        <v>151344</v>
      </c>
      <c r="M123" s="591">
        <f>L123-K123</f>
        <v>6883</v>
      </c>
      <c r="N123" s="605">
        <f>B123+E123+H123+K123</f>
        <v>328586</v>
      </c>
      <c r="O123" s="588">
        <f>C123+F123+I123+L123</f>
        <v>260693</v>
      </c>
      <c r="P123" s="591">
        <f>O123-N123</f>
        <v>-67893</v>
      </c>
    </row>
    <row r="124" spans="1:16" customFormat="1" x14ac:dyDescent="0.3">
      <c r="A124" s="598"/>
      <c r="B124" s="609"/>
      <c r="C124" s="587"/>
      <c r="D124" s="590"/>
      <c r="E124" s="604"/>
      <c r="F124" s="587"/>
      <c r="G124" s="615"/>
      <c r="H124" s="609"/>
      <c r="I124" s="587"/>
      <c r="J124" s="590"/>
      <c r="K124" s="609"/>
      <c r="L124" s="587"/>
      <c r="M124" s="590"/>
      <c r="N124" s="604"/>
      <c r="O124" s="587"/>
      <c r="P124" s="590"/>
    </row>
    <row r="125" spans="1:16" customFormat="1" x14ac:dyDescent="0.3">
      <c r="A125" s="599" t="s">
        <v>1601</v>
      </c>
      <c r="B125" s="609"/>
      <c r="C125" s="587"/>
      <c r="D125" s="590"/>
      <c r="E125" s="604"/>
      <c r="F125" s="587"/>
      <c r="G125" s="615"/>
      <c r="H125" s="609"/>
      <c r="I125" s="587"/>
      <c r="J125" s="590"/>
      <c r="K125" s="609"/>
      <c r="L125" s="587"/>
      <c r="M125" s="590"/>
      <c r="N125" s="604"/>
      <c r="O125" s="587"/>
      <c r="P125" s="590"/>
    </row>
    <row r="126" spans="1:16" customFormat="1" x14ac:dyDescent="0.3">
      <c r="A126" s="598" t="s">
        <v>1595</v>
      </c>
      <c r="B126" s="609">
        <v>7813</v>
      </c>
      <c r="C126" s="587">
        <v>5647</v>
      </c>
      <c r="D126" s="590">
        <f t="shared" ref="D126:D131" si="16">C126-B126</f>
        <v>-2166</v>
      </c>
      <c r="E126" s="604">
        <v>1718</v>
      </c>
      <c r="F126" s="587">
        <v>1242</v>
      </c>
      <c r="G126" s="615">
        <f t="shared" ref="G126:G131" si="17">F126-E126</f>
        <v>-476</v>
      </c>
      <c r="H126" s="609">
        <v>9266</v>
      </c>
      <c r="I126" s="587">
        <v>19182</v>
      </c>
      <c r="J126" s="590">
        <f t="shared" ref="J126:J131" si="18">I126-H126</f>
        <v>9916</v>
      </c>
      <c r="K126" s="609">
        <v>0</v>
      </c>
      <c r="L126" s="587">
        <v>11066</v>
      </c>
      <c r="M126" s="590">
        <f t="shared" ref="M126:M131" si="19">L126-K126</f>
        <v>11066</v>
      </c>
      <c r="N126" s="604">
        <f t="shared" ref="N126:O130" si="20">B126+E126+H126+K126</f>
        <v>18797</v>
      </c>
      <c r="O126" s="587">
        <f t="shared" si="20"/>
        <v>37137</v>
      </c>
      <c r="P126" s="590">
        <f t="shared" ref="P126:P131" si="21">O126-N126</f>
        <v>18340</v>
      </c>
    </row>
    <row r="127" spans="1:16" customFormat="1" x14ac:dyDescent="0.3">
      <c r="A127" s="598" t="s">
        <v>1596</v>
      </c>
      <c r="B127" s="609">
        <v>893</v>
      </c>
      <c r="C127" s="587">
        <v>0</v>
      </c>
      <c r="D127" s="590">
        <f t="shared" si="16"/>
        <v>-893</v>
      </c>
      <c r="E127" s="604">
        <v>196</v>
      </c>
      <c r="F127" s="587">
        <v>0</v>
      </c>
      <c r="G127" s="615">
        <f t="shared" si="17"/>
        <v>-196</v>
      </c>
      <c r="H127" s="609">
        <v>666</v>
      </c>
      <c r="I127" s="587">
        <v>0</v>
      </c>
      <c r="J127" s="590">
        <f t="shared" si="18"/>
        <v>-666</v>
      </c>
      <c r="K127" s="609">
        <v>0</v>
      </c>
      <c r="L127" s="587">
        <v>998</v>
      </c>
      <c r="M127" s="590">
        <f t="shared" si="19"/>
        <v>998</v>
      </c>
      <c r="N127" s="604">
        <f t="shared" si="20"/>
        <v>1755</v>
      </c>
      <c r="O127" s="587">
        <f t="shared" si="20"/>
        <v>998</v>
      </c>
      <c r="P127" s="590">
        <f t="shared" si="21"/>
        <v>-757</v>
      </c>
    </row>
    <row r="128" spans="1:16" customFormat="1" x14ac:dyDescent="0.3">
      <c r="A128" s="598" t="s">
        <v>1597</v>
      </c>
      <c r="B128" s="609">
        <v>4271</v>
      </c>
      <c r="C128" s="587">
        <v>3857</v>
      </c>
      <c r="D128" s="590">
        <f t="shared" si="16"/>
        <v>-414</v>
      </c>
      <c r="E128" s="604">
        <v>940</v>
      </c>
      <c r="F128" s="587">
        <v>848</v>
      </c>
      <c r="G128" s="615">
        <f t="shared" si="17"/>
        <v>-92</v>
      </c>
      <c r="H128" s="609">
        <v>3186</v>
      </c>
      <c r="I128" s="587">
        <v>14456</v>
      </c>
      <c r="J128" s="590">
        <f t="shared" si="18"/>
        <v>11270</v>
      </c>
      <c r="K128" s="609">
        <v>0</v>
      </c>
      <c r="L128" s="587">
        <v>294</v>
      </c>
      <c r="M128" s="590">
        <f t="shared" si="19"/>
        <v>294</v>
      </c>
      <c r="N128" s="604">
        <f t="shared" si="20"/>
        <v>8397</v>
      </c>
      <c r="O128" s="587">
        <f t="shared" si="20"/>
        <v>19455</v>
      </c>
      <c r="P128" s="590">
        <f t="shared" si="21"/>
        <v>11058</v>
      </c>
    </row>
    <row r="129" spans="1:16" customFormat="1" x14ac:dyDescent="0.3">
      <c r="A129" s="598" t="s">
        <v>1598</v>
      </c>
      <c r="B129" s="609">
        <v>2250</v>
      </c>
      <c r="C129" s="587">
        <v>4970</v>
      </c>
      <c r="D129" s="590">
        <f t="shared" si="16"/>
        <v>2720</v>
      </c>
      <c r="E129" s="604">
        <v>495</v>
      </c>
      <c r="F129" s="587">
        <v>1093</v>
      </c>
      <c r="G129" s="615">
        <f t="shared" si="17"/>
        <v>598</v>
      </c>
      <c r="H129" s="609">
        <v>1996</v>
      </c>
      <c r="I129" s="587">
        <v>2526</v>
      </c>
      <c r="J129" s="590">
        <f t="shared" si="18"/>
        <v>530</v>
      </c>
      <c r="K129" s="609">
        <v>0</v>
      </c>
      <c r="L129" s="587">
        <v>0</v>
      </c>
      <c r="M129" s="590">
        <f t="shared" si="19"/>
        <v>0</v>
      </c>
      <c r="N129" s="604">
        <f t="shared" si="20"/>
        <v>4741</v>
      </c>
      <c r="O129" s="587">
        <f t="shared" si="20"/>
        <v>8589</v>
      </c>
      <c r="P129" s="590">
        <f t="shared" si="21"/>
        <v>3848</v>
      </c>
    </row>
    <row r="130" spans="1:16" customFormat="1" x14ac:dyDescent="0.3">
      <c r="A130" s="598" t="s">
        <v>1602</v>
      </c>
      <c r="B130" s="699">
        <v>0</v>
      </c>
      <c r="C130" s="587">
        <v>0</v>
      </c>
      <c r="D130" s="590">
        <f t="shared" si="16"/>
        <v>0</v>
      </c>
      <c r="E130" s="604">
        <v>0</v>
      </c>
      <c r="F130" s="587">
        <v>0</v>
      </c>
      <c r="G130" s="615">
        <f t="shared" si="17"/>
        <v>0</v>
      </c>
      <c r="H130" s="609">
        <v>0</v>
      </c>
      <c r="I130" s="587">
        <v>0</v>
      </c>
      <c r="J130" s="590">
        <f t="shared" si="18"/>
        <v>0</v>
      </c>
      <c r="K130" s="609">
        <v>0</v>
      </c>
      <c r="L130" s="587">
        <v>0</v>
      </c>
      <c r="M130" s="590">
        <f t="shared" si="19"/>
        <v>0</v>
      </c>
      <c r="N130" s="604">
        <f t="shared" si="20"/>
        <v>0</v>
      </c>
      <c r="O130" s="587">
        <f t="shared" si="20"/>
        <v>0</v>
      </c>
      <c r="P130" s="590">
        <f t="shared" si="21"/>
        <v>0</v>
      </c>
    </row>
    <row r="131" spans="1:16" customFormat="1" x14ac:dyDescent="0.3">
      <c r="A131" s="599" t="s">
        <v>957</v>
      </c>
      <c r="B131" s="610">
        <f>SUM(B126:B130)</f>
        <v>15227</v>
      </c>
      <c r="C131" s="588">
        <f>SUM(C126:C130)</f>
        <v>14474</v>
      </c>
      <c r="D131" s="591">
        <f t="shared" si="16"/>
        <v>-753</v>
      </c>
      <c r="E131" s="605">
        <f>SUM(E126:E130)</f>
        <v>3349</v>
      </c>
      <c r="F131" s="588">
        <f>SUM(F126:F130)</f>
        <v>3183</v>
      </c>
      <c r="G131" s="616">
        <f t="shared" si="17"/>
        <v>-166</v>
      </c>
      <c r="H131" s="610">
        <f>SUM(H126:H130)</f>
        <v>15114</v>
      </c>
      <c r="I131" s="588">
        <f>SUM(I126:I130)</f>
        <v>36164</v>
      </c>
      <c r="J131" s="591">
        <f t="shared" si="18"/>
        <v>21050</v>
      </c>
      <c r="K131" s="610">
        <f>SUM(K126:K130)</f>
        <v>0</v>
      </c>
      <c r="L131" s="588">
        <f>SUM(L126:L130)</f>
        <v>12358</v>
      </c>
      <c r="M131" s="591">
        <f t="shared" si="19"/>
        <v>12358</v>
      </c>
      <c r="N131" s="605">
        <f>SUM(N126:N130)</f>
        <v>33690</v>
      </c>
      <c r="O131" s="588">
        <f>SUM(O126:O130)</f>
        <v>66179</v>
      </c>
      <c r="P131" s="591">
        <f t="shared" si="21"/>
        <v>32489</v>
      </c>
    </row>
    <row r="132" spans="1:16" customFormat="1" x14ac:dyDescent="0.3">
      <c r="A132" s="598"/>
      <c r="B132" s="609"/>
      <c r="C132" s="587"/>
      <c r="D132" s="590"/>
      <c r="E132" s="604"/>
      <c r="F132" s="587"/>
      <c r="G132" s="615"/>
      <c r="H132" s="609"/>
      <c r="I132" s="587"/>
      <c r="J132" s="590"/>
      <c r="K132" s="609"/>
      <c r="L132" s="587"/>
      <c r="M132" s="590"/>
      <c r="N132" s="604"/>
      <c r="O132" s="587"/>
      <c r="P132" s="590"/>
    </row>
    <row r="133" spans="1:16" customFormat="1" x14ac:dyDescent="0.3">
      <c r="A133" s="598"/>
      <c r="B133" s="609"/>
      <c r="C133" s="587"/>
      <c r="D133" s="590"/>
      <c r="E133" s="604"/>
      <c r="F133" s="587"/>
      <c r="G133" s="615"/>
      <c r="H133" s="609"/>
      <c r="I133" s="587"/>
      <c r="J133" s="590"/>
      <c r="K133" s="609"/>
      <c r="L133" s="587"/>
      <c r="M133" s="590"/>
      <c r="N133" s="604"/>
      <c r="O133" s="587"/>
      <c r="P133" s="590"/>
    </row>
    <row r="134" spans="1:16" customFormat="1" x14ac:dyDescent="0.3">
      <c r="A134" s="599" t="s">
        <v>14</v>
      </c>
      <c r="B134" s="610">
        <v>119857</v>
      </c>
      <c r="C134" s="588">
        <f>'первичка 1'!D372</f>
        <v>132477.80726960284</v>
      </c>
      <c r="D134" s="591">
        <f>C134-B134</f>
        <v>12620.807269602839</v>
      </c>
      <c r="E134" s="605">
        <v>26369</v>
      </c>
      <c r="F134" s="588">
        <f>'первичка 1'!E372</f>
        <v>29145.141938651996</v>
      </c>
      <c r="G134" s="616">
        <f>F134-E134</f>
        <v>2776.1419386519956</v>
      </c>
      <c r="H134" s="610">
        <v>15227</v>
      </c>
      <c r="I134" s="588">
        <f>'первичка 1'!F372</f>
        <v>13640.159999999998</v>
      </c>
      <c r="J134" s="591">
        <f>I134-H134</f>
        <v>-1586.840000000002</v>
      </c>
      <c r="K134" s="610">
        <v>0</v>
      </c>
      <c r="L134" s="588">
        <f>'первичка 1'!G372</f>
        <v>0</v>
      </c>
      <c r="M134" s="591">
        <f>L134-K134</f>
        <v>0</v>
      </c>
      <c r="N134" s="605">
        <f>B134+E134+H134+K134</f>
        <v>161453</v>
      </c>
      <c r="O134" s="588">
        <f>C134+F134+I134+L134</f>
        <v>175263.10920825484</v>
      </c>
      <c r="P134" s="591">
        <f>O134-N134</f>
        <v>13810.109208254842</v>
      </c>
    </row>
    <row r="135" spans="1:16" customFormat="1" x14ac:dyDescent="0.3">
      <c r="A135" s="598"/>
      <c r="B135" s="609"/>
      <c r="C135" s="587"/>
      <c r="D135" s="590"/>
      <c r="E135" s="604"/>
      <c r="F135" s="587"/>
      <c r="G135" s="615"/>
      <c r="H135" s="609"/>
      <c r="I135" s="587"/>
      <c r="J135" s="590"/>
      <c r="K135" s="609"/>
      <c r="L135" s="587"/>
      <c r="M135" s="590"/>
      <c r="N135" s="604"/>
      <c r="O135" s="587"/>
      <c r="P135" s="590"/>
    </row>
    <row r="136" spans="1:16" customFormat="1" x14ac:dyDescent="0.3">
      <c r="A136" s="599" t="s">
        <v>1603</v>
      </c>
      <c r="B136" s="610">
        <v>76588</v>
      </c>
      <c r="C136" s="588">
        <f>'первичка 1'!L372</f>
        <v>108912.32024147184</v>
      </c>
      <c r="D136" s="591">
        <f>C136-B136</f>
        <v>32324.32024147184</v>
      </c>
      <c r="E136" s="605">
        <v>16849</v>
      </c>
      <c r="F136" s="588">
        <f>'первичка 1'!M372</f>
        <v>23960.59767551695</v>
      </c>
      <c r="G136" s="616">
        <f>F136-E136</f>
        <v>7111.5976755169504</v>
      </c>
      <c r="H136" s="610">
        <v>3541</v>
      </c>
      <c r="I136" s="588">
        <f>'первичка 1'!N372+'первичка 1'!O372</f>
        <v>6670.70338855516</v>
      </c>
      <c r="J136" s="591">
        <f>I136-H136</f>
        <v>3129.70338855516</v>
      </c>
      <c r="K136" s="610">
        <v>0</v>
      </c>
      <c r="L136" s="588">
        <v>0</v>
      </c>
      <c r="M136" s="591">
        <f>L136-K136</f>
        <v>0</v>
      </c>
      <c r="N136" s="605">
        <f>B136+E136+H136+K136</f>
        <v>96978</v>
      </c>
      <c r="O136" s="588">
        <f>C136+F136+I136+L136</f>
        <v>139543.62130554393</v>
      </c>
      <c r="P136" s="591">
        <f>O136-N136</f>
        <v>42565.621305543929</v>
      </c>
    </row>
    <row r="137" spans="1:16" customFormat="1" x14ac:dyDescent="0.3">
      <c r="A137" s="598"/>
      <c r="B137" s="609"/>
      <c r="C137" s="587"/>
      <c r="D137" s="590"/>
      <c r="E137" s="604"/>
      <c r="F137" s="587"/>
      <c r="G137" s="615"/>
      <c r="H137" s="609"/>
      <c r="I137" s="587"/>
      <c r="J137" s="590"/>
      <c r="K137" s="609"/>
      <c r="L137" s="587"/>
      <c r="M137" s="590"/>
      <c r="N137" s="604"/>
      <c r="O137" s="587"/>
      <c r="P137" s="590"/>
    </row>
    <row r="138" spans="1:16" customFormat="1" x14ac:dyDescent="0.3">
      <c r="A138" s="599" t="s">
        <v>959</v>
      </c>
      <c r="B138" s="610"/>
      <c r="C138" s="588"/>
      <c r="D138" s="591"/>
      <c r="E138" s="605"/>
      <c r="F138" s="588"/>
      <c r="G138" s="616"/>
      <c r="H138" s="610"/>
      <c r="I138" s="588"/>
      <c r="J138" s="591"/>
      <c r="K138" s="610">
        <v>8762</v>
      </c>
      <c r="L138" s="588">
        <f>'первичка 1'!S372</f>
        <v>8761.5725999999995</v>
      </c>
      <c r="M138" s="591">
        <f>L138-K138</f>
        <v>-0.42740000000048894</v>
      </c>
      <c r="N138" s="605">
        <f>B138+E138+H138+K138</f>
        <v>8762</v>
      </c>
      <c r="O138" s="588">
        <f>C138+F138+I138+L138</f>
        <v>8761.5725999999995</v>
      </c>
      <c r="P138" s="591">
        <f>O138-N138</f>
        <v>-0.42740000000048894</v>
      </c>
    </row>
    <row r="139" spans="1:16" customFormat="1" x14ac:dyDescent="0.3">
      <c r="A139" s="599" t="s">
        <v>962</v>
      </c>
      <c r="B139" s="610"/>
      <c r="C139" s="588"/>
      <c r="D139" s="591"/>
      <c r="E139" s="605"/>
      <c r="F139" s="588"/>
      <c r="G139" s="616"/>
      <c r="H139" s="610"/>
      <c r="I139" s="588"/>
      <c r="J139" s="591"/>
      <c r="K139" s="610">
        <v>1079</v>
      </c>
      <c r="L139" s="588">
        <f>'первичка 1'!V372</f>
        <v>0</v>
      </c>
      <c r="M139" s="591">
        <f>L139-K139</f>
        <v>-1079</v>
      </c>
      <c r="N139" s="605">
        <f>B139+E139+H139+K139</f>
        <v>1079</v>
      </c>
      <c r="O139" s="588">
        <f>C139+F139+I139+L139</f>
        <v>0</v>
      </c>
      <c r="P139" s="591">
        <f>O139-N139</f>
        <v>-1079</v>
      </c>
    </row>
    <row r="140" spans="1:16" customFormat="1" x14ac:dyDescent="0.3">
      <c r="A140" s="598"/>
      <c r="B140" s="609"/>
      <c r="C140" s="587"/>
      <c r="D140" s="590"/>
      <c r="E140" s="604"/>
      <c r="F140" s="587"/>
      <c r="G140" s="615"/>
      <c r="H140" s="609"/>
      <c r="I140" s="587"/>
      <c r="J140" s="590"/>
      <c r="K140" s="609"/>
      <c r="L140" s="587"/>
      <c r="M140" s="590"/>
      <c r="N140" s="604"/>
      <c r="O140" s="587"/>
      <c r="P140" s="590"/>
    </row>
    <row r="141" spans="1:16" customFormat="1" x14ac:dyDescent="0.3">
      <c r="A141" s="599" t="s">
        <v>964</v>
      </c>
      <c r="B141" s="610"/>
      <c r="C141" s="588"/>
      <c r="D141" s="591"/>
      <c r="E141" s="605"/>
      <c r="F141" s="588"/>
      <c r="G141" s="616"/>
      <c r="H141" s="610"/>
      <c r="I141" s="588"/>
      <c r="J141" s="591"/>
      <c r="K141" s="610">
        <v>56143</v>
      </c>
      <c r="L141" s="588">
        <f>'первичка 1'!AF372</f>
        <v>51917.799999999996</v>
      </c>
      <c r="M141" s="591">
        <f>L141-K141</f>
        <v>-4225.2000000000044</v>
      </c>
      <c r="N141" s="605">
        <f>B141+E141+H141+K141</f>
        <v>56143</v>
      </c>
      <c r="O141" s="588">
        <f>C141+F141+I141+L141</f>
        <v>51917.799999999996</v>
      </c>
      <c r="P141" s="591">
        <f>O141-N141</f>
        <v>-4225.2000000000044</v>
      </c>
    </row>
    <row r="142" spans="1:16" customFormat="1" x14ac:dyDescent="0.3">
      <c r="A142" s="599" t="s">
        <v>1604</v>
      </c>
      <c r="B142" s="610"/>
      <c r="C142" s="588"/>
      <c r="D142" s="611"/>
      <c r="E142" s="605"/>
      <c r="F142" s="588"/>
      <c r="G142" s="616"/>
      <c r="H142" s="610"/>
      <c r="I142" s="588"/>
      <c r="J142" s="591"/>
      <c r="K142" s="610">
        <v>27433</v>
      </c>
      <c r="L142" s="588">
        <f>'первичка 1'!AI372</f>
        <v>32856.999999999993</v>
      </c>
      <c r="M142" s="591">
        <f>L142-K142</f>
        <v>5423.9999999999927</v>
      </c>
      <c r="N142" s="605">
        <f>B142+E142+H142+K142</f>
        <v>27433</v>
      </c>
      <c r="O142" s="588">
        <f>C142+F142+I142+L142</f>
        <v>32856.999999999993</v>
      </c>
      <c r="P142" s="591">
        <f>O142-N142</f>
        <v>5423.9999999999927</v>
      </c>
    </row>
    <row r="143" spans="1:16" customFormat="1" x14ac:dyDescent="0.3">
      <c r="A143" s="598"/>
      <c r="B143" s="609"/>
      <c r="C143" s="587"/>
      <c r="D143" s="590"/>
      <c r="E143" s="604"/>
      <c r="F143" s="587"/>
      <c r="G143" s="615"/>
      <c r="H143" s="609"/>
      <c r="I143" s="587"/>
      <c r="J143" s="590"/>
      <c r="K143" s="609"/>
      <c r="L143" s="587"/>
      <c r="M143" s="590"/>
      <c r="N143" s="604"/>
      <c r="O143" s="587"/>
      <c r="P143" s="590"/>
    </row>
    <row r="144" spans="1:16" customFormat="1" ht="15.6" x14ac:dyDescent="0.3">
      <c r="A144" s="600" t="s">
        <v>1605</v>
      </c>
      <c r="B144" s="610">
        <f>B114+B118+B119+B121+B123+B131+B134+B136+B138+B139+B141+B142</f>
        <v>351953</v>
      </c>
      <c r="C144" s="588">
        <f>C114+C118+C119+C121+C123+C131+C134+C136+C138+C139+C141+C142</f>
        <v>390646.06486707006</v>
      </c>
      <c r="D144" s="591">
        <f>C144-B144</f>
        <v>38693.064867070061</v>
      </c>
      <c r="E144" s="605">
        <f>E114+E118+E119+E121+E123+E131+E134+E136+E138+E139+E141+E142</f>
        <v>77429</v>
      </c>
      <c r="F144" s="588">
        <f>F114+F118+F119+F121+F123+F131+F134+F136+F138+F139+F141+F142</f>
        <v>84628.924425408783</v>
      </c>
      <c r="G144" s="616">
        <f>F144-E144</f>
        <v>7199.9244254087826</v>
      </c>
      <c r="H144" s="610">
        <f>H114+H118+H119+H121+H123+H131+H134+H136+H138+H139+H141+H142</f>
        <v>132209</v>
      </c>
      <c r="I144" s="588" t="e">
        <f>I114+I118+I119+I121+I123+I131+I134+I136+I138+I139+I141+I142</f>
        <v>#REF!</v>
      </c>
      <c r="J144" s="591" t="e">
        <f>I144-H144</f>
        <v>#REF!</v>
      </c>
      <c r="K144" s="610">
        <f>K114+K118+K119+K121+K123+K131+K134+K136+K138+K139+K141+K142+K116</f>
        <v>543910</v>
      </c>
      <c r="L144" s="588" t="e">
        <f>L114+L118+L119+L121+L123+L131+L134+L136+L138+L139+L141+L142+L116</f>
        <v>#REF!</v>
      </c>
      <c r="M144" s="591" t="e">
        <f>L144-K144</f>
        <v>#REF!</v>
      </c>
      <c r="N144" s="605">
        <f>N114+N118+N119+N121+N123+N131+N134+N136+N138+N139+N141+N142+N116</f>
        <v>1105501</v>
      </c>
      <c r="O144" s="588" t="e">
        <f>O114+O118+O119+O121+O123+O131+O134+O136+O138+O139+O141+O142+O116</f>
        <v>#REF!</v>
      </c>
      <c r="P144" s="591" t="e">
        <f>O144-N144</f>
        <v>#REF!</v>
      </c>
    </row>
    <row r="145" spans="1:16" customFormat="1" x14ac:dyDescent="0.3">
      <c r="A145" s="598"/>
      <c r="B145" s="612"/>
      <c r="C145" s="555"/>
      <c r="D145" s="592"/>
      <c r="E145" s="606"/>
      <c r="F145" s="555"/>
      <c r="G145" s="617"/>
      <c r="H145" s="612"/>
      <c r="I145" s="555"/>
      <c r="J145" s="592"/>
      <c r="K145" s="612"/>
      <c r="L145" s="555"/>
      <c r="M145" s="592"/>
      <c r="N145" s="606"/>
      <c r="O145" s="555"/>
      <c r="P145" s="592"/>
    </row>
    <row r="146" spans="1:16" customFormat="1" x14ac:dyDescent="0.3">
      <c r="A146" s="656" t="s">
        <v>1606</v>
      </c>
      <c r="B146" s="659">
        <v>63227</v>
      </c>
      <c r="C146" s="652">
        <f>76157+6854</f>
        <v>83011</v>
      </c>
      <c r="D146" s="658">
        <f>C146-B146</f>
        <v>19784</v>
      </c>
      <c r="E146" s="657">
        <v>13783</v>
      </c>
      <c r="F146" s="652">
        <f>16755+1508</f>
        <v>18263</v>
      </c>
      <c r="G146" s="658">
        <f>F146-E146</f>
        <v>4480</v>
      </c>
      <c r="H146" s="659">
        <v>13794</v>
      </c>
      <c r="I146" s="652">
        <f>925+3637+25+631+2060+612</f>
        <v>7890</v>
      </c>
      <c r="J146" s="658">
        <f>I146-H146</f>
        <v>-5904</v>
      </c>
      <c r="K146" s="659">
        <v>36124</v>
      </c>
      <c r="L146" s="652">
        <f>1764+1158+18+9939-602+164+8573+25192+2392+1430+1620+1550+1700+1625</f>
        <v>56523</v>
      </c>
      <c r="M146" s="658">
        <f>L146-K146</f>
        <v>20399</v>
      </c>
      <c r="N146" s="657">
        <v>126929</v>
      </c>
      <c r="O146" s="652">
        <f>C146+F146+I146+L146</f>
        <v>165687</v>
      </c>
      <c r="P146" s="658">
        <f>O146-N146</f>
        <v>38758</v>
      </c>
    </row>
    <row r="147" spans="1:16" customFormat="1" x14ac:dyDescent="0.3">
      <c r="A147" s="601" t="s">
        <v>1624</v>
      </c>
      <c r="B147" s="609"/>
      <c r="C147" s="587"/>
      <c r="D147" s="590"/>
      <c r="E147" s="604"/>
      <c r="F147" s="587"/>
      <c r="G147" s="615"/>
      <c r="H147" s="609"/>
      <c r="I147" s="587"/>
      <c r="J147" s="590"/>
      <c r="K147" s="609"/>
      <c r="L147" s="587"/>
      <c r="M147" s="590"/>
      <c r="N147" s="604">
        <v>28880</v>
      </c>
      <c r="O147" s="587">
        <f>E211+E215</f>
        <v>36768.793854183808</v>
      </c>
      <c r="P147" s="590">
        <f>O147-N147</f>
        <v>7888.7938541838084</v>
      </c>
    </row>
    <row r="148" spans="1:16" customFormat="1" x14ac:dyDescent="0.3">
      <c r="A148" s="601" t="s">
        <v>1621</v>
      </c>
      <c r="B148" s="609"/>
      <c r="C148" s="587"/>
      <c r="D148" s="590"/>
      <c r="E148" s="604"/>
      <c r="F148" s="587"/>
      <c r="G148" s="615"/>
      <c r="H148" s="609"/>
      <c r="I148" s="587"/>
      <c r="J148" s="590"/>
      <c r="K148" s="609"/>
      <c r="L148" s="587"/>
      <c r="M148" s="590"/>
      <c r="N148" s="604">
        <v>111070</v>
      </c>
      <c r="O148" s="587">
        <f>E212</f>
        <v>85079.38489603062</v>
      </c>
      <c r="P148" s="590">
        <f>O148-N148</f>
        <v>-25990.61510396938</v>
      </c>
    </row>
    <row r="149" spans="1:16" customFormat="1" x14ac:dyDescent="0.3">
      <c r="A149" s="619" t="s">
        <v>1622</v>
      </c>
      <c r="B149" s="623"/>
      <c r="C149" s="624"/>
      <c r="D149" s="625"/>
      <c r="E149" s="631"/>
      <c r="F149" s="624"/>
      <c r="G149" s="648"/>
      <c r="H149" s="623"/>
      <c r="I149" s="624"/>
      <c r="J149" s="625"/>
      <c r="K149" s="623"/>
      <c r="L149" s="624"/>
      <c r="M149" s="625"/>
      <c r="N149" s="631">
        <v>53914</v>
      </c>
      <c r="O149" s="587">
        <f>E213</f>
        <v>56346.888406334416</v>
      </c>
      <c r="P149" s="625">
        <f>O149-N149</f>
        <v>2432.8884063344158</v>
      </c>
    </row>
    <row r="150" spans="1:16" customFormat="1" ht="15" thickBot="1" x14ac:dyDescent="0.35">
      <c r="A150" s="619" t="s">
        <v>1625</v>
      </c>
      <c r="B150" s="623"/>
      <c r="C150" s="624"/>
      <c r="D150" s="625"/>
      <c r="E150" s="631"/>
      <c r="F150" s="624"/>
      <c r="G150" s="648"/>
      <c r="H150" s="623"/>
      <c r="I150" s="624"/>
      <c r="J150" s="625"/>
      <c r="K150" s="631"/>
      <c r="L150" s="624"/>
      <c r="M150" s="648"/>
      <c r="N150" s="623"/>
      <c r="O150" s="587">
        <f>E214</f>
        <v>-8636</v>
      </c>
      <c r="P150" s="625"/>
    </row>
    <row r="151" spans="1:16" customFormat="1" ht="15" thickBot="1" x14ac:dyDescent="0.35">
      <c r="A151" s="630" t="s">
        <v>1623</v>
      </c>
      <c r="B151" s="653">
        <f>B144+B146</f>
        <v>415180</v>
      </c>
      <c r="C151" s="654">
        <f>C144+C146</f>
        <v>473657.06486707006</v>
      </c>
      <c r="D151" s="629">
        <f>C151-B151</f>
        <v>58477.064867070061</v>
      </c>
      <c r="E151" s="653">
        <f>E144+E146</f>
        <v>91212</v>
      </c>
      <c r="F151" s="654">
        <f>F144+F146</f>
        <v>102891.92442540878</v>
      </c>
      <c r="G151" s="629">
        <f>F151-E151</f>
        <v>11679.924425408783</v>
      </c>
      <c r="H151" s="653">
        <f>H144+H146</f>
        <v>146003</v>
      </c>
      <c r="I151" s="654" t="e">
        <f>I144+I146</f>
        <v>#REF!</v>
      </c>
      <c r="J151" s="629" t="e">
        <f>I151-H151</f>
        <v>#REF!</v>
      </c>
      <c r="K151" s="653">
        <f>K144+K146</f>
        <v>580034</v>
      </c>
      <c r="L151" s="654" t="e">
        <f>L144+L146</f>
        <v>#REF!</v>
      </c>
      <c r="M151" s="629" t="e">
        <f>L151-K151</f>
        <v>#REF!</v>
      </c>
      <c r="N151" s="632">
        <f>N144+N146+N147+N148+N149</f>
        <v>1426294</v>
      </c>
      <c r="O151" s="628" t="e">
        <f>O144+O146+O147+O148+O149+O150</f>
        <v>#REF!</v>
      </c>
      <c r="P151" s="629" t="e">
        <f>O151-N151</f>
        <v>#REF!</v>
      </c>
    </row>
    <row r="152" spans="1:16" customFormat="1" ht="15" thickBot="1" x14ac:dyDescent="0.35">
      <c r="P152" s="627" t="e">
        <f>O151/N151</f>
        <v>#REF!</v>
      </c>
    </row>
    <row r="153" spans="1:16" customFormat="1" ht="18" x14ac:dyDescent="0.35">
      <c r="A153" s="634" t="str">
        <f>A103</f>
        <v>Фактичні витрати з утримання будинків і прибудинкової території</v>
      </c>
      <c r="O153" s="626" t="str">
        <f>O103</f>
        <v>2024 рік</v>
      </c>
      <c r="P153" s="626">
        <f>P103</f>
        <v>2021</v>
      </c>
    </row>
    <row r="154" spans="1:16" customFormat="1" ht="15" thickBot="1" x14ac:dyDescent="0.35"/>
    <row r="155" spans="1:16" customFormat="1" ht="21.6" thickBot="1" x14ac:dyDescent="0.45">
      <c r="A155" s="1440" t="s">
        <v>1627</v>
      </c>
      <c r="B155" s="1443" t="s">
        <v>948</v>
      </c>
      <c r="C155" s="1444"/>
      <c r="D155" s="1444"/>
      <c r="E155" s="1444"/>
      <c r="F155" s="1444"/>
      <c r="G155" s="1444"/>
      <c r="H155" s="1444"/>
      <c r="I155" s="1444"/>
      <c r="J155" s="1444"/>
      <c r="K155" s="1444"/>
      <c r="L155" s="1444"/>
      <c r="M155" s="1444"/>
      <c r="N155" s="1444"/>
      <c r="O155" s="1444"/>
      <c r="P155" s="1445"/>
    </row>
    <row r="156" spans="1:16" customFormat="1" x14ac:dyDescent="0.3">
      <c r="A156" s="1441"/>
      <c r="B156" s="1446" t="s">
        <v>951</v>
      </c>
      <c r="C156" s="1447"/>
      <c r="D156" s="1448"/>
      <c r="E156" s="1449" t="s">
        <v>952</v>
      </c>
      <c r="F156" s="1450"/>
      <c r="G156" s="1451"/>
      <c r="H156" s="1446" t="s">
        <v>953</v>
      </c>
      <c r="I156" s="1447"/>
      <c r="J156" s="1448"/>
      <c r="K156" s="1446" t="s">
        <v>1599</v>
      </c>
      <c r="L156" s="1447"/>
      <c r="M156" s="1448"/>
      <c r="N156" s="1449" t="s">
        <v>957</v>
      </c>
      <c r="O156" s="1450"/>
      <c r="P156" s="1452"/>
    </row>
    <row r="157" spans="1:16" customFormat="1" ht="15" thickBot="1" x14ac:dyDescent="0.35">
      <c r="A157" s="1442"/>
      <c r="B157" s="607" t="s">
        <v>1013</v>
      </c>
      <c r="C157" s="595" t="s">
        <v>440</v>
      </c>
      <c r="D157" s="596" t="s">
        <v>1109</v>
      </c>
      <c r="E157" s="602" t="s">
        <v>1013</v>
      </c>
      <c r="F157" s="595" t="s">
        <v>440</v>
      </c>
      <c r="G157" s="613" t="s">
        <v>1109</v>
      </c>
      <c r="H157" s="607" t="s">
        <v>1013</v>
      </c>
      <c r="I157" s="595" t="s">
        <v>440</v>
      </c>
      <c r="J157" s="596" t="s">
        <v>1109</v>
      </c>
      <c r="K157" s="607" t="s">
        <v>1013</v>
      </c>
      <c r="L157" s="595" t="s">
        <v>440</v>
      </c>
      <c r="M157" s="596" t="s">
        <v>1109</v>
      </c>
      <c r="N157" s="602" t="s">
        <v>1013</v>
      </c>
      <c r="O157" s="595" t="s">
        <v>440</v>
      </c>
      <c r="P157" s="596" t="s">
        <v>1109</v>
      </c>
    </row>
    <row r="158" spans="1:16" customFormat="1" x14ac:dyDescent="0.3">
      <c r="A158" s="597" t="s">
        <v>1594</v>
      </c>
      <c r="B158" s="608"/>
      <c r="C158" s="593"/>
      <c r="D158" s="594"/>
      <c r="E158" s="603"/>
      <c r="F158" s="593"/>
      <c r="G158" s="614"/>
      <c r="H158" s="608"/>
      <c r="I158" s="593"/>
      <c r="J158" s="594"/>
      <c r="K158" s="608"/>
      <c r="L158" s="593"/>
      <c r="M158" s="594"/>
      <c r="N158" s="603"/>
      <c r="O158" s="593"/>
      <c r="P158" s="594"/>
    </row>
    <row r="159" spans="1:16" customFormat="1" x14ac:dyDescent="0.3">
      <c r="A159" s="598" t="s">
        <v>1595</v>
      </c>
      <c r="B159" s="635">
        <f t="shared" ref="B159:C162" si="22">B9+B59+B109</f>
        <v>132180</v>
      </c>
      <c r="C159" s="587">
        <f t="shared" si="22"/>
        <v>140171.02215800225</v>
      </c>
      <c r="D159" s="590">
        <f>C159-B159</f>
        <v>7991.022158002248</v>
      </c>
      <c r="E159" s="635">
        <f t="shared" ref="E159:F162" si="23">E9+E59+E109</f>
        <v>29080</v>
      </c>
      <c r="F159" s="587">
        <f t="shared" si="23"/>
        <v>29261.999999999993</v>
      </c>
      <c r="G159" s="615">
        <f>F159-E159</f>
        <v>181.99999999999272</v>
      </c>
      <c r="H159" s="635">
        <f t="shared" ref="H159:I162" si="24">H9+H59+H109</f>
        <v>8001</v>
      </c>
      <c r="I159" s="587" t="e">
        <f t="shared" si="24"/>
        <v>#REF!</v>
      </c>
      <c r="J159" s="590" t="e">
        <f>I159-H159</f>
        <v>#REF!</v>
      </c>
      <c r="K159" s="635">
        <f t="shared" ref="K159:L163" si="25">K9+K59+K109</f>
        <v>0</v>
      </c>
      <c r="L159" s="587">
        <f t="shared" si="25"/>
        <v>0</v>
      </c>
      <c r="M159" s="590">
        <f>L159-K159</f>
        <v>0</v>
      </c>
      <c r="N159" s="604">
        <f t="shared" ref="N159:O163" si="26">B159+E159+H159+K159</f>
        <v>169261</v>
      </c>
      <c r="O159" s="587" t="e">
        <f t="shared" si="26"/>
        <v>#REF!</v>
      </c>
      <c r="P159" s="590" t="e">
        <f t="shared" ref="P159:P164" si="27">O159-N159</f>
        <v>#REF!</v>
      </c>
    </row>
    <row r="160" spans="1:16" customFormat="1" x14ac:dyDescent="0.3">
      <c r="A160" s="598" t="s">
        <v>1596</v>
      </c>
      <c r="B160" s="635">
        <f t="shared" si="22"/>
        <v>0</v>
      </c>
      <c r="C160" s="587">
        <f t="shared" si="22"/>
        <v>0</v>
      </c>
      <c r="D160" s="590">
        <f>C160-B160</f>
        <v>0</v>
      </c>
      <c r="E160" s="635">
        <f t="shared" si="23"/>
        <v>0</v>
      </c>
      <c r="F160" s="587">
        <f t="shared" si="23"/>
        <v>0</v>
      </c>
      <c r="G160" s="615">
        <f>F160-E160</f>
        <v>0</v>
      </c>
      <c r="H160" s="635">
        <f t="shared" si="24"/>
        <v>0</v>
      </c>
      <c r="I160" s="587">
        <f t="shared" si="24"/>
        <v>0</v>
      </c>
      <c r="J160" s="590">
        <f>I160-H160</f>
        <v>0</v>
      </c>
      <c r="K160" s="635">
        <f t="shared" si="25"/>
        <v>15747</v>
      </c>
      <c r="L160" s="587">
        <f t="shared" si="25"/>
        <v>15747.309333333333</v>
      </c>
      <c r="M160" s="590">
        <f>L160-K160</f>
        <v>0.3093333333326882</v>
      </c>
      <c r="N160" s="604">
        <f t="shared" si="26"/>
        <v>15747</v>
      </c>
      <c r="O160" s="587">
        <f t="shared" si="26"/>
        <v>15747.309333333333</v>
      </c>
      <c r="P160" s="590">
        <f t="shared" si="27"/>
        <v>0.3093333333326882</v>
      </c>
    </row>
    <row r="161" spans="1:20" x14ac:dyDescent="0.3">
      <c r="A161" s="598" t="s">
        <v>1597</v>
      </c>
      <c r="B161" s="635">
        <f t="shared" si="22"/>
        <v>0</v>
      </c>
      <c r="C161" s="587">
        <f t="shared" si="22"/>
        <v>0</v>
      </c>
      <c r="D161" s="590">
        <f>C161-B161</f>
        <v>0</v>
      </c>
      <c r="E161" s="635">
        <f t="shared" si="23"/>
        <v>0</v>
      </c>
      <c r="F161" s="587">
        <f t="shared" si="23"/>
        <v>0</v>
      </c>
      <c r="G161" s="615">
        <f>F161-E161</f>
        <v>0</v>
      </c>
      <c r="H161" s="635">
        <f t="shared" si="24"/>
        <v>0</v>
      </c>
      <c r="I161" s="587">
        <f t="shared" si="24"/>
        <v>0</v>
      </c>
      <c r="J161" s="590">
        <f>I161-H161</f>
        <v>0</v>
      </c>
      <c r="K161" s="635">
        <f t="shared" si="25"/>
        <v>115232</v>
      </c>
      <c r="L161" s="587">
        <f t="shared" si="25"/>
        <v>115234.04133333334</v>
      </c>
      <c r="M161" s="590">
        <f>L161-K161</f>
        <v>2.041333333341754</v>
      </c>
      <c r="N161" s="604">
        <f t="shared" si="26"/>
        <v>115232</v>
      </c>
      <c r="O161" s="587">
        <f t="shared" si="26"/>
        <v>115234.04133333334</v>
      </c>
      <c r="P161" s="590">
        <f t="shared" si="27"/>
        <v>2.041333333341754</v>
      </c>
      <c r="Q161"/>
      <c r="R161"/>
      <c r="S161"/>
      <c r="T161"/>
    </row>
    <row r="162" spans="1:20" x14ac:dyDescent="0.3">
      <c r="A162" s="598" t="s">
        <v>1598</v>
      </c>
      <c r="B162" s="635">
        <f t="shared" si="22"/>
        <v>65164</v>
      </c>
      <c r="C162" s="587">
        <f t="shared" si="22"/>
        <v>68593.249196638717</v>
      </c>
      <c r="D162" s="590">
        <f>C162-B162</f>
        <v>3429.249196638717</v>
      </c>
      <c r="E162" s="635">
        <f t="shared" si="23"/>
        <v>14336</v>
      </c>
      <c r="F162" s="587">
        <f t="shared" si="23"/>
        <v>13681.999999999998</v>
      </c>
      <c r="G162" s="615">
        <f>F162-E162</f>
        <v>-654.00000000000182</v>
      </c>
      <c r="H162" s="635">
        <f t="shared" si="24"/>
        <v>16208</v>
      </c>
      <c r="I162" s="587" t="e">
        <f t="shared" si="24"/>
        <v>#REF!</v>
      </c>
      <c r="J162" s="590" t="e">
        <f>I162-H162</f>
        <v>#REF!</v>
      </c>
      <c r="K162" s="635">
        <f t="shared" si="25"/>
        <v>0</v>
      </c>
      <c r="L162" s="587">
        <f t="shared" si="25"/>
        <v>26845.980000000003</v>
      </c>
      <c r="M162" s="590">
        <f>L162-K162</f>
        <v>26845.980000000003</v>
      </c>
      <c r="N162" s="604">
        <f t="shared" si="26"/>
        <v>95708</v>
      </c>
      <c r="O162" s="587" t="e">
        <f t="shared" si="26"/>
        <v>#REF!</v>
      </c>
      <c r="P162" s="590" t="e">
        <f t="shared" si="27"/>
        <v>#REF!</v>
      </c>
      <c r="Q162"/>
      <c r="R162"/>
      <c r="S162"/>
      <c r="T162"/>
    </row>
    <row r="163" spans="1:20" x14ac:dyDescent="0.3">
      <c r="A163" s="598" t="s">
        <v>1602</v>
      </c>
      <c r="B163" s="635"/>
      <c r="C163" s="587"/>
      <c r="D163" s="590"/>
      <c r="E163" s="686"/>
      <c r="F163" s="587"/>
      <c r="G163" s="615"/>
      <c r="H163" s="635"/>
      <c r="I163" s="587"/>
      <c r="J163" s="590"/>
      <c r="K163" s="635">
        <f t="shared" si="25"/>
        <v>0</v>
      </c>
      <c r="L163" s="587">
        <f t="shared" si="25"/>
        <v>0</v>
      </c>
      <c r="M163" s="590"/>
      <c r="N163" s="604">
        <f t="shared" si="26"/>
        <v>0</v>
      </c>
      <c r="O163" s="587">
        <f t="shared" si="26"/>
        <v>0</v>
      </c>
      <c r="P163" s="590">
        <f t="shared" si="27"/>
        <v>0</v>
      </c>
      <c r="Q163"/>
      <c r="R163"/>
      <c r="S163"/>
      <c r="T163"/>
    </row>
    <row r="164" spans="1:20" x14ac:dyDescent="0.3">
      <c r="A164" s="599" t="s">
        <v>957</v>
      </c>
      <c r="B164" s="610">
        <f>SUM(B159:B162)</f>
        <v>197344</v>
      </c>
      <c r="C164" s="588">
        <f>SUM(C159:C162)</f>
        <v>208764.27135464095</v>
      </c>
      <c r="D164" s="591">
        <f>C164-B164</f>
        <v>11420.27135464095</v>
      </c>
      <c r="E164" s="605">
        <f>SUM(E159:E162)</f>
        <v>43416</v>
      </c>
      <c r="F164" s="588">
        <f>SUM(F159:F162)</f>
        <v>42943.999999999993</v>
      </c>
      <c r="G164" s="616">
        <f>F164-E164</f>
        <v>-472.00000000000728</v>
      </c>
      <c r="H164" s="610">
        <f>SUM(H159:H162)</f>
        <v>24209</v>
      </c>
      <c r="I164" s="588" t="e">
        <f>SUM(I159:I162)</f>
        <v>#REF!</v>
      </c>
      <c r="J164" s="591" t="e">
        <f>I164-H164</f>
        <v>#REF!</v>
      </c>
      <c r="K164" s="610">
        <f>SUM(K159:K163)</f>
        <v>130979</v>
      </c>
      <c r="L164" s="588">
        <f>SUM(L159:L163)</f>
        <v>157827.33066666668</v>
      </c>
      <c r="M164" s="590">
        <f>L164-K164</f>
        <v>26848.330666666676</v>
      </c>
      <c r="N164" s="605">
        <f>SUM(N159:N163)</f>
        <v>395948</v>
      </c>
      <c r="O164" s="588" t="e">
        <f>SUM(O159:O163)</f>
        <v>#REF!</v>
      </c>
      <c r="P164" s="591" t="e">
        <f t="shared" si="27"/>
        <v>#REF!</v>
      </c>
      <c r="Q164"/>
      <c r="R164" s="589" t="e">
        <f>O164+O166</f>
        <v>#REF!</v>
      </c>
      <c r="S164" s="709" t="e">
        <f>'первичка 2'!D368+'первичка 2'!E368+'первичка 2'!F368+'первичка 2'!G368+'первичка 2'!L368+'первичка 2'!M368+'первичка 2'!N368+'первичка 2'!O368+'первичка 2'!T368+'первичка 2'!W368+'первичка 2'!Z368+'первичка 2'!AA368+'первичка 2'!AB368+'первичка 2'!AH368+'первичка 2'!AI368+'первичка 2'!AJ368+'первичка 2'!AK368+'первичка 2'!AL368+'первичка 2'!AQ368+'первичка 2'!AT368</f>
        <v>#REF!</v>
      </c>
      <c r="T164" s="709" t="e">
        <f>S164-R164</f>
        <v>#REF!</v>
      </c>
    </row>
    <row r="165" spans="1:20" x14ac:dyDescent="0.3">
      <c r="A165" s="598"/>
      <c r="B165" s="609"/>
      <c r="C165" s="587"/>
      <c r="D165" s="590"/>
      <c r="E165" s="604"/>
      <c r="F165" s="587"/>
      <c r="G165" s="615"/>
      <c r="H165" s="609"/>
      <c r="I165" s="587"/>
      <c r="J165" s="590"/>
      <c r="K165" s="609"/>
      <c r="L165" s="587"/>
      <c r="M165" s="590"/>
      <c r="N165" s="604"/>
      <c r="O165" s="587"/>
      <c r="P165" s="590"/>
      <c r="Q165"/>
      <c r="R165"/>
      <c r="S165"/>
      <c r="T165"/>
    </row>
    <row r="166" spans="1:20" x14ac:dyDescent="0.3">
      <c r="A166" s="599" t="s">
        <v>1607</v>
      </c>
      <c r="B166" s="609"/>
      <c r="C166" s="587"/>
      <c r="D166" s="590"/>
      <c r="E166" s="604"/>
      <c r="F166" s="587"/>
      <c r="G166" s="615"/>
      <c r="H166" s="609"/>
      <c r="I166" s="587"/>
      <c r="J166" s="590"/>
      <c r="K166" s="636">
        <f>K16+K66+K116</f>
        <v>353456</v>
      </c>
      <c r="L166" s="588" t="e">
        <f>L16+L66+L116</f>
        <v>#REF!</v>
      </c>
      <c r="M166" s="591" t="e">
        <f>L166-K166</f>
        <v>#REF!</v>
      </c>
      <c r="N166" s="605">
        <f>B166+E166+H166+K166</f>
        <v>353456</v>
      </c>
      <c r="O166" s="588" t="e">
        <f>C166+F166+I166+L166</f>
        <v>#REF!</v>
      </c>
      <c r="P166" s="591" t="e">
        <f>O166-N166</f>
        <v>#REF!</v>
      </c>
      <c r="Q166"/>
      <c r="S166" s="640" t="e">
        <f>'первичка 2'!AT368</f>
        <v>#REF!</v>
      </c>
    </row>
    <row r="167" spans="1:20" x14ac:dyDescent="0.3">
      <c r="A167" s="598"/>
      <c r="B167" s="609"/>
      <c r="C167" s="587"/>
      <c r="D167" s="590"/>
      <c r="E167" s="604"/>
      <c r="F167" s="587"/>
      <c r="G167" s="615"/>
      <c r="H167" s="609"/>
      <c r="I167" s="587"/>
      <c r="J167" s="590"/>
      <c r="K167" s="609"/>
      <c r="L167" s="587"/>
      <c r="M167" s="590"/>
      <c r="N167" s="604"/>
      <c r="O167" s="587"/>
      <c r="P167" s="590"/>
      <c r="Q167"/>
      <c r="R167"/>
      <c r="S167"/>
      <c r="T167"/>
    </row>
    <row r="168" spans="1:20" x14ac:dyDescent="0.3">
      <c r="A168" s="599" t="s">
        <v>926</v>
      </c>
      <c r="B168" s="609"/>
      <c r="C168" s="587"/>
      <c r="D168" s="590"/>
      <c r="E168" s="604"/>
      <c r="F168" s="587"/>
      <c r="G168" s="615"/>
      <c r="H168" s="609"/>
      <c r="I168" s="587"/>
      <c r="J168" s="590"/>
      <c r="K168" s="636">
        <f>K18+K68+K118</f>
        <v>389105</v>
      </c>
      <c r="L168" s="588">
        <f>L18+L68+L118</f>
        <v>386266.57999999996</v>
      </c>
      <c r="M168" s="591">
        <f>L168-K168</f>
        <v>-2838.4200000000419</v>
      </c>
      <c r="N168" s="605">
        <f>B168+E168+H168+K168</f>
        <v>389105</v>
      </c>
      <c r="O168" s="693">
        <f>C168+F168+I168+L168</f>
        <v>386266.57999999996</v>
      </c>
      <c r="P168" s="591">
        <f>O168-N168</f>
        <v>-2838.4200000000419</v>
      </c>
      <c r="Q168"/>
      <c r="R168"/>
      <c r="S168" s="709">
        <f>'первичка 1'!Y368</f>
        <v>386266.58000000007</v>
      </c>
      <c r="T168"/>
    </row>
    <row r="169" spans="1:20" x14ac:dyDescent="0.3">
      <c r="A169" s="599" t="s">
        <v>927</v>
      </c>
      <c r="B169" s="609"/>
      <c r="C169" s="587"/>
      <c r="D169" s="590"/>
      <c r="E169" s="604"/>
      <c r="F169" s="587"/>
      <c r="G169" s="615"/>
      <c r="H169" s="609"/>
      <c r="I169" s="587"/>
      <c r="J169" s="590"/>
      <c r="K169" s="636">
        <f>K19+K69+K119</f>
        <v>5674</v>
      </c>
      <c r="L169" s="588">
        <f>L19+L69+L119</f>
        <v>10244.380999999999</v>
      </c>
      <c r="M169" s="591">
        <f>L169-K169</f>
        <v>4570.3809999999994</v>
      </c>
      <c r="N169" s="605">
        <f>B169+E169+H169+K169</f>
        <v>5674</v>
      </c>
      <c r="O169" s="693">
        <f>C169+F169+I169+L169</f>
        <v>10244.380999999999</v>
      </c>
      <c r="P169" s="591">
        <f>O169-N169</f>
        <v>4570.3809999999994</v>
      </c>
      <c r="Q169"/>
      <c r="R169"/>
      <c r="S169" s="709">
        <f>'первичка 1'!AC368</f>
        <v>10244.380999999998</v>
      </c>
      <c r="T169"/>
    </row>
    <row r="170" spans="1:20" x14ac:dyDescent="0.3">
      <c r="A170" s="599"/>
      <c r="B170" s="609"/>
      <c r="C170" s="587"/>
      <c r="D170" s="590"/>
      <c r="E170" s="604"/>
      <c r="F170" s="587"/>
      <c r="G170" s="615"/>
      <c r="H170" s="609"/>
      <c r="I170" s="587"/>
      <c r="J170" s="590"/>
      <c r="K170" s="610"/>
      <c r="L170" s="588"/>
      <c r="M170" s="591"/>
      <c r="N170" s="605"/>
      <c r="O170" s="588"/>
      <c r="P170" s="591"/>
      <c r="Q170"/>
      <c r="R170"/>
      <c r="S170"/>
      <c r="T170"/>
    </row>
    <row r="171" spans="1:20" x14ac:dyDescent="0.3">
      <c r="A171" s="599" t="s">
        <v>928</v>
      </c>
      <c r="B171" s="609"/>
      <c r="C171" s="587"/>
      <c r="D171" s="590"/>
      <c r="E171" s="604"/>
      <c r="F171" s="587"/>
      <c r="G171" s="615"/>
      <c r="H171" s="609"/>
      <c r="I171" s="587"/>
      <c r="J171" s="590"/>
      <c r="K171" s="636">
        <f>K21+K71+K121</f>
        <v>114570</v>
      </c>
      <c r="L171" s="588">
        <f>L21+L71+L121</f>
        <v>170148.75</v>
      </c>
      <c r="M171" s="591">
        <f>L171-K171</f>
        <v>55578.75</v>
      </c>
      <c r="N171" s="605">
        <f>B171+E171+H171+K171</f>
        <v>114570</v>
      </c>
      <c r="O171" s="693">
        <f>C171+F171+I171+L171</f>
        <v>170148.75</v>
      </c>
      <c r="P171" s="591">
        <f>O171-N171</f>
        <v>55578.75</v>
      </c>
      <c r="Q171"/>
      <c r="R171"/>
      <c r="S171" s="709">
        <f>'первичка 1'!AL368</f>
        <v>170148.75</v>
      </c>
      <c r="T171"/>
    </row>
    <row r="172" spans="1:20" x14ac:dyDescent="0.3">
      <c r="A172" s="598"/>
      <c r="B172" s="609"/>
      <c r="C172" s="587"/>
      <c r="D172" s="590"/>
      <c r="E172" s="604"/>
      <c r="F172" s="587"/>
      <c r="G172" s="615"/>
      <c r="H172" s="609"/>
      <c r="I172" s="587"/>
      <c r="J172" s="590"/>
      <c r="K172" s="609"/>
      <c r="L172" s="587"/>
      <c r="M172" s="590"/>
      <c r="N172" s="604"/>
      <c r="O172" s="587"/>
      <c r="P172" s="590"/>
      <c r="Q172"/>
      <c r="R172"/>
      <c r="S172"/>
      <c r="T172"/>
    </row>
    <row r="173" spans="1:20" x14ac:dyDescent="0.3">
      <c r="A173" s="599" t="s">
        <v>1600</v>
      </c>
      <c r="B173" s="637">
        <f>B23+B73+B123</f>
        <v>224910</v>
      </c>
      <c r="C173" s="580">
        <f>C23+C73+C123</f>
        <v>245539</v>
      </c>
      <c r="D173" s="638">
        <f>C173-B173</f>
        <v>20629</v>
      </c>
      <c r="E173" s="637">
        <f>E23+E73+E123</f>
        <v>49480</v>
      </c>
      <c r="F173" s="580">
        <f>F23+F73+F123</f>
        <v>53279</v>
      </c>
      <c r="G173" s="639">
        <f>F173-E173</f>
        <v>3799</v>
      </c>
      <c r="H173" s="637">
        <f>H23+H73+H123</f>
        <v>264280</v>
      </c>
      <c r="I173" s="580">
        <f>I23+I73+I123</f>
        <v>175998</v>
      </c>
      <c r="J173" s="638">
        <f>I173-H173</f>
        <v>-88282</v>
      </c>
      <c r="K173" s="637">
        <f>K23+K73+K123</f>
        <v>521768</v>
      </c>
      <c r="L173" s="580">
        <f>L23+L73+L123</f>
        <v>493365</v>
      </c>
      <c r="M173" s="638">
        <f>L173-K173</f>
        <v>-28403</v>
      </c>
      <c r="N173" s="605">
        <f>B173+E173+H173+K173</f>
        <v>1060438</v>
      </c>
      <c r="O173" s="693">
        <f>C173+F173+I173+L173</f>
        <v>968181</v>
      </c>
      <c r="P173" s="591">
        <f>O173-N173</f>
        <v>-92257</v>
      </c>
      <c r="Q173"/>
      <c r="R173"/>
      <c r="S173"/>
      <c r="T173" s="589"/>
    </row>
    <row r="174" spans="1:20" x14ac:dyDescent="0.3">
      <c r="A174" s="598"/>
      <c r="B174" s="609"/>
      <c r="C174" s="587"/>
      <c r="D174" s="590"/>
      <c r="E174" s="604"/>
      <c r="F174" s="587"/>
      <c r="G174" s="615"/>
      <c r="H174" s="609"/>
      <c r="I174" s="587"/>
      <c r="J174" s="590"/>
      <c r="K174" s="609"/>
      <c r="L174" s="587"/>
      <c r="M174" s="590"/>
      <c r="N174" s="604"/>
      <c r="O174" s="587"/>
      <c r="P174" s="590"/>
      <c r="Q174"/>
      <c r="R174"/>
      <c r="S174"/>
      <c r="T174"/>
    </row>
    <row r="175" spans="1:20" x14ac:dyDescent="0.3">
      <c r="A175" s="599" t="s">
        <v>1601</v>
      </c>
      <c r="B175" s="609"/>
      <c r="C175" s="587"/>
      <c r="D175" s="590"/>
      <c r="E175" s="604"/>
      <c r="F175" s="587"/>
      <c r="G175" s="615"/>
      <c r="H175" s="609"/>
      <c r="I175" s="587"/>
      <c r="J175" s="590"/>
      <c r="K175" s="609"/>
      <c r="L175" s="587"/>
      <c r="M175" s="590"/>
      <c r="N175" s="604"/>
      <c r="O175" s="587"/>
      <c r="P175" s="590"/>
      <c r="Q175"/>
      <c r="R175"/>
      <c r="S175"/>
      <c r="T175"/>
    </row>
    <row r="176" spans="1:20" x14ac:dyDescent="0.3">
      <c r="A176" s="598" t="s">
        <v>1595</v>
      </c>
      <c r="B176" s="635">
        <f t="shared" ref="B176:C180" si="28">B26+B76+B126</f>
        <v>22982</v>
      </c>
      <c r="C176" s="587">
        <f t="shared" si="28"/>
        <v>19280</v>
      </c>
      <c r="D176" s="590">
        <f t="shared" ref="D176:D181" si="29">C176-B176</f>
        <v>-3702</v>
      </c>
      <c r="E176" s="635">
        <f t="shared" ref="E176:F180" si="30">E26+E76+E126</f>
        <v>5054</v>
      </c>
      <c r="F176" s="587">
        <f t="shared" si="30"/>
        <v>4241</v>
      </c>
      <c r="G176" s="615">
        <f t="shared" ref="G176:G181" si="31">F176-E176</f>
        <v>-813</v>
      </c>
      <c r="H176" s="635">
        <f t="shared" ref="H176:I180" si="32">H26+H76+H126</f>
        <v>26994</v>
      </c>
      <c r="I176" s="587">
        <f t="shared" si="32"/>
        <v>48242</v>
      </c>
      <c r="J176" s="590">
        <f t="shared" ref="J176:J181" si="33">I176-H176</f>
        <v>21248</v>
      </c>
      <c r="K176" s="635">
        <f t="shared" ref="K176:L180" si="34">K26+K76+K126</f>
        <v>0</v>
      </c>
      <c r="L176" s="587">
        <f t="shared" si="34"/>
        <v>12159</v>
      </c>
      <c r="M176" s="590">
        <f t="shared" ref="M176:M181" si="35">L176-K176</f>
        <v>12159</v>
      </c>
      <c r="N176" s="604">
        <f t="shared" ref="N176:O180" si="36">B176+E176+H176+K176</f>
        <v>55030</v>
      </c>
      <c r="O176" s="587">
        <f t="shared" si="36"/>
        <v>83922</v>
      </c>
      <c r="P176" s="590">
        <f t="shared" ref="P176:P181" si="37">O176-N176</f>
        <v>28892</v>
      </c>
      <c r="Q176"/>
      <c r="R176"/>
      <c r="S176"/>
      <c r="T176"/>
    </row>
    <row r="177" spans="1:16" customFormat="1" x14ac:dyDescent="0.3">
      <c r="A177" s="598" t="s">
        <v>1596</v>
      </c>
      <c r="B177" s="635">
        <f t="shared" si="28"/>
        <v>2571</v>
      </c>
      <c r="C177" s="587">
        <f t="shared" si="28"/>
        <v>226</v>
      </c>
      <c r="D177" s="590">
        <f t="shared" si="29"/>
        <v>-2345</v>
      </c>
      <c r="E177" s="635">
        <f t="shared" si="30"/>
        <v>565</v>
      </c>
      <c r="F177" s="587">
        <f t="shared" si="30"/>
        <v>50</v>
      </c>
      <c r="G177" s="615">
        <f t="shared" si="31"/>
        <v>-515</v>
      </c>
      <c r="H177" s="635">
        <f t="shared" si="32"/>
        <v>1962</v>
      </c>
      <c r="I177" s="587">
        <f t="shared" si="32"/>
        <v>514</v>
      </c>
      <c r="J177" s="590">
        <f t="shared" si="33"/>
        <v>-1448</v>
      </c>
      <c r="K177" s="635">
        <f t="shared" si="34"/>
        <v>0</v>
      </c>
      <c r="L177" s="587">
        <f t="shared" si="34"/>
        <v>998</v>
      </c>
      <c r="M177" s="590">
        <f t="shared" si="35"/>
        <v>998</v>
      </c>
      <c r="N177" s="604">
        <f t="shared" si="36"/>
        <v>5098</v>
      </c>
      <c r="O177" s="587">
        <f t="shared" si="36"/>
        <v>1788</v>
      </c>
      <c r="P177" s="590">
        <f t="shared" si="37"/>
        <v>-3310</v>
      </c>
    </row>
    <row r="178" spans="1:16" customFormat="1" x14ac:dyDescent="0.3">
      <c r="A178" s="598" t="s">
        <v>1597</v>
      </c>
      <c r="B178" s="635">
        <f t="shared" si="28"/>
        <v>12716</v>
      </c>
      <c r="C178" s="587">
        <f t="shared" si="28"/>
        <v>3857</v>
      </c>
      <c r="D178" s="590">
        <f t="shared" si="29"/>
        <v>-8859</v>
      </c>
      <c r="E178" s="635">
        <f t="shared" si="30"/>
        <v>2798</v>
      </c>
      <c r="F178" s="587">
        <f t="shared" si="30"/>
        <v>848</v>
      </c>
      <c r="G178" s="615">
        <f t="shared" si="31"/>
        <v>-1950</v>
      </c>
      <c r="H178" s="635">
        <f t="shared" si="32"/>
        <v>8659</v>
      </c>
      <c r="I178" s="587">
        <f t="shared" si="32"/>
        <v>14456</v>
      </c>
      <c r="J178" s="590">
        <f t="shared" si="33"/>
        <v>5797</v>
      </c>
      <c r="K178" s="635">
        <f t="shared" si="34"/>
        <v>0</v>
      </c>
      <c r="L178" s="587">
        <f t="shared" si="34"/>
        <v>3364</v>
      </c>
      <c r="M178" s="590">
        <f t="shared" si="35"/>
        <v>3364</v>
      </c>
      <c r="N178" s="604">
        <f t="shared" si="36"/>
        <v>24173</v>
      </c>
      <c r="O178" s="587">
        <f t="shared" si="36"/>
        <v>22525</v>
      </c>
      <c r="P178" s="590">
        <f t="shared" si="37"/>
        <v>-1648</v>
      </c>
    </row>
    <row r="179" spans="1:16" customFormat="1" x14ac:dyDescent="0.3">
      <c r="A179" s="598" t="s">
        <v>1598</v>
      </c>
      <c r="B179" s="635">
        <f t="shared" si="28"/>
        <v>6298</v>
      </c>
      <c r="C179" s="587">
        <f t="shared" si="28"/>
        <v>27578</v>
      </c>
      <c r="D179" s="590">
        <f t="shared" si="29"/>
        <v>21280</v>
      </c>
      <c r="E179" s="635">
        <f t="shared" si="30"/>
        <v>1386</v>
      </c>
      <c r="F179" s="587">
        <f t="shared" si="30"/>
        <v>6067</v>
      </c>
      <c r="G179" s="615">
        <f t="shared" si="31"/>
        <v>4681</v>
      </c>
      <c r="H179" s="635">
        <f t="shared" si="32"/>
        <v>5584</v>
      </c>
      <c r="I179" s="587">
        <f t="shared" si="32"/>
        <v>13373</v>
      </c>
      <c r="J179" s="590">
        <f t="shared" si="33"/>
        <v>7789</v>
      </c>
      <c r="K179" s="635">
        <f t="shared" si="34"/>
        <v>0</v>
      </c>
      <c r="L179" s="587">
        <f t="shared" si="34"/>
        <v>0</v>
      </c>
      <c r="M179" s="590">
        <f t="shared" si="35"/>
        <v>0</v>
      </c>
      <c r="N179" s="604">
        <f t="shared" si="36"/>
        <v>13268</v>
      </c>
      <c r="O179" s="587">
        <f t="shared" si="36"/>
        <v>47018</v>
      </c>
      <c r="P179" s="590">
        <f t="shared" si="37"/>
        <v>33750</v>
      </c>
    </row>
    <row r="180" spans="1:16" customFormat="1" x14ac:dyDescent="0.3">
      <c r="A180" s="598" t="s">
        <v>1602</v>
      </c>
      <c r="B180" s="635">
        <f t="shared" si="28"/>
        <v>1389</v>
      </c>
      <c r="C180" s="587">
        <f t="shared" si="28"/>
        <v>0</v>
      </c>
      <c r="D180" s="590">
        <f t="shared" si="29"/>
        <v>-1389</v>
      </c>
      <c r="E180" s="635">
        <f t="shared" si="30"/>
        <v>305</v>
      </c>
      <c r="F180" s="587">
        <f t="shared" si="30"/>
        <v>0</v>
      </c>
      <c r="G180" s="615">
        <f t="shared" si="31"/>
        <v>-305</v>
      </c>
      <c r="H180" s="635">
        <f t="shared" si="32"/>
        <v>444</v>
      </c>
      <c r="I180" s="587">
        <f t="shared" si="32"/>
        <v>0</v>
      </c>
      <c r="J180" s="590">
        <f t="shared" si="33"/>
        <v>-444</v>
      </c>
      <c r="K180" s="635">
        <f t="shared" si="34"/>
        <v>0</v>
      </c>
      <c r="L180" s="587">
        <f t="shared" si="34"/>
        <v>0</v>
      </c>
      <c r="M180" s="590">
        <f t="shared" si="35"/>
        <v>0</v>
      </c>
      <c r="N180" s="604">
        <f t="shared" si="36"/>
        <v>2138</v>
      </c>
      <c r="O180" s="587">
        <f t="shared" si="36"/>
        <v>0</v>
      </c>
      <c r="P180" s="590">
        <f t="shared" si="37"/>
        <v>-2138</v>
      </c>
    </row>
    <row r="181" spans="1:16" customFormat="1" x14ac:dyDescent="0.3">
      <c r="A181" s="599" t="s">
        <v>957</v>
      </c>
      <c r="B181" s="610">
        <f>SUM(B176:B180)</f>
        <v>45956</v>
      </c>
      <c r="C181" s="588">
        <f>SUM(C176:C180)</f>
        <v>50941</v>
      </c>
      <c r="D181" s="591">
        <f t="shared" si="29"/>
        <v>4985</v>
      </c>
      <c r="E181" s="605">
        <f>SUM(E176:E180)</f>
        <v>10108</v>
      </c>
      <c r="F181" s="588">
        <f>SUM(F176:F180)</f>
        <v>11206</v>
      </c>
      <c r="G181" s="616">
        <f t="shared" si="31"/>
        <v>1098</v>
      </c>
      <c r="H181" s="610">
        <f>SUM(H176:H180)</f>
        <v>43643</v>
      </c>
      <c r="I181" s="588">
        <f>SUM(I176:I180)</f>
        <v>76585</v>
      </c>
      <c r="J181" s="591">
        <f t="shared" si="33"/>
        <v>32942</v>
      </c>
      <c r="K181" s="610">
        <f>SUM(K176:K180)</f>
        <v>0</v>
      </c>
      <c r="L181" s="588">
        <f>SUM(L176:L180)</f>
        <v>16521</v>
      </c>
      <c r="M181" s="591">
        <f t="shared" si="35"/>
        <v>16521</v>
      </c>
      <c r="N181" s="605">
        <f>SUM(N176:N180)</f>
        <v>99707</v>
      </c>
      <c r="O181" s="693">
        <f>SUM(O176:O180)</f>
        <v>155253</v>
      </c>
      <c r="P181" s="591">
        <f t="shared" si="37"/>
        <v>55546</v>
      </c>
    </row>
    <row r="182" spans="1:16" customFormat="1" x14ac:dyDescent="0.3">
      <c r="A182" s="598"/>
      <c r="B182" s="609"/>
      <c r="C182" s="587"/>
      <c r="D182" s="590"/>
      <c r="E182" s="604"/>
      <c r="F182" s="587"/>
      <c r="G182" s="615"/>
      <c r="H182" s="609"/>
      <c r="I182" s="587"/>
      <c r="J182" s="590"/>
      <c r="K182" s="609"/>
      <c r="L182" s="587"/>
      <c r="M182" s="590"/>
      <c r="N182" s="604"/>
      <c r="O182" s="587"/>
      <c r="P182" s="590"/>
    </row>
    <row r="183" spans="1:16" customFormat="1" x14ac:dyDescent="0.3">
      <c r="A183" s="598"/>
      <c r="B183" s="609"/>
      <c r="C183" s="587"/>
      <c r="D183" s="590"/>
      <c r="E183" s="604"/>
      <c r="F183" s="587"/>
      <c r="G183" s="615"/>
      <c r="H183" s="609"/>
      <c r="I183" s="587"/>
      <c r="J183" s="590"/>
      <c r="K183" s="609"/>
      <c r="L183" s="587"/>
      <c r="M183" s="590"/>
      <c r="N183" s="604"/>
      <c r="O183" s="587"/>
      <c r="P183" s="590"/>
    </row>
    <row r="184" spans="1:16" customFormat="1" x14ac:dyDescent="0.3">
      <c r="A184" s="599" t="s">
        <v>14</v>
      </c>
      <c r="B184" s="637">
        <f>B34+B84+B134</f>
        <v>454498</v>
      </c>
      <c r="C184" s="580">
        <f>C34+C84+C134</f>
        <v>544295.00000000023</v>
      </c>
      <c r="D184" s="638">
        <f>C184-B184</f>
        <v>89797.000000000233</v>
      </c>
      <c r="E184" s="637">
        <f>E34+E84+E134</f>
        <v>99990</v>
      </c>
      <c r="F184" s="580">
        <f>F34+F84+F134</f>
        <v>119745</v>
      </c>
      <c r="G184" s="639">
        <f>F184-E184</f>
        <v>19755</v>
      </c>
      <c r="H184" s="637">
        <f>H34+H84+H134</f>
        <v>56089</v>
      </c>
      <c r="I184" s="580">
        <f>I34+I84+I134</f>
        <v>41681.909999999996</v>
      </c>
      <c r="J184" s="638">
        <f>I184-H184</f>
        <v>-14407.090000000004</v>
      </c>
      <c r="K184" s="637">
        <f>K34+K84+K134</f>
        <v>0</v>
      </c>
      <c r="L184" s="580">
        <f>L34+L84+L134</f>
        <v>0</v>
      </c>
      <c r="M184" s="638">
        <f>L184-K184</f>
        <v>0</v>
      </c>
      <c r="N184" s="605">
        <f>B184+E184+H184+K184</f>
        <v>610577</v>
      </c>
      <c r="O184" s="693">
        <f>C184+F184+I184+L184</f>
        <v>705721.91000000027</v>
      </c>
      <c r="P184" s="591">
        <f>O184-N184</f>
        <v>95144.910000000265</v>
      </c>
    </row>
    <row r="185" spans="1:16" customFormat="1" x14ac:dyDescent="0.3">
      <c r="A185" s="598"/>
      <c r="B185" s="609"/>
      <c r="C185" s="587"/>
      <c r="D185" s="590"/>
      <c r="E185" s="604"/>
      <c r="F185" s="587"/>
      <c r="G185" s="615"/>
      <c r="H185" s="609"/>
      <c r="I185" s="587"/>
      <c r="J185" s="590"/>
      <c r="K185" s="609"/>
      <c r="L185" s="587"/>
      <c r="M185" s="590"/>
      <c r="N185" s="604"/>
      <c r="O185" s="692"/>
      <c r="P185" s="590"/>
    </row>
    <row r="186" spans="1:16" customFormat="1" x14ac:dyDescent="0.3">
      <c r="A186" s="599" t="s">
        <v>1603</v>
      </c>
      <c r="B186" s="637">
        <f>B36+B86+B136</f>
        <v>251891</v>
      </c>
      <c r="C186" s="580">
        <f>C36+C86+C136</f>
        <v>328346.99999999988</v>
      </c>
      <c r="D186" s="638">
        <f>C186-B186</f>
        <v>76455.999999999884</v>
      </c>
      <c r="E186" s="637">
        <f>E36+E86+E136</f>
        <v>55416</v>
      </c>
      <c r="F186" s="580">
        <f>F36+F86+F136</f>
        <v>72236</v>
      </c>
      <c r="G186" s="639">
        <f>F186-E186</f>
        <v>16820</v>
      </c>
      <c r="H186" s="637">
        <f>H36+H86+H136</f>
        <v>11683</v>
      </c>
      <c r="I186" s="580">
        <f>I36+I86+I136</f>
        <v>24627.66</v>
      </c>
      <c r="J186" s="638">
        <f>I186-H186</f>
        <v>12944.66</v>
      </c>
      <c r="K186" s="637">
        <f>K36+K86+K136</f>
        <v>0</v>
      </c>
      <c r="L186" s="580">
        <f>L36+L86+L136</f>
        <v>0</v>
      </c>
      <c r="M186" s="638">
        <f>L186-K186</f>
        <v>0</v>
      </c>
      <c r="N186" s="605">
        <f>B186+E186+H186+K186</f>
        <v>318990</v>
      </c>
      <c r="O186" s="693">
        <f>C186+F186+I186+L186</f>
        <v>425210.65999999986</v>
      </c>
      <c r="P186" s="591">
        <f>O186-N186</f>
        <v>106220.65999999986</v>
      </c>
    </row>
    <row r="187" spans="1:16" customFormat="1" x14ac:dyDescent="0.3">
      <c r="A187" s="598"/>
      <c r="B187" s="609"/>
      <c r="C187" s="587"/>
      <c r="D187" s="590"/>
      <c r="E187" s="604"/>
      <c r="F187" s="587"/>
      <c r="G187" s="615"/>
      <c r="H187" s="609"/>
      <c r="I187" s="587"/>
      <c r="J187" s="590"/>
      <c r="K187" s="609"/>
      <c r="L187" s="587"/>
      <c r="M187" s="590"/>
      <c r="N187" s="604"/>
      <c r="O187" s="587"/>
      <c r="P187" s="590"/>
    </row>
    <row r="188" spans="1:16" customFormat="1" x14ac:dyDescent="0.3">
      <c r="A188" s="599" t="s">
        <v>959</v>
      </c>
      <c r="B188" s="610"/>
      <c r="C188" s="588"/>
      <c r="D188" s="591"/>
      <c r="E188" s="605"/>
      <c r="F188" s="588"/>
      <c r="G188" s="616"/>
      <c r="H188" s="610"/>
      <c r="I188" s="588"/>
      <c r="J188" s="591"/>
      <c r="K188" s="636">
        <f>K38+K88+K138</f>
        <v>24695</v>
      </c>
      <c r="L188" s="588">
        <f>L38+L88+L138</f>
        <v>24694.823999999997</v>
      </c>
      <c r="M188" s="591">
        <f>L188-K188</f>
        <v>-0.17600000000311411</v>
      </c>
      <c r="N188" s="605">
        <f>B188+E188+H188+K188</f>
        <v>24695</v>
      </c>
      <c r="O188" s="693">
        <f>C188+F188+I188+L188</f>
        <v>24694.823999999997</v>
      </c>
      <c r="P188" s="591">
        <f>O188-N188</f>
        <v>-0.17600000000311411</v>
      </c>
    </row>
    <row r="189" spans="1:16" customFormat="1" x14ac:dyDescent="0.3">
      <c r="A189" s="599" t="s">
        <v>962</v>
      </c>
      <c r="B189" s="610"/>
      <c r="C189" s="588"/>
      <c r="D189" s="591"/>
      <c r="E189" s="605"/>
      <c r="F189" s="588"/>
      <c r="G189" s="616"/>
      <c r="H189" s="610"/>
      <c r="I189" s="588"/>
      <c r="J189" s="591"/>
      <c r="K189" s="636">
        <f>K39+K89+K139</f>
        <v>3040</v>
      </c>
      <c r="L189" s="588">
        <f>L39+L89+L139</f>
        <v>0</v>
      </c>
      <c r="M189" s="591">
        <f>L189-K189</f>
        <v>-3040</v>
      </c>
      <c r="N189" s="605">
        <f>B189+E189+H189+K189</f>
        <v>3040</v>
      </c>
      <c r="O189" s="693">
        <f>C189+F189+I189+L189</f>
        <v>0</v>
      </c>
      <c r="P189" s="591">
        <f>O189-N189</f>
        <v>-3040</v>
      </c>
    </row>
    <row r="190" spans="1:16" customFormat="1" x14ac:dyDescent="0.3">
      <c r="A190" s="598"/>
      <c r="B190" s="609"/>
      <c r="C190" s="587"/>
      <c r="D190" s="590"/>
      <c r="E190" s="604"/>
      <c r="F190" s="587"/>
      <c r="G190" s="615"/>
      <c r="H190" s="609"/>
      <c r="I190" s="587"/>
      <c r="J190" s="590"/>
      <c r="K190" s="609"/>
      <c r="L190" s="587"/>
      <c r="M190" s="590"/>
      <c r="N190" s="604"/>
      <c r="O190" s="587"/>
      <c r="P190" s="590"/>
    </row>
    <row r="191" spans="1:16" customFormat="1" x14ac:dyDescent="0.3">
      <c r="A191" s="599" t="s">
        <v>964</v>
      </c>
      <c r="B191" s="610"/>
      <c r="C191" s="588"/>
      <c r="D191" s="591"/>
      <c r="E191" s="605"/>
      <c r="F191" s="588"/>
      <c r="G191" s="616"/>
      <c r="H191" s="610"/>
      <c r="I191" s="588"/>
      <c r="J191" s="591"/>
      <c r="K191" s="636">
        <f>K41+K91+K141</f>
        <v>160145</v>
      </c>
      <c r="L191" s="588">
        <f>L41+L91+L141</f>
        <v>146281</v>
      </c>
      <c r="M191" s="591">
        <f>L191-K191</f>
        <v>-13864</v>
      </c>
      <c r="N191" s="605">
        <f>B191+E191+H191+K191</f>
        <v>160145</v>
      </c>
      <c r="O191" s="693">
        <f>C191+F191+I191+L191</f>
        <v>146281</v>
      </c>
      <c r="P191" s="591">
        <f>O191-N191</f>
        <v>-13864</v>
      </c>
    </row>
    <row r="192" spans="1:16" customFormat="1" x14ac:dyDescent="0.3">
      <c r="A192" s="599" t="s">
        <v>1604</v>
      </c>
      <c r="B192" s="610"/>
      <c r="C192" s="588"/>
      <c r="D192" s="611"/>
      <c r="E192" s="605"/>
      <c r="F192" s="588"/>
      <c r="G192" s="616"/>
      <c r="H192" s="610"/>
      <c r="I192" s="588"/>
      <c r="J192" s="591"/>
      <c r="K192" s="636">
        <f>K42+K92+K142</f>
        <v>87396</v>
      </c>
      <c r="L192" s="588">
        <f>L42+L92+L142</f>
        <v>109256.4</v>
      </c>
      <c r="M192" s="591">
        <f>L192-K192</f>
        <v>21860.399999999994</v>
      </c>
      <c r="N192" s="605">
        <f>B192+E192+H192+K192</f>
        <v>87396</v>
      </c>
      <c r="O192" s="693">
        <f>C192+F192+I192+L192</f>
        <v>109256.4</v>
      </c>
      <c r="P192" s="591">
        <f>O192-N192</f>
        <v>21860.399999999994</v>
      </c>
    </row>
    <row r="193" spans="1:16" customFormat="1" x14ac:dyDescent="0.3">
      <c r="A193" s="598"/>
      <c r="B193" s="609"/>
      <c r="C193" s="587"/>
      <c r="D193" s="590"/>
      <c r="E193" s="604"/>
      <c r="F193" s="587"/>
      <c r="G193" s="615"/>
      <c r="H193" s="609"/>
      <c r="I193" s="587"/>
      <c r="J193" s="590"/>
      <c r="K193" s="609"/>
      <c r="L193" s="587"/>
      <c r="M193" s="590"/>
      <c r="N193" s="604"/>
      <c r="O193" s="587"/>
      <c r="P193" s="590"/>
    </row>
    <row r="194" spans="1:16" customFormat="1" ht="15.6" x14ac:dyDescent="0.3">
      <c r="A194" s="600" t="s">
        <v>1605</v>
      </c>
      <c r="B194" s="610">
        <f>B164+B168+B169+B171+B173+B181+B184+B186+B188+B189+B191+B192</f>
        <v>1174599</v>
      </c>
      <c r="C194" s="588">
        <f>C164+C168+C169+C171+C173+C181+C184+C186+C188+C189+C191+C192</f>
        <v>1377886.2713546413</v>
      </c>
      <c r="D194" s="591">
        <f>C194-B194</f>
        <v>203287.2713546413</v>
      </c>
      <c r="E194" s="605">
        <f>E164+E168+E169+E171+E173+E181+E184+E186+E188+E189+E191+E192</f>
        <v>258410</v>
      </c>
      <c r="F194" s="588">
        <f>F164+F168+F169+F171+F173+F181+F184+F186+F188+F189+F191+F192</f>
        <v>299410</v>
      </c>
      <c r="G194" s="616">
        <f>F194-E194</f>
        <v>41000</v>
      </c>
      <c r="H194" s="610">
        <f>H164+H168+H169+H171+H173+H181+H184+H186+H188+H189+H191+H192</f>
        <v>399904</v>
      </c>
      <c r="I194" s="588" t="e">
        <f>I164+I168+I169+I171+I173+I181+I184+I186+I188+I189+I191+I192</f>
        <v>#REF!</v>
      </c>
      <c r="J194" s="591" t="e">
        <f>I194-H194</f>
        <v>#REF!</v>
      </c>
      <c r="K194" s="610">
        <f>K164+K168+K169+K171+K173+K181+K184+K186+K188+K189+K191+K192+K166</f>
        <v>1790828</v>
      </c>
      <c r="L194" s="588" t="e">
        <f>L164+L168+L169+L171+L173+L181+L184+L186+L188+L189+L191+L192+L166</f>
        <v>#REF!</v>
      </c>
      <c r="M194" s="591" t="e">
        <f>L194-K194</f>
        <v>#REF!</v>
      </c>
      <c r="N194" s="605">
        <f>N164+N168+N169+N171+N173+N181+N184+N186+N188+N189+N191+N192+N166</f>
        <v>3623741</v>
      </c>
      <c r="O194" s="588" t="e">
        <f>O164+O168+O169+O171+O173+O181+O184+O186+O188+O189+O191+O192+O166</f>
        <v>#REF!</v>
      </c>
      <c r="P194" s="591" t="e">
        <f>O194-N194</f>
        <v>#REF!</v>
      </c>
    </row>
    <row r="195" spans="1:16" customFormat="1" x14ac:dyDescent="0.3">
      <c r="A195" s="598"/>
      <c r="B195" s="612"/>
      <c r="C195" s="555"/>
      <c r="D195" s="592"/>
      <c r="E195" s="606"/>
      <c r="F195" s="555"/>
      <c r="G195" s="617"/>
      <c r="H195" s="612"/>
      <c r="I195" s="555"/>
      <c r="J195" s="592"/>
      <c r="K195" s="612"/>
      <c r="L195" s="555"/>
      <c r="M195" s="592"/>
      <c r="N195" s="606"/>
      <c r="O195" s="555"/>
      <c r="P195" s="592"/>
    </row>
    <row r="196" spans="1:16" customFormat="1" x14ac:dyDescent="0.3">
      <c r="A196" s="599" t="s">
        <v>1641</v>
      </c>
      <c r="B196" s="637">
        <f>B46+B96+B146</f>
        <v>208705</v>
      </c>
      <c r="C196" s="580">
        <f>C46+C96+C146</f>
        <v>260102</v>
      </c>
      <c r="D196" s="638">
        <f>C196-B196</f>
        <v>51397</v>
      </c>
      <c r="E196" s="637">
        <f>E46+E96+E146</f>
        <v>45497</v>
      </c>
      <c r="F196" s="580">
        <f>F46+F96+F146</f>
        <v>57224</v>
      </c>
      <c r="G196" s="638">
        <f>F196-E196</f>
        <v>11727</v>
      </c>
      <c r="H196" s="637">
        <f>H46+H96+H146</f>
        <v>46296</v>
      </c>
      <c r="I196" s="580">
        <f>I46+I96+I146</f>
        <v>25318</v>
      </c>
      <c r="J196" s="638">
        <f>I196-H196</f>
        <v>-20978</v>
      </c>
      <c r="K196" s="637">
        <f>K46+K96+K146</f>
        <v>100997</v>
      </c>
      <c r="L196" s="580">
        <f>L46+L96+L146</f>
        <v>152662</v>
      </c>
      <c r="M196" s="638">
        <f>L196-K196</f>
        <v>51665</v>
      </c>
      <c r="N196" s="651">
        <f t="shared" ref="N196:O199" si="38">N46+N96+N146</f>
        <v>401496</v>
      </c>
      <c r="O196" s="694">
        <f t="shared" si="38"/>
        <v>495306</v>
      </c>
      <c r="P196" s="638">
        <f>O196-N196</f>
        <v>93810</v>
      </c>
    </row>
    <row r="197" spans="1:16" customFormat="1" x14ac:dyDescent="0.3">
      <c r="A197" s="601" t="s">
        <v>1624</v>
      </c>
      <c r="B197" s="612"/>
      <c r="C197" s="555"/>
      <c r="D197" s="592"/>
      <c r="E197" s="612"/>
      <c r="F197" s="555"/>
      <c r="G197" s="592"/>
      <c r="H197" s="612"/>
      <c r="I197" s="555"/>
      <c r="J197" s="592"/>
      <c r="K197" s="612"/>
      <c r="L197" s="555"/>
      <c r="M197" s="592"/>
      <c r="N197" s="604">
        <f t="shared" si="38"/>
        <v>90624</v>
      </c>
      <c r="O197" s="695">
        <f t="shared" si="38"/>
        <v>104304</v>
      </c>
      <c r="P197" s="590">
        <f>O197-N197</f>
        <v>13680</v>
      </c>
    </row>
    <row r="198" spans="1:16" customFormat="1" x14ac:dyDescent="0.3">
      <c r="A198" s="601" t="s">
        <v>1621</v>
      </c>
      <c r="B198" s="612"/>
      <c r="C198" s="555"/>
      <c r="D198" s="592"/>
      <c r="E198" s="612"/>
      <c r="F198" s="555"/>
      <c r="G198" s="592"/>
      <c r="H198" s="612"/>
      <c r="I198" s="555"/>
      <c r="J198" s="592"/>
      <c r="K198" s="612"/>
      <c r="L198" s="555"/>
      <c r="M198" s="592"/>
      <c r="N198" s="604">
        <f t="shared" si="38"/>
        <v>348501</v>
      </c>
      <c r="O198" s="695">
        <f t="shared" si="38"/>
        <v>269935</v>
      </c>
      <c r="P198" s="590">
        <f>O198-N198</f>
        <v>-78566</v>
      </c>
    </row>
    <row r="199" spans="1:16" customFormat="1" x14ac:dyDescent="0.3">
      <c r="A199" s="619" t="s">
        <v>1622</v>
      </c>
      <c r="B199" s="620"/>
      <c r="C199" s="621"/>
      <c r="D199" s="622"/>
      <c r="E199" s="620"/>
      <c r="F199" s="621"/>
      <c r="G199" s="622"/>
      <c r="H199" s="620"/>
      <c r="I199" s="621"/>
      <c r="J199" s="622"/>
      <c r="K199" s="620"/>
      <c r="L199" s="621"/>
      <c r="M199" s="622"/>
      <c r="N199" s="604">
        <f t="shared" si="38"/>
        <v>168534</v>
      </c>
      <c r="O199" s="695">
        <f t="shared" si="38"/>
        <v>176140</v>
      </c>
      <c r="P199" s="625">
        <f>O199-N199</f>
        <v>7606</v>
      </c>
    </row>
    <row r="200" spans="1:16" customFormat="1" ht="15" thickBot="1" x14ac:dyDescent="0.35">
      <c r="A200" s="619" t="s">
        <v>1625</v>
      </c>
      <c r="B200" s="620"/>
      <c r="C200" s="621"/>
      <c r="D200" s="622"/>
      <c r="E200" s="620"/>
      <c r="F200" s="621"/>
      <c r="G200" s="622"/>
      <c r="H200" s="620"/>
      <c r="I200" s="621"/>
      <c r="J200" s="622"/>
      <c r="K200" s="620"/>
      <c r="L200" s="621"/>
      <c r="M200" s="622"/>
      <c r="N200" s="623"/>
      <c r="O200" s="695">
        <f>O50+O100+O150</f>
        <v>-25908</v>
      </c>
      <c r="P200" s="625"/>
    </row>
    <row r="201" spans="1:16" customFormat="1" ht="15" thickBot="1" x14ac:dyDescent="0.35">
      <c r="A201" s="630" t="s">
        <v>1623</v>
      </c>
      <c r="B201" s="653">
        <f>B194+B196</f>
        <v>1383304</v>
      </c>
      <c r="C201" s="654">
        <f>C194+C196</f>
        <v>1637988.2713546413</v>
      </c>
      <c r="D201" s="629">
        <f>C201-B201</f>
        <v>254684.2713546413</v>
      </c>
      <c r="E201" s="653">
        <f>E194+E196</f>
        <v>303907</v>
      </c>
      <c r="F201" s="654">
        <f>F194+F196</f>
        <v>356634</v>
      </c>
      <c r="G201" s="629">
        <f>F201-E201</f>
        <v>52727</v>
      </c>
      <c r="H201" s="653">
        <f>H194+H196</f>
        <v>446200</v>
      </c>
      <c r="I201" s="654" t="e">
        <f>I194+I196</f>
        <v>#REF!</v>
      </c>
      <c r="J201" s="629" t="e">
        <f>I201-H201</f>
        <v>#REF!</v>
      </c>
      <c r="K201" s="653">
        <f>K194+K196</f>
        <v>1891825</v>
      </c>
      <c r="L201" s="654" t="e">
        <f>L194+L196</f>
        <v>#REF!</v>
      </c>
      <c r="M201" s="629" t="e">
        <f>L201-K201</f>
        <v>#REF!</v>
      </c>
      <c r="N201" s="632">
        <f>N194+N196+N197+N198+N199</f>
        <v>4632896</v>
      </c>
      <c r="O201" s="628" t="e">
        <f>O194+O196+O197+O198+O199+O200</f>
        <v>#REF!</v>
      </c>
      <c r="P201" s="629" t="e">
        <f>O201-N201</f>
        <v>#REF!</v>
      </c>
    </row>
    <row r="202" spans="1:16" customFormat="1" ht="15" thickBot="1" x14ac:dyDescent="0.35">
      <c r="P202" s="627" t="e">
        <f>O201/N201</f>
        <v>#REF!</v>
      </c>
    </row>
    <row r="203" spans="1:16" customFormat="1" x14ac:dyDescent="0.3">
      <c r="P203" s="696"/>
    </row>
    <row r="204" spans="1:16" customFormat="1" x14ac:dyDescent="0.3">
      <c r="K204" s="555" t="s">
        <v>1674</v>
      </c>
      <c r="L204" s="555"/>
      <c r="M204" s="555"/>
      <c r="N204" s="555"/>
      <c r="O204" s="587">
        <f>558029-57625</f>
        <v>500404</v>
      </c>
    </row>
    <row r="205" spans="1:16" customFormat="1" x14ac:dyDescent="0.3">
      <c r="K205" s="555" t="s">
        <v>1675</v>
      </c>
      <c r="L205" s="555"/>
      <c r="M205" s="555"/>
      <c r="N205" s="555"/>
      <c r="O205" s="587">
        <v>-6748</v>
      </c>
    </row>
    <row r="206" spans="1:16" customFormat="1" x14ac:dyDescent="0.3">
      <c r="K206" s="697" t="s">
        <v>1676</v>
      </c>
      <c r="L206" s="697"/>
      <c r="M206" s="697"/>
      <c r="N206" s="697"/>
      <c r="O206" s="580" t="e">
        <f>O201+O204+O205</f>
        <v>#REF!</v>
      </c>
    </row>
    <row r="207" spans="1:16" customFormat="1" x14ac:dyDescent="0.3">
      <c r="K207" s="697" t="s">
        <v>1677</v>
      </c>
      <c r="L207" s="697"/>
      <c r="M207" s="697"/>
      <c r="N207" s="697"/>
      <c r="O207" s="580">
        <f>'побудинковий звіт'!CS354</f>
        <v>62178345.899170026</v>
      </c>
    </row>
    <row r="208" spans="1:16" customFormat="1" x14ac:dyDescent="0.3">
      <c r="O208" s="698" t="e">
        <f>O206-O207</f>
        <v>#REF!</v>
      </c>
    </row>
    <row r="210" spans="1:7" customFormat="1" x14ac:dyDescent="0.3">
      <c r="A210" s="555"/>
      <c r="B210" s="690"/>
      <c r="C210" s="690" t="s">
        <v>1670</v>
      </c>
      <c r="D210" s="690" t="s">
        <v>1671</v>
      </c>
      <c r="E210" s="690" t="s">
        <v>1672</v>
      </c>
      <c r="F210" s="690"/>
      <c r="G210" s="707" t="s">
        <v>1683</v>
      </c>
    </row>
    <row r="211" spans="1:7" customFormat="1" x14ac:dyDescent="0.3">
      <c r="A211" s="555" t="s">
        <v>1666</v>
      </c>
      <c r="B211" s="692">
        <f>G211-O196</f>
        <v>89458</v>
      </c>
      <c r="C211" s="587">
        <f>B211/B222*B219</f>
        <v>30449.364747413016</v>
      </c>
      <c r="D211" s="587">
        <f>B211/B222*B220</f>
        <v>30812.841398403172</v>
      </c>
      <c r="E211" s="587">
        <f>B211/B222*B221</f>
        <v>28195.793854183812</v>
      </c>
      <c r="F211" s="692">
        <f>SUM(C211:E211)</f>
        <v>89458</v>
      </c>
      <c r="G211" s="708">
        <f>599610-14846</f>
        <v>584764</v>
      </c>
    </row>
    <row r="212" spans="1:7" customFormat="1" x14ac:dyDescent="0.3">
      <c r="A212" s="555" t="s">
        <v>1668</v>
      </c>
      <c r="B212" s="692">
        <v>269935</v>
      </c>
      <c r="C212" s="587">
        <f>B212/B222*B219</f>
        <v>91879.421327247794</v>
      </c>
      <c r="D212" s="587">
        <f>B212/B222*B220</f>
        <v>92976.1937767216</v>
      </c>
      <c r="E212" s="587">
        <f>B212/B222*B221</f>
        <v>85079.38489603062</v>
      </c>
      <c r="F212" s="692">
        <f>SUM(C212:E212)</f>
        <v>269935</v>
      </c>
    </row>
    <row r="213" spans="1:7" customFormat="1" x14ac:dyDescent="0.3">
      <c r="A213" s="555" t="s">
        <v>1667</v>
      </c>
      <c r="B213" s="692">
        <v>176140</v>
      </c>
      <c r="C213" s="587">
        <f>B213/C222*C219</f>
        <v>54844.926645834443</v>
      </c>
      <c r="D213" s="587">
        <f>B213/C222*C220</f>
        <v>64948.184947831156</v>
      </c>
      <c r="E213" s="587">
        <f>B213/C222*C221</f>
        <v>56346.888406334416</v>
      </c>
      <c r="F213" s="692">
        <f>SUM(C213:E213)</f>
        <v>176140</v>
      </c>
    </row>
    <row r="214" spans="1:7" customFormat="1" x14ac:dyDescent="0.3">
      <c r="A214" s="555" t="s">
        <v>1669</v>
      </c>
      <c r="B214" s="692">
        <v>-25908</v>
      </c>
      <c r="C214" s="587">
        <f>B214/3</f>
        <v>-8636</v>
      </c>
      <c r="D214" s="587">
        <f>B214/3</f>
        <v>-8636</v>
      </c>
      <c r="E214" s="587">
        <f>B214/3</f>
        <v>-8636</v>
      </c>
      <c r="F214" s="692">
        <f>SUM(C214:E214)</f>
        <v>-25908</v>
      </c>
    </row>
    <row r="215" spans="1:7" customFormat="1" x14ac:dyDescent="0.3">
      <c r="A215" s="555" t="s">
        <v>1673</v>
      </c>
      <c r="B215" s="692">
        <v>14846</v>
      </c>
      <c r="C215" s="587">
        <v>0</v>
      </c>
      <c r="D215" s="587">
        <v>6273</v>
      </c>
      <c r="E215" s="587">
        <v>8573</v>
      </c>
      <c r="F215" s="692">
        <f>SUM(C215:E215)</f>
        <v>14846</v>
      </c>
    </row>
    <row r="216" spans="1:7" customFormat="1" x14ac:dyDescent="0.3">
      <c r="B216" s="691"/>
      <c r="C216" s="691"/>
      <c r="D216" s="691"/>
      <c r="E216" s="691"/>
      <c r="F216" s="691"/>
    </row>
    <row r="217" spans="1:7" customFormat="1" x14ac:dyDescent="0.3">
      <c r="B217" s="691"/>
      <c r="C217" s="691"/>
      <c r="D217" s="691"/>
      <c r="E217" s="691"/>
      <c r="F217" s="691"/>
    </row>
    <row r="218" spans="1:7" customFormat="1" x14ac:dyDescent="0.3">
      <c r="A218" s="555"/>
      <c r="B218" s="587" t="s">
        <v>939</v>
      </c>
      <c r="C218" s="587" t="s">
        <v>1091</v>
      </c>
      <c r="D218" s="587"/>
      <c r="E218" s="587"/>
      <c r="F218" s="691"/>
    </row>
    <row r="219" spans="1:7" customFormat="1" x14ac:dyDescent="0.3">
      <c r="A219" s="555" t="s">
        <v>1670</v>
      </c>
      <c r="B219" s="587">
        <f>'зведена таблиця'!G7</f>
        <v>338389.14999999997</v>
      </c>
      <c r="C219" s="587">
        <v>5879</v>
      </c>
      <c r="D219" s="587"/>
      <c r="E219" s="587"/>
      <c r="F219" s="691"/>
    </row>
    <row r="220" spans="1:7" customFormat="1" x14ac:dyDescent="0.3">
      <c r="A220" s="555" t="s">
        <v>1671</v>
      </c>
      <c r="B220" s="587">
        <f>'зведена таблиця'!J7</f>
        <v>342428.52999999997</v>
      </c>
      <c r="C220" s="587">
        <v>6962</v>
      </c>
      <c r="D220" s="587"/>
      <c r="E220" s="587"/>
      <c r="F220" s="691"/>
    </row>
    <row r="221" spans="1:7" customFormat="1" x14ac:dyDescent="0.3">
      <c r="A221" s="555" t="s">
        <v>1672</v>
      </c>
      <c r="B221" s="587">
        <f>'зведена таблиця'!M7</f>
        <v>313344.82000000018</v>
      </c>
      <c r="C221" s="587">
        <v>6040</v>
      </c>
      <c r="D221" s="587"/>
      <c r="E221" s="587"/>
      <c r="F221" s="691"/>
    </row>
    <row r="222" spans="1:7" customFormat="1" x14ac:dyDescent="0.3">
      <c r="A222" s="555"/>
      <c r="B222" s="587">
        <f>SUM(B219:B221)</f>
        <v>994162.50000000012</v>
      </c>
      <c r="C222" s="587">
        <f>SUM(C219:C221)</f>
        <v>18881</v>
      </c>
      <c r="D222" s="587"/>
      <c r="E222" s="587"/>
      <c r="F222" s="691"/>
    </row>
    <row r="225" spans="1:16" customFormat="1" x14ac:dyDescent="0.3">
      <c r="A225" t="s">
        <v>1665</v>
      </c>
    </row>
    <row r="227" spans="1:16" customFormat="1" ht="15" thickBot="1" x14ac:dyDescent="0.35"/>
    <row r="228" spans="1:16" customFormat="1" ht="21.6" thickBot="1" x14ac:dyDescent="0.45">
      <c r="A228" s="1440" t="s">
        <v>1627</v>
      </c>
      <c r="B228" s="1455" t="s">
        <v>1584</v>
      </c>
      <c r="C228" s="1444"/>
      <c r="D228" s="1444"/>
      <c r="E228" s="1444"/>
      <c r="F228" s="1444"/>
      <c r="G228" s="1444"/>
      <c r="H228" s="1444"/>
      <c r="I228" s="1444"/>
      <c r="J228" s="1444"/>
      <c r="K228" s="1444"/>
      <c r="L228" s="1444"/>
      <c r="M228" s="1444"/>
      <c r="N228" s="1444"/>
      <c r="O228" s="1444"/>
      <c r="P228" s="1445"/>
    </row>
    <row r="229" spans="1:16" customFormat="1" x14ac:dyDescent="0.3">
      <c r="A229" s="1453"/>
      <c r="B229" s="1446" t="s">
        <v>951</v>
      </c>
      <c r="C229" s="1447"/>
      <c r="D229" s="1448"/>
      <c r="E229" s="1456" t="s">
        <v>952</v>
      </c>
      <c r="F229" s="1447"/>
      <c r="G229" s="1457"/>
      <c r="H229" s="1446" t="s">
        <v>953</v>
      </c>
      <c r="I229" s="1447"/>
      <c r="J229" s="1448"/>
      <c r="K229" s="1456" t="s">
        <v>1599</v>
      </c>
      <c r="L229" s="1447"/>
      <c r="M229" s="1457"/>
      <c r="N229" s="1446" t="s">
        <v>957</v>
      </c>
      <c r="O229" s="1447"/>
      <c r="P229" s="1448"/>
    </row>
    <row r="230" spans="1:16" customFormat="1" ht="15" thickBot="1" x14ac:dyDescent="0.35">
      <c r="A230" s="1454"/>
      <c r="B230" s="607" t="s">
        <v>1013</v>
      </c>
      <c r="C230" s="595" t="s">
        <v>440</v>
      </c>
      <c r="D230" s="596" t="s">
        <v>1109</v>
      </c>
      <c r="E230" s="602" t="s">
        <v>1013</v>
      </c>
      <c r="F230" s="595" t="s">
        <v>440</v>
      </c>
      <c r="G230" s="613" t="s">
        <v>1109</v>
      </c>
      <c r="H230" s="607" t="s">
        <v>1013</v>
      </c>
      <c r="I230" s="595" t="s">
        <v>440</v>
      </c>
      <c r="J230" s="596" t="s">
        <v>1109</v>
      </c>
      <c r="K230" s="602" t="s">
        <v>1013</v>
      </c>
      <c r="L230" s="595" t="s">
        <v>440</v>
      </c>
      <c r="M230" s="613" t="s">
        <v>1109</v>
      </c>
      <c r="N230" s="607" t="s">
        <v>1013</v>
      </c>
      <c r="O230" s="595" t="s">
        <v>440</v>
      </c>
      <c r="P230" s="596" t="s">
        <v>1109</v>
      </c>
    </row>
    <row r="231" spans="1:16" customFormat="1" x14ac:dyDescent="0.3">
      <c r="A231" s="598"/>
      <c r="B231" s="609"/>
      <c r="C231" s="587"/>
      <c r="D231" s="590"/>
      <c r="E231" s="604"/>
      <c r="F231" s="587"/>
      <c r="G231" s="615"/>
      <c r="H231" s="609"/>
      <c r="I231" s="587"/>
      <c r="J231" s="590"/>
      <c r="K231" s="604"/>
      <c r="L231" s="587"/>
      <c r="M231" s="615"/>
      <c r="N231" s="609"/>
      <c r="O231" s="587"/>
      <c r="P231" s="590"/>
    </row>
    <row r="232" spans="1:16" customFormat="1" x14ac:dyDescent="0.3">
      <c r="A232" s="599" t="s">
        <v>1600</v>
      </c>
      <c r="B232" s="610">
        <f>55615+4675</f>
        <v>60290</v>
      </c>
      <c r="C232" s="588"/>
      <c r="D232" s="591">
        <f>C232-B232</f>
        <v>-60290</v>
      </c>
      <c r="E232" s="605">
        <f>12235+1029</f>
        <v>13264</v>
      </c>
      <c r="F232" s="588"/>
      <c r="G232" s="616">
        <f>F232-E232</f>
        <v>-13264</v>
      </c>
      <c r="H232" s="610">
        <v>76305</v>
      </c>
      <c r="I232" s="588"/>
      <c r="J232" s="591">
        <f>I232-H232</f>
        <v>-76305</v>
      </c>
      <c r="K232" s="618">
        <f>223475+39855</f>
        <v>263330</v>
      </c>
      <c r="L232" s="588"/>
      <c r="M232" s="616">
        <f>L232-K232</f>
        <v>-263330</v>
      </c>
      <c r="N232" s="610">
        <f>B232+E232+H232+K232</f>
        <v>413189</v>
      </c>
      <c r="O232" s="588">
        <f>C232+F232+I232+L232</f>
        <v>0</v>
      </c>
      <c r="P232" s="591">
        <f>O232-N232</f>
        <v>-413189</v>
      </c>
    </row>
    <row r="233" spans="1:16" customFormat="1" x14ac:dyDescent="0.3">
      <c r="A233" s="598"/>
      <c r="B233" s="609"/>
      <c r="C233" s="587"/>
      <c r="D233" s="590"/>
      <c r="E233" s="604"/>
      <c r="F233" s="587"/>
      <c r="G233" s="615"/>
      <c r="H233" s="609"/>
      <c r="I233" s="587"/>
      <c r="J233" s="590"/>
      <c r="K233" s="604"/>
      <c r="L233" s="587"/>
      <c r="M233" s="615"/>
      <c r="N233" s="609"/>
      <c r="O233" s="587"/>
      <c r="P233" s="590"/>
    </row>
    <row r="234" spans="1:16" customFormat="1" x14ac:dyDescent="0.3">
      <c r="A234" s="599" t="s">
        <v>1601</v>
      </c>
      <c r="B234" s="609"/>
      <c r="C234" s="587"/>
      <c r="D234" s="590"/>
      <c r="E234" s="604"/>
      <c r="F234" s="587"/>
      <c r="G234" s="615"/>
      <c r="H234" s="609"/>
      <c r="I234" s="587"/>
      <c r="J234" s="590"/>
      <c r="K234" s="604"/>
      <c r="L234" s="587"/>
      <c r="M234" s="615"/>
      <c r="N234" s="609"/>
      <c r="O234" s="587"/>
      <c r="P234" s="590"/>
    </row>
    <row r="235" spans="1:16" customFormat="1" x14ac:dyDescent="0.3">
      <c r="A235" s="598" t="s">
        <v>1595</v>
      </c>
      <c r="B235" s="609">
        <v>5308</v>
      </c>
      <c r="C235" s="587"/>
      <c r="D235" s="590">
        <f t="shared" ref="D235:D240" si="39">C235-B235</f>
        <v>-5308</v>
      </c>
      <c r="E235" s="604">
        <v>1167</v>
      </c>
      <c r="F235" s="587"/>
      <c r="G235" s="615">
        <f t="shared" ref="G235:G240" si="40">F235-E235</f>
        <v>-1167</v>
      </c>
      <c r="H235" s="609">
        <v>6250</v>
      </c>
      <c r="I235" s="587"/>
      <c r="J235" s="590">
        <f t="shared" ref="J235:J240" si="41">I235-H235</f>
        <v>-6250</v>
      </c>
      <c r="K235" s="604">
        <v>0</v>
      </c>
      <c r="L235" s="587"/>
      <c r="M235" s="615">
        <f t="shared" ref="M235:M240" si="42">L235-K235</f>
        <v>0</v>
      </c>
      <c r="N235" s="609">
        <f t="shared" ref="N235:O239" si="43">B235+E235+H235+K235</f>
        <v>12725</v>
      </c>
      <c r="O235" s="587">
        <f t="shared" si="43"/>
        <v>0</v>
      </c>
      <c r="P235" s="590">
        <f t="shared" ref="P235:P240" si="44">O235-N235</f>
        <v>-12725</v>
      </c>
    </row>
    <row r="236" spans="1:16" customFormat="1" x14ac:dyDescent="0.3">
      <c r="A236" s="598" t="s">
        <v>1596</v>
      </c>
      <c r="B236" s="609">
        <v>1122</v>
      </c>
      <c r="C236" s="587"/>
      <c r="D236" s="590">
        <f t="shared" si="39"/>
        <v>-1122</v>
      </c>
      <c r="E236" s="604">
        <v>247</v>
      </c>
      <c r="F236" s="587"/>
      <c r="G236" s="615">
        <f t="shared" si="40"/>
        <v>-247</v>
      </c>
      <c r="H236" s="609">
        <v>862</v>
      </c>
      <c r="I236" s="587"/>
      <c r="J236" s="590">
        <f t="shared" si="41"/>
        <v>-862</v>
      </c>
      <c r="K236" s="604">
        <v>0</v>
      </c>
      <c r="L236" s="587"/>
      <c r="M236" s="615">
        <f t="shared" si="42"/>
        <v>0</v>
      </c>
      <c r="N236" s="609">
        <f t="shared" si="43"/>
        <v>2231</v>
      </c>
      <c r="O236" s="587">
        <f t="shared" si="43"/>
        <v>0</v>
      </c>
      <c r="P236" s="590">
        <f t="shared" si="44"/>
        <v>-2231</v>
      </c>
    </row>
    <row r="237" spans="1:16" customFormat="1" x14ac:dyDescent="0.3">
      <c r="A237" s="598" t="s">
        <v>1597</v>
      </c>
      <c r="B237" s="609">
        <v>2799</v>
      </c>
      <c r="C237" s="587"/>
      <c r="D237" s="590">
        <f t="shared" si="39"/>
        <v>-2799</v>
      </c>
      <c r="E237" s="604">
        <v>616</v>
      </c>
      <c r="F237" s="587"/>
      <c r="G237" s="615">
        <f t="shared" si="40"/>
        <v>-616</v>
      </c>
      <c r="H237" s="609">
        <v>1776</v>
      </c>
      <c r="I237" s="587"/>
      <c r="J237" s="590">
        <f t="shared" si="41"/>
        <v>-1776</v>
      </c>
      <c r="K237" s="604">
        <v>0</v>
      </c>
      <c r="L237" s="587"/>
      <c r="M237" s="615">
        <f t="shared" si="42"/>
        <v>0</v>
      </c>
      <c r="N237" s="609">
        <f t="shared" si="43"/>
        <v>5191</v>
      </c>
      <c r="O237" s="587">
        <f t="shared" si="43"/>
        <v>0</v>
      </c>
      <c r="P237" s="590">
        <f t="shared" si="44"/>
        <v>-5191</v>
      </c>
    </row>
    <row r="238" spans="1:16" customFormat="1" x14ac:dyDescent="0.3">
      <c r="A238" s="598" t="s">
        <v>1598</v>
      </c>
      <c r="B238" s="609">
        <v>1617</v>
      </c>
      <c r="C238" s="587"/>
      <c r="D238" s="590">
        <f t="shared" si="39"/>
        <v>-1617</v>
      </c>
      <c r="E238" s="604">
        <v>356</v>
      </c>
      <c r="F238" s="587"/>
      <c r="G238" s="615">
        <f t="shared" si="40"/>
        <v>-356</v>
      </c>
      <c r="H238" s="609">
        <v>1420</v>
      </c>
      <c r="I238" s="587"/>
      <c r="J238" s="590">
        <f t="shared" si="41"/>
        <v>-1420</v>
      </c>
      <c r="K238" s="604">
        <v>0</v>
      </c>
      <c r="L238" s="587"/>
      <c r="M238" s="615">
        <f t="shared" si="42"/>
        <v>0</v>
      </c>
      <c r="N238" s="609">
        <f t="shared" si="43"/>
        <v>3393</v>
      </c>
      <c r="O238" s="587">
        <f t="shared" si="43"/>
        <v>0</v>
      </c>
      <c r="P238" s="590">
        <f t="shared" si="44"/>
        <v>-3393</v>
      </c>
    </row>
    <row r="239" spans="1:16" customFormat="1" x14ac:dyDescent="0.3">
      <c r="A239" s="598" t="s">
        <v>1602</v>
      </c>
      <c r="B239" s="609">
        <v>1330</v>
      </c>
      <c r="C239" s="587"/>
      <c r="D239" s="590">
        <f t="shared" si="39"/>
        <v>-1330</v>
      </c>
      <c r="E239" s="604">
        <v>292</v>
      </c>
      <c r="F239" s="587"/>
      <c r="G239" s="615">
        <f t="shared" si="40"/>
        <v>-292</v>
      </c>
      <c r="H239" s="609">
        <v>425</v>
      </c>
      <c r="I239" s="587"/>
      <c r="J239" s="590">
        <f t="shared" si="41"/>
        <v>-425</v>
      </c>
      <c r="K239" s="604">
        <v>0</v>
      </c>
      <c r="L239" s="587"/>
      <c r="M239" s="615">
        <f t="shared" si="42"/>
        <v>0</v>
      </c>
      <c r="N239" s="609">
        <f t="shared" si="43"/>
        <v>2047</v>
      </c>
      <c r="O239" s="587">
        <f t="shared" si="43"/>
        <v>0</v>
      </c>
      <c r="P239" s="590">
        <f t="shared" si="44"/>
        <v>-2047</v>
      </c>
    </row>
    <row r="240" spans="1:16" customFormat="1" x14ac:dyDescent="0.3">
      <c r="A240" s="599" t="s">
        <v>957</v>
      </c>
      <c r="B240" s="610">
        <f>SUM(B235:B239)</f>
        <v>12176</v>
      </c>
      <c r="C240" s="588"/>
      <c r="D240" s="591">
        <f t="shared" si="39"/>
        <v>-12176</v>
      </c>
      <c r="E240" s="605">
        <f>SUM(E235:E239)</f>
        <v>2678</v>
      </c>
      <c r="F240" s="588">
        <f>SUM(F235:F239)</f>
        <v>0</v>
      </c>
      <c r="G240" s="616">
        <f t="shared" si="40"/>
        <v>-2678</v>
      </c>
      <c r="H240" s="610">
        <f>SUM(H235:H239)</f>
        <v>10733</v>
      </c>
      <c r="I240" s="588">
        <f>SUM(I235:I239)</f>
        <v>0</v>
      </c>
      <c r="J240" s="591">
        <f t="shared" si="41"/>
        <v>-10733</v>
      </c>
      <c r="K240" s="605">
        <f>SUM(K235:K239)</f>
        <v>0</v>
      </c>
      <c r="L240" s="588">
        <f>SUM(L235:L239)</f>
        <v>0</v>
      </c>
      <c r="M240" s="616">
        <f t="shared" si="42"/>
        <v>0</v>
      </c>
      <c r="N240" s="610">
        <f>SUM(N235:N239)</f>
        <v>25587</v>
      </c>
      <c r="O240" s="588">
        <f>SUM(O235:O239)</f>
        <v>0</v>
      </c>
      <c r="P240" s="591">
        <f t="shared" si="44"/>
        <v>-25587</v>
      </c>
    </row>
    <row r="242" spans="1:16" customFormat="1" ht="15" thickBot="1" x14ac:dyDescent="0.35"/>
    <row r="243" spans="1:16" customFormat="1" ht="21.6" thickBot="1" x14ac:dyDescent="0.45">
      <c r="A243" s="1440" t="s">
        <v>1627</v>
      </c>
      <c r="B243" s="1443" t="s">
        <v>1585</v>
      </c>
      <c r="C243" s="1444"/>
      <c r="D243" s="1444"/>
      <c r="E243" s="1444"/>
      <c r="F243" s="1444"/>
      <c r="G243" s="1444"/>
      <c r="H243" s="1444"/>
      <c r="I243" s="1444"/>
      <c r="J243" s="1444"/>
      <c r="K243" s="1444"/>
      <c r="L243" s="1444"/>
      <c r="M243" s="1444"/>
      <c r="N243" s="1444"/>
      <c r="O243" s="1444"/>
      <c r="P243" s="1445"/>
    </row>
    <row r="244" spans="1:16" customFormat="1" x14ac:dyDescent="0.3">
      <c r="A244" s="1441"/>
      <c r="B244" s="1446" t="s">
        <v>951</v>
      </c>
      <c r="C244" s="1447"/>
      <c r="D244" s="1448"/>
      <c r="E244" s="1449" t="s">
        <v>952</v>
      </c>
      <c r="F244" s="1450"/>
      <c r="G244" s="1451"/>
      <c r="H244" s="1446" t="s">
        <v>953</v>
      </c>
      <c r="I244" s="1447"/>
      <c r="J244" s="1448"/>
      <c r="K244" s="1446" t="s">
        <v>1599</v>
      </c>
      <c r="L244" s="1447"/>
      <c r="M244" s="1448"/>
      <c r="N244" s="1446" t="s">
        <v>957</v>
      </c>
      <c r="O244" s="1447"/>
      <c r="P244" s="1448"/>
    </row>
    <row r="245" spans="1:16" customFormat="1" ht="15" thickBot="1" x14ac:dyDescent="0.35">
      <c r="A245" s="1442"/>
      <c r="B245" s="607" t="s">
        <v>1013</v>
      </c>
      <c r="C245" s="595" t="s">
        <v>440</v>
      </c>
      <c r="D245" s="596" t="s">
        <v>1109</v>
      </c>
      <c r="E245" s="602" t="s">
        <v>1013</v>
      </c>
      <c r="F245" s="595" t="s">
        <v>440</v>
      </c>
      <c r="G245" s="613" t="s">
        <v>1109</v>
      </c>
      <c r="H245" s="607" t="s">
        <v>1013</v>
      </c>
      <c r="I245" s="595" t="s">
        <v>440</v>
      </c>
      <c r="J245" s="596" t="s">
        <v>1109</v>
      </c>
      <c r="K245" s="607" t="s">
        <v>1013</v>
      </c>
      <c r="L245" s="595" t="s">
        <v>440</v>
      </c>
      <c r="M245" s="596" t="s">
        <v>1109</v>
      </c>
      <c r="N245" s="607" t="s">
        <v>1013</v>
      </c>
      <c r="O245" s="595" t="s">
        <v>440</v>
      </c>
      <c r="P245" s="596" t="s">
        <v>1109</v>
      </c>
    </row>
    <row r="246" spans="1:16" customFormat="1" x14ac:dyDescent="0.3">
      <c r="A246" s="598"/>
      <c r="B246" s="609"/>
      <c r="C246" s="587"/>
      <c r="D246" s="590"/>
      <c r="E246" s="604"/>
      <c r="F246" s="587"/>
      <c r="G246" s="615"/>
      <c r="H246" s="609"/>
      <c r="I246" s="587"/>
      <c r="J246" s="590"/>
      <c r="K246" s="609"/>
      <c r="L246" s="587"/>
      <c r="M246" s="590"/>
      <c r="N246" s="609"/>
      <c r="O246" s="587"/>
      <c r="P246" s="590"/>
    </row>
    <row r="247" spans="1:16" customFormat="1" x14ac:dyDescent="0.3">
      <c r="A247" s="599" t="s">
        <v>1600</v>
      </c>
      <c r="B247" s="610">
        <f>78591+10088</f>
        <v>88679</v>
      </c>
      <c r="C247" s="588"/>
      <c r="D247" s="591"/>
      <c r="E247" s="605">
        <f>17290+2219</f>
        <v>19509</v>
      </c>
      <c r="F247" s="588"/>
      <c r="G247" s="616">
        <f>F247-E247</f>
        <v>-19509</v>
      </c>
      <c r="H247" s="610">
        <v>96498</v>
      </c>
      <c r="I247" s="588"/>
      <c r="J247" s="591"/>
      <c r="K247" s="610">
        <f>70820+43157</f>
        <v>113977</v>
      </c>
      <c r="L247" s="588"/>
      <c r="M247" s="591">
        <f>L247-K247</f>
        <v>-113977</v>
      </c>
      <c r="N247" s="610">
        <f>B247+E247+H247+K247</f>
        <v>318663</v>
      </c>
      <c r="O247" s="588">
        <f>C247+F247+I247+L247</f>
        <v>0</v>
      </c>
      <c r="P247" s="591">
        <f>O247-N247</f>
        <v>-318663</v>
      </c>
    </row>
    <row r="248" spans="1:16" customFormat="1" x14ac:dyDescent="0.3">
      <c r="A248" s="598"/>
      <c r="B248" s="609"/>
      <c r="C248" s="587"/>
      <c r="D248" s="590"/>
      <c r="E248" s="604"/>
      <c r="F248" s="587"/>
      <c r="G248" s="615"/>
      <c r="H248" s="609"/>
      <c r="I248" s="587"/>
      <c r="J248" s="590"/>
      <c r="K248" s="609"/>
      <c r="L248" s="587"/>
      <c r="M248" s="590"/>
      <c r="N248" s="609"/>
      <c r="O248" s="587"/>
      <c r="P248" s="590"/>
    </row>
    <row r="249" spans="1:16" customFormat="1" x14ac:dyDescent="0.3">
      <c r="A249" s="599" t="s">
        <v>1601</v>
      </c>
      <c r="B249" s="609"/>
      <c r="C249" s="587"/>
      <c r="D249" s="590"/>
      <c r="E249" s="604"/>
      <c r="F249" s="587"/>
      <c r="G249" s="615"/>
      <c r="H249" s="609"/>
      <c r="I249" s="587"/>
      <c r="J249" s="590"/>
      <c r="K249" s="609"/>
      <c r="L249" s="587"/>
      <c r="M249" s="590"/>
      <c r="N249" s="609"/>
      <c r="O249" s="587"/>
      <c r="P249" s="590"/>
    </row>
    <row r="250" spans="1:16" customFormat="1" x14ac:dyDescent="0.3">
      <c r="A250" s="598" t="s">
        <v>1595</v>
      </c>
      <c r="B250" s="609">
        <v>9861</v>
      </c>
      <c r="C250" s="587"/>
      <c r="D250" s="590"/>
      <c r="E250" s="604">
        <v>2169</v>
      </c>
      <c r="F250" s="587"/>
      <c r="G250" s="615">
        <f t="shared" ref="G250:G255" si="45">F250-E250</f>
        <v>-2169</v>
      </c>
      <c r="H250" s="609">
        <v>11478</v>
      </c>
      <c r="I250" s="587"/>
      <c r="J250" s="590"/>
      <c r="K250" s="609">
        <v>0</v>
      </c>
      <c r="L250" s="587"/>
      <c r="M250" s="590">
        <f t="shared" ref="M250:M255" si="46">L250-K250</f>
        <v>0</v>
      </c>
      <c r="N250" s="609">
        <f t="shared" ref="N250:O254" si="47">B250+E250+H250+K250</f>
        <v>23508</v>
      </c>
      <c r="O250" s="587">
        <f t="shared" si="47"/>
        <v>0</v>
      </c>
      <c r="P250" s="590">
        <f t="shared" ref="P250:P255" si="48">O250-N250</f>
        <v>-23508</v>
      </c>
    </row>
    <row r="251" spans="1:16" customFormat="1" x14ac:dyDescent="0.3">
      <c r="A251" s="598" t="s">
        <v>1596</v>
      </c>
      <c r="B251" s="609">
        <v>556</v>
      </c>
      <c r="C251" s="587"/>
      <c r="D251" s="590"/>
      <c r="E251" s="604">
        <v>122</v>
      </c>
      <c r="F251" s="587"/>
      <c r="G251" s="615">
        <f t="shared" si="45"/>
        <v>-122</v>
      </c>
      <c r="H251" s="609">
        <v>434</v>
      </c>
      <c r="I251" s="587"/>
      <c r="J251" s="590"/>
      <c r="K251" s="609">
        <v>0</v>
      </c>
      <c r="L251" s="587"/>
      <c r="M251" s="590">
        <f t="shared" si="46"/>
        <v>0</v>
      </c>
      <c r="N251" s="609">
        <f t="shared" si="47"/>
        <v>1112</v>
      </c>
      <c r="O251" s="587">
        <f t="shared" si="47"/>
        <v>0</v>
      </c>
      <c r="P251" s="590">
        <f t="shared" si="48"/>
        <v>-1112</v>
      </c>
    </row>
    <row r="252" spans="1:16" customFormat="1" x14ac:dyDescent="0.3">
      <c r="A252" s="598" t="s">
        <v>1597</v>
      </c>
      <c r="B252" s="609">
        <v>5646</v>
      </c>
      <c r="C252" s="587"/>
      <c r="D252" s="590"/>
      <c r="E252" s="604">
        <v>1242</v>
      </c>
      <c r="F252" s="587"/>
      <c r="G252" s="615">
        <f t="shared" si="45"/>
        <v>-1242</v>
      </c>
      <c r="H252" s="609">
        <v>3697</v>
      </c>
      <c r="I252" s="587"/>
      <c r="J252" s="590"/>
      <c r="K252" s="609">
        <v>0</v>
      </c>
      <c r="L252" s="587"/>
      <c r="M252" s="590">
        <f t="shared" si="46"/>
        <v>0</v>
      </c>
      <c r="N252" s="609">
        <f t="shared" si="47"/>
        <v>10585</v>
      </c>
      <c r="O252" s="587">
        <f t="shared" si="47"/>
        <v>0</v>
      </c>
      <c r="P252" s="590">
        <f t="shared" si="48"/>
        <v>-10585</v>
      </c>
    </row>
    <row r="253" spans="1:16" customFormat="1" x14ac:dyDescent="0.3">
      <c r="A253" s="598" t="s">
        <v>1598</v>
      </c>
      <c r="B253" s="609">
        <v>2431</v>
      </c>
      <c r="C253" s="587"/>
      <c r="D253" s="590"/>
      <c r="E253" s="604">
        <v>535</v>
      </c>
      <c r="F253" s="587"/>
      <c r="G253" s="615">
        <f t="shared" si="45"/>
        <v>-535</v>
      </c>
      <c r="H253" s="609">
        <v>2168</v>
      </c>
      <c r="I253" s="587"/>
      <c r="J253" s="590"/>
      <c r="K253" s="609">
        <v>0</v>
      </c>
      <c r="L253" s="587"/>
      <c r="M253" s="590">
        <f t="shared" si="46"/>
        <v>0</v>
      </c>
      <c r="N253" s="609">
        <f t="shared" si="47"/>
        <v>5134</v>
      </c>
      <c r="O253" s="587">
        <f t="shared" si="47"/>
        <v>0</v>
      </c>
      <c r="P253" s="590">
        <f t="shared" si="48"/>
        <v>-5134</v>
      </c>
    </row>
    <row r="254" spans="1:16" customFormat="1" x14ac:dyDescent="0.3">
      <c r="A254" s="598" t="s">
        <v>1602</v>
      </c>
      <c r="B254" s="609">
        <v>59</v>
      </c>
      <c r="C254" s="587"/>
      <c r="D254" s="590"/>
      <c r="E254" s="604">
        <v>13</v>
      </c>
      <c r="F254" s="587"/>
      <c r="G254" s="615">
        <f t="shared" si="45"/>
        <v>-13</v>
      </c>
      <c r="H254" s="609">
        <v>19</v>
      </c>
      <c r="I254" s="587"/>
      <c r="J254" s="590"/>
      <c r="K254" s="609">
        <v>0</v>
      </c>
      <c r="L254" s="587"/>
      <c r="M254" s="590">
        <f t="shared" si="46"/>
        <v>0</v>
      </c>
      <c r="N254" s="609">
        <f t="shared" si="47"/>
        <v>91</v>
      </c>
      <c r="O254" s="587">
        <f t="shared" si="47"/>
        <v>0</v>
      </c>
      <c r="P254" s="590">
        <f t="shared" si="48"/>
        <v>-91</v>
      </c>
    </row>
    <row r="255" spans="1:16" customFormat="1" x14ac:dyDescent="0.3">
      <c r="A255" s="599" t="s">
        <v>957</v>
      </c>
      <c r="B255" s="610">
        <f>SUM(B250:B254)</f>
        <v>18553</v>
      </c>
      <c r="C255" s="588"/>
      <c r="D255" s="591"/>
      <c r="E255" s="605">
        <f>SUM(E250:E254)</f>
        <v>4081</v>
      </c>
      <c r="F255" s="588"/>
      <c r="G255" s="616">
        <f t="shared" si="45"/>
        <v>-4081</v>
      </c>
      <c r="H255" s="610">
        <f>SUM(H250:H254)</f>
        <v>17796</v>
      </c>
      <c r="I255" s="588"/>
      <c r="J255" s="591"/>
      <c r="K255" s="610">
        <f>SUM(K250:K254)</f>
        <v>0</v>
      </c>
      <c r="L255" s="588"/>
      <c r="M255" s="591">
        <f t="shared" si="46"/>
        <v>0</v>
      </c>
      <c r="N255" s="610">
        <f>SUM(N250:N254)</f>
        <v>40430</v>
      </c>
      <c r="O255" s="588">
        <f>SUM(O250:O254)</f>
        <v>0</v>
      </c>
      <c r="P255" s="591">
        <f t="shared" si="48"/>
        <v>-40430</v>
      </c>
    </row>
    <row r="257" spans="1:16" customFormat="1" ht="15" thickBot="1" x14ac:dyDescent="0.35"/>
    <row r="258" spans="1:16" customFormat="1" ht="21.6" thickBot="1" x14ac:dyDescent="0.45">
      <c r="A258" s="1440" t="s">
        <v>1627</v>
      </c>
      <c r="B258" s="1443" t="s">
        <v>1586</v>
      </c>
      <c r="C258" s="1444"/>
      <c r="D258" s="1444"/>
      <c r="E258" s="1444"/>
      <c r="F258" s="1444"/>
      <c r="G258" s="1444"/>
      <c r="H258" s="1444"/>
      <c r="I258" s="1444"/>
      <c r="J258" s="1444"/>
      <c r="K258" s="1444"/>
      <c r="L258" s="1444"/>
      <c r="M258" s="1444"/>
      <c r="N258" s="1444"/>
      <c r="O258" s="1444"/>
      <c r="P258" s="1445"/>
    </row>
    <row r="259" spans="1:16" customFormat="1" x14ac:dyDescent="0.3">
      <c r="A259" s="1441"/>
      <c r="B259" s="1446" t="s">
        <v>951</v>
      </c>
      <c r="C259" s="1447"/>
      <c r="D259" s="1448"/>
      <c r="E259" s="1449" t="s">
        <v>952</v>
      </c>
      <c r="F259" s="1450"/>
      <c r="G259" s="1451"/>
      <c r="H259" s="1446" t="s">
        <v>953</v>
      </c>
      <c r="I259" s="1447"/>
      <c r="J259" s="1448"/>
      <c r="K259" s="1446" t="s">
        <v>1599</v>
      </c>
      <c r="L259" s="1447"/>
      <c r="M259" s="1448"/>
      <c r="N259" s="1449" t="s">
        <v>957</v>
      </c>
      <c r="O259" s="1450"/>
      <c r="P259" s="1452"/>
    </row>
    <row r="260" spans="1:16" customFormat="1" ht="15" thickBot="1" x14ac:dyDescent="0.35">
      <c r="A260" s="1442"/>
      <c r="B260" s="607" t="s">
        <v>1013</v>
      </c>
      <c r="C260" s="595" t="s">
        <v>440</v>
      </c>
      <c r="D260" s="596" t="s">
        <v>1109</v>
      </c>
      <c r="E260" s="602" t="s">
        <v>1013</v>
      </c>
      <c r="F260" s="595" t="s">
        <v>440</v>
      </c>
      <c r="G260" s="613" t="s">
        <v>1109</v>
      </c>
      <c r="H260" s="607" t="s">
        <v>1013</v>
      </c>
      <c r="I260" s="595" t="s">
        <v>440</v>
      </c>
      <c r="J260" s="596" t="s">
        <v>1109</v>
      </c>
      <c r="K260" s="607" t="s">
        <v>1013</v>
      </c>
      <c r="L260" s="595" t="s">
        <v>440</v>
      </c>
      <c r="M260" s="596" t="s">
        <v>1109</v>
      </c>
      <c r="N260" s="602" t="s">
        <v>1013</v>
      </c>
      <c r="O260" s="595" t="s">
        <v>440</v>
      </c>
      <c r="P260" s="596" t="s">
        <v>1109</v>
      </c>
    </row>
    <row r="261" spans="1:16" customFormat="1" x14ac:dyDescent="0.3">
      <c r="A261" s="598"/>
      <c r="B261" s="609"/>
      <c r="C261" s="587"/>
      <c r="D261" s="590"/>
      <c r="E261" s="604"/>
      <c r="F261" s="587"/>
      <c r="G261" s="615"/>
      <c r="H261" s="609"/>
      <c r="I261" s="587"/>
      <c r="J261" s="590"/>
      <c r="K261" s="609"/>
      <c r="L261" s="587"/>
      <c r="M261" s="590"/>
      <c r="N261" s="604"/>
      <c r="O261" s="587"/>
      <c r="P261" s="590"/>
    </row>
    <row r="262" spans="1:16" customFormat="1" x14ac:dyDescent="0.3">
      <c r="A262" s="599" t="s">
        <v>1600</v>
      </c>
      <c r="B262" s="610">
        <f>69613+6328</f>
        <v>75941</v>
      </c>
      <c r="C262" s="588"/>
      <c r="D262" s="591">
        <f>C262-B262</f>
        <v>-75941</v>
      </c>
      <c r="E262" s="605">
        <f>15315+1392</f>
        <v>16707</v>
      </c>
      <c r="F262" s="588"/>
      <c r="G262" s="616">
        <f>F262-E262</f>
        <v>-16707</v>
      </c>
      <c r="H262" s="610">
        <v>91477</v>
      </c>
      <c r="I262" s="588"/>
      <c r="J262" s="591">
        <f>I262-H262</f>
        <v>-91477</v>
      </c>
      <c r="K262" s="610">
        <f>135273+9188</f>
        <v>144461</v>
      </c>
      <c r="L262" s="588"/>
      <c r="M262" s="591">
        <f>L262-K262</f>
        <v>-144461</v>
      </c>
      <c r="N262" s="605">
        <f>B262+E262+H262+K262</f>
        <v>328586</v>
      </c>
      <c r="O262" s="588">
        <f>C262+F262+I262+L262</f>
        <v>0</v>
      </c>
      <c r="P262" s="591">
        <f>O262-N262</f>
        <v>-328586</v>
      </c>
    </row>
    <row r="263" spans="1:16" customFormat="1" x14ac:dyDescent="0.3">
      <c r="A263" s="598"/>
      <c r="B263" s="609"/>
      <c r="C263" s="587"/>
      <c r="D263" s="590"/>
      <c r="E263" s="604"/>
      <c r="F263" s="587"/>
      <c r="G263" s="615"/>
      <c r="H263" s="609"/>
      <c r="I263" s="587"/>
      <c r="J263" s="590"/>
      <c r="K263" s="609"/>
      <c r="L263" s="587"/>
      <c r="M263" s="590"/>
      <c r="N263" s="604"/>
      <c r="O263" s="587"/>
      <c r="P263" s="590"/>
    </row>
    <row r="264" spans="1:16" customFormat="1" x14ac:dyDescent="0.3">
      <c r="A264" s="599" t="s">
        <v>1601</v>
      </c>
      <c r="B264" s="609"/>
      <c r="C264" s="587"/>
      <c r="D264" s="590"/>
      <c r="E264" s="604"/>
      <c r="F264" s="587"/>
      <c r="G264" s="615"/>
      <c r="H264" s="609"/>
      <c r="I264" s="587"/>
      <c r="J264" s="590"/>
      <c r="K264" s="609"/>
      <c r="L264" s="587"/>
      <c r="M264" s="590"/>
      <c r="N264" s="604"/>
      <c r="O264" s="587"/>
      <c r="P264" s="590"/>
    </row>
    <row r="265" spans="1:16" customFormat="1" x14ac:dyDescent="0.3">
      <c r="A265" s="598" t="s">
        <v>1595</v>
      </c>
      <c r="B265" s="609">
        <v>7813</v>
      </c>
      <c r="C265" s="587"/>
      <c r="D265" s="590">
        <f t="shared" ref="D265:D270" si="49">C265-B265</f>
        <v>-7813</v>
      </c>
      <c r="E265" s="604">
        <v>1718</v>
      </c>
      <c r="F265" s="587"/>
      <c r="G265" s="615">
        <f t="shared" ref="G265:G270" si="50">F265-E265</f>
        <v>-1718</v>
      </c>
      <c r="H265" s="609">
        <v>9266</v>
      </c>
      <c r="I265" s="587"/>
      <c r="J265" s="590">
        <f t="shared" ref="J265:J270" si="51">I265-H265</f>
        <v>-9266</v>
      </c>
      <c r="K265" s="609">
        <v>0</v>
      </c>
      <c r="L265" s="587"/>
      <c r="M265" s="590">
        <f t="shared" ref="M265:M270" si="52">L265-K265</f>
        <v>0</v>
      </c>
      <c r="N265" s="604">
        <f t="shared" ref="N265:O269" si="53">B265+E265+H265+K265</f>
        <v>18797</v>
      </c>
      <c r="O265" s="587">
        <f t="shared" si="53"/>
        <v>0</v>
      </c>
      <c r="P265" s="590">
        <f t="shared" ref="P265:P270" si="54">O265-N265</f>
        <v>-18797</v>
      </c>
    </row>
    <row r="266" spans="1:16" customFormat="1" x14ac:dyDescent="0.3">
      <c r="A266" s="598" t="s">
        <v>1596</v>
      </c>
      <c r="B266" s="609">
        <v>893</v>
      </c>
      <c r="C266" s="587"/>
      <c r="D266" s="590">
        <f t="shared" si="49"/>
        <v>-893</v>
      </c>
      <c r="E266" s="604">
        <v>196</v>
      </c>
      <c r="F266" s="587"/>
      <c r="G266" s="615">
        <f t="shared" si="50"/>
        <v>-196</v>
      </c>
      <c r="H266" s="609">
        <v>666</v>
      </c>
      <c r="I266" s="587"/>
      <c r="J266" s="590">
        <f t="shared" si="51"/>
        <v>-666</v>
      </c>
      <c r="K266" s="609">
        <v>0</v>
      </c>
      <c r="L266" s="587"/>
      <c r="M266" s="590">
        <f t="shared" si="52"/>
        <v>0</v>
      </c>
      <c r="N266" s="604">
        <f t="shared" si="53"/>
        <v>1755</v>
      </c>
      <c r="O266" s="587">
        <f t="shared" si="53"/>
        <v>0</v>
      </c>
      <c r="P266" s="590">
        <f t="shared" si="54"/>
        <v>-1755</v>
      </c>
    </row>
    <row r="267" spans="1:16" customFormat="1" x14ac:dyDescent="0.3">
      <c r="A267" s="598" t="s">
        <v>1597</v>
      </c>
      <c r="B267" s="609">
        <v>4271</v>
      </c>
      <c r="C267" s="587"/>
      <c r="D267" s="590">
        <f t="shared" si="49"/>
        <v>-4271</v>
      </c>
      <c r="E267" s="604">
        <v>940</v>
      </c>
      <c r="F267" s="587"/>
      <c r="G267" s="615">
        <f t="shared" si="50"/>
        <v>-940</v>
      </c>
      <c r="H267" s="609">
        <v>3186</v>
      </c>
      <c r="I267" s="587"/>
      <c r="J267" s="590">
        <f t="shared" si="51"/>
        <v>-3186</v>
      </c>
      <c r="K267" s="609">
        <v>0</v>
      </c>
      <c r="L267" s="587"/>
      <c r="M267" s="590">
        <f t="shared" si="52"/>
        <v>0</v>
      </c>
      <c r="N267" s="604">
        <f t="shared" si="53"/>
        <v>8397</v>
      </c>
      <c r="O267" s="587">
        <f t="shared" si="53"/>
        <v>0</v>
      </c>
      <c r="P267" s="590">
        <f t="shared" si="54"/>
        <v>-8397</v>
      </c>
    </row>
    <row r="268" spans="1:16" customFormat="1" x14ac:dyDescent="0.3">
      <c r="A268" s="598" t="s">
        <v>1598</v>
      </c>
      <c r="B268" s="609">
        <v>2250</v>
      </c>
      <c r="C268" s="587"/>
      <c r="D268" s="590">
        <f t="shared" si="49"/>
        <v>-2250</v>
      </c>
      <c r="E268" s="604">
        <v>495</v>
      </c>
      <c r="F268" s="587"/>
      <c r="G268" s="615">
        <f t="shared" si="50"/>
        <v>-495</v>
      </c>
      <c r="H268" s="609">
        <v>1996</v>
      </c>
      <c r="I268" s="587"/>
      <c r="J268" s="590">
        <f t="shared" si="51"/>
        <v>-1996</v>
      </c>
      <c r="K268" s="609">
        <v>0</v>
      </c>
      <c r="L268" s="587"/>
      <c r="M268" s="590">
        <f t="shared" si="52"/>
        <v>0</v>
      </c>
      <c r="N268" s="604">
        <f t="shared" si="53"/>
        <v>4741</v>
      </c>
      <c r="O268" s="587">
        <f t="shared" si="53"/>
        <v>0</v>
      </c>
      <c r="P268" s="590">
        <f t="shared" si="54"/>
        <v>-4741</v>
      </c>
    </row>
    <row r="269" spans="1:16" customFormat="1" x14ac:dyDescent="0.3">
      <c r="A269" s="598" t="s">
        <v>1602</v>
      </c>
      <c r="B269" s="609">
        <v>0</v>
      </c>
      <c r="C269" s="587"/>
      <c r="D269" s="590">
        <f t="shared" si="49"/>
        <v>0</v>
      </c>
      <c r="E269" s="604">
        <v>0</v>
      </c>
      <c r="F269" s="587"/>
      <c r="G269" s="615">
        <f t="shared" si="50"/>
        <v>0</v>
      </c>
      <c r="H269" s="609">
        <v>0</v>
      </c>
      <c r="I269" s="587"/>
      <c r="J269" s="590">
        <f t="shared" si="51"/>
        <v>0</v>
      </c>
      <c r="K269" s="609">
        <v>0</v>
      </c>
      <c r="L269" s="587"/>
      <c r="M269" s="590">
        <f t="shared" si="52"/>
        <v>0</v>
      </c>
      <c r="N269" s="604">
        <f t="shared" si="53"/>
        <v>0</v>
      </c>
      <c r="O269" s="587">
        <f t="shared" si="53"/>
        <v>0</v>
      </c>
      <c r="P269" s="590">
        <f t="shared" si="54"/>
        <v>0</v>
      </c>
    </row>
    <row r="270" spans="1:16" customFormat="1" x14ac:dyDescent="0.3">
      <c r="A270" s="599" t="s">
        <v>957</v>
      </c>
      <c r="B270" s="610">
        <f>SUM(B265:B269)</f>
        <v>15227</v>
      </c>
      <c r="C270" s="588"/>
      <c r="D270" s="591">
        <f t="shared" si="49"/>
        <v>-15227</v>
      </c>
      <c r="E270" s="605">
        <f>SUM(E265:E269)</f>
        <v>3349</v>
      </c>
      <c r="F270" s="588"/>
      <c r="G270" s="616">
        <f t="shared" si="50"/>
        <v>-3349</v>
      </c>
      <c r="H270" s="610">
        <f>SUM(H265:H269)</f>
        <v>15114</v>
      </c>
      <c r="I270" s="588"/>
      <c r="J270" s="591">
        <f t="shared" si="51"/>
        <v>-15114</v>
      </c>
      <c r="K270" s="610">
        <f>SUM(K265:K269)</f>
        <v>0</v>
      </c>
      <c r="L270" s="588"/>
      <c r="M270" s="591">
        <f t="shared" si="52"/>
        <v>0</v>
      </c>
      <c r="N270" s="605">
        <f>SUM(N265:N269)</f>
        <v>33690</v>
      </c>
      <c r="O270" s="588">
        <f>SUM(O265:O269)</f>
        <v>0</v>
      </c>
      <c r="P270" s="591">
        <f t="shared" si="54"/>
        <v>-33690</v>
      </c>
    </row>
  </sheetData>
  <mergeCells count="49">
    <mergeCell ref="A155:A157"/>
    <mergeCell ref="B155:P155"/>
    <mergeCell ref="B156:D156"/>
    <mergeCell ref="E156:G156"/>
    <mergeCell ref="H156:J156"/>
    <mergeCell ref="K156:M156"/>
    <mergeCell ref="N156:P156"/>
    <mergeCell ref="B5:P5"/>
    <mergeCell ref="A5:A7"/>
    <mergeCell ref="B55:P55"/>
    <mergeCell ref="A55:A57"/>
    <mergeCell ref="B105:P105"/>
    <mergeCell ref="A105:A107"/>
    <mergeCell ref="B106:D106"/>
    <mergeCell ref="E106:G106"/>
    <mergeCell ref="H106:J106"/>
    <mergeCell ref="K106:M106"/>
    <mergeCell ref="N106:P106"/>
    <mergeCell ref="B56:D56"/>
    <mergeCell ref="E56:G56"/>
    <mergeCell ref="H56:J56"/>
    <mergeCell ref="K56:M56"/>
    <mergeCell ref="N56:P56"/>
    <mergeCell ref="B6:D6"/>
    <mergeCell ref="E6:G6"/>
    <mergeCell ref="H6:J6"/>
    <mergeCell ref="N6:P6"/>
    <mergeCell ref="K6:M6"/>
    <mergeCell ref="A228:A230"/>
    <mergeCell ref="B228:P228"/>
    <mergeCell ref="B229:D229"/>
    <mergeCell ref="E229:G229"/>
    <mergeCell ref="H229:J229"/>
    <mergeCell ref="K229:M229"/>
    <mergeCell ref="N229:P229"/>
    <mergeCell ref="A243:A245"/>
    <mergeCell ref="B243:P243"/>
    <mergeCell ref="B244:D244"/>
    <mergeCell ref="E244:G244"/>
    <mergeCell ref="H244:J244"/>
    <mergeCell ref="K244:M244"/>
    <mergeCell ref="N244:P244"/>
    <mergeCell ref="A258:A260"/>
    <mergeCell ref="B258:P258"/>
    <mergeCell ref="B259:D259"/>
    <mergeCell ref="E259:G259"/>
    <mergeCell ref="H259:J259"/>
    <mergeCell ref="K259:M259"/>
    <mergeCell ref="N259:P259"/>
  </mergeCells>
  <pageMargins left="0.31496062992125984" right="0.11811023622047245" top="0.15748031496062992" bottom="0.15748031496062992" header="0.31496062992125984" footer="0.31496062992125984"/>
  <pageSetup paperSize="9" scale="75" orientation="landscape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rgb="FF00B0F0"/>
  </sheetPr>
  <dimension ref="A1:H21"/>
  <sheetViews>
    <sheetView workbookViewId="0">
      <selection activeCell="P22" sqref="P22"/>
    </sheetView>
  </sheetViews>
  <sheetFormatPr defaultColWidth="9.109375" defaultRowHeight="13.8" x14ac:dyDescent="0.3"/>
  <cols>
    <col min="1" max="1" width="37.6640625" style="293" customWidth="1"/>
    <col min="2" max="2" width="15" style="1" customWidth="1"/>
    <col min="3" max="3" width="15.33203125" style="1" customWidth="1"/>
    <col min="4" max="4" width="14.88671875" style="1" customWidth="1"/>
    <col min="5" max="5" width="17.44140625" style="1" customWidth="1"/>
    <col min="6" max="6" width="14.5546875" style="1" customWidth="1"/>
    <col min="7" max="7" width="14.33203125" style="1" customWidth="1"/>
    <col min="8" max="8" width="15.5546875" style="1" customWidth="1"/>
    <col min="9" max="16384" width="9.109375" style="1"/>
  </cols>
  <sheetData>
    <row r="1" spans="1:8" x14ac:dyDescent="0.3">
      <c r="A1" s="293" t="s">
        <v>0</v>
      </c>
    </row>
    <row r="3" spans="1:8" ht="15.6" x14ac:dyDescent="0.3">
      <c r="A3" s="6" t="s">
        <v>1637</v>
      </c>
    </row>
    <row r="5" spans="1:8" ht="14.4" x14ac:dyDescent="0.3">
      <c r="H5" s="645" t="s">
        <v>1636</v>
      </c>
    </row>
    <row r="6" spans="1:8" ht="40.5" customHeight="1" x14ac:dyDescent="0.3">
      <c r="A6" s="641" t="s">
        <v>1627</v>
      </c>
      <c r="B6" s="485" t="s">
        <v>1584</v>
      </c>
      <c r="C6" s="485" t="s">
        <v>1585</v>
      </c>
      <c r="D6" s="485" t="s">
        <v>1586</v>
      </c>
      <c r="E6" s="300" t="s">
        <v>438</v>
      </c>
      <c r="F6" s="485" t="s">
        <v>1633</v>
      </c>
      <c r="G6" s="485" t="s">
        <v>1634</v>
      </c>
      <c r="H6" s="485" t="s">
        <v>957</v>
      </c>
    </row>
    <row r="7" spans="1:8" ht="27.6" x14ac:dyDescent="0.3">
      <c r="A7" s="641" t="s">
        <v>1629</v>
      </c>
      <c r="B7" s="5">
        <f>'ЕЛЕМЕНТИ ВИТРАТ'!H14</f>
        <v>8702</v>
      </c>
      <c r="C7" s="5">
        <f>'ЕЛЕМЕНТИ ВИТРАТ'!H64</f>
        <v>8657</v>
      </c>
      <c r="D7" s="5">
        <f>'ЕЛЕМЕНТИ ВИТРАТ'!H114</f>
        <v>6850</v>
      </c>
      <c r="E7" s="5"/>
      <c r="F7" s="5"/>
      <c r="G7" s="5"/>
      <c r="H7" s="5">
        <f>SUM(B7:G7)</f>
        <v>24209</v>
      </c>
    </row>
    <row r="8" spans="1:8" ht="27.6" x14ac:dyDescent="0.3">
      <c r="A8" s="641" t="s">
        <v>1630</v>
      </c>
      <c r="B8" s="5">
        <f>'ЕЛЕМЕНТИ ВИТРАТ'!H31</f>
        <v>10733</v>
      </c>
      <c r="C8" s="5">
        <f>'ЕЛЕМЕНТИ ВИТРАТ'!H81</f>
        <v>17796</v>
      </c>
      <c r="D8" s="5">
        <f>'ЕЛЕМЕНТИ ВИТРАТ'!H131</f>
        <v>15114</v>
      </c>
      <c r="E8" s="5"/>
      <c r="F8" s="5"/>
      <c r="G8" s="5"/>
      <c r="H8" s="5">
        <f t="shared" ref="H8:H13" si="0">SUM(B8:G8)</f>
        <v>43643</v>
      </c>
    </row>
    <row r="9" spans="1:8" ht="27.6" x14ac:dyDescent="0.3">
      <c r="A9" s="641" t="s">
        <v>930</v>
      </c>
      <c r="B9" s="5">
        <f>'ЕЛЕМЕНТИ ВИТРАТ'!H23</f>
        <v>76305</v>
      </c>
      <c r="C9" s="5">
        <f>'ЕЛЕМЕНТИ ВИТРАТ'!H73</f>
        <v>96498</v>
      </c>
      <c r="D9" s="5">
        <f>'ЕЛЕМЕНТИ ВИТРАТ'!H123</f>
        <v>91477</v>
      </c>
      <c r="E9" s="5"/>
      <c r="F9" s="5"/>
      <c r="G9" s="5"/>
      <c r="H9" s="5">
        <f t="shared" si="0"/>
        <v>264280</v>
      </c>
    </row>
    <row r="10" spans="1:8" ht="27.6" x14ac:dyDescent="0.3">
      <c r="A10" s="641" t="s">
        <v>1631</v>
      </c>
      <c r="B10" s="5">
        <f>'ЕЛЕМЕНТИ ВИТРАТ'!H34+'ЕЛЕМЕНТИ ВИТРАТ'!H36-5531-597</f>
        <v>18911</v>
      </c>
      <c r="C10" s="5">
        <f>'ЕЛЕМЕНТИ ВИТРАТ'!H84+'ЕЛЕМЕНТИ ВИТРАТ'!H86-3608-532</f>
        <v>19825</v>
      </c>
      <c r="D10" s="5">
        <f>'ЕЛЕМЕНТИ ВИТРАТ'!H134+'ЕЛЕМЕНТИ ВИТРАТ'!H136-5471-522</f>
        <v>12775</v>
      </c>
      <c r="E10" s="5"/>
      <c r="F10" s="5"/>
      <c r="G10" s="5"/>
      <c r="H10" s="5">
        <f t="shared" si="0"/>
        <v>51511</v>
      </c>
    </row>
    <row r="11" spans="1:8" ht="23.25" customHeight="1" x14ac:dyDescent="0.3">
      <c r="A11" s="641" t="s">
        <v>1632</v>
      </c>
      <c r="B11" s="5">
        <v>3000</v>
      </c>
      <c r="C11" s="5">
        <v>3000</v>
      </c>
      <c r="D11" s="5">
        <v>3000</v>
      </c>
      <c r="E11" s="5">
        <v>8642</v>
      </c>
      <c r="F11" s="5">
        <v>86718</v>
      </c>
      <c r="G11" s="5">
        <v>5147</v>
      </c>
      <c r="H11" s="5">
        <f t="shared" si="0"/>
        <v>109507</v>
      </c>
    </row>
    <row r="12" spans="1:8" ht="18.75" customHeight="1" x14ac:dyDescent="0.3">
      <c r="A12" s="647" t="s">
        <v>1635</v>
      </c>
      <c r="B12" s="643">
        <v>5531</v>
      </c>
      <c r="C12" s="643">
        <v>3608</v>
      </c>
      <c r="D12" s="643">
        <v>5471</v>
      </c>
      <c r="E12" s="643"/>
      <c r="F12" s="643"/>
      <c r="G12" s="643"/>
      <c r="H12" s="643">
        <f>SUM(B12:G12)</f>
        <v>14610</v>
      </c>
    </row>
    <row r="13" spans="1:8" ht="21.75" customHeight="1" x14ac:dyDescent="0.3">
      <c r="A13" s="641" t="s">
        <v>968</v>
      </c>
      <c r="B13" s="5">
        <v>6458</v>
      </c>
      <c r="C13" s="5">
        <v>6458</v>
      </c>
      <c r="D13" s="5">
        <v>6458</v>
      </c>
      <c r="E13" s="5">
        <v>4160</v>
      </c>
      <c r="F13" s="5">
        <v>20380</v>
      </c>
      <c r="G13" s="5">
        <v>15875</v>
      </c>
      <c r="H13" s="5">
        <f t="shared" si="0"/>
        <v>59789</v>
      </c>
    </row>
    <row r="14" spans="1:8" ht="32.25" customHeight="1" x14ac:dyDescent="0.3">
      <c r="A14" s="642" t="s">
        <v>1640</v>
      </c>
      <c r="B14" s="9">
        <f>SUM(B7:B13)</f>
        <v>129640</v>
      </c>
      <c r="C14" s="9">
        <f t="shared" ref="C14:H14" si="1">SUM(C7:C13)</f>
        <v>155842</v>
      </c>
      <c r="D14" s="9">
        <f t="shared" si="1"/>
        <v>141145</v>
      </c>
      <c r="E14" s="9">
        <f t="shared" si="1"/>
        <v>12802</v>
      </c>
      <c r="F14" s="9">
        <f t="shared" si="1"/>
        <v>107098</v>
      </c>
      <c r="G14" s="9">
        <f t="shared" si="1"/>
        <v>21022</v>
      </c>
      <c r="H14" s="9">
        <f t="shared" si="1"/>
        <v>567549</v>
      </c>
    </row>
    <row r="15" spans="1:8" ht="25.5" customHeight="1" x14ac:dyDescent="0.3">
      <c r="A15" s="646" t="s">
        <v>1638</v>
      </c>
      <c r="B15" s="644">
        <f t="shared" ref="B15:G15" si="2">B14-B12</f>
        <v>124109</v>
      </c>
      <c r="C15" s="644">
        <f t="shared" si="2"/>
        <v>152234</v>
      </c>
      <c r="D15" s="644">
        <f t="shared" si="2"/>
        <v>135674</v>
      </c>
      <c r="E15" s="644">
        <f t="shared" si="2"/>
        <v>12802</v>
      </c>
      <c r="F15" s="644">
        <f t="shared" si="2"/>
        <v>107098</v>
      </c>
      <c r="G15" s="644">
        <f t="shared" si="2"/>
        <v>21022</v>
      </c>
      <c r="H15" s="644">
        <f>SUM(B15:G15)</f>
        <v>552939</v>
      </c>
    </row>
    <row r="18" spans="1:8" x14ac:dyDescent="0.3">
      <c r="A18" s="293" t="s">
        <v>874</v>
      </c>
      <c r="D18" s="1" t="s">
        <v>1639</v>
      </c>
    </row>
    <row r="19" spans="1:8" x14ac:dyDescent="0.3">
      <c r="B19" s="32"/>
      <c r="C19" s="32"/>
      <c r="D19" s="32"/>
      <c r="E19" s="32"/>
      <c r="F19" s="32"/>
      <c r="G19" s="32"/>
      <c r="H19" s="32"/>
    </row>
    <row r="20" spans="1:8" x14ac:dyDescent="0.3">
      <c r="B20" s="32"/>
      <c r="C20" s="32"/>
      <c r="D20" s="32"/>
      <c r="E20" s="32"/>
      <c r="F20" s="32"/>
      <c r="G20" s="32"/>
      <c r="H20" s="32"/>
    </row>
    <row r="21" spans="1:8" x14ac:dyDescent="0.3">
      <c r="B21" s="32"/>
      <c r="C21" s="32"/>
      <c r="D21" s="32"/>
      <c r="E21" s="32"/>
      <c r="F21" s="32"/>
      <c r="G21" s="32"/>
      <c r="H21" s="32"/>
    </row>
  </sheetData>
  <pageMargins left="0.51181102362204722" right="0.11811023622047245" top="0.15748031496062992" bottom="0.15748031496062992" header="0.31496062992125984" footer="0.31496062992125984"/>
  <pageSetup paperSize="9" scale="95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1:D416"/>
  <sheetViews>
    <sheetView workbookViewId="0">
      <selection activeCell="A2" sqref="A2:A416"/>
    </sheetView>
  </sheetViews>
  <sheetFormatPr defaultRowHeight="14.4" x14ac:dyDescent="0.3"/>
  <cols>
    <col min="1" max="1" width="21" customWidth="1"/>
    <col min="2" max="2" width="13.33203125" customWidth="1"/>
    <col min="3" max="3" width="46.44140625" customWidth="1"/>
    <col min="4" max="4" width="15.44140625" style="502" customWidth="1"/>
  </cols>
  <sheetData>
    <row r="1" spans="1:4" x14ac:dyDescent="0.3">
      <c r="A1" s="233"/>
      <c r="B1" s="233"/>
      <c r="C1" s="7" t="s">
        <v>1</v>
      </c>
      <c r="D1" s="679"/>
    </row>
    <row r="2" spans="1:4" x14ac:dyDescent="0.3">
      <c r="A2" s="233">
        <v>150000488</v>
      </c>
      <c r="B2" s="233">
        <v>3</v>
      </c>
      <c r="C2" s="7" t="s">
        <v>34</v>
      </c>
      <c r="D2" s="680">
        <v>0</v>
      </c>
    </row>
    <row r="3" spans="1:4" x14ac:dyDescent="0.3">
      <c r="A3" s="233">
        <v>150000490</v>
      </c>
      <c r="B3" s="233">
        <v>3</v>
      </c>
      <c r="C3" s="7" t="s">
        <v>36</v>
      </c>
      <c r="D3" s="679">
        <v>0</v>
      </c>
    </row>
    <row r="4" spans="1:4" x14ac:dyDescent="0.3">
      <c r="A4" s="233">
        <v>150000492</v>
      </c>
      <c r="B4" s="233">
        <v>3</v>
      </c>
      <c r="C4" s="7" t="s">
        <v>35</v>
      </c>
      <c r="D4" s="679">
        <v>0</v>
      </c>
    </row>
    <row r="5" spans="1:4" x14ac:dyDescent="0.3">
      <c r="A5" s="233">
        <v>150000493</v>
      </c>
      <c r="B5" s="233">
        <v>1</v>
      </c>
      <c r="C5" s="7" t="s">
        <v>417</v>
      </c>
      <c r="D5" s="679">
        <v>0</v>
      </c>
    </row>
    <row r="6" spans="1:4" x14ac:dyDescent="0.3">
      <c r="A6" s="233">
        <v>150000494</v>
      </c>
      <c r="B6" s="233">
        <v>1</v>
      </c>
      <c r="C6" s="7" t="s">
        <v>418</v>
      </c>
      <c r="D6" s="679">
        <v>0</v>
      </c>
    </row>
    <row r="7" spans="1:4" x14ac:dyDescent="0.3">
      <c r="A7" s="233">
        <v>150000495</v>
      </c>
      <c r="B7" s="233">
        <v>1</v>
      </c>
      <c r="C7" s="7" t="s">
        <v>147</v>
      </c>
      <c r="D7" s="679">
        <v>8.3800000000000008</v>
      </c>
    </row>
    <row r="8" spans="1:4" x14ac:dyDescent="0.3">
      <c r="A8" s="233">
        <v>150000496</v>
      </c>
      <c r="B8" s="233">
        <v>1</v>
      </c>
      <c r="C8" s="7" t="s">
        <v>148</v>
      </c>
      <c r="D8" s="679">
        <v>8.3800000000000008</v>
      </c>
    </row>
    <row r="9" spans="1:4" x14ac:dyDescent="0.3">
      <c r="A9" s="233">
        <v>150000497</v>
      </c>
      <c r="B9" s="233">
        <v>1</v>
      </c>
      <c r="C9" s="7" t="s">
        <v>340</v>
      </c>
      <c r="D9" s="679">
        <v>0</v>
      </c>
    </row>
    <row r="10" spans="1:4" x14ac:dyDescent="0.3">
      <c r="A10" s="233">
        <v>150000498</v>
      </c>
      <c r="B10" s="233">
        <v>1</v>
      </c>
      <c r="C10" s="7" t="s">
        <v>241</v>
      </c>
      <c r="D10" s="679">
        <f>31.36+21.4</f>
        <v>52.76</v>
      </c>
    </row>
    <row r="11" spans="1:4" x14ac:dyDescent="0.3">
      <c r="A11" s="233">
        <v>150000501</v>
      </c>
      <c r="B11" s="681">
        <v>2</v>
      </c>
      <c r="C11" s="7" t="s">
        <v>263</v>
      </c>
      <c r="D11" s="679">
        <v>0</v>
      </c>
    </row>
    <row r="12" spans="1:4" x14ac:dyDescent="0.3">
      <c r="A12" s="233">
        <v>150000502</v>
      </c>
      <c r="B12" s="233">
        <v>3</v>
      </c>
      <c r="C12" s="7" t="s">
        <v>108</v>
      </c>
      <c r="D12" s="679">
        <v>0</v>
      </c>
    </row>
    <row r="13" spans="1:4" x14ac:dyDescent="0.3">
      <c r="A13" s="233">
        <v>150000503</v>
      </c>
      <c r="B13" s="233">
        <v>3</v>
      </c>
      <c r="C13" s="7" t="s">
        <v>109</v>
      </c>
      <c r="D13" s="679">
        <v>0</v>
      </c>
    </row>
    <row r="14" spans="1:4" x14ac:dyDescent="0.3">
      <c r="A14" s="233">
        <v>150000504</v>
      </c>
      <c r="B14" s="233">
        <v>3</v>
      </c>
      <c r="C14" s="7" t="s">
        <v>110</v>
      </c>
      <c r="D14" s="679">
        <v>0</v>
      </c>
    </row>
    <row r="15" spans="1:4" x14ac:dyDescent="0.3">
      <c r="A15" s="233">
        <v>150000505</v>
      </c>
      <c r="B15" s="233">
        <v>3</v>
      </c>
      <c r="C15" s="7" t="s">
        <v>112</v>
      </c>
      <c r="D15" s="679">
        <v>0</v>
      </c>
    </row>
    <row r="16" spans="1:4" x14ac:dyDescent="0.3">
      <c r="A16" s="233">
        <v>150000506</v>
      </c>
      <c r="B16" s="233">
        <v>3</v>
      </c>
      <c r="C16" s="7" t="s">
        <v>111</v>
      </c>
      <c r="D16" s="679">
        <v>0</v>
      </c>
    </row>
    <row r="17" spans="1:4" x14ac:dyDescent="0.3">
      <c r="A17" s="233">
        <v>150000507</v>
      </c>
      <c r="B17" s="233">
        <v>3</v>
      </c>
      <c r="C17" s="7" t="s">
        <v>113</v>
      </c>
      <c r="D17" s="679">
        <v>0</v>
      </c>
    </row>
    <row r="18" spans="1:4" x14ac:dyDescent="0.3">
      <c r="A18" s="233">
        <v>150000508</v>
      </c>
      <c r="B18" s="233">
        <v>3</v>
      </c>
      <c r="C18" s="7" t="s">
        <v>114</v>
      </c>
      <c r="D18" s="679">
        <v>0</v>
      </c>
    </row>
    <row r="19" spans="1:4" x14ac:dyDescent="0.3">
      <c r="A19" s="233">
        <v>150000509</v>
      </c>
      <c r="B19" s="681">
        <v>2</v>
      </c>
      <c r="C19" s="7" t="s">
        <v>52</v>
      </c>
      <c r="D19" s="679">
        <v>0</v>
      </c>
    </row>
    <row r="20" spans="1:4" x14ac:dyDescent="0.3">
      <c r="A20" s="233">
        <v>150000510</v>
      </c>
      <c r="B20" s="681">
        <v>2</v>
      </c>
      <c r="C20" s="7" t="s">
        <v>248</v>
      </c>
      <c r="D20" s="682">
        <f>28</f>
        <v>28</v>
      </c>
    </row>
    <row r="21" spans="1:4" x14ac:dyDescent="0.3">
      <c r="A21" s="233">
        <v>150000511</v>
      </c>
      <c r="B21" s="681">
        <v>2</v>
      </c>
      <c r="C21" s="7" t="s">
        <v>249</v>
      </c>
      <c r="D21" s="679">
        <v>0</v>
      </c>
    </row>
    <row r="22" spans="1:4" x14ac:dyDescent="0.3">
      <c r="A22" s="233">
        <v>150000512</v>
      </c>
      <c r="B22" s="681">
        <v>2</v>
      </c>
      <c r="C22" s="7" t="s">
        <v>250</v>
      </c>
      <c r="D22" s="679">
        <v>0</v>
      </c>
    </row>
    <row r="23" spans="1:4" x14ac:dyDescent="0.3">
      <c r="A23" s="233">
        <v>150000513</v>
      </c>
      <c r="B23" s="681">
        <v>2</v>
      </c>
      <c r="C23" s="7" t="s">
        <v>333</v>
      </c>
      <c r="D23" s="679">
        <v>0</v>
      </c>
    </row>
    <row r="24" spans="1:4" x14ac:dyDescent="0.3">
      <c r="A24" s="233">
        <v>150000514</v>
      </c>
      <c r="B24" s="681">
        <v>2</v>
      </c>
      <c r="C24" s="7" t="s">
        <v>151</v>
      </c>
      <c r="D24" s="679">
        <v>0</v>
      </c>
    </row>
    <row r="25" spans="1:4" x14ac:dyDescent="0.3">
      <c r="A25" s="233">
        <v>150000515</v>
      </c>
      <c r="B25" s="681">
        <v>2</v>
      </c>
      <c r="C25" s="7" t="s">
        <v>53</v>
      </c>
      <c r="D25" s="679">
        <v>0</v>
      </c>
    </row>
    <row r="26" spans="1:4" x14ac:dyDescent="0.3">
      <c r="A26" s="233">
        <v>150000516</v>
      </c>
      <c r="B26" s="681">
        <v>2</v>
      </c>
      <c r="C26" s="7" t="s">
        <v>55</v>
      </c>
      <c r="D26" s="679">
        <v>0</v>
      </c>
    </row>
    <row r="27" spans="1:4" x14ac:dyDescent="0.3">
      <c r="A27" s="233">
        <v>150000517</v>
      </c>
      <c r="B27" s="681">
        <v>2</v>
      </c>
      <c r="C27" s="7" t="s">
        <v>251</v>
      </c>
      <c r="D27" s="682">
        <f>16.2</f>
        <v>16.2</v>
      </c>
    </row>
    <row r="28" spans="1:4" x14ac:dyDescent="0.3">
      <c r="A28" s="233">
        <v>150000518</v>
      </c>
      <c r="B28" s="681">
        <v>2</v>
      </c>
      <c r="C28" s="7" t="s">
        <v>194</v>
      </c>
      <c r="D28" s="682">
        <f>21.9</f>
        <v>21.9</v>
      </c>
    </row>
    <row r="29" spans="1:4" x14ac:dyDescent="0.3">
      <c r="A29" s="233">
        <v>150000519</v>
      </c>
      <c r="B29" s="681">
        <v>2</v>
      </c>
      <c r="C29" s="7" t="s">
        <v>412</v>
      </c>
      <c r="D29" s="679">
        <v>0</v>
      </c>
    </row>
    <row r="30" spans="1:4" x14ac:dyDescent="0.3">
      <c r="A30" s="233">
        <v>150000521</v>
      </c>
      <c r="B30" s="681">
        <v>2</v>
      </c>
      <c r="C30" s="7" t="s">
        <v>252</v>
      </c>
      <c r="D30" s="679">
        <v>0</v>
      </c>
    </row>
    <row r="31" spans="1:4" x14ac:dyDescent="0.3">
      <c r="A31" s="233">
        <v>150000522</v>
      </c>
      <c r="B31" s="233">
        <v>1</v>
      </c>
      <c r="C31" s="7" t="s">
        <v>56</v>
      </c>
      <c r="D31" s="679">
        <v>0</v>
      </c>
    </row>
    <row r="32" spans="1:4" x14ac:dyDescent="0.3">
      <c r="A32" s="233">
        <v>150000523</v>
      </c>
      <c r="B32" s="233">
        <v>1</v>
      </c>
      <c r="C32" s="7" t="s">
        <v>57</v>
      </c>
      <c r="D32" s="679">
        <v>0</v>
      </c>
    </row>
    <row r="33" spans="1:4" x14ac:dyDescent="0.3">
      <c r="A33" s="233">
        <v>150000524</v>
      </c>
      <c r="B33" s="233">
        <v>1</v>
      </c>
      <c r="C33" s="7" t="s">
        <v>58</v>
      </c>
      <c r="D33" s="679">
        <v>0</v>
      </c>
    </row>
    <row r="34" spans="1:4" x14ac:dyDescent="0.3">
      <c r="A34" s="233">
        <v>150000525</v>
      </c>
      <c r="B34" s="233">
        <v>1</v>
      </c>
      <c r="C34" s="7" t="s">
        <v>1643</v>
      </c>
      <c r="D34" s="679">
        <v>0</v>
      </c>
    </row>
    <row r="35" spans="1:4" x14ac:dyDescent="0.3">
      <c r="A35" s="233">
        <v>150000526</v>
      </c>
      <c r="B35" s="233">
        <v>1</v>
      </c>
      <c r="C35" s="7" t="s">
        <v>1644</v>
      </c>
      <c r="D35" s="679">
        <v>0</v>
      </c>
    </row>
    <row r="36" spans="1:4" x14ac:dyDescent="0.3">
      <c r="A36" s="233">
        <v>150000527</v>
      </c>
      <c r="B36" s="233">
        <v>1</v>
      </c>
      <c r="C36" s="7" t="s">
        <v>60</v>
      </c>
      <c r="D36" s="679">
        <v>0</v>
      </c>
    </row>
    <row r="37" spans="1:4" x14ac:dyDescent="0.3">
      <c r="A37" s="233">
        <v>150000528</v>
      </c>
      <c r="B37" s="233">
        <v>1</v>
      </c>
      <c r="C37" s="7" t="s">
        <v>1645</v>
      </c>
      <c r="D37" s="679">
        <v>0</v>
      </c>
    </row>
    <row r="38" spans="1:4" x14ac:dyDescent="0.3">
      <c r="A38" s="233">
        <v>150000529</v>
      </c>
      <c r="B38" s="233">
        <v>1</v>
      </c>
      <c r="C38" s="7" t="s">
        <v>347</v>
      </c>
      <c r="D38" s="679">
        <v>32.57</v>
      </c>
    </row>
    <row r="39" spans="1:4" x14ac:dyDescent="0.3">
      <c r="A39" s="233">
        <v>150000530</v>
      </c>
      <c r="B39" s="233">
        <v>1</v>
      </c>
      <c r="C39" s="7" t="s">
        <v>62</v>
      </c>
      <c r="D39" s="679">
        <v>0</v>
      </c>
    </row>
    <row r="40" spans="1:4" x14ac:dyDescent="0.3">
      <c r="A40" s="233">
        <v>150000531</v>
      </c>
      <c r="B40" s="233">
        <v>1</v>
      </c>
      <c r="C40" s="7" t="s">
        <v>348</v>
      </c>
      <c r="D40" s="679">
        <v>17.5</v>
      </c>
    </row>
    <row r="41" spans="1:4" x14ac:dyDescent="0.3">
      <c r="A41" s="233">
        <v>150000532</v>
      </c>
      <c r="B41" s="233">
        <v>1</v>
      </c>
      <c r="C41" s="7" t="s">
        <v>253</v>
      </c>
      <c r="D41" s="679">
        <v>0</v>
      </c>
    </row>
    <row r="42" spans="1:4" x14ac:dyDescent="0.3">
      <c r="A42" s="233">
        <v>150000533</v>
      </c>
      <c r="B42" s="233">
        <v>1</v>
      </c>
      <c r="C42" s="7" t="s">
        <v>349</v>
      </c>
      <c r="D42" s="679">
        <v>1.1200000000000001</v>
      </c>
    </row>
    <row r="43" spans="1:4" x14ac:dyDescent="0.3">
      <c r="A43" s="233">
        <v>150000534</v>
      </c>
      <c r="B43" s="233">
        <v>1</v>
      </c>
      <c r="C43" s="7" t="s">
        <v>254</v>
      </c>
      <c r="D43" s="679">
        <v>0</v>
      </c>
    </row>
    <row r="44" spans="1:4" x14ac:dyDescent="0.3">
      <c r="A44" s="233">
        <v>150000535</v>
      </c>
      <c r="B44" s="233">
        <v>1</v>
      </c>
      <c r="C44" s="7" t="s">
        <v>350</v>
      </c>
      <c r="D44" s="679">
        <v>0</v>
      </c>
    </row>
    <row r="45" spans="1:4" x14ac:dyDescent="0.3">
      <c r="A45" s="233">
        <v>150000537</v>
      </c>
      <c r="B45" s="681">
        <v>2</v>
      </c>
      <c r="C45" s="7" t="s">
        <v>105</v>
      </c>
      <c r="D45" s="679">
        <v>0</v>
      </c>
    </row>
    <row r="46" spans="1:4" x14ac:dyDescent="0.3">
      <c r="A46" s="233">
        <v>150000538</v>
      </c>
      <c r="B46" s="681">
        <v>2</v>
      </c>
      <c r="C46" s="7" t="s">
        <v>207</v>
      </c>
      <c r="D46" s="679">
        <v>0</v>
      </c>
    </row>
    <row r="47" spans="1:4" x14ac:dyDescent="0.3">
      <c r="A47" s="233">
        <v>150000539</v>
      </c>
      <c r="B47" s="681">
        <v>2</v>
      </c>
      <c r="C47" s="7" t="s">
        <v>54</v>
      </c>
      <c r="D47" s="679">
        <v>0</v>
      </c>
    </row>
    <row r="48" spans="1:4" x14ac:dyDescent="0.3">
      <c r="A48" s="233">
        <v>150000541</v>
      </c>
      <c r="B48" s="233">
        <v>1</v>
      </c>
      <c r="C48" s="7" t="s">
        <v>59</v>
      </c>
      <c r="D48" s="679">
        <v>0</v>
      </c>
    </row>
    <row r="49" spans="1:4" x14ac:dyDescent="0.3">
      <c r="A49" s="233">
        <v>150000542</v>
      </c>
      <c r="B49" s="233">
        <v>1</v>
      </c>
      <c r="C49" s="7" t="s">
        <v>61</v>
      </c>
      <c r="D49" s="679">
        <v>0</v>
      </c>
    </row>
    <row r="50" spans="1:4" x14ac:dyDescent="0.3">
      <c r="A50" s="233">
        <v>150000543</v>
      </c>
      <c r="B50" s="233">
        <v>1</v>
      </c>
      <c r="C50" s="7" t="s">
        <v>63</v>
      </c>
      <c r="D50" s="679">
        <v>0</v>
      </c>
    </row>
    <row r="51" spans="1:4" x14ac:dyDescent="0.3">
      <c r="A51" s="233">
        <v>150000544</v>
      </c>
      <c r="B51" s="233">
        <v>1</v>
      </c>
      <c r="C51" s="7" t="s">
        <v>64</v>
      </c>
      <c r="D51" s="679">
        <v>0</v>
      </c>
    </row>
    <row r="52" spans="1:4" x14ac:dyDescent="0.3">
      <c r="A52" s="233">
        <v>150000545</v>
      </c>
      <c r="B52" s="681">
        <v>2</v>
      </c>
      <c r="C52" s="7" t="s">
        <v>106</v>
      </c>
      <c r="D52" s="679">
        <v>0</v>
      </c>
    </row>
    <row r="53" spans="1:4" x14ac:dyDescent="0.3">
      <c r="A53" s="233">
        <v>150000546</v>
      </c>
      <c r="B53" s="681">
        <v>2</v>
      </c>
      <c r="C53" s="7" t="s">
        <v>107</v>
      </c>
      <c r="D53" s="679">
        <v>0</v>
      </c>
    </row>
    <row r="54" spans="1:4" x14ac:dyDescent="0.3">
      <c r="A54" s="233">
        <v>150000547</v>
      </c>
      <c r="B54" s="233">
        <v>1</v>
      </c>
      <c r="C54" s="7" t="s">
        <v>247</v>
      </c>
      <c r="D54" s="679">
        <v>0</v>
      </c>
    </row>
    <row r="55" spans="1:4" x14ac:dyDescent="0.3">
      <c r="A55" s="233">
        <v>150000548</v>
      </c>
      <c r="B55" s="233">
        <v>1</v>
      </c>
      <c r="C55" s="7" t="s">
        <v>246</v>
      </c>
      <c r="D55" s="679">
        <v>0</v>
      </c>
    </row>
    <row r="56" spans="1:4" x14ac:dyDescent="0.3">
      <c r="A56" s="233">
        <v>150000549</v>
      </c>
      <c r="B56" s="233">
        <v>1</v>
      </c>
      <c r="C56" s="7" t="s">
        <v>206</v>
      </c>
      <c r="D56" s="679">
        <v>0</v>
      </c>
    </row>
    <row r="57" spans="1:4" x14ac:dyDescent="0.3">
      <c r="A57" s="233">
        <v>150000551</v>
      </c>
      <c r="B57" s="233">
        <v>3</v>
      </c>
      <c r="C57" s="7" t="s">
        <v>1658</v>
      </c>
      <c r="D57" s="679">
        <v>0</v>
      </c>
    </row>
    <row r="58" spans="1:4" x14ac:dyDescent="0.3">
      <c r="A58" s="233">
        <v>150000552</v>
      </c>
      <c r="B58" s="233">
        <v>3</v>
      </c>
      <c r="C58" s="7" t="s">
        <v>91</v>
      </c>
      <c r="D58" s="679">
        <v>0</v>
      </c>
    </row>
    <row r="59" spans="1:4" x14ac:dyDescent="0.3">
      <c r="A59" s="233">
        <v>150000553</v>
      </c>
      <c r="B59" s="233">
        <v>3</v>
      </c>
      <c r="C59" s="7" t="s">
        <v>259</v>
      </c>
      <c r="D59" s="682">
        <f>17.5</f>
        <v>17.5</v>
      </c>
    </row>
    <row r="60" spans="1:4" x14ac:dyDescent="0.3">
      <c r="A60" s="233">
        <v>150000555</v>
      </c>
      <c r="B60" s="233">
        <v>3</v>
      </c>
      <c r="C60" s="7" t="s">
        <v>88</v>
      </c>
      <c r="D60" s="679">
        <v>0</v>
      </c>
    </row>
    <row r="61" spans="1:4" x14ac:dyDescent="0.3">
      <c r="A61" s="233">
        <v>150000556</v>
      </c>
      <c r="B61" s="233">
        <v>3</v>
      </c>
      <c r="C61" s="7" t="s">
        <v>89</v>
      </c>
      <c r="D61" s="679">
        <v>0</v>
      </c>
    </row>
    <row r="62" spans="1:4" x14ac:dyDescent="0.3">
      <c r="A62" s="233">
        <v>150000557</v>
      </c>
      <c r="B62" s="233">
        <v>3</v>
      </c>
      <c r="C62" s="7" t="s">
        <v>90</v>
      </c>
      <c r="D62" s="679">
        <v>0</v>
      </c>
    </row>
    <row r="63" spans="1:4" x14ac:dyDescent="0.3">
      <c r="A63" s="233">
        <v>150000561</v>
      </c>
      <c r="B63" s="233">
        <v>1</v>
      </c>
      <c r="C63" s="7" t="s">
        <v>71</v>
      </c>
      <c r="D63" s="679">
        <v>0</v>
      </c>
    </row>
    <row r="64" spans="1:4" x14ac:dyDescent="0.3">
      <c r="A64" s="233">
        <v>150000562</v>
      </c>
      <c r="B64" s="233">
        <v>1</v>
      </c>
      <c r="C64" s="7" t="s">
        <v>73</v>
      </c>
      <c r="D64" s="679">
        <v>0</v>
      </c>
    </row>
    <row r="65" spans="1:4" x14ac:dyDescent="0.3">
      <c r="A65" s="233">
        <v>150000565</v>
      </c>
      <c r="B65" s="233">
        <v>1</v>
      </c>
      <c r="C65" s="7" t="s">
        <v>1646</v>
      </c>
      <c r="D65" s="679">
        <v>0</v>
      </c>
    </row>
    <row r="66" spans="1:4" x14ac:dyDescent="0.3">
      <c r="A66" s="233">
        <v>150000566</v>
      </c>
      <c r="B66" s="233">
        <v>1</v>
      </c>
      <c r="C66" s="7" t="s">
        <v>68</v>
      </c>
      <c r="D66" s="679">
        <v>0</v>
      </c>
    </row>
    <row r="67" spans="1:4" x14ac:dyDescent="0.3">
      <c r="A67" s="233">
        <v>150000567</v>
      </c>
      <c r="B67" s="233">
        <v>1</v>
      </c>
      <c r="C67" s="7" t="s">
        <v>70</v>
      </c>
      <c r="D67" s="679">
        <v>0</v>
      </c>
    </row>
    <row r="68" spans="1:4" x14ac:dyDescent="0.3">
      <c r="A68" s="233">
        <v>150000569</v>
      </c>
      <c r="B68" s="233">
        <v>1</v>
      </c>
      <c r="C68" s="7" t="s">
        <v>72</v>
      </c>
      <c r="D68" s="679">
        <v>0</v>
      </c>
    </row>
    <row r="69" spans="1:4" x14ac:dyDescent="0.3">
      <c r="A69" s="233">
        <v>150000570</v>
      </c>
      <c r="B69" s="233">
        <v>1</v>
      </c>
      <c r="C69" s="7" t="s">
        <v>74</v>
      </c>
      <c r="D69" s="679">
        <v>0</v>
      </c>
    </row>
    <row r="70" spans="1:4" x14ac:dyDescent="0.3">
      <c r="A70" s="233">
        <v>150000571</v>
      </c>
      <c r="B70" s="233">
        <v>1</v>
      </c>
      <c r="C70" s="7" t="s">
        <v>69</v>
      </c>
      <c r="D70" s="679">
        <v>0</v>
      </c>
    </row>
    <row r="71" spans="1:4" x14ac:dyDescent="0.3">
      <c r="A71" s="233">
        <v>150000572</v>
      </c>
      <c r="B71" s="233">
        <v>1</v>
      </c>
      <c r="C71" s="7" t="s">
        <v>152</v>
      </c>
      <c r="D71" s="679">
        <v>0</v>
      </c>
    </row>
    <row r="72" spans="1:4" x14ac:dyDescent="0.3">
      <c r="A72" s="233">
        <v>150000573</v>
      </c>
      <c r="B72" s="233">
        <v>1</v>
      </c>
      <c r="C72" s="7" t="s">
        <v>75</v>
      </c>
      <c r="D72" s="679">
        <v>0</v>
      </c>
    </row>
    <row r="73" spans="1:4" x14ac:dyDescent="0.3">
      <c r="A73" s="233">
        <v>150000578</v>
      </c>
      <c r="B73" s="233">
        <v>3</v>
      </c>
      <c r="C73" s="7" t="s">
        <v>83</v>
      </c>
      <c r="D73" s="679">
        <v>0</v>
      </c>
    </row>
    <row r="74" spans="1:4" x14ac:dyDescent="0.3">
      <c r="A74" s="233">
        <v>150000580</v>
      </c>
      <c r="B74" s="233">
        <v>3</v>
      </c>
      <c r="C74" s="7" t="s">
        <v>84</v>
      </c>
      <c r="D74" s="679">
        <v>0</v>
      </c>
    </row>
    <row r="75" spans="1:4" x14ac:dyDescent="0.3">
      <c r="A75" s="233">
        <v>150000586</v>
      </c>
      <c r="B75" s="233">
        <v>3</v>
      </c>
      <c r="C75" s="7" t="s">
        <v>1659</v>
      </c>
      <c r="D75" s="679">
        <v>0</v>
      </c>
    </row>
    <row r="76" spans="1:4" x14ac:dyDescent="0.3">
      <c r="A76" s="233">
        <v>150000587</v>
      </c>
      <c r="B76" s="233">
        <v>3</v>
      </c>
      <c r="C76" s="7" t="s">
        <v>82</v>
      </c>
      <c r="D76" s="679">
        <v>0</v>
      </c>
    </row>
    <row r="77" spans="1:4" x14ac:dyDescent="0.3">
      <c r="A77" s="233">
        <v>150000590</v>
      </c>
      <c r="B77" s="233">
        <v>3</v>
      </c>
      <c r="C77" s="7" t="s">
        <v>163</v>
      </c>
      <c r="D77" s="679">
        <v>0</v>
      </c>
    </row>
    <row r="78" spans="1:4" x14ac:dyDescent="0.3">
      <c r="A78" s="233">
        <v>150000591</v>
      </c>
      <c r="B78" s="233">
        <v>3</v>
      </c>
      <c r="C78" s="7" t="s">
        <v>191</v>
      </c>
      <c r="D78" s="679">
        <v>0</v>
      </c>
    </row>
    <row r="79" spans="1:4" x14ac:dyDescent="0.3">
      <c r="A79" s="233">
        <v>150000592</v>
      </c>
      <c r="B79" s="233">
        <v>1</v>
      </c>
      <c r="C79" s="7" t="s">
        <v>353</v>
      </c>
      <c r="D79" s="679">
        <f>43.97+3.34</f>
        <v>47.31</v>
      </c>
    </row>
    <row r="80" spans="1:4" x14ac:dyDescent="0.3">
      <c r="A80" s="233">
        <v>150000593</v>
      </c>
      <c r="B80" s="233">
        <v>1</v>
      </c>
      <c r="C80" s="7" t="s">
        <v>255</v>
      </c>
      <c r="D80" s="679">
        <v>18.64</v>
      </c>
    </row>
    <row r="81" spans="1:4" x14ac:dyDescent="0.3">
      <c r="A81" s="233">
        <v>150000594</v>
      </c>
      <c r="B81" s="233">
        <v>1</v>
      </c>
      <c r="C81" s="7" t="s">
        <v>354</v>
      </c>
      <c r="D81" s="679">
        <v>0</v>
      </c>
    </row>
    <row r="82" spans="1:4" x14ac:dyDescent="0.3">
      <c r="A82" s="233">
        <v>150000596</v>
      </c>
      <c r="B82" s="233">
        <v>1</v>
      </c>
      <c r="C82" s="7" t="s">
        <v>1093</v>
      </c>
      <c r="D82" s="679">
        <v>0</v>
      </c>
    </row>
    <row r="83" spans="1:4" x14ac:dyDescent="0.3">
      <c r="A83" s="233">
        <v>150000597</v>
      </c>
      <c r="B83" s="233">
        <v>1</v>
      </c>
      <c r="C83" s="7" t="s">
        <v>352</v>
      </c>
      <c r="D83" s="679">
        <v>0</v>
      </c>
    </row>
    <row r="84" spans="1:4" x14ac:dyDescent="0.3">
      <c r="A84" s="233">
        <v>150000598</v>
      </c>
      <c r="B84" s="233">
        <v>1</v>
      </c>
      <c r="C84" s="7" t="s">
        <v>76</v>
      </c>
      <c r="D84" s="679">
        <v>0</v>
      </c>
    </row>
    <row r="85" spans="1:4" x14ac:dyDescent="0.3">
      <c r="A85" s="233">
        <v>150000599</v>
      </c>
      <c r="B85" s="233">
        <v>1</v>
      </c>
      <c r="C85" s="7" t="s">
        <v>77</v>
      </c>
      <c r="D85" s="679">
        <v>0</v>
      </c>
    </row>
    <row r="86" spans="1:4" x14ac:dyDescent="0.3">
      <c r="A86" s="233">
        <v>150000600</v>
      </c>
      <c r="B86" s="233">
        <v>1</v>
      </c>
      <c r="C86" s="7" t="s">
        <v>1647</v>
      </c>
      <c r="D86" s="679">
        <v>0</v>
      </c>
    </row>
    <row r="87" spans="1:4" x14ac:dyDescent="0.3">
      <c r="A87" s="233">
        <v>150000601</v>
      </c>
      <c r="B87" s="233">
        <v>1</v>
      </c>
      <c r="C87" s="7" t="s">
        <v>78</v>
      </c>
      <c r="D87" s="679">
        <v>0</v>
      </c>
    </row>
    <row r="88" spans="1:4" x14ac:dyDescent="0.3">
      <c r="A88" s="233">
        <v>150000603</v>
      </c>
      <c r="B88" s="681">
        <v>2</v>
      </c>
      <c r="C88" s="7" t="s">
        <v>153</v>
      </c>
      <c r="D88" s="679">
        <v>0</v>
      </c>
    </row>
    <row r="89" spans="1:4" x14ac:dyDescent="0.3">
      <c r="A89" s="233">
        <v>150000604</v>
      </c>
      <c r="B89" s="681">
        <v>2</v>
      </c>
      <c r="C89" s="7" t="s">
        <v>154</v>
      </c>
      <c r="D89" s="679">
        <v>0</v>
      </c>
    </row>
    <row r="90" spans="1:4" x14ac:dyDescent="0.3">
      <c r="A90" s="233">
        <v>150000605</v>
      </c>
      <c r="B90" s="681">
        <v>2</v>
      </c>
      <c r="C90" s="7" t="s">
        <v>155</v>
      </c>
      <c r="D90" s="679">
        <v>0</v>
      </c>
    </row>
    <row r="91" spans="1:4" x14ac:dyDescent="0.3">
      <c r="A91" s="233">
        <v>150000606</v>
      </c>
      <c r="B91" s="681">
        <v>2</v>
      </c>
      <c r="C91" s="7" t="s">
        <v>156</v>
      </c>
      <c r="D91" s="679">
        <v>0</v>
      </c>
    </row>
    <row r="92" spans="1:4" x14ac:dyDescent="0.3">
      <c r="A92" s="233">
        <v>150000607</v>
      </c>
      <c r="B92" s="681">
        <v>2</v>
      </c>
      <c r="C92" s="7" t="s">
        <v>157</v>
      </c>
      <c r="D92" s="679">
        <v>0</v>
      </c>
    </row>
    <row r="93" spans="1:4" x14ac:dyDescent="0.3">
      <c r="A93" s="233">
        <v>150000608</v>
      </c>
      <c r="B93" s="681">
        <v>2</v>
      </c>
      <c r="C93" s="7" t="s">
        <v>158</v>
      </c>
      <c r="D93" s="679">
        <v>0</v>
      </c>
    </row>
    <row r="94" spans="1:4" x14ac:dyDescent="0.3">
      <c r="A94" s="233">
        <v>150000609</v>
      </c>
      <c r="B94" s="681">
        <v>2</v>
      </c>
      <c r="C94" s="7" t="s">
        <v>159</v>
      </c>
      <c r="D94" s="679">
        <v>0</v>
      </c>
    </row>
    <row r="95" spans="1:4" x14ac:dyDescent="0.3">
      <c r="A95" s="233">
        <v>150000610</v>
      </c>
      <c r="B95" s="681">
        <v>2</v>
      </c>
      <c r="C95" s="7" t="s">
        <v>160</v>
      </c>
      <c r="D95" s="679">
        <v>0</v>
      </c>
    </row>
    <row r="96" spans="1:4" x14ac:dyDescent="0.3">
      <c r="A96" s="233">
        <v>150000611</v>
      </c>
      <c r="B96" s="681">
        <v>2</v>
      </c>
      <c r="C96" s="7" t="s">
        <v>195</v>
      </c>
      <c r="D96" s="679">
        <v>0</v>
      </c>
    </row>
    <row r="97" spans="1:4" x14ac:dyDescent="0.3">
      <c r="A97" s="233">
        <v>150000612</v>
      </c>
      <c r="B97" s="681">
        <v>2</v>
      </c>
      <c r="C97" s="7" t="s">
        <v>161</v>
      </c>
      <c r="D97" s="679">
        <v>0</v>
      </c>
    </row>
    <row r="98" spans="1:4" x14ac:dyDescent="0.3">
      <c r="A98" s="233">
        <v>150000613</v>
      </c>
      <c r="B98" s="681">
        <v>2</v>
      </c>
      <c r="C98" s="7" t="s">
        <v>210</v>
      </c>
      <c r="D98" s="679">
        <v>0</v>
      </c>
    </row>
    <row r="99" spans="1:4" x14ac:dyDescent="0.3">
      <c r="A99" s="233">
        <v>150000614</v>
      </c>
      <c r="B99" s="681">
        <v>2</v>
      </c>
      <c r="C99" s="7" t="s">
        <v>162</v>
      </c>
      <c r="D99" s="679">
        <v>0</v>
      </c>
    </row>
    <row r="100" spans="1:4" x14ac:dyDescent="0.3">
      <c r="A100" s="233">
        <v>150000615</v>
      </c>
      <c r="B100" s="681">
        <v>2</v>
      </c>
      <c r="C100" s="7" t="s">
        <v>256</v>
      </c>
      <c r="D100" s="679">
        <v>0</v>
      </c>
    </row>
    <row r="101" spans="1:4" x14ac:dyDescent="0.3">
      <c r="A101" s="233">
        <v>150000616</v>
      </c>
      <c r="B101" s="681">
        <v>2</v>
      </c>
      <c r="C101" s="7" t="s">
        <v>257</v>
      </c>
      <c r="D101" s="682">
        <f>10.5</f>
        <v>10.5</v>
      </c>
    </row>
    <row r="102" spans="1:4" x14ac:dyDescent="0.3">
      <c r="A102" s="233">
        <v>150000618</v>
      </c>
      <c r="B102" s="681">
        <v>2</v>
      </c>
      <c r="C102" s="7" t="s">
        <v>416</v>
      </c>
      <c r="D102" s="679">
        <v>0</v>
      </c>
    </row>
    <row r="103" spans="1:4" x14ac:dyDescent="0.3">
      <c r="A103" s="233">
        <v>150000619</v>
      </c>
      <c r="B103" s="681">
        <v>2</v>
      </c>
      <c r="C103" s="7" t="s">
        <v>359</v>
      </c>
      <c r="D103" s="679">
        <v>0</v>
      </c>
    </row>
    <row r="104" spans="1:4" x14ac:dyDescent="0.3">
      <c r="A104" s="233">
        <v>150000621</v>
      </c>
      <c r="B104" s="681">
        <v>2</v>
      </c>
      <c r="C104" s="7" t="s">
        <v>80</v>
      </c>
      <c r="D104" s="679">
        <v>0</v>
      </c>
    </row>
    <row r="105" spans="1:4" x14ac:dyDescent="0.3">
      <c r="A105" s="233">
        <v>150000622</v>
      </c>
      <c r="B105" s="681">
        <v>2</v>
      </c>
      <c r="C105" s="7" t="s">
        <v>81</v>
      </c>
      <c r="D105" s="679">
        <v>0</v>
      </c>
    </row>
    <row r="106" spans="1:4" x14ac:dyDescent="0.3">
      <c r="A106" s="233">
        <v>150000623</v>
      </c>
      <c r="B106" s="681">
        <v>2</v>
      </c>
      <c r="C106" s="7" t="s">
        <v>209</v>
      </c>
      <c r="D106" s="679">
        <v>0</v>
      </c>
    </row>
    <row r="107" spans="1:4" x14ac:dyDescent="0.3">
      <c r="A107" s="233">
        <v>150000625</v>
      </c>
      <c r="B107" s="233">
        <v>1</v>
      </c>
      <c r="C107" s="7" t="s">
        <v>415</v>
      </c>
      <c r="D107" s="679">
        <v>8.6300000000000008</v>
      </c>
    </row>
    <row r="108" spans="1:4" x14ac:dyDescent="0.3">
      <c r="A108" s="233">
        <v>150000626</v>
      </c>
      <c r="B108" s="233">
        <v>1</v>
      </c>
      <c r="C108" s="7" t="s">
        <v>358</v>
      </c>
      <c r="D108" s="679">
        <v>40.950000000000003</v>
      </c>
    </row>
    <row r="109" spans="1:4" x14ac:dyDescent="0.3">
      <c r="A109" s="233">
        <v>150000627</v>
      </c>
      <c r="B109" s="233">
        <v>1</v>
      </c>
      <c r="C109" s="7" t="s">
        <v>355</v>
      </c>
      <c r="D109" s="679">
        <v>0</v>
      </c>
    </row>
    <row r="110" spans="1:4" x14ac:dyDescent="0.3">
      <c r="A110" s="233">
        <v>150000628</v>
      </c>
      <c r="B110" s="233">
        <v>1</v>
      </c>
      <c r="C110" s="7" t="s">
        <v>356</v>
      </c>
      <c r="D110" s="679">
        <v>5.25</v>
      </c>
    </row>
    <row r="111" spans="1:4" x14ac:dyDescent="0.3">
      <c r="A111" s="233">
        <v>150000629</v>
      </c>
      <c r="B111" s="233">
        <v>1</v>
      </c>
      <c r="C111" s="7" t="s">
        <v>357</v>
      </c>
      <c r="D111" s="679">
        <v>8.6300000000000008</v>
      </c>
    </row>
    <row r="112" spans="1:4" x14ac:dyDescent="0.3">
      <c r="A112" s="233">
        <v>150000634</v>
      </c>
      <c r="B112" s="233">
        <v>3</v>
      </c>
      <c r="C112" s="7" t="s">
        <v>86</v>
      </c>
      <c r="D112" s="679">
        <v>0</v>
      </c>
    </row>
    <row r="113" spans="1:4" x14ac:dyDescent="0.3">
      <c r="A113" s="233">
        <v>150000636</v>
      </c>
      <c r="B113" s="233">
        <v>3</v>
      </c>
      <c r="C113" s="7" t="s">
        <v>258</v>
      </c>
      <c r="D113" s="679">
        <v>0</v>
      </c>
    </row>
    <row r="114" spans="1:4" x14ac:dyDescent="0.3">
      <c r="A114" s="233">
        <v>150000637</v>
      </c>
      <c r="B114" s="233">
        <v>3</v>
      </c>
      <c r="C114" s="7" t="s">
        <v>87</v>
      </c>
      <c r="D114" s="679">
        <v>0</v>
      </c>
    </row>
    <row r="115" spans="1:4" x14ac:dyDescent="0.3">
      <c r="A115" s="233">
        <v>150000638</v>
      </c>
      <c r="B115" s="681">
        <v>2</v>
      </c>
      <c r="C115" s="7" t="s">
        <v>131</v>
      </c>
      <c r="D115" s="679">
        <v>0</v>
      </c>
    </row>
    <row r="116" spans="1:4" x14ac:dyDescent="0.3">
      <c r="A116" s="233">
        <v>150000639</v>
      </c>
      <c r="B116" s="681">
        <v>2</v>
      </c>
      <c r="C116" s="7" t="s">
        <v>132</v>
      </c>
      <c r="D116" s="679">
        <v>0</v>
      </c>
    </row>
    <row r="117" spans="1:4" x14ac:dyDescent="0.3">
      <c r="A117" s="233">
        <v>150000640</v>
      </c>
      <c r="B117" s="681">
        <v>2</v>
      </c>
      <c r="C117" s="7" t="s">
        <v>1656</v>
      </c>
      <c r="D117" s="679">
        <v>0</v>
      </c>
    </row>
    <row r="118" spans="1:4" x14ac:dyDescent="0.3">
      <c r="A118" s="233">
        <v>150000643</v>
      </c>
      <c r="B118" s="233">
        <v>3</v>
      </c>
      <c r="C118" s="7" t="s">
        <v>66</v>
      </c>
      <c r="D118" s="679">
        <v>0</v>
      </c>
    </row>
    <row r="119" spans="1:4" x14ac:dyDescent="0.3">
      <c r="A119" s="233">
        <v>150000644</v>
      </c>
      <c r="B119" s="233">
        <v>3</v>
      </c>
      <c r="C119" s="7" t="s">
        <v>67</v>
      </c>
      <c r="D119" s="679">
        <v>0</v>
      </c>
    </row>
    <row r="120" spans="1:4" x14ac:dyDescent="0.3">
      <c r="A120" s="233">
        <v>150000645</v>
      </c>
      <c r="B120" s="233">
        <v>3</v>
      </c>
      <c r="C120" s="7" t="s">
        <v>65</v>
      </c>
      <c r="D120" s="679">
        <v>0</v>
      </c>
    </row>
    <row r="121" spans="1:4" x14ac:dyDescent="0.3">
      <c r="A121" s="233">
        <v>150000647</v>
      </c>
      <c r="B121" s="233">
        <v>3</v>
      </c>
      <c r="C121" s="7" t="s">
        <v>96</v>
      </c>
      <c r="D121" s="679">
        <v>0</v>
      </c>
    </row>
    <row r="122" spans="1:4" x14ac:dyDescent="0.3">
      <c r="A122" s="233">
        <v>150000648</v>
      </c>
      <c r="B122" s="233">
        <v>3</v>
      </c>
      <c r="C122" s="7" t="s">
        <v>361</v>
      </c>
      <c r="D122" s="679">
        <v>0</v>
      </c>
    </row>
    <row r="123" spans="1:4" x14ac:dyDescent="0.3">
      <c r="A123" s="233">
        <v>150000658</v>
      </c>
      <c r="B123" s="233">
        <v>3</v>
      </c>
      <c r="C123" s="7" t="s">
        <v>351</v>
      </c>
      <c r="D123" s="682">
        <f>9.56</f>
        <v>9.56</v>
      </c>
    </row>
    <row r="124" spans="1:4" x14ac:dyDescent="0.3">
      <c r="A124" s="233">
        <v>150000659</v>
      </c>
      <c r="B124" s="233">
        <v>3</v>
      </c>
      <c r="C124" s="7" t="s">
        <v>413</v>
      </c>
      <c r="D124" s="679">
        <v>0</v>
      </c>
    </row>
    <row r="125" spans="1:4" x14ac:dyDescent="0.3">
      <c r="A125" s="233">
        <v>150000660</v>
      </c>
      <c r="B125" s="233">
        <v>3</v>
      </c>
      <c r="C125" s="7" t="s">
        <v>414</v>
      </c>
      <c r="D125" s="679">
        <v>0</v>
      </c>
    </row>
    <row r="126" spans="1:4" x14ac:dyDescent="0.3">
      <c r="A126" s="233">
        <v>150000670</v>
      </c>
      <c r="B126" s="681">
        <v>2</v>
      </c>
      <c r="C126" s="7" t="s">
        <v>126</v>
      </c>
      <c r="D126" s="679">
        <v>0</v>
      </c>
    </row>
    <row r="127" spans="1:4" x14ac:dyDescent="0.3">
      <c r="A127" s="233">
        <v>150000671</v>
      </c>
      <c r="B127" s="681">
        <v>2</v>
      </c>
      <c r="C127" s="7" t="s">
        <v>127</v>
      </c>
      <c r="D127" s="679">
        <v>0</v>
      </c>
    </row>
    <row r="128" spans="1:4" x14ac:dyDescent="0.3">
      <c r="A128" s="233">
        <v>150000672</v>
      </c>
      <c r="B128" s="681">
        <v>2</v>
      </c>
      <c r="C128" s="7" t="s">
        <v>428</v>
      </c>
      <c r="D128" s="682">
        <f>24.5+19.25</f>
        <v>43.75</v>
      </c>
    </row>
    <row r="129" spans="1:4" x14ac:dyDescent="0.3">
      <c r="A129" s="233">
        <v>150000673</v>
      </c>
      <c r="B129" s="681">
        <v>2</v>
      </c>
      <c r="C129" s="7" t="s">
        <v>182</v>
      </c>
      <c r="D129" s="679">
        <v>0</v>
      </c>
    </row>
    <row r="130" spans="1:4" x14ac:dyDescent="0.3">
      <c r="A130" s="233">
        <v>150000676</v>
      </c>
      <c r="B130" s="681">
        <v>2</v>
      </c>
      <c r="C130" s="7" t="s">
        <v>385</v>
      </c>
      <c r="D130" s="679">
        <v>0</v>
      </c>
    </row>
    <row r="131" spans="1:4" x14ac:dyDescent="0.3">
      <c r="A131" s="233">
        <v>150000683</v>
      </c>
      <c r="B131" s="233">
        <v>3</v>
      </c>
      <c r="C131" s="7" t="s">
        <v>115</v>
      </c>
      <c r="D131" s="679">
        <v>0</v>
      </c>
    </row>
    <row r="132" spans="1:4" x14ac:dyDescent="0.3">
      <c r="A132" s="233">
        <v>150000686</v>
      </c>
      <c r="B132" s="233">
        <v>3</v>
      </c>
      <c r="C132" s="7" t="s">
        <v>97</v>
      </c>
      <c r="D132" s="679">
        <v>0</v>
      </c>
    </row>
    <row r="133" spans="1:4" x14ac:dyDescent="0.3">
      <c r="A133" s="233">
        <v>150000688</v>
      </c>
      <c r="B133" s="233">
        <v>3</v>
      </c>
      <c r="C133" s="7" t="s">
        <v>92</v>
      </c>
      <c r="D133" s="679">
        <v>0</v>
      </c>
    </row>
    <row r="134" spans="1:4" x14ac:dyDescent="0.3">
      <c r="A134" s="233">
        <v>150000689</v>
      </c>
      <c r="B134" s="233">
        <v>3</v>
      </c>
      <c r="C134" s="7" t="s">
        <v>93</v>
      </c>
      <c r="D134" s="679">
        <v>0</v>
      </c>
    </row>
    <row r="135" spans="1:4" x14ac:dyDescent="0.3">
      <c r="A135" s="233">
        <v>150000690</v>
      </c>
      <c r="B135" s="233">
        <v>3</v>
      </c>
      <c r="C135" s="7" t="s">
        <v>95</v>
      </c>
      <c r="D135" s="679">
        <v>0</v>
      </c>
    </row>
    <row r="136" spans="1:4" x14ac:dyDescent="0.3">
      <c r="A136" s="233">
        <v>150000693</v>
      </c>
      <c r="B136" s="233">
        <v>3</v>
      </c>
      <c r="C136" s="7" t="s">
        <v>94</v>
      </c>
      <c r="D136" s="679">
        <v>0</v>
      </c>
    </row>
    <row r="137" spans="1:4" x14ac:dyDescent="0.3">
      <c r="A137" s="233">
        <v>150000694</v>
      </c>
      <c r="B137" s="233">
        <v>3</v>
      </c>
      <c r="C137" s="7" t="s">
        <v>371</v>
      </c>
      <c r="D137" s="682">
        <f>35</f>
        <v>35</v>
      </c>
    </row>
    <row r="138" spans="1:4" x14ac:dyDescent="0.3">
      <c r="A138" s="233">
        <v>150000695</v>
      </c>
      <c r="B138" s="233">
        <v>3</v>
      </c>
      <c r="C138" s="7" t="s">
        <v>372</v>
      </c>
      <c r="D138" s="682">
        <f>19.37</f>
        <v>19.37</v>
      </c>
    </row>
    <row r="139" spans="1:4" x14ac:dyDescent="0.3">
      <c r="A139" s="233">
        <v>150000696</v>
      </c>
      <c r="B139" s="233">
        <v>3</v>
      </c>
      <c r="C139" s="7" t="s">
        <v>370</v>
      </c>
      <c r="D139" s="682">
        <f>9.63</f>
        <v>9.6300000000000008</v>
      </c>
    </row>
    <row r="140" spans="1:4" x14ac:dyDescent="0.3">
      <c r="A140" s="233">
        <v>150000697</v>
      </c>
      <c r="B140" s="233">
        <v>3</v>
      </c>
      <c r="C140" s="7" t="s">
        <v>265</v>
      </c>
      <c r="D140" s="679">
        <v>0</v>
      </c>
    </row>
    <row r="141" spans="1:4" x14ac:dyDescent="0.3">
      <c r="A141" s="233">
        <v>150000698</v>
      </c>
      <c r="B141" s="233">
        <v>3</v>
      </c>
      <c r="C141" s="7" t="s">
        <v>120</v>
      </c>
      <c r="D141" s="679">
        <v>0</v>
      </c>
    </row>
    <row r="142" spans="1:4" x14ac:dyDescent="0.3">
      <c r="A142" s="233">
        <v>150000699</v>
      </c>
      <c r="B142" s="233">
        <v>3</v>
      </c>
      <c r="C142" s="7" t="s">
        <v>373</v>
      </c>
      <c r="D142" s="682">
        <f>24.5</f>
        <v>24.5</v>
      </c>
    </row>
    <row r="143" spans="1:4" x14ac:dyDescent="0.3">
      <c r="A143" s="233">
        <v>150000701</v>
      </c>
      <c r="B143" s="233">
        <v>3</v>
      </c>
      <c r="C143" s="7" t="s">
        <v>1661</v>
      </c>
      <c r="D143" s="679">
        <v>0</v>
      </c>
    </row>
    <row r="144" spans="1:4" x14ac:dyDescent="0.3">
      <c r="A144" s="233">
        <v>150000702</v>
      </c>
      <c r="B144" s="233">
        <v>3</v>
      </c>
      <c r="C144" s="7" t="s">
        <v>338</v>
      </c>
      <c r="D144" s="679">
        <v>0</v>
      </c>
    </row>
    <row r="145" spans="1:4" x14ac:dyDescent="0.3">
      <c r="A145" s="233">
        <v>150000703</v>
      </c>
      <c r="B145" s="233">
        <v>3</v>
      </c>
      <c r="C145" s="7" t="s">
        <v>339</v>
      </c>
      <c r="D145" s="682">
        <v>37.36</v>
      </c>
    </row>
    <row r="146" spans="1:4" x14ac:dyDescent="0.3">
      <c r="A146" s="233">
        <v>150000705</v>
      </c>
      <c r="B146" s="233">
        <v>3</v>
      </c>
      <c r="C146" s="7" t="s">
        <v>141</v>
      </c>
      <c r="D146" s="679">
        <v>0</v>
      </c>
    </row>
    <row r="147" spans="1:4" x14ac:dyDescent="0.3">
      <c r="A147" s="233">
        <v>150000706</v>
      </c>
      <c r="B147" s="233">
        <v>3</v>
      </c>
      <c r="C147" s="7" t="s">
        <v>143</v>
      </c>
      <c r="D147" s="679">
        <v>0</v>
      </c>
    </row>
    <row r="148" spans="1:4" x14ac:dyDescent="0.3">
      <c r="A148" s="233">
        <v>150000707</v>
      </c>
      <c r="B148" s="233">
        <v>3</v>
      </c>
      <c r="C148" s="7" t="s">
        <v>144</v>
      </c>
      <c r="D148" s="679">
        <v>0</v>
      </c>
    </row>
    <row r="149" spans="1:4" x14ac:dyDescent="0.3">
      <c r="A149" s="233">
        <v>150000708</v>
      </c>
      <c r="B149" s="233">
        <v>3</v>
      </c>
      <c r="C149" s="7" t="s">
        <v>145</v>
      </c>
      <c r="D149" s="679">
        <v>0</v>
      </c>
    </row>
    <row r="150" spans="1:4" x14ac:dyDescent="0.3">
      <c r="A150" s="233">
        <v>150000709</v>
      </c>
      <c r="B150" s="233">
        <v>3</v>
      </c>
      <c r="C150" s="7" t="s">
        <v>142</v>
      </c>
      <c r="D150" s="679">
        <v>0</v>
      </c>
    </row>
    <row r="151" spans="1:4" x14ac:dyDescent="0.3">
      <c r="A151" s="233">
        <v>150000710</v>
      </c>
      <c r="B151" s="233">
        <v>3</v>
      </c>
      <c r="C151" s="7" t="s">
        <v>278</v>
      </c>
      <c r="D151" s="679">
        <v>0</v>
      </c>
    </row>
    <row r="152" spans="1:4" x14ac:dyDescent="0.3">
      <c r="A152" s="233">
        <v>150000711</v>
      </c>
      <c r="B152" s="233">
        <v>3</v>
      </c>
      <c r="C152" s="7" t="s">
        <v>279</v>
      </c>
      <c r="D152" s="679">
        <v>0</v>
      </c>
    </row>
    <row r="153" spans="1:4" x14ac:dyDescent="0.3">
      <c r="A153" s="233">
        <v>150000712</v>
      </c>
      <c r="B153" s="233">
        <v>3</v>
      </c>
      <c r="C153" s="7" t="s">
        <v>280</v>
      </c>
      <c r="D153" s="679">
        <v>0</v>
      </c>
    </row>
    <row r="154" spans="1:4" x14ac:dyDescent="0.3">
      <c r="A154" s="233">
        <v>150000713</v>
      </c>
      <c r="B154" s="233">
        <v>3</v>
      </c>
      <c r="C154" s="7" t="s">
        <v>281</v>
      </c>
      <c r="D154" s="679">
        <v>0</v>
      </c>
    </row>
    <row r="155" spans="1:4" x14ac:dyDescent="0.3">
      <c r="A155" s="233">
        <v>150000714</v>
      </c>
      <c r="B155" s="233">
        <v>3</v>
      </c>
      <c r="C155" s="7" t="s">
        <v>282</v>
      </c>
      <c r="D155" s="679">
        <v>0</v>
      </c>
    </row>
    <row r="156" spans="1:4" x14ac:dyDescent="0.3">
      <c r="A156" s="233">
        <v>150000715</v>
      </c>
      <c r="B156" s="233">
        <v>3</v>
      </c>
      <c r="C156" s="7" t="s">
        <v>283</v>
      </c>
      <c r="D156" s="679">
        <v>0</v>
      </c>
    </row>
    <row r="157" spans="1:4" x14ac:dyDescent="0.3">
      <c r="A157" s="233">
        <v>150000716</v>
      </c>
      <c r="B157" s="233">
        <v>3</v>
      </c>
      <c r="C157" s="7" t="s">
        <v>285</v>
      </c>
      <c r="D157" s="679">
        <v>0</v>
      </c>
    </row>
    <row r="158" spans="1:4" x14ac:dyDescent="0.3">
      <c r="A158" s="233">
        <v>150000717</v>
      </c>
      <c r="B158" s="233">
        <v>3</v>
      </c>
      <c r="C158" s="7" t="s">
        <v>286</v>
      </c>
      <c r="D158" s="679">
        <v>0</v>
      </c>
    </row>
    <row r="159" spans="1:4" x14ac:dyDescent="0.3">
      <c r="A159" s="233">
        <v>150000718</v>
      </c>
      <c r="B159" s="233">
        <v>3</v>
      </c>
      <c r="C159" s="7" t="s">
        <v>287</v>
      </c>
      <c r="D159" s="682">
        <f>7+3.5+30.44+31.5</f>
        <v>72.44</v>
      </c>
    </row>
    <row r="160" spans="1:4" x14ac:dyDescent="0.3">
      <c r="A160" s="233">
        <v>150000719</v>
      </c>
      <c r="B160" s="233">
        <v>3</v>
      </c>
      <c r="C160" s="7" t="s">
        <v>284</v>
      </c>
      <c r="D160" s="679">
        <v>0</v>
      </c>
    </row>
    <row r="161" spans="1:4" x14ac:dyDescent="0.3">
      <c r="A161" s="233">
        <v>150000720</v>
      </c>
      <c r="B161" s="233">
        <v>3</v>
      </c>
      <c r="C161" s="7" t="s">
        <v>288</v>
      </c>
      <c r="D161" s="679">
        <v>0</v>
      </c>
    </row>
    <row r="162" spans="1:4" x14ac:dyDescent="0.3">
      <c r="A162" s="233">
        <v>150000721</v>
      </c>
      <c r="B162" s="681">
        <v>2</v>
      </c>
      <c r="C162" s="7" t="s">
        <v>218</v>
      </c>
      <c r="D162" s="682">
        <f>38.94</f>
        <v>38.94</v>
      </c>
    </row>
    <row r="163" spans="1:4" x14ac:dyDescent="0.3">
      <c r="A163" s="233">
        <v>150000722</v>
      </c>
      <c r="B163" s="681">
        <v>2</v>
      </c>
      <c r="C163" s="7" t="s">
        <v>274</v>
      </c>
      <c r="D163" s="679">
        <v>0</v>
      </c>
    </row>
    <row r="164" spans="1:4" x14ac:dyDescent="0.3">
      <c r="A164" s="233">
        <v>150000723</v>
      </c>
      <c r="B164" s="681">
        <v>2</v>
      </c>
      <c r="C164" s="7" t="s">
        <v>275</v>
      </c>
      <c r="D164" s="682">
        <f>457.6</f>
        <v>457.6</v>
      </c>
    </row>
    <row r="165" spans="1:4" x14ac:dyDescent="0.3">
      <c r="A165" s="233">
        <v>150000724</v>
      </c>
      <c r="B165" s="681">
        <v>2</v>
      </c>
      <c r="C165" s="7" t="s">
        <v>276</v>
      </c>
      <c r="D165" s="679">
        <v>0</v>
      </c>
    </row>
    <row r="166" spans="1:4" x14ac:dyDescent="0.3">
      <c r="A166" s="233">
        <v>150000725</v>
      </c>
      <c r="B166" s="681">
        <v>2</v>
      </c>
      <c r="C166" s="7" t="s">
        <v>277</v>
      </c>
      <c r="D166" s="679">
        <v>0</v>
      </c>
    </row>
    <row r="167" spans="1:4" x14ac:dyDescent="0.3">
      <c r="A167" s="233">
        <v>150000726</v>
      </c>
      <c r="B167" s="681">
        <v>2</v>
      </c>
      <c r="C167" s="7" t="s">
        <v>183</v>
      </c>
      <c r="D167" s="679">
        <v>0</v>
      </c>
    </row>
    <row r="168" spans="1:4" x14ac:dyDescent="0.3">
      <c r="A168" s="233">
        <v>150000727</v>
      </c>
      <c r="B168" s="681">
        <v>2</v>
      </c>
      <c r="C168" s="7" t="s">
        <v>128</v>
      </c>
      <c r="D168" s="679">
        <v>0</v>
      </c>
    </row>
    <row r="169" spans="1:4" x14ac:dyDescent="0.3">
      <c r="A169" s="233">
        <v>150000728</v>
      </c>
      <c r="B169" s="681">
        <v>2</v>
      </c>
      <c r="C169" s="7" t="s">
        <v>184</v>
      </c>
      <c r="D169" s="679">
        <v>0</v>
      </c>
    </row>
    <row r="170" spans="1:4" x14ac:dyDescent="0.3">
      <c r="A170" s="233">
        <v>150000729</v>
      </c>
      <c r="B170" s="681">
        <v>2</v>
      </c>
      <c r="C170" s="7" t="s">
        <v>273</v>
      </c>
      <c r="D170" s="679">
        <v>0</v>
      </c>
    </row>
    <row r="171" spans="1:4" x14ac:dyDescent="0.3">
      <c r="A171" s="233">
        <v>150000735</v>
      </c>
      <c r="B171" s="233">
        <v>1</v>
      </c>
      <c r="C171" s="7" t="s">
        <v>1655</v>
      </c>
      <c r="D171" s="679">
        <v>0</v>
      </c>
    </row>
    <row r="172" spans="1:4" x14ac:dyDescent="0.3">
      <c r="A172" s="233">
        <v>150000736</v>
      </c>
      <c r="B172" s="681">
        <v>2</v>
      </c>
      <c r="C172" s="7" t="s">
        <v>219</v>
      </c>
      <c r="D172" s="679">
        <v>0</v>
      </c>
    </row>
    <row r="173" spans="1:4" x14ac:dyDescent="0.3">
      <c r="A173" s="233">
        <v>150000737</v>
      </c>
      <c r="B173" s="681">
        <v>2</v>
      </c>
      <c r="C173" s="7" t="s">
        <v>221</v>
      </c>
      <c r="D173" s="679">
        <v>0</v>
      </c>
    </row>
    <row r="174" spans="1:4" x14ac:dyDescent="0.3">
      <c r="A174" s="233">
        <v>150000738</v>
      </c>
      <c r="B174" s="681">
        <v>2</v>
      </c>
      <c r="C174" s="7" t="s">
        <v>289</v>
      </c>
      <c r="D174" s="679">
        <v>0</v>
      </c>
    </row>
    <row r="175" spans="1:4" x14ac:dyDescent="0.3">
      <c r="A175" s="233">
        <v>150000739</v>
      </c>
      <c r="B175" s="681">
        <v>2</v>
      </c>
      <c r="C175" s="7" t="s">
        <v>222</v>
      </c>
      <c r="D175" s="682">
        <f>211.37</f>
        <v>211.37</v>
      </c>
    </row>
    <row r="176" spans="1:4" x14ac:dyDescent="0.3">
      <c r="A176" s="233">
        <v>150000740</v>
      </c>
      <c r="B176" s="681">
        <v>2</v>
      </c>
      <c r="C176" s="7" t="s">
        <v>197</v>
      </c>
      <c r="D176" s="679">
        <v>0</v>
      </c>
    </row>
    <row r="177" spans="1:4" x14ac:dyDescent="0.3">
      <c r="A177" s="233">
        <v>150000741</v>
      </c>
      <c r="B177" s="681">
        <v>2</v>
      </c>
      <c r="C177" s="7" t="s">
        <v>224</v>
      </c>
      <c r="D177" s="679">
        <v>0</v>
      </c>
    </row>
    <row r="178" spans="1:4" x14ac:dyDescent="0.3">
      <c r="A178" s="233">
        <v>150000742</v>
      </c>
      <c r="B178" s="681">
        <v>2</v>
      </c>
      <c r="C178" s="7" t="s">
        <v>290</v>
      </c>
      <c r="D178" s="679">
        <v>0</v>
      </c>
    </row>
    <row r="179" spans="1:4" x14ac:dyDescent="0.3">
      <c r="A179" s="233">
        <v>150000743</v>
      </c>
      <c r="B179" s="681">
        <v>2</v>
      </c>
      <c r="C179" s="7" t="s">
        <v>220</v>
      </c>
      <c r="D179" s="682">
        <f>38.08</f>
        <v>38.08</v>
      </c>
    </row>
    <row r="180" spans="1:4" x14ac:dyDescent="0.3">
      <c r="A180" s="233">
        <v>150000744</v>
      </c>
      <c r="B180" s="681">
        <v>2</v>
      </c>
      <c r="C180" s="7" t="s">
        <v>223</v>
      </c>
      <c r="D180" s="679">
        <v>0</v>
      </c>
    </row>
    <row r="181" spans="1:4" x14ac:dyDescent="0.3">
      <c r="A181" s="233">
        <v>150000745</v>
      </c>
      <c r="B181" s="681">
        <v>2</v>
      </c>
      <c r="C181" s="7" t="s">
        <v>133</v>
      </c>
      <c r="D181" s="679">
        <v>0</v>
      </c>
    </row>
    <row r="182" spans="1:4" x14ac:dyDescent="0.3">
      <c r="A182" s="233">
        <v>150000747</v>
      </c>
      <c r="B182" s="233">
        <v>1</v>
      </c>
      <c r="C182" s="7" t="s">
        <v>1652</v>
      </c>
      <c r="D182" s="679">
        <v>0</v>
      </c>
    </row>
    <row r="183" spans="1:4" x14ac:dyDescent="0.3">
      <c r="A183" s="233">
        <v>150000748</v>
      </c>
      <c r="B183" s="233">
        <v>1</v>
      </c>
      <c r="C183" s="7" t="s">
        <v>1653</v>
      </c>
      <c r="D183" s="679">
        <v>0</v>
      </c>
    </row>
    <row r="184" spans="1:4" x14ac:dyDescent="0.3">
      <c r="A184" s="233">
        <v>150000749</v>
      </c>
      <c r="B184" s="233">
        <v>1</v>
      </c>
      <c r="C184" s="7" t="s">
        <v>1654</v>
      </c>
      <c r="D184" s="679">
        <v>0</v>
      </c>
    </row>
    <row r="185" spans="1:4" x14ac:dyDescent="0.3">
      <c r="A185" s="233">
        <v>150000750</v>
      </c>
      <c r="B185" s="233">
        <v>1</v>
      </c>
      <c r="C185" s="7" t="s">
        <v>129</v>
      </c>
      <c r="D185" s="679">
        <v>0</v>
      </c>
    </row>
    <row r="186" spans="1:4" x14ac:dyDescent="0.3">
      <c r="A186" s="233">
        <v>150000751</v>
      </c>
      <c r="B186" s="233">
        <v>1</v>
      </c>
      <c r="C186" s="7" t="s">
        <v>130</v>
      </c>
      <c r="D186" s="679">
        <v>0</v>
      </c>
    </row>
    <row r="187" spans="1:4" x14ac:dyDescent="0.3">
      <c r="A187" s="233">
        <v>150000752</v>
      </c>
      <c r="B187" s="233">
        <v>1</v>
      </c>
      <c r="C187" s="7" t="s">
        <v>386</v>
      </c>
      <c r="D187" s="679">
        <v>0</v>
      </c>
    </row>
    <row r="188" spans="1:4" x14ac:dyDescent="0.3">
      <c r="A188" s="233">
        <v>150000753</v>
      </c>
      <c r="B188" s="681">
        <v>2</v>
      </c>
      <c r="C188" s="7" t="s">
        <v>239</v>
      </c>
      <c r="D188" s="679">
        <v>0</v>
      </c>
    </row>
    <row r="189" spans="1:4" x14ac:dyDescent="0.3">
      <c r="A189" s="233">
        <v>150000754</v>
      </c>
      <c r="B189" s="681">
        <v>2</v>
      </c>
      <c r="C189" s="7" t="s">
        <v>240</v>
      </c>
      <c r="D189" s="682">
        <v>30.08</v>
      </c>
    </row>
    <row r="190" spans="1:4" x14ac:dyDescent="0.3">
      <c r="A190" s="233">
        <v>150000758</v>
      </c>
      <c r="B190" s="681">
        <v>2</v>
      </c>
      <c r="C190" s="7" t="s">
        <v>388</v>
      </c>
      <c r="D190" s="679">
        <v>0</v>
      </c>
    </row>
    <row r="191" spans="1:4" x14ac:dyDescent="0.3">
      <c r="A191" s="233">
        <v>150000759</v>
      </c>
      <c r="B191" s="681">
        <v>2</v>
      </c>
      <c r="C191" s="7" t="s">
        <v>389</v>
      </c>
      <c r="D191" s="679">
        <v>0</v>
      </c>
    </row>
    <row r="192" spans="1:4" x14ac:dyDescent="0.3">
      <c r="A192" s="233">
        <v>150000760</v>
      </c>
      <c r="B192" s="681">
        <v>2</v>
      </c>
      <c r="C192" s="7" t="s">
        <v>387</v>
      </c>
      <c r="D192" s="682">
        <f>32.38+19.25</f>
        <v>51.63</v>
      </c>
    </row>
    <row r="193" spans="1:4" x14ac:dyDescent="0.3">
      <c r="A193" s="233">
        <v>150000761</v>
      </c>
      <c r="B193" s="681">
        <v>2</v>
      </c>
      <c r="C193" s="7" t="s">
        <v>390</v>
      </c>
      <c r="D193" s="682">
        <f>24.5+16.63</f>
        <v>41.129999999999995</v>
      </c>
    </row>
    <row r="194" spans="1:4" x14ac:dyDescent="0.3">
      <c r="A194" s="233">
        <v>150000762</v>
      </c>
      <c r="B194" s="681">
        <v>2</v>
      </c>
      <c r="C194" s="7" t="s">
        <v>391</v>
      </c>
      <c r="D194" s="679">
        <v>0</v>
      </c>
    </row>
    <row r="195" spans="1:4" x14ac:dyDescent="0.3">
      <c r="A195" s="233">
        <v>150000763</v>
      </c>
      <c r="B195" s="233">
        <v>3</v>
      </c>
      <c r="C195" s="7" t="s">
        <v>117</v>
      </c>
      <c r="D195" s="679">
        <v>0</v>
      </c>
    </row>
    <row r="196" spans="1:4" x14ac:dyDescent="0.3">
      <c r="A196" s="233">
        <v>150000764</v>
      </c>
      <c r="B196" s="233">
        <v>3</v>
      </c>
      <c r="C196" s="7" t="s">
        <v>118</v>
      </c>
      <c r="D196" s="679">
        <v>0</v>
      </c>
    </row>
    <row r="197" spans="1:4" x14ac:dyDescent="0.3">
      <c r="A197" s="233">
        <v>150000765</v>
      </c>
      <c r="B197" s="681">
        <v>2</v>
      </c>
      <c r="C197" s="7" t="s">
        <v>264</v>
      </c>
      <c r="D197" s="682">
        <f>50.75+15.75</f>
        <v>66.5</v>
      </c>
    </row>
    <row r="198" spans="1:4" x14ac:dyDescent="0.3">
      <c r="A198" s="233">
        <v>150000767</v>
      </c>
      <c r="B198" s="233">
        <v>3</v>
      </c>
      <c r="C198" s="7" t="s">
        <v>1660</v>
      </c>
      <c r="D198" s="679">
        <v>0</v>
      </c>
    </row>
    <row r="199" spans="1:4" x14ac:dyDescent="0.3">
      <c r="A199" s="233">
        <v>150000768</v>
      </c>
      <c r="B199" s="233">
        <v>3</v>
      </c>
      <c r="C199" s="7" t="s">
        <v>116</v>
      </c>
      <c r="D199" s="679">
        <v>0</v>
      </c>
    </row>
    <row r="200" spans="1:4" x14ac:dyDescent="0.3">
      <c r="A200" s="233">
        <v>150000770</v>
      </c>
      <c r="B200" s="233">
        <v>3</v>
      </c>
      <c r="C200" s="7" t="s">
        <v>119</v>
      </c>
      <c r="D200" s="679">
        <v>0</v>
      </c>
    </row>
    <row r="201" spans="1:4" x14ac:dyDescent="0.3">
      <c r="A201" s="233">
        <v>150000777</v>
      </c>
      <c r="B201" s="233">
        <v>3</v>
      </c>
      <c r="C201" s="7" t="s">
        <v>168</v>
      </c>
      <c r="D201" s="679">
        <v>0</v>
      </c>
    </row>
    <row r="202" spans="1:4" x14ac:dyDescent="0.3">
      <c r="A202" s="233">
        <v>150000778</v>
      </c>
      <c r="B202" s="233">
        <v>3</v>
      </c>
      <c r="C202" s="7" t="s">
        <v>214</v>
      </c>
      <c r="D202" s="679">
        <v>0</v>
      </c>
    </row>
    <row r="203" spans="1:4" x14ac:dyDescent="0.3">
      <c r="A203" s="233">
        <v>150000781</v>
      </c>
      <c r="B203" s="233">
        <v>3</v>
      </c>
      <c r="C203" s="7" t="s">
        <v>33</v>
      </c>
      <c r="D203" s="679">
        <v>0</v>
      </c>
    </row>
    <row r="204" spans="1:4" x14ac:dyDescent="0.3">
      <c r="A204" s="233">
        <v>150000795</v>
      </c>
      <c r="B204" s="233">
        <v>3</v>
      </c>
      <c r="C204" s="7" t="s">
        <v>291</v>
      </c>
      <c r="D204" s="679">
        <v>0</v>
      </c>
    </row>
    <row r="205" spans="1:4" x14ac:dyDescent="0.3">
      <c r="A205" s="233">
        <v>150000796</v>
      </c>
      <c r="B205" s="233">
        <v>3</v>
      </c>
      <c r="C205" s="7" t="s">
        <v>98</v>
      </c>
      <c r="D205" s="679">
        <v>0</v>
      </c>
    </row>
    <row r="206" spans="1:4" x14ac:dyDescent="0.3">
      <c r="A206" s="233">
        <v>150000797</v>
      </c>
      <c r="B206" s="681">
        <v>2</v>
      </c>
      <c r="C206" s="7" t="s">
        <v>231</v>
      </c>
      <c r="D206" s="682">
        <f>45.12</f>
        <v>45.12</v>
      </c>
    </row>
    <row r="207" spans="1:4" x14ac:dyDescent="0.3">
      <c r="A207" s="233">
        <v>150000798</v>
      </c>
      <c r="B207" s="681">
        <v>2</v>
      </c>
      <c r="C207" s="7" t="s">
        <v>225</v>
      </c>
      <c r="D207" s="679">
        <v>0</v>
      </c>
    </row>
    <row r="208" spans="1:4" x14ac:dyDescent="0.3">
      <c r="A208" s="233">
        <v>150000799</v>
      </c>
      <c r="B208" s="681">
        <v>2</v>
      </c>
      <c r="C208" s="7" t="s">
        <v>292</v>
      </c>
      <c r="D208" s="679">
        <v>0</v>
      </c>
    </row>
    <row r="209" spans="1:4" x14ac:dyDescent="0.3">
      <c r="A209" s="233">
        <v>150000800</v>
      </c>
      <c r="B209" s="681">
        <v>2</v>
      </c>
      <c r="C209" s="7" t="s">
        <v>226</v>
      </c>
      <c r="D209" s="679">
        <v>0</v>
      </c>
    </row>
    <row r="210" spans="1:4" x14ac:dyDescent="0.3">
      <c r="A210" s="233">
        <v>150000801</v>
      </c>
      <c r="B210" s="681">
        <v>2</v>
      </c>
      <c r="C210" s="7" t="s">
        <v>294</v>
      </c>
      <c r="D210" s="679">
        <v>0</v>
      </c>
    </row>
    <row r="211" spans="1:4" x14ac:dyDescent="0.3">
      <c r="A211" s="233">
        <v>150000802</v>
      </c>
      <c r="B211" s="681">
        <v>2</v>
      </c>
      <c r="C211" s="7" t="s">
        <v>295</v>
      </c>
      <c r="D211" s="679">
        <v>0</v>
      </c>
    </row>
    <row r="212" spans="1:4" x14ac:dyDescent="0.3">
      <c r="A212" s="233">
        <v>150000803</v>
      </c>
      <c r="B212" s="681">
        <v>2</v>
      </c>
      <c r="C212" s="7" t="s">
        <v>227</v>
      </c>
      <c r="D212" s="679">
        <v>0</v>
      </c>
    </row>
    <row r="213" spans="1:4" x14ac:dyDescent="0.3">
      <c r="A213" s="233">
        <v>150000805</v>
      </c>
      <c r="B213" s="233">
        <v>3</v>
      </c>
      <c r="C213" s="7" t="s">
        <v>296</v>
      </c>
      <c r="D213" s="682">
        <f>47.04</f>
        <v>47.04</v>
      </c>
    </row>
    <row r="214" spans="1:4" x14ac:dyDescent="0.3">
      <c r="A214" s="233">
        <v>150000806</v>
      </c>
      <c r="B214" s="681">
        <v>2</v>
      </c>
      <c r="C214" s="7" t="s">
        <v>228</v>
      </c>
      <c r="D214" s="679">
        <v>0</v>
      </c>
    </row>
    <row r="215" spans="1:4" x14ac:dyDescent="0.3">
      <c r="A215" s="233">
        <v>150000807</v>
      </c>
      <c r="B215" s="233">
        <v>3</v>
      </c>
      <c r="C215" s="7" t="s">
        <v>187</v>
      </c>
      <c r="D215" s="679">
        <v>0</v>
      </c>
    </row>
    <row r="216" spans="1:4" x14ac:dyDescent="0.3">
      <c r="A216" s="233">
        <v>150000808</v>
      </c>
      <c r="B216" s="681">
        <v>2</v>
      </c>
      <c r="C216" s="7" t="s">
        <v>297</v>
      </c>
      <c r="D216" s="679">
        <v>0</v>
      </c>
    </row>
    <row r="217" spans="1:4" x14ac:dyDescent="0.3">
      <c r="A217" s="233">
        <v>150000809</v>
      </c>
      <c r="B217" s="681">
        <v>2</v>
      </c>
      <c r="C217" s="7" t="s">
        <v>299</v>
      </c>
      <c r="D217" s="679">
        <v>0</v>
      </c>
    </row>
    <row r="218" spans="1:4" x14ac:dyDescent="0.3">
      <c r="A218" s="233">
        <v>150000810</v>
      </c>
      <c r="B218" s="681">
        <v>2</v>
      </c>
      <c r="C218" s="7" t="s">
        <v>300</v>
      </c>
      <c r="D218" s="682">
        <f>25.38</f>
        <v>25.38</v>
      </c>
    </row>
    <row r="219" spans="1:4" x14ac:dyDescent="0.3">
      <c r="A219" s="233">
        <v>150000811</v>
      </c>
      <c r="B219" s="681">
        <v>2</v>
      </c>
      <c r="C219" s="7" t="s">
        <v>301</v>
      </c>
      <c r="D219" s="682">
        <f>35</f>
        <v>35</v>
      </c>
    </row>
    <row r="220" spans="1:4" x14ac:dyDescent="0.3">
      <c r="A220" s="233">
        <v>150000812</v>
      </c>
      <c r="B220" s="681">
        <v>2</v>
      </c>
      <c r="C220" s="7" t="s">
        <v>302</v>
      </c>
      <c r="D220" s="679">
        <v>0</v>
      </c>
    </row>
    <row r="221" spans="1:4" x14ac:dyDescent="0.3">
      <c r="A221" s="233">
        <v>150000813</v>
      </c>
      <c r="B221" s="233">
        <v>3</v>
      </c>
      <c r="C221" s="7" t="s">
        <v>188</v>
      </c>
      <c r="D221" s="679">
        <v>0</v>
      </c>
    </row>
    <row r="222" spans="1:4" x14ac:dyDescent="0.3">
      <c r="A222" s="233">
        <v>150000814</v>
      </c>
      <c r="B222" s="681">
        <v>2</v>
      </c>
      <c r="C222" s="7" t="s">
        <v>304</v>
      </c>
      <c r="D222" s="682">
        <f>15.75</f>
        <v>15.75</v>
      </c>
    </row>
    <row r="223" spans="1:4" x14ac:dyDescent="0.3">
      <c r="A223" s="233">
        <v>150000816</v>
      </c>
      <c r="B223" s="681">
        <v>2</v>
      </c>
      <c r="C223" s="7" t="s">
        <v>229</v>
      </c>
      <c r="D223" s="682">
        <f>5.25</f>
        <v>5.25</v>
      </c>
    </row>
    <row r="224" spans="1:4" x14ac:dyDescent="0.3">
      <c r="A224" s="233">
        <v>150000819</v>
      </c>
      <c r="B224" s="233">
        <v>3</v>
      </c>
      <c r="C224" s="7" t="s">
        <v>423</v>
      </c>
      <c r="D224" s="679">
        <v>0</v>
      </c>
    </row>
    <row r="225" spans="1:4" x14ac:dyDescent="0.3">
      <c r="A225" s="233">
        <v>150000820</v>
      </c>
      <c r="B225" s="233">
        <v>3</v>
      </c>
      <c r="C225" s="7" t="s">
        <v>394</v>
      </c>
      <c r="D225" s="679">
        <v>0</v>
      </c>
    </row>
    <row r="226" spans="1:4" x14ac:dyDescent="0.3">
      <c r="A226" s="233">
        <v>150000827</v>
      </c>
      <c r="B226" s="681">
        <v>2</v>
      </c>
      <c r="C226" s="7" t="s">
        <v>298</v>
      </c>
      <c r="D226" s="679">
        <v>0</v>
      </c>
    </row>
    <row r="227" spans="1:4" x14ac:dyDescent="0.3">
      <c r="A227" s="233">
        <v>150000828</v>
      </c>
      <c r="B227" s="681">
        <v>2</v>
      </c>
      <c r="C227" s="7" t="s">
        <v>303</v>
      </c>
      <c r="D227" s="679">
        <v>0</v>
      </c>
    </row>
    <row r="228" spans="1:4" x14ac:dyDescent="0.3">
      <c r="A228" s="233">
        <v>150000829</v>
      </c>
      <c r="B228" s="681">
        <v>2</v>
      </c>
      <c r="C228" s="7" t="s">
        <v>230</v>
      </c>
      <c r="D228" s="682">
        <f>22.75</f>
        <v>22.75</v>
      </c>
    </row>
    <row r="229" spans="1:4" x14ac:dyDescent="0.3">
      <c r="A229" s="233">
        <v>150000830</v>
      </c>
      <c r="B229" s="233">
        <v>3</v>
      </c>
      <c r="C229" s="7" t="s">
        <v>293</v>
      </c>
      <c r="D229" s="679">
        <v>0</v>
      </c>
    </row>
    <row r="230" spans="1:4" x14ac:dyDescent="0.3">
      <c r="A230" s="233">
        <v>150000832</v>
      </c>
      <c r="B230" s="233">
        <v>1</v>
      </c>
      <c r="C230" s="7" t="s">
        <v>422</v>
      </c>
      <c r="D230" s="679">
        <v>0</v>
      </c>
    </row>
    <row r="231" spans="1:4" x14ac:dyDescent="0.3">
      <c r="A231" s="233">
        <v>150000833</v>
      </c>
      <c r="B231" s="233">
        <v>1</v>
      </c>
      <c r="C231" s="7" t="s">
        <v>392</v>
      </c>
      <c r="D231" s="679">
        <v>0</v>
      </c>
    </row>
    <row r="232" spans="1:4" x14ac:dyDescent="0.3">
      <c r="A232" s="233">
        <v>150000834</v>
      </c>
      <c r="B232" s="233">
        <v>1</v>
      </c>
      <c r="C232" s="7" t="s">
        <v>79</v>
      </c>
      <c r="D232" s="679">
        <v>0</v>
      </c>
    </row>
    <row r="233" spans="1:4" x14ac:dyDescent="0.3">
      <c r="A233" s="233">
        <v>150000835</v>
      </c>
      <c r="B233" s="681">
        <v>2</v>
      </c>
      <c r="C233" s="7" t="s">
        <v>137</v>
      </c>
      <c r="D233" s="679">
        <v>0</v>
      </c>
    </row>
    <row r="234" spans="1:4" x14ac:dyDescent="0.3">
      <c r="A234" s="233">
        <v>150000836</v>
      </c>
      <c r="B234" s="233">
        <v>1</v>
      </c>
      <c r="C234" s="7" t="s">
        <v>198</v>
      </c>
      <c r="D234" s="679">
        <v>0</v>
      </c>
    </row>
    <row r="235" spans="1:4" x14ac:dyDescent="0.3">
      <c r="A235" s="233">
        <v>150000837</v>
      </c>
      <c r="B235" s="233">
        <v>1</v>
      </c>
      <c r="C235" s="7" t="s">
        <v>199</v>
      </c>
      <c r="D235" s="679">
        <v>0</v>
      </c>
    </row>
    <row r="236" spans="1:4" x14ac:dyDescent="0.3">
      <c r="A236" s="233">
        <v>150000839</v>
      </c>
      <c r="B236" s="233">
        <v>1</v>
      </c>
      <c r="C236" s="7" t="s">
        <v>135</v>
      </c>
      <c r="D236" s="679">
        <v>0</v>
      </c>
    </row>
    <row r="237" spans="1:4" x14ac:dyDescent="0.3">
      <c r="A237" s="233">
        <v>150000840</v>
      </c>
      <c r="B237" s="233">
        <v>1</v>
      </c>
      <c r="C237" s="7" t="s">
        <v>393</v>
      </c>
      <c r="D237" s="679">
        <f>7.44+19.54+36.75</f>
        <v>63.730000000000004</v>
      </c>
    </row>
    <row r="238" spans="1:4" x14ac:dyDescent="0.3">
      <c r="A238" s="233">
        <v>150000841</v>
      </c>
      <c r="B238" s="233">
        <v>1</v>
      </c>
      <c r="C238" s="7" t="s">
        <v>136</v>
      </c>
      <c r="D238" s="679">
        <v>0</v>
      </c>
    </row>
    <row r="239" spans="1:4" x14ac:dyDescent="0.3">
      <c r="A239" s="233">
        <v>150000842</v>
      </c>
      <c r="B239" s="681">
        <v>2</v>
      </c>
      <c r="C239" s="7" t="s">
        <v>1657</v>
      </c>
      <c r="D239" s="679">
        <v>0</v>
      </c>
    </row>
    <row r="240" spans="1:4" x14ac:dyDescent="0.3">
      <c r="A240" s="233">
        <v>150000845</v>
      </c>
      <c r="B240" s="233">
        <v>1</v>
      </c>
      <c r="C240" s="7" t="s">
        <v>138</v>
      </c>
      <c r="D240" s="679">
        <v>0</v>
      </c>
    </row>
    <row r="241" spans="1:4" x14ac:dyDescent="0.3">
      <c r="A241" s="233">
        <v>150000846</v>
      </c>
      <c r="B241" s="233">
        <v>1</v>
      </c>
      <c r="C241" s="7" t="s">
        <v>139</v>
      </c>
      <c r="D241" s="679">
        <v>0</v>
      </c>
    </row>
    <row r="242" spans="1:4" x14ac:dyDescent="0.3">
      <c r="A242" s="233">
        <v>150000848</v>
      </c>
      <c r="B242" s="681">
        <v>2</v>
      </c>
      <c r="C242" s="7" t="s">
        <v>186</v>
      </c>
      <c r="D242" s="679">
        <v>0</v>
      </c>
    </row>
    <row r="243" spans="1:4" x14ac:dyDescent="0.3">
      <c r="A243" s="233">
        <v>150000851</v>
      </c>
      <c r="B243" s="233">
        <v>3</v>
      </c>
      <c r="C243" s="7" t="s">
        <v>134</v>
      </c>
      <c r="D243" s="679">
        <v>0</v>
      </c>
    </row>
    <row r="244" spans="1:4" x14ac:dyDescent="0.3">
      <c r="A244" s="233">
        <v>150000861</v>
      </c>
      <c r="B244" s="681">
        <v>2</v>
      </c>
      <c r="C244" s="7" t="s">
        <v>232</v>
      </c>
      <c r="D244" s="679">
        <v>0</v>
      </c>
    </row>
    <row r="245" spans="1:4" x14ac:dyDescent="0.3">
      <c r="A245" s="233">
        <v>150000862</v>
      </c>
      <c r="B245" s="681">
        <v>2</v>
      </c>
      <c r="C245" s="7" t="s">
        <v>234</v>
      </c>
      <c r="D245" s="682">
        <f>45.12</f>
        <v>45.12</v>
      </c>
    </row>
    <row r="246" spans="1:4" x14ac:dyDescent="0.3">
      <c r="A246" s="233">
        <v>150000863</v>
      </c>
      <c r="B246" s="681">
        <v>2</v>
      </c>
      <c r="C246" s="7" t="s">
        <v>235</v>
      </c>
      <c r="D246" s="682">
        <f>26.25</f>
        <v>26.25</v>
      </c>
    </row>
    <row r="247" spans="1:4" x14ac:dyDescent="0.3">
      <c r="A247" s="233">
        <v>150000864</v>
      </c>
      <c r="B247" s="681">
        <v>2</v>
      </c>
      <c r="C247" s="7" t="s">
        <v>200</v>
      </c>
      <c r="D247" s="682">
        <f>20.13</f>
        <v>20.13</v>
      </c>
    </row>
    <row r="248" spans="1:4" x14ac:dyDescent="0.3">
      <c r="A248" s="233">
        <v>150000865</v>
      </c>
      <c r="B248" s="681">
        <v>2</v>
      </c>
      <c r="C248" s="7" t="s">
        <v>305</v>
      </c>
      <c r="D248" s="679">
        <v>0</v>
      </c>
    </row>
    <row r="249" spans="1:4" x14ac:dyDescent="0.3">
      <c r="A249" s="233">
        <v>150000866</v>
      </c>
      <c r="B249" s="233">
        <v>1</v>
      </c>
      <c r="C249" s="7" t="s">
        <v>308</v>
      </c>
      <c r="D249" s="679">
        <v>0</v>
      </c>
    </row>
    <row r="250" spans="1:4" x14ac:dyDescent="0.3">
      <c r="A250" s="233">
        <v>150000867</v>
      </c>
      <c r="B250" s="233">
        <v>1</v>
      </c>
      <c r="C250" s="7" t="s">
        <v>309</v>
      </c>
      <c r="D250" s="679">
        <v>0</v>
      </c>
    </row>
    <row r="251" spans="1:4" x14ac:dyDescent="0.3">
      <c r="A251" s="233">
        <v>150000868</v>
      </c>
      <c r="B251" s="233">
        <v>1</v>
      </c>
      <c r="C251" s="7" t="s">
        <v>310</v>
      </c>
      <c r="D251" s="679">
        <v>19.54</v>
      </c>
    </row>
    <row r="252" spans="1:4" x14ac:dyDescent="0.3">
      <c r="A252" s="233">
        <v>150000869</v>
      </c>
      <c r="B252" s="233">
        <v>1</v>
      </c>
      <c r="C252" s="7" t="s">
        <v>311</v>
      </c>
      <c r="D252" s="679">
        <v>0</v>
      </c>
    </row>
    <row r="253" spans="1:4" x14ac:dyDescent="0.3">
      <c r="A253" s="233">
        <v>150000871</v>
      </c>
      <c r="B253" s="681">
        <v>2</v>
      </c>
      <c r="C253" s="7" t="s">
        <v>140</v>
      </c>
      <c r="D253" s="679">
        <v>0</v>
      </c>
    </row>
    <row r="254" spans="1:4" x14ac:dyDescent="0.3">
      <c r="A254" s="233">
        <v>150000872</v>
      </c>
      <c r="B254" s="681">
        <v>2</v>
      </c>
      <c r="C254" s="7" t="s">
        <v>233</v>
      </c>
      <c r="D254" s="679">
        <v>0</v>
      </c>
    </row>
    <row r="255" spans="1:4" x14ac:dyDescent="0.3">
      <c r="A255" s="233">
        <v>150000873</v>
      </c>
      <c r="B255" s="681">
        <v>2</v>
      </c>
      <c r="C255" s="7" t="s">
        <v>306</v>
      </c>
      <c r="D255" s="679">
        <v>0</v>
      </c>
    </row>
    <row r="256" spans="1:4" x14ac:dyDescent="0.3">
      <c r="A256" s="233">
        <v>150000874</v>
      </c>
      <c r="B256" s="681">
        <v>2</v>
      </c>
      <c r="C256" s="7" t="s">
        <v>307</v>
      </c>
      <c r="D256" s="679">
        <v>0</v>
      </c>
    </row>
    <row r="257" spans="1:4" x14ac:dyDescent="0.3">
      <c r="A257" s="233">
        <v>150000875</v>
      </c>
      <c r="B257" s="233">
        <v>1</v>
      </c>
      <c r="C257" s="7" t="s">
        <v>312</v>
      </c>
      <c r="D257" s="679">
        <v>0</v>
      </c>
    </row>
    <row r="258" spans="1:4" x14ac:dyDescent="0.3">
      <c r="A258" s="233">
        <v>150000878</v>
      </c>
      <c r="B258" s="681">
        <v>2</v>
      </c>
      <c r="C258" s="7" t="s">
        <v>236</v>
      </c>
      <c r="D258" s="682">
        <f>49.14+44.23+4.38</f>
        <v>97.75</v>
      </c>
    </row>
    <row r="259" spans="1:4" x14ac:dyDescent="0.3">
      <c r="A259" s="233">
        <v>150000879</v>
      </c>
      <c r="B259" s="681">
        <v>2</v>
      </c>
      <c r="C259" s="7" t="s">
        <v>329</v>
      </c>
      <c r="D259" s="679">
        <v>0</v>
      </c>
    </row>
    <row r="260" spans="1:4" x14ac:dyDescent="0.3">
      <c r="A260" s="233">
        <v>150000880</v>
      </c>
      <c r="B260" s="681">
        <v>2</v>
      </c>
      <c r="C260" s="7" t="s">
        <v>237</v>
      </c>
      <c r="D260" s="682">
        <f>39.34</f>
        <v>39.340000000000003</v>
      </c>
    </row>
    <row r="261" spans="1:4" x14ac:dyDescent="0.3">
      <c r="A261" s="233">
        <v>150000881</v>
      </c>
      <c r="B261" s="681">
        <v>2</v>
      </c>
      <c r="C261" s="7" t="s">
        <v>411</v>
      </c>
      <c r="D261" s="679">
        <v>0</v>
      </c>
    </row>
    <row r="262" spans="1:4" x14ac:dyDescent="0.3">
      <c r="A262" s="233">
        <v>150000882</v>
      </c>
      <c r="B262" s="681">
        <v>2</v>
      </c>
      <c r="C262" s="7" t="s">
        <v>330</v>
      </c>
      <c r="D262" s="682">
        <f>34.58</f>
        <v>34.58</v>
      </c>
    </row>
    <row r="263" spans="1:4" x14ac:dyDescent="0.3">
      <c r="A263" s="233">
        <v>150000883</v>
      </c>
      <c r="B263" s="681">
        <v>2</v>
      </c>
      <c r="C263" s="7" t="s">
        <v>331</v>
      </c>
      <c r="D263" s="679">
        <v>0</v>
      </c>
    </row>
    <row r="264" spans="1:4" x14ac:dyDescent="0.3">
      <c r="A264" s="233">
        <v>150000884</v>
      </c>
      <c r="B264" s="681">
        <v>2</v>
      </c>
      <c r="C264" s="7" t="s">
        <v>332</v>
      </c>
      <c r="D264" s="679">
        <v>0</v>
      </c>
    </row>
    <row r="265" spans="1:4" x14ac:dyDescent="0.3">
      <c r="A265" s="233">
        <v>150000885</v>
      </c>
      <c r="B265" s="681">
        <v>2</v>
      </c>
      <c r="C265" s="7" t="s">
        <v>238</v>
      </c>
      <c r="D265" s="679">
        <v>0</v>
      </c>
    </row>
    <row r="266" spans="1:4" x14ac:dyDescent="0.3">
      <c r="A266" s="233">
        <v>150000886</v>
      </c>
      <c r="B266" s="681">
        <v>2</v>
      </c>
      <c r="C266" s="7" t="s">
        <v>396</v>
      </c>
      <c r="D266" s="682">
        <f>2.38</f>
        <v>2.38</v>
      </c>
    </row>
    <row r="267" spans="1:4" x14ac:dyDescent="0.3">
      <c r="A267" s="233">
        <v>150000887</v>
      </c>
      <c r="B267" s="681">
        <v>2</v>
      </c>
      <c r="C267" s="7" t="s">
        <v>397</v>
      </c>
      <c r="D267" s="682">
        <f>23.06</f>
        <v>23.06</v>
      </c>
    </row>
    <row r="268" spans="1:4" x14ac:dyDescent="0.3">
      <c r="A268" s="233">
        <v>150000888</v>
      </c>
      <c r="B268" s="681">
        <v>2</v>
      </c>
      <c r="C268" s="7" t="s">
        <v>313</v>
      </c>
      <c r="D268" s="679">
        <v>0</v>
      </c>
    </row>
    <row r="269" spans="1:4" x14ac:dyDescent="0.3">
      <c r="A269" s="233">
        <v>150000889</v>
      </c>
      <c r="B269" s="681">
        <v>2</v>
      </c>
      <c r="C269" s="7" t="s">
        <v>427</v>
      </c>
      <c r="D269" s="679">
        <v>0</v>
      </c>
    </row>
    <row r="270" spans="1:4" x14ac:dyDescent="0.3">
      <c r="A270" s="233">
        <v>150000890</v>
      </c>
      <c r="B270" s="681">
        <v>2</v>
      </c>
      <c r="C270" s="7" t="s">
        <v>398</v>
      </c>
      <c r="D270" s="679">
        <v>0</v>
      </c>
    </row>
    <row r="271" spans="1:4" x14ac:dyDescent="0.3">
      <c r="A271" s="233">
        <v>150000891</v>
      </c>
      <c r="B271" s="681">
        <v>2</v>
      </c>
      <c r="C271" s="7" t="s">
        <v>189</v>
      </c>
      <c r="D271" s="679">
        <v>0</v>
      </c>
    </row>
    <row r="272" spans="1:4" x14ac:dyDescent="0.3">
      <c r="A272" s="233">
        <v>150000892</v>
      </c>
      <c r="B272" s="233">
        <v>3</v>
      </c>
      <c r="C272" s="7" t="s">
        <v>400</v>
      </c>
      <c r="D272" s="682">
        <f>9.63+11.07</f>
        <v>20.700000000000003</v>
      </c>
    </row>
    <row r="273" spans="1:4" x14ac:dyDescent="0.3">
      <c r="A273" s="233">
        <v>150000893</v>
      </c>
      <c r="B273" s="233">
        <v>3</v>
      </c>
      <c r="C273" s="7" t="s">
        <v>314</v>
      </c>
      <c r="D273" s="682">
        <f>49.81</f>
        <v>49.81</v>
      </c>
    </row>
    <row r="274" spans="1:4" x14ac:dyDescent="0.3">
      <c r="A274" s="233">
        <v>150000894</v>
      </c>
      <c r="B274" s="233">
        <v>3</v>
      </c>
      <c r="C274" s="7" t="s">
        <v>315</v>
      </c>
      <c r="D274" s="679">
        <v>0</v>
      </c>
    </row>
    <row r="275" spans="1:4" x14ac:dyDescent="0.3">
      <c r="A275" s="233">
        <v>150000895</v>
      </c>
      <c r="B275" s="233">
        <v>3</v>
      </c>
      <c r="C275" s="7" t="s">
        <v>316</v>
      </c>
      <c r="D275" s="679">
        <v>0</v>
      </c>
    </row>
    <row r="276" spans="1:4" x14ac:dyDescent="0.3">
      <c r="A276" s="233">
        <v>150000896</v>
      </c>
      <c r="B276" s="233">
        <v>3</v>
      </c>
      <c r="C276" s="7" t="s">
        <v>317</v>
      </c>
      <c r="D276" s="682">
        <f>12.45</f>
        <v>12.45</v>
      </c>
    </row>
    <row r="277" spans="1:4" x14ac:dyDescent="0.3">
      <c r="A277" s="233">
        <v>150000898</v>
      </c>
      <c r="B277" s="233">
        <v>3</v>
      </c>
      <c r="C277" s="7" t="s">
        <v>190</v>
      </c>
      <c r="D277" s="679">
        <v>0</v>
      </c>
    </row>
    <row r="278" spans="1:4" x14ac:dyDescent="0.3">
      <c r="A278" s="233">
        <v>150000899</v>
      </c>
      <c r="B278" s="233">
        <v>3</v>
      </c>
      <c r="C278" s="7" t="s">
        <v>402</v>
      </c>
      <c r="D278" s="679">
        <v>0</v>
      </c>
    </row>
    <row r="279" spans="1:4" x14ac:dyDescent="0.3">
      <c r="A279" s="233">
        <v>150000900</v>
      </c>
      <c r="B279" s="233">
        <v>3</v>
      </c>
      <c r="C279" s="7" t="s">
        <v>425</v>
      </c>
      <c r="D279" s="679">
        <v>0</v>
      </c>
    </row>
    <row r="280" spans="1:4" x14ac:dyDescent="0.3">
      <c r="A280" s="233">
        <v>150000901</v>
      </c>
      <c r="B280" s="233">
        <v>3</v>
      </c>
      <c r="C280" s="7" t="s">
        <v>424</v>
      </c>
      <c r="D280" s="679">
        <v>0</v>
      </c>
    </row>
    <row r="281" spans="1:4" x14ac:dyDescent="0.3">
      <c r="A281" s="233">
        <v>150000902</v>
      </c>
      <c r="B281" s="233">
        <v>3</v>
      </c>
      <c r="C281" s="7" t="s">
        <v>403</v>
      </c>
      <c r="D281" s="679">
        <v>0</v>
      </c>
    </row>
    <row r="282" spans="1:4" x14ac:dyDescent="0.3">
      <c r="A282" s="233">
        <v>150000903</v>
      </c>
      <c r="B282" s="233">
        <v>3</v>
      </c>
      <c r="C282" s="7" t="s">
        <v>404</v>
      </c>
      <c r="D282" s="679">
        <v>0</v>
      </c>
    </row>
    <row r="283" spans="1:4" x14ac:dyDescent="0.3">
      <c r="A283" s="233">
        <v>150000904</v>
      </c>
      <c r="B283" s="233">
        <v>3</v>
      </c>
      <c r="C283" s="7" t="s">
        <v>405</v>
      </c>
      <c r="D283" s="679">
        <v>0</v>
      </c>
    </row>
    <row r="284" spans="1:4" x14ac:dyDescent="0.3">
      <c r="A284" s="233">
        <v>150000905</v>
      </c>
      <c r="B284" s="233">
        <v>3</v>
      </c>
      <c r="C284" s="7" t="s">
        <v>426</v>
      </c>
      <c r="D284" s="679">
        <v>0</v>
      </c>
    </row>
    <row r="285" spans="1:4" x14ac:dyDescent="0.3">
      <c r="A285" s="233">
        <v>150000906</v>
      </c>
      <c r="B285" s="233">
        <v>3</v>
      </c>
      <c r="C285" s="7" t="s">
        <v>406</v>
      </c>
      <c r="D285" s="679">
        <v>0</v>
      </c>
    </row>
    <row r="286" spans="1:4" x14ac:dyDescent="0.3">
      <c r="A286" s="233">
        <v>150000907</v>
      </c>
      <c r="B286" s="233">
        <v>3</v>
      </c>
      <c r="C286" s="7" t="s">
        <v>407</v>
      </c>
      <c r="D286" s="682">
        <f>30.63+225.08+30.63</f>
        <v>286.34000000000003</v>
      </c>
    </row>
    <row r="287" spans="1:4" x14ac:dyDescent="0.3">
      <c r="A287" s="233">
        <v>150000908</v>
      </c>
      <c r="B287" s="233">
        <v>3</v>
      </c>
      <c r="C287" s="7" t="s">
        <v>408</v>
      </c>
      <c r="D287" s="682">
        <f>242.92</f>
        <v>242.92</v>
      </c>
    </row>
    <row r="288" spans="1:4" x14ac:dyDescent="0.3">
      <c r="A288" s="233">
        <v>150000909</v>
      </c>
      <c r="B288" s="233">
        <v>3</v>
      </c>
      <c r="C288" s="7" t="s">
        <v>409</v>
      </c>
      <c r="D288" s="682">
        <f>231.37</f>
        <v>231.37</v>
      </c>
    </row>
    <row r="289" spans="1:4" x14ac:dyDescent="0.3">
      <c r="A289" s="233">
        <v>150000910</v>
      </c>
      <c r="B289" s="233">
        <v>3</v>
      </c>
      <c r="C289" s="7" t="s">
        <v>410</v>
      </c>
      <c r="D289" s="682">
        <f>185.01</f>
        <v>185.01</v>
      </c>
    </row>
    <row r="290" spans="1:4" x14ac:dyDescent="0.3">
      <c r="A290" s="233">
        <v>150000911</v>
      </c>
      <c r="B290" s="233">
        <v>3</v>
      </c>
      <c r="C290" s="7" t="s">
        <v>318</v>
      </c>
      <c r="D290" s="682">
        <f>44.69</f>
        <v>44.69</v>
      </c>
    </row>
    <row r="291" spans="1:4" x14ac:dyDescent="0.3">
      <c r="A291" s="233">
        <v>150000912</v>
      </c>
      <c r="B291" s="233">
        <v>3</v>
      </c>
      <c r="C291" s="7" t="s">
        <v>319</v>
      </c>
      <c r="D291" s="682">
        <f>30.63</f>
        <v>30.63</v>
      </c>
    </row>
    <row r="292" spans="1:4" x14ac:dyDescent="0.3">
      <c r="A292" s="233">
        <v>150000913</v>
      </c>
      <c r="B292" s="233">
        <v>3</v>
      </c>
      <c r="C292" s="7" t="s">
        <v>320</v>
      </c>
      <c r="D292" s="682">
        <f>24.5</f>
        <v>24.5</v>
      </c>
    </row>
    <row r="293" spans="1:4" x14ac:dyDescent="0.3">
      <c r="A293" s="233">
        <v>150000914</v>
      </c>
      <c r="B293" s="233">
        <v>3</v>
      </c>
      <c r="C293" s="7" t="s">
        <v>321</v>
      </c>
      <c r="D293" s="682">
        <f>8.75+7.88</f>
        <v>16.63</v>
      </c>
    </row>
    <row r="294" spans="1:4" x14ac:dyDescent="0.3">
      <c r="A294" s="233">
        <v>150000915</v>
      </c>
      <c r="B294" s="233">
        <v>3</v>
      </c>
      <c r="C294" s="7" t="s">
        <v>322</v>
      </c>
      <c r="D294" s="682">
        <f>30.63</f>
        <v>30.63</v>
      </c>
    </row>
    <row r="295" spans="1:4" x14ac:dyDescent="0.3">
      <c r="A295" s="233">
        <v>150000916</v>
      </c>
      <c r="B295" s="233">
        <v>3</v>
      </c>
      <c r="C295" s="7" t="s">
        <v>323</v>
      </c>
      <c r="D295" s="682">
        <f>69.18</f>
        <v>69.180000000000007</v>
      </c>
    </row>
    <row r="296" spans="1:4" x14ac:dyDescent="0.3">
      <c r="A296" s="233">
        <v>150000917</v>
      </c>
      <c r="B296" s="233">
        <v>3</v>
      </c>
      <c r="C296" s="7" t="s">
        <v>324</v>
      </c>
      <c r="D296" s="679">
        <v>0</v>
      </c>
    </row>
    <row r="297" spans="1:4" x14ac:dyDescent="0.3">
      <c r="A297" s="233">
        <v>150000918</v>
      </c>
      <c r="B297" s="233">
        <v>3</v>
      </c>
      <c r="C297" s="7" t="s">
        <v>325</v>
      </c>
      <c r="D297" s="682">
        <f>40.13+6.92</f>
        <v>47.050000000000004</v>
      </c>
    </row>
    <row r="298" spans="1:4" x14ac:dyDescent="0.3">
      <c r="A298" s="233">
        <v>150000919</v>
      </c>
      <c r="B298" s="233">
        <v>3</v>
      </c>
      <c r="C298" s="7" t="s">
        <v>326</v>
      </c>
      <c r="D298" s="682">
        <f>4.15</f>
        <v>4.1500000000000004</v>
      </c>
    </row>
    <row r="299" spans="1:4" x14ac:dyDescent="0.3">
      <c r="A299" s="233">
        <v>150000920</v>
      </c>
      <c r="B299" s="233">
        <v>3</v>
      </c>
      <c r="C299" s="7" t="s">
        <v>327</v>
      </c>
      <c r="D299" s="682">
        <f>47.25</f>
        <v>47.25</v>
      </c>
    </row>
    <row r="300" spans="1:4" x14ac:dyDescent="0.3">
      <c r="A300" s="233">
        <v>150000921</v>
      </c>
      <c r="B300" s="233">
        <v>3</v>
      </c>
      <c r="C300" s="7" t="s">
        <v>328</v>
      </c>
      <c r="D300" s="679">
        <v>0</v>
      </c>
    </row>
    <row r="301" spans="1:4" x14ac:dyDescent="0.3">
      <c r="A301" s="233">
        <v>150000922</v>
      </c>
      <c r="B301" s="233">
        <v>3</v>
      </c>
      <c r="C301" s="7" t="s">
        <v>401</v>
      </c>
      <c r="D301" s="679">
        <v>0</v>
      </c>
    </row>
    <row r="302" spans="1:4" x14ac:dyDescent="0.3">
      <c r="A302" s="233">
        <v>150000924</v>
      </c>
      <c r="B302" s="681">
        <v>2</v>
      </c>
      <c r="C302" s="7" t="s">
        <v>174</v>
      </c>
      <c r="D302" s="679">
        <v>0</v>
      </c>
    </row>
    <row r="303" spans="1:4" x14ac:dyDescent="0.3">
      <c r="A303" s="233">
        <v>150000925</v>
      </c>
      <c r="B303" s="681">
        <v>2</v>
      </c>
      <c r="C303" s="7" t="s">
        <v>176</v>
      </c>
      <c r="D303" s="679">
        <v>0</v>
      </c>
    </row>
    <row r="304" spans="1:4" x14ac:dyDescent="0.3">
      <c r="A304" s="233">
        <v>150000926</v>
      </c>
      <c r="B304" s="681">
        <v>2</v>
      </c>
      <c r="C304" s="7" t="s">
        <v>177</v>
      </c>
      <c r="D304" s="679">
        <v>0</v>
      </c>
    </row>
    <row r="305" spans="1:4" x14ac:dyDescent="0.3">
      <c r="A305" s="233">
        <v>150000927</v>
      </c>
      <c r="B305" s="681">
        <v>2</v>
      </c>
      <c r="C305" s="7" t="s">
        <v>178</v>
      </c>
      <c r="D305" s="679">
        <v>0</v>
      </c>
    </row>
    <row r="306" spans="1:4" x14ac:dyDescent="0.3">
      <c r="A306" s="233">
        <v>150000928</v>
      </c>
      <c r="B306" s="681">
        <v>2</v>
      </c>
      <c r="C306" s="7" t="s">
        <v>169</v>
      </c>
      <c r="D306" s="679">
        <v>0</v>
      </c>
    </row>
    <row r="307" spans="1:4" x14ac:dyDescent="0.3">
      <c r="A307" s="233">
        <v>150000929</v>
      </c>
      <c r="B307" s="681">
        <v>2</v>
      </c>
      <c r="C307" s="7" t="s">
        <v>1094</v>
      </c>
      <c r="D307" s="682">
        <f>15.97</f>
        <v>15.97</v>
      </c>
    </row>
    <row r="308" spans="1:4" x14ac:dyDescent="0.3">
      <c r="A308" s="233">
        <v>150000930</v>
      </c>
      <c r="B308" s="681">
        <v>2</v>
      </c>
      <c r="C308" s="7" t="s">
        <v>172</v>
      </c>
      <c r="D308" s="679">
        <v>0</v>
      </c>
    </row>
    <row r="309" spans="1:4" x14ac:dyDescent="0.3">
      <c r="A309" s="233">
        <v>150000931</v>
      </c>
      <c r="B309" s="681">
        <v>2</v>
      </c>
      <c r="C309" s="7" t="s">
        <v>266</v>
      </c>
      <c r="D309" s="679">
        <v>0</v>
      </c>
    </row>
    <row r="310" spans="1:4" x14ac:dyDescent="0.3">
      <c r="A310" s="233">
        <v>150000932</v>
      </c>
      <c r="B310" s="681">
        <v>2</v>
      </c>
      <c r="C310" s="7" t="s">
        <v>173</v>
      </c>
      <c r="D310" s="679">
        <v>0</v>
      </c>
    </row>
    <row r="311" spans="1:4" x14ac:dyDescent="0.3">
      <c r="A311" s="233">
        <v>150000933</v>
      </c>
      <c r="B311" s="681">
        <v>2</v>
      </c>
      <c r="C311" s="7" t="s">
        <v>267</v>
      </c>
      <c r="D311" s="679">
        <v>0</v>
      </c>
    </row>
    <row r="312" spans="1:4" x14ac:dyDescent="0.3">
      <c r="A312" s="233">
        <v>150000934</v>
      </c>
      <c r="B312" s="681">
        <v>2</v>
      </c>
      <c r="C312" s="7" t="s">
        <v>215</v>
      </c>
      <c r="D312" s="679">
        <v>0</v>
      </c>
    </row>
    <row r="313" spans="1:4" x14ac:dyDescent="0.3">
      <c r="A313" s="233">
        <v>150000935</v>
      </c>
      <c r="B313" s="681">
        <v>2</v>
      </c>
      <c r="C313" s="7" t="s">
        <v>175</v>
      </c>
      <c r="D313" s="679">
        <v>0</v>
      </c>
    </row>
    <row r="314" spans="1:4" x14ac:dyDescent="0.3">
      <c r="A314" s="233">
        <v>150000936</v>
      </c>
      <c r="B314" s="233">
        <v>1</v>
      </c>
      <c r="C314" s="7" t="s">
        <v>121</v>
      </c>
      <c r="D314" s="679">
        <v>0</v>
      </c>
    </row>
    <row r="315" spans="1:4" x14ac:dyDescent="0.3">
      <c r="A315" s="233">
        <v>150000937</v>
      </c>
      <c r="B315" s="233">
        <v>1</v>
      </c>
      <c r="C315" s="7" t="s">
        <v>374</v>
      </c>
      <c r="D315" s="679">
        <v>0</v>
      </c>
    </row>
    <row r="316" spans="1:4" x14ac:dyDescent="0.3">
      <c r="A316" s="233">
        <v>150000938</v>
      </c>
      <c r="B316" s="233">
        <v>1</v>
      </c>
      <c r="C316" s="7" t="s">
        <v>375</v>
      </c>
      <c r="D316" s="679">
        <f>30.88+20.51</f>
        <v>51.39</v>
      </c>
    </row>
    <row r="317" spans="1:4" x14ac:dyDescent="0.3">
      <c r="A317" s="233">
        <v>150000939</v>
      </c>
      <c r="B317" s="233">
        <v>1</v>
      </c>
      <c r="C317" s="7" t="s">
        <v>336</v>
      </c>
      <c r="D317" s="679">
        <v>0</v>
      </c>
    </row>
    <row r="318" spans="1:4" x14ac:dyDescent="0.3">
      <c r="A318" s="233">
        <v>150000940</v>
      </c>
      <c r="B318" s="233">
        <v>1</v>
      </c>
      <c r="C318" s="7" t="s">
        <v>376</v>
      </c>
      <c r="D318" s="679">
        <v>0</v>
      </c>
    </row>
    <row r="319" spans="1:4" x14ac:dyDescent="0.3">
      <c r="A319" s="233">
        <v>150000941</v>
      </c>
      <c r="B319" s="233">
        <v>1</v>
      </c>
      <c r="C319" s="7" t="s">
        <v>337</v>
      </c>
      <c r="D319" s="679">
        <v>0</v>
      </c>
    </row>
    <row r="320" spans="1:4" x14ac:dyDescent="0.3">
      <c r="A320" s="233">
        <v>150000943</v>
      </c>
      <c r="B320" s="233">
        <v>1</v>
      </c>
      <c r="C320" s="7" t="s">
        <v>122</v>
      </c>
      <c r="D320" s="679">
        <v>0</v>
      </c>
    </row>
    <row r="321" spans="1:4" x14ac:dyDescent="0.3">
      <c r="A321" s="233">
        <v>150000944</v>
      </c>
      <c r="B321" s="233">
        <v>1</v>
      </c>
      <c r="C321" s="7" t="s">
        <v>123</v>
      </c>
      <c r="D321" s="679">
        <v>0</v>
      </c>
    </row>
    <row r="322" spans="1:4" x14ac:dyDescent="0.3">
      <c r="A322" s="233">
        <v>150000945</v>
      </c>
      <c r="B322" s="233">
        <v>1</v>
      </c>
      <c r="C322" s="7" t="s">
        <v>421</v>
      </c>
      <c r="D322" s="679">
        <v>0</v>
      </c>
    </row>
    <row r="323" spans="1:4" x14ac:dyDescent="0.3">
      <c r="A323" s="233">
        <v>150000946</v>
      </c>
      <c r="B323" s="233">
        <v>1</v>
      </c>
      <c r="C323" s="7" t="s">
        <v>124</v>
      </c>
      <c r="D323" s="679">
        <v>0</v>
      </c>
    </row>
    <row r="324" spans="1:4" x14ac:dyDescent="0.3">
      <c r="A324" s="233">
        <v>150000947</v>
      </c>
      <c r="B324" s="233">
        <v>1</v>
      </c>
      <c r="C324" s="7" t="s">
        <v>268</v>
      </c>
      <c r="D324" s="679">
        <v>0</v>
      </c>
    </row>
    <row r="325" spans="1:4" x14ac:dyDescent="0.3">
      <c r="A325" s="233">
        <v>150000948</v>
      </c>
      <c r="B325" s="233">
        <v>1</v>
      </c>
      <c r="C325" s="7" t="s">
        <v>383</v>
      </c>
      <c r="D325" s="679">
        <f>3.72+35.67+37.57</f>
        <v>76.960000000000008</v>
      </c>
    </row>
    <row r="326" spans="1:4" x14ac:dyDescent="0.3">
      <c r="A326" s="233">
        <v>150000949</v>
      </c>
      <c r="B326" s="233">
        <v>1</v>
      </c>
      <c r="C326" s="7" t="s">
        <v>384</v>
      </c>
      <c r="D326" s="679">
        <v>21.72</v>
      </c>
    </row>
    <row r="327" spans="1:4" x14ac:dyDescent="0.3">
      <c r="A327" s="233">
        <v>150000951</v>
      </c>
      <c r="B327" s="233">
        <v>1</v>
      </c>
      <c r="C327" s="7" t="s">
        <v>170</v>
      </c>
      <c r="D327" s="679">
        <v>0</v>
      </c>
    </row>
    <row r="328" spans="1:4" x14ac:dyDescent="0.3">
      <c r="A328" s="233">
        <v>150000954</v>
      </c>
      <c r="B328" s="233">
        <v>1</v>
      </c>
      <c r="C328" s="7" t="s">
        <v>171</v>
      </c>
      <c r="D328" s="679">
        <v>0</v>
      </c>
    </row>
    <row r="329" spans="1:4" x14ac:dyDescent="0.3">
      <c r="A329" s="233">
        <v>150000957</v>
      </c>
      <c r="B329" s="233">
        <v>1</v>
      </c>
      <c r="C329" s="7" t="s">
        <v>377</v>
      </c>
      <c r="D329" s="679">
        <f>19.46+22.52+9.31+9.63</f>
        <v>60.920000000000009</v>
      </c>
    </row>
    <row r="330" spans="1:4" x14ac:dyDescent="0.3">
      <c r="A330" s="233">
        <v>150000958</v>
      </c>
      <c r="B330" s="233">
        <v>1</v>
      </c>
      <c r="C330" s="7" t="s">
        <v>380</v>
      </c>
      <c r="D330" s="679">
        <v>21</v>
      </c>
    </row>
    <row r="331" spans="1:4" x14ac:dyDescent="0.3">
      <c r="A331" s="233">
        <v>150000960</v>
      </c>
      <c r="B331" s="233">
        <v>1</v>
      </c>
      <c r="C331" s="7" t="s">
        <v>378</v>
      </c>
      <c r="D331" s="679">
        <f>13.56+7+13.03</f>
        <v>33.590000000000003</v>
      </c>
    </row>
    <row r="332" spans="1:4" x14ac:dyDescent="0.3">
      <c r="A332" s="233">
        <v>150000961</v>
      </c>
      <c r="B332" s="233">
        <v>1</v>
      </c>
      <c r="C332" s="7" t="s">
        <v>381</v>
      </c>
      <c r="D332" s="679">
        <v>15.35</v>
      </c>
    </row>
    <row r="333" spans="1:4" x14ac:dyDescent="0.3">
      <c r="A333" s="233">
        <v>150000963</v>
      </c>
      <c r="B333" s="233">
        <v>1</v>
      </c>
      <c r="C333" s="7" t="s">
        <v>379</v>
      </c>
      <c r="D333" s="679">
        <v>26.25</v>
      </c>
    </row>
    <row r="334" spans="1:4" x14ac:dyDescent="0.3">
      <c r="A334" s="233">
        <v>150000964</v>
      </c>
      <c r="B334" s="233">
        <v>1</v>
      </c>
      <c r="C334" s="7" t="s">
        <v>382</v>
      </c>
      <c r="D334" s="679">
        <v>8.35</v>
      </c>
    </row>
    <row r="335" spans="1:4" x14ac:dyDescent="0.3">
      <c r="A335" s="233">
        <v>150000966</v>
      </c>
      <c r="B335" s="681">
        <v>2</v>
      </c>
      <c r="C335" s="7" t="s">
        <v>204</v>
      </c>
      <c r="D335" s="679">
        <v>0</v>
      </c>
    </row>
    <row r="336" spans="1:4" x14ac:dyDescent="0.3">
      <c r="A336" s="233">
        <v>150000967</v>
      </c>
      <c r="B336" s="681">
        <v>2</v>
      </c>
      <c r="C336" s="7" t="s">
        <v>205</v>
      </c>
      <c r="D336" s="682">
        <f>19.25</f>
        <v>19.25</v>
      </c>
    </row>
    <row r="337" spans="1:4" x14ac:dyDescent="0.3">
      <c r="A337" s="233">
        <v>150000968</v>
      </c>
      <c r="B337" s="681">
        <v>2</v>
      </c>
      <c r="C337" s="7" t="s">
        <v>244</v>
      </c>
      <c r="D337" s="682">
        <f>26.25</f>
        <v>26.25</v>
      </c>
    </row>
    <row r="338" spans="1:4" x14ac:dyDescent="0.3">
      <c r="A338" s="233">
        <v>150000969</v>
      </c>
      <c r="B338" s="681">
        <v>2</v>
      </c>
      <c r="C338" s="7" t="s">
        <v>192</v>
      </c>
      <c r="D338" s="679">
        <v>0</v>
      </c>
    </row>
    <row r="339" spans="1:4" x14ac:dyDescent="0.3">
      <c r="A339" s="233">
        <v>150000970</v>
      </c>
      <c r="B339" s="681">
        <v>2</v>
      </c>
      <c r="C339" s="7" t="s">
        <v>242</v>
      </c>
      <c r="D339" s="679">
        <v>0</v>
      </c>
    </row>
    <row r="340" spans="1:4" x14ac:dyDescent="0.3">
      <c r="A340" s="233">
        <v>150000971</v>
      </c>
      <c r="B340" s="681">
        <v>2</v>
      </c>
      <c r="C340" s="7" t="s">
        <v>193</v>
      </c>
      <c r="D340" s="679">
        <v>0</v>
      </c>
    </row>
    <row r="341" spans="1:4" x14ac:dyDescent="0.3">
      <c r="A341" s="233">
        <v>150000972</v>
      </c>
      <c r="B341" s="681">
        <v>2</v>
      </c>
      <c r="C341" s="7" t="s">
        <v>201</v>
      </c>
      <c r="D341" s="682">
        <f>24.5</f>
        <v>24.5</v>
      </c>
    </row>
    <row r="342" spans="1:4" x14ac:dyDescent="0.3">
      <c r="A342" s="233">
        <v>150000973</v>
      </c>
      <c r="B342" s="681">
        <v>2</v>
      </c>
      <c r="C342" s="7" t="s">
        <v>49</v>
      </c>
      <c r="D342" s="679">
        <v>0</v>
      </c>
    </row>
    <row r="343" spans="1:4" x14ac:dyDescent="0.3">
      <c r="A343" s="233">
        <v>150000974</v>
      </c>
      <c r="B343" s="681">
        <v>2</v>
      </c>
      <c r="C343" s="7" t="s">
        <v>202</v>
      </c>
      <c r="D343" s="679">
        <v>0</v>
      </c>
    </row>
    <row r="344" spans="1:4" x14ac:dyDescent="0.3">
      <c r="A344" s="233">
        <v>150000975</v>
      </c>
      <c r="B344" s="681">
        <v>2</v>
      </c>
      <c r="C344" s="7" t="s">
        <v>203</v>
      </c>
      <c r="D344" s="679">
        <v>0</v>
      </c>
    </row>
    <row r="345" spans="1:4" x14ac:dyDescent="0.3">
      <c r="A345" s="233">
        <v>150000976</v>
      </c>
      <c r="B345" s="681">
        <v>2</v>
      </c>
      <c r="C345" s="7" t="s">
        <v>149</v>
      </c>
      <c r="D345" s="679">
        <v>0</v>
      </c>
    </row>
    <row r="346" spans="1:4" x14ac:dyDescent="0.3">
      <c r="A346" s="233">
        <v>150000977</v>
      </c>
      <c r="B346" s="681">
        <v>2</v>
      </c>
      <c r="C346" s="7" t="s">
        <v>150</v>
      </c>
      <c r="D346" s="679">
        <v>0</v>
      </c>
    </row>
    <row r="347" spans="1:4" x14ac:dyDescent="0.3">
      <c r="A347" s="233">
        <v>150000978</v>
      </c>
      <c r="B347" s="681">
        <v>2</v>
      </c>
      <c r="C347" s="7" t="s">
        <v>243</v>
      </c>
      <c r="D347" s="679">
        <v>0</v>
      </c>
    </row>
    <row r="348" spans="1:4" x14ac:dyDescent="0.3">
      <c r="A348" s="233">
        <v>150000981</v>
      </c>
      <c r="B348" s="233">
        <v>3</v>
      </c>
      <c r="C348" s="7" t="s">
        <v>342</v>
      </c>
      <c r="D348" s="682">
        <f>33.38</f>
        <v>33.380000000000003</v>
      </c>
    </row>
    <row r="349" spans="1:4" x14ac:dyDescent="0.3">
      <c r="A349" s="233">
        <v>150000982</v>
      </c>
      <c r="B349" s="233">
        <v>3</v>
      </c>
      <c r="C349" s="7" t="s">
        <v>343</v>
      </c>
      <c r="D349" s="682">
        <f>65.03</f>
        <v>65.03</v>
      </c>
    </row>
    <row r="350" spans="1:4" x14ac:dyDescent="0.3">
      <c r="A350" s="233">
        <v>150000983</v>
      </c>
      <c r="B350" s="233">
        <v>3</v>
      </c>
      <c r="C350" s="7" t="s">
        <v>344</v>
      </c>
      <c r="D350" s="679">
        <v>0</v>
      </c>
    </row>
    <row r="351" spans="1:4" x14ac:dyDescent="0.3">
      <c r="A351" s="233">
        <v>150000984</v>
      </c>
      <c r="B351" s="233">
        <v>3</v>
      </c>
      <c r="C351" s="7" t="s">
        <v>345</v>
      </c>
      <c r="D351" s="679">
        <v>0</v>
      </c>
    </row>
    <row r="352" spans="1:4" x14ac:dyDescent="0.3">
      <c r="A352" s="233">
        <v>150000986</v>
      </c>
      <c r="B352" s="233">
        <v>3</v>
      </c>
      <c r="C352" s="7" t="s">
        <v>346</v>
      </c>
      <c r="D352" s="682">
        <f>13.84</f>
        <v>13.84</v>
      </c>
    </row>
    <row r="353" spans="1:4" x14ac:dyDescent="0.3">
      <c r="A353" s="233">
        <v>150000987</v>
      </c>
      <c r="B353" s="233">
        <v>3</v>
      </c>
      <c r="C353" s="7" t="s">
        <v>50</v>
      </c>
      <c r="D353" s="679">
        <v>0</v>
      </c>
    </row>
    <row r="354" spans="1:4" x14ac:dyDescent="0.3">
      <c r="A354" s="233">
        <v>150000988</v>
      </c>
      <c r="B354" s="233">
        <v>3</v>
      </c>
      <c r="C354" s="7" t="s">
        <v>51</v>
      </c>
      <c r="D354" s="679">
        <v>0</v>
      </c>
    </row>
    <row r="355" spans="1:4" x14ac:dyDescent="0.3">
      <c r="A355" s="233">
        <v>150000989</v>
      </c>
      <c r="B355" s="233">
        <v>3</v>
      </c>
      <c r="C355" s="7" t="s">
        <v>37</v>
      </c>
      <c r="D355" s="679">
        <v>0</v>
      </c>
    </row>
    <row r="356" spans="1:4" x14ac:dyDescent="0.3">
      <c r="A356" s="233">
        <v>150000991</v>
      </c>
      <c r="B356" s="233">
        <v>3</v>
      </c>
      <c r="C356" s="7" t="s">
        <v>341</v>
      </c>
      <c r="D356" s="679">
        <v>0</v>
      </c>
    </row>
    <row r="357" spans="1:4" x14ac:dyDescent="0.3">
      <c r="A357" s="233">
        <v>150000992</v>
      </c>
      <c r="B357" s="233">
        <v>3</v>
      </c>
      <c r="C357" s="7" t="s">
        <v>39</v>
      </c>
      <c r="D357" s="679">
        <v>0</v>
      </c>
    </row>
    <row r="358" spans="1:4" x14ac:dyDescent="0.3">
      <c r="A358" s="233">
        <v>150000993</v>
      </c>
      <c r="B358" s="233">
        <v>3</v>
      </c>
      <c r="C358" s="7" t="s">
        <v>41</v>
      </c>
      <c r="D358" s="679">
        <v>0</v>
      </c>
    </row>
    <row r="359" spans="1:4" x14ac:dyDescent="0.3">
      <c r="A359" s="233">
        <v>150000994</v>
      </c>
      <c r="B359" s="233">
        <v>3</v>
      </c>
      <c r="C359" s="7" t="s">
        <v>44</v>
      </c>
      <c r="D359" s="679">
        <v>0</v>
      </c>
    </row>
    <row r="360" spans="1:4" x14ac:dyDescent="0.3">
      <c r="A360" s="233">
        <v>150000995</v>
      </c>
      <c r="B360" s="233">
        <v>3</v>
      </c>
      <c r="C360" s="7" t="s">
        <v>47</v>
      </c>
      <c r="D360" s="679">
        <v>0</v>
      </c>
    </row>
    <row r="361" spans="1:4" x14ac:dyDescent="0.3">
      <c r="A361" s="233">
        <v>150000996</v>
      </c>
      <c r="B361" s="681">
        <v>2</v>
      </c>
      <c r="C361" s="7" t="s">
        <v>245</v>
      </c>
      <c r="D361" s="679">
        <v>0</v>
      </c>
    </row>
    <row r="362" spans="1:4" x14ac:dyDescent="0.3">
      <c r="A362" s="233">
        <v>150000999</v>
      </c>
      <c r="B362" s="233">
        <v>3</v>
      </c>
      <c r="C362" s="7" t="s">
        <v>40</v>
      </c>
      <c r="D362" s="679">
        <v>0</v>
      </c>
    </row>
    <row r="363" spans="1:4" x14ac:dyDescent="0.3">
      <c r="A363" s="233">
        <v>150001000</v>
      </c>
      <c r="B363" s="233">
        <v>3</v>
      </c>
      <c r="C363" s="7" t="s">
        <v>42</v>
      </c>
      <c r="D363" s="679">
        <v>0</v>
      </c>
    </row>
    <row r="364" spans="1:4" x14ac:dyDescent="0.3">
      <c r="A364" s="233">
        <v>150001001</v>
      </c>
      <c r="B364" s="233">
        <v>3</v>
      </c>
      <c r="C364" s="7" t="s">
        <v>45</v>
      </c>
      <c r="D364" s="679">
        <v>0</v>
      </c>
    </row>
    <row r="365" spans="1:4" x14ac:dyDescent="0.3">
      <c r="A365" s="233">
        <v>150001002</v>
      </c>
      <c r="B365" s="233">
        <v>3</v>
      </c>
      <c r="C365" s="7" t="s">
        <v>48</v>
      </c>
      <c r="D365" s="679">
        <v>0</v>
      </c>
    </row>
    <row r="366" spans="1:4" x14ac:dyDescent="0.3">
      <c r="A366" s="233">
        <v>150001004</v>
      </c>
      <c r="B366" s="233">
        <v>3</v>
      </c>
      <c r="C366" s="7" t="s">
        <v>43</v>
      </c>
      <c r="D366" s="679">
        <v>0</v>
      </c>
    </row>
    <row r="367" spans="1:4" x14ac:dyDescent="0.3">
      <c r="A367" s="233">
        <v>150001005</v>
      </c>
      <c r="B367" s="233">
        <v>3</v>
      </c>
      <c r="C367" s="7" t="s">
        <v>46</v>
      </c>
      <c r="D367" s="679">
        <v>0</v>
      </c>
    </row>
    <row r="368" spans="1:4" x14ac:dyDescent="0.3">
      <c r="A368" s="233">
        <v>150001007</v>
      </c>
      <c r="B368" s="681">
        <v>2</v>
      </c>
      <c r="C368" s="7" t="s">
        <v>213</v>
      </c>
      <c r="D368" s="679">
        <v>0</v>
      </c>
    </row>
    <row r="369" spans="1:4" x14ac:dyDescent="0.3">
      <c r="A369" s="233">
        <v>150001008</v>
      </c>
      <c r="B369" s="681">
        <v>2</v>
      </c>
      <c r="C369" s="7" t="s">
        <v>211</v>
      </c>
      <c r="D369" s="682">
        <f>442.51</f>
        <v>442.51</v>
      </c>
    </row>
    <row r="370" spans="1:4" x14ac:dyDescent="0.3">
      <c r="A370" s="233">
        <v>150001009</v>
      </c>
      <c r="B370" s="681">
        <v>2</v>
      </c>
      <c r="C370" s="7" t="s">
        <v>212</v>
      </c>
      <c r="D370" s="679">
        <v>0</v>
      </c>
    </row>
    <row r="371" spans="1:4" x14ac:dyDescent="0.3">
      <c r="A371" s="233">
        <v>150001010</v>
      </c>
      <c r="B371" s="681">
        <v>2</v>
      </c>
      <c r="C371" s="7" t="s">
        <v>164</v>
      </c>
      <c r="D371" s="679">
        <v>0</v>
      </c>
    </row>
    <row r="372" spans="1:4" x14ac:dyDescent="0.3">
      <c r="A372" s="233">
        <v>150001011</v>
      </c>
      <c r="B372" s="681">
        <v>2</v>
      </c>
      <c r="C372" s="7" t="s">
        <v>165</v>
      </c>
      <c r="D372" s="679">
        <v>0</v>
      </c>
    </row>
    <row r="373" spans="1:4" x14ac:dyDescent="0.3">
      <c r="A373" s="233">
        <v>150001013</v>
      </c>
      <c r="B373" s="681">
        <v>2</v>
      </c>
      <c r="C373" s="7" t="s">
        <v>260</v>
      </c>
      <c r="D373" s="679">
        <v>0</v>
      </c>
    </row>
    <row r="374" spans="1:4" x14ac:dyDescent="0.3">
      <c r="A374" s="233">
        <v>150001014</v>
      </c>
      <c r="B374" s="681">
        <v>2</v>
      </c>
      <c r="C374" s="7" t="s">
        <v>166</v>
      </c>
      <c r="D374" s="679">
        <v>0</v>
      </c>
    </row>
    <row r="375" spans="1:4" x14ac:dyDescent="0.3">
      <c r="A375" s="233">
        <v>150001015</v>
      </c>
      <c r="B375" s="681">
        <v>2</v>
      </c>
      <c r="C375" s="7" t="s">
        <v>99</v>
      </c>
      <c r="D375" s="679">
        <v>0</v>
      </c>
    </row>
    <row r="376" spans="1:4" x14ac:dyDescent="0.3">
      <c r="A376" s="233">
        <v>150001016</v>
      </c>
      <c r="B376" s="681">
        <v>2</v>
      </c>
      <c r="C376" s="7" t="s">
        <v>261</v>
      </c>
      <c r="D376" s="679">
        <v>0</v>
      </c>
    </row>
    <row r="377" spans="1:4" x14ac:dyDescent="0.3">
      <c r="A377" s="233">
        <v>150001017</v>
      </c>
      <c r="B377" s="233">
        <v>1</v>
      </c>
      <c r="C377" s="7" t="s">
        <v>1648</v>
      </c>
      <c r="D377" s="679">
        <v>0</v>
      </c>
    </row>
    <row r="378" spans="1:4" x14ac:dyDescent="0.3">
      <c r="A378" s="233">
        <v>150001018</v>
      </c>
      <c r="B378" s="681">
        <v>2</v>
      </c>
      <c r="C378" s="7" t="s">
        <v>429</v>
      </c>
      <c r="D378" s="682">
        <f>14.88</f>
        <v>14.88</v>
      </c>
    </row>
    <row r="379" spans="1:4" x14ac:dyDescent="0.3">
      <c r="A379" s="233">
        <v>150001019</v>
      </c>
      <c r="B379" s="233">
        <v>1</v>
      </c>
      <c r="C379" s="7" t="s">
        <v>419</v>
      </c>
      <c r="D379" s="679">
        <v>0</v>
      </c>
    </row>
    <row r="380" spans="1:4" x14ac:dyDescent="0.3">
      <c r="A380" s="233">
        <v>150001020</v>
      </c>
      <c r="B380" s="681">
        <v>2</v>
      </c>
      <c r="C380" s="7" t="s">
        <v>100</v>
      </c>
      <c r="D380" s="679">
        <v>0</v>
      </c>
    </row>
    <row r="381" spans="1:4" x14ac:dyDescent="0.3">
      <c r="A381" s="233">
        <v>150001021</v>
      </c>
      <c r="B381" s="233">
        <v>1</v>
      </c>
      <c r="C381" s="7" t="s">
        <v>363</v>
      </c>
      <c r="D381" s="679">
        <v>0</v>
      </c>
    </row>
    <row r="382" spans="1:4" x14ac:dyDescent="0.3">
      <c r="A382" s="233">
        <v>150001022</v>
      </c>
      <c r="B382" s="233">
        <v>1</v>
      </c>
      <c r="C382" s="7" t="s">
        <v>364</v>
      </c>
      <c r="D382" s="679">
        <v>0</v>
      </c>
    </row>
    <row r="383" spans="1:4" x14ac:dyDescent="0.3">
      <c r="A383" s="233">
        <v>150001023</v>
      </c>
      <c r="B383" s="233">
        <v>1</v>
      </c>
      <c r="C383" s="7" t="s">
        <v>365</v>
      </c>
      <c r="D383" s="679">
        <v>19.18</v>
      </c>
    </row>
    <row r="384" spans="1:4" x14ac:dyDescent="0.3">
      <c r="A384" s="233">
        <v>150001024</v>
      </c>
      <c r="B384" s="233">
        <v>1</v>
      </c>
      <c r="C384" s="7" t="s">
        <v>366</v>
      </c>
      <c r="D384" s="679">
        <v>0</v>
      </c>
    </row>
    <row r="385" spans="1:4" x14ac:dyDescent="0.3">
      <c r="A385" s="233">
        <v>150001025</v>
      </c>
      <c r="B385" s="233">
        <v>1</v>
      </c>
      <c r="C385" s="7" t="s">
        <v>420</v>
      </c>
      <c r="D385" s="679">
        <v>0</v>
      </c>
    </row>
    <row r="386" spans="1:4" x14ac:dyDescent="0.3">
      <c r="A386" s="233">
        <v>150001026</v>
      </c>
      <c r="B386" s="233">
        <v>1</v>
      </c>
      <c r="C386" s="7" t="s">
        <v>334</v>
      </c>
      <c r="D386" s="679">
        <v>0</v>
      </c>
    </row>
    <row r="387" spans="1:4" x14ac:dyDescent="0.3">
      <c r="A387" s="233">
        <v>150001027</v>
      </c>
      <c r="B387" s="233">
        <v>1</v>
      </c>
      <c r="C387" s="7" t="s">
        <v>367</v>
      </c>
      <c r="D387" s="679">
        <v>0</v>
      </c>
    </row>
    <row r="388" spans="1:4" x14ac:dyDescent="0.3">
      <c r="A388" s="233">
        <v>150001028</v>
      </c>
      <c r="B388" s="233">
        <v>1</v>
      </c>
      <c r="C388" s="7" t="s">
        <v>101</v>
      </c>
      <c r="D388" s="679">
        <v>0</v>
      </c>
    </row>
    <row r="389" spans="1:4" x14ac:dyDescent="0.3">
      <c r="A389" s="233">
        <v>150001029</v>
      </c>
      <c r="B389" s="233">
        <v>1</v>
      </c>
      <c r="C389" s="7" t="s">
        <v>368</v>
      </c>
      <c r="D389" s="679">
        <v>0</v>
      </c>
    </row>
    <row r="390" spans="1:4" x14ac:dyDescent="0.3">
      <c r="A390" s="233">
        <v>150001030</v>
      </c>
      <c r="B390" s="233">
        <v>1</v>
      </c>
      <c r="C390" s="7" t="s">
        <v>335</v>
      </c>
      <c r="D390" s="679">
        <v>0.93</v>
      </c>
    </row>
    <row r="391" spans="1:4" x14ac:dyDescent="0.3">
      <c r="A391" s="233">
        <v>150001031</v>
      </c>
      <c r="B391" s="233">
        <v>1</v>
      </c>
      <c r="C391" s="7" t="s">
        <v>103</v>
      </c>
      <c r="D391" s="679">
        <v>0</v>
      </c>
    </row>
    <row r="392" spans="1:4" x14ac:dyDescent="0.3">
      <c r="A392" s="233">
        <v>150001032</v>
      </c>
      <c r="B392" s="233">
        <v>1</v>
      </c>
      <c r="C392" s="7" t="s">
        <v>369</v>
      </c>
      <c r="D392" s="679">
        <v>0</v>
      </c>
    </row>
    <row r="393" spans="1:4" x14ac:dyDescent="0.3">
      <c r="A393" s="233">
        <v>150001033</v>
      </c>
      <c r="B393" s="233">
        <v>1</v>
      </c>
      <c r="C393" s="7" t="s">
        <v>362</v>
      </c>
      <c r="D393" s="679">
        <v>24.2</v>
      </c>
    </row>
    <row r="394" spans="1:4" x14ac:dyDescent="0.3">
      <c r="A394" s="233">
        <v>150001034</v>
      </c>
      <c r="B394" s="233">
        <v>1</v>
      </c>
      <c r="C394" s="7" t="s">
        <v>1649</v>
      </c>
      <c r="D394" s="679">
        <v>0</v>
      </c>
    </row>
    <row r="395" spans="1:4" x14ac:dyDescent="0.3">
      <c r="A395" s="233">
        <v>150001035</v>
      </c>
      <c r="B395" s="233">
        <v>1</v>
      </c>
      <c r="C395" s="7" t="s">
        <v>262</v>
      </c>
      <c r="D395" s="679">
        <v>0</v>
      </c>
    </row>
    <row r="396" spans="1:4" x14ac:dyDescent="0.3">
      <c r="A396" s="233">
        <v>150001036</v>
      </c>
      <c r="B396" s="233">
        <v>1</v>
      </c>
      <c r="C396" s="7" t="s">
        <v>102</v>
      </c>
      <c r="D396" s="679">
        <v>0</v>
      </c>
    </row>
    <row r="397" spans="1:4" x14ac:dyDescent="0.3">
      <c r="A397" s="233">
        <v>150001037</v>
      </c>
      <c r="B397" s="233">
        <v>1</v>
      </c>
      <c r="C397" s="7" t="s">
        <v>104</v>
      </c>
      <c r="D397" s="679">
        <v>0</v>
      </c>
    </row>
    <row r="398" spans="1:4" x14ac:dyDescent="0.3">
      <c r="A398" s="233">
        <v>150001038</v>
      </c>
      <c r="B398" s="233">
        <v>1</v>
      </c>
      <c r="C398" s="7" t="s">
        <v>1650</v>
      </c>
      <c r="D398" s="679">
        <v>0</v>
      </c>
    </row>
    <row r="399" spans="1:4" x14ac:dyDescent="0.3">
      <c r="A399" s="233">
        <v>150001039</v>
      </c>
      <c r="B399" s="233">
        <v>1</v>
      </c>
      <c r="C399" s="7" t="s">
        <v>1651</v>
      </c>
      <c r="D399" s="679">
        <v>0</v>
      </c>
    </row>
    <row r="400" spans="1:4" x14ac:dyDescent="0.3">
      <c r="A400" s="233">
        <v>150001040</v>
      </c>
      <c r="B400" s="681">
        <v>2</v>
      </c>
      <c r="C400" s="7" t="s">
        <v>216</v>
      </c>
      <c r="D400" s="679">
        <v>0</v>
      </c>
    </row>
    <row r="401" spans="1:4" x14ac:dyDescent="0.3">
      <c r="A401" s="233">
        <v>150001041</v>
      </c>
      <c r="B401" s="681">
        <v>2</v>
      </c>
      <c r="C401" s="7" t="s">
        <v>196</v>
      </c>
      <c r="D401" s="679">
        <v>0</v>
      </c>
    </row>
    <row r="402" spans="1:4" x14ac:dyDescent="0.3">
      <c r="A402" s="233">
        <v>150001042</v>
      </c>
      <c r="B402" s="681">
        <v>2</v>
      </c>
      <c r="C402" s="7" t="s">
        <v>181</v>
      </c>
      <c r="D402" s="679">
        <v>0</v>
      </c>
    </row>
    <row r="403" spans="1:4" x14ac:dyDescent="0.3">
      <c r="A403" s="233">
        <v>150001043</v>
      </c>
      <c r="B403" s="681">
        <v>2</v>
      </c>
      <c r="C403" s="7" t="s">
        <v>217</v>
      </c>
      <c r="D403" s="679">
        <v>0</v>
      </c>
    </row>
    <row r="404" spans="1:4" x14ac:dyDescent="0.3">
      <c r="A404" s="233">
        <v>150001044</v>
      </c>
      <c r="B404" s="681">
        <v>2</v>
      </c>
      <c r="C404" s="7" t="s">
        <v>269</v>
      </c>
      <c r="D404" s="679">
        <v>0</v>
      </c>
    </row>
    <row r="405" spans="1:4" x14ac:dyDescent="0.3">
      <c r="A405" s="233">
        <v>150001045</v>
      </c>
      <c r="B405" s="681">
        <v>2</v>
      </c>
      <c r="C405" s="7" t="s">
        <v>271</v>
      </c>
      <c r="D405" s="679">
        <v>0</v>
      </c>
    </row>
    <row r="406" spans="1:4" x14ac:dyDescent="0.3">
      <c r="A406" s="233">
        <v>150001046</v>
      </c>
      <c r="B406" s="681">
        <v>2</v>
      </c>
      <c r="C406" s="7" t="s">
        <v>272</v>
      </c>
      <c r="D406" s="679">
        <v>0</v>
      </c>
    </row>
    <row r="407" spans="1:4" x14ac:dyDescent="0.3">
      <c r="A407" s="233">
        <v>150001047</v>
      </c>
      <c r="B407" s="681">
        <v>2</v>
      </c>
      <c r="C407" s="7" t="s">
        <v>179</v>
      </c>
      <c r="D407" s="679">
        <v>0</v>
      </c>
    </row>
    <row r="408" spans="1:4" x14ac:dyDescent="0.3">
      <c r="A408" s="233">
        <v>150001048</v>
      </c>
      <c r="B408" s="681">
        <v>2</v>
      </c>
      <c r="C408" s="7" t="s">
        <v>125</v>
      </c>
      <c r="D408" s="679">
        <v>0</v>
      </c>
    </row>
    <row r="409" spans="1:4" x14ac:dyDescent="0.3">
      <c r="A409" s="233">
        <v>150001049</v>
      </c>
      <c r="B409" s="681">
        <v>2</v>
      </c>
      <c r="C409" s="7" t="s">
        <v>180</v>
      </c>
      <c r="D409" s="679">
        <v>0</v>
      </c>
    </row>
    <row r="410" spans="1:4" x14ac:dyDescent="0.3">
      <c r="A410" s="233">
        <v>150001050</v>
      </c>
      <c r="B410" s="681">
        <v>2</v>
      </c>
      <c r="C410" s="7" t="s">
        <v>270</v>
      </c>
      <c r="D410" s="679">
        <v>0</v>
      </c>
    </row>
    <row r="411" spans="1:4" x14ac:dyDescent="0.3">
      <c r="A411" s="233">
        <v>150001053</v>
      </c>
      <c r="B411" s="233">
        <v>3</v>
      </c>
      <c r="C411" s="7" t="s">
        <v>146</v>
      </c>
      <c r="D411" s="679">
        <v>0</v>
      </c>
    </row>
    <row r="412" spans="1:4" x14ac:dyDescent="0.3">
      <c r="A412" s="233">
        <v>150001054</v>
      </c>
      <c r="B412" s="233">
        <v>3</v>
      </c>
      <c r="C412" s="7" t="s">
        <v>85</v>
      </c>
      <c r="D412" s="679">
        <v>0</v>
      </c>
    </row>
    <row r="413" spans="1:4" x14ac:dyDescent="0.3">
      <c r="A413" s="233">
        <v>150001071</v>
      </c>
      <c r="B413" s="233">
        <v>3</v>
      </c>
      <c r="C413" s="7" t="s">
        <v>167</v>
      </c>
      <c r="D413" s="679">
        <v>0</v>
      </c>
    </row>
    <row r="414" spans="1:4" x14ac:dyDescent="0.3">
      <c r="A414" s="233">
        <v>150001094</v>
      </c>
      <c r="B414" s="233">
        <v>1</v>
      </c>
      <c r="C414" s="7" t="s">
        <v>185</v>
      </c>
      <c r="D414" s="679">
        <v>0</v>
      </c>
    </row>
    <row r="415" spans="1:4" x14ac:dyDescent="0.3">
      <c r="A415" s="233">
        <v>150001561</v>
      </c>
      <c r="B415" s="681">
        <v>2</v>
      </c>
      <c r="C415" s="7" t="s">
        <v>399</v>
      </c>
      <c r="D415" s="679">
        <v>0</v>
      </c>
    </row>
    <row r="416" spans="1:4" x14ac:dyDescent="0.3">
      <c r="A416" s="233">
        <v>150001562</v>
      </c>
      <c r="B416" s="681">
        <v>2</v>
      </c>
      <c r="C416" s="7" t="s">
        <v>208</v>
      </c>
      <c r="D416" s="679">
        <v>0</v>
      </c>
    </row>
  </sheetData>
  <autoFilter ref="A1:D416" xr:uid="{00000000-0009-0000-0000-000015000000}">
    <sortState xmlns:xlrd2="http://schemas.microsoft.com/office/spreadsheetml/2017/richdata2" ref="A2:D416">
      <sortCondition ref="A2:A416"/>
    </sortState>
  </autoFilter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1:B414"/>
  <sheetViews>
    <sheetView topLeftCell="A363" workbookViewId="0">
      <selection activeCell="P26" sqref="P26"/>
    </sheetView>
  </sheetViews>
  <sheetFormatPr defaultRowHeight="14.4" x14ac:dyDescent="0.3"/>
  <cols>
    <col min="1" max="1" width="13.109375" style="317" customWidth="1"/>
    <col min="2" max="2" width="8.88671875" style="2" customWidth="1"/>
  </cols>
  <sheetData>
    <row r="1" spans="1:2" x14ac:dyDescent="0.3">
      <c r="A1" s="1" t="s">
        <v>0</v>
      </c>
    </row>
    <row r="3" spans="1:2" ht="15.6" x14ac:dyDescent="0.3">
      <c r="A3" s="6" t="s">
        <v>1082</v>
      </c>
      <c r="B3" s="119"/>
    </row>
    <row r="5" spans="1:2" ht="17.399999999999999" x14ac:dyDescent="0.3">
      <c r="B5" s="321">
        <f>A5+1</f>
        <v>1</v>
      </c>
    </row>
    <row r="6" spans="1:2" x14ac:dyDescent="0.3">
      <c r="A6" s="674" t="s">
        <v>1101</v>
      </c>
      <c r="B6" s="28"/>
    </row>
    <row r="7" spans="1:2" x14ac:dyDescent="0.3">
      <c r="A7" s="431">
        <v>150000488</v>
      </c>
      <c r="B7" s="28">
        <v>3</v>
      </c>
    </row>
    <row r="8" spans="1:2" x14ac:dyDescent="0.3">
      <c r="A8" s="431">
        <v>150000490</v>
      </c>
      <c r="B8" s="28">
        <v>3</v>
      </c>
    </row>
    <row r="9" spans="1:2" x14ac:dyDescent="0.3">
      <c r="A9" s="431">
        <v>150000492</v>
      </c>
      <c r="B9" s="28">
        <v>3</v>
      </c>
    </row>
    <row r="10" spans="1:2" x14ac:dyDescent="0.3">
      <c r="A10" s="431">
        <v>150000493</v>
      </c>
      <c r="B10" s="28">
        <v>1</v>
      </c>
    </row>
    <row r="11" spans="1:2" x14ac:dyDescent="0.3">
      <c r="A11" s="431">
        <v>150000494</v>
      </c>
      <c r="B11" s="28">
        <v>1</v>
      </c>
    </row>
    <row r="12" spans="1:2" x14ac:dyDescent="0.3">
      <c r="A12" s="431">
        <v>150000495</v>
      </c>
      <c r="B12" s="28">
        <v>1</v>
      </c>
    </row>
    <row r="13" spans="1:2" x14ac:dyDescent="0.3">
      <c r="A13" s="431">
        <v>150000496</v>
      </c>
      <c r="B13" s="28">
        <v>1</v>
      </c>
    </row>
    <row r="14" spans="1:2" x14ac:dyDescent="0.3">
      <c r="A14" s="431">
        <v>150000497</v>
      </c>
      <c r="B14" s="28">
        <v>1</v>
      </c>
    </row>
    <row r="15" spans="1:2" x14ac:dyDescent="0.3">
      <c r="A15" s="431">
        <v>150000498</v>
      </c>
      <c r="B15" s="28">
        <v>1</v>
      </c>
    </row>
    <row r="16" spans="1:2" x14ac:dyDescent="0.3">
      <c r="A16" s="431">
        <v>150000501</v>
      </c>
      <c r="B16" s="28">
        <v>2</v>
      </c>
    </row>
    <row r="17" spans="1:2" x14ac:dyDescent="0.3">
      <c r="A17" s="431">
        <v>150000502</v>
      </c>
      <c r="B17" s="28">
        <v>3</v>
      </c>
    </row>
    <row r="18" spans="1:2" x14ac:dyDescent="0.3">
      <c r="A18" s="431">
        <v>150000503</v>
      </c>
      <c r="B18" s="28">
        <v>3</v>
      </c>
    </row>
    <row r="19" spans="1:2" x14ac:dyDescent="0.3">
      <c r="A19" s="431">
        <v>150000504</v>
      </c>
      <c r="B19" s="28">
        <v>3</v>
      </c>
    </row>
    <row r="20" spans="1:2" x14ac:dyDescent="0.3">
      <c r="A20" s="431">
        <v>150000505</v>
      </c>
      <c r="B20" s="28">
        <v>3</v>
      </c>
    </row>
    <row r="21" spans="1:2" x14ac:dyDescent="0.3">
      <c r="A21" s="431">
        <v>150000506</v>
      </c>
      <c r="B21" s="28">
        <v>3</v>
      </c>
    </row>
    <row r="22" spans="1:2" x14ac:dyDescent="0.3">
      <c r="A22" s="431">
        <v>150000507</v>
      </c>
      <c r="B22" s="28">
        <v>3</v>
      </c>
    </row>
    <row r="23" spans="1:2" x14ac:dyDescent="0.3">
      <c r="A23" s="431">
        <v>150000508</v>
      </c>
      <c r="B23" s="28">
        <v>3</v>
      </c>
    </row>
    <row r="24" spans="1:2" x14ac:dyDescent="0.3">
      <c r="A24" s="431">
        <v>150000509</v>
      </c>
      <c r="B24" s="28">
        <v>2</v>
      </c>
    </row>
    <row r="25" spans="1:2" x14ac:dyDescent="0.3">
      <c r="A25" s="431">
        <v>150000510</v>
      </c>
      <c r="B25" s="28">
        <v>2</v>
      </c>
    </row>
    <row r="26" spans="1:2" x14ac:dyDescent="0.3">
      <c r="A26" s="431">
        <v>150000511</v>
      </c>
      <c r="B26" s="28">
        <v>2</v>
      </c>
    </row>
    <row r="27" spans="1:2" x14ac:dyDescent="0.3">
      <c r="A27" s="431">
        <v>150000512</v>
      </c>
      <c r="B27" s="28">
        <v>2</v>
      </c>
    </row>
    <row r="28" spans="1:2" x14ac:dyDescent="0.3">
      <c r="A28" s="431">
        <v>150000513</v>
      </c>
      <c r="B28" s="28">
        <v>2</v>
      </c>
    </row>
    <row r="29" spans="1:2" x14ac:dyDescent="0.3">
      <c r="A29" s="431">
        <v>150000514</v>
      </c>
      <c r="B29" s="28">
        <v>2</v>
      </c>
    </row>
    <row r="30" spans="1:2" x14ac:dyDescent="0.3">
      <c r="A30" s="431">
        <v>150000515</v>
      </c>
      <c r="B30" s="28">
        <v>2</v>
      </c>
    </row>
    <row r="31" spans="1:2" x14ac:dyDescent="0.3">
      <c r="A31" s="431">
        <v>150000516</v>
      </c>
      <c r="B31" s="28">
        <v>2</v>
      </c>
    </row>
    <row r="32" spans="1:2" x14ac:dyDescent="0.3">
      <c r="A32" s="431">
        <v>150000517</v>
      </c>
      <c r="B32" s="28">
        <v>2</v>
      </c>
    </row>
    <row r="33" spans="1:2" x14ac:dyDescent="0.3">
      <c r="A33" s="431">
        <v>150000518</v>
      </c>
      <c r="B33" s="28">
        <v>2</v>
      </c>
    </row>
    <row r="34" spans="1:2" x14ac:dyDescent="0.3">
      <c r="A34" s="431">
        <v>150000519</v>
      </c>
      <c r="B34" s="28">
        <v>2</v>
      </c>
    </row>
    <row r="35" spans="1:2" x14ac:dyDescent="0.3">
      <c r="A35" s="431">
        <v>150000521</v>
      </c>
      <c r="B35" s="28">
        <v>2</v>
      </c>
    </row>
    <row r="36" spans="1:2" x14ac:dyDescent="0.3">
      <c r="A36" s="431">
        <v>150000522</v>
      </c>
      <c r="B36" s="28">
        <v>1</v>
      </c>
    </row>
    <row r="37" spans="1:2" x14ac:dyDescent="0.3">
      <c r="A37" s="431">
        <v>150000523</v>
      </c>
      <c r="B37" s="28">
        <v>1</v>
      </c>
    </row>
    <row r="38" spans="1:2" x14ac:dyDescent="0.3">
      <c r="A38" s="431">
        <v>150000524</v>
      </c>
      <c r="B38" s="28">
        <v>1</v>
      </c>
    </row>
    <row r="39" spans="1:2" x14ac:dyDescent="0.3">
      <c r="A39" s="431">
        <v>150000527</v>
      </c>
      <c r="B39" s="28">
        <v>1</v>
      </c>
    </row>
    <row r="40" spans="1:2" x14ac:dyDescent="0.3">
      <c r="A40" s="431">
        <v>150000529</v>
      </c>
      <c r="B40" s="28">
        <v>1</v>
      </c>
    </row>
    <row r="41" spans="1:2" x14ac:dyDescent="0.3">
      <c r="A41" s="431">
        <v>150000530</v>
      </c>
      <c r="B41" s="28">
        <v>1</v>
      </c>
    </row>
    <row r="42" spans="1:2" x14ac:dyDescent="0.3">
      <c r="A42" s="431">
        <v>150000531</v>
      </c>
      <c r="B42" s="28">
        <v>1</v>
      </c>
    </row>
    <row r="43" spans="1:2" x14ac:dyDescent="0.3">
      <c r="A43" s="431">
        <v>150000532</v>
      </c>
      <c r="B43" s="28">
        <v>1</v>
      </c>
    </row>
    <row r="44" spans="1:2" x14ac:dyDescent="0.3">
      <c r="A44" s="431">
        <v>150000533</v>
      </c>
      <c r="B44" s="28">
        <v>1</v>
      </c>
    </row>
    <row r="45" spans="1:2" x14ac:dyDescent="0.3">
      <c r="A45" s="431">
        <v>150000534</v>
      </c>
      <c r="B45" s="28">
        <v>1</v>
      </c>
    </row>
    <row r="46" spans="1:2" x14ac:dyDescent="0.3">
      <c r="A46" s="431">
        <v>150000535</v>
      </c>
      <c r="B46" s="28">
        <v>1</v>
      </c>
    </row>
    <row r="47" spans="1:2" x14ac:dyDescent="0.3">
      <c r="A47" s="431">
        <v>150000537</v>
      </c>
      <c r="B47" s="28">
        <v>2</v>
      </c>
    </row>
    <row r="48" spans="1:2" x14ac:dyDescent="0.3">
      <c r="A48" s="431">
        <v>150000538</v>
      </c>
      <c r="B48" s="28">
        <v>2</v>
      </c>
    </row>
    <row r="49" spans="1:2" x14ac:dyDescent="0.3">
      <c r="A49" s="431">
        <v>150000539</v>
      </c>
      <c r="B49" s="28">
        <v>2</v>
      </c>
    </row>
    <row r="50" spans="1:2" x14ac:dyDescent="0.3">
      <c r="A50" s="431">
        <v>150000541</v>
      </c>
      <c r="B50" s="28">
        <v>1</v>
      </c>
    </row>
    <row r="51" spans="1:2" x14ac:dyDescent="0.3">
      <c r="A51" s="431">
        <v>150000542</v>
      </c>
      <c r="B51" s="28">
        <v>1</v>
      </c>
    </row>
    <row r="52" spans="1:2" x14ac:dyDescent="0.3">
      <c r="A52" s="431">
        <v>150000543</v>
      </c>
      <c r="B52" s="28">
        <v>1</v>
      </c>
    </row>
    <row r="53" spans="1:2" x14ac:dyDescent="0.3">
      <c r="A53" s="431">
        <v>150000544</v>
      </c>
      <c r="B53" s="28">
        <v>1</v>
      </c>
    </row>
    <row r="54" spans="1:2" x14ac:dyDescent="0.3">
      <c r="A54" s="431">
        <v>150000545</v>
      </c>
      <c r="B54" s="28">
        <v>2</v>
      </c>
    </row>
    <row r="55" spans="1:2" x14ac:dyDescent="0.3">
      <c r="A55" s="431">
        <v>150000546</v>
      </c>
      <c r="B55" s="28">
        <v>2</v>
      </c>
    </row>
    <row r="56" spans="1:2" x14ac:dyDescent="0.3">
      <c r="A56" s="431">
        <v>150000547</v>
      </c>
      <c r="B56" s="28">
        <v>1</v>
      </c>
    </row>
    <row r="57" spans="1:2" x14ac:dyDescent="0.3">
      <c r="A57" s="431">
        <v>150000548</v>
      </c>
      <c r="B57" s="28">
        <v>1</v>
      </c>
    </row>
    <row r="58" spans="1:2" x14ac:dyDescent="0.3">
      <c r="A58" s="431">
        <v>150000549</v>
      </c>
      <c r="B58" s="28">
        <v>1</v>
      </c>
    </row>
    <row r="59" spans="1:2" x14ac:dyDescent="0.3">
      <c r="A59" s="431">
        <v>150000552</v>
      </c>
      <c r="B59" s="28">
        <v>3</v>
      </c>
    </row>
    <row r="60" spans="1:2" x14ac:dyDescent="0.3">
      <c r="A60" s="431">
        <v>150000553</v>
      </c>
      <c r="B60" s="28">
        <v>3</v>
      </c>
    </row>
    <row r="61" spans="1:2" x14ac:dyDescent="0.3">
      <c r="A61" s="431">
        <v>150000555</v>
      </c>
      <c r="B61" s="28">
        <v>3</v>
      </c>
    </row>
    <row r="62" spans="1:2" x14ac:dyDescent="0.3">
      <c r="A62" s="431">
        <v>150000556</v>
      </c>
      <c r="B62" s="28">
        <v>3</v>
      </c>
    </row>
    <row r="63" spans="1:2" x14ac:dyDescent="0.3">
      <c r="A63" s="431">
        <v>150000557</v>
      </c>
      <c r="B63" s="28">
        <v>3</v>
      </c>
    </row>
    <row r="64" spans="1:2" x14ac:dyDescent="0.3">
      <c r="A64" s="431">
        <v>150000561</v>
      </c>
      <c r="B64" s="28">
        <v>1</v>
      </c>
    </row>
    <row r="65" spans="1:2" x14ac:dyDescent="0.3">
      <c r="A65" s="431">
        <v>150000562</v>
      </c>
      <c r="B65" s="28">
        <v>1</v>
      </c>
    </row>
    <row r="66" spans="1:2" x14ac:dyDescent="0.3">
      <c r="A66" s="431">
        <v>150000566</v>
      </c>
      <c r="B66" s="28">
        <v>1</v>
      </c>
    </row>
    <row r="67" spans="1:2" x14ac:dyDescent="0.3">
      <c r="A67" s="431">
        <v>150000567</v>
      </c>
      <c r="B67" s="28">
        <v>1</v>
      </c>
    </row>
    <row r="68" spans="1:2" x14ac:dyDescent="0.3">
      <c r="A68" s="431">
        <v>150000569</v>
      </c>
      <c r="B68" s="28">
        <v>1</v>
      </c>
    </row>
    <row r="69" spans="1:2" x14ac:dyDescent="0.3">
      <c r="A69" s="431">
        <v>150000570</v>
      </c>
      <c r="B69" s="28">
        <v>1</v>
      </c>
    </row>
    <row r="70" spans="1:2" x14ac:dyDescent="0.3">
      <c r="A70" s="431">
        <v>150000571</v>
      </c>
      <c r="B70" s="28">
        <v>1</v>
      </c>
    </row>
    <row r="71" spans="1:2" x14ac:dyDescent="0.3">
      <c r="A71" s="431">
        <v>150000572</v>
      </c>
      <c r="B71" s="28">
        <v>1</v>
      </c>
    </row>
    <row r="72" spans="1:2" x14ac:dyDescent="0.3">
      <c r="A72" s="431">
        <v>150000573</v>
      </c>
      <c r="B72" s="28">
        <v>1</v>
      </c>
    </row>
    <row r="73" spans="1:2" x14ac:dyDescent="0.3">
      <c r="A73" s="431">
        <v>150000578</v>
      </c>
      <c r="B73" s="28">
        <v>3</v>
      </c>
    </row>
    <row r="74" spans="1:2" x14ac:dyDescent="0.3">
      <c r="A74" s="431">
        <v>150000580</v>
      </c>
      <c r="B74" s="28">
        <v>3</v>
      </c>
    </row>
    <row r="75" spans="1:2" x14ac:dyDescent="0.3">
      <c r="A75" s="431">
        <v>150000587</v>
      </c>
      <c r="B75" s="28">
        <v>3</v>
      </c>
    </row>
    <row r="76" spans="1:2" x14ac:dyDescent="0.3">
      <c r="A76" s="431">
        <v>150000590</v>
      </c>
      <c r="B76" s="28">
        <v>3</v>
      </c>
    </row>
    <row r="77" spans="1:2" x14ac:dyDescent="0.3">
      <c r="A77" s="431">
        <v>150000591</v>
      </c>
      <c r="B77" s="28">
        <v>3</v>
      </c>
    </row>
    <row r="78" spans="1:2" x14ac:dyDescent="0.3">
      <c r="A78" s="431">
        <v>150000592</v>
      </c>
      <c r="B78" s="28">
        <v>1</v>
      </c>
    </row>
    <row r="79" spans="1:2" x14ac:dyDescent="0.3">
      <c r="A79" s="431">
        <v>150000593</v>
      </c>
      <c r="B79" s="28">
        <v>1</v>
      </c>
    </row>
    <row r="80" spans="1:2" x14ac:dyDescent="0.3">
      <c r="A80" s="431">
        <v>150000594</v>
      </c>
      <c r="B80" s="28">
        <v>1</v>
      </c>
    </row>
    <row r="81" spans="1:2" x14ac:dyDescent="0.3">
      <c r="A81" s="431">
        <v>150000597</v>
      </c>
      <c r="B81" s="28">
        <v>1</v>
      </c>
    </row>
    <row r="82" spans="1:2" x14ac:dyDescent="0.3">
      <c r="A82" s="431">
        <v>150000598</v>
      </c>
      <c r="B82" s="28">
        <v>1</v>
      </c>
    </row>
    <row r="83" spans="1:2" x14ac:dyDescent="0.3">
      <c r="A83" s="431">
        <v>150000599</v>
      </c>
      <c r="B83" s="28">
        <v>1</v>
      </c>
    </row>
    <row r="84" spans="1:2" x14ac:dyDescent="0.3">
      <c r="A84" s="431">
        <v>150000601</v>
      </c>
      <c r="B84" s="28">
        <v>1</v>
      </c>
    </row>
    <row r="85" spans="1:2" x14ac:dyDescent="0.3">
      <c r="A85" s="431">
        <v>150000603</v>
      </c>
      <c r="B85" s="28">
        <v>2</v>
      </c>
    </row>
    <row r="86" spans="1:2" x14ac:dyDescent="0.3">
      <c r="A86" s="431">
        <v>150000604</v>
      </c>
      <c r="B86" s="28">
        <v>2</v>
      </c>
    </row>
    <row r="87" spans="1:2" x14ac:dyDescent="0.3">
      <c r="A87" s="431">
        <v>150000605</v>
      </c>
      <c r="B87" s="28">
        <v>2</v>
      </c>
    </row>
    <row r="88" spans="1:2" x14ac:dyDescent="0.3">
      <c r="A88" s="431">
        <v>150000606</v>
      </c>
      <c r="B88" s="28">
        <v>2</v>
      </c>
    </row>
    <row r="89" spans="1:2" x14ac:dyDescent="0.3">
      <c r="A89" s="431">
        <v>150000607</v>
      </c>
      <c r="B89" s="28">
        <v>2</v>
      </c>
    </row>
    <row r="90" spans="1:2" x14ac:dyDescent="0.3">
      <c r="A90" s="431">
        <v>150000608</v>
      </c>
      <c r="B90" s="28">
        <v>2</v>
      </c>
    </row>
    <row r="91" spans="1:2" x14ac:dyDescent="0.3">
      <c r="A91" s="431">
        <v>150000609</v>
      </c>
      <c r="B91" s="28">
        <v>2</v>
      </c>
    </row>
    <row r="92" spans="1:2" x14ac:dyDescent="0.3">
      <c r="A92" s="431">
        <v>150000610</v>
      </c>
      <c r="B92" s="28">
        <v>2</v>
      </c>
    </row>
    <row r="93" spans="1:2" x14ac:dyDescent="0.3">
      <c r="A93" s="431">
        <v>150000611</v>
      </c>
      <c r="B93" s="28">
        <v>2</v>
      </c>
    </row>
    <row r="94" spans="1:2" x14ac:dyDescent="0.3">
      <c r="A94" s="431">
        <v>150000612</v>
      </c>
      <c r="B94" s="28">
        <v>2</v>
      </c>
    </row>
    <row r="95" spans="1:2" x14ac:dyDescent="0.3">
      <c r="A95" s="431">
        <v>150000613</v>
      </c>
      <c r="B95" s="28">
        <v>2</v>
      </c>
    </row>
    <row r="96" spans="1:2" x14ac:dyDescent="0.3">
      <c r="A96" s="431">
        <v>150000614</v>
      </c>
      <c r="B96" s="28">
        <v>2</v>
      </c>
    </row>
    <row r="97" spans="1:2" x14ac:dyDescent="0.3">
      <c r="A97" s="431">
        <v>150000615</v>
      </c>
      <c r="B97" s="28">
        <v>2</v>
      </c>
    </row>
    <row r="98" spans="1:2" x14ac:dyDescent="0.3">
      <c r="A98" s="431">
        <v>150000616</v>
      </c>
      <c r="B98" s="28">
        <v>2</v>
      </c>
    </row>
    <row r="99" spans="1:2" x14ac:dyDescent="0.3">
      <c r="A99" s="431">
        <v>150000618</v>
      </c>
      <c r="B99" s="28">
        <v>2</v>
      </c>
    </row>
    <row r="100" spans="1:2" x14ac:dyDescent="0.3">
      <c r="A100" s="431">
        <v>150000619</v>
      </c>
      <c r="B100" s="28">
        <v>2</v>
      </c>
    </row>
    <row r="101" spans="1:2" x14ac:dyDescent="0.3">
      <c r="A101" s="431">
        <v>150000621</v>
      </c>
      <c r="B101" s="28">
        <v>2</v>
      </c>
    </row>
    <row r="102" spans="1:2" x14ac:dyDescent="0.3">
      <c r="A102" s="431">
        <v>150000622</v>
      </c>
      <c r="B102" s="28">
        <v>2</v>
      </c>
    </row>
    <row r="103" spans="1:2" x14ac:dyDescent="0.3">
      <c r="A103" s="431">
        <v>150000623</v>
      </c>
      <c r="B103" s="28">
        <v>2</v>
      </c>
    </row>
    <row r="104" spans="1:2" x14ac:dyDescent="0.3">
      <c r="A104" s="431">
        <v>150000625</v>
      </c>
      <c r="B104" s="28">
        <v>1</v>
      </c>
    </row>
    <row r="105" spans="1:2" x14ac:dyDescent="0.3">
      <c r="A105" s="431">
        <v>150000626</v>
      </c>
      <c r="B105" s="28">
        <v>1</v>
      </c>
    </row>
    <row r="106" spans="1:2" x14ac:dyDescent="0.3">
      <c r="A106" s="431">
        <v>150000627</v>
      </c>
      <c r="B106" s="28">
        <v>1</v>
      </c>
    </row>
    <row r="107" spans="1:2" x14ac:dyDescent="0.3">
      <c r="A107" s="431">
        <v>150000628</v>
      </c>
      <c r="B107" s="28">
        <v>1</v>
      </c>
    </row>
    <row r="108" spans="1:2" x14ac:dyDescent="0.3">
      <c r="A108" s="431">
        <v>150000629</v>
      </c>
      <c r="B108" s="28">
        <v>1</v>
      </c>
    </row>
    <row r="109" spans="1:2" x14ac:dyDescent="0.3">
      <c r="A109" s="431">
        <v>150000634</v>
      </c>
      <c r="B109" s="28">
        <v>3</v>
      </c>
    </row>
    <row r="110" spans="1:2" x14ac:dyDescent="0.3">
      <c r="A110" s="431">
        <v>150000636</v>
      </c>
      <c r="B110" s="28">
        <v>3</v>
      </c>
    </row>
    <row r="111" spans="1:2" x14ac:dyDescent="0.3">
      <c r="A111" s="431">
        <v>150000637</v>
      </c>
      <c r="B111" s="28">
        <v>3</v>
      </c>
    </row>
    <row r="112" spans="1:2" x14ac:dyDescent="0.3">
      <c r="A112" s="431">
        <v>150000638</v>
      </c>
      <c r="B112" s="28">
        <v>2</v>
      </c>
    </row>
    <row r="113" spans="1:2" x14ac:dyDescent="0.3">
      <c r="A113" s="431">
        <v>150000639</v>
      </c>
      <c r="B113" s="28">
        <v>2</v>
      </c>
    </row>
    <row r="114" spans="1:2" x14ac:dyDescent="0.3">
      <c r="A114" s="431">
        <v>150000643</v>
      </c>
      <c r="B114" s="28">
        <v>3</v>
      </c>
    </row>
    <row r="115" spans="1:2" x14ac:dyDescent="0.3">
      <c r="A115" s="431">
        <v>150000644</v>
      </c>
      <c r="B115" s="28">
        <v>3</v>
      </c>
    </row>
    <row r="116" spans="1:2" x14ac:dyDescent="0.3">
      <c r="A116" s="431">
        <v>150000645</v>
      </c>
      <c r="B116" s="28">
        <v>3</v>
      </c>
    </row>
    <row r="117" spans="1:2" x14ac:dyDescent="0.3">
      <c r="A117" s="431">
        <v>150000647</v>
      </c>
      <c r="B117" s="28">
        <v>3</v>
      </c>
    </row>
    <row r="118" spans="1:2" x14ac:dyDescent="0.3">
      <c r="A118" s="431">
        <v>150000648</v>
      </c>
      <c r="B118" s="28">
        <v>3</v>
      </c>
    </row>
    <row r="119" spans="1:2" x14ac:dyDescent="0.3">
      <c r="A119" s="431">
        <v>150000658</v>
      </c>
      <c r="B119" s="28">
        <v>3</v>
      </c>
    </row>
    <row r="120" spans="1:2" x14ac:dyDescent="0.3">
      <c r="A120" s="431">
        <v>150000659</v>
      </c>
      <c r="B120" s="28">
        <v>3</v>
      </c>
    </row>
    <row r="121" spans="1:2" x14ac:dyDescent="0.3">
      <c r="A121" s="431">
        <v>150000660</v>
      </c>
      <c r="B121" s="28">
        <v>3</v>
      </c>
    </row>
    <row r="122" spans="1:2" x14ac:dyDescent="0.3">
      <c r="A122" s="431">
        <v>150000670</v>
      </c>
      <c r="B122" s="28">
        <v>2</v>
      </c>
    </row>
    <row r="123" spans="1:2" x14ac:dyDescent="0.3">
      <c r="A123" s="431">
        <v>150000671</v>
      </c>
      <c r="B123" s="28">
        <v>2</v>
      </c>
    </row>
    <row r="124" spans="1:2" x14ac:dyDescent="0.3">
      <c r="A124" s="431">
        <v>150000672</v>
      </c>
      <c r="B124" s="28">
        <v>2</v>
      </c>
    </row>
    <row r="125" spans="1:2" x14ac:dyDescent="0.3">
      <c r="A125" s="431">
        <v>150000673</v>
      </c>
      <c r="B125" s="28">
        <v>2</v>
      </c>
    </row>
    <row r="126" spans="1:2" x14ac:dyDescent="0.3">
      <c r="A126" s="431">
        <v>150000676</v>
      </c>
      <c r="B126" s="28">
        <v>2</v>
      </c>
    </row>
    <row r="127" spans="1:2" x14ac:dyDescent="0.3">
      <c r="A127" s="431">
        <v>150000683</v>
      </c>
      <c r="B127" s="28">
        <v>3</v>
      </c>
    </row>
    <row r="128" spans="1:2" x14ac:dyDescent="0.3">
      <c r="A128" s="431">
        <v>150000686</v>
      </c>
      <c r="B128" s="28">
        <v>3</v>
      </c>
    </row>
    <row r="129" spans="1:2" x14ac:dyDescent="0.3">
      <c r="A129" s="431">
        <v>150000688</v>
      </c>
      <c r="B129" s="28">
        <v>3</v>
      </c>
    </row>
    <row r="130" spans="1:2" x14ac:dyDescent="0.3">
      <c r="A130" s="431">
        <v>150000689</v>
      </c>
      <c r="B130" s="28">
        <v>3</v>
      </c>
    </row>
    <row r="131" spans="1:2" x14ac:dyDescent="0.3">
      <c r="A131" s="431">
        <v>150000690</v>
      </c>
      <c r="B131" s="28">
        <v>3</v>
      </c>
    </row>
    <row r="132" spans="1:2" x14ac:dyDescent="0.3">
      <c r="A132" s="431">
        <v>150000693</v>
      </c>
      <c r="B132" s="28">
        <v>3</v>
      </c>
    </row>
    <row r="133" spans="1:2" x14ac:dyDescent="0.3">
      <c r="A133" s="431">
        <v>150000694</v>
      </c>
      <c r="B133" s="28">
        <v>3</v>
      </c>
    </row>
    <row r="134" spans="1:2" x14ac:dyDescent="0.3">
      <c r="A134" s="431">
        <v>150000695</v>
      </c>
      <c r="B134" s="28">
        <v>3</v>
      </c>
    </row>
    <row r="135" spans="1:2" x14ac:dyDescent="0.3">
      <c r="A135" s="431">
        <v>150000696</v>
      </c>
      <c r="B135" s="28">
        <v>3</v>
      </c>
    </row>
    <row r="136" spans="1:2" x14ac:dyDescent="0.3">
      <c r="A136" s="431">
        <v>150000697</v>
      </c>
      <c r="B136" s="28">
        <v>3</v>
      </c>
    </row>
    <row r="137" spans="1:2" x14ac:dyDescent="0.3">
      <c r="A137" s="431">
        <v>150000698</v>
      </c>
      <c r="B137" s="28">
        <v>3</v>
      </c>
    </row>
    <row r="138" spans="1:2" x14ac:dyDescent="0.3">
      <c r="A138" s="431">
        <v>150000699</v>
      </c>
      <c r="B138" s="28">
        <v>3</v>
      </c>
    </row>
    <row r="139" spans="1:2" x14ac:dyDescent="0.3">
      <c r="A139" s="431">
        <v>150000702</v>
      </c>
      <c r="B139" s="28">
        <v>3</v>
      </c>
    </row>
    <row r="140" spans="1:2" x14ac:dyDescent="0.3">
      <c r="A140" s="431">
        <v>150000703</v>
      </c>
      <c r="B140" s="28">
        <v>3</v>
      </c>
    </row>
    <row r="141" spans="1:2" x14ac:dyDescent="0.3">
      <c r="A141" s="431">
        <v>150000705</v>
      </c>
      <c r="B141" s="28">
        <v>3</v>
      </c>
    </row>
    <row r="142" spans="1:2" x14ac:dyDescent="0.3">
      <c r="A142" s="431">
        <v>150000706</v>
      </c>
      <c r="B142" s="28">
        <v>3</v>
      </c>
    </row>
    <row r="143" spans="1:2" x14ac:dyDescent="0.3">
      <c r="A143" s="431">
        <v>150000707</v>
      </c>
      <c r="B143" s="28">
        <v>3</v>
      </c>
    </row>
    <row r="144" spans="1:2" x14ac:dyDescent="0.3">
      <c r="A144" s="431">
        <v>150000708</v>
      </c>
      <c r="B144" s="28">
        <v>3</v>
      </c>
    </row>
    <row r="145" spans="1:2" x14ac:dyDescent="0.3">
      <c r="A145" s="431">
        <v>150000709</v>
      </c>
      <c r="B145" s="28">
        <v>3</v>
      </c>
    </row>
    <row r="146" spans="1:2" x14ac:dyDescent="0.3">
      <c r="A146" s="431">
        <v>150000710</v>
      </c>
      <c r="B146" s="28">
        <v>3</v>
      </c>
    </row>
    <row r="147" spans="1:2" x14ac:dyDescent="0.3">
      <c r="A147" s="431">
        <v>150000711</v>
      </c>
      <c r="B147" s="28">
        <v>3</v>
      </c>
    </row>
    <row r="148" spans="1:2" x14ac:dyDescent="0.3">
      <c r="A148" s="431">
        <v>150000712</v>
      </c>
      <c r="B148" s="28">
        <v>3</v>
      </c>
    </row>
    <row r="149" spans="1:2" x14ac:dyDescent="0.3">
      <c r="A149" s="431">
        <v>150000713</v>
      </c>
      <c r="B149" s="28">
        <v>3</v>
      </c>
    </row>
    <row r="150" spans="1:2" x14ac:dyDescent="0.3">
      <c r="A150" s="431">
        <v>150000714</v>
      </c>
      <c r="B150" s="28">
        <v>3</v>
      </c>
    </row>
    <row r="151" spans="1:2" x14ac:dyDescent="0.3">
      <c r="A151" s="431">
        <v>150000715</v>
      </c>
      <c r="B151" s="28">
        <v>3</v>
      </c>
    </row>
    <row r="152" spans="1:2" x14ac:dyDescent="0.3">
      <c r="A152" s="431">
        <v>150000716</v>
      </c>
      <c r="B152" s="28">
        <v>3</v>
      </c>
    </row>
    <row r="153" spans="1:2" x14ac:dyDescent="0.3">
      <c r="A153" s="431">
        <v>150000717</v>
      </c>
      <c r="B153" s="28">
        <v>3</v>
      </c>
    </row>
    <row r="154" spans="1:2" x14ac:dyDescent="0.3">
      <c r="A154" s="431">
        <v>150000718</v>
      </c>
      <c r="B154" s="28">
        <v>3</v>
      </c>
    </row>
    <row r="155" spans="1:2" x14ac:dyDescent="0.3">
      <c r="A155" s="431">
        <v>150000719</v>
      </c>
      <c r="B155" s="28">
        <v>3</v>
      </c>
    </row>
    <row r="156" spans="1:2" x14ac:dyDescent="0.3">
      <c r="A156" s="431">
        <v>150000720</v>
      </c>
      <c r="B156" s="28">
        <v>3</v>
      </c>
    </row>
    <row r="157" spans="1:2" x14ac:dyDescent="0.3">
      <c r="A157" s="431">
        <v>150000721</v>
      </c>
      <c r="B157" s="28">
        <v>2</v>
      </c>
    </row>
    <row r="158" spans="1:2" x14ac:dyDescent="0.3">
      <c r="A158" s="431">
        <v>150000722</v>
      </c>
      <c r="B158" s="28">
        <v>2</v>
      </c>
    </row>
    <row r="159" spans="1:2" x14ac:dyDescent="0.3">
      <c r="A159" s="431">
        <v>150000723</v>
      </c>
      <c r="B159" s="28">
        <v>2</v>
      </c>
    </row>
    <row r="160" spans="1:2" x14ac:dyDescent="0.3">
      <c r="A160" s="431">
        <v>150000724</v>
      </c>
      <c r="B160" s="28">
        <v>2</v>
      </c>
    </row>
    <row r="161" spans="1:2" x14ac:dyDescent="0.3">
      <c r="A161" s="431">
        <v>150000725</v>
      </c>
      <c r="B161" s="28">
        <v>2</v>
      </c>
    </row>
    <row r="162" spans="1:2" x14ac:dyDescent="0.3">
      <c r="A162" s="431">
        <v>150000726</v>
      </c>
      <c r="B162" s="28">
        <v>2</v>
      </c>
    </row>
    <row r="163" spans="1:2" x14ac:dyDescent="0.3">
      <c r="A163" s="431">
        <v>150000727</v>
      </c>
      <c r="B163" s="28">
        <v>2</v>
      </c>
    </row>
    <row r="164" spans="1:2" x14ac:dyDescent="0.3">
      <c r="A164" s="431">
        <v>150000728</v>
      </c>
      <c r="B164" s="28">
        <v>2</v>
      </c>
    </row>
    <row r="165" spans="1:2" x14ac:dyDescent="0.3">
      <c r="A165" s="431">
        <v>150000729</v>
      </c>
      <c r="B165" s="28">
        <v>2</v>
      </c>
    </row>
    <row r="166" spans="1:2" x14ac:dyDescent="0.3">
      <c r="A166" s="431">
        <v>150000736</v>
      </c>
      <c r="B166" s="28">
        <v>2</v>
      </c>
    </row>
    <row r="167" spans="1:2" x14ac:dyDescent="0.3">
      <c r="A167" s="431">
        <v>150000737</v>
      </c>
      <c r="B167" s="28">
        <v>2</v>
      </c>
    </row>
    <row r="168" spans="1:2" x14ac:dyDescent="0.3">
      <c r="A168" s="431">
        <v>150000738</v>
      </c>
      <c r="B168" s="28">
        <v>2</v>
      </c>
    </row>
    <row r="169" spans="1:2" x14ac:dyDescent="0.3">
      <c r="A169" s="431">
        <v>150000739</v>
      </c>
      <c r="B169" s="28">
        <v>2</v>
      </c>
    </row>
    <row r="170" spans="1:2" x14ac:dyDescent="0.3">
      <c r="A170" s="431">
        <v>150000740</v>
      </c>
      <c r="B170" s="28">
        <v>2</v>
      </c>
    </row>
    <row r="171" spans="1:2" x14ac:dyDescent="0.3">
      <c r="A171" s="431">
        <v>150000741</v>
      </c>
      <c r="B171" s="28">
        <v>2</v>
      </c>
    </row>
    <row r="172" spans="1:2" x14ac:dyDescent="0.3">
      <c r="A172" s="431">
        <v>150000742</v>
      </c>
      <c r="B172" s="28">
        <v>2</v>
      </c>
    </row>
    <row r="173" spans="1:2" x14ac:dyDescent="0.3">
      <c r="A173" s="431">
        <v>150000743</v>
      </c>
      <c r="B173" s="28">
        <v>2</v>
      </c>
    </row>
    <row r="174" spans="1:2" x14ac:dyDescent="0.3">
      <c r="A174" s="431">
        <v>150000744</v>
      </c>
      <c r="B174" s="28">
        <v>2</v>
      </c>
    </row>
    <row r="175" spans="1:2" x14ac:dyDescent="0.3">
      <c r="A175" s="431">
        <v>150000745</v>
      </c>
      <c r="B175" s="28">
        <v>2</v>
      </c>
    </row>
    <row r="176" spans="1:2" x14ac:dyDescent="0.3">
      <c r="A176" s="431">
        <v>150000750</v>
      </c>
      <c r="B176" s="28">
        <v>1</v>
      </c>
    </row>
    <row r="177" spans="1:2" x14ac:dyDescent="0.3">
      <c r="A177" s="431">
        <v>150000751</v>
      </c>
      <c r="B177" s="28">
        <v>1</v>
      </c>
    </row>
    <row r="178" spans="1:2" x14ac:dyDescent="0.3">
      <c r="A178" s="431">
        <v>150000752</v>
      </c>
      <c r="B178" s="28">
        <v>1</v>
      </c>
    </row>
    <row r="179" spans="1:2" x14ac:dyDescent="0.3">
      <c r="A179" s="431">
        <v>150000753</v>
      </c>
      <c r="B179" s="28">
        <v>2</v>
      </c>
    </row>
    <row r="180" spans="1:2" x14ac:dyDescent="0.3">
      <c r="A180" s="431">
        <v>150000754</v>
      </c>
      <c r="B180" s="28">
        <v>2</v>
      </c>
    </row>
    <row r="181" spans="1:2" x14ac:dyDescent="0.3">
      <c r="A181" s="431">
        <v>150000758</v>
      </c>
      <c r="B181" s="28">
        <v>2</v>
      </c>
    </row>
    <row r="182" spans="1:2" x14ac:dyDescent="0.3">
      <c r="A182" s="431">
        <v>150000759</v>
      </c>
      <c r="B182" s="28">
        <v>2</v>
      </c>
    </row>
    <row r="183" spans="1:2" x14ac:dyDescent="0.3">
      <c r="A183" s="431">
        <v>150000760</v>
      </c>
      <c r="B183" s="28">
        <v>2</v>
      </c>
    </row>
    <row r="184" spans="1:2" x14ac:dyDescent="0.3">
      <c r="A184" s="431">
        <v>150000761</v>
      </c>
      <c r="B184" s="28">
        <v>2</v>
      </c>
    </row>
    <row r="185" spans="1:2" x14ac:dyDescent="0.3">
      <c r="A185" s="431">
        <v>150000762</v>
      </c>
      <c r="B185" s="28">
        <v>2</v>
      </c>
    </row>
    <row r="186" spans="1:2" x14ac:dyDescent="0.3">
      <c r="A186" s="431">
        <v>150000763</v>
      </c>
      <c r="B186" s="28">
        <v>3</v>
      </c>
    </row>
    <row r="187" spans="1:2" x14ac:dyDescent="0.3">
      <c r="A187" s="431">
        <v>150000764</v>
      </c>
      <c r="B187" s="28">
        <v>3</v>
      </c>
    </row>
    <row r="188" spans="1:2" x14ac:dyDescent="0.3">
      <c r="A188" s="431">
        <v>150000765</v>
      </c>
      <c r="B188" s="28">
        <v>2</v>
      </c>
    </row>
    <row r="189" spans="1:2" x14ac:dyDescent="0.3">
      <c r="A189" s="431">
        <v>150000768</v>
      </c>
      <c r="B189" s="28">
        <v>3</v>
      </c>
    </row>
    <row r="190" spans="1:2" x14ac:dyDescent="0.3">
      <c r="A190" s="431">
        <v>150000770</v>
      </c>
      <c r="B190" s="28">
        <v>3</v>
      </c>
    </row>
    <row r="191" spans="1:2" x14ac:dyDescent="0.3">
      <c r="A191" s="431">
        <v>150000777</v>
      </c>
      <c r="B191" s="28">
        <v>3</v>
      </c>
    </row>
    <row r="192" spans="1:2" x14ac:dyDescent="0.3">
      <c r="A192" s="431">
        <v>150000778</v>
      </c>
      <c r="B192" s="28">
        <v>3</v>
      </c>
    </row>
    <row r="193" spans="1:2" x14ac:dyDescent="0.3">
      <c r="A193" s="431">
        <v>150000781</v>
      </c>
      <c r="B193" s="28">
        <v>3</v>
      </c>
    </row>
    <row r="194" spans="1:2" x14ac:dyDescent="0.3">
      <c r="A194" s="431">
        <v>150000795</v>
      </c>
      <c r="B194" s="28">
        <v>3</v>
      </c>
    </row>
    <row r="195" spans="1:2" x14ac:dyDescent="0.3">
      <c r="A195" s="431">
        <v>150000796</v>
      </c>
      <c r="B195" s="28">
        <v>3</v>
      </c>
    </row>
    <row r="196" spans="1:2" x14ac:dyDescent="0.3">
      <c r="A196" s="431">
        <v>150000797</v>
      </c>
      <c r="B196" s="28">
        <v>2</v>
      </c>
    </row>
    <row r="197" spans="1:2" x14ac:dyDescent="0.3">
      <c r="A197" s="431">
        <v>150000798</v>
      </c>
      <c r="B197" s="28">
        <v>2</v>
      </c>
    </row>
    <row r="198" spans="1:2" x14ac:dyDescent="0.3">
      <c r="A198" s="431">
        <v>150000799</v>
      </c>
      <c r="B198" s="28">
        <v>2</v>
      </c>
    </row>
    <row r="199" spans="1:2" x14ac:dyDescent="0.3">
      <c r="A199" s="431">
        <v>150000800</v>
      </c>
      <c r="B199" s="28">
        <v>2</v>
      </c>
    </row>
    <row r="200" spans="1:2" x14ac:dyDescent="0.3">
      <c r="A200" s="431">
        <v>150000801</v>
      </c>
      <c r="B200" s="28">
        <v>2</v>
      </c>
    </row>
    <row r="201" spans="1:2" x14ac:dyDescent="0.3">
      <c r="A201" s="431">
        <v>150000802</v>
      </c>
      <c r="B201" s="28">
        <v>2</v>
      </c>
    </row>
    <row r="202" spans="1:2" x14ac:dyDescent="0.3">
      <c r="A202" s="431">
        <v>150000803</v>
      </c>
      <c r="B202" s="28">
        <v>2</v>
      </c>
    </row>
    <row r="203" spans="1:2" x14ac:dyDescent="0.3">
      <c r="A203" s="431">
        <v>150000805</v>
      </c>
      <c r="B203" s="28">
        <v>3</v>
      </c>
    </row>
    <row r="204" spans="1:2" x14ac:dyDescent="0.3">
      <c r="A204" s="431">
        <v>150000806</v>
      </c>
      <c r="B204" s="28">
        <v>2</v>
      </c>
    </row>
    <row r="205" spans="1:2" x14ac:dyDescent="0.3">
      <c r="A205" s="431">
        <v>150000807</v>
      </c>
      <c r="B205" s="28">
        <v>3</v>
      </c>
    </row>
    <row r="206" spans="1:2" x14ac:dyDescent="0.3">
      <c r="A206" s="431">
        <v>150000808</v>
      </c>
      <c r="B206" s="28">
        <v>2</v>
      </c>
    </row>
    <row r="207" spans="1:2" x14ac:dyDescent="0.3">
      <c r="A207" s="431">
        <v>150000809</v>
      </c>
      <c r="B207" s="28">
        <v>2</v>
      </c>
    </row>
    <row r="208" spans="1:2" x14ac:dyDescent="0.3">
      <c r="A208" s="431">
        <v>150000810</v>
      </c>
      <c r="B208" s="28">
        <v>2</v>
      </c>
    </row>
    <row r="209" spans="1:2" x14ac:dyDescent="0.3">
      <c r="A209" s="431">
        <v>150000811</v>
      </c>
      <c r="B209" s="28">
        <v>2</v>
      </c>
    </row>
    <row r="210" spans="1:2" x14ac:dyDescent="0.3">
      <c r="A210" s="431">
        <v>150000812</v>
      </c>
      <c r="B210" s="28">
        <v>2</v>
      </c>
    </row>
    <row r="211" spans="1:2" x14ac:dyDescent="0.3">
      <c r="A211" s="431">
        <v>150000813</v>
      </c>
      <c r="B211" s="28">
        <v>3</v>
      </c>
    </row>
    <row r="212" spans="1:2" x14ac:dyDescent="0.3">
      <c r="A212" s="431">
        <v>150000814</v>
      </c>
      <c r="B212" s="28">
        <v>2</v>
      </c>
    </row>
    <row r="213" spans="1:2" x14ac:dyDescent="0.3">
      <c r="A213" s="431">
        <v>150000816</v>
      </c>
      <c r="B213" s="28">
        <v>2</v>
      </c>
    </row>
    <row r="214" spans="1:2" x14ac:dyDescent="0.3">
      <c r="A214" s="431">
        <v>150000819</v>
      </c>
      <c r="B214" s="28">
        <v>3</v>
      </c>
    </row>
    <row r="215" spans="1:2" x14ac:dyDescent="0.3">
      <c r="A215" s="431">
        <v>150000820</v>
      </c>
      <c r="B215" s="28">
        <v>3</v>
      </c>
    </row>
    <row r="216" spans="1:2" x14ac:dyDescent="0.3">
      <c r="A216" s="431">
        <v>150000827</v>
      </c>
      <c r="B216" s="28">
        <v>2</v>
      </c>
    </row>
    <row r="217" spans="1:2" x14ac:dyDescent="0.3">
      <c r="A217" s="431">
        <v>150000828</v>
      </c>
      <c r="B217" s="28">
        <v>2</v>
      </c>
    </row>
    <row r="218" spans="1:2" x14ac:dyDescent="0.3">
      <c r="A218" s="431">
        <v>150000829</v>
      </c>
      <c r="B218" s="28">
        <v>2</v>
      </c>
    </row>
    <row r="219" spans="1:2" x14ac:dyDescent="0.3">
      <c r="A219" s="431">
        <v>150000830</v>
      </c>
      <c r="B219" s="28">
        <v>3</v>
      </c>
    </row>
    <row r="220" spans="1:2" x14ac:dyDescent="0.3">
      <c r="A220" s="431">
        <v>150000832</v>
      </c>
      <c r="B220" s="28">
        <v>1</v>
      </c>
    </row>
    <row r="221" spans="1:2" x14ac:dyDescent="0.3">
      <c r="A221" s="431">
        <v>150000833</v>
      </c>
      <c r="B221" s="28">
        <v>1</v>
      </c>
    </row>
    <row r="222" spans="1:2" x14ac:dyDescent="0.3">
      <c r="A222" s="431">
        <v>150000834</v>
      </c>
      <c r="B222" s="28">
        <v>1</v>
      </c>
    </row>
    <row r="223" spans="1:2" x14ac:dyDescent="0.3">
      <c r="A223" s="431">
        <v>150000835</v>
      </c>
      <c r="B223" s="28">
        <v>2</v>
      </c>
    </row>
    <row r="224" spans="1:2" x14ac:dyDescent="0.3">
      <c r="A224" s="431">
        <v>150000836</v>
      </c>
      <c r="B224" s="28">
        <v>1</v>
      </c>
    </row>
    <row r="225" spans="1:2" x14ac:dyDescent="0.3">
      <c r="A225" s="431">
        <v>150000837</v>
      </c>
      <c r="B225" s="28">
        <v>1</v>
      </c>
    </row>
    <row r="226" spans="1:2" x14ac:dyDescent="0.3">
      <c r="A226" s="431">
        <v>150000839</v>
      </c>
      <c r="B226" s="28">
        <v>1</v>
      </c>
    </row>
    <row r="227" spans="1:2" x14ac:dyDescent="0.3">
      <c r="A227" s="431">
        <v>150000840</v>
      </c>
      <c r="B227" s="28">
        <v>1</v>
      </c>
    </row>
    <row r="228" spans="1:2" x14ac:dyDescent="0.3">
      <c r="A228" s="431">
        <v>150000841</v>
      </c>
      <c r="B228" s="28">
        <v>1</v>
      </c>
    </row>
    <row r="229" spans="1:2" x14ac:dyDescent="0.3">
      <c r="A229" s="431">
        <v>150000845</v>
      </c>
      <c r="B229" s="28">
        <v>1</v>
      </c>
    </row>
    <row r="230" spans="1:2" x14ac:dyDescent="0.3">
      <c r="A230" s="431">
        <v>150000846</v>
      </c>
      <c r="B230" s="28">
        <v>1</v>
      </c>
    </row>
    <row r="231" spans="1:2" x14ac:dyDescent="0.3">
      <c r="A231" s="431">
        <v>150000848</v>
      </c>
      <c r="B231" s="28">
        <v>2</v>
      </c>
    </row>
    <row r="232" spans="1:2" x14ac:dyDescent="0.3">
      <c r="A232" s="431">
        <v>150000851</v>
      </c>
      <c r="B232" s="28">
        <v>3</v>
      </c>
    </row>
    <row r="233" spans="1:2" x14ac:dyDescent="0.3">
      <c r="A233" s="431">
        <v>150000861</v>
      </c>
      <c r="B233" s="28">
        <v>2</v>
      </c>
    </row>
    <row r="234" spans="1:2" x14ac:dyDescent="0.3">
      <c r="A234" s="431">
        <v>150000862</v>
      </c>
      <c r="B234" s="28">
        <v>2</v>
      </c>
    </row>
    <row r="235" spans="1:2" x14ac:dyDescent="0.3">
      <c r="A235" s="431">
        <v>150000863</v>
      </c>
      <c r="B235" s="28">
        <v>2</v>
      </c>
    </row>
    <row r="236" spans="1:2" x14ac:dyDescent="0.3">
      <c r="A236" s="431">
        <v>150000864</v>
      </c>
      <c r="B236" s="28">
        <v>2</v>
      </c>
    </row>
    <row r="237" spans="1:2" x14ac:dyDescent="0.3">
      <c r="A237" s="431">
        <v>150000865</v>
      </c>
      <c r="B237" s="28">
        <v>2</v>
      </c>
    </row>
    <row r="238" spans="1:2" x14ac:dyDescent="0.3">
      <c r="A238" s="431">
        <v>150000866</v>
      </c>
      <c r="B238" s="28">
        <v>1</v>
      </c>
    </row>
    <row r="239" spans="1:2" x14ac:dyDescent="0.3">
      <c r="A239" s="431">
        <v>150000867</v>
      </c>
      <c r="B239" s="28">
        <v>1</v>
      </c>
    </row>
    <row r="240" spans="1:2" x14ac:dyDescent="0.3">
      <c r="A240" s="431">
        <v>150000868</v>
      </c>
      <c r="B240" s="28">
        <v>1</v>
      </c>
    </row>
    <row r="241" spans="1:2" x14ac:dyDescent="0.3">
      <c r="A241" s="431">
        <v>150000869</v>
      </c>
      <c r="B241" s="28">
        <v>1</v>
      </c>
    </row>
    <row r="242" spans="1:2" x14ac:dyDescent="0.3">
      <c r="A242" s="431">
        <v>150000871</v>
      </c>
      <c r="B242" s="28">
        <v>2</v>
      </c>
    </row>
    <row r="243" spans="1:2" x14ac:dyDescent="0.3">
      <c r="A243" s="431">
        <v>150000872</v>
      </c>
      <c r="B243" s="28">
        <v>2</v>
      </c>
    </row>
    <row r="244" spans="1:2" x14ac:dyDescent="0.3">
      <c r="A244" s="431">
        <v>150000873</v>
      </c>
      <c r="B244" s="28">
        <v>2</v>
      </c>
    </row>
    <row r="245" spans="1:2" x14ac:dyDescent="0.3">
      <c r="A245" s="431">
        <v>150000874</v>
      </c>
      <c r="B245" s="28">
        <v>2</v>
      </c>
    </row>
    <row r="246" spans="1:2" x14ac:dyDescent="0.3">
      <c r="A246" s="431">
        <v>150000875</v>
      </c>
      <c r="B246" s="28">
        <v>1</v>
      </c>
    </row>
    <row r="247" spans="1:2" x14ac:dyDescent="0.3">
      <c r="A247" s="431">
        <v>150000878</v>
      </c>
      <c r="B247" s="28">
        <v>2</v>
      </c>
    </row>
    <row r="248" spans="1:2" x14ac:dyDescent="0.3">
      <c r="A248" s="431">
        <v>150000879</v>
      </c>
      <c r="B248" s="28">
        <v>2</v>
      </c>
    </row>
    <row r="249" spans="1:2" x14ac:dyDescent="0.3">
      <c r="A249" s="431">
        <v>150000880</v>
      </c>
      <c r="B249" s="28">
        <v>2</v>
      </c>
    </row>
    <row r="250" spans="1:2" x14ac:dyDescent="0.3">
      <c r="A250" s="431">
        <v>150000881</v>
      </c>
      <c r="B250" s="28">
        <v>2</v>
      </c>
    </row>
    <row r="251" spans="1:2" x14ac:dyDescent="0.3">
      <c r="A251" s="431">
        <v>150000882</v>
      </c>
      <c r="B251" s="28">
        <v>2</v>
      </c>
    </row>
    <row r="252" spans="1:2" x14ac:dyDescent="0.3">
      <c r="A252" s="431">
        <v>150000883</v>
      </c>
      <c r="B252" s="28">
        <v>2</v>
      </c>
    </row>
    <row r="253" spans="1:2" x14ac:dyDescent="0.3">
      <c r="A253" s="431">
        <v>150000884</v>
      </c>
      <c r="B253" s="28">
        <v>2</v>
      </c>
    </row>
    <row r="254" spans="1:2" x14ac:dyDescent="0.3">
      <c r="A254" s="431">
        <v>150000885</v>
      </c>
      <c r="B254" s="28">
        <v>2</v>
      </c>
    </row>
    <row r="255" spans="1:2" x14ac:dyDescent="0.3">
      <c r="A255" s="431">
        <v>150000886</v>
      </c>
      <c r="B255" s="28">
        <v>2</v>
      </c>
    </row>
    <row r="256" spans="1:2" x14ac:dyDescent="0.3">
      <c r="A256" s="431">
        <v>150000887</v>
      </c>
      <c r="B256" s="28">
        <v>2</v>
      </c>
    </row>
    <row r="257" spans="1:2" x14ac:dyDescent="0.3">
      <c r="A257" s="431">
        <v>150000888</v>
      </c>
      <c r="B257" s="28">
        <v>2</v>
      </c>
    </row>
    <row r="258" spans="1:2" x14ac:dyDescent="0.3">
      <c r="A258" s="431">
        <v>150000889</v>
      </c>
      <c r="B258" s="28">
        <v>2</v>
      </c>
    </row>
    <row r="259" spans="1:2" x14ac:dyDescent="0.3">
      <c r="A259" s="431">
        <v>150000890</v>
      </c>
      <c r="B259" s="28">
        <v>2</v>
      </c>
    </row>
    <row r="260" spans="1:2" x14ac:dyDescent="0.3">
      <c r="A260" s="431">
        <v>150000891</v>
      </c>
      <c r="B260" s="28">
        <v>2</v>
      </c>
    </row>
    <row r="261" spans="1:2" x14ac:dyDescent="0.3">
      <c r="A261" s="431">
        <v>150000892</v>
      </c>
      <c r="B261" s="28">
        <v>3</v>
      </c>
    </row>
    <row r="262" spans="1:2" x14ac:dyDescent="0.3">
      <c r="A262" s="431">
        <v>150000893</v>
      </c>
      <c r="B262" s="28">
        <v>3</v>
      </c>
    </row>
    <row r="263" spans="1:2" x14ac:dyDescent="0.3">
      <c r="A263" s="431">
        <v>150000894</v>
      </c>
      <c r="B263" s="28">
        <v>3</v>
      </c>
    </row>
    <row r="264" spans="1:2" x14ac:dyDescent="0.3">
      <c r="A264" s="431">
        <v>150000895</v>
      </c>
      <c r="B264" s="28">
        <v>3</v>
      </c>
    </row>
    <row r="265" spans="1:2" x14ac:dyDescent="0.3">
      <c r="A265" s="431">
        <v>150000896</v>
      </c>
      <c r="B265" s="28">
        <v>3</v>
      </c>
    </row>
    <row r="266" spans="1:2" x14ac:dyDescent="0.3">
      <c r="A266" s="431">
        <v>150000898</v>
      </c>
      <c r="B266" s="28">
        <v>3</v>
      </c>
    </row>
    <row r="267" spans="1:2" x14ac:dyDescent="0.3">
      <c r="A267" s="431">
        <v>150000899</v>
      </c>
      <c r="B267" s="28">
        <v>3</v>
      </c>
    </row>
    <row r="268" spans="1:2" x14ac:dyDescent="0.3">
      <c r="A268" s="431">
        <v>150000900</v>
      </c>
      <c r="B268" s="28">
        <v>3</v>
      </c>
    </row>
    <row r="269" spans="1:2" x14ac:dyDescent="0.3">
      <c r="A269" s="431">
        <v>150000901</v>
      </c>
      <c r="B269" s="28">
        <v>3</v>
      </c>
    </row>
    <row r="270" spans="1:2" x14ac:dyDescent="0.3">
      <c r="A270" s="431">
        <v>150000902</v>
      </c>
      <c r="B270" s="28">
        <v>3</v>
      </c>
    </row>
    <row r="271" spans="1:2" x14ac:dyDescent="0.3">
      <c r="A271" s="431">
        <v>150000903</v>
      </c>
      <c r="B271" s="28">
        <v>3</v>
      </c>
    </row>
    <row r="272" spans="1:2" x14ac:dyDescent="0.3">
      <c r="A272" s="431">
        <v>150000904</v>
      </c>
      <c r="B272" s="28">
        <v>3</v>
      </c>
    </row>
    <row r="273" spans="1:2" x14ac:dyDescent="0.3">
      <c r="A273" s="431">
        <v>150000905</v>
      </c>
      <c r="B273" s="28">
        <v>3</v>
      </c>
    </row>
    <row r="274" spans="1:2" x14ac:dyDescent="0.3">
      <c r="A274" s="431">
        <v>150000906</v>
      </c>
      <c r="B274" s="28">
        <v>3</v>
      </c>
    </row>
    <row r="275" spans="1:2" x14ac:dyDescent="0.3">
      <c r="A275" s="431">
        <v>150000907</v>
      </c>
      <c r="B275" s="28">
        <v>3</v>
      </c>
    </row>
    <row r="276" spans="1:2" x14ac:dyDescent="0.3">
      <c r="A276" s="431">
        <v>150000908</v>
      </c>
      <c r="B276" s="28">
        <v>3</v>
      </c>
    </row>
    <row r="277" spans="1:2" x14ac:dyDescent="0.3">
      <c r="A277" s="431">
        <v>150000909</v>
      </c>
      <c r="B277" s="28">
        <v>3</v>
      </c>
    </row>
    <row r="278" spans="1:2" x14ac:dyDescent="0.3">
      <c r="A278" s="431">
        <v>150000910</v>
      </c>
      <c r="B278" s="28">
        <v>3</v>
      </c>
    </row>
    <row r="279" spans="1:2" x14ac:dyDescent="0.3">
      <c r="A279" s="431">
        <v>150000911</v>
      </c>
      <c r="B279" s="28">
        <v>3</v>
      </c>
    </row>
    <row r="280" spans="1:2" x14ac:dyDescent="0.3">
      <c r="A280" s="431">
        <v>150000912</v>
      </c>
      <c r="B280" s="28">
        <v>3</v>
      </c>
    </row>
    <row r="281" spans="1:2" x14ac:dyDescent="0.3">
      <c r="A281" s="431">
        <v>150000913</v>
      </c>
      <c r="B281" s="28">
        <v>3</v>
      </c>
    </row>
    <row r="282" spans="1:2" x14ac:dyDescent="0.3">
      <c r="A282" s="431">
        <v>150000914</v>
      </c>
      <c r="B282" s="28">
        <v>3</v>
      </c>
    </row>
    <row r="283" spans="1:2" x14ac:dyDescent="0.3">
      <c r="A283" s="431">
        <v>150000915</v>
      </c>
      <c r="B283" s="28">
        <v>3</v>
      </c>
    </row>
    <row r="284" spans="1:2" x14ac:dyDescent="0.3">
      <c r="A284" s="431">
        <v>150000916</v>
      </c>
      <c r="B284" s="28">
        <v>3</v>
      </c>
    </row>
    <row r="285" spans="1:2" x14ac:dyDescent="0.3">
      <c r="A285" s="431">
        <v>150000917</v>
      </c>
      <c r="B285" s="28">
        <v>3</v>
      </c>
    </row>
    <row r="286" spans="1:2" x14ac:dyDescent="0.3">
      <c r="A286" s="431">
        <v>150000918</v>
      </c>
      <c r="B286" s="28">
        <v>3</v>
      </c>
    </row>
    <row r="287" spans="1:2" x14ac:dyDescent="0.3">
      <c r="A287" s="431">
        <v>150000919</v>
      </c>
      <c r="B287" s="28">
        <v>3</v>
      </c>
    </row>
    <row r="288" spans="1:2" x14ac:dyDescent="0.3">
      <c r="A288" s="431">
        <v>150000920</v>
      </c>
      <c r="B288" s="28">
        <v>3</v>
      </c>
    </row>
    <row r="289" spans="1:2" x14ac:dyDescent="0.3">
      <c r="A289" s="431">
        <v>150000921</v>
      </c>
      <c r="B289" s="28">
        <v>3</v>
      </c>
    </row>
    <row r="290" spans="1:2" x14ac:dyDescent="0.3">
      <c r="A290" s="431">
        <v>150000922</v>
      </c>
      <c r="B290" s="28">
        <v>3</v>
      </c>
    </row>
    <row r="291" spans="1:2" x14ac:dyDescent="0.3">
      <c r="A291" s="431">
        <v>150000924</v>
      </c>
      <c r="B291" s="28">
        <v>2</v>
      </c>
    </row>
    <row r="292" spans="1:2" x14ac:dyDescent="0.3">
      <c r="A292" s="431">
        <v>150000925</v>
      </c>
      <c r="B292" s="28">
        <v>2</v>
      </c>
    </row>
    <row r="293" spans="1:2" x14ac:dyDescent="0.3">
      <c r="A293" s="431">
        <v>150000926</v>
      </c>
      <c r="B293" s="28">
        <v>2</v>
      </c>
    </row>
    <row r="294" spans="1:2" x14ac:dyDescent="0.3">
      <c r="A294" s="431">
        <v>150000927</v>
      </c>
      <c r="B294" s="28">
        <v>2</v>
      </c>
    </row>
    <row r="295" spans="1:2" x14ac:dyDescent="0.3">
      <c r="A295" s="431">
        <v>150000928</v>
      </c>
      <c r="B295" s="28">
        <v>2</v>
      </c>
    </row>
    <row r="296" spans="1:2" x14ac:dyDescent="0.3">
      <c r="A296" s="431">
        <v>150000929</v>
      </c>
      <c r="B296" s="28">
        <v>2</v>
      </c>
    </row>
    <row r="297" spans="1:2" x14ac:dyDescent="0.3">
      <c r="A297" s="431">
        <v>150000930</v>
      </c>
      <c r="B297" s="28">
        <v>2</v>
      </c>
    </row>
    <row r="298" spans="1:2" x14ac:dyDescent="0.3">
      <c r="A298" s="431">
        <v>150000931</v>
      </c>
      <c r="B298" s="28">
        <v>2</v>
      </c>
    </row>
    <row r="299" spans="1:2" x14ac:dyDescent="0.3">
      <c r="A299" s="431">
        <v>150000932</v>
      </c>
      <c r="B299" s="28">
        <v>2</v>
      </c>
    </row>
    <row r="300" spans="1:2" x14ac:dyDescent="0.3">
      <c r="A300" s="431">
        <v>150000933</v>
      </c>
      <c r="B300" s="28">
        <v>2</v>
      </c>
    </row>
    <row r="301" spans="1:2" x14ac:dyDescent="0.3">
      <c r="A301" s="431">
        <v>150000934</v>
      </c>
      <c r="B301" s="28">
        <v>2</v>
      </c>
    </row>
    <row r="302" spans="1:2" x14ac:dyDescent="0.3">
      <c r="A302" s="431">
        <v>150000935</v>
      </c>
      <c r="B302" s="28">
        <v>2</v>
      </c>
    </row>
    <row r="303" spans="1:2" x14ac:dyDescent="0.3">
      <c r="A303" s="431">
        <v>150000936</v>
      </c>
      <c r="B303" s="28">
        <v>1</v>
      </c>
    </row>
    <row r="304" spans="1:2" x14ac:dyDescent="0.3">
      <c r="A304" s="431">
        <v>150000937</v>
      </c>
      <c r="B304" s="28">
        <v>1</v>
      </c>
    </row>
    <row r="305" spans="1:2" x14ac:dyDescent="0.3">
      <c r="A305" s="431">
        <v>150000938</v>
      </c>
      <c r="B305" s="28">
        <v>1</v>
      </c>
    </row>
    <row r="306" spans="1:2" x14ac:dyDescent="0.3">
      <c r="A306" s="431">
        <v>150000939</v>
      </c>
      <c r="B306" s="28">
        <v>1</v>
      </c>
    </row>
    <row r="307" spans="1:2" x14ac:dyDescent="0.3">
      <c r="A307" s="431">
        <v>150000940</v>
      </c>
      <c r="B307" s="28">
        <v>1</v>
      </c>
    </row>
    <row r="308" spans="1:2" x14ac:dyDescent="0.3">
      <c r="A308" s="431">
        <v>150000941</v>
      </c>
      <c r="B308" s="28">
        <v>1</v>
      </c>
    </row>
    <row r="309" spans="1:2" x14ac:dyDescent="0.3">
      <c r="A309" s="431">
        <v>150000943</v>
      </c>
      <c r="B309" s="28">
        <v>1</v>
      </c>
    </row>
    <row r="310" spans="1:2" x14ac:dyDescent="0.3">
      <c r="A310" s="431">
        <v>150000944</v>
      </c>
      <c r="B310" s="28">
        <v>1</v>
      </c>
    </row>
    <row r="311" spans="1:2" x14ac:dyDescent="0.3">
      <c r="A311" s="431">
        <v>150000945</v>
      </c>
      <c r="B311" s="28">
        <v>1</v>
      </c>
    </row>
    <row r="312" spans="1:2" x14ac:dyDescent="0.3">
      <c r="A312" s="431">
        <v>150000946</v>
      </c>
      <c r="B312" s="28">
        <v>1</v>
      </c>
    </row>
    <row r="313" spans="1:2" x14ac:dyDescent="0.3">
      <c r="A313" s="431">
        <v>150000947</v>
      </c>
      <c r="B313" s="28">
        <v>1</v>
      </c>
    </row>
    <row r="314" spans="1:2" x14ac:dyDescent="0.3">
      <c r="A314" s="431">
        <v>150000948</v>
      </c>
      <c r="B314" s="28">
        <v>1</v>
      </c>
    </row>
    <row r="315" spans="1:2" x14ac:dyDescent="0.3">
      <c r="A315" s="431">
        <v>150000949</v>
      </c>
      <c r="B315" s="28">
        <v>1</v>
      </c>
    </row>
    <row r="316" spans="1:2" x14ac:dyDescent="0.3">
      <c r="A316" s="431">
        <v>150000951</v>
      </c>
      <c r="B316" s="28">
        <v>1</v>
      </c>
    </row>
    <row r="317" spans="1:2" x14ac:dyDescent="0.3">
      <c r="A317" s="431">
        <v>150000954</v>
      </c>
      <c r="B317" s="28">
        <v>1</v>
      </c>
    </row>
    <row r="318" spans="1:2" x14ac:dyDescent="0.3">
      <c r="A318" s="431">
        <v>150000957</v>
      </c>
      <c r="B318" s="28">
        <v>1</v>
      </c>
    </row>
    <row r="319" spans="1:2" x14ac:dyDescent="0.3">
      <c r="A319" s="431">
        <v>150000958</v>
      </c>
      <c r="B319" s="28">
        <v>1</v>
      </c>
    </row>
    <row r="320" spans="1:2" x14ac:dyDescent="0.3">
      <c r="A320" s="431">
        <v>150000960</v>
      </c>
      <c r="B320" s="28">
        <v>1</v>
      </c>
    </row>
    <row r="321" spans="1:2" x14ac:dyDescent="0.3">
      <c r="A321" s="431">
        <v>150000961</v>
      </c>
      <c r="B321" s="28">
        <v>1</v>
      </c>
    </row>
    <row r="322" spans="1:2" x14ac:dyDescent="0.3">
      <c r="A322" s="431">
        <v>150000963</v>
      </c>
      <c r="B322" s="28">
        <v>1</v>
      </c>
    </row>
    <row r="323" spans="1:2" x14ac:dyDescent="0.3">
      <c r="A323" s="431">
        <v>150000964</v>
      </c>
      <c r="B323" s="28">
        <v>1</v>
      </c>
    </row>
    <row r="324" spans="1:2" x14ac:dyDescent="0.3">
      <c r="A324" s="431">
        <v>150000966</v>
      </c>
      <c r="B324" s="28">
        <v>2</v>
      </c>
    </row>
    <row r="325" spans="1:2" x14ac:dyDescent="0.3">
      <c r="A325" s="431">
        <v>150000967</v>
      </c>
      <c r="B325" s="28">
        <v>2</v>
      </c>
    </row>
    <row r="326" spans="1:2" x14ac:dyDescent="0.3">
      <c r="A326" s="431">
        <v>150000968</v>
      </c>
      <c r="B326" s="28">
        <v>2</v>
      </c>
    </row>
    <row r="327" spans="1:2" x14ac:dyDescent="0.3">
      <c r="A327" s="431">
        <v>150000969</v>
      </c>
      <c r="B327" s="28">
        <v>2</v>
      </c>
    </row>
    <row r="328" spans="1:2" x14ac:dyDescent="0.3">
      <c r="A328" s="431">
        <v>150000970</v>
      </c>
      <c r="B328" s="28">
        <v>2</v>
      </c>
    </row>
    <row r="329" spans="1:2" x14ac:dyDescent="0.3">
      <c r="A329" s="431">
        <v>150000971</v>
      </c>
      <c r="B329" s="28">
        <v>2</v>
      </c>
    </row>
    <row r="330" spans="1:2" x14ac:dyDescent="0.3">
      <c r="A330" s="431">
        <v>150000972</v>
      </c>
      <c r="B330" s="28">
        <v>2</v>
      </c>
    </row>
    <row r="331" spans="1:2" x14ac:dyDescent="0.3">
      <c r="A331" s="431">
        <v>150000973</v>
      </c>
      <c r="B331" s="28">
        <v>2</v>
      </c>
    </row>
    <row r="332" spans="1:2" x14ac:dyDescent="0.3">
      <c r="A332" s="431">
        <v>150000974</v>
      </c>
      <c r="B332" s="28">
        <v>2</v>
      </c>
    </row>
    <row r="333" spans="1:2" x14ac:dyDescent="0.3">
      <c r="A333" s="431">
        <v>150000975</v>
      </c>
      <c r="B333" s="28">
        <v>2</v>
      </c>
    </row>
    <row r="334" spans="1:2" x14ac:dyDescent="0.3">
      <c r="A334" s="431">
        <v>150000976</v>
      </c>
      <c r="B334" s="28">
        <v>2</v>
      </c>
    </row>
    <row r="335" spans="1:2" x14ac:dyDescent="0.3">
      <c r="A335" s="431">
        <v>150000977</v>
      </c>
      <c r="B335" s="28">
        <v>2</v>
      </c>
    </row>
    <row r="336" spans="1:2" x14ac:dyDescent="0.3">
      <c r="A336" s="431">
        <v>150000978</v>
      </c>
      <c r="B336" s="28">
        <v>2</v>
      </c>
    </row>
    <row r="337" spans="1:2" x14ac:dyDescent="0.3">
      <c r="A337" s="431">
        <v>150000981</v>
      </c>
      <c r="B337" s="28">
        <v>3</v>
      </c>
    </row>
    <row r="338" spans="1:2" x14ac:dyDescent="0.3">
      <c r="A338" s="431">
        <v>150000982</v>
      </c>
      <c r="B338" s="28">
        <v>3</v>
      </c>
    </row>
    <row r="339" spans="1:2" x14ac:dyDescent="0.3">
      <c r="A339" s="431">
        <v>150000983</v>
      </c>
      <c r="B339" s="28">
        <v>3</v>
      </c>
    </row>
    <row r="340" spans="1:2" x14ac:dyDescent="0.3">
      <c r="A340" s="431">
        <v>150000984</v>
      </c>
      <c r="B340" s="28">
        <v>3</v>
      </c>
    </row>
    <row r="341" spans="1:2" x14ac:dyDescent="0.3">
      <c r="A341" s="431">
        <v>150000986</v>
      </c>
      <c r="B341" s="28">
        <v>3</v>
      </c>
    </row>
    <row r="342" spans="1:2" x14ac:dyDescent="0.3">
      <c r="A342" s="431">
        <v>150000987</v>
      </c>
      <c r="B342" s="28">
        <v>3</v>
      </c>
    </row>
    <row r="343" spans="1:2" x14ac:dyDescent="0.3">
      <c r="A343" s="431">
        <v>150000988</v>
      </c>
      <c r="B343" s="28">
        <v>3</v>
      </c>
    </row>
    <row r="344" spans="1:2" x14ac:dyDescent="0.3">
      <c r="A344" s="431">
        <v>150000989</v>
      </c>
      <c r="B344" s="28">
        <v>3</v>
      </c>
    </row>
    <row r="345" spans="1:2" x14ac:dyDescent="0.3">
      <c r="A345" s="431">
        <v>150000991</v>
      </c>
      <c r="B345" s="28">
        <v>3</v>
      </c>
    </row>
    <row r="346" spans="1:2" x14ac:dyDescent="0.3">
      <c r="A346" s="431">
        <v>150000992</v>
      </c>
      <c r="B346" s="28">
        <v>3</v>
      </c>
    </row>
    <row r="347" spans="1:2" x14ac:dyDescent="0.3">
      <c r="A347" s="431">
        <v>150000993</v>
      </c>
      <c r="B347" s="28">
        <v>3</v>
      </c>
    </row>
    <row r="348" spans="1:2" x14ac:dyDescent="0.3">
      <c r="A348" s="431">
        <v>150000994</v>
      </c>
      <c r="B348" s="28">
        <v>3</v>
      </c>
    </row>
    <row r="349" spans="1:2" x14ac:dyDescent="0.3">
      <c r="A349" s="431">
        <v>150000995</v>
      </c>
      <c r="B349" s="28">
        <v>3</v>
      </c>
    </row>
    <row r="350" spans="1:2" x14ac:dyDescent="0.3">
      <c r="A350" s="431">
        <v>150000996</v>
      </c>
      <c r="B350" s="28">
        <v>2</v>
      </c>
    </row>
    <row r="351" spans="1:2" x14ac:dyDescent="0.3">
      <c r="A351" s="431">
        <v>150000999</v>
      </c>
      <c r="B351" s="28">
        <v>3</v>
      </c>
    </row>
    <row r="352" spans="1:2" x14ac:dyDescent="0.3">
      <c r="A352" s="431">
        <v>150001000</v>
      </c>
      <c r="B352" s="28">
        <v>3</v>
      </c>
    </row>
    <row r="353" spans="1:2" x14ac:dyDescent="0.3">
      <c r="A353" s="431">
        <v>150001001</v>
      </c>
      <c r="B353" s="28">
        <v>3</v>
      </c>
    </row>
    <row r="354" spans="1:2" x14ac:dyDescent="0.3">
      <c r="A354" s="431">
        <v>150001002</v>
      </c>
      <c r="B354" s="28">
        <v>3</v>
      </c>
    </row>
    <row r="355" spans="1:2" x14ac:dyDescent="0.3">
      <c r="A355" s="431">
        <v>150001004</v>
      </c>
      <c r="B355" s="28">
        <v>3</v>
      </c>
    </row>
    <row r="356" spans="1:2" x14ac:dyDescent="0.3">
      <c r="A356" s="431">
        <v>150001005</v>
      </c>
      <c r="B356" s="28">
        <v>3</v>
      </c>
    </row>
    <row r="357" spans="1:2" x14ac:dyDescent="0.3">
      <c r="A357" s="431">
        <v>150001007</v>
      </c>
      <c r="B357" s="28">
        <v>2</v>
      </c>
    </row>
    <row r="358" spans="1:2" x14ac:dyDescent="0.3">
      <c r="A358" s="431">
        <v>150001008</v>
      </c>
      <c r="B358" s="28">
        <v>2</v>
      </c>
    </row>
    <row r="359" spans="1:2" x14ac:dyDescent="0.3">
      <c r="A359" s="431">
        <v>150001009</v>
      </c>
      <c r="B359" s="28">
        <v>2</v>
      </c>
    </row>
    <row r="360" spans="1:2" x14ac:dyDescent="0.3">
      <c r="A360" s="431">
        <v>150001010</v>
      </c>
      <c r="B360" s="28">
        <v>2</v>
      </c>
    </row>
    <row r="361" spans="1:2" x14ac:dyDescent="0.3">
      <c r="A361" s="431">
        <v>150001011</v>
      </c>
      <c r="B361" s="28">
        <v>2</v>
      </c>
    </row>
    <row r="362" spans="1:2" x14ac:dyDescent="0.3">
      <c r="A362" s="432">
        <v>150001013</v>
      </c>
      <c r="B362" s="28">
        <v>2</v>
      </c>
    </row>
    <row r="363" spans="1:2" x14ac:dyDescent="0.3">
      <c r="A363" s="431">
        <v>150001014</v>
      </c>
      <c r="B363" s="28">
        <v>2</v>
      </c>
    </row>
    <row r="364" spans="1:2" x14ac:dyDescent="0.3">
      <c r="A364" s="431">
        <v>150001015</v>
      </c>
      <c r="B364" s="28">
        <v>2</v>
      </c>
    </row>
    <row r="365" spans="1:2" x14ac:dyDescent="0.3">
      <c r="A365" s="431">
        <v>150001016</v>
      </c>
      <c r="B365" s="28">
        <v>2</v>
      </c>
    </row>
    <row r="366" spans="1:2" x14ac:dyDescent="0.3">
      <c r="A366" s="431">
        <v>150001018</v>
      </c>
      <c r="B366" s="28">
        <v>2</v>
      </c>
    </row>
    <row r="367" spans="1:2" x14ac:dyDescent="0.3">
      <c r="A367" s="431">
        <v>150001019</v>
      </c>
      <c r="B367" s="28">
        <v>1</v>
      </c>
    </row>
    <row r="368" spans="1:2" x14ac:dyDescent="0.3">
      <c r="A368" s="431">
        <v>150001020</v>
      </c>
      <c r="B368" s="28">
        <v>2</v>
      </c>
    </row>
    <row r="369" spans="1:2" x14ac:dyDescent="0.3">
      <c r="A369" s="431">
        <v>150001021</v>
      </c>
      <c r="B369" s="28">
        <v>1</v>
      </c>
    </row>
    <row r="370" spans="1:2" x14ac:dyDescent="0.3">
      <c r="A370" s="431">
        <v>150001022</v>
      </c>
      <c r="B370" s="28">
        <v>1</v>
      </c>
    </row>
    <row r="371" spans="1:2" x14ac:dyDescent="0.3">
      <c r="A371" s="431">
        <v>150001023</v>
      </c>
      <c r="B371" s="28">
        <v>1</v>
      </c>
    </row>
    <row r="372" spans="1:2" x14ac:dyDescent="0.3">
      <c r="A372" s="431">
        <v>150001024</v>
      </c>
      <c r="B372" s="28">
        <v>1</v>
      </c>
    </row>
    <row r="373" spans="1:2" x14ac:dyDescent="0.3">
      <c r="A373" s="431">
        <v>150001025</v>
      </c>
      <c r="B373" s="28">
        <v>1</v>
      </c>
    </row>
    <row r="374" spans="1:2" x14ac:dyDescent="0.3">
      <c r="A374" s="431">
        <v>150001026</v>
      </c>
      <c r="B374" s="28">
        <v>1</v>
      </c>
    </row>
    <row r="375" spans="1:2" x14ac:dyDescent="0.3">
      <c r="A375" s="431">
        <v>150001027</v>
      </c>
      <c r="B375" s="28">
        <v>1</v>
      </c>
    </row>
    <row r="376" spans="1:2" x14ac:dyDescent="0.3">
      <c r="A376" s="431">
        <v>150001028</v>
      </c>
      <c r="B376" s="28">
        <v>1</v>
      </c>
    </row>
    <row r="377" spans="1:2" x14ac:dyDescent="0.3">
      <c r="A377" s="431">
        <v>150001029</v>
      </c>
      <c r="B377" s="28">
        <v>1</v>
      </c>
    </row>
    <row r="378" spans="1:2" x14ac:dyDescent="0.3">
      <c r="A378" s="431">
        <v>150001030</v>
      </c>
      <c r="B378" s="28">
        <v>1</v>
      </c>
    </row>
    <row r="379" spans="1:2" x14ac:dyDescent="0.3">
      <c r="A379" s="431">
        <v>150001031</v>
      </c>
      <c r="B379" s="28">
        <v>1</v>
      </c>
    </row>
    <row r="380" spans="1:2" x14ac:dyDescent="0.3">
      <c r="A380" s="431">
        <v>150001032</v>
      </c>
      <c r="B380" s="28">
        <v>1</v>
      </c>
    </row>
    <row r="381" spans="1:2" x14ac:dyDescent="0.3">
      <c r="A381" s="431">
        <v>150001033</v>
      </c>
      <c r="B381" s="28">
        <v>1</v>
      </c>
    </row>
    <row r="382" spans="1:2" x14ac:dyDescent="0.3">
      <c r="A382" s="431">
        <v>150001035</v>
      </c>
      <c r="B382" s="28">
        <v>1</v>
      </c>
    </row>
    <row r="383" spans="1:2" x14ac:dyDescent="0.3">
      <c r="A383" s="431">
        <v>150001036</v>
      </c>
      <c r="B383" s="28">
        <v>1</v>
      </c>
    </row>
    <row r="384" spans="1:2" x14ac:dyDescent="0.3">
      <c r="A384" s="431">
        <v>150001037</v>
      </c>
      <c r="B384" s="28">
        <v>1</v>
      </c>
    </row>
    <row r="385" spans="1:2" x14ac:dyDescent="0.3">
      <c r="A385" s="431">
        <v>150001040</v>
      </c>
      <c r="B385" s="28">
        <v>2</v>
      </c>
    </row>
    <row r="386" spans="1:2" x14ac:dyDescent="0.3">
      <c r="A386" s="431">
        <v>150001041</v>
      </c>
      <c r="B386" s="28">
        <v>2</v>
      </c>
    </row>
    <row r="387" spans="1:2" x14ac:dyDescent="0.3">
      <c r="A387" s="431">
        <v>150001042</v>
      </c>
      <c r="B387" s="28">
        <v>2</v>
      </c>
    </row>
    <row r="388" spans="1:2" x14ac:dyDescent="0.3">
      <c r="A388" s="431">
        <v>150001043</v>
      </c>
      <c r="B388" s="28">
        <v>2</v>
      </c>
    </row>
    <row r="389" spans="1:2" x14ac:dyDescent="0.3">
      <c r="A389" s="431">
        <v>150001044</v>
      </c>
      <c r="B389" s="28">
        <v>2</v>
      </c>
    </row>
    <row r="390" spans="1:2" x14ac:dyDescent="0.3">
      <c r="A390" s="431">
        <v>150001045</v>
      </c>
      <c r="B390" s="28">
        <v>2</v>
      </c>
    </row>
    <row r="391" spans="1:2" x14ac:dyDescent="0.3">
      <c r="A391" s="431">
        <v>150001046</v>
      </c>
      <c r="B391" s="28">
        <v>2</v>
      </c>
    </row>
    <row r="392" spans="1:2" x14ac:dyDescent="0.3">
      <c r="A392" s="431">
        <v>150001047</v>
      </c>
      <c r="B392" s="28">
        <v>2</v>
      </c>
    </row>
    <row r="393" spans="1:2" x14ac:dyDescent="0.3">
      <c r="A393" s="431">
        <v>150001048</v>
      </c>
      <c r="B393" s="28">
        <v>2</v>
      </c>
    </row>
    <row r="394" spans="1:2" x14ac:dyDescent="0.3">
      <c r="A394" s="431">
        <v>150001049</v>
      </c>
      <c r="B394" s="28">
        <v>2</v>
      </c>
    </row>
    <row r="395" spans="1:2" x14ac:dyDescent="0.3">
      <c r="A395" s="431">
        <v>150001050</v>
      </c>
      <c r="B395" s="28">
        <v>2</v>
      </c>
    </row>
    <row r="396" spans="1:2" x14ac:dyDescent="0.3">
      <c r="A396" s="431">
        <v>150001053</v>
      </c>
      <c r="B396" s="28">
        <v>3</v>
      </c>
    </row>
    <row r="397" spans="1:2" x14ac:dyDescent="0.3">
      <c r="A397" s="431">
        <v>150001054</v>
      </c>
      <c r="B397" s="28">
        <v>3</v>
      </c>
    </row>
    <row r="398" spans="1:2" x14ac:dyDescent="0.3">
      <c r="A398" s="431">
        <v>150001071</v>
      </c>
      <c r="B398" s="28">
        <v>3</v>
      </c>
    </row>
    <row r="399" spans="1:2" x14ac:dyDescent="0.3">
      <c r="A399" s="431">
        <v>150001094</v>
      </c>
      <c r="B399" s="28">
        <v>1</v>
      </c>
    </row>
    <row r="400" spans="1:2" x14ac:dyDescent="0.3">
      <c r="A400" s="431">
        <v>150001561</v>
      </c>
      <c r="B400" s="28">
        <v>2</v>
      </c>
    </row>
    <row r="401" spans="1:2" x14ac:dyDescent="0.3">
      <c r="A401" s="431">
        <v>150001562</v>
      </c>
      <c r="B401" s="28">
        <v>2</v>
      </c>
    </row>
    <row r="402" spans="1:2" ht="15" thickBot="1" x14ac:dyDescent="0.35">
      <c r="A402" s="678"/>
    </row>
    <row r="405" spans="1:2" x14ac:dyDescent="0.3">
      <c r="A405" s="282"/>
    </row>
    <row r="406" spans="1:2" x14ac:dyDescent="0.3">
      <c r="A406" s="282"/>
    </row>
    <row r="407" spans="1:2" x14ac:dyDescent="0.3">
      <c r="A407" s="282"/>
      <c r="B407" s="276"/>
    </row>
    <row r="408" spans="1:2" x14ac:dyDescent="0.3">
      <c r="A408" s="320"/>
      <c r="B408" s="119"/>
    </row>
    <row r="411" spans="1:2" x14ac:dyDescent="0.3">
      <c r="A411" s="282"/>
    </row>
    <row r="412" spans="1:2" x14ac:dyDescent="0.3">
      <c r="A412" s="282"/>
    </row>
    <row r="413" spans="1:2" x14ac:dyDescent="0.3">
      <c r="A413" s="282"/>
    </row>
    <row r="414" spans="1:2" x14ac:dyDescent="0.3">
      <c r="A414" s="282"/>
    </row>
  </sheetData>
  <sortState xmlns:xlrd2="http://schemas.microsoft.com/office/spreadsheetml/2017/richdata2" ref="A7:B401">
    <sortCondition ref="A7:A401"/>
  </sortState>
  <conditionalFormatting sqref="A16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8">
    <tabColor rgb="FFFF0066"/>
  </sheetPr>
  <dimension ref="A2"/>
  <sheetViews>
    <sheetView topLeftCell="A2" workbookViewId="0">
      <selection activeCell="F20" sqref="F20:F21"/>
    </sheetView>
  </sheetViews>
  <sheetFormatPr defaultRowHeight="14.4" x14ac:dyDescent="0.3"/>
  <sheetData>
    <row r="2" spans="1:1" x14ac:dyDescent="0.3">
      <c r="A2" t="s">
        <v>1823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 filterMode="1">
    <tabColor theme="5" tint="-0.249977111117893"/>
  </sheetPr>
  <dimension ref="A1:EI387"/>
  <sheetViews>
    <sheetView topLeftCell="DU1" zoomScale="80" zoomScaleNormal="80" workbookViewId="0">
      <selection activeCell="EI12" sqref="EI12"/>
    </sheetView>
  </sheetViews>
  <sheetFormatPr defaultColWidth="8.88671875" defaultRowHeight="14.4" x14ac:dyDescent="0.3"/>
  <cols>
    <col min="1" max="1" width="13.109375" style="317" customWidth="1"/>
    <col min="2" max="2" width="8.88671875" style="1" customWidth="1"/>
    <col min="3" max="3" width="39.33203125" style="1" customWidth="1"/>
    <col min="4" max="4" width="37.109375" style="1" customWidth="1"/>
    <col min="5" max="5" width="15.6640625" style="101" customWidth="1"/>
    <col min="6" max="6" width="14.33203125" style="100" customWidth="1"/>
    <col min="7" max="7" width="11.6640625" style="52" customWidth="1"/>
    <col min="8" max="8" width="12.44140625" style="308" customWidth="1"/>
    <col min="9" max="9" width="10.88671875" style="8" customWidth="1"/>
    <col min="10" max="10" width="10.109375" style="8" customWidth="1"/>
    <col min="11" max="11" width="9.5546875" style="8" customWidth="1"/>
    <col min="12" max="12" width="12.44140625" style="8" customWidth="1"/>
    <col min="13" max="13" width="10.88671875" style="8" customWidth="1"/>
    <col min="14" max="14" width="10.109375" style="8" customWidth="1"/>
    <col min="15" max="17" width="10.88671875" style="8" customWidth="1"/>
    <col min="18" max="20" width="11.44140625" style="8" customWidth="1"/>
    <col min="21" max="23" width="10.6640625" style="8" customWidth="1"/>
    <col min="24" max="26" width="12.109375" style="8" customWidth="1"/>
    <col min="27" max="29" width="10.6640625" style="8" customWidth="1"/>
    <col min="30" max="32" width="14.109375" style="8" customWidth="1"/>
    <col min="33" max="33" width="14.109375" style="53" customWidth="1"/>
    <col min="34" max="35" width="14.109375" style="8" customWidth="1"/>
    <col min="36" max="38" width="10.33203125" style="8" customWidth="1"/>
    <col min="39" max="41" width="10.44140625" style="8" customWidth="1"/>
    <col min="42" max="44" width="11.109375" style="8" customWidth="1"/>
    <col min="45" max="47" width="12.109375" style="8" customWidth="1"/>
    <col min="48" max="50" width="11.33203125" style="8" customWidth="1"/>
    <col min="51" max="51" width="10.33203125" style="8" customWidth="1"/>
    <col min="52" max="52" width="8.109375" style="8" customWidth="1"/>
    <col min="53" max="54" width="10.88671875" style="8" customWidth="1"/>
    <col min="55" max="56" width="12.44140625" style="8" customWidth="1"/>
    <col min="57" max="59" width="12.109375" style="8" customWidth="1"/>
    <col min="60" max="62" width="11.5546875" style="8" customWidth="1"/>
    <col min="63" max="65" width="11.109375" style="8" customWidth="1"/>
    <col min="66" max="68" width="10.5546875" style="8" customWidth="1"/>
    <col min="69" max="69" width="10.5546875" style="53" customWidth="1"/>
    <col min="70" max="71" width="10.5546875" style="8" customWidth="1"/>
    <col min="72" max="74" width="11.6640625" style="8" customWidth="1"/>
    <col min="75" max="75" width="11.44140625" style="53" customWidth="1"/>
    <col min="76" max="77" width="11.44140625" style="8" customWidth="1"/>
    <col min="78" max="80" width="12.44140625" style="8" customWidth="1"/>
    <col min="81" max="81" width="10.6640625" style="8" customWidth="1"/>
    <col min="82" max="82" width="8.44140625" style="8" customWidth="1"/>
    <col min="83" max="83" width="11.33203125" style="8" customWidth="1"/>
    <col min="84" max="84" width="10.6640625" style="8" customWidth="1"/>
    <col min="85" max="85" width="10.44140625" style="8" customWidth="1"/>
    <col min="86" max="86" width="10.6640625" style="8" customWidth="1"/>
    <col min="87" max="89" width="12.44140625" style="8" customWidth="1"/>
    <col min="90" max="95" width="11.33203125" style="8" customWidth="1"/>
    <col min="96" max="96" width="12.6640625" style="8" customWidth="1"/>
    <col min="97" max="97" width="10.6640625" style="8" customWidth="1"/>
    <col min="98" max="98" width="11.44140625" style="8" customWidth="1"/>
    <col min="99" max="99" width="12.44140625" style="8" customWidth="1"/>
    <col min="100" max="100" width="12.88671875" style="53" customWidth="1"/>
    <col min="101" max="101" width="13" style="8" customWidth="1"/>
    <col min="102" max="102" width="12.6640625" style="8" customWidth="1"/>
    <col min="103" max="103" width="10.33203125" style="8" customWidth="1"/>
    <col min="104" max="104" width="10.44140625" style="8" customWidth="1"/>
    <col min="105" max="105" width="22.88671875" style="8" customWidth="1"/>
    <col min="106" max="106" width="8.88671875" style="2" customWidth="1"/>
    <col min="107" max="107" width="15.6640625" style="416" customWidth="1"/>
    <col min="108" max="108" width="14.109375" style="417" customWidth="1"/>
    <col min="109" max="109" width="16.5546875" customWidth="1"/>
    <col min="110" max="110" width="22.5546875" style="2" customWidth="1"/>
    <col min="111" max="111" width="22.88671875" style="739" customWidth="1"/>
    <col min="112" max="112" width="22.88671875" style="53" customWidth="1"/>
    <col min="113" max="113" width="22.88671875" style="270" customWidth="1"/>
    <col min="114" max="114" width="22.88671875" style="8" customWidth="1"/>
    <col min="115" max="115" width="10.88671875" style="301" customWidth="1"/>
    <col min="116" max="116" width="11.88671875" style="301" customWidth="1"/>
    <col min="117" max="117" width="10.88671875" style="1" customWidth="1"/>
    <col min="118" max="118" width="16.44140625" style="100" customWidth="1"/>
    <col min="119" max="119" width="14" style="100" customWidth="1"/>
    <col min="120" max="120" width="16" style="1" customWidth="1"/>
    <col min="121" max="121" width="14.33203125" style="1" customWidth="1"/>
    <col min="122" max="122" width="16" style="2" customWidth="1"/>
    <col min="123" max="123" width="14" style="155" customWidth="1"/>
    <col min="124" max="124" width="14.109375" style="2" customWidth="1"/>
    <col min="125" max="125" width="13.88671875" style="739" customWidth="1"/>
    <col min="126" max="126" width="13" style="8" customWidth="1"/>
    <col min="127" max="127" width="16.44140625" style="898" customWidth="1"/>
    <col min="128" max="128" width="12.77734375" style="1" customWidth="1"/>
    <col min="129" max="129" width="12.44140625" style="8" customWidth="1"/>
    <col min="130" max="130" width="12.5546875" style="8" customWidth="1"/>
    <col min="131" max="131" width="15.88671875" style="115" customWidth="1"/>
    <col min="132" max="132" width="8.88671875" style="1" customWidth="1"/>
    <col min="133" max="133" width="17.33203125" style="101" customWidth="1"/>
    <col min="134" max="134" width="8.88671875" style="1"/>
    <col min="135" max="135" width="22.6640625" style="783" customWidth="1"/>
    <col min="136" max="136" width="19.6640625" style="1" customWidth="1"/>
    <col min="137" max="137" width="8.88671875" style="1"/>
    <col min="138" max="138" width="22.6640625" style="783" customWidth="1"/>
    <col min="139" max="139" width="24.21875" style="1" customWidth="1"/>
    <col min="140" max="16384" width="8.88671875" style="1"/>
  </cols>
  <sheetData>
    <row r="1" spans="1:139" ht="17.399999999999999" x14ac:dyDescent="0.3">
      <c r="A1" s="1" t="s">
        <v>0</v>
      </c>
      <c r="E1" s="245"/>
      <c r="BU1" s="888"/>
      <c r="CA1" s="888"/>
    </row>
    <row r="2" spans="1:139" x14ac:dyDescent="0.3">
      <c r="BU2" s="718">
        <f>100%-CA2</f>
        <v>0.75</v>
      </c>
      <c r="CA2" s="718">
        <f>'первичка 1'!BH395</f>
        <v>0.25</v>
      </c>
      <c r="CV2" s="433"/>
      <c r="CW2" s="434" t="s">
        <v>1126</v>
      </c>
      <c r="CX2" s="414">
        <f>'зведена таблиця'!C52</f>
        <v>78751495.236956015</v>
      </c>
      <c r="DA2" s="270" t="s">
        <v>1688</v>
      </c>
    </row>
    <row r="3" spans="1:139" ht="24" x14ac:dyDescent="0.3">
      <c r="A3" s="6" t="s">
        <v>1082</v>
      </c>
      <c r="G3" s="1011" t="str">
        <f>місяць!A2</f>
        <v>2024 рік</v>
      </c>
      <c r="H3" s="155" t="s">
        <v>1789</v>
      </c>
      <c r="AS3" s="886" t="s">
        <v>1779</v>
      </c>
      <c r="BU3" s="430" t="s">
        <v>1124</v>
      </c>
      <c r="CV3" s="433"/>
      <c r="CW3" s="414"/>
      <c r="CX3" s="414">
        <f>CU354</f>
        <v>76439681.155898064</v>
      </c>
      <c r="CY3" s="8">
        <f>CX2-CX3</f>
        <v>2311814.0810579509</v>
      </c>
      <c r="DA3" s="270" t="s">
        <v>1687</v>
      </c>
      <c r="DB3" s="119"/>
      <c r="DF3" s="119"/>
      <c r="DG3" s="771"/>
      <c r="DH3" s="507" t="s">
        <v>1565</v>
      </c>
      <c r="DJ3" s="53"/>
      <c r="DY3" s="418" t="s">
        <v>1116</v>
      </c>
    </row>
    <row r="4" spans="1:139" x14ac:dyDescent="0.3">
      <c r="CV4" s="435"/>
      <c r="CW4" s="414"/>
      <c r="CX4" s="436">
        <f>CX2/CX3-1</f>
        <v>3.0243638462371658E-2</v>
      </c>
      <c r="DG4" s="771"/>
      <c r="DH4" s="507" t="s">
        <v>1692</v>
      </c>
      <c r="DJ4" s="53"/>
      <c r="DK4" s="302" t="s">
        <v>1165</v>
      </c>
    </row>
    <row r="5" spans="1:139" ht="18.600000000000001" thickBot="1" x14ac:dyDescent="0.35">
      <c r="C5" s="1">
        <v>1</v>
      </c>
      <c r="D5" s="321">
        <f>C5+1</f>
        <v>2</v>
      </c>
      <c r="E5" s="683">
        <f t="shared" ref="E5:BP5" si="0">D5+1</f>
        <v>3</v>
      </c>
      <c r="F5" s="321">
        <f t="shared" si="0"/>
        <v>4</v>
      </c>
      <c r="G5" s="321">
        <f t="shared" si="0"/>
        <v>5</v>
      </c>
      <c r="H5" s="321">
        <f t="shared" si="0"/>
        <v>6</v>
      </c>
      <c r="I5" s="321">
        <f t="shared" si="0"/>
        <v>7</v>
      </c>
      <c r="J5" s="321">
        <f t="shared" si="0"/>
        <v>8</v>
      </c>
      <c r="K5" s="321">
        <f t="shared" si="0"/>
        <v>9</v>
      </c>
      <c r="L5" s="321">
        <f t="shared" si="0"/>
        <v>10</v>
      </c>
      <c r="M5" s="321">
        <f t="shared" si="0"/>
        <v>11</v>
      </c>
      <c r="N5" s="321">
        <f t="shared" si="0"/>
        <v>12</v>
      </c>
      <c r="O5" s="321">
        <f t="shared" si="0"/>
        <v>13</v>
      </c>
      <c r="P5" s="321">
        <f t="shared" si="0"/>
        <v>14</v>
      </c>
      <c r="Q5" s="321">
        <f t="shared" si="0"/>
        <v>15</v>
      </c>
      <c r="R5" s="321">
        <f t="shared" si="0"/>
        <v>16</v>
      </c>
      <c r="S5" s="321">
        <f t="shared" si="0"/>
        <v>17</v>
      </c>
      <c r="T5" s="321">
        <f t="shared" si="0"/>
        <v>18</v>
      </c>
      <c r="U5" s="321">
        <f t="shared" si="0"/>
        <v>19</v>
      </c>
      <c r="V5" s="321">
        <f t="shared" si="0"/>
        <v>20</v>
      </c>
      <c r="W5" s="321">
        <f t="shared" si="0"/>
        <v>21</v>
      </c>
      <c r="X5" s="321">
        <f t="shared" si="0"/>
        <v>22</v>
      </c>
      <c r="Y5" s="321">
        <f t="shared" si="0"/>
        <v>23</v>
      </c>
      <c r="Z5" s="321">
        <f t="shared" si="0"/>
        <v>24</v>
      </c>
      <c r="AA5" s="321">
        <f t="shared" si="0"/>
        <v>25</v>
      </c>
      <c r="AB5" s="321">
        <f t="shared" si="0"/>
        <v>26</v>
      </c>
      <c r="AC5" s="321">
        <f t="shared" si="0"/>
        <v>27</v>
      </c>
      <c r="AD5" s="321">
        <f t="shared" si="0"/>
        <v>28</v>
      </c>
      <c r="AE5" s="321">
        <f t="shared" si="0"/>
        <v>29</v>
      </c>
      <c r="AF5" s="321">
        <f t="shared" si="0"/>
        <v>30</v>
      </c>
      <c r="AG5" s="321">
        <f t="shared" si="0"/>
        <v>31</v>
      </c>
      <c r="AH5" s="321">
        <f t="shared" si="0"/>
        <v>32</v>
      </c>
      <c r="AI5" s="321">
        <f t="shared" si="0"/>
        <v>33</v>
      </c>
      <c r="AJ5" s="321">
        <f t="shared" si="0"/>
        <v>34</v>
      </c>
      <c r="AK5" s="321">
        <f t="shared" si="0"/>
        <v>35</v>
      </c>
      <c r="AL5" s="321">
        <f t="shared" si="0"/>
        <v>36</v>
      </c>
      <c r="AM5" s="321">
        <f t="shared" si="0"/>
        <v>37</v>
      </c>
      <c r="AN5" s="321">
        <f t="shared" si="0"/>
        <v>38</v>
      </c>
      <c r="AO5" s="321">
        <f t="shared" si="0"/>
        <v>39</v>
      </c>
      <c r="AP5" s="321">
        <f t="shared" si="0"/>
        <v>40</v>
      </c>
      <c r="AQ5" s="321">
        <f t="shared" si="0"/>
        <v>41</v>
      </c>
      <c r="AR5" s="321">
        <f t="shared" si="0"/>
        <v>42</v>
      </c>
      <c r="AS5" s="321">
        <f t="shared" si="0"/>
        <v>43</v>
      </c>
      <c r="AT5" s="321">
        <f t="shared" si="0"/>
        <v>44</v>
      </c>
      <c r="AU5" s="321">
        <f t="shared" si="0"/>
        <v>45</v>
      </c>
      <c r="AV5" s="321">
        <f t="shared" si="0"/>
        <v>46</v>
      </c>
      <c r="AW5" s="321">
        <f t="shared" si="0"/>
        <v>47</v>
      </c>
      <c r="AX5" s="321">
        <f t="shared" si="0"/>
        <v>48</v>
      </c>
      <c r="AY5" s="321">
        <f t="shared" si="0"/>
        <v>49</v>
      </c>
      <c r="AZ5" s="321">
        <f t="shared" si="0"/>
        <v>50</v>
      </c>
      <c r="BA5" s="321">
        <f t="shared" si="0"/>
        <v>51</v>
      </c>
      <c r="BB5" s="321">
        <f t="shared" si="0"/>
        <v>52</v>
      </c>
      <c r="BC5" s="321">
        <f t="shared" si="0"/>
        <v>53</v>
      </c>
      <c r="BD5" s="321">
        <f t="shared" si="0"/>
        <v>54</v>
      </c>
      <c r="BE5" s="321">
        <f t="shared" si="0"/>
        <v>55</v>
      </c>
      <c r="BF5" s="321">
        <f t="shared" si="0"/>
        <v>56</v>
      </c>
      <c r="BG5" s="321">
        <f t="shared" si="0"/>
        <v>57</v>
      </c>
      <c r="BH5" s="321">
        <f t="shared" si="0"/>
        <v>58</v>
      </c>
      <c r="BI5" s="321">
        <f t="shared" si="0"/>
        <v>59</v>
      </c>
      <c r="BJ5" s="321">
        <f t="shared" si="0"/>
        <v>60</v>
      </c>
      <c r="BK5" s="321">
        <f t="shared" si="0"/>
        <v>61</v>
      </c>
      <c r="BL5" s="321">
        <f t="shared" si="0"/>
        <v>62</v>
      </c>
      <c r="BM5" s="321">
        <f t="shared" si="0"/>
        <v>63</v>
      </c>
      <c r="BN5" s="321">
        <f t="shared" si="0"/>
        <v>64</v>
      </c>
      <c r="BO5" s="321">
        <f t="shared" si="0"/>
        <v>65</v>
      </c>
      <c r="BP5" s="321">
        <f t="shared" si="0"/>
        <v>66</v>
      </c>
      <c r="BQ5" s="321">
        <f t="shared" ref="BQ5:DG5" si="1">BP5+1</f>
        <v>67</v>
      </c>
      <c r="BR5" s="321">
        <f t="shared" si="1"/>
        <v>68</v>
      </c>
      <c r="BS5" s="321">
        <f t="shared" si="1"/>
        <v>69</v>
      </c>
      <c r="BT5" s="321">
        <f t="shared" si="1"/>
        <v>70</v>
      </c>
      <c r="BU5" s="321">
        <f t="shared" si="1"/>
        <v>71</v>
      </c>
      <c r="BV5" s="321">
        <f t="shared" si="1"/>
        <v>72</v>
      </c>
      <c r="BW5" s="321">
        <f t="shared" si="1"/>
        <v>73</v>
      </c>
      <c r="BX5" s="321">
        <f t="shared" si="1"/>
        <v>74</v>
      </c>
      <c r="BY5" s="321">
        <f t="shared" si="1"/>
        <v>75</v>
      </c>
      <c r="BZ5" s="321">
        <f t="shared" si="1"/>
        <v>76</v>
      </c>
      <c r="CA5" s="321">
        <f t="shared" si="1"/>
        <v>77</v>
      </c>
      <c r="CB5" s="321">
        <f t="shared" si="1"/>
        <v>78</v>
      </c>
      <c r="CC5" s="321">
        <f t="shared" si="1"/>
        <v>79</v>
      </c>
      <c r="CD5" s="321">
        <f t="shared" si="1"/>
        <v>80</v>
      </c>
      <c r="CE5" s="321">
        <f t="shared" si="1"/>
        <v>81</v>
      </c>
      <c r="CF5" s="321">
        <f t="shared" si="1"/>
        <v>82</v>
      </c>
      <c r="CG5" s="321">
        <f t="shared" si="1"/>
        <v>83</v>
      </c>
      <c r="CH5" s="321">
        <f t="shared" si="1"/>
        <v>84</v>
      </c>
      <c r="CI5" s="321">
        <f t="shared" si="1"/>
        <v>85</v>
      </c>
      <c r="CJ5" s="321">
        <f t="shared" si="1"/>
        <v>86</v>
      </c>
      <c r="CK5" s="321">
        <f t="shared" si="1"/>
        <v>87</v>
      </c>
      <c r="CL5" s="321">
        <f t="shared" si="1"/>
        <v>88</v>
      </c>
      <c r="CM5" s="321">
        <f t="shared" si="1"/>
        <v>89</v>
      </c>
      <c r="CN5" s="321">
        <f t="shared" si="1"/>
        <v>90</v>
      </c>
      <c r="CO5" s="321">
        <f t="shared" si="1"/>
        <v>91</v>
      </c>
      <c r="CP5" s="321">
        <f t="shared" si="1"/>
        <v>92</v>
      </c>
      <c r="CQ5" s="321">
        <f t="shared" si="1"/>
        <v>93</v>
      </c>
      <c r="CR5" s="321">
        <f t="shared" si="1"/>
        <v>94</v>
      </c>
      <c r="CS5" s="321">
        <f t="shared" si="1"/>
        <v>95</v>
      </c>
      <c r="CT5" s="321">
        <f t="shared" si="1"/>
        <v>96</v>
      </c>
      <c r="CU5" s="321">
        <f t="shared" si="1"/>
        <v>97</v>
      </c>
      <c r="CV5" s="321">
        <f t="shared" si="1"/>
        <v>98</v>
      </c>
      <c r="CW5" s="321">
        <f t="shared" si="1"/>
        <v>99</v>
      </c>
      <c r="CX5" s="321">
        <f t="shared" si="1"/>
        <v>100</v>
      </c>
      <c r="CY5" s="321">
        <f t="shared" si="1"/>
        <v>101</v>
      </c>
      <c r="CZ5" s="321">
        <f t="shared" si="1"/>
        <v>102</v>
      </c>
      <c r="DA5" s="321">
        <f t="shared" si="1"/>
        <v>103</v>
      </c>
      <c r="DB5" s="321">
        <f t="shared" si="1"/>
        <v>104</v>
      </c>
      <c r="DC5" s="321">
        <f t="shared" si="1"/>
        <v>105</v>
      </c>
      <c r="DD5" s="321">
        <f t="shared" si="1"/>
        <v>106</v>
      </c>
      <c r="DE5" s="321">
        <f t="shared" si="1"/>
        <v>107</v>
      </c>
      <c r="DF5" s="321">
        <f t="shared" si="1"/>
        <v>108</v>
      </c>
      <c r="DG5" s="740">
        <f t="shared" si="1"/>
        <v>109</v>
      </c>
      <c r="DH5" s="321">
        <f t="shared" ref="DH5:EC5" si="2">DG5+1</f>
        <v>110</v>
      </c>
      <c r="DI5" s="766">
        <f t="shared" si="2"/>
        <v>111</v>
      </c>
      <c r="DJ5" s="321">
        <f t="shared" si="2"/>
        <v>112</v>
      </c>
      <c r="DK5" s="321">
        <f t="shared" si="2"/>
        <v>113</v>
      </c>
      <c r="DL5" s="321">
        <f t="shared" si="2"/>
        <v>114</v>
      </c>
      <c r="DM5" s="321">
        <f t="shared" si="2"/>
        <v>115</v>
      </c>
      <c r="DN5" s="321">
        <f t="shared" si="2"/>
        <v>116</v>
      </c>
      <c r="DO5" s="321">
        <f t="shared" si="2"/>
        <v>117</v>
      </c>
      <c r="DP5" s="321">
        <f t="shared" si="2"/>
        <v>118</v>
      </c>
      <c r="DQ5" s="321">
        <f t="shared" si="2"/>
        <v>119</v>
      </c>
      <c r="DR5" s="321">
        <f t="shared" si="2"/>
        <v>120</v>
      </c>
      <c r="DS5" s="321">
        <f t="shared" si="2"/>
        <v>121</v>
      </c>
      <c r="DT5" s="321">
        <f t="shared" si="2"/>
        <v>122</v>
      </c>
      <c r="DU5" s="740">
        <f t="shared" si="2"/>
        <v>123</v>
      </c>
      <c r="DV5" s="321">
        <f t="shared" si="2"/>
        <v>124</v>
      </c>
      <c r="DW5" s="899">
        <f t="shared" si="2"/>
        <v>125</v>
      </c>
      <c r="DX5" s="321">
        <f t="shared" si="2"/>
        <v>126</v>
      </c>
      <c r="DY5" s="321">
        <f t="shared" si="2"/>
        <v>127</v>
      </c>
      <c r="DZ5" s="321">
        <f t="shared" si="2"/>
        <v>128</v>
      </c>
      <c r="EA5" s="766">
        <f t="shared" si="2"/>
        <v>129</v>
      </c>
      <c r="EB5" s="321">
        <f t="shared" si="2"/>
        <v>130</v>
      </c>
      <c r="EC5" s="321">
        <f t="shared" si="2"/>
        <v>131</v>
      </c>
      <c r="ED5" s="321">
        <f t="shared" ref="ED5:EI5" si="3">EC5+1</f>
        <v>132</v>
      </c>
      <c r="EE5" s="321">
        <f t="shared" si="3"/>
        <v>133</v>
      </c>
      <c r="EF5" s="321">
        <f t="shared" si="3"/>
        <v>134</v>
      </c>
      <c r="EG5" s="321">
        <f t="shared" si="3"/>
        <v>135</v>
      </c>
      <c r="EH5" s="321">
        <f t="shared" si="3"/>
        <v>136</v>
      </c>
      <c r="EI5" s="321">
        <f t="shared" si="3"/>
        <v>137</v>
      </c>
    </row>
    <row r="6" spans="1:139" s="293" customFormat="1" ht="35.25" customHeight="1" thickBot="1" x14ac:dyDescent="0.35">
      <c r="A6" s="1220" t="s">
        <v>1101</v>
      </c>
      <c r="B6" s="1228" t="s">
        <v>821</v>
      </c>
      <c r="C6" s="1228" t="s">
        <v>1736</v>
      </c>
      <c r="D6" s="1231" t="s">
        <v>1737</v>
      </c>
      <c r="E6" s="1200" t="s">
        <v>430</v>
      </c>
      <c r="F6" s="1234" t="s">
        <v>3</v>
      </c>
      <c r="G6" s="1237" t="s">
        <v>4</v>
      </c>
      <c r="H6" s="1240" t="s">
        <v>5</v>
      </c>
      <c r="I6" s="1206" t="s">
        <v>443</v>
      </c>
      <c r="J6" s="1206"/>
      <c r="K6" s="1206"/>
      <c r="L6" s="1206"/>
      <c r="M6" s="1206"/>
      <c r="N6" s="1206"/>
      <c r="O6" s="1206"/>
      <c r="P6" s="1206"/>
      <c r="Q6" s="1206"/>
      <c r="R6" s="1206"/>
      <c r="S6" s="1206"/>
      <c r="T6" s="1206"/>
      <c r="U6" s="1206"/>
      <c r="V6" s="1206"/>
      <c r="W6" s="1206"/>
      <c r="X6" s="1206"/>
      <c r="Y6" s="1206"/>
      <c r="Z6" s="1206"/>
      <c r="AA6" s="1206"/>
      <c r="AB6" s="1206"/>
      <c r="AC6" s="1206"/>
      <c r="AD6" s="1206"/>
      <c r="AE6" s="1206"/>
      <c r="AF6" s="1206"/>
      <c r="AG6" s="1206"/>
      <c r="AH6" s="1206"/>
      <c r="AI6" s="1207"/>
      <c r="AJ6" s="1158" t="s">
        <v>7</v>
      </c>
      <c r="AK6" s="1159"/>
      <c r="AL6" s="1160"/>
      <c r="AM6" s="1164" t="s">
        <v>8</v>
      </c>
      <c r="AN6" s="1159"/>
      <c r="AO6" s="1159"/>
      <c r="AP6" s="1167" t="s">
        <v>9</v>
      </c>
      <c r="AQ6" s="1159"/>
      <c r="AR6" s="1159"/>
      <c r="AS6" s="1176" t="s">
        <v>11</v>
      </c>
      <c r="AT6" s="1223"/>
      <c r="AU6" s="1224"/>
      <c r="AV6" s="1182" t="s">
        <v>451</v>
      </c>
      <c r="AW6" s="1182"/>
      <c r="AX6" s="1182"/>
      <c r="AY6" s="1182"/>
      <c r="AZ6" s="1182"/>
      <c r="BA6" s="1182"/>
      <c r="BB6" s="1182"/>
      <c r="BC6" s="1182"/>
      <c r="BD6" s="1182"/>
      <c r="BE6" s="1182"/>
      <c r="BF6" s="1182"/>
      <c r="BG6" s="1182"/>
      <c r="BH6" s="1182"/>
      <c r="BI6" s="1182"/>
      <c r="BJ6" s="1182"/>
      <c r="BK6" s="1182"/>
      <c r="BL6" s="1182"/>
      <c r="BM6" s="1182"/>
      <c r="BN6" s="1182"/>
      <c r="BO6" s="1182"/>
      <c r="BP6" s="1182"/>
      <c r="BQ6" s="1183"/>
      <c r="BR6" s="1183"/>
      <c r="BS6" s="1184"/>
      <c r="BT6" s="1167" t="s">
        <v>14</v>
      </c>
      <c r="BU6" s="1168"/>
      <c r="BV6" s="1169"/>
      <c r="BW6" s="1167" t="s">
        <v>15</v>
      </c>
      <c r="BX6" s="1168"/>
      <c r="BY6" s="1169"/>
      <c r="BZ6" s="1192" t="s">
        <v>16</v>
      </c>
      <c r="CA6" s="1193"/>
      <c r="CB6" s="1193"/>
      <c r="CC6" s="1167" t="s">
        <v>17</v>
      </c>
      <c r="CD6" s="1168"/>
      <c r="CE6" s="1169"/>
      <c r="CF6" s="1164" t="s">
        <v>18</v>
      </c>
      <c r="CG6" s="1168"/>
      <c r="CH6" s="1168"/>
      <c r="CI6" s="1173" t="s">
        <v>19</v>
      </c>
      <c r="CJ6" s="1174"/>
      <c r="CK6" s="1174"/>
      <c r="CL6" s="1174"/>
      <c r="CM6" s="1174"/>
      <c r="CN6" s="1174"/>
      <c r="CO6" s="1174"/>
      <c r="CP6" s="1174"/>
      <c r="CQ6" s="1175"/>
      <c r="CR6" s="1167" t="s">
        <v>21</v>
      </c>
      <c r="CS6" s="1209"/>
      <c r="CT6" s="1210"/>
      <c r="CU6" s="1214" t="s">
        <v>1010</v>
      </c>
      <c r="CV6" s="1215"/>
      <c r="CW6" s="1216"/>
      <c r="CX6" s="1176" t="s">
        <v>1011</v>
      </c>
      <c r="CY6" s="1251"/>
      <c r="CZ6" s="1252"/>
      <c r="DA6" s="1256" t="str">
        <f>'[1]побудинковий звіт'!$DA$6:$DA$8</f>
        <v>Залишок коштів по будинку станом на 01.01.2025 року (за період надання послуги з управління) "-" - борг підприємства; "+" - борг населення</v>
      </c>
      <c r="DB6" s="2"/>
      <c r="DC6" s="1261" t="str">
        <f>'[1]побудинковий звіт'!$DC$6:$DD$6</f>
        <v>Станом на 01.01.2025</v>
      </c>
      <c r="DD6" s="1262"/>
      <c r="DE6" s="1263" t="s">
        <v>1678</v>
      </c>
      <c r="DF6" s="1267" t="s">
        <v>1679</v>
      </c>
      <c r="DG6" s="1248" t="s">
        <v>1707</v>
      </c>
      <c r="DH6" s="1264" t="s">
        <v>1695</v>
      </c>
      <c r="DI6" s="767" t="s">
        <v>1701</v>
      </c>
      <c r="DJ6" s="458"/>
      <c r="DK6" s="1246" t="s">
        <v>1088</v>
      </c>
      <c r="DL6" s="1246" t="s">
        <v>1089</v>
      </c>
      <c r="DM6" s="1246" t="s">
        <v>1090</v>
      </c>
      <c r="DN6" s="1271" t="s">
        <v>1693</v>
      </c>
      <c r="DO6" s="1272"/>
      <c r="DP6" s="1272"/>
      <c r="DR6" s="311"/>
      <c r="DS6" s="750" t="s">
        <v>1694</v>
      </c>
      <c r="DT6" s="311"/>
      <c r="DU6" s="741"/>
      <c r="DV6" s="311"/>
      <c r="DW6" s="900"/>
      <c r="DY6" s="1269" t="s">
        <v>1117</v>
      </c>
      <c r="DZ6" s="1270"/>
      <c r="EA6" s="780" t="s">
        <v>1709</v>
      </c>
      <c r="EC6" s="575"/>
      <c r="EE6" s="1243" t="s">
        <v>1713</v>
      </c>
      <c r="EH6" s="1243" t="s">
        <v>1722</v>
      </c>
      <c r="EI6" s="1243" t="s">
        <v>1814</v>
      </c>
    </row>
    <row r="7" spans="1:139" s="293" customFormat="1" ht="38.700000000000003" customHeight="1" thickBot="1" x14ac:dyDescent="0.35">
      <c r="A7" s="1221"/>
      <c r="B7" s="1229"/>
      <c r="C7" s="1229"/>
      <c r="D7" s="1232"/>
      <c r="E7" s="1201"/>
      <c r="F7" s="1235"/>
      <c r="G7" s="1238"/>
      <c r="H7" s="1241"/>
      <c r="I7" s="1208" t="s">
        <v>431</v>
      </c>
      <c r="J7" s="1204"/>
      <c r="K7" s="1204"/>
      <c r="L7" s="1203" t="s">
        <v>432</v>
      </c>
      <c r="M7" s="1204"/>
      <c r="N7" s="1205"/>
      <c r="O7" s="1208" t="s">
        <v>433</v>
      </c>
      <c r="P7" s="1204"/>
      <c r="Q7" s="1204"/>
      <c r="R7" s="1203" t="s">
        <v>434</v>
      </c>
      <c r="S7" s="1204"/>
      <c r="T7" s="1205"/>
      <c r="U7" s="1208" t="s">
        <v>435</v>
      </c>
      <c r="V7" s="1204"/>
      <c r="W7" s="1204"/>
      <c r="X7" s="1203" t="s">
        <v>436</v>
      </c>
      <c r="Y7" s="1204"/>
      <c r="Z7" s="1205"/>
      <c r="AA7" s="1208" t="s">
        <v>437</v>
      </c>
      <c r="AB7" s="1204"/>
      <c r="AC7" s="1204"/>
      <c r="AD7" s="1203" t="s">
        <v>438</v>
      </c>
      <c r="AE7" s="1204"/>
      <c r="AF7" s="1204"/>
      <c r="AG7" s="1203" t="s">
        <v>442</v>
      </c>
      <c r="AH7" s="1204"/>
      <c r="AI7" s="1205"/>
      <c r="AJ7" s="1161"/>
      <c r="AK7" s="1162"/>
      <c r="AL7" s="1163"/>
      <c r="AM7" s="1162"/>
      <c r="AN7" s="1162"/>
      <c r="AO7" s="1162"/>
      <c r="AP7" s="1196"/>
      <c r="AQ7" s="1162"/>
      <c r="AR7" s="1162"/>
      <c r="AS7" s="1225"/>
      <c r="AT7" s="1226"/>
      <c r="AU7" s="1227"/>
      <c r="AV7" s="1176" t="s">
        <v>444</v>
      </c>
      <c r="AW7" s="1187"/>
      <c r="AX7" s="1188"/>
      <c r="AY7" s="1185" t="s">
        <v>445</v>
      </c>
      <c r="AZ7" s="1186"/>
      <c r="BA7" s="1186"/>
      <c r="BB7" s="1176" t="s">
        <v>446</v>
      </c>
      <c r="BC7" s="1187"/>
      <c r="BD7" s="1188"/>
      <c r="BE7" s="1185" t="s">
        <v>447</v>
      </c>
      <c r="BF7" s="1186"/>
      <c r="BG7" s="1186"/>
      <c r="BH7" s="1176" t="s">
        <v>448</v>
      </c>
      <c r="BI7" s="1187"/>
      <c r="BJ7" s="1188"/>
      <c r="BK7" s="1185" t="s">
        <v>449</v>
      </c>
      <c r="BL7" s="1186"/>
      <c r="BM7" s="1186"/>
      <c r="BN7" s="1176" t="s">
        <v>450</v>
      </c>
      <c r="BO7" s="1187"/>
      <c r="BP7" s="1188"/>
      <c r="BQ7" s="1179" t="s">
        <v>452</v>
      </c>
      <c r="BR7" s="1180"/>
      <c r="BS7" s="1181"/>
      <c r="BT7" s="1197"/>
      <c r="BU7" s="1198"/>
      <c r="BV7" s="1199"/>
      <c r="BW7" s="1189"/>
      <c r="BX7" s="1190"/>
      <c r="BY7" s="1191"/>
      <c r="BZ7" s="1194"/>
      <c r="CA7" s="1195"/>
      <c r="CB7" s="1195"/>
      <c r="CC7" s="1170"/>
      <c r="CD7" s="1171"/>
      <c r="CE7" s="1172"/>
      <c r="CF7" s="1171"/>
      <c r="CG7" s="1171"/>
      <c r="CH7" s="1171"/>
      <c r="CI7" s="1165" t="s">
        <v>31</v>
      </c>
      <c r="CJ7" s="1166"/>
      <c r="CK7" s="1166"/>
      <c r="CL7" s="1176" t="s">
        <v>32</v>
      </c>
      <c r="CM7" s="1177"/>
      <c r="CN7" s="1178"/>
      <c r="CO7" s="1176" t="s">
        <v>453</v>
      </c>
      <c r="CP7" s="1177"/>
      <c r="CQ7" s="1178"/>
      <c r="CR7" s="1211"/>
      <c r="CS7" s="1212"/>
      <c r="CT7" s="1213"/>
      <c r="CU7" s="1217"/>
      <c r="CV7" s="1218"/>
      <c r="CW7" s="1219"/>
      <c r="CX7" s="1253"/>
      <c r="CY7" s="1254"/>
      <c r="CZ7" s="1255"/>
      <c r="DA7" s="1257"/>
      <c r="DB7" s="2"/>
      <c r="DC7" s="1259" t="s">
        <v>1098</v>
      </c>
      <c r="DD7" s="1260"/>
      <c r="DE7" s="1260"/>
      <c r="DF7" s="1268"/>
      <c r="DG7" s="1249"/>
      <c r="DH7" s="1265"/>
      <c r="DI7" s="768" t="s">
        <v>1702</v>
      </c>
      <c r="DJ7" s="457"/>
      <c r="DK7" s="1247"/>
      <c r="DL7" s="1247"/>
      <c r="DM7" s="1247"/>
      <c r="DN7" s="734"/>
      <c r="DO7" s="734" t="s">
        <v>1691</v>
      </c>
      <c r="DP7" s="641"/>
      <c r="DR7" s="311"/>
      <c r="DS7" s="732"/>
      <c r="DT7" s="311"/>
      <c r="DU7" s="741"/>
      <c r="DV7" s="311"/>
      <c r="DW7" s="900"/>
      <c r="DY7" s="415" t="s">
        <v>1013</v>
      </c>
      <c r="DZ7" s="415" t="s">
        <v>440</v>
      </c>
      <c r="EA7" s="780"/>
      <c r="EC7" s="575"/>
      <c r="EE7" s="1244"/>
      <c r="EH7" s="1244"/>
      <c r="EI7" s="1244"/>
    </row>
    <row r="8" spans="1:139" s="86" customFormat="1" ht="72" customHeight="1" thickBot="1" x14ac:dyDescent="0.35">
      <c r="A8" s="1222"/>
      <c r="B8" s="1230"/>
      <c r="C8" s="1230"/>
      <c r="D8" s="1233"/>
      <c r="E8" s="1202"/>
      <c r="F8" s="1236"/>
      <c r="G8" s="1239"/>
      <c r="H8" s="1242"/>
      <c r="I8" s="1090" t="s">
        <v>439</v>
      </c>
      <c r="J8" s="81" t="s">
        <v>440</v>
      </c>
      <c r="K8" s="82" t="s">
        <v>441</v>
      </c>
      <c r="L8" s="91" t="s">
        <v>439</v>
      </c>
      <c r="M8" s="92" t="s">
        <v>440</v>
      </c>
      <c r="N8" s="93" t="s">
        <v>441</v>
      </c>
      <c r="O8" s="94" t="s">
        <v>439</v>
      </c>
      <c r="P8" s="92" t="s">
        <v>440</v>
      </c>
      <c r="Q8" s="95" t="s">
        <v>441</v>
      </c>
      <c r="R8" s="91" t="s">
        <v>439</v>
      </c>
      <c r="S8" s="92" t="s">
        <v>440</v>
      </c>
      <c r="T8" s="93" t="s">
        <v>441</v>
      </c>
      <c r="U8" s="94" t="s">
        <v>439</v>
      </c>
      <c r="V8" s="92" t="s">
        <v>440</v>
      </c>
      <c r="W8" s="95" t="s">
        <v>441</v>
      </c>
      <c r="X8" s="91" t="s">
        <v>439</v>
      </c>
      <c r="Y8" s="92" t="s">
        <v>440</v>
      </c>
      <c r="Z8" s="93" t="s">
        <v>441</v>
      </c>
      <c r="AA8" s="94" t="s">
        <v>439</v>
      </c>
      <c r="AB8" s="92" t="s">
        <v>440</v>
      </c>
      <c r="AC8" s="95" t="s">
        <v>441</v>
      </c>
      <c r="AD8" s="91" t="s">
        <v>439</v>
      </c>
      <c r="AE8" s="92" t="s">
        <v>440</v>
      </c>
      <c r="AF8" s="95" t="s">
        <v>441</v>
      </c>
      <c r="AG8" s="96" t="s">
        <v>439</v>
      </c>
      <c r="AH8" s="92" t="s">
        <v>440</v>
      </c>
      <c r="AI8" s="93" t="s">
        <v>441</v>
      </c>
      <c r="AJ8" s="294" t="s">
        <v>439</v>
      </c>
      <c r="AK8" s="89" t="s">
        <v>440</v>
      </c>
      <c r="AL8" s="90" t="s">
        <v>441</v>
      </c>
      <c r="AM8" s="294" t="s">
        <v>439</v>
      </c>
      <c r="AN8" s="89" t="s">
        <v>440</v>
      </c>
      <c r="AO8" s="97" t="s">
        <v>441</v>
      </c>
      <c r="AP8" s="98" t="s">
        <v>439</v>
      </c>
      <c r="AQ8" s="89" t="s">
        <v>440</v>
      </c>
      <c r="AR8" s="97" t="s">
        <v>441</v>
      </c>
      <c r="AS8" s="98" t="s">
        <v>439</v>
      </c>
      <c r="AT8" s="89" t="s">
        <v>440</v>
      </c>
      <c r="AU8" s="90" t="s">
        <v>441</v>
      </c>
      <c r="AV8" s="98" t="s">
        <v>439</v>
      </c>
      <c r="AW8" s="89" t="s">
        <v>440</v>
      </c>
      <c r="AX8" s="90" t="s">
        <v>441</v>
      </c>
      <c r="AY8" s="294" t="s">
        <v>439</v>
      </c>
      <c r="AZ8" s="89" t="s">
        <v>440</v>
      </c>
      <c r="BA8" s="97" t="s">
        <v>441</v>
      </c>
      <c r="BB8" s="98" t="s">
        <v>439</v>
      </c>
      <c r="BC8" s="89" t="s">
        <v>440</v>
      </c>
      <c r="BD8" s="90" t="s">
        <v>441</v>
      </c>
      <c r="BE8" s="294" t="s">
        <v>439</v>
      </c>
      <c r="BF8" s="89" t="s">
        <v>440</v>
      </c>
      <c r="BG8" s="97" t="s">
        <v>441</v>
      </c>
      <c r="BH8" s="98" t="s">
        <v>439</v>
      </c>
      <c r="BI8" s="89" t="s">
        <v>440</v>
      </c>
      <c r="BJ8" s="90" t="s">
        <v>441</v>
      </c>
      <c r="BK8" s="294" t="s">
        <v>439</v>
      </c>
      <c r="BL8" s="89" t="s">
        <v>440</v>
      </c>
      <c r="BM8" s="97" t="s">
        <v>441</v>
      </c>
      <c r="BN8" s="98" t="s">
        <v>439</v>
      </c>
      <c r="BO8" s="89" t="s">
        <v>440</v>
      </c>
      <c r="BP8" s="90" t="s">
        <v>441</v>
      </c>
      <c r="BQ8" s="88" t="s">
        <v>439</v>
      </c>
      <c r="BR8" s="89" t="s">
        <v>440</v>
      </c>
      <c r="BS8" s="90" t="s">
        <v>441</v>
      </c>
      <c r="BT8" s="98" t="s">
        <v>439</v>
      </c>
      <c r="BU8" s="89" t="s">
        <v>440</v>
      </c>
      <c r="BV8" s="90" t="s">
        <v>441</v>
      </c>
      <c r="BW8" s="88" t="s">
        <v>439</v>
      </c>
      <c r="BX8" s="89" t="s">
        <v>440</v>
      </c>
      <c r="BY8" s="90" t="s">
        <v>441</v>
      </c>
      <c r="BZ8" s="88" t="s">
        <v>439</v>
      </c>
      <c r="CA8" s="89" t="s">
        <v>440</v>
      </c>
      <c r="CB8" s="97" t="s">
        <v>441</v>
      </c>
      <c r="CC8" s="88" t="s">
        <v>439</v>
      </c>
      <c r="CD8" s="89" t="s">
        <v>440</v>
      </c>
      <c r="CE8" s="90" t="s">
        <v>441</v>
      </c>
      <c r="CF8" s="99" t="s">
        <v>439</v>
      </c>
      <c r="CG8" s="89" t="s">
        <v>440</v>
      </c>
      <c r="CH8" s="97" t="s">
        <v>441</v>
      </c>
      <c r="CI8" s="88" t="s">
        <v>439</v>
      </c>
      <c r="CJ8" s="89" t="s">
        <v>440</v>
      </c>
      <c r="CK8" s="97" t="s">
        <v>441</v>
      </c>
      <c r="CL8" s="88" t="s">
        <v>439</v>
      </c>
      <c r="CM8" s="89" t="s">
        <v>440</v>
      </c>
      <c r="CN8" s="90" t="s">
        <v>441</v>
      </c>
      <c r="CO8" s="88" t="s">
        <v>439</v>
      </c>
      <c r="CP8" s="89" t="s">
        <v>440</v>
      </c>
      <c r="CQ8" s="90" t="s">
        <v>441</v>
      </c>
      <c r="CR8" s="88" t="s">
        <v>439</v>
      </c>
      <c r="CS8" s="89" t="s">
        <v>440</v>
      </c>
      <c r="CT8" s="90" t="s">
        <v>441</v>
      </c>
      <c r="CU8" s="96" t="s">
        <v>1012</v>
      </c>
      <c r="CV8" s="154" t="s">
        <v>440</v>
      </c>
      <c r="CW8" s="95" t="s">
        <v>441</v>
      </c>
      <c r="CX8" s="69" t="s">
        <v>1013</v>
      </c>
      <c r="CY8" s="158" t="s">
        <v>440</v>
      </c>
      <c r="CZ8" s="159" t="s">
        <v>441</v>
      </c>
      <c r="DA8" s="1258"/>
      <c r="DB8" s="2"/>
      <c r="DC8" s="700" t="s">
        <v>1099</v>
      </c>
      <c r="DD8" s="701" t="s">
        <v>1100</v>
      </c>
      <c r="DE8" s="1260"/>
      <c r="DF8" s="1268"/>
      <c r="DG8" s="1250"/>
      <c r="DH8" s="1266"/>
      <c r="DI8" s="768"/>
      <c r="DJ8" s="457"/>
      <c r="DK8" s="1247"/>
      <c r="DL8" s="1247"/>
      <c r="DM8" s="1247"/>
      <c r="DN8" s="734" t="s">
        <v>1091</v>
      </c>
      <c r="DO8" s="734" t="s">
        <v>1092</v>
      </c>
      <c r="DP8" s="300" t="s">
        <v>1046</v>
      </c>
      <c r="DR8" s="300" t="s">
        <v>1563</v>
      </c>
      <c r="DS8" s="732" t="s">
        <v>1564</v>
      </c>
      <c r="DT8" s="300" t="s">
        <v>1046</v>
      </c>
      <c r="DU8" s="742"/>
      <c r="DV8" s="5"/>
      <c r="DW8" s="901" t="s">
        <v>1703</v>
      </c>
      <c r="DX8" s="86" t="s">
        <v>1669</v>
      </c>
      <c r="DY8" s="415"/>
      <c r="DZ8" s="415"/>
      <c r="EA8" s="781"/>
      <c r="EC8" s="576"/>
      <c r="EE8" s="1245"/>
      <c r="EH8" s="1245"/>
      <c r="EI8" s="1245"/>
    </row>
    <row r="9" spans="1:139" ht="14.1" hidden="1" customHeight="1" x14ac:dyDescent="0.3">
      <c r="A9" s="318">
        <v>150001053</v>
      </c>
      <c r="B9" s="43" t="s">
        <v>457</v>
      </c>
      <c r="C9" s="83" t="s">
        <v>146</v>
      </c>
      <c r="D9" s="83" t="s">
        <v>146</v>
      </c>
      <c r="E9" s="39">
        <f t="shared" ref="E9:E72" si="4">F9+H9</f>
        <v>372.8</v>
      </c>
      <c r="F9" s="480">
        <f>'[1]побудинковий звіт'!F9</f>
        <v>372.8</v>
      </c>
      <c r="G9" s="785">
        <f>'[1]побудинковий звіт'!G9</f>
        <v>0</v>
      </c>
      <c r="H9" s="1091">
        <f>'[1]побудинковий звіт'!H9</f>
        <v>0</v>
      </c>
      <c r="I9" s="41">
        <f>'[2]побудинковий звіт'!I9+'[1]побудинковий звіт'!I9</f>
        <v>2132.2470277747652</v>
      </c>
      <c r="J9" s="41">
        <f>'[2]побудинковий звіт'!J9+'[1]побудинковий звіт'!J9</f>
        <v>2192.064252201711</v>
      </c>
      <c r="K9" s="74">
        <f t="shared" ref="K9:K72" si="5">J9-I9</f>
        <v>59.817224426945813</v>
      </c>
      <c r="L9" s="41">
        <f>'[2]побудинковий звіт'!L9+'[1]побудинковий звіт'!L9</f>
        <v>357.5490612598702</v>
      </c>
      <c r="M9" s="41">
        <f>'[2]побудинковий звіт'!M9+'[1]побудинковий звіт'!M9</f>
        <v>387.10758267700896</v>
      </c>
      <c r="N9" s="74">
        <f t="shared" ref="N9:N72" si="6">M9-L9</f>
        <v>29.558521417138763</v>
      </c>
      <c r="O9" s="41">
        <f>'[2]побудинковий звіт'!O9+'[1]побудинковий звіт'!O9</f>
        <v>696.29890823063602</v>
      </c>
      <c r="P9" s="41">
        <f>'[2]побудинковий звіт'!P9+'[1]побудинковий звіт'!P9</f>
        <v>697.96306129540631</v>
      </c>
      <c r="Q9" s="74">
        <f t="shared" ref="Q9:Q72" si="7">P9-O9</f>
        <v>1.6641530647702893</v>
      </c>
      <c r="R9" s="41">
        <f>'[2]побудинковий звіт'!R9+'[1]побудинковий звіт'!R9</f>
        <v>0</v>
      </c>
      <c r="S9" s="41">
        <f>'[2]побудинковий звіт'!S9+'[1]побудинковий звіт'!S9</f>
        <v>0</v>
      </c>
      <c r="T9" s="74">
        <f t="shared" ref="T9:T72" si="8">S9-R9</f>
        <v>0</v>
      </c>
      <c r="U9" s="41">
        <f>'[2]побудинковий звіт'!U9+'[1]побудинковий звіт'!U9</f>
        <v>0</v>
      </c>
      <c r="V9" s="41">
        <f>'[2]побудинковий звіт'!V9+'[1]побудинковий звіт'!V9</f>
        <v>0</v>
      </c>
      <c r="W9" s="74">
        <f t="shared" ref="W9:W72" si="9">V9-U9</f>
        <v>0</v>
      </c>
      <c r="X9" s="41">
        <f>'[2]побудинковий звіт'!X9+'[1]побудинковий звіт'!X9</f>
        <v>481.08949351353829</v>
      </c>
      <c r="Y9" s="41">
        <f>'[2]побудинковий звіт'!Y9+'[1]побудинковий звіт'!Y9</f>
        <v>401.93192004215337</v>
      </c>
      <c r="Z9" s="74">
        <f t="shared" ref="Z9:Z72" si="10">Y9-X9</f>
        <v>-79.157573471384922</v>
      </c>
      <c r="AA9" s="41">
        <f>'[2]побудинковий звіт'!AA9+'[1]побудинковий звіт'!AA9</f>
        <v>0</v>
      </c>
      <c r="AB9" s="41">
        <f>'[2]побудинковий звіт'!AB9+'[1]побудинковий звіт'!AB9</f>
        <v>0</v>
      </c>
      <c r="AC9" s="74">
        <f t="shared" ref="AC9:AC72" si="11">AB9-AA9</f>
        <v>0</v>
      </c>
      <c r="AD9" s="41">
        <f>'[2]побудинковий звіт'!AD9+'[1]побудинковий звіт'!AD9</f>
        <v>1616.9499747386653</v>
      </c>
      <c r="AE9" s="41">
        <f>'[2]побудинковий звіт'!AE9+'[1]побудинковий звіт'!AE9</f>
        <v>1610.6612191469858</v>
      </c>
      <c r="AF9" s="72">
        <f t="shared" ref="AF9:AF72" si="12">AE9-AD9</f>
        <v>-6.2887555916795463</v>
      </c>
      <c r="AG9" s="84">
        <f t="shared" ref="AG9:AG72" si="13">I9+L9+O9+R9+U9+X9+AA9+AD9</f>
        <v>5284.1344655174753</v>
      </c>
      <c r="AH9" s="56">
        <f t="shared" ref="AH9:AH72" si="14">J9+M9+P9+S9+V9+Y9+AB9+AE9</f>
        <v>5289.728035363265</v>
      </c>
      <c r="AI9" s="74">
        <f t="shared" ref="AI9:AI72" si="15">AH9-AG9</f>
        <v>5.5935698457897161</v>
      </c>
      <c r="AJ9" s="41">
        <f>'[2]побудинковий звіт'!AJ9+'[1]побудинковий звіт'!AJ9</f>
        <v>0</v>
      </c>
      <c r="AK9" s="41">
        <f>'[2]побудинковий звіт'!AK9+'[1]побудинковий звіт'!AK9</f>
        <v>0</v>
      </c>
      <c r="AL9" s="74">
        <f t="shared" ref="AL9:AL72" si="16">AK9-AJ9</f>
        <v>0</v>
      </c>
      <c r="AM9" s="41">
        <f>'[2]побудинковий звіт'!AM9+'[1]побудинковий звіт'!AM9</f>
        <v>0</v>
      </c>
      <c r="AN9" s="41">
        <f>'[2]побудинковий звіт'!AN9+'[1]побудинковий звіт'!AN9</f>
        <v>0</v>
      </c>
      <c r="AO9" s="74">
        <f t="shared" ref="AO9:AO72" si="17">AN9-AM9</f>
        <v>0</v>
      </c>
      <c r="AP9" s="41">
        <f>'[2]побудинковий звіт'!AP9+'[1]побудинковий звіт'!AP9</f>
        <v>1507.5468045937735</v>
      </c>
      <c r="AQ9" s="41">
        <f>'[2]побудинковий звіт'!AQ9+'[1]побудинковий звіт'!AQ9</f>
        <v>1005.7137036113381</v>
      </c>
      <c r="AR9" s="74">
        <f t="shared" ref="AR9:AR72" si="18">AQ9-AP9</f>
        <v>-501.83310098243533</v>
      </c>
      <c r="AS9" s="41">
        <f>'[2]побудинковий звіт'!AS9+'[1]побудинковий звіт'!AS9</f>
        <v>6711.8467400643603</v>
      </c>
      <c r="AT9" s="41">
        <f>'[2]побудинковий звіт'!AT9+'[1]побудинковий звіт'!AT9</f>
        <v>248.49274725836409</v>
      </c>
      <c r="AU9" s="85">
        <f t="shared" ref="AU9:AU72" si="19">AT9-AS9</f>
        <v>-6463.3539928059963</v>
      </c>
      <c r="AV9" s="41">
        <f>'[2]побудинковий звіт'!AV9+'[1]побудинковий звіт'!AV9</f>
        <v>392.38484246161892</v>
      </c>
      <c r="AW9" s="41">
        <f>'[2]побудинковий звіт'!AW9+'[1]побудинковий звіт'!AW9</f>
        <v>0</v>
      </c>
      <c r="AX9" s="58">
        <f t="shared" ref="AX9:AX72" si="20">AW9-AV9</f>
        <v>-392.38484246161892</v>
      </c>
      <c r="AY9" s="41">
        <f>'[2]побудинковий звіт'!AY9+'[1]побудинковий звіт'!AY9</f>
        <v>428.91763166888427</v>
      </c>
      <c r="AZ9" s="41">
        <f>'[2]побудинковий звіт'!AZ9+'[1]побудинковий звіт'!AZ9</f>
        <v>0</v>
      </c>
      <c r="BA9" s="38">
        <f t="shared" ref="BA9:BA72" si="21">AZ9-AY9</f>
        <v>-428.91763166888427</v>
      </c>
      <c r="BB9" s="41">
        <f>'[2]побудинковий звіт'!BB9+'[1]побудинковий звіт'!BB9</f>
        <v>276.54338414839378</v>
      </c>
      <c r="BC9" s="41">
        <f>'[2]побудинковий звіт'!BC9+'[1]побудинковий звіт'!BC9</f>
        <v>0</v>
      </c>
      <c r="BD9" s="58">
        <f t="shared" ref="BD9:BD72" si="22">BC9-BB9</f>
        <v>-276.54338414839378</v>
      </c>
      <c r="BE9" s="41">
        <f>'[2]побудинковий звіт'!BE9+'[1]побудинковий звіт'!BE9</f>
        <v>0</v>
      </c>
      <c r="BF9" s="41">
        <f>'[2]побудинковий звіт'!BF9+'[1]побудинковий звіт'!BF9</f>
        <v>0</v>
      </c>
      <c r="BG9" s="58">
        <f t="shared" ref="BG9:BG72" si="23">BF9-BE9</f>
        <v>0</v>
      </c>
      <c r="BH9" s="41">
        <f>'[2]побудинковий звіт'!BH9+'[1]побудинковий звіт'!BH9</f>
        <v>0</v>
      </c>
      <c r="BI9" s="41">
        <f>'[2]побудинковий звіт'!BI9+'[1]побудинковий звіт'!BI9</f>
        <v>0</v>
      </c>
      <c r="BJ9" s="58">
        <f t="shared" ref="BJ9:BJ72" si="24">BI9-BH9</f>
        <v>0</v>
      </c>
      <c r="BK9" s="41">
        <f>'[2]побудинковий звіт'!BK9+'[1]побудинковий звіт'!BK9</f>
        <v>176.76999641673925</v>
      </c>
      <c r="BL9" s="41">
        <f>'[2]побудинковий звіт'!BL9+'[1]побудинковий звіт'!BL9</f>
        <v>0</v>
      </c>
      <c r="BM9" s="58">
        <f t="shared" ref="BM9:BM72" si="25">BL9-BK9</f>
        <v>-176.76999641673925</v>
      </c>
      <c r="BN9" s="41">
        <f>'[2]побудинковий звіт'!BN9+'[1]побудинковий звіт'!BN9</f>
        <v>15.685434319842152</v>
      </c>
      <c r="BO9" s="41">
        <f>'[2]побудинковий звіт'!BO9+'[1]побудинковий звіт'!BO9</f>
        <v>0</v>
      </c>
      <c r="BP9" s="58">
        <f t="shared" ref="BP9:BP72" si="26">BO9-BN9</f>
        <v>-15.685434319842152</v>
      </c>
      <c r="BQ9" s="84">
        <f t="shared" ref="BQ9:BQ72" si="27">AV9+AY9+BB9+BE9+BH9+BK9+BN9</f>
        <v>1290.3012890154787</v>
      </c>
      <c r="BR9" s="42">
        <f t="shared" ref="BR9:BR72" si="28">AW9+AZ9+BC9+BF9+BI9+BL9+BO9</f>
        <v>0</v>
      </c>
      <c r="BS9" s="58">
        <f t="shared" ref="BS9:BS72" si="29">BR9-BQ9</f>
        <v>-1290.3012890154787</v>
      </c>
      <c r="BT9" s="41">
        <f>'[2]побудинковий звіт'!BT9+'[1]побудинковий звіт'!BT9</f>
        <v>4627.1686910515464</v>
      </c>
      <c r="BU9" s="41">
        <f>'[2]побудинковий звіт'!BU9+'[1]побудинковий звіт'!BU9</f>
        <v>13069.393541762265</v>
      </c>
      <c r="BV9" s="74">
        <f t="shared" ref="BV9:BV72" si="30">BU9-BT9</f>
        <v>8442.2248507107179</v>
      </c>
      <c r="BW9" s="41">
        <f>'[2]побудинковий звіт'!BW9+'[1]побудинковий звіт'!BW9</f>
        <v>2351.9770250282468</v>
      </c>
      <c r="BX9" s="41">
        <f>'[2]побудинковий звіт'!BX9+'[1]побудинковий звіт'!BX9</f>
        <v>3623.6129612122222</v>
      </c>
      <c r="BY9" s="74">
        <f t="shared" ref="BY9:BY72" si="31">BX9-BW9</f>
        <v>1271.6359361839754</v>
      </c>
      <c r="BZ9" s="41">
        <f>'[2]побудинковий звіт'!BZ9+'[1]побудинковий звіт'!BZ9</f>
        <v>700.64678805159213</v>
      </c>
      <c r="CA9" s="41">
        <f>'[2]побудинковий звіт'!CA9+'[1]побудинковий звіт'!CA9</f>
        <v>1220.5405659684859</v>
      </c>
      <c r="CB9" s="74">
        <f t="shared" ref="CB9:CB72" si="32">CA9-BZ9</f>
        <v>519.89377791689378</v>
      </c>
      <c r="CC9" s="41">
        <f>'[2]побудинковий звіт'!CC9+'[1]побудинковий звіт'!CC9</f>
        <v>0</v>
      </c>
      <c r="CD9" s="41">
        <f>'[2]побудинковий звіт'!CD9+'[1]побудинковий звіт'!CD9</f>
        <v>0</v>
      </c>
      <c r="CE9" s="74">
        <f t="shared" ref="CE9:CE72" si="33">CD9-CC9</f>
        <v>0</v>
      </c>
      <c r="CF9" s="41">
        <f>'[2]побудинковий звіт'!CF9+'[1]побудинковий звіт'!CF9</f>
        <v>0</v>
      </c>
      <c r="CG9" s="41">
        <f>'[2]побудинковий звіт'!CG9+'[1]побудинковий звіт'!CG9</f>
        <v>0</v>
      </c>
      <c r="CH9" s="74">
        <f t="shared" ref="CH9:CH72" si="34">CG9-CF9</f>
        <v>0</v>
      </c>
      <c r="CI9" s="41">
        <f>'[2]побудинковий звіт'!CI9+'[1]побудинковий звіт'!CI9</f>
        <v>0</v>
      </c>
      <c r="CJ9" s="41">
        <f>'[2]побудинковий звіт'!CJ9+'[1]побудинковий звіт'!CJ9</f>
        <v>0</v>
      </c>
      <c r="CK9" s="74">
        <f t="shared" ref="CK9:CK72" si="35">CJ9-CI9</f>
        <v>0</v>
      </c>
      <c r="CL9" s="41">
        <f>'[2]побудинковий звіт'!CL9+'[1]побудинковий звіт'!CL9</f>
        <v>0</v>
      </c>
      <c r="CM9" s="41">
        <f>'[2]побудинковий звіт'!CM9+'[1]побудинковий звіт'!CM9</f>
        <v>0</v>
      </c>
      <c r="CN9" s="74">
        <f t="shared" ref="CN9:CN72" si="36">CM9-CL9</f>
        <v>0</v>
      </c>
      <c r="CO9" s="41">
        <f t="shared" ref="CO9:CO72" si="37">CI9+CL9</f>
        <v>0</v>
      </c>
      <c r="CP9" s="42">
        <f t="shared" ref="CP9:CP72" si="38">CJ9+CM9</f>
        <v>0</v>
      </c>
      <c r="CQ9" s="74">
        <f t="shared" ref="CQ9:CQ72" si="39">CP9-CO9</f>
        <v>0</v>
      </c>
      <c r="CR9" s="77">
        <f t="shared" ref="CR9:CR72" si="40">AG9+AJ9+AM9+AP9+AS9+BQ9+BT9+BW9+BZ9+CC9+CF9+CO9</f>
        <v>22473.621803322472</v>
      </c>
      <c r="CS9" s="42">
        <f t="shared" ref="CS9:CS72" si="41">AH9+AK9+AN9+AQ9+AT9+BR9+BU9+BX9+CA9+CD9+CG9+CP9</f>
        <v>24457.481555175942</v>
      </c>
      <c r="CT9" s="74">
        <f t="shared" ref="CT9:CT72" si="42">CS9-CR9</f>
        <v>1983.8597518534698</v>
      </c>
      <c r="CU9" s="84">
        <f t="shared" ref="CU9:CU72" si="43">CR9*1.2</f>
        <v>26968.346163986967</v>
      </c>
      <c r="CV9" s="68">
        <f t="shared" ref="CV9:CV72" si="44">CS9*1.2</f>
        <v>29348.977866211131</v>
      </c>
      <c r="CW9" s="72">
        <f t="shared" ref="CW9:CW72" si="45">CV9-CU9</f>
        <v>2380.6317022241637</v>
      </c>
      <c r="CX9" s="41">
        <f>'[2]побудинковий звіт'!CX9+'[1]побудинковий звіт'!CX9</f>
        <v>137.83245411605202</v>
      </c>
      <c r="CY9" s="41">
        <f>'[2]побудинковий звіт'!CY9+'[1]побудинковий звіт'!CY9</f>
        <v>-2242.7992481081055</v>
      </c>
      <c r="CZ9" s="58">
        <f t="shared" ref="CZ9:CZ72" si="46">CY9-CX9</f>
        <v>-2380.6317022241574</v>
      </c>
      <c r="DA9" s="254">
        <f>'[1]побудинковий звіт'!DA9</f>
        <v>21000.690439034672</v>
      </c>
      <c r="DB9" s="2">
        <v>3</v>
      </c>
      <c r="DC9" s="702">
        <f>'[1]побудинковий звіт'!DC9</f>
        <v>3831.08</v>
      </c>
      <c r="DD9" s="702">
        <f>'[1]побудинковий звіт'!DD9</f>
        <v>0</v>
      </c>
      <c r="DE9" s="702">
        <f>'[1]побудинковий звіт'!DE9</f>
        <v>861.79999999999973</v>
      </c>
      <c r="DF9" s="702">
        <f>'[1]побудинковий звіт'!DF9</f>
        <v>0</v>
      </c>
      <c r="DG9" s="772">
        <v>20518.390529656863</v>
      </c>
      <c r="DH9" s="749">
        <f t="shared" ref="DH9:DH72" si="47">(CU9+CX9)*12</f>
        <v>325274.14341723622</v>
      </c>
      <c r="DI9" s="769"/>
      <c r="DJ9" s="42"/>
      <c r="DK9" s="307">
        <f>VLOOKUP($A9,ціни!$A$4:$G$401,5)</f>
        <v>5.7005824203229967</v>
      </c>
      <c r="DL9" s="307"/>
      <c r="DM9" s="307">
        <f>VLOOKUP($A9,ціни!$A$4:$G$401,7)</f>
        <v>5.1294110528349899</v>
      </c>
      <c r="DN9" s="29">
        <f>F9*DK9</f>
        <v>2125.177126296413</v>
      </c>
      <c r="DO9" s="29">
        <f>H9*DM9</f>
        <v>0</v>
      </c>
      <c r="DP9" s="306">
        <f t="shared" ref="DP9:DP72" si="48">DN9+DO9</f>
        <v>2125.177126296413</v>
      </c>
      <c r="DQ9" s="101"/>
      <c r="DR9" s="29">
        <f>VLOOKUP(A9,'ДЗ нас '!$A$1:$C$359,2)</f>
        <v>2125.1999999999998</v>
      </c>
      <c r="DS9" s="733"/>
      <c r="DT9" s="29">
        <f t="shared" ref="DT9:DT72" si="49">DR9+DS9</f>
        <v>2125.1999999999998</v>
      </c>
      <c r="DU9" s="247">
        <f>VLOOKUP(A9,'новий кошторис с 01.06'!$A$4:$AI$399,35)*1.2</f>
        <v>2125.1771262964135</v>
      </c>
      <c r="DV9" s="29">
        <f t="shared" ref="DV9:DV72" si="50">DT9-DU9</f>
        <v>2.2873703586355987E-2</v>
      </c>
      <c r="DW9" s="1016">
        <f>'[2]побудинковий звіт'!$DW$9+'[1]побудинковий звіт'!DW9</f>
        <v>0</v>
      </c>
      <c r="DX9" s="101">
        <f>'[1]побудинковий звіт'!DX9</f>
        <v>0</v>
      </c>
      <c r="DY9" s="5">
        <f t="shared" ref="DY9:DY72" si="51">(AS9+BQ9)*1.2</f>
        <v>9602.5776348958061</v>
      </c>
      <c r="DZ9" s="5">
        <f t="shared" ref="DZ9:DZ72" si="52">(AT9+BR9)*1.2</f>
        <v>298.19129671003691</v>
      </c>
      <c r="EA9" s="737">
        <f t="shared" ref="EA9:EA72" si="53">DE9+DF9</f>
        <v>861.79999999999973</v>
      </c>
      <c r="EC9" s="577">
        <f t="shared" ref="EC9:EC72" si="54">AS9*12</f>
        <v>80542.160880772324</v>
      </c>
      <c r="EE9" s="743">
        <v>-2238</v>
      </c>
      <c r="EF9" s="723">
        <f t="shared" ref="EF9:EF72" si="55">EE9+DG9</f>
        <v>18280.390529656863</v>
      </c>
      <c r="EH9" s="798">
        <v>18653.739760113393</v>
      </c>
      <c r="EI9" s="101">
        <f>VLOOKUP(A9,'кошти 01.01.24'!$A$9:$D$352,4,FALSE)</f>
        <v>18620.058736810508</v>
      </c>
    </row>
    <row r="10" spans="1:139" hidden="1" x14ac:dyDescent="0.3">
      <c r="A10" s="318">
        <v>150000753</v>
      </c>
      <c r="B10" s="43" t="s">
        <v>458</v>
      </c>
      <c r="C10" s="44" t="s">
        <v>239</v>
      </c>
      <c r="D10" s="44" t="s">
        <v>239</v>
      </c>
      <c r="E10" s="39">
        <f t="shared" si="4"/>
        <v>1841.15</v>
      </c>
      <c r="F10" s="205">
        <f>'[1]побудинковий звіт'!F10</f>
        <v>1841.15</v>
      </c>
      <c r="G10" s="29">
        <f>'[1]побудинковий звіт'!G10</f>
        <v>0</v>
      </c>
      <c r="H10" s="148">
        <f>'[1]побудинковий звіт'!H10</f>
        <v>0</v>
      </c>
      <c r="I10" s="41">
        <f>'[2]побудинковий звіт'!I10+'[1]побудинковий звіт'!I10</f>
        <v>7429.8952499607703</v>
      </c>
      <c r="J10" s="41">
        <f>'[2]побудинковий звіт'!J10+'[1]побудинковий звіт'!J10</f>
        <v>7607.6590317957698</v>
      </c>
      <c r="K10" s="55">
        <f t="shared" si="5"/>
        <v>177.76378183499946</v>
      </c>
      <c r="L10" s="41">
        <f>'[2]побудинковий звіт'!L10+'[1]побудинковий звіт'!L10</f>
        <v>1716.2738224429315</v>
      </c>
      <c r="M10" s="41">
        <f>'[2]побудинковий звіт'!M10+'[1]побудинковий звіт'!M10</f>
        <v>1798.8029787295716</v>
      </c>
      <c r="N10" s="55">
        <f t="shared" si="6"/>
        <v>82.529156286640045</v>
      </c>
      <c r="O10" s="41">
        <f>'[2]побудинковий звіт'!O10+'[1]побудинковий звіт'!O10</f>
        <v>2574.8353099763754</v>
      </c>
      <c r="P10" s="41">
        <f>'[2]побудинковий звіт'!P10+'[1]побудинковий звіт'!P10</f>
        <v>2582.2697999751326</v>
      </c>
      <c r="Q10" s="55">
        <f t="shared" si="7"/>
        <v>7.4344899987572717</v>
      </c>
      <c r="R10" s="41">
        <f>'[2]побудинковий звіт'!R10+'[1]побудинковий звіт'!R10</f>
        <v>0</v>
      </c>
      <c r="S10" s="41">
        <f>'[2]побудинковий звіт'!S10+'[1]побудинковий звіт'!S10</f>
        <v>0</v>
      </c>
      <c r="T10" s="55">
        <f t="shared" si="8"/>
        <v>0</v>
      </c>
      <c r="U10" s="41">
        <f>'[2]побудинковий звіт'!U10+'[1]побудинковий звіт'!U10</f>
        <v>187.10196558541708</v>
      </c>
      <c r="V10" s="41">
        <f>'[2]побудинковий звіт'!V10+'[1]побудинковий звіт'!V10</f>
        <v>107.9445908639935</v>
      </c>
      <c r="W10" s="55">
        <f t="shared" si="9"/>
        <v>-79.157374721423579</v>
      </c>
      <c r="X10" s="41">
        <f>'[2]побудинковий звіт'!X10+'[1]побудинковий звіт'!X10</f>
        <v>4879.9080667946318</v>
      </c>
      <c r="Y10" s="41">
        <f>'[2]побудинковий звіт'!Y10+'[1]побудинковий звіт'!Y10</f>
        <v>6898.7970212416476</v>
      </c>
      <c r="Z10" s="55">
        <f t="shared" si="10"/>
        <v>2018.8889544470157</v>
      </c>
      <c r="AA10" s="41">
        <f>'[2]побудинковий звіт'!AA10+'[1]побудинковий звіт'!AA10</f>
        <v>0</v>
      </c>
      <c r="AB10" s="41">
        <f>'[2]побудинковий звіт'!AB10+'[1]побудинковий звіт'!AB10</f>
        <v>0</v>
      </c>
      <c r="AC10" s="55">
        <f t="shared" si="11"/>
        <v>0</v>
      </c>
      <c r="AD10" s="41">
        <f>'[2]побудинковий звіт'!AD10+'[1]побудинковий звіт'!AD10</f>
        <v>7984.0228195527579</v>
      </c>
      <c r="AE10" s="41">
        <f>'[2]побудинковий звіт'!AE10+'[1]побудинковий звіт'!AE10</f>
        <v>7953.0322934748356</v>
      </c>
      <c r="AF10" s="36">
        <f t="shared" si="12"/>
        <v>-30.990526077922368</v>
      </c>
      <c r="AG10" s="84">
        <f t="shared" si="13"/>
        <v>24772.037234312884</v>
      </c>
      <c r="AH10" s="56">
        <f t="shared" si="14"/>
        <v>26948.505716080952</v>
      </c>
      <c r="AI10" s="55">
        <f t="shared" si="15"/>
        <v>2176.4684817680682</v>
      </c>
      <c r="AJ10" s="41">
        <f>'[2]побудинковий звіт'!AJ10+'[1]побудинковий звіт'!AJ10</f>
        <v>0</v>
      </c>
      <c r="AK10" s="41">
        <f>'[2]побудинковий звіт'!AK10+'[1]побудинковий звіт'!AK10</f>
        <v>0</v>
      </c>
      <c r="AL10" s="55">
        <f t="shared" si="16"/>
        <v>0</v>
      </c>
      <c r="AM10" s="41">
        <f>'[2]побудинковий звіт'!AM10+'[1]побудинковий звіт'!AM10</f>
        <v>0</v>
      </c>
      <c r="AN10" s="41">
        <f>'[2]побудинковий звіт'!AN10+'[1]побудинковий звіт'!AN10</f>
        <v>0</v>
      </c>
      <c r="AO10" s="55">
        <f t="shared" si="17"/>
        <v>0</v>
      </c>
      <c r="AP10" s="41">
        <f>'[2]побудинковий звіт'!AP10+'[1]побудинковий звіт'!AP10</f>
        <v>4457.6907430734182</v>
      </c>
      <c r="AQ10" s="41">
        <f>'[2]побудинковий звіт'!AQ10+'[1]побудинковий звіт'!AQ10</f>
        <v>4291.2534988098332</v>
      </c>
      <c r="AR10" s="55">
        <f t="shared" si="18"/>
        <v>-166.43724426358494</v>
      </c>
      <c r="AS10" s="41">
        <f>'[2]побудинковий звіт'!AS10+'[1]побудинковий звіт'!AS10</f>
        <v>28510.195970095738</v>
      </c>
      <c r="AT10" s="41">
        <f>'[2]побудинковий звіт'!AT10+'[1]побудинковий звіт'!AT10</f>
        <v>7633.2364842439911</v>
      </c>
      <c r="AU10" s="57">
        <f t="shared" si="19"/>
        <v>-20876.959485851745</v>
      </c>
      <c r="AV10" s="41">
        <f>'[2]побудинковий звіт'!AV10+'[1]побудинковий звіт'!AV10</f>
        <v>1349.5019578799518</v>
      </c>
      <c r="AW10" s="41">
        <f>'[2]побудинковий звіт'!AW10+'[1]побудинковий звіт'!AW10</f>
        <v>0</v>
      </c>
      <c r="AX10" s="58">
        <f t="shared" si="20"/>
        <v>-1349.5019578799518</v>
      </c>
      <c r="AY10" s="41">
        <f>'[2]побудинковий звіт'!AY10+'[1]побудинковий звіт'!AY10</f>
        <v>2234.6980044055163</v>
      </c>
      <c r="AZ10" s="41">
        <f>'[2]побудинковий звіт'!AZ10+'[1]побудинковий звіт'!AZ10</f>
        <v>0</v>
      </c>
      <c r="BA10" s="36">
        <f t="shared" si="21"/>
        <v>-2234.6980044055163</v>
      </c>
      <c r="BB10" s="41">
        <f>'[2]побудинковий звіт'!BB10+'[1]побудинковий звіт'!BB10</f>
        <v>1540.68839453494</v>
      </c>
      <c r="BC10" s="41">
        <f>'[2]побудинковий звіт'!BC10+'[1]побудинковий звіт'!BC10</f>
        <v>0</v>
      </c>
      <c r="BD10" s="58">
        <f t="shared" si="22"/>
        <v>-1540.68839453494</v>
      </c>
      <c r="BE10" s="41">
        <f>'[2]побудинковий звіт'!BE10+'[1]побудинковий звіт'!BE10</f>
        <v>0</v>
      </c>
      <c r="BF10" s="41">
        <f>'[2]побудинковий звіт'!BF10+'[1]побудинковий звіт'!BF10</f>
        <v>0</v>
      </c>
      <c r="BG10" s="38">
        <f t="shared" si="23"/>
        <v>0</v>
      </c>
      <c r="BH10" s="41">
        <f>'[2]побудинковий звіт'!BH10+'[1]побудинковий звіт'!BH10</f>
        <v>110.27308797143304</v>
      </c>
      <c r="BI10" s="41">
        <f>'[2]побудинковий звіт'!BI10+'[1]побудинковий звіт'!BI10</f>
        <v>538.44584269462018</v>
      </c>
      <c r="BJ10" s="58">
        <f t="shared" si="24"/>
        <v>428.17275472318715</v>
      </c>
      <c r="BK10" s="41">
        <f>'[2]побудинковий звіт'!BK10+'[1]побудинковий звіт'!BK10</f>
        <v>811.31608222234036</v>
      </c>
      <c r="BL10" s="41">
        <f>'[2]побудинковий звіт'!BL10+'[1]побудинковий звіт'!BL10</f>
        <v>1210.7967459379233</v>
      </c>
      <c r="BM10" s="38">
        <f t="shared" si="25"/>
        <v>399.48066371558298</v>
      </c>
      <c r="BN10" s="41">
        <f>'[2]побудинковий звіт'!BN10+'[1]побудинковий звіт'!BN10</f>
        <v>437.32509793098109</v>
      </c>
      <c r="BO10" s="41">
        <f>'[2]побудинковий звіт'!BO10+'[1]побудинковий звіт'!BO10</f>
        <v>5581.6815762670003</v>
      </c>
      <c r="BP10" s="58">
        <f t="shared" si="26"/>
        <v>5144.3564783360189</v>
      </c>
      <c r="BQ10" s="84">
        <f t="shared" si="27"/>
        <v>6483.8026249451632</v>
      </c>
      <c r="BR10" s="42">
        <f t="shared" si="28"/>
        <v>7330.9241648995439</v>
      </c>
      <c r="BS10" s="58">
        <f t="shared" si="29"/>
        <v>847.12153995438075</v>
      </c>
      <c r="BT10" s="41">
        <f>'[2]побудинковий звіт'!BT10+'[1]побудинковий звіт'!BT10</f>
        <v>16039.029873049982</v>
      </c>
      <c r="BU10" s="41">
        <f>'[2]побудинковий звіт'!BU10+'[1]побудинковий звіт'!BU10</f>
        <v>29733.937987310332</v>
      </c>
      <c r="BV10" s="55">
        <f t="shared" si="30"/>
        <v>13694.90811426035</v>
      </c>
      <c r="BW10" s="41">
        <f>'[2]побудинковий звіт'!BW10+'[1]побудинковий звіт'!BW10</f>
        <v>15040.626060117207</v>
      </c>
      <c r="BX10" s="41">
        <f>'[2]побудинковий звіт'!BX10+'[1]побудинковий звіт'!BX10</f>
        <v>17012.007826705645</v>
      </c>
      <c r="BY10" s="55">
        <f t="shared" si="31"/>
        <v>1971.381766588438</v>
      </c>
      <c r="BZ10" s="41">
        <f>'[2]побудинковий звіт'!BZ10+'[1]побудинковий звіт'!BZ10</f>
        <v>9709.6729350213263</v>
      </c>
      <c r="CA10" s="41">
        <f>'[2]побудинковий звіт'!CA10+'[1]побудинковий звіт'!CA10</f>
        <v>2966.2237095450791</v>
      </c>
      <c r="CB10" s="55">
        <f t="shared" si="32"/>
        <v>-6743.4492254762472</v>
      </c>
      <c r="CC10" s="41">
        <f>'[2]побудинковий звіт'!CC10+'[1]побудинковий звіт'!CC10</f>
        <v>1195.7751845816078</v>
      </c>
      <c r="CD10" s="41">
        <f>'[2]побудинковий звіт'!CD10+'[1]побудинковий звіт'!CD10</f>
        <v>1199.829924851372</v>
      </c>
      <c r="CE10" s="55">
        <f t="shared" si="33"/>
        <v>4.0547402697641246</v>
      </c>
      <c r="CF10" s="41">
        <f>'[2]побудинковий звіт'!CF10+'[1]побудинковий звіт'!CF10</f>
        <v>148.15018960310897</v>
      </c>
      <c r="CG10" s="41">
        <f>'[2]побудинковий звіт'!CG10+'[1]побудинковий звіт'!CG10</f>
        <v>0</v>
      </c>
      <c r="CH10" s="55">
        <f t="shared" si="34"/>
        <v>-148.15018960310897</v>
      </c>
      <c r="CI10" s="41">
        <f>'[2]побудинковий звіт'!CI10+'[1]побудинковий звіт'!CI10</f>
        <v>1733.1296078717621</v>
      </c>
      <c r="CJ10" s="41">
        <f>'[2]побудинковий звіт'!CJ10+'[1]побудинковий звіт'!CJ10</f>
        <v>1074.5905269473878</v>
      </c>
      <c r="CK10" s="55">
        <f t="shared" si="35"/>
        <v>-658.53908092437428</v>
      </c>
      <c r="CL10" s="41">
        <f>'[2]побудинковий звіт'!CL10+'[1]побудинковий звіт'!CL10</f>
        <v>0</v>
      </c>
      <c r="CM10" s="41">
        <f>'[2]побудинковий звіт'!CM10+'[1]побудинковий звіт'!CM10</f>
        <v>0</v>
      </c>
      <c r="CN10" s="55">
        <f t="shared" si="36"/>
        <v>0</v>
      </c>
      <c r="CO10" s="41">
        <f t="shared" si="37"/>
        <v>1733.1296078717621</v>
      </c>
      <c r="CP10" s="42">
        <f t="shared" si="38"/>
        <v>1074.5905269473878</v>
      </c>
      <c r="CQ10" s="55">
        <f t="shared" si="39"/>
        <v>-658.53908092437428</v>
      </c>
      <c r="CR10" s="76">
        <f t="shared" si="40"/>
        <v>108090.11042267219</v>
      </c>
      <c r="CS10" s="5">
        <f t="shared" si="41"/>
        <v>98190.50983939413</v>
      </c>
      <c r="CT10" s="55">
        <f t="shared" si="42"/>
        <v>-9899.6005832780647</v>
      </c>
      <c r="CU10" s="84">
        <f t="shared" si="43"/>
        <v>129708.13250720662</v>
      </c>
      <c r="CV10" s="68">
        <f t="shared" si="44"/>
        <v>117828.61180727296</v>
      </c>
      <c r="CW10" s="36">
        <f t="shared" si="45"/>
        <v>-11879.520699933666</v>
      </c>
      <c r="CX10" s="41">
        <f>'[2]побудинковий звіт'!CX10+'[1]побудинковий звіт'!CX10</f>
        <v>3311.8964118716931</v>
      </c>
      <c r="CY10" s="41">
        <f>'[2]побудинковий звіт'!CY10+'[1]побудинковий звіт'!CY10</f>
        <v>15191.417111805351</v>
      </c>
      <c r="CZ10" s="55">
        <f t="shared" si="46"/>
        <v>11879.520699933659</v>
      </c>
      <c r="DA10" s="254">
        <f>'[1]побудинковий звіт'!DA10</f>
        <v>6140.8802858769195</v>
      </c>
      <c r="DB10" s="2">
        <v>2</v>
      </c>
      <c r="DC10" s="702">
        <f>'[1]побудинковий звіт'!DC10</f>
        <v>28614.74</v>
      </c>
      <c r="DD10" s="702">
        <f>'[1]побудинковий звіт'!DD10</f>
        <v>0</v>
      </c>
      <c r="DE10" s="702">
        <f>'[1]побудинковий звіт'!DE10</f>
        <v>13963.250000000002</v>
      </c>
      <c r="DF10" s="702">
        <f>'[1]побудинковий звіт'!DF10</f>
        <v>0</v>
      </c>
      <c r="DG10" s="772">
        <v>48217.572068238631</v>
      </c>
      <c r="DH10" s="746">
        <f t="shared" si="47"/>
        <v>1596240.34702894</v>
      </c>
      <c r="DI10" s="769"/>
      <c r="DJ10" s="5"/>
      <c r="DK10" s="307">
        <f>VLOOKUP($A10,ціни!$A$4:$G$401,5)</f>
        <v>5.65630394841358</v>
      </c>
      <c r="DL10" s="307"/>
      <c r="DM10" s="307">
        <f>VLOOKUP($A10,ціни!$A$4:$G$401,7)</f>
        <v>4.8573719650353837</v>
      </c>
      <c r="DN10" s="29">
        <f>F10*DK10</f>
        <v>10414.104014621664</v>
      </c>
      <c r="DO10" s="29">
        <f>H10*DM10</f>
        <v>0</v>
      </c>
      <c r="DP10" s="306">
        <f t="shared" si="48"/>
        <v>10414.104014621664</v>
      </c>
      <c r="DQ10" s="101"/>
      <c r="DR10" s="29">
        <f>VLOOKUP(A10,'ДЗ нас '!$A$1:$C$359,2)</f>
        <v>10414.09</v>
      </c>
      <c r="DS10" s="733"/>
      <c r="DT10" s="29">
        <f t="shared" si="49"/>
        <v>10414.09</v>
      </c>
      <c r="DU10" s="247">
        <f>VLOOKUP(A10,'новий кошторис с 01.06'!$A$4:$AI$399,35)*1.2</f>
        <v>10450.384902551266</v>
      </c>
      <c r="DV10" s="29">
        <f t="shared" si="50"/>
        <v>-36.294902551266205</v>
      </c>
      <c r="DW10" s="1016">
        <f>'[2]побудинковий звіт'!$DW$9+'[1]побудинковий звіт'!DW10</f>
        <v>1062</v>
      </c>
      <c r="DX10" s="101">
        <f>'[1]побудинковий звіт'!DX10</f>
        <v>0</v>
      </c>
      <c r="DY10" s="5">
        <f t="shared" si="51"/>
        <v>41992.798314049083</v>
      </c>
      <c r="DZ10" s="5">
        <f t="shared" si="52"/>
        <v>17956.992778972239</v>
      </c>
      <c r="EA10" s="737">
        <f t="shared" si="53"/>
        <v>13963.250000000002</v>
      </c>
      <c r="EC10" s="577">
        <f t="shared" si="54"/>
        <v>342122.35164114885</v>
      </c>
      <c r="EE10" s="743">
        <v>-33533</v>
      </c>
      <c r="EF10" s="723">
        <f t="shared" si="55"/>
        <v>14684.572068238631</v>
      </c>
      <c r="EH10" s="798">
        <v>38003.874549059285</v>
      </c>
      <c r="EI10" s="101">
        <f>VLOOKUP(A10,'кошти 01.01.24'!$A$9:$D$352,4,FALSE)</f>
        <v>18020.400985810578</v>
      </c>
    </row>
    <row r="11" spans="1:139" hidden="1" x14ac:dyDescent="0.3">
      <c r="A11" s="318">
        <v>150000754</v>
      </c>
      <c r="B11" s="43" t="s">
        <v>459</v>
      </c>
      <c r="C11" s="44" t="s">
        <v>240</v>
      </c>
      <c r="D11" s="44" t="s">
        <v>240</v>
      </c>
      <c r="E11" s="39">
        <f t="shared" si="4"/>
        <v>2801.88</v>
      </c>
      <c r="F11" s="205">
        <f>'[1]побудинковий звіт'!F11</f>
        <v>2801.88</v>
      </c>
      <c r="G11" s="29">
        <f>'[1]побудинковий звіт'!G11</f>
        <v>0</v>
      </c>
      <c r="H11" s="148">
        <f>'[1]побудинковий звіт'!H11</f>
        <v>0</v>
      </c>
      <c r="I11" s="41">
        <f>'[2]побудинковий звіт'!I11+'[1]побудинковий звіт'!I11</f>
        <v>10666.205636689598</v>
      </c>
      <c r="J11" s="41">
        <f>'[2]побудинковий звіт'!J11+'[1]побудинковий звіт'!J11</f>
        <v>10966.65474635813</v>
      </c>
      <c r="K11" s="55">
        <f t="shared" si="5"/>
        <v>300.4491096685324</v>
      </c>
      <c r="L11" s="41">
        <f>'[2]побудинковий звіт'!L11+'[1]побудинковий звіт'!L11</f>
        <v>2083.8943451578357</v>
      </c>
      <c r="M11" s="41">
        <f>'[2]побудинковий звіт'!M11+'[1]побудинковий звіт'!M11</f>
        <v>2181.7737446042438</v>
      </c>
      <c r="N11" s="55">
        <f t="shared" si="6"/>
        <v>97.879399446408115</v>
      </c>
      <c r="O11" s="41">
        <f>'[2]побудинковий звіт'!O11+'[1]побудинковий звіт'!O11</f>
        <v>4121.7970673967866</v>
      </c>
      <c r="P11" s="41">
        <f>'[2]побудинковий звіт'!P11+'[1]побудинковий звіт'!P11</f>
        <v>4134.4579656808273</v>
      </c>
      <c r="Q11" s="55">
        <f t="shared" si="7"/>
        <v>12.660898284040741</v>
      </c>
      <c r="R11" s="41">
        <f>'[2]побудинковий звіт'!R11+'[1]побудинковий звіт'!R11</f>
        <v>0</v>
      </c>
      <c r="S11" s="41">
        <f>'[2]побудинковий звіт'!S11+'[1]побудинковий звіт'!S11</f>
        <v>0</v>
      </c>
      <c r="T11" s="55">
        <f t="shared" si="8"/>
        <v>0</v>
      </c>
      <c r="U11" s="41">
        <f>'[2]побудинковий звіт'!U11+'[1]побудинковий звіт'!U11</f>
        <v>721.77502439856744</v>
      </c>
      <c r="V11" s="41">
        <f>'[2]побудинковий звіт'!V11+'[1]побудинковий звіт'!V11</f>
        <v>1600.0227280192994</v>
      </c>
      <c r="W11" s="55">
        <f t="shared" si="9"/>
        <v>878.24770362073195</v>
      </c>
      <c r="X11" s="41">
        <f>'[2]побудинковий звіт'!X11+'[1]побудинковий звіт'!X11</f>
        <v>6804.0212372799233</v>
      </c>
      <c r="Y11" s="41">
        <f>'[2]побудинковий звіт'!Y11+'[1]побудинковий звіт'!Y11</f>
        <v>6605.5275542924219</v>
      </c>
      <c r="Z11" s="55">
        <f t="shared" si="10"/>
        <v>-198.49368298750142</v>
      </c>
      <c r="AA11" s="41">
        <f>'[2]побудинковий звіт'!AA11+'[1]побудинковий звіт'!AA11</f>
        <v>0</v>
      </c>
      <c r="AB11" s="41">
        <f>'[2]побудинковий звіт'!AB11+'[1]побудинковий звіт'!AB11</f>
        <v>0</v>
      </c>
      <c r="AC11" s="55">
        <f t="shared" si="11"/>
        <v>0</v>
      </c>
      <c r="AD11" s="41">
        <f>'[2]побудинковий звіт'!AD11+'[1]побудинковий звіт'!AD11</f>
        <v>12166.303740584666</v>
      </c>
      <c r="AE11" s="41">
        <f>'[2]побудинковий звіт'!AE11+'[1]побудинковий звіт'!AE11</f>
        <v>12118.466387051769</v>
      </c>
      <c r="AF11" s="36">
        <f t="shared" si="12"/>
        <v>-47.837353532897396</v>
      </c>
      <c r="AG11" s="84">
        <f t="shared" si="13"/>
        <v>36563.99705150738</v>
      </c>
      <c r="AH11" s="56">
        <f t="shared" si="14"/>
        <v>37606.903126006691</v>
      </c>
      <c r="AI11" s="55">
        <f t="shared" si="15"/>
        <v>1042.9060744993112</v>
      </c>
      <c r="AJ11" s="41">
        <f>'[2]побудинковий звіт'!AJ11+'[1]побудинковий звіт'!AJ11</f>
        <v>0</v>
      </c>
      <c r="AK11" s="41">
        <f>'[2]побудинковий звіт'!AK11+'[1]побудинковий звіт'!AK11</f>
        <v>0</v>
      </c>
      <c r="AL11" s="55">
        <f t="shared" si="16"/>
        <v>0</v>
      </c>
      <c r="AM11" s="41">
        <f>'[2]побудинковий звіт'!AM11+'[1]побудинковий звіт'!AM11</f>
        <v>0</v>
      </c>
      <c r="AN11" s="41">
        <f>'[2]побудинковий звіт'!AN11+'[1]побудинковий звіт'!AN11</f>
        <v>0</v>
      </c>
      <c r="AO11" s="55">
        <f t="shared" si="17"/>
        <v>0</v>
      </c>
      <c r="AP11" s="41">
        <f>'[2]побудинковий звіт'!AP11+'[1]побудинковий звіт'!AP11</f>
        <v>6045.9180281790768</v>
      </c>
      <c r="AQ11" s="41">
        <f>'[2]побудинковий звіт'!AQ11+'[1]побудинковий звіт'!AQ11</f>
        <v>8279.2537297419931</v>
      </c>
      <c r="AR11" s="55">
        <f t="shared" si="18"/>
        <v>2233.3357015629163</v>
      </c>
      <c r="AS11" s="41">
        <f>'[2]побудинковий звіт'!AS11+'[1]побудинковий звіт'!AS11</f>
        <v>51576.094330034015</v>
      </c>
      <c r="AT11" s="41">
        <f>'[2]побудинковий звіт'!AT11+'[1]побудинковий звіт'!AT11</f>
        <v>5033.4566879657214</v>
      </c>
      <c r="AU11" s="57">
        <f t="shared" si="19"/>
        <v>-46542.637642068294</v>
      </c>
      <c r="AV11" s="41">
        <f>'[2]побудинковий звіт'!AV11+'[1]побудинковий звіт'!AV11</f>
        <v>1805.7764182428618</v>
      </c>
      <c r="AW11" s="41">
        <f>'[2]побудинковий звіт'!AW11+'[1]побудинковий звіт'!AW11</f>
        <v>0</v>
      </c>
      <c r="AX11" s="58">
        <f t="shared" si="20"/>
        <v>-1805.7764182428618</v>
      </c>
      <c r="AY11" s="41">
        <f>'[2]побудинковий звіт'!AY11+'[1]побудинковий звіт'!AY11</f>
        <v>2659.9801766323062</v>
      </c>
      <c r="AZ11" s="41">
        <f>'[2]побудинковий звіт'!AZ11+'[1]побудинковий звіт'!AZ11</f>
        <v>0</v>
      </c>
      <c r="BA11" s="36">
        <f t="shared" si="21"/>
        <v>-2659.9801766323062</v>
      </c>
      <c r="BB11" s="41">
        <f>'[2]побудинковий звіт'!BB11+'[1]побудинковий звіт'!BB11</f>
        <v>2182.539612648568</v>
      </c>
      <c r="BC11" s="41">
        <f>'[2]побудинковий звіт'!BC11+'[1]побудинковий звіт'!BC11</f>
        <v>0</v>
      </c>
      <c r="BD11" s="58">
        <f t="shared" si="22"/>
        <v>-2182.539612648568</v>
      </c>
      <c r="BE11" s="41">
        <f>'[2]побудинковий звіт'!BE11+'[1]побудинковий звіт'!BE11</f>
        <v>0</v>
      </c>
      <c r="BF11" s="41">
        <f>'[2]побудинковий звіт'!BF11+'[1]побудинковий звіт'!BF11</f>
        <v>0</v>
      </c>
      <c r="BG11" s="38">
        <f t="shared" si="23"/>
        <v>0</v>
      </c>
      <c r="BH11" s="41">
        <f>'[2]побудинковий звіт'!BH11+'[1]побудинковий звіт'!BH11</f>
        <v>679.24845018662029</v>
      </c>
      <c r="BI11" s="41">
        <f>'[2]побудинковий звіт'!BI11+'[1]побудинковий звіт'!BI11</f>
        <v>0</v>
      </c>
      <c r="BJ11" s="58">
        <f t="shared" si="24"/>
        <v>-679.24845018662029</v>
      </c>
      <c r="BK11" s="41">
        <f>'[2]побудинковий звіт'!BK11+'[1]побудинковий звіт'!BK11</f>
        <v>1215.7075511913665</v>
      </c>
      <c r="BL11" s="41">
        <f>'[2]побудинковий звіт'!BL11+'[1]побудинковий звіт'!BL11</f>
        <v>2105.355400192449</v>
      </c>
      <c r="BM11" s="38">
        <f t="shared" si="25"/>
        <v>889.64784900108248</v>
      </c>
      <c r="BN11" s="41">
        <f>'[2]побудинковий звіт'!BN11+'[1]побудинковий звіт'!BN11</f>
        <v>48.467992048312254</v>
      </c>
      <c r="BO11" s="41">
        <f>'[2]побудинковий звіт'!BO11+'[1]побудинковий звіт'!BO11</f>
        <v>0</v>
      </c>
      <c r="BP11" s="58">
        <f t="shared" si="26"/>
        <v>-48.467992048312254</v>
      </c>
      <c r="BQ11" s="84">
        <f t="shared" si="27"/>
        <v>8591.7202009500343</v>
      </c>
      <c r="BR11" s="42">
        <f t="shared" si="28"/>
        <v>2105.355400192449</v>
      </c>
      <c r="BS11" s="58">
        <f t="shared" si="29"/>
        <v>-6486.3648007575848</v>
      </c>
      <c r="BT11" s="41">
        <f>'[2]побудинковий звіт'!BT11+'[1]побудинковий звіт'!BT11</f>
        <v>29424.26640595579</v>
      </c>
      <c r="BU11" s="41">
        <f>'[2]побудинковий звіт'!BU11+'[1]побудинковий звіт'!BU11</f>
        <v>51557.571477291305</v>
      </c>
      <c r="BV11" s="55">
        <f t="shared" si="30"/>
        <v>22133.305071335515</v>
      </c>
      <c r="BW11" s="41">
        <f>'[2]побудинковий звіт'!BW11+'[1]побудинковий звіт'!BW11</f>
        <v>17090.404035807886</v>
      </c>
      <c r="BX11" s="41">
        <f>'[2]побудинковий звіт'!BX11+'[1]побудинковий звіт'!BX11</f>
        <v>18309.007653508321</v>
      </c>
      <c r="BY11" s="55">
        <f t="shared" si="31"/>
        <v>1218.6036177004353</v>
      </c>
      <c r="BZ11" s="41">
        <f>'[2]побудинковий звіт'!BZ11+'[1]побудинковий звіт'!BZ11</f>
        <v>13029.057805990893</v>
      </c>
      <c r="CA11" s="41">
        <f>'[2]побудинковий звіт'!CA11+'[1]побудинковий звіт'!CA11</f>
        <v>3097.8692701964051</v>
      </c>
      <c r="CB11" s="55">
        <f t="shared" si="32"/>
        <v>-9931.1885357944884</v>
      </c>
      <c r="CC11" s="41">
        <f>'[2]побудинковий звіт'!CC11+'[1]побудинковий звіт'!CC11</f>
        <v>1754.2718170125991</v>
      </c>
      <c r="CD11" s="41">
        <f>'[2]побудинковий звіт'!CD11+'[1]побудинковий звіт'!CD11</f>
        <v>1760.2203570661727</v>
      </c>
      <c r="CE11" s="55">
        <f t="shared" si="33"/>
        <v>5.9485400535736517</v>
      </c>
      <c r="CF11" s="41">
        <f>'[2]побудинковий звіт'!CF11+'[1]побудинковий звіт'!CF11</f>
        <v>217.34495384827909</v>
      </c>
      <c r="CG11" s="41">
        <f>'[2]побудинковий звіт'!CG11+'[1]побудинковий звіт'!CG11</f>
        <v>0</v>
      </c>
      <c r="CH11" s="55">
        <f t="shared" si="34"/>
        <v>-217.34495384827909</v>
      </c>
      <c r="CI11" s="41">
        <f>'[2]побудинковий звіт'!CI11+'[1]побудинковий звіт'!CI11</f>
        <v>9994.1534627813926</v>
      </c>
      <c r="CJ11" s="41">
        <f>'[2]побудинковий звіт'!CJ11+'[1]побудинковий звіт'!CJ11</f>
        <v>8339.8294234098139</v>
      </c>
      <c r="CK11" s="55">
        <f t="shared" si="35"/>
        <v>-1654.3240393715787</v>
      </c>
      <c r="CL11" s="41">
        <f>'[2]побудинковий звіт'!CL11+'[1]побудинковий звіт'!CL11</f>
        <v>0</v>
      </c>
      <c r="CM11" s="41">
        <f>'[2]побудинковий звіт'!CM11+'[1]побудинковий звіт'!CM11</f>
        <v>0</v>
      </c>
      <c r="CN11" s="55">
        <f t="shared" si="36"/>
        <v>0</v>
      </c>
      <c r="CO11" s="41">
        <f t="shared" si="37"/>
        <v>9994.1534627813926</v>
      </c>
      <c r="CP11" s="42">
        <f t="shared" si="38"/>
        <v>8339.8294234098139</v>
      </c>
      <c r="CQ11" s="55">
        <f t="shared" si="39"/>
        <v>-1654.3240393715787</v>
      </c>
      <c r="CR11" s="76">
        <f t="shared" si="40"/>
        <v>174287.22809206735</v>
      </c>
      <c r="CS11" s="5">
        <f t="shared" si="41"/>
        <v>136089.46712537884</v>
      </c>
      <c r="CT11" s="55">
        <f t="shared" si="42"/>
        <v>-38197.760966688511</v>
      </c>
      <c r="CU11" s="84">
        <f t="shared" si="43"/>
        <v>209144.67371048083</v>
      </c>
      <c r="CV11" s="68">
        <f t="shared" si="44"/>
        <v>163307.36055045461</v>
      </c>
      <c r="CW11" s="36">
        <f t="shared" si="45"/>
        <v>-45837.313160026213</v>
      </c>
      <c r="CX11" s="41">
        <f>'[2]побудинковий звіт'!CX11+'[1]побудинковий звіт'!CX11</f>
        <v>9892.4411889355579</v>
      </c>
      <c r="CY11" s="41">
        <f>'[2]побудинковий звіт'!CY11+'[1]побудинковий звіт'!CY11</f>
        <v>55729.754348961716</v>
      </c>
      <c r="CZ11" s="55">
        <f t="shared" si="46"/>
        <v>45837.313160026155</v>
      </c>
      <c r="DA11" s="254">
        <f>'[1]побудинковий звіт'!DA11</f>
        <v>48694.698266782987</v>
      </c>
      <c r="DB11" s="2">
        <v>2</v>
      </c>
      <c r="DC11" s="702">
        <f>'[1]побудинковий звіт'!DC11</f>
        <v>73466.23</v>
      </c>
      <c r="DD11" s="702">
        <f>'[1]побудинковий звіт'!DD11</f>
        <v>0</v>
      </c>
      <c r="DE11" s="702">
        <f>'[1]побудинковий звіт'!DE11</f>
        <v>49485.45</v>
      </c>
      <c r="DF11" s="702">
        <f>'[1]побудинковий звіт'!DF11</f>
        <v>0</v>
      </c>
      <c r="DG11" s="772">
        <v>4099.6603578430368</v>
      </c>
      <c r="DH11" s="746">
        <f t="shared" si="47"/>
        <v>2628445.3787929965</v>
      </c>
      <c r="DI11" s="769"/>
      <c r="DJ11" s="5"/>
      <c r="DK11" s="307">
        <f>VLOOKUP($A11,ціни!$A$4:$G$401,5)</f>
        <v>6.1299571249096054</v>
      </c>
      <c r="DL11" s="307"/>
      <c r="DM11" s="307">
        <f>VLOOKUP($A11,ціни!$A$4:$G$401,7)</f>
        <v>5.5157034613044331</v>
      </c>
      <c r="DN11" s="29">
        <f>F11*DK11</f>
        <v>17175.404269141727</v>
      </c>
      <c r="DO11" s="29">
        <f>H11*DM11</f>
        <v>0</v>
      </c>
      <c r="DP11" s="306">
        <f t="shared" si="48"/>
        <v>17175.404269141727</v>
      </c>
      <c r="DQ11" s="101"/>
      <c r="DR11" s="29">
        <f>VLOOKUP(A11,'ДЗ нас '!$A$1:$C$359,2)</f>
        <v>17175.599999999999</v>
      </c>
      <c r="DS11" s="733"/>
      <c r="DT11" s="29">
        <f t="shared" si="49"/>
        <v>17175.599999999999</v>
      </c>
      <c r="DU11" s="247">
        <f>VLOOKUP(A11,'новий кошторис с 01.06'!$A$4:$AI$399,35)*1.2</f>
        <v>17356.243432380194</v>
      </c>
      <c r="DV11" s="29">
        <f t="shared" si="50"/>
        <v>-180.64343238019501</v>
      </c>
      <c r="DW11" s="1016">
        <f>'[2]побудинковий звіт'!$DW$9+'[1]побудинковий звіт'!DW11</f>
        <v>918</v>
      </c>
      <c r="DX11" s="101">
        <f>'[1]побудинковий звіт'!DX11</f>
        <v>0</v>
      </c>
      <c r="DY11" s="5">
        <f t="shared" si="51"/>
        <v>72201.377437180854</v>
      </c>
      <c r="DZ11" s="5">
        <f t="shared" si="52"/>
        <v>8566.5745057898039</v>
      </c>
      <c r="EA11" s="737">
        <f t="shared" si="53"/>
        <v>49485.45</v>
      </c>
      <c r="EC11" s="577">
        <f t="shared" si="54"/>
        <v>618913.13196040818</v>
      </c>
      <c r="EE11" s="743">
        <v>30598</v>
      </c>
      <c r="EF11" s="723">
        <f t="shared" si="55"/>
        <v>34697.660357843037</v>
      </c>
      <c r="EH11" s="798">
        <v>53707.6442947701</v>
      </c>
      <c r="EI11" s="101">
        <f>VLOOKUP(A11,'кошти 01.01.24'!$A$9:$D$352,4,FALSE)</f>
        <v>94532.011426809171</v>
      </c>
    </row>
    <row r="12" spans="1:139" ht="14.4" customHeight="1" x14ac:dyDescent="0.3">
      <c r="A12" s="318">
        <v>150000702</v>
      </c>
      <c r="B12" s="43" t="s">
        <v>460</v>
      </c>
      <c r="C12" s="44" t="s">
        <v>1824</v>
      </c>
      <c r="D12" s="44" t="s">
        <v>338</v>
      </c>
      <c r="E12" s="39">
        <f t="shared" si="4"/>
        <v>6095.61</v>
      </c>
      <c r="F12" s="205">
        <f>'[1]побудинковий звіт'!F12</f>
        <v>6095.61</v>
      </c>
      <c r="G12" s="29">
        <f>'[1]побудинковий звіт'!G12</f>
        <v>601.05999999999995</v>
      </c>
      <c r="H12" s="148">
        <f>'[1]побудинковий звіт'!H12</f>
        <v>0</v>
      </c>
      <c r="I12" s="41">
        <f>'[2]побудинковий звіт'!I12+'[1]побудинковий звіт'!I12</f>
        <v>23259.308559405556</v>
      </c>
      <c r="J12" s="41">
        <f>'[2]побудинковий звіт'!J12+'[1]побудинковий звіт'!J12</f>
        <v>24157.892143180514</v>
      </c>
      <c r="K12" s="55">
        <f t="shared" si="5"/>
        <v>898.58358377495824</v>
      </c>
      <c r="L12" s="41">
        <f>'[2]побудинковий звіт'!L12+'[1]побудинковий звіт'!L12</f>
        <v>4356.4523923859797</v>
      </c>
      <c r="M12" s="41">
        <f>'[2]побудинковий звіт'!M12+'[1]побудинковий звіт'!M12</f>
        <v>4752.9848342446348</v>
      </c>
      <c r="N12" s="55">
        <f t="shared" si="6"/>
        <v>396.53244185865515</v>
      </c>
      <c r="O12" s="41">
        <f>'[2]побудинковий звіт'!O12+'[1]побудинковий звіт'!O12</f>
        <v>8340.2501955819207</v>
      </c>
      <c r="P12" s="41">
        <f>'[2]побудинковий звіт'!P12+'[1]побудинковий звіт'!P12</f>
        <v>8364.2896795599154</v>
      </c>
      <c r="Q12" s="55">
        <f t="shared" si="7"/>
        <v>24.039483977994678</v>
      </c>
      <c r="R12" s="41">
        <f>'[2]побудинковий звіт'!R12+'[1]побудинковий звіт'!R12</f>
        <v>2007.9073457563222</v>
      </c>
      <c r="S12" s="41">
        <f>'[2]побудинковий звіт'!S12+'[1]побудинковий звіт'!S12</f>
        <v>2012.6435218487602</v>
      </c>
      <c r="T12" s="55">
        <f t="shared" si="8"/>
        <v>4.7361760924379723</v>
      </c>
      <c r="U12" s="41">
        <f>'[2]побудинковий звіт'!U12+'[1]побудинковий звіт'!U12</f>
        <v>1195.4353047003162</v>
      </c>
      <c r="V12" s="41">
        <f>'[2]побудинковий звіт'!V12+'[1]побудинковий звіт'!V12</f>
        <v>1095.1521773469262</v>
      </c>
      <c r="W12" s="55">
        <f t="shared" si="9"/>
        <v>-100.28312735339</v>
      </c>
      <c r="X12" s="41">
        <f>'[2]побудинковий звіт'!X12+'[1]побудинковий звіт'!X12</f>
        <v>12065.905967993074</v>
      </c>
      <c r="Y12" s="41">
        <f>'[2]побудинковий звіт'!Y12+'[1]побудинковий звіт'!Y12</f>
        <v>12129.517986496652</v>
      </c>
      <c r="Z12" s="55">
        <f t="shared" si="10"/>
        <v>63.612018503577929</v>
      </c>
      <c r="AA12" s="41">
        <f>'[2]побудинковий звіт'!AA12+'[1]побудинковий звіт'!AA12</f>
        <v>0</v>
      </c>
      <c r="AB12" s="41">
        <f>'[2]побудинковий звіт'!AB12+'[1]побудинковий звіт'!AB12</f>
        <v>0</v>
      </c>
      <c r="AC12" s="55">
        <f t="shared" si="11"/>
        <v>0</v>
      </c>
      <c r="AD12" s="41">
        <f>'[2]побудинковий звіт'!AD12+'[1]побудинковий звіт'!AD12</f>
        <v>26438.563399991293</v>
      </c>
      <c r="AE12" s="41">
        <f>'[2]побудинковий звіт'!AE12+'[1]побудинковий звіт'!AE12</f>
        <v>26335.736679304071</v>
      </c>
      <c r="AF12" s="36">
        <f t="shared" si="12"/>
        <v>-102.82672068722241</v>
      </c>
      <c r="AG12" s="84">
        <f t="shared" si="13"/>
        <v>77663.823165814465</v>
      </c>
      <c r="AH12" s="56">
        <f t="shared" si="14"/>
        <v>78848.217021981472</v>
      </c>
      <c r="AI12" s="55">
        <f t="shared" si="15"/>
        <v>1184.3938561670075</v>
      </c>
      <c r="AJ12" s="41">
        <f>'[2]побудинковий звіт'!AJ12+'[1]побудинковий звіт'!AJ12</f>
        <v>61086.61631202689</v>
      </c>
      <c r="AK12" s="41">
        <f>'[2]побудинковий звіт'!AK12+'[1]побудинковий звіт'!AK12</f>
        <v>62209.431730940159</v>
      </c>
      <c r="AL12" s="55">
        <f t="shared" si="16"/>
        <v>1122.8154189132692</v>
      </c>
      <c r="AM12" s="41">
        <f>'[2]побудинковий звіт'!AM12+'[1]побудинковий звіт'!AM12</f>
        <v>908.80628444281319</v>
      </c>
      <c r="AN12" s="41">
        <f>'[2]побудинковий звіт'!AN12+'[1]побудинковий звіт'!AN12</f>
        <v>0</v>
      </c>
      <c r="AO12" s="55">
        <f t="shared" si="17"/>
        <v>-908.80628444281319</v>
      </c>
      <c r="AP12" s="41">
        <f>'[2]побудинковий звіт'!AP12+'[1]побудинковий звіт'!AP12</f>
        <v>5200.6392002523207</v>
      </c>
      <c r="AQ12" s="41">
        <f>'[2]побудинковий звіт'!AQ12+'[1]побудинковий звіт'!AQ12</f>
        <v>4570.2613614201882</v>
      </c>
      <c r="AR12" s="55">
        <f t="shared" si="18"/>
        <v>-630.37783883213251</v>
      </c>
      <c r="AS12" s="41">
        <f>'[2]побудинковий звіт'!AS12+'[1]побудинковий звіт'!AS12</f>
        <v>152265.78390061657</v>
      </c>
      <c r="AT12" s="41">
        <f>'[2]побудинковий звіт'!AT12+'[1]побудинковий звіт'!AT12</f>
        <v>15071.714659380888</v>
      </c>
      <c r="AU12" s="57">
        <f t="shared" si="19"/>
        <v>-137194.06924123567</v>
      </c>
      <c r="AV12" s="41">
        <f>'[2]побудинковий звіт'!AV12+'[1]побудинковий звіт'!AV12</f>
        <v>1699.452626853044</v>
      </c>
      <c r="AW12" s="41">
        <f>'[2]побудинковий звіт'!AW12+'[1]побудинковий звіт'!AW12</f>
        <v>0</v>
      </c>
      <c r="AX12" s="58">
        <f t="shared" si="20"/>
        <v>-1699.452626853044</v>
      </c>
      <c r="AY12" s="41">
        <f>'[2]побудинковий звіт'!AY12+'[1]побудинковий звіт'!AY12</f>
        <v>1997.6993215617631</v>
      </c>
      <c r="AZ12" s="41">
        <f>'[2]побудинковий звіт'!AZ12+'[1]побудинковий звіт'!AZ12</f>
        <v>2873.9239916609299</v>
      </c>
      <c r="BA12" s="36">
        <f t="shared" si="21"/>
        <v>876.22467009916681</v>
      </c>
      <c r="BB12" s="41">
        <f>'[2]побудинковий звіт'!BB12+'[1]побудинковий звіт'!BB12</f>
        <v>2507.3773958225452</v>
      </c>
      <c r="BC12" s="41">
        <f>'[2]побудинковий звіт'!BC12+'[1]побудинковий звіт'!BC12</f>
        <v>982.43573288694427</v>
      </c>
      <c r="BD12" s="58">
        <f t="shared" si="22"/>
        <v>-1524.941662935601</v>
      </c>
      <c r="BE12" s="41">
        <f>'[2]побудинковий звіт'!BE12+'[1]побудинковий звіт'!BE12</f>
        <v>652.7200906147491</v>
      </c>
      <c r="BF12" s="41">
        <f>'[2]побудинковий звіт'!BF12+'[1]побудинковий звіт'!BF12</f>
        <v>0</v>
      </c>
      <c r="BG12" s="38">
        <f t="shared" si="23"/>
        <v>-652.7200906147491</v>
      </c>
      <c r="BH12" s="41">
        <f>'[2]побудинковий звіт'!BH12+'[1]побудинковий звіт'!BH12</f>
        <v>423.85091471494235</v>
      </c>
      <c r="BI12" s="41">
        <f>'[2]побудинковий звіт'!BI12+'[1]побудинковий звіт'!BI12</f>
        <v>0</v>
      </c>
      <c r="BJ12" s="58">
        <f t="shared" si="24"/>
        <v>-423.85091471494235</v>
      </c>
      <c r="BK12" s="41">
        <f>'[2]побудинковий звіт'!BK12+'[1]побудинковий звіт'!BK12</f>
        <v>1458.3723077088878</v>
      </c>
      <c r="BL12" s="41">
        <f>'[2]побудинковий звіт'!BL12+'[1]побудинковий звіт'!BL12</f>
        <v>0</v>
      </c>
      <c r="BM12" s="38">
        <f t="shared" si="25"/>
        <v>-1458.3723077088878</v>
      </c>
      <c r="BN12" s="41">
        <f>'[2]побудинковий звіт'!BN12+'[1]побудинковий звіт'!BN12</f>
        <v>112.9351271028635</v>
      </c>
      <c r="BO12" s="41">
        <f>'[2]побудинковий звіт'!BO12+'[1]побудинковий звіт'!BO12</f>
        <v>0</v>
      </c>
      <c r="BP12" s="58">
        <f t="shared" si="26"/>
        <v>-112.9351271028635</v>
      </c>
      <c r="BQ12" s="84">
        <f t="shared" si="27"/>
        <v>8852.4077843787945</v>
      </c>
      <c r="BR12" s="42">
        <f t="shared" si="28"/>
        <v>3856.3597245478741</v>
      </c>
      <c r="BS12" s="58">
        <f t="shared" si="29"/>
        <v>-4996.0480598309205</v>
      </c>
      <c r="BT12" s="41">
        <f>'[2]побудинковий звіт'!BT12+'[1]побудинковий звіт'!BT12</f>
        <v>50451.546880417423</v>
      </c>
      <c r="BU12" s="41">
        <f>'[2]побудинковий звіт'!BU12+'[1]побудинковий звіт'!BU12</f>
        <v>47486.956759366512</v>
      </c>
      <c r="BV12" s="55">
        <f t="shared" si="30"/>
        <v>-2964.590121050911</v>
      </c>
      <c r="BW12" s="41">
        <f>'[2]побудинковий звіт'!BW12+'[1]побудинковий звіт'!BW12</f>
        <v>56707.285215190903</v>
      </c>
      <c r="BX12" s="41">
        <f>'[2]побудинковий звіт'!BX12+'[1]побудинковий звіт'!BX12</f>
        <v>57318.792110115646</v>
      </c>
      <c r="BY12" s="55">
        <f t="shared" si="31"/>
        <v>611.50689492474339</v>
      </c>
      <c r="BZ12" s="41">
        <f>'[2]побудинковий звіт'!BZ12+'[1]побудинковий звіт'!BZ12</f>
        <v>8426.4076913654753</v>
      </c>
      <c r="CA12" s="41">
        <f>'[2]побудинковий звіт'!CA12+'[1]побудинковий звіт'!CA12</f>
        <v>4733.2274175402154</v>
      </c>
      <c r="CB12" s="55">
        <f t="shared" si="32"/>
        <v>-3693.18027382526</v>
      </c>
      <c r="CC12" s="41">
        <f>'[2]побудинковий звіт'!CC12+'[1]побудинковий звіт'!CC12</f>
        <v>2258.7203882405911</v>
      </c>
      <c r="CD12" s="41">
        <f>'[2]побудинковий звіт'!CD12+'[1]побудинковий звіт'!CD12</f>
        <v>2266.3794571311537</v>
      </c>
      <c r="CE12" s="55">
        <f t="shared" si="33"/>
        <v>7.6590688905625939</v>
      </c>
      <c r="CF12" s="41">
        <f>'[2]побудинковий звіт'!CF12+'[1]побудинковий звіт'!CF12</f>
        <v>279.84345058585217</v>
      </c>
      <c r="CG12" s="41">
        <f>'[2]побудинковий звіт'!CG12+'[1]побудинковий звіт'!CG12</f>
        <v>0</v>
      </c>
      <c r="CH12" s="55">
        <f t="shared" si="34"/>
        <v>-279.84345058585217</v>
      </c>
      <c r="CI12" s="41">
        <f>'[2]побудинковий звіт'!CI12+'[1]побудинковий звіт'!CI12</f>
        <v>15437.615631851371</v>
      </c>
      <c r="CJ12" s="41">
        <f>'[2]побудинковий звіт'!CJ12+'[1]побудинковий звіт'!CJ12</f>
        <v>18720.321822357972</v>
      </c>
      <c r="CK12" s="55">
        <f t="shared" si="35"/>
        <v>3282.7061905066003</v>
      </c>
      <c r="CL12" s="41">
        <f>'[2]побудинковий звіт'!CL12+'[1]побудинковий звіт'!CL12</f>
        <v>23451.290220614999</v>
      </c>
      <c r="CM12" s="41">
        <f>'[2]побудинковий звіт'!CM12+'[1]побудинковий звіт'!CM12</f>
        <v>28078.471028356405</v>
      </c>
      <c r="CN12" s="55">
        <f t="shared" si="36"/>
        <v>4627.1808077414062</v>
      </c>
      <c r="CO12" s="41">
        <f t="shared" si="37"/>
        <v>38888.905852466371</v>
      </c>
      <c r="CP12" s="42">
        <f t="shared" si="38"/>
        <v>46798.792850714381</v>
      </c>
      <c r="CQ12" s="55">
        <f t="shared" si="39"/>
        <v>7909.8869982480101</v>
      </c>
      <c r="CR12" s="76">
        <f t="shared" si="40"/>
        <v>462990.78612579848</v>
      </c>
      <c r="CS12" s="5">
        <f t="shared" si="41"/>
        <v>323160.13309313846</v>
      </c>
      <c r="CT12" s="55">
        <f t="shared" si="42"/>
        <v>-139830.65303266002</v>
      </c>
      <c r="CU12" s="84">
        <f t="shared" si="43"/>
        <v>555588.94335095817</v>
      </c>
      <c r="CV12" s="68">
        <f t="shared" si="44"/>
        <v>387792.15971176611</v>
      </c>
      <c r="CW12" s="36">
        <f t="shared" si="45"/>
        <v>-167796.78363919206</v>
      </c>
      <c r="CX12" s="41">
        <f>'[2]побудинковий звіт'!CX12+'[1]побудинковий звіт'!CX12</f>
        <v>12206.890135514641</v>
      </c>
      <c r="CY12" s="41">
        <f>'[2]побудинковий звіт'!CY12+'[1]побудинковий звіт'!CY12</f>
        <v>180003.67377470675</v>
      </c>
      <c r="CZ12" s="55">
        <f t="shared" si="46"/>
        <v>167796.78363919212</v>
      </c>
      <c r="DA12" s="254">
        <f>'[1]побудинковий звіт'!DA12</f>
        <v>8076.5401423990843</v>
      </c>
      <c r="DB12" s="2">
        <v>3</v>
      </c>
      <c r="DC12" s="702">
        <f>'[1]побудинковий звіт'!DC12</f>
        <v>147669.88</v>
      </c>
      <c r="DD12" s="702">
        <f>'[1]побудинковий звіт'!DD12</f>
        <v>0</v>
      </c>
      <c r="DE12" s="702">
        <f>'[1]побудинковий звіт'!DE12</f>
        <v>86470.080000000002</v>
      </c>
      <c r="DF12" s="702">
        <f>'[1]побудинковий звіт'!DF12</f>
        <v>0</v>
      </c>
      <c r="DG12" s="772">
        <v>-23136.694721064297</v>
      </c>
      <c r="DH12" s="746">
        <f t="shared" si="47"/>
        <v>6813550.0018376745</v>
      </c>
      <c r="DI12" s="769"/>
      <c r="DJ12" s="5"/>
      <c r="DK12" s="307">
        <f>VLOOKUP($A12,ціни!$A$4:$G$401,5)</f>
        <v>5.9482476944041096</v>
      </c>
      <c r="DL12" s="307">
        <f>VLOOKUP($A12,ціни!$A$4:$G$401,6)</f>
        <v>7.4855383352065115</v>
      </c>
      <c r="DM12" s="307">
        <f>VLOOKUP($A12,ціни!$A$4:$G$401,7)</f>
        <v>4.9623037621392525</v>
      </c>
      <c r="DN12" s="29">
        <f>DK12*G12+(F12-G12)*DL12</f>
        <v>44704.918418907466</v>
      </c>
      <c r="DO12" s="29">
        <f>DM12*H12</f>
        <v>0</v>
      </c>
      <c r="DP12" s="306">
        <f t="shared" si="48"/>
        <v>44704.918418907466</v>
      </c>
      <c r="DQ12" s="101"/>
      <c r="DR12" s="29">
        <f>VLOOKUP(A12,'ДЗ нас '!$A$1:$C$359,2)</f>
        <v>44704.63</v>
      </c>
      <c r="DS12" s="733"/>
      <c r="DT12" s="29">
        <f t="shared" si="49"/>
        <v>44704.63</v>
      </c>
      <c r="DU12" s="247">
        <f>VLOOKUP(A12,'новий кошторис с 01.06'!$A$4:$AI$399,35)*1.2</f>
        <v>44837.051182707197</v>
      </c>
      <c r="DV12" s="29">
        <f t="shared" si="50"/>
        <v>-132.42118270719948</v>
      </c>
      <c r="DW12" s="1016">
        <f>'[2]побудинковий звіт'!$DW$9+'[1]побудинковий звіт'!DW12</f>
        <v>1242</v>
      </c>
      <c r="DX12" s="101">
        <f>'[1]побудинковий звіт'!DX12</f>
        <v>0</v>
      </c>
      <c r="DY12" s="5">
        <f t="shared" si="51"/>
        <v>193341.83002199445</v>
      </c>
      <c r="DZ12" s="5">
        <f t="shared" si="52"/>
        <v>22713.689260714513</v>
      </c>
      <c r="EA12" s="737">
        <f t="shared" si="53"/>
        <v>86470.080000000002</v>
      </c>
      <c r="EC12" s="577">
        <f t="shared" si="54"/>
        <v>1827189.4068073989</v>
      </c>
      <c r="EE12" s="743">
        <v>-65304</v>
      </c>
      <c r="EF12" s="723">
        <f t="shared" si="55"/>
        <v>-88440.694721064297</v>
      </c>
      <c r="EH12" s="798">
        <v>-80083.318847997638</v>
      </c>
      <c r="EI12" s="101">
        <f>VLOOKUP(A12,'кошти 01.01.24'!$A$9:$D$352,4,FALSE)</f>
        <v>175873.32378159105</v>
      </c>
    </row>
    <row r="13" spans="1:139" hidden="1" x14ac:dyDescent="0.3">
      <c r="A13" s="318">
        <v>150000703</v>
      </c>
      <c r="B13" s="43" t="s">
        <v>461</v>
      </c>
      <c r="C13" s="44" t="s">
        <v>1825</v>
      </c>
      <c r="D13" s="44" t="s">
        <v>339</v>
      </c>
      <c r="E13" s="39">
        <f t="shared" si="4"/>
        <v>6323.6</v>
      </c>
      <c r="F13" s="205">
        <f>'[1]побудинковий звіт'!F13</f>
        <v>6323.6</v>
      </c>
      <c r="G13" s="29">
        <f>'[1]побудинковий звіт'!G13</f>
        <v>712.5</v>
      </c>
      <c r="H13" s="148">
        <f>'[1]побудинковий звіт'!H13</f>
        <v>0</v>
      </c>
      <c r="I13" s="41">
        <f>'[2]побудинковий звіт'!I13+'[1]побудинковий звіт'!I13</f>
        <v>22237.491321076872</v>
      </c>
      <c r="J13" s="41">
        <f>'[2]побудинковий звіт'!J13+'[1]побудинковий звіт'!J13</f>
        <v>23186.163950609884</v>
      </c>
      <c r="K13" s="55">
        <f t="shared" si="5"/>
        <v>948.67262953301179</v>
      </c>
      <c r="L13" s="41">
        <f>'[2]побудинковий звіт'!L13+'[1]побудинковий звіт'!L13</f>
        <v>4271.284558597421</v>
      </c>
      <c r="M13" s="41">
        <f>'[2]побудинковий звіт'!M13+'[1]побудинковий звіт'!M13</f>
        <v>4647.8961037127538</v>
      </c>
      <c r="N13" s="55">
        <f t="shared" si="6"/>
        <v>376.61154511533277</v>
      </c>
      <c r="O13" s="41">
        <f>'[2]побудинковий звіт'!O13+'[1]побудинковий звіт'!O13</f>
        <v>8762.223843455411</v>
      </c>
      <c r="P13" s="41">
        <f>'[2]побудинковий звіт'!P13+'[1]побудинковий звіт'!P13</f>
        <v>8786.1398352162232</v>
      </c>
      <c r="Q13" s="55">
        <f t="shared" si="7"/>
        <v>23.915991760812176</v>
      </c>
      <c r="R13" s="41">
        <f>'[2]побудинковий звіт'!R13+'[1]побудинковий звіт'!R13</f>
        <v>2038.6988869024799</v>
      </c>
      <c r="S13" s="41">
        <f>'[2]побудинковий звіт'!S13+'[1]побудинковий звіт'!S13</f>
        <v>2044.589354634189</v>
      </c>
      <c r="T13" s="55">
        <f t="shared" si="8"/>
        <v>5.8904677317091227</v>
      </c>
      <c r="U13" s="41">
        <f>'[2]побудинковий звіт'!U13+'[1]побудинковий звіт'!U13</f>
        <v>1195.4353047003162</v>
      </c>
      <c r="V13" s="41">
        <f>'[2]побудинковий звіт'!V13+'[1]побудинковий звіт'!V13</f>
        <v>1095.1521773469262</v>
      </c>
      <c r="W13" s="55">
        <f t="shared" si="9"/>
        <v>-100.28312735339</v>
      </c>
      <c r="X13" s="41">
        <f>'[2]побудинковий звіт'!X13+'[1]побудинковий звіт'!X13</f>
        <v>13761.307440522723</v>
      </c>
      <c r="Y13" s="41">
        <f>'[2]побудинковий звіт'!Y13+'[1]побудинковий звіт'!Y13</f>
        <v>14488.951556144955</v>
      </c>
      <c r="Z13" s="55">
        <f t="shared" si="10"/>
        <v>727.64411562223177</v>
      </c>
      <c r="AA13" s="41">
        <f>'[2]побудинковий звіт'!AA13+'[1]побудинковий звіт'!AA13</f>
        <v>0</v>
      </c>
      <c r="AB13" s="41">
        <f>'[2]побудинковий звіт'!AB13+'[1]побудинковий звіт'!AB13</f>
        <v>0</v>
      </c>
      <c r="AC13" s="55">
        <f t="shared" si="11"/>
        <v>0</v>
      </c>
      <c r="AD13" s="41">
        <f>'[2]побудинковий звіт'!AD13+'[1]побудинковий звіт'!AD13</f>
        <v>27400.076131220601</v>
      </c>
      <c r="AE13" s="41">
        <f>'[2]побудинковий звіт'!AE13+'[1]побудинковий звіт'!AE13</f>
        <v>27294.548445866931</v>
      </c>
      <c r="AF13" s="36">
        <f t="shared" si="12"/>
        <v>-105.52768535367068</v>
      </c>
      <c r="AG13" s="84">
        <f t="shared" si="13"/>
        <v>79666.517486475816</v>
      </c>
      <c r="AH13" s="56">
        <f t="shared" si="14"/>
        <v>81543.441423531855</v>
      </c>
      <c r="AI13" s="55">
        <f t="shared" si="15"/>
        <v>1876.923937056039</v>
      </c>
      <c r="AJ13" s="41">
        <f>'[2]побудинковий звіт'!AJ13+'[1]побудинковий звіт'!AJ13</f>
        <v>61086.61631202689</v>
      </c>
      <c r="AK13" s="41">
        <f>'[2]побудинковий звіт'!AK13+'[1]побудинковий звіт'!AK13</f>
        <v>62209.431730940159</v>
      </c>
      <c r="AL13" s="55">
        <f t="shared" si="16"/>
        <v>1122.8154189132692</v>
      </c>
      <c r="AM13" s="41">
        <f>'[2]побудинковий звіт'!AM13+'[1]побудинковий звіт'!AM13</f>
        <v>908.80628444281319</v>
      </c>
      <c r="AN13" s="41">
        <f>'[2]побудинковий звіт'!AN13+'[1]побудинковий звіт'!AN13</f>
        <v>132.7382131909072</v>
      </c>
      <c r="AO13" s="55">
        <f t="shared" si="17"/>
        <v>-776.06807125190596</v>
      </c>
      <c r="AP13" s="41">
        <f>'[2]побудинковий звіт'!AP13+'[1]побудинковий звіт'!AP13</f>
        <v>5250.169097397581</v>
      </c>
      <c r="AQ13" s="41">
        <f>'[2]побудинковий звіт'!AQ13+'[1]побудинковий звіт'!AQ13</f>
        <v>4661.813119054862</v>
      </c>
      <c r="AR13" s="55">
        <f t="shared" si="18"/>
        <v>-588.35597834271903</v>
      </c>
      <c r="AS13" s="41">
        <f>'[2]побудинковий звіт'!AS13+'[1]побудинковий звіт'!AS13</f>
        <v>154746.25607048531</v>
      </c>
      <c r="AT13" s="41">
        <f>'[2]побудинковий звіт'!AT13+'[1]побудинковий звіт'!AT13</f>
        <v>31047.167634771075</v>
      </c>
      <c r="AU13" s="57">
        <f t="shared" si="19"/>
        <v>-123699.08843571423</v>
      </c>
      <c r="AV13" s="41">
        <f>'[2]побудинковий звіт'!AV13+'[1]побудинковий звіт'!AV13</f>
        <v>1695.3689815347807</v>
      </c>
      <c r="AW13" s="41">
        <f>'[2]побудинковий звіт'!AW13+'[1]побудинковий звіт'!AW13</f>
        <v>1316.0072934296429</v>
      </c>
      <c r="AX13" s="58">
        <f t="shared" si="20"/>
        <v>-379.36168810513777</v>
      </c>
      <c r="AY13" s="41">
        <f>'[2]побудинковий звіт'!AY13+'[1]побудинковий звіт'!AY13</f>
        <v>2045.8431940435091</v>
      </c>
      <c r="AZ13" s="41">
        <f>'[2]побудинковий звіт'!AZ13+'[1]побудинковий звіт'!AZ13</f>
        <v>5203.6621024858314</v>
      </c>
      <c r="BA13" s="36">
        <f t="shared" si="21"/>
        <v>3157.818908442322</v>
      </c>
      <c r="BB13" s="41">
        <f>'[2]побудинковий звіт'!BB13+'[1]побудинковий звіт'!BB13</f>
        <v>2509.6360173502185</v>
      </c>
      <c r="BC13" s="41">
        <f>'[2]побудинковий звіт'!BC13+'[1]побудинковий звіт'!BC13</f>
        <v>1675.923594652158</v>
      </c>
      <c r="BD13" s="58">
        <f t="shared" si="22"/>
        <v>-833.71242269806044</v>
      </c>
      <c r="BE13" s="41">
        <f>'[2]побудинковий звіт'!BE13+'[1]побудинковий звіт'!BE13</f>
        <v>657.46936173544054</v>
      </c>
      <c r="BF13" s="41">
        <f>'[2]побудинковий звіт'!BF13+'[1]побудинковий звіт'!BF13</f>
        <v>0</v>
      </c>
      <c r="BG13" s="38">
        <f t="shared" si="23"/>
        <v>-657.46936173544054</v>
      </c>
      <c r="BH13" s="41">
        <f>'[2]побудинковий звіт'!BH13+'[1]побудинковий звіт'!BH13</f>
        <v>423.85091471494235</v>
      </c>
      <c r="BI13" s="41">
        <f>'[2]побудинковий звіт'!BI13+'[1]побудинковий звіт'!BI13</f>
        <v>7754.8875732244178</v>
      </c>
      <c r="BJ13" s="58">
        <f t="shared" si="24"/>
        <v>7331.0366585094753</v>
      </c>
      <c r="BK13" s="41">
        <f>'[2]побудинковий звіт'!BK13+'[1]побудинковий звіт'!BK13</f>
        <v>1365.5691888144356</v>
      </c>
      <c r="BL13" s="41">
        <f>'[2]побудинковий звіт'!BL13+'[1]побудинковий звіт'!BL13</f>
        <v>3023.682940087363</v>
      </c>
      <c r="BM13" s="38">
        <f t="shared" si="25"/>
        <v>1658.1137512729274</v>
      </c>
      <c r="BN13" s="41">
        <f>'[2]побудинковий звіт'!BN13+'[1]побудинковий звіт'!BN13</f>
        <v>97.249692783021345</v>
      </c>
      <c r="BO13" s="41">
        <f>'[2]побудинковий звіт'!BO13+'[1]побудинковий звіт'!BO13</f>
        <v>0</v>
      </c>
      <c r="BP13" s="58">
        <f t="shared" si="26"/>
        <v>-97.249692783021345</v>
      </c>
      <c r="BQ13" s="84">
        <f t="shared" si="27"/>
        <v>8794.9873509763493</v>
      </c>
      <c r="BR13" s="42">
        <f t="shared" si="28"/>
        <v>18974.163503879412</v>
      </c>
      <c r="BS13" s="58">
        <f t="shared" si="29"/>
        <v>10179.176152903063</v>
      </c>
      <c r="BT13" s="41">
        <f>'[2]побудинковий звіт'!BT13+'[1]побудинковий звіт'!BT13</f>
        <v>53033.503981841423</v>
      </c>
      <c r="BU13" s="41">
        <f>'[2]побудинковий звіт'!BU13+'[1]побудинковий звіт'!BU13</f>
        <v>65156.847010286205</v>
      </c>
      <c r="BV13" s="55">
        <f t="shared" si="30"/>
        <v>12123.343028444782</v>
      </c>
      <c r="BW13" s="41">
        <f>'[2]побудинковий звіт'!BW13+'[1]побудинковий звіт'!BW13</f>
        <v>57389.232680228226</v>
      </c>
      <c r="BX13" s="41">
        <f>'[2]побудинковий звіт'!BX13+'[1]побудинковий звіт'!BX13</f>
        <v>65922.442456048433</v>
      </c>
      <c r="BY13" s="55">
        <f t="shared" si="31"/>
        <v>8533.2097758202071</v>
      </c>
      <c r="BZ13" s="41">
        <f>'[2]побудинковий звіт'!BZ13+'[1]побудинковий звіт'!BZ13</f>
        <v>9312.650815904115</v>
      </c>
      <c r="CA13" s="41">
        <f>'[2]побудинковий звіт'!CA13+'[1]побудинковий звіт'!CA13</f>
        <v>5764.1350701554775</v>
      </c>
      <c r="CB13" s="55">
        <f t="shared" si="32"/>
        <v>-3548.5157457486375</v>
      </c>
      <c r="CC13" s="41">
        <f>'[2]побудинковий звіт'!CC13+'[1]побудинковий звіт'!CC13</f>
        <v>2781.4903361475658</v>
      </c>
      <c r="CD13" s="41">
        <f>'[2]побудинковий звіт'!CD13+'[1]побудинковий звіт'!CD13</f>
        <v>2790.9220596198029</v>
      </c>
      <c r="CE13" s="55">
        <f t="shared" si="33"/>
        <v>9.4317234722370813</v>
      </c>
      <c r="CF13" s="41">
        <f>'[2]побудинковий звіт'!CF13+'[1]побудинковий звіт'!CF13</f>
        <v>344.61186851244111</v>
      </c>
      <c r="CG13" s="41">
        <f>'[2]побудинковий звіт'!CG13+'[1]побудинковий звіт'!CG13</f>
        <v>0</v>
      </c>
      <c r="CH13" s="55">
        <f t="shared" si="34"/>
        <v>-344.61186851244111</v>
      </c>
      <c r="CI13" s="41">
        <f>'[2]побудинковий звіт'!CI13+'[1]побудинковий звіт'!CI13</f>
        <v>11322.956989029055</v>
      </c>
      <c r="CJ13" s="41">
        <f>'[2]побудинковий звіт'!CJ13+'[1]побудинковий звіт'!CJ13</f>
        <v>14871.22260027736</v>
      </c>
      <c r="CK13" s="55">
        <f t="shared" si="35"/>
        <v>3548.2656112483055</v>
      </c>
      <c r="CL13" s="41">
        <f>'[2]побудинковий звіт'!CL13+'[1]побудинковий звіт'!CL13</f>
        <v>17206.644641249361</v>
      </c>
      <c r="CM13" s="41">
        <f>'[2]побудинковий звіт'!CM13+'[1]побудинковий звіт'!CM13</f>
        <v>22301.586109014337</v>
      </c>
      <c r="CN13" s="55">
        <f t="shared" si="36"/>
        <v>5094.9414677649766</v>
      </c>
      <c r="CO13" s="41">
        <f t="shared" si="37"/>
        <v>28529.601630278416</v>
      </c>
      <c r="CP13" s="42">
        <f t="shared" si="38"/>
        <v>37172.808709291698</v>
      </c>
      <c r="CQ13" s="55">
        <f t="shared" si="39"/>
        <v>8643.2070790132821</v>
      </c>
      <c r="CR13" s="76">
        <f t="shared" si="40"/>
        <v>461844.44391471701</v>
      </c>
      <c r="CS13" s="5">
        <f t="shared" si="41"/>
        <v>375375.91093076987</v>
      </c>
      <c r="CT13" s="55">
        <f t="shared" si="42"/>
        <v>-86468.532983947138</v>
      </c>
      <c r="CU13" s="84">
        <f t="shared" si="43"/>
        <v>554213.33269766043</v>
      </c>
      <c r="CV13" s="68">
        <f t="shared" si="44"/>
        <v>450451.09311692382</v>
      </c>
      <c r="CW13" s="36">
        <f t="shared" si="45"/>
        <v>-103762.23958073661</v>
      </c>
      <c r="CX13" s="41">
        <f>'[2]побудинковий звіт'!CX13+'[1]побудинковий звіт'!CX13</f>
        <v>17270.398406940942</v>
      </c>
      <c r="CY13" s="41">
        <f>'[2]побудинковий звіт'!CY13+'[1]побудинковий звіт'!CY13</f>
        <v>121032.63798767747</v>
      </c>
      <c r="CZ13" s="55">
        <f t="shared" si="46"/>
        <v>103762.23958073652</v>
      </c>
      <c r="DA13" s="254">
        <f>'[1]побудинковий звіт'!DA13</f>
        <v>-65251.854440279916</v>
      </c>
      <c r="DB13" s="2">
        <v>3</v>
      </c>
      <c r="DC13" s="702">
        <f>'[1]побудинковий звіт'!DC13</f>
        <v>140308.63</v>
      </c>
      <c r="DD13" s="702">
        <f>'[1]побудинковий звіт'!DD13</f>
        <v>0</v>
      </c>
      <c r="DE13" s="702">
        <f>'[1]побудинковий звіт'!DE13</f>
        <v>78089.420000000013</v>
      </c>
      <c r="DF13" s="702">
        <f>'[1]побудинковий звіт'!DF13</f>
        <v>0</v>
      </c>
      <c r="DG13" s="772">
        <v>-157709.17921246565</v>
      </c>
      <c r="DH13" s="746">
        <f t="shared" si="47"/>
        <v>6857804.7732552169</v>
      </c>
      <c r="DI13" s="769"/>
      <c r="DJ13" s="5"/>
      <c r="DK13" s="307">
        <f>VLOOKUP($A13,ціни!$A$4:$G$401,5)</f>
        <v>5.8452632836205494</v>
      </c>
      <c r="DL13" s="307">
        <f>VLOOKUP($A13,ціни!$A$4:$G$401,6)</f>
        <v>7.2555558792146861</v>
      </c>
      <c r="DM13" s="307">
        <f>VLOOKUP($A13,ціни!$A$4:$G$401,7)</f>
        <v>4.8749049911248123</v>
      </c>
      <c r="DN13" s="29">
        <f>DK13*G13+(F13-G13)*DL13</f>
        <v>44876.399683441166</v>
      </c>
      <c r="DO13" s="29">
        <f>DM13*H13</f>
        <v>0</v>
      </c>
      <c r="DP13" s="306">
        <f t="shared" si="48"/>
        <v>44876.399683441166</v>
      </c>
      <c r="DQ13" s="101"/>
      <c r="DR13" s="29">
        <f>VLOOKUP(A13,'ДЗ нас '!$A$1:$C$359,2)</f>
        <v>44876.59</v>
      </c>
      <c r="DS13" s="733"/>
      <c r="DT13" s="29">
        <f t="shared" si="49"/>
        <v>44876.59</v>
      </c>
      <c r="DU13" s="247">
        <f>VLOOKUP(A13,'новий кошторис с 01.06'!$A$4:$AI$399,35)*1.2</f>
        <v>45039.897739045766</v>
      </c>
      <c r="DV13" s="29">
        <f t="shared" si="50"/>
        <v>-163.30773904576927</v>
      </c>
      <c r="DW13" s="1016">
        <f>'[2]побудинковий звіт'!$DW$9+'[1]побудинковий звіт'!DW13</f>
        <v>1242</v>
      </c>
      <c r="DX13" s="101">
        <f>'[1]побудинковий звіт'!DX13</f>
        <v>0</v>
      </c>
      <c r="DY13" s="5">
        <f t="shared" si="51"/>
        <v>196249.49210575401</v>
      </c>
      <c r="DZ13" s="5">
        <f t="shared" si="52"/>
        <v>60025.597366380578</v>
      </c>
      <c r="EA13" s="737">
        <f t="shared" si="53"/>
        <v>78089.420000000013</v>
      </c>
      <c r="EC13" s="577">
        <f t="shared" si="54"/>
        <v>1856955.0728458236</v>
      </c>
      <c r="EE13" s="743">
        <v>34484</v>
      </c>
      <c r="EF13" s="723">
        <f t="shared" si="55"/>
        <v>-123225.17921246565</v>
      </c>
      <c r="EH13" s="798">
        <v>-192392.44459653684</v>
      </c>
      <c r="EI13" s="101">
        <f>VLOOKUP(A13,'кошти 01.01.24'!$A$9:$D$352,4,FALSE)</f>
        <v>38510.385140456448</v>
      </c>
    </row>
    <row r="14" spans="1:139" hidden="1" x14ac:dyDescent="0.3">
      <c r="A14" s="318">
        <v>150000636</v>
      </c>
      <c r="B14" s="43" t="s">
        <v>571</v>
      </c>
      <c r="C14" s="44" t="s">
        <v>1738</v>
      </c>
      <c r="D14" s="44" t="s">
        <v>258</v>
      </c>
      <c r="E14" s="39">
        <f t="shared" si="4"/>
        <v>3179.26</v>
      </c>
      <c r="F14" s="205">
        <f>'[1]побудинковий звіт'!F14</f>
        <v>3179.26</v>
      </c>
      <c r="G14" s="29">
        <f>'[1]побудинковий звіт'!G14</f>
        <v>0</v>
      </c>
      <c r="H14" s="148">
        <f>'[1]побудинковий звіт'!H14</f>
        <v>0</v>
      </c>
      <c r="I14" s="41">
        <f>'[2]побудинковий звіт'!I14+'[1]побудинковий звіт'!I14</f>
        <v>11412.772465662843</v>
      </c>
      <c r="J14" s="41">
        <f>'[2]побудинковий звіт'!J14+'[1]побудинковий звіт'!J14</f>
        <v>11961.261143203297</v>
      </c>
      <c r="K14" s="55">
        <f t="shared" si="5"/>
        <v>548.48867754045386</v>
      </c>
      <c r="L14" s="41">
        <f>'[2]побудинковий звіт'!L14+'[1]побудинковий звіт'!L14</f>
        <v>2300.3148750701152</v>
      </c>
      <c r="M14" s="41">
        <f>'[2]побудинковий звіт'!M14+'[1]побудинковий звіт'!M14</f>
        <v>2490.5324404873318</v>
      </c>
      <c r="N14" s="55">
        <f t="shared" si="6"/>
        <v>190.21756541721652</v>
      </c>
      <c r="O14" s="41">
        <f>'[2]побудинковий звіт'!O14+'[1]побудинковий звіт'!O14</f>
        <v>4955.0083147571922</v>
      </c>
      <c r="P14" s="41">
        <f>'[2]побудинковий звіт'!P14+'[1]побудинковий звіт'!P14</f>
        <v>4969.6708576391502</v>
      </c>
      <c r="Q14" s="55">
        <f t="shared" si="7"/>
        <v>14.662542881957961</v>
      </c>
      <c r="R14" s="41">
        <f>'[2]побудинковий звіт'!R14+'[1]побудинковий звіт'!R14</f>
        <v>0</v>
      </c>
      <c r="S14" s="41">
        <f>'[2]побудинковий звіт'!S14+'[1]побудинковий звіт'!S14</f>
        <v>0</v>
      </c>
      <c r="T14" s="55">
        <f t="shared" si="8"/>
        <v>0</v>
      </c>
      <c r="U14" s="41">
        <f>'[2]побудинковий звіт'!U14+'[1]побудинковий звіт'!U14</f>
        <v>597.04038067495605</v>
      </c>
      <c r="V14" s="41">
        <f>'[2]побудинковий звіт'!V14+'[1]побудинковий звіт'!V14</f>
        <v>427.80181830574236</v>
      </c>
      <c r="W14" s="55">
        <f t="shared" si="9"/>
        <v>-169.2385623692137</v>
      </c>
      <c r="X14" s="41">
        <f>'[2]побудинковий звіт'!X14+'[1]побудинковий звіт'!X14</f>
        <v>7309.1547189433722</v>
      </c>
      <c r="Y14" s="41">
        <f>'[2]побудинковий звіт'!Y14+'[1]побудинковий звіт'!Y14</f>
        <v>7389.4110575257528</v>
      </c>
      <c r="Z14" s="55">
        <f t="shared" si="10"/>
        <v>80.256338582380522</v>
      </c>
      <c r="AA14" s="41">
        <f>'[2]побудинковий звіт'!AA14+'[1]побудинковий звіт'!AA14</f>
        <v>0</v>
      </c>
      <c r="AB14" s="41">
        <f>'[2]побудинковий звіт'!AB14+'[1]побудинковий звіт'!AB14</f>
        <v>0</v>
      </c>
      <c r="AC14" s="55">
        <f t="shared" si="11"/>
        <v>0</v>
      </c>
      <c r="AD14" s="41">
        <f>'[2]побудинковий звіт'!AD14+'[1]побудинковий звіт'!AD14</f>
        <v>13776.991136450801</v>
      </c>
      <c r="AE14" s="41">
        <f>'[2]побудинковий звіт'!AE14+'[1]побудинковий звіт'!AE14</f>
        <v>13723.88153797493</v>
      </c>
      <c r="AF14" s="36">
        <f t="shared" si="12"/>
        <v>-53.109598475870371</v>
      </c>
      <c r="AG14" s="84">
        <f t="shared" si="13"/>
        <v>40351.28189155928</v>
      </c>
      <c r="AH14" s="56">
        <f t="shared" si="14"/>
        <v>40962.558855136202</v>
      </c>
      <c r="AI14" s="55">
        <f t="shared" si="15"/>
        <v>611.27696357692184</v>
      </c>
      <c r="AJ14" s="41">
        <f>'[2]побудинковий звіт'!AJ14+'[1]побудинковий звіт'!AJ14</f>
        <v>0</v>
      </c>
      <c r="AK14" s="41">
        <f>'[2]побудинковий звіт'!AK14+'[1]побудинковий звіт'!AK14</f>
        <v>0</v>
      </c>
      <c r="AL14" s="55">
        <f t="shared" si="16"/>
        <v>0</v>
      </c>
      <c r="AM14" s="41">
        <f>'[2]побудинковий звіт'!AM14+'[1]побудинковий звіт'!AM14</f>
        <v>0</v>
      </c>
      <c r="AN14" s="41">
        <f>'[2]побудинковий звіт'!AN14+'[1]побудинковий звіт'!AN14</f>
        <v>0</v>
      </c>
      <c r="AO14" s="55">
        <f t="shared" si="17"/>
        <v>0</v>
      </c>
      <c r="AP14" s="41">
        <f>'[2]побудинковий звіт'!AP14+'[1]побудинковий звіт'!AP14</f>
        <v>10401.278400504641</v>
      </c>
      <c r="AQ14" s="41">
        <f>'[2]побудинковий звіт'!AQ14+'[1]побудинковий звіт'!AQ14</f>
        <v>9493.7982193090684</v>
      </c>
      <c r="AR14" s="55">
        <f t="shared" si="18"/>
        <v>-907.4801811955731</v>
      </c>
      <c r="AS14" s="41">
        <f>'[2]побудинковий звіт'!AS14+'[1]побудинковий звіт'!AS14</f>
        <v>43713.889923322713</v>
      </c>
      <c r="AT14" s="41">
        <f>'[2]побудинковий звіт'!AT14+'[1]побудинковий звіт'!AT14</f>
        <v>45731.057580753244</v>
      </c>
      <c r="AU14" s="57">
        <f t="shared" si="19"/>
        <v>2017.1676574305311</v>
      </c>
      <c r="AV14" s="41">
        <f>'[2]побудинковий звіт'!AV14+'[1]побудинковий звіт'!AV14</f>
        <v>1852.1119863833305</v>
      </c>
      <c r="AW14" s="41">
        <f>'[2]побудинковий звіт'!AW14+'[1]побудинковий звіт'!AW14</f>
        <v>2330.2834939688255</v>
      </c>
      <c r="AX14" s="58">
        <f t="shared" si="20"/>
        <v>478.17150758549496</v>
      </c>
      <c r="AY14" s="41">
        <f>'[2]побудинковий звіт'!AY14+'[1]побудинковий звіт'!AY14</f>
        <v>2938.9342694333559</v>
      </c>
      <c r="AZ14" s="41">
        <f>'[2]побудинковий звіт'!AZ14+'[1]побудинковий звіт'!AZ14</f>
        <v>3765.6786680817454</v>
      </c>
      <c r="BA14" s="36">
        <f t="shared" si="21"/>
        <v>826.74439864838951</v>
      </c>
      <c r="BB14" s="41">
        <f>'[2]побудинковий звіт'!BB14+'[1]побудинковий звіт'!BB14</f>
        <v>1796.988535695768</v>
      </c>
      <c r="BC14" s="41">
        <f>'[2]побудинковий звіт'!BC14+'[1]побудинковий звіт'!BC14</f>
        <v>0</v>
      </c>
      <c r="BD14" s="58">
        <f t="shared" si="22"/>
        <v>-1796.988535695768</v>
      </c>
      <c r="BE14" s="41">
        <f>'[2]побудинковий звіт'!BE14+'[1]побудинковий звіт'!BE14</f>
        <v>0</v>
      </c>
      <c r="BF14" s="41">
        <f>'[2]побудинковий звіт'!BF14+'[1]побудинковий звіт'!BF14</f>
        <v>0</v>
      </c>
      <c r="BG14" s="38">
        <f t="shared" si="23"/>
        <v>0</v>
      </c>
      <c r="BH14" s="41">
        <f>'[2]побудинковий звіт'!BH14+'[1]побудинковий звіт'!BH14</f>
        <v>605.73305820566497</v>
      </c>
      <c r="BI14" s="41">
        <f>'[2]побудинковий звіт'!BI14+'[1]побудинковий звіт'!BI14</f>
        <v>0</v>
      </c>
      <c r="BJ14" s="58">
        <f t="shared" si="24"/>
        <v>-605.73305820566497</v>
      </c>
      <c r="BK14" s="41">
        <f>'[2]побудинковий звіт'!BK14+'[1]побудинковий звіт'!BK14</f>
        <v>1612.5981237823044</v>
      </c>
      <c r="BL14" s="41">
        <f>'[2]побудинковий звіт'!BL14+'[1]побудинковий звіт'!BL14</f>
        <v>0</v>
      </c>
      <c r="BM14" s="38">
        <f t="shared" si="25"/>
        <v>-1612.5981237823044</v>
      </c>
      <c r="BN14" s="41">
        <f>'[2]побудинковий звіт'!BN14+'[1]побудинковий звіт'!BN14</f>
        <v>100.38677964698979</v>
      </c>
      <c r="BO14" s="41">
        <f>'[2]побудинковий звіт'!BO14+'[1]побудинковий звіт'!BO14</f>
        <v>3369.4998712157189</v>
      </c>
      <c r="BP14" s="58">
        <f t="shared" si="26"/>
        <v>3269.113091568729</v>
      </c>
      <c r="BQ14" s="84">
        <f t="shared" si="27"/>
        <v>8906.7527531474134</v>
      </c>
      <c r="BR14" s="42">
        <f t="shared" si="28"/>
        <v>9465.4620332662907</v>
      </c>
      <c r="BS14" s="58">
        <f t="shared" si="29"/>
        <v>558.70928011887736</v>
      </c>
      <c r="BT14" s="41">
        <f>'[2]побудинковий звіт'!BT14+'[1]побудинковий звіт'!BT14</f>
        <v>37541.190017681656</v>
      </c>
      <c r="BU14" s="41">
        <f>'[2]побудинковий звіт'!BU14+'[1]побудинковий звіт'!BU14</f>
        <v>58514.652672302778</v>
      </c>
      <c r="BV14" s="55">
        <f t="shared" si="30"/>
        <v>20973.462654621122</v>
      </c>
      <c r="BW14" s="41">
        <f>'[2]побудинковий звіт'!BW14+'[1]побудинковий звіт'!BW14</f>
        <v>18730.523854955431</v>
      </c>
      <c r="BX14" s="41">
        <f>'[2]побудинковий звіт'!BX14+'[1]побудинковий звіт'!BX14</f>
        <v>23093.457493294201</v>
      </c>
      <c r="BY14" s="55">
        <f t="shared" si="31"/>
        <v>4362.9336383387708</v>
      </c>
      <c r="BZ14" s="41">
        <f>'[2]побудинковий звіт'!BZ14+'[1]побудинковий звіт'!BZ14</f>
        <v>8198.3464391610287</v>
      </c>
      <c r="CA14" s="41">
        <f>'[2]побудинковий звіт'!CA14+'[1]побудинковий звіт'!CA14</f>
        <v>2655.991429116983</v>
      </c>
      <c r="CB14" s="55">
        <f t="shared" si="32"/>
        <v>-5542.3550100440461</v>
      </c>
      <c r="CC14" s="41">
        <f>'[2]побудинковий звіт'!CC14+'[1]побудинковий звіт'!CC14</f>
        <v>1925.5766889610873</v>
      </c>
      <c r="CD14" s="41">
        <f>'[2]побудинковий звіт'!CD14+'[1]побудинковий звіт'!CD14</f>
        <v>1932.1061047274643</v>
      </c>
      <c r="CE14" s="55">
        <f t="shared" si="33"/>
        <v>6.529415766377042</v>
      </c>
      <c r="CF14" s="41">
        <f>'[2]побудинковий звіт'!CF14+'[1]побудинковий звіт'!CF14</f>
        <v>238.56871696557837</v>
      </c>
      <c r="CG14" s="41">
        <f>'[2]побудинковий звіт'!CG14+'[1]побудинковий звіт'!CG14</f>
        <v>0</v>
      </c>
      <c r="CH14" s="55">
        <f t="shared" si="34"/>
        <v>-238.56871696557837</v>
      </c>
      <c r="CI14" s="41">
        <f>'[2]побудинковий звіт'!CI14+'[1]побудинковий звіт'!CI14</f>
        <v>6835.0092622112325</v>
      </c>
      <c r="CJ14" s="41">
        <f>'[2]побудинковий звіт'!CJ14+'[1]побудинковий звіт'!CJ14</f>
        <v>2955.8856379472109</v>
      </c>
      <c r="CK14" s="55">
        <f t="shared" si="35"/>
        <v>-3879.1236242640216</v>
      </c>
      <c r="CL14" s="41">
        <f>'[2]побудинковий звіт'!CL14+'[1]побудинковий звіт'!CL14</f>
        <v>0</v>
      </c>
      <c r="CM14" s="41">
        <f>'[2]побудинковий звіт'!CM14+'[1]побудинковий звіт'!CM14</f>
        <v>0</v>
      </c>
      <c r="CN14" s="55">
        <f t="shared" si="36"/>
        <v>0</v>
      </c>
      <c r="CO14" s="41">
        <f t="shared" si="37"/>
        <v>6835.0092622112325</v>
      </c>
      <c r="CP14" s="42">
        <f t="shared" si="38"/>
        <v>2955.8856379472109</v>
      </c>
      <c r="CQ14" s="55">
        <f t="shared" si="39"/>
        <v>-3879.1236242640216</v>
      </c>
      <c r="CR14" s="76">
        <f t="shared" si="40"/>
        <v>176842.41794847007</v>
      </c>
      <c r="CS14" s="5">
        <f t="shared" si="41"/>
        <v>194804.97002585343</v>
      </c>
      <c r="CT14" s="55">
        <f t="shared" si="42"/>
        <v>17962.552077383356</v>
      </c>
      <c r="CU14" s="84">
        <f t="shared" si="43"/>
        <v>212210.90153816409</v>
      </c>
      <c r="CV14" s="68">
        <f t="shared" si="44"/>
        <v>233765.96403102411</v>
      </c>
      <c r="CW14" s="36">
        <f t="shared" si="45"/>
        <v>21555.062492860015</v>
      </c>
      <c r="CX14" s="41">
        <f>'[2]побудинковий звіт'!CX14+'[1]побудинковий звіт'!CX14</f>
        <v>5713.9417897850544</v>
      </c>
      <c r="CY14" s="41">
        <f>'[2]побудинковий звіт'!CY14+'[1]побудинковий звіт'!CY14</f>
        <v>-15841.120703074996</v>
      </c>
      <c r="CZ14" s="55">
        <f t="shared" si="46"/>
        <v>-21555.062492860052</v>
      </c>
      <c r="DA14" s="254">
        <f>'[1]побудинковий звіт'!DA14</f>
        <v>71499.313080982727</v>
      </c>
      <c r="DB14" s="2">
        <v>3</v>
      </c>
      <c r="DC14" s="702">
        <f>'[1]побудинковий звіт'!DC14</f>
        <v>48004.73</v>
      </c>
      <c r="DD14" s="702">
        <f>'[1]побудинковий звіт'!DD14</f>
        <v>0</v>
      </c>
      <c r="DE14" s="702">
        <f>'[1]побудинковий звіт'!DE14</f>
        <v>24035.340000000004</v>
      </c>
      <c r="DF14" s="702">
        <f>'[1]побудинковий звіт'!DF14</f>
        <v>0</v>
      </c>
      <c r="DG14" s="772">
        <v>-37075.599441255035</v>
      </c>
      <c r="DH14" s="746">
        <f t="shared" si="47"/>
        <v>2615098.1199353896</v>
      </c>
      <c r="DI14" s="769"/>
      <c r="DJ14" s="5"/>
      <c r="DK14" s="307">
        <f>VLOOKUP($A14,ціни!$A$4:$G$401,5)</f>
        <v>5.3690295231826006</v>
      </c>
      <c r="DL14" s="307"/>
      <c r="DM14" s="307">
        <f>VLOOKUP($A14,ціни!$A$4:$G$401,7)</f>
        <v>4.7920728764902458</v>
      </c>
      <c r="DN14" s="29">
        <f t="shared" ref="DN14:DN27" si="56">F14*DK14</f>
        <v>17069.540801873514</v>
      </c>
      <c r="DO14" s="29">
        <f t="shared" ref="DO14:DO27" si="57">H14*DM14</f>
        <v>0</v>
      </c>
      <c r="DP14" s="306">
        <f t="shared" si="48"/>
        <v>17069.540801873514</v>
      </c>
      <c r="DQ14" s="101"/>
      <c r="DR14" s="29">
        <f>VLOOKUP(A14,'ДЗ нас '!$A$1:$C$359,2)</f>
        <v>17060.72</v>
      </c>
      <c r="DS14" s="733"/>
      <c r="DT14" s="29">
        <f t="shared" si="49"/>
        <v>17060.72</v>
      </c>
      <c r="DU14" s="247">
        <f>VLOOKUP(A14,'новий кошторис с 01.06'!$A$4:$AI$399,35)*1.2</f>
        <v>17117.830485055554</v>
      </c>
      <c r="DV14" s="29">
        <f t="shared" si="50"/>
        <v>-57.110485055552999</v>
      </c>
      <c r="DW14" s="1016">
        <f>'[2]побудинковий звіт'!$DW$9+'[1]побудинковий звіт'!DW14</f>
        <v>918</v>
      </c>
      <c r="DX14" s="101">
        <f>'[1]побудинковий звіт'!DX14</f>
        <v>0</v>
      </c>
      <c r="DY14" s="5">
        <f t="shared" si="51"/>
        <v>63144.771211764149</v>
      </c>
      <c r="DZ14" s="5">
        <f t="shared" si="52"/>
        <v>66235.823536823431</v>
      </c>
      <c r="EA14" s="737">
        <f t="shared" si="53"/>
        <v>24035.340000000004</v>
      </c>
      <c r="EC14" s="577">
        <f t="shared" si="54"/>
        <v>524566.67907987256</v>
      </c>
      <c r="EE14" s="743">
        <v>-50182</v>
      </c>
      <c r="EF14" s="723">
        <f t="shared" si="55"/>
        <v>-87257.599441255035</v>
      </c>
      <c r="EH14" s="798">
        <v>-67192.165219158705</v>
      </c>
      <c r="EI14" s="101">
        <f>VLOOKUP(A14,'кошти 01.01.24'!$A$9:$D$352,4,FALSE)</f>
        <v>49944.250588122653</v>
      </c>
    </row>
    <row r="15" spans="1:139" ht="14.4" hidden="1" customHeight="1" x14ac:dyDescent="0.3">
      <c r="A15" s="318">
        <v>150000736</v>
      </c>
      <c r="B15" s="43" t="s">
        <v>709</v>
      </c>
      <c r="C15" s="44" t="s">
        <v>1755</v>
      </c>
      <c r="D15" s="44" t="s">
        <v>219</v>
      </c>
      <c r="E15" s="39">
        <f t="shared" si="4"/>
        <v>2915.8</v>
      </c>
      <c r="F15" s="205">
        <f>'[1]побудинковий звіт'!F15</f>
        <v>2653.4</v>
      </c>
      <c r="G15" s="29">
        <f>'[1]побудинковий звіт'!G15</f>
        <v>0</v>
      </c>
      <c r="H15" s="148">
        <f>'[1]побудинковий звіт'!H15</f>
        <v>262.39999999999998</v>
      </c>
      <c r="I15" s="41">
        <f>'[2]побудинковий звіт'!I15+'[1]побудинковий звіт'!I15</f>
        <v>9397.8683795104607</v>
      </c>
      <c r="J15" s="41">
        <f>'[2]побудинковий звіт'!J15+'[1]побудинковий звіт'!J15</f>
        <v>9697.5596381468004</v>
      </c>
      <c r="K15" s="55">
        <f t="shared" si="5"/>
        <v>299.69125863633963</v>
      </c>
      <c r="L15" s="41">
        <f>'[2]побудинковий звіт'!L15+'[1]побудинковий звіт'!L15</f>
        <v>1914.1945087722024</v>
      </c>
      <c r="M15" s="41">
        <f>'[2]побудинковий звіт'!M15+'[1]побудинковий звіт'!M15</f>
        <v>2004.3061840571761</v>
      </c>
      <c r="N15" s="55">
        <f t="shared" si="6"/>
        <v>90.111675284973671</v>
      </c>
      <c r="O15" s="41">
        <f>'[2]побудинковий звіт'!O15+'[1]побудинковий звіт'!O15</f>
        <v>4139.167855456416</v>
      </c>
      <c r="P15" s="41">
        <f>'[2]побудинковий звіт'!P15+'[1]побудинковий звіт'!P15</f>
        <v>4150.8944092523689</v>
      </c>
      <c r="Q15" s="55">
        <f t="shared" si="7"/>
        <v>11.726553795952896</v>
      </c>
      <c r="R15" s="41">
        <f>'[2]побудинковий звіт'!R15+'[1]побудинковий звіт'!R15</f>
        <v>0</v>
      </c>
      <c r="S15" s="41">
        <f>'[2]побудинковий звіт'!S15+'[1]побудинковий звіт'!S15</f>
        <v>0</v>
      </c>
      <c r="T15" s="55">
        <f t="shared" si="8"/>
        <v>0</v>
      </c>
      <c r="U15" s="41">
        <f>'[2]побудинковий звіт'!U15+'[1]побудинковий звіт'!U15</f>
        <v>187.10196558541708</v>
      </c>
      <c r="V15" s="41">
        <f>'[2]побудинковий звіт'!V15+'[1]побудинковий звіт'!V15</f>
        <v>107.9445908639935</v>
      </c>
      <c r="W15" s="55">
        <f t="shared" si="9"/>
        <v>-79.157374721423579</v>
      </c>
      <c r="X15" s="41">
        <f>'[2]побудинковий звіт'!X15+'[1]побудинковий звіт'!X15</f>
        <v>6951.410539389899</v>
      </c>
      <c r="Y15" s="41">
        <f>'[2]побудинковий звіт'!Y15+'[1]побудинковий звіт'!Y15</f>
        <v>6848.3169766244864</v>
      </c>
      <c r="Z15" s="55">
        <f t="shared" si="10"/>
        <v>-103.09356276541257</v>
      </c>
      <c r="AA15" s="41">
        <f>'[2]побудинковий звіт'!AA15+'[1]побудинковий звіт'!AA15</f>
        <v>0</v>
      </c>
      <c r="AB15" s="41">
        <f>'[2]побудинковий звіт'!AB15+'[1]побудинковий звіт'!AB15</f>
        <v>0</v>
      </c>
      <c r="AC15" s="55">
        <f t="shared" si="11"/>
        <v>0</v>
      </c>
      <c r="AD15" s="41">
        <f>'[2]побудинковий звіт'!AD15+'[1]побудинковий звіт'!AD15</f>
        <v>12398.775773983567</v>
      </c>
      <c r="AE15" s="41">
        <f>'[2]побудинковий звіт'!AE15+'[1]побудинковий звіт'!AE15</f>
        <v>12351.349058333952</v>
      </c>
      <c r="AF15" s="36">
        <f t="shared" si="12"/>
        <v>-47.426715649615289</v>
      </c>
      <c r="AG15" s="84">
        <f t="shared" si="13"/>
        <v>34988.519022697961</v>
      </c>
      <c r="AH15" s="56">
        <f t="shared" si="14"/>
        <v>35160.370857278773</v>
      </c>
      <c r="AI15" s="55">
        <f t="shared" si="15"/>
        <v>171.85183458081156</v>
      </c>
      <c r="AJ15" s="41">
        <f>'[2]побудинковий звіт'!AJ15+'[1]побудинковий звіт'!AJ15</f>
        <v>0</v>
      </c>
      <c r="AK15" s="41">
        <f>'[2]побудинковий звіт'!AK15+'[1]побудинковий звіт'!AK15</f>
        <v>0</v>
      </c>
      <c r="AL15" s="55">
        <f t="shared" si="16"/>
        <v>0</v>
      </c>
      <c r="AM15" s="41">
        <f>'[2]побудинковий звіт'!AM15+'[1]побудинковий звіт'!AM15</f>
        <v>0</v>
      </c>
      <c r="AN15" s="41">
        <f>'[2]побудинковий звіт'!AN15+'[1]побудинковий звіт'!AN15</f>
        <v>0</v>
      </c>
      <c r="AO15" s="55">
        <f t="shared" si="17"/>
        <v>0</v>
      </c>
      <c r="AP15" s="41">
        <f>'[2]побудинковий звіт'!AP15+'[1]побудинковий звіт'!AP15</f>
        <v>9332.1218464337217</v>
      </c>
      <c r="AQ15" s="41">
        <f>'[2]побудинковий звіт'!AQ15+'[1]побудинковий звіт'!AQ15</f>
        <v>8767.9104912382099</v>
      </c>
      <c r="AR15" s="55">
        <f t="shared" si="18"/>
        <v>-564.21135519551171</v>
      </c>
      <c r="AS15" s="41">
        <f>'[2]побудинковий звіт'!AS15+'[1]побудинковий звіт'!AS15</f>
        <v>37780.807387763336</v>
      </c>
      <c r="AT15" s="41">
        <f>'[2]побудинковий звіт'!AT15+'[1]побудинковий звіт'!AT15</f>
        <v>728.303177578141</v>
      </c>
      <c r="AU15" s="57">
        <f t="shared" si="19"/>
        <v>-37052.504210185194</v>
      </c>
      <c r="AV15" s="41">
        <f>'[2]побудинковий звіт'!AV15+'[1]побудинковий звіт'!AV15</f>
        <v>1380.4397950261189</v>
      </c>
      <c r="AW15" s="41">
        <f>'[2]побудинковий звіт'!AW15+'[1]побудинковий звіт'!AW15</f>
        <v>0</v>
      </c>
      <c r="AX15" s="58">
        <f t="shared" si="20"/>
        <v>-1380.4397950261189</v>
      </c>
      <c r="AY15" s="41">
        <f>'[2]побудинковий звіт'!AY15+'[1]побудинковий звіт'!AY15</f>
        <v>2493.7193287499977</v>
      </c>
      <c r="AZ15" s="41">
        <f>'[2]побудинковий звіт'!AZ15+'[1]побудинковий звіт'!AZ15</f>
        <v>0</v>
      </c>
      <c r="BA15" s="36">
        <f t="shared" si="21"/>
        <v>-2493.7193287499977</v>
      </c>
      <c r="BB15" s="41">
        <f>'[2]побудинковий звіт'!BB15+'[1]побудинковий звіт'!BB15</f>
        <v>2131.9433280430671</v>
      </c>
      <c r="BC15" s="41">
        <f>'[2]побудинковий звіт'!BC15+'[1]побудинковий звіт'!BC15</f>
        <v>1466.2085221648515</v>
      </c>
      <c r="BD15" s="58">
        <f t="shared" si="22"/>
        <v>-665.73480587821564</v>
      </c>
      <c r="BE15" s="41">
        <f>'[2]побудинковий звіт'!BE15+'[1]побудинковий звіт'!BE15</f>
        <v>0</v>
      </c>
      <c r="BF15" s="41">
        <f>'[2]побудинковий звіт'!BF15+'[1]побудинковий звіт'!BF15</f>
        <v>0</v>
      </c>
      <c r="BG15" s="38">
        <f t="shared" si="23"/>
        <v>0</v>
      </c>
      <c r="BH15" s="41">
        <f>'[2]побудинковий звіт'!BH15+'[1]побудинковий звіт'!BH15</f>
        <v>110.27308797143304</v>
      </c>
      <c r="BI15" s="41">
        <f>'[2]побудинковий звіт'!BI15+'[1]побудинковий звіт'!BI15</f>
        <v>0</v>
      </c>
      <c r="BJ15" s="58">
        <f t="shared" si="24"/>
        <v>-110.27308797143304</v>
      </c>
      <c r="BK15" s="41">
        <f>'[2]побудинковий звіт'!BK15+'[1]побудинковий звіт'!BK15</f>
        <v>1292.2189610516409</v>
      </c>
      <c r="BL15" s="41">
        <f>'[2]побудинковий звіт'!BL15+'[1]побудинковий звіт'!BL15</f>
        <v>0</v>
      </c>
      <c r="BM15" s="38">
        <f t="shared" si="25"/>
        <v>-1292.2189610516409</v>
      </c>
      <c r="BN15" s="41">
        <f>'[2]побудинковий звіт'!BN15+'[1]побудинковий звіт'!BN15</f>
        <v>20.108726798037644</v>
      </c>
      <c r="BO15" s="41">
        <f>'[2]побудинковий звіт'!BO15+'[1]побудинковий звіт'!BO15</f>
        <v>1086.7894557032</v>
      </c>
      <c r="BP15" s="58">
        <f t="shared" si="26"/>
        <v>1066.6807289051624</v>
      </c>
      <c r="BQ15" s="84">
        <f t="shared" si="27"/>
        <v>7428.7032276402952</v>
      </c>
      <c r="BR15" s="42">
        <f t="shared" si="28"/>
        <v>2552.9979778680517</v>
      </c>
      <c r="BS15" s="58">
        <f t="shared" si="29"/>
        <v>-4875.7052497722434</v>
      </c>
      <c r="BT15" s="41">
        <f>'[2]побудинковий звіт'!BT15+'[1]побудинковий звіт'!BT15</f>
        <v>17282.645730259956</v>
      </c>
      <c r="BU15" s="41">
        <f>'[2]побудинковий звіт'!BU15+'[1]побудинковий звіт'!BU15</f>
        <v>38395.747178800724</v>
      </c>
      <c r="BV15" s="55">
        <f t="shared" si="30"/>
        <v>21113.101448540769</v>
      </c>
      <c r="BW15" s="41">
        <f>'[2]побудинковий звіт'!BW15+'[1]побудинковий звіт'!BW15</f>
        <v>20098.045676227241</v>
      </c>
      <c r="BX15" s="41">
        <f>'[2]побудинковий звіт'!BX15+'[1]побудинковий звіт'!BX15</f>
        <v>23775.833182842158</v>
      </c>
      <c r="BY15" s="55">
        <f t="shared" si="31"/>
        <v>3677.7875066149172</v>
      </c>
      <c r="BZ15" s="41">
        <f>'[2]побудинковий звіт'!BZ15+'[1]побудинковий звіт'!BZ15</f>
        <v>9385.9530112474586</v>
      </c>
      <c r="CA15" s="41">
        <f>'[2]побудинковий звіт'!CA15+'[1]побудинковий звіт'!CA15</f>
        <v>3638.5202786958462</v>
      </c>
      <c r="CB15" s="55">
        <f t="shared" si="32"/>
        <v>-5747.4327325516124</v>
      </c>
      <c r="CC15" s="41">
        <f>'[2]побудинковий звіт'!CC15+'[1]побудинковий звіт'!CC15</f>
        <v>621.40002569549847</v>
      </c>
      <c r="CD15" s="41">
        <f>'[2]побудинковий звіт'!CD15+'[1]побудинковий звіт'!CD15</f>
        <v>623.50712386939267</v>
      </c>
      <c r="CE15" s="55">
        <f t="shared" si="33"/>
        <v>2.107098173894201</v>
      </c>
      <c r="CF15" s="41">
        <f>'[2]побудинковий звіт'!CF15+'[1]побудинковий звіт'!CF15</f>
        <v>76.988160327458303</v>
      </c>
      <c r="CG15" s="41">
        <f>'[2]побудинковий звіт'!CG15+'[1]побудинковий звіт'!CG15</f>
        <v>0</v>
      </c>
      <c r="CH15" s="55">
        <f t="shared" si="34"/>
        <v>-76.988160327458303</v>
      </c>
      <c r="CI15" s="41">
        <f>'[2]побудинковий звіт'!CI15+'[1]побудинковий звіт'!CI15</f>
        <v>3229.9504603814739</v>
      </c>
      <c r="CJ15" s="41">
        <f>'[2]побудинковий звіт'!CJ15+'[1]побудинковий звіт'!CJ15</f>
        <v>2794.9162246637688</v>
      </c>
      <c r="CK15" s="55">
        <f t="shared" si="35"/>
        <v>-435.03423571770509</v>
      </c>
      <c r="CL15" s="41">
        <f>'[2]побудинковий звіт'!CL15+'[1]побудинковий звіт'!CL15</f>
        <v>0</v>
      </c>
      <c r="CM15" s="41">
        <f>'[2]побудинковий звіт'!CM15+'[1]побудинковий звіт'!CM15</f>
        <v>0</v>
      </c>
      <c r="CN15" s="55">
        <f t="shared" si="36"/>
        <v>0</v>
      </c>
      <c r="CO15" s="41">
        <f t="shared" si="37"/>
        <v>3229.9504603814739</v>
      </c>
      <c r="CP15" s="42">
        <f t="shared" si="38"/>
        <v>2794.9162246637688</v>
      </c>
      <c r="CQ15" s="55">
        <f t="shared" si="39"/>
        <v>-435.03423571770509</v>
      </c>
      <c r="CR15" s="76">
        <f t="shared" si="40"/>
        <v>140225.1345486744</v>
      </c>
      <c r="CS15" s="5">
        <f t="shared" si="41"/>
        <v>116438.10649283505</v>
      </c>
      <c r="CT15" s="55">
        <f t="shared" si="42"/>
        <v>-23787.028055839342</v>
      </c>
      <c r="CU15" s="84">
        <f t="shared" si="43"/>
        <v>168270.16145840927</v>
      </c>
      <c r="CV15" s="68">
        <f t="shared" si="44"/>
        <v>139725.72779140205</v>
      </c>
      <c r="CW15" s="36">
        <f t="shared" si="45"/>
        <v>-28544.433667007223</v>
      </c>
      <c r="CX15" s="41">
        <f>'[2]побудинковий звіт'!CX15+'[1]побудинковий звіт'!CX15</f>
        <v>6243.0739542515448</v>
      </c>
      <c r="CY15" s="41">
        <f>'[2]побудинковий звіт'!CY15+'[1]побудинковий звіт'!CY15</f>
        <v>34787.507621258737</v>
      </c>
      <c r="CZ15" s="55">
        <f t="shared" si="46"/>
        <v>28544.433667007193</v>
      </c>
      <c r="DA15" s="254">
        <f>'[1]побудинковий звіт'!DA15</f>
        <v>62762.51532301752</v>
      </c>
      <c r="DB15" s="2">
        <v>2</v>
      </c>
      <c r="DC15" s="702">
        <f>'[1]побудинковий звіт'!DC15</f>
        <v>40731.64</v>
      </c>
      <c r="DD15" s="702">
        <f>'[1]побудинковий звіт'!DD15</f>
        <v>3208.92</v>
      </c>
      <c r="DE15" s="702">
        <f>'[1]побудинковий звіт'!DE15</f>
        <v>22942.7</v>
      </c>
      <c r="DF15" s="702">
        <f>'[1]побудинковий звіт'!DF15</f>
        <v>1672.1000000000001</v>
      </c>
      <c r="DG15" s="772">
        <v>112036.85061308002</v>
      </c>
      <c r="DH15" s="746">
        <f t="shared" si="47"/>
        <v>2094158.8249519297</v>
      </c>
      <c r="DI15" s="769"/>
      <c r="DJ15" s="5"/>
      <c r="DK15" s="307">
        <f>VLOOKUP($A15,ціни!$A$4:$G$401,5)</f>
        <v>4.804489651453598</v>
      </c>
      <c r="DL15" s="307"/>
      <c r="DM15" s="307">
        <f>VLOOKUP($A15,ціни!$A$4:$G$401,7)</f>
        <v>4.0643608440068304</v>
      </c>
      <c r="DN15" s="29">
        <f t="shared" si="56"/>
        <v>12748.232841166977</v>
      </c>
      <c r="DO15" s="29">
        <f t="shared" si="57"/>
        <v>1066.4882854673922</v>
      </c>
      <c r="DP15" s="306">
        <f t="shared" si="48"/>
        <v>13814.721126634369</v>
      </c>
      <c r="DQ15" s="101"/>
      <c r="DR15" s="29">
        <f>VLOOKUP(A15,'ДЗ нас '!$A$1:$C$359,2)</f>
        <v>12748.24</v>
      </c>
      <c r="DS15" s="733">
        <f>VLOOKUP(A15,'ДЗ нежит'!$A$1:$D$153,4,0)</f>
        <v>775.09</v>
      </c>
      <c r="DT15" s="29">
        <f t="shared" si="49"/>
        <v>13523.33</v>
      </c>
      <c r="DU15" s="247">
        <f>VLOOKUP(A15,'новий кошторис с 01.06'!$A$4:$AI$399,35)*1.2</f>
        <v>13600.932648017824</v>
      </c>
      <c r="DV15" s="29">
        <f t="shared" si="50"/>
        <v>-77.602648017824322</v>
      </c>
      <c r="DW15" s="1016">
        <f>'[2]побудинковий звіт'!$DW$9+'[1]побудинковий звіт'!DW15</f>
        <v>1062</v>
      </c>
      <c r="DX15" s="101">
        <f>'[1]побудинковий звіт'!DX15</f>
        <v>0</v>
      </c>
      <c r="DY15" s="5">
        <f t="shared" si="51"/>
        <v>54251.41273848436</v>
      </c>
      <c r="DZ15" s="5">
        <f t="shared" si="52"/>
        <v>3937.5613865354312</v>
      </c>
      <c r="EA15" s="737">
        <f t="shared" si="53"/>
        <v>24614.799999999999</v>
      </c>
      <c r="EC15" s="577">
        <f t="shared" si="54"/>
        <v>453369.68865316</v>
      </c>
      <c r="EE15" s="743">
        <v>-39383</v>
      </c>
      <c r="EF15" s="723">
        <f t="shared" si="55"/>
        <v>72653.850613080023</v>
      </c>
      <c r="EH15" s="798">
        <v>93620.284153619461</v>
      </c>
      <c r="EI15" s="101">
        <f>VLOOKUP(A15,'кошти 01.01.24'!$A$9:$D$352,4,FALSE)</f>
        <v>91306.948990024714</v>
      </c>
    </row>
    <row r="16" spans="1:139" hidden="1" x14ac:dyDescent="0.3">
      <c r="A16" s="318">
        <v>150000743</v>
      </c>
      <c r="B16" s="43" t="s">
        <v>710</v>
      </c>
      <c r="C16" s="44" t="s">
        <v>1756</v>
      </c>
      <c r="D16" s="44" t="s">
        <v>220</v>
      </c>
      <c r="E16" s="39">
        <f t="shared" si="4"/>
        <v>2296.6</v>
      </c>
      <c r="F16" s="205">
        <f>'[1]побудинковий звіт'!F16</f>
        <v>1773.8</v>
      </c>
      <c r="G16" s="29">
        <f>'[1]побудинковий звіт'!G16</f>
        <v>0</v>
      </c>
      <c r="H16" s="148">
        <f>'[1]побудинковий звіт'!H16</f>
        <v>522.79999999999995</v>
      </c>
      <c r="I16" s="41">
        <f>'[2]побудинковий звіт'!I16+'[1]побудинковий звіт'!I16</f>
        <v>8176.1761376822333</v>
      </c>
      <c r="J16" s="41">
        <f>'[2]побудинковий звіт'!J16+'[1]побудинковий звіт'!J16</f>
        <v>8392.4108127314248</v>
      </c>
      <c r="K16" s="55">
        <f t="shared" si="5"/>
        <v>216.23467504919154</v>
      </c>
      <c r="L16" s="41">
        <f>'[2]побудинковий звіт'!L16+'[1]побудинковий звіт'!L16</f>
        <v>1414.2236788452767</v>
      </c>
      <c r="M16" s="41">
        <f>'[2]побудинковий звіт'!M16+'[1]побудинковий звіт'!M16</f>
        <v>1483.6235922280816</v>
      </c>
      <c r="N16" s="55">
        <f t="shared" si="6"/>
        <v>69.399913382804925</v>
      </c>
      <c r="O16" s="41">
        <f>'[2]побудинковий звіт'!O16+'[1]побудинковий звіт'!O16</f>
        <v>3007.9124628076761</v>
      </c>
      <c r="P16" s="41">
        <f>'[2]побудинковий звіт'!P16+'[1]побудинковий звіт'!P16</f>
        <v>3016.4217152361498</v>
      </c>
      <c r="Q16" s="55">
        <f t="shared" si="7"/>
        <v>8.509252428473701</v>
      </c>
      <c r="R16" s="41">
        <f>'[2]побудинковий звіт'!R16+'[1]побудинковий звіт'!R16</f>
        <v>0</v>
      </c>
      <c r="S16" s="41">
        <f>'[2]побудинковий звіт'!S16+'[1]побудинковий звіт'!S16</f>
        <v>0</v>
      </c>
      <c r="T16" s="55">
        <f t="shared" si="8"/>
        <v>0</v>
      </c>
      <c r="U16" s="41">
        <f>'[2]побудинковий звіт'!U16+'[1]побудинковий звіт'!U16</f>
        <v>149.68157246833368</v>
      </c>
      <c r="V16" s="41">
        <f>'[2]побудинковий звіт'!V16+'[1]побудинковий звіт'!V16</f>
        <v>86.355672691194812</v>
      </c>
      <c r="W16" s="55">
        <f t="shared" si="9"/>
        <v>-63.325899777138872</v>
      </c>
      <c r="X16" s="41">
        <f>'[2]побудинковий звіт'!X16+'[1]побудинковий звіт'!X16</f>
        <v>4803.3268776156938</v>
      </c>
      <c r="Y16" s="41">
        <f>'[2]побудинковий звіт'!Y16+'[1]побудинковий звіт'!Y16</f>
        <v>4570.6147225212389</v>
      </c>
      <c r="Z16" s="55">
        <f t="shared" si="10"/>
        <v>-232.71215509445483</v>
      </c>
      <c r="AA16" s="41">
        <f>'[2]побудинковий звіт'!AA16+'[1]побудинковий звіт'!AA16</f>
        <v>0</v>
      </c>
      <c r="AB16" s="41">
        <f>'[2]побудинковий звіт'!AB16+'[1]побудинковий звіт'!AB16</f>
        <v>0</v>
      </c>
      <c r="AC16" s="55">
        <f t="shared" si="11"/>
        <v>0</v>
      </c>
      <c r="AD16" s="41">
        <f>'[2]побудинковий звіт'!AD16+'[1]побудинковий звіт'!AD16</f>
        <v>9961.4309983264811</v>
      </c>
      <c r="AE16" s="41">
        <f>'[2]побудинковий звіт'!AE16+'[1]побудинковий звіт'!AE16</f>
        <v>9922.6746340864374</v>
      </c>
      <c r="AF16" s="36">
        <f t="shared" si="12"/>
        <v>-38.756364240043695</v>
      </c>
      <c r="AG16" s="84">
        <f t="shared" si="13"/>
        <v>27512.751727745694</v>
      </c>
      <c r="AH16" s="56">
        <f t="shared" si="14"/>
        <v>27472.101149494531</v>
      </c>
      <c r="AI16" s="55">
        <f t="shared" si="15"/>
        <v>-40.650578251163097</v>
      </c>
      <c r="AJ16" s="41">
        <f>'[2]побудинковий звіт'!AJ16+'[1]побудинковий звіт'!AJ16</f>
        <v>0</v>
      </c>
      <c r="AK16" s="41">
        <f>'[2]побудинковий звіт'!AK16+'[1]побудинковий звіт'!AK16</f>
        <v>0</v>
      </c>
      <c r="AL16" s="55">
        <f t="shared" si="16"/>
        <v>0</v>
      </c>
      <c r="AM16" s="41">
        <f>'[2]побудинковий звіт'!AM16+'[1]побудинковий звіт'!AM16</f>
        <v>0</v>
      </c>
      <c r="AN16" s="41">
        <f>'[2]побудинковий звіт'!AN16+'[1]побудинковий звіт'!AN16</f>
        <v>0</v>
      </c>
      <c r="AO16" s="55">
        <f t="shared" si="17"/>
        <v>0</v>
      </c>
      <c r="AP16" s="41">
        <f>'[2]побудинковий звіт'!AP16+'[1]побудинковий звіт'!AP16</f>
        <v>6360.3280177181086</v>
      </c>
      <c r="AQ16" s="41">
        <f>'[2]побудинковий звіт'!AQ16+'[1]побудинковий звіт'!AQ16</f>
        <v>5942.6340911320576</v>
      </c>
      <c r="AR16" s="55">
        <f t="shared" si="18"/>
        <v>-417.69392658605102</v>
      </c>
      <c r="AS16" s="41">
        <f>'[2]побудинковий звіт'!AS16+'[1]побудинковий звіт'!AS16</f>
        <v>26366.941840442487</v>
      </c>
      <c r="AT16" s="41">
        <f>'[2]побудинковий звіт'!AT16+'[1]побудинковий звіт'!AT16</f>
        <v>1820.8860736836955</v>
      </c>
      <c r="AU16" s="57">
        <f t="shared" si="19"/>
        <v>-24546.055766758793</v>
      </c>
      <c r="AV16" s="41">
        <f>'[2]побудинковий звіт'!AV16+'[1]побудинковий звіт'!AV16</f>
        <v>1315.2852973883091</v>
      </c>
      <c r="AW16" s="41">
        <f>'[2]побудинковий звіт'!AW16+'[1]побудинковий звіт'!AW16</f>
        <v>352.16494577075309</v>
      </c>
      <c r="AX16" s="58">
        <f t="shared" si="20"/>
        <v>-963.12035161755603</v>
      </c>
      <c r="AY16" s="41">
        <f>'[2]побудинковий звіт'!AY16+'[1]побудинковий звіт'!AY16</f>
        <v>1754.1692854842122</v>
      </c>
      <c r="AZ16" s="41">
        <f>'[2]побудинковий звіт'!AZ16+'[1]побудинковий звіт'!AZ16</f>
        <v>0</v>
      </c>
      <c r="BA16" s="36">
        <f t="shared" si="21"/>
        <v>-1754.1692854842122</v>
      </c>
      <c r="BB16" s="41">
        <f>'[2]побудинковий звіт'!BB16+'[1]побудинковий звіт'!BB16</f>
        <v>1290.1673326410216</v>
      </c>
      <c r="BC16" s="41">
        <f>'[2]побудинковий звіт'!BC16+'[1]побудинковий звіт'!BC16</f>
        <v>1653.4525042026278</v>
      </c>
      <c r="BD16" s="58">
        <f t="shared" si="22"/>
        <v>363.28517156160615</v>
      </c>
      <c r="BE16" s="41">
        <f>'[2]побудинковий звіт'!BE16+'[1]побудинковий звіт'!BE16</f>
        <v>0</v>
      </c>
      <c r="BF16" s="41">
        <f>'[2]побудинковий звіт'!BF16+'[1]побудинковий звіт'!BF16</f>
        <v>0</v>
      </c>
      <c r="BG16" s="38">
        <f t="shared" si="23"/>
        <v>0</v>
      </c>
      <c r="BH16" s="41">
        <f>'[2]побудинковий звіт'!BH16+'[1]побудинковий звіт'!BH16</f>
        <v>88.218470377146446</v>
      </c>
      <c r="BI16" s="41">
        <f>'[2]побудинковий звіт'!BI16+'[1]побудинковий звіт'!BI16</f>
        <v>0</v>
      </c>
      <c r="BJ16" s="58">
        <f t="shared" si="24"/>
        <v>-88.218470377146446</v>
      </c>
      <c r="BK16" s="41">
        <f>'[2]побудинковий звіт'!BK16+'[1]побудинковий звіт'!BK16</f>
        <v>796.95816349663198</v>
      </c>
      <c r="BL16" s="41">
        <f>'[2]побудинковий звіт'!BL16+'[1]побудинковий звіт'!BL16</f>
        <v>0</v>
      </c>
      <c r="BM16" s="38">
        <f t="shared" si="25"/>
        <v>-796.95816349663198</v>
      </c>
      <c r="BN16" s="41">
        <f>'[2]побудинковий звіт'!BN16+'[1]побудинковий звіт'!BN16</f>
        <v>24.437906670314071</v>
      </c>
      <c r="BO16" s="41">
        <f>'[2]побудинковий звіт'!BO16+'[1]побудинковий звіт'!BO16</f>
        <v>763.45755556819995</v>
      </c>
      <c r="BP16" s="58">
        <f t="shared" si="26"/>
        <v>739.01964889788587</v>
      </c>
      <c r="BQ16" s="84">
        <f t="shared" si="27"/>
        <v>5269.2364560576352</v>
      </c>
      <c r="BR16" s="42">
        <f t="shared" si="28"/>
        <v>2769.075005541581</v>
      </c>
      <c r="BS16" s="58">
        <f t="shared" si="29"/>
        <v>-2500.1614505160542</v>
      </c>
      <c r="BT16" s="41">
        <f>'[2]побудинковий звіт'!BT16+'[1]побудинковий звіт'!BT16</f>
        <v>12463.522476846863</v>
      </c>
      <c r="BU16" s="41">
        <f>'[2]побудинковий звіт'!BU16+'[1]побудинковий звіт'!BU16</f>
        <v>25971.17655820855</v>
      </c>
      <c r="BV16" s="55">
        <f t="shared" si="30"/>
        <v>13507.654081361687</v>
      </c>
      <c r="BW16" s="41">
        <f>'[2]побудинковий звіт'!BW16+'[1]побудинковий звіт'!BW16</f>
        <v>12251.502366475494</v>
      </c>
      <c r="BX16" s="41">
        <f>'[2]побудинковий звіт'!BX16+'[1]побудинковий звіт'!BX16</f>
        <v>13143.677856139899</v>
      </c>
      <c r="BY16" s="55">
        <f t="shared" si="31"/>
        <v>892.17548966440518</v>
      </c>
      <c r="BZ16" s="41">
        <f>'[2]побудинковий звіт'!BZ16+'[1]побудинковий звіт'!BZ16</f>
        <v>8353.6013770424197</v>
      </c>
      <c r="CA16" s="41">
        <f>'[2]побудинковий звіт'!CA16+'[1]побудинковий звіт'!CA16</f>
        <v>2361.4300839103612</v>
      </c>
      <c r="CB16" s="55">
        <f t="shared" si="32"/>
        <v>-5992.1712931320581</v>
      </c>
      <c r="CC16" s="41">
        <f>'[2]побудинковий звіт'!CC16+'[1]побудинковий звіт'!CC16</f>
        <v>1711.8272943729555</v>
      </c>
      <c r="CD16" s="41">
        <f>'[2]побудинковий звіт'!CD16+'[1]побудинковий звіт'!CD16</f>
        <v>1717.6319097846758</v>
      </c>
      <c r="CE16" s="55">
        <f t="shared" si="33"/>
        <v>5.8046154117203059</v>
      </c>
      <c r="CF16" s="41">
        <f>'[2]побудинковий звіт'!CF16+'[1]побудинковий звіт'!CF16</f>
        <v>212.08630309372543</v>
      </c>
      <c r="CG16" s="41">
        <f>'[2]побудинковий звіт'!CG16+'[1]побудинковий звіт'!CG16</f>
        <v>0</v>
      </c>
      <c r="CH16" s="55">
        <f t="shared" si="34"/>
        <v>-212.08630309372543</v>
      </c>
      <c r="CI16" s="41">
        <f>'[2]побудинковий звіт'!CI16+'[1]побудинковий звіт'!CI16</f>
        <v>536.97696097360313</v>
      </c>
      <c r="CJ16" s="41">
        <f>'[2]побудинковий звіт'!CJ16+'[1]побудинковий звіт'!CJ16</f>
        <v>664.33866758443105</v>
      </c>
      <c r="CK16" s="55">
        <f t="shared" si="35"/>
        <v>127.36170661082792</v>
      </c>
      <c r="CL16" s="41">
        <f>'[2]побудинковий звіт'!CL16+'[1]побудинковий звіт'!CL16</f>
        <v>0</v>
      </c>
      <c r="CM16" s="41">
        <f>'[2]побудинковий звіт'!CM16+'[1]побудинковий звіт'!CM16</f>
        <v>0</v>
      </c>
      <c r="CN16" s="55">
        <f t="shared" si="36"/>
        <v>0</v>
      </c>
      <c r="CO16" s="41">
        <f t="shared" si="37"/>
        <v>536.97696097360313</v>
      </c>
      <c r="CP16" s="42">
        <f t="shared" si="38"/>
        <v>664.33866758443105</v>
      </c>
      <c r="CQ16" s="55">
        <f t="shared" si="39"/>
        <v>127.36170661082792</v>
      </c>
      <c r="CR16" s="76">
        <f t="shared" si="40"/>
        <v>101038.774820769</v>
      </c>
      <c r="CS16" s="5">
        <f t="shared" si="41"/>
        <v>81862.951395479788</v>
      </c>
      <c r="CT16" s="55">
        <f t="shared" si="42"/>
        <v>-19175.823425289214</v>
      </c>
      <c r="CU16" s="84">
        <f t="shared" si="43"/>
        <v>121246.52978492279</v>
      </c>
      <c r="CV16" s="68">
        <f t="shared" si="44"/>
        <v>98235.541674575739</v>
      </c>
      <c r="CW16" s="36">
        <f t="shared" si="45"/>
        <v>-23010.988110347054</v>
      </c>
      <c r="CX16" s="41">
        <f>'[2]побудинковий звіт'!CX16+'[1]побудинковий звіт'!CX16</f>
        <v>3645.5625718136098</v>
      </c>
      <c r="CY16" s="41">
        <f>'[2]побудинковий звіт'!CY16+'[1]побудинковий звіт'!CY16</f>
        <v>26656.550682160676</v>
      </c>
      <c r="CZ16" s="55">
        <f t="shared" si="46"/>
        <v>23010.988110347065</v>
      </c>
      <c r="DA16" s="254">
        <f>'[1]побудинковий звіт'!DA16</f>
        <v>216081.15955765406</v>
      </c>
      <c r="DB16" s="2">
        <v>2</v>
      </c>
      <c r="DC16" s="702">
        <f>'[1]побудинковий звіт'!DC16</f>
        <v>63602.58</v>
      </c>
      <c r="DD16" s="702">
        <f>'[1]побудинковий звіт'!DD16</f>
        <v>960.43999999999994</v>
      </c>
      <c r="DE16" s="702">
        <f>'[1]побудинковий звіт'!DE16</f>
        <v>52677.03</v>
      </c>
      <c r="DF16" s="702">
        <f>'[1]побудинковий звіт'!DF16</f>
        <v>-1780.87</v>
      </c>
      <c r="DG16" s="772">
        <v>-45427.767321562336</v>
      </c>
      <c r="DH16" s="746">
        <f t="shared" si="47"/>
        <v>1498705.1082808368</v>
      </c>
      <c r="DI16" s="769"/>
      <c r="DJ16" s="5"/>
      <c r="DK16" s="307">
        <f>VLOOKUP($A16,ціни!$A$4:$G$401,5)</f>
        <v>4.4179691940324739</v>
      </c>
      <c r="DL16" s="307"/>
      <c r="DM16" s="307">
        <f>VLOOKUP($A16,ціни!$A$4:$G$401,7)</f>
        <v>3.7450587753252771</v>
      </c>
      <c r="DN16" s="29">
        <f t="shared" si="56"/>
        <v>7836.5937563748021</v>
      </c>
      <c r="DO16" s="29">
        <f t="shared" si="57"/>
        <v>1957.9167277400547</v>
      </c>
      <c r="DP16" s="306">
        <f t="shared" si="48"/>
        <v>9794.5104841148568</v>
      </c>
      <c r="DQ16" s="101"/>
      <c r="DR16" s="29">
        <f>VLOOKUP(A16,'ДЗ нас '!$A$1:$C$359,2)</f>
        <v>7836.63</v>
      </c>
      <c r="DS16" s="733">
        <f>VLOOKUP(A16,'ДЗ нежит'!$A$1:$D$153,4,0)</f>
        <v>1957.9400000000003</v>
      </c>
      <c r="DT16" s="29">
        <f t="shared" si="49"/>
        <v>9794.57</v>
      </c>
      <c r="DU16" s="247">
        <f>VLOOKUP(A16,'новий кошторис с 01.06'!$A$4:$AI$399,35)*1.2</f>
        <v>9842.7325360636951</v>
      </c>
      <c r="DV16" s="29">
        <f t="shared" si="50"/>
        <v>-48.16253606369537</v>
      </c>
      <c r="DW16" s="1016">
        <f>'[2]побудинковий звіт'!$DW$9+'[1]побудинковий звіт'!DW16</f>
        <v>1062</v>
      </c>
      <c r="DX16" s="101">
        <f>'[1]побудинковий звіт'!DX16</f>
        <v>0</v>
      </c>
      <c r="DY16" s="5">
        <f t="shared" si="51"/>
        <v>37963.413955800148</v>
      </c>
      <c r="DZ16" s="5">
        <f t="shared" si="52"/>
        <v>5507.9532950703324</v>
      </c>
      <c r="EA16" s="737">
        <f t="shared" si="53"/>
        <v>50896.159999999996</v>
      </c>
      <c r="EC16" s="577">
        <f t="shared" si="54"/>
        <v>316403.30208530987</v>
      </c>
      <c r="EE16" s="743">
        <v>66963</v>
      </c>
      <c r="EF16" s="723">
        <f t="shared" si="55"/>
        <v>21535.232678437664</v>
      </c>
      <c r="EH16" s="798">
        <v>5713.9421626418189</v>
      </c>
      <c r="EI16" s="101">
        <f>VLOOKUP(A16,'кошти 01.01.24'!$A$9:$D$352,4,FALSE)</f>
        <v>239092.14766800107</v>
      </c>
    </row>
    <row r="17" spans="1:139" hidden="1" x14ac:dyDescent="0.3">
      <c r="A17" s="318">
        <v>150000737</v>
      </c>
      <c r="B17" s="43" t="s">
        <v>711</v>
      </c>
      <c r="C17" s="44" t="s">
        <v>1757</v>
      </c>
      <c r="D17" s="44" t="s">
        <v>221</v>
      </c>
      <c r="E17" s="39">
        <f t="shared" si="4"/>
        <v>2573.6</v>
      </c>
      <c r="F17" s="205">
        <f>'[1]побудинковий звіт'!F17</f>
        <v>2270.6</v>
      </c>
      <c r="G17" s="29">
        <f>'[1]побудинковий звіт'!G17</f>
        <v>0</v>
      </c>
      <c r="H17" s="148">
        <f>'[1]побудинковий звіт'!H17</f>
        <v>303.00000000000006</v>
      </c>
      <c r="I17" s="41">
        <f>'[2]побудинковий звіт'!I17+'[1]побудинковий звіт'!I17</f>
        <v>10401.363946416486</v>
      </c>
      <c r="J17" s="41">
        <f>'[2]побудинковий звіт'!J17+'[1]побудинковий звіт'!J17</f>
        <v>10669.019523799725</v>
      </c>
      <c r="K17" s="55">
        <f t="shared" si="5"/>
        <v>267.65557738323878</v>
      </c>
      <c r="L17" s="41">
        <f>'[2]побудинковий звіт'!L17+'[1]побудинковий звіт'!L17</f>
        <v>1896.7045147859637</v>
      </c>
      <c r="M17" s="41">
        <f>'[2]побудинковий звіт'!M17+'[1]побудинковий звіт'!M17</f>
        <v>1989.4576005639447</v>
      </c>
      <c r="N17" s="55">
        <f t="shared" si="6"/>
        <v>92.753085777980914</v>
      </c>
      <c r="O17" s="41">
        <f>'[2]побудинковий звіт'!O17+'[1]побудинковий звіт'!O17</f>
        <v>4363.3559403122244</v>
      </c>
      <c r="P17" s="41">
        <f>'[2]побудинковий звіт'!P17+'[1]побудинковий звіт'!P17</f>
        <v>4375.3641476970788</v>
      </c>
      <c r="Q17" s="55">
        <f t="shared" si="7"/>
        <v>12.008207384854359</v>
      </c>
      <c r="R17" s="41">
        <f>'[2]побудинковий звіт'!R17+'[1]побудинковий звіт'!R17</f>
        <v>0</v>
      </c>
      <c r="S17" s="41">
        <f>'[2]побудинковий звіт'!S17+'[1]побудинковий звіт'!S17</f>
        <v>0</v>
      </c>
      <c r="T17" s="55">
        <f t="shared" si="8"/>
        <v>0</v>
      </c>
      <c r="U17" s="41">
        <f>'[2]побудинковий звіт'!U17+'[1]побудинковий звіт'!U17</f>
        <v>187.10196558541708</v>
      </c>
      <c r="V17" s="41">
        <f>'[2]побудинковий звіт'!V17+'[1]побудинковий звіт'!V17</f>
        <v>107.9445908639935</v>
      </c>
      <c r="W17" s="55">
        <f t="shared" si="9"/>
        <v>-79.157374721423579</v>
      </c>
      <c r="X17" s="41">
        <f>'[2]побудинковий звіт'!X17+'[1]побудинковий звіт'!X17</f>
        <v>6781.0552515011223</v>
      </c>
      <c r="Y17" s="41">
        <f>'[2]побудинковий звіт'!Y17+'[1]побудинковий звіт'!Y17</f>
        <v>6689.0792460938428</v>
      </c>
      <c r="Z17" s="55">
        <f t="shared" si="10"/>
        <v>-91.976005407279445</v>
      </c>
      <c r="AA17" s="41">
        <f>'[2]побудинковий звіт'!AA17+'[1]побудинковий звіт'!AA17</f>
        <v>0</v>
      </c>
      <c r="AB17" s="41">
        <f>'[2]побудинковий звіт'!AB17+'[1]побудинковий звіт'!AB17</f>
        <v>0</v>
      </c>
      <c r="AC17" s="55">
        <f t="shared" si="11"/>
        <v>0</v>
      </c>
      <c r="AD17" s="41">
        <f>'[2]побудинковий звіт'!AD17+'[1]побудинковий звіт'!AD17</f>
        <v>11160.116382997645</v>
      </c>
      <c r="AE17" s="41">
        <f>'[2]побудинковий звіт'!AE17+'[1]побудинковий звіт'!AE17</f>
        <v>11257.019290180393</v>
      </c>
      <c r="AF17" s="36">
        <f t="shared" si="12"/>
        <v>96.902907182748095</v>
      </c>
      <c r="AG17" s="84">
        <f t="shared" si="13"/>
        <v>34789.698001598859</v>
      </c>
      <c r="AH17" s="56">
        <f t="shared" si="14"/>
        <v>35087.884399198978</v>
      </c>
      <c r="AI17" s="55">
        <f t="shared" si="15"/>
        <v>298.18639760011865</v>
      </c>
      <c r="AJ17" s="41">
        <f>'[2]побудинковий звіт'!AJ17+'[1]побудинковий звіт'!AJ17</f>
        <v>0</v>
      </c>
      <c r="AK17" s="41">
        <f>'[2]побудинковий звіт'!AK17+'[1]побудинковий звіт'!AK17</f>
        <v>0</v>
      </c>
      <c r="AL17" s="55">
        <f t="shared" si="16"/>
        <v>0</v>
      </c>
      <c r="AM17" s="41">
        <f>'[2]побудинковий звіт'!AM17+'[1]побудинковий звіт'!AM17</f>
        <v>0</v>
      </c>
      <c r="AN17" s="41">
        <f>'[2]побудинковий звіт'!AN17+'[1]побудинковий звіт'!AN17</f>
        <v>0</v>
      </c>
      <c r="AO17" s="55">
        <f t="shared" si="17"/>
        <v>0</v>
      </c>
      <c r="AP17" s="41">
        <f>'[2]побудинковий звіт'!AP17+'[1]побудинковий звіт'!AP17</f>
        <v>8618.2021032752746</v>
      </c>
      <c r="AQ17" s="41">
        <f>'[2]побудинковий звіт'!AQ17+'[1]побудинковий звіт'!AQ17</f>
        <v>8973.7397782424141</v>
      </c>
      <c r="AR17" s="55">
        <f t="shared" si="18"/>
        <v>355.53767496713954</v>
      </c>
      <c r="AS17" s="41">
        <f>'[2]побудинковий звіт'!AS17+'[1]побудинковий звіт'!AS17</f>
        <v>41473.838802794926</v>
      </c>
      <c r="AT17" s="41">
        <f>'[2]побудинковий звіт'!AT17+'[1]побудинковий звіт'!AT17</f>
        <v>40207.881390883551</v>
      </c>
      <c r="AU17" s="57">
        <f t="shared" si="19"/>
        <v>-1265.9574119113749</v>
      </c>
      <c r="AV17" s="41">
        <f>'[2]побудинковий звіт'!AV17+'[1]побудинковий звіт'!AV17</f>
        <v>1635.4787211391908</v>
      </c>
      <c r="AW17" s="41">
        <f>'[2]побудинковий звіт'!AW17+'[1]побудинковий звіт'!AW17</f>
        <v>0</v>
      </c>
      <c r="AX17" s="58">
        <f t="shared" si="20"/>
        <v>-1635.4787211391908</v>
      </c>
      <c r="AY17" s="41">
        <f>'[2]побудинковий звіт'!AY17+'[1]побудинковий звіт'!AY17</f>
        <v>2272.516342440952</v>
      </c>
      <c r="AZ17" s="41">
        <f>'[2]побудинковий звіт'!AZ17+'[1]побудинковий звіт'!AZ17</f>
        <v>0</v>
      </c>
      <c r="BA17" s="36">
        <f t="shared" si="21"/>
        <v>-2272.516342440952</v>
      </c>
      <c r="BB17" s="41">
        <f>'[2]побудинковий звіт'!BB17+'[1]побудинковий звіт'!BB17</f>
        <v>1478.7110311412816</v>
      </c>
      <c r="BC17" s="41">
        <f>'[2]побудинковий звіт'!BC17+'[1]побудинковий звіт'!BC17</f>
        <v>1923.2911962155592</v>
      </c>
      <c r="BD17" s="58">
        <f t="shared" si="22"/>
        <v>444.5801650742776</v>
      </c>
      <c r="BE17" s="41">
        <f>'[2]побудинковий звіт'!BE17+'[1]побудинковий звіт'!BE17</f>
        <v>0</v>
      </c>
      <c r="BF17" s="41">
        <f>'[2]побудинковий звіт'!BF17+'[1]побудинковий звіт'!BF17</f>
        <v>0</v>
      </c>
      <c r="BG17" s="38">
        <f t="shared" si="23"/>
        <v>0</v>
      </c>
      <c r="BH17" s="41">
        <f>'[2]побудинковий звіт'!BH17+'[1]побудинковий звіт'!BH17</f>
        <v>110.27308797143304</v>
      </c>
      <c r="BI17" s="41">
        <f>'[2]побудинковий звіт'!BI17+'[1]побудинковий звіт'!BI17</f>
        <v>0</v>
      </c>
      <c r="BJ17" s="58">
        <f t="shared" si="24"/>
        <v>-110.27308797143304</v>
      </c>
      <c r="BK17" s="41">
        <f>'[2]побудинковий звіт'!BK17+'[1]побудинковий звіт'!BK17</f>
        <v>1263.1132123452383</v>
      </c>
      <c r="BL17" s="41">
        <f>'[2]побудинковий звіт'!BL17+'[1]побудинковий звіт'!BL17</f>
        <v>176.70892977667361</v>
      </c>
      <c r="BM17" s="38">
        <f t="shared" si="25"/>
        <v>-1086.4042825685647</v>
      </c>
      <c r="BN17" s="41">
        <f>'[2]побудинковий звіт'!BN17+'[1]побудинковий звіт'!BN17</f>
        <v>24.437906670314071</v>
      </c>
      <c r="BO17" s="41">
        <f>'[2]побудинковий звіт'!BO17+'[1]побудинковий звіт'!BO17</f>
        <v>4143.1669347787465</v>
      </c>
      <c r="BP17" s="58">
        <f t="shared" si="26"/>
        <v>4118.7290281084324</v>
      </c>
      <c r="BQ17" s="84">
        <f t="shared" si="27"/>
        <v>6784.5303017084098</v>
      </c>
      <c r="BR17" s="42">
        <f t="shared" si="28"/>
        <v>6243.1670607709793</v>
      </c>
      <c r="BS17" s="58">
        <f t="shared" si="29"/>
        <v>-541.36324093743042</v>
      </c>
      <c r="BT17" s="41">
        <f>'[2]побудинковий звіт'!BT17+'[1]побудинковий звіт'!BT17</f>
        <v>14373.422421933559</v>
      </c>
      <c r="BU17" s="41">
        <f>'[2]побудинковий звіт'!BU17+'[1]побудинковий звіт'!BU17</f>
        <v>28254.564814495454</v>
      </c>
      <c r="BV17" s="55">
        <f t="shared" si="30"/>
        <v>13881.142392561895</v>
      </c>
      <c r="BW17" s="41">
        <f>'[2]побудинковий звіт'!BW17+'[1]побудинковий звіт'!BW17</f>
        <v>15423.061935509635</v>
      </c>
      <c r="BX17" s="41">
        <f>'[2]побудинковий звіт'!BX17+'[1]побудинковий звіт'!BX17</f>
        <v>19043.87014388333</v>
      </c>
      <c r="BY17" s="55">
        <f t="shared" si="31"/>
        <v>3620.8082083736954</v>
      </c>
      <c r="BZ17" s="41">
        <f>'[2]побудинковий звіт'!BZ17+'[1]побудинковий звіт'!BZ17</f>
        <v>8176.1727011236926</v>
      </c>
      <c r="CA17" s="41">
        <f>'[2]побудинковий звіт'!CA17+'[1]побудинковий звіт'!CA17</f>
        <v>2707.3656121988074</v>
      </c>
      <c r="CB17" s="55">
        <f t="shared" si="32"/>
        <v>-5468.8070889248847</v>
      </c>
      <c r="CC17" s="41">
        <f>'[2]побудинковий звіт'!CC17+'[1]побудинковий звіт'!CC17</f>
        <v>1017.1417619615263</v>
      </c>
      <c r="CD17" s="41">
        <f>'[2]побудинковий звіт'!CD17+'[1]побудинковий звіт'!CD17</f>
        <v>1020.590776220613</v>
      </c>
      <c r="CE17" s="55">
        <f t="shared" si="33"/>
        <v>3.4490142590866526</v>
      </c>
      <c r="CF17" s="41">
        <f>'[2]побудинковий звіт'!CF17+'[1]побудинковий звіт'!CF17</f>
        <v>126.01845801020326</v>
      </c>
      <c r="CG17" s="41">
        <f>'[2]побудинковий звіт'!CG17+'[1]побудинковий звіт'!CG17</f>
        <v>0</v>
      </c>
      <c r="CH17" s="55">
        <f t="shared" si="34"/>
        <v>-126.01845801020326</v>
      </c>
      <c r="CI17" s="41">
        <f>'[2]побудинковий звіт'!CI17+'[1]побудинковий звіт'!CI17</f>
        <v>4136.1117929054826</v>
      </c>
      <c r="CJ17" s="41">
        <f>'[2]побудинковий звіт'!CJ17+'[1]побудинковий звіт'!CJ17</f>
        <v>3164.6769838491045</v>
      </c>
      <c r="CK17" s="55">
        <f t="shared" si="35"/>
        <v>-971.43480905637807</v>
      </c>
      <c r="CL17" s="41">
        <f>'[2]побудинковий звіт'!CL17+'[1]побудинковий звіт'!CL17</f>
        <v>0</v>
      </c>
      <c r="CM17" s="41">
        <f>'[2]побудинковий звіт'!CM17+'[1]побудинковий звіт'!CM17</f>
        <v>0</v>
      </c>
      <c r="CN17" s="55">
        <f t="shared" si="36"/>
        <v>0</v>
      </c>
      <c r="CO17" s="41">
        <f t="shared" si="37"/>
        <v>4136.1117929054826</v>
      </c>
      <c r="CP17" s="42">
        <f t="shared" si="38"/>
        <v>3164.6769838491045</v>
      </c>
      <c r="CQ17" s="55">
        <f t="shared" si="39"/>
        <v>-971.43480905637807</v>
      </c>
      <c r="CR17" s="76">
        <f t="shared" si="40"/>
        <v>134918.19828082158</v>
      </c>
      <c r="CS17" s="5">
        <f t="shared" si="41"/>
        <v>144703.74095974324</v>
      </c>
      <c r="CT17" s="55">
        <f t="shared" si="42"/>
        <v>9785.5426789216581</v>
      </c>
      <c r="CU17" s="84">
        <f t="shared" si="43"/>
        <v>161901.83793698589</v>
      </c>
      <c r="CV17" s="68">
        <f t="shared" si="44"/>
        <v>173644.48915169187</v>
      </c>
      <c r="CW17" s="36">
        <f t="shared" si="45"/>
        <v>11742.651214705984</v>
      </c>
      <c r="CX17" s="41">
        <f>'[2]побудинковий звіт'!CX17+'[1]побудинковий звіт'!CX17</f>
        <v>3302.7085606224437</v>
      </c>
      <c r="CY17" s="41">
        <f>'[2]побудинковий звіт'!CY17+'[1]побудинковий звіт'!CY17</f>
        <v>-8439.9426540835648</v>
      </c>
      <c r="CZ17" s="55">
        <f t="shared" si="46"/>
        <v>-11742.651214706009</v>
      </c>
      <c r="DA17" s="254">
        <f>'[1]побудинковий звіт'!DA17</f>
        <v>45563.858006817543</v>
      </c>
      <c r="DB17" s="2">
        <v>2</v>
      </c>
      <c r="DC17" s="702">
        <f>'[1]побудинковий звіт'!DC17</f>
        <v>67805.67</v>
      </c>
      <c r="DD17" s="702">
        <f>'[1]побудинковий звіт'!DD17</f>
        <v>3554.09</v>
      </c>
      <c r="DE17" s="702">
        <f>'[1]побудинковий звіт'!DE17</f>
        <v>51571.32</v>
      </c>
      <c r="DF17" s="702">
        <f>'[1]побудинковий звіт'!DF17</f>
        <v>1662.8300000000004</v>
      </c>
      <c r="DG17" s="772">
        <v>-26125.019743001845</v>
      </c>
      <c r="DH17" s="746">
        <f t="shared" si="47"/>
        <v>1982454.5579713001</v>
      </c>
      <c r="DI17" s="769"/>
      <c r="DJ17" s="5"/>
      <c r="DK17" s="307">
        <f>VLOOKUP($A17,ціни!$A$4:$G$401,5)</f>
        <v>5.1095284410893109</v>
      </c>
      <c r="DL17" s="307"/>
      <c r="DM17" s="307">
        <f>VLOOKUP($A17,ціни!$A$4:$G$401,7)</f>
        <v>4.4654726586412927</v>
      </c>
      <c r="DN17" s="29">
        <f t="shared" si="56"/>
        <v>11601.695278337389</v>
      </c>
      <c r="DO17" s="29">
        <f t="shared" si="57"/>
        <v>1353.0382155683119</v>
      </c>
      <c r="DP17" s="306">
        <f t="shared" si="48"/>
        <v>12954.7334939057</v>
      </c>
      <c r="DQ17" s="101"/>
      <c r="DR17" s="29">
        <f>VLOOKUP(A17,'ДЗ нас '!$A$1:$C$359,2)</f>
        <v>11601.64</v>
      </c>
      <c r="DS17" s="733">
        <f>VLOOKUP(A17,'ДЗ нежит'!$A$1:$D$153,4,0)</f>
        <v>1349.48</v>
      </c>
      <c r="DT17" s="29">
        <f t="shared" si="49"/>
        <v>12951.119999999999</v>
      </c>
      <c r="DU17" s="247">
        <f>VLOOKUP(A17,'новий кошторис с 01.06'!$A$4:$AI$399,35)*1.2</f>
        <v>13017.139154387452</v>
      </c>
      <c r="DV17" s="29">
        <f t="shared" si="50"/>
        <v>-66.019154387453455</v>
      </c>
      <c r="DW17" s="1016">
        <f>'[2]побудинковий звіт'!$DW$9+'[1]побудинковий звіт'!DW17</f>
        <v>918</v>
      </c>
      <c r="DX17" s="101">
        <f>'[1]побудинковий звіт'!DX17</f>
        <v>0</v>
      </c>
      <c r="DY17" s="5">
        <f t="shared" si="51"/>
        <v>57910.042925403999</v>
      </c>
      <c r="DZ17" s="5">
        <f t="shared" si="52"/>
        <v>55741.25814198544</v>
      </c>
      <c r="EA17" s="737">
        <f t="shared" si="53"/>
        <v>53234.15</v>
      </c>
      <c r="EC17" s="577">
        <f t="shared" si="54"/>
        <v>497686.06563353911</v>
      </c>
      <c r="EE17" s="743">
        <v>-23532</v>
      </c>
      <c r="EF17" s="723">
        <f t="shared" si="55"/>
        <v>-49657.019743001845</v>
      </c>
      <c r="EH17" s="798">
        <v>8517.3882457564978</v>
      </c>
      <c r="EI17" s="101">
        <f>VLOOKUP(A17,'кошти 01.01.24'!$A$9:$D$352,4,FALSE)</f>
        <v>33821.206792111538</v>
      </c>
    </row>
    <row r="18" spans="1:139" ht="14.4" hidden="1" customHeight="1" x14ac:dyDescent="0.3">
      <c r="A18" s="318">
        <v>150000738</v>
      </c>
      <c r="B18" s="43" t="s">
        <v>712</v>
      </c>
      <c r="C18" s="44" t="s">
        <v>1758</v>
      </c>
      <c r="D18" s="44" t="s">
        <v>289</v>
      </c>
      <c r="E18" s="39">
        <f t="shared" si="4"/>
        <v>3566.7</v>
      </c>
      <c r="F18" s="205">
        <f>'[1]побудинковий звіт'!F18</f>
        <v>3566.7</v>
      </c>
      <c r="G18" s="29">
        <f>'[1]побудинковий звіт'!G18</f>
        <v>0</v>
      </c>
      <c r="H18" s="148">
        <f>'[1]побудинковий звіт'!H18</f>
        <v>0</v>
      </c>
      <c r="I18" s="41">
        <f>'[2]побудинковий звіт'!I18+'[1]побудинковий звіт'!I18</f>
        <v>12991.795532273039</v>
      </c>
      <c r="J18" s="41">
        <f>'[2]побудинковий звіт'!J18+'[1]побудинковий звіт'!J18</f>
        <v>13332.35013550578</v>
      </c>
      <c r="K18" s="55">
        <f t="shared" si="5"/>
        <v>340.55460323274019</v>
      </c>
      <c r="L18" s="41">
        <f>'[2]побудинковий звіт'!L18+'[1]побудинковий звіт'!L18</f>
        <v>2161.3385369795037</v>
      </c>
      <c r="M18" s="41">
        <f>'[2]побудинковий звіт'!M18+'[1]побудинковий звіт'!M18</f>
        <v>2267.4182529669906</v>
      </c>
      <c r="N18" s="55">
        <f t="shared" si="6"/>
        <v>106.07971598748691</v>
      </c>
      <c r="O18" s="41">
        <f>'[2]побудинковий звіт'!O18+'[1]побудинковий звіт'!O18</f>
        <v>5518.7924991612281</v>
      </c>
      <c r="P18" s="41">
        <f>'[2]побудинковий звіт'!P18+'[1]побудинковий звіт'!P18</f>
        <v>5534.4380692925224</v>
      </c>
      <c r="Q18" s="55">
        <f t="shared" si="7"/>
        <v>15.645570131294335</v>
      </c>
      <c r="R18" s="41">
        <f>'[2]побудинковий звіт'!R18+'[1]побудинковий звіт'!R18</f>
        <v>0</v>
      </c>
      <c r="S18" s="41">
        <f>'[2]побудинковий звіт'!S18+'[1]побудинковий звіт'!S18</f>
        <v>0</v>
      </c>
      <c r="T18" s="55">
        <f t="shared" si="8"/>
        <v>0</v>
      </c>
      <c r="U18" s="41">
        <f>'[2]побудинковий звіт'!U18+'[1]побудинковий звіт'!U18</f>
        <v>187.10196558541708</v>
      </c>
      <c r="V18" s="41">
        <f>'[2]побудинковий звіт'!V18+'[1]побудинковий звіт'!V18</f>
        <v>107.9445908639935</v>
      </c>
      <c r="W18" s="55">
        <f t="shared" si="9"/>
        <v>-79.157374721423579</v>
      </c>
      <c r="X18" s="41">
        <f>'[2]побудинковий звіт'!X18+'[1]побудинковий звіт'!X18</f>
        <v>7889.74599884093</v>
      </c>
      <c r="Y18" s="41">
        <f>'[2]побудинковий звіт'!Y18+'[1]побудинковий звіт'!Y18</f>
        <v>7737.7632547326011</v>
      </c>
      <c r="Z18" s="55">
        <f t="shared" si="10"/>
        <v>-151.98274410832892</v>
      </c>
      <c r="AA18" s="41">
        <f>'[2]побудинковий звіт'!AA18+'[1]побудинковий звіт'!AA18</f>
        <v>0</v>
      </c>
      <c r="AB18" s="41">
        <f>'[2]побудинковий звіт'!AB18+'[1]побудинковий звіт'!AB18</f>
        <v>0</v>
      </c>
      <c r="AC18" s="55">
        <f t="shared" si="11"/>
        <v>0</v>
      </c>
      <c r="AD18" s="41">
        <f>'[2]побудинковий звіт'!AD18+'[1]побудинковий звіт'!AD18</f>
        <v>15474.209885182217</v>
      </c>
      <c r="AE18" s="41">
        <f>'[2]побудинковий звіт'!AE18+'[1]побудинковий звіт'!AE18</f>
        <v>15413.862507148688</v>
      </c>
      <c r="AF18" s="36">
        <f t="shared" si="12"/>
        <v>-60.347378033529822</v>
      </c>
      <c r="AG18" s="84">
        <f t="shared" si="13"/>
        <v>44222.984418022337</v>
      </c>
      <c r="AH18" s="56">
        <f t="shared" si="14"/>
        <v>44393.776810510579</v>
      </c>
      <c r="AI18" s="55">
        <f t="shared" si="15"/>
        <v>170.7923924882416</v>
      </c>
      <c r="AJ18" s="41">
        <f>'[2]побудинковий звіт'!AJ18+'[1]побудинковий звіт'!AJ18</f>
        <v>0</v>
      </c>
      <c r="AK18" s="41">
        <f>'[2]побудинковий звіт'!AK18+'[1]побудинковий звіт'!AK18</f>
        <v>0</v>
      </c>
      <c r="AL18" s="55">
        <f t="shared" si="16"/>
        <v>0</v>
      </c>
      <c r="AM18" s="41">
        <f>'[2]побудинковий звіт'!AM18+'[1]побудинковий звіт'!AM18</f>
        <v>0</v>
      </c>
      <c r="AN18" s="41">
        <f>'[2]побудинковий звіт'!AN18+'[1]побудинковий звіт'!AN18</f>
        <v>0</v>
      </c>
      <c r="AO18" s="55">
        <f t="shared" si="17"/>
        <v>0</v>
      </c>
      <c r="AP18" s="41">
        <f>'[2]побудинковий звіт'!AP18+'[1]побудинковий звіт'!AP18</f>
        <v>11887.175314862448</v>
      </c>
      <c r="AQ18" s="41">
        <f>'[2]побудинковий звіт'!AQ18+'[1]побудинковий звіт'!AQ18</f>
        <v>11241.248209778209</v>
      </c>
      <c r="AR18" s="55">
        <f t="shared" si="18"/>
        <v>-645.92710508423988</v>
      </c>
      <c r="AS18" s="41">
        <f>'[2]побудинковий звіт'!AS18+'[1]побудинковий звіт'!AS18</f>
        <v>61502.497990735603</v>
      </c>
      <c r="AT18" s="41">
        <f>'[2]побудинковий звіт'!AT18+'[1]побудинковий звіт'!AT18</f>
        <v>10659.094961410769</v>
      </c>
      <c r="AU18" s="57">
        <f t="shared" si="19"/>
        <v>-50843.403029324836</v>
      </c>
      <c r="AV18" s="41">
        <f>'[2]побудинковий звіт'!AV18+'[1]побудинковий звіт'!AV18</f>
        <v>2075.8882106834226</v>
      </c>
      <c r="AW18" s="41">
        <f>'[2]побудинковий звіт'!AW18+'[1]побудинковий звіт'!AW18</f>
        <v>1589.3576569193528</v>
      </c>
      <c r="AX18" s="58">
        <f t="shared" si="20"/>
        <v>-486.53055376406974</v>
      </c>
      <c r="AY18" s="41">
        <f>'[2]побудинковий звіт'!AY18+'[1]побудинковий звіт'!AY18</f>
        <v>2591.497127828849</v>
      </c>
      <c r="AZ18" s="41">
        <f>'[2]побудинковий звіт'!AZ18+'[1]побудинковий звіт'!AZ18</f>
        <v>5030.0201335806169</v>
      </c>
      <c r="BA18" s="36">
        <f t="shared" si="21"/>
        <v>2438.5230057517679</v>
      </c>
      <c r="BB18" s="41">
        <f>'[2]побудинковий звіт'!BB18+'[1]побудинковий звіт'!BB18</f>
        <v>2754.3683634381814</v>
      </c>
      <c r="BC18" s="41">
        <f>'[2]побудинковий звіт'!BC18+'[1]побудинковий звіт'!BC18</f>
        <v>0</v>
      </c>
      <c r="BD18" s="58">
        <f t="shared" si="22"/>
        <v>-2754.3683634381814</v>
      </c>
      <c r="BE18" s="41">
        <f>'[2]побудинковий звіт'!BE18+'[1]побудинковий звіт'!BE18</f>
        <v>0</v>
      </c>
      <c r="BF18" s="41">
        <f>'[2]побудинковий звіт'!BF18+'[1]побудинковий звіт'!BF18</f>
        <v>0</v>
      </c>
      <c r="BG18" s="38">
        <f t="shared" si="23"/>
        <v>0</v>
      </c>
      <c r="BH18" s="41">
        <f>'[2]побудинковий звіт'!BH18+'[1]побудинковий звіт'!BH18</f>
        <v>110.27308797143304</v>
      </c>
      <c r="BI18" s="41">
        <f>'[2]побудинковий звіт'!BI18+'[1]побудинковий звіт'!BI18</f>
        <v>3048.9169815906803</v>
      </c>
      <c r="BJ18" s="58">
        <f t="shared" si="24"/>
        <v>2938.6438936192471</v>
      </c>
      <c r="BK18" s="41">
        <f>'[2]побудинковий звіт'!BK18+'[1]побудинковий звіт'!BK18</f>
        <v>1399.8639205204793</v>
      </c>
      <c r="BL18" s="41">
        <f>'[2]побудинковий звіт'!BL18+'[1]побудинковий звіт'!BL18</f>
        <v>993.06977248955263</v>
      </c>
      <c r="BM18" s="38">
        <f t="shared" si="25"/>
        <v>-406.79414803092664</v>
      </c>
      <c r="BN18" s="41">
        <f>'[2]побудинковий звіт'!BN18+'[1]побудинковий звіт'!BN18</f>
        <v>19.293084213405848</v>
      </c>
      <c r="BO18" s="41">
        <f>'[2]побудинковий звіт'!BO18+'[1]побудинковий звіт'!BO18</f>
        <v>7231.9178803111272</v>
      </c>
      <c r="BP18" s="58">
        <f t="shared" si="26"/>
        <v>7212.6247960977216</v>
      </c>
      <c r="BQ18" s="84">
        <f t="shared" si="27"/>
        <v>8951.1837946557716</v>
      </c>
      <c r="BR18" s="42">
        <f t="shared" si="28"/>
        <v>17893.282424891331</v>
      </c>
      <c r="BS18" s="58">
        <f t="shared" si="29"/>
        <v>8942.0986302355595</v>
      </c>
      <c r="BT18" s="41">
        <f>'[2]побудинковий звіт'!BT18+'[1]побудинковий звіт'!BT18</f>
        <v>31101.403755446943</v>
      </c>
      <c r="BU18" s="41">
        <f>'[2]побудинковий звіт'!BU18+'[1]побудинковий звіт'!BU18</f>
        <v>56659.485617673621</v>
      </c>
      <c r="BV18" s="55">
        <f t="shared" si="30"/>
        <v>25558.081862226678</v>
      </c>
      <c r="BW18" s="41">
        <f>'[2]побудинковий звіт'!BW18+'[1]побудинковий звіт'!BW18</f>
        <v>18758.005267720491</v>
      </c>
      <c r="BX18" s="41">
        <f>'[2]побудинковий звіт'!BX18+'[1]побудинковий звіт'!BX18</f>
        <v>22760.176691790512</v>
      </c>
      <c r="BY18" s="55">
        <f t="shared" si="31"/>
        <v>4002.1714240700203</v>
      </c>
      <c r="BZ18" s="41">
        <f>'[2]побудинковий звіт'!BZ18+'[1]побудинковий звіт'!BZ18</f>
        <v>9952.3480500786645</v>
      </c>
      <c r="CA18" s="41">
        <f>'[2]побудинковий звіт'!CA18+'[1]побудинковий звіт'!CA18</f>
        <v>4700.052788362832</v>
      </c>
      <c r="CB18" s="55">
        <f t="shared" si="32"/>
        <v>-5252.2952617158326</v>
      </c>
      <c r="CC18" s="41">
        <f>'[2]побудинковий звіт'!CC18+'[1]побудинковий звіт'!CC18</f>
        <v>2157.0367476722363</v>
      </c>
      <c r="CD18" s="41">
        <f>'[2]побудинковий звіт'!CD18+'[1]побудинковий звіт'!CD18</f>
        <v>2164.351018679798</v>
      </c>
      <c r="CE18" s="55">
        <f t="shared" si="33"/>
        <v>7.3142710075617288</v>
      </c>
      <c r="CF18" s="41">
        <f>'[2]побудинковий звіт'!CF18+'[1]побудинковий звіт'!CF18</f>
        <v>267.24538798681351</v>
      </c>
      <c r="CG18" s="41">
        <f>'[2]побудинковий звіт'!CG18+'[1]побудинковий звіт'!CG18</f>
        <v>0</v>
      </c>
      <c r="CH18" s="55">
        <f t="shared" si="34"/>
        <v>-267.24538798681351</v>
      </c>
      <c r="CI18" s="41">
        <f>'[2]побудинковий звіт'!CI18+'[1]побудинковий звіт'!CI18</f>
        <v>5615.1133713574436</v>
      </c>
      <c r="CJ18" s="41">
        <f>'[2]побудинковий звіт'!CJ18+'[1]побудинковий звіт'!CJ18</f>
        <v>3856.6741568693442</v>
      </c>
      <c r="CK18" s="55">
        <f t="shared" si="35"/>
        <v>-1758.4392144880994</v>
      </c>
      <c r="CL18" s="41">
        <f>'[2]побудинковий звіт'!CL18+'[1]побудинковий звіт'!CL18</f>
        <v>0</v>
      </c>
      <c r="CM18" s="41">
        <f>'[2]побудинковий звіт'!CM18+'[1]побудинковий звіт'!CM18</f>
        <v>0</v>
      </c>
      <c r="CN18" s="55">
        <f t="shared" si="36"/>
        <v>0</v>
      </c>
      <c r="CO18" s="41">
        <f t="shared" si="37"/>
        <v>5615.1133713574436</v>
      </c>
      <c r="CP18" s="42">
        <f t="shared" si="38"/>
        <v>3856.6741568693442</v>
      </c>
      <c r="CQ18" s="55">
        <f t="shared" si="39"/>
        <v>-1758.4392144880994</v>
      </c>
      <c r="CR18" s="76">
        <f t="shared" si="40"/>
        <v>194414.99409853879</v>
      </c>
      <c r="CS18" s="5">
        <f t="shared" si="41"/>
        <v>174328.14267996699</v>
      </c>
      <c r="CT18" s="55">
        <f t="shared" si="42"/>
        <v>-20086.851418571809</v>
      </c>
      <c r="CU18" s="84">
        <f t="shared" si="43"/>
        <v>233297.99291824654</v>
      </c>
      <c r="CV18" s="68">
        <f t="shared" si="44"/>
        <v>209193.77121596038</v>
      </c>
      <c r="CW18" s="36">
        <f t="shared" si="45"/>
        <v>-24104.221702286159</v>
      </c>
      <c r="CX18" s="41">
        <f>'[2]побудинковий звіт'!CX18+'[1]побудинковий звіт'!CX18</f>
        <v>7897.6052237053809</v>
      </c>
      <c r="CY18" s="41">
        <f>'[2]побудинковий звіт'!CY18+'[1]побудинковий звіт'!CY18</f>
        <v>32001.82692599154</v>
      </c>
      <c r="CZ18" s="55">
        <f t="shared" si="46"/>
        <v>24104.221702286159</v>
      </c>
      <c r="DA18" s="254">
        <f>'[1]побудинковий звіт'!DA18</f>
        <v>-14014.311186191713</v>
      </c>
      <c r="DB18" s="2">
        <v>2</v>
      </c>
      <c r="DC18" s="702">
        <f>'[1]побудинковий звіт'!DC18</f>
        <v>53192.83</v>
      </c>
      <c r="DD18" s="702">
        <f>'[1]побудинковий звіт'!DD18</f>
        <v>0</v>
      </c>
      <c r="DE18" s="702">
        <f>'[1]побудинковий звіт'!DE18</f>
        <v>26620.910000000003</v>
      </c>
      <c r="DF18" s="702">
        <f>'[1]побудинковий звіт'!DF18</f>
        <v>0</v>
      </c>
      <c r="DG18" s="772">
        <v>75676.866376611055</v>
      </c>
      <c r="DH18" s="746">
        <f t="shared" si="47"/>
        <v>2894347.177703423</v>
      </c>
      <c r="DI18" s="769"/>
      <c r="DJ18" s="5"/>
      <c r="DK18" s="307">
        <f>VLOOKUP($A18,ціни!$A$4:$G$401,5)</f>
        <v>5.2939561703431135</v>
      </c>
      <c r="DL18" s="307"/>
      <c r="DM18" s="307">
        <f>VLOOKUP($A18,ціни!$A$4:$G$401,7)</f>
        <v>4.7751456948794209</v>
      </c>
      <c r="DN18" s="29">
        <f t="shared" si="56"/>
        <v>18881.953472762783</v>
      </c>
      <c r="DO18" s="29">
        <f t="shared" si="57"/>
        <v>0</v>
      </c>
      <c r="DP18" s="306">
        <f t="shared" si="48"/>
        <v>18881.953472762783</v>
      </c>
      <c r="DQ18" s="101"/>
      <c r="DR18" s="29">
        <f>VLOOKUP(A18,'ДЗ нас '!$A$1:$C$359,2)</f>
        <v>18882.07</v>
      </c>
      <c r="DS18" s="733"/>
      <c r="DT18" s="29">
        <f t="shared" si="49"/>
        <v>18882.07</v>
      </c>
      <c r="DU18" s="247">
        <f>VLOOKUP(A18,'новий кошторис с 01.06'!$A$4:$AI$399,35)*1.2</f>
        <v>18998.335188440022</v>
      </c>
      <c r="DV18" s="29">
        <f t="shared" si="50"/>
        <v>-116.26518844002203</v>
      </c>
      <c r="DW18" s="1016">
        <f>'[2]побудинковий звіт'!$DW$9+'[1]побудинковий звіт'!DW18</f>
        <v>1062</v>
      </c>
      <c r="DX18" s="101">
        <f>'[1]побудинковий звіт'!DX18</f>
        <v>0</v>
      </c>
      <c r="DY18" s="5">
        <f t="shared" si="51"/>
        <v>84544.418142469658</v>
      </c>
      <c r="DZ18" s="5">
        <f t="shared" si="52"/>
        <v>34262.852863562519</v>
      </c>
      <c r="EA18" s="737">
        <f t="shared" si="53"/>
        <v>26620.910000000003</v>
      </c>
      <c r="EC18" s="577">
        <f t="shared" si="54"/>
        <v>738029.97588882723</v>
      </c>
      <c r="EE18" s="743">
        <v>19314</v>
      </c>
      <c r="EF18" s="723">
        <f t="shared" si="55"/>
        <v>94990.866376611055</v>
      </c>
      <c r="EH18" s="798">
        <v>27126.359105788142</v>
      </c>
      <c r="EI18" s="101">
        <f>VLOOKUP(A18,'кошти 01.01.24'!$A$9:$D$352,4,FALSE)</f>
        <v>10089.910516094487</v>
      </c>
    </row>
    <row r="19" spans="1:139" hidden="1" x14ac:dyDescent="0.3">
      <c r="A19" s="318">
        <v>150000739</v>
      </c>
      <c r="B19" s="43" t="s">
        <v>713</v>
      </c>
      <c r="C19" s="44" t="s">
        <v>1759</v>
      </c>
      <c r="D19" s="44" t="s">
        <v>222</v>
      </c>
      <c r="E19" s="39">
        <f t="shared" si="4"/>
        <v>3627.2000000000003</v>
      </c>
      <c r="F19" s="205">
        <f>'[1]побудинковий звіт'!F19</f>
        <v>3241.8</v>
      </c>
      <c r="G19" s="29">
        <f>'[1]побудинковий звіт'!G19</f>
        <v>0</v>
      </c>
      <c r="H19" s="148">
        <f>'[1]побудинковий звіт'!H19</f>
        <v>385.4</v>
      </c>
      <c r="I19" s="41">
        <f>'[2]побудинковий звіт'!I19+'[1]побудинковий звіт'!I19</f>
        <v>13437.66664853548</v>
      </c>
      <c r="J19" s="41">
        <f>'[2]побудинковий звіт'!J19+'[1]побудинковий звіт'!J19</f>
        <v>13789.648990951995</v>
      </c>
      <c r="K19" s="55">
        <f t="shared" si="5"/>
        <v>351.98234241651517</v>
      </c>
      <c r="L19" s="41">
        <f>'[2]побудинковий звіт'!L19+'[1]побудинковий звіт'!L19</f>
        <v>2402.5054554238072</v>
      </c>
      <c r="M19" s="41">
        <f>'[2]побудинковий звіт'!M19+'[1]побудинковий звіт'!M19</f>
        <v>2520.4964668413672</v>
      </c>
      <c r="N19" s="55">
        <f t="shared" si="6"/>
        <v>117.99101141756</v>
      </c>
      <c r="O19" s="41">
        <f>'[2]побудинковий звіт'!O19+'[1]побудинковий звіт'!O19</f>
        <v>5387.2836651280613</v>
      </c>
      <c r="P19" s="41">
        <f>'[2]побудинковий звіт'!P19+'[1]побудинковий звіт'!P19</f>
        <v>5402.7168404856784</v>
      </c>
      <c r="Q19" s="55">
        <f t="shared" si="7"/>
        <v>15.433175357617074</v>
      </c>
      <c r="R19" s="41">
        <f>'[2]побудинковий звіт'!R19+'[1]побудинковий звіт'!R19</f>
        <v>0</v>
      </c>
      <c r="S19" s="41">
        <f>'[2]побудинковий звіт'!S19+'[1]побудинковий звіт'!S19</f>
        <v>0</v>
      </c>
      <c r="T19" s="55">
        <f t="shared" si="8"/>
        <v>0</v>
      </c>
      <c r="U19" s="41">
        <f>'[2]побудинковий звіт'!U19+'[1]побудинковий звіт'!U19</f>
        <v>112.26117935125026</v>
      </c>
      <c r="V19" s="41">
        <f>'[2]побудинковий звіт'!V19+'[1]побудинковий звіт'!V19</f>
        <v>64.766754518396098</v>
      </c>
      <c r="W19" s="55">
        <f t="shared" si="9"/>
        <v>-47.494424832854165</v>
      </c>
      <c r="X19" s="41">
        <f>'[2]побудинковий звіт'!X19+'[1]побудинковий звіт'!X19</f>
        <v>10590.56587734978</v>
      </c>
      <c r="Y19" s="41">
        <f>'[2]побудинковий звіт'!Y19+'[1]побудинковий звіт'!Y19</f>
        <v>11303.365672289134</v>
      </c>
      <c r="Z19" s="55">
        <f t="shared" si="10"/>
        <v>712.79979493935389</v>
      </c>
      <c r="AA19" s="41">
        <f>'[2]побудинковий звіт'!AA19+'[1]побудинковий звіт'!AA19</f>
        <v>0</v>
      </c>
      <c r="AB19" s="41">
        <f>'[2]побудинковий звіт'!AB19+'[1]побудинковий звіт'!AB19</f>
        <v>0</v>
      </c>
      <c r="AC19" s="55">
        <f t="shared" si="11"/>
        <v>0</v>
      </c>
      <c r="AD19" s="41">
        <f>'[2]побудинковий звіт'!AD19+'[1]побудинковий звіт'!AD19</f>
        <v>15749.305729206846</v>
      </c>
      <c r="AE19" s="41">
        <f>'[2]побудинковий звіт'!AE19+'[1]побудинковий звіт'!AE19</f>
        <v>15828.003152005411</v>
      </c>
      <c r="AF19" s="36">
        <f t="shared" si="12"/>
        <v>78.69742279856473</v>
      </c>
      <c r="AG19" s="84">
        <f t="shared" si="13"/>
        <v>47679.588554995229</v>
      </c>
      <c r="AH19" s="56">
        <f t="shared" si="14"/>
        <v>48908.997877091984</v>
      </c>
      <c r="AI19" s="55">
        <f t="shared" si="15"/>
        <v>1229.4093220967552</v>
      </c>
      <c r="AJ19" s="41">
        <f>'[2]побудинковий звіт'!AJ19+'[1]побудинковий звіт'!AJ19</f>
        <v>0</v>
      </c>
      <c r="AK19" s="41">
        <f>'[2]побудинковий звіт'!AK19+'[1]побудинковий звіт'!AK19</f>
        <v>0</v>
      </c>
      <c r="AL19" s="55">
        <f t="shared" si="16"/>
        <v>0</v>
      </c>
      <c r="AM19" s="41">
        <f>'[2]побудинковий звіт'!AM19+'[1]побудинковий звіт'!AM19</f>
        <v>0</v>
      </c>
      <c r="AN19" s="41">
        <f>'[2]побудинковий звіт'!AN19+'[1]побудинковий звіт'!AN19</f>
        <v>0</v>
      </c>
      <c r="AO19" s="55">
        <f t="shared" si="17"/>
        <v>0</v>
      </c>
      <c r="AP19" s="41">
        <f>'[2]побудинковий звіт'!AP19+'[1]побудинковий звіт'!AP19</f>
        <v>11144.226857683545</v>
      </c>
      <c r="AQ19" s="41">
        <f>'[2]побудинковий звіт'!AQ19+'[1]побудинковий звіт'!AQ19</f>
        <v>10604.918872120292</v>
      </c>
      <c r="AR19" s="55">
        <f t="shared" si="18"/>
        <v>-539.30798556325317</v>
      </c>
      <c r="AS19" s="41">
        <f>'[2]побудинковий звіт'!AS19+'[1]побудинковий звіт'!AS19</f>
        <v>47235.86674917255</v>
      </c>
      <c r="AT19" s="41">
        <f>'[2]побудинковий звіт'!AT19+'[1]побудинковий звіт'!AT19</f>
        <v>5899.3275453509959</v>
      </c>
      <c r="AU19" s="57">
        <f t="shared" si="19"/>
        <v>-41336.53920382155</v>
      </c>
      <c r="AV19" s="41">
        <f>'[2]побудинковий звіт'!AV19+'[1]побудинковий звіт'!AV19</f>
        <v>2166.8744237371716</v>
      </c>
      <c r="AW19" s="41">
        <f>'[2]побудинковий звіт'!AW19+'[1]побудинковий звіт'!AW19</f>
        <v>0</v>
      </c>
      <c r="AX19" s="58">
        <f t="shared" si="20"/>
        <v>-2166.8744237371716</v>
      </c>
      <c r="AY19" s="41">
        <f>'[2]побудинковий звіт'!AY19+'[1]побудинковий звіт'!AY19</f>
        <v>2881.2034086908257</v>
      </c>
      <c r="AZ19" s="41">
        <f>'[2]побудинковий звіт'!AZ19+'[1]побудинковий звіт'!AZ19</f>
        <v>0</v>
      </c>
      <c r="BA19" s="36">
        <f t="shared" si="21"/>
        <v>-2881.2034086908257</v>
      </c>
      <c r="BB19" s="41">
        <f>'[2]побудинковий звіт'!BB19+'[1]побудинковий звіт'!BB19</f>
        <v>2521.2052013394791</v>
      </c>
      <c r="BC19" s="41">
        <f>'[2]побудинковий звіт'!BC19+'[1]побудинковий звіт'!BC19</f>
        <v>0</v>
      </c>
      <c r="BD19" s="58">
        <f t="shared" si="22"/>
        <v>-2521.2052013394791</v>
      </c>
      <c r="BE19" s="41">
        <f>'[2]побудинковий звіт'!BE19+'[1]побудинковий звіт'!BE19</f>
        <v>0</v>
      </c>
      <c r="BF19" s="41">
        <f>'[2]побудинковий звіт'!BF19+'[1]побудинковий звіт'!BF19</f>
        <v>0</v>
      </c>
      <c r="BG19" s="38">
        <f t="shared" si="23"/>
        <v>0</v>
      </c>
      <c r="BH19" s="41">
        <f>'[2]побудинковий звіт'!BH19+'[1]побудинковий звіт'!BH19</f>
        <v>66.163852782859806</v>
      </c>
      <c r="BI19" s="41">
        <f>'[2]побудинковий звіт'!BI19+'[1]побудинковий звіт'!BI19</f>
        <v>0</v>
      </c>
      <c r="BJ19" s="58">
        <f t="shared" si="24"/>
        <v>-66.163852782859806</v>
      </c>
      <c r="BK19" s="41">
        <f>'[2]побудинковий звіт'!BK19+'[1]побудинковий звіт'!BK19</f>
        <v>1898.4258854186653</v>
      </c>
      <c r="BL19" s="41">
        <f>'[2]побудинковий звіт'!BL19+'[1]побудинковий звіт'!BL19</f>
        <v>2873.7829392513991</v>
      </c>
      <c r="BM19" s="38">
        <f t="shared" si="25"/>
        <v>975.35705383273375</v>
      </c>
      <c r="BN19" s="41">
        <f>'[2]побудинковий звіт'!BN19+'[1]побудинковий звіт'!BN19</f>
        <v>15.371725633445312</v>
      </c>
      <c r="BO19" s="41">
        <f>'[2]побудинковий звіт'!BO19+'[1]побудинковий звіт'!BO19</f>
        <v>769.58382970000002</v>
      </c>
      <c r="BP19" s="58">
        <f t="shared" si="26"/>
        <v>754.21210406655473</v>
      </c>
      <c r="BQ19" s="84">
        <f t="shared" si="27"/>
        <v>9549.2444976024472</v>
      </c>
      <c r="BR19" s="42">
        <f t="shared" si="28"/>
        <v>3643.3667689513991</v>
      </c>
      <c r="BS19" s="58">
        <f t="shared" si="29"/>
        <v>-5905.8777286510485</v>
      </c>
      <c r="BT19" s="41">
        <f>'[2]побудинковий звіт'!BT19+'[1]побудинковий звіт'!BT19</f>
        <v>26515.898884685113</v>
      </c>
      <c r="BU19" s="41">
        <f>'[2]побудинковий звіт'!BU19+'[1]побудинковий звіт'!BU19</f>
        <v>49564.055167022903</v>
      </c>
      <c r="BV19" s="55">
        <f t="shared" si="30"/>
        <v>23048.15628233779</v>
      </c>
      <c r="BW19" s="41">
        <f>'[2]побудинковий звіт'!BW19+'[1]побудинковий звіт'!BW19</f>
        <v>22260.401450431411</v>
      </c>
      <c r="BX19" s="41">
        <f>'[2]побудинковий звіт'!BX19+'[1]побудинковий звіт'!BX19</f>
        <v>27192.412839290741</v>
      </c>
      <c r="BY19" s="55">
        <f t="shared" si="31"/>
        <v>4932.0113888593296</v>
      </c>
      <c r="BZ19" s="41">
        <f>'[2]побудинковий звіт'!BZ19+'[1]побудинковий звіт'!BZ19</f>
        <v>12703.074261173137</v>
      </c>
      <c r="CA19" s="41">
        <f>'[2]побудинковий звіт'!CA19+'[1]побудинковий звіт'!CA19</f>
        <v>4641.6174240564605</v>
      </c>
      <c r="CB19" s="55">
        <f t="shared" si="32"/>
        <v>-8061.4568371166761</v>
      </c>
      <c r="CC19" s="41">
        <f>'[2]побудинковий звіт'!CC19+'[1]побудинковий звіт'!CC19</f>
        <v>2832.4848345707333</v>
      </c>
      <c r="CD19" s="41">
        <f>'[2]побудинковий звіт'!CD19+'[1]побудинковий звіт'!CD19</f>
        <v>2842.0894746990107</v>
      </c>
      <c r="CE19" s="55">
        <f t="shared" si="33"/>
        <v>9.6046401282774241</v>
      </c>
      <c r="CF19" s="41">
        <f>'[2]побудинковий звіт'!CF19+'[1]побудинковий звіт'!CF19</f>
        <v>350.929815821869</v>
      </c>
      <c r="CG19" s="41">
        <f>'[2]побудинковий звіт'!CG19+'[1]побудинковий звіт'!CG19</f>
        <v>0</v>
      </c>
      <c r="CH19" s="55">
        <f t="shared" si="34"/>
        <v>-350.929815821869</v>
      </c>
      <c r="CI19" s="41">
        <f>'[2]побудинковий звіт'!CI19+'[1]побудинковий звіт'!CI19</f>
        <v>5152.723278193047</v>
      </c>
      <c r="CJ19" s="41">
        <f>'[2]побудинковий звіт'!CJ19+'[1]побудинковий звіт'!CJ19</f>
        <v>8597.2560492226512</v>
      </c>
      <c r="CK19" s="55">
        <f t="shared" si="35"/>
        <v>3444.5327710296042</v>
      </c>
      <c r="CL19" s="41">
        <f>'[2]побудинковий звіт'!CL19+'[1]побудинковий звіт'!CL19</f>
        <v>0</v>
      </c>
      <c r="CM19" s="41">
        <f>'[2]побудинковий звіт'!CM19+'[1]побудинковий звіт'!CM19</f>
        <v>0</v>
      </c>
      <c r="CN19" s="55">
        <f t="shared" si="36"/>
        <v>0</v>
      </c>
      <c r="CO19" s="41">
        <f t="shared" si="37"/>
        <v>5152.723278193047</v>
      </c>
      <c r="CP19" s="42">
        <f t="shared" si="38"/>
        <v>8597.2560492226512</v>
      </c>
      <c r="CQ19" s="55">
        <f t="shared" si="39"/>
        <v>3444.5327710296042</v>
      </c>
      <c r="CR19" s="76">
        <f t="shared" si="40"/>
        <v>185424.43918432907</v>
      </c>
      <c r="CS19" s="5">
        <f t="shared" si="41"/>
        <v>161894.04201780647</v>
      </c>
      <c r="CT19" s="55">
        <f t="shared" si="42"/>
        <v>-23530.397166522598</v>
      </c>
      <c r="CU19" s="84">
        <f t="shared" si="43"/>
        <v>222509.32702119488</v>
      </c>
      <c r="CV19" s="68">
        <f t="shared" si="44"/>
        <v>194272.85042136777</v>
      </c>
      <c r="CW19" s="36">
        <f t="shared" si="45"/>
        <v>-28236.476599827118</v>
      </c>
      <c r="CX19" s="41">
        <f>'[2]побудинковий звіт'!CX19+'[1]побудинковий звіт'!CX19</f>
        <v>5887.9872561245966</v>
      </c>
      <c r="CY19" s="41">
        <f>'[2]побудинковий звіт'!CY19+'[1]побудинковий звіт'!CY19</f>
        <v>34124.463855951777</v>
      </c>
      <c r="CZ19" s="55">
        <f t="shared" si="46"/>
        <v>28236.47659982718</v>
      </c>
      <c r="DA19" s="254">
        <f>'[1]побудинковий звіт'!DA19</f>
        <v>267651.02133929834</v>
      </c>
      <c r="DB19" s="2">
        <v>2</v>
      </c>
      <c r="DC19" s="702">
        <f>'[1]побудинковий звіт'!DC19</f>
        <v>63344.800000000003</v>
      </c>
      <c r="DD19" s="702">
        <f>'[1]побудинковий звіт'!DD19</f>
        <v>3646.11</v>
      </c>
      <c r="DE19" s="702">
        <f>'[1]побудинковий звіт'!DE19</f>
        <v>40616.520000000004</v>
      </c>
      <c r="DF19" s="702">
        <f>'[1]побудинковий звіт'!DF19</f>
        <v>1292.3899999999999</v>
      </c>
      <c r="DG19" s="772">
        <v>20473.721731618512</v>
      </c>
      <c r="DH19" s="746">
        <f t="shared" si="47"/>
        <v>2740767.7713278336</v>
      </c>
      <c r="DI19" s="769"/>
      <c r="DJ19" s="5"/>
      <c r="DK19" s="307">
        <f>VLOOKUP($A19,ціни!$A$4:$G$401,5)</f>
        <v>5.0013359736375955</v>
      </c>
      <c r="DL19" s="307"/>
      <c r="DM19" s="307">
        <f>VLOOKUP($A19,ціни!$A$4:$G$401,7)</f>
        <v>4.3509291581916338</v>
      </c>
      <c r="DN19" s="29">
        <f t="shared" si="56"/>
        <v>16213.330959338358</v>
      </c>
      <c r="DO19" s="29">
        <f t="shared" si="57"/>
        <v>1676.8480975670557</v>
      </c>
      <c r="DP19" s="306">
        <f t="shared" si="48"/>
        <v>17890.179056905414</v>
      </c>
      <c r="DQ19" s="101"/>
      <c r="DR19" s="29">
        <f>VLOOKUP(A19,'ДЗ нас '!$A$1:$C$359,2)</f>
        <v>16213.24</v>
      </c>
      <c r="DS19" s="733">
        <f>VLOOKUP(A19,'ДЗ нежит'!$A$1:$D$153,4,0)</f>
        <v>1681.62</v>
      </c>
      <c r="DT19" s="29">
        <f t="shared" si="49"/>
        <v>17894.86</v>
      </c>
      <c r="DU19" s="247">
        <f>VLOOKUP(A19,'новий кошторис с 01.06'!$A$4:$AI$399,35)*1.2</f>
        <v>18061.761928126656</v>
      </c>
      <c r="DV19" s="29">
        <f t="shared" si="50"/>
        <v>-166.90192812665555</v>
      </c>
      <c r="DW19" s="1016">
        <f>'[2]побудинковий звіт'!$DW$9+'[1]побудинковий звіт'!DW19</f>
        <v>1062</v>
      </c>
      <c r="DX19" s="101">
        <f>'[1]побудинковий звіт'!DX19</f>
        <v>0</v>
      </c>
      <c r="DY19" s="5">
        <f t="shared" si="51"/>
        <v>68142.133496130002</v>
      </c>
      <c r="DZ19" s="5">
        <f t="shared" si="52"/>
        <v>11451.233177162872</v>
      </c>
      <c r="EA19" s="737">
        <f t="shared" si="53"/>
        <v>41908.910000000003</v>
      </c>
      <c r="EC19" s="577">
        <f t="shared" si="54"/>
        <v>566830.40099007054</v>
      </c>
      <c r="EE19" s="743">
        <v>9774</v>
      </c>
      <c r="EF19" s="723">
        <f t="shared" si="55"/>
        <v>30247.721731618512</v>
      </c>
      <c r="EH19" s="798">
        <v>-236.11459660171386</v>
      </c>
      <c r="EI19" s="101">
        <f>VLOOKUP(A19,'кошти 01.01.24'!$A$9:$D$352,4,FALSE)</f>
        <v>295887.49793912558</v>
      </c>
    </row>
    <row r="20" spans="1:139" hidden="1" x14ac:dyDescent="0.3">
      <c r="A20" s="318">
        <v>150000740</v>
      </c>
      <c r="B20" s="43" t="s">
        <v>714</v>
      </c>
      <c r="C20" s="44" t="s">
        <v>1760</v>
      </c>
      <c r="D20" s="44" t="s">
        <v>197</v>
      </c>
      <c r="E20" s="39">
        <f t="shared" si="4"/>
        <v>1366.3</v>
      </c>
      <c r="F20" s="205">
        <f>'[1]побудинковий звіт'!F20</f>
        <v>1237</v>
      </c>
      <c r="G20" s="29">
        <f>'[1]побудинковий звіт'!G20</f>
        <v>0</v>
      </c>
      <c r="H20" s="148">
        <f>'[1]побудинковий звіт'!H20</f>
        <v>129.30000000000001</v>
      </c>
      <c r="I20" s="41">
        <f>'[2]побудинковий звіт'!I20+'[1]побудинковий звіт'!I20</f>
        <v>5778.101698142822</v>
      </c>
      <c r="J20" s="41">
        <f>'[2]побудинковий звіт'!J20+'[1]побудинковий звіт'!J20</f>
        <v>5924.5005293179356</v>
      </c>
      <c r="K20" s="55">
        <f t="shared" si="5"/>
        <v>146.39883117511363</v>
      </c>
      <c r="L20" s="41">
        <f>'[2]побудинковий звіт'!L20+'[1]побудинковий звіт'!L20</f>
        <v>1419.42393026728</v>
      </c>
      <c r="M20" s="41">
        <f>'[2]побудинковий звіт'!M20+'[1]побудинковий звіт'!M20</f>
        <v>1491.6354566642513</v>
      </c>
      <c r="N20" s="55">
        <f t="shared" si="6"/>
        <v>72.211526396971294</v>
      </c>
      <c r="O20" s="41">
        <f>'[2]побудинковий звіт'!O20+'[1]побудинковий звіт'!O20</f>
        <v>2092.2526743815324</v>
      </c>
      <c r="P20" s="41">
        <f>'[2]побудинковий звіт'!P20+'[1]побудинковий звіт'!P20</f>
        <v>2098.0659730331922</v>
      </c>
      <c r="Q20" s="55">
        <f t="shared" si="7"/>
        <v>5.8132986516598066</v>
      </c>
      <c r="R20" s="41">
        <f>'[2]побудинковий звіт'!R20+'[1]побудинковий звіт'!R20</f>
        <v>0</v>
      </c>
      <c r="S20" s="41">
        <f>'[2]побудинковий звіт'!S20+'[1]побудинковий звіт'!S20</f>
        <v>0</v>
      </c>
      <c r="T20" s="55">
        <f t="shared" si="8"/>
        <v>0</v>
      </c>
      <c r="U20" s="41">
        <f>'[2]побудинковий звіт'!U20+'[1]побудинковий звіт'!U20</f>
        <v>74.840786234166842</v>
      </c>
      <c r="V20" s="41">
        <f>'[2]побудинковий звіт'!V20+'[1]побудинковий звіт'!V20</f>
        <v>43.177836345597406</v>
      </c>
      <c r="W20" s="55">
        <f t="shared" si="9"/>
        <v>-31.662949888569436</v>
      </c>
      <c r="X20" s="41">
        <f>'[2]побудинковий звіт'!X20+'[1]побудинковий звіт'!X20</f>
        <v>4287.4750977549984</v>
      </c>
      <c r="Y20" s="41">
        <f>'[2]побудинковий звіт'!Y20+'[1]побудинковий звіт'!Y20</f>
        <v>3955.4409919801328</v>
      </c>
      <c r="Z20" s="55">
        <f t="shared" si="10"/>
        <v>-332.03410577486557</v>
      </c>
      <c r="AA20" s="41">
        <f>'[2]побудинковий звіт'!AA20+'[1]побудинковий звіт'!AA20</f>
        <v>0</v>
      </c>
      <c r="AB20" s="41">
        <f>'[2]побудинковий звіт'!AB20+'[1]побудинковий звіт'!AB20</f>
        <v>0</v>
      </c>
      <c r="AC20" s="55">
        <f t="shared" si="11"/>
        <v>0</v>
      </c>
      <c r="AD20" s="41">
        <f>'[2]побудинковий звіт'!AD20+'[1]побудинковий звіт'!AD20</f>
        <v>5925.3498446964813</v>
      </c>
      <c r="AE20" s="41">
        <f>'[2]побудинковий звіт'!AE20+'[1]побудинковий звіт'!AE20</f>
        <v>5902.3318893015385</v>
      </c>
      <c r="AF20" s="36">
        <f t="shared" si="12"/>
        <v>-23.017955394942874</v>
      </c>
      <c r="AG20" s="84">
        <f t="shared" si="13"/>
        <v>19577.44403147728</v>
      </c>
      <c r="AH20" s="56">
        <f t="shared" si="14"/>
        <v>19415.152676642647</v>
      </c>
      <c r="AI20" s="55">
        <f t="shared" si="15"/>
        <v>-162.29135483463324</v>
      </c>
      <c r="AJ20" s="41">
        <f>'[2]побудинковий звіт'!AJ20+'[1]побудинковий звіт'!AJ20</f>
        <v>0</v>
      </c>
      <c r="AK20" s="41">
        <f>'[2]побудинковий звіт'!AK20+'[1]побудинковий звіт'!AK20</f>
        <v>0</v>
      </c>
      <c r="AL20" s="55">
        <f t="shared" si="16"/>
        <v>0</v>
      </c>
      <c r="AM20" s="41">
        <f>'[2]побудинковий звіт'!AM20+'[1]побудинковий звіт'!AM20</f>
        <v>0</v>
      </c>
      <c r="AN20" s="41">
        <f>'[2]побудинковий звіт'!AN20+'[1]побудинковий звіт'!AN20</f>
        <v>0</v>
      </c>
      <c r="AO20" s="55">
        <f t="shared" si="17"/>
        <v>0</v>
      </c>
      <c r="AP20" s="41">
        <f>'[2]побудинковий звіт'!AP20+'[1]побудинковий звіт'!AP20</f>
        <v>2971.7938287156121</v>
      </c>
      <c r="AQ20" s="41">
        <f>'[2]побудинковий звіт'!AQ20+'[1]побудинковий звіт'!AQ20</f>
        <v>3191.1862179249492</v>
      </c>
      <c r="AR20" s="55">
        <f t="shared" si="18"/>
        <v>219.39238920933713</v>
      </c>
      <c r="AS20" s="41">
        <f>'[2]побудинковий звіт'!AS20+'[1]побудинковий звіт'!AS20</f>
        <v>17545.950808184538</v>
      </c>
      <c r="AT20" s="41">
        <f>'[2]побудинковий звіт'!AT20+'[1]побудинковий звіт'!AT20</f>
        <v>7739.0983697340034</v>
      </c>
      <c r="AU20" s="57">
        <f t="shared" si="19"/>
        <v>-9806.8524384505345</v>
      </c>
      <c r="AV20" s="41">
        <f>'[2]побудинковий звіт'!AV20+'[1]побудинковий звіт'!AV20</f>
        <v>1032.2062143169617</v>
      </c>
      <c r="AW20" s="41">
        <f>'[2]побудинковий звіт'!AW20+'[1]побудинковий звіт'!AW20</f>
        <v>0</v>
      </c>
      <c r="AX20" s="58">
        <f t="shared" si="20"/>
        <v>-1032.2062143169617</v>
      </c>
      <c r="AY20" s="41">
        <f>'[2]побудинковий звіт'!AY20+'[1]побудинковий звіт'!AY20</f>
        <v>1716.4578463781918</v>
      </c>
      <c r="AZ20" s="41">
        <f>'[2]побудинковий звіт'!AZ20+'[1]побудинковий звіт'!AZ20</f>
        <v>0</v>
      </c>
      <c r="BA20" s="36">
        <f t="shared" si="21"/>
        <v>-1716.4578463781918</v>
      </c>
      <c r="BB20" s="41">
        <f>'[2]побудинковий звіт'!BB20+'[1]побудинковий звіт'!BB20</f>
        <v>933.12998799404579</v>
      </c>
      <c r="BC20" s="41">
        <f>'[2]побудинковий звіт'!BC20+'[1]побудинковий звіт'!BC20</f>
        <v>0</v>
      </c>
      <c r="BD20" s="58">
        <f t="shared" si="22"/>
        <v>-933.12998799404579</v>
      </c>
      <c r="BE20" s="41">
        <f>'[2]побудинковий звіт'!BE20+'[1]побудинковий звіт'!BE20</f>
        <v>0</v>
      </c>
      <c r="BF20" s="41">
        <f>'[2]побудинковий звіт'!BF20+'[1]побудинковий звіт'!BF20</f>
        <v>0</v>
      </c>
      <c r="BG20" s="38">
        <f t="shared" si="23"/>
        <v>0</v>
      </c>
      <c r="BH20" s="41">
        <f>'[2]побудинковий звіт'!BH20+'[1]побудинковий звіт'!BH20</f>
        <v>44.109235188573223</v>
      </c>
      <c r="BI20" s="41">
        <f>'[2]побудинковий звіт'!BI20+'[1]побудинковий звіт'!BI20</f>
        <v>2672.8943754023921</v>
      </c>
      <c r="BJ20" s="58">
        <f t="shared" si="24"/>
        <v>2628.785140213819</v>
      </c>
      <c r="BK20" s="41">
        <f>'[2]побудинковий звіт'!BK20+'[1]побудинковий звіт'!BK20</f>
        <v>700.53048165111102</v>
      </c>
      <c r="BL20" s="41">
        <f>'[2]побудинковий звіт'!BL20+'[1]побудинковий звіт'!BL20</f>
        <v>0</v>
      </c>
      <c r="BM20" s="38">
        <f t="shared" si="25"/>
        <v>-700.53048165111102</v>
      </c>
      <c r="BN20" s="41">
        <f>'[2]побудинковий звіт'!BN20+'[1]побудинковий звіт'!BN20</f>
        <v>15.371725633445312</v>
      </c>
      <c r="BO20" s="41">
        <f>'[2]побудинковий звіт'!BO20+'[1]побудинковий звіт'!BO20</f>
        <v>4163.972744114968</v>
      </c>
      <c r="BP20" s="58">
        <f t="shared" si="26"/>
        <v>4148.6010184815223</v>
      </c>
      <c r="BQ20" s="84">
        <f t="shared" si="27"/>
        <v>4441.8054911623285</v>
      </c>
      <c r="BR20" s="42">
        <f t="shared" si="28"/>
        <v>6836.8671195173602</v>
      </c>
      <c r="BS20" s="58">
        <f t="shared" si="29"/>
        <v>2395.0616283550316</v>
      </c>
      <c r="BT20" s="41">
        <f>'[2]побудинковий звіт'!BT20+'[1]побудинковий звіт'!BT20</f>
        <v>14147.418931577786</v>
      </c>
      <c r="BU20" s="41">
        <f>'[2]побудинковий звіт'!BU20+'[1]побудинковий звіт'!BU20</f>
        <v>26601.889353431532</v>
      </c>
      <c r="BV20" s="55">
        <f t="shared" si="30"/>
        <v>12454.470421853746</v>
      </c>
      <c r="BW20" s="41">
        <f>'[2]побудинковий звіт'!BW20+'[1]побудинковий звіт'!BW20</f>
        <v>12949.861134626641</v>
      </c>
      <c r="BX20" s="41">
        <f>'[2]побудинковий звіт'!BX20+'[1]побудинковий звіт'!BX20</f>
        <v>15681.84401410954</v>
      </c>
      <c r="BY20" s="55">
        <f t="shared" si="31"/>
        <v>2731.9828794828991</v>
      </c>
      <c r="BZ20" s="41">
        <f>'[2]побудинковий звіт'!BZ20+'[1]побудинковий звіт'!BZ20</f>
        <v>6858.7731326269904</v>
      </c>
      <c r="CA20" s="41">
        <f>'[2]побудинковий звіт'!CA20+'[1]побудинковий звіт'!CA20</f>
        <v>2564.1107885048264</v>
      </c>
      <c r="CB20" s="55">
        <f t="shared" si="32"/>
        <v>-4294.6623441221636</v>
      </c>
      <c r="CC20" s="41">
        <f>'[2]побудинковий звіт'!CC20+'[1]побудинковий звіт'!CC20</f>
        <v>1053.4791590415084</v>
      </c>
      <c r="CD20" s="41">
        <f>'[2]побудинковий звіт'!CD20+'[1]побудинковий звіт'!CD20</f>
        <v>1057.0513893608868</v>
      </c>
      <c r="CE20" s="55">
        <f t="shared" si="33"/>
        <v>3.5722303193783773</v>
      </c>
      <c r="CF20" s="41">
        <f>'[2]побудинковий звіт'!CF20+'[1]побудинковий звіт'!CF20</f>
        <v>130.52046836841828</v>
      </c>
      <c r="CG20" s="41">
        <f>'[2]побудинковий звіт'!CG20+'[1]побудинковий звіт'!CG20</f>
        <v>0</v>
      </c>
      <c r="CH20" s="55">
        <f t="shared" si="34"/>
        <v>-130.52046836841828</v>
      </c>
      <c r="CI20" s="41">
        <f>'[2]побудинковий звіт'!CI20+'[1]побудинковий звіт'!CI20</f>
        <v>1265.4897553260332</v>
      </c>
      <c r="CJ20" s="41">
        <f>'[2]побудинковий звіт'!CJ20+'[1]побудинковий звіт'!CJ20</f>
        <v>1262.8524923827863</v>
      </c>
      <c r="CK20" s="55">
        <f t="shared" si="35"/>
        <v>-2.6372629432469239</v>
      </c>
      <c r="CL20" s="41">
        <f>'[2]побудинковий звіт'!CL20+'[1]побудинковий звіт'!CL20</f>
        <v>0</v>
      </c>
      <c r="CM20" s="41">
        <f>'[2]побудинковий звіт'!CM20+'[1]побудинковий звіт'!CM20</f>
        <v>0</v>
      </c>
      <c r="CN20" s="55">
        <f t="shared" si="36"/>
        <v>0</v>
      </c>
      <c r="CO20" s="41">
        <f t="shared" si="37"/>
        <v>1265.4897553260332</v>
      </c>
      <c r="CP20" s="42">
        <f t="shared" si="38"/>
        <v>1262.8524923827863</v>
      </c>
      <c r="CQ20" s="55">
        <f t="shared" si="39"/>
        <v>-2.6372629432469239</v>
      </c>
      <c r="CR20" s="76">
        <f t="shared" si="40"/>
        <v>80942.536741107135</v>
      </c>
      <c r="CS20" s="5">
        <f t="shared" si="41"/>
        <v>84350.052421608532</v>
      </c>
      <c r="CT20" s="55">
        <f t="shared" si="42"/>
        <v>3407.5156805013976</v>
      </c>
      <c r="CU20" s="84">
        <f t="shared" si="43"/>
        <v>97131.044089328556</v>
      </c>
      <c r="CV20" s="68">
        <f t="shared" si="44"/>
        <v>101220.06290593023</v>
      </c>
      <c r="CW20" s="36">
        <f t="shared" si="45"/>
        <v>4089.0188166016742</v>
      </c>
      <c r="CX20" s="41">
        <f>'[2]побудинковий звіт'!CX20+'[1]побудинковий звіт'!CX20</f>
        <v>2938.3813506215429</v>
      </c>
      <c r="CY20" s="41">
        <f>'[2]побудинковий звіт'!CY20+'[1]побудинковий звіт'!CY20</f>
        <v>-1150.6374659801195</v>
      </c>
      <c r="CZ20" s="55">
        <f t="shared" si="46"/>
        <v>-4089.0188166016624</v>
      </c>
      <c r="DA20" s="254">
        <f>'[1]побудинковий звіт'!DA20</f>
        <v>25279.757706347289</v>
      </c>
      <c r="DB20" s="2">
        <v>2</v>
      </c>
      <c r="DC20" s="702">
        <f>'[1]побудинковий звіт'!DC20</f>
        <v>25179.85</v>
      </c>
      <c r="DD20" s="702">
        <f>'[1]побудинковий звіт'!DD20</f>
        <v>3555.3</v>
      </c>
      <c r="DE20" s="702">
        <f>'[1]побудинковий звіт'!DE20</f>
        <v>15053.13</v>
      </c>
      <c r="DF20" s="702">
        <f>'[1]побудинковий звіт'!DF20</f>
        <v>2674.33</v>
      </c>
      <c r="DG20" s="772">
        <v>38748.895236791606</v>
      </c>
      <c r="DH20" s="746">
        <f t="shared" si="47"/>
        <v>1200833.1052794012</v>
      </c>
      <c r="DI20" s="769"/>
      <c r="DJ20" s="5"/>
      <c r="DK20" s="307">
        <f>VLOOKUP($A20,ціни!$A$4:$G$401,5)</f>
        <v>5.8327960145512847</v>
      </c>
      <c r="DL20" s="307"/>
      <c r="DM20" s="307">
        <f>VLOOKUP($A20,ціни!$A$4:$G$401,7)</f>
        <v>4.8098673269430785</v>
      </c>
      <c r="DN20" s="29">
        <f t="shared" si="56"/>
        <v>7215.1686699999391</v>
      </c>
      <c r="DO20" s="29">
        <f t="shared" si="57"/>
        <v>621.91584537374013</v>
      </c>
      <c r="DP20" s="306">
        <f t="shared" si="48"/>
        <v>7837.0845153736791</v>
      </c>
      <c r="DQ20" s="101"/>
      <c r="DR20" s="29">
        <f>VLOOKUP(A20,'ДЗ нас '!$A$1:$C$359,2)</f>
        <v>7215.19</v>
      </c>
      <c r="DS20" s="733">
        <f>VLOOKUP(A20,'ДЗ нежит'!$A$1:$D$153,4,0)</f>
        <v>621.92999999999995</v>
      </c>
      <c r="DT20" s="29">
        <f t="shared" si="49"/>
        <v>7837.12</v>
      </c>
      <c r="DU20" s="247">
        <f>VLOOKUP(A20,'новий кошторис с 01.06'!$A$4:$AI$399,35)*1.2</f>
        <v>7874.1419462008698</v>
      </c>
      <c r="DV20" s="29">
        <f t="shared" si="50"/>
        <v>-37.021946200869934</v>
      </c>
      <c r="DW20" s="1016">
        <f>'[2]побудинковий звіт'!$DW$9+'[1]побудинковий звіт'!DW20</f>
        <v>1062</v>
      </c>
      <c r="DX20" s="101">
        <f>'[1]побудинковий звіт'!DX20</f>
        <v>0</v>
      </c>
      <c r="DY20" s="5">
        <f t="shared" si="51"/>
        <v>26385.307559216239</v>
      </c>
      <c r="DZ20" s="5">
        <f t="shared" si="52"/>
        <v>17491.158587101636</v>
      </c>
      <c r="EA20" s="737">
        <f t="shared" si="53"/>
        <v>17727.46</v>
      </c>
      <c r="EC20" s="577">
        <f t="shared" si="54"/>
        <v>210551.40969821444</v>
      </c>
      <c r="EE20" s="743">
        <v>-30634</v>
      </c>
      <c r="EF20" s="723">
        <f t="shared" si="55"/>
        <v>8114.8952367916063</v>
      </c>
      <c r="EH20" s="798">
        <v>30600.454476227071</v>
      </c>
      <c r="EI20" s="101">
        <f>VLOOKUP(A20,'кошти 01.01.24'!$A$9:$D$352,4,FALSE)</f>
        <v>21190.738889745619</v>
      </c>
    </row>
    <row r="21" spans="1:139" ht="14.4" hidden="1" customHeight="1" x14ac:dyDescent="0.3">
      <c r="A21" s="318">
        <v>150000744</v>
      </c>
      <c r="B21" s="43" t="s">
        <v>715</v>
      </c>
      <c r="C21" s="44" t="s">
        <v>1761</v>
      </c>
      <c r="D21" s="44" t="s">
        <v>223</v>
      </c>
      <c r="E21" s="39">
        <f t="shared" si="4"/>
        <v>1588.6</v>
      </c>
      <c r="F21" s="205">
        <f>'[1]побудинковий звіт'!F21</f>
        <v>1504.3</v>
      </c>
      <c r="G21" s="29">
        <f>'[1]побудинковий звіт'!G21</f>
        <v>0</v>
      </c>
      <c r="H21" s="148">
        <f>'[1]побудинковий звіт'!H21</f>
        <v>84.3</v>
      </c>
      <c r="I21" s="41">
        <f>'[2]побудинковий звіт'!I21+'[1]побудинковий звіт'!I21</f>
        <v>5924.9156729397728</v>
      </c>
      <c r="J21" s="41">
        <f>'[2]побудинковий звіт'!J21+'[1]побудинковий звіт'!J21</f>
        <v>6083.4996832805009</v>
      </c>
      <c r="K21" s="55">
        <f t="shared" si="5"/>
        <v>158.58401034072813</v>
      </c>
      <c r="L21" s="41">
        <f>'[2]побудинковий звіт'!L21+'[1]побудинковий звіт'!L21</f>
        <v>1102.0130126646636</v>
      </c>
      <c r="M21" s="41">
        <f>'[2]побудинковий звіт'!M21+'[1]побудинковий звіт'!M21</f>
        <v>1158.328371984187</v>
      </c>
      <c r="N21" s="55">
        <f t="shared" si="6"/>
        <v>56.315359319523395</v>
      </c>
      <c r="O21" s="41">
        <f>'[2]побудинковий звіт'!O21+'[1]побудинковий звіт'!O21</f>
        <v>2326.5126190795404</v>
      </c>
      <c r="P21" s="41">
        <f>'[2]побудинковий звіт'!P21+'[1]побудинковий звіт'!P21</f>
        <v>2333.1750376275872</v>
      </c>
      <c r="Q21" s="55">
        <f t="shared" si="7"/>
        <v>6.6624185480468441</v>
      </c>
      <c r="R21" s="41">
        <f>'[2]побудинковий звіт'!R21+'[1]побудинковий звіт'!R21</f>
        <v>0</v>
      </c>
      <c r="S21" s="41">
        <f>'[2]побудинковий звіт'!S21+'[1]побудинковий звіт'!S21</f>
        <v>0</v>
      </c>
      <c r="T21" s="55">
        <f t="shared" si="8"/>
        <v>0</v>
      </c>
      <c r="U21" s="41">
        <f>'[2]побудинковий звіт'!U21+'[1]побудинковий звіт'!U21</f>
        <v>74.840786234166842</v>
      </c>
      <c r="V21" s="41">
        <f>'[2]побудинковий звіт'!V21+'[1]побудинковий звіт'!V21</f>
        <v>43.177836345597406</v>
      </c>
      <c r="W21" s="55">
        <f t="shared" si="9"/>
        <v>-31.662949888569436</v>
      </c>
      <c r="X21" s="41">
        <f>'[2]побудинковий звіт'!X21+'[1]побудинковий звіт'!X21</f>
        <v>2929.0497745711264</v>
      </c>
      <c r="Y21" s="41">
        <f>'[2]побудинковий звіт'!Y21+'[1]побудинковий звіт'!Y21</f>
        <v>2673.3489524255119</v>
      </c>
      <c r="Z21" s="55">
        <f t="shared" si="10"/>
        <v>-255.70082214561444</v>
      </c>
      <c r="AA21" s="41">
        <f>'[2]побудинковий звіт'!AA21+'[1]побудинковий звіт'!AA21</f>
        <v>0</v>
      </c>
      <c r="AB21" s="41">
        <f>'[2]побудинковий звіт'!AB21+'[1]побудинковий звіт'!AB21</f>
        <v>0</v>
      </c>
      <c r="AC21" s="55">
        <f t="shared" si="11"/>
        <v>0</v>
      </c>
      <c r="AD21" s="41">
        <f>'[2]побудинковий звіт'!AD21+'[1]побудинковий звіт'!AD21</f>
        <v>6587.2330493558402</v>
      </c>
      <c r="AE21" s="41">
        <f>'[2]побудинковий звіт'!AE21+'[1]побудинковий звіт'!AE21</f>
        <v>6573.1203165359366</v>
      </c>
      <c r="AF21" s="36">
        <f t="shared" si="12"/>
        <v>-14.112732819903613</v>
      </c>
      <c r="AG21" s="84">
        <f t="shared" si="13"/>
        <v>18944.564914845108</v>
      </c>
      <c r="AH21" s="56">
        <f t="shared" si="14"/>
        <v>18864.650198199321</v>
      </c>
      <c r="AI21" s="55">
        <f t="shared" si="15"/>
        <v>-79.914716645787848</v>
      </c>
      <c r="AJ21" s="41">
        <f>'[2]побудинковий звіт'!AJ21+'[1]побудинковий звіт'!AJ21</f>
        <v>0</v>
      </c>
      <c r="AK21" s="41">
        <f>'[2]побудинковий звіт'!AK21+'[1]побудинковий звіт'!AK21</f>
        <v>0</v>
      </c>
      <c r="AL21" s="55">
        <f t="shared" si="16"/>
        <v>0</v>
      </c>
      <c r="AM21" s="41">
        <f>'[2]побудинковий звіт'!AM21+'[1]побудинковий звіт'!AM21</f>
        <v>0</v>
      </c>
      <c r="AN21" s="41">
        <f>'[2]побудинковий звіт'!AN21+'[1]побудинковий звіт'!AN21</f>
        <v>0</v>
      </c>
      <c r="AO21" s="55">
        <f t="shared" si="17"/>
        <v>0</v>
      </c>
      <c r="AP21" s="41">
        <f>'[2]побудинковий звіт'!AP21+'[1]побудинковий звіт'!AP21</f>
        <v>4754.870125944979</v>
      </c>
      <c r="AQ21" s="41">
        <f>'[2]побудинковий звіт'!AQ21+'[1]побудинковий звіт'!AQ21</f>
        <v>5036.5145670804541</v>
      </c>
      <c r="AR21" s="55">
        <f t="shared" si="18"/>
        <v>281.64444113547506</v>
      </c>
      <c r="AS21" s="41">
        <f>'[2]побудинковий звіт'!AS21+'[1]побудинковий звіт'!AS21</f>
        <v>16793.232607372996</v>
      </c>
      <c r="AT21" s="41">
        <f>'[2]побудинковий звіт'!AT21+'[1]побудинковий звіт'!AT21</f>
        <v>6243.7702739498818</v>
      </c>
      <c r="AU21" s="57">
        <f t="shared" si="19"/>
        <v>-10549.462333423115</v>
      </c>
      <c r="AV21" s="41">
        <f>'[2]побудинковий звіт'!AV21+'[1]побудинковий звіт'!AV21</f>
        <v>983.69947609101405</v>
      </c>
      <c r="AW21" s="41">
        <f>'[2]побудинковий звіт'!AW21+'[1]побудинковий звіт'!AW21</f>
        <v>0</v>
      </c>
      <c r="AX21" s="58">
        <f t="shared" si="20"/>
        <v>-983.69947609101405</v>
      </c>
      <c r="AY21" s="41">
        <f>'[2]побудинковий звіт'!AY21+'[1]побудинковий звіт'!AY21</f>
        <v>1334.3406085566339</v>
      </c>
      <c r="AZ21" s="41">
        <f>'[2]побудинковий звіт'!AZ21+'[1]побудинковий звіт'!AZ21</f>
        <v>0</v>
      </c>
      <c r="BA21" s="36">
        <f t="shared" si="21"/>
        <v>-1334.3406085566339</v>
      </c>
      <c r="BB21" s="41">
        <f>'[2]побудинковий звіт'!BB21+'[1]побудинковий звіт'!BB21</f>
        <v>1018.5685509845888</v>
      </c>
      <c r="BC21" s="41">
        <f>'[2]побудинковий звіт'!BC21+'[1]побудинковий звіт'!BC21</f>
        <v>0</v>
      </c>
      <c r="BD21" s="58">
        <f t="shared" si="22"/>
        <v>-1018.5685509845888</v>
      </c>
      <c r="BE21" s="41">
        <f>'[2]побудинковий звіт'!BE21+'[1]побудинковий звіт'!BE21</f>
        <v>0</v>
      </c>
      <c r="BF21" s="41">
        <f>'[2]побудинковий звіт'!BF21+'[1]побудинковий звіт'!BF21</f>
        <v>0</v>
      </c>
      <c r="BG21" s="38">
        <f t="shared" si="23"/>
        <v>0</v>
      </c>
      <c r="BH21" s="41">
        <f>'[2]побудинковий звіт'!BH21+'[1]побудинковий звіт'!BH21</f>
        <v>44.109235188573223</v>
      </c>
      <c r="BI21" s="41">
        <f>'[2]побудинковий звіт'!BI21+'[1]побудинковий звіт'!BI21</f>
        <v>0</v>
      </c>
      <c r="BJ21" s="58">
        <f t="shared" si="24"/>
        <v>-44.109235188573223</v>
      </c>
      <c r="BK21" s="41">
        <f>'[2]побудинковий звіт'!BK21+'[1]побудинковий звіт'!BK21</f>
        <v>448.36270699302656</v>
      </c>
      <c r="BL21" s="41">
        <f>'[2]побудинковий звіт'!BL21+'[1]побудинковий звіт'!BL21</f>
        <v>0</v>
      </c>
      <c r="BM21" s="38">
        <f t="shared" si="25"/>
        <v>-448.36270699302656</v>
      </c>
      <c r="BN21" s="41">
        <f>'[2]побудинковий звіт'!BN21+'[1]побудинковий звіт'!BN21</f>
        <v>11.042545761168878</v>
      </c>
      <c r="BO21" s="41">
        <f>'[2]побудинковий звіт'!BO21+'[1]побудинковий звіт'!BO21</f>
        <v>1399.8707557903615</v>
      </c>
      <c r="BP21" s="58">
        <f t="shared" si="26"/>
        <v>1388.8282100291926</v>
      </c>
      <c r="BQ21" s="84">
        <f t="shared" si="27"/>
        <v>3840.1231235750056</v>
      </c>
      <c r="BR21" s="42">
        <f t="shared" si="28"/>
        <v>1399.8707557903615</v>
      </c>
      <c r="BS21" s="58">
        <f t="shared" si="29"/>
        <v>-2440.2523677846439</v>
      </c>
      <c r="BT21" s="41">
        <f>'[2]побудинковий звіт'!BT21+'[1]побудинковий звіт'!BT21</f>
        <v>23268.364376743779</v>
      </c>
      <c r="BU21" s="41">
        <f>'[2]побудинковий звіт'!BU21+'[1]побудинковий звіт'!BU21</f>
        <v>36505.749261624827</v>
      </c>
      <c r="BV21" s="55">
        <f t="shared" si="30"/>
        <v>13237.384884881048</v>
      </c>
      <c r="BW21" s="41">
        <f>'[2]побудинковий звіт'!BW21+'[1]побудинковий звіт'!BW21</f>
        <v>8078.4856781047192</v>
      </c>
      <c r="BX21" s="41">
        <f>'[2]побудинковий звіт'!BX21+'[1]побудинковий звіт'!BX21</f>
        <v>10440.635219140804</v>
      </c>
      <c r="BY21" s="55">
        <f t="shared" si="31"/>
        <v>2362.1495410360849</v>
      </c>
      <c r="BZ21" s="41">
        <f>'[2]побудинковий звіт'!BZ21+'[1]побудинковий звіт'!BZ21</f>
        <v>7358.4896277463286</v>
      </c>
      <c r="CA21" s="41">
        <f>'[2]побудинковий звіт'!CA21+'[1]побудинковий звіт'!CA21</f>
        <v>3511.8437304727759</v>
      </c>
      <c r="CB21" s="55">
        <f t="shared" si="32"/>
        <v>-3846.6458972735527</v>
      </c>
      <c r="CC21" s="41">
        <f>'[2]побудинковий звіт'!CC21+'[1]побудинковий звіт'!CC21</f>
        <v>906.90814560964645</v>
      </c>
      <c r="CD21" s="41">
        <f>'[2]побудинковий звіт'!CD21+'[1]побудинковий звіт'!CD21</f>
        <v>909.98336997154604</v>
      </c>
      <c r="CE21" s="55">
        <f t="shared" si="33"/>
        <v>3.0752243618995863</v>
      </c>
      <c r="CF21" s="41">
        <f>'[2]побудинковий звіт'!CF21+'[1]побудинковий звіт'!CF21</f>
        <v>112.36109885629054</v>
      </c>
      <c r="CG21" s="41">
        <f>'[2]побудинковий звіт'!CG21+'[1]побудинковий звіт'!CG21</f>
        <v>0</v>
      </c>
      <c r="CH21" s="55">
        <f t="shared" si="34"/>
        <v>-112.36109885629054</v>
      </c>
      <c r="CI21" s="41">
        <f>'[2]побудинковий звіт'!CI21+'[1]побудинковий звіт'!CI21</f>
        <v>3476.3138997086307</v>
      </c>
      <c r="CJ21" s="41">
        <f>'[2]побудинковий звіт'!CJ21+'[1]побудинковий звіт'!CJ21</f>
        <v>3732.5614324784779</v>
      </c>
      <c r="CK21" s="55">
        <f t="shared" si="35"/>
        <v>256.24753276984711</v>
      </c>
      <c r="CL21" s="41">
        <f>'[2]побудинковий звіт'!CL21+'[1]побудинковий звіт'!CL21</f>
        <v>0</v>
      </c>
      <c r="CM21" s="41">
        <f>'[2]побудинковий звіт'!CM21+'[1]побудинковий звіт'!CM21</f>
        <v>0</v>
      </c>
      <c r="CN21" s="55">
        <f t="shared" si="36"/>
        <v>0</v>
      </c>
      <c r="CO21" s="41">
        <f t="shared" si="37"/>
        <v>3476.3138997086307</v>
      </c>
      <c r="CP21" s="42">
        <f t="shared" si="38"/>
        <v>3732.5614324784779</v>
      </c>
      <c r="CQ21" s="55">
        <f t="shared" si="39"/>
        <v>256.24753276984711</v>
      </c>
      <c r="CR21" s="76">
        <f t="shared" si="40"/>
        <v>87533.713598507471</v>
      </c>
      <c r="CS21" s="5">
        <f t="shared" si="41"/>
        <v>86645.578808708466</v>
      </c>
      <c r="CT21" s="55">
        <f t="shared" si="42"/>
        <v>-888.13478979900538</v>
      </c>
      <c r="CU21" s="84">
        <f t="shared" si="43"/>
        <v>105040.45631820896</v>
      </c>
      <c r="CV21" s="68">
        <f t="shared" si="44"/>
        <v>103974.69457045016</v>
      </c>
      <c r="CW21" s="36">
        <f t="shared" si="45"/>
        <v>-1065.7617477588065</v>
      </c>
      <c r="CX21" s="41">
        <f>'[2]побудинковий звіт'!CX21+'[1]побудинковий звіт'!CX21</f>
        <v>7022.3553982835392</v>
      </c>
      <c r="CY21" s="41">
        <f>'[2]побудинковий звіт'!CY21+'[1]побудинковий звіт'!CY21</f>
        <v>8088.1171460423984</v>
      </c>
      <c r="CZ21" s="55">
        <f t="shared" si="46"/>
        <v>1065.7617477588592</v>
      </c>
      <c r="DA21" s="254">
        <f>'[1]побудинковий звіт'!DA21</f>
        <v>-43821.315495465889</v>
      </c>
      <c r="DB21" s="2">
        <v>2</v>
      </c>
      <c r="DC21" s="702">
        <f>'[1]побудинковий звіт'!DC21</f>
        <v>37384.93</v>
      </c>
      <c r="DD21" s="702">
        <f>'[1]побудинковий звіт'!DD21</f>
        <v>2301.83</v>
      </c>
      <c r="DE21" s="702">
        <f>'[1]побудинковий звіт'!DE21</f>
        <v>25665.07</v>
      </c>
      <c r="DF21" s="702">
        <f>'[1]побудинковий звіт'!DF21</f>
        <v>1709.1999999999998</v>
      </c>
      <c r="DG21" s="772">
        <v>-18309.890669501241</v>
      </c>
      <c r="DH21" s="746">
        <f t="shared" si="47"/>
        <v>1344753.74059791</v>
      </c>
      <c r="DI21" s="769"/>
      <c r="DJ21" s="5"/>
      <c r="DK21" s="307">
        <f>VLOOKUP($A21,ціни!$A$4:$G$401,5)</f>
        <v>5.5829425561848733</v>
      </c>
      <c r="DL21" s="307"/>
      <c r="DM21" s="307">
        <f>VLOOKUP($A21,ціни!$A$4:$G$401,7)</f>
        <v>5.0687000046261232</v>
      </c>
      <c r="DN21" s="29">
        <f t="shared" si="56"/>
        <v>8398.4204872689043</v>
      </c>
      <c r="DO21" s="29">
        <f t="shared" si="57"/>
        <v>427.29141038998216</v>
      </c>
      <c r="DP21" s="306">
        <f t="shared" si="48"/>
        <v>8825.7118976588863</v>
      </c>
      <c r="DQ21" s="101"/>
      <c r="DR21" s="29">
        <f>VLOOKUP(A21,'ДЗ нас '!$A$1:$C$359,2)</f>
        <v>8398.35</v>
      </c>
      <c r="DS21" s="733">
        <f>VLOOKUP(A21,'ДЗ нежит'!$A$1:$D$153,4,0)</f>
        <v>427.3</v>
      </c>
      <c r="DT21" s="29">
        <f t="shared" si="49"/>
        <v>8825.65</v>
      </c>
      <c r="DU21" s="247">
        <f>VLOOKUP(A21,'новий кошторис с 01.06'!$A$4:$AI$399,35)*1.2</f>
        <v>8439.9494097270835</v>
      </c>
      <c r="DV21" s="29">
        <f t="shared" si="50"/>
        <v>385.70059027291609</v>
      </c>
      <c r="DW21" s="1016">
        <f>'[2]побудинковий звіт'!$DW$9+'[1]побудинковий звіт'!DW21</f>
        <v>918</v>
      </c>
      <c r="DX21" s="101">
        <f>'[1]побудинковий звіт'!DX21</f>
        <v>0</v>
      </c>
      <c r="DY21" s="5">
        <f t="shared" si="51"/>
        <v>24760.026877137603</v>
      </c>
      <c r="DZ21" s="5">
        <f t="shared" si="52"/>
        <v>9172.3692356882912</v>
      </c>
      <c r="EA21" s="737">
        <f t="shared" si="53"/>
        <v>27374.27</v>
      </c>
      <c r="EC21" s="577">
        <f t="shared" si="54"/>
        <v>201518.79128847597</v>
      </c>
      <c r="EE21" s="743">
        <v>15049</v>
      </c>
      <c r="EF21" s="723">
        <f t="shared" si="55"/>
        <v>-3260.8906695012411</v>
      </c>
      <c r="EH21" s="798">
        <v>-31033.750221757371</v>
      </c>
      <c r="EI21" s="101">
        <f>VLOOKUP(A21,'кошти 01.01.24'!$A$9:$D$352,4,FALSE)</f>
        <v>-42755.553747707025</v>
      </c>
    </row>
    <row r="22" spans="1:139" hidden="1" x14ac:dyDescent="0.3">
      <c r="A22" s="318">
        <v>150000741</v>
      </c>
      <c r="B22" s="43" t="s">
        <v>716</v>
      </c>
      <c r="C22" s="44" t="s">
        <v>1762</v>
      </c>
      <c r="D22" s="44" t="s">
        <v>224</v>
      </c>
      <c r="E22" s="39">
        <f t="shared" si="4"/>
        <v>2593.7999999999997</v>
      </c>
      <c r="F22" s="205">
        <f>'[1]побудинковий звіт'!F22</f>
        <v>2273.1999999999998</v>
      </c>
      <c r="G22" s="29">
        <f>'[1]побудинковий звіт'!G22</f>
        <v>0</v>
      </c>
      <c r="H22" s="148">
        <f>'[1]побудинковий звіт'!H22</f>
        <v>320.59999999999997</v>
      </c>
      <c r="I22" s="41">
        <f>'[2]побудинковий звіт'!I22+'[1]побудинковий звіт'!I22</f>
        <v>10449.724900506837</v>
      </c>
      <c r="J22" s="41">
        <f>'[2]побудинковий звіт'!J22+'[1]побудинковий звіт'!J22</f>
        <v>10719.783238746193</v>
      </c>
      <c r="K22" s="55">
        <f t="shared" si="5"/>
        <v>270.05833823935609</v>
      </c>
      <c r="L22" s="41">
        <f>'[2]побудинковий звіт'!L22+'[1]побудинковий звіт'!L22</f>
        <v>1698.7091468747331</v>
      </c>
      <c r="M22" s="41">
        <f>'[2]побудинковий звіт'!M22+'[1]побудинковий звіт'!M22</f>
        <v>1778.6607456153854</v>
      </c>
      <c r="N22" s="55">
        <f t="shared" si="6"/>
        <v>79.951598740652344</v>
      </c>
      <c r="O22" s="41">
        <f>'[2]побудинковий звіт'!O22+'[1]побудинковий звіт'!O22</f>
        <v>3844.119999220296</v>
      </c>
      <c r="P22" s="41">
        <f>'[2]побудинковий звіт'!P22+'[1]побудинковий звіт'!P22</f>
        <v>3854.921578126628</v>
      </c>
      <c r="Q22" s="55">
        <f t="shared" si="7"/>
        <v>10.801578906331997</v>
      </c>
      <c r="R22" s="41">
        <f>'[2]побудинковий звіт'!R22+'[1]побудинковий звіт'!R22</f>
        <v>0</v>
      </c>
      <c r="S22" s="41">
        <f>'[2]побудинковий звіт'!S22+'[1]побудинковий звіт'!S22</f>
        <v>0</v>
      </c>
      <c r="T22" s="55">
        <f t="shared" si="8"/>
        <v>0</v>
      </c>
      <c r="U22" s="41">
        <f>'[2]побудинковий звіт'!U22+'[1]побудинковий звіт'!U22</f>
        <v>0</v>
      </c>
      <c r="V22" s="41">
        <f>'[2]побудинковий звіт'!V22+'[1]побудинковий звіт'!V22</f>
        <v>0</v>
      </c>
      <c r="W22" s="55">
        <f t="shared" si="9"/>
        <v>0</v>
      </c>
      <c r="X22" s="41">
        <f>'[2]побудинковий звіт'!X22+'[1]побудинковий звіт'!X22</f>
        <v>6599.7295772853995</v>
      </c>
      <c r="Y22" s="41">
        <f>'[2]побудинковий звіт'!Y22+'[1]побудинковий звіт'!Y22</f>
        <v>6424.8580291224707</v>
      </c>
      <c r="Z22" s="55">
        <f t="shared" si="10"/>
        <v>-174.87154816292878</v>
      </c>
      <c r="AA22" s="41">
        <f>'[2]побудинковий звіт'!AA22+'[1]побудинковий звіт'!AA22</f>
        <v>0</v>
      </c>
      <c r="AB22" s="41">
        <f>'[2]побудинковий звіт'!AB22+'[1]побудинковий звіт'!AB22</f>
        <v>0</v>
      </c>
      <c r="AC22" s="55">
        <f t="shared" si="11"/>
        <v>0</v>
      </c>
      <c r="AD22" s="41">
        <f>'[2]побудинковий звіт'!AD22+'[1]побудинковий звіт'!AD22</f>
        <v>11251.91970341637</v>
      </c>
      <c r="AE22" s="41">
        <f>'[2]побудинковий звіт'!AE22+'[1]побудинковий звіт'!AE22</f>
        <v>11208.089615600144</v>
      </c>
      <c r="AF22" s="36">
        <f t="shared" si="12"/>
        <v>-43.830087816226296</v>
      </c>
      <c r="AG22" s="84">
        <f t="shared" si="13"/>
        <v>33844.203327303636</v>
      </c>
      <c r="AH22" s="56">
        <f t="shared" si="14"/>
        <v>33986.31320721082</v>
      </c>
      <c r="AI22" s="55">
        <f t="shared" si="15"/>
        <v>142.10987990718422</v>
      </c>
      <c r="AJ22" s="41">
        <f>'[2]побудинковий звіт'!AJ22+'[1]побудинковий звіт'!AJ22</f>
        <v>0</v>
      </c>
      <c r="AK22" s="41">
        <f>'[2]побудинковий звіт'!AK22+'[1]побудинковий звіт'!AK22</f>
        <v>0</v>
      </c>
      <c r="AL22" s="55">
        <f t="shared" si="16"/>
        <v>0</v>
      </c>
      <c r="AM22" s="41">
        <f>'[2]побудинковий звіт'!AM22+'[1]побудинковий звіт'!AM22</f>
        <v>0</v>
      </c>
      <c r="AN22" s="41">
        <f>'[2]побудинковий звіт'!AN22+'[1]побудинковий звіт'!AN22</f>
        <v>0</v>
      </c>
      <c r="AO22" s="55">
        <f t="shared" si="17"/>
        <v>0</v>
      </c>
      <c r="AP22" s="41">
        <f>'[2]побудинковий звіт'!AP22+'[1]побудинковий звіт'!AP22</f>
        <v>8321.022720403711</v>
      </c>
      <c r="AQ22" s="41">
        <f>'[2]побудинковий звіт'!AQ22+'[1]побудинковий звіт'!AQ22</f>
        <v>8705.8509298037989</v>
      </c>
      <c r="AR22" s="55">
        <f t="shared" si="18"/>
        <v>384.82820940008787</v>
      </c>
      <c r="AS22" s="41">
        <f>'[2]побудинковий звіт'!AS22+'[1]побудинковий звіт'!AS22</f>
        <v>36494.217866568273</v>
      </c>
      <c r="AT22" s="41">
        <f>'[2]побудинковий звіт'!AT22+'[1]побудинковий звіт'!AT22</f>
        <v>136010.47657475353</v>
      </c>
      <c r="AU22" s="57">
        <f t="shared" si="19"/>
        <v>99516.258708185254</v>
      </c>
      <c r="AV22" s="41">
        <f>'[2]побудинковий звіт'!AV22+'[1]побудинковий звіт'!AV22</f>
        <v>1664.0855741585442</v>
      </c>
      <c r="AW22" s="41">
        <f>'[2]побудинковий звіт'!AW22+'[1]побудинковий звіт'!AW22</f>
        <v>0</v>
      </c>
      <c r="AX22" s="58">
        <f t="shared" si="20"/>
        <v>-1664.0855741585442</v>
      </c>
      <c r="AY22" s="41">
        <f>'[2]побудинковий звіт'!AY22+'[1]побудинковий звіт'!AY22</f>
        <v>2017.0047360443807</v>
      </c>
      <c r="AZ22" s="41">
        <f>'[2]побудинковий звіт'!AZ22+'[1]побудинковий звіт'!AZ22</f>
        <v>0</v>
      </c>
      <c r="BA22" s="36">
        <f t="shared" si="21"/>
        <v>-2017.0047360443807</v>
      </c>
      <c r="BB22" s="41">
        <f>'[2]побудинковий звіт'!BB22+'[1]побудинковий звіт'!BB22</f>
        <v>1782.308109342946</v>
      </c>
      <c r="BC22" s="41">
        <f>'[2]побудинковий звіт'!BC22+'[1]побудинковий звіт'!BC22</f>
        <v>0</v>
      </c>
      <c r="BD22" s="58">
        <f t="shared" si="22"/>
        <v>-1782.308109342946</v>
      </c>
      <c r="BE22" s="41">
        <f>'[2]побудинковий звіт'!BE22+'[1]побудинковий звіт'!BE22</f>
        <v>0</v>
      </c>
      <c r="BF22" s="41">
        <f>'[2]побудинковий звіт'!BF22+'[1]побудинковий звіт'!BF22</f>
        <v>0</v>
      </c>
      <c r="BG22" s="38">
        <f t="shared" si="23"/>
        <v>0</v>
      </c>
      <c r="BH22" s="41">
        <f>'[2]побудинковий звіт'!BH22+'[1]побудинковий звіт'!BH22</f>
        <v>0</v>
      </c>
      <c r="BI22" s="41">
        <f>'[2]побудинковий звіт'!BI22+'[1]побудинковий звіт'!BI22</f>
        <v>0</v>
      </c>
      <c r="BJ22" s="58">
        <f t="shared" si="24"/>
        <v>0</v>
      </c>
      <c r="BK22" s="41">
        <f>'[2]побудинковий звіт'!BK22+'[1]побудинковий звіт'!BK22</f>
        <v>1221.368838239599</v>
      </c>
      <c r="BL22" s="41">
        <f>'[2]побудинковий звіт'!BL22+'[1]побудинковий звіт'!BL22</f>
        <v>0</v>
      </c>
      <c r="BM22" s="38">
        <f t="shared" si="25"/>
        <v>-1221.368838239599</v>
      </c>
      <c r="BN22" s="41">
        <f>'[2]побудинковий звіт'!BN22+'[1]побудинковий звіт'!BN22</f>
        <v>18.916633789729637</v>
      </c>
      <c r="BO22" s="41">
        <f>'[2]побудинковий звіт'!BO22+'[1]побудинковий звіт'!BO22</f>
        <v>4101.5414916316531</v>
      </c>
      <c r="BP22" s="58">
        <f t="shared" si="26"/>
        <v>4082.6248578419236</v>
      </c>
      <c r="BQ22" s="84">
        <f t="shared" si="27"/>
        <v>6703.6838915751996</v>
      </c>
      <c r="BR22" s="42">
        <f t="shared" si="28"/>
        <v>4101.5414916316531</v>
      </c>
      <c r="BS22" s="58">
        <f t="shared" si="29"/>
        <v>-2602.1423999435465</v>
      </c>
      <c r="BT22" s="41">
        <f>'[2]побудинковий звіт'!BT22+'[1]побудинковий звіт'!BT22</f>
        <v>28929.635151816066</v>
      </c>
      <c r="BU22" s="41">
        <f>'[2]побудинковий звіт'!BU22+'[1]побудинковий звіт'!BU22</f>
        <v>43881.153542526772</v>
      </c>
      <c r="BV22" s="55">
        <f t="shared" si="30"/>
        <v>14951.518390710706</v>
      </c>
      <c r="BW22" s="41">
        <f>'[2]побудинковий звіт'!BW22+'[1]побудинковий звіт'!BW22</f>
        <v>18441.658072871767</v>
      </c>
      <c r="BX22" s="41">
        <f>'[2]побудинковий звіт'!BX22+'[1]побудинковий звіт'!BX22</f>
        <v>22427.539812837415</v>
      </c>
      <c r="BY22" s="55">
        <f t="shared" si="31"/>
        <v>3985.8817399656473</v>
      </c>
      <c r="BZ22" s="41">
        <f>'[2]побудинковий звіт'!BZ22+'[1]побудинковий звіт'!BZ22</f>
        <v>8978.260783942078</v>
      </c>
      <c r="CA22" s="41">
        <f>'[2]побудинковий звіт'!CA22+'[1]побудинковий звіт'!CA22</f>
        <v>4572.8705598486549</v>
      </c>
      <c r="CB22" s="55">
        <f t="shared" si="32"/>
        <v>-4405.3902240934231</v>
      </c>
      <c r="CC22" s="41">
        <f>'[2]побудинковий звіт'!CC22+'[1]побудинковий звіт'!CC22</f>
        <v>0</v>
      </c>
      <c r="CD22" s="41">
        <f>'[2]побудинковий звіт'!CD22+'[1]побудинковий звіт'!CD22</f>
        <v>0</v>
      </c>
      <c r="CE22" s="55">
        <f t="shared" si="33"/>
        <v>0</v>
      </c>
      <c r="CF22" s="41">
        <f>'[2]побудинковий звіт'!CF22+'[1]побудинковий звіт'!CF22</f>
        <v>0</v>
      </c>
      <c r="CG22" s="41">
        <f>'[2]побудинковий звіт'!CG22+'[1]побудинковий звіт'!CG22</f>
        <v>0</v>
      </c>
      <c r="CH22" s="55">
        <f t="shared" si="34"/>
        <v>0</v>
      </c>
      <c r="CI22" s="41">
        <f>'[2]побудинковий звіт'!CI22+'[1]побудинковий звіт'!CI22</f>
        <v>1499.8325212628324</v>
      </c>
      <c r="CJ22" s="41">
        <f>'[2]побудинковий звіт'!CJ22+'[1]побудинковий звіт'!CJ22</f>
        <v>545.8298902655813</v>
      </c>
      <c r="CK22" s="55">
        <f t="shared" si="35"/>
        <v>-954.00263099725112</v>
      </c>
      <c r="CL22" s="41">
        <f>'[2]побудинковий звіт'!CL22+'[1]побудинковий звіт'!CL22</f>
        <v>0</v>
      </c>
      <c r="CM22" s="41">
        <f>'[2]побудинковий звіт'!CM22+'[1]побудинковий звіт'!CM22</f>
        <v>0</v>
      </c>
      <c r="CN22" s="55">
        <f t="shared" si="36"/>
        <v>0</v>
      </c>
      <c r="CO22" s="41">
        <f t="shared" si="37"/>
        <v>1499.8325212628324</v>
      </c>
      <c r="CP22" s="42">
        <f t="shared" si="38"/>
        <v>545.8298902655813</v>
      </c>
      <c r="CQ22" s="55">
        <f t="shared" si="39"/>
        <v>-954.00263099725112</v>
      </c>
      <c r="CR22" s="76">
        <f t="shared" si="40"/>
        <v>143212.51433574356</v>
      </c>
      <c r="CS22" s="5">
        <f t="shared" si="41"/>
        <v>254231.57600887821</v>
      </c>
      <c r="CT22" s="55">
        <f t="shared" si="42"/>
        <v>111019.06167313465</v>
      </c>
      <c r="CU22" s="84">
        <f t="shared" si="43"/>
        <v>171855.01720289225</v>
      </c>
      <c r="CV22" s="68">
        <f t="shared" si="44"/>
        <v>305077.89121065382</v>
      </c>
      <c r="CW22" s="36">
        <f t="shared" si="45"/>
        <v>133222.87400776157</v>
      </c>
      <c r="CX22" s="41">
        <f>'[2]побудинковий звіт'!CX22+'[1]побудинковий звіт'!CX22</f>
        <v>5169.4126672315097</v>
      </c>
      <c r="CY22" s="41">
        <f>'[2]побудинковий звіт'!CY22+'[1]побудинковий звіт'!CY22</f>
        <v>-128053.46134053011</v>
      </c>
      <c r="CZ22" s="55">
        <f t="shared" si="46"/>
        <v>-133222.87400776162</v>
      </c>
      <c r="DA22" s="254">
        <f>'[1]побудинковий звіт'!DA22</f>
        <v>100470.40910437447</v>
      </c>
      <c r="DB22" s="2">
        <v>2</v>
      </c>
      <c r="DC22" s="702">
        <f>'[1]побудинковий звіт'!DC22</f>
        <v>29466.14</v>
      </c>
      <c r="DD22" s="702">
        <f>'[1]побудинковий звіт'!DD22</f>
        <v>2149.77</v>
      </c>
      <c r="DE22" s="702">
        <f>'[1]побудинковий звіт'!DE22</f>
        <v>12077.989999999998</v>
      </c>
      <c r="DF22" s="702">
        <f>'[1]побудинковий звіт'!DF22</f>
        <v>34.480000000000018</v>
      </c>
      <c r="DG22" s="772">
        <v>7162.025036948151</v>
      </c>
      <c r="DH22" s="746">
        <f t="shared" si="47"/>
        <v>2124293.1584414854</v>
      </c>
      <c r="DI22" s="769"/>
      <c r="DJ22" s="5"/>
      <c r="DK22" s="307">
        <f>VLOOKUP($A22,ціни!$A$4:$G$401,5)</f>
        <v>5.4404260807513758</v>
      </c>
      <c r="DL22" s="307"/>
      <c r="DM22" s="307">
        <f>VLOOKUP($A22,ціни!$A$4:$G$401,7)</f>
        <v>4.6456589083713071</v>
      </c>
      <c r="DN22" s="29">
        <f t="shared" si="56"/>
        <v>12367.176566764027</v>
      </c>
      <c r="DO22" s="29">
        <f t="shared" si="57"/>
        <v>1489.398246023841</v>
      </c>
      <c r="DP22" s="306">
        <f t="shared" si="48"/>
        <v>13856.574812787867</v>
      </c>
      <c r="DQ22" s="101"/>
      <c r="DR22" s="29">
        <f>VLOOKUP(A22,'ДЗ нас '!$A$1:$C$359,2)</f>
        <v>12367.12</v>
      </c>
      <c r="DS22" s="733">
        <f>VLOOKUP(A22,'ДЗ нежит'!$A$1:$D$153,4,0)</f>
        <v>1492.2399999999998</v>
      </c>
      <c r="DT22" s="29">
        <f t="shared" si="49"/>
        <v>13859.36</v>
      </c>
      <c r="DU22" s="247">
        <f>VLOOKUP(A22,'новий кошторис с 01.06'!$A$4:$AI$399,35)*1.2</f>
        <v>13926.741614210325</v>
      </c>
      <c r="DV22" s="29">
        <f t="shared" si="50"/>
        <v>-67.381614210324187</v>
      </c>
      <c r="DW22" s="1016">
        <f>'[2]побудинковий звіт'!$DW$9+'[1]побудинковий звіт'!DW22</f>
        <v>1062</v>
      </c>
      <c r="DX22" s="101">
        <f>'[1]побудинковий звіт'!DX22</f>
        <v>0</v>
      </c>
      <c r="DY22" s="5">
        <f t="shared" si="51"/>
        <v>51837.482109772165</v>
      </c>
      <c r="DZ22" s="5">
        <f t="shared" si="52"/>
        <v>168134.42167966222</v>
      </c>
      <c r="EA22" s="737">
        <f t="shared" si="53"/>
        <v>12112.469999999998</v>
      </c>
      <c r="EC22" s="577">
        <f t="shared" si="54"/>
        <v>437930.61439881928</v>
      </c>
      <c r="EE22" s="743">
        <v>-2021</v>
      </c>
      <c r="EF22" s="723">
        <f t="shared" si="55"/>
        <v>5141.025036948151</v>
      </c>
      <c r="EH22" s="798">
        <v>-5300.1988137793996</v>
      </c>
      <c r="EI22" s="101">
        <f>VLOOKUP(A22,'кошти 01.01.24'!$A$9:$D$352,4,FALSE)</f>
        <v>-32752.464903387146</v>
      </c>
    </row>
    <row r="23" spans="1:139" hidden="1" x14ac:dyDescent="0.3">
      <c r="A23" s="318">
        <v>150000742</v>
      </c>
      <c r="B23" s="43" t="s">
        <v>717</v>
      </c>
      <c r="C23" s="44" t="s">
        <v>1763</v>
      </c>
      <c r="D23" s="44" t="s">
        <v>290</v>
      </c>
      <c r="E23" s="39">
        <f t="shared" si="4"/>
        <v>1869.8999999999999</v>
      </c>
      <c r="F23" s="205">
        <f>'[1]побудинковий звіт'!F23</f>
        <v>1700.8</v>
      </c>
      <c r="G23" s="29">
        <f>'[1]побудинковий звіт'!G23</f>
        <v>0</v>
      </c>
      <c r="H23" s="148">
        <f>'[1]побудинковий звіт'!H23</f>
        <v>169.1</v>
      </c>
      <c r="I23" s="41">
        <f>'[2]побудинковий звіт'!I23+'[1]побудинковий звіт'!I23</f>
        <v>6492.9135738360919</v>
      </c>
      <c r="J23" s="41">
        <f>'[2]побудинковий звіт'!J23+'[1]побудинковий звіт'!J23</f>
        <v>6666.6433993532555</v>
      </c>
      <c r="K23" s="55">
        <f t="shared" si="5"/>
        <v>173.72982551716359</v>
      </c>
      <c r="L23" s="41">
        <f>'[2]побудинковий звіт'!L23+'[1]побудинковий звіт'!L23</f>
        <v>1229.7087173924756</v>
      </c>
      <c r="M23" s="41">
        <f>'[2]побудинковий звіт'!M23+'[1]побудинковий звіт'!M23</f>
        <v>1315.2978228213196</v>
      </c>
      <c r="N23" s="55">
        <f t="shared" si="6"/>
        <v>85.58910542884405</v>
      </c>
      <c r="O23" s="41">
        <f>'[2]побудинковий звіт'!O23+'[1]побудинковий звіт'!O23</f>
        <v>2725.4278060408014</v>
      </c>
      <c r="P23" s="41">
        <f>'[2]побудинковий звіт'!P23+'[1]побудинковий звіт'!P23</f>
        <v>2733.0990940780366</v>
      </c>
      <c r="Q23" s="55">
        <f t="shared" si="7"/>
        <v>7.6712880372351719</v>
      </c>
      <c r="R23" s="41">
        <f>'[2]побудинковий звіт'!R23+'[1]побудинковий звіт'!R23</f>
        <v>0</v>
      </c>
      <c r="S23" s="41">
        <f>'[2]побудинковий звіт'!S23+'[1]побудинковий звіт'!S23</f>
        <v>0</v>
      </c>
      <c r="T23" s="55">
        <f t="shared" si="8"/>
        <v>0</v>
      </c>
      <c r="U23" s="41">
        <f>'[2]побудинковий звіт'!U23+'[1]побудинковий звіт'!U23</f>
        <v>74.840786234166842</v>
      </c>
      <c r="V23" s="41">
        <f>'[2]побудинковий звіт'!V23+'[1]побудинковий звіт'!V23</f>
        <v>43.177836345597406</v>
      </c>
      <c r="W23" s="55">
        <f t="shared" si="9"/>
        <v>-31.662949888569436</v>
      </c>
      <c r="X23" s="41">
        <f>'[2]побудинковий звіт'!X23+'[1]побудинковий звіт'!X23</f>
        <v>3437.0586040510843</v>
      </c>
      <c r="Y23" s="41">
        <f>'[2]побудинковий звіт'!Y23+'[1]побудинковий звіт'!Y23</f>
        <v>3191.2726376843557</v>
      </c>
      <c r="Z23" s="55">
        <f t="shared" si="10"/>
        <v>-245.78596636672864</v>
      </c>
      <c r="AA23" s="41">
        <f>'[2]побудинковий звіт'!AA23+'[1]побудинковий звіт'!AA23</f>
        <v>0</v>
      </c>
      <c r="AB23" s="41">
        <f>'[2]побудинковий звіт'!AB23+'[1]побудинковий звіт'!AB23</f>
        <v>0</v>
      </c>
      <c r="AC23" s="55">
        <f t="shared" si="11"/>
        <v>0</v>
      </c>
      <c r="AD23" s="41">
        <f>'[2]побудинковий звіт'!AD23+'[1]побудинковий звіт'!AD23</f>
        <v>8108.5406030240283</v>
      </c>
      <c r="AE23" s="41">
        <f>'[2]побудинковий звіт'!AE23+'[1]побудинковий звіт'!AE23</f>
        <v>8077.4174434150291</v>
      </c>
      <c r="AF23" s="36">
        <f t="shared" si="12"/>
        <v>-31.123159608999231</v>
      </c>
      <c r="AG23" s="84">
        <f t="shared" si="13"/>
        <v>22068.490090578649</v>
      </c>
      <c r="AH23" s="56">
        <f t="shared" si="14"/>
        <v>22026.908233697595</v>
      </c>
      <c r="AI23" s="55">
        <f t="shared" si="15"/>
        <v>-41.581856881053682</v>
      </c>
      <c r="AJ23" s="41">
        <f>'[2]побудинковий звіт'!AJ23+'[1]побудинковий звіт'!AJ23</f>
        <v>0</v>
      </c>
      <c r="AK23" s="41">
        <f>'[2]побудинковий звіт'!AK23+'[1]побудинковий звіт'!AK23</f>
        <v>0</v>
      </c>
      <c r="AL23" s="55">
        <f t="shared" si="16"/>
        <v>0</v>
      </c>
      <c r="AM23" s="41">
        <f>'[2]побудинковий звіт'!AM23+'[1]побудинковий звіт'!AM23</f>
        <v>0</v>
      </c>
      <c r="AN23" s="41">
        <f>'[2]побудинковий звіт'!AN23+'[1]побудинковий звіт'!AN23</f>
        <v>0</v>
      </c>
      <c r="AO23" s="55">
        <f t="shared" si="17"/>
        <v>0</v>
      </c>
      <c r="AP23" s="41">
        <f>'[2]побудинковий звіт'!AP23+'[1]побудинковий звіт'!AP23</f>
        <v>5200.6392002523207</v>
      </c>
      <c r="AQ23" s="41">
        <f>'[2]побудинковий звіт'!AQ23+'[1]побудинковий звіт'!AQ23</f>
        <v>4943.4747857763541</v>
      </c>
      <c r="AR23" s="55">
        <f t="shared" si="18"/>
        <v>-257.16441447596662</v>
      </c>
      <c r="AS23" s="41">
        <f>'[2]побудинковий звіт'!AS23+'[1]побудинковий звіт'!AS23</f>
        <v>23142.820916718629</v>
      </c>
      <c r="AT23" s="41">
        <f>'[2]побудинковий звіт'!AT23+'[1]побудинковий звіт'!AT23</f>
        <v>55027</v>
      </c>
      <c r="AU23" s="57">
        <f t="shared" si="19"/>
        <v>31884.179083281371</v>
      </c>
      <c r="AV23" s="41">
        <f>'[2]побудинковий звіт'!AV23+'[1]побудинковий звіт'!AV23</f>
        <v>1031.1625568949682</v>
      </c>
      <c r="AW23" s="41">
        <f>'[2]побудинковий звіт'!AW23+'[1]побудинковий звіт'!AW23</f>
        <v>0</v>
      </c>
      <c r="AX23" s="58">
        <f t="shared" si="20"/>
        <v>-1031.1625568949682</v>
      </c>
      <c r="AY23" s="41">
        <f>'[2]побудинковий звіт'!AY23+'[1]побудинковий звіт'!AY23</f>
        <v>1554.2401572508722</v>
      </c>
      <c r="AZ23" s="41">
        <f>'[2]побудинковий звіт'!AZ23+'[1]побудинковий звіт'!AZ23</f>
        <v>0</v>
      </c>
      <c r="BA23" s="36">
        <f t="shared" si="21"/>
        <v>-1554.2401572508722</v>
      </c>
      <c r="BB23" s="41">
        <f>'[2]побудинковий звіт'!BB23+'[1]побудинковий звіт'!BB23</f>
        <v>1326.8698688387281</v>
      </c>
      <c r="BC23" s="41">
        <f>'[2]побудинковий звіт'!BC23+'[1]побудинковий звіт'!BC23</f>
        <v>0</v>
      </c>
      <c r="BD23" s="58">
        <f t="shared" si="22"/>
        <v>-1326.8698688387281</v>
      </c>
      <c r="BE23" s="41">
        <f>'[2]побудинковий звіт'!BE23+'[1]побудинковий звіт'!BE23</f>
        <v>0</v>
      </c>
      <c r="BF23" s="41">
        <f>'[2]побудинковий звіт'!BF23+'[1]побудинковий звіт'!BF23</f>
        <v>0</v>
      </c>
      <c r="BG23" s="38">
        <f t="shared" si="23"/>
        <v>0</v>
      </c>
      <c r="BH23" s="41">
        <f>'[2]побудинковий звіт'!BH23+'[1]побудинковий звіт'!BH23</f>
        <v>44.109235188573223</v>
      </c>
      <c r="BI23" s="41">
        <f>'[2]побудинковий звіт'!BI23+'[1]побудинковий звіт'!BI23</f>
        <v>0</v>
      </c>
      <c r="BJ23" s="58">
        <f t="shared" si="24"/>
        <v>-44.109235188573223</v>
      </c>
      <c r="BK23" s="41">
        <f>'[2]побудинковий звіт'!BK23+'[1]побудинковий звіт'!BK23</f>
        <v>538.35101460086378</v>
      </c>
      <c r="BL23" s="41">
        <f>'[2]побудинковий звіт'!BL23+'[1]побудинковий звіт'!BL23</f>
        <v>0</v>
      </c>
      <c r="BM23" s="38">
        <f t="shared" si="25"/>
        <v>-538.35101460086378</v>
      </c>
      <c r="BN23" s="41">
        <f>'[2]побудинковий звіт'!BN23+'[1]побудинковий звіт'!BN23</f>
        <v>11.418996184845088</v>
      </c>
      <c r="BO23" s="41">
        <f>'[2]побудинковий звіт'!BO23+'[1]побудинковий звіт'!BO23</f>
        <v>527.51809613428497</v>
      </c>
      <c r="BP23" s="58">
        <f t="shared" si="26"/>
        <v>516.09909994943985</v>
      </c>
      <c r="BQ23" s="84">
        <f t="shared" si="27"/>
        <v>4506.1518289588503</v>
      </c>
      <c r="BR23" s="42">
        <f t="shared" si="28"/>
        <v>527.51809613428497</v>
      </c>
      <c r="BS23" s="58">
        <f t="shared" si="29"/>
        <v>-3978.6337328245654</v>
      </c>
      <c r="BT23" s="41">
        <f>'[2]побудинковий звіт'!BT23+'[1]побудинковий звіт'!BT23</f>
        <v>16779.42478755338</v>
      </c>
      <c r="BU23" s="41">
        <f>'[2]побудинковий звіт'!BU23+'[1]побудинковий звіт'!BU23</f>
        <v>31687.718266749267</v>
      </c>
      <c r="BV23" s="55">
        <f t="shared" si="30"/>
        <v>14908.293479195887</v>
      </c>
      <c r="BW23" s="41">
        <f>'[2]побудинковий звіт'!BW23+'[1]побудинковий звіт'!BW23</f>
        <v>9501.345848439867</v>
      </c>
      <c r="BX23" s="41">
        <f>'[2]побудинковий звіт'!BX23+'[1]побудинковий звіт'!BX23</f>
        <v>10130.195885037976</v>
      </c>
      <c r="BY23" s="55">
        <f t="shared" si="31"/>
        <v>628.850036598109</v>
      </c>
      <c r="BZ23" s="41">
        <f>'[2]побудинковий звіт'!BZ23+'[1]побудинковий звіт'!BZ23</f>
        <v>9868.5370579976188</v>
      </c>
      <c r="CA23" s="41">
        <f>'[2]побудинковий звіт'!CA23+'[1]побудинковий звіт'!CA23</f>
        <v>2325.5778733723846</v>
      </c>
      <c r="CB23" s="55">
        <f t="shared" si="32"/>
        <v>-7542.9591846252342</v>
      </c>
      <c r="CC23" s="41">
        <f>'[2]побудинковий звіт'!CC23+'[1]побудинковий звіт'!CC23</f>
        <v>1551.2098921538736</v>
      </c>
      <c r="CD23" s="41">
        <f>'[2]побудинковий звіт'!CD23+'[1]побудинковий звіт'!CD23</f>
        <v>1556.4698718705235</v>
      </c>
      <c r="CE23" s="55">
        <f t="shared" si="33"/>
        <v>5.2599797166499229</v>
      </c>
      <c r="CF23" s="41">
        <f>'[2]побудинковий звіт'!CF23+'[1]побудинковий звіт'!CF23</f>
        <v>192.18666067001877</v>
      </c>
      <c r="CG23" s="41">
        <f>'[2]побудинковий звіт'!CG23+'[1]побудинковий звіт'!CG23</f>
        <v>0</v>
      </c>
      <c r="CH23" s="55">
        <f t="shared" si="34"/>
        <v>-192.18666067001877</v>
      </c>
      <c r="CI23" s="41">
        <f>'[2]побудинковий звіт'!CI23+'[1]побудинковий звіт'!CI23</f>
        <v>3960.3298765507934</v>
      </c>
      <c r="CJ23" s="41">
        <f>'[2]побудинковий звіт'!CJ23+'[1]побудинковий звіт'!CJ23</f>
        <v>3172.8439885452426</v>
      </c>
      <c r="CK23" s="55">
        <f t="shared" si="35"/>
        <v>-787.48588800555081</v>
      </c>
      <c r="CL23" s="41">
        <f>'[2]побудинковий звіт'!CL23+'[1]побудинковий звіт'!CL23</f>
        <v>0</v>
      </c>
      <c r="CM23" s="41">
        <f>'[2]побудинковий звіт'!CM23+'[1]побудинковий звіт'!CM23</f>
        <v>0</v>
      </c>
      <c r="CN23" s="55">
        <f t="shared" si="36"/>
        <v>0</v>
      </c>
      <c r="CO23" s="41">
        <f t="shared" si="37"/>
        <v>3960.3298765507934</v>
      </c>
      <c r="CP23" s="42">
        <f t="shared" si="38"/>
        <v>3172.8439885452426</v>
      </c>
      <c r="CQ23" s="55">
        <f t="shared" si="39"/>
        <v>-787.48588800555081</v>
      </c>
      <c r="CR23" s="76">
        <f t="shared" si="40"/>
        <v>96771.136159874004</v>
      </c>
      <c r="CS23" s="5">
        <f t="shared" si="41"/>
        <v>131397.70700118365</v>
      </c>
      <c r="CT23" s="55">
        <f t="shared" si="42"/>
        <v>34626.570841309644</v>
      </c>
      <c r="CU23" s="84">
        <f t="shared" si="43"/>
        <v>116125.3633918488</v>
      </c>
      <c r="CV23" s="68">
        <f t="shared" si="44"/>
        <v>157677.24840142037</v>
      </c>
      <c r="CW23" s="36">
        <f t="shared" si="45"/>
        <v>41551.885009571561</v>
      </c>
      <c r="CX23" s="41">
        <f>'[2]побудинковий звіт'!CX23+'[1]побудинковий звіт'!CX23</f>
        <v>3061.6797002419867</v>
      </c>
      <c r="CY23" s="41">
        <f>'[2]побудинковий звіт'!CY23+'[1]побудинковий звіт'!CY23</f>
        <v>-38490.205309329562</v>
      </c>
      <c r="CZ23" s="55">
        <f t="shared" si="46"/>
        <v>-41551.885009571546</v>
      </c>
      <c r="DA23" s="254">
        <f>'[1]побудинковий звіт'!DA23</f>
        <v>927.84948351771163</v>
      </c>
      <c r="DB23" s="2">
        <v>2</v>
      </c>
      <c r="DC23" s="702">
        <f>'[1]побудинковий звіт'!DC23</f>
        <v>37677.32</v>
      </c>
      <c r="DD23" s="702">
        <f>'[1]побудинковий звіт'!DD23</f>
        <v>-623.9799999999999</v>
      </c>
      <c r="DE23" s="702">
        <f>'[1]побудинковий звіт'!DE23</f>
        <v>25672.21</v>
      </c>
      <c r="DF23" s="702">
        <f>'[1]побудинковий звіт'!DF23</f>
        <v>-1692.4299999999998</v>
      </c>
      <c r="DG23" s="772">
        <v>-6076.4525086939102</v>
      </c>
      <c r="DH23" s="746">
        <f t="shared" si="47"/>
        <v>1430244.5171050895</v>
      </c>
      <c r="DI23" s="769"/>
      <c r="DJ23" s="5"/>
      <c r="DK23" s="307">
        <f>VLOOKUP($A23,ціни!$A$4:$G$401,5)</f>
        <v>5.0443858289526151</v>
      </c>
      <c r="DL23" s="307"/>
      <c r="DM23" s="307">
        <f>VLOOKUP($A23,ціни!$A$4:$G$401,7)</f>
        <v>4.502480217145993</v>
      </c>
      <c r="DN23" s="29">
        <f t="shared" si="56"/>
        <v>8579.4914178826075</v>
      </c>
      <c r="DO23" s="29">
        <f t="shared" si="57"/>
        <v>761.36940471938738</v>
      </c>
      <c r="DP23" s="306">
        <f t="shared" si="48"/>
        <v>9340.8608226019951</v>
      </c>
      <c r="DQ23" s="101"/>
      <c r="DR23" s="29">
        <f>VLOOKUP(A23,'ДЗ нас '!$A$1:$C$359,2)</f>
        <v>8580.5400000000009</v>
      </c>
      <c r="DS23" s="733">
        <f>VLOOKUP(A23,'ДЗ нежит'!$A$1:$D$153,4,0)</f>
        <v>761.37</v>
      </c>
      <c r="DT23" s="29">
        <f t="shared" si="49"/>
        <v>9341.9100000000017</v>
      </c>
      <c r="DU23" s="247">
        <f>VLOOKUP(A23,'новий кошторис с 01.06'!$A$4:$AI$399,35)*1.2</f>
        <v>9375.0139685634022</v>
      </c>
      <c r="DV23" s="29">
        <f t="shared" si="50"/>
        <v>-33.103968563400485</v>
      </c>
      <c r="DW23" s="1016">
        <f>'[2]побудинковий звіт'!$DW$9+'[1]побудинковий звіт'!DW23</f>
        <v>1062</v>
      </c>
      <c r="DX23" s="101">
        <f>'[1]побудинковий звіт'!DX23</f>
        <v>0</v>
      </c>
      <c r="DY23" s="5">
        <f t="shared" si="51"/>
        <v>33178.767294812969</v>
      </c>
      <c r="DZ23" s="5">
        <f t="shared" si="52"/>
        <v>66665.421715361139</v>
      </c>
      <c r="EA23" s="737">
        <f t="shared" si="53"/>
        <v>23979.78</v>
      </c>
      <c r="EC23" s="577">
        <f t="shared" si="54"/>
        <v>277713.85100062354</v>
      </c>
      <c r="EE23" s="743">
        <v>-3898</v>
      </c>
      <c r="EF23" s="723">
        <f t="shared" si="55"/>
        <v>-9974.4525086939102</v>
      </c>
      <c r="EH23" s="798">
        <v>-20293.555997125815</v>
      </c>
      <c r="EI23" s="101">
        <f>VLOOKUP(A23,'кошти 01.01.24'!$A$9:$D$352,4,FALSE)</f>
        <v>-40624.035526053842</v>
      </c>
    </row>
    <row r="24" spans="1:139" ht="14.4" hidden="1" customHeight="1" x14ac:dyDescent="0.3">
      <c r="A24" s="318">
        <v>150000745</v>
      </c>
      <c r="B24" s="43" t="s">
        <v>718</v>
      </c>
      <c r="C24" s="44" t="s">
        <v>1764</v>
      </c>
      <c r="D24" s="44" t="s">
        <v>133</v>
      </c>
      <c r="E24" s="39">
        <f t="shared" si="4"/>
        <v>275.3</v>
      </c>
      <c r="F24" s="205">
        <f>'[1]побудинковий звіт'!F24</f>
        <v>275.3</v>
      </c>
      <c r="G24" s="29">
        <f>'[1]побудинковий звіт'!G24</f>
        <v>0</v>
      </c>
      <c r="H24" s="148">
        <f>'[1]побудинковий звіт'!H24</f>
        <v>0</v>
      </c>
      <c r="I24" s="41">
        <f>'[2]побудинковий звіт'!I24+'[1]побудинковий звіт'!I24</f>
        <v>0</v>
      </c>
      <c r="J24" s="41">
        <f>'[2]побудинковий звіт'!J24+'[1]побудинковий звіт'!J24</f>
        <v>0</v>
      </c>
      <c r="K24" s="55">
        <f t="shared" si="5"/>
        <v>0</v>
      </c>
      <c r="L24" s="41">
        <f>'[2]побудинковий звіт'!L24+'[1]побудинковий звіт'!L24</f>
        <v>0</v>
      </c>
      <c r="M24" s="41">
        <f>'[2]побудинковий звіт'!M24+'[1]побудинковий звіт'!M24</f>
        <v>0</v>
      </c>
      <c r="N24" s="55">
        <f t="shared" si="6"/>
        <v>0</v>
      </c>
      <c r="O24" s="41">
        <f>'[2]побудинковий звіт'!O24+'[1]побудинковий звіт'!O24</f>
        <v>0</v>
      </c>
      <c r="P24" s="41">
        <f>'[2]побудинковий звіт'!P24+'[1]побудинковий звіт'!P24</f>
        <v>0</v>
      </c>
      <c r="Q24" s="55">
        <f t="shared" si="7"/>
        <v>0</v>
      </c>
      <c r="R24" s="41">
        <f>'[2]побудинковий звіт'!R24+'[1]побудинковий звіт'!R24</f>
        <v>0</v>
      </c>
      <c r="S24" s="41">
        <f>'[2]побудинковий звіт'!S24+'[1]побудинковий звіт'!S24</f>
        <v>0</v>
      </c>
      <c r="T24" s="55">
        <f t="shared" si="8"/>
        <v>0</v>
      </c>
      <c r="U24" s="41">
        <f>'[2]побудинковий звіт'!U24+'[1]побудинковий звіт'!U24</f>
        <v>0</v>
      </c>
      <c r="V24" s="41">
        <f>'[2]побудинковий звіт'!V24+'[1]побудинковий звіт'!V24</f>
        <v>0</v>
      </c>
      <c r="W24" s="55">
        <f t="shared" si="9"/>
        <v>0</v>
      </c>
      <c r="X24" s="41">
        <f>'[2]побудинковий звіт'!X24+'[1]побудинковий звіт'!X24</f>
        <v>0</v>
      </c>
      <c r="Y24" s="41">
        <f>'[2]побудинковий звіт'!Y24+'[1]побудинковий звіт'!Y24</f>
        <v>0</v>
      </c>
      <c r="Z24" s="55">
        <f t="shared" si="10"/>
        <v>0</v>
      </c>
      <c r="AA24" s="41">
        <f>'[2]побудинковий звіт'!AA24+'[1]побудинковий звіт'!AA24</f>
        <v>0</v>
      </c>
      <c r="AB24" s="41">
        <f>'[2]побудинковий звіт'!AB24+'[1]побудинковий звіт'!AB24</f>
        <v>0</v>
      </c>
      <c r="AC24" s="55">
        <f t="shared" si="11"/>
        <v>0</v>
      </c>
      <c r="AD24" s="41">
        <f>'[2]побудинковий звіт'!AD24+'[1]побудинковий звіт'!AD24</f>
        <v>0</v>
      </c>
      <c r="AE24" s="41">
        <f>'[2]побудинковий звіт'!AE24+'[1]побудинковий звіт'!AE24</f>
        <v>0</v>
      </c>
      <c r="AF24" s="36">
        <f t="shared" si="12"/>
        <v>0</v>
      </c>
      <c r="AG24" s="84">
        <f t="shared" si="13"/>
        <v>0</v>
      </c>
      <c r="AH24" s="56">
        <f t="shared" si="14"/>
        <v>0</v>
      </c>
      <c r="AI24" s="55">
        <f t="shared" si="15"/>
        <v>0</v>
      </c>
      <c r="AJ24" s="41">
        <f>'[2]побудинковий звіт'!AJ24+'[1]побудинковий звіт'!AJ24</f>
        <v>0</v>
      </c>
      <c r="AK24" s="41">
        <f>'[2]побудинковий звіт'!AK24+'[1]побудинковий звіт'!AK24</f>
        <v>0</v>
      </c>
      <c r="AL24" s="55">
        <f t="shared" si="16"/>
        <v>0</v>
      </c>
      <c r="AM24" s="41">
        <f>'[2]побудинковий звіт'!AM24+'[1]побудинковий звіт'!AM24</f>
        <v>0</v>
      </c>
      <c r="AN24" s="41">
        <f>'[2]побудинковий звіт'!AN24+'[1]побудинковий звіт'!AN24</f>
        <v>0</v>
      </c>
      <c r="AO24" s="55">
        <f t="shared" si="17"/>
        <v>0</v>
      </c>
      <c r="AP24" s="41">
        <f>'[2]побудинковий звіт'!AP24+'[1]побудинковий звіт'!AP24</f>
        <v>804.45200655331155</v>
      </c>
      <c r="AQ24" s="41">
        <f>'[2]побудинковий звіт'!AQ24+'[1]побудинковий звіт'!AQ24</f>
        <v>421.42615269483372</v>
      </c>
      <c r="AR24" s="55">
        <f t="shared" si="18"/>
        <v>-383.02585385847783</v>
      </c>
      <c r="AS24" s="41">
        <f>'[2]побудинковий звіт'!AS24+'[1]побудинковий звіт'!AS24</f>
        <v>2834.3029461345386</v>
      </c>
      <c r="AT24" s="41">
        <f>'[2]побудинковий звіт'!AT24+'[1]побудинковий звіт'!AT24</f>
        <v>0</v>
      </c>
      <c r="AU24" s="57">
        <f t="shared" si="19"/>
        <v>-2834.3029461345386</v>
      </c>
      <c r="AV24" s="41">
        <f>'[2]побудинковий звіт'!AV24+'[1]побудинковий звіт'!AV24</f>
        <v>0</v>
      </c>
      <c r="AW24" s="41">
        <f>'[2]побудинковий звіт'!AW24+'[1]побудинковий звіт'!AW24</f>
        <v>0</v>
      </c>
      <c r="AX24" s="58">
        <f t="shared" si="20"/>
        <v>0</v>
      </c>
      <c r="AY24" s="41">
        <f>'[2]побудинковий звіт'!AY24+'[1]побудинковий звіт'!AY24</f>
        <v>0</v>
      </c>
      <c r="AZ24" s="41">
        <f>'[2]побудинковий звіт'!AZ24+'[1]побудинковий звіт'!AZ24</f>
        <v>0</v>
      </c>
      <c r="BA24" s="36">
        <f t="shared" si="21"/>
        <v>0</v>
      </c>
      <c r="BB24" s="41">
        <f>'[2]побудинковий звіт'!BB24+'[1]побудинковий звіт'!BB24</f>
        <v>0</v>
      </c>
      <c r="BC24" s="41">
        <f>'[2]побудинковий звіт'!BC24+'[1]побудинковий звіт'!BC24</f>
        <v>0</v>
      </c>
      <c r="BD24" s="58">
        <f t="shared" si="22"/>
        <v>0</v>
      </c>
      <c r="BE24" s="41">
        <f>'[2]побудинковий звіт'!BE24+'[1]побудинковий звіт'!BE24</f>
        <v>0</v>
      </c>
      <c r="BF24" s="41">
        <f>'[2]побудинковий звіт'!BF24+'[1]побудинковий звіт'!BF24</f>
        <v>0</v>
      </c>
      <c r="BG24" s="38">
        <f t="shared" si="23"/>
        <v>0</v>
      </c>
      <c r="BH24" s="41">
        <f>'[2]побудинковий звіт'!BH24+'[1]побудинковий звіт'!BH24</f>
        <v>0</v>
      </c>
      <c r="BI24" s="41">
        <f>'[2]побудинковий звіт'!BI24+'[1]побудинковий звіт'!BI24</f>
        <v>0</v>
      </c>
      <c r="BJ24" s="58">
        <f t="shared" si="24"/>
        <v>0</v>
      </c>
      <c r="BK24" s="41">
        <f>'[2]побудинковий звіт'!BK24+'[1]побудинковий звіт'!BK24</f>
        <v>0</v>
      </c>
      <c r="BL24" s="41">
        <f>'[2]побудинковий звіт'!BL24+'[1]побудинковий звіт'!BL24</f>
        <v>0</v>
      </c>
      <c r="BM24" s="38">
        <f t="shared" si="25"/>
        <v>0</v>
      </c>
      <c r="BN24" s="41">
        <f>'[2]побудинковий звіт'!BN24+'[1]побудинковий звіт'!BN24</f>
        <v>0</v>
      </c>
      <c r="BO24" s="41">
        <f>'[2]побудинковий звіт'!BO24+'[1]побудинковий звіт'!BO24</f>
        <v>1522.9401368642104</v>
      </c>
      <c r="BP24" s="58">
        <f t="shared" si="26"/>
        <v>1522.9401368642104</v>
      </c>
      <c r="BQ24" s="84">
        <f t="shared" si="27"/>
        <v>0</v>
      </c>
      <c r="BR24" s="42">
        <f t="shared" si="28"/>
        <v>1522.9401368642104</v>
      </c>
      <c r="BS24" s="58">
        <f t="shared" si="29"/>
        <v>1522.9401368642104</v>
      </c>
      <c r="BT24" s="41">
        <f>'[2]побудинковий звіт'!BT24+'[1]побудинковий звіт'!BT24</f>
        <v>678.58569744215879</v>
      </c>
      <c r="BU24" s="41">
        <f>'[2]побудинковий звіт'!BU24+'[1]побудинковий звіт'!BU24</f>
        <v>2397.0480005119271</v>
      </c>
      <c r="BV24" s="55">
        <f t="shared" si="30"/>
        <v>1718.4623030697683</v>
      </c>
      <c r="BW24" s="41">
        <f>'[2]побудинковий звіт'!BW24+'[1]побудинковий звіт'!BW24</f>
        <v>0</v>
      </c>
      <c r="BX24" s="41">
        <f>'[2]побудинковий звіт'!BX24+'[1]побудинковий звіт'!BX24</f>
        <v>1.1205514396831284</v>
      </c>
      <c r="BY24" s="55">
        <f t="shared" si="31"/>
        <v>1.1205514396831284</v>
      </c>
      <c r="BZ24" s="41">
        <f>'[2]побудинковий звіт'!BZ24+'[1]побудинковий звіт'!BZ24</f>
        <v>85.943316729803428</v>
      </c>
      <c r="CA24" s="41">
        <f>'[2]побудинковий звіт'!CA24+'[1]побудинковий звіт'!CA24</f>
        <v>214.74938197537142</v>
      </c>
      <c r="CB24" s="55">
        <f t="shared" si="32"/>
        <v>128.80606524556799</v>
      </c>
      <c r="CC24" s="41">
        <f>'[2]побудинковий звіт'!CC24+'[1]побудинковий звіт'!CC24</f>
        <v>0</v>
      </c>
      <c r="CD24" s="41">
        <f>'[2]побудинковий звіт'!CD24+'[1]побудинковий звіт'!CD24</f>
        <v>0</v>
      </c>
      <c r="CE24" s="55">
        <f t="shared" si="33"/>
        <v>0</v>
      </c>
      <c r="CF24" s="41">
        <f>'[2]побудинковий звіт'!CF24+'[1]побудинковий звіт'!CF24</f>
        <v>0</v>
      </c>
      <c r="CG24" s="41">
        <f>'[2]побудинковий звіт'!CG24+'[1]побудинковий звіт'!CG24</f>
        <v>0</v>
      </c>
      <c r="CH24" s="55">
        <f t="shared" si="34"/>
        <v>0</v>
      </c>
      <c r="CI24" s="41">
        <f>'[2]побудинковий звіт'!CI24+'[1]побудинковий звіт'!CI24</f>
        <v>0</v>
      </c>
      <c r="CJ24" s="41">
        <f>'[2]побудинковий звіт'!CJ24+'[1]побудинковий звіт'!CJ24</f>
        <v>0</v>
      </c>
      <c r="CK24" s="55">
        <f t="shared" si="35"/>
        <v>0</v>
      </c>
      <c r="CL24" s="41">
        <f>'[2]побудинковий звіт'!CL24+'[1]побудинковий звіт'!CL24</f>
        <v>0</v>
      </c>
      <c r="CM24" s="41">
        <f>'[2]побудинковий звіт'!CM24+'[1]побудинковий звіт'!CM24</f>
        <v>0</v>
      </c>
      <c r="CN24" s="55">
        <f t="shared" si="36"/>
        <v>0</v>
      </c>
      <c r="CO24" s="41">
        <f t="shared" si="37"/>
        <v>0</v>
      </c>
      <c r="CP24" s="42">
        <f t="shared" si="38"/>
        <v>0</v>
      </c>
      <c r="CQ24" s="55">
        <f t="shared" si="39"/>
        <v>0</v>
      </c>
      <c r="CR24" s="76">
        <f t="shared" si="40"/>
        <v>4403.2839668598117</v>
      </c>
      <c r="CS24" s="5">
        <f t="shared" si="41"/>
        <v>4557.2842234860263</v>
      </c>
      <c r="CT24" s="55">
        <f t="shared" si="42"/>
        <v>154.00025662621465</v>
      </c>
      <c r="CU24" s="84">
        <f t="shared" si="43"/>
        <v>5283.9407602317742</v>
      </c>
      <c r="CV24" s="68">
        <f t="shared" si="44"/>
        <v>5468.7410681832316</v>
      </c>
      <c r="CW24" s="36">
        <f t="shared" si="45"/>
        <v>184.8003079514574</v>
      </c>
      <c r="CX24" s="41">
        <f>'[2]побудинковий звіт'!CX24+'[1]побудинковий звіт'!CX24</f>
        <v>159.16657417818087</v>
      </c>
      <c r="CY24" s="41">
        <f>'[2]побудинковий звіт'!CY24+'[1]побудинковий звіт'!CY24</f>
        <v>-25.633733773274855</v>
      </c>
      <c r="CZ24" s="55">
        <f t="shared" si="46"/>
        <v>-184.80030795145572</v>
      </c>
      <c r="DA24" s="254">
        <f>'[1]побудинковий звіт'!DA24</f>
        <v>-5188.2819136572243</v>
      </c>
      <c r="DB24" s="2">
        <v>2</v>
      </c>
      <c r="DC24" s="702">
        <f>'[1]побудинковий звіт'!DC24</f>
        <v>3270.43</v>
      </c>
      <c r="DD24" s="702">
        <f>'[1]побудинковий звіт'!DD24</f>
        <v>0</v>
      </c>
      <c r="DE24" s="702">
        <f>'[1]побудинковий звіт'!DE24</f>
        <v>2674.1099999999997</v>
      </c>
      <c r="DF24" s="702">
        <f>'[1]побудинковий звіт'!DF24</f>
        <v>0</v>
      </c>
      <c r="DG24" s="772">
        <v>-4396.0452857463006</v>
      </c>
      <c r="DH24" s="746">
        <f t="shared" si="47"/>
        <v>65317.28801291946</v>
      </c>
      <c r="DI24" s="769"/>
      <c r="DJ24" s="5"/>
      <c r="DK24" s="307">
        <f>VLOOKUP($A24,ціни!$A$4:$G$401,5)</f>
        <v>1.5500580569100968</v>
      </c>
      <c r="DL24" s="307"/>
      <c r="DM24" s="307">
        <f>VLOOKUP($A24,ціни!$A$4:$G$401,7)</f>
        <v>1.5500580569100968</v>
      </c>
      <c r="DN24" s="29">
        <f t="shared" si="56"/>
        <v>426.73098306734965</v>
      </c>
      <c r="DO24" s="29">
        <f t="shared" si="57"/>
        <v>0</v>
      </c>
      <c r="DP24" s="306">
        <f t="shared" si="48"/>
        <v>426.73098306734965</v>
      </c>
      <c r="DQ24" s="101"/>
      <c r="DR24" s="29">
        <f>VLOOKUP(A24,'ДЗ нас '!$A$1:$C$359,2)</f>
        <v>426.74</v>
      </c>
      <c r="DS24" s="733"/>
      <c r="DT24" s="29">
        <f t="shared" si="49"/>
        <v>426.74</v>
      </c>
      <c r="DU24" s="247">
        <f>VLOOKUP(A24,'новий кошторис с 01.06'!$A$4:$AI$399,35)*1.2</f>
        <v>428.81259761889771</v>
      </c>
      <c r="DV24" s="29">
        <f t="shared" si="50"/>
        <v>-2.0725976188977029</v>
      </c>
      <c r="DW24" s="1016">
        <f>'[2]побудинковий звіт'!$DW$9+'[1]побудинковий звіт'!DW24</f>
        <v>0</v>
      </c>
      <c r="DX24" s="101">
        <f>'[1]побудинковий звіт'!DX24</f>
        <v>0</v>
      </c>
      <c r="DY24" s="5">
        <f t="shared" si="51"/>
        <v>3401.1635353614461</v>
      </c>
      <c r="DZ24" s="5">
        <f t="shared" si="52"/>
        <v>1827.5281642370526</v>
      </c>
      <c r="EA24" s="737">
        <f t="shared" si="53"/>
        <v>2674.1099999999997</v>
      </c>
      <c r="EC24" s="577">
        <f t="shared" si="54"/>
        <v>34011.63535361446</v>
      </c>
      <c r="EE24" s="743">
        <v>-2754</v>
      </c>
      <c r="EF24" s="723">
        <f t="shared" si="55"/>
        <v>-7150.0452857463006</v>
      </c>
      <c r="EH24" s="798">
        <v>-4847.4402670303189</v>
      </c>
      <c r="EI24" s="101">
        <f>VLOOKUP(A24,'кошти 01.01.24'!$A$9:$D$352,4,FALSE)</f>
        <v>-5373.0822216086808</v>
      </c>
    </row>
    <row r="25" spans="1:139" hidden="1" x14ac:dyDescent="0.3">
      <c r="A25" s="318">
        <v>150000836</v>
      </c>
      <c r="B25" s="43" t="s">
        <v>724</v>
      </c>
      <c r="C25" s="44" t="s">
        <v>1767</v>
      </c>
      <c r="D25" s="44" t="s">
        <v>198</v>
      </c>
      <c r="E25" s="39">
        <f t="shared" si="4"/>
        <v>1578.7</v>
      </c>
      <c r="F25" s="205">
        <f>'[1]побудинковий звіт'!F25</f>
        <v>1578.7</v>
      </c>
      <c r="G25" s="29">
        <f>'[1]побудинковий звіт'!G25</f>
        <v>0</v>
      </c>
      <c r="H25" s="148">
        <f>'[1]побудинковий звіт'!H25</f>
        <v>0</v>
      </c>
      <c r="I25" s="41">
        <f>'[2]побудинковий звіт'!I25+'[1]побудинковий звіт'!I25</f>
        <v>6632.5669496535156</v>
      </c>
      <c r="J25" s="41">
        <f>'[2]побудинковий звіт'!J25+'[1]побудинковий звіт'!J25</f>
        <v>5231.4678741938824</v>
      </c>
      <c r="K25" s="55">
        <f t="shared" si="5"/>
        <v>-1401.0990754596332</v>
      </c>
      <c r="L25" s="41">
        <f>'[2]побудинковий звіт'!L25+'[1]побудинковий звіт'!L25</f>
        <v>1508.2284008685422</v>
      </c>
      <c r="M25" s="41">
        <f>'[2]побудинковий звіт'!M25+'[1]побудинковий звіт'!M25</f>
        <v>1303.8158340890411</v>
      </c>
      <c r="N25" s="55">
        <f t="shared" si="6"/>
        <v>-204.41256677950105</v>
      </c>
      <c r="O25" s="41">
        <f>'[2]побудинковий звіт'!O25+'[1]побудинковий звіт'!O25</f>
        <v>2349.2578295029311</v>
      </c>
      <c r="P25" s="41">
        <f>'[2]побудинковий звіт'!P25+'[1]побудинковий звіт'!P25</f>
        <v>2356.0063117574718</v>
      </c>
      <c r="Q25" s="55">
        <f t="shared" si="7"/>
        <v>6.7484822545407042</v>
      </c>
      <c r="R25" s="41">
        <f>'[2]побудинковий звіт'!R25+'[1]побудинковий звіт'!R25</f>
        <v>570.97240032452339</v>
      </c>
      <c r="S25" s="41">
        <f>'[2]побудинковий звіт'!S25+'[1]побудинковий звіт'!S25</f>
        <v>572.70305297318237</v>
      </c>
      <c r="T25" s="55">
        <f t="shared" si="8"/>
        <v>1.7306526486589746</v>
      </c>
      <c r="U25" s="41">
        <f>'[2]побудинковий звіт'!U25+'[1]побудинковий звіт'!U25</f>
        <v>216.43433120225771</v>
      </c>
      <c r="V25" s="41">
        <f>'[2]побудинковий звіт'!V25+'[1]побудинковий звіт'!V25</f>
        <v>84.326879488730867</v>
      </c>
      <c r="W25" s="55">
        <f t="shared" si="9"/>
        <v>-132.10745171352684</v>
      </c>
      <c r="X25" s="41">
        <f>'[2]побудинковий звіт'!X25+'[1]побудинковий звіт'!X25</f>
        <v>2841.0035027014715</v>
      </c>
      <c r="Y25" s="41">
        <f>'[2]побудинковий звіт'!Y25+'[1]побудинковий звіт'!Y25</f>
        <v>1588.7793825743493</v>
      </c>
      <c r="Z25" s="55">
        <f t="shared" si="10"/>
        <v>-1252.2241201271222</v>
      </c>
      <c r="AA25" s="41">
        <f>'[2]побудинковий звіт'!AA25+'[1]побудинковий звіт'!AA25</f>
        <v>0</v>
      </c>
      <c r="AB25" s="41">
        <f>'[2]побудинковий звіт'!AB25+'[1]побудинковий звіт'!AB25</f>
        <v>0</v>
      </c>
      <c r="AC25" s="55">
        <f t="shared" si="11"/>
        <v>0</v>
      </c>
      <c r="AD25" s="41">
        <f>'[2]побудинковий звіт'!AD25+'[1]побудинковий звіт'!AD25</f>
        <v>6847.314713304535</v>
      </c>
      <c r="AE25" s="41">
        <f>'[2]побудинковий звіт'!AE25+'[1]побудинковий звіт'!AE25</f>
        <v>6820.6836552235691</v>
      </c>
      <c r="AF25" s="36">
        <f t="shared" si="12"/>
        <v>-26.631058080965886</v>
      </c>
      <c r="AG25" s="84">
        <f t="shared" si="13"/>
        <v>20965.778127557773</v>
      </c>
      <c r="AH25" s="56">
        <f t="shared" si="14"/>
        <v>17957.782990300228</v>
      </c>
      <c r="AI25" s="55">
        <f t="shared" si="15"/>
        <v>-3007.9951372575451</v>
      </c>
      <c r="AJ25" s="41">
        <f>'[2]побудинковий звіт'!AJ25+'[1]побудинковий звіт'!AJ25</f>
        <v>0</v>
      </c>
      <c r="AK25" s="41">
        <f>'[2]побудинковий звіт'!AK25+'[1]побудинковий звіт'!AK25</f>
        <v>0</v>
      </c>
      <c r="AL25" s="55">
        <f t="shared" si="16"/>
        <v>0</v>
      </c>
      <c r="AM25" s="41">
        <f>'[2]побудинковий звіт'!AM25+'[1]побудинковий звіт'!AM25</f>
        <v>0</v>
      </c>
      <c r="AN25" s="41">
        <f>'[2]побудинковий звіт'!AN25+'[1]побудинковий звіт'!AN25</f>
        <v>0</v>
      </c>
      <c r="AO25" s="55">
        <f t="shared" si="17"/>
        <v>0</v>
      </c>
      <c r="AP25" s="41">
        <f>'[2]побудинковий звіт'!AP25+'[1]побудинковий звіт'!AP25</f>
        <v>594.35876574312238</v>
      </c>
      <c r="AQ25" s="41">
        <f>'[2]побудинковий звіт'!AQ25+'[1]побудинковий звіт'!AQ25</f>
        <v>416.97745206508665</v>
      </c>
      <c r="AR25" s="55">
        <f t="shared" si="18"/>
        <v>-177.38131367803572</v>
      </c>
      <c r="AS25" s="41">
        <f>'[2]побудинковий звіт'!AS25+'[1]побудинковий звіт'!AS25</f>
        <v>27952.323021697004</v>
      </c>
      <c r="AT25" s="41">
        <f>'[2]побудинковий звіт'!AT25+'[1]побудинковий звіт'!AT25</f>
        <v>26490.114171712656</v>
      </c>
      <c r="AU25" s="57">
        <f t="shared" si="19"/>
        <v>-1462.2088499843485</v>
      </c>
      <c r="AV25" s="41">
        <f>'[2]побудинковий звіт'!AV25+'[1]побудинковий звіт'!AV25</f>
        <v>1249.8752551369043</v>
      </c>
      <c r="AW25" s="41">
        <f>'[2]побудинковий звіт'!AW25+'[1]побудинковий звіт'!AW25</f>
        <v>0</v>
      </c>
      <c r="AX25" s="58">
        <f t="shared" si="20"/>
        <v>-1249.8752551369043</v>
      </c>
      <c r="AY25" s="41">
        <f>'[2]побудинковий звіт'!AY25+'[1]побудинковий звіт'!AY25</f>
        <v>1690.5136245199094</v>
      </c>
      <c r="AZ25" s="41">
        <f>'[2]побудинковий звіт'!AZ25+'[1]побудинковий звіт'!AZ25</f>
        <v>0</v>
      </c>
      <c r="BA25" s="36">
        <f t="shared" si="21"/>
        <v>-1690.5136245199094</v>
      </c>
      <c r="BB25" s="41">
        <f>'[2]побудинковий звіт'!BB25+'[1]побудинковий звіт'!BB25</f>
        <v>1033.8483921872748</v>
      </c>
      <c r="BC25" s="41">
        <f>'[2]побудинковий звіт'!BC25+'[1]побудинковий звіт'!BC25</f>
        <v>0</v>
      </c>
      <c r="BD25" s="58">
        <f t="shared" si="22"/>
        <v>-1033.8483921872748</v>
      </c>
      <c r="BE25" s="41">
        <f>'[2]побудинковий звіт'!BE25+'[1]побудинковий звіт'!BE25</f>
        <v>577.35233872399101</v>
      </c>
      <c r="BF25" s="41">
        <f>'[2]побудинковий звіт'!BF25+'[1]побудинковий звіт'!BF25</f>
        <v>0</v>
      </c>
      <c r="BG25" s="38">
        <f t="shared" si="23"/>
        <v>-577.35233872399101</v>
      </c>
      <c r="BH25" s="41">
        <f>'[2]побудинковий звіт'!BH25+'[1]побудинковий звіт'!BH25</f>
        <v>203.72559138555351</v>
      </c>
      <c r="BI25" s="41">
        <f>'[2]побудинковий звіт'!BI25+'[1]побудинковий звіт'!BI25</f>
        <v>1922.676424476216</v>
      </c>
      <c r="BJ25" s="58">
        <f t="shared" si="24"/>
        <v>1718.9508330906624</v>
      </c>
      <c r="BK25" s="41">
        <f>'[2]побудинковий звіт'!BK25+'[1]побудинковий звіт'!BK25</f>
        <v>787.01496440650953</v>
      </c>
      <c r="BL25" s="41">
        <f>'[2]побудинковий звіт'!BL25+'[1]побудинковий звіт'!BL25</f>
        <v>7063.2690634830578</v>
      </c>
      <c r="BM25" s="38">
        <f t="shared" si="25"/>
        <v>6276.2540990765483</v>
      </c>
      <c r="BN25" s="41">
        <f>'[2]побудинковий звіт'!BN25+'[1]побудинковий звіт'!BN25</f>
        <v>198.96670059538883</v>
      </c>
      <c r="BO25" s="41">
        <f>'[2]побудинковий звіт'!BO25+'[1]побудинковий звіт'!BO25</f>
        <v>0</v>
      </c>
      <c r="BP25" s="58">
        <f t="shared" si="26"/>
        <v>-198.96670059538883</v>
      </c>
      <c r="BQ25" s="84">
        <f t="shared" si="27"/>
        <v>5741.2968669555312</v>
      </c>
      <c r="BR25" s="42">
        <f t="shared" si="28"/>
        <v>8985.945487959274</v>
      </c>
      <c r="BS25" s="58">
        <f t="shared" si="29"/>
        <v>3244.6486210037428</v>
      </c>
      <c r="BT25" s="41">
        <f>'[2]побудинковий звіт'!BT25+'[1]побудинковий звіт'!BT25</f>
        <v>30680.71109661747</v>
      </c>
      <c r="BU25" s="41">
        <f>'[2]побудинковий звіт'!BU25+'[1]побудинковий звіт'!BU25</f>
        <v>48444.686046879717</v>
      </c>
      <c r="BV25" s="55">
        <f t="shared" si="30"/>
        <v>17763.974950262247</v>
      </c>
      <c r="BW25" s="41">
        <f>'[2]побудинковий звіт'!BW25+'[1]побудинковий звіт'!BW25</f>
        <v>12675.990615328939</v>
      </c>
      <c r="BX25" s="41">
        <f>'[2]побудинковий звіт'!BX25+'[1]побудинковий звіт'!BX25</f>
        <v>14016.92088291954</v>
      </c>
      <c r="BY25" s="55">
        <f t="shared" si="31"/>
        <v>1340.9302675906001</v>
      </c>
      <c r="BZ25" s="41">
        <f>'[2]побудинковий звіт'!BZ25+'[1]побудинковий звіт'!BZ25</f>
        <v>13416.95775681809</v>
      </c>
      <c r="CA25" s="41">
        <f>'[2]побудинковий звіт'!CA25+'[1]побудинковий звіт'!CA25</f>
        <v>2774.340816270073</v>
      </c>
      <c r="CB25" s="55">
        <f t="shared" si="32"/>
        <v>-10642.616940548018</v>
      </c>
      <c r="CC25" s="41">
        <f>'[2]побудинковий звіт'!CC25+'[1]побудинковий звіт'!CC25</f>
        <v>977.14008954574695</v>
      </c>
      <c r="CD25" s="41">
        <f>'[2]побудинковий звіт'!CD25+'[1]побудинковий звіт'!CD25</f>
        <v>980.45346259560529</v>
      </c>
      <c r="CE25" s="55">
        <f t="shared" si="33"/>
        <v>3.3133730498583418</v>
      </c>
      <c r="CF25" s="41">
        <f>'[2]побудинковий звіт'!CF25+'[1]побудинковий звіт'!CF25</f>
        <v>121.06246341418505</v>
      </c>
      <c r="CG25" s="41">
        <f>'[2]побудинковий звіт'!CG25+'[1]побудинковий звіт'!CG25</f>
        <v>0</v>
      </c>
      <c r="CH25" s="55">
        <f t="shared" si="34"/>
        <v>-121.06246341418505</v>
      </c>
      <c r="CI25" s="41">
        <f>'[2]побудинковий звіт'!CI25+'[1]побудинковий звіт'!CI25</f>
        <v>3602.1465006849999</v>
      </c>
      <c r="CJ25" s="41">
        <f>'[2]побудинковий звіт'!CJ25+'[1]побудинковий звіт'!CJ25</f>
        <v>2057.6193733707032</v>
      </c>
      <c r="CK25" s="55">
        <f t="shared" si="35"/>
        <v>-1544.5271273142966</v>
      </c>
      <c r="CL25" s="41">
        <f>'[2]побудинковий звіт'!CL25+'[1]побудинковий звіт'!CL25</f>
        <v>0</v>
      </c>
      <c r="CM25" s="41">
        <f>'[2]побудинковий звіт'!CM25+'[1]побудинковий звіт'!CM25</f>
        <v>0</v>
      </c>
      <c r="CN25" s="55">
        <f t="shared" si="36"/>
        <v>0</v>
      </c>
      <c r="CO25" s="41">
        <f t="shared" si="37"/>
        <v>3602.1465006849999</v>
      </c>
      <c r="CP25" s="42">
        <f t="shared" si="38"/>
        <v>2057.6193733707032</v>
      </c>
      <c r="CQ25" s="55">
        <f t="shared" si="39"/>
        <v>-1544.5271273142966</v>
      </c>
      <c r="CR25" s="76">
        <f t="shared" si="40"/>
        <v>116727.76530436288</v>
      </c>
      <c r="CS25" s="5">
        <f t="shared" si="41"/>
        <v>122124.84068407289</v>
      </c>
      <c r="CT25" s="55">
        <f t="shared" si="42"/>
        <v>5397.0753797100042</v>
      </c>
      <c r="CU25" s="84">
        <f t="shared" si="43"/>
        <v>140073.31836523546</v>
      </c>
      <c r="CV25" s="68">
        <f t="shared" si="44"/>
        <v>146549.80882088747</v>
      </c>
      <c r="CW25" s="36">
        <f t="shared" si="45"/>
        <v>6476.490455652005</v>
      </c>
      <c r="CX25" s="41">
        <f>'[2]побудинковий звіт'!CX25+'[1]побудинковий звіт'!CX25</f>
        <v>2531.1230431289573</v>
      </c>
      <c r="CY25" s="41">
        <f>'[2]побудинковий звіт'!CY25+'[1]побудинковий звіт'!CY25</f>
        <v>-3945.3674125230673</v>
      </c>
      <c r="CZ25" s="55">
        <f t="shared" si="46"/>
        <v>-6476.490455652025</v>
      </c>
      <c r="DA25" s="254">
        <f>'[1]побудинковий звіт'!DA25</f>
        <v>-5071.9560352073713</v>
      </c>
      <c r="DB25" s="2">
        <v>1</v>
      </c>
      <c r="DC25" s="702">
        <f>'[1]побудинковий звіт'!DC25</f>
        <v>37964.18</v>
      </c>
      <c r="DD25" s="702">
        <f>'[1]побудинковий звіт'!DD25</f>
        <v>0</v>
      </c>
      <c r="DE25" s="702">
        <f>'[1]побудинковий звіт'!DE25</f>
        <v>22338.21</v>
      </c>
      <c r="DF25" s="702">
        <f>'[1]побудинковий звіт'!DF25</f>
        <v>0</v>
      </c>
      <c r="DG25" s="772">
        <v>-10736.074559050379</v>
      </c>
      <c r="DH25" s="746">
        <f t="shared" si="47"/>
        <v>1711253.296900373</v>
      </c>
      <c r="DI25" s="769"/>
      <c r="DJ25" s="5"/>
      <c r="DK25" s="307">
        <f>VLOOKUP($A25,ціни!$A$4:$G$401,5)</f>
        <v>7.0816261043675368</v>
      </c>
      <c r="DL25" s="307"/>
      <c r="DM25" s="307">
        <f>VLOOKUP($A25,ціни!$A$4:$G$401,7)</f>
        <v>6.3052884635276909</v>
      </c>
      <c r="DN25" s="29">
        <f t="shared" si="56"/>
        <v>11179.763130965031</v>
      </c>
      <c r="DO25" s="29">
        <f t="shared" si="57"/>
        <v>0</v>
      </c>
      <c r="DP25" s="306">
        <f t="shared" si="48"/>
        <v>11179.763130965031</v>
      </c>
      <c r="DQ25" s="101"/>
      <c r="DR25" s="29">
        <f>VLOOKUP(A25,'ДЗ нас '!$A$1:$C$359,2)</f>
        <v>11179.7</v>
      </c>
      <c r="DS25" s="733"/>
      <c r="DT25" s="29">
        <f t="shared" si="49"/>
        <v>11179.7</v>
      </c>
      <c r="DU25" s="247">
        <f>VLOOKUP(A25,'новий кошторис с 01.06'!$A$4:$AI$399,35)*1.2</f>
        <v>11201.901275778824</v>
      </c>
      <c r="DV25" s="29">
        <f t="shared" si="50"/>
        <v>-22.201275778823401</v>
      </c>
      <c r="DW25" s="1016">
        <f>'[2]побудинковий звіт'!$DW$9+'[1]побудинковий звіт'!DW25</f>
        <v>918</v>
      </c>
      <c r="DX25" s="101">
        <f>'[1]побудинковий звіт'!DX25</f>
        <v>0</v>
      </c>
      <c r="DY25" s="5">
        <f t="shared" si="51"/>
        <v>40432.343866383046</v>
      </c>
      <c r="DZ25" s="5">
        <f t="shared" si="52"/>
        <v>42571.27159160631</v>
      </c>
      <c r="EA25" s="737">
        <f t="shared" si="53"/>
        <v>22338.21</v>
      </c>
      <c r="EC25" s="577">
        <f t="shared" si="54"/>
        <v>335427.87626036408</v>
      </c>
      <c r="EE25" s="743">
        <v>66051</v>
      </c>
      <c r="EF25" s="723">
        <f t="shared" si="55"/>
        <v>55314.925440949621</v>
      </c>
      <c r="EH25" s="798">
        <v>15337.75826735891</v>
      </c>
      <c r="EI25" s="101">
        <f>VLOOKUP(A25,'кошти 01.01.24'!$A$9:$D$352,4,FALSE)</f>
        <v>-11548.446490859375</v>
      </c>
    </row>
    <row r="26" spans="1:139" hidden="1" x14ac:dyDescent="0.3">
      <c r="A26" s="318">
        <v>150000837</v>
      </c>
      <c r="B26" s="43" t="s">
        <v>725</v>
      </c>
      <c r="C26" s="44" t="s">
        <v>1768</v>
      </c>
      <c r="D26" s="44" t="s">
        <v>199</v>
      </c>
      <c r="E26" s="39">
        <f t="shared" si="4"/>
        <v>631.1</v>
      </c>
      <c r="F26" s="205">
        <f>'[1]побудинковий звіт'!F26</f>
        <v>525.20000000000005</v>
      </c>
      <c r="G26" s="29">
        <f>'[1]побудинковий звіт'!G26</f>
        <v>0</v>
      </c>
      <c r="H26" s="148">
        <f>'[1]побудинковий звіт'!H26</f>
        <v>105.9</v>
      </c>
      <c r="I26" s="41">
        <f>'[2]побудинковий звіт'!I26+'[1]побудинковий звіт'!I26</f>
        <v>2948.4258837789307</v>
      </c>
      <c r="J26" s="41">
        <f>'[2]побудинковий звіт'!J26+'[1]побудинковий звіт'!J26</f>
        <v>2361.2206048910807</v>
      </c>
      <c r="K26" s="55">
        <f t="shared" si="5"/>
        <v>-587.20527888785</v>
      </c>
      <c r="L26" s="41">
        <f>'[2]побудинковий звіт'!L26+'[1]побудинковий звіт'!L26</f>
        <v>445.99506648075567</v>
      </c>
      <c r="M26" s="41">
        <f>'[2]побудинковий звіт'!M26+'[1]побудинковий звіт'!M26</f>
        <v>412.39148600704573</v>
      </c>
      <c r="N26" s="55">
        <f t="shared" si="6"/>
        <v>-33.60358047370994</v>
      </c>
      <c r="O26" s="41">
        <f>'[2]побудинковий звіт'!O26+'[1]побудинковий звіт'!O26</f>
        <v>851.85659367382664</v>
      </c>
      <c r="P26" s="41">
        <f>'[2]побудинковий звіт'!P26+'[1]побудинковий звіт'!P26</f>
        <v>854.30360737595777</v>
      </c>
      <c r="Q26" s="55">
        <f t="shared" si="7"/>
        <v>2.4470137021311302</v>
      </c>
      <c r="R26" s="41">
        <f>'[2]побудинковий звіт'!R26+'[1]побудинковий звіт'!R26</f>
        <v>0</v>
      </c>
      <c r="S26" s="41">
        <f>'[2]побудинковий звіт'!S26+'[1]побудинковий звіт'!S26</f>
        <v>0</v>
      </c>
      <c r="T26" s="55">
        <f t="shared" si="8"/>
        <v>0</v>
      </c>
      <c r="U26" s="41">
        <f>'[2]побудинковий звіт'!U26+'[1]побудинковий звіт'!U26</f>
        <v>70.163237094531439</v>
      </c>
      <c r="V26" s="41">
        <f>'[2]побудинковий звіт'!V26+'[1]побудинковий звіт'!V26</f>
        <v>40.479221573997577</v>
      </c>
      <c r="W26" s="55">
        <f t="shared" si="9"/>
        <v>-29.684015520533862</v>
      </c>
      <c r="X26" s="41">
        <f>'[2]побудинковий звіт'!X26+'[1]побудинковий звіт'!X26</f>
        <v>1551.6810490929618</v>
      </c>
      <c r="Y26" s="41">
        <f>'[2]побудинковий звіт'!Y26+'[1]побудинковий звіт'!Y26</f>
        <v>941.41989417604839</v>
      </c>
      <c r="Z26" s="55">
        <f t="shared" si="10"/>
        <v>-610.26115491691337</v>
      </c>
      <c r="AA26" s="41">
        <f>'[2]побудинковий звіт'!AA26+'[1]побудинковий звіт'!AA26</f>
        <v>0</v>
      </c>
      <c r="AB26" s="41">
        <f>'[2]побудинковий звіт'!AB26+'[1]побудинковий звіт'!AB26</f>
        <v>0</v>
      </c>
      <c r="AC26" s="55">
        <f t="shared" si="11"/>
        <v>0</v>
      </c>
      <c r="AD26" s="41">
        <f>'[2]побудинковий звіт'!AD26+'[1]побудинковий звіт'!AD26</f>
        <v>2737.277706699495</v>
      </c>
      <c r="AE26" s="41">
        <f>'[2]побудинковий звіт'!AE26+'[1]побудинковий звіт'!AE26</f>
        <v>2726.6316936793528</v>
      </c>
      <c r="AF26" s="36">
        <f t="shared" si="12"/>
        <v>-10.646013020142163</v>
      </c>
      <c r="AG26" s="84">
        <f t="shared" si="13"/>
        <v>8605.3995368205015</v>
      </c>
      <c r="AH26" s="56">
        <f t="shared" si="14"/>
        <v>7336.4465077034829</v>
      </c>
      <c r="AI26" s="55">
        <f t="shared" si="15"/>
        <v>-1268.9530291170186</v>
      </c>
      <c r="AJ26" s="41">
        <f>'[2]побудинковий звіт'!AJ26+'[1]побудинковий звіт'!AJ26</f>
        <v>0</v>
      </c>
      <c r="AK26" s="41">
        <f>'[2]побудинковий звіт'!AK26+'[1]побудинковий звіт'!AK26</f>
        <v>0</v>
      </c>
      <c r="AL26" s="55">
        <f t="shared" si="16"/>
        <v>0</v>
      </c>
      <c r="AM26" s="41">
        <f>'[2]побудинковий звіт'!AM26+'[1]побудинковий звіт'!AM26</f>
        <v>0</v>
      </c>
      <c r="AN26" s="41">
        <f>'[2]побудинковий звіт'!AN26+'[1]побудинковий звіт'!AN26</f>
        <v>0</v>
      </c>
      <c r="AO26" s="55">
        <f t="shared" si="17"/>
        <v>0</v>
      </c>
      <c r="AP26" s="41">
        <f>'[2]побудинковий звіт'!AP26+'[1]побудинковий звіт'!AP26</f>
        <v>1634.4866057935865</v>
      </c>
      <c r="AQ26" s="41">
        <f>'[2]побудинковий звіт'!AQ26+'[1]побудинковий звіт'!AQ26</f>
        <v>1366.9255387242342</v>
      </c>
      <c r="AR26" s="55">
        <f t="shared" si="18"/>
        <v>-267.56106706935225</v>
      </c>
      <c r="AS26" s="41">
        <f>'[2]побудинковий звіт'!AS26+'[1]побудинковий звіт'!AS26</f>
        <v>5456.8263486916721</v>
      </c>
      <c r="AT26" s="41">
        <f>'[2]побудинковий звіт'!AT26+'[1]побудинковий звіт'!AT26</f>
        <v>748.45877909033675</v>
      </c>
      <c r="AU26" s="57">
        <f t="shared" si="19"/>
        <v>-4708.3675696013352</v>
      </c>
      <c r="AV26" s="41">
        <f>'[2]побудинковий звіт'!AV26+'[1]побудинковий звіт'!AV26</f>
        <v>539.40835468926559</v>
      </c>
      <c r="AW26" s="41">
        <f>'[2]побудинковий звіт'!AW26+'[1]побудинковий звіт'!AW26</f>
        <v>0</v>
      </c>
      <c r="AX26" s="58">
        <f t="shared" si="20"/>
        <v>-539.40835468926559</v>
      </c>
      <c r="AY26" s="41">
        <f>'[2]побудинковий звіт'!AY26+'[1]побудинковий звіт'!AY26</f>
        <v>537.11978344103863</v>
      </c>
      <c r="AZ26" s="41">
        <f>'[2]побудинковий звіт'!AZ26+'[1]побудинковий звіт'!AZ26</f>
        <v>0</v>
      </c>
      <c r="BA26" s="36">
        <f t="shared" si="21"/>
        <v>-537.11978344103863</v>
      </c>
      <c r="BB26" s="41">
        <f>'[2]побудинковий звіт'!BB26+'[1]побудинковий звіт'!BB26</f>
        <v>393.13263552803664</v>
      </c>
      <c r="BC26" s="41">
        <f>'[2]побудинковий звіт'!BC26+'[1]побудинковий звіт'!BC26</f>
        <v>0</v>
      </c>
      <c r="BD26" s="58">
        <f t="shared" si="22"/>
        <v>-393.13263552803664</v>
      </c>
      <c r="BE26" s="41">
        <f>'[2]побудинковий звіт'!BE26+'[1]побудинковий звіт'!BE26</f>
        <v>0</v>
      </c>
      <c r="BF26" s="41">
        <f>'[2]побудинковий звіт'!BF26+'[1]побудинковий звіт'!BF26</f>
        <v>0</v>
      </c>
      <c r="BG26" s="38">
        <f t="shared" si="23"/>
        <v>0</v>
      </c>
      <c r="BH26" s="41">
        <f>'[2]побудинковий звіт'!BH26+'[1]побудинковий звіт'!BH26</f>
        <v>41.352407989287386</v>
      </c>
      <c r="BI26" s="41">
        <f>'[2]побудинковий звіт'!BI26+'[1]побудинковий звіт'!BI26</f>
        <v>305.83164913890846</v>
      </c>
      <c r="BJ26" s="58">
        <f t="shared" si="24"/>
        <v>264.47924114962109</v>
      </c>
      <c r="BK26" s="41">
        <f>'[2]побудинковий звіт'!BK26+'[1]побудинковий звіт'!BK26</f>
        <v>335.96018058365229</v>
      </c>
      <c r="BL26" s="41">
        <f>'[2]побудинковий звіт'!BL26+'[1]побудинковий звіт'!BL26</f>
        <v>0</v>
      </c>
      <c r="BM26" s="38">
        <f t="shared" si="25"/>
        <v>-335.96018058365229</v>
      </c>
      <c r="BN26" s="41">
        <f>'[2]побудинковий звіт'!BN26+'[1]побудинковий звіт'!BN26</f>
        <v>93.951634431458402</v>
      </c>
      <c r="BO26" s="41">
        <f>'[2]побудинковий звіт'!BO26+'[1]побудинковий звіт'!BO26</f>
        <v>0</v>
      </c>
      <c r="BP26" s="58">
        <f t="shared" si="26"/>
        <v>-93.951634431458402</v>
      </c>
      <c r="BQ26" s="84">
        <f t="shared" si="27"/>
        <v>1940.9249966627392</v>
      </c>
      <c r="BR26" s="42">
        <f t="shared" si="28"/>
        <v>305.83164913890846</v>
      </c>
      <c r="BS26" s="58">
        <f t="shared" si="29"/>
        <v>-1635.0933475238307</v>
      </c>
      <c r="BT26" s="41">
        <f>'[2]побудинковий звіт'!BT26+'[1]побудинковий звіт'!BT26</f>
        <v>10055.809908261337</v>
      </c>
      <c r="BU26" s="41">
        <f>'[2]побудинковий звіт'!BU26+'[1]побудинковий звіт'!BU26</f>
        <v>20200.425785260235</v>
      </c>
      <c r="BV26" s="55">
        <f t="shared" si="30"/>
        <v>10144.615876998898</v>
      </c>
      <c r="BW26" s="41">
        <f>'[2]побудинковий звіт'!BW26+'[1]побудинковий звіт'!BW26</f>
        <v>4431.8044731946202</v>
      </c>
      <c r="BX26" s="41">
        <f>'[2]побудинковий звіт'!BX26+'[1]побудинковий звіт'!BX26</f>
        <v>5671.5773303817068</v>
      </c>
      <c r="BY26" s="55">
        <f t="shared" si="31"/>
        <v>1239.7728571870866</v>
      </c>
      <c r="BZ26" s="41">
        <f>'[2]побудинковий звіт'!BZ26+'[1]побудинковий звіт'!BZ26</f>
        <v>4025.0873270454258</v>
      </c>
      <c r="CA26" s="41">
        <f>'[2]побудинковий звіт'!CA26+'[1]побудинковий звіт'!CA26</f>
        <v>1441.443536412256</v>
      </c>
      <c r="CB26" s="55">
        <f t="shared" si="32"/>
        <v>-2583.6437906331698</v>
      </c>
      <c r="CC26" s="41">
        <f>'[2]побудинковий звіт'!CC26+'[1]побудинковий звіт'!CC26</f>
        <v>0</v>
      </c>
      <c r="CD26" s="41">
        <f>'[2]побудинковий звіт'!CD26+'[1]побудинковий звіт'!CD26</f>
        <v>0</v>
      </c>
      <c r="CE26" s="55">
        <f t="shared" si="33"/>
        <v>0</v>
      </c>
      <c r="CF26" s="41">
        <f>'[2]побудинковий звіт'!CF26+'[1]побудинковий звіт'!CF26</f>
        <v>0</v>
      </c>
      <c r="CG26" s="41">
        <f>'[2]побудинковий звіт'!CG26+'[1]побудинковий звіт'!CG26</f>
        <v>0</v>
      </c>
      <c r="CH26" s="55">
        <f t="shared" si="34"/>
        <v>0</v>
      </c>
      <c r="CI26" s="41">
        <f>'[2]побудинковий звіт'!CI26+'[1]побудинковий звіт'!CI26</f>
        <v>591.8045669219332</v>
      </c>
      <c r="CJ26" s="41">
        <f>'[2]побудинковий звіт'!CJ26+'[1]побудинковий звіт'!CJ26</f>
        <v>824.6562833494753</v>
      </c>
      <c r="CK26" s="55">
        <f t="shared" si="35"/>
        <v>232.8517164275421</v>
      </c>
      <c r="CL26" s="41">
        <f>'[2]побудинковий звіт'!CL26+'[1]побудинковий звіт'!CL26</f>
        <v>0</v>
      </c>
      <c r="CM26" s="41">
        <f>'[2]побудинковий звіт'!CM26+'[1]побудинковий звіт'!CM26</f>
        <v>0</v>
      </c>
      <c r="CN26" s="55">
        <f t="shared" si="36"/>
        <v>0</v>
      </c>
      <c r="CO26" s="41">
        <f t="shared" si="37"/>
        <v>591.8045669219332</v>
      </c>
      <c r="CP26" s="42">
        <f t="shared" si="38"/>
        <v>824.6562833494753</v>
      </c>
      <c r="CQ26" s="55">
        <f t="shared" si="39"/>
        <v>232.8517164275421</v>
      </c>
      <c r="CR26" s="76">
        <f t="shared" si="40"/>
        <v>36742.143763391818</v>
      </c>
      <c r="CS26" s="5">
        <f t="shared" si="41"/>
        <v>37895.765410060631</v>
      </c>
      <c r="CT26" s="55">
        <f t="shared" si="42"/>
        <v>1153.6216466688129</v>
      </c>
      <c r="CU26" s="84">
        <f t="shared" si="43"/>
        <v>44090.572516070177</v>
      </c>
      <c r="CV26" s="68">
        <f t="shared" si="44"/>
        <v>45474.918492072757</v>
      </c>
      <c r="CW26" s="36">
        <f t="shared" si="45"/>
        <v>1384.3459760025798</v>
      </c>
      <c r="CX26" s="41">
        <f>'[2]побудинковий звіт'!CX26+'[1]побудинковий звіт'!CX26</f>
        <v>442.36119133895158</v>
      </c>
      <c r="CY26" s="41">
        <f>'[2]побудинковий звіт'!CY26+'[1]побудинковий звіт'!CY26</f>
        <v>-941.9847846636294</v>
      </c>
      <c r="CZ26" s="55">
        <f t="shared" si="46"/>
        <v>-1384.345976002581</v>
      </c>
      <c r="DA26" s="254">
        <f>'[1]побудинковий звіт'!DA26</f>
        <v>20547.909589613948</v>
      </c>
      <c r="DB26" s="2">
        <v>1</v>
      </c>
      <c r="DC26" s="702">
        <f>'[1]побудинковий звіт'!DC26</f>
        <v>4151.0200000000004</v>
      </c>
      <c r="DD26" s="702">
        <f>'[1]побудинковий звіт'!DD26</f>
        <v>911.57</v>
      </c>
      <c r="DE26" s="702">
        <f>'[1]побудинковий звіт'!DE26</f>
        <v>0</v>
      </c>
      <c r="DF26" s="702">
        <f>'[1]побудинковий звіт'!DF26</f>
        <v>171.92000000000007</v>
      </c>
      <c r="DG26" s="772">
        <v>17805.584158903279</v>
      </c>
      <c r="DH26" s="746">
        <f t="shared" si="47"/>
        <v>534395.20448890957</v>
      </c>
      <c r="DI26" s="769"/>
      <c r="DJ26" s="5"/>
      <c r="DK26" s="307">
        <f>VLOOKUP($A26,ціни!$A$4:$G$401,5)</f>
        <v>5.6693432290313046</v>
      </c>
      <c r="DL26" s="307"/>
      <c r="DM26" s="307">
        <f>VLOOKUP($A26,ціни!$A$4:$G$401,7)</f>
        <v>4.8314762905949848</v>
      </c>
      <c r="DN26" s="29">
        <f t="shared" si="56"/>
        <v>2977.5390638872414</v>
      </c>
      <c r="DO26" s="29">
        <f t="shared" si="57"/>
        <v>511.65333917400892</v>
      </c>
      <c r="DP26" s="306">
        <f t="shared" si="48"/>
        <v>3489.1924030612504</v>
      </c>
      <c r="DQ26" s="101"/>
      <c r="DR26" s="29">
        <f>VLOOKUP(A26,'ДЗ нас '!$A$1:$C$359,2)</f>
        <v>2977.53</v>
      </c>
      <c r="DS26" s="733">
        <f>VLOOKUP(A26,'ДЗ нежит'!$A$1:$D$153,4,0)</f>
        <v>511.65</v>
      </c>
      <c r="DT26" s="29">
        <f t="shared" si="49"/>
        <v>3489.1800000000003</v>
      </c>
      <c r="DU26" s="247">
        <f>VLOOKUP(A26,'новий кошторис с 01.06'!$A$4:$AI$399,35)*1.2</f>
        <v>3489.1924030612504</v>
      </c>
      <c r="DV26" s="29">
        <f t="shared" si="50"/>
        <v>-1.240306125009738E-2</v>
      </c>
      <c r="DW26" s="1016">
        <f>'[2]побудинковий звіт'!$DW$9+'[1]побудинковий звіт'!DW26</f>
        <v>918</v>
      </c>
      <c r="DX26" s="101">
        <f>'[1]побудинковий звіт'!DX26</f>
        <v>0</v>
      </c>
      <c r="DY26" s="5">
        <f t="shared" si="51"/>
        <v>8877.3016144252942</v>
      </c>
      <c r="DZ26" s="5">
        <f t="shared" si="52"/>
        <v>1265.1485138750943</v>
      </c>
      <c r="EA26" s="737">
        <f t="shared" si="53"/>
        <v>171.92000000000007</v>
      </c>
      <c r="EC26" s="577">
        <f t="shared" si="54"/>
        <v>65481.916184300062</v>
      </c>
      <c r="EE26" s="743">
        <v>490</v>
      </c>
      <c r="EF26" s="723">
        <f t="shared" si="55"/>
        <v>18295.584158903279</v>
      </c>
      <c r="EH26" s="798">
        <v>18152.321647803758</v>
      </c>
      <c r="EI26" s="101">
        <f>VLOOKUP(A26,'кошти 01.01.24'!$A$9:$D$352,4,FALSE)</f>
        <v>19163.563613611368</v>
      </c>
    </row>
    <row r="27" spans="1:139" ht="14.4" hidden="1" customHeight="1" x14ac:dyDescent="0.3">
      <c r="A27" s="318">
        <v>150000839</v>
      </c>
      <c r="B27" s="43" t="s">
        <v>726</v>
      </c>
      <c r="C27" s="44" t="s">
        <v>1769</v>
      </c>
      <c r="D27" s="44" t="s">
        <v>135</v>
      </c>
      <c r="E27" s="39">
        <f t="shared" si="4"/>
        <v>128.19999999999999</v>
      </c>
      <c r="F27" s="205">
        <f>'[1]побудинковий звіт'!F27</f>
        <v>128.19999999999999</v>
      </c>
      <c r="G27" s="29">
        <f>'[1]побудинковий звіт'!G27</f>
        <v>0</v>
      </c>
      <c r="H27" s="148">
        <f>'[1]побудинковий звіт'!H27</f>
        <v>0</v>
      </c>
      <c r="I27" s="41">
        <f>'[2]побудинковий звіт'!I27+'[1]побудинковий звіт'!I27</f>
        <v>0</v>
      </c>
      <c r="J27" s="41">
        <f>'[2]побудинковий звіт'!J27+'[1]побудинковий звіт'!J27</f>
        <v>0</v>
      </c>
      <c r="K27" s="55">
        <f t="shared" si="5"/>
        <v>0</v>
      </c>
      <c r="L27" s="41">
        <f>'[2]побудинковий звіт'!L27+'[1]побудинковий звіт'!L27</f>
        <v>0</v>
      </c>
      <c r="M27" s="41">
        <f>'[2]побудинковий звіт'!M27+'[1]побудинковий звіт'!M27</f>
        <v>0</v>
      </c>
      <c r="N27" s="55">
        <f t="shared" si="6"/>
        <v>0</v>
      </c>
      <c r="O27" s="41">
        <f>'[2]побудинковий звіт'!O27+'[1]побудинковий звіт'!O27</f>
        <v>0</v>
      </c>
      <c r="P27" s="41">
        <f>'[2]побудинковий звіт'!P27+'[1]побудинковий звіт'!P27</f>
        <v>0</v>
      </c>
      <c r="Q27" s="55">
        <f t="shared" si="7"/>
        <v>0</v>
      </c>
      <c r="R27" s="41">
        <f>'[2]побудинковий звіт'!R27+'[1]побудинковий звіт'!R27</f>
        <v>0</v>
      </c>
      <c r="S27" s="41">
        <f>'[2]побудинковий звіт'!S27+'[1]побудинковий звіт'!S27</f>
        <v>0</v>
      </c>
      <c r="T27" s="55">
        <f t="shared" si="8"/>
        <v>0</v>
      </c>
      <c r="U27" s="41">
        <f>'[2]побудинковий звіт'!U27+'[1]побудинковий звіт'!U27</f>
        <v>0</v>
      </c>
      <c r="V27" s="41">
        <f>'[2]побудинковий звіт'!V27+'[1]побудинковий звіт'!V27</f>
        <v>0</v>
      </c>
      <c r="W27" s="55">
        <f t="shared" si="9"/>
        <v>0</v>
      </c>
      <c r="X27" s="41">
        <f>'[2]побудинковий звіт'!X27+'[1]побудинковий звіт'!X27</f>
        <v>0</v>
      </c>
      <c r="Y27" s="41">
        <f>'[2]побудинковий звіт'!Y27+'[1]побудинковий звіт'!Y27</f>
        <v>0</v>
      </c>
      <c r="Z27" s="55">
        <f t="shared" si="10"/>
        <v>0</v>
      </c>
      <c r="AA27" s="41">
        <f>'[2]побудинковий звіт'!AA27+'[1]побудинковий звіт'!AA27</f>
        <v>0</v>
      </c>
      <c r="AB27" s="41">
        <f>'[2]побудинковий звіт'!AB27+'[1]побудинковий звіт'!AB27</f>
        <v>0</v>
      </c>
      <c r="AC27" s="55">
        <f t="shared" si="11"/>
        <v>0</v>
      </c>
      <c r="AD27" s="41">
        <f>'[2]побудинковий звіт'!AD27+'[1]побудинковий звіт'!AD27</f>
        <v>0</v>
      </c>
      <c r="AE27" s="41">
        <f>'[2]побудинковий звіт'!AE27+'[1]побудинковий звіт'!AE27</f>
        <v>0</v>
      </c>
      <c r="AF27" s="36">
        <f t="shared" si="12"/>
        <v>0</v>
      </c>
      <c r="AG27" s="84">
        <f t="shared" si="13"/>
        <v>0</v>
      </c>
      <c r="AH27" s="56">
        <f t="shared" si="14"/>
        <v>0</v>
      </c>
      <c r="AI27" s="55">
        <f t="shared" si="15"/>
        <v>0</v>
      </c>
      <c r="AJ27" s="41">
        <f>'[2]побудинковий звіт'!AJ27+'[1]побудинковий звіт'!AJ27</f>
        <v>0</v>
      </c>
      <c r="AK27" s="41">
        <f>'[2]побудинковий звіт'!AK27+'[1]побудинковий звіт'!AK27</f>
        <v>0</v>
      </c>
      <c r="AL27" s="55">
        <f t="shared" si="16"/>
        <v>0</v>
      </c>
      <c r="AM27" s="41">
        <f>'[2]побудинковий звіт'!AM27+'[1]побудинковий звіт'!AM27</f>
        <v>0</v>
      </c>
      <c r="AN27" s="41">
        <f>'[2]побудинковий звіт'!AN27+'[1]побудинковий звіт'!AN27</f>
        <v>0</v>
      </c>
      <c r="AO27" s="55">
        <f t="shared" si="17"/>
        <v>0</v>
      </c>
      <c r="AP27" s="41">
        <f>'[2]побудинковий звіт'!AP27+'[1]побудинковий звіт'!AP27</f>
        <v>445.76907430734178</v>
      </c>
      <c r="AQ27" s="41">
        <f>'[2]побудинковий звіт'!AQ27+'[1]побудинковий звіт'!AQ27</f>
        <v>422.82210167448136</v>
      </c>
      <c r="AR27" s="55">
        <f t="shared" si="18"/>
        <v>-22.946972632860422</v>
      </c>
      <c r="AS27" s="41">
        <f>'[2]побудинковий звіт'!AS27+'[1]побудинковий звіт'!AS27</f>
        <v>2493.7413299148056</v>
      </c>
      <c r="AT27" s="41">
        <f>'[2]побудинковий звіт'!AT27+'[1]побудинковий звіт'!AT27</f>
        <v>0</v>
      </c>
      <c r="AU27" s="57">
        <f t="shared" si="19"/>
        <v>-2493.7413299148056</v>
      </c>
      <c r="AV27" s="41">
        <f>'[2]побудинковий звіт'!AV27+'[1]побудинковий звіт'!AV27</f>
        <v>0</v>
      </c>
      <c r="AW27" s="41">
        <f>'[2]побудинковий звіт'!AW27+'[1]побудинковий звіт'!AW27</f>
        <v>0</v>
      </c>
      <c r="AX27" s="58">
        <f t="shared" si="20"/>
        <v>0</v>
      </c>
      <c r="AY27" s="41">
        <f>'[2]побудинковий звіт'!AY27+'[1]побудинковий звіт'!AY27</f>
        <v>0</v>
      </c>
      <c r="AZ27" s="41">
        <f>'[2]побудинковий звіт'!AZ27+'[1]побудинковий звіт'!AZ27</f>
        <v>0</v>
      </c>
      <c r="BA27" s="36">
        <f t="shared" si="21"/>
        <v>0</v>
      </c>
      <c r="BB27" s="41">
        <f>'[2]побудинковий звіт'!BB27+'[1]побудинковий звіт'!BB27</f>
        <v>0</v>
      </c>
      <c r="BC27" s="41">
        <f>'[2]побудинковий звіт'!BC27+'[1]побудинковий звіт'!BC27</f>
        <v>0</v>
      </c>
      <c r="BD27" s="58">
        <f t="shared" si="22"/>
        <v>0</v>
      </c>
      <c r="BE27" s="41">
        <f>'[2]побудинковий звіт'!BE27+'[1]побудинковий звіт'!BE27</f>
        <v>0</v>
      </c>
      <c r="BF27" s="41">
        <f>'[2]побудинковий звіт'!BF27+'[1]побудинковий звіт'!BF27</f>
        <v>0</v>
      </c>
      <c r="BG27" s="38">
        <f t="shared" si="23"/>
        <v>0</v>
      </c>
      <c r="BH27" s="41">
        <f>'[2]побудинковий звіт'!BH27+'[1]побудинковий звіт'!BH27</f>
        <v>0</v>
      </c>
      <c r="BI27" s="41">
        <f>'[2]побудинковий звіт'!BI27+'[1]побудинковий звіт'!BI27</f>
        <v>0</v>
      </c>
      <c r="BJ27" s="58">
        <f t="shared" si="24"/>
        <v>0</v>
      </c>
      <c r="BK27" s="41">
        <f>'[2]побудинковий звіт'!BK27+'[1]побудинковий звіт'!BK27</f>
        <v>0</v>
      </c>
      <c r="BL27" s="41">
        <f>'[2]побудинковий звіт'!BL27+'[1]побудинковий звіт'!BL27</f>
        <v>0</v>
      </c>
      <c r="BM27" s="38">
        <f t="shared" si="25"/>
        <v>0</v>
      </c>
      <c r="BN27" s="41">
        <f>'[2]побудинковий звіт'!BN27+'[1]побудинковий звіт'!BN27</f>
        <v>0</v>
      </c>
      <c r="BO27" s="41">
        <f>'[2]побудинковий звіт'!BO27+'[1]побудинковий звіт'!BO27</f>
        <v>0</v>
      </c>
      <c r="BP27" s="58">
        <f t="shared" si="26"/>
        <v>0</v>
      </c>
      <c r="BQ27" s="84">
        <f t="shared" si="27"/>
        <v>0</v>
      </c>
      <c r="BR27" s="42">
        <f t="shared" si="28"/>
        <v>0</v>
      </c>
      <c r="BS27" s="58">
        <f t="shared" si="29"/>
        <v>0</v>
      </c>
      <c r="BT27" s="41">
        <f>'[2]побудинковий звіт'!BT27+'[1]побудинковий звіт'!BT27</f>
        <v>242.88666598645889</v>
      </c>
      <c r="BU27" s="41">
        <f>'[2]побудинковий звіт'!BU27+'[1]побудинковий звіт'!BU27</f>
        <v>1318.4968794928902</v>
      </c>
      <c r="BV27" s="55">
        <f t="shared" si="30"/>
        <v>1075.6102135064314</v>
      </c>
      <c r="BW27" s="41">
        <f>'[2]побудинковий звіт'!BW27+'[1]побудинковий звіт'!BW27</f>
        <v>0</v>
      </c>
      <c r="BX27" s="41">
        <f>'[2]побудинковий звіт'!BX27+'[1]побудинковий звіт'!BX27</f>
        <v>0.52181145865374878</v>
      </c>
      <c r="BY27" s="55">
        <f t="shared" si="31"/>
        <v>0.52181145865374878</v>
      </c>
      <c r="BZ27" s="41">
        <f>'[2]побудинковий звіт'!BZ27+'[1]побудинковий звіт'!BZ27</f>
        <v>47.746287072113034</v>
      </c>
      <c r="CA27" s="41">
        <f>'[2]побудинковий звіт'!CA27+'[1]побудинковий звіт'!CA27</f>
        <v>110.1873775854276</v>
      </c>
      <c r="CB27" s="55">
        <f t="shared" si="32"/>
        <v>62.441090513314563</v>
      </c>
      <c r="CC27" s="41">
        <f>'[2]побудинковий звіт'!CC27+'[1]побудинковий звіт'!CC27</f>
        <v>0</v>
      </c>
      <c r="CD27" s="41">
        <f>'[2]побудинковий звіт'!CD27+'[1]побудинковий звіт'!CD27</f>
        <v>0</v>
      </c>
      <c r="CE27" s="55">
        <f t="shared" si="33"/>
        <v>0</v>
      </c>
      <c r="CF27" s="41">
        <f>'[2]побудинковий звіт'!CF27+'[1]побудинковий звіт'!CF27</f>
        <v>0</v>
      </c>
      <c r="CG27" s="41">
        <f>'[2]побудинковий звіт'!CG27+'[1]побудинковий звіт'!CG27</f>
        <v>0</v>
      </c>
      <c r="CH27" s="55">
        <f t="shared" si="34"/>
        <v>0</v>
      </c>
      <c r="CI27" s="41">
        <f>'[2]побудинковий звіт'!CI27+'[1]побудинковий звіт'!CI27</f>
        <v>0</v>
      </c>
      <c r="CJ27" s="41">
        <f>'[2]побудинковий звіт'!CJ27+'[1]побудинковий звіт'!CJ27</f>
        <v>0</v>
      </c>
      <c r="CK27" s="55">
        <f t="shared" si="35"/>
        <v>0</v>
      </c>
      <c r="CL27" s="41">
        <f>'[2]побудинковий звіт'!CL27+'[1]побудинковий звіт'!CL27</f>
        <v>0</v>
      </c>
      <c r="CM27" s="41">
        <f>'[2]побудинковий звіт'!CM27+'[1]побудинковий звіт'!CM27</f>
        <v>0</v>
      </c>
      <c r="CN27" s="55">
        <f t="shared" si="36"/>
        <v>0</v>
      </c>
      <c r="CO27" s="41">
        <f t="shared" si="37"/>
        <v>0</v>
      </c>
      <c r="CP27" s="42">
        <f t="shared" si="38"/>
        <v>0</v>
      </c>
      <c r="CQ27" s="55">
        <f t="shared" si="39"/>
        <v>0</v>
      </c>
      <c r="CR27" s="76">
        <f t="shared" si="40"/>
        <v>3230.1433572807191</v>
      </c>
      <c r="CS27" s="5">
        <f t="shared" si="41"/>
        <v>1852.0281702114528</v>
      </c>
      <c r="CT27" s="55">
        <f t="shared" si="42"/>
        <v>-1378.1151870692663</v>
      </c>
      <c r="CU27" s="84">
        <f t="shared" si="43"/>
        <v>3876.1720287368626</v>
      </c>
      <c r="CV27" s="68">
        <f t="shared" si="44"/>
        <v>2222.4338042537433</v>
      </c>
      <c r="CW27" s="36">
        <f t="shared" si="45"/>
        <v>-1653.7382244831192</v>
      </c>
      <c r="CX27" s="41">
        <f>'[2]побудинковий звіт'!CX27+'[1]побудинковий звіт'!CX27</f>
        <v>85.834833429366199</v>
      </c>
      <c r="CY27" s="41">
        <f>'[2]побудинковий звіт'!CY27+'[1]побудинковий звіт'!CY27</f>
        <v>1739.5730579124863</v>
      </c>
      <c r="CZ27" s="55">
        <f t="shared" si="46"/>
        <v>1653.7382244831201</v>
      </c>
      <c r="DA27" s="254">
        <f>'[1]побудинковий звіт'!DA27</f>
        <v>-7721.5106202605257</v>
      </c>
      <c r="DB27" s="2">
        <v>1</v>
      </c>
      <c r="DC27" s="702">
        <f>'[1]побудинковий звіт'!DC27</f>
        <v>-6848.14</v>
      </c>
      <c r="DD27" s="702">
        <f>'[1]побудинковий звіт'!DD27</f>
        <v>0</v>
      </c>
      <c r="DE27" s="702">
        <f>'[1]побудинковий звіт'!DE27</f>
        <v>-7285.9400000000005</v>
      </c>
      <c r="DF27" s="702">
        <f>'[1]побудинковий звіт'!DF27</f>
        <v>0</v>
      </c>
      <c r="DG27" s="772">
        <v>-3128.0257647512562</v>
      </c>
      <c r="DH27" s="746">
        <f t="shared" si="47"/>
        <v>47544.082345994742</v>
      </c>
      <c r="DI27" s="769"/>
      <c r="DJ27" s="5"/>
      <c r="DK27" s="307">
        <f>VLOOKUP($A27,ціни!$A$4:$G$401,5)</f>
        <v>2.4174996594691889</v>
      </c>
      <c r="DL27" s="307"/>
      <c r="DM27" s="307">
        <f>VLOOKUP($A27,ціни!$A$4:$G$401,7)</f>
        <v>2.4174996594691889</v>
      </c>
      <c r="DN27" s="29">
        <f t="shared" si="56"/>
        <v>309.92345634394997</v>
      </c>
      <c r="DO27" s="29">
        <f t="shared" si="57"/>
        <v>0</v>
      </c>
      <c r="DP27" s="306">
        <f t="shared" si="48"/>
        <v>309.92345634394997</v>
      </c>
      <c r="DQ27" s="101"/>
      <c r="DR27" s="29">
        <f>VLOOKUP(A27,'ДЗ нас '!$A$1:$C$359,2)</f>
        <v>309.92</v>
      </c>
      <c r="DS27" s="733"/>
      <c r="DT27" s="29">
        <f t="shared" si="49"/>
        <v>309.92</v>
      </c>
      <c r="DU27" s="247">
        <f>VLOOKUP(A27,'новий кошторис с 01.06'!$A$4:$AI$399,35)*1.2</f>
        <v>310.83948626417839</v>
      </c>
      <c r="DV27" s="29">
        <f t="shared" si="50"/>
        <v>-0.91948626417837431</v>
      </c>
      <c r="DW27" s="1016">
        <f>'[2]побудинковий звіт'!$DW$9+'[1]побудинковий звіт'!DW27</f>
        <v>918</v>
      </c>
      <c r="DX27" s="101">
        <f>'[1]побудинковий звіт'!DX27</f>
        <v>0</v>
      </c>
      <c r="DY27" s="5">
        <f t="shared" si="51"/>
        <v>2992.4895958977668</v>
      </c>
      <c r="DZ27" s="5">
        <f t="shared" si="52"/>
        <v>0</v>
      </c>
      <c r="EA27" s="737">
        <f t="shared" si="53"/>
        <v>-7285.9400000000005</v>
      </c>
      <c r="EC27" s="577">
        <f t="shared" si="54"/>
        <v>29924.895958977668</v>
      </c>
      <c r="EE27" s="743">
        <v>-65</v>
      </c>
      <c r="EF27" s="723">
        <f t="shared" si="55"/>
        <v>-3193.0257647512562</v>
      </c>
      <c r="EH27" s="798">
        <v>-4462.8102604883525</v>
      </c>
      <c r="EI27" s="101">
        <f>VLOOKUP(A27,'кошти 01.01.24'!$A$9:$D$352,4,FALSE)</f>
        <v>-6067.772395777406</v>
      </c>
    </row>
    <row r="28" spans="1:139" hidden="1" x14ac:dyDescent="0.3">
      <c r="A28" s="318">
        <v>150000840</v>
      </c>
      <c r="B28" s="43" t="s">
        <v>727</v>
      </c>
      <c r="C28" s="44" t="s">
        <v>1770</v>
      </c>
      <c r="D28" s="44" t="s">
        <v>393</v>
      </c>
      <c r="E28" s="39">
        <f t="shared" si="4"/>
        <v>4216.3</v>
      </c>
      <c r="F28" s="205">
        <f>'[1]побудинковий звіт'!F28</f>
        <v>4216.3</v>
      </c>
      <c r="G28" s="29">
        <f>'[1]побудинковий звіт'!G28</f>
        <v>460.11</v>
      </c>
      <c r="H28" s="148">
        <f>'[1]побудинковий звіт'!H28</f>
        <v>0</v>
      </c>
      <c r="I28" s="41">
        <f>'[2]побудинковий звіт'!I28+'[1]побудинковий звіт'!I28</f>
        <v>16334.317656127459</v>
      </c>
      <c r="J28" s="41">
        <f>'[2]побудинковий звіт'!J28+'[1]побудинковий звіт'!J28</f>
        <v>12897.405270295172</v>
      </c>
      <c r="K28" s="55">
        <f t="shared" si="5"/>
        <v>-3436.9123858322873</v>
      </c>
      <c r="L28" s="41">
        <f>'[2]побудинковий звіт'!L28+'[1]побудинковий звіт'!L28</f>
        <v>2524.7758768291869</v>
      </c>
      <c r="M28" s="41">
        <f>'[2]побудинковий звіт'!M28+'[1]побудинковий звіт'!M28</f>
        <v>2162.080272432785</v>
      </c>
      <c r="N28" s="55">
        <f t="shared" si="6"/>
        <v>-362.6956043964019</v>
      </c>
      <c r="O28" s="41">
        <f>'[2]побудинковий звіт'!O28+'[1]побудинковий звіт'!O28</f>
        <v>6288.2438289693682</v>
      </c>
      <c r="P28" s="41">
        <f>'[2]побудинковий звіт'!P28+'[1]побудинковий звіт'!P28</f>
        <v>6305.9810480379319</v>
      </c>
      <c r="Q28" s="55">
        <f t="shared" si="7"/>
        <v>17.737219068563718</v>
      </c>
      <c r="R28" s="41">
        <f>'[2]побудинковий звіт'!R28+'[1]побудинковий звіт'!R28</f>
        <v>1397.5895198927806</v>
      </c>
      <c r="S28" s="41">
        <f>'[2]побудинковий звіт'!S28+'[1]побудинковий звіт'!S28</f>
        <v>1401.2310735713479</v>
      </c>
      <c r="T28" s="55">
        <f t="shared" si="8"/>
        <v>3.6415536785673339</v>
      </c>
      <c r="U28" s="41">
        <f>'[2]побудинковий звіт'!U28+'[1]побудинковий звіт'!U28</f>
        <v>764.13231552611455</v>
      </c>
      <c r="V28" s="41">
        <f>'[2]побудинковий звіт'!V28+'[1]побудинковий звіт'!V28</f>
        <v>292.16550273721782</v>
      </c>
      <c r="W28" s="55">
        <f t="shared" si="9"/>
        <v>-471.96681278889673</v>
      </c>
      <c r="X28" s="41">
        <f>'[2]побудинковий звіт'!X28+'[1]побудинковий звіт'!X28</f>
        <v>6853.1132193777803</v>
      </c>
      <c r="Y28" s="41">
        <f>'[2]побудинковий звіт'!Y28+'[1]побудинковий звіт'!Y28</f>
        <v>4725.4610413833216</v>
      </c>
      <c r="Z28" s="55">
        <f t="shared" si="10"/>
        <v>-2127.6521779944587</v>
      </c>
      <c r="AA28" s="41">
        <f>'[2]побудинковий звіт'!AA28+'[1]побудинковий звіт'!AA28</f>
        <v>0</v>
      </c>
      <c r="AB28" s="41">
        <f>'[2]побудинковий звіт'!AB28+'[1]побудинковий звіт'!AB28</f>
        <v>0</v>
      </c>
      <c r="AC28" s="55">
        <f t="shared" si="11"/>
        <v>0</v>
      </c>
      <c r="AD28" s="41">
        <f>'[2]побудинковий звіт'!AD28+'[1]побудинковий звіт'!AD28</f>
        <v>18288.344971534338</v>
      </c>
      <c r="AE28" s="41">
        <f>'[2]побудинковий звіт'!AE28+'[1]побудинковий звіт'!AE28</f>
        <v>18217.181122036007</v>
      </c>
      <c r="AF28" s="36">
        <f t="shared" si="12"/>
        <v>-71.163849498330819</v>
      </c>
      <c r="AG28" s="84">
        <f t="shared" si="13"/>
        <v>52450.517388257023</v>
      </c>
      <c r="AH28" s="56">
        <f t="shared" si="14"/>
        <v>46001.505330493783</v>
      </c>
      <c r="AI28" s="55">
        <f t="shared" si="15"/>
        <v>-6449.0120577632406</v>
      </c>
      <c r="AJ28" s="41">
        <f>'[2]побудинковий звіт'!AJ28+'[1]побудинковий звіт'!AJ28</f>
        <v>37100.620245391292</v>
      </c>
      <c r="AK28" s="41">
        <f>'[2]побудинковий звіт'!AK28+'[1]побудинковий звіт'!AK28</f>
        <v>34482.444779895384</v>
      </c>
      <c r="AL28" s="55">
        <f t="shared" si="16"/>
        <v>-2618.1754654959077</v>
      </c>
      <c r="AM28" s="41">
        <f>'[2]побудинковий звіт'!AM28+'[1]побудинковий звіт'!AM28</f>
        <v>605.85684545284585</v>
      </c>
      <c r="AN28" s="41">
        <f>'[2]побудинковий звіт'!AN28+'[1]побудинковий звіт'!AN28</f>
        <v>2890.8249684250509</v>
      </c>
      <c r="AO28" s="55">
        <f t="shared" si="17"/>
        <v>2284.968122972205</v>
      </c>
      <c r="AP28" s="41">
        <f>'[2]побудинковий звіт'!AP28+'[1]побудинковий звіт'!AP28</f>
        <v>3566.1525944587343</v>
      </c>
      <c r="AQ28" s="41">
        <f>'[2]побудинковий звіт'!AQ28+'[1]побудинковий звіт'!AQ28</f>
        <v>4260</v>
      </c>
      <c r="AR28" s="55">
        <f t="shared" si="18"/>
        <v>693.84740554126574</v>
      </c>
      <c r="AS28" s="41">
        <f>'[2]побудинковий звіт'!AS28+'[1]побудинковий звіт'!AS28</f>
        <v>61990.924290505587</v>
      </c>
      <c r="AT28" s="41">
        <f>'[2]побудинковий звіт'!AT28+'[1]побудинковий звіт'!AT28</f>
        <v>9144.6097635763363</v>
      </c>
      <c r="AU28" s="57">
        <f t="shared" si="19"/>
        <v>-52846.314526929251</v>
      </c>
      <c r="AV28" s="41">
        <f>'[2]побудинковий звіт'!AV28+'[1]побудинковий звіт'!AV28</f>
        <v>1613.7959514658728</v>
      </c>
      <c r="AW28" s="41">
        <f>'[2]побудинковий звіт'!AW28+'[1]побудинковий звіт'!AW28</f>
        <v>699.58396102074971</v>
      </c>
      <c r="AX28" s="58">
        <f t="shared" si="20"/>
        <v>-914.21199044512309</v>
      </c>
      <c r="AY28" s="41">
        <f>'[2]побудинковий звіт'!AY28+'[1]побудинковий звіт'!AY28</f>
        <v>1522.40203675661</v>
      </c>
      <c r="AZ28" s="41">
        <f>'[2]побудинковий звіт'!AZ28+'[1]побудинковий звіт'!AZ28</f>
        <v>0</v>
      </c>
      <c r="BA28" s="36">
        <f t="shared" si="21"/>
        <v>-1522.40203675661</v>
      </c>
      <c r="BB28" s="41">
        <f>'[2]побудинковий звіт'!BB28+'[1]побудинковий звіт'!BB28</f>
        <v>1992.7790104925955</v>
      </c>
      <c r="BC28" s="41">
        <f>'[2]побудинковий звіт'!BC28+'[1]побудинковий звіт'!BC28</f>
        <v>0</v>
      </c>
      <c r="BD28" s="58">
        <f t="shared" si="22"/>
        <v>-1992.7790104925955</v>
      </c>
      <c r="BE28" s="41">
        <f>'[2]побудинковий звіт'!BE28+'[1]побудинковий звіт'!BE28</f>
        <v>660.10158585791191</v>
      </c>
      <c r="BF28" s="41">
        <f>'[2]побудинковий звіт'!BF28+'[1]побудинковий звіт'!BF28</f>
        <v>548.24795760195309</v>
      </c>
      <c r="BG28" s="38">
        <f t="shared" si="23"/>
        <v>-111.85362825595882</v>
      </c>
      <c r="BH28" s="41">
        <f>'[2]побудинковий звіт'!BH28+'[1]побудинковий звіт'!BH28</f>
        <v>396.51126392625707</v>
      </c>
      <c r="BI28" s="41">
        <f>'[2]побудинковий звіт'!BI28+'[1]побудинковий звіт'!BI28</f>
        <v>484.68361961872921</v>
      </c>
      <c r="BJ28" s="58">
        <f t="shared" si="24"/>
        <v>88.172355692472138</v>
      </c>
      <c r="BK28" s="41">
        <f>'[2]побудинковий звіт'!BK28+'[1]побудинковий звіт'!BK28</f>
        <v>1259.6845634603778</v>
      </c>
      <c r="BL28" s="41">
        <f>'[2]побудинковий звіт'!BL28+'[1]побудинковий звіт'!BL28</f>
        <v>6651.3502912869553</v>
      </c>
      <c r="BM28" s="38">
        <f t="shared" si="25"/>
        <v>5391.6657278265775</v>
      </c>
      <c r="BN28" s="41">
        <f>'[2]побудинковий звіт'!BN28+'[1]побудинковий звіт'!BN28</f>
        <v>549.0965266930707</v>
      </c>
      <c r="BO28" s="41">
        <f>'[2]побудинковий звіт'!BO28+'[1]побудинковий звіт'!BO28</f>
        <v>4105.0867629801878</v>
      </c>
      <c r="BP28" s="58">
        <f t="shared" si="26"/>
        <v>3555.9902362871171</v>
      </c>
      <c r="BQ28" s="84">
        <f t="shared" si="27"/>
        <v>7994.3709386526962</v>
      </c>
      <c r="BR28" s="42">
        <f t="shared" si="28"/>
        <v>12488.952592508576</v>
      </c>
      <c r="BS28" s="58">
        <f t="shared" si="29"/>
        <v>4494.5816538558802</v>
      </c>
      <c r="BT28" s="41">
        <f>'[2]побудинковий звіт'!BT28+'[1]побудинковий звіт'!BT28</f>
        <v>68920.418042346224</v>
      </c>
      <c r="BU28" s="41">
        <f>'[2]побудинковий звіт'!BU28+'[1]побудинковий звіт'!BU28</f>
        <v>101687.70999932699</v>
      </c>
      <c r="BV28" s="55">
        <f t="shared" si="30"/>
        <v>32767.291956980771</v>
      </c>
      <c r="BW28" s="41">
        <f>'[2]побудинковий звіт'!BW28+'[1]побудинковий звіт'!BW28</f>
        <v>38191.03184099702</v>
      </c>
      <c r="BX28" s="41">
        <f>'[2]побудинковий звіт'!BX28+'[1]побудинковий звіт'!BX28</f>
        <v>46714.634464477866</v>
      </c>
      <c r="BY28" s="55">
        <f t="shared" si="31"/>
        <v>8523.6026234808451</v>
      </c>
      <c r="BZ28" s="41">
        <f>'[2]побудинковий звіт'!BZ28+'[1]побудинковий звіт'!BZ28</f>
        <v>14196.404517906391</v>
      </c>
      <c r="CA28" s="41">
        <f>'[2]побудинковий звіт'!CA28+'[1]побудинковий звіт'!CA28</f>
        <v>8436.6458291999224</v>
      </c>
      <c r="CB28" s="55">
        <f t="shared" si="32"/>
        <v>-5759.7586887064681</v>
      </c>
      <c r="CC28" s="41">
        <f>'[2]побудинковий звіт'!CC28+'[1]побудинковий звіт'!CC28</f>
        <v>2039.7799369267468</v>
      </c>
      <c r="CD28" s="41">
        <f>'[2]побудинковий звіт'!CD28+'[1]побудинковий звіт'!CD28</f>
        <v>2046.696603168326</v>
      </c>
      <c r="CE28" s="55">
        <f t="shared" si="33"/>
        <v>6.9166662415791507</v>
      </c>
      <c r="CF28" s="41">
        <f>'[2]побудинковий звіт'!CF28+'[1]побудинковий звіт'!CF28</f>
        <v>252.71789237711124</v>
      </c>
      <c r="CG28" s="41">
        <f>'[2]побудинковий звіт'!CG28+'[1]побудинковий звіт'!CG28</f>
        <v>0</v>
      </c>
      <c r="CH28" s="55">
        <f t="shared" si="34"/>
        <v>-252.71789237711124</v>
      </c>
      <c r="CI28" s="41">
        <f>'[2]побудинковий звіт'!CI28+'[1]побудинковий звіт'!CI28</f>
        <v>8074.068209275727</v>
      </c>
      <c r="CJ28" s="41">
        <f>'[2]побудинковий звіт'!CJ28+'[1]побудинковий звіт'!CJ28</f>
        <v>4178.5676370351594</v>
      </c>
      <c r="CK28" s="55">
        <f t="shared" si="35"/>
        <v>-3895.5005722405676</v>
      </c>
      <c r="CL28" s="41">
        <f>'[2]побудинковий звіт'!CL28+'[1]побудинковий звіт'!CL28</f>
        <v>7537.0121643483535</v>
      </c>
      <c r="CM28" s="41">
        <f>'[2]побудинковий звіт'!CM28+'[1]побудинковий звіт'!CM28</f>
        <v>10537.097262813575</v>
      </c>
      <c r="CN28" s="55">
        <f t="shared" si="36"/>
        <v>3000.0850984652216</v>
      </c>
      <c r="CO28" s="41">
        <f t="shared" si="37"/>
        <v>15611.080373624081</v>
      </c>
      <c r="CP28" s="42">
        <f t="shared" si="38"/>
        <v>14715.664899848734</v>
      </c>
      <c r="CQ28" s="55">
        <f t="shared" si="39"/>
        <v>-895.41547377534698</v>
      </c>
      <c r="CR28" s="76">
        <f t="shared" si="40"/>
        <v>302919.87490689574</v>
      </c>
      <c r="CS28" s="5">
        <f t="shared" si="41"/>
        <v>282869.68923092098</v>
      </c>
      <c r="CT28" s="55">
        <f t="shared" si="42"/>
        <v>-20050.185675974761</v>
      </c>
      <c r="CU28" s="84">
        <f t="shared" si="43"/>
        <v>363503.84988827485</v>
      </c>
      <c r="CV28" s="68">
        <f t="shared" si="44"/>
        <v>339443.62707710516</v>
      </c>
      <c r="CW28" s="36">
        <f t="shared" si="45"/>
        <v>-24060.22281116969</v>
      </c>
      <c r="CX28" s="41">
        <f>'[2]побудинковий звіт'!CX28+'[1]побудинковий звіт'!CX28</f>
        <v>10912.198136496909</v>
      </c>
      <c r="CY28" s="41">
        <f>'[2]побудинковий звіт'!CY28+'[1]побудинковий звіт'!CY28</f>
        <v>34972.420947666593</v>
      </c>
      <c r="CZ28" s="55">
        <f t="shared" si="46"/>
        <v>24060.222811169682</v>
      </c>
      <c r="DA28" s="254">
        <f>'[1]побудинковий звіт'!DA28</f>
        <v>57475.462506802985</v>
      </c>
      <c r="DB28" s="2">
        <v>1</v>
      </c>
      <c r="DC28" s="702">
        <f>'[1]побудинковий звіт'!DC28</f>
        <v>86815.14</v>
      </c>
      <c r="DD28" s="702">
        <f>'[1]побудинковий звіт'!DD28</f>
        <v>0</v>
      </c>
      <c r="DE28" s="702">
        <f>'[1]побудинковий звіт'!DE28</f>
        <v>45727.13</v>
      </c>
      <c r="DF28" s="702">
        <f>'[1]побудинковий звіт'!DF28</f>
        <v>0</v>
      </c>
      <c r="DG28" s="772">
        <v>66876.388002704945</v>
      </c>
      <c r="DH28" s="746">
        <f t="shared" si="47"/>
        <v>4492992.5762972608</v>
      </c>
      <c r="DI28" s="769"/>
      <c r="DJ28" s="5"/>
      <c r="DK28" s="307">
        <f>VLOOKUP($A28,ціни!$A$4:$G$401,5)</f>
        <v>5.9691141416610618</v>
      </c>
      <c r="DL28" s="307">
        <f>VLOOKUP($A28,ціни!$A$4:$G$401,6)</f>
        <v>7.0807264587919336</v>
      </c>
      <c r="DM28" s="307">
        <f>VLOOKUP($A28,ціни!$A$4:$G$401,7)</f>
        <v>5.0847417551530754</v>
      </c>
      <c r="DN28" s="29">
        <f>DK28*G28+(F28-G28)*DL28</f>
        <v>29343.003024969345</v>
      </c>
      <c r="DO28" s="29">
        <f>DM28*H28</f>
        <v>0</v>
      </c>
      <c r="DP28" s="306">
        <f t="shared" si="48"/>
        <v>29343.003024969345</v>
      </c>
      <c r="DQ28" s="101"/>
      <c r="DR28" s="29">
        <f>VLOOKUP(A28,'ДЗ нас '!$A$1:$C$359,2)</f>
        <v>29338.22</v>
      </c>
      <c r="DS28" s="733"/>
      <c r="DT28" s="29">
        <f t="shared" si="49"/>
        <v>29338.22</v>
      </c>
      <c r="DU28" s="247">
        <f>VLOOKUP(A28,'новий кошторис с 01.06'!$A$4:$AI$399,35)*1.2</f>
        <v>29487.989594403993</v>
      </c>
      <c r="DV28" s="29">
        <f t="shared" si="50"/>
        <v>-149.7695944039915</v>
      </c>
      <c r="DW28" s="1016">
        <f>'[2]побудинковий звіт'!$DW$9+'[1]побудинковий звіт'!DW28</f>
        <v>1062</v>
      </c>
      <c r="DX28" s="101">
        <f>'[1]побудинковий звіт'!DX28</f>
        <v>0</v>
      </c>
      <c r="DY28" s="5">
        <f t="shared" si="51"/>
        <v>83982.354274989935</v>
      </c>
      <c r="DZ28" s="5">
        <f t="shared" si="52"/>
        <v>25960.274827301895</v>
      </c>
      <c r="EA28" s="737">
        <f t="shared" si="53"/>
        <v>45727.13</v>
      </c>
      <c r="EC28" s="577">
        <f t="shared" si="54"/>
        <v>743891.09148606705</v>
      </c>
      <c r="EE28" s="743">
        <v>-55287</v>
      </c>
      <c r="EF28" s="723">
        <f t="shared" si="55"/>
        <v>11589.388002704945</v>
      </c>
      <c r="EH28" s="798">
        <v>7350.8404015087945</v>
      </c>
      <c r="EI28" s="101">
        <f>VLOOKUP(A28,'кошти 01.01.24'!$A$9:$D$352,4,FALSE)</f>
        <v>81535.685317972646</v>
      </c>
    </row>
    <row r="29" spans="1:139" hidden="1" x14ac:dyDescent="0.3">
      <c r="A29" s="318">
        <v>150000841</v>
      </c>
      <c r="B29" s="43" t="s">
        <v>728</v>
      </c>
      <c r="C29" s="44" t="s">
        <v>1771</v>
      </c>
      <c r="D29" s="44" t="s">
        <v>136</v>
      </c>
      <c r="E29" s="39">
        <f t="shared" si="4"/>
        <v>172.4</v>
      </c>
      <c r="F29" s="205">
        <f>'[1]побудинковий звіт'!F29</f>
        <v>172.4</v>
      </c>
      <c r="G29" s="29">
        <f>'[1]побудинковий звіт'!G29</f>
        <v>0</v>
      </c>
      <c r="H29" s="148">
        <f>'[1]побудинковий звіт'!H29</f>
        <v>0</v>
      </c>
      <c r="I29" s="41">
        <f>'[2]побудинковий звіт'!I29+'[1]побудинковий звіт'!I29</f>
        <v>0</v>
      </c>
      <c r="J29" s="41">
        <f>'[2]побудинковий звіт'!J29+'[1]побудинковий звіт'!J29</f>
        <v>0</v>
      </c>
      <c r="K29" s="55">
        <f t="shared" si="5"/>
        <v>0</v>
      </c>
      <c r="L29" s="41">
        <f>'[2]побудинковий звіт'!L29+'[1]побудинковий звіт'!L29</f>
        <v>0</v>
      </c>
      <c r="M29" s="41">
        <f>'[2]побудинковий звіт'!M29+'[1]побудинковий звіт'!M29</f>
        <v>0</v>
      </c>
      <c r="N29" s="55">
        <f t="shared" si="6"/>
        <v>0</v>
      </c>
      <c r="O29" s="41">
        <f>'[2]побудинковий звіт'!O29+'[1]побудинковий звіт'!O29</f>
        <v>0</v>
      </c>
      <c r="P29" s="41">
        <f>'[2]побудинковий звіт'!P29+'[1]побудинковий звіт'!P29</f>
        <v>0</v>
      </c>
      <c r="Q29" s="55">
        <f t="shared" si="7"/>
        <v>0</v>
      </c>
      <c r="R29" s="41">
        <f>'[2]побудинковий звіт'!R29+'[1]побудинковий звіт'!R29</f>
        <v>0</v>
      </c>
      <c r="S29" s="41">
        <f>'[2]побудинковий звіт'!S29+'[1]побудинковий звіт'!S29</f>
        <v>0</v>
      </c>
      <c r="T29" s="55">
        <f t="shared" si="8"/>
        <v>0</v>
      </c>
      <c r="U29" s="41">
        <f>'[2]побудинковий звіт'!U29+'[1]побудинковий звіт'!U29</f>
        <v>0</v>
      </c>
      <c r="V29" s="41">
        <f>'[2]побудинковий звіт'!V29+'[1]побудинковий звіт'!V29</f>
        <v>0</v>
      </c>
      <c r="W29" s="55">
        <f t="shared" si="9"/>
        <v>0</v>
      </c>
      <c r="X29" s="41">
        <f>'[2]побудинковий звіт'!X29+'[1]побудинковий звіт'!X29</f>
        <v>0</v>
      </c>
      <c r="Y29" s="41">
        <f>'[2]побудинковий звіт'!Y29+'[1]побудинковий звіт'!Y29</f>
        <v>0</v>
      </c>
      <c r="Z29" s="55">
        <f t="shared" si="10"/>
        <v>0</v>
      </c>
      <c r="AA29" s="41">
        <f>'[2]побудинковий звіт'!AA29+'[1]побудинковий звіт'!AA29</f>
        <v>0</v>
      </c>
      <c r="AB29" s="41">
        <f>'[2]побудинковий звіт'!AB29+'[1]побудинковий звіт'!AB29</f>
        <v>0</v>
      </c>
      <c r="AC29" s="55">
        <f t="shared" si="11"/>
        <v>0</v>
      </c>
      <c r="AD29" s="41">
        <f>'[2]побудинковий звіт'!AD29+'[1]побудинковий звіт'!AD29</f>
        <v>0</v>
      </c>
      <c r="AE29" s="41">
        <f>'[2]побудинковий звіт'!AE29+'[1]побудинковий звіт'!AE29</f>
        <v>0</v>
      </c>
      <c r="AF29" s="36">
        <f t="shared" si="12"/>
        <v>0</v>
      </c>
      <c r="AG29" s="84">
        <f t="shared" si="13"/>
        <v>0</v>
      </c>
      <c r="AH29" s="56">
        <f t="shared" si="14"/>
        <v>0</v>
      </c>
      <c r="AI29" s="55">
        <f t="shared" si="15"/>
        <v>0</v>
      </c>
      <c r="AJ29" s="41">
        <f>'[2]побудинковий звіт'!AJ29+'[1]побудинковий звіт'!AJ29</f>
        <v>0</v>
      </c>
      <c r="AK29" s="41">
        <f>'[2]побудинковий звіт'!AK29+'[1]побудинковий звіт'!AK29</f>
        <v>0</v>
      </c>
      <c r="AL29" s="55">
        <f t="shared" si="16"/>
        <v>0</v>
      </c>
      <c r="AM29" s="41">
        <f>'[2]побудинковий звіт'!AM29+'[1]побудинковий звіт'!AM29</f>
        <v>0</v>
      </c>
      <c r="AN29" s="41">
        <f>'[2]побудинковий звіт'!AN29+'[1]побудинковий звіт'!AN29</f>
        <v>0</v>
      </c>
      <c r="AO29" s="55">
        <f t="shared" si="17"/>
        <v>0</v>
      </c>
      <c r="AP29" s="41">
        <f>'[2]побудинковий звіт'!AP29+'[1]побудинковий звіт'!AP29</f>
        <v>297.17938287156119</v>
      </c>
      <c r="AQ29" s="41">
        <f>'[2]побудинковий звіт'!AQ29+'[1]побудинковий звіт'!AQ29</f>
        <v>187.92093407754726</v>
      </c>
      <c r="AR29" s="55">
        <f t="shared" si="18"/>
        <v>-109.25844879401393</v>
      </c>
      <c r="AS29" s="41">
        <f>'[2]побудинковий звіт'!AS29+'[1]побудинковий звіт'!AS29</f>
        <v>1985.4900254973634</v>
      </c>
      <c r="AT29" s="41">
        <f>'[2]побудинковий звіт'!AT29+'[1]побудинковий звіт'!AT29</f>
        <v>0</v>
      </c>
      <c r="AU29" s="57">
        <f t="shared" si="19"/>
        <v>-1985.4900254973634</v>
      </c>
      <c r="AV29" s="41">
        <f>'[2]побудинковий звіт'!AV29+'[1]побудинковий звіт'!AV29</f>
        <v>0</v>
      </c>
      <c r="AW29" s="41">
        <f>'[2]побудинковий звіт'!AW29+'[1]побудинковий звіт'!AW29</f>
        <v>0</v>
      </c>
      <c r="AX29" s="58">
        <f t="shared" si="20"/>
        <v>0</v>
      </c>
      <c r="AY29" s="41">
        <f>'[2]побудинковий звіт'!AY29+'[1]побудинковий звіт'!AY29</f>
        <v>0</v>
      </c>
      <c r="AZ29" s="41">
        <f>'[2]побудинковий звіт'!AZ29+'[1]побудинковий звіт'!AZ29</f>
        <v>0</v>
      </c>
      <c r="BA29" s="36">
        <f t="shared" si="21"/>
        <v>0</v>
      </c>
      <c r="BB29" s="41">
        <f>'[2]побудинковий звіт'!BB29+'[1]побудинковий звіт'!BB29</f>
        <v>0</v>
      </c>
      <c r="BC29" s="41">
        <f>'[2]побудинковий звіт'!BC29+'[1]побудинковий звіт'!BC29</f>
        <v>0</v>
      </c>
      <c r="BD29" s="58">
        <f t="shared" si="22"/>
        <v>0</v>
      </c>
      <c r="BE29" s="41">
        <f>'[2]побудинковий звіт'!BE29+'[1]побудинковий звіт'!BE29</f>
        <v>0</v>
      </c>
      <c r="BF29" s="41">
        <f>'[2]побудинковий звіт'!BF29+'[1]побудинковий звіт'!BF29</f>
        <v>0</v>
      </c>
      <c r="BG29" s="38">
        <f t="shared" si="23"/>
        <v>0</v>
      </c>
      <c r="BH29" s="41">
        <f>'[2]побудинковий звіт'!BH29+'[1]побудинковий звіт'!BH29</f>
        <v>0</v>
      </c>
      <c r="BI29" s="41">
        <f>'[2]побудинковий звіт'!BI29+'[1]побудинковий звіт'!BI29</f>
        <v>0</v>
      </c>
      <c r="BJ29" s="58">
        <f t="shared" si="24"/>
        <v>0</v>
      </c>
      <c r="BK29" s="41">
        <f>'[2]побудинковий звіт'!BK29+'[1]побудинковий звіт'!BK29</f>
        <v>0</v>
      </c>
      <c r="BL29" s="41">
        <f>'[2]побудинковий звіт'!BL29+'[1]побудинковий звіт'!BL29</f>
        <v>0</v>
      </c>
      <c r="BM29" s="38">
        <f t="shared" si="25"/>
        <v>0</v>
      </c>
      <c r="BN29" s="41">
        <f>'[2]побудинковий звіт'!BN29+'[1]побудинковий звіт'!BN29</f>
        <v>0</v>
      </c>
      <c r="BO29" s="41">
        <f>'[2]побудинковий звіт'!BO29+'[1]побудинковий звіт'!BO29</f>
        <v>0</v>
      </c>
      <c r="BP29" s="58">
        <f t="shared" si="26"/>
        <v>0</v>
      </c>
      <c r="BQ29" s="84">
        <f t="shared" si="27"/>
        <v>0</v>
      </c>
      <c r="BR29" s="42">
        <f t="shared" si="28"/>
        <v>0</v>
      </c>
      <c r="BS29" s="58">
        <f t="shared" si="29"/>
        <v>0</v>
      </c>
      <c r="BT29" s="41">
        <f>'[2]побудинковий звіт'!BT29+'[1]побудинковий звіт'!BT29</f>
        <v>744.03653744576445</v>
      </c>
      <c r="BU29" s="41">
        <f>'[2]побудинковий звіт'!BU29+'[1]побудинковий звіт'!BU29</f>
        <v>2197.423262947058</v>
      </c>
      <c r="BV29" s="55">
        <f t="shared" si="30"/>
        <v>1453.3867255012935</v>
      </c>
      <c r="BW29" s="41">
        <f>'[2]побудинковий звіт'!BW29+'[1]побудинковий звіт'!BW29</f>
        <v>0</v>
      </c>
      <c r="BX29" s="41">
        <f>'[2]побудинковий звіт'!BX29+'[1]побудинковий звіт'!BX29</f>
        <v>0.7017183734158059</v>
      </c>
      <c r="BY29" s="55">
        <f t="shared" si="31"/>
        <v>0.7017183734158059</v>
      </c>
      <c r="BZ29" s="41">
        <f>'[2]побудинковий звіт'!BZ29+'[1]побудинковий звіт'!BZ29</f>
        <v>114.59108897307127</v>
      </c>
      <c r="CA29" s="41">
        <f>'[2]побудинковий звіт'!CA29+'[1]побудинковий звіт'!CA29</f>
        <v>183.64562930904603</v>
      </c>
      <c r="CB29" s="55">
        <f t="shared" si="32"/>
        <v>69.054540335974764</v>
      </c>
      <c r="CC29" s="41">
        <f>'[2]побудинковий звіт'!CC29+'[1]побудинковий звіт'!CC29</f>
        <v>0</v>
      </c>
      <c r="CD29" s="41">
        <f>'[2]побудинковий звіт'!CD29+'[1]побудинковий звіт'!CD29</f>
        <v>0</v>
      </c>
      <c r="CE29" s="55">
        <f t="shared" si="33"/>
        <v>0</v>
      </c>
      <c r="CF29" s="41">
        <f>'[2]побудинковий звіт'!CF29+'[1]побудинковий звіт'!CF29</f>
        <v>0</v>
      </c>
      <c r="CG29" s="41">
        <f>'[2]побудинковий звіт'!CG29+'[1]побудинковий звіт'!CG29</f>
        <v>0</v>
      </c>
      <c r="CH29" s="55">
        <f t="shared" si="34"/>
        <v>0</v>
      </c>
      <c r="CI29" s="41">
        <f>'[2]побудинковий звіт'!CI29+'[1]побудинковий звіт'!CI29</f>
        <v>0</v>
      </c>
      <c r="CJ29" s="41">
        <f>'[2]побудинковий звіт'!CJ29+'[1]побудинковий звіт'!CJ29</f>
        <v>0</v>
      </c>
      <c r="CK29" s="55">
        <f t="shared" si="35"/>
        <v>0</v>
      </c>
      <c r="CL29" s="41">
        <f>'[2]побудинковий звіт'!CL29+'[1]побудинковий звіт'!CL29</f>
        <v>0</v>
      </c>
      <c r="CM29" s="41">
        <f>'[2]побудинковий звіт'!CM29+'[1]побудинковий звіт'!CM29</f>
        <v>0</v>
      </c>
      <c r="CN29" s="55">
        <f t="shared" si="36"/>
        <v>0</v>
      </c>
      <c r="CO29" s="41">
        <f t="shared" si="37"/>
        <v>0</v>
      </c>
      <c r="CP29" s="42">
        <f t="shared" si="38"/>
        <v>0</v>
      </c>
      <c r="CQ29" s="55">
        <f t="shared" si="39"/>
        <v>0</v>
      </c>
      <c r="CR29" s="76">
        <f t="shared" si="40"/>
        <v>3141.2970347877599</v>
      </c>
      <c r="CS29" s="5">
        <f t="shared" si="41"/>
        <v>2569.6915447070669</v>
      </c>
      <c r="CT29" s="55">
        <f t="shared" si="42"/>
        <v>-571.60549008069302</v>
      </c>
      <c r="CU29" s="84">
        <f t="shared" si="43"/>
        <v>3769.5564417453115</v>
      </c>
      <c r="CV29" s="68">
        <f t="shared" si="44"/>
        <v>3083.6298536484801</v>
      </c>
      <c r="CW29" s="36">
        <f t="shared" si="45"/>
        <v>-685.92658809683144</v>
      </c>
      <c r="CX29" s="41">
        <f>'[2]побудинковий звіт'!CX29+'[1]побудинковий звіт'!CX29</f>
        <v>83.33464566643265</v>
      </c>
      <c r="CY29" s="41">
        <f>'[2]побудинковий звіт'!CY29+'[1]побудинковий звіт'!CY29</f>
        <v>769.26123376326507</v>
      </c>
      <c r="CZ29" s="55">
        <f t="shared" si="46"/>
        <v>685.92658809683246</v>
      </c>
      <c r="DA29" s="254">
        <f>'[1]побудинковий звіт'!DA29</f>
        <v>-5248.8694292489936</v>
      </c>
      <c r="DB29" s="2">
        <v>1</v>
      </c>
      <c r="DC29" s="702">
        <f>'[1]побудинковий звіт'!DC29</f>
        <v>422.79</v>
      </c>
      <c r="DD29" s="702">
        <f>'[1]побудинковий звіт'!DD29</f>
        <v>0</v>
      </c>
      <c r="DE29" s="702">
        <f>'[1]побудинковий звіт'!DE29</f>
        <v>0</v>
      </c>
      <c r="DF29" s="702">
        <f>'[1]побудинковий звіт'!DF29</f>
        <v>0</v>
      </c>
      <c r="DG29" s="772">
        <v>-3867.3518820065292</v>
      </c>
      <c r="DH29" s="746">
        <f t="shared" si="47"/>
        <v>46234.693048940928</v>
      </c>
      <c r="DI29" s="769"/>
      <c r="DJ29" s="5"/>
      <c r="DK29" s="307">
        <f>VLOOKUP($A29,ціни!$A$4:$G$401,5)</f>
        <v>1.7513836521904724</v>
      </c>
      <c r="DL29" s="307"/>
      <c r="DM29" s="307">
        <f>VLOOKUP($A29,ціни!$A$4:$G$401,7)</f>
        <v>1.7513836521904724</v>
      </c>
      <c r="DN29" s="29">
        <f>F29*DK29</f>
        <v>301.93854163763746</v>
      </c>
      <c r="DO29" s="29">
        <f>H29*DM29</f>
        <v>0</v>
      </c>
      <c r="DP29" s="306">
        <f t="shared" si="48"/>
        <v>301.93854163763746</v>
      </c>
      <c r="DQ29" s="101"/>
      <c r="DR29" s="29">
        <f>VLOOKUP(A29,'ДЗ нас '!$A$1:$C$359,2)</f>
        <v>301.94</v>
      </c>
      <c r="DS29" s="733"/>
      <c r="DT29" s="29">
        <f t="shared" si="49"/>
        <v>301.94</v>
      </c>
      <c r="DU29" s="247">
        <f>VLOOKUP(A29,'новий кошторис с 01.06'!$A$4:$AI$399,35)*1.2</f>
        <v>302.83097082474376</v>
      </c>
      <c r="DV29" s="29">
        <f t="shared" si="50"/>
        <v>-0.89097082474376066</v>
      </c>
      <c r="DW29" s="1016">
        <f>'[2]побудинковий звіт'!$DW$9+'[1]побудинковий звіт'!DW29</f>
        <v>0</v>
      </c>
      <c r="DX29" s="101">
        <f>'[1]побудинковий звіт'!DX29</f>
        <v>0</v>
      </c>
      <c r="DY29" s="5">
        <f t="shared" si="51"/>
        <v>2382.5880305968358</v>
      </c>
      <c r="DZ29" s="5">
        <f t="shared" si="52"/>
        <v>0</v>
      </c>
      <c r="EA29" s="737">
        <f t="shared" si="53"/>
        <v>0</v>
      </c>
      <c r="EC29" s="577">
        <f t="shared" si="54"/>
        <v>23825.88030596836</v>
      </c>
      <c r="EE29" s="743">
        <v>946</v>
      </c>
      <c r="EF29" s="723">
        <f t="shared" si="55"/>
        <v>-2921.3518820065292</v>
      </c>
      <c r="EH29" s="798">
        <v>-3690.5877301261817</v>
      </c>
      <c r="EI29" s="101">
        <f>VLOOKUP(A29,'кошти 01.01.24'!$A$9:$D$352,4,FALSE)</f>
        <v>-4562.9428411521621</v>
      </c>
    </row>
    <row r="30" spans="1:139" ht="14.4" hidden="1" customHeight="1" x14ac:dyDescent="0.3">
      <c r="A30" s="318">
        <v>150000848</v>
      </c>
      <c r="B30" s="43" t="s">
        <v>729</v>
      </c>
      <c r="C30" s="44" t="s">
        <v>1772</v>
      </c>
      <c r="D30" s="44" t="s">
        <v>186</v>
      </c>
      <c r="E30" s="39">
        <f t="shared" si="4"/>
        <v>261.2</v>
      </c>
      <c r="F30" s="205">
        <f>'[1]побудинковий звіт'!F30</f>
        <v>261.2</v>
      </c>
      <c r="G30" s="29">
        <f>'[1]побудинковий звіт'!G30</f>
        <v>0</v>
      </c>
      <c r="H30" s="148">
        <f>'[1]побудинковий звіт'!H30</f>
        <v>0</v>
      </c>
      <c r="I30" s="41">
        <f>'[2]побудинковий звіт'!I30+'[1]побудинковий звіт'!I30</f>
        <v>506.85797372943671</v>
      </c>
      <c r="J30" s="41">
        <f>'[2]побудинковий звіт'!J30+'[1]побудинковий звіт'!J30</f>
        <v>525.54788572659504</v>
      </c>
      <c r="K30" s="55">
        <f t="shared" si="5"/>
        <v>18.689911997158333</v>
      </c>
      <c r="L30" s="41">
        <f>'[2]побудинковий звіт'!L30+'[1]побудинковий звіт'!L30</f>
        <v>239.46690035280471</v>
      </c>
      <c r="M30" s="41">
        <f>'[2]побудинковий звіт'!M30+'[1]побудинковий звіт'!M30</f>
        <v>250.51788527569806</v>
      </c>
      <c r="N30" s="55">
        <f t="shared" si="6"/>
        <v>11.050984922893349</v>
      </c>
      <c r="O30" s="41">
        <f>'[2]побудинковий звіт'!O30+'[1]побудинковий звіт'!O30</f>
        <v>0</v>
      </c>
      <c r="P30" s="41">
        <f>'[2]побудинковий звіт'!P30+'[1]побудинковий звіт'!P30</f>
        <v>0</v>
      </c>
      <c r="Q30" s="55">
        <f t="shared" si="7"/>
        <v>0</v>
      </c>
      <c r="R30" s="41">
        <f>'[2]побудинковий звіт'!R30+'[1]побудинковий звіт'!R30</f>
        <v>0</v>
      </c>
      <c r="S30" s="41">
        <f>'[2]побудинковий звіт'!S30+'[1]побудинковий звіт'!S30</f>
        <v>0</v>
      </c>
      <c r="T30" s="55">
        <f t="shared" si="8"/>
        <v>0</v>
      </c>
      <c r="U30" s="41">
        <f>'[2]побудинковий звіт'!U30+'[1]побудинковий звіт'!U30</f>
        <v>0</v>
      </c>
      <c r="V30" s="41">
        <f>'[2]побудинковий звіт'!V30+'[1]побудинковий звіт'!V30</f>
        <v>0</v>
      </c>
      <c r="W30" s="55">
        <f t="shared" si="9"/>
        <v>0</v>
      </c>
      <c r="X30" s="41">
        <f>'[2]побудинковий звіт'!X30+'[1]побудинковий звіт'!X30</f>
        <v>472.81818876625726</v>
      </c>
      <c r="Y30" s="41">
        <f>'[2]побудинковий звіт'!Y30+'[1]побудинковий звіт'!Y30</f>
        <v>1015.777900987594</v>
      </c>
      <c r="Z30" s="55">
        <f t="shared" si="10"/>
        <v>542.95971222133676</v>
      </c>
      <c r="AA30" s="41">
        <f>'[2]побудинковий звіт'!AA30+'[1]побудинковий звіт'!AA30</f>
        <v>0</v>
      </c>
      <c r="AB30" s="41">
        <f>'[2]побудинковий звіт'!AB30+'[1]побудинковий звіт'!AB30</f>
        <v>0</v>
      </c>
      <c r="AC30" s="55">
        <f t="shared" si="11"/>
        <v>0</v>
      </c>
      <c r="AD30" s="41">
        <f>'[2]побудинковий звіт'!AD30+'[1]побудинковий звіт'!AD30</f>
        <v>1132.9059372364252</v>
      </c>
      <c r="AE30" s="41">
        <f>'[2]побудинковий звіт'!AE30+'[1]побудинковий звіт'!AE30</f>
        <v>1128.4997597671477</v>
      </c>
      <c r="AF30" s="36">
        <f t="shared" si="12"/>
        <v>-4.4061774692775089</v>
      </c>
      <c r="AG30" s="84">
        <f t="shared" si="13"/>
        <v>2352.049000084924</v>
      </c>
      <c r="AH30" s="56">
        <f t="shared" si="14"/>
        <v>2920.3434317570345</v>
      </c>
      <c r="AI30" s="55">
        <f t="shared" si="15"/>
        <v>568.29443167211048</v>
      </c>
      <c r="AJ30" s="41">
        <f>'[2]побудинковий звіт'!AJ30+'[1]побудинковий звіт'!AJ30</f>
        <v>0</v>
      </c>
      <c r="AK30" s="41">
        <f>'[2]побудинковий звіт'!AK30+'[1]побудинковий звіт'!AK30</f>
        <v>0</v>
      </c>
      <c r="AL30" s="55">
        <f t="shared" si="16"/>
        <v>0</v>
      </c>
      <c r="AM30" s="41">
        <f>'[2]побудинковий звіт'!AM30+'[1]побудинковий звіт'!AM30</f>
        <v>0</v>
      </c>
      <c r="AN30" s="41">
        <f>'[2]побудинковий звіт'!AN30+'[1]побудинковий звіт'!AN30</f>
        <v>0</v>
      </c>
      <c r="AO30" s="55">
        <f t="shared" si="17"/>
        <v>0</v>
      </c>
      <c r="AP30" s="41">
        <f>'[2]побудинковий звіт'!AP30+'[1]побудинковий звіт'!AP30</f>
        <v>594.35876574312238</v>
      </c>
      <c r="AQ30" s="41">
        <f>'[2]побудинковий звіт'!AQ30+'[1]побудинковий звіт'!AQ30</f>
        <v>563.76280223264177</v>
      </c>
      <c r="AR30" s="55">
        <f t="shared" si="18"/>
        <v>-30.595963510480601</v>
      </c>
      <c r="AS30" s="41">
        <f>'[2]побудинковий звіт'!AS30+'[1]побудинковий звіт'!AS30</f>
        <v>3782.0388370597693</v>
      </c>
      <c r="AT30" s="41">
        <f>'[2]побудинковий звіт'!AT30+'[1]побудинковий звіт'!AT30</f>
        <v>0</v>
      </c>
      <c r="AU30" s="57">
        <f t="shared" si="19"/>
        <v>-3782.0388370597693</v>
      </c>
      <c r="AV30" s="41">
        <f>'[2]побудинковий звіт'!AV30+'[1]побудинковий звіт'!AV30</f>
        <v>202.39530665224703</v>
      </c>
      <c r="AW30" s="41">
        <f>'[2]побудинковий звіт'!AW30+'[1]побудинковий звіт'!AW30</f>
        <v>0</v>
      </c>
      <c r="AX30" s="58">
        <f t="shared" si="20"/>
        <v>-202.39530665224703</v>
      </c>
      <c r="AY30" s="41">
        <f>'[2]побудинковий звіт'!AY30+'[1]побудинковий звіт'!AY30</f>
        <v>290.07916974074033</v>
      </c>
      <c r="AZ30" s="41">
        <f>'[2]побудинковий звіт'!AZ30+'[1]побудинковий звіт'!AZ30</f>
        <v>0</v>
      </c>
      <c r="BA30" s="36">
        <f t="shared" si="21"/>
        <v>-290.07916974074033</v>
      </c>
      <c r="BB30" s="41">
        <f>'[2]побудинковий звіт'!BB30+'[1]побудинковий звіт'!BB30</f>
        <v>127.83692614423417</v>
      </c>
      <c r="BC30" s="41">
        <f>'[2]побудинковий звіт'!BC30+'[1]побудинковий звіт'!BC30</f>
        <v>0</v>
      </c>
      <c r="BD30" s="58">
        <f t="shared" si="22"/>
        <v>-127.83692614423417</v>
      </c>
      <c r="BE30" s="41">
        <f>'[2]побудинковий звіт'!BE30+'[1]побудинковий звіт'!BE30</f>
        <v>0</v>
      </c>
      <c r="BF30" s="41">
        <f>'[2]побудинковий звіт'!BF30+'[1]побудинковий звіт'!BF30</f>
        <v>0</v>
      </c>
      <c r="BG30" s="38">
        <f t="shared" si="23"/>
        <v>0</v>
      </c>
      <c r="BH30" s="41">
        <f>'[2]побудинковий звіт'!BH30+'[1]побудинковий звіт'!BH30</f>
        <v>0</v>
      </c>
      <c r="BI30" s="41">
        <f>'[2]побудинковий звіт'!BI30+'[1]побудинковий звіт'!BI30</f>
        <v>0</v>
      </c>
      <c r="BJ30" s="58">
        <f t="shared" si="24"/>
        <v>0</v>
      </c>
      <c r="BK30" s="41">
        <f>'[2]побудинковий звіт'!BK30+'[1]побудинковий звіт'!BK30</f>
        <v>89.673349952189952</v>
      </c>
      <c r="BL30" s="41">
        <f>'[2]побудинковий звіт'!BL30+'[1]побудинковий звіт'!BL30</f>
        <v>0</v>
      </c>
      <c r="BM30" s="38">
        <f t="shared" si="25"/>
        <v>-89.673349952189952</v>
      </c>
      <c r="BN30" s="41">
        <f>'[2]побудинковий звіт'!BN30+'[1]побудинковий звіт'!BN30</f>
        <v>38.805764507289481</v>
      </c>
      <c r="BO30" s="41">
        <f>'[2]побудинковий звіт'!BO30+'[1]побудинковий звіт'!BO30</f>
        <v>0</v>
      </c>
      <c r="BP30" s="58">
        <f t="shared" si="26"/>
        <v>-38.805764507289481</v>
      </c>
      <c r="BQ30" s="84">
        <f t="shared" si="27"/>
        <v>748.79051699670094</v>
      </c>
      <c r="BR30" s="42">
        <f t="shared" si="28"/>
        <v>0</v>
      </c>
      <c r="BS30" s="58">
        <f t="shared" si="29"/>
        <v>-748.79051699670094</v>
      </c>
      <c r="BT30" s="41">
        <f>'[2]побудинковий звіт'!BT30+'[1]побудинковий звіт'!BT30</f>
        <v>4142.79650968846</v>
      </c>
      <c r="BU30" s="41">
        <f>'[2]побудинковий звіт'!BU30+'[1]побудинковий звіт'!BU30</f>
        <v>6849.6394920547891</v>
      </c>
      <c r="BV30" s="55">
        <f t="shared" si="30"/>
        <v>2706.8429823663291</v>
      </c>
      <c r="BW30" s="41">
        <f>'[2]побудинковий звіт'!BW30+'[1]побудинковий звіт'!BW30</f>
        <v>2490.102714529522</v>
      </c>
      <c r="BX30" s="41">
        <f>'[2]побудинковий звіт'!BX30+'[1]побудинковий звіт'!BX30</f>
        <v>2739.3160061904014</v>
      </c>
      <c r="BY30" s="55">
        <f t="shared" si="31"/>
        <v>249.21329166087935</v>
      </c>
      <c r="BZ30" s="41">
        <f>'[2]побудинковий звіт'!BZ30+'[1]побудинковий звіт'!BZ30</f>
        <v>2196.7866087230946</v>
      </c>
      <c r="CA30" s="41">
        <f>'[2]побудинковий звіт'!CA30+'[1]побудинковий звіт'!CA30</f>
        <v>825.60695966424009</v>
      </c>
      <c r="CB30" s="55">
        <f t="shared" si="32"/>
        <v>-1371.1796490588545</v>
      </c>
      <c r="CC30" s="41">
        <f>'[2]побудинковий звіт'!CC30+'[1]побудинковий звіт'!CC30</f>
        <v>0</v>
      </c>
      <c r="CD30" s="41">
        <f>'[2]побудинковий звіт'!CD30+'[1]побудинковий звіт'!CD30</f>
        <v>0</v>
      </c>
      <c r="CE30" s="55">
        <f t="shared" si="33"/>
        <v>0</v>
      </c>
      <c r="CF30" s="41">
        <f>'[2]побудинковий звіт'!CF30+'[1]побудинковий звіт'!CF30</f>
        <v>0</v>
      </c>
      <c r="CG30" s="41">
        <f>'[2]побудинковий звіт'!CG30+'[1]побудинковий звіт'!CG30</f>
        <v>0</v>
      </c>
      <c r="CH30" s="55">
        <f t="shared" si="34"/>
        <v>0</v>
      </c>
      <c r="CI30" s="41">
        <f>'[2]побудинковий звіт'!CI30+'[1]побудинковий звіт'!CI30</f>
        <v>1181.1203047546808</v>
      </c>
      <c r="CJ30" s="41">
        <f>'[2]побудинковий звіт'!CJ30+'[1]побудинковий звіт'!CJ30</f>
        <v>1050.1752717612337</v>
      </c>
      <c r="CK30" s="55">
        <f t="shared" si="35"/>
        <v>-130.94503299344706</v>
      </c>
      <c r="CL30" s="41">
        <f>'[2]побудинковий звіт'!CL30+'[1]побудинковий звіт'!CL30</f>
        <v>0</v>
      </c>
      <c r="CM30" s="41">
        <f>'[2]побудинковий звіт'!CM30+'[1]побудинковий звіт'!CM30</f>
        <v>0</v>
      </c>
      <c r="CN30" s="55">
        <f t="shared" si="36"/>
        <v>0</v>
      </c>
      <c r="CO30" s="41">
        <f t="shared" si="37"/>
        <v>1181.1203047546808</v>
      </c>
      <c r="CP30" s="42">
        <f t="shared" si="38"/>
        <v>1050.1752717612337</v>
      </c>
      <c r="CQ30" s="55">
        <f t="shared" si="39"/>
        <v>-130.94503299344706</v>
      </c>
      <c r="CR30" s="76">
        <f t="shared" si="40"/>
        <v>17488.043257580273</v>
      </c>
      <c r="CS30" s="5">
        <f t="shared" si="41"/>
        <v>14948.843963660342</v>
      </c>
      <c r="CT30" s="55">
        <f t="shared" si="42"/>
        <v>-2539.1992939199317</v>
      </c>
      <c r="CU30" s="84">
        <f t="shared" si="43"/>
        <v>20985.651909096327</v>
      </c>
      <c r="CV30" s="68">
        <f t="shared" si="44"/>
        <v>17938.612756392409</v>
      </c>
      <c r="CW30" s="36">
        <f t="shared" si="45"/>
        <v>-3047.0391527039174</v>
      </c>
      <c r="CX30" s="41">
        <f>'[2]побудинковий звіт'!CX30+'[1]побудинковий звіт'!CX30</f>
        <v>464.28821113983008</v>
      </c>
      <c r="CY30" s="41">
        <f>'[2]побудинковий звіт'!CY30+'[1]побудинковий звіт'!CY30</f>
        <v>3511.3273638437504</v>
      </c>
      <c r="CZ30" s="55">
        <f t="shared" si="46"/>
        <v>3047.0391527039201</v>
      </c>
      <c r="DA30" s="254">
        <f>'[1]побудинковий звіт'!DA30</f>
        <v>-25130.516549775602</v>
      </c>
      <c r="DB30" s="2">
        <v>2</v>
      </c>
      <c r="DC30" s="702">
        <f>'[1]побудинковий звіт'!DC30</f>
        <v>3506.32</v>
      </c>
      <c r="DD30" s="702">
        <f>'[1]побудинковий звіт'!DD30</f>
        <v>0</v>
      </c>
      <c r="DE30" s="702">
        <f>'[1]побудинковий звіт'!DE30</f>
        <v>1144.2600000000002</v>
      </c>
      <c r="DF30" s="702">
        <f>'[1]побудинковий звіт'!DF30</f>
        <v>0</v>
      </c>
      <c r="DG30" s="772">
        <v>-15451.875858121908</v>
      </c>
      <c r="DH30" s="746">
        <f t="shared" si="47"/>
        <v>257399.28144283386</v>
      </c>
      <c r="DI30" s="769"/>
      <c r="DJ30" s="5"/>
      <c r="DK30" s="307">
        <f>VLOOKUP($A30,ціни!$A$4:$G$401,5)</f>
        <v>6.4296295107265111</v>
      </c>
      <c r="DL30" s="307"/>
      <c r="DM30" s="307">
        <f>VLOOKUP($A30,ціни!$A$4:$G$401,7)</f>
        <v>5.5283194960805897</v>
      </c>
      <c r="DN30" s="29">
        <f>F30*DK30</f>
        <v>1679.4192282017646</v>
      </c>
      <c r="DO30" s="29">
        <f>H30*DM30</f>
        <v>0</v>
      </c>
      <c r="DP30" s="306">
        <f t="shared" si="48"/>
        <v>1679.4192282017646</v>
      </c>
      <c r="DQ30" s="101"/>
      <c r="DR30" s="29">
        <f>VLOOKUP(A30,'ДЗ нас '!$A$1:$C$359,2)</f>
        <v>1679.41</v>
      </c>
      <c r="DS30" s="733"/>
      <c r="DT30" s="29">
        <f t="shared" si="49"/>
        <v>1679.41</v>
      </c>
      <c r="DU30" s="247">
        <f>VLOOKUP(A30,'новий кошторис с 01.06'!$A$4:$AI$399,35)*1.2</f>
        <v>1684.3830288762524</v>
      </c>
      <c r="DV30" s="29">
        <f t="shared" si="50"/>
        <v>-4.9730288762523287</v>
      </c>
      <c r="DW30" s="1016">
        <f>'[2]побудинковий звіт'!$DW$9+'[1]побудинковий звіт'!DW30</f>
        <v>918</v>
      </c>
      <c r="DX30" s="101">
        <f>'[1]побудинковий звіт'!DX30</f>
        <v>0</v>
      </c>
      <c r="DY30" s="5">
        <f t="shared" si="51"/>
        <v>5436.9952248677637</v>
      </c>
      <c r="DZ30" s="5">
        <f t="shared" si="52"/>
        <v>0</v>
      </c>
      <c r="EA30" s="737">
        <f t="shared" si="53"/>
        <v>1144.2600000000002</v>
      </c>
      <c r="EC30" s="577">
        <f t="shared" si="54"/>
        <v>45384.466044717235</v>
      </c>
      <c r="EE30" s="743">
        <v>-8221</v>
      </c>
      <c r="EF30" s="723">
        <f t="shared" si="55"/>
        <v>-23672.875858121908</v>
      </c>
      <c r="EH30" s="798">
        <v>-18979.939342103768</v>
      </c>
      <c r="EI30" s="101">
        <f>VLOOKUP(A30,'кошти 01.01.24'!$A$9:$D$352,4,FALSE)</f>
        <v>-22083.477397071685</v>
      </c>
    </row>
    <row r="31" spans="1:139" hidden="1" x14ac:dyDescent="0.3">
      <c r="A31" s="318">
        <v>150000845</v>
      </c>
      <c r="B31" s="43" t="s">
        <v>731</v>
      </c>
      <c r="C31" s="44" t="s">
        <v>1773</v>
      </c>
      <c r="D31" s="44" t="s">
        <v>138</v>
      </c>
      <c r="E31" s="39">
        <f t="shared" si="4"/>
        <v>252.8</v>
      </c>
      <c r="F31" s="205">
        <f>'[1]побудинковий звіт'!F31</f>
        <v>252.8</v>
      </c>
      <c r="G31" s="29">
        <f>'[1]побудинковий звіт'!G31</f>
        <v>0</v>
      </c>
      <c r="H31" s="148">
        <f>'[1]побудинковий звіт'!H31</f>
        <v>0</v>
      </c>
      <c r="I31" s="41">
        <f>'[2]побудинковий звіт'!I31+'[1]побудинковий звіт'!I31</f>
        <v>0</v>
      </c>
      <c r="J31" s="41">
        <f>'[2]побудинковий звіт'!J31+'[1]побудинковий звіт'!J31</f>
        <v>0</v>
      </c>
      <c r="K31" s="55">
        <f t="shared" si="5"/>
        <v>0</v>
      </c>
      <c r="L31" s="41">
        <f>'[2]побудинковий звіт'!L31+'[1]побудинковий звіт'!L31</f>
        <v>0</v>
      </c>
      <c r="M31" s="41">
        <f>'[2]побудинковий звіт'!M31+'[1]побудинковий звіт'!M31</f>
        <v>0</v>
      </c>
      <c r="N31" s="55">
        <f t="shared" si="6"/>
        <v>0</v>
      </c>
      <c r="O31" s="41">
        <f>'[2]побудинковий звіт'!O31+'[1]побудинковий звіт'!O31</f>
        <v>0</v>
      </c>
      <c r="P31" s="41">
        <f>'[2]побудинковий звіт'!P31+'[1]побудинковий звіт'!P31</f>
        <v>0</v>
      </c>
      <c r="Q31" s="55">
        <f t="shared" si="7"/>
        <v>0</v>
      </c>
      <c r="R31" s="41">
        <f>'[2]побудинковий звіт'!R31+'[1]побудинковий звіт'!R31</f>
        <v>0</v>
      </c>
      <c r="S31" s="41">
        <f>'[2]побудинковий звіт'!S31+'[1]побудинковий звіт'!S31</f>
        <v>0</v>
      </c>
      <c r="T31" s="55">
        <f t="shared" si="8"/>
        <v>0</v>
      </c>
      <c r="U31" s="41">
        <f>'[2]побудинковий звіт'!U31+'[1]побудинковий звіт'!U31</f>
        <v>0</v>
      </c>
      <c r="V31" s="41">
        <f>'[2]побудинковий звіт'!V31+'[1]побудинковий звіт'!V31</f>
        <v>0</v>
      </c>
      <c r="W31" s="55">
        <f t="shared" si="9"/>
        <v>0</v>
      </c>
      <c r="X31" s="41">
        <f>'[2]побудинковий звіт'!X31+'[1]побудинковий звіт'!X31</f>
        <v>0</v>
      </c>
      <c r="Y31" s="41">
        <f>'[2]побудинковий звіт'!Y31+'[1]побудинковий звіт'!Y31</f>
        <v>0</v>
      </c>
      <c r="Z31" s="55">
        <f t="shared" si="10"/>
        <v>0</v>
      </c>
      <c r="AA31" s="41">
        <f>'[2]побудинковий звіт'!AA31+'[1]побудинковий звіт'!AA31</f>
        <v>0</v>
      </c>
      <c r="AB31" s="41">
        <f>'[2]побудинковий звіт'!AB31+'[1]побудинковий звіт'!AB31</f>
        <v>0</v>
      </c>
      <c r="AC31" s="55">
        <f t="shared" si="11"/>
        <v>0</v>
      </c>
      <c r="AD31" s="41">
        <f>'[2]побудинковий звіт'!AD31+'[1]побудинковий звіт'!AD31</f>
        <v>0</v>
      </c>
      <c r="AE31" s="41">
        <f>'[2]побудинковий звіт'!AE31+'[1]побудинковий звіт'!AE31</f>
        <v>0</v>
      </c>
      <c r="AF31" s="36">
        <f t="shared" si="12"/>
        <v>0</v>
      </c>
      <c r="AG31" s="84">
        <f t="shared" si="13"/>
        <v>0</v>
      </c>
      <c r="AH31" s="56">
        <f t="shared" si="14"/>
        <v>0</v>
      </c>
      <c r="AI31" s="55">
        <f t="shared" si="15"/>
        <v>0</v>
      </c>
      <c r="AJ31" s="41">
        <f>'[2]побудинковий звіт'!AJ31+'[1]побудинковий звіт'!AJ31</f>
        <v>0</v>
      </c>
      <c r="AK31" s="41">
        <f>'[2]побудинковий звіт'!AK31+'[1]побудинковий звіт'!AK31</f>
        <v>0</v>
      </c>
      <c r="AL31" s="55">
        <f t="shared" si="16"/>
        <v>0</v>
      </c>
      <c r="AM31" s="41">
        <f>'[2]побудинковий звіт'!AM31+'[1]побудинковий звіт'!AM31</f>
        <v>0</v>
      </c>
      <c r="AN31" s="41">
        <f>'[2]побудинковий звіт'!AN31+'[1]побудинковий звіт'!AN31</f>
        <v>0</v>
      </c>
      <c r="AO31" s="55">
        <f t="shared" si="17"/>
        <v>0</v>
      </c>
      <c r="AP31" s="41">
        <f>'[2]побудинковий звіт'!AP31+'[1]побудинковий звіт'!AP31</f>
        <v>357.53422513480518</v>
      </c>
      <c r="AQ31" s="41">
        <f>'[2]побудинковий звіт'!AQ31+'[1]побудинковий звіт'!AQ31</f>
        <v>93.650256154407487</v>
      </c>
      <c r="AR31" s="55">
        <f t="shared" si="18"/>
        <v>-263.8839689803977</v>
      </c>
      <c r="AS31" s="41">
        <f>'[2]побудинковий звіт'!AS31+'[1]побудинковий звіт'!AS31</f>
        <v>4449.6739240094321</v>
      </c>
      <c r="AT31" s="41">
        <f>'[2]побудинковий звіт'!AT31+'[1]побудинковий звіт'!AT31</f>
        <v>0</v>
      </c>
      <c r="AU31" s="57">
        <f t="shared" si="19"/>
        <v>-4449.6739240094321</v>
      </c>
      <c r="AV31" s="41">
        <f>'[2]побудинковий звіт'!AV31+'[1]побудинковий звіт'!AV31</f>
        <v>0</v>
      </c>
      <c r="AW31" s="41">
        <f>'[2]побудинковий звіт'!AW31+'[1]побудинковий звіт'!AW31</f>
        <v>0</v>
      </c>
      <c r="AX31" s="58">
        <f t="shared" si="20"/>
        <v>0</v>
      </c>
      <c r="AY31" s="41">
        <f>'[2]побудинковий звіт'!AY31+'[1]побудинковий звіт'!AY31</f>
        <v>0</v>
      </c>
      <c r="AZ31" s="41">
        <f>'[2]побудинковий звіт'!AZ31+'[1]побудинковий звіт'!AZ31</f>
        <v>0</v>
      </c>
      <c r="BA31" s="36">
        <f t="shared" si="21"/>
        <v>0</v>
      </c>
      <c r="BB31" s="41">
        <f>'[2]побудинковий звіт'!BB31+'[1]побудинковий звіт'!BB31</f>
        <v>0</v>
      </c>
      <c r="BC31" s="41">
        <f>'[2]побудинковий звіт'!BC31+'[1]побудинковий звіт'!BC31</f>
        <v>0</v>
      </c>
      <c r="BD31" s="58">
        <f t="shared" si="22"/>
        <v>0</v>
      </c>
      <c r="BE31" s="41">
        <f>'[2]побудинковий звіт'!BE31+'[1]побудинковий звіт'!BE31</f>
        <v>0</v>
      </c>
      <c r="BF31" s="41">
        <f>'[2]побудинковий звіт'!BF31+'[1]побудинковий звіт'!BF31</f>
        <v>0</v>
      </c>
      <c r="BG31" s="38">
        <f t="shared" si="23"/>
        <v>0</v>
      </c>
      <c r="BH31" s="41">
        <f>'[2]побудинковий звіт'!BH31+'[1]побудинковий звіт'!BH31</f>
        <v>0</v>
      </c>
      <c r="BI31" s="41">
        <f>'[2]побудинковий звіт'!BI31+'[1]побудинковий звіт'!BI31</f>
        <v>0</v>
      </c>
      <c r="BJ31" s="58">
        <f t="shared" si="24"/>
        <v>0</v>
      </c>
      <c r="BK31" s="41">
        <f>'[2]побудинковий звіт'!BK31+'[1]побудинковий звіт'!BK31</f>
        <v>0</v>
      </c>
      <c r="BL31" s="41">
        <f>'[2]побудинковий звіт'!BL31+'[1]побудинковий звіт'!BL31</f>
        <v>0</v>
      </c>
      <c r="BM31" s="38">
        <f t="shared" si="25"/>
        <v>0</v>
      </c>
      <c r="BN31" s="41">
        <f>'[2]побудинковий звіт'!BN31+'[1]побудинковий звіт'!BN31</f>
        <v>0</v>
      </c>
      <c r="BO31" s="41">
        <f>'[2]побудинковий звіт'!BO31+'[1]побудинковий звіт'!BO31</f>
        <v>0</v>
      </c>
      <c r="BP31" s="58">
        <f t="shared" si="26"/>
        <v>0</v>
      </c>
      <c r="BQ31" s="84">
        <f t="shared" si="27"/>
        <v>0</v>
      </c>
      <c r="BR31" s="42">
        <f t="shared" si="28"/>
        <v>0</v>
      </c>
      <c r="BS31" s="58">
        <f t="shared" si="29"/>
        <v>0</v>
      </c>
      <c r="BT31" s="41">
        <f>'[2]побудинковий звіт'!BT31+'[1]побудинковий звіт'!BT31</f>
        <v>0</v>
      </c>
      <c r="BU31" s="41">
        <f>'[2]побудинковий звіт'!BU31+'[1]побудинковий звіт'!BU31</f>
        <v>0</v>
      </c>
      <c r="BV31" s="55">
        <f t="shared" si="30"/>
        <v>0</v>
      </c>
      <c r="BW31" s="41">
        <f>'[2]побудинковий звіт'!BW31+'[1]побудинковий звіт'!BW31</f>
        <v>0</v>
      </c>
      <c r="BX31" s="41">
        <f>'[2]побудинковий звіт'!BX31+'[1]побудинковий звіт'!BX31</f>
        <v>1.0289698654264252</v>
      </c>
      <c r="BY31" s="55">
        <f t="shared" si="31"/>
        <v>1.0289698654264252</v>
      </c>
      <c r="BZ31" s="41">
        <f>'[2]побудинковий звіт'!BZ31+'[1]побудинковий звіт'!BZ31</f>
        <v>0</v>
      </c>
      <c r="CA31" s="41">
        <f>'[2]побудинковий звіт'!CA31+'[1]побудинковий звіт'!CA31</f>
        <v>0</v>
      </c>
      <c r="CB31" s="55">
        <f t="shared" si="32"/>
        <v>0</v>
      </c>
      <c r="CC31" s="41">
        <f>'[2]побудинковий звіт'!CC31+'[1]побудинковий звіт'!CC31</f>
        <v>0</v>
      </c>
      <c r="CD31" s="41">
        <f>'[2]побудинковий звіт'!CD31+'[1]побудинковий звіт'!CD31</f>
        <v>0</v>
      </c>
      <c r="CE31" s="55">
        <f t="shared" si="33"/>
        <v>0</v>
      </c>
      <c r="CF31" s="41">
        <f>'[2]побудинковий звіт'!CF31+'[1]побудинковий звіт'!CF31</f>
        <v>0</v>
      </c>
      <c r="CG31" s="41">
        <f>'[2]побудинковий звіт'!CG31+'[1]побудинковий звіт'!CG31</f>
        <v>0</v>
      </c>
      <c r="CH31" s="55">
        <f t="shared" si="34"/>
        <v>0</v>
      </c>
      <c r="CI31" s="41">
        <f>'[2]побудинковий звіт'!CI31+'[1]побудинковий звіт'!CI31</f>
        <v>0</v>
      </c>
      <c r="CJ31" s="41">
        <f>'[2]побудинковий звіт'!CJ31+'[1]побудинковий звіт'!CJ31</f>
        <v>0</v>
      </c>
      <c r="CK31" s="55">
        <f t="shared" si="35"/>
        <v>0</v>
      </c>
      <c r="CL31" s="41">
        <f>'[2]побудинковий звіт'!CL31+'[1]побудинковий звіт'!CL31</f>
        <v>0</v>
      </c>
      <c r="CM31" s="41">
        <f>'[2]побудинковий звіт'!CM31+'[1]побудинковий звіт'!CM31</f>
        <v>0</v>
      </c>
      <c r="CN31" s="55">
        <f t="shared" si="36"/>
        <v>0</v>
      </c>
      <c r="CO31" s="41">
        <f t="shared" si="37"/>
        <v>0</v>
      </c>
      <c r="CP31" s="42">
        <f t="shared" si="38"/>
        <v>0</v>
      </c>
      <c r="CQ31" s="55">
        <f t="shared" si="39"/>
        <v>0</v>
      </c>
      <c r="CR31" s="76">
        <f t="shared" si="40"/>
        <v>4807.2081491442368</v>
      </c>
      <c r="CS31" s="5">
        <f t="shared" si="41"/>
        <v>94.679226019833905</v>
      </c>
      <c r="CT31" s="55">
        <f t="shared" si="42"/>
        <v>-4712.5289231244033</v>
      </c>
      <c r="CU31" s="84">
        <f t="shared" si="43"/>
        <v>5768.6497789730838</v>
      </c>
      <c r="CV31" s="68">
        <f t="shared" si="44"/>
        <v>113.61507122380068</v>
      </c>
      <c r="CW31" s="36">
        <f t="shared" si="45"/>
        <v>-5655.0347077492834</v>
      </c>
      <c r="CX31" s="41">
        <f>'[2]побудинковий звіт'!CX31+'[1]побудинковий звіт'!CX31</f>
        <v>173.35996189939615</v>
      </c>
      <c r="CY31" s="41">
        <f>'[2]побудинковий звіт'!CY31+'[1]побудинковий звіт'!CY31</f>
        <v>5828.3946696486801</v>
      </c>
      <c r="CZ31" s="55">
        <f t="shared" si="46"/>
        <v>5655.0347077492843</v>
      </c>
      <c r="DA31" s="254">
        <f>'[1]побудинковий звіт'!DA31</f>
        <v>-21088.211915481468</v>
      </c>
      <c r="DB31" s="2">
        <v>1</v>
      </c>
      <c r="DC31" s="702">
        <f>'[1]побудинковий звіт'!DC31</f>
        <v>762.1</v>
      </c>
      <c r="DD31" s="702">
        <f>'[1]побудинковий звіт'!DD31</f>
        <v>0</v>
      </c>
      <c r="DE31" s="702">
        <f>'[1]побудинковий звіт'!DE31</f>
        <v>114.75</v>
      </c>
      <c r="DF31" s="702">
        <f>'[1]побудинковий звіт'!DF31</f>
        <v>0</v>
      </c>
      <c r="DG31" s="772">
        <v>-7984.9123372053855</v>
      </c>
      <c r="DH31" s="746">
        <f t="shared" si="47"/>
        <v>71304.116890469755</v>
      </c>
      <c r="DI31" s="769"/>
      <c r="DJ31" s="5"/>
      <c r="DK31" s="307">
        <f>VLOOKUP($A31,ціни!$A$4:$G$401,5)</f>
        <v>1.8455457071186456</v>
      </c>
      <c r="DL31" s="307"/>
      <c r="DM31" s="307">
        <f>VLOOKUP($A31,ціни!$A$4:$G$401,7)</f>
        <v>1.8455457071186456</v>
      </c>
      <c r="DN31" s="29">
        <f>F31*DK31</f>
        <v>466.55395475959364</v>
      </c>
      <c r="DO31" s="29">
        <f>H31*DM31</f>
        <v>0</v>
      </c>
      <c r="DP31" s="306">
        <f t="shared" si="48"/>
        <v>466.55395475959364</v>
      </c>
      <c r="DQ31" s="101"/>
      <c r="DR31" s="29">
        <f>VLOOKUP(A31,'ДЗ нас '!$A$1:$C$359,2)</f>
        <v>466.54</v>
      </c>
      <c r="DS31" s="733"/>
      <c r="DT31" s="29">
        <f t="shared" si="49"/>
        <v>466.54</v>
      </c>
      <c r="DU31" s="247">
        <f>VLOOKUP(A31,'новий кошторис с 01.06'!$A$4:$AI$399,35)*1.2</f>
        <v>468.82982770964037</v>
      </c>
      <c r="DV31" s="29">
        <f t="shared" si="50"/>
        <v>-2.289827709640349</v>
      </c>
      <c r="DW31" s="1016">
        <f>'[2]побудинковий звіт'!$DW$9+'[1]побудинковий звіт'!DW31</f>
        <v>0</v>
      </c>
      <c r="DX31" s="101">
        <f>'[1]побудинковий звіт'!DX31</f>
        <v>0</v>
      </c>
      <c r="DY31" s="5">
        <f t="shared" si="51"/>
        <v>5339.6087088113181</v>
      </c>
      <c r="DZ31" s="5">
        <f t="shared" si="52"/>
        <v>0</v>
      </c>
      <c r="EA31" s="737">
        <f t="shared" si="53"/>
        <v>114.75</v>
      </c>
      <c r="EC31" s="577">
        <f t="shared" si="54"/>
        <v>53396.087088113185</v>
      </c>
      <c r="EE31" s="743">
        <v>3904</v>
      </c>
      <c r="EF31" s="723">
        <f t="shared" si="55"/>
        <v>-4080.9123372053855</v>
      </c>
      <c r="EH31" s="798">
        <v>-11059.55957499057</v>
      </c>
      <c r="EI31" s="101">
        <f>VLOOKUP(A31,'кошти 01.01.24'!$A$9:$D$352,4,FALSE)</f>
        <v>-15433.177207732184</v>
      </c>
    </row>
    <row r="32" spans="1:139" hidden="1" x14ac:dyDescent="0.3">
      <c r="A32" s="318">
        <v>150000672</v>
      </c>
      <c r="B32" s="43"/>
      <c r="C32" s="46" t="s">
        <v>1739</v>
      </c>
      <c r="D32" s="46" t="s">
        <v>1740</v>
      </c>
      <c r="E32" s="39">
        <f t="shared" si="4"/>
        <v>3175.9</v>
      </c>
      <c r="F32" s="205">
        <f>'[1]побудинковий звіт'!F32</f>
        <v>3108.9</v>
      </c>
      <c r="G32" s="29">
        <f>'[1]побудинковий звіт'!G32</f>
        <v>0</v>
      </c>
      <c r="H32" s="148">
        <f>'[1]побудинковий звіт'!H32</f>
        <v>67</v>
      </c>
      <c r="I32" s="41">
        <f>'[2]побудинковий звіт'!I32+'[1]побудинковий звіт'!I32</f>
        <v>13681.676896177716</v>
      </c>
      <c r="J32" s="41">
        <f>'[2]побудинковий звіт'!J32+'[1]побудинковий звіт'!J32</f>
        <v>14034.452633199528</v>
      </c>
      <c r="K32" s="55">
        <f t="shared" si="5"/>
        <v>352.77573702181144</v>
      </c>
      <c r="L32" s="41">
        <f>'[2]побудинковий звіт'!L32+'[1]побудинковий звіт'!L32</f>
        <v>2693.2113518821388</v>
      </c>
      <c r="M32" s="41">
        <f>'[2]побудинковий звіт'!M32+'[1]побудинковий звіт'!M32</f>
        <v>2823.2689552271477</v>
      </c>
      <c r="N32" s="55">
        <f t="shared" si="6"/>
        <v>130.05760334500883</v>
      </c>
      <c r="O32" s="41">
        <f>'[2]побудинковий звіт'!O32+'[1]побудинковий звіт'!O32</f>
        <v>4675.7484523314897</v>
      </c>
      <c r="P32" s="41">
        <f>'[2]побудинковий звіт'!P32+'[1]побудинковий звіт'!P32</f>
        <v>4688.9285463138494</v>
      </c>
      <c r="Q32" s="55">
        <f t="shared" si="7"/>
        <v>13.180093982359722</v>
      </c>
      <c r="R32" s="41">
        <f>'[2]побудинковий звіт'!R32+'[1]побудинковий звіт'!R32</f>
        <v>0</v>
      </c>
      <c r="S32" s="41">
        <f>'[2]побудинковий звіт'!S32+'[1]побудинковий звіт'!S32</f>
        <v>0</v>
      </c>
      <c r="T32" s="55">
        <f t="shared" si="8"/>
        <v>0</v>
      </c>
      <c r="U32" s="41">
        <f>'[2]побудинковий звіт'!U32+'[1]побудинковий звіт'!U32</f>
        <v>233.87745698177133</v>
      </c>
      <c r="V32" s="41">
        <f>'[2]побудинковий звіт'!V32+'[1]побудинковий звіт'!V32</f>
        <v>134.93073857999187</v>
      </c>
      <c r="W32" s="55">
        <f t="shared" si="9"/>
        <v>-98.946718401779464</v>
      </c>
      <c r="X32" s="41">
        <f>'[2]побудинковий звіт'!X32+'[1]побудинковий звіт'!X32</f>
        <v>7752.6911960298494</v>
      </c>
      <c r="Y32" s="41">
        <f>'[2]побудинковий звіт'!Y32+'[1]побудинковий звіт'!Y32</f>
        <v>7571.3102996246853</v>
      </c>
      <c r="Z32" s="55">
        <f t="shared" si="10"/>
        <v>-181.38089640516409</v>
      </c>
      <c r="AA32" s="41">
        <f>'[2]побудинковий звіт'!AA32+'[1]побудинковий звіт'!AA32</f>
        <v>0</v>
      </c>
      <c r="AB32" s="41">
        <f>'[2]побудинковий звіт'!AB32+'[1]побудинковий звіт'!AB32</f>
        <v>0</v>
      </c>
      <c r="AC32" s="55">
        <f t="shared" si="11"/>
        <v>0</v>
      </c>
      <c r="AD32" s="41">
        <f>'[2]побудинковий звіт'!AD32+'[1]побудинковий звіт'!AD32</f>
        <v>13769.831346819752</v>
      </c>
      <c r="AE32" s="41">
        <f>'[2]побудинковий звіт'!AE32+'[1]побудинковий звіт'!AE32</f>
        <v>13716.468074481012</v>
      </c>
      <c r="AF32" s="36">
        <f t="shared" si="12"/>
        <v>-53.363272338739989</v>
      </c>
      <c r="AG32" s="84">
        <f t="shared" si="13"/>
        <v>42807.036700222714</v>
      </c>
      <c r="AH32" s="56">
        <f t="shared" si="14"/>
        <v>42969.359247426219</v>
      </c>
      <c r="AI32" s="55">
        <f t="shared" si="15"/>
        <v>162.32254720350466</v>
      </c>
      <c r="AJ32" s="41">
        <f>'[2]побудинковий звіт'!AJ32+'[1]побудинковий звіт'!AJ32</f>
        <v>0</v>
      </c>
      <c r="AK32" s="41">
        <f>'[2]побудинковий звіт'!AK32+'[1]побудинковий звіт'!AK32</f>
        <v>0</v>
      </c>
      <c r="AL32" s="55">
        <f t="shared" si="16"/>
        <v>0</v>
      </c>
      <c r="AM32" s="41">
        <f>'[2]побудинковий звіт'!AM32+'[1]побудинковий звіт'!AM32</f>
        <v>0</v>
      </c>
      <c r="AN32" s="41">
        <f>'[2]побудинковий звіт'!AN32+'[1]побудинковий звіт'!AN32</f>
        <v>0</v>
      </c>
      <c r="AO32" s="55">
        <f t="shared" si="17"/>
        <v>0</v>
      </c>
      <c r="AP32" s="41">
        <f>'[2]побудинковий звіт'!AP32+'[1]побудинковий звіт'!AP32</f>
        <v>10252.688709068861</v>
      </c>
      <c r="AQ32" s="41">
        <f>'[2]побудинковий звіт'!AQ32+'[1]побудинковий звіт'!AQ32</f>
        <v>10848.625706570572</v>
      </c>
      <c r="AR32" s="55">
        <f t="shared" si="18"/>
        <v>595.93699750171072</v>
      </c>
      <c r="AS32" s="41">
        <f>'[2]побудинковий звіт'!AS32+'[1]побудинковий звіт'!AS32</f>
        <v>47643.902955598118</v>
      </c>
      <c r="AT32" s="41">
        <f>'[2]побудинковий звіт'!AT32+'[1]побудинковий звіт'!AT32</f>
        <v>33215.801027832531</v>
      </c>
      <c r="AU32" s="57">
        <f t="shared" si="19"/>
        <v>-14428.101927765587</v>
      </c>
      <c r="AV32" s="41">
        <f>'[2]побудинковий звіт'!AV32+'[1]побудинковий звіт'!AV32</f>
        <v>2069.319012229219</v>
      </c>
      <c r="AW32" s="41">
        <f>'[2]побудинковий звіт'!AW32+'[1]побудинковий звіт'!AW32</f>
        <v>1378.7254319870619</v>
      </c>
      <c r="AX32" s="58">
        <f t="shared" si="20"/>
        <v>-690.59358024215703</v>
      </c>
      <c r="AY32" s="41">
        <f>'[2]побудинковий звіт'!AY32+'[1]побудинковий звіт'!AY32</f>
        <v>3333.6984137678473</v>
      </c>
      <c r="AZ32" s="41">
        <f>'[2]побудинковий звіт'!AZ32+'[1]побудинковий звіт'!AZ32</f>
        <v>0</v>
      </c>
      <c r="BA32" s="36">
        <f t="shared" si="21"/>
        <v>-3333.6984137678473</v>
      </c>
      <c r="BB32" s="41">
        <f>'[2]побудинковий звіт'!BB32+'[1]побудинковий звіт'!BB32</f>
        <v>2315.0221399466991</v>
      </c>
      <c r="BC32" s="41">
        <f>'[2]побудинковий звіт'!BC32+'[1]побудинковий звіт'!BC32</f>
        <v>367.97798214586402</v>
      </c>
      <c r="BD32" s="58">
        <f t="shared" si="22"/>
        <v>-1947.0441578008351</v>
      </c>
      <c r="BE32" s="41">
        <f>'[2]побудинковий звіт'!BE32+'[1]побудинковий звіт'!BE32</f>
        <v>0</v>
      </c>
      <c r="BF32" s="41">
        <f>'[2]побудинковий звіт'!BF32+'[1]побудинковий звіт'!BF32</f>
        <v>0</v>
      </c>
      <c r="BG32" s="38">
        <f t="shared" si="23"/>
        <v>0</v>
      </c>
      <c r="BH32" s="41">
        <f>'[2]побудинковий звіт'!BH32+'[1]побудинковий звіт'!BH32</f>
        <v>137.84135996429129</v>
      </c>
      <c r="BI32" s="41">
        <f>'[2]побудинковий звіт'!BI32+'[1]побудинковий звіт'!BI32</f>
        <v>2126.4971065112836</v>
      </c>
      <c r="BJ32" s="58">
        <f t="shared" si="24"/>
        <v>1988.6557465469923</v>
      </c>
      <c r="BK32" s="41">
        <f>'[2]побудинковий звіт'!BK32+'[1]побудинковий звіт'!BK32</f>
        <v>1378.8447964717075</v>
      </c>
      <c r="BL32" s="41">
        <f>'[2]побудинковий звіт'!BL32+'[1]побудинковий звіт'!BL32</f>
        <v>400.47451438863499</v>
      </c>
      <c r="BM32" s="38">
        <f t="shared" si="25"/>
        <v>-978.37028208307242</v>
      </c>
      <c r="BN32" s="41">
        <f>'[2]побудинковий звіт'!BN32+'[1]побудинковий звіт'!BN32</f>
        <v>1233.7561277661982</v>
      </c>
      <c r="BO32" s="41">
        <f>'[2]побудинковий звіт'!BO32+'[1]побудинковий звіт'!BO32</f>
        <v>3582.6837588106009</v>
      </c>
      <c r="BP32" s="58">
        <f t="shared" si="26"/>
        <v>2348.9276310444029</v>
      </c>
      <c r="BQ32" s="84">
        <f t="shared" si="27"/>
        <v>10468.481850145963</v>
      </c>
      <c r="BR32" s="42">
        <f t="shared" si="28"/>
        <v>7856.3587938434457</v>
      </c>
      <c r="BS32" s="58">
        <f t="shared" si="29"/>
        <v>-2612.1230563025174</v>
      </c>
      <c r="BT32" s="41">
        <f>'[2]побудинковий звіт'!BT32+'[1]побудинковий звіт'!BT32</f>
        <v>21960.746992613662</v>
      </c>
      <c r="BU32" s="41">
        <f>'[2]побудинковий звіт'!BU32+'[1]побудинковий звіт'!BU32</f>
        <v>47745.191842891662</v>
      </c>
      <c r="BV32" s="55">
        <f t="shared" si="30"/>
        <v>25784.444850278</v>
      </c>
      <c r="BW32" s="41">
        <f>'[2]побудинковий звіт'!BW32+'[1]побудинковий звіт'!BW32</f>
        <v>14375.536004862646</v>
      </c>
      <c r="BX32" s="41">
        <f>'[2]побудинковий звіт'!BX32+'[1]побудинковий звіт'!BX32</f>
        <v>17812.6494842951</v>
      </c>
      <c r="BY32" s="55">
        <f t="shared" si="31"/>
        <v>3437.1134794324535</v>
      </c>
      <c r="BZ32" s="41">
        <f>'[2]побудинковий звіт'!BZ32+'[1]побудинковий звіт'!BZ32</f>
        <v>9915.9137400169748</v>
      </c>
      <c r="CA32" s="41">
        <f>'[2]побудинковий звіт'!CA32+'[1]побудинковий звіт'!CA32</f>
        <v>3678.6574581946234</v>
      </c>
      <c r="CB32" s="55">
        <f t="shared" si="32"/>
        <v>-6237.2562818223514</v>
      </c>
      <c r="CC32" s="41">
        <f>'[2]побудинковий звіт'!CC32+'[1]побудинковий звіт'!CC32</f>
        <v>1090.1219123994738</v>
      </c>
      <c r="CD32" s="41">
        <f>'[2]побудинковий звіт'!CD32+'[1]побудинковий звіт'!CD32</f>
        <v>1093.8183942082223</v>
      </c>
      <c r="CE32" s="55">
        <f t="shared" si="33"/>
        <v>3.6964818087485583</v>
      </c>
      <c r="CF32" s="41">
        <f>'[2]побудинковий звіт'!CF32+'[1]побудинковий звіт'!CF32</f>
        <v>135.0603107464502</v>
      </c>
      <c r="CG32" s="41">
        <f>'[2]побудинковий звіт'!CG32+'[1]побудинковий звіт'!CG32</f>
        <v>0</v>
      </c>
      <c r="CH32" s="55">
        <f t="shared" si="34"/>
        <v>-135.0603107464502</v>
      </c>
      <c r="CI32" s="41">
        <f>'[2]побудинковий звіт'!CI32+'[1]побудинковий звіт'!CI32</f>
        <v>9448.7897044428464</v>
      </c>
      <c r="CJ32" s="41">
        <f>'[2]побудинковий звіт'!CJ32+'[1]побудинковий звіт'!CJ32</f>
        <v>8226.0102286641886</v>
      </c>
      <c r="CK32" s="55">
        <f t="shared" si="35"/>
        <v>-1222.7794757786578</v>
      </c>
      <c r="CL32" s="41">
        <f>'[2]побудинковий звіт'!CL32+'[1]побудинковий звіт'!CL32</f>
        <v>0</v>
      </c>
      <c r="CM32" s="41">
        <f>'[2]побудинковий звіт'!CM32+'[1]побудинковий звіт'!CM32</f>
        <v>0</v>
      </c>
      <c r="CN32" s="55">
        <f t="shared" si="36"/>
        <v>0</v>
      </c>
      <c r="CO32" s="41">
        <f t="shared" si="37"/>
        <v>9448.7897044428464</v>
      </c>
      <c r="CP32" s="42">
        <f t="shared" si="38"/>
        <v>8226.0102286641886</v>
      </c>
      <c r="CQ32" s="55">
        <f t="shared" si="39"/>
        <v>-1222.7794757786578</v>
      </c>
      <c r="CR32" s="76">
        <f t="shared" si="40"/>
        <v>168098.27888011772</v>
      </c>
      <c r="CS32" s="5">
        <f t="shared" si="41"/>
        <v>173446.47218392655</v>
      </c>
      <c r="CT32" s="55">
        <f t="shared" si="42"/>
        <v>5348.1933038088318</v>
      </c>
      <c r="CU32" s="84">
        <f t="shared" si="43"/>
        <v>201717.93465614127</v>
      </c>
      <c r="CV32" s="68">
        <f t="shared" si="44"/>
        <v>208135.76662071186</v>
      </c>
      <c r="CW32" s="36">
        <f t="shared" si="45"/>
        <v>6417.8319645705924</v>
      </c>
      <c r="CX32" s="41">
        <f>'[2]побудинковий звіт'!CX32+'[1]побудинковий звіт'!CX32</f>
        <v>10234.937414958651</v>
      </c>
      <c r="CY32" s="41">
        <f>'[2]побудинковий звіт'!CY32+'[1]побудинковий звіт'!CY32</f>
        <v>3817.1054503880114</v>
      </c>
      <c r="CZ32" s="55">
        <f t="shared" si="46"/>
        <v>-6417.8319645706397</v>
      </c>
      <c r="DA32" s="254">
        <f>'[1]побудинковий звіт'!DA32</f>
        <v>-44837.22539186701</v>
      </c>
      <c r="DB32" s="2">
        <v>2</v>
      </c>
      <c r="DC32" s="702">
        <f>'[1]побудинковий звіт'!DC32</f>
        <v>46774.53</v>
      </c>
      <c r="DD32" s="702">
        <f>'[1]побудинковий звіт'!DD32</f>
        <v>886.34</v>
      </c>
      <c r="DE32" s="702">
        <f>'[1]побудинковий звіт'!DE32</f>
        <v>23935.03</v>
      </c>
      <c r="DF32" s="702">
        <f>'[1]побудинковий звіт'!DF32</f>
        <v>436.69000000000005</v>
      </c>
      <c r="DG32" s="772">
        <v>5475.1732957633794</v>
      </c>
      <c r="DH32" s="746">
        <f t="shared" si="47"/>
        <v>2543434.4648531992</v>
      </c>
      <c r="DI32" s="769"/>
      <c r="DJ32" s="5"/>
      <c r="DK32" s="307">
        <v>5.2370000000000001</v>
      </c>
      <c r="DL32" s="307"/>
      <c r="DM32" s="307">
        <v>4.7779999999999996</v>
      </c>
      <c r="DN32" s="29">
        <f>F32*DK32</f>
        <v>16281.309300000001</v>
      </c>
      <c r="DO32" s="29">
        <f>H32*DM32</f>
        <v>320.12599999999998</v>
      </c>
      <c r="DP32" s="306">
        <f t="shared" si="48"/>
        <v>16601.435300000001</v>
      </c>
      <c r="DQ32" s="101"/>
      <c r="DR32" s="29">
        <f>VLOOKUP(A32,'ДЗ нас '!$A$1:$C$359,2)</f>
        <v>16281.29</v>
      </c>
      <c r="DS32" s="733">
        <f>VLOOKUP(A32,'ДЗ нежит'!$A$1:$D$153,4,0)</f>
        <v>320.12</v>
      </c>
      <c r="DT32" s="29">
        <f t="shared" si="49"/>
        <v>16601.41</v>
      </c>
      <c r="DU32" s="247">
        <f>VLOOKUP(A32,'новий кошторис с 01.06'!$A$4:$AI$399,35)*1.2</f>
        <v>16752.158070430862</v>
      </c>
      <c r="DV32" s="29">
        <f t="shared" si="50"/>
        <v>-150.74807043086184</v>
      </c>
      <c r="DW32" s="1016">
        <f>'[2]побудинковий звіт'!$DW$9+'[1]побудинковий звіт'!DW32</f>
        <v>918</v>
      </c>
      <c r="DX32" s="101">
        <f>'[1]побудинковий звіт'!DX32</f>
        <v>0</v>
      </c>
      <c r="DY32" s="5">
        <f t="shared" si="51"/>
        <v>69734.861766892893</v>
      </c>
      <c r="DZ32" s="5">
        <f t="shared" si="52"/>
        <v>49286.591786011166</v>
      </c>
      <c r="EA32" s="737">
        <f t="shared" si="53"/>
        <v>24371.719999999998</v>
      </c>
      <c r="EC32" s="577">
        <f t="shared" si="54"/>
        <v>571726.83546717744</v>
      </c>
      <c r="EE32" s="743">
        <v>39266</v>
      </c>
      <c r="EF32" s="723">
        <f t="shared" si="55"/>
        <v>44741.173295763379</v>
      </c>
      <c r="EH32" s="798">
        <v>-17934.00032145864</v>
      </c>
      <c r="EI32" s="101">
        <f>VLOOKUP(A32,'кошти 01.01.24'!$A$9:$D$352,4,FALSE)</f>
        <v>-51255.057356437646</v>
      </c>
    </row>
    <row r="33" spans="1:139" ht="14.4" hidden="1" customHeight="1" x14ac:dyDescent="0.3">
      <c r="A33" s="318">
        <v>150000673</v>
      </c>
      <c r="B33" s="43" t="s">
        <v>679</v>
      </c>
      <c r="C33" s="44" t="s">
        <v>1741</v>
      </c>
      <c r="D33" s="44" t="s">
        <v>1742</v>
      </c>
      <c r="E33" s="39">
        <f t="shared" si="4"/>
        <v>602.5</v>
      </c>
      <c r="F33" s="205">
        <f>'[1]побудинковий звіт'!F33</f>
        <v>602.5</v>
      </c>
      <c r="G33" s="29">
        <f>'[1]побудинковий звіт'!G33</f>
        <v>0</v>
      </c>
      <c r="H33" s="148">
        <f>'[1]побудинковий звіт'!H33</f>
        <v>0</v>
      </c>
      <c r="I33" s="41">
        <f>'[2]побудинковий звіт'!I33+'[1]побудинковий звіт'!I33</f>
        <v>3773.4279388682953</v>
      </c>
      <c r="J33" s="41">
        <f>'[2]побудинковий звіт'!J33+'[1]побудинковий звіт'!J33</f>
        <v>3824.4067718878387</v>
      </c>
      <c r="K33" s="55">
        <f t="shared" si="5"/>
        <v>50.978833019543345</v>
      </c>
      <c r="L33" s="41">
        <f>'[2]побудинковий звіт'!L33+'[1]побудинковий звіт'!L33</f>
        <v>646.32495010744083</v>
      </c>
      <c r="M33" s="41">
        <f>'[2]побудинковий звіт'!M33+'[1]побудинковий звіт'!M33</f>
        <v>676.3743729753478</v>
      </c>
      <c r="N33" s="55">
        <f t="shared" si="6"/>
        <v>30.049422867906969</v>
      </c>
      <c r="O33" s="41">
        <f>'[2]побудинковий звіт'!O33+'[1]побудинковий звіт'!O33</f>
        <v>878.6303498598088</v>
      </c>
      <c r="P33" s="41">
        <f>'[2]побудинковий звіт'!P33+'[1]побудинковий звіт'!P33</f>
        <v>881.40422792260563</v>
      </c>
      <c r="Q33" s="55">
        <f t="shared" si="7"/>
        <v>2.7738780627968254</v>
      </c>
      <c r="R33" s="41">
        <f>'[2]побудинковий звіт'!R33+'[1]побудинковий звіт'!R33</f>
        <v>0</v>
      </c>
      <c r="S33" s="41">
        <f>'[2]побудинковий звіт'!S33+'[1]побудинковий звіт'!S33</f>
        <v>0</v>
      </c>
      <c r="T33" s="55">
        <f t="shared" si="8"/>
        <v>0</v>
      </c>
      <c r="U33" s="41">
        <f>'[2]побудинковий звіт'!U33+'[1]побудинковий звіт'!U33</f>
        <v>0</v>
      </c>
      <c r="V33" s="41">
        <f>'[2]побудинковий звіт'!V33+'[1]побудинковий звіт'!V33</f>
        <v>0</v>
      </c>
      <c r="W33" s="55">
        <f t="shared" si="9"/>
        <v>0</v>
      </c>
      <c r="X33" s="41">
        <f>'[2]побудинковий звіт'!X33+'[1]побудинковий звіт'!X33</f>
        <v>1246.2672390436112</v>
      </c>
      <c r="Y33" s="41">
        <f>'[2]побудинковий звіт'!Y33+'[1]побудинковий звіт'!Y33</f>
        <v>1189.4040922413997</v>
      </c>
      <c r="Z33" s="55">
        <f t="shared" si="10"/>
        <v>-56.863146802211531</v>
      </c>
      <c r="AA33" s="41">
        <f>'[2]побудинковий звіт'!AA33+'[1]побудинковий звіт'!AA33</f>
        <v>0</v>
      </c>
      <c r="AB33" s="41">
        <f>'[2]побудинковий звіт'!AB33+'[1]побудинковий звіт'!AB33</f>
        <v>0</v>
      </c>
      <c r="AC33" s="55">
        <f t="shared" si="11"/>
        <v>0</v>
      </c>
      <c r="AD33" s="41">
        <f>'[2]побудинковий звіт'!AD33+'[1]побудинковий звіт'!AD33</f>
        <v>2616.1096387081593</v>
      </c>
      <c r="AE33" s="41">
        <f>'[2]побудинковий звіт'!AE33+'[1]побудинковий звіт'!AE33</f>
        <v>2605.8255528211112</v>
      </c>
      <c r="AF33" s="36">
        <f t="shared" si="12"/>
        <v>-10.28408588704815</v>
      </c>
      <c r="AG33" s="84">
        <f t="shared" si="13"/>
        <v>9160.7601165873148</v>
      </c>
      <c r="AH33" s="56">
        <f t="shared" si="14"/>
        <v>9177.4150178483033</v>
      </c>
      <c r="AI33" s="55">
        <f t="shared" si="15"/>
        <v>16.654901260988481</v>
      </c>
      <c r="AJ33" s="41">
        <f>'[2]побудинковий звіт'!AJ33+'[1]побудинковий звіт'!AJ33</f>
        <v>0</v>
      </c>
      <c r="AK33" s="41">
        <f>'[2]побудинковий звіт'!AK33+'[1]побудинковий звіт'!AK33</f>
        <v>0</v>
      </c>
      <c r="AL33" s="55">
        <f t="shared" si="16"/>
        <v>0</v>
      </c>
      <c r="AM33" s="41">
        <f>'[2]побудинковий звіт'!AM33+'[1]побудинковий звіт'!AM33</f>
        <v>0</v>
      </c>
      <c r="AN33" s="41">
        <f>'[2]побудинковий звіт'!AN33+'[1]побудинковий звіт'!AN33</f>
        <v>0</v>
      </c>
      <c r="AO33" s="55">
        <f t="shared" si="17"/>
        <v>0</v>
      </c>
      <c r="AP33" s="41">
        <f>'[2]побудинковий звіт'!AP33+'[1]побудинковий звіт'!AP33</f>
        <v>1783.0762972293671</v>
      </c>
      <c r="AQ33" s="41">
        <f>'[2]побудинковий звіт'!AQ33+'[1]побудинковий звіт'!AQ33</f>
        <v>1824.7117307549697</v>
      </c>
      <c r="AR33" s="55">
        <f t="shared" si="18"/>
        <v>41.635433525602593</v>
      </c>
      <c r="AS33" s="41">
        <f>'[2]побудинковий звіт'!AS33+'[1]побудинковий звіт'!AS33</f>
        <v>9606.7290188029729</v>
      </c>
      <c r="AT33" s="41">
        <f>'[2]побудинковий звіт'!AT33+'[1]побудинковий звіт'!AT33</f>
        <v>7268</v>
      </c>
      <c r="AU33" s="57">
        <f t="shared" si="19"/>
        <v>-2338.7290188029729</v>
      </c>
      <c r="AV33" s="41">
        <f>'[2]побудинковий звіт'!AV33+'[1]побудинковий звіт'!AV33</f>
        <v>631.07467332826536</v>
      </c>
      <c r="AW33" s="41">
        <f>'[2]побудинковий звіт'!AW33+'[1]побудинковий звіт'!AW33</f>
        <v>0</v>
      </c>
      <c r="AX33" s="58">
        <f t="shared" si="20"/>
        <v>-631.07467332826536</v>
      </c>
      <c r="AY33" s="41">
        <f>'[2]побудинковий звіт'!AY33+'[1]побудинковий звіт'!AY33</f>
        <v>783.04557228669978</v>
      </c>
      <c r="AZ33" s="41">
        <f>'[2]побудинковий звіт'!AZ33+'[1]побудинковий звіт'!AZ33</f>
        <v>0</v>
      </c>
      <c r="BA33" s="36">
        <f t="shared" si="21"/>
        <v>-783.04557228669978</v>
      </c>
      <c r="BB33" s="41">
        <f>'[2]побудинковий звіт'!BB33+'[1]побудинковий звіт'!BB33</f>
        <v>420.77371777150404</v>
      </c>
      <c r="BC33" s="41">
        <f>'[2]побудинковий звіт'!BC33+'[1]побудинковий звіт'!BC33</f>
        <v>0</v>
      </c>
      <c r="BD33" s="58">
        <f t="shared" si="22"/>
        <v>-420.77371777150404</v>
      </c>
      <c r="BE33" s="41">
        <f>'[2]побудинковий звіт'!BE33+'[1]побудинковий звіт'!BE33</f>
        <v>0</v>
      </c>
      <c r="BF33" s="41">
        <f>'[2]побудинковий звіт'!BF33+'[1]побудинковий звіт'!BF33</f>
        <v>0</v>
      </c>
      <c r="BG33" s="38">
        <f t="shared" si="23"/>
        <v>0</v>
      </c>
      <c r="BH33" s="41">
        <f>'[2]побудинковий звіт'!BH33+'[1]побудинковий звіт'!BH33</f>
        <v>0</v>
      </c>
      <c r="BI33" s="41">
        <f>'[2]побудинковий звіт'!BI33+'[1]побудинковий звіт'!BI33</f>
        <v>0</v>
      </c>
      <c r="BJ33" s="58">
        <f t="shared" si="24"/>
        <v>0</v>
      </c>
      <c r="BK33" s="41">
        <f>'[2]побудинковий звіт'!BK33+'[1]побудинковий звіт'!BK33</f>
        <v>226.12759305021785</v>
      </c>
      <c r="BL33" s="41">
        <f>'[2]побудинковий звіт'!BL33+'[1]побудинковий звіт'!BL33</f>
        <v>0</v>
      </c>
      <c r="BM33" s="38">
        <f t="shared" si="25"/>
        <v>-226.12759305021785</v>
      </c>
      <c r="BN33" s="41">
        <f>'[2]побудинковий звіт'!BN33+'[1]побудинковий звіт'!BN33</f>
        <v>31.214014296485885</v>
      </c>
      <c r="BO33" s="41">
        <f>'[2]побудинковий звіт'!BO33+'[1]побудинковий звіт'!BO33</f>
        <v>0</v>
      </c>
      <c r="BP33" s="58">
        <f t="shared" si="26"/>
        <v>-31.214014296485885</v>
      </c>
      <c r="BQ33" s="84">
        <f t="shared" si="27"/>
        <v>2092.2355707331731</v>
      </c>
      <c r="BR33" s="42">
        <f t="shared" si="28"/>
        <v>0</v>
      </c>
      <c r="BS33" s="58">
        <f t="shared" si="29"/>
        <v>-2092.2355707331731</v>
      </c>
      <c r="BT33" s="41">
        <f>'[2]побудинковий звіт'!BT33+'[1]побудинковий звіт'!BT33</f>
        <v>9983.3445691126817</v>
      </c>
      <c r="BU33" s="41">
        <f>'[2]побудинковий звіт'!BU33+'[1]побудинковий звіт'!BU33</f>
        <v>12373.384690186265</v>
      </c>
      <c r="BV33" s="55">
        <f t="shared" si="30"/>
        <v>2390.0401210735836</v>
      </c>
      <c r="BW33" s="41">
        <f>'[2]побудинковий звіт'!BW33+'[1]побудинковий звіт'!BW33</f>
        <v>5184.8287314064373</v>
      </c>
      <c r="BX33" s="41">
        <f>'[2]побудинковий звіт'!BX33+'[1]побудинковий звіт'!BX33</f>
        <v>5819.5387505291974</v>
      </c>
      <c r="BY33" s="55">
        <f t="shared" si="31"/>
        <v>634.71001912276006</v>
      </c>
      <c r="BZ33" s="41">
        <f>'[2]побудинковий звіт'!BZ33+'[1]побудинковий звіт'!BZ33</f>
        <v>1817.172715990024</v>
      </c>
      <c r="CA33" s="41">
        <f>'[2]побудинковий звіт'!CA33+'[1]побудинковий звіт'!CA33</f>
        <v>1518.8600721813423</v>
      </c>
      <c r="CB33" s="55">
        <f t="shared" si="32"/>
        <v>-298.31264380868174</v>
      </c>
      <c r="CC33" s="41">
        <f>'[2]побудинковий звіт'!CC33+'[1]побудинковий звіт'!CC33</f>
        <v>0</v>
      </c>
      <c r="CD33" s="41">
        <f>'[2]побудинковий звіт'!CD33+'[1]побудинковий звіт'!CD33</f>
        <v>0</v>
      </c>
      <c r="CE33" s="55">
        <f t="shared" si="33"/>
        <v>0</v>
      </c>
      <c r="CF33" s="41">
        <f>'[2]побудинковий звіт'!CF33+'[1]побудинковий звіт'!CF33</f>
        <v>0</v>
      </c>
      <c r="CG33" s="41">
        <f>'[2]побудинковий звіт'!CG33+'[1]побудинковий звіт'!CG33</f>
        <v>0</v>
      </c>
      <c r="CH33" s="55">
        <f t="shared" si="34"/>
        <v>0</v>
      </c>
      <c r="CI33" s="41">
        <f>'[2]побудинковий звіт'!CI33+'[1]побудинковий звіт'!CI33</f>
        <v>675.55181022098918</v>
      </c>
      <c r="CJ33" s="41">
        <f>'[2]побудинковий звіт'!CJ33+'[1]побудинковий звіт'!CJ33</f>
        <v>259.89623670434821</v>
      </c>
      <c r="CK33" s="55">
        <f t="shared" si="35"/>
        <v>-415.65557351664097</v>
      </c>
      <c r="CL33" s="41">
        <f>'[2]побудинковий звіт'!CL33+'[1]побудинковий звіт'!CL33</f>
        <v>0</v>
      </c>
      <c r="CM33" s="41">
        <f>'[2]побудинковий звіт'!CM33+'[1]побудинковий звіт'!CM33</f>
        <v>0</v>
      </c>
      <c r="CN33" s="55">
        <f t="shared" si="36"/>
        <v>0</v>
      </c>
      <c r="CO33" s="41">
        <f t="shared" si="37"/>
        <v>675.55181022098918</v>
      </c>
      <c r="CP33" s="42">
        <f t="shared" si="38"/>
        <v>259.89623670434821</v>
      </c>
      <c r="CQ33" s="55">
        <f t="shared" si="39"/>
        <v>-415.65557351664097</v>
      </c>
      <c r="CR33" s="76">
        <f t="shared" si="40"/>
        <v>40303.698830082962</v>
      </c>
      <c r="CS33" s="5">
        <f t="shared" si="41"/>
        <v>38241.806498204423</v>
      </c>
      <c r="CT33" s="55">
        <f t="shared" si="42"/>
        <v>-2061.8923318785382</v>
      </c>
      <c r="CU33" s="84">
        <f t="shared" si="43"/>
        <v>48364.43859609955</v>
      </c>
      <c r="CV33" s="68">
        <f t="shared" si="44"/>
        <v>45890.167797845308</v>
      </c>
      <c r="CW33" s="36">
        <f t="shared" si="45"/>
        <v>-2474.2707982542415</v>
      </c>
      <c r="CX33" s="41">
        <f>'[2]побудинковий звіт'!CX33+'[1]побудинковий звіт'!CX33</f>
        <v>1016.9705121815223</v>
      </c>
      <c r="CY33" s="41">
        <f>'[2]побудинковий звіт'!CY33+'[1]побудинковий звіт'!CY33</f>
        <v>3491.2413104357665</v>
      </c>
      <c r="CZ33" s="55">
        <f t="shared" si="46"/>
        <v>2474.2707982542443</v>
      </c>
      <c r="DA33" s="254">
        <f>'[1]побудинковий звіт'!DA33</f>
        <v>-2795.5964387212207</v>
      </c>
      <c r="DB33" s="2">
        <v>2</v>
      </c>
      <c r="DC33" s="702">
        <f>'[1]побудинковий звіт'!DC33</f>
        <v>28425.07</v>
      </c>
      <c r="DD33" s="702">
        <f>'[1]побудинковий звіт'!DD33</f>
        <v>0</v>
      </c>
      <c r="DE33" s="702">
        <f>'[1]побудинковий звіт'!DE33</f>
        <v>23002.03</v>
      </c>
      <c r="DF33" s="702">
        <f>'[1]побудинковий звіт'!DF33</f>
        <v>0</v>
      </c>
      <c r="DG33" s="772">
        <v>8356.3542398477584</v>
      </c>
      <c r="DH33" s="746">
        <f t="shared" si="47"/>
        <v>592576.90929937281</v>
      </c>
      <c r="DI33" s="769"/>
      <c r="DJ33" s="5"/>
      <c r="DK33" s="307">
        <f>VLOOKUP($A33,ціни!$A$4:$G$401,5)</f>
        <v>6.4217042466165477</v>
      </c>
      <c r="DL33" s="307"/>
      <c r="DM33" s="307">
        <f>VLOOKUP($A33,ціни!$A$4:$G$401,7)</f>
        <v>5.5984128955008901</v>
      </c>
      <c r="DN33" s="29">
        <f>F33*DK33</f>
        <v>3869.0768085864702</v>
      </c>
      <c r="DO33" s="29">
        <f>H33*DM33</f>
        <v>0</v>
      </c>
      <c r="DP33" s="306">
        <f t="shared" si="48"/>
        <v>3869.0768085864702</v>
      </c>
      <c r="DQ33" s="101"/>
      <c r="DR33" s="29">
        <f>VLOOKUP(A33,'ДЗ нас '!$A$1:$C$359,2)</f>
        <v>3869.07</v>
      </c>
      <c r="DS33" s="733"/>
      <c r="DT33" s="29">
        <f t="shared" si="49"/>
        <v>3869.07</v>
      </c>
      <c r="DU33" s="247">
        <f>VLOOKUP(A33,'новий кошторис с 01.06'!$A$4:$AI$399,35)*1.2</f>
        <v>3885.6650513098234</v>
      </c>
      <c r="DV33" s="29">
        <f t="shared" si="50"/>
        <v>-16.595051309823248</v>
      </c>
      <c r="DW33" s="1016">
        <f>'[2]побудинковий звіт'!$DW$9+'[1]побудинковий звіт'!DW33</f>
        <v>918</v>
      </c>
      <c r="DX33" s="101">
        <f>'[1]побудинковий звіт'!DX33</f>
        <v>0</v>
      </c>
      <c r="DY33" s="5">
        <f t="shared" si="51"/>
        <v>14038.757507443375</v>
      </c>
      <c r="DZ33" s="5">
        <f t="shared" si="52"/>
        <v>8721.6</v>
      </c>
      <c r="EA33" s="737">
        <f t="shared" si="53"/>
        <v>23002.03</v>
      </c>
      <c r="EC33" s="577">
        <f t="shared" si="54"/>
        <v>115280.74822563567</v>
      </c>
      <c r="EE33" s="743">
        <v>2873</v>
      </c>
      <c r="EF33" s="723">
        <f t="shared" si="55"/>
        <v>11229.354239847758</v>
      </c>
      <c r="EH33" s="798">
        <v>9567.7946969173663</v>
      </c>
      <c r="EI33" s="101">
        <f>VLOOKUP(A33,'кошти 01.01.24'!$A$9:$D$352,4,FALSE)</f>
        <v>-321.32564046697325</v>
      </c>
    </row>
    <row r="34" spans="1:139" hidden="1" x14ac:dyDescent="0.3">
      <c r="A34" s="318">
        <v>150000676</v>
      </c>
      <c r="B34" s="43" t="s">
        <v>680</v>
      </c>
      <c r="C34" s="44" t="s">
        <v>1743</v>
      </c>
      <c r="D34" s="44" t="s">
        <v>1744</v>
      </c>
      <c r="E34" s="39">
        <f t="shared" si="4"/>
        <v>4198.7</v>
      </c>
      <c r="F34" s="205">
        <f>'[1]побудинковий звіт'!F34</f>
        <v>4198.7</v>
      </c>
      <c r="G34" s="29">
        <f>'[1]побудинковий звіт'!G34</f>
        <v>460.2</v>
      </c>
      <c r="H34" s="148">
        <f>'[1]побудинковий звіт'!H34</f>
        <v>0</v>
      </c>
      <c r="I34" s="41">
        <f>'[2]побудинковий звіт'!I34+'[1]побудинковий звіт'!I34</f>
        <v>15796.063980231922</v>
      </c>
      <c r="J34" s="41">
        <f>'[2]побудинковий звіт'!J34+'[1]побудинковий звіт'!J34</f>
        <v>16280.359366816239</v>
      </c>
      <c r="K34" s="55">
        <f t="shared" si="5"/>
        <v>484.29538658431738</v>
      </c>
      <c r="L34" s="41">
        <f>'[2]побудинковий звіт'!L34+'[1]побудинковий звіт'!L34</f>
        <v>2424.8276076885081</v>
      </c>
      <c r="M34" s="41">
        <f>'[2]побудинковий звіт'!M34+'[1]побудинковий звіт'!M34</f>
        <v>2549.9590738679626</v>
      </c>
      <c r="N34" s="55">
        <f t="shared" si="6"/>
        <v>125.13146617945449</v>
      </c>
      <c r="O34" s="41">
        <f>'[2]побудинковий звіт'!O34+'[1]побудинковий звіт'!O34</f>
        <v>6417.2086844580826</v>
      </c>
      <c r="P34" s="41">
        <f>'[2]побудинковий звіт'!P34+'[1]побудинковий звіт'!P34</f>
        <v>6435.5296678506147</v>
      </c>
      <c r="Q34" s="55">
        <f t="shared" si="7"/>
        <v>18.320983392532071</v>
      </c>
      <c r="R34" s="41">
        <f>'[2]побудинковий звіт'!R34+'[1]побудинковий звіт'!R34</f>
        <v>1592.6308524495423</v>
      </c>
      <c r="S34" s="41">
        <f>'[2]побудинковий звіт'!S34+'[1]побудинковий звіт'!S34</f>
        <v>1596.9693183679394</v>
      </c>
      <c r="T34" s="55">
        <f t="shared" si="8"/>
        <v>4.3384659183971053</v>
      </c>
      <c r="U34" s="41">
        <f>'[2]побудинковий звіт'!U34+'[1]побудинковий звіт'!U34</f>
        <v>793.75679341047226</v>
      </c>
      <c r="V34" s="41">
        <f>'[2]побудинковий звіт'!V34+'[1]побудинковий звіт'!V34</f>
        <v>1859.9378413387929</v>
      </c>
      <c r="W34" s="55">
        <f t="shared" si="9"/>
        <v>1066.1810479283206</v>
      </c>
      <c r="X34" s="41">
        <f>'[2]побудинковий звіт'!X34+'[1]побудинковий звіт'!X34</f>
        <v>6462.2615038200784</v>
      </c>
      <c r="Y34" s="41">
        <f>'[2]побудинковий звіт'!Y34+'[1]побудинковий звіт'!Y34</f>
        <v>5922.7938347222944</v>
      </c>
      <c r="Z34" s="55">
        <f t="shared" si="10"/>
        <v>-539.46766909778398</v>
      </c>
      <c r="AA34" s="41">
        <f>'[2]побудинковий звіт'!AA34+'[1]побудинковий звіт'!AA34</f>
        <v>0</v>
      </c>
      <c r="AB34" s="41">
        <f>'[2]побудинковий звіт'!AB34+'[1]побудинковий звіт'!AB34</f>
        <v>0</v>
      </c>
      <c r="AC34" s="55">
        <f t="shared" si="11"/>
        <v>0</v>
      </c>
      <c r="AD34" s="41">
        <f>'[2]побудинковий звіт'!AD34+'[1]побудинковий звіт'!AD34</f>
        <v>18209.273170543885</v>
      </c>
      <c r="AE34" s="41">
        <f>'[2]побудинковий звіт'!AE34+'[1]побудинковий звіт'!AE34</f>
        <v>18138.520714485425</v>
      </c>
      <c r="AF34" s="36">
        <f t="shared" si="12"/>
        <v>-70.752456058460666</v>
      </c>
      <c r="AG34" s="84">
        <f t="shared" si="13"/>
        <v>51696.022592602494</v>
      </c>
      <c r="AH34" s="56">
        <f t="shared" si="14"/>
        <v>52784.069817449272</v>
      </c>
      <c r="AI34" s="55">
        <f t="shared" si="15"/>
        <v>1088.0472248467777</v>
      </c>
      <c r="AJ34" s="41">
        <f>'[2]побудинковий звіт'!AJ34+'[1]побудинковий звіт'!AJ34</f>
        <v>39079.762335537846</v>
      </c>
      <c r="AK34" s="41">
        <f>'[2]побудинковий звіт'!AK34+'[1]побудинковий звіт'!AK34</f>
        <v>36833.55397424379</v>
      </c>
      <c r="AL34" s="55">
        <f t="shared" si="16"/>
        <v>-2246.2083612940551</v>
      </c>
      <c r="AM34" s="41">
        <f>'[2]побудинковий звіт'!AM34+'[1]побудинковий звіт'!AM34</f>
        <v>605.85684545284585</v>
      </c>
      <c r="AN34" s="41">
        <f>'[2]побудинковий звіт'!AN34+'[1]побудинковий звіт'!AN34</f>
        <v>2240.1078601331865</v>
      </c>
      <c r="AO34" s="55">
        <f t="shared" si="17"/>
        <v>1634.2510146803406</v>
      </c>
      <c r="AP34" s="41">
        <f>'[2]побудинковий звіт'!AP34+'[1]побудинковий звіт'!AP34</f>
        <v>3566.1525944587343</v>
      </c>
      <c r="AQ34" s="41">
        <f>'[2]побудинковий звіт'!AQ34+'[1]побудинковий звіт'!AQ34</f>
        <v>3347.2463990929641</v>
      </c>
      <c r="AR34" s="55">
        <f t="shared" si="18"/>
        <v>-218.90619536577015</v>
      </c>
      <c r="AS34" s="41">
        <f>'[2]побудинковий звіт'!AS34+'[1]побудинковий звіт'!AS34</f>
        <v>64747.960612021525</v>
      </c>
      <c r="AT34" s="41">
        <f>'[2]побудинковий звіт'!AT34+'[1]побудинковий звіт'!AT34</f>
        <v>9177.8468265443134</v>
      </c>
      <c r="AU34" s="57">
        <f t="shared" si="19"/>
        <v>-55570.11378547721</v>
      </c>
      <c r="AV34" s="41">
        <f>'[2]побудинковий звіт'!AV34+'[1]побудинковий звіт'!AV34</f>
        <v>1276.0440065627558</v>
      </c>
      <c r="AW34" s="41">
        <f>'[2]побудинковий звіт'!AW34+'[1]побудинковий звіт'!AW34</f>
        <v>0</v>
      </c>
      <c r="AX34" s="58">
        <f t="shared" si="20"/>
        <v>-1276.0440065627558</v>
      </c>
      <c r="AY34" s="41">
        <f>'[2]побудинковий звіт'!AY34+'[1]побудинковий звіт'!AY34</f>
        <v>1571.1346521612295</v>
      </c>
      <c r="AZ34" s="41">
        <f>'[2]побудинковий звіт'!AZ34+'[1]побудинковий звіт'!AZ34</f>
        <v>0</v>
      </c>
      <c r="BA34" s="36">
        <f t="shared" si="21"/>
        <v>-1571.1346521612295</v>
      </c>
      <c r="BB34" s="41">
        <f>'[2]побудинковий звіт'!BB34+'[1]побудинковий звіт'!BB34</f>
        <v>1644.8668496314669</v>
      </c>
      <c r="BC34" s="41">
        <f>'[2]побудинковий звіт'!BC34+'[1]побудинковий звіт'!BC34</f>
        <v>0</v>
      </c>
      <c r="BD34" s="58">
        <f t="shared" si="22"/>
        <v>-1644.8668496314669</v>
      </c>
      <c r="BE34" s="41">
        <f>'[2]побудинковий звіт'!BE34+'[1]побудинковий звіт'!BE34</f>
        <v>830.8552309818175</v>
      </c>
      <c r="BF34" s="41">
        <f>'[2]побудинковий звіт'!BF34+'[1]побудинковий звіт'!BF34</f>
        <v>0</v>
      </c>
      <c r="BG34" s="38">
        <f t="shared" si="23"/>
        <v>-830.8552309818175</v>
      </c>
      <c r="BH34" s="41">
        <f>'[2]побудинковий звіт'!BH34+'[1]побудинковий звіт'!BH34</f>
        <v>413.971169521734</v>
      </c>
      <c r="BI34" s="41">
        <f>'[2]побудинковий звіт'!BI34+'[1]побудинковий звіт'!BI34</f>
        <v>0</v>
      </c>
      <c r="BJ34" s="58">
        <f t="shared" si="24"/>
        <v>-413.971169521734</v>
      </c>
      <c r="BK34" s="41">
        <f>'[2]побудинковий звіт'!BK34+'[1]побудинковий звіт'!BK34</f>
        <v>1031.5186628104179</v>
      </c>
      <c r="BL34" s="41">
        <f>'[2]побудинковий звіт'!BL34+'[1]побудинковий звіт'!BL34</f>
        <v>0</v>
      </c>
      <c r="BM34" s="38">
        <f t="shared" si="25"/>
        <v>-1031.5186628104179</v>
      </c>
      <c r="BN34" s="41">
        <f>'[2]побудинковий звіт'!BN34+'[1]побудинковий звіт'!BN34</f>
        <v>53.487331030661736</v>
      </c>
      <c r="BO34" s="41">
        <f>'[2]побудинковий звіт'!BO34+'[1]побудинковий звіт'!BO34</f>
        <v>5709.2126109029996</v>
      </c>
      <c r="BP34" s="58">
        <f t="shared" si="26"/>
        <v>5655.7252798723375</v>
      </c>
      <c r="BQ34" s="84">
        <f t="shared" si="27"/>
        <v>6821.8779027000846</v>
      </c>
      <c r="BR34" s="42">
        <f t="shared" si="28"/>
        <v>5709.2126109029996</v>
      </c>
      <c r="BS34" s="58">
        <f t="shared" si="29"/>
        <v>-1112.665291797085</v>
      </c>
      <c r="BT34" s="41">
        <f>'[2]побудинковий звіт'!BT34+'[1]побудинковий звіт'!BT34</f>
        <v>60918.065144980093</v>
      </c>
      <c r="BU34" s="41">
        <f>'[2]побудинковий звіт'!BU34+'[1]побудинковий звіт'!BU34</f>
        <v>83995.592424026632</v>
      </c>
      <c r="BV34" s="55">
        <f t="shared" si="30"/>
        <v>23077.527279046539</v>
      </c>
      <c r="BW34" s="41">
        <f>'[2]побудинковий звіт'!BW34+'[1]побудинковий звіт'!BW34</f>
        <v>37521.311900070868</v>
      </c>
      <c r="BX34" s="41">
        <f>'[2]побудинковий звіт'!BX34+'[1]побудинковий звіт'!BX34</f>
        <v>47257.824966524662</v>
      </c>
      <c r="BY34" s="55">
        <f t="shared" si="31"/>
        <v>9736.5130664537937</v>
      </c>
      <c r="BZ34" s="41">
        <f>'[2]побудинковий звіт'!BZ34+'[1]побудинковий звіт'!BZ34</f>
        <v>12269.766933731062</v>
      </c>
      <c r="CA34" s="41">
        <f>'[2]побудинковий звіт'!CA34+'[1]побудинковий звіт'!CA34</f>
        <v>8424.0138523715486</v>
      </c>
      <c r="CB34" s="55">
        <f t="shared" si="32"/>
        <v>-3845.7530813595131</v>
      </c>
      <c r="CC34" s="41">
        <f>'[2]побудинковий звіт'!CC34+'[1]побудинковий звіт'!CC34</f>
        <v>549.64130036948268</v>
      </c>
      <c r="CD34" s="41">
        <f>'[2]побудинковий звіт'!CD34+'[1]побудинковий звіт'!CD34</f>
        <v>551.505072710028</v>
      </c>
      <c r="CE34" s="55">
        <f t="shared" si="33"/>
        <v>1.8637723405453244</v>
      </c>
      <c r="CF34" s="41">
        <f>'[2]побудинковий звіт'!CF34+'[1]побудинковий звіт'!CF34</f>
        <v>68.097635670479093</v>
      </c>
      <c r="CG34" s="41">
        <f>'[2]побудинковий звіт'!CG34+'[1]побудинковий звіт'!CG34</f>
        <v>0</v>
      </c>
      <c r="CH34" s="55">
        <f t="shared" si="34"/>
        <v>-68.097635670479093</v>
      </c>
      <c r="CI34" s="41">
        <f>'[2]побудинковий звіт'!CI34+'[1]побудинковий звіт'!CI34</f>
        <v>12227.821903764219</v>
      </c>
      <c r="CJ34" s="41">
        <f>'[2]побудинковий звіт'!CJ34+'[1]побудинковий звіт'!CJ34</f>
        <v>28937.892577359009</v>
      </c>
      <c r="CK34" s="55">
        <f t="shared" si="35"/>
        <v>16710.07067359479</v>
      </c>
      <c r="CL34" s="41">
        <f>'[2]побудинковий звіт'!CL34+'[1]побудинковий звіт'!CL34</f>
        <v>18720.025599442335</v>
      </c>
      <c r="CM34" s="41">
        <f>'[2]побудинковий звіт'!CM34+'[1]побудинковий звіт'!CM34</f>
        <v>43406.82256808634</v>
      </c>
      <c r="CN34" s="55">
        <f t="shared" si="36"/>
        <v>24686.796968644005</v>
      </c>
      <c r="CO34" s="41">
        <f t="shared" si="37"/>
        <v>30947.847503206554</v>
      </c>
      <c r="CP34" s="42">
        <f t="shared" si="38"/>
        <v>72344.715145445341</v>
      </c>
      <c r="CQ34" s="55">
        <f t="shared" si="39"/>
        <v>41396.867642238787</v>
      </c>
      <c r="CR34" s="76">
        <f t="shared" si="40"/>
        <v>308792.36330080207</v>
      </c>
      <c r="CS34" s="5">
        <f t="shared" si="41"/>
        <v>322665.68894944474</v>
      </c>
      <c r="CT34" s="55">
        <f t="shared" si="42"/>
        <v>13873.325648642669</v>
      </c>
      <c r="CU34" s="84">
        <f t="shared" si="43"/>
        <v>370550.83596096246</v>
      </c>
      <c r="CV34" s="68">
        <f t="shared" si="44"/>
        <v>387198.82673933369</v>
      </c>
      <c r="CW34" s="36">
        <f t="shared" si="45"/>
        <v>16647.990778371226</v>
      </c>
      <c r="CX34" s="41">
        <f>'[2]побудинковий звіт'!CX34+'[1]побудинковий звіт'!CX34</f>
        <v>8909.9779624332787</v>
      </c>
      <c r="CY34" s="41">
        <f>'[2]побудинковий звіт'!CY34+'[1]побудинковий звіт'!CY34</f>
        <v>-7738.0128159379346</v>
      </c>
      <c r="CZ34" s="55">
        <f t="shared" si="46"/>
        <v>-16647.990778371211</v>
      </c>
      <c r="DA34" s="254">
        <f>'[1]побудинковий звіт'!DA34</f>
        <v>-51653.493572487685</v>
      </c>
      <c r="DB34" s="2">
        <v>2</v>
      </c>
      <c r="DC34" s="702">
        <f>'[1]побудинковий звіт'!DC34</f>
        <v>159220.62</v>
      </c>
      <c r="DD34" s="702">
        <f>'[1]побудинковий звіт'!DD34</f>
        <v>0</v>
      </c>
      <c r="DE34" s="702">
        <f>'[1]побудинковий звіт'!DE34</f>
        <v>117433.13</v>
      </c>
      <c r="DF34" s="702">
        <f>'[1]побудинковий звіт'!DF34</f>
        <v>0</v>
      </c>
      <c r="DG34" s="772">
        <v>-45566.430163438781</v>
      </c>
      <c r="DH34" s="746">
        <f t="shared" si="47"/>
        <v>4553529.7670807494</v>
      </c>
      <c r="DI34" s="769"/>
      <c r="DJ34" s="5"/>
      <c r="DK34" s="307">
        <f>VLOOKUP($A34,ціни!$A$4:$G$401,5)</f>
        <v>5.8748293012241479</v>
      </c>
      <c r="DL34" s="307">
        <f>VLOOKUP($A34,ціни!$A$4:$G$401,6)</f>
        <v>7.2237288269659246</v>
      </c>
      <c r="DM34" s="307">
        <f>VLOOKUP($A34,ціни!$A$4:$G$401,7)</f>
        <v>5.0025819474508628</v>
      </c>
      <c r="DN34" s="29">
        <f>DK34*G34+(F34-G34)*DL34</f>
        <v>29709.506664035463</v>
      </c>
      <c r="DO34" s="29">
        <f>DM34*H34</f>
        <v>0</v>
      </c>
      <c r="DP34" s="306">
        <f t="shared" si="48"/>
        <v>29709.506664035463</v>
      </c>
      <c r="DQ34" s="101"/>
      <c r="DR34" s="29">
        <f>VLOOKUP(A34,'ДЗ нас '!$A$1:$C$359,2)</f>
        <v>29709.4</v>
      </c>
      <c r="DS34" s="733"/>
      <c r="DT34" s="29">
        <f t="shared" si="49"/>
        <v>29709.4</v>
      </c>
      <c r="DU34" s="247">
        <f>VLOOKUP(A34,'новий кошторис с 01.06'!$A$4:$AI$399,35)*1.2</f>
        <v>29850.801603522577</v>
      </c>
      <c r="DV34" s="29">
        <f t="shared" si="50"/>
        <v>-141.4016035225759</v>
      </c>
      <c r="DW34" s="1016">
        <f>'[2]побудинковий звіт'!$DW$9+'[1]побудинковий звіт'!DW34</f>
        <v>1359</v>
      </c>
      <c r="DX34" s="101">
        <f>'[1]побудинковий звіт'!DX34</f>
        <v>0</v>
      </c>
      <c r="DY34" s="5">
        <f t="shared" si="51"/>
        <v>85883.806217665915</v>
      </c>
      <c r="DZ34" s="5">
        <f t="shared" si="52"/>
        <v>17864.471324936774</v>
      </c>
      <c r="EA34" s="737">
        <f t="shared" si="53"/>
        <v>117433.13</v>
      </c>
      <c r="EC34" s="577">
        <f t="shared" si="54"/>
        <v>776975.52734425827</v>
      </c>
      <c r="EE34" s="743">
        <v>105997</v>
      </c>
      <c r="EF34" s="723">
        <f t="shared" si="55"/>
        <v>60430.569836561219</v>
      </c>
      <c r="EH34" s="798">
        <v>-47364.968044307097</v>
      </c>
      <c r="EI34" s="101">
        <f>VLOOKUP(A34,'кошти 01.01.24'!$A$9:$D$352,4,FALSE)</f>
        <v>-68301.484350858897</v>
      </c>
    </row>
    <row r="35" spans="1:139" hidden="1" x14ac:dyDescent="0.3">
      <c r="A35" s="318">
        <v>150000671</v>
      </c>
      <c r="B35" s="43" t="s">
        <v>681</v>
      </c>
      <c r="C35" s="44" t="s">
        <v>1745</v>
      </c>
      <c r="D35" s="44" t="s">
        <v>1746</v>
      </c>
      <c r="E35" s="39">
        <f t="shared" si="4"/>
        <v>229.7</v>
      </c>
      <c r="F35" s="205">
        <f>'[1]побудинковий звіт'!F35</f>
        <v>229.7</v>
      </c>
      <c r="G35" s="29">
        <f>'[1]побудинковий звіт'!G35</f>
        <v>0</v>
      </c>
      <c r="H35" s="148">
        <f>'[1]побудинковий звіт'!H35</f>
        <v>0</v>
      </c>
      <c r="I35" s="41">
        <f>'[2]побудинковий звіт'!I35+'[1]побудинковий звіт'!I35</f>
        <v>0</v>
      </c>
      <c r="J35" s="41">
        <f>'[2]побудинковий звіт'!J35+'[1]побудинковий звіт'!J35</f>
        <v>0</v>
      </c>
      <c r="K35" s="55">
        <f t="shared" si="5"/>
        <v>0</v>
      </c>
      <c r="L35" s="41">
        <f>'[2]побудинковий звіт'!L35+'[1]побудинковий звіт'!L35</f>
        <v>0</v>
      </c>
      <c r="M35" s="41">
        <f>'[2]побудинковий звіт'!M35+'[1]побудинковий звіт'!M35</f>
        <v>0</v>
      </c>
      <c r="N35" s="55">
        <f t="shared" si="6"/>
        <v>0</v>
      </c>
      <c r="O35" s="41">
        <f>'[2]побудинковий звіт'!O35+'[1]побудинковий звіт'!O35</f>
        <v>0</v>
      </c>
      <c r="P35" s="41">
        <f>'[2]побудинковий звіт'!P35+'[1]побудинковий звіт'!P35</f>
        <v>0</v>
      </c>
      <c r="Q35" s="55">
        <f t="shared" si="7"/>
        <v>0</v>
      </c>
      <c r="R35" s="41">
        <f>'[2]побудинковий звіт'!R35+'[1]побудинковий звіт'!R35</f>
        <v>0</v>
      </c>
      <c r="S35" s="41">
        <f>'[2]побудинковий звіт'!S35+'[1]побудинковий звіт'!S35</f>
        <v>0</v>
      </c>
      <c r="T35" s="55">
        <f t="shared" si="8"/>
        <v>0</v>
      </c>
      <c r="U35" s="41">
        <f>'[2]побудинковий звіт'!U35+'[1]побудинковий звіт'!U35</f>
        <v>0</v>
      </c>
      <c r="V35" s="41">
        <f>'[2]побудинковий звіт'!V35+'[1]побудинковий звіт'!V35</f>
        <v>0</v>
      </c>
      <c r="W35" s="55">
        <f t="shared" si="9"/>
        <v>0</v>
      </c>
      <c r="X35" s="41">
        <f>'[2]побудинковий звіт'!X35+'[1]побудинковий звіт'!X35</f>
        <v>0</v>
      </c>
      <c r="Y35" s="41">
        <f>'[2]побудинковий звіт'!Y35+'[1]побудинковий звіт'!Y35</f>
        <v>0</v>
      </c>
      <c r="Z35" s="55">
        <f t="shared" si="10"/>
        <v>0</v>
      </c>
      <c r="AA35" s="41">
        <f>'[2]побудинковий звіт'!AA35+'[1]побудинковий звіт'!AA35</f>
        <v>0</v>
      </c>
      <c r="AB35" s="41">
        <f>'[2]побудинковий звіт'!AB35+'[1]побудинковий звіт'!AB35</f>
        <v>0</v>
      </c>
      <c r="AC35" s="55">
        <f t="shared" si="11"/>
        <v>0</v>
      </c>
      <c r="AD35" s="41">
        <f>'[2]побудинковий звіт'!AD35+'[1]побудинковий звіт'!AD35</f>
        <v>0</v>
      </c>
      <c r="AE35" s="41">
        <f>'[2]побудинковий звіт'!AE35+'[1]побудинковий звіт'!AE35</f>
        <v>0</v>
      </c>
      <c r="AF35" s="36">
        <f t="shared" si="12"/>
        <v>0</v>
      </c>
      <c r="AG35" s="84">
        <f t="shared" si="13"/>
        <v>0</v>
      </c>
      <c r="AH35" s="56">
        <f t="shared" si="14"/>
        <v>0</v>
      </c>
      <c r="AI35" s="55">
        <f t="shared" si="15"/>
        <v>0</v>
      </c>
      <c r="AJ35" s="41">
        <f>'[2]побудинковий звіт'!AJ35+'[1]побудинковий звіт'!AJ35</f>
        <v>0</v>
      </c>
      <c r="AK35" s="41">
        <f>'[2]побудинковий звіт'!AK35+'[1]побудинковий звіт'!AK35</f>
        <v>0</v>
      </c>
      <c r="AL35" s="55">
        <f t="shared" si="16"/>
        <v>0</v>
      </c>
      <c r="AM35" s="41">
        <f>'[2]побудинковий звіт'!AM35+'[1]побудинковий звіт'!AM35</f>
        <v>0</v>
      </c>
      <c r="AN35" s="41">
        <f>'[2]побудинковий звіт'!AN35+'[1]побудинковий звіт'!AN35</f>
        <v>0</v>
      </c>
      <c r="AO35" s="55">
        <f t="shared" si="17"/>
        <v>0</v>
      </c>
      <c r="AP35" s="41">
        <f>'[2]побудинковий звіт'!AP35+'[1]побудинковий звіт'!AP35</f>
        <v>536.30133770220777</v>
      </c>
      <c r="AQ35" s="41">
        <f>'[2]побудинковий звіт'!AQ35+'[1]побудинковий звіт'!AQ35</f>
        <v>280.95076846322246</v>
      </c>
      <c r="AR35" s="55">
        <f t="shared" si="18"/>
        <v>-255.35056923898532</v>
      </c>
      <c r="AS35" s="41">
        <f>'[2]побудинковий звіт'!AS35+'[1]побудинковий звіт'!AS35</f>
        <v>3431.4482611431872</v>
      </c>
      <c r="AT35" s="41">
        <f>'[2]побудинковий звіт'!AT35+'[1]побудинковий звіт'!AT35</f>
        <v>9554.8719355906323</v>
      </c>
      <c r="AU35" s="57">
        <f t="shared" si="19"/>
        <v>6123.4236744474456</v>
      </c>
      <c r="AV35" s="41">
        <f>'[2]побудинковий звіт'!AV35+'[1]побудинковий звіт'!AV35</f>
        <v>0</v>
      </c>
      <c r="AW35" s="41">
        <f>'[2]побудинковий звіт'!AW35+'[1]побудинковий звіт'!AW35</f>
        <v>0</v>
      </c>
      <c r="AX35" s="58">
        <f t="shared" si="20"/>
        <v>0</v>
      </c>
      <c r="AY35" s="41">
        <f>'[2]побудинковий звіт'!AY35+'[1]побудинковий звіт'!AY35</f>
        <v>0</v>
      </c>
      <c r="AZ35" s="41">
        <f>'[2]побудинковий звіт'!AZ35+'[1]побудинковий звіт'!AZ35</f>
        <v>0</v>
      </c>
      <c r="BA35" s="36">
        <f t="shared" si="21"/>
        <v>0</v>
      </c>
      <c r="BB35" s="41">
        <f>'[2]побудинковий звіт'!BB35+'[1]побудинковий звіт'!BB35</f>
        <v>0</v>
      </c>
      <c r="BC35" s="41">
        <f>'[2]побудинковий звіт'!BC35+'[1]побудинковий звіт'!BC35</f>
        <v>0</v>
      </c>
      <c r="BD35" s="58">
        <f t="shared" si="22"/>
        <v>0</v>
      </c>
      <c r="BE35" s="41">
        <f>'[2]побудинковий звіт'!BE35+'[1]побудинковий звіт'!BE35</f>
        <v>0</v>
      </c>
      <c r="BF35" s="41">
        <f>'[2]побудинковий звіт'!BF35+'[1]побудинковий звіт'!BF35</f>
        <v>0</v>
      </c>
      <c r="BG35" s="38">
        <f t="shared" si="23"/>
        <v>0</v>
      </c>
      <c r="BH35" s="41">
        <f>'[2]побудинковий звіт'!BH35+'[1]побудинковий звіт'!BH35</f>
        <v>0</v>
      </c>
      <c r="BI35" s="41">
        <f>'[2]побудинковий звіт'!BI35+'[1]побудинковий звіт'!BI35</f>
        <v>0</v>
      </c>
      <c r="BJ35" s="58">
        <f t="shared" si="24"/>
        <v>0</v>
      </c>
      <c r="BK35" s="41">
        <f>'[2]побудинковий звіт'!BK35+'[1]побудинковий звіт'!BK35</f>
        <v>0</v>
      </c>
      <c r="BL35" s="41">
        <f>'[2]побудинковий звіт'!BL35+'[1]побудинковий звіт'!BL35</f>
        <v>0</v>
      </c>
      <c r="BM35" s="38">
        <f t="shared" si="25"/>
        <v>0</v>
      </c>
      <c r="BN35" s="41">
        <f>'[2]побудинковий звіт'!BN35+'[1]побудинковий звіт'!BN35</f>
        <v>0</v>
      </c>
      <c r="BO35" s="41">
        <f>'[2]побудинковий звіт'!BO35+'[1]побудинковий звіт'!BO35</f>
        <v>0</v>
      </c>
      <c r="BP35" s="58">
        <f t="shared" si="26"/>
        <v>0</v>
      </c>
      <c r="BQ35" s="84">
        <f t="shared" si="27"/>
        <v>0</v>
      </c>
      <c r="BR35" s="42">
        <f t="shared" si="28"/>
        <v>0</v>
      </c>
      <c r="BS35" s="58">
        <f t="shared" si="29"/>
        <v>0</v>
      </c>
      <c r="BT35" s="41">
        <f>'[2]побудинковий звіт'!BT35+'[1]побудинковий звіт'!BT35</f>
        <v>534.35066517020971</v>
      </c>
      <c r="BU35" s="41">
        <f>'[2]побудинковий звіт'!BU35+'[1]побудинковий звіт'!BU35</f>
        <v>1296.7178426567773</v>
      </c>
      <c r="BV35" s="55">
        <f t="shared" si="30"/>
        <v>762.36717748656758</v>
      </c>
      <c r="BW35" s="41">
        <f>'[2]побудинковий звіт'!BW35+'[1]побудинковий звіт'!BW35</f>
        <v>0</v>
      </c>
      <c r="BX35" s="41">
        <f>'[2]побудинковий звіт'!BX35+'[1]побудинковий звіт'!BX35</f>
        <v>102.27003211352243</v>
      </c>
      <c r="BY35" s="55">
        <f t="shared" si="31"/>
        <v>102.27003211352243</v>
      </c>
      <c r="BZ35" s="41">
        <f>'[2]побудинковий звіт'!BZ35+'[1]побудинковий звіт'!BZ35</f>
        <v>105.04183155864868</v>
      </c>
      <c r="CA35" s="41">
        <f>'[2]побудинковий звіт'!CA35+'[1]побудинковий звіт'!CA35</f>
        <v>116.17450961299073</v>
      </c>
      <c r="CB35" s="55">
        <f t="shared" si="32"/>
        <v>11.132678054342051</v>
      </c>
      <c r="CC35" s="41">
        <f>'[2]побудинковий звіт'!CC35+'[1]побудинковий звіт'!CC35</f>
        <v>0</v>
      </c>
      <c r="CD35" s="41">
        <f>'[2]побудинковий звіт'!CD35+'[1]побудинковий звіт'!CD35</f>
        <v>0</v>
      </c>
      <c r="CE35" s="55">
        <f t="shared" si="33"/>
        <v>0</v>
      </c>
      <c r="CF35" s="41">
        <f>'[2]побудинковий звіт'!CF35+'[1]побудинковий звіт'!CF35</f>
        <v>0</v>
      </c>
      <c r="CG35" s="41">
        <f>'[2]побудинковий звіт'!CG35+'[1]побудинковий звіт'!CG35</f>
        <v>0</v>
      </c>
      <c r="CH35" s="55">
        <f t="shared" si="34"/>
        <v>0</v>
      </c>
      <c r="CI35" s="41">
        <f>'[2]побудинковий звіт'!CI35+'[1]побудинковий звіт'!CI35</f>
        <v>0</v>
      </c>
      <c r="CJ35" s="41">
        <f>'[2]побудинковий звіт'!CJ35+'[1]побудинковий звіт'!CJ35</f>
        <v>0</v>
      </c>
      <c r="CK35" s="55">
        <f t="shared" si="35"/>
        <v>0</v>
      </c>
      <c r="CL35" s="41">
        <f>'[2]побудинковий звіт'!CL35+'[1]побудинковий звіт'!CL35</f>
        <v>0</v>
      </c>
      <c r="CM35" s="41">
        <f>'[2]побудинковий звіт'!CM35+'[1]побудинковий звіт'!CM35</f>
        <v>0</v>
      </c>
      <c r="CN35" s="55">
        <f t="shared" si="36"/>
        <v>0</v>
      </c>
      <c r="CO35" s="41">
        <f t="shared" si="37"/>
        <v>0</v>
      </c>
      <c r="CP35" s="42">
        <f t="shared" si="38"/>
        <v>0</v>
      </c>
      <c r="CQ35" s="55">
        <f t="shared" si="39"/>
        <v>0</v>
      </c>
      <c r="CR35" s="76">
        <f t="shared" si="40"/>
        <v>4607.1420955742533</v>
      </c>
      <c r="CS35" s="5">
        <f t="shared" si="41"/>
        <v>11350.985088437144</v>
      </c>
      <c r="CT35" s="55">
        <f t="shared" si="42"/>
        <v>6743.8429928628912</v>
      </c>
      <c r="CU35" s="84">
        <f t="shared" si="43"/>
        <v>5528.5705146891041</v>
      </c>
      <c r="CV35" s="68">
        <f t="shared" si="44"/>
        <v>13621.182106124574</v>
      </c>
      <c r="CW35" s="36">
        <f t="shared" si="45"/>
        <v>8092.6115914354696</v>
      </c>
      <c r="CX35" s="41">
        <f>'[2]побудинковий звіт'!CX35+'[1]побудинковий звіт'!CX35</f>
        <v>121.50848654083833</v>
      </c>
      <c r="CY35" s="41">
        <f>'[2]побудинковий звіт'!CY35+'[1]побудинковий звіт'!CY35</f>
        <v>-7971.1031048946297</v>
      </c>
      <c r="CZ35" s="55">
        <f t="shared" si="46"/>
        <v>-8092.6115914354677</v>
      </c>
      <c r="DA35" s="254">
        <f>'[1]побудинковий звіт'!DA35</f>
        <v>-3330.9119986384139</v>
      </c>
      <c r="DB35" s="2">
        <v>2</v>
      </c>
      <c r="DC35" s="702">
        <f>'[1]побудинковий звіт'!DC35</f>
        <v>460.06</v>
      </c>
      <c r="DD35" s="702">
        <f>'[1]побудинковий звіт'!DD35</f>
        <v>0</v>
      </c>
      <c r="DE35" s="702">
        <f>'[1]побудинковий звіт'!DE35</f>
        <v>-150.74999999999994</v>
      </c>
      <c r="DF35" s="702">
        <f>'[1]побудинковий звіт'!DF35</f>
        <v>0</v>
      </c>
      <c r="DG35" s="772">
        <v>-6626.3470141265234</v>
      </c>
      <c r="DH35" s="746">
        <f t="shared" si="47"/>
        <v>67800.948014759313</v>
      </c>
      <c r="DI35" s="769"/>
      <c r="DJ35" s="5"/>
      <c r="DK35" s="307">
        <f>VLOOKUP($A35,ціни!$A$4:$G$401,5)</f>
        <v>1.9352210423766256</v>
      </c>
      <c r="DL35" s="307"/>
      <c r="DM35" s="307">
        <f>VLOOKUP($A35,ціни!$A$4:$G$401,7)</f>
        <v>1.9352210423766256</v>
      </c>
      <c r="DN35" s="29">
        <f t="shared" ref="DN35:DN43" si="58">F35*DK35</f>
        <v>444.52027343391086</v>
      </c>
      <c r="DO35" s="29">
        <f t="shared" ref="DO35:DO43" si="59">H35*DM35</f>
        <v>0</v>
      </c>
      <c r="DP35" s="306">
        <f t="shared" si="48"/>
        <v>444.52027343391086</v>
      </c>
      <c r="DQ35" s="101"/>
      <c r="DR35" s="29">
        <f>VLOOKUP(A35,'ДЗ нас '!$A$1:$C$359,2)</f>
        <v>444.51</v>
      </c>
      <c r="DS35" s="733"/>
      <c r="DT35" s="29">
        <f t="shared" si="49"/>
        <v>444.51</v>
      </c>
      <c r="DU35" s="247">
        <f>VLOOKUP(A35,'новий кошторис с 01.06'!$A$4:$AI$399,35)*1.2</f>
        <v>445.83412645883863</v>
      </c>
      <c r="DV35" s="29">
        <f t="shared" si="50"/>
        <v>-1.3241264588386343</v>
      </c>
      <c r="DW35" s="1016">
        <f>'[2]побудинковий звіт'!$DW$9+'[1]побудинковий звіт'!DW35</f>
        <v>0</v>
      </c>
      <c r="DX35" s="101">
        <f>'[1]побудинковий звіт'!DX35</f>
        <v>0</v>
      </c>
      <c r="DY35" s="5">
        <f t="shared" si="51"/>
        <v>4117.7379133718241</v>
      </c>
      <c r="DZ35" s="5">
        <f t="shared" si="52"/>
        <v>11465.846322708758</v>
      </c>
      <c r="EA35" s="737">
        <f t="shared" si="53"/>
        <v>-150.74999999999994</v>
      </c>
      <c r="EC35" s="577">
        <f t="shared" si="54"/>
        <v>41177.379133718248</v>
      </c>
      <c r="EE35" s="743">
        <v>-3935</v>
      </c>
      <c r="EF35" s="723">
        <f t="shared" si="55"/>
        <v>-10561.347014126524</v>
      </c>
      <c r="EH35" s="798">
        <v>-8441.0192789291395</v>
      </c>
      <c r="EI35" s="101">
        <f>VLOOKUP(A35,'кошти 01.01.24'!$A$9:$D$352,4,FALSE)</f>
        <v>-11423.523590073883</v>
      </c>
    </row>
    <row r="36" spans="1:139" ht="14.4" hidden="1" customHeight="1" x14ac:dyDescent="0.3">
      <c r="A36" s="318">
        <v>150000726</v>
      </c>
      <c r="B36" s="43" t="s">
        <v>682</v>
      </c>
      <c r="C36" s="44" t="s">
        <v>1747</v>
      </c>
      <c r="D36" s="44" t="s">
        <v>183</v>
      </c>
      <c r="E36" s="39">
        <f t="shared" si="4"/>
        <v>409.7</v>
      </c>
      <c r="F36" s="205">
        <f>'[1]побудинковий звіт'!F36</f>
        <v>409.7</v>
      </c>
      <c r="G36" s="29">
        <f>'[1]побудинковий звіт'!G36</f>
        <v>0</v>
      </c>
      <c r="H36" s="148">
        <f>'[1]побудинковий звіт'!H36</f>
        <v>0</v>
      </c>
      <c r="I36" s="41">
        <f>'[2]побудинковий звіт'!I36+'[1]побудинковий звіт'!I36</f>
        <v>2039.1130526496786</v>
      </c>
      <c r="J36" s="41">
        <f>'[2]побудинковий звіт'!J36+'[1]побудинковий звіт'!J36</f>
        <v>2076.1151430760065</v>
      </c>
      <c r="K36" s="55">
        <f t="shared" si="5"/>
        <v>37.002090426327868</v>
      </c>
      <c r="L36" s="41">
        <f>'[2]побудинковий звіт'!L36+'[1]побудинковий звіт'!L36</f>
        <v>363.31335461917536</v>
      </c>
      <c r="M36" s="41">
        <f>'[2]побудинковий звіт'!M36+'[1]побудинковий звіт'!M36</f>
        <v>380.27922387888316</v>
      </c>
      <c r="N36" s="55">
        <f t="shared" si="6"/>
        <v>16.965869259707802</v>
      </c>
      <c r="O36" s="41">
        <f>'[2]побудинковий звіт'!O36+'[1]побудинковий звіт'!O36</f>
        <v>608.01472829144927</v>
      </c>
      <c r="P36" s="41">
        <f>'[2]побудинковий звіт'!P36+'[1]побудинковий звіт'!P36</f>
        <v>609.85760872784135</v>
      </c>
      <c r="Q36" s="55">
        <f t="shared" si="7"/>
        <v>1.842880436392079</v>
      </c>
      <c r="R36" s="41">
        <f>'[2]побудинковий звіт'!R36+'[1]побудинковий звіт'!R36</f>
        <v>0</v>
      </c>
      <c r="S36" s="41">
        <f>'[2]побудинковий звіт'!S36+'[1]побудинковий звіт'!S36</f>
        <v>0</v>
      </c>
      <c r="T36" s="55">
        <f t="shared" si="8"/>
        <v>0</v>
      </c>
      <c r="U36" s="41">
        <f>'[2]побудинковий звіт'!U36+'[1]побудинковий звіт'!U36</f>
        <v>0</v>
      </c>
      <c r="V36" s="41">
        <f>'[2]побудинковий звіт'!V36+'[1]побудинковий звіт'!V36</f>
        <v>0</v>
      </c>
      <c r="W36" s="55">
        <f t="shared" si="9"/>
        <v>0</v>
      </c>
      <c r="X36" s="41">
        <f>'[2]побудинковий звіт'!X36+'[1]побудинковий звіт'!X36</f>
        <v>955.30560885427155</v>
      </c>
      <c r="Y36" s="41">
        <f>'[2]побудинковий звіт'!Y36+'[1]побудинковий звіт'!Y36</f>
        <v>886.4579803645388</v>
      </c>
      <c r="Z36" s="55">
        <f t="shared" si="10"/>
        <v>-68.847628489732756</v>
      </c>
      <c r="AA36" s="41">
        <f>'[2]побудинковий звіт'!AA36+'[1]побудинковий звіт'!AA36</f>
        <v>0</v>
      </c>
      <c r="AB36" s="41">
        <f>'[2]побудинковий звіт'!AB36+'[1]побудинковий звіт'!AB36</f>
        <v>0</v>
      </c>
      <c r="AC36" s="55">
        <f t="shared" si="11"/>
        <v>0</v>
      </c>
      <c r="AD36" s="41">
        <f>'[2]побудинковий звіт'!AD36+'[1]побудинковий звіт'!AD36</f>
        <v>1776.9967935902121</v>
      </c>
      <c r="AE36" s="41">
        <f>'[2]побудинковий звіт'!AE36+'[1]побудинковий звіт'!AE36</f>
        <v>1770.0855726516093</v>
      </c>
      <c r="AF36" s="36">
        <f t="shared" si="12"/>
        <v>-6.9112209386028098</v>
      </c>
      <c r="AG36" s="84">
        <f t="shared" si="13"/>
        <v>5742.7435380047873</v>
      </c>
      <c r="AH36" s="56">
        <f t="shared" si="14"/>
        <v>5722.7955286988799</v>
      </c>
      <c r="AI36" s="55">
        <f t="shared" si="15"/>
        <v>-19.948009305907362</v>
      </c>
      <c r="AJ36" s="41">
        <f>'[2]побудинковий звіт'!AJ36+'[1]побудинковий звіт'!AJ36</f>
        <v>0</v>
      </c>
      <c r="AK36" s="41">
        <f>'[2]побудинковий звіт'!AK36+'[1]побудинковий звіт'!AK36</f>
        <v>0</v>
      </c>
      <c r="AL36" s="55">
        <f t="shared" si="16"/>
        <v>0</v>
      </c>
      <c r="AM36" s="41">
        <f>'[2]побудинковий звіт'!AM36+'[1]побудинковий звіт'!AM36</f>
        <v>0</v>
      </c>
      <c r="AN36" s="41">
        <f>'[2]побудинковий звіт'!AN36+'[1]побудинковий звіт'!AN36</f>
        <v>0</v>
      </c>
      <c r="AO36" s="55">
        <f t="shared" si="17"/>
        <v>0</v>
      </c>
      <c r="AP36" s="41">
        <f>'[2]побудинковий звіт'!AP36+'[1]побудинковий звіт'!AP36</f>
        <v>1188.7175314862448</v>
      </c>
      <c r="AQ36" s="41">
        <f>'[2]побудинковий звіт'!AQ36+'[1]побудинковий звіт'!AQ36</f>
        <v>1068.0915801499536</v>
      </c>
      <c r="AR36" s="55">
        <f t="shared" si="18"/>
        <v>-120.62595133629111</v>
      </c>
      <c r="AS36" s="41">
        <f>'[2]побудинковий звіт'!AS36+'[1]побудинковий звіт'!AS36</f>
        <v>5680.8453104743912</v>
      </c>
      <c r="AT36" s="41">
        <f>'[2]побудинковий звіт'!AT36+'[1]побудинковий звіт'!AT36</f>
        <v>0</v>
      </c>
      <c r="AU36" s="57">
        <f t="shared" si="19"/>
        <v>-5680.8453104743912</v>
      </c>
      <c r="AV36" s="41">
        <f>'[2]побудинковий звіт'!AV36+'[1]побудинковий звіт'!AV36</f>
        <v>320.98897324209418</v>
      </c>
      <c r="AW36" s="41">
        <f>'[2]побудинковий звіт'!AW36+'[1]побудинковий звіт'!AW36</f>
        <v>0</v>
      </c>
      <c r="AX36" s="58">
        <f t="shared" si="20"/>
        <v>-320.98897324209418</v>
      </c>
      <c r="AY36" s="41">
        <f>'[2]побудинковий звіт'!AY36+'[1]побудинковий звіт'!AY36</f>
        <v>430.69770990449786</v>
      </c>
      <c r="AZ36" s="41">
        <f>'[2]побудинковий звіт'!AZ36+'[1]побудинковий звіт'!AZ36</f>
        <v>0</v>
      </c>
      <c r="BA36" s="36">
        <f t="shared" si="21"/>
        <v>-430.69770990449786</v>
      </c>
      <c r="BB36" s="41">
        <f>'[2]побудинковий звіт'!BB36+'[1]побудинковий звіт'!BB36</f>
        <v>292.39837418664638</v>
      </c>
      <c r="BC36" s="41">
        <f>'[2]побудинковий звіт'!BC36+'[1]побудинковий звіт'!BC36</f>
        <v>0</v>
      </c>
      <c r="BD36" s="58">
        <f t="shared" si="22"/>
        <v>-292.39837418664638</v>
      </c>
      <c r="BE36" s="41">
        <f>'[2]побудинковий звіт'!BE36+'[1]побудинковий звіт'!BE36</f>
        <v>0</v>
      </c>
      <c r="BF36" s="41">
        <f>'[2]побудинковий звіт'!BF36+'[1]побудинковий звіт'!BF36</f>
        <v>0</v>
      </c>
      <c r="BG36" s="38">
        <f t="shared" si="23"/>
        <v>0</v>
      </c>
      <c r="BH36" s="41">
        <f>'[2]побудинковий звіт'!BH36+'[1]побудинковий звіт'!BH36</f>
        <v>0</v>
      </c>
      <c r="BI36" s="41">
        <f>'[2]побудинковий звіт'!BI36+'[1]побудинковий звіт'!BI36</f>
        <v>0</v>
      </c>
      <c r="BJ36" s="58">
        <f t="shared" si="24"/>
        <v>0</v>
      </c>
      <c r="BK36" s="41">
        <f>'[2]побудинковий звіт'!BK36+'[1]побудинковий звіт'!BK36</f>
        <v>111.24235466268424</v>
      </c>
      <c r="BL36" s="41">
        <f>'[2]побудинковий звіт'!BL36+'[1]побудинковий звіт'!BL36</f>
        <v>0</v>
      </c>
      <c r="BM36" s="38">
        <f t="shared" si="25"/>
        <v>-111.24235466268424</v>
      </c>
      <c r="BN36" s="41">
        <f>'[2]побудинковий звіт'!BN36+'[1]побудинковий звіт'!BN36</f>
        <v>38.805764507289481</v>
      </c>
      <c r="BO36" s="41">
        <f>'[2]побудинковий звіт'!BO36+'[1]побудинковий звіт'!BO36</f>
        <v>0</v>
      </c>
      <c r="BP36" s="58">
        <f t="shared" si="26"/>
        <v>-38.805764507289481</v>
      </c>
      <c r="BQ36" s="84">
        <f t="shared" si="27"/>
        <v>1194.1331765032121</v>
      </c>
      <c r="BR36" s="42">
        <f t="shared" si="28"/>
        <v>0</v>
      </c>
      <c r="BS36" s="58">
        <f t="shared" si="29"/>
        <v>-1194.1331765032121</v>
      </c>
      <c r="BT36" s="41">
        <f>'[2]побудинковий звіт'!BT36+'[1]побудинковий звіт'!BT36</f>
        <v>6173.7944736154614</v>
      </c>
      <c r="BU36" s="41">
        <f>'[2]побудинковий звіт'!BU36+'[1]побудинковий звіт'!BU36</f>
        <v>9279.4156977862021</v>
      </c>
      <c r="BV36" s="55">
        <f t="shared" si="30"/>
        <v>3105.6212241707408</v>
      </c>
      <c r="BW36" s="41">
        <f>'[2]побудинковий звіт'!BW36+'[1]побудинковий звіт'!BW36</f>
        <v>3691.3832345823521</v>
      </c>
      <c r="BX36" s="41">
        <f>'[2]побудинковий звіт'!BX36+'[1]побудинковий звіт'!BX36</f>
        <v>4467.0906138320788</v>
      </c>
      <c r="BY36" s="55">
        <f t="shared" si="31"/>
        <v>775.70737924972673</v>
      </c>
      <c r="BZ36" s="41">
        <f>'[2]побудинковий звіт'!BZ36+'[1]побудинковий звіт'!BZ36</f>
        <v>1316.3004477024656</v>
      </c>
      <c r="CA36" s="41">
        <f>'[2]побудинковий звіт'!CA36+'[1]побудинковий звіт'!CA36</f>
        <v>1137.8383041194886</v>
      </c>
      <c r="CB36" s="55">
        <f t="shared" si="32"/>
        <v>-178.46214358297698</v>
      </c>
      <c r="CC36" s="41">
        <f>'[2]побудинковий звіт'!CC36+'[1]побудинковий звіт'!CC36</f>
        <v>0</v>
      </c>
      <c r="CD36" s="41">
        <f>'[2]побудинковий звіт'!CD36+'[1]побудинковий звіт'!CD36</f>
        <v>0</v>
      </c>
      <c r="CE36" s="55">
        <f t="shared" si="33"/>
        <v>0</v>
      </c>
      <c r="CF36" s="41">
        <f>'[2]побудинковий звіт'!CF36+'[1]побудинковий звіт'!CF36</f>
        <v>0</v>
      </c>
      <c r="CG36" s="41">
        <f>'[2]побудинковий звіт'!CG36+'[1]побудинковий звіт'!CG36</f>
        <v>0</v>
      </c>
      <c r="CH36" s="55">
        <f t="shared" si="34"/>
        <v>0</v>
      </c>
      <c r="CI36" s="41">
        <f>'[2]побудинковий звіт'!CI36+'[1]побудинковий звіт'!CI36</f>
        <v>870.39741517802213</v>
      </c>
      <c r="CJ36" s="41">
        <f>'[2]побудинковий звіт'!CJ36+'[1]побудинковий звіт'!CJ36</f>
        <v>852.66165751299718</v>
      </c>
      <c r="CK36" s="55">
        <f t="shared" si="35"/>
        <v>-17.735757665024948</v>
      </c>
      <c r="CL36" s="41">
        <f>'[2]побудинковий звіт'!CL36+'[1]побудинковий звіт'!CL36</f>
        <v>0</v>
      </c>
      <c r="CM36" s="41">
        <f>'[2]побудинковий звіт'!CM36+'[1]побудинковий звіт'!CM36</f>
        <v>0</v>
      </c>
      <c r="CN36" s="55">
        <f t="shared" si="36"/>
        <v>0</v>
      </c>
      <c r="CO36" s="41">
        <f t="shared" si="37"/>
        <v>870.39741517802213</v>
      </c>
      <c r="CP36" s="42">
        <f t="shared" si="38"/>
        <v>852.66165751299718</v>
      </c>
      <c r="CQ36" s="55">
        <f t="shared" si="39"/>
        <v>-17.735757665024948</v>
      </c>
      <c r="CR36" s="76">
        <f t="shared" si="40"/>
        <v>25858.315127546935</v>
      </c>
      <c r="CS36" s="5">
        <f t="shared" si="41"/>
        <v>22527.893382099603</v>
      </c>
      <c r="CT36" s="55">
        <f t="shared" si="42"/>
        <v>-3330.4217454473328</v>
      </c>
      <c r="CU36" s="84">
        <f t="shared" si="43"/>
        <v>31029.97815305632</v>
      </c>
      <c r="CV36" s="68">
        <f t="shared" si="44"/>
        <v>27033.472058519521</v>
      </c>
      <c r="CW36" s="36">
        <f t="shared" si="45"/>
        <v>-3996.5060945367986</v>
      </c>
      <c r="CX36" s="41">
        <f>'[2]побудинковий звіт'!CX36+'[1]побудинковий звіт'!CX36</f>
        <v>310.1991072579566</v>
      </c>
      <c r="CY36" s="41">
        <f>'[2]побудинковий звіт'!CY36+'[1]побудинковий звіт'!CY36</f>
        <v>4306.7052017947553</v>
      </c>
      <c r="CZ36" s="55">
        <f t="shared" si="46"/>
        <v>3996.5060945367986</v>
      </c>
      <c r="DA36" s="254">
        <f>'[1]побудинковий звіт'!DA36</f>
        <v>3965.4628863705784</v>
      </c>
      <c r="DB36" s="2">
        <v>2</v>
      </c>
      <c r="DC36" s="702">
        <f>'[1]побудинковий звіт'!DC36</f>
        <v>13652.37</v>
      </c>
      <c r="DD36" s="702">
        <f>'[1]побудинковий звіт'!DD36</f>
        <v>0</v>
      </c>
      <c r="DE36" s="702">
        <f>'[1]побудинковий звіт'!DE36</f>
        <v>10252.11</v>
      </c>
      <c r="DF36" s="702">
        <f>'[1]побудинковий звіт'!DF36</f>
        <v>0</v>
      </c>
      <c r="DG36" s="772">
        <v>7036.2920946136292</v>
      </c>
      <c r="DH36" s="746">
        <f t="shared" si="47"/>
        <v>376082.12712377129</v>
      </c>
      <c r="DI36" s="769"/>
      <c r="DJ36" s="5"/>
      <c r="DK36" s="307">
        <f>VLOOKUP($A36,ціни!$A$4:$G$401,5)</f>
        <v>5.9990956689241246</v>
      </c>
      <c r="DL36" s="307"/>
      <c r="DM36" s="307">
        <f>VLOOKUP($A36,ціни!$A$4:$G$401,7)</f>
        <v>5.1469121147530057</v>
      </c>
      <c r="DN36" s="29">
        <f t="shared" si="58"/>
        <v>2457.8294955582137</v>
      </c>
      <c r="DO36" s="29">
        <f t="shared" si="59"/>
        <v>0</v>
      </c>
      <c r="DP36" s="306">
        <f t="shared" si="48"/>
        <v>2457.8294955582137</v>
      </c>
      <c r="DQ36" s="101"/>
      <c r="DR36" s="29">
        <f>VLOOKUP(A36,'ДЗ нас '!$A$1:$C$359,2)</f>
        <v>2457.8200000000002</v>
      </c>
      <c r="DS36" s="733"/>
      <c r="DT36" s="29">
        <f t="shared" si="49"/>
        <v>2457.8200000000002</v>
      </c>
      <c r="DU36" s="247">
        <f>VLOOKUP(A36,'новий кошторис с 01.06'!$A$4:$AI$399,35)*1.2</f>
        <v>2457.8294955582141</v>
      </c>
      <c r="DV36" s="29">
        <f t="shared" si="50"/>
        <v>-9.4955582139846229E-3</v>
      </c>
      <c r="DW36" s="1016">
        <f>'[2]побудинковий звіт'!$DW$9+'[1]побудинковий звіт'!DW36</f>
        <v>0</v>
      </c>
      <c r="DX36" s="101">
        <f>'[1]побудинковий звіт'!DX36</f>
        <v>0</v>
      </c>
      <c r="DY36" s="5">
        <f t="shared" si="51"/>
        <v>8249.9741843731226</v>
      </c>
      <c r="DZ36" s="5">
        <f t="shared" si="52"/>
        <v>0</v>
      </c>
      <c r="EA36" s="737">
        <f t="shared" si="53"/>
        <v>10252.11</v>
      </c>
      <c r="EC36" s="577">
        <f t="shared" si="54"/>
        <v>68170.143725692702</v>
      </c>
      <c r="EE36" s="743">
        <v>-2143</v>
      </c>
      <c r="EF36" s="723">
        <f t="shared" si="55"/>
        <v>4893.2920946136292</v>
      </c>
      <c r="EH36" s="798">
        <v>9227.1897013447178</v>
      </c>
      <c r="EI36" s="101">
        <f>VLOOKUP(A36,'кошти 01.01.24'!$A$9:$D$352,4,FALSE)</f>
        <v>7961.9689809073807</v>
      </c>
    </row>
    <row r="37" spans="1:139" hidden="1" x14ac:dyDescent="0.3">
      <c r="A37" s="318">
        <v>150000728</v>
      </c>
      <c r="B37" s="43" t="s">
        <v>683</v>
      </c>
      <c r="C37" s="44" t="s">
        <v>1748</v>
      </c>
      <c r="D37" s="44" t="s">
        <v>184</v>
      </c>
      <c r="E37" s="39">
        <f t="shared" si="4"/>
        <v>450.6</v>
      </c>
      <c r="F37" s="205">
        <f>'[1]побудинковий звіт'!F37</f>
        <v>386.5</v>
      </c>
      <c r="G37" s="29">
        <f>'[1]побудинковий звіт'!G37</f>
        <v>0</v>
      </c>
      <c r="H37" s="148">
        <f>'[1]побудинковий звіт'!H37</f>
        <v>64.099999999999994</v>
      </c>
      <c r="I37" s="41">
        <f>'[2]побудинковий звіт'!I37+'[1]побудинковий звіт'!I37</f>
        <v>2099.0330252524468</v>
      </c>
      <c r="J37" s="41">
        <f>'[2]побудинковий звіт'!J37+'[1]побудинковий звіт'!J37</f>
        <v>2136.9696373507331</v>
      </c>
      <c r="K37" s="55">
        <f t="shared" si="5"/>
        <v>37.936612098286332</v>
      </c>
      <c r="L37" s="41">
        <f>'[2]побудинковий звіт'!L37+'[1]побудинковий звіт'!L37</f>
        <v>363.31335461917536</v>
      </c>
      <c r="M37" s="41">
        <f>'[2]побудинковий звіт'!M37+'[1]побудинковий звіт'!M37</f>
        <v>380.27922387888316</v>
      </c>
      <c r="N37" s="55">
        <f t="shared" si="6"/>
        <v>16.965869259707802</v>
      </c>
      <c r="O37" s="41">
        <f>'[2]побудинковий звіт'!O37+'[1]побудинковий звіт'!O37</f>
        <v>684.85917932727148</v>
      </c>
      <c r="P37" s="41">
        <f>'[2]побудинковий звіт'!P37+'[1]побудинковий звіт'!P37</f>
        <v>686.93404841467168</v>
      </c>
      <c r="Q37" s="55">
        <f t="shared" si="7"/>
        <v>2.0748690874002023</v>
      </c>
      <c r="R37" s="41">
        <f>'[2]побудинковий звіт'!R37+'[1]побудинковий звіт'!R37</f>
        <v>0</v>
      </c>
      <c r="S37" s="41">
        <f>'[2]побудинковий звіт'!S37+'[1]побудинковий звіт'!S37</f>
        <v>0</v>
      </c>
      <c r="T37" s="55">
        <f t="shared" si="8"/>
        <v>0</v>
      </c>
      <c r="U37" s="41">
        <f>'[2]побудинковий звіт'!U37+'[1]побудинковий звіт'!U37</f>
        <v>0</v>
      </c>
      <c r="V37" s="41">
        <f>'[2]побудинковий звіт'!V37+'[1]побудинковий звіт'!V37</f>
        <v>0</v>
      </c>
      <c r="W37" s="55">
        <f t="shared" si="9"/>
        <v>0</v>
      </c>
      <c r="X37" s="41">
        <f>'[2]побудинковий звіт'!X37+'[1]побудинковий звіт'!X37</f>
        <v>945.78453641518138</v>
      </c>
      <c r="Y37" s="41">
        <f>'[2]побудинковий звіт'!Y37+'[1]побудинковий звіт'!Y37</f>
        <v>877.44269394520063</v>
      </c>
      <c r="Z37" s="55">
        <f t="shared" si="10"/>
        <v>-68.341842469980747</v>
      </c>
      <c r="AA37" s="41">
        <f>'[2]побудинковий звіт'!AA37+'[1]побудинковий звіт'!AA37</f>
        <v>0</v>
      </c>
      <c r="AB37" s="41">
        <f>'[2]побудинковий звіт'!AB37+'[1]побудинковий звіт'!AB37</f>
        <v>0</v>
      </c>
      <c r="AC37" s="55">
        <f t="shared" si="11"/>
        <v>0</v>
      </c>
      <c r="AD37" s="41">
        <f>'[2]побудинковий звіт'!AD37+'[1]побудинковий звіт'!AD37</f>
        <v>1954.3928610977537</v>
      </c>
      <c r="AE37" s="41">
        <f>'[2]побудинковий звіт'!AE37+'[1]побудинковий звіт'!AE37</f>
        <v>1946.7916988938618</v>
      </c>
      <c r="AF37" s="36">
        <f t="shared" si="12"/>
        <v>-7.6011622038918176</v>
      </c>
      <c r="AG37" s="84">
        <f t="shared" si="13"/>
        <v>6047.3829567118282</v>
      </c>
      <c r="AH37" s="56">
        <f t="shared" si="14"/>
        <v>6028.4173024833508</v>
      </c>
      <c r="AI37" s="55">
        <f t="shared" si="15"/>
        <v>-18.965654228477433</v>
      </c>
      <c r="AJ37" s="41">
        <f>'[2]побудинковий звіт'!AJ37+'[1]побудинковий звіт'!AJ37</f>
        <v>0</v>
      </c>
      <c r="AK37" s="41">
        <f>'[2]побудинковий звіт'!AK37+'[1]побудинковий звіт'!AK37</f>
        <v>0</v>
      </c>
      <c r="AL37" s="55">
        <f t="shared" si="16"/>
        <v>0</v>
      </c>
      <c r="AM37" s="41">
        <f>'[2]побудинковий звіт'!AM37+'[1]побудинковий звіт'!AM37</f>
        <v>0</v>
      </c>
      <c r="AN37" s="41">
        <f>'[2]побудинковий звіт'!AN37+'[1]побудинковий звіт'!AN37</f>
        <v>0</v>
      </c>
      <c r="AO37" s="55">
        <f t="shared" si="17"/>
        <v>0</v>
      </c>
      <c r="AP37" s="41">
        <f>'[2]побудинковий звіт'!AP37+'[1]побудинковий звіт'!AP37</f>
        <v>1040.1278400504639</v>
      </c>
      <c r="AQ37" s="41">
        <f>'[2]побудинковий звіт'!AQ37+'[1]побудинковий звіт'!AQ37</f>
        <v>857.88651227353648</v>
      </c>
      <c r="AR37" s="55">
        <f t="shared" si="18"/>
        <v>-182.24132777692739</v>
      </c>
      <c r="AS37" s="41">
        <f>'[2]побудинковий звіт'!AS37+'[1]побудинковий звіт'!AS37</f>
        <v>4403.2986158791782</v>
      </c>
      <c r="AT37" s="41">
        <f>'[2]побудинковий звіт'!AT37+'[1]побудинковий звіт'!AT37</f>
        <v>128.65513255941875</v>
      </c>
      <c r="AU37" s="57">
        <f t="shared" si="19"/>
        <v>-4274.6434833197591</v>
      </c>
      <c r="AV37" s="41">
        <f>'[2]побудинковий звіт'!AV37+'[1]побудинковий звіт'!AV37</f>
        <v>350.17318525708674</v>
      </c>
      <c r="AW37" s="41">
        <f>'[2]побудинковий звіт'!AW37+'[1]побудинковий звіт'!AW37</f>
        <v>0</v>
      </c>
      <c r="AX37" s="58">
        <f t="shared" si="20"/>
        <v>-350.17318525708674</v>
      </c>
      <c r="AY37" s="41">
        <f>'[2]побудинковий звіт'!AY37+'[1]побудинковий звіт'!AY37</f>
        <v>430.69770990449786</v>
      </c>
      <c r="AZ37" s="41">
        <f>'[2]побудинковий звіт'!AZ37+'[1]побудинковий звіт'!AZ37</f>
        <v>0</v>
      </c>
      <c r="BA37" s="36">
        <f t="shared" si="21"/>
        <v>-430.69770990449786</v>
      </c>
      <c r="BB37" s="41">
        <f>'[2]побудинковий звіт'!BB37+'[1]побудинковий звіт'!BB37</f>
        <v>315.87176308877747</v>
      </c>
      <c r="BC37" s="41">
        <f>'[2]побудинковий звіт'!BC37+'[1]побудинковий звіт'!BC37</f>
        <v>0</v>
      </c>
      <c r="BD37" s="58">
        <f t="shared" si="22"/>
        <v>-315.87176308877747</v>
      </c>
      <c r="BE37" s="41">
        <f>'[2]побудинковий звіт'!BE37+'[1]побудинковий звіт'!BE37</f>
        <v>0</v>
      </c>
      <c r="BF37" s="41">
        <f>'[2]побудинковий звіт'!BF37+'[1]побудинковий звіт'!BF37</f>
        <v>0</v>
      </c>
      <c r="BG37" s="38">
        <f t="shared" si="23"/>
        <v>0</v>
      </c>
      <c r="BH37" s="41">
        <f>'[2]побудинковий звіт'!BH37+'[1]побудинковий звіт'!BH37</f>
        <v>0</v>
      </c>
      <c r="BI37" s="41">
        <f>'[2]побудинковий звіт'!BI37+'[1]побудинковий звіт'!BI37</f>
        <v>0</v>
      </c>
      <c r="BJ37" s="58">
        <f t="shared" si="24"/>
        <v>0</v>
      </c>
      <c r="BK37" s="41">
        <f>'[2]побудинковий звіт'!BK37+'[1]побудинковий звіт'!BK37</f>
        <v>110.54215885025015</v>
      </c>
      <c r="BL37" s="41">
        <f>'[2]побудинковий звіт'!BL37+'[1]побудинковий звіт'!BL37</f>
        <v>0</v>
      </c>
      <c r="BM37" s="38">
        <f t="shared" si="25"/>
        <v>-110.54215885025015</v>
      </c>
      <c r="BN37" s="41">
        <f>'[2]побудинковий звіт'!BN37+'[1]побудинковий звіт'!BN37</f>
        <v>38.805764507289481</v>
      </c>
      <c r="BO37" s="41">
        <f>'[2]побудинковий звіт'!BO37+'[1]побудинковий звіт'!BO37</f>
        <v>0</v>
      </c>
      <c r="BP37" s="58">
        <f t="shared" si="26"/>
        <v>-38.805764507289481</v>
      </c>
      <c r="BQ37" s="84">
        <f t="shared" si="27"/>
        <v>1246.0905816079019</v>
      </c>
      <c r="BR37" s="42">
        <f t="shared" si="28"/>
        <v>0</v>
      </c>
      <c r="BS37" s="58">
        <f t="shared" si="29"/>
        <v>-1246.0905816079019</v>
      </c>
      <c r="BT37" s="41">
        <f>'[2]побудинковий звіт'!BT37+'[1]побудинковий звіт'!BT37</f>
        <v>6526.3834720303921</v>
      </c>
      <c r="BU37" s="41">
        <f>'[2]побудинковий звіт'!BU37+'[1]побудинковий звіт'!BU37</f>
        <v>11303.847779358675</v>
      </c>
      <c r="BV37" s="55">
        <f t="shared" si="30"/>
        <v>4777.4643073282832</v>
      </c>
      <c r="BW37" s="41">
        <f>'[2]побудинковий звіт'!BW37+'[1]побудинковий звіт'!BW37</f>
        <v>5068.9092046729047</v>
      </c>
      <c r="BX37" s="41">
        <f>'[2]побудинковий звіт'!BX37+'[1]побудинковий звіт'!BX37</f>
        <v>5906.9989181024575</v>
      </c>
      <c r="BY37" s="55">
        <f t="shared" si="31"/>
        <v>838.08971342955283</v>
      </c>
      <c r="BZ37" s="41">
        <f>'[2]побудинковий звіт'!BZ37+'[1]побудинковий звіт'!BZ37</f>
        <v>1154.5499735061608</v>
      </c>
      <c r="CA37" s="41">
        <f>'[2]побудинковий звіт'!CA37+'[1]побудинковий звіт'!CA37</f>
        <v>1038.1263808470439</v>
      </c>
      <c r="CB37" s="55">
        <f t="shared" si="32"/>
        <v>-116.42359265911682</v>
      </c>
      <c r="CC37" s="41">
        <f>'[2]побудинковий звіт'!CC37+'[1]побудинковий звіт'!CC37</f>
        <v>0</v>
      </c>
      <c r="CD37" s="41">
        <f>'[2]побудинковий звіт'!CD37+'[1]побудинковий звіт'!CD37</f>
        <v>0</v>
      </c>
      <c r="CE37" s="55">
        <f t="shared" si="33"/>
        <v>0</v>
      </c>
      <c r="CF37" s="41">
        <f>'[2]побудинковий звіт'!CF37+'[1]побудинковий звіт'!CF37</f>
        <v>0</v>
      </c>
      <c r="CG37" s="41">
        <f>'[2]побудинковий звіт'!CG37+'[1]побудинковий звіт'!CG37</f>
        <v>0</v>
      </c>
      <c r="CH37" s="55">
        <f t="shared" si="34"/>
        <v>0</v>
      </c>
      <c r="CI37" s="41">
        <f>'[2]побудинковий звіт'!CI37+'[1]побудинковий звіт'!CI37</f>
        <v>848.84489748649298</v>
      </c>
      <c r="CJ37" s="41">
        <f>'[2]побудинковий звіт'!CJ37+'[1]побудинковий звіт'!CJ37</f>
        <v>199.71228597903723</v>
      </c>
      <c r="CK37" s="55">
        <f t="shared" si="35"/>
        <v>-649.13261150745575</v>
      </c>
      <c r="CL37" s="41">
        <f>'[2]побудинковий звіт'!CL37+'[1]побудинковий звіт'!CL37</f>
        <v>0</v>
      </c>
      <c r="CM37" s="41">
        <f>'[2]побудинковий звіт'!CM37+'[1]побудинковий звіт'!CM37</f>
        <v>0</v>
      </c>
      <c r="CN37" s="55">
        <f t="shared" si="36"/>
        <v>0</v>
      </c>
      <c r="CO37" s="41">
        <f t="shared" si="37"/>
        <v>848.84489748649298</v>
      </c>
      <c r="CP37" s="42">
        <f t="shared" si="38"/>
        <v>199.71228597903723</v>
      </c>
      <c r="CQ37" s="55">
        <f t="shared" si="39"/>
        <v>-649.13261150745575</v>
      </c>
      <c r="CR37" s="76">
        <f t="shared" si="40"/>
        <v>26335.587541945319</v>
      </c>
      <c r="CS37" s="5">
        <f t="shared" si="41"/>
        <v>25463.644311603519</v>
      </c>
      <c r="CT37" s="55">
        <f t="shared" si="42"/>
        <v>-871.94323034179979</v>
      </c>
      <c r="CU37" s="84">
        <f t="shared" si="43"/>
        <v>31602.705050334382</v>
      </c>
      <c r="CV37" s="68">
        <f t="shared" si="44"/>
        <v>30556.373173924221</v>
      </c>
      <c r="CW37" s="36">
        <f t="shared" si="45"/>
        <v>-1046.3318764101605</v>
      </c>
      <c r="CX37" s="41">
        <f>'[2]побудинковий звіт'!CX37+'[1]побудинковий звіт'!CX37</f>
        <v>951.23933640731605</v>
      </c>
      <c r="CY37" s="41">
        <f>'[2]побудинковий звіт'!CY37+'[1]побудинковий звіт'!CY37</f>
        <v>1997.5712128174789</v>
      </c>
      <c r="CZ37" s="55">
        <f t="shared" si="46"/>
        <v>1046.3318764101627</v>
      </c>
      <c r="DA37" s="254">
        <f>'[1]побудинковий звіт'!DA37</f>
        <v>21012.964415931619</v>
      </c>
      <c r="DB37" s="2">
        <v>2</v>
      </c>
      <c r="DC37" s="702">
        <f>'[1]побудинковий звіт'!DC37</f>
        <v>6165.09</v>
      </c>
      <c r="DD37" s="702">
        <f>'[1]побудинковий звіт'!DD37</f>
        <v>-692.6</v>
      </c>
      <c r="DE37" s="702">
        <f>'[1]побудинковий звіт'!DE37</f>
        <v>3010.31</v>
      </c>
      <c r="DF37" s="702">
        <f>'[1]побудинковий звіт'!DF37</f>
        <v>-1104.27</v>
      </c>
      <c r="DG37" s="772">
        <v>25783.397290426059</v>
      </c>
      <c r="DH37" s="746">
        <f t="shared" si="47"/>
        <v>390647.33264090039</v>
      </c>
      <c r="DI37" s="769"/>
      <c r="DJ37" s="5"/>
      <c r="DK37" s="307">
        <f>VLOOKUP($A37,ціни!$A$4:$G$401,5)</f>
        <v>5.8458989361671208</v>
      </c>
      <c r="DL37" s="307"/>
      <c r="DM37" s="307">
        <f>VLOOKUP($A37,ціни!$A$4:$G$401,7)</f>
        <v>4.5682773891497535</v>
      </c>
      <c r="DN37" s="29">
        <f t="shared" si="58"/>
        <v>2259.4399388285919</v>
      </c>
      <c r="DO37" s="29">
        <f t="shared" si="59"/>
        <v>292.82658064449919</v>
      </c>
      <c r="DP37" s="306">
        <f t="shared" si="48"/>
        <v>2552.2665194730912</v>
      </c>
      <c r="DQ37" s="101"/>
      <c r="DR37" s="29">
        <f>VLOOKUP(A37,'ДЗ нас '!$A$1:$C$359,2)</f>
        <v>2259.4299999999998</v>
      </c>
      <c r="DS37" s="733">
        <f>VLOOKUP(A37,'ДЗ нежит'!$A$1:$D$153,4,0)</f>
        <v>292.82</v>
      </c>
      <c r="DT37" s="29">
        <f t="shared" si="49"/>
        <v>2552.25</v>
      </c>
      <c r="DU37" s="247">
        <f>VLOOKUP(A37,'новий кошторис с 01.06'!$A$4:$AI$399,35)*1.2</f>
        <v>2564.7166000558868</v>
      </c>
      <c r="DV37" s="29">
        <f t="shared" si="50"/>
        <v>-12.466600055886829</v>
      </c>
      <c r="DW37" s="1016">
        <f>'[2]побудинковий звіт'!$DW$9+'[1]побудинковий звіт'!DW37</f>
        <v>918</v>
      </c>
      <c r="DX37" s="101">
        <f>'[1]побудинковий звіт'!DX37</f>
        <v>0</v>
      </c>
      <c r="DY37" s="5">
        <f t="shared" si="51"/>
        <v>6779.2670369844964</v>
      </c>
      <c r="DZ37" s="5">
        <f t="shared" si="52"/>
        <v>154.3861590713025</v>
      </c>
      <c r="EA37" s="737">
        <f t="shared" si="53"/>
        <v>1906.04</v>
      </c>
      <c r="EC37" s="577">
        <f t="shared" si="54"/>
        <v>52839.583390550135</v>
      </c>
      <c r="EE37" s="743">
        <v>-4861</v>
      </c>
      <c r="EF37" s="723">
        <f t="shared" si="55"/>
        <v>20922.397290426059</v>
      </c>
      <c r="EH37" s="798">
        <v>25987.600853350868</v>
      </c>
      <c r="EI37" s="101">
        <f>VLOOKUP(A37,'кошти 01.01.24'!$A$9:$D$352,4,FALSE)</f>
        <v>22059.296292341791</v>
      </c>
    </row>
    <row r="38" spans="1:139" hidden="1" x14ac:dyDescent="0.3">
      <c r="A38" s="318">
        <v>150000729</v>
      </c>
      <c r="B38" s="43" t="s">
        <v>684</v>
      </c>
      <c r="C38" s="44" t="s">
        <v>1749</v>
      </c>
      <c r="D38" s="44" t="s">
        <v>273</v>
      </c>
      <c r="E38" s="39">
        <f t="shared" si="4"/>
        <v>2099.6999999999998</v>
      </c>
      <c r="F38" s="205">
        <f>'[1]побудинковий звіт'!F38</f>
        <v>2099.6999999999998</v>
      </c>
      <c r="G38" s="29">
        <f>'[1]побудинковий звіт'!G38</f>
        <v>0</v>
      </c>
      <c r="H38" s="148">
        <f>'[1]побудинковий звіт'!H38</f>
        <v>0</v>
      </c>
      <c r="I38" s="41">
        <f>'[2]побудинковий звіт'!I38+'[1]побудинковий звіт'!I38</f>
        <v>8822.6745952700458</v>
      </c>
      <c r="J38" s="41">
        <f>'[2]побудинковий звіт'!J38+'[1]побудинковий звіт'!J38</f>
        <v>9028.3589419284162</v>
      </c>
      <c r="K38" s="55">
        <f t="shared" si="5"/>
        <v>205.68434665837049</v>
      </c>
      <c r="L38" s="41">
        <f>'[2]побудинковий звіт'!L38+'[1]побудинковий звіт'!L38</f>
        <v>1940.506628554891</v>
      </c>
      <c r="M38" s="41">
        <f>'[2]побудинковий звіт'!M38+'[1]побудинковий звіт'!M38</f>
        <v>2041.3461189865911</v>
      </c>
      <c r="N38" s="55">
        <f t="shared" si="6"/>
        <v>100.83949043170014</v>
      </c>
      <c r="O38" s="41">
        <f>'[2]побудинковий звіт'!O38+'[1]побудинковий звіт'!O38</f>
        <v>3323.1161224846533</v>
      </c>
      <c r="P38" s="41">
        <f>'[2]побудинковий звіт'!P38+'[1]побудинковий звіт'!P38</f>
        <v>3332.5892517382313</v>
      </c>
      <c r="Q38" s="55">
        <f t="shared" si="7"/>
        <v>9.4731292535780085</v>
      </c>
      <c r="R38" s="41">
        <f>'[2]побудинковий звіт'!R38+'[1]побудинковий звіт'!R38</f>
        <v>0</v>
      </c>
      <c r="S38" s="41">
        <f>'[2]побудинковий звіт'!S38+'[1]побудинковий звіт'!S38</f>
        <v>0</v>
      </c>
      <c r="T38" s="55">
        <f t="shared" si="8"/>
        <v>0</v>
      </c>
      <c r="U38" s="41">
        <f>'[2]побудинковий звіт'!U38+'[1]побудинковий звіт'!U38</f>
        <v>187.10196558541708</v>
      </c>
      <c r="V38" s="41">
        <f>'[2]побудинковий звіт'!V38+'[1]побудинковий звіт'!V38</f>
        <v>107.9445908639935</v>
      </c>
      <c r="W38" s="55">
        <f t="shared" si="9"/>
        <v>-79.157374721423579</v>
      </c>
      <c r="X38" s="41">
        <f>'[2]побудинковий звіт'!X38+'[1]побудинковий звіт'!X38</f>
        <v>5790.9715211390903</v>
      </c>
      <c r="Y38" s="41">
        <f>'[2]побудинковий звіт'!Y38+'[1]побудинковий звіт'!Y38</f>
        <v>5590.582130032024</v>
      </c>
      <c r="Z38" s="55">
        <f t="shared" si="10"/>
        <v>-200.38939110706633</v>
      </c>
      <c r="AA38" s="41">
        <f>'[2]побудинковий звіт'!AA38+'[1]побудинковий звіт'!AA38</f>
        <v>0</v>
      </c>
      <c r="AB38" s="41">
        <f>'[2]побудинковий звіт'!AB38+'[1]побудинковий звіт'!AB38</f>
        <v>0</v>
      </c>
      <c r="AC38" s="55">
        <f t="shared" si="11"/>
        <v>0</v>
      </c>
      <c r="AD38" s="41">
        <f>'[2]побудинковий звіт'!AD38+'[1]побудинковий звіт'!AD38</f>
        <v>9117.49094288175</v>
      </c>
      <c r="AE38" s="41">
        <f>'[2]побудинковий звіт'!AE38+'[1]побудинковий звіт'!AE38</f>
        <v>9081.6342408319797</v>
      </c>
      <c r="AF38" s="36">
        <f t="shared" si="12"/>
        <v>-35.85670204977032</v>
      </c>
      <c r="AG38" s="84">
        <f t="shared" si="13"/>
        <v>29181.861775915844</v>
      </c>
      <c r="AH38" s="56">
        <f t="shared" si="14"/>
        <v>29182.455274381235</v>
      </c>
      <c r="AI38" s="55">
        <f t="shared" si="15"/>
        <v>0.59349846539043938</v>
      </c>
      <c r="AJ38" s="41">
        <f>'[2]побудинковий звіт'!AJ38+'[1]побудинковий звіт'!AJ38</f>
        <v>0</v>
      </c>
      <c r="AK38" s="41">
        <f>'[2]побудинковий звіт'!AK38+'[1]побудинковий звіт'!AK38</f>
        <v>0</v>
      </c>
      <c r="AL38" s="55">
        <f t="shared" si="16"/>
        <v>0</v>
      </c>
      <c r="AM38" s="41">
        <f>'[2]побудинковий звіт'!AM38+'[1]побудинковий звіт'!AM38</f>
        <v>0</v>
      </c>
      <c r="AN38" s="41">
        <f>'[2]побудинковий звіт'!AN38+'[1]побудинковий звіт'!AN38</f>
        <v>0</v>
      </c>
      <c r="AO38" s="55">
        <f t="shared" si="17"/>
        <v>0</v>
      </c>
      <c r="AP38" s="41">
        <f>'[2]побудинковий звіт'!AP38+'[1]побудинковий звіт'!AP38</f>
        <v>5943.5876574312242</v>
      </c>
      <c r="AQ38" s="41">
        <f>'[2]побудинковий звіт'!AQ38+'[1]побудинковий звіт'!AQ38</f>
        <v>6380.9650014756426</v>
      </c>
      <c r="AR38" s="55">
        <f t="shared" si="18"/>
        <v>437.37734404441835</v>
      </c>
      <c r="AS38" s="41">
        <f>'[2]побудинковий звіт'!AS38+'[1]побудинковий звіт'!AS38</f>
        <v>30385.134858655154</v>
      </c>
      <c r="AT38" s="41">
        <f>'[2]побудинковий звіт'!AT38+'[1]побудинковий звіт'!AT38</f>
        <v>12093.119782606744</v>
      </c>
      <c r="AU38" s="57">
        <f t="shared" si="19"/>
        <v>-18292.01507604841</v>
      </c>
      <c r="AV38" s="41">
        <f>'[2]побудинковий звіт'!AV38+'[1]побудинковий звіт'!AV38</f>
        <v>1482.0776309697803</v>
      </c>
      <c r="AW38" s="41">
        <f>'[2]побудинковий звіт'!AW38+'[1]побудинковий звіт'!AW38</f>
        <v>3047.6754916444115</v>
      </c>
      <c r="AX38" s="58">
        <f t="shared" si="20"/>
        <v>1565.5978606746312</v>
      </c>
      <c r="AY38" s="41">
        <f>'[2]побудинковий звіт'!AY38+'[1]побудинковий звіт'!AY38</f>
        <v>2485.5079974653263</v>
      </c>
      <c r="AZ38" s="41">
        <f>'[2]побудинковий звіт'!AZ38+'[1]побудинковий звіт'!AZ38</f>
        <v>0</v>
      </c>
      <c r="BA38" s="36">
        <f t="shared" si="21"/>
        <v>-2485.5079974653263</v>
      </c>
      <c r="BB38" s="41">
        <f>'[2]побудинковий звіт'!BB38+'[1]побудинковий звіт'!BB38</f>
        <v>1375.2866544576625</v>
      </c>
      <c r="BC38" s="41">
        <f>'[2]побудинковий звіт'!BC38+'[1]побудинковий звіт'!BC38</f>
        <v>0</v>
      </c>
      <c r="BD38" s="58">
        <f t="shared" si="22"/>
        <v>-1375.2866544576625</v>
      </c>
      <c r="BE38" s="41">
        <f>'[2]побудинковий звіт'!BE38+'[1]побудинковий звіт'!BE38</f>
        <v>0</v>
      </c>
      <c r="BF38" s="41">
        <f>'[2]побудинковий звіт'!BF38+'[1]побудинковий звіт'!BF38</f>
        <v>0</v>
      </c>
      <c r="BG38" s="38">
        <f t="shared" si="23"/>
        <v>0</v>
      </c>
      <c r="BH38" s="41">
        <f>'[2]побудинковий звіт'!BH38+'[1]побудинковий звіт'!BH38</f>
        <v>110.27308797143304</v>
      </c>
      <c r="BI38" s="41">
        <f>'[2]побудинковий звіт'!BI38+'[1]побудинковий звіт'!BI38</f>
        <v>504.72798816099402</v>
      </c>
      <c r="BJ38" s="58">
        <f t="shared" si="24"/>
        <v>394.45490018956099</v>
      </c>
      <c r="BK38" s="41">
        <f>'[2]побудинковий звіт'!BK38+'[1]побудинковий звіт'!BK38</f>
        <v>984.26692534891163</v>
      </c>
      <c r="BL38" s="41">
        <f>'[2]побудинковий звіт'!BL38+'[1]побудинковий звіт'!BL38</f>
        <v>1314.7192261408081</v>
      </c>
      <c r="BM38" s="38">
        <f t="shared" si="25"/>
        <v>330.4523007918965</v>
      </c>
      <c r="BN38" s="41">
        <f>'[2]побудинковий звіт'!BN38+'[1]побудинковий звіт'!BN38</f>
        <v>52.797171920588674</v>
      </c>
      <c r="BO38" s="41">
        <f>'[2]побудинковий звіт'!BO38+'[1]побудинковий звіт'!BO38</f>
        <v>0</v>
      </c>
      <c r="BP38" s="58">
        <f t="shared" si="26"/>
        <v>-52.797171920588674</v>
      </c>
      <c r="BQ38" s="84">
        <f t="shared" si="27"/>
        <v>6490.2094681337021</v>
      </c>
      <c r="BR38" s="42">
        <f t="shared" si="28"/>
        <v>4867.1227059462135</v>
      </c>
      <c r="BS38" s="58">
        <f t="shared" si="29"/>
        <v>-1623.0867621874886</v>
      </c>
      <c r="BT38" s="41">
        <f>'[2]побудинковий звіт'!BT38+'[1]побудинковий звіт'!BT38</f>
        <v>13953.841346444955</v>
      </c>
      <c r="BU38" s="41">
        <f>'[2]побудинковий звіт'!BU38+'[1]побудинковий звіт'!BU38</f>
        <v>27497.250043152861</v>
      </c>
      <c r="BV38" s="55">
        <f t="shared" si="30"/>
        <v>13543.408696707906</v>
      </c>
      <c r="BW38" s="41">
        <f>'[2]побудинковий звіт'!BW38+'[1]побудинковий звіт'!BW38</f>
        <v>12163.074998220756</v>
      </c>
      <c r="BX38" s="41">
        <f>'[2]побудинковий звіт'!BX38+'[1]побудинковий звіт'!BX38</f>
        <v>14352.253304966103</v>
      </c>
      <c r="BY38" s="55">
        <f t="shared" si="31"/>
        <v>2189.1783067453471</v>
      </c>
      <c r="BZ38" s="41">
        <f>'[2]побудинковий звіт'!BZ38+'[1]побудинковий звіт'!BZ38</f>
        <v>5953.7387936142386</v>
      </c>
      <c r="CA38" s="41">
        <f>'[2]побудинковий звіт'!CA38+'[1]побудинковий звіт'!CA38</f>
        <v>2490.3776814657826</v>
      </c>
      <c r="CB38" s="55">
        <f t="shared" si="32"/>
        <v>-3463.361112148456</v>
      </c>
      <c r="CC38" s="41">
        <f>'[2]побудинковий звіт'!CC38+'[1]побудинковий звіт'!CC38</f>
        <v>1154.2467307759134</v>
      </c>
      <c r="CD38" s="41">
        <f>'[2]побудинковий звіт'!CD38+'[1]побудинковий звіт'!CD38</f>
        <v>1158.1606526910587</v>
      </c>
      <c r="CE38" s="55">
        <f t="shared" si="33"/>
        <v>3.913921915145238</v>
      </c>
      <c r="CF38" s="41">
        <f>'[2]побудинковий звіт'!CF38+'[1]побудинковий звіт'!CF38</f>
        <v>143.00503490800608</v>
      </c>
      <c r="CG38" s="41">
        <f>'[2]побудинковий звіт'!CG38+'[1]побудинковий звіт'!CG38</f>
        <v>2137.9979182900279</v>
      </c>
      <c r="CH38" s="55">
        <f t="shared" si="34"/>
        <v>1994.9928833820218</v>
      </c>
      <c r="CI38" s="41">
        <f>'[2]побудинковий звіт'!CI38+'[1]побудинковий звіт'!CI38</f>
        <v>2927.4156329530306</v>
      </c>
      <c r="CJ38" s="41">
        <f>'[2]побудинковий звіт'!CJ38+'[1]побудинковий звіт'!CJ38</f>
        <v>2160.6994055770906</v>
      </c>
      <c r="CK38" s="55">
        <f t="shared" si="35"/>
        <v>-766.71622737593998</v>
      </c>
      <c r="CL38" s="41">
        <f>'[2]побудинковий звіт'!CL38+'[1]побудинковий звіт'!CL38</f>
        <v>0</v>
      </c>
      <c r="CM38" s="41">
        <f>'[2]побудинковий звіт'!CM38+'[1]побудинковий звіт'!CM38</f>
        <v>0</v>
      </c>
      <c r="CN38" s="55">
        <f t="shared" si="36"/>
        <v>0</v>
      </c>
      <c r="CO38" s="41">
        <f t="shared" si="37"/>
        <v>2927.4156329530306</v>
      </c>
      <c r="CP38" s="42">
        <f t="shared" si="38"/>
        <v>2160.6994055770906</v>
      </c>
      <c r="CQ38" s="55">
        <f t="shared" si="39"/>
        <v>-766.71622737593998</v>
      </c>
      <c r="CR38" s="76">
        <f t="shared" si="40"/>
        <v>108296.11629705282</v>
      </c>
      <c r="CS38" s="5">
        <f t="shared" si="41"/>
        <v>102320.40177055275</v>
      </c>
      <c r="CT38" s="55">
        <f t="shared" si="42"/>
        <v>-5975.7145265000727</v>
      </c>
      <c r="CU38" s="84">
        <f t="shared" si="43"/>
        <v>129955.33955646338</v>
      </c>
      <c r="CV38" s="68">
        <f t="shared" si="44"/>
        <v>122784.48212466329</v>
      </c>
      <c r="CW38" s="36">
        <f t="shared" si="45"/>
        <v>-7170.8574318000901</v>
      </c>
      <c r="CX38" s="41">
        <f>'[2]побудинковий звіт'!CX38+'[1]побудинковий звіт'!CX38</f>
        <v>6348.9465887784754</v>
      </c>
      <c r="CY38" s="41">
        <f>'[2]побудинковий звіт'!CY38+'[1]побудинковий звіт'!CY38</f>
        <v>13519.804020578573</v>
      </c>
      <c r="CZ38" s="55">
        <f t="shared" si="46"/>
        <v>7170.8574318000974</v>
      </c>
      <c r="DA38" s="254">
        <f>'[1]побудинковий звіт'!DA38</f>
        <v>2013.903976292655</v>
      </c>
      <c r="DB38" s="2">
        <v>2</v>
      </c>
      <c r="DC38" s="702">
        <f>'[1]побудинковий звіт'!DC38</f>
        <v>31334.28</v>
      </c>
      <c r="DD38" s="702">
        <f>'[1]побудинковий звіт'!DD38</f>
        <v>0</v>
      </c>
      <c r="DE38" s="702">
        <f>'[1]побудинковий звіт'!DE38</f>
        <v>16261.15</v>
      </c>
      <c r="DF38" s="702">
        <f>'[1]побудинковий звіт'!DF38</f>
        <v>0</v>
      </c>
      <c r="DG38" s="772">
        <v>-36642.684637148341</v>
      </c>
      <c r="DH38" s="746">
        <f t="shared" si="47"/>
        <v>1635651.4337429025</v>
      </c>
      <c r="DI38" s="769"/>
      <c r="DJ38" s="5"/>
      <c r="DK38" s="307">
        <f>VLOOKUP($A38,ціни!$A$4:$G$401,5)</f>
        <v>5.0768975040353022</v>
      </c>
      <c r="DL38" s="307"/>
      <c r="DM38" s="307">
        <f>VLOOKUP($A38,ціни!$A$4:$G$401,7)</f>
        <v>4.4996697982394105</v>
      </c>
      <c r="DN38" s="29">
        <f t="shared" si="58"/>
        <v>10659.961689222922</v>
      </c>
      <c r="DO38" s="29">
        <f t="shared" si="59"/>
        <v>0</v>
      </c>
      <c r="DP38" s="306">
        <f t="shared" si="48"/>
        <v>10659.961689222922</v>
      </c>
      <c r="DQ38" s="101"/>
      <c r="DR38" s="29">
        <f>VLOOKUP(A38,'ДЗ нас '!$A$1:$C$359,2)</f>
        <v>10659.95</v>
      </c>
      <c r="DS38" s="733"/>
      <c r="DT38" s="29">
        <f t="shared" si="49"/>
        <v>10659.95</v>
      </c>
      <c r="DU38" s="247">
        <f>VLOOKUP(A38,'новий кошторис с 01.06'!$A$4:$AI$399,35)*1.2</f>
        <v>10776.348355717813</v>
      </c>
      <c r="DV38" s="29">
        <f t="shared" si="50"/>
        <v>-116.39835571781259</v>
      </c>
      <c r="DW38" s="1016">
        <f>'[2]побудинковий звіт'!$DW$9+'[1]побудинковий звіт'!DW38</f>
        <v>1062</v>
      </c>
      <c r="DX38" s="101">
        <f>'[1]побудинковий звіт'!DX38</f>
        <v>0</v>
      </c>
      <c r="DY38" s="5">
        <f t="shared" si="51"/>
        <v>44250.413192146625</v>
      </c>
      <c r="DZ38" s="5">
        <f t="shared" si="52"/>
        <v>20352.29098626355</v>
      </c>
      <c r="EA38" s="737">
        <f t="shared" si="53"/>
        <v>16261.15</v>
      </c>
      <c r="EC38" s="577">
        <f t="shared" si="54"/>
        <v>364621.61830386182</v>
      </c>
      <c r="EE38" s="743">
        <v>-1271</v>
      </c>
      <c r="EF38" s="723">
        <f t="shared" si="55"/>
        <v>-37913.684637148341</v>
      </c>
      <c r="EH38" s="798">
        <v>24347.040713048831</v>
      </c>
      <c r="EI38" s="101">
        <f>VLOOKUP(A38,'кошти 01.01.24'!$A$9:$D$352,4,FALSE)</f>
        <v>9184.7614080927633</v>
      </c>
    </row>
    <row r="39" spans="1:139" ht="14.4" hidden="1" customHeight="1" x14ac:dyDescent="0.3">
      <c r="A39" s="318">
        <v>150000721</v>
      </c>
      <c r="B39" s="43" t="s">
        <v>685</v>
      </c>
      <c r="C39" s="44" t="s">
        <v>1750</v>
      </c>
      <c r="D39" s="44" t="s">
        <v>218</v>
      </c>
      <c r="E39" s="39">
        <f t="shared" si="4"/>
        <v>2787.1</v>
      </c>
      <c r="F39" s="205">
        <f>'[1]побудинковий звіт'!F39</f>
        <v>2720.4</v>
      </c>
      <c r="G39" s="29">
        <f>'[1]побудинковий звіт'!G39</f>
        <v>0</v>
      </c>
      <c r="H39" s="148">
        <f>'[1]побудинковий звіт'!H39</f>
        <v>66.7</v>
      </c>
      <c r="I39" s="41">
        <f>'[2]побудинковий звіт'!I39+'[1]побудинковий звіт'!I39</f>
        <v>11174.616773400987</v>
      </c>
      <c r="J39" s="41">
        <f>'[2]побудинковий звіт'!J39+'[1]побудинковий звіт'!J39</f>
        <v>11455.474890367113</v>
      </c>
      <c r="K39" s="55">
        <f t="shared" si="5"/>
        <v>280.85811696612654</v>
      </c>
      <c r="L39" s="41">
        <f>'[2]побудинковий звіт'!L39+'[1]побудинковий звіт'!L39</f>
        <v>1537.0048203395718</v>
      </c>
      <c r="M39" s="41">
        <f>'[2]побудинковий звіт'!M39+'[1]побудинковий звіт'!M39</f>
        <v>1613.2396147906848</v>
      </c>
      <c r="N39" s="55">
        <f t="shared" si="6"/>
        <v>76.234794451112975</v>
      </c>
      <c r="O39" s="41">
        <f>'[2]побудинковий звіт'!O39+'[1]побудинковий звіт'!O39</f>
        <v>3967.9676522608006</v>
      </c>
      <c r="P39" s="41">
        <f>'[2]побудинковий звіт'!P39+'[1]побудинковий звіт'!P39</f>
        <v>3979.4052479938255</v>
      </c>
      <c r="Q39" s="55">
        <f t="shared" si="7"/>
        <v>11.437595733024864</v>
      </c>
      <c r="R39" s="41">
        <f>'[2]побудинковий звіт'!R39+'[1]побудинковий звіт'!R39</f>
        <v>0</v>
      </c>
      <c r="S39" s="41">
        <f>'[2]побудинковий звіт'!S39+'[1]побудинковий звіт'!S39</f>
        <v>0</v>
      </c>
      <c r="T39" s="55">
        <f t="shared" si="8"/>
        <v>0</v>
      </c>
      <c r="U39" s="41">
        <f>'[2]побудинковий звіт'!U39+'[1]побудинковий звіт'!U39</f>
        <v>0</v>
      </c>
      <c r="V39" s="41">
        <f>'[2]побудинковий звіт'!V39+'[1]побудинковий звіт'!V39</f>
        <v>0</v>
      </c>
      <c r="W39" s="55">
        <f t="shared" si="9"/>
        <v>0</v>
      </c>
      <c r="X39" s="41">
        <f>'[2]побудинковий звіт'!X39+'[1]побудинковий звіт'!X39</f>
        <v>4848.8191306422277</v>
      </c>
      <c r="Y39" s="41">
        <f>'[2]побудинковий звіт'!Y39+'[1]побудинковий звіт'!Y39</f>
        <v>4516.6270779613205</v>
      </c>
      <c r="Z39" s="55">
        <f t="shared" si="10"/>
        <v>-332.19205268090718</v>
      </c>
      <c r="AA39" s="41">
        <f>'[2]побудинковий звіт'!AA39+'[1]побудинковий звіт'!AA39</f>
        <v>0</v>
      </c>
      <c r="AB39" s="41">
        <f>'[2]побудинковий звіт'!AB39+'[1]побудинковий звіт'!AB39</f>
        <v>0</v>
      </c>
      <c r="AC39" s="55">
        <f t="shared" si="11"/>
        <v>0</v>
      </c>
      <c r="AD39" s="41">
        <f>'[2]побудинковий звіт'!AD39+'[1]побудинковий звіт'!AD39</f>
        <v>12105.797091674545</v>
      </c>
      <c r="AE39" s="41">
        <f>'[2]побудинковий звіт'!AE39+'[1]побудинковий звіт'!AE39</f>
        <v>12051.506885793455</v>
      </c>
      <c r="AF39" s="36">
        <f t="shared" si="12"/>
        <v>-54.290205881090515</v>
      </c>
      <c r="AG39" s="84">
        <f t="shared" si="13"/>
        <v>33634.205468318127</v>
      </c>
      <c r="AH39" s="56">
        <f t="shared" si="14"/>
        <v>33616.253716906394</v>
      </c>
      <c r="AI39" s="55">
        <f t="shared" si="15"/>
        <v>-17.951751411732403</v>
      </c>
      <c r="AJ39" s="41">
        <f>'[2]побудинковий звіт'!AJ39+'[1]побудинковий звіт'!AJ39</f>
        <v>0</v>
      </c>
      <c r="AK39" s="41">
        <f>'[2]побудинковий звіт'!AK39+'[1]побудинковий звіт'!AK39</f>
        <v>0</v>
      </c>
      <c r="AL39" s="55">
        <f t="shared" si="16"/>
        <v>0</v>
      </c>
      <c r="AM39" s="41">
        <f>'[2]побудинковий звіт'!AM39+'[1]побудинковий звіт'!AM39</f>
        <v>0</v>
      </c>
      <c r="AN39" s="41">
        <f>'[2]побудинковий звіт'!AN39+'[1]побудинковий звіт'!AN39</f>
        <v>0</v>
      </c>
      <c r="AO39" s="55">
        <f t="shared" si="17"/>
        <v>0</v>
      </c>
      <c r="AP39" s="41">
        <f>'[2]побудинковий звіт'!AP39+'[1]побудинковий звіт'!AP39</f>
        <v>10223.659995048405</v>
      </c>
      <c r="AQ39" s="41">
        <f>'[2]побудинковий звіт'!AQ39+'[1]побудинковий звіт'!AQ39</f>
        <v>10687.834890596849</v>
      </c>
      <c r="AR39" s="55">
        <f t="shared" si="18"/>
        <v>464.1748955484436</v>
      </c>
      <c r="AS39" s="41">
        <f>'[2]побудинковий звіт'!AS39+'[1]побудинковий звіт'!AS39</f>
        <v>33501.412190929237</v>
      </c>
      <c r="AT39" s="41">
        <f>'[2]побудинковий звіт'!AT39+'[1]побудинковий звіт'!AT39</f>
        <v>1658.5223638915077</v>
      </c>
      <c r="AU39" s="57">
        <f t="shared" si="19"/>
        <v>-31842.889827037729</v>
      </c>
      <c r="AV39" s="41">
        <f>'[2]побудинковий звіт'!AV39+'[1]побудинковий звіт'!AV39</f>
        <v>1664.1992667376512</v>
      </c>
      <c r="AW39" s="41">
        <f>'[2]побудинковий звіт'!AW39+'[1]побудинковий звіт'!AW39</f>
        <v>0</v>
      </c>
      <c r="AX39" s="58">
        <f t="shared" si="20"/>
        <v>-1664.1992667376512</v>
      </c>
      <c r="AY39" s="41">
        <f>'[2]побудинковий звіт'!AY39+'[1]побудинковий звіт'!AY39</f>
        <v>1847.5640798000964</v>
      </c>
      <c r="AZ39" s="41">
        <f>'[2]побудинковий звіт'!AZ39+'[1]побудинковий звіт'!AZ39</f>
        <v>0</v>
      </c>
      <c r="BA39" s="36">
        <f t="shared" si="21"/>
        <v>-1847.5640798000964</v>
      </c>
      <c r="BB39" s="41">
        <f>'[2]побудинковий звіт'!BB39+'[1]побудинковий звіт'!BB39</f>
        <v>2024.801178795766</v>
      </c>
      <c r="BC39" s="41">
        <f>'[2]побудинковий звіт'!BC39+'[1]побудинковий звіт'!BC39</f>
        <v>0</v>
      </c>
      <c r="BD39" s="58">
        <f t="shared" si="22"/>
        <v>-2024.801178795766</v>
      </c>
      <c r="BE39" s="41">
        <f>'[2]побудинковий звіт'!BE39+'[1]побудинковий звіт'!BE39</f>
        <v>0</v>
      </c>
      <c r="BF39" s="41">
        <f>'[2]побудинковий звіт'!BF39+'[1]побудинковий звіт'!BF39</f>
        <v>0</v>
      </c>
      <c r="BG39" s="38">
        <f t="shared" si="23"/>
        <v>0</v>
      </c>
      <c r="BH39" s="41">
        <f>'[2]побудинковий звіт'!BH39+'[1]побудинковий звіт'!BH39</f>
        <v>0</v>
      </c>
      <c r="BI39" s="41">
        <f>'[2]побудинковий звіт'!BI39+'[1]побудинковий звіт'!BI39</f>
        <v>0</v>
      </c>
      <c r="BJ39" s="58">
        <f t="shared" si="24"/>
        <v>0</v>
      </c>
      <c r="BK39" s="41">
        <f>'[2]побудинковий звіт'!BK39+'[1]побудинковий звіт'!BK39</f>
        <v>864.27256987305395</v>
      </c>
      <c r="BL39" s="41">
        <f>'[2]побудинковий звіт'!BL39+'[1]побудинковий звіт'!BL39</f>
        <v>606.64902946580617</v>
      </c>
      <c r="BM39" s="38">
        <f t="shared" si="25"/>
        <v>-257.62354040724779</v>
      </c>
      <c r="BN39" s="41">
        <f>'[2]побудинковий звіт'!BN39+'[1]побудинковий звіт'!BN39</f>
        <v>26.790721818290397</v>
      </c>
      <c r="BO39" s="41">
        <f>'[2]побудинковий звіт'!BO39+'[1]побудинковий звіт'!BO39</f>
        <v>0</v>
      </c>
      <c r="BP39" s="58">
        <f t="shared" si="26"/>
        <v>-26.790721818290397</v>
      </c>
      <c r="BQ39" s="84">
        <f t="shared" si="27"/>
        <v>6427.627817024857</v>
      </c>
      <c r="BR39" s="42">
        <f t="shared" si="28"/>
        <v>606.64902946580617</v>
      </c>
      <c r="BS39" s="58">
        <f t="shared" si="29"/>
        <v>-5820.9787875590509</v>
      </c>
      <c r="BT39" s="41">
        <f>'[2]побудинковий звіт'!BT39+'[1]побудинковий звіт'!BT39</f>
        <v>38325.288392066519</v>
      </c>
      <c r="BU39" s="41">
        <f>'[2]побудинковий звіт'!BU39+'[1]побудинковий звіт'!BU39</f>
        <v>55453.54885288707</v>
      </c>
      <c r="BV39" s="55">
        <f t="shared" si="30"/>
        <v>17128.260460820551</v>
      </c>
      <c r="BW39" s="41">
        <f>'[2]побудинковий звіт'!BW39+'[1]побудинковий звіт'!BW39</f>
        <v>18510.38868198308</v>
      </c>
      <c r="BX39" s="41">
        <f>'[2]побудинковий звіт'!BX39+'[1]побудинковий звіт'!BX39</f>
        <v>20021.359737592509</v>
      </c>
      <c r="BY39" s="55">
        <f t="shared" si="31"/>
        <v>1510.9710556094287</v>
      </c>
      <c r="BZ39" s="41">
        <f>'[2]побудинковий звіт'!BZ39+'[1]побудинковий звіт'!BZ39</f>
        <v>12346.470320337292</v>
      </c>
      <c r="CA39" s="41">
        <f>'[2]побудинковий звіт'!CA39+'[1]побудинковий звіт'!CA39</f>
        <v>5817.5671303683494</v>
      </c>
      <c r="CB39" s="55">
        <f t="shared" si="32"/>
        <v>-6528.9031899689426</v>
      </c>
      <c r="CC39" s="41">
        <f>'[2]побудинковий звіт'!CC39+'[1]побудинковий звіт'!CC39</f>
        <v>0</v>
      </c>
      <c r="CD39" s="41">
        <f>'[2]побудинковий звіт'!CD39+'[1]побудинковий звіт'!CD39</f>
        <v>0</v>
      </c>
      <c r="CE39" s="55">
        <f t="shared" si="33"/>
        <v>0</v>
      </c>
      <c r="CF39" s="41">
        <f>'[2]побудинковий звіт'!CF39+'[1]побудинковий звіт'!CF39</f>
        <v>0</v>
      </c>
      <c r="CG39" s="41">
        <f>'[2]побудинковий звіт'!CG39+'[1]побудинковий звіт'!CG39</f>
        <v>0</v>
      </c>
      <c r="CH39" s="55">
        <f t="shared" si="34"/>
        <v>0</v>
      </c>
      <c r="CI39" s="41">
        <f>'[2]побудинковий звіт'!CI39+'[1]побудинковий звіт'!CI39</f>
        <v>2352.7087652081896</v>
      </c>
      <c r="CJ39" s="41">
        <f>'[2]побудинковий звіт'!CJ39+'[1]побудинковий звіт'!CJ39</f>
        <v>2716.2429691733805</v>
      </c>
      <c r="CK39" s="55">
        <f t="shared" si="35"/>
        <v>363.53420396519095</v>
      </c>
      <c r="CL39" s="41">
        <f>'[2]побудинковий звіт'!CL39+'[1]побудинковий звіт'!CL39</f>
        <v>0</v>
      </c>
      <c r="CM39" s="41">
        <f>'[2]побудинковий звіт'!CM39+'[1]побудинковий звіт'!CM39</f>
        <v>0</v>
      </c>
      <c r="CN39" s="55">
        <f t="shared" si="36"/>
        <v>0</v>
      </c>
      <c r="CO39" s="41">
        <f t="shared" si="37"/>
        <v>2352.7087652081896</v>
      </c>
      <c r="CP39" s="42">
        <f t="shared" si="38"/>
        <v>2716.2429691733805</v>
      </c>
      <c r="CQ39" s="55">
        <f t="shared" si="39"/>
        <v>363.53420396519095</v>
      </c>
      <c r="CR39" s="76">
        <f t="shared" si="40"/>
        <v>155321.76163091569</v>
      </c>
      <c r="CS39" s="5">
        <f t="shared" si="41"/>
        <v>130577.97869088186</v>
      </c>
      <c r="CT39" s="55">
        <f t="shared" si="42"/>
        <v>-24743.782940033823</v>
      </c>
      <c r="CU39" s="84">
        <f t="shared" si="43"/>
        <v>186386.11395709883</v>
      </c>
      <c r="CV39" s="68">
        <f t="shared" si="44"/>
        <v>156693.57442905824</v>
      </c>
      <c r="CW39" s="36">
        <f t="shared" si="45"/>
        <v>-29692.539528040594</v>
      </c>
      <c r="CX39" s="41">
        <f>'[2]побудинковий звіт'!CX39+'[1]побудинковий звіт'!CX39</f>
        <v>5389.9282046082471</v>
      </c>
      <c r="CY39" s="41">
        <f>'[2]побудинковий звіт'!CY39+'[1]побудинковий звіт'!CY39</f>
        <v>35082.46773264886</v>
      </c>
      <c r="CZ39" s="55">
        <f t="shared" si="46"/>
        <v>29692.539528040612</v>
      </c>
      <c r="DA39" s="254">
        <f>'[1]побудинковий звіт'!DA39</f>
        <v>71790.468170020496</v>
      </c>
      <c r="DB39" s="2">
        <v>2</v>
      </c>
      <c r="DC39" s="702">
        <f>'[1]побудинковий звіт'!DC39</f>
        <v>52053.34</v>
      </c>
      <c r="DD39" s="702">
        <f>'[1]побудинковий звіт'!DD39</f>
        <v>194.06</v>
      </c>
      <c r="DE39" s="702">
        <f>'[1]побудинковий звіт'!DE39</f>
        <v>31727.349999999995</v>
      </c>
      <c r="DF39" s="702">
        <f>'[1]побудинковий звіт'!DF39</f>
        <v>-1365.75</v>
      </c>
      <c r="DG39" s="772">
        <v>120142.09431820171</v>
      </c>
      <c r="DH39" s="746">
        <f t="shared" si="47"/>
        <v>2301312.5059404848</v>
      </c>
      <c r="DI39" s="769"/>
      <c r="DJ39" s="5"/>
      <c r="DK39" s="307">
        <f>VLOOKUP($A39,ціни!$A$4:$G$401,5)</f>
        <v>5.412183677476607</v>
      </c>
      <c r="DL39" s="307"/>
      <c r="DM39" s="307">
        <f>VLOOKUP($A39,ціни!$A$4:$G$401,7)</f>
        <v>4.7493381917185538</v>
      </c>
      <c r="DN39" s="29">
        <f t="shared" si="58"/>
        <v>14723.304476207362</v>
      </c>
      <c r="DO39" s="29">
        <f t="shared" si="59"/>
        <v>316.78085738762758</v>
      </c>
      <c r="DP39" s="306">
        <f t="shared" si="48"/>
        <v>15040.085333594991</v>
      </c>
      <c r="DQ39" s="101"/>
      <c r="DR39" s="29">
        <f>VLOOKUP(A39,'ДЗ нас '!$A$1:$C$359,2)</f>
        <v>14731.46</v>
      </c>
      <c r="DS39" s="733">
        <f>VLOOKUP(A39,'ДЗ нежит'!$A$1:$D$153,4,0)</f>
        <v>316.77</v>
      </c>
      <c r="DT39" s="29">
        <f t="shared" si="49"/>
        <v>15048.23</v>
      </c>
      <c r="DU39" s="247">
        <f>VLOOKUP(A39,'новий кошторис с 01.06'!$A$4:$AI$399,35)*1.2</f>
        <v>15138.291259598685</v>
      </c>
      <c r="DV39" s="29">
        <f t="shared" si="50"/>
        <v>-90.061259598685865</v>
      </c>
      <c r="DW39" s="1016">
        <f>'[2]побудинковий звіт'!$DW$9+'[1]побудинковий звіт'!DW39</f>
        <v>1062</v>
      </c>
      <c r="DX39" s="101">
        <f>'[1]побудинковий звіт'!DX39</f>
        <v>0</v>
      </c>
      <c r="DY39" s="5">
        <f t="shared" si="51"/>
        <v>47914.848009544912</v>
      </c>
      <c r="DZ39" s="5">
        <f t="shared" si="52"/>
        <v>2718.2056720287765</v>
      </c>
      <c r="EA39" s="737">
        <f t="shared" si="53"/>
        <v>30361.599999999995</v>
      </c>
      <c r="EC39" s="577">
        <f t="shared" si="54"/>
        <v>402016.94629115087</v>
      </c>
      <c r="EE39" s="743">
        <v>3874</v>
      </c>
      <c r="EF39" s="723">
        <f t="shared" si="55"/>
        <v>124016.09431820171</v>
      </c>
      <c r="EH39" s="798">
        <v>122847.92971775442</v>
      </c>
      <c r="EI39" s="101">
        <f>VLOOKUP(A39,'кошти 01.01.24'!$A$9:$D$352,4,FALSE)</f>
        <v>101483.00769806112</v>
      </c>
    </row>
    <row r="40" spans="1:139" hidden="1" x14ac:dyDescent="0.3">
      <c r="A40" s="318">
        <v>150000722</v>
      </c>
      <c r="B40" s="43" t="s">
        <v>686</v>
      </c>
      <c r="C40" s="44" t="s">
        <v>1751</v>
      </c>
      <c r="D40" s="44" t="s">
        <v>274</v>
      </c>
      <c r="E40" s="39">
        <f t="shared" si="4"/>
        <v>3560.8</v>
      </c>
      <c r="F40" s="205">
        <f>'[1]побудинковий звіт'!F40</f>
        <v>3560.8</v>
      </c>
      <c r="G40" s="29">
        <f>'[1]побудинковий звіт'!G40</f>
        <v>0</v>
      </c>
      <c r="H40" s="148">
        <f>'[1]побудинковий звіт'!H40</f>
        <v>0</v>
      </c>
      <c r="I40" s="41">
        <f>'[2]побудинковий звіт'!I40+'[1]побудинковий звіт'!I40</f>
        <v>12801.178082554441</v>
      </c>
      <c r="J40" s="41">
        <f>'[2]побудинковий звіт'!J40+'[1]побудинковий звіт'!J40</f>
        <v>13154.366910836443</v>
      </c>
      <c r="K40" s="55">
        <f t="shared" si="5"/>
        <v>353.18882828200185</v>
      </c>
      <c r="L40" s="41">
        <f>'[2]побудинковий звіт'!L40+'[1]побудинковий звіт'!L40</f>
        <v>2162.3379563345534</v>
      </c>
      <c r="M40" s="41">
        <f>'[2]побудинковий звіт'!M40+'[1]побудинковий звіт'!M40</f>
        <v>2266.8879464136617</v>
      </c>
      <c r="N40" s="55">
        <f t="shared" si="6"/>
        <v>104.54999007910828</v>
      </c>
      <c r="O40" s="41">
        <f>'[2]побудинковий звіт'!O40+'[1]побудинковий звіт'!O40</f>
        <v>5148.0549160454384</v>
      </c>
      <c r="P40" s="41">
        <f>'[2]побудинковий звіт'!P40+'[1]побудинковий звіт'!P40</f>
        <v>5162.1849993460764</v>
      </c>
      <c r="Q40" s="55">
        <f t="shared" si="7"/>
        <v>14.130083300638034</v>
      </c>
      <c r="R40" s="41">
        <f>'[2]побудинковий звіт'!R40+'[1]побудинковий звіт'!R40</f>
        <v>0</v>
      </c>
      <c r="S40" s="41">
        <f>'[2]побудинковий звіт'!S40+'[1]побудинковий звіт'!S40</f>
        <v>0</v>
      </c>
      <c r="T40" s="55">
        <f t="shared" si="8"/>
        <v>0</v>
      </c>
      <c r="U40" s="41">
        <f>'[2]побудинковий звіт'!U40+'[1]побудинковий звіт'!U40</f>
        <v>233.87745698177133</v>
      </c>
      <c r="V40" s="41">
        <f>'[2]побудинковий звіт'!V40+'[1]побудинковий звіт'!V40</f>
        <v>134.93073857999187</v>
      </c>
      <c r="W40" s="55">
        <f t="shared" si="9"/>
        <v>-98.946718401779464</v>
      </c>
      <c r="X40" s="41">
        <f>'[2]побудинковий звіт'!X40+'[1]побудинковий звіт'!X40</f>
        <v>8852.2153867926154</v>
      </c>
      <c r="Y40" s="41">
        <f>'[2]побудинковий звіт'!Y40+'[1]побудинковий звіт'!Y40</f>
        <v>8711.1675517018393</v>
      </c>
      <c r="Z40" s="55">
        <f t="shared" si="10"/>
        <v>-141.04783509077606</v>
      </c>
      <c r="AA40" s="41">
        <f>'[2]побудинковий звіт'!AA40+'[1]побудинковий звіт'!AA40</f>
        <v>0</v>
      </c>
      <c r="AB40" s="41">
        <f>'[2]побудинковий звіт'!AB40+'[1]побудинковий звіт'!AB40</f>
        <v>0</v>
      </c>
      <c r="AC40" s="55">
        <f t="shared" si="11"/>
        <v>0</v>
      </c>
      <c r="AD40" s="41">
        <f>'[2]побудинковий звіт'!AD40+'[1]побудинковий звіт'!AD40</f>
        <v>15439.622681230176</v>
      </c>
      <c r="AE40" s="41">
        <f>'[2]побудинковий звіт'!AE40+'[1]побудинковий звіт'!AE40</f>
        <v>15379.751472936303</v>
      </c>
      <c r="AF40" s="36">
        <f t="shared" si="12"/>
        <v>-59.871208293872769</v>
      </c>
      <c r="AG40" s="84">
        <f t="shared" si="13"/>
        <v>44637.286479938994</v>
      </c>
      <c r="AH40" s="56">
        <f t="shared" si="14"/>
        <v>44809.289619814313</v>
      </c>
      <c r="AI40" s="55">
        <f t="shared" si="15"/>
        <v>172.0031398753199</v>
      </c>
      <c r="AJ40" s="41">
        <f>'[2]побудинковий звіт'!AJ40+'[1]побудинковий звіт'!AJ40</f>
        <v>0</v>
      </c>
      <c r="AK40" s="41">
        <f>'[2]побудинковий звіт'!AK40+'[1]побудинковий звіт'!AK40</f>
        <v>0</v>
      </c>
      <c r="AL40" s="55">
        <f t="shared" si="16"/>
        <v>0</v>
      </c>
      <c r="AM40" s="41">
        <f>'[2]побудинковий звіт'!AM40+'[1]побудинковий звіт'!AM40</f>
        <v>0</v>
      </c>
      <c r="AN40" s="41">
        <f>'[2]побудинковий звіт'!AN40+'[1]побудинковий звіт'!AN40</f>
        <v>0</v>
      </c>
      <c r="AO40" s="55">
        <f t="shared" si="17"/>
        <v>0</v>
      </c>
      <c r="AP40" s="41">
        <f>'[2]побудинковий звіт'!AP40+'[1]побудинковий звіт'!AP40</f>
        <v>11887.175314862448</v>
      </c>
      <c r="AQ40" s="41">
        <f>'[2]побудинковий звіт'!AQ40+'[1]побудинковий звіт'!AQ40</f>
        <v>11110.788499816255</v>
      </c>
      <c r="AR40" s="55">
        <f t="shared" si="18"/>
        <v>-776.38681504619308</v>
      </c>
      <c r="AS40" s="41">
        <f>'[2]побудинковий звіт'!AS40+'[1]побудинковий звіт'!AS40</f>
        <v>61141.652581400034</v>
      </c>
      <c r="AT40" s="41">
        <f>'[2]побудинковий звіт'!AT40+'[1]побудинковий звіт'!AT40</f>
        <v>99958.943169517443</v>
      </c>
      <c r="AU40" s="57">
        <f t="shared" si="19"/>
        <v>38817.290588117408</v>
      </c>
      <c r="AV40" s="41">
        <f>'[2]побудинковий звіт'!AV40+'[1]побудинковий звіт'!AV40</f>
        <v>1980.2934277852555</v>
      </c>
      <c r="AW40" s="41">
        <f>'[2]побудинковий звіт'!AW40+'[1]побудинковий звіт'!AW40</f>
        <v>1817.6889085106104</v>
      </c>
      <c r="AX40" s="58">
        <f t="shared" si="20"/>
        <v>-162.6045192746451</v>
      </c>
      <c r="AY40" s="41">
        <f>'[2]побудинковий звіт'!AY40+'[1]побудинковий звіт'!AY40</f>
        <v>2676.7185730800325</v>
      </c>
      <c r="AZ40" s="41">
        <f>'[2]побудинковий звіт'!AZ40+'[1]побудинковий звіт'!AZ40</f>
        <v>4955.6566349614295</v>
      </c>
      <c r="BA40" s="36">
        <f t="shared" si="21"/>
        <v>2278.9380618813971</v>
      </c>
      <c r="BB40" s="41">
        <f>'[2]побудинковий звіт'!BB40+'[1]побудинковий звіт'!BB40</f>
        <v>2877.6135157232852</v>
      </c>
      <c r="BC40" s="41">
        <f>'[2]побудинковий звіт'!BC40+'[1]побудинковий звіт'!BC40</f>
        <v>0</v>
      </c>
      <c r="BD40" s="58">
        <f t="shared" si="22"/>
        <v>-2877.6135157232852</v>
      </c>
      <c r="BE40" s="41">
        <f>'[2]побудинковий звіт'!BE40+'[1]побудинковий звіт'!BE40</f>
        <v>0</v>
      </c>
      <c r="BF40" s="41">
        <f>'[2]побудинковий звіт'!BF40+'[1]побудинковий звіт'!BF40</f>
        <v>0</v>
      </c>
      <c r="BG40" s="38">
        <f t="shared" si="23"/>
        <v>0</v>
      </c>
      <c r="BH40" s="41">
        <f>'[2]побудинковий звіт'!BH40+'[1]побудинковий звіт'!BH40</f>
        <v>137.84135996429129</v>
      </c>
      <c r="BI40" s="41">
        <f>'[2]побудинковий звіт'!BI40+'[1]побудинковий звіт'!BI40</f>
        <v>0</v>
      </c>
      <c r="BJ40" s="58">
        <f t="shared" si="24"/>
        <v>-137.84135996429129</v>
      </c>
      <c r="BK40" s="41">
        <f>'[2]побудинковий звіт'!BK40+'[1]побудинковий звіт'!BK40</f>
        <v>1398.5338603653292</v>
      </c>
      <c r="BL40" s="41">
        <f>'[2]побудинковий звіт'!BL40+'[1]побудинковий звіт'!BL40</f>
        <v>0</v>
      </c>
      <c r="BM40" s="38">
        <f t="shared" si="25"/>
        <v>-1398.5338603653292</v>
      </c>
      <c r="BN40" s="41">
        <f>'[2]побудинковий звіт'!BN40+'[1]побудинковий звіт'!BN40</f>
        <v>28.359265250274611</v>
      </c>
      <c r="BO40" s="41">
        <f>'[2]побудинковий звіт'!BO40+'[1]побудинковий звіт'!BO40</f>
        <v>3881.1204258349726</v>
      </c>
      <c r="BP40" s="58">
        <f t="shared" si="26"/>
        <v>3852.7611605846978</v>
      </c>
      <c r="BQ40" s="84">
        <f t="shared" si="27"/>
        <v>9099.3600021684688</v>
      </c>
      <c r="BR40" s="42">
        <f t="shared" si="28"/>
        <v>10654.465969307013</v>
      </c>
      <c r="BS40" s="58">
        <f t="shared" si="29"/>
        <v>1555.1059671385447</v>
      </c>
      <c r="BT40" s="41">
        <f>'[2]побудинковий звіт'!BT40+'[1]побудинковий звіт'!BT40</f>
        <v>26418.220208627285</v>
      </c>
      <c r="BU40" s="41">
        <f>'[2]побудинковий звіт'!BU40+'[1]побудинковий звіт'!BU40</f>
        <v>41901.113928530758</v>
      </c>
      <c r="BV40" s="55">
        <f t="shared" si="30"/>
        <v>15482.893719903474</v>
      </c>
      <c r="BW40" s="41">
        <f>'[2]побудинковий звіт'!BW40+'[1]побудинковий звіт'!BW40</f>
        <v>18320.723821413903</v>
      </c>
      <c r="BX40" s="41">
        <f>'[2]побудинковий звіт'!BX40+'[1]побудинковий звіт'!BX40</f>
        <v>19898.980822659207</v>
      </c>
      <c r="BY40" s="55">
        <f t="shared" si="31"/>
        <v>1578.2570012453034</v>
      </c>
      <c r="BZ40" s="41">
        <f>'[2]побудинковий звіт'!BZ40+'[1]побудинковий звіт'!BZ40</f>
        <v>13155.030421387419</v>
      </c>
      <c r="CA40" s="41">
        <f>'[2]побудинковий звіт'!CA40+'[1]побудинковий звіт'!CA40</f>
        <v>4350.3593254562238</v>
      </c>
      <c r="CB40" s="55">
        <f t="shared" si="32"/>
        <v>-8804.6710959311949</v>
      </c>
      <c r="CC40" s="41">
        <f>'[2]побудинковий звіт'!CC40+'[1]побудинковий звіт'!CC40</f>
        <v>1904.8124620582403</v>
      </c>
      <c r="CD40" s="41">
        <f>'[2]побудинковий звіт'!CD40+'[1]побудинковий звіт'!CD40</f>
        <v>1911.2714686473078</v>
      </c>
      <c r="CE40" s="55">
        <f t="shared" si="33"/>
        <v>6.459006589067485</v>
      </c>
      <c r="CF40" s="41">
        <f>'[2]побудинковий звіт'!CF40+'[1]побудинковий звіт'!CF40</f>
        <v>235.99613961802697</v>
      </c>
      <c r="CG40" s="41">
        <f>'[2]побудинковий звіт'!CG40+'[1]побудинковий звіт'!CG40</f>
        <v>0</v>
      </c>
      <c r="CH40" s="55">
        <f t="shared" si="34"/>
        <v>-235.99613961802697</v>
      </c>
      <c r="CI40" s="41">
        <f>'[2]побудинковий звіт'!CI40+'[1]побудинковий звіт'!CI40</f>
        <v>2384.9381741371217</v>
      </c>
      <c r="CJ40" s="41">
        <f>'[2]побудинковий звіт'!CJ40+'[1]побудинковий звіт'!CJ40</f>
        <v>3258.7220269459722</v>
      </c>
      <c r="CK40" s="55">
        <f t="shared" si="35"/>
        <v>873.7838528088505</v>
      </c>
      <c r="CL40" s="41">
        <f>'[2]побудинковий звіт'!CL40+'[1]побудинковий звіт'!CL40</f>
        <v>0</v>
      </c>
      <c r="CM40" s="41">
        <f>'[2]побудинковий звіт'!CM40+'[1]побудинковий звіт'!CM40</f>
        <v>0</v>
      </c>
      <c r="CN40" s="55">
        <f t="shared" si="36"/>
        <v>0</v>
      </c>
      <c r="CO40" s="41">
        <f t="shared" si="37"/>
        <v>2384.9381741371217</v>
      </c>
      <c r="CP40" s="42">
        <f t="shared" si="38"/>
        <v>3258.7220269459722</v>
      </c>
      <c r="CQ40" s="55">
        <f t="shared" si="39"/>
        <v>873.7838528088505</v>
      </c>
      <c r="CR40" s="76">
        <f t="shared" si="40"/>
        <v>189185.19560561192</v>
      </c>
      <c r="CS40" s="5">
        <f t="shared" si="41"/>
        <v>237853.93483069452</v>
      </c>
      <c r="CT40" s="55">
        <f t="shared" si="42"/>
        <v>48668.739225082594</v>
      </c>
      <c r="CU40" s="84">
        <f t="shared" si="43"/>
        <v>227022.23472673431</v>
      </c>
      <c r="CV40" s="68">
        <f t="shared" si="44"/>
        <v>285424.72179683339</v>
      </c>
      <c r="CW40" s="36">
        <f t="shared" si="45"/>
        <v>58402.487070099072</v>
      </c>
      <c r="CX40" s="41">
        <f>'[2]побудинковий звіт'!CX40+'[1]побудинковий звіт'!CX40</f>
        <v>7832.0917775256903</v>
      </c>
      <c r="CY40" s="41">
        <f>'[2]побудинковий звіт'!CY40+'[1]побудинковий звіт'!CY40</f>
        <v>-50570.395292573332</v>
      </c>
      <c r="CZ40" s="55">
        <f t="shared" si="46"/>
        <v>-58402.487070099021</v>
      </c>
      <c r="DA40" s="254">
        <f>'[1]побудинковий звіт'!DA40</f>
        <v>54136.180325970716</v>
      </c>
      <c r="DB40" s="2">
        <v>2</v>
      </c>
      <c r="DC40" s="702">
        <f>'[1]побудинковий звіт'!DC40</f>
        <v>77708.039999999994</v>
      </c>
      <c r="DD40" s="702">
        <f>'[1]побудинковий звіт'!DD40</f>
        <v>0</v>
      </c>
      <c r="DE40" s="702">
        <f>'[1]побудинковий звіт'!DE40</f>
        <v>51821.289999999994</v>
      </c>
      <c r="DF40" s="702">
        <f>'[1]побудинковий звіт'!DF40</f>
        <v>0</v>
      </c>
      <c r="DG40" s="772">
        <v>52971.992417583824</v>
      </c>
      <c r="DH40" s="746">
        <f t="shared" si="47"/>
        <v>2818251.9180511199</v>
      </c>
      <c r="DI40" s="769"/>
      <c r="DJ40" s="5"/>
      <c r="DK40" s="307">
        <f>VLOOKUP($A40,ціни!$A$4:$G$401,5)</f>
        <v>5.1633683075088053</v>
      </c>
      <c r="DL40" s="307"/>
      <c r="DM40" s="307">
        <f>VLOOKUP($A40,ціни!$A$4:$G$401,7)</f>
        <v>4.6558978922695511</v>
      </c>
      <c r="DN40" s="29">
        <f t="shared" si="58"/>
        <v>18385.721869377354</v>
      </c>
      <c r="DO40" s="29">
        <f t="shared" si="59"/>
        <v>0</v>
      </c>
      <c r="DP40" s="306">
        <f t="shared" si="48"/>
        <v>18385.721869377354</v>
      </c>
      <c r="DQ40" s="101"/>
      <c r="DR40" s="29">
        <f>VLOOKUP(A40,'ДЗ нас '!$A$1:$C$359,2)</f>
        <v>18385.830000000002</v>
      </c>
      <c r="DS40" s="733"/>
      <c r="DT40" s="29">
        <f t="shared" si="49"/>
        <v>18385.830000000002</v>
      </c>
      <c r="DU40" s="247">
        <f>VLOOKUP(A40,'новий кошторис с 01.06'!$A$4:$AI$399,35)*1.2</f>
        <v>18486.071681784841</v>
      </c>
      <c r="DV40" s="29">
        <f t="shared" si="50"/>
        <v>-100.24168178483887</v>
      </c>
      <c r="DW40" s="1016">
        <f>'[2]побудинковий звіт'!$DW$9+'[1]побудинковий звіт'!DW40</f>
        <v>1062</v>
      </c>
      <c r="DX40" s="101">
        <f>'[1]побудинковий звіт'!DX40</f>
        <v>0</v>
      </c>
      <c r="DY40" s="5">
        <f t="shared" si="51"/>
        <v>84289.215100282207</v>
      </c>
      <c r="DZ40" s="5">
        <f t="shared" si="52"/>
        <v>132736.09096658934</v>
      </c>
      <c r="EA40" s="737">
        <f t="shared" si="53"/>
        <v>51821.289999999994</v>
      </c>
      <c r="EC40" s="577">
        <f t="shared" si="54"/>
        <v>733699.83097680041</v>
      </c>
      <c r="EE40" s="743">
        <v>-36286</v>
      </c>
      <c r="EF40" s="723">
        <f t="shared" si="55"/>
        <v>16685.992417583824</v>
      </c>
      <c r="EH40" s="798">
        <v>24073.216356966259</v>
      </c>
      <c r="EI40" s="101">
        <f>VLOOKUP(A40,'кошти 01.01.24'!$A$9:$D$352,4,FALSE)</f>
        <v>-4266.3067441283347</v>
      </c>
    </row>
    <row r="41" spans="1:139" hidden="1" x14ac:dyDescent="0.3">
      <c r="A41" s="318">
        <v>150000723</v>
      </c>
      <c r="B41" s="43" t="s">
        <v>687</v>
      </c>
      <c r="C41" s="44" t="s">
        <v>1752</v>
      </c>
      <c r="D41" s="44" t="s">
        <v>275</v>
      </c>
      <c r="E41" s="39">
        <f t="shared" si="4"/>
        <v>3573.3</v>
      </c>
      <c r="F41" s="205">
        <f>'[1]побудинковий звіт'!F41</f>
        <v>3573.3</v>
      </c>
      <c r="G41" s="29">
        <f>'[1]побудинковий звіт'!G41</f>
        <v>0</v>
      </c>
      <c r="H41" s="148">
        <f>'[1]побудинковий звіт'!H41</f>
        <v>0</v>
      </c>
      <c r="I41" s="41">
        <f>'[2]побудинковий звіт'!I41+'[1]побудинковий звіт'!I41</f>
        <v>12771.169069280284</v>
      </c>
      <c r="J41" s="41">
        <f>'[2]побудинковий звіт'!J41+'[1]побудинковий звіт'!J41</f>
        <v>13126.752742201117</v>
      </c>
      <c r="K41" s="55">
        <f t="shared" si="5"/>
        <v>355.58367292083312</v>
      </c>
      <c r="L41" s="41">
        <f>'[2]побудинковий звіт'!L41+'[1]побудинковий звіт'!L41</f>
        <v>2160.8396119061927</v>
      </c>
      <c r="M41" s="41">
        <f>'[2]побудинковий звіт'!M41+'[1]побудинковий звіт'!M41</f>
        <v>2266.8879464136617</v>
      </c>
      <c r="N41" s="55">
        <f t="shared" si="6"/>
        <v>106.04833450746901</v>
      </c>
      <c r="O41" s="41">
        <f>'[2]побудинковий звіт'!O41+'[1]побудинковий звіт'!O41</f>
        <v>5202.1355349523528</v>
      </c>
      <c r="P41" s="41">
        <f>'[2]побудинковий звіт'!P41+'[1]побудинковий звіт'!P41</f>
        <v>5216.9130192480925</v>
      </c>
      <c r="Q41" s="55">
        <f t="shared" si="7"/>
        <v>14.777484295739669</v>
      </c>
      <c r="R41" s="41">
        <f>'[2]побудинковий звіт'!R41+'[1]побудинковий звіт'!R41</f>
        <v>0</v>
      </c>
      <c r="S41" s="41">
        <f>'[2]побудинковий звіт'!S41+'[1]побудинковий звіт'!S41</f>
        <v>0</v>
      </c>
      <c r="T41" s="55">
        <f t="shared" si="8"/>
        <v>0</v>
      </c>
      <c r="U41" s="41">
        <f>'[2]побудинковий звіт'!U41+'[1]побудинковий звіт'!U41</f>
        <v>0</v>
      </c>
      <c r="V41" s="41">
        <f>'[2]побудинковий звіт'!V41+'[1]побудинковий звіт'!V41</f>
        <v>0</v>
      </c>
      <c r="W41" s="55">
        <f t="shared" si="9"/>
        <v>0</v>
      </c>
      <c r="X41" s="41">
        <f>'[2]побудинковий звіт'!X41+'[1]побудинковий звіт'!X41</f>
        <v>7908.6018615106386</v>
      </c>
      <c r="Y41" s="41">
        <f>'[2]побудинковий звіт'!Y41+'[1]побудинковий звіт'!Y41</f>
        <v>7755.8483891209926</v>
      </c>
      <c r="Z41" s="55">
        <f t="shared" si="10"/>
        <v>-152.75347238964605</v>
      </c>
      <c r="AA41" s="41">
        <f>'[2]побудинковий звіт'!AA41+'[1]побудинковий звіт'!AA41</f>
        <v>0</v>
      </c>
      <c r="AB41" s="41">
        <f>'[2]побудинковий звіт'!AB41+'[1]побудинковий звіт'!AB41</f>
        <v>0</v>
      </c>
      <c r="AC41" s="55">
        <f t="shared" si="11"/>
        <v>0</v>
      </c>
      <c r="AD41" s="41">
        <f>'[2]побудинковий звіт'!AD41+'[1]побудинковий звіт'!AD41</f>
        <v>15505.355322876254</v>
      </c>
      <c r="AE41" s="41">
        <f>'[2]побудинковий звіт'!AE41+'[1]побудинковий звіт'!AE41</f>
        <v>15444.791149604602</v>
      </c>
      <c r="AF41" s="36">
        <f t="shared" si="12"/>
        <v>-60.56417327165218</v>
      </c>
      <c r="AG41" s="84">
        <f t="shared" si="13"/>
        <v>43548.101400525724</v>
      </c>
      <c r="AH41" s="56">
        <f t="shared" si="14"/>
        <v>43811.19324658846</v>
      </c>
      <c r="AI41" s="55">
        <f t="shared" si="15"/>
        <v>263.09184606273629</v>
      </c>
      <c r="AJ41" s="41">
        <f>'[2]побудинковий звіт'!AJ41+'[1]побудинковий звіт'!AJ41</f>
        <v>0</v>
      </c>
      <c r="AK41" s="41">
        <f>'[2]побудинковий звіт'!AK41+'[1]побудинковий звіт'!AK41</f>
        <v>0</v>
      </c>
      <c r="AL41" s="55">
        <f t="shared" si="16"/>
        <v>0</v>
      </c>
      <c r="AM41" s="41">
        <f>'[2]побудинковий звіт'!AM41+'[1]побудинковий звіт'!AM41</f>
        <v>0</v>
      </c>
      <c r="AN41" s="41">
        <f>'[2]побудинковий звіт'!AN41+'[1]побудинковий звіт'!AN41</f>
        <v>0</v>
      </c>
      <c r="AO41" s="55">
        <f t="shared" si="17"/>
        <v>0</v>
      </c>
      <c r="AP41" s="41">
        <f>'[2]побудинковий звіт'!AP41+'[1]побудинковий звіт'!AP41</f>
        <v>11887.175314862448</v>
      </c>
      <c r="AQ41" s="41">
        <f>'[2]побудинковий звіт'!AQ41+'[1]побудинковий звіт'!AQ41</f>
        <v>17160.523836685596</v>
      </c>
      <c r="AR41" s="55">
        <f t="shared" si="18"/>
        <v>5273.3485218231472</v>
      </c>
      <c r="AS41" s="41">
        <f>'[2]побудинковий звіт'!AS41+'[1]побудинковий звіт'!AS41</f>
        <v>61235.03669994315</v>
      </c>
      <c r="AT41" s="41">
        <f>'[2]побудинковий звіт'!AT41+'[1]побудинковий звіт'!AT41</f>
        <v>7903.6887280702831</v>
      </c>
      <c r="AU41" s="57">
        <f t="shared" si="19"/>
        <v>-53331.347971872863</v>
      </c>
      <c r="AV41" s="41">
        <f>'[2]побудинковий звіт'!AV41+'[1]побудинковий звіт'!AV41</f>
        <v>1982.0423041105171</v>
      </c>
      <c r="AW41" s="41">
        <f>'[2]побудинковий звіт'!AW41+'[1]побудинковий звіт'!AW41</f>
        <v>3329.307448707822</v>
      </c>
      <c r="AX41" s="58">
        <f t="shared" si="20"/>
        <v>1347.2651445973049</v>
      </c>
      <c r="AY41" s="41">
        <f>'[2]побудинковий звіт'!AY41+'[1]побудинковий звіт'!AY41</f>
        <v>2590.7125673742535</v>
      </c>
      <c r="AZ41" s="41">
        <f>'[2]побудинковий звіт'!AZ41+'[1]побудинковий звіт'!AZ41</f>
        <v>0</v>
      </c>
      <c r="BA41" s="36">
        <f t="shared" si="21"/>
        <v>-2590.7125673742535</v>
      </c>
      <c r="BB41" s="41">
        <f>'[2]побудинковий звіт'!BB41+'[1]побудинковий звіт'!BB41</f>
        <v>2701.0345771826196</v>
      </c>
      <c r="BC41" s="41">
        <f>'[2]побудинковий звіт'!BC41+'[1]побудинковий звіт'!BC41</f>
        <v>0</v>
      </c>
      <c r="BD41" s="58">
        <f t="shared" si="22"/>
        <v>-2701.0345771826196</v>
      </c>
      <c r="BE41" s="41">
        <f>'[2]побудинковий звіт'!BE41+'[1]побудинковий звіт'!BE41</f>
        <v>0</v>
      </c>
      <c r="BF41" s="41">
        <f>'[2]побудинковий звіт'!BF41+'[1]побудинковий звіт'!BF41</f>
        <v>0</v>
      </c>
      <c r="BG41" s="38">
        <f t="shared" si="23"/>
        <v>0</v>
      </c>
      <c r="BH41" s="41">
        <f>'[2]побудинковий звіт'!BH41+'[1]побудинковий звіт'!BH41</f>
        <v>0</v>
      </c>
      <c r="BI41" s="41">
        <f>'[2]побудинковий звіт'!BI41+'[1]побудинковий звіт'!BI41</f>
        <v>0</v>
      </c>
      <c r="BJ41" s="58">
        <f t="shared" si="24"/>
        <v>0</v>
      </c>
      <c r="BK41" s="41">
        <f>'[2]побудинковий звіт'!BK41+'[1]побудинковий звіт'!BK41</f>
        <v>1398.5678170211443</v>
      </c>
      <c r="BL41" s="41">
        <f>'[2]побудинковий звіт'!BL41+'[1]побудинковий звіт'!BL41</f>
        <v>0</v>
      </c>
      <c r="BM41" s="38">
        <f t="shared" si="25"/>
        <v>-1398.5678170211443</v>
      </c>
      <c r="BN41" s="41">
        <f>'[2]побудинковий звіт'!BN41+'[1]побудинковий звіт'!BN41</f>
        <v>25.598628809982401</v>
      </c>
      <c r="BO41" s="41">
        <f>'[2]побудинковий звіт'!BO41+'[1]побудинковий звіт'!BO41</f>
        <v>0</v>
      </c>
      <c r="BP41" s="58">
        <f t="shared" si="26"/>
        <v>-25.598628809982401</v>
      </c>
      <c r="BQ41" s="84">
        <f t="shared" si="27"/>
        <v>8697.9558944985183</v>
      </c>
      <c r="BR41" s="42">
        <f t="shared" si="28"/>
        <v>3329.307448707822</v>
      </c>
      <c r="BS41" s="58">
        <f t="shared" si="29"/>
        <v>-5368.6484457906963</v>
      </c>
      <c r="BT41" s="41">
        <f>'[2]побудинковий звіт'!BT41+'[1]побудинковий звіт'!BT41</f>
        <v>32214.176613754025</v>
      </c>
      <c r="BU41" s="41">
        <f>'[2]побудинковий звіт'!BU41+'[1]побудинковий звіт'!BU41</f>
        <v>52561.81601954683</v>
      </c>
      <c r="BV41" s="55">
        <f t="shared" si="30"/>
        <v>20347.639405792805</v>
      </c>
      <c r="BW41" s="41">
        <f>'[2]побудинковий звіт'!BW41+'[1]побудинковий звіт'!BW41</f>
        <v>19758.049946819527</v>
      </c>
      <c r="BX41" s="41">
        <f>'[2]побудинковий звіт'!BX41+'[1]побудинковий звіт'!BX41</f>
        <v>21388.248313108434</v>
      </c>
      <c r="BY41" s="55">
        <f t="shared" si="31"/>
        <v>1630.198366288907</v>
      </c>
      <c r="BZ41" s="41">
        <f>'[2]побудинковий звіт'!BZ41+'[1]побудинковий звіт'!BZ41</f>
        <v>13608.193134040424</v>
      </c>
      <c r="CA41" s="41">
        <f>'[2]побудинковий звіт'!CA41+'[1]побудинковий звіт'!CA41</f>
        <v>5095.0608425114879</v>
      </c>
      <c r="CB41" s="55">
        <f t="shared" si="32"/>
        <v>-8513.1322915289365</v>
      </c>
      <c r="CC41" s="41">
        <f>'[2]побудинковий звіт'!CC41+'[1]побудинковий звіт'!CC41</f>
        <v>2629.7282659899915</v>
      </c>
      <c r="CD41" s="41">
        <f>'[2]побудинковий звіт'!CD41+'[1]побудинковий звіт'!CD41</f>
        <v>2638.6453812104223</v>
      </c>
      <c r="CE41" s="55">
        <f t="shared" si="33"/>
        <v>8.9171152204307873</v>
      </c>
      <c r="CF41" s="41">
        <f>'[2]побудинковий звіт'!CF41+'[1]побудинковий звіт'!CF41</f>
        <v>325.80935466342549</v>
      </c>
      <c r="CG41" s="41">
        <f>'[2]побудинковий звіт'!CG41+'[1]побудинковий звіт'!CG41</f>
        <v>0</v>
      </c>
      <c r="CH41" s="55">
        <f t="shared" si="34"/>
        <v>-325.80935466342549</v>
      </c>
      <c r="CI41" s="41">
        <f>'[2]побудинковий звіт'!CI41+'[1]побудинковий звіт'!CI41</f>
        <v>4758.1797793310961</v>
      </c>
      <c r="CJ41" s="41">
        <f>'[2]побудинковий звіт'!CJ41+'[1]побудинковий звіт'!CJ41</f>
        <v>4043.3595946902155</v>
      </c>
      <c r="CK41" s="55">
        <f t="shared" si="35"/>
        <v>-714.8201846408806</v>
      </c>
      <c r="CL41" s="41">
        <f>'[2]побудинковий звіт'!CL41+'[1]побудинковий звіт'!CL41</f>
        <v>0</v>
      </c>
      <c r="CM41" s="41">
        <f>'[2]побудинковий звіт'!CM41+'[1]побудинковий звіт'!CM41</f>
        <v>0</v>
      </c>
      <c r="CN41" s="55">
        <f t="shared" si="36"/>
        <v>0</v>
      </c>
      <c r="CO41" s="41">
        <f t="shared" si="37"/>
        <v>4758.1797793310961</v>
      </c>
      <c r="CP41" s="42">
        <f t="shared" si="38"/>
        <v>4043.3595946902155</v>
      </c>
      <c r="CQ41" s="55">
        <f t="shared" si="39"/>
        <v>-714.8201846408806</v>
      </c>
      <c r="CR41" s="76">
        <f t="shared" si="40"/>
        <v>198662.4064044283</v>
      </c>
      <c r="CS41" s="5">
        <f t="shared" si="41"/>
        <v>157931.84341111954</v>
      </c>
      <c r="CT41" s="55">
        <f t="shared" si="42"/>
        <v>-40730.562993308762</v>
      </c>
      <c r="CU41" s="84">
        <f t="shared" si="43"/>
        <v>238394.88768531394</v>
      </c>
      <c r="CV41" s="68">
        <f t="shared" si="44"/>
        <v>189518.21209334343</v>
      </c>
      <c r="CW41" s="36">
        <f t="shared" si="45"/>
        <v>-48876.675591970503</v>
      </c>
      <c r="CX41" s="41">
        <f>'[2]побудинковий звіт'!CX41+'[1]побудинковий звіт'!CX41</f>
        <v>8977.5704191133354</v>
      </c>
      <c r="CY41" s="41">
        <f>'[2]побудинковий звіт'!CY41+'[1]побудинковий звіт'!CY41</f>
        <v>57854.246011083866</v>
      </c>
      <c r="CZ41" s="55">
        <f t="shared" si="46"/>
        <v>48876.675591970532</v>
      </c>
      <c r="DA41" s="254">
        <f>'[1]побудинковий звіт'!DA41</f>
        <v>7076.5487645191242</v>
      </c>
      <c r="DB41" s="2">
        <v>2</v>
      </c>
      <c r="DC41" s="702">
        <f>'[1]побудинковий звіт'!DC41</f>
        <v>74305.13</v>
      </c>
      <c r="DD41" s="702">
        <f>'[1]побудинковий звіт'!DD41</f>
        <v>0</v>
      </c>
      <c r="DE41" s="702">
        <f>'[1]побудинковий звіт'!DE41</f>
        <v>47124.14</v>
      </c>
      <c r="DF41" s="702">
        <f>'[1]побудинковий звіт'!DF41</f>
        <v>0</v>
      </c>
      <c r="DG41" s="772">
        <v>69048.498012786615</v>
      </c>
      <c r="DH41" s="746">
        <f t="shared" si="47"/>
        <v>2968469.4972531274</v>
      </c>
      <c r="DI41" s="769"/>
      <c r="DJ41" s="5"/>
      <c r="DK41" s="307">
        <f>VLOOKUP($A41,ціни!$A$4:$G$401,5)</f>
        <v>5.4232935634209927</v>
      </c>
      <c r="DL41" s="307"/>
      <c r="DM41" s="307">
        <f>VLOOKUP($A41,ціни!$A$4:$G$401,7)</f>
        <v>4.8748839818913812</v>
      </c>
      <c r="DN41" s="29">
        <f t="shared" si="58"/>
        <v>19379.054890172236</v>
      </c>
      <c r="DO41" s="29">
        <f t="shared" si="59"/>
        <v>0</v>
      </c>
      <c r="DP41" s="306">
        <f t="shared" si="48"/>
        <v>19379.054890172236</v>
      </c>
      <c r="DQ41" s="101"/>
      <c r="DR41" s="29">
        <f>VLOOKUP(A41,'ДЗ нас '!$A$1:$C$359,2)</f>
        <v>19379.060000000001</v>
      </c>
      <c r="DS41" s="733"/>
      <c r="DT41" s="29">
        <f t="shared" si="49"/>
        <v>19379.060000000001</v>
      </c>
      <c r="DU41" s="247">
        <f>VLOOKUP(A41,'новий кошторис с 01.06'!$A$4:$AI$399,35)*1.2</f>
        <v>19520.494910295976</v>
      </c>
      <c r="DV41" s="29">
        <f t="shared" si="50"/>
        <v>-141.43491029597499</v>
      </c>
      <c r="DW41" s="1016">
        <f>'[2]побудинковий звіт'!$DW$9+'[1]побудинковий звіт'!DW41</f>
        <v>1062</v>
      </c>
      <c r="DX41" s="101">
        <f>'[1]побудинковий звіт'!DX41</f>
        <v>0</v>
      </c>
      <c r="DY41" s="5">
        <f t="shared" si="51"/>
        <v>83919.591113329996</v>
      </c>
      <c r="DZ41" s="5">
        <f t="shared" si="52"/>
        <v>13479.595412133727</v>
      </c>
      <c r="EA41" s="737">
        <f t="shared" si="53"/>
        <v>47124.14</v>
      </c>
      <c r="EC41" s="577">
        <f t="shared" si="54"/>
        <v>734820.44039931777</v>
      </c>
      <c r="EE41" s="743">
        <v>-30537</v>
      </c>
      <c r="EF41" s="723">
        <f t="shared" si="55"/>
        <v>38511.498012786615</v>
      </c>
      <c r="EH41" s="798">
        <v>54322.968974221549</v>
      </c>
      <c r="EI41" s="101">
        <f>VLOOKUP(A41,'кошти 01.01.24'!$A$9:$D$352,4,FALSE)</f>
        <v>55953.224356489729</v>
      </c>
    </row>
    <row r="42" spans="1:139" ht="14.4" hidden="1" customHeight="1" x14ac:dyDescent="0.3">
      <c r="A42" s="318">
        <v>150000724</v>
      </c>
      <c r="B42" s="43" t="s">
        <v>688</v>
      </c>
      <c r="C42" s="44" t="s">
        <v>1753</v>
      </c>
      <c r="D42" s="44" t="s">
        <v>276</v>
      </c>
      <c r="E42" s="39">
        <f t="shared" si="4"/>
        <v>3565.8</v>
      </c>
      <c r="F42" s="205">
        <f>'[1]побудинковий звіт'!F42</f>
        <v>3565.8</v>
      </c>
      <c r="G42" s="29">
        <f>'[1]побудинковий звіт'!G42</f>
        <v>0</v>
      </c>
      <c r="H42" s="148">
        <f>'[1]побудинковий звіт'!H42</f>
        <v>0</v>
      </c>
      <c r="I42" s="41">
        <f>'[2]побудинковий звіт'!I42+'[1]побудинковий звіт'!I42</f>
        <v>12654.726948444219</v>
      </c>
      <c r="J42" s="41">
        <f>'[2]побудинковий звіт'!J42+'[1]побудинковий звіт'!J42</f>
        <v>13014.806272836675</v>
      </c>
      <c r="K42" s="55">
        <f t="shared" si="5"/>
        <v>360.07932439245633</v>
      </c>
      <c r="L42" s="41">
        <f>'[2]побудинковий звіт'!L42+'[1]побудинковий звіт'!L42</f>
        <v>2162.3379563345534</v>
      </c>
      <c r="M42" s="41">
        <f>'[2]побудинковий звіт'!M42+'[1]побудинковий звіт'!M42</f>
        <v>2266.8879464136617</v>
      </c>
      <c r="N42" s="55">
        <f t="shared" si="6"/>
        <v>104.54999007910828</v>
      </c>
      <c r="O42" s="41">
        <f>'[2]побудинковий звіт'!O42+'[1]побудинковий звіт'!O42</f>
        <v>5194.4704687435724</v>
      </c>
      <c r="P42" s="41">
        <f>'[2]побудинковий звіт'!P42+'[1]побудинковий звіт'!P42</f>
        <v>5208.844528502008</v>
      </c>
      <c r="Q42" s="55">
        <f t="shared" si="7"/>
        <v>14.374059758435578</v>
      </c>
      <c r="R42" s="41">
        <f>'[2]побудинковий звіт'!R42+'[1]побудинковий звіт'!R42</f>
        <v>0</v>
      </c>
      <c r="S42" s="41">
        <f>'[2]побудинковий звіт'!S42+'[1]побудинковий звіт'!S42</f>
        <v>0</v>
      </c>
      <c r="T42" s="55">
        <f t="shared" si="8"/>
        <v>0</v>
      </c>
      <c r="U42" s="41">
        <f>'[2]побудинковий звіт'!U42+'[1]побудинковий звіт'!U42</f>
        <v>0</v>
      </c>
      <c r="V42" s="41">
        <f>'[2]побудинковий звіт'!V42+'[1]побудинковий звіт'!V42</f>
        <v>0</v>
      </c>
      <c r="W42" s="55">
        <f t="shared" si="9"/>
        <v>0</v>
      </c>
      <c r="X42" s="41">
        <f>'[2]побудинковий звіт'!X42+'[1]побудинковий звіт'!X42</f>
        <v>7927.6916342299755</v>
      </c>
      <c r="Y42" s="41">
        <f>'[2]побудинковий звіт'!Y42+'[1]побудинковий звіт'!Y42</f>
        <v>7988.6034501367421</v>
      </c>
      <c r="Z42" s="55">
        <f t="shared" si="10"/>
        <v>60.911815906766606</v>
      </c>
      <c r="AA42" s="41">
        <f>'[2]побудинковий звіт'!AA42+'[1]побудинковий звіт'!AA42</f>
        <v>0</v>
      </c>
      <c r="AB42" s="41">
        <f>'[2]побудинковий звіт'!AB42+'[1]побудинковий звіт'!AB42</f>
        <v>0</v>
      </c>
      <c r="AC42" s="55">
        <f t="shared" si="11"/>
        <v>0</v>
      </c>
      <c r="AD42" s="41">
        <f>'[2]побудинковий звіт'!AD42+'[1]побудинковий звіт'!AD42</f>
        <v>15460.229594588034</v>
      </c>
      <c r="AE42" s="41">
        <f>'[2]побудинковий звіт'!AE42+'[1]побудинковий звіт'!AE42</f>
        <v>15400.319238527412</v>
      </c>
      <c r="AF42" s="36">
        <f t="shared" si="12"/>
        <v>-59.91035606062178</v>
      </c>
      <c r="AG42" s="84">
        <f t="shared" si="13"/>
        <v>43399.456602340353</v>
      </c>
      <c r="AH42" s="56">
        <f t="shared" si="14"/>
        <v>43879.461436416503</v>
      </c>
      <c r="AI42" s="55">
        <f t="shared" si="15"/>
        <v>480.00483407614956</v>
      </c>
      <c r="AJ42" s="41">
        <f>'[2]побудинковий звіт'!AJ42+'[1]побудинковий звіт'!AJ42</f>
        <v>0</v>
      </c>
      <c r="AK42" s="41">
        <f>'[2]побудинковий звіт'!AK42+'[1]побудинковий звіт'!AK42</f>
        <v>0</v>
      </c>
      <c r="AL42" s="55">
        <f t="shared" si="16"/>
        <v>0</v>
      </c>
      <c r="AM42" s="41">
        <f>'[2]побудинковий звіт'!AM42+'[1]побудинковий звіт'!AM42</f>
        <v>0</v>
      </c>
      <c r="AN42" s="41">
        <f>'[2]побудинковий звіт'!AN42+'[1]побудинковий звіт'!AN42</f>
        <v>0</v>
      </c>
      <c r="AO42" s="55">
        <f t="shared" si="17"/>
        <v>0</v>
      </c>
      <c r="AP42" s="41">
        <f>'[2]побудинковий звіт'!AP42+'[1]побудинковий звіт'!AP42</f>
        <v>11887.175314862448</v>
      </c>
      <c r="AQ42" s="41">
        <f>'[2]побудинковий звіт'!AQ42+'[1]побудинковий звіт'!AQ42</f>
        <v>6959.1211292738608</v>
      </c>
      <c r="AR42" s="55">
        <f t="shared" si="18"/>
        <v>-4928.0541855885876</v>
      </c>
      <c r="AS42" s="41">
        <f>'[2]побудинковий звіт'!AS42+'[1]побудинковий звіт'!AS42</f>
        <v>54239.416701913811</v>
      </c>
      <c r="AT42" s="41">
        <f>'[2]побудинковий звіт'!AT42+'[1]побудинковий звіт'!AT42</f>
        <v>19685.069240630277</v>
      </c>
      <c r="AU42" s="57">
        <f t="shared" si="19"/>
        <v>-34554.347461283534</v>
      </c>
      <c r="AV42" s="41">
        <f>'[2]побудинковий звіт'!AV42+'[1]побудинковий звіт'!AV42</f>
        <v>2038.9661213794766</v>
      </c>
      <c r="AW42" s="41">
        <f>'[2]побудинковий звіт'!AW42+'[1]побудинковий звіт'!AW42</f>
        <v>1294.188597259516</v>
      </c>
      <c r="AX42" s="58">
        <f t="shared" si="20"/>
        <v>-744.77752411996062</v>
      </c>
      <c r="AY42" s="41">
        <f>'[2]побудинковий звіт'!AY42+'[1]побудинковий звіт'!AY42</f>
        <v>2676.7185730800325</v>
      </c>
      <c r="AZ42" s="41">
        <f>'[2]побудинковий звіт'!AZ42+'[1]побудинковий звіт'!AZ42</f>
        <v>0</v>
      </c>
      <c r="BA42" s="36">
        <f t="shared" si="21"/>
        <v>-2676.7185730800325</v>
      </c>
      <c r="BB42" s="41">
        <f>'[2]побудинковий звіт'!BB42+'[1]побудинковий звіт'!BB42</f>
        <v>2701.0345771826196</v>
      </c>
      <c r="BC42" s="41">
        <f>'[2]побудинковий звіт'!BC42+'[1]побудинковий звіт'!BC42</f>
        <v>0</v>
      </c>
      <c r="BD42" s="58">
        <f t="shared" si="22"/>
        <v>-2701.0345771826196</v>
      </c>
      <c r="BE42" s="41">
        <f>'[2]побудинковий звіт'!BE42+'[1]побудинковий звіт'!BE42</f>
        <v>0</v>
      </c>
      <c r="BF42" s="41">
        <f>'[2]побудинковий звіт'!BF42+'[1]побудинковий звіт'!BF42</f>
        <v>0</v>
      </c>
      <c r="BG42" s="38">
        <f t="shared" si="23"/>
        <v>0</v>
      </c>
      <c r="BH42" s="41">
        <f>'[2]побудинковий звіт'!BH42+'[1]побудинковий звіт'!BH42</f>
        <v>0</v>
      </c>
      <c r="BI42" s="41">
        <f>'[2]побудинковий звіт'!BI42+'[1]побудинковий звіт'!BI42</f>
        <v>0</v>
      </c>
      <c r="BJ42" s="58">
        <f t="shared" si="24"/>
        <v>0</v>
      </c>
      <c r="BK42" s="41">
        <f>'[2]побудинковий звіт'!BK42+'[1]побудинковий звіт'!BK42</f>
        <v>1398.5678170211443</v>
      </c>
      <c r="BL42" s="41">
        <f>'[2]побудинковий звіт'!BL42+'[1]побудинковий звіт'!BL42</f>
        <v>131.88487087213676</v>
      </c>
      <c r="BM42" s="38">
        <f t="shared" si="25"/>
        <v>-1266.6829461490074</v>
      </c>
      <c r="BN42" s="41">
        <f>'[2]побудинковий звіт'!BN42+'[1]побудинковий звіт'!BN42</f>
        <v>26.414271394614186</v>
      </c>
      <c r="BO42" s="41">
        <f>'[2]побудинковий звіт'!BO42+'[1]побудинковий звіт'!BO42</f>
        <v>7293.4097856278477</v>
      </c>
      <c r="BP42" s="58">
        <f t="shared" si="26"/>
        <v>7266.9955142332337</v>
      </c>
      <c r="BQ42" s="84">
        <f t="shared" si="27"/>
        <v>8841.7013600578885</v>
      </c>
      <c r="BR42" s="42">
        <f t="shared" si="28"/>
        <v>8719.4832537595012</v>
      </c>
      <c r="BS42" s="58">
        <f t="shared" si="29"/>
        <v>-122.21810629838728</v>
      </c>
      <c r="BT42" s="41">
        <f>'[2]побудинковий звіт'!BT42+'[1]побудинковий звіт'!BT42</f>
        <v>30730.279498290827</v>
      </c>
      <c r="BU42" s="41">
        <f>'[2]побудинковий звіт'!BU42+'[1]побудинковий звіт'!BU42</f>
        <v>53010.188124363005</v>
      </c>
      <c r="BV42" s="55">
        <f t="shared" si="30"/>
        <v>22279.908626072178</v>
      </c>
      <c r="BW42" s="41">
        <f>'[2]побудинковий звіт'!BW42+'[1]побудинковий звіт'!BW42</f>
        <v>19151.488577253454</v>
      </c>
      <c r="BX42" s="41">
        <f>'[2]побудинковий звіт'!BX42+'[1]побудинковий звіт'!BX42</f>
        <v>22187.933358575887</v>
      </c>
      <c r="BY42" s="55">
        <f t="shared" si="31"/>
        <v>3036.4447813224324</v>
      </c>
      <c r="BZ42" s="41">
        <f>'[2]побудинковий звіт'!BZ42+'[1]побудинковий звіт'!BZ42</f>
        <v>13632.568049839871</v>
      </c>
      <c r="CA42" s="41">
        <f>'[2]побудинковий звіт'!CA42+'[1]побудинковий звіт'!CA42</f>
        <v>3222.4031070272777</v>
      </c>
      <c r="CB42" s="55">
        <f t="shared" si="32"/>
        <v>-10410.164942812593</v>
      </c>
      <c r="CC42" s="41">
        <f>'[2]побудинковий звіт'!CC42+'[1]побудинковий звіт'!CC42</f>
        <v>2185.1295252466771</v>
      </c>
      <c r="CD42" s="41">
        <f>'[2]побудинковий звіт'!CD42+'[1]побудинковий звіт'!CD42</f>
        <v>2192.5390557294222</v>
      </c>
      <c r="CE42" s="55">
        <f t="shared" si="33"/>
        <v>7.40953048274514</v>
      </c>
      <c r="CF42" s="41">
        <f>'[2]побудинковий звіт'!CF42+'[1]побудинковий звіт'!CF42</f>
        <v>270.72593380997137</v>
      </c>
      <c r="CG42" s="41">
        <f>'[2]побудинковий звіт'!CG42+'[1]побудинковий звіт'!CG42</f>
        <v>0</v>
      </c>
      <c r="CH42" s="55">
        <f t="shared" si="34"/>
        <v>-270.72593380997137</v>
      </c>
      <c r="CI42" s="41">
        <f>'[2]побудинковий звіт'!CI42+'[1]побудинковий звіт'!CI42</f>
        <v>9750.2528509212934</v>
      </c>
      <c r="CJ42" s="41">
        <f>'[2]побудинковий звіт'!CJ42+'[1]побудинковий звіт'!CJ42</f>
        <v>11266.098351025619</v>
      </c>
      <c r="CK42" s="55">
        <f t="shared" si="35"/>
        <v>1515.8455001043258</v>
      </c>
      <c r="CL42" s="41">
        <f>'[2]побудинковий звіт'!CL42+'[1]побудинковий звіт'!CL42</f>
        <v>0</v>
      </c>
      <c r="CM42" s="41">
        <f>'[2]побудинковий звіт'!CM42+'[1]побудинковий звіт'!CM42</f>
        <v>0</v>
      </c>
      <c r="CN42" s="55">
        <f t="shared" si="36"/>
        <v>0</v>
      </c>
      <c r="CO42" s="41">
        <f t="shared" si="37"/>
        <v>9750.2528509212934</v>
      </c>
      <c r="CP42" s="42">
        <f t="shared" si="38"/>
        <v>11266.098351025619</v>
      </c>
      <c r="CQ42" s="55">
        <f t="shared" si="39"/>
        <v>1515.8455001043258</v>
      </c>
      <c r="CR42" s="76">
        <f t="shared" si="40"/>
        <v>194088.19441453661</v>
      </c>
      <c r="CS42" s="5">
        <f t="shared" si="41"/>
        <v>171122.29705680138</v>
      </c>
      <c r="CT42" s="55">
        <f t="shared" si="42"/>
        <v>-22965.89735773523</v>
      </c>
      <c r="CU42" s="84">
        <f t="shared" si="43"/>
        <v>232905.83329744393</v>
      </c>
      <c r="CV42" s="68">
        <f t="shared" si="44"/>
        <v>205346.75646816165</v>
      </c>
      <c r="CW42" s="36">
        <f t="shared" si="45"/>
        <v>-27559.076829282276</v>
      </c>
      <c r="CX42" s="41">
        <f>'[2]побудинковий звіт'!CX42+'[1]побудинковий звіт'!CX42</f>
        <v>11732.840572195455</v>
      </c>
      <c r="CY42" s="41">
        <f>'[2]побудинковий звіт'!CY42+'[1]побудинковий звіт'!CY42</f>
        <v>39291.917401477767</v>
      </c>
      <c r="CZ42" s="55">
        <f t="shared" si="46"/>
        <v>27559.076829282312</v>
      </c>
      <c r="DA42" s="254">
        <f>'[1]побудинковий звіт'!DA42</f>
        <v>27598.151587875065</v>
      </c>
      <c r="DB42" s="2">
        <v>2</v>
      </c>
      <c r="DC42" s="702">
        <f>'[1]побудинковий звіт'!DC42</f>
        <v>100657.8</v>
      </c>
      <c r="DD42" s="702">
        <f>'[1]побудинковий звіт'!DD42</f>
        <v>0</v>
      </c>
      <c r="DE42" s="702">
        <f>'[1]побудинковий звіт'!DE42</f>
        <v>73829.08</v>
      </c>
      <c r="DF42" s="702">
        <f>'[1]побудинковий звіт'!DF42</f>
        <v>0</v>
      </c>
      <c r="DG42" s="772">
        <v>101282.23346366535</v>
      </c>
      <c r="DH42" s="746">
        <f t="shared" si="47"/>
        <v>2935664.0864356724</v>
      </c>
      <c r="DI42" s="769"/>
      <c r="DJ42" s="5"/>
      <c r="DK42" s="307">
        <f>VLOOKUP($A42,ціни!$A$4:$G$401,5)</f>
        <v>5.3773670925745289</v>
      </c>
      <c r="DL42" s="307"/>
      <c r="DM42" s="307">
        <f>VLOOKUP($A42,ціни!$A$4:$G$401,7)</f>
        <v>4.8367878208860198</v>
      </c>
      <c r="DN42" s="29">
        <f t="shared" si="58"/>
        <v>19174.615578702258</v>
      </c>
      <c r="DO42" s="29">
        <f t="shared" si="59"/>
        <v>0</v>
      </c>
      <c r="DP42" s="306">
        <f t="shared" si="48"/>
        <v>19174.615578702258</v>
      </c>
      <c r="DQ42" s="101"/>
      <c r="DR42" s="29">
        <f>VLOOKUP(A42,'ДЗ нас '!$A$1:$C$359,2)</f>
        <v>19174.68</v>
      </c>
      <c r="DS42" s="733"/>
      <c r="DT42" s="29">
        <f t="shared" si="49"/>
        <v>19174.68</v>
      </c>
      <c r="DU42" s="247">
        <f>VLOOKUP(A42,'новий кошторис с 01.06'!$A$4:$AI$399,35)*1.2</f>
        <v>19348.545236986076</v>
      </c>
      <c r="DV42" s="29">
        <f t="shared" si="50"/>
        <v>-173.86523698607562</v>
      </c>
      <c r="DW42" s="1016">
        <f>'[2]побудинковий звіт'!$DW$9+'[1]побудинковий звіт'!DW42</f>
        <v>1062</v>
      </c>
      <c r="DX42" s="101">
        <f>'[1]побудинковий звіт'!DX42</f>
        <v>0</v>
      </c>
      <c r="DY42" s="5">
        <f t="shared" si="51"/>
        <v>75697.341674366035</v>
      </c>
      <c r="DZ42" s="5">
        <f t="shared" si="52"/>
        <v>34085.462993267727</v>
      </c>
      <c r="EA42" s="737">
        <f t="shared" si="53"/>
        <v>73829.08</v>
      </c>
      <c r="EC42" s="577">
        <f t="shared" si="54"/>
        <v>650873.00042296574</v>
      </c>
      <c r="EE42" s="743">
        <v>-65656</v>
      </c>
      <c r="EF42" s="723">
        <f t="shared" si="55"/>
        <v>35626.233463665354</v>
      </c>
      <c r="EH42" s="798">
        <v>74572.915765378333</v>
      </c>
      <c r="EI42" s="101">
        <f>VLOOKUP(A42,'кошти 01.01.24'!$A$9:$D$352,4,FALSE)</f>
        <v>55157.228417157414</v>
      </c>
    </row>
    <row r="43" spans="1:139" hidden="1" x14ac:dyDescent="0.3">
      <c r="A43" s="318">
        <v>150000725</v>
      </c>
      <c r="B43" s="43" t="s">
        <v>689</v>
      </c>
      <c r="C43" s="44" t="s">
        <v>1754</v>
      </c>
      <c r="D43" s="44" t="s">
        <v>277</v>
      </c>
      <c r="E43" s="39">
        <f t="shared" si="4"/>
        <v>3571.86</v>
      </c>
      <c r="F43" s="205">
        <f>'[1]побудинковий звіт'!F43</f>
        <v>3571.86</v>
      </c>
      <c r="G43" s="29">
        <f>'[1]побудинковий звіт'!G43</f>
        <v>0</v>
      </c>
      <c r="H43" s="148">
        <f>'[1]побудинковий звіт'!H43</f>
        <v>0</v>
      </c>
      <c r="I43" s="41">
        <f>'[2]побудинковий звіт'!I43+'[1]побудинковий звіт'!I43</f>
        <v>12757.587957017004</v>
      </c>
      <c r="J43" s="41">
        <f>'[2]побудинковий звіт'!J43+'[1]побудинковий звіт'!J43</f>
        <v>13110.321622261617</v>
      </c>
      <c r="K43" s="55">
        <f t="shared" si="5"/>
        <v>352.7336652446138</v>
      </c>
      <c r="L43" s="41">
        <f>'[2]побудинковий звіт'!L43+'[1]побудинковий звіт'!L43</f>
        <v>2164.8351970484891</v>
      </c>
      <c r="M43" s="41">
        <f>'[2]побудинковий звіт'!M43+'[1]побудинковий звіт'!M43</f>
        <v>2266.8879464136617</v>
      </c>
      <c r="N43" s="55">
        <f t="shared" si="6"/>
        <v>102.05274936517253</v>
      </c>
      <c r="O43" s="41">
        <f>'[2]побудинковий звіт'!O43+'[1]побудинковий звіт'!O43</f>
        <v>5144.8398916228034</v>
      </c>
      <c r="P43" s="41">
        <f>'[2]побудинковий звіт'!P43+'[1]побудинковий звіт'!P43</f>
        <v>5159.334798199442</v>
      </c>
      <c r="Q43" s="55">
        <f t="shared" si="7"/>
        <v>14.494906576638641</v>
      </c>
      <c r="R43" s="41">
        <f>'[2]побудинковий звіт'!R43+'[1]побудинковий звіт'!R43</f>
        <v>0</v>
      </c>
      <c r="S43" s="41">
        <f>'[2]побудинковий звіт'!S43+'[1]побудинковий звіт'!S43</f>
        <v>0</v>
      </c>
      <c r="T43" s="55">
        <f t="shared" si="8"/>
        <v>0</v>
      </c>
      <c r="U43" s="41">
        <f>'[2]побудинковий звіт'!U43+'[1]побудинковий звіт'!U43</f>
        <v>0</v>
      </c>
      <c r="V43" s="41">
        <f>'[2]побудинковий звіт'!V43+'[1]побудинковий звіт'!V43</f>
        <v>0</v>
      </c>
      <c r="W43" s="55">
        <f t="shared" si="9"/>
        <v>0</v>
      </c>
      <c r="X43" s="41">
        <f>'[2]побудинковий звіт'!X43+'[1]побудинковий звіт'!X43</f>
        <v>7958.8072561263562</v>
      </c>
      <c r="Y43" s="41">
        <f>'[2]побудинковий звіт'!Y43+'[1]побудинковий звіт'!Y43</f>
        <v>7946.7270348469719</v>
      </c>
      <c r="Z43" s="55">
        <f t="shared" si="10"/>
        <v>-12.080221279384205</v>
      </c>
      <c r="AA43" s="41">
        <f>'[2]побудинковий звіт'!AA43+'[1]побудинковий звіт'!AA43</f>
        <v>0</v>
      </c>
      <c r="AB43" s="41">
        <f>'[2]побудинковий звіт'!AB43+'[1]побудинковий звіт'!AB43</f>
        <v>0</v>
      </c>
      <c r="AC43" s="55">
        <f t="shared" si="11"/>
        <v>0</v>
      </c>
      <c r="AD43" s="41">
        <f>'[2]побудинковий звіт'!AD43+'[1]побудинковий звіт'!AD43</f>
        <v>15492.631708587294</v>
      </c>
      <c r="AE43" s="41">
        <f>'[2]побудинковий звіт'!AE43+'[1]побудинковий звіт'!AE43</f>
        <v>15432.363009433499</v>
      </c>
      <c r="AF43" s="36">
        <f t="shared" si="12"/>
        <v>-60.268699153795751</v>
      </c>
      <c r="AG43" s="84">
        <f t="shared" si="13"/>
        <v>43518.702010401947</v>
      </c>
      <c r="AH43" s="56">
        <f t="shared" si="14"/>
        <v>43915.634411155188</v>
      </c>
      <c r="AI43" s="55">
        <f t="shared" si="15"/>
        <v>396.93240075324138</v>
      </c>
      <c r="AJ43" s="41">
        <f>'[2]побудинковий звіт'!AJ43+'[1]побудинковий звіт'!AJ43</f>
        <v>0</v>
      </c>
      <c r="AK43" s="41">
        <f>'[2]побудинковий звіт'!AK43+'[1]побудинковий звіт'!AK43</f>
        <v>0</v>
      </c>
      <c r="AL43" s="55">
        <f t="shared" si="16"/>
        <v>0</v>
      </c>
      <c r="AM43" s="41">
        <f>'[2]побудинковий звіт'!AM43+'[1]побудинковий звіт'!AM43</f>
        <v>0</v>
      </c>
      <c r="AN43" s="41">
        <f>'[2]побудинковий звіт'!AN43+'[1]побудинковий звіт'!AN43</f>
        <v>0</v>
      </c>
      <c r="AO43" s="55">
        <f t="shared" si="17"/>
        <v>0</v>
      </c>
      <c r="AP43" s="41">
        <f>'[2]побудинковий звіт'!AP43+'[1]побудинковий звіт'!AP43</f>
        <v>11887.175314862448</v>
      </c>
      <c r="AQ43" s="41">
        <f>'[2]побудинковий звіт'!AQ43+'[1]побудинковий звіт'!AQ43</f>
        <v>12601.139186977562</v>
      </c>
      <c r="AR43" s="55">
        <f t="shared" si="18"/>
        <v>713.96387211511319</v>
      </c>
      <c r="AS43" s="41">
        <f>'[2]побудинковий звіт'!AS43+'[1]побудинковий звіт'!AS43</f>
        <v>61824.791426984186</v>
      </c>
      <c r="AT43" s="41">
        <f>'[2]побудинковий звіт'!AT43+'[1]побудинковий звіт'!AT43</f>
        <v>59628.339641065351</v>
      </c>
      <c r="AU43" s="57">
        <f t="shared" si="19"/>
        <v>-2196.4517859188345</v>
      </c>
      <c r="AV43" s="41">
        <f>'[2]побудинковий звіт'!AV43+'[1]побудинковий звіт'!AV43</f>
        <v>2131.9955489757476</v>
      </c>
      <c r="AW43" s="41">
        <f>'[2]побудинковий звіт'!AW43+'[1]побудинковий звіт'!AW43</f>
        <v>0</v>
      </c>
      <c r="AX43" s="58">
        <f t="shared" si="20"/>
        <v>-2131.9955489757476</v>
      </c>
      <c r="AY43" s="41">
        <f>'[2]побудинковий звіт'!AY43+'[1]побудинковий звіт'!AY43</f>
        <v>2820.0619159229973</v>
      </c>
      <c r="AZ43" s="41">
        <f>'[2]побудинковий звіт'!AZ43+'[1]побудинковий звіт'!AZ43</f>
        <v>5966.4304807987955</v>
      </c>
      <c r="BA43" s="36">
        <f t="shared" si="21"/>
        <v>3146.3685648757983</v>
      </c>
      <c r="BB43" s="41">
        <f>'[2]побудинковий звіт'!BB43+'[1]побудинковий звіт'!BB43</f>
        <v>2845.1607509336304</v>
      </c>
      <c r="BC43" s="41">
        <f>'[2]побудинковий звіт'!BC43+'[1]побудинковий звіт'!BC43</f>
        <v>0</v>
      </c>
      <c r="BD43" s="58">
        <f t="shared" si="22"/>
        <v>-2845.1607509336304</v>
      </c>
      <c r="BE43" s="41">
        <f>'[2]побудинковий звіт'!BE43+'[1]побудинковий звіт'!BE43</f>
        <v>0</v>
      </c>
      <c r="BF43" s="41">
        <f>'[2]побудинковий звіт'!BF43+'[1]побудинковий звіт'!BF43</f>
        <v>0</v>
      </c>
      <c r="BG43" s="38">
        <f t="shared" si="23"/>
        <v>0</v>
      </c>
      <c r="BH43" s="41">
        <f>'[2]побудинковий звіт'!BH43+'[1]побудинковий звіт'!BH43</f>
        <v>0</v>
      </c>
      <c r="BI43" s="41">
        <f>'[2]побудинковий звіт'!BI43+'[1]побудинковий звіт'!BI43</f>
        <v>0</v>
      </c>
      <c r="BJ43" s="58">
        <f t="shared" si="24"/>
        <v>0</v>
      </c>
      <c r="BK43" s="41">
        <f>'[2]побудинковий звіт'!BK43+'[1]побудинковий звіт'!BK43</f>
        <v>1398.5678170211443</v>
      </c>
      <c r="BL43" s="41">
        <f>'[2]побудинковий звіт'!BL43+'[1]побудинковий звіт'!BL43</f>
        <v>0</v>
      </c>
      <c r="BM43" s="38">
        <f t="shared" si="25"/>
        <v>-1398.5678170211443</v>
      </c>
      <c r="BN43" s="41">
        <f>'[2]побудинковий звіт'!BN43+'[1]побудинковий звіт'!BN43</f>
        <v>26.414271394614186</v>
      </c>
      <c r="BO43" s="41">
        <f>'[2]побудинковий звіт'!BO43+'[1]побудинковий звіт'!BO43</f>
        <v>0</v>
      </c>
      <c r="BP43" s="58">
        <f t="shared" si="26"/>
        <v>-26.414271394614186</v>
      </c>
      <c r="BQ43" s="84">
        <f t="shared" si="27"/>
        <v>9222.2003042481356</v>
      </c>
      <c r="BR43" s="42">
        <f t="shared" si="28"/>
        <v>5966.4304807987955</v>
      </c>
      <c r="BS43" s="58">
        <f t="shared" si="29"/>
        <v>-3255.76982344934</v>
      </c>
      <c r="BT43" s="41">
        <f>'[2]побудинковий звіт'!BT43+'[1]побудинковий звіт'!BT43</f>
        <v>39484.215806295913</v>
      </c>
      <c r="BU43" s="41">
        <f>'[2]побудинковий звіт'!BU43+'[1]побудинковий звіт'!BU43</f>
        <v>63928.696627070967</v>
      </c>
      <c r="BV43" s="55">
        <f t="shared" si="30"/>
        <v>24444.480820775054</v>
      </c>
      <c r="BW43" s="41">
        <f>'[2]побудинковий звіт'!BW43+'[1]побудинковий звіт'!BW43</f>
        <v>19538.148340954747</v>
      </c>
      <c r="BX43" s="41">
        <f>'[2]побудинковий звіт'!BX43+'[1]побудинковий звіт'!BX43</f>
        <v>22035.124444620978</v>
      </c>
      <c r="BY43" s="55">
        <f t="shared" si="31"/>
        <v>2496.9761036662312</v>
      </c>
      <c r="BZ43" s="41">
        <f>'[2]побудинковий звіт'!BZ43+'[1]побудинковий звіт'!BZ43</f>
        <v>11969.823576739353</v>
      </c>
      <c r="CA43" s="41">
        <f>'[2]побудинковий звіт'!CA43+'[1]побудинковий звіт'!CA43</f>
        <v>3815.2232303561568</v>
      </c>
      <c r="CB43" s="55">
        <f t="shared" si="32"/>
        <v>-8154.6003463831958</v>
      </c>
      <c r="CC43" s="41">
        <f>'[2]побудинковий звіт'!CC43+'[1]побудинковий звіт'!CC43</f>
        <v>2178.4116871310498</v>
      </c>
      <c r="CD43" s="41">
        <f>'[2]побудинковий звіт'!CD43+'[1]побудинковий звіт'!CD43</f>
        <v>2185.7984381740771</v>
      </c>
      <c r="CE43" s="55">
        <f t="shared" si="33"/>
        <v>7.3867510430272887</v>
      </c>
      <c r="CF43" s="41">
        <f>'[2]побудинковий звіт'!CF43+'[1]побудинковий звіт'!CF43</f>
        <v>269.89362937399881</v>
      </c>
      <c r="CG43" s="41">
        <f>'[2]побудинковий звіт'!CG43+'[1]побудинковий звіт'!CG43</f>
        <v>0</v>
      </c>
      <c r="CH43" s="55">
        <f t="shared" si="34"/>
        <v>-269.89362937399881</v>
      </c>
      <c r="CI43" s="41">
        <f>'[2]побудинковий звіт'!CI43+'[1]побудинковий звіт'!CI43</f>
        <v>7539.2559729440982</v>
      </c>
      <c r="CJ43" s="41">
        <f>'[2]побудинковий звіт'!CJ43+'[1]побудинковий звіт'!CJ43</f>
        <v>6151.757761627855</v>
      </c>
      <c r="CK43" s="55">
        <f t="shared" si="35"/>
        <v>-1387.4982113162432</v>
      </c>
      <c r="CL43" s="41">
        <f>'[2]побудинковий звіт'!CL43+'[1]побудинковий звіт'!CL43</f>
        <v>0</v>
      </c>
      <c r="CM43" s="41">
        <f>'[2]побудинковий звіт'!CM43+'[1]побудинковий звіт'!CM43</f>
        <v>0</v>
      </c>
      <c r="CN43" s="55">
        <f t="shared" si="36"/>
        <v>0</v>
      </c>
      <c r="CO43" s="41">
        <f t="shared" si="37"/>
        <v>7539.2559729440982</v>
      </c>
      <c r="CP43" s="42">
        <f t="shared" si="38"/>
        <v>6151.757761627855</v>
      </c>
      <c r="CQ43" s="55">
        <f t="shared" si="39"/>
        <v>-1387.4982113162432</v>
      </c>
      <c r="CR43" s="76">
        <f t="shared" si="40"/>
        <v>207432.61806993588</v>
      </c>
      <c r="CS43" s="5">
        <f t="shared" si="41"/>
        <v>220228.14422184692</v>
      </c>
      <c r="CT43" s="55">
        <f t="shared" si="42"/>
        <v>12795.526151911035</v>
      </c>
      <c r="CU43" s="84">
        <f t="shared" si="43"/>
        <v>248919.14168392305</v>
      </c>
      <c r="CV43" s="68">
        <f t="shared" si="44"/>
        <v>264273.77306621626</v>
      </c>
      <c r="CW43" s="36">
        <f t="shared" si="45"/>
        <v>15354.631382293213</v>
      </c>
      <c r="CX43" s="41">
        <f>'[2]побудинковий звіт'!CX43+'[1]побудинковий звіт'!CX43</f>
        <v>8880.3228193240939</v>
      </c>
      <c r="CY43" s="41">
        <f>'[2]побудинковий звіт'!CY43+'[1]побудинковий звіт'!CY43</f>
        <v>-6474.3085629691595</v>
      </c>
      <c r="CZ43" s="55">
        <f t="shared" si="46"/>
        <v>-15354.631382293253</v>
      </c>
      <c r="DA43" s="254">
        <f>'[1]побудинковий звіт'!DA43</f>
        <v>3739.9205871587983</v>
      </c>
      <c r="DB43" s="2">
        <v>2</v>
      </c>
      <c r="DC43" s="702">
        <f>'[1]побудинковий звіт'!DC43</f>
        <v>118832.43</v>
      </c>
      <c r="DD43" s="702">
        <f>'[1]побудинковий звіт'!DD43</f>
        <v>0</v>
      </c>
      <c r="DE43" s="702">
        <f>'[1]побудинковий звіт'!DE43</f>
        <v>90578.319999999992</v>
      </c>
      <c r="DF43" s="702">
        <f>'[1]побудинковий звіт'!DF43</f>
        <v>0</v>
      </c>
      <c r="DG43" s="772">
        <v>-4431.0809777859831</v>
      </c>
      <c r="DH43" s="746">
        <f t="shared" si="47"/>
        <v>3093593.5740389656</v>
      </c>
      <c r="DI43" s="769"/>
      <c r="DJ43" s="5"/>
      <c r="DK43" s="307">
        <f>VLOOKUP($A43,ціни!$A$4:$G$401,5)</f>
        <v>5.6579919666857323</v>
      </c>
      <c r="DL43" s="307"/>
      <c r="DM43" s="307">
        <f>VLOOKUP($A43,ціни!$A$4:$G$401,7)</f>
        <v>5.1170141560784481</v>
      </c>
      <c r="DN43" s="29">
        <f t="shared" si="58"/>
        <v>20209.555186126101</v>
      </c>
      <c r="DO43" s="29">
        <f t="shared" si="59"/>
        <v>0</v>
      </c>
      <c r="DP43" s="306">
        <f t="shared" si="48"/>
        <v>20209.555186126101</v>
      </c>
      <c r="DQ43" s="101"/>
      <c r="DR43" s="29">
        <f>VLOOKUP(A43,'ДЗ нас '!$A$1:$C$359,2)</f>
        <v>20209.59</v>
      </c>
      <c r="DS43" s="733"/>
      <c r="DT43" s="29">
        <f t="shared" si="49"/>
        <v>20209.59</v>
      </c>
      <c r="DU43" s="247">
        <f>VLOOKUP(A43,'новий кошторис с 01.06'!$A$4:$AI$399,35)*1.2</f>
        <v>20335.45506895268</v>
      </c>
      <c r="DV43" s="29">
        <f t="shared" si="50"/>
        <v>-125.8650689526803</v>
      </c>
      <c r="DW43" s="1016">
        <f>'[2]побудинковий звіт'!$DW$9+'[1]побудинковий звіт'!DW43</f>
        <v>1062</v>
      </c>
      <c r="DX43" s="101">
        <f>'[1]побудинковий звіт'!DX43</f>
        <v>0</v>
      </c>
      <c r="DY43" s="5">
        <f t="shared" si="51"/>
        <v>85256.390077478791</v>
      </c>
      <c r="DZ43" s="5">
        <f t="shared" si="52"/>
        <v>78713.724146236971</v>
      </c>
      <c r="EA43" s="737">
        <f t="shared" si="53"/>
        <v>90578.319999999992</v>
      </c>
      <c r="EC43" s="577">
        <f t="shared" si="54"/>
        <v>741897.49712381023</v>
      </c>
      <c r="EE43" s="743">
        <v>199</v>
      </c>
      <c r="EF43" s="723">
        <f t="shared" si="55"/>
        <v>-4232.0809777859831</v>
      </c>
      <c r="EH43" s="798">
        <v>36183.065588016565</v>
      </c>
      <c r="EI43" s="101">
        <f>VLOOKUP(A43,'кошти 01.01.24'!$A$9:$D$352,4,FALSE)</f>
        <v>-11614.710795134513</v>
      </c>
    </row>
    <row r="44" spans="1:139" hidden="1" x14ac:dyDescent="0.3">
      <c r="A44" s="318">
        <v>150000648</v>
      </c>
      <c r="B44" s="43" t="s">
        <v>582</v>
      </c>
      <c r="C44" s="44" t="s">
        <v>1807</v>
      </c>
      <c r="D44" s="44" t="s">
        <v>361</v>
      </c>
      <c r="E44" s="39">
        <f t="shared" si="4"/>
        <v>3820.4</v>
      </c>
      <c r="F44" s="205">
        <f>'[1]побудинковий звіт'!F44</f>
        <v>3820.4</v>
      </c>
      <c r="G44" s="29">
        <f>'[1]побудинковий звіт'!G44</f>
        <v>314.8</v>
      </c>
      <c r="H44" s="148">
        <f>'[1]побудинковий звіт'!H44</f>
        <v>0</v>
      </c>
      <c r="I44" s="41">
        <f>'[2]побудинковий звіт'!I44+'[1]побудинковий звіт'!I44</f>
        <v>8966.1244676315691</v>
      </c>
      <c r="J44" s="41">
        <f>'[2]побудинковий звіт'!J44+'[1]побудинковий звіт'!J44</f>
        <v>9554.2707298410332</v>
      </c>
      <c r="K44" s="55">
        <f t="shared" si="5"/>
        <v>588.14626220946411</v>
      </c>
      <c r="L44" s="41">
        <f>'[2]побудинковий звіт'!L44+'[1]побудинковий звіт'!L44</f>
        <v>1472.5326651824835</v>
      </c>
      <c r="M44" s="41">
        <f>'[2]побудинковий звіт'!M44+'[1]побудинковий звіт'!M44</f>
        <v>1597.4763744008746</v>
      </c>
      <c r="N44" s="55">
        <f t="shared" si="6"/>
        <v>124.94370921839118</v>
      </c>
      <c r="O44" s="41">
        <f>'[2]побудинковий звіт'!O44+'[1]побудинковий звіт'!O44</f>
        <v>5198.8669445363284</v>
      </c>
      <c r="P44" s="41">
        <f>'[2]побудинковий звіт'!P44+'[1]побудинковий звіт'!P44</f>
        <v>5214.3252047750857</v>
      </c>
      <c r="Q44" s="55">
        <f t="shared" si="7"/>
        <v>15.458260238757248</v>
      </c>
      <c r="R44" s="41">
        <f>'[2]побудинковий звіт'!R44+'[1]побудинковий звіт'!R44</f>
        <v>1232.7156128020206</v>
      </c>
      <c r="S44" s="41">
        <f>'[2]побудинковий звіт'!S44+'[1]побудинковий звіт'!S44</f>
        <v>1235.7301187389694</v>
      </c>
      <c r="T44" s="55">
        <f t="shared" si="8"/>
        <v>3.0145059369488081</v>
      </c>
      <c r="U44" s="41">
        <f>'[2]побудинковий звіт'!U44+'[1]побудинковий звіт'!U44</f>
        <v>404.79687738293421</v>
      </c>
      <c r="V44" s="41">
        <f>'[2]побудинковий звіт'!V44+'[1]побудинковий звіт'!V44</f>
        <v>279.38621461333707</v>
      </c>
      <c r="W44" s="55">
        <f t="shared" si="9"/>
        <v>-125.41066276959714</v>
      </c>
      <c r="X44" s="41">
        <f>'[2]побудинковий звіт'!X44+'[1]побудинковий звіт'!X44</f>
        <v>4104.1720257291145</v>
      </c>
      <c r="Y44" s="41">
        <f>'[2]побудинковий звіт'!Y44+'[1]побудинковий звіт'!Y44</f>
        <v>5664.7945613108659</v>
      </c>
      <c r="Z44" s="55">
        <f t="shared" si="10"/>
        <v>1560.6225355817514</v>
      </c>
      <c r="AA44" s="41">
        <f>'[2]побудинковий звіт'!AA44+'[1]побудинковий звіт'!AA44</f>
        <v>0</v>
      </c>
      <c r="AB44" s="41">
        <f>'[2]побудинковий звіт'!AB44+'[1]побудинковий звіт'!AB44</f>
        <v>0</v>
      </c>
      <c r="AC44" s="55">
        <f t="shared" si="11"/>
        <v>0</v>
      </c>
      <c r="AD44" s="41">
        <f>'[2]побудинковий звіт'!AD44+'[1]побудинковий звіт'!AD44</f>
        <v>16550.833737021709</v>
      </c>
      <c r="AE44" s="41">
        <f>'[2]побудинковий звіт'!AE44+'[1]побудинковий звіт'!AE44</f>
        <v>16487.201035752405</v>
      </c>
      <c r="AF44" s="36">
        <f t="shared" si="12"/>
        <v>-63.632701269303652</v>
      </c>
      <c r="AG44" s="84">
        <f t="shared" si="13"/>
        <v>37930.04233028616</v>
      </c>
      <c r="AH44" s="56">
        <f t="shared" si="14"/>
        <v>40033.184239432565</v>
      </c>
      <c r="AI44" s="55">
        <f t="shared" si="15"/>
        <v>2103.1419091464049</v>
      </c>
      <c r="AJ44" s="41">
        <f>'[2]побудинковий звіт'!AJ44+'[1]побудинковий звіт'!AJ44</f>
        <v>15692.728067596738</v>
      </c>
      <c r="AK44" s="41">
        <f>'[2]побудинковий звіт'!AK44+'[1]побудинковий звіт'!AK44</f>
        <v>14853.756424935113</v>
      </c>
      <c r="AL44" s="55">
        <f t="shared" si="16"/>
        <v>-838.97164266162508</v>
      </c>
      <c r="AM44" s="41">
        <f>'[2]побудинковий звіт'!AM44+'[1]побудинковий звіт'!AM44</f>
        <v>0</v>
      </c>
      <c r="AN44" s="41">
        <f>'[2]побудинковий звіт'!AN44+'[1]побудинковий звіт'!AN44</f>
        <v>0</v>
      </c>
      <c r="AO44" s="55">
        <f t="shared" si="17"/>
        <v>0</v>
      </c>
      <c r="AP44" s="41">
        <f>'[2]побудинковий звіт'!AP44+'[1]побудинковий звіт'!AP44</f>
        <v>2228.8453715367091</v>
      </c>
      <c r="AQ44" s="41">
        <f>'[2]побудинковий звіт'!AQ44+'[1]побудинковий звіт'!AQ44</f>
        <v>1979.1925623737002</v>
      </c>
      <c r="AR44" s="55">
        <f t="shared" si="18"/>
        <v>-249.6528091630089</v>
      </c>
      <c r="AS44" s="41">
        <f>'[2]побудинковий звіт'!AS44+'[1]побудинковий звіт'!AS44</f>
        <v>62141.277994961485</v>
      </c>
      <c r="AT44" s="41">
        <f>'[2]побудинковий звіт'!AT44+'[1]побудинковий звіт'!AT44</f>
        <v>61946.912743143344</v>
      </c>
      <c r="AU44" s="57">
        <f t="shared" si="19"/>
        <v>-194.36525181814068</v>
      </c>
      <c r="AV44" s="41">
        <f>'[2]побудинковий звіт'!AV44+'[1]побудинковий звіт'!AV44</f>
        <v>903.2348018563215</v>
      </c>
      <c r="AW44" s="41">
        <f>'[2]побудинковий звіт'!AW44+'[1]побудинковий звіт'!AW44</f>
        <v>0</v>
      </c>
      <c r="AX44" s="58">
        <f t="shared" si="20"/>
        <v>-903.2348018563215</v>
      </c>
      <c r="AY44" s="41">
        <f>'[2]побудинковий звіт'!AY44+'[1]побудинковий звіт'!AY44</f>
        <v>1021.6694622485564</v>
      </c>
      <c r="AZ44" s="41">
        <f>'[2]побудинковий звіт'!AZ44+'[1]побудинковий звіт'!AZ44</f>
        <v>0</v>
      </c>
      <c r="BA44" s="36">
        <f t="shared" si="21"/>
        <v>-1021.6694622485564</v>
      </c>
      <c r="BB44" s="41">
        <f>'[2]побудинковий звіт'!BB44+'[1]побудинковий звіт'!BB44</f>
        <v>2048.4647239566061</v>
      </c>
      <c r="BC44" s="41">
        <f>'[2]побудинковий звіт'!BC44+'[1]побудинковий звіт'!BC44</f>
        <v>639.51295309639056</v>
      </c>
      <c r="BD44" s="58">
        <f t="shared" si="22"/>
        <v>-1408.9517708602157</v>
      </c>
      <c r="BE44" s="41">
        <f>'[2]побудинковий звіт'!BE44+'[1]побудинковий звіт'!BE44</f>
        <v>695.89878543384225</v>
      </c>
      <c r="BF44" s="41">
        <f>'[2]побудинковий звіт'!BF44+'[1]побудинковий звіт'!BF44</f>
        <v>0</v>
      </c>
      <c r="BG44" s="38">
        <f t="shared" si="23"/>
        <v>-695.89878543384225</v>
      </c>
      <c r="BH44" s="41">
        <f>'[2]побудинковий звіт'!BH44+'[1]побудинковий звіт'!BH44</f>
        <v>211.58029675967668</v>
      </c>
      <c r="BI44" s="41">
        <f>'[2]побудинковий звіт'!BI44+'[1]побудинковий звіт'!BI44</f>
        <v>0</v>
      </c>
      <c r="BJ44" s="58">
        <f t="shared" si="24"/>
        <v>-211.58029675967668</v>
      </c>
      <c r="BK44" s="41">
        <f>'[2]побудинковий звіт'!BK44+'[1]побудинковий звіт'!BK44</f>
        <v>536.29665633632635</v>
      </c>
      <c r="BL44" s="41">
        <f>'[2]побудинковий звіт'!BL44+'[1]побудинковий звіт'!BL44</f>
        <v>0</v>
      </c>
      <c r="BM44" s="38">
        <f t="shared" si="25"/>
        <v>-536.29665633632635</v>
      </c>
      <c r="BN44" s="41">
        <f>'[2]побудинковий звіт'!BN44+'[1]побудинковий звіт'!BN44</f>
        <v>62.741737279368607</v>
      </c>
      <c r="BO44" s="41">
        <f>'[2]побудинковий звіт'!BO44+'[1]побудинковий звіт'!BO44</f>
        <v>4182.1384116839999</v>
      </c>
      <c r="BP44" s="58">
        <f t="shared" si="26"/>
        <v>4119.3966744046311</v>
      </c>
      <c r="BQ44" s="84">
        <f t="shared" si="27"/>
        <v>5479.8864638706973</v>
      </c>
      <c r="BR44" s="42">
        <f t="shared" si="28"/>
        <v>4821.6513647803904</v>
      </c>
      <c r="BS44" s="58">
        <f t="shared" si="29"/>
        <v>-658.2350990903069</v>
      </c>
      <c r="BT44" s="41">
        <f>'[2]побудинковий звіт'!BT44+'[1]побудинковий звіт'!BT44</f>
        <v>21131.313085420028</v>
      </c>
      <c r="BU44" s="41">
        <f>'[2]побудинковий звіт'!BU44+'[1]побудинковий звіт'!BU44</f>
        <v>31675.713861705706</v>
      </c>
      <c r="BV44" s="55">
        <f t="shared" si="30"/>
        <v>10544.400776285678</v>
      </c>
      <c r="BW44" s="41">
        <f>'[2]побудинковий звіт'!BW44+'[1]побудинковий звіт'!BW44</f>
        <v>28202.838960406905</v>
      </c>
      <c r="BX44" s="41">
        <f>'[2]побудинковий звіт'!BX44+'[1]побудинковий звіт'!BX44</f>
        <v>32359.093211544361</v>
      </c>
      <c r="BY44" s="55">
        <f t="shared" si="31"/>
        <v>4156.2542511374559</v>
      </c>
      <c r="BZ44" s="41">
        <f>'[2]побудинковий звіт'!BZ44+'[1]побудинковий звіт'!BZ44</f>
        <v>5875.8422087419003</v>
      </c>
      <c r="CA44" s="41">
        <f>'[2]побудинковий звіт'!CA44+'[1]побудинковий звіт'!CA44</f>
        <v>2250.4053233705449</v>
      </c>
      <c r="CB44" s="55">
        <f t="shared" si="32"/>
        <v>-3625.4368853713554</v>
      </c>
      <c r="CC44" s="41">
        <f>'[2]побудинковий звіт'!CC44+'[1]побудинковий звіт'!CC44</f>
        <v>1400.0585345522654</v>
      </c>
      <c r="CD44" s="41">
        <f>'[2]побудинковий звіт'!CD44+'[1]побудинковий звіт'!CD44</f>
        <v>1404.8059768752657</v>
      </c>
      <c r="CE44" s="55">
        <f t="shared" si="33"/>
        <v>4.747442323000314</v>
      </c>
      <c r="CF44" s="41">
        <f>'[2]побудинковий звіт'!CF44+'[1]побудинковий звіт'!CF44</f>
        <v>173.45981086063702</v>
      </c>
      <c r="CG44" s="41">
        <f>'[2]побудинковий звіт'!CG44+'[1]побудинковий звіт'!CG44</f>
        <v>0</v>
      </c>
      <c r="CH44" s="55">
        <f t="shared" si="34"/>
        <v>-173.45981086063702</v>
      </c>
      <c r="CI44" s="41">
        <f>'[2]побудинковий звіт'!CI44+'[1]побудинковий звіт'!CI44</f>
        <v>3529.1755162317099</v>
      </c>
      <c r="CJ44" s="41">
        <f>'[2]побудинковий звіт'!CJ44+'[1]побудинковий звіт'!CJ44</f>
        <v>3485.6421202215856</v>
      </c>
      <c r="CK44" s="55">
        <f t="shared" si="35"/>
        <v>-43.533396010124306</v>
      </c>
      <c r="CL44" s="41">
        <f>'[2]побудинковий звіт'!CL44+'[1]побудинковий звіт'!CL44</f>
        <v>3842.754226094019</v>
      </c>
      <c r="CM44" s="41">
        <f>'[2]побудинковий звіт'!CM44+'[1]побудинковий звіт'!CM44</f>
        <v>7749.5830221378001</v>
      </c>
      <c r="CN44" s="55">
        <f t="shared" si="36"/>
        <v>3906.828796043781</v>
      </c>
      <c r="CO44" s="41">
        <f t="shared" si="37"/>
        <v>7371.9297423257285</v>
      </c>
      <c r="CP44" s="42">
        <f t="shared" si="38"/>
        <v>11235.225142359386</v>
      </c>
      <c r="CQ44" s="55">
        <f t="shared" si="39"/>
        <v>3863.2954000336576</v>
      </c>
      <c r="CR44" s="76">
        <f t="shared" si="40"/>
        <v>187628.22257055924</v>
      </c>
      <c r="CS44" s="5">
        <f t="shared" si="41"/>
        <v>202559.94085052039</v>
      </c>
      <c r="CT44" s="55">
        <f t="shared" si="42"/>
        <v>14931.718279961147</v>
      </c>
      <c r="CU44" s="84">
        <f t="shared" si="43"/>
        <v>225153.86708467107</v>
      </c>
      <c r="CV44" s="68">
        <f t="shared" si="44"/>
        <v>243071.92902062446</v>
      </c>
      <c r="CW44" s="36">
        <f t="shared" si="45"/>
        <v>17918.061935953388</v>
      </c>
      <c r="CX44" s="41">
        <f>'[2]побудинковий звіт'!CX44+'[1]побудинковий звіт'!CX44</f>
        <v>5097.2486992376516</v>
      </c>
      <c r="CY44" s="41">
        <f>'[2]побудинковий звіт'!CY44+'[1]побудинковий звіт'!CY44</f>
        <v>-12820.813236715698</v>
      </c>
      <c r="CZ44" s="55">
        <f t="shared" si="46"/>
        <v>-17918.061935953348</v>
      </c>
      <c r="DA44" s="254">
        <f>'[1]побудинковий звіт'!DA44</f>
        <v>26303.566410180665</v>
      </c>
      <c r="DB44" s="2">
        <v>3</v>
      </c>
      <c r="DC44" s="702">
        <f>'[1]побудинковий звіт'!DC44</f>
        <v>41187.440000000002</v>
      </c>
      <c r="DD44" s="702">
        <f>'[1]побудинковий звіт'!DD44</f>
        <v>0</v>
      </c>
      <c r="DE44" s="702">
        <f>'[1]побудинковий звіт'!DE44</f>
        <v>15952.570000000003</v>
      </c>
      <c r="DF44" s="702">
        <f>'[1]побудинковий звіт'!DF44</f>
        <v>0</v>
      </c>
      <c r="DG44" s="772">
        <v>9903.0440428702859</v>
      </c>
      <c r="DH44" s="746">
        <f t="shared" si="47"/>
        <v>2763013.3894069046</v>
      </c>
      <c r="DI44" s="769"/>
      <c r="DJ44" s="5"/>
      <c r="DK44" s="307">
        <f>VLOOKUP($A44,ціни!$A$4:$G$401,5)</f>
        <v>4.2390227110725087</v>
      </c>
      <c r="DL44" s="307">
        <f>VLOOKUP($A44,ціни!$A$4:$G$401,6)</f>
        <v>4.7721578758562746</v>
      </c>
      <c r="DM44" s="307">
        <f>VLOOKUP($A44,ціни!$A$4:$G$401,7)</f>
        <v>3.4077530996326342</v>
      </c>
      <c r="DN44" s="29">
        <f>DK44*G44+(F44-G44)*DL44</f>
        <v>18063.720999047382</v>
      </c>
      <c r="DO44" s="29">
        <f>DM44*H44</f>
        <v>0</v>
      </c>
      <c r="DP44" s="306">
        <f t="shared" si="48"/>
        <v>18063.720999047382</v>
      </c>
      <c r="DQ44" s="101"/>
      <c r="DR44" s="29">
        <f>VLOOKUP(A44,'ДЗ нас '!$A$1:$C$359,2)</f>
        <v>18063.87</v>
      </c>
      <c r="DS44" s="733"/>
      <c r="DT44" s="29">
        <f t="shared" si="49"/>
        <v>18063.87</v>
      </c>
      <c r="DU44" s="247">
        <f>VLOOKUP(A44,'новий кошторис с 01.06'!$A$4:$AI$399,35)*1.2</f>
        <v>18091.265488428649</v>
      </c>
      <c r="DV44" s="29">
        <f t="shared" si="50"/>
        <v>-27.395488428650424</v>
      </c>
      <c r="DW44" s="1016">
        <f>'[2]побудинковий звіт'!$DW$9+'[1]побудинковий звіт'!DW44</f>
        <v>909</v>
      </c>
      <c r="DX44" s="101">
        <f>'[1]побудинковий звіт'!DX44</f>
        <v>0</v>
      </c>
      <c r="DY44" s="5">
        <f t="shared" si="51"/>
        <v>81145.397350598607</v>
      </c>
      <c r="DZ44" s="5">
        <f t="shared" si="52"/>
        <v>80122.276929508487</v>
      </c>
      <c r="EA44" s="737">
        <f t="shared" si="53"/>
        <v>15952.570000000003</v>
      </c>
      <c r="EC44" s="577">
        <f t="shared" si="54"/>
        <v>745695.33593953785</v>
      </c>
      <c r="EE44" s="743">
        <v>-77938</v>
      </c>
      <c r="EF44" s="723">
        <f t="shared" si="55"/>
        <v>-68034.955957129714</v>
      </c>
      <c r="EH44" s="798">
        <v>-17727.384390169969</v>
      </c>
      <c r="EI44" s="101">
        <f>VLOOKUP(A44,'кошти 01.01.24'!$A$9:$D$352,4,FALSE)</f>
        <v>8385.5044742272948</v>
      </c>
    </row>
    <row r="45" spans="1:139" ht="14.4" hidden="1" customHeight="1" x14ac:dyDescent="0.3">
      <c r="A45" s="318">
        <v>150000497</v>
      </c>
      <c r="B45" s="43" t="s">
        <v>463</v>
      </c>
      <c r="C45" s="44" t="s">
        <v>340</v>
      </c>
      <c r="D45" s="44" t="s">
        <v>340</v>
      </c>
      <c r="E45" s="39">
        <f t="shared" si="4"/>
        <v>4170.6000000000004</v>
      </c>
      <c r="F45" s="205">
        <f>'[1]побудинковий звіт'!F45</f>
        <v>4099.1000000000004</v>
      </c>
      <c r="G45" s="29">
        <f>'[1]побудинковий звіт'!G45</f>
        <v>274</v>
      </c>
      <c r="H45" s="148">
        <f>'[1]побудинковий звіт'!H45</f>
        <v>71.5</v>
      </c>
      <c r="I45" s="41">
        <f>'[2]побудинковий звіт'!I45+'[1]побудинковий звіт'!I45</f>
        <v>15881.020367670866</v>
      </c>
      <c r="J45" s="41">
        <f>'[2]побудинковий звіт'!J45+'[1]побудинковий звіт'!J45</f>
        <v>12508.570997924224</v>
      </c>
      <c r="K45" s="55">
        <f t="shared" si="5"/>
        <v>-3372.4493697466423</v>
      </c>
      <c r="L45" s="41">
        <f>'[2]побудинковий звіт'!L45+'[1]побудинковий звіт'!L45</f>
        <v>2387.0580343254569</v>
      </c>
      <c r="M45" s="41">
        <f>'[2]побудинковий звіт'!M45+'[1]побудинковий звіт'!M45</f>
        <v>2046.1472132271135</v>
      </c>
      <c r="N45" s="55">
        <f t="shared" si="6"/>
        <v>-340.91082109834338</v>
      </c>
      <c r="O45" s="41">
        <f>'[2]побудинковий звіт'!O45+'[1]побудинковий звіт'!O45</f>
        <v>7007.5700323286101</v>
      </c>
      <c r="P45" s="41">
        <f>'[2]побудинковий звіт'!P45+'[1]побудинковий звіт'!P45</f>
        <v>7027.48529718801</v>
      </c>
      <c r="Q45" s="55">
        <f t="shared" si="7"/>
        <v>19.91526485939994</v>
      </c>
      <c r="R45" s="41">
        <f>'[2]побудинковий звіт'!R45+'[1]побудинковий звіт'!R45</f>
        <v>1392.5105270064496</v>
      </c>
      <c r="S45" s="41">
        <f>'[2]побудинковий звіт'!S45+'[1]побудинковий звіт'!S45</f>
        <v>1396.564765269947</v>
      </c>
      <c r="T45" s="55">
        <f t="shared" si="8"/>
        <v>4.0542382634973819</v>
      </c>
      <c r="U45" s="41">
        <f>'[2]побудинковий звіт'!U45+'[1]побудинковий звіт'!U45</f>
        <v>775.04659685193064</v>
      </c>
      <c r="V45" s="41">
        <f>'[2]побудинковий звіт'!V45+'[1]побудинковий звіт'!V45</f>
        <v>365.41606373139888</v>
      </c>
      <c r="W45" s="55">
        <f t="shared" si="9"/>
        <v>-409.63053312053177</v>
      </c>
      <c r="X45" s="41">
        <f>'[2]побудинковий звіт'!X45+'[1]побудинковий звіт'!X45</f>
        <v>5716.3373948586441</v>
      </c>
      <c r="Y45" s="41">
        <f>'[2]побудинковий звіт'!Y45+'[1]побудинковий звіт'!Y45</f>
        <v>4885.6550687974068</v>
      </c>
      <c r="Z45" s="55">
        <f t="shared" si="10"/>
        <v>-830.68232606123729</v>
      </c>
      <c r="AA45" s="41">
        <f>'[2]побудинковий звіт'!AA45+'[1]побудинковий звіт'!AA45</f>
        <v>0</v>
      </c>
      <c r="AB45" s="41">
        <f>'[2]побудинковий звіт'!AB45+'[1]побудинковий звіт'!AB45</f>
        <v>0</v>
      </c>
      <c r="AC45" s="55">
        <f t="shared" si="11"/>
        <v>0</v>
      </c>
      <c r="AD45" s="41">
        <f>'[2]побудинковий звіт'!AD45+'[1]побудинковий звіт'!AD45</f>
        <v>18063.2825720812</v>
      </c>
      <c r="AE45" s="41">
        <f>'[2]побудинковий звіт'!AE45+'[1]побудинковий звіт'!AE45</f>
        <v>17994.013536946237</v>
      </c>
      <c r="AF45" s="36">
        <f t="shared" si="12"/>
        <v>-69.269035134962905</v>
      </c>
      <c r="AG45" s="84">
        <f t="shared" si="13"/>
        <v>51222.82552512316</v>
      </c>
      <c r="AH45" s="56">
        <f t="shared" si="14"/>
        <v>46223.852943084341</v>
      </c>
      <c r="AI45" s="55">
        <f t="shared" si="15"/>
        <v>-4998.9725820388194</v>
      </c>
      <c r="AJ45" s="41">
        <f>'[2]побудинковий звіт'!AJ45+'[1]побудинковий звіт'!AJ45</f>
        <v>60356.418595600298</v>
      </c>
      <c r="AK45" s="41">
        <f>'[2]побудинковий звіт'!AK45+'[1]побудинковий звіт'!AK45</f>
        <v>57601.276576215751</v>
      </c>
      <c r="AL45" s="55">
        <f t="shared" si="16"/>
        <v>-2755.1420193845479</v>
      </c>
      <c r="AM45" s="41">
        <f>'[2]побудинковий звіт'!AM45+'[1]побудинковий звіт'!AM45</f>
        <v>0</v>
      </c>
      <c r="AN45" s="41">
        <f>'[2]побудинковий звіт'!AN45+'[1]побудинковий звіт'!AN45</f>
        <v>0</v>
      </c>
      <c r="AO45" s="55">
        <f t="shared" si="17"/>
        <v>0</v>
      </c>
      <c r="AP45" s="41">
        <f>'[2]побудинковий звіт'!AP45+'[1]побудинковий звіт'!AP45</f>
        <v>3516.622697313474</v>
      </c>
      <c r="AQ45" s="41">
        <f>'[2]побудинковий звіт'!AQ45+'[1]побудинковий звіт'!AQ45</f>
        <v>2876.4657370081495</v>
      </c>
      <c r="AR45" s="55">
        <f t="shared" si="18"/>
        <v>-640.15696030532445</v>
      </c>
      <c r="AS45" s="41">
        <f>'[2]побудинковий звіт'!AS45+'[1]побудинковий звіт'!AS45</f>
        <v>63934.311477439995</v>
      </c>
      <c r="AT45" s="41">
        <f>'[2]побудинковий звіт'!AT45+'[1]побудинковий звіт'!AT45</f>
        <v>10007.308689914929</v>
      </c>
      <c r="AU45" s="57">
        <f t="shared" si="19"/>
        <v>-53927.002787525067</v>
      </c>
      <c r="AV45" s="41">
        <f>'[2]побудинковий звіт'!AV45+'[1]побудинковий звіт'!AV45</f>
        <v>1468.276062776459</v>
      </c>
      <c r="AW45" s="41">
        <f>'[2]побудинковий звіт'!AW45+'[1]побудинковий звіт'!AW45</f>
        <v>10985.280685587217</v>
      </c>
      <c r="AX45" s="58">
        <f t="shared" si="20"/>
        <v>9517.0046228107585</v>
      </c>
      <c r="AY45" s="41">
        <f>'[2]побудинковий звіт'!AY45+'[1]побудинковий звіт'!AY45</f>
        <v>1415.0796278909347</v>
      </c>
      <c r="AZ45" s="41">
        <f>'[2]побудинковий звіт'!AZ45+'[1]побудинковий звіт'!AZ45</f>
        <v>1542.89744798531</v>
      </c>
      <c r="BA45" s="36">
        <f t="shared" si="21"/>
        <v>127.81782009437529</v>
      </c>
      <c r="BB45" s="41">
        <f>'[2]побудинковий звіт'!BB45+'[1]побудинковий звіт'!BB45</f>
        <v>1406.3516167263292</v>
      </c>
      <c r="BC45" s="41">
        <f>'[2]побудинковий звіт'!BC45+'[1]побудинковий звіт'!BC45</f>
        <v>1957.6765178958926</v>
      </c>
      <c r="BD45" s="58">
        <f t="shared" si="22"/>
        <v>551.32490116956342</v>
      </c>
      <c r="BE45" s="41">
        <f>'[2]побудинковий звіт'!BE45+'[1]побудинковий звіт'!BE45</f>
        <v>606.49667921783998</v>
      </c>
      <c r="BF45" s="41">
        <f>'[2]побудинковий звіт'!BF45+'[1]побудинковий звіт'!BF45</f>
        <v>912.29523135982788</v>
      </c>
      <c r="BG45" s="38">
        <f t="shared" si="23"/>
        <v>305.7985521419879</v>
      </c>
      <c r="BH45" s="41">
        <f>'[2]побудинковий звіт'!BH45+'[1]побудинковий звіт'!BH45</f>
        <v>402.94386072459065</v>
      </c>
      <c r="BI45" s="41">
        <f>'[2]побудинковий звіт'!BI45+'[1]побудинковий звіт'!BI45</f>
        <v>0</v>
      </c>
      <c r="BJ45" s="58">
        <f t="shared" si="24"/>
        <v>-402.94386072459065</v>
      </c>
      <c r="BK45" s="41">
        <f>'[2]побудинковий звіт'!BK45+'[1]побудинковий звіт'!BK45</f>
        <v>1153.2332865507212</v>
      </c>
      <c r="BL45" s="41">
        <f>'[2]побудинковий звіт'!BL45+'[1]побудинковий звіт'!BL45</f>
        <v>5904.4234222670102</v>
      </c>
      <c r="BM45" s="38">
        <f t="shared" si="25"/>
        <v>4751.1901357162888</v>
      </c>
      <c r="BN45" s="41">
        <f>'[2]побудинковий звіт'!BN45+'[1]побудинковий звіт'!BN45</f>
        <v>311.90844034223414</v>
      </c>
      <c r="BO45" s="41">
        <f>'[2]побудинковий звіт'!BO45+'[1]побудинковий звіт'!BO45</f>
        <v>0</v>
      </c>
      <c r="BP45" s="58">
        <f t="shared" si="26"/>
        <v>-311.90844034223414</v>
      </c>
      <c r="BQ45" s="84">
        <f t="shared" si="27"/>
        <v>6764.2895742291084</v>
      </c>
      <c r="BR45" s="42">
        <f t="shared" si="28"/>
        <v>21302.573305095255</v>
      </c>
      <c r="BS45" s="58">
        <f t="shared" si="29"/>
        <v>14538.283730866147</v>
      </c>
      <c r="BT45" s="41">
        <f>'[2]побудинковий звіт'!BT45+'[1]побудинковий звіт'!BT45</f>
        <v>73032.345611075347</v>
      </c>
      <c r="BU45" s="41">
        <f>'[2]побудинковий звіт'!BU45+'[1]побудинковий звіт'!BU45</f>
        <v>102704.509072884</v>
      </c>
      <c r="BV45" s="55">
        <f t="shared" si="30"/>
        <v>29672.163461808654</v>
      </c>
      <c r="BW45" s="41">
        <f>'[2]побудинковий звіт'!BW45+'[1]побудинковий звіт'!BW45</f>
        <v>40936.782542827772</v>
      </c>
      <c r="BX45" s="41">
        <f>'[2]побудинковий звіт'!BX45+'[1]побудинковий звіт'!BX45</f>
        <v>53803.710004372479</v>
      </c>
      <c r="BY45" s="55">
        <f t="shared" si="31"/>
        <v>12866.927461544707</v>
      </c>
      <c r="BZ45" s="41">
        <f>'[2]побудинковий звіт'!BZ45+'[1]побудинковий звіт'!BZ45</f>
        <v>14875.297126293917</v>
      </c>
      <c r="CA45" s="41">
        <f>'[2]побудинковий звіт'!CA45+'[1]побудинковий звіт'!CA45</f>
        <v>10561.535211870807</v>
      </c>
      <c r="CB45" s="55">
        <f t="shared" si="32"/>
        <v>-4313.7619144231103</v>
      </c>
      <c r="CC45" s="41">
        <f>'[2]побудинковий звіт'!CC45+'[1]побудинковий звіт'!CC45</f>
        <v>1764.9592867420051</v>
      </c>
      <c r="CD45" s="41">
        <f>'[2]побудинковий звіт'!CD45+'[1]побудинковий звіт'!CD45</f>
        <v>1770.944066813312</v>
      </c>
      <c r="CE45" s="55">
        <f t="shared" si="33"/>
        <v>5.9847800713068864</v>
      </c>
      <c r="CF45" s="41">
        <f>'[2]побудинковий звіт'!CF45+'[1]побудинковий звіт'!CF45</f>
        <v>218.66907454187174</v>
      </c>
      <c r="CG45" s="41">
        <f>'[2]побудинковий звіт'!CG45+'[1]побудинковий звіт'!CG45</f>
        <v>0</v>
      </c>
      <c r="CH45" s="55">
        <f t="shared" si="34"/>
        <v>-218.66907454187174</v>
      </c>
      <c r="CI45" s="41">
        <f>'[2]побудинковий звіт'!CI45+'[1]побудинковий звіт'!CI45</f>
        <v>13674.646076531502</v>
      </c>
      <c r="CJ45" s="41">
        <f>'[2]побудинковий звіт'!CJ45+'[1]побудинковий звіт'!CJ45</f>
        <v>12918.212712137072</v>
      </c>
      <c r="CK45" s="55">
        <f t="shared" si="35"/>
        <v>-756.4333643944301</v>
      </c>
      <c r="CL45" s="41">
        <f>'[2]побудинковий звіт'!CL45+'[1]побудинковий звіт'!CL45</f>
        <v>15866.083533829486</v>
      </c>
      <c r="CM45" s="41">
        <f>'[2]побудинковий звіт'!CM45+'[1]побудинковий звіт'!CM45</f>
        <v>19367.297411426858</v>
      </c>
      <c r="CN45" s="55">
        <f t="shared" si="36"/>
        <v>3501.2138775973726</v>
      </c>
      <c r="CO45" s="41">
        <f t="shared" si="37"/>
        <v>29540.729610360988</v>
      </c>
      <c r="CP45" s="42">
        <f t="shared" si="38"/>
        <v>32285.51012356393</v>
      </c>
      <c r="CQ45" s="55">
        <f t="shared" si="39"/>
        <v>2744.7805132029425</v>
      </c>
      <c r="CR45" s="76">
        <f t="shared" si="40"/>
        <v>346163.251121548</v>
      </c>
      <c r="CS45" s="5">
        <f t="shared" si="41"/>
        <v>339137.68573082297</v>
      </c>
      <c r="CT45" s="55">
        <f t="shared" si="42"/>
        <v>-7025.565390725038</v>
      </c>
      <c r="CU45" s="84">
        <f t="shared" si="43"/>
        <v>415395.90134585759</v>
      </c>
      <c r="CV45" s="68">
        <f t="shared" si="44"/>
        <v>406965.22287698754</v>
      </c>
      <c r="CW45" s="36">
        <f t="shared" si="45"/>
        <v>-8430.6784688700573</v>
      </c>
      <c r="CX45" s="41">
        <f>'[2]побудинковий звіт'!CX45+'[1]побудинковий звіт'!CX45</f>
        <v>9566.3694781721406</v>
      </c>
      <c r="CY45" s="41">
        <f>'[2]побудинковий звіт'!CY45+'[1]побудинковий звіт'!CY45</f>
        <v>17997.047947042065</v>
      </c>
      <c r="CZ45" s="55">
        <f t="shared" si="46"/>
        <v>8430.6784688699245</v>
      </c>
      <c r="DA45" s="254">
        <f>'[1]побудинковий звіт'!DA45</f>
        <v>28616.989886354713</v>
      </c>
      <c r="DB45" s="2">
        <v>1</v>
      </c>
      <c r="DC45" s="702">
        <f>'[1]побудинковий звіт'!DC45</f>
        <v>104716.28</v>
      </c>
      <c r="DD45" s="702">
        <f>'[1]побудинковий звіт'!DD45</f>
        <v>536.02</v>
      </c>
      <c r="DE45" s="702">
        <f>'[1]побудинковий звіт'!DE45</f>
        <v>58569.38</v>
      </c>
      <c r="DF45" s="702">
        <f>'[1]побудинковий звіт'!DF45</f>
        <v>0</v>
      </c>
      <c r="DG45" s="772">
        <v>-80936.66504804953</v>
      </c>
      <c r="DH45" s="746">
        <f t="shared" si="47"/>
        <v>5099547.2498883568</v>
      </c>
      <c r="DI45" s="769"/>
      <c r="DJ45" s="5"/>
      <c r="DK45" s="307">
        <f>VLOOKUP($A45,ціни!$A$4:$G$401,5)</f>
        <v>6.2696809416747836</v>
      </c>
      <c r="DL45" s="307">
        <f>VLOOKUP($A45,ціни!$A$4:$G$401,6)</f>
        <v>8.1563556617458719</v>
      </c>
      <c r="DM45" s="307">
        <f>VLOOKUP($A45,ціни!$A$4:$G$401,7)</f>
        <v>5.2675480835534882</v>
      </c>
      <c r="DN45" s="29">
        <f>DK45*G45+(F45-G45)*DL45</f>
        <v>32916.768619763025</v>
      </c>
      <c r="DO45" s="29">
        <f>DM45*H45</f>
        <v>376.62968797407439</v>
      </c>
      <c r="DP45" s="306">
        <f t="shared" si="48"/>
        <v>33293.398307737101</v>
      </c>
      <c r="DQ45" s="101"/>
      <c r="DR45" s="29">
        <f>VLOOKUP(A45,'ДЗ нас '!$A$1:$C$359,2)</f>
        <v>32916.93</v>
      </c>
      <c r="DS45" s="733">
        <f>VLOOKUP(A45,'ДЗ нежит'!$A$1:$D$153,4,0)</f>
        <v>376.63</v>
      </c>
      <c r="DT45" s="29">
        <f t="shared" si="49"/>
        <v>33293.56</v>
      </c>
      <c r="DU45" s="247">
        <f>VLOOKUP(A45,'новий кошторис с 01.06'!$A$4:$AI$399,35)*1.2</f>
        <v>33354.343466074955</v>
      </c>
      <c r="DV45" s="29">
        <f t="shared" si="50"/>
        <v>-60.783466074957687</v>
      </c>
      <c r="DW45" s="1016">
        <f>'[2]побудинковий звіт'!$DW$9+'[1]побудинковий звіт'!DW45</f>
        <v>909</v>
      </c>
      <c r="DX45" s="101">
        <f>'[1]побудинковий звіт'!DX45</f>
        <v>0</v>
      </c>
      <c r="DY45" s="5">
        <f t="shared" si="51"/>
        <v>84838.321262002923</v>
      </c>
      <c r="DZ45" s="5">
        <f t="shared" si="52"/>
        <v>37571.858394012219</v>
      </c>
      <c r="EA45" s="737">
        <f t="shared" si="53"/>
        <v>58569.38</v>
      </c>
      <c r="EC45" s="577">
        <f t="shared" si="54"/>
        <v>767211.73772927991</v>
      </c>
      <c r="EE45" s="743">
        <v>22536</v>
      </c>
      <c r="EF45" s="723">
        <f t="shared" si="55"/>
        <v>-58400.66504804953</v>
      </c>
      <c r="EH45" s="798">
        <v>-67368.594597629155</v>
      </c>
      <c r="EI45" s="101">
        <f>VLOOKUP(A45,'кошти 01.01.24'!$A$9:$D$352,4,FALSE)</f>
        <v>37047.668355224698</v>
      </c>
    </row>
    <row r="46" spans="1:139" hidden="1" x14ac:dyDescent="0.3">
      <c r="A46" s="318">
        <v>150000495</v>
      </c>
      <c r="B46" s="43" t="s">
        <v>464</v>
      </c>
      <c r="C46" s="44" t="s">
        <v>147</v>
      </c>
      <c r="D46" s="44" t="s">
        <v>147</v>
      </c>
      <c r="E46" s="39">
        <f t="shared" si="4"/>
        <v>409.93</v>
      </c>
      <c r="F46" s="205">
        <f>'[1]побудинковий звіт'!F46</f>
        <v>409.93</v>
      </c>
      <c r="G46" s="29">
        <f>'[1]побудинковий звіт'!G46</f>
        <v>0</v>
      </c>
      <c r="H46" s="148">
        <f>'[1]побудинковий звіт'!H46</f>
        <v>0</v>
      </c>
      <c r="I46" s="41">
        <f>'[2]побудинковий звіт'!I46+'[1]побудинковий звіт'!I46</f>
        <v>1070.7336982387187</v>
      </c>
      <c r="J46" s="41">
        <f>'[2]побудинковий звіт'!J46+'[1]побудинковий звіт'!J46</f>
        <v>918.0058795289408</v>
      </c>
      <c r="K46" s="55">
        <f t="shared" si="5"/>
        <v>-152.72781870977792</v>
      </c>
      <c r="L46" s="41">
        <f>'[2]побудинковий звіт'!L46+'[1]побудинковий звіт'!L46</f>
        <v>448.00420849494361</v>
      </c>
      <c r="M46" s="41">
        <f>'[2]побудинковий звіт'!M46+'[1]побудинковий звіт'!M46</f>
        <v>375.03805321800991</v>
      </c>
      <c r="N46" s="55">
        <f t="shared" si="6"/>
        <v>-72.966155276933705</v>
      </c>
      <c r="O46" s="41">
        <f>'[2]побудинковий звіт'!O46+'[1]побудинковий звіт'!O46</f>
        <v>697.71288713686022</v>
      </c>
      <c r="P46" s="41">
        <f>'[2]побудинковий звіт'!P46+'[1]побудинковий звіт'!P46</f>
        <v>699.79988119669508</v>
      </c>
      <c r="Q46" s="55">
        <f t="shared" si="7"/>
        <v>2.0869940598348649</v>
      </c>
      <c r="R46" s="41">
        <f>'[2]побудинковий звіт'!R46+'[1]побудинковий звіт'!R46</f>
        <v>0</v>
      </c>
      <c r="S46" s="41">
        <f>'[2]побудинковий звіт'!S46+'[1]побудинковий звіт'!S46</f>
        <v>0</v>
      </c>
      <c r="T46" s="55">
        <f t="shared" si="8"/>
        <v>0</v>
      </c>
      <c r="U46" s="41">
        <f>'[2]побудинковий звіт'!U46+'[1]побудинковий звіт'!U46</f>
        <v>56.130589675625131</v>
      </c>
      <c r="V46" s="41">
        <f>'[2]побудинковий звіт'!V46+'[1]побудинковий звіт'!V46</f>
        <v>32.383377259198049</v>
      </c>
      <c r="W46" s="55">
        <f t="shared" si="9"/>
        <v>-23.747212416427082</v>
      </c>
      <c r="X46" s="41">
        <f>'[2]побудинковий звіт'!X46+'[1]побудинковий звіт'!X46</f>
        <v>595.72663781918914</v>
      </c>
      <c r="Y46" s="41">
        <f>'[2]побудинковий звіт'!Y46+'[1]побудинковий звіт'!Y46</f>
        <v>410.89364829318822</v>
      </c>
      <c r="Z46" s="55">
        <f t="shared" si="10"/>
        <v>-184.83298952600092</v>
      </c>
      <c r="AA46" s="41">
        <f>'[2]побудинковий звіт'!AA46+'[1]побудинковий звіт'!AA46</f>
        <v>0</v>
      </c>
      <c r="AB46" s="41">
        <f>'[2]побудинковий звіт'!AB46+'[1]побудинковий звіт'!AB46</f>
        <v>0</v>
      </c>
      <c r="AC46" s="55">
        <f t="shared" si="11"/>
        <v>0</v>
      </c>
      <c r="AD46" s="41">
        <f>'[2]побудинковий звіт'!AD46+'[1]побудинковий звіт'!AD46</f>
        <v>1777.9943753879318</v>
      </c>
      <c r="AE46" s="41">
        <f>'[2]побудинковий звіт'!AE46+'[1]побудинковий звіт'!AE46</f>
        <v>1771.0792745840233</v>
      </c>
      <c r="AF46" s="36">
        <f t="shared" si="12"/>
        <v>-6.9151008039084445</v>
      </c>
      <c r="AG46" s="84">
        <f t="shared" si="13"/>
        <v>4646.302396753269</v>
      </c>
      <c r="AH46" s="56">
        <f t="shared" si="14"/>
        <v>4207.2001140800558</v>
      </c>
      <c r="AI46" s="55">
        <f t="shared" si="15"/>
        <v>-439.10228267321327</v>
      </c>
      <c r="AJ46" s="41">
        <f>'[2]побудинковий звіт'!AJ46+'[1]побудинковий звіт'!AJ46</f>
        <v>0</v>
      </c>
      <c r="AK46" s="41">
        <f>'[2]побудинковий звіт'!AK46+'[1]побудинковий звіт'!AK46</f>
        <v>0</v>
      </c>
      <c r="AL46" s="55">
        <f t="shared" si="16"/>
        <v>0</v>
      </c>
      <c r="AM46" s="41">
        <f>'[2]побудинковий звіт'!AM46+'[1]побудинковий звіт'!AM46</f>
        <v>0</v>
      </c>
      <c r="AN46" s="41">
        <f>'[2]побудинковий звіт'!AN46+'[1]побудинковий звіт'!AN46</f>
        <v>0</v>
      </c>
      <c r="AO46" s="55">
        <f t="shared" si="17"/>
        <v>0</v>
      </c>
      <c r="AP46" s="41">
        <f>'[2]побудинковий звіт'!AP46+'[1]побудинковий звіт'!AP46</f>
        <v>1188.7175314862448</v>
      </c>
      <c r="AQ46" s="41">
        <f>'[2]побудинковий звіт'!AQ46+'[1]побудинковий звіт'!AQ46</f>
        <v>1059.6580385535422</v>
      </c>
      <c r="AR46" s="55">
        <f t="shared" si="18"/>
        <v>-129.0594929327026</v>
      </c>
      <c r="AS46" s="41">
        <f>'[2]побудинковий звіт'!AS46+'[1]побудинковий звіт'!AS46</f>
        <v>5558.747555415438</v>
      </c>
      <c r="AT46" s="41">
        <f>'[2]побудинковий звіт'!AT46+'[1]побудинковий звіт'!AT46</f>
        <v>494.43015558954403</v>
      </c>
      <c r="AU46" s="57">
        <f t="shared" si="19"/>
        <v>-5064.3173998258935</v>
      </c>
      <c r="AV46" s="41">
        <f>'[2]побудинковий звіт'!AV46+'[1]побудинковий звіт'!AV46</f>
        <v>367.23590140962767</v>
      </c>
      <c r="AW46" s="41">
        <f>'[2]побудинковий звіт'!AW46+'[1]побудинковий звіт'!AW46</f>
        <v>0</v>
      </c>
      <c r="AX46" s="58">
        <f t="shared" si="20"/>
        <v>-367.23590140962767</v>
      </c>
      <c r="AY46" s="41">
        <f>'[2]побудинковий звіт'!AY46+'[1]побудинковий звіт'!AY46</f>
        <v>538.65053419094522</v>
      </c>
      <c r="AZ46" s="41">
        <f>'[2]побудинковий звіт'!AZ46+'[1]побудинковий звіт'!AZ46</f>
        <v>0</v>
      </c>
      <c r="BA46" s="36">
        <f t="shared" si="21"/>
        <v>-538.65053419094522</v>
      </c>
      <c r="BB46" s="41">
        <f>'[2]побудинковий звіт'!BB46+'[1]побудинковий звіт'!BB46</f>
        <v>176.55747417096572</v>
      </c>
      <c r="BC46" s="41">
        <f>'[2]побудинковий звіт'!BC46+'[1]побудинковий звіт'!BC46</f>
        <v>0</v>
      </c>
      <c r="BD46" s="58">
        <f t="shared" si="22"/>
        <v>-176.55747417096572</v>
      </c>
      <c r="BE46" s="41">
        <f>'[2]побудинковий звіт'!BE46+'[1]побудинковий звіт'!BE46</f>
        <v>0</v>
      </c>
      <c r="BF46" s="41">
        <f>'[2]побудинковий звіт'!BF46+'[1]побудинковий звіт'!BF46</f>
        <v>0</v>
      </c>
      <c r="BG46" s="38">
        <f t="shared" si="23"/>
        <v>0</v>
      </c>
      <c r="BH46" s="41">
        <f>'[2]побудинковий звіт'!BH46+'[1]побудинковий звіт'!BH46</f>
        <v>33.081926391429903</v>
      </c>
      <c r="BI46" s="41">
        <f>'[2]побудинковий звіт'!BI46+'[1]побудинковий звіт'!BI46</f>
        <v>0</v>
      </c>
      <c r="BJ46" s="58">
        <f t="shared" si="24"/>
        <v>-33.081926391429903</v>
      </c>
      <c r="BK46" s="41">
        <f>'[2]побудинковий звіт'!BK46+'[1]побудинковий звіт'!BK46</f>
        <v>130.30722108671688</v>
      </c>
      <c r="BL46" s="41">
        <f>'[2]побудинковий звіт'!BL46+'[1]побудинковий звіт'!BL46</f>
        <v>0</v>
      </c>
      <c r="BM46" s="38">
        <f t="shared" si="25"/>
        <v>-130.30722108671688</v>
      </c>
      <c r="BN46" s="41">
        <f>'[2]побудинковий звіт'!BN46+'[1]побудинковий звіт'!BN46</f>
        <v>161.13351683929983</v>
      </c>
      <c r="BO46" s="41">
        <f>'[2]побудинковий звіт'!BO46+'[1]побудинковий звіт'!BO46</f>
        <v>855.20707564400414</v>
      </c>
      <c r="BP46" s="58">
        <f t="shared" si="26"/>
        <v>694.07355880470436</v>
      </c>
      <c r="BQ46" s="84">
        <f t="shared" si="27"/>
        <v>1406.9665740889852</v>
      </c>
      <c r="BR46" s="42">
        <f t="shared" si="28"/>
        <v>855.20707564400414</v>
      </c>
      <c r="BS46" s="58">
        <f t="shared" si="29"/>
        <v>-551.75949844498109</v>
      </c>
      <c r="BT46" s="41">
        <f>'[2]побудинковий звіт'!BT46+'[1]побудинковий звіт'!BT46</f>
        <v>7130.031679144703</v>
      </c>
      <c r="BU46" s="41">
        <f>'[2]побудинковий звіт'!BU46+'[1]побудинковий звіт'!BU46</f>
        <v>12142.019801278891</v>
      </c>
      <c r="BV46" s="55">
        <f t="shared" si="30"/>
        <v>5011.9881221341884</v>
      </c>
      <c r="BW46" s="41">
        <f>'[2]побудинковий звіт'!BW46+'[1]побудинковий звіт'!BW46</f>
        <v>3941.7450242698496</v>
      </c>
      <c r="BX46" s="41">
        <f>'[2]побудинковий звіт'!BX46+'[1]побудинковий звіт'!BX46</f>
        <v>5347.3521783060869</v>
      </c>
      <c r="BY46" s="55">
        <f t="shared" si="31"/>
        <v>1405.6071540362373</v>
      </c>
      <c r="BZ46" s="41">
        <f>'[2]побудинковий звіт'!BZ46+'[1]побудинковий звіт'!BZ46</f>
        <v>1924.9912967351788</v>
      </c>
      <c r="CA46" s="41">
        <f>'[2]побудинковий звіт'!CA46+'[1]побудинковий звіт'!CA46</f>
        <v>1114.7563000797481</v>
      </c>
      <c r="CB46" s="55">
        <f t="shared" si="32"/>
        <v>-810.23499665543068</v>
      </c>
      <c r="CC46" s="41">
        <f>'[2]побудинковий звіт'!CC46+'[1]побудинковий звіт'!CC46</f>
        <v>0</v>
      </c>
      <c r="CD46" s="41">
        <f>'[2]побудинковий звіт'!CD46+'[1]побудинковий звіт'!CD46</f>
        <v>0</v>
      </c>
      <c r="CE46" s="55">
        <f t="shared" si="33"/>
        <v>0</v>
      </c>
      <c r="CF46" s="41">
        <f>'[2]побудинковий звіт'!CF46+'[1]побудинковий звіт'!CF46</f>
        <v>0</v>
      </c>
      <c r="CG46" s="41">
        <f>'[2]побудинковий звіт'!CG46+'[1]побудинковий звіт'!CG46</f>
        <v>0</v>
      </c>
      <c r="CH46" s="55">
        <f t="shared" si="34"/>
        <v>0</v>
      </c>
      <c r="CI46" s="41">
        <f>'[2]побудинковий звіт'!CI46+'[1]побудинковий звіт'!CI46</f>
        <v>1382.7108220986136</v>
      </c>
      <c r="CJ46" s="41">
        <f>'[2]побудинковий звіт'!CJ46+'[1]побудинковий звіт'!CJ46</f>
        <v>1224.0482913536141</v>
      </c>
      <c r="CK46" s="55">
        <f t="shared" si="35"/>
        <v>-158.66253074499946</v>
      </c>
      <c r="CL46" s="41">
        <f>'[2]побудинковий звіт'!CL46+'[1]побудинковий звіт'!CL46</f>
        <v>0</v>
      </c>
      <c r="CM46" s="41">
        <f>'[2]побудинковий звіт'!CM46+'[1]побудинковий звіт'!CM46</f>
        <v>0</v>
      </c>
      <c r="CN46" s="55">
        <f t="shared" si="36"/>
        <v>0</v>
      </c>
      <c r="CO46" s="41">
        <f t="shared" si="37"/>
        <v>1382.7108220986136</v>
      </c>
      <c r="CP46" s="42">
        <f t="shared" si="38"/>
        <v>1224.0482913536141</v>
      </c>
      <c r="CQ46" s="55">
        <f t="shared" si="39"/>
        <v>-158.66253074499946</v>
      </c>
      <c r="CR46" s="76">
        <f t="shared" si="40"/>
        <v>27180.212879992279</v>
      </c>
      <c r="CS46" s="5">
        <f t="shared" si="41"/>
        <v>26444.671954885489</v>
      </c>
      <c r="CT46" s="55">
        <f t="shared" si="42"/>
        <v>-735.54092510679038</v>
      </c>
      <c r="CU46" s="84">
        <f t="shared" si="43"/>
        <v>32616.255455990733</v>
      </c>
      <c r="CV46" s="68">
        <f t="shared" si="44"/>
        <v>31733.606345862587</v>
      </c>
      <c r="CW46" s="36">
        <f t="shared" si="45"/>
        <v>-882.64911012814628</v>
      </c>
      <c r="CX46" s="41">
        <f>'[2]побудинковий звіт'!CX46+'[1]побудинковий звіт'!CX46</f>
        <v>329.70331217573926</v>
      </c>
      <c r="CY46" s="41">
        <f>'[2]побудинковий звіт'!CY46+'[1]побудинковий звіт'!CY46</f>
        <v>1212.3524223038926</v>
      </c>
      <c r="CZ46" s="55">
        <f t="shared" si="46"/>
        <v>882.64911012815332</v>
      </c>
      <c r="DA46" s="254">
        <f>'[1]побудинковий звіт'!DA46</f>
        <v>-5537.3112576816748</v>
      </c>
      <c r="DB46" s="2">
        <v>1</v>
      </c>
      <c r="DC46" s="702">
        <f>'[1]побудинковий звіт'!DC46</f>
        <v>20119.63</v>
      </c>
      <c r="DD46" s="702">
        <f>'[1]побудинковий звіт'!DD46</f>
        <v>0</v>
      </c>
      <c r="DE46" s="702">
        <f>'[1]побудинковий звіт'!DE46</f>
        <v>16477.27</v>
      </c>
      <c r="DF46" s="702">
        <f>'[1]побудинковий звіт'!DF46</f>
        <v>0</v>
      </c>
      <c r="DG46" s="772">
        <v>-4854.5867319041863</v>
      </c>
      <c r="DH46" s="746">
        <f t="shared" si="47"/>
        <v>395351.50521799765</v>
      </c>
      <c r="DI46" s="769"/>
      <c r="DJ46" s="5"/>
      <c r="DK46" s="307">
        <f>VLOOKUP($A46,ціни!$A$4:$G$401,5)</f>
        <v>6.2858646455867451</v>
      </c>
      <c r="DL46" s="307"/>
      <c r="DM46" s="307">
        <f>VLOOKUP($A46,ціни!$A$4:$G$401,7)</f>
        <v>5.378504172439234</v>
      </c>
      <c r="DN46" s="29">
        <f t="shared" ref="DN46:DN52" si="60">F46*DK46</f>
        <v>2576.7644941653743</v>
      </c>
      <c r="DO46" s="29">
        <f t="shared" ref="DO46:DO52" si="61">H46*DM46</f>
        <v>0</v>
      </c>
      <c r="DP46" s="306">
        <f t="shared" si="48"/>
        <v>2576.7644941653743</v>
      </c>
      <c r="DQ46" s="101"/>
      <c r="DR46" s="29">
        <f>VLOOKUP(A46,'ДЗ нас '!$A$1:$C$359,2)</f>
        <v>2576.7800000000002</v>
      </c>
      <c r="DS46" s="733"/>
      <c r="DT46" s="29">
        <f t="shared" si="49"/>
        <v>2576.7800000000002</v>
      </c>
      <c r="DU46" s="247">
        <f>VLOOKUP(A46,'новий кошторис с 01.06'!$A$4:$AI$399,35)*1.2</f>
        <v>2576.7644941653748</v>
      </c>
      <c r="DV46" s="29">
        <f t="shared" si="50"/>
        <v>1.5505834625400894E-2</v>
      </c>
      <c r="DW46" s="1016">
        <f>'[2]побудинковий звіт'!$DW$9+'[1]побудинковий звіт'!DW46</f>
        <v>0</v>
      </c>
      <c r="DX46" s="101">
        <f>'[1]побудинковий звіт'!DX46</f>
        <v>0</v>
      </c>
      <c r="DY46" s="5">
        <f t="shared" si="51"/>
        <v>8358.8569554053065</v>
      </c>
      <c r="DZ46" s="5">
        <f t="shared" si="52"/>
        <v>1619.5646774802578</v>
      </c>
      <c r="EA46" s="737">
        <f t="shared" si="53"/>
        <v>16477.27</v>
      </c>
      <c r="EC46" s="577">
        <f t="shared" si="54"/>
        <v>66704.97066498526</v>
      </c>
      <c r="EE46" s="743">
        <v>5259</v>
      </c>
      <c r="EF46" s="723">
        <f t="shared" si="55"/>
        <v>404.41326809581369</v>
      </c>
      <c r="EH46" s="798">
        <v>-3465.1098473404422</v>
      </c>
      <c r="EI46" s="101">
        <f>VLOOKUP(A46,'кошти 01.01.24'!$A$9:$D$352,4,FALSE)</f>
        <v>-4654.662147553523</v>
      </c>
    </row>
    <row r="47" spans="1:139" hidden="1" x14ac:dyDescent="0.3">
      <c r="A47" s="318">
        <v>150000496</v>
      </c>
      <c r="B47" s="43" t="s">
        <v>465</v>
      </c>
      <c r="C47" s="44" t="s">
        <v>148</v>
      </c>
      <c r="D47" s="44" t="s">
        <v>148</v>
      </c>
      <c r="E47" s="39">
        <f t="shared" si="4"/>
        <v>403.93</v>
      </c>
      <c r="F47" s="205">
        <f>'[1]побудинковий звіт'!F47</f>
        <v>403.93</v>
      </c>
      <c r="G47" s="29">
        <f>'[1]побудинковий звіт'!G47</f>
        <v>0</v>
      </c>
      <c r="H47" s="148">
        <f>'[1]побудинковий звіт'!H47</f>
        <v>0</v>
      </c>
      <c r="I47" s="41">
        <f>'[2]побудинковий звіт'!I47+'[1]побудинковий звіт'!I47</f>
        <v>1108.1154183061371</v>
      </c>
      <c r="J47" s="41">
        <f>'[2]побудинковий звіт'!J47+'[1]побудинковий звіт'!J47</f>
        <v>953.42260510673657</v>
      </c>
      <c r="K47" s="55">
        <f t="shared" si="5"/>
        <v>-154.69281319940058</v>
      </c>
      <c r="L47" s="41">
        <f>'[2]побудинковий звіт'!L47+'[1]побудинковий звіт'!L47</f>
        <v>449.21163092064688</v>
      </c>
      <c r="M47" s="41">
        <f>'[2]побудинковий звіт'!M47+'[1]побудинковий звіт'!M47</f>
        <v>376.73363403659351</v>
      </c>
      <c r="N47" s="55">
        <f t="shared" si="6"/>
        <v>-72.477996884053368</v>
      </c>
      <c r="O47" s="41">
        <f>'[2]побудинковий звіт'!O47+'[1]побудинковий звіт'!O47</f>
        <v>677.33796469803713</v>
      </c>
      <c r="P47" s="41">
        <f>'[2]побудинковий звіт'!P47+'[1]побудинковий звіт'!P47</f>
        <v>679.24733126109209</v>
      </c>
      <c r="Q47" s="55">
        <f t="shared" si="7"/>
        <v>1.9093665630549594</v>
      </c>
      <c r="R47" s="41">
        <f>'[2]побудинковий звіт'!R47+'[1]побудинковий звіт'!R47</f>
        <v>0</v>
      </c>
      <c r="S47" s="41">
        <f>'[2]побудинковий звіт'!S47+'[1]побудинковий звіт'!S47</f>
        <v>0</v>
      </c>
      <c r="T47" s="55">
        <f t="shared" si="8"/>
        <v>0</v>
      </c>
      <c r="U47" s="41">
        <f>'[2]побудинковий звіт'!U47+'[1]побудинковий звіт'!U47</f>
        <v>56.130589675625131</v>
      </c>
      <c r="V47" s="41">
        <f>'[2]побудинковий звіт'!V47+'[1]побудинковий звіт'!V47</f>
        <v>32.383377259198049</v>
      </c>
      <c r="W47" s="55">
        <f t="shared" si="9"/>
        <v>-23.747212416427082</v>
      </c>
      <c r="X47" s="41">
        <f>'[2]побудинковий звіт'!X47+'[1]побудинковий звіт'!X47</f>
        <v>624.77633784449188</v>
      </c>
      <c r="Y47" s="41">
        <f>'[2]побудинковий звіт'!Y47+'[1]побудинковий звіт'!Y47</f>
        <v>431.30284548596978</v>
      </c>
      <c r="Z47" s="55">
        <f t="shared" si="10"/>
        <v>-193.47349235852209</v>
      </c>
      <c r="AA47" s="41">
        <f>'[2]побудинковий звіт'!AA47+'[1]побудинковий звіт'!AA47</f>
        <v>0</v>
      </c>
      <c r="AB47" s="41">
        <f>'[2]побудинковий звіт'!AB47+'[1]побудинковий звіт'!AB47</f>
        <v>0</v>
      </c>
      <c r="AC47" s="55">
        <f t="shared" si="11"/>
        <v>0</v>
      </c>
      <c r="AD47" s="41">
        <f>'[2]побудинковий звіт'!AD47+'[1]побудинковий звіт'!AD47</f>
        <v>1751.9705024039404</v>
      </c>
      <c r="AE47" s="41">
        <f>'[2]побудинковий звіт'!AE47+'[1]побудинковий звіт'!AE47</f>
        <v>1745.1566154775801</v>
      </c>
      <c r="AF47" s="36">
        <f t="shared" si="12"/>
        <v>-6.8138869263602828</v>
      </c>
      <c r="AG47" s="84">
        <f t="shared" si="13"/>
        <v>4667.542443848879</v>
      </c>
      <c r="AH47" s="56">
        <f t="shared" si="14"/>
        <v>4218.2464086271702</v>
      </c>
      <c r="AI47" s="55">
        <f t="shared" si="15"/>
        <v>-449.29603522170873</v>
      </c>
      <c r="AJ47" s="41">
        <f>'[2]побудинковий звіт'!AJ47+'[1]побудинковий звіт'!AJ47</f>
        <v>0</v>
      </c>
      <c r="AK47" s="41">
        <f>'[2]побудинковий звіт'!AK47+'[1]побудинковий звіт'!AK47</f>
        <v>0</v>
      </c>
      <c r="AL47" s="55">
        <f t="shared" si="16"/>
        <v>0</v>
      </c>
      <c r="AM47" s="41">
        <f>'[2]побудинковий звіт'!AM47+'[1]побудинковий звіт'!AM47</f>
        <v>0</v>
      </c>
      <c r="AN47" s="41">
        <f>'[2]побудинковий звіт'!AN47+'[1]побудинковий звіт'!AN47</f>
        <v>0</v>
      </c>
      <c r="AO47" s="55">
        <f t="shared" si="17"/>
        <v>0</v>
      </c>
      <c r="AP47" s="41">
        <f>'[2]побудинковий звіт'!AP47+'[1]побудинковий звіт'!AP47</f>
        <v>1188.7175314862448</v>
      </c>
      <c r="AQ47" s="41">
        <f>'[2]побудинковий звіт'!AQ47+'[1]побудинковий звіт'!AQ47</f>
        <v>1131.6134817630793</v>
      </c>
      <c r="AR47" s="55">
        <f t="shared" si="18"/>
        <v>-57.104049723165417</v>
      </c>
      <c r="AS47" s="41">
        <f>'[2]побудинковий звіт'!AS47+'[1]побудинковий звіт'!AS47</f>
        <v>5379.290511166857</v>
      </c>
      <c r="AT47" s="41">
        <f>'[2]побудинковий звіт'!AT47+'[1]побудинковий звіт'!AT47</f>
        <v>114.31344225700985</v>
      </c>
      <c r="AU47" s="57">
        <f t="shared" si="19"/>
        <v>-5264.9770689098468</v>
      </c>
      <c r="AV47" s="41">
        <f>'[2]побудинковий звіт'!AV47+'[1]побудинковий звіт'!AV47</f>
        <v>365.08513785154929</v>
      </c>
      <c r="AW47" s="41">
        <f>'[2]побудинковий звіт'!AW47+'[1]побудинковий звіт'!AW47</f>
        <v>0</v>
      </c>
      <c r="AX47" s="58">
        <f t="shared" si="20"/>
        <v>-365.08513785154929</v>
      </c>
      <c r="AY47" s="41">
        <f>'[2]побудинковий звіт'!AY47+'[1]побудинковий звіт'!AY47</f>
        <v>536.5003840483007</v>
      </c>
      <c r="AZ47" s="41">
        <f>'[2]побудинковий звіт'!AZ47+'[1]побудинковий звіт'!AZ47</f>
        <v>0</v>
      </c>
      <c r="BA47" s="36">
        <f t="shared" si="21"/>
        <v>-536.5003840483007</v>
      </c>
      <c r="BB47" s="41">
        <f>'[2]побудинковий звіт'!BB47+'[1]побудинковий звіт'!BB47</f>
        <v>239.82261122875784</v>
      </c>
      <c r="BC47" s="41">
        <f>'[2]побудинковий звіт'!BC47+'[1]побудинковий звіт'!BC47</f>
        <v>0</v>
      </c>
      <c r="BD47" s="58">
        <f t="shared" si="22"/>
        <v>-239.82261122875784</v>
      </c>
      <c r="BE47" s="41">
        <f>'[2]побудинковий звіт'!BE47+'[1]побудинковий звіт'!BE47</f>
        <v>0</v>
      </c>
      <c r="BF47" s="41">
        <f>'[2]побудинковий звіт'!BF47+'[1]побудинковий звіт'!BF47</f>
        <v>0</v>
      </c>
      <c r="BG47" s="38">
        <f t="shared" si="23"/>
        <v>0</v>
      </c>
      <c r="BH47" s="41">
        <f>'[2]побудинковий звіт'!BH47+'[1]побудинковий звіт'!BH47</f>
        <v>33.081926391429903</v>
      </c>
      <c r="BI47" s="41">
        <f>'[2]побудинковий звіт'!BI47+'[1]побудинковий звіт'!BI47</f>
        <v>0</v>
      </c>
      <c r="BJ47" s="58">
        <f t="shared" si="24"/>
        <v>-33.081926391429903</v>
      </c>
      <c r="BK47" s="41">
        <f>'[2]побудинковий звіт'!BK47+'[1]побудинковий звіт'!BK47</f>
        <v>132.25220945458935</v>
      </c>
      <c r="BL47" s="41">
        <f>'[2]побудинковий звіт'!BL47+'[1]побудинковий звіт'!BL47</f>
        <v>0</v>
      </c>
      <c r="BM47" s="38">
        <f t="shared" si="25"/>
        <v>-132.25220945458935</v>
      </c>
      <c r="BN47" s="41">
        <f>'[2]побудинковий звіт'!BN47+'[1]побудинковий звіт'!BN47</f>
        <v>158.23695393879728</v>
      </c>
      <c r="BO47" s="41">
        <f>'[2]побудинковий звіт'!BO47+'[1]побудинковий звіт'!BO47</f>
        <v>0</v>
      </c>
      <c r="BP47" s="58">
        <f t="shared" si="26"/>
        <v>-158.23695393879728</v>
      </c>
      <c r="BQ47" s="84">
        <f t="shared" si="27"/>
        <v>1464.9792229134243</v>
      </c>
      <c r="BR47" s="42">
        <f t="shared" si="28"/>
        <v>0</v>
      </c>
      <c r="BS47" s="58">
        <f t="shared" si="29"/>
        <v>-1464.9792229134243</v>
      </c>
      <c r="BT47" s="41">
        <f>'[2]побудинковий звіт'!BT47+'[1]побудинковий звіт'!BT47</f>
        <v>5728.0474730001661</v>
      </c>
      <c r="BU47" s="41">
        <f>'[2]побудинковий звіт'!BU47+'[1]побудинковий звіт'!BU47</f>
        <v>11534.741034389117</v>
      </c>
      <c r="BV47" s="55">
        <f t="shared" si="30"/>
        <v>5806.6935613889509</v>
      </c>
      <c r="BW47" s="41">
        <f>'[2]побудинковий звіт'!BW47+'[1]побудинковий звіт'!BW47</f>
        <v>4015.4131977089592</v>
      </c>
      <c r="BX47" s="41">
        <f>'[2]побудинковий звіт'!BX47+'[1]побудинковий звіт'!BX47</f>
        <v>5428.4894408182827</v>
      </c>
      <c r="BY47" s="55">
        <f t="shared" si="31"/>
        <v>1413.0762431093235</v>
      </c>
      <c r="BZ47" s="41">
        <f>'[2]побудинковий звіт'!BZ47+'[1]побудинковий звіт'!BZ47</f>
        <v>2206.5789228838235</v>
      </c>
      <c r="CA47" s="41">
        <f>'[2]побудинковий звіт'!CA47+'[1]побудинковий звіт'!CA47</f>
        <v>1093.6649997728416</v>
      </c>
      <c r="CB47" s="55">
        <f t="shared" si="32"/>
        <v>-1112.9139231109818</v>
      </c>
      <c r="CC47" s="41">
        <f>'[2]побудинковий звіт'!CC47+'[1]побудинковий звіт'!CC47</f>
        <v>0</v>
      </c>
      <c r="CD47" s="41">
        <f>'[2]побудинковий звіт'!CD47+'[1]побудинковий звіт'!CD47</f>
        <v>0</v>
      </c>
      <c r="CE47" s="55">
        <f t="shared" si="33"/>
        <v>0</v>
      </c>
      <c r="CF47" s="41">
        <f>'[2]побудинковий звіт'!CF47+'[1]побудинковий звіт'!CF47</f>
        <v>0</v>
      </c>
      <c r="CG47" s="41">
        <f>'[2]побудинковий звіт'!CG47+'[1]побудинковий звіт'!CG47</f>
        <v>0</v>
      </c>
      <c r="CH47" s="55">
        <f t="shared" si="34"/>
        <v>0</v>
      </c>
      <c r="CI47" s="41">
        <f>'[2]побудинковий звіт'!CI47+'[1]побудинковий звіт'!CI47</f>
        <v>1930.364674309619</v>
      </c>
      <c r="CJ47" s="41">
        <f>'[2]побудинковий звіт'!CJ47+'[1]побудинковий звіт'!CJ47</f>
        <v>2283.1422993055312</v>
      </c>
      <c r="CK47" s="55">
        <f t="shared" si="35"/>
        <v>352.77762499591222</v>
      </c>
      <c r="CL47" s="41">
        <f>'[2]побудинковий звіт'!CL47+'[1]побудинковий звіт'!CL47</f>
        <v>0</v>
      </c>
      <c r="CM47" s="41">
        <f>'[2]побудинковий звіт'!CM47+'[1]побудинковий звіт'!CM47</f>
        <v>0</v>
      </c>
      <c r="CN47" s="55">
        <f t="shared" si="36"/>
        <v>0</v>
      </c>
      <c r="CO47" s="41">
        <f t="shared" si="37"/>
        <v>1930.364674309619</v>
      </c>
      <c r="CP47" s="42">
        <f t="shared" si="38"/>
        <v>2283.1422993055312</v>
      </c>
      <c r="CQ47" s="55">
        <f t="shared" si="39"/>
        <v>352.77762499591222</v>
      </c>
      <c r="CR47" s="76">
        <f t="shared" si="40"/>
        <v>26580.933977317971</v>
      </c>
      <c r="CS47" s="5">
        <f t="shared" si="41"/>
        <v>25804.211106933031</v>
      </c>
      <c r="CT47" s="55">
        <f t="shared" si="42"/>
        <v>-776.7228703849396</v>
      </c>
      <c r="CU47" s="84">
        <f t="shared" si="43"/>
        <v>31897.120772781564</v>
      </c>
      <c r="CV47" s="68">
        <f t="shared" si="44"/>
        <v>30965.053328319635</v>
      </c>
      <c r="CW47" s="36">
        <f t="shared" si="45"/>
        <v>-932.06744446192897</v>
      </c>
      <c r="CX47" s="41">
        <f>'[2]побудинковий звіт'!CX47+'[1]побудинковий звіт'!CX47</f>
        <v>959.89870907652755</v>
      </c>
      <c r="CY47" s="41">
        <f>'[2]побудинковий звіт'!CY47+'[1]побудинковий звіт'!CY47</f>
        <v>1891.9661535384553</v>
      </c>
      <c r="CZ47" s="55">
        <f t="shared" si="46"/>
        <v>932.06744446192772</v>
      </c>
      <c r="DA47" s="254">
        <f>'[1]побудинковий звіт'!DA47</f>
        <v>-7689.6360398084153</v>
      </c>
      <c r="DB47" s="2">
        <v>1</v>
      </c>
      <c r="DC47" s="702">
        <f>'[1]побудинковий звіт'!DC47</f>
        <v>27195.68</v>
      </c>
      <c r="DD47" s="702">
        <f>'[1]побудинковий звіт'!DD47</f>
        <v>0</v>
      </c>
      <c r="DE47" s="702">
        <f>'[1]побудинковий звіт'!DE47</f>
        <v>23601.67</v>
      </c>
      <c r="DF47" s="702">
        <f>'[1]побудинковий звіт'!DF47</f>
        <v>0</v>
      </c>
      <c r="DG47" s="772">
        <v>-8242.9651000454178</v>
      </c>
      <c r="DH47" s="746">
        <f t="shared" si="47"/>
        <v>394284.23378229712</v>
      </c>
      <c r="DI47" s="769"/>
      <c r="DJ47" s="5"/>
      <c r="DK47" s="307">
        <f>VLOOKUP($A47,ціни!$A$4:$G$401,5)</f>
        <v>6.3800198499533733</v>
      </c>
      <c r="DL47" s="307"/>
      <c r="DM47" s="307">
        <f>VLOOKUP($A47,ціни!$A$4:$G$401,7)</f>
        <v>5.4179558879841263</v>
      </c>
      <c r="DN47" s="29">
        <f t="shared" si="60"/>
        <v>2577.0814179916661</v>
      </c>
      <c r="DO47" s="29">
        <f t="shared" si="61"/>
        <v>0</v>
      </c>
      <c r="DP47" s="306">
        <f t="shared" si="48"/>
        <v>2577.0814179916661</v>
      </c>
      <c r="DQ47" s="101"/>
      <c r="DR47" s="29">
        <f>VLOOKUP(A47,'ДЗ нас '!$A$1:$C$359,2)</f>
        <v>2577.0700000000002</v>
      </c>
      <c r="DS47" s="733"/>
      <c r="DT47" s="29">
        <f t="shared" si="49"/>
        <v>2577.0700000000002</v>
      </c>
      <c r="DU47" s="247">
        <f>VLOOKUP(A47,'новий кошторис с 01.06'!$A$4:$AI$399,35)*1.2</f>
        <v>2589.6525468599184</v>
      </c>
      <c r="DV47" s="29">
        <f t="shared" si="50"/>
        <v>-12.582546859918239</v>
      </c>
      <c r="DW47" s="1016">
        <f>'[2]побудинковий звіт'!$DW$9+'[1]побудинковий звіт'!DW47</f>
        <v>0</v>
      </c>
      <c r="DX47" s="101">
        <f>'[1]побудинковий звіт'!DX47</f>
        <v>0</v>
      </c>
      <c r="DY47" s="5">
        <f t="shared" si="51"/>
        <v>8213.1236808963367</v>
      </c>
      <c r="DZ47" s="5">
        <f t="shared" si="52"/>
        <v>137.17613070841182</v>
      </c>
      <c r="EA47" s="737">
        <f t="shared" si="53"/>
        <v>23601.67</v>
      </c>
      <c r="EC47" s="577">
        <f t="shared" si="54"/>
        <v>64551.486134002284</v>
      </c>
      <c r="EE47" s="743">
        <v>33567</v>
      </c>
      <c r="EF47" s="723">
        <f t="shared" si="55"/>
        <v>25324.034899954582</v>
      </c>
      <c r="EH47" s="798">
        <v>-6606.3346939808735</v>
      </c>
      <c r="EI47" s="101">
        <f>VLOOKUP(A47,'кошти 01.01.24'!$A$9:$D$352,4,FALSE)</f>
        <v>-6757.5685953464854</v>
      </c>
    </row>
    <row r="48" spans="1:139" ht="14.4" hidden="1" customHeight="1" x14ac:dyDescent="0.3">
      <c r="A48" s="318">
        <v>150000498</v>
      </c>
      <c r="B48" s="43" t="s">
        <v>466</v>
      </c>
      <c r="C48" s="44" t="s">
        <v>241</v>
      </c>
      <c r="D48" s="44" t="s">
        <v>241</v>
      </c>
      <c r="E48" s="39">
        <f t="shared" si="4"/>
        <v>4892.3</v>
      </c>
      <c r="F48" s="205">
        <f>'[1]побудинковий звіт'!F48</f>
        <v>4846.6000000000004</v>
      </c>
      <c r="G48" s="29">
        <f>'[1]побудинковий звіт'!G48</f>
        <v>0</v>
      </c>
      <c r="H48" s="148">
        <f>'[1]побудинковий звіт'!H48</f>
        <v>45.7</v>
      </c>
      <c r="I48" s="41">
        <f>'[2]побудинковий звіт'!I48+'[1]побудинковий звіт'!I48</f>
        <v>17015.75307836134</v>
      </c>
      <c r="J48" s="41">
        <f>'[2]побудинковий звіт'!J48+'[1]побудинковий звіт'!J48</f>
        <v>13433.256251169776</v>
      </c>
      <c r="K48" s="55">
        <f t="shared" si="5"/>
        <v>-3582.4968271915641</v>
      </c>
      <c r="L48" s="41">
        <f>'[2]побудинковий звіт'!L48+'[1]побудинковий звіт'!L48</f>
        <v>3633.7421818222883</v>
      </c>
      <c r="M48" s="41">
        <f>'[2]побудинковий звіт'!M48+'[1]побудинковий звіт'!M48</f>
        <v>3132.4976678021912</v>
      </c>
      <c r="N48" s="55">
        <f t="shared" si="6"/>
        <v>-501.24451402009709</v>
      </c>
      <c r="O48" s="41">
        <f>'[2]побудинковий звіт'!O48+'[1]побудинковий звіт'!O48</f>
        <v>8115.5340420449511</v>
      </c>
      <c r="P48" s="41">
        <f>'[2]побудинковий звіт'!P48+'[1]побудинковий звіт'!P48</f>
        <v>8136.6358337315278</v>
      </c>
      <c r="Q48" s="55">
        <f t="shared" si="7"/>
        <v>21.101791686576689</v>
      </c>
      <c r="R48" s="41">
        <f>'[2]побудинковий звіт'!R48+'[1]побудинковий звіт'!R48</f>
        <v>0</v>
      </c>
      <c r="S48" s="41">
        <f>'[2]побудинковий звіт'!S48+'[1]побудинковий звіт'!S48</f>
        <v>0</v>
      </c>
      <c r="T48" s="55">
        <f t="shared" si="8"/>
        <v>0</v>
      </c>
      <c r="U48" s="41">
        <f>'[2]побудинковий звіт'!U48+'[1]побудинковий звіт'!U48</f>
        <v>327.4284397744799</v>
      </c>
      <c r="V48" s="41">
        <f>'[2]побудинковий звіт'!V48+'[1]побудинковий звіт'!V48</f>
        <v>188.90303401198861</v>
      </c>
      <c r="W48" s="55">
        <f t="shared" si="9"/>
        <v>-138.52540576249129</v>
      </c>
      <c r="X48" s="41">
        <f>'[2]побудинковий звіт'!X48+'[1]побудинковий звіт'!X48</f>
        <v>14659.476087232269</v>
      </c>
      <c r="Y48" s="41">
        <f>'[2]побудинковий звіт'!Y48+'[1]побудинковий звіт'!Y48</f>
        <v>10763.295031491556</v>
      </c>
      <c r="Z48" s="55">
        <f t="shared" si="10"/>
        <v>-3896.1810557407134</v>
      </c>
      <c r="AA48" s="41">
        <f>'[2]побудинковий звіт'!AA48+'[1]побудинковий звіт'!AA48</f>
        <v>0</v>
      </c>
      <c r="AB48" s="41">
        <f>'[2]побудинковий звіт'!AB48+'[1]побудинковий звіт'!AB48</f>
        <v>0</v>
      </c>
      <c r="AC48" s="55">
        <f t="shared" si="11"/>
        <v>0</v>
      </c>
      <c r="AD48" s="41">
        <f>'[2]побудинковий звіт'!AD48+'[1]побудинковий звіт'!AD48</f>
        <v>21213.67418013213</v>
      </c>
      <c r="AE48" s="41">
        <f>'[2]побудинковий звіт'!AE48+'[1]побудинковий звіт'!AE48</f>
        <v>21131.387122643497</v>
      </c>
      <c r="AF48" s="36">
        <f t="shared" si="12"/>
        <v>-82.287057488632854</v>
      </c>
      <c r="AG48" s="84">
        <f t="shared" si="13"/>
        <v>64965.608009367454</v>
      </c>
      <c r="AH48" s="56">
        <f t="shared" si="14"/>
        <v>56785.974940850545</v>
      </c>
      <c r="AI48" s="55">
        <f t="shared" si="15"/>
        <v>-8179.6330685169087</v>
      </c>
      <c r="AJ48" s="41">
        <f>'[2]побудинковий звіт'!AJ48+'[1]побудинковий звіт'!AJ48</f>
        <v>0</v>
      </c>
      <c r="AK48" s="41">
        <f>'[2]побудинковий звіт'!AK48+'[1]побудинковий звіт'!AK48</f>
        <v>0</v>
      </c>
      <c r="AL48" s="55">
        <f t="shared" si="16"/>
        <v>0</v>
      </c>
      <c r="AM48" s="41">
        <f>'[2]побудинковий звіт'!AM48+'[1]побудинковий звіт'!AM48</f>
        <v>0</v>
      </c>
      <c r="AN48" s="41">
        <f>'[2]побудинковий звіт'!AN48+'[1]побудинковий звіт'!AN48</f>
        <v>0</v>
      </c>
      <c r="AO48" s="55">
        <f t="shared" si="17"/>
        <v>0</v>
      </c>
      <c r="AP48" s="41">
        <f>'[2]побудинковий звіт'!AP48+'[1]побудинковий звіт'!AP48</f>
        <v>16344.866057935866</v>
      </c>
      <c r="AQ48" s="41">
        <f>'[2]побудинковий звіт'!AQ48+'[1]побудинковий звіт'!AQ48</f>
        <v>14995.454994006424</v>
      </c>
      <c r="AR48" s="55">
        <f t="shared" si="18"/>
        <v>-1349.4110639294413</v>
      </c>
      <c r="AS48" s="41">
        <f>'[2]побудинковий звіт'!AS48+'[1]побудинковий звіт'!AS48</f>
        <v>46297.028860884391</v>
      </c>
      <c r="AT48" s="41">
        <f>'[2]побудинковий звіт'!AT48+'[1]побудинковий звіт'!AT48</f>
        <v>3716.1082407194926</v>
      </c>
      <c r="AU48" s="57">
        <f t="shared" si="19"/>
        <v>-42580.920620164899</v>
      </c>
      <c r="AV48" s="41">
        <f>'[2]побудинковий звіт'!AV48+'[1]побудинковий звіт'!AV48</f>
        <v>2956.0619635570019</v>
      </c>
      <c r="AW48" s="41">
        <f>'[2]побудинковий звіт'!AW48+'[1]побудинковий звіт'!AW48</f>
        <v>275.42523712368603</v>
      </c>
      <c r="AX48" s="58">
        <f t="shared" si="20"/>
        <v>-2680.6367264333157</v>
      </c>
      <c r="AY48" s="41">
        <f>'[2]побудинковий звіт'!AY48+'[1]побудинковий звіт'!AY48</f>
        <v>4564.4895319104135</v>
      </c>
      <c r="AZ48" s="41">
        <f>'[2]побудинковий звіт'!AZ48+'[1]побудинковий звіт'!AZ48</f>
        <v>0</v>
      </c>
      <c r="BA48" s="36">
        <f t="shared" si="21"/>
        <v>-4564.4895319104135</v>
      </c>
      <c r="BB48" s="41">
        <f>'[2]побудинковий звіт'!BB48+'[1]побудинковий звіт'!BB48</f>
        <v>2787.8836277273863</v>
      </c>
      <c r="BC48" s="41">
        <f>'[2]побудинковий звіт'!BC48+'[1]побудинковий звіт'!BC48</f>
        <v>5278.2855364948446</v>
      </c>
      <c r="BD48" s="58">
        <f t="shared" si="22"/>
        <v>2490.4019087674583</v>
      </c>
      <c r="BE48" s="41">
        <f>'[2]побудинковий звіт'!BE48+'[1]побудинковий звіт'!BE48</f>
        <v>0</v>
      </c>
      <c r="BF48" s="41">
        <f>'[2]побудинковий звіт'!BF48+'[1]побудинковий звіт'!BF48</f>
        <v>0</v>
      </c>
      <c r="BG48" s="38">
        <f t="shared" si="23"/>
        <v>0</v>
      </c>
      <c r="BH48" s="41">
        <f>'[2]побудинковий звіт'!BH48+'[1]побудинковий звіт'!BH48</f>
        <v>192.97790395000783</v>
      </c>
      <c r="BI48" s="41">
        <f>'[2]побудинковий звіт'!BI48+'[1]побудинковий звіт'!BI48</f>
        <v>416.32736112493444</v>
      </c>
      <c r="BJ48" s="58">
        <f t="shared" si="24"/>
        <v>223.34945717492661</v>
      </c>
      <c r="BK48" s="41">
        <f>'[2]побудинковий звіт'!BK48+'[1]побудинковий звіт'!BK48</f>
        <v>2712.9790311621086</v>
      </c>
      <c r="BL48" s="41">
        <f>'[2]побудинковий звіт'!BL48+'[1]побудинковий звіт'!BL48</f>
        <v>897.64144058308545</v>
      </c>
      <c r="BM48" s="38">
        <f t="shared" si="25"/>
        <v>-1815.3375905790231</v>
      </c>
      <c r="BN48" s="41">
        <f>'[2]побудинковий звіт'!BN48+'[1]побудинковий звіт'!BN48</f>
        <v>927.98720137003716</v>
      </c>
      <c r="BO48" s="41">
        <f>'[2]побудинковий звіт'!BO48+'[1]побудинковий звіт'!BO48</f>
        <v>10517.130919935411</v>
      </c>
      <c r="BP48" s="58">
        <f t="shared" si="26"/>
        <v>9589.143718565374</v>
      </c>
      <c r="BQ48" s="84">
        <f t="shared" si="27"/>
        <v>14142.379259676956</v>
      </c>
      <c r="BR48" s="42">
        <f t="shared" si="28"/>
        <v>17384.810495261961</v>
      </c>
      <c r="BS48" s="58">
        <f t="shared" si="29"/>
        <v>3242.4312355850052</v>
      </c>
      <c r="BT48" s="41">
        <f>'[2]побудинковий звіт'!BT48+'[1]побудинковий звіт'!BT48</f>
        <v>81713.149407046963</v>
      </c>
      <c r="BU48" s="41">
        <f>'[2]побудинковий звіт'!BU48+'[1]побудинковий звіт'!BU48</f>
        <v>143540.96265085152</v>
      </c>
      <c r="BV48" s="55">
        <f t="shared" si="30"/>
        <v>61827.813243804558</v>
      </c>
      <c r="BW48" s="41">
        <f>'[2]побудинковий звіт'!BW48+'[1]побудинковий звіт'!BW48</f>
        <v>27105.052320273873</v>
      </c>
      <c r="BX48" s="41">
        <f>'[2]побудинковий звіт'!BX48+'[1]побудинковий звіт'!BX48</f>
        <v>35159.415262655748</v>
      </c>
      <c r="BY48" s="55">
        <f t="shared" si="31"/>
        <v>8054.3629423818747</v>
      </c>
      <c r="BZ48" s="41">
        <f>'[2]побудинковий звіт'!BZ48+'[1]побудинковий звіт'!BZ48</f>
        <v>42397.344416202512</v>
      </c>
      <c r="CA48" s="41">
        <f>'[2]побудинковий звіт'!CA48+'[1]побудинковий звіт'!CA48</f>
        <v>13166.363175155686</v>
      </c>
      <c r="CB48" s="55">
        <f t="shared" si="32"/>
        <v>-29230.981241046826</v>
      </c>
      <c r="CC48" s="41">
        <f>'[2]побудинковий звіт'!CC48+'[1]побудинковий звіт'!CC48</f>
        <v>1879.4678909856475</v>
      </c>
      <c r="CD48" s="41">
        <f>'[2]побудинковий звіт'!CD48+'[1]побудинковий звіт'!CD48</f>
        <v>1885.8409569612343</v>
      </c>
      <c r="CE48" s="55">
        <f t="shared" si="33"/>
        <v>6.3730659755867691</v>
      </c>
      <c r="CF48" s="41">
        <f>'[2]побудинковий звіт'!CF48+'[1]побудинковий звіт'!CF48</f>
        <v>232.85608197322151</v>
      </c>
      <c r="CG48" s="41">
        <f>'[2]побудинковий звіт'!CG48+'[1]побудинковий звіт'!CG48</f>
        <v>0</v>
      </c>
      <c r="CH48" s="55">
        <f t="shared" si="34"/>
        <v>-232.85608197322151</v>
      </c>
      <c r="CI48" s="41">
        <f>'[2]побудинковий звіт'!CI48+'[1]побудинковий звіт'!CI48</f>
        <v>11132.989674642035</v>
      </c>
      <c r="CJ48" s="41">
        <f>'[2]побудинковий звіт'!CJ48+'[1]побудинковий звіт'!CJ48</f>
        <v>11043.455843627509</v>
      </c>
      <c r="CK48" s="55">
        <f t="shared" si="35"/>
        <v>-89.533831014525276</v>
      </c>
      <c r="CL48" s="41">
        <f>'[2]побудинковий звіт'!CL48+'[1]побудинковий звіт'!CL48</f>
        <v>0</v>
      </c>
      <c r="CM48" s="41">
        <f>'[2]побудинковий звіт'!CM48+'[1]побудинковий звіт'!CM48</f>
        <v>0</v>
      </c>
      <c r="CN48" s="55">
        <f t="shared" si="36"/>
        <v>0</v>
      </c>
      <c r="CO48" s="41">
        <f t="shared" si="37"/>
        <v>11132.989674642035</v>
      </c>
      <c r="CP48" s="42">
        <f t="shared" si="38"/>
        <v>11043.455843627509</v>
      </c>
      <c r="CQ48" s="55">
        <f t="shared" si="39"/>
        <v>-89.533831014525276</v>
      </c>
      <c r="CR48" s="76">
        <f t="shared" si="40"/>
        <v>306210.74197898898</v>
      </c>
      <c r="CS48" s="5">
        <f t="shared" si="41"/>
        <v>297678.38656009012</v>
      </c>
      <c r="CT48" s="55">
        <f t="shared" si="42"/>
        <v>-8532.3554188988637</v>
      </c>
      <c r="CU48" s="84">
        <f t="shared" si="43"/>
        <v>367452.89037478674</v>
      </c>
      <c r="CV48" s="68">
        <f t="shared" si="44"/>
        <v>357214.06387210812</v>
      </c>
      <c r="CW48" s="36">
        <f t="shared" si="45"/>
        <v>-10238.826502678625</v>
      </c>
      <c r="CX48" s="41">
        <f>'[2]побудинковий звіт'!CX48+'[1]побудинковий звіт'!CX48</f>
        <v>17008.142412141482</v>
      </c>
      <c r="CY48" s="41">
        <f>'[2]побудинковий звіт'!CY48+'[1]побудинковий звіт'!CY48</f>
        <v>27246.968914820001</v>
      </c>
      <c r="CZ48" s="55">
        <f t="shared" si="46"/>
        <v>10238.826502678519</v>
      </c>
      <c r="DA48" s="254">
        <f>'[1]побудинковий звіт'!DA48</f>
        <v>76395.255691130078</v>
      </c>
      <c r="DB48" s="2">
        <v>1</v>
      </c>
      <c r="DC48" s="702">
        <f>'[1]побудинковий звіт'!DC48</f>
        <v>92790.98</v>
      </c>
      <c r="DD48" s="702">
        <f>'[1]побудинковий звіт'!DD48</f>
        <v>0</v>
      </c>
      <c r="DE48" s="702">
        <f>'[1]побудинковий звіт'!DE48</f>
        <v>50771.95</v>
      </c>
      <c r="DF48" s="702">
        <f>'[1]побудинковий звіт'!DF48</f>
        <v>-363.42</v>
      </c>
      <c r="DG48" s="772">
        <v>97462.371303336229</v>
      </c>
      <c r="DH48" s="746">
        <f t="shared" si="47"/>
        <v>4613532.3934431393</v>
      </c>
      <c r="DI48" s="769"/>
      <c r="DJ48" s="5"/>
      <c r="DK48" s="307">
        <f>VLOOKUP($A48,ціни!$A$4:$G$401,5)</f>
        <v>6.1564262684822832</v>
      </c>
      <c r="DL48" s="307"/>
      <c r="DM48" s="307">
        <f>VLOOKUP($A48,ціни!$A$4:$G$401,7)</f>
        <v>5.5962141110437216</v>
      </c>
      <c r="DN48" s="29">
        <f t="shared" si="60"/>
        <v>29837.735552826238</v>
      </c>
      <c r="DO48" s="29">
        <f t="shared" si="61"/>
        <v>255.74698487469809</v>
      </c>
      <c r="DP48" s="306">
        <f t="shared" si="48"/>
        <v>30093.482537700937</v>
      </c>
      <c r="DQ48" s="101"/>
      <c r="DR48" s="29">
        <f>VLOOKUP(A48,'ДЗ нас '!$A$1:$C$359,2)</f>
        <v>29833.32</v>
      </c>
      <c r="DS48" s="733">
        <f>VLOOKUP(A48,'ДЗ нежит'!$A$1:$D$153,4,0)</f>
        <v>255.74</v>
      </c>
      <c r="DT48" s="29">
        <f t="shared" si="49"/>
        <v>30089.06</v>
      </c>
      <c r="DU48" s="247">
        <f>VLOOKUP(A48,'новий кошторис с 01.06'!$A$4:$AI$399,35)*1.2</f>
        <v>30342.725739213027</v>
      </c>
      <c r="DV48" s="29">
        <f t="shared" si="50"/>
        <v>-253.66573921302552</v>
      </c>
      <c r="DW48" s="1016">
        <f>'[2]побудинковий звіт'!$DW$9+'[1]побудинковий звіт'!DW48</f>
        <v>1242</v>
      </c>
      <c r="DX48" s="101">
        <f>'[1]побудинковий звіт'!DX48</f>
        <v>0</v>
      </c>
      <c r="DY48" s="5">
        <f t="shared" si="51"/>
        <v>72527.289744673617</v>
      </c>
      <c r="DZ48" s="5">
        <f t="shared" si="52"/>
        <v>25321.102483177743</v>
      </c>
      <c r="EA48" s="737">
        <f t="shared" si="53"/>
        <v>50408.53</v>
      </c>
      <c r="EC48" s="577">
        <f t="shared" si="54"/>
        <v>555564.34633061267</v>
      </c>
      <c r="EE48" s="743">
        <v>-45308</v>
      </c>
      <c r="EF48" s="723">
        <f t="shared" si="55"/>
        <v>52154.371303336229</v>
      </c>
      <c r="EH48" s="798">
        <v>130563.10472088867</v>
      </c>
      <c r="EI48" s="101">
        <f>VLOOKUP(A48,'кошти 01.01.24'!$A$9:$D$352,4,FALSE)</f>
        <v>86634.082193808659</v>
      </c>
    </row>
    <row r="49" spans="1:139" hidden="1" x14ac:dyDescent="0.3">
      <c r="A49" s="318">
        <v>150000969</v>
      </c>
      <c r="B49" s="43" t="s">
        <v>467</v>
      </c>
      <c r="C49" s="44" t="s">
        <v>192</v>
      </c>
      <c r="D49" s="44" t="s">
        <v>192</v>
      </c>
      <c r="E49" s="39">
        <f t="shared" si="4"/>
        <v>756</v>
      </c>
      <c r="F49" s="205">
        <f>'[1]побудинковий звіт'!F49</f>
        <v>564.6</v>
      </c>
      <c r="G49" s="29">
        <f>'[1]побудинковий звіт'!G49</f>
        <v>0</v>
      </c>
      <c r="H49" s="148">
        <f>'[1]побудинковий звіт'!H49</f>
        <v>191.4</v>
      </c>
      <c r="I49" s="41">
        <f>'[2]побудинковий звіт'!I49+'[1]побудинковий звіт'!I49</f>
        <v>3821.7950723805161</v>
      </c>
      <c r="J49" s="41">
        <f>'[2]побудинковий звіт'!J49+'[1]побудинковий звіт'!J49</f>
        <v>3907.9436717539165</v>
      </c>
      <c r="K49" s="55">
        <f t="shared" si="5"/>
        <v>86.14859937340043</v>
      </c>
      <c r="L49" s="41">
        <f>'[2]побудинковий звіт'!L49+'[1]побудинковий звіт'!L49</f>
        <v>800.58981471933407</v>
      </c>
      <c r="M49" s="41">
        <f>'[2]побудинковий звіт'!M49+'[1]побудинковий звіт'!M49</f>
        <v>839.30897092722796</v>
      </c>
      <c r="N49" s="55">
        <f t="shared" si="6"/>
        <v>38.719156207893889</v>
      </c>
      <c r="O49" s="41">
        <f>'[2]побудинковий звіт'!O49+'[1]побудинковий звіт'!O49</f>
        <v>1084.6938957904151</v>
      </c>
      <c r="P49" s="41">
        <f>'[2]побудинковий звіт'!P49+'[1]побудинковий звіт'!P49</f>
        <v>1087.7542762706125</v>
      </c>
      <c r="Q49" s="55">
        <f t="shared" si="7"/>
        <v>3.0603804801974093</v>
      </c>
      <c r="R49" s="41">
        <f>'[2]побудинковий звіт'!R49+'[1]побудинковий звіт'!R49</f>
        <v>0</v>
      </c>
      <c r="S49" s="41">
        <f>'[2]побудинковий звіт'!S49+'[1]побудинковий звіт'!S49</f>
        <v>0</v>
      </c>
      <c r="T49" s="55">
        <f t="shared" si="8"/>
        <v>0</v>
      </c>
      <c r="U49" s="41">
        <f>'[2]побудинковий звіт'!U49+'[1]побудинковий звіт'!U49</f>
        <v>84.195884513437704</v>
      </c>
      <c r="V49" s="41">
        <f>'[2]побудинковий звіт'!V49+'[1]побудинковий звіт'!V49</f>
        <v>48.575065888797084</v>
      </c>
      <c r="W49" s="55">
        <f t="shared" si="9"/>
        <v>-35.62081862464062</v>
      </c>
      <c r="X49" s="41">
        <f>'[2]побудинковий звіт'!X49+'[1]побудинковий звіт'!X49</f>
        <v>2379.4698492760331</v>
      </c>
      <c r="Y49" s="41">
        <f>'[2]побудинковий звіт'!Y49+'[1]побудинковий звіт'!Y49</f>
        <v>2055.4950563452394</v>
      </c>
      <c r="Z49" s="55">
        <f t="shared" si="10"/>
        <v>-323.97479293079368</v>
      </c>
      <c r="AA49" s="41">
        <f>'[2]побудинковий звіт'!AA49+'[1]побудинковий звіт'!AA49</f>
        <v>0</v>
      </c>
      <c r="AB49" s="41">
        <f>'[2]побудинковий звіт'!AB49+'[1]побудинковий звіт'!AB49</f>
        <v>0</v>
      </c>
      <c r="AC49" s="55">
        <f t="shared" si="11"/>
        <v>0</v>
      </c>
      <c r="AD49" s="41">
        <f>'[2]побудинковий звіт'!AD49+'[1]побудинковий звіт'!AD49</f>
        <v>3267.6664967852284</v>
      </c>
      <c r="AE49" s="41">
        <f>'[2]побудинковий звіт'!AE49+'[1]побудинковий звіт'!AE49</f>
        <v>3601.4169546318681</v>
      </c>
      <c r="AF49" s="36">
        <f t="shared" si="12"/>
        <v>333.75045784663962</v>
      </c>
      <c r="AG49" s="84">
        <f t="shared" si="13"/>
        <v>11438.411013464964</v>
      </c>
      <c r="AH49" s="56">
        <f t="shared" si="14"/>
        <v>11540.493995817662</v>
      </c>
      <c r="AI49" s="55">
        <f t="shared" si="15"/>
        <v>102.08298235269831</v>
      </c>
      <c r="AJ49" s="41">
        <f>'[2]побудинковий звіт'!AJ49+'[1]побудинковий звіт'!AJ49</f>
        <v>0</v>
      </c>
      <c r="AK49" s="41">
        <f>'[2]побудинковий звіт'!AK49+'[1]побудинковий звіт'!AK49</f>
        <v>0</v>
      </c>
      <c r="AL49" s="55">
        <f t="shared" si="16"/>
        <v>0</v>
      </c>
      <c r="AM49" s="41">
        <f>'[2]побудинковий звіт'!AM49+'[1]побудинковий звіт'!AM49</f>
        <v>0</v>
      </c>
      <c r="AN49" s="41">
        <f>'[2]побудинковий звіт'!AN49+'[1]побудинковий звіт'!AN49</f>
        <v>0</v>
      </c>
      <c r="AO49" s="55">
        <f t="shared" si="17"/>
        <v>0</v>
      </c>
      <c r="AP49" s="41">
        <f>'[2]побудинковий звіт'!AP49+'[1]побудинковий звіт'!AP49</f>
        <v>3120.3835201513925</v>
      </c>
      <c r="AQ49" s="41">
        <f>'[2]побудинковий звіт'!AQ49+'[1]побудинковий звіт'!AQ49</f>
        <v>2871.5941959136899</v>
      </c>
      <c r="AR49" s="55">
        <f t="shared" si="18"/>
        <v>-248.78932423770266</v>
      </c>
      <c r="AS49" s="41">
        <f>'[2]побудинковий звіт'!AS49+'[1]побудинковий звіт'!AS49</f>
        <v>10185.32355847114</v>
      </c>
      <c r="AT49" s="41">
        <f>'[2]побудинковий звіт'!AT49+'[1]побудинковий звіт'!AT49</f>
        <v>0</v>
      </c>
      <c r="AU49" s="57">
        <f t="shared" si="19"/>
        <v>-10185.32355847114</v>
      </c>
      <c r="AV49" s="41">
        <f>'[2]побудинковий звіт'!AV49+'[1]побудинковий звіт'!AV49</f>
        <v>621.70939956349139</v>
      </c>
      <c r="AW49" s="41">
        <f>'[2]побудинковий звіт'!AW49+'[1]побудинковий звіт'!AW49</f>
        <v>372.72529226087789</v>
      </c>
      <c r="AX49" s="58">
        <f t="shared" si="20"/>
        <v>-248.98410730261349</v>
      </c>
      <c r="AY49" s="41">
        <f>'[2]побудинковий звіт'!AY49+'[1]побудинковий звіт'!AY49</f>
        <v>956.48853037059496</v>
      </c>
      <c r="AZ49" s="41">
        <f>'[2]побудинковий звіт'!AZ49+'[1]побудинковий звіт'!AZ49</f>
        <v>0</v>
      </c>
      <c r="BA49" s="36">
        <f t="shared" si="21"/>
        <v>-956.48853037059496</v>
      </c>
      <c r="BB49" s="41">
        <f>'[2]побудинковий звіт'!BB49+'[1]побудинковий звіт'!BB49</f>
        <v>438.98535345579432</v>
      </c>
      <c r="BC49" s="41">
        <f>'[2]побудинковий звіт'!BC49+'[1]побудинковий звіт'!BC49</f>
        <v>660.51051783229582</v>
      </c>
      <c r="BD49" s="58">
        <f t="shared" si="22"/>
        <v>221.52516437650149</v>
      </c>
      <c r="BE49" s="41">
        <f>'[2]побудинковий звіт'!BE49+'[1]побудинковий звіт'!BE49</f>
        <v>0</v>
      </c>
      <c r="BF49" s="41">
        <f>'[2]побудинковий звіт'!BF49+'[1]побудинковий звіт'!BF49</f>
        <v>0</v>
      </c>
      <c r="BG49" s="38">
        <f t="shared" si="23"/>
        <v>0</v>
      </c>
      <c r="BH49" s="41">
        <f>'[2]побудинковий звіт'!BH49+'[1]побудинковий звіт'!BH49</f>
        <v>49.622889587144876</v>
      </c>
      <c r="BI49" s="41">
        <f>'[2]побудинковий звіт'!BI49+'[1]побудинковий звіт'!BI49</f>
        <v>0</v>
      </c>
      <c r="BJ49" s="58">
        <f t="shared" si="24"/>
        <v>-49.622889587144876</v>
      </c>
      <c r="BK49" s="41">
        <f>'[2]побудинковий звіт'!BK49+'[1]побудинковий звіт'!BK49</f>
        <v>327.66727313978612</v>
      </c>
      <c r="BL49" s="41">
        <f>'[2]побудинковий звіт'!BL49+'[1]побудинковий звіт'!BL49</f>
        <v>0</v>
      </c>
      <c r="BM49" s="38">
        <f t="shared" si="25"/>
        <v>-327.66727313978612</v>
      </c>
      <c r="BN49" s="41">
        <f>'[2]побудинковий звіт'!BN49+'[1]побудинковий звіт'!BN49</f>
        <v>53.989264928896702</v>
      </c>
      <c r="BO49" s="41">
        <f>'[2]побудинковий звіт'!BO49+'[1]побудинковий звіт'!BO49</f>
        <v>0</v>
      </c>
      <c r="BP49" s="58">
        <f t="shared" si="26"/>
        <v>-53.989264928896702</v>
      </c>
      <c r="BQ49" s="84">
        <f t="shared" si="27"/>
        <v>2448.4627110457086</v>
      </c>
      <c r="BR49" s="42">
        <f t="shared" si="28"/>
        <v>1033.2358100931738</v>
      </c>
      <c r="BS49" s="58">
        <f t="shared" si="29"/>
        <v>-1415.2269009525348</v>
      </c>
      <c r="BT49" s="41">
        <f>'[2]побудинковий звіт'!BT49+'[1]побудинковий звіт'!BT49</f>
        <v>9271.9272223944226</v>
      </c>
      <c r="BU49" s="41">
        <f>'[2]побудинковий звіт'!BU49+'[1]побудинковий звіт'!BU49</f>
        <v>17564.954830221526</v>
      </c>
      <c r="BV49" s="55">
        <f t="shared" si="30"/>
        <v>8293.0276078271036</v>
      </c>
      <c r="BW49" s="41">
        <f>'[2]побудинковий звіт'!BW49+'[1]побудинковий звіт'!BW49</f>
        <v>5803.7063893060549</v>
      </c>
      <c r="BX49" s="41">
        <f>'[2]побудинковий звіт'!BX49+'[1]побудинковий звіт'!BX49</f>
        <v>6969.6705546106286</v>
      </c>
      <c r="BY49" s="55">
        <f t="shared" si="31"/>
        <v>1165.9641653045737</v>
      </c>
      <c r="BZ49" s="41">
        <f>'[2]побудинковий звіт'!BZ49+'[1]побудинковий звіт'!BZ49</f>
        <v>3800.9357608083437</v>
      </c>
      <c r="CA49" s="41">
        <f>'[2]побудинковий звіт'!CA49+'[1]побудинковий звіт'!CA49</f>
        <v>1518.1896582733455</v>
      </c>
      <c r="CB49" s="55">
        <f t="shared" si="32"/>
        <v>-2282.7461025349985</v>
      </c>
      <c r="CC49" s="41">
        <f>'[2]побудинковий звіт'!CC49+'[1]побудинковий звіт'!CC49</f>
        <v>473.30223087372133</v>
      </c>
      <c r="CD49" s="41">
        <f>'[2]побудинковий звіт'!CD49+'[1]побудинковий звіт'!CD49</f>
        <v>474.90714594474639</v>
      </c>
      <c r="CE49" s="55">
        <f t="shared" si="33"/>
        <v>1.6049150710250615</v>
      </c>
      <c r="CF49" s="41">
        <f>'[2]побудинковий звіт'!CF49+'[1]побудинковий звіт'!CF49</f>
        <v>58.63963071624589</v>
      </c>
      <c r="CG49" s="41">
        <f>'[2]побудинковий звіт'!CG49+'[1]побудинковий звіт'!CG49</f>
        <v>0</v>
      </c>
      <c r="CH49" s="55">
        <f t="shared" si="34"/>
        <v>-58.63963071624589</v>
      </c>
      <c r="CI49" s="41">
        <f>'[2]побудинковий звіт'!CI49+'[1]побудинковий звіт'!CI49</f>
        <v>1782.8801880333576</v>
      </c>
      <c r="CJ49" s="41">
        <f>'[2]побудинковий звіт'!CJ49+'[1]побудинковий звіт'!CJ49</f>
        <v>1431.6103114347129</v>
      </c>
      <c r="CK49" s="55">
        <f t="shared" si="35"/>
        <v>-351.26987659864471</v>
      </c>
      <c r="CL49" s="41">
        <f>'[2]побудинковий звіт'!CL49+'[1]побудинковий звіт'!CL49</f>
        <v>0</v>
      </c>
      <c r="CM49" s="41">
        <f>'[2]побудинковий звіт'!CM49+'[1]побудинковий звіт'!CM49</f>
        <v>0</v>
      </c>
      <c r="CN49" s="55">
        <f t="shared" si="36"/>
        <v>0</v>
      </c>
      <c r="CO49" s="41">
        <f t="shared" si="37"/>
        <v>1782.8801880333576</v>
      </c>
      <c r="CP49" s="42">
        <f t="shared" si="38"/>
        <v>1431.6103114347129</v>
      </c>
      <c r="CQ49" s="55">
        <f t="shared" si="39"/>
        <v>-351.26987659864471</v>
      </c>
      <c r="CR49" s="76">
        <f t="shared" si="40"/>
        <v>48383.972225265345</v>
      </c>
      <c r="CS49" s="5">
        <f t="shared" si="41"/>
        <v>43404.656502309488</v>
      </c>
      <c r="CT49" s="55">
        <f t="shared" si="42"/>
        <v>-4979.3157229558565</v>
      </c>
      <c r="CU49" s="84">
        <f t="shared" si="43"/>
        <v>58060.766670318415</v>
      </c>
      <c r="CV49" s="68">
        <f t="shared" si="44"/>
        <v>52085.587802771384</v>
      </c>
      <c r="CW49" s="36">
        <f t="shared" si="45"/>
        <v>-5975.1788675470307</v>
      </c>
      <c r="CX49" s="41">
        <f>'[2]побудинковий звіт'!CX49+'[1]побудинковий звіт'!CX49</f>
        <v>-239.6391498906998</v>
      </c>
      <c r="CY49" s="41">
        <f>'[2]побудинковий звіт'!CY49+'[1]побудинковий звіт'!CY49</f>
        <v>5735.5397176563456</v>
      </c>
      <c r="CZ49" s="55">
        <f t="shared" si="46"/>
        <v>5975.1788675470452</v>
      </c>
      <c r="DA49" s="254">
        <f>'[1]побудинковий звіт'!DA49</f>
        <v>814.03907274215453</v>
      </c>
      <c r="DB49" s="2">
        <v>2</v>
      </c>
      <c r="DC49" s="702">
        <f>'[1]побудинковий звіт'!DC49</f>
        <v>6092.8</v>
      </c>
      <c r="DD49" s="702">
        <f>'[1]побудинковий звіт'!DD49</f>
        <v>1719.75</v>
      </c>
      <c r="DE49" s="702">
        <f>'[1]побудинковий звіт'!DE49</f>
        <v>1164.4800000000005</v>
      </c>
      <c r="DF49" s="702">
        <f>'[1]побудинковий звіт'!DF49</f>
        <v>303.44000000000005</v>
      </c>
      <c r="DG49" s="772">
        <v>3712.9503804038395</v>
      </c>
      <c r="DH49" s="746">
        <f t="shared" si="47"/>
        <v>693853.53024513251</v>
      </c>
      <c r="DI49" s="769"/>
      <c r="DJ49" s="5"/>
      <c r="DK49" s="307">
        <f>VLOOKUP($A49,ціни!$A$4:$G$401,5)</f>
        <v>6.2252083390203738</v>
      </c>
      <c r="DL49" s="307"/>
      <c r="DM49" s="307">
        <f>VLOOKUP($A49,ціни!$A$4:$G$401,7)</f>
        <v>5.3892276703556599</v>
      </c>
      <c r="DN49" s="29">
        <f t="shared" si="60"/>
        <v>3514.7526282109034</v>
      </c>
      <c r="DO49" s="29">
        <f t="shared" si="61"/>
        <v>1031.4981761060733</v>
      </c>
      <c r="DP49" s="306">
        <f t="shared" si="48"/>
        <v>4546.2508043169764</v>
      </c>
      <c r="DQ49" s="101"/>
      <c r="DR49" s="29">
        <f>VLOOKUP(A49,'ДЗ нас '!$A$1:$C$359,2)</f>
        <v>3514.74</v>
      </c>
      <c r="DS49" s="733">
        <f>VLOOKUP(A49,'ДЗ нежит'!$A$1:$D$153,4,0)</f>
        <v>1019.64</v>
      </c>
      <c r="DT49" s="29">
        <f t="shared" si="49"/>
        <v>4534.38</v>
      </c>
      <c r="DU49" s="247">
        <f>VLOOKUP(A49,'новий кошторис с 01.06'!$A$4:$AI$399,35)*1.2</f>
        <v>4614.7963680722887</v>
      </c>
      <c r="DV49" s="29">
        <f t="shared" si="50"/>
        <v>-80.416368072288606</v>
      </c>
      <c r="DW49" s="1016">
        <f>'[2]побудинковий звіт'!$DW$9+'[1]побудинковий звіт'!DW49</f>
        <v>918</v>
      </c>
      <c r="DX49" s="101">
        <f>'[1]побудинковий звіт'!DX49</f>
        <v>0</v>
      </c>
      <c r="DY49" s="5">
        <f t="shared" si="51"/>
        <v>15160.543523420216</v>
      </c>
      <c r="DZ49" s="5">
        <f t="shared" si="52"/>
        <v>1239.8829721118084</v>
      </c>
      <c r="EA49" s="737">
        <f t="shared" si="53"/>
        <v>1467.9200000000005</v>
      </c>
      <c r="EC49" s="577">
        <f t="shared" si="54"/>
        <v>122223.88270165368</v>
      </c>
      <c r="EE49" s="743">
        <v>6921</v>
      </c>
      <c r="EF49" s="723">
        <f t="shared" si="55"/>
        <v>10633.95038040384</v>
      </c>
      <c r="EH49" s="798">
        <v>-3338.8786893936558</v>
      </c>
      <c r="EI49" s="101">
        <f>VLOOKUP(A49,'кошти 01.01.24'!$A$9:$D$352,4,FALSE)</f>
        <v>6789.2179402891843</v>
      </c>
    </row>
    <row r="50" spans="1:139" hidden="1" x14ac:dyDescent="0.3">
      <c r="A50" s="318">
        <v>150000989</v>
      </c>
      <c r="B50" s="43" t="s">
        <v>468</v>
      </c>
      <c r="C50" s="44" t="s">
        <v>37</v>
      </c>
      <c r="D50" s="44" t="s">
        <v>37</v>
      </c>
      <c r="E50" s="39">
        <f t="shared" si="4"/>
        <v>256.90000000000003</v>
      </c>
      <c r="F50" s="205">
        <f>'[1]побудинковий звіт'!F50</f>
        <v>206.8</v>
      </c>
      <c r="G50" s="29">
        <f>'[1]побудинковий звіт'!G50</f>
        <v>0</v>
      </c>
      <c r="H50" s="148">
        <f>'[1]побудинковий звіт'!H50</f>
        <v>50.1</v>
      </c>
      <c r="I50" s="41">
        <f>'[2]побудинковий звіт'!I50+'[1]побудинковий звіт'!I50</f>
        <v>0</v>
      </c>
      <c r="J50" s="41">
        <f>'[2]побудинковий звіт'!J50+'[1]побудинковий звіт'!J50</f>
        <v>0</v>
      </c>
      <c r="K50" s="55">
        <f t="shared" si="5"/>
        <v>0</v>
      </c>
      <c r="L50" s="41">
        <f>'[2]побудинковий звіт'!L50+'[1]побудинковий звіт'!L50</f>
        <v>0</v>
      </c>
      <c r="M50" s="41">
        <f>'[2]побудинковий звіт'!M50+'[1]побудинковий звіт'!M50</f>
        <v>0</v>
      </c>
      <c r="N50" s="55">
        <f t="shared" si="6"/>
        <v>0</v>
      </c>
      <c r="O50" s="41">
        <f>'[2]побудинковий звіт'!O50+'[1]побудинковий звіт'!O50</f>
        <v>0</v>
      </c>
      <c r="P50" s="41">
        <f>'[2]побудинковий звіт'!P50+'[1]побудинковий звіт'!P50</f>
        <v>0</v>
      </c>
      <c r="Q50" s="55">
        <f t="shared" si="7"/>
        <v>0</v>
      </c>
      <c r="R50" s="41">
        <f>'[2]побудинковий звіт'!R50+'[1]побудинковий звіт'!R50</f>
        <v>0</v>
      </c>
      <c r="S50" s="41">
        <f>'[2]побудинковий звіт'!S50+'[1]побудинковий звіт'!S50</f>
        <v>0</v>
      </c>
      <c r="T50" s="55">
        <f t="shared" si="8"/>
        <v>0</v>
      </c>
      <c r="U50" s="41">
        <f>'[2]побудинковий звіт'!U50+'[1]побудинковий звіт'!U50</f>
        <v>0</v>
      </c>
      <c r="V50" s="41">
        <f>'[2]побудинковий звіт'!V50+'[1]побудинковий звіт'!V50</f>
        <v>0</v>
      </c>
      <c r="W50" s="55">
        <f t="shared" si="9"/>
        <v>0</v>
      </c>
      <c r="X50" s="41">
        <f>'[2]побудинковий звіт'!X50+'[1]побудинковий звіт'!X50</f>
        <v>0</v>
      </c>
      <c r="Y50" s="41">
        <f>'[2]побудинковий звіт'!Y50+'[1]побудинковий звіт'!Y50</f>
        <v>0</v>
      </c>
      <c r="Z50" s="55">
        <f t="shared" si="10"/>
        <v>0</v>
      </c>
      <c r="AA50" s="41">
        <f>'[2]побудинковий звіт'!AA50+'[1]побудинковий звіт'!AA50</f>
        <v>0</v>
      </c>
      <c r="AB50" s="41">
        <f>'[2]побудинковий звіт'!AB50+'[1]побудинковий звіт'!AB50</f>
        <v>0</v>
      </c>
      <c r="AC50" s="55">
        <f t="shared" si="11"/>
        <v>0</v>
      </c>
      <c r="AD50" s="41">
        <f>'[2]побудинковий звіт'!AD50+'[1]побудинковий звіт'!AD50</f>
        <v>0</v>
      </c>
      <c r="AE50" s="41">
        <f>'[2]побудинковий звіт'!AE50+'[1]побудинковий звіт'!AE50</f>
        <v>0</v>
      </c>
      <c r="AF50" s="36">
        <f t="shared" si="12"/>
        <v>0</v>
      </c>
      <c r="AG50" s="84">
        <f t="shared" si="13"/>
        <v>0</v>
      </c>
      <c r="AH50" s="56">
        <f t="shared" si="14"/>
        <v>0</v>
      </c>
      <c r="AI50" s="55">
        <f t="shared" si="15"/>
        <v>0</v>
      </c>
      <c r="AJ50" s="41">
        <f>'[2]побудинковий звіт'!AJ50+'[1]побудинковий звіт'!AJ50</f>
        <v>0</v>
      </c>
      <c r="AK50" s="41">
        <f>'[2]побудинковий звіт'!AK50+'[1]побудинковий звіт'!AK50</f>
        <v>0</v>
      </c>
      <c r="AL50" s="55">
        <f t="shared" si="16"/>
        <v>0</v>
      </c>
      <c r="AM50" s="41">
        <f>'[2]побудинковий звіт'!AM50+'[1]побудинковий звіт'!AM50</f>
        <v>0</v>
      </c>
      <c r="AN50" s="41">
        <f>'[2]побудинковий звіт'!AN50+'[1]побудинковий звіт'!AN50</f>
        <v>0</v>
      </c>
      <c r="AO50" s="55">
        <f t="shared" si="17"/>
        <v>0</v>
      </c>
      <c r="AP50" s="41">
        <f>'[2]побудинковий звіт'!AP50+'[1]побудинковий звіт'!AP50</f>
        <v>446.91778141850642</v>
      </c>
      <c r="AQ50" s="41">
        <f>'[2]побудинковий звіт'!AQ50+'[1]побудинковий звіт'!AQ50</f>
        <v>48.792626315582865</v>
      </c>
      <c r="AR50" s="55">
        <f t="shared" si="18"/>
        <v>-398.12515510292354</v>
      </c>
      <c r="AS50" s="41">
        <f>'[2]побудинковий звіт'!AS50+'[1]побудинковий звіт'!AS50</f>
        <v>2978.8757269890639</v>
      </c>
      <c r="AT50" s="41">
        <f>'[2]побудинковий звіт'!AT50+'[1]побудинковий звіт'!AT50</f>
        <v>6753.653135392804</v>
      </c>
      <c r="AU50" s="57">
        <f t="shared" si="19"/>
        <v>3774.7774084037401</v>
      </c>
      <c r="AV50" s="41">
        <f>'[2]побудинковий звіт'!AV50+'[1]побудинковий звіт'!AV50</f>
        <v>0</v>
      </c>
      <c r="AW50" s="41">
        <f>'[2]побудинковий звіт'!AW50+'[1]побудинковий звіт'!AW50</f>
        <v>0</v>
      </c>
      <c r="AX50" s="58">
        <f t="shared" si="20"/>
        <v>0</v>
      </c>
      <c r="AY50" s="41">
        <f>'[2]побудинковий звіт'!AY50+'[1]побудинковий звіт'!AY50</f>
        <v>0</v>
      </c>
      <c r="AZ50" s="41">
        <f>'[2]побудинковий звіт'!AZ50+'[1]побудинковий звіт'!AZ50</f>
        <v>0</v>
      </c>
      <c r="BA50" s="36">
        <f t="shared" si="21"/>
        <v>0</v>
      </c>
      <c r="BB50" s="41">
        <f>'[2]побудинковий звіт'!BB50+'[1]побудинковий звіт'!BB50</f>
        <v>0</v>
      </c>
      <c r="BC50" s="41">
        <f>'[2]побудинковий звіт'!BC50+'[1]побудинковий звіт'!BC50</f>
        <v>0</v>
      </c>
      <c r="BD50" s="58">
        <f t="shared" si="22"/>
        <v>0</v>
      </c>
      <c r="BE50" s="41">
        <f>'[2]побудинковий звіт'!BE50+'[1]побудинковий звіт'!BE50</f>
        <v>0</v>
      </c>
      <c r="BF50" s="41">
        <f>'[2]побудинковий звіт'!BF50+'[1]побудинковий звіт'!BF50</f>
        <v>0</v>
      </c>
      <c r="BG50" s="38">
        <f t="shared" si="23"/>
        <v>0</v>
      </c>
      <c r="BH50" s="41">
        <f>'[2]побудинковий звіт'!BH50+'[1]побудинковий звіт'!BH50</f>
        <v>0</v>
      </c>
      <c r="BI50" s="41">
        <f>'[2]побудинковий звіт'!BI50+'[1]побудинковий звіт'!BI50</f>
        <v>0</v>
      </c>
      <c r="BJ50" s="58">
        <f t="shared" si="24"/>
        <v>0</v>
      </c>
      <c r="BK50" s="41">
        <f>'[2]побудинковий звіт'!BK50+'[1]побудинковий звіт'!BK50</f>
        <v>0</v>
      </c>
      <c r="BL50" s="41">
        <f>'[2]побудинковий звіт'!BL50+'[1]побудинковий звіт'!BL50</f>
        <v>0</v>
      </c>
      <c r="BM50" s="38">
        <f t="shared" si="25"/>
        <v>0</v>
      </c>
      <c r="BN50" s="41">
        <f>'[2]побудинковий звіт'!BN50+'[1]побудинковий звіт'!BN50</f>
        <v>0</v>
      </c>
      <c r="BO50" s="41">
        <f>'[2]побудинковий звіт'!BO50+'[1]побудинковий звіт'!BO50</f>
        <v>0</v>
      </c>
      <c r="BP50" s="58">
        <f t="shared" si="26"/>
        <v>0</v>
      </c>
      <c r="BQ50" s="84">
        <f t="shared" si="27"/>
        <v>0</v>
      </c>
      <c r="BR50" s="42">
        <f t="shared" si="28"/>
        <v>0</v>
      </c>
      <c r="BS50" s="58">
        <f t="shared" si="29"/>
        <v>0</v>
      </c>
      <c r="BT50" s="41">
        <f>'[2]побудинковий звіт'!BT50+'[1]побудинковий звіт'!BT50</f>
        <v>97.154666394583558</v>
      </c>
      <c r="BU50" s="41">
        <f>'[2]побудинковий звіт'!BU50+'[1]побудинковий звіт'!BU50</f>
        <v>393.98404702283534</v>
      </c>
      <c r="BV50" s="55">
        <f t="shared" si="30"/>
        <v>296.82938062825178</v>
      </c>
      <c r="BW50" s="41">
        <f>'[2]побудинковий звіт'!BW50+'[1]побудинковий звіт'!BW50</f>
        <v>0</v>
      </c>
      <c r="BX50" s="41">
        <f>'[2]побудинковий звіт'!BX50+'[1]побудинковий звіт'!BX50</f>
        <v>1.0456580634020911</v>
      </c>
      <c r="BY50" s="55">
        <f t="shared" si="31"/>
        <v>1.0456580634020911</v>
      </c>
      <c r="BZ50" s="41">
        <f>'[2]побудинковий звіт'!BZ50+'[1]побудинковий звіт'!BZ50</f>
        <v>19.098514828845211</v>
      </c>
      <c r="CA50" s="41">
        <f>'[2]побудинковий звіт'!CA50+'[1]побудинковий звіт'!CA50</f>
        <v>35.299562127738398</v>
      </c>
      <c r="CB50" s="55">
        <f t="shared" si="32"/>
        <v>16.201047298893187</v>
      </c>
      <c r="CC50" s="41">
        <f>'[2]побудинковий звіт'!CC50+'[1]побудинковий звіт'!CC50</f>
        <v>0</v>
      </c>
      <c r="CD50" s="41">
        <f>'[2]побудинковий звіт'!CD50+'[1]побудинковий звіт'!CD50</f>
        <v>0</v>
      </c>
      <c r="CE50" s="55">
        <f t="shared" si="33"/>
        <v>0</v>
      </c>
      <c r="CF50" s="41">
        <f>'[2]побудинковий звіт'!CF50+'[1]побудинковий звіт'!CF50</f>
        <v>0</v>
      </c>
      <c r="CG50" s="41">
        <f>'[2]побудинковий звіт'!CG50+'[1]побудинковий звіт'!CG50</f>
        <v>0</v>
      </c>
      <c r="CH50" s="55">
        <f t="shared" si="34"/>
        <v>0</v>
      </c>
      <c r="CI50" s="41">
        <f>'[2]побудинковий звіт'!CI50+'[1]побудинковий звіт'!CI50</f>
        <v>0</v>
      </c>
      <c r="CJ50" s="41">
        <f>'[2]побудинковий звіт'!CJ50+'[1]побудинковий звіт'!CJ50</f>
        <v>0</v>
      </c>
      <c r="CK50" s="55">
        <f t="shared" si="35"/>
        <v>0</v>
      </c>
      <c r="CL50" s="41">
        <f>'[2]побудинковий звіт'!CL50+'[1]побудинковий звіт'!CL50</f>
        <v>0</v>
      </c>
      <c r="CM50" s="41">
        <f>'[2]побудинковий звіт'!CM50+'[1]побудинковий звіт'!CM50</f>
        <v>0</v>
      </c>
      <c r="CN50" s="55">
        <f t="shared" si="36"/>
        <v>0</v>
      </c>
      <c r="CO50" s="41">
        <f t="shared" si="37"/>
        <v>0</v>
      </c>
      <c r="CP50" s="42">
        <f t="shared" si="38"/>
        <v>0</v>
      </c>
      <c r="CQ50" s="55">
        <f t="shared" si="39"/>
        <v>0</v>
      </c>
      <c r="CR50" s="76">
        <f t="shared" si="40"/>
        <v>3542.046689630999</v>
      </c>
      <c r="CS50" s="5">
        <f t="shared" si="41"/>
        <v>7232.7750289223632</v>
      </c>
      <c r="CT50" s="55">
        <f t="shared" si="42"/>
        <v>3690.7283392913641</v>
      </c>
      <c r="CU50" s="84">
        <f t="shared" si="43"/>
        <v>4250.4560275571985</v>
      </c>
      <c r="CV50" s="68">
        <f t="shared" si="44"/>
        <v>8679.3300347068362</v>
      </c>
      <c r="CW50" s="36">
        <f t="shared" si="45"/>
        <v>4428.8740071496377</v>
      </c>
      <c r="CX50" s="41">
        <f>'[2]побудинковий звіт'!CX50+'[1]побудинковий звіт'!CX50</f>
        <v>127.83074371243649</v>
      </c>
      <c r="CY50" s="41">
        <f>'[2]побудинковий звіт'!CY50+'[1]побудинковий звіт'!CY50</f>
        <v>-4301.0432634371982</v>
      </c>
      <c r="CZ50" s="55">
        <f t="shared" si="46"/>
        <v>-4428.874007149635</v>
      </c>
      <c r="DA50" s="254">
        <f>'[1]побудинковий звіт'!DA50</f>
        <v>-640.80728191420712</v>
      </c>
      <c r="DB50" s="2">
        <v>3</v>
      </c>
      <c r="DC50" s="702">
        <f>'[1]побудинковий звіт'!DC50</f>
        <v>428.42</v>
      </c>
      <c r="DD50" s="702">
        <f>'[1]побудинковий звіт'!DD50</f>
        <v>0</v>
      </c>
      <c r="DE50" s="702">
        <f>'[1]побудинковий звіт'!DE50</f>
        <v>45.120000000000005</v>
      </c>
      <c r="DF50" s="702">
        <f>'[1]побудинковий звіт'!DF50</f>
        <v>-92.86</v>
      </c>
      <c r="DG50" s="772">
        <v>-1623.5876142254965</v>
      </c>
      <c r="DH50" s="746">
        <f t="shared" si="47"/>
        <v>52539.441255235623</v>
      </c>
      <c r="DI50" s="769"/>
      <c r="DJ50" s="5"/>
      <c r="DK50" s="307">
        <f>VLOOKUP($A50,ціни!$A$4:$G$401,5)</f>
        <v>1.3386677419003647</v>
      </c>
      <c r="DL50" s="307"/>
      <c r="DM50" s="307">
        <f>VLOOKUP($A50,ціни!$A$4:$G$401,7)</f>
        <v>1.3386677419003647</v>
      </c>
      <c r="DN50" s="29">
        <f t="shared" si="60"/>
        <v>276.83648902499544</v>
      </c>
      <c r="DO50" s="29">
        <f t="shared" si="61"/>
        <v>67.067253869208272</v>
      </c>
      <c r="DP50" s="306">
        <f t="shared" si="48"/>
        <v>343.90374289420373</v>
      </c>
      <c r="DQ50" s="101"/>
      <c r="DR50" s="29">
        <f>VLOOKUP(A50,'ДЗ нас '!$A$1:$C$359,2)</f>
        <v>276.85000000000002</v>
      </c>
      <c r="DS50" s="733">
        <f>VLOOKUP(A50,'ДЗ нежит'!$A$1:$D$153,4,0)</f>
        <v>67.069999999999993</v>
      </c>
      <c r="DT50" s="29">
        <f t="shared" si="49"/>
        <v>343.92</v>
      </c>
      <c r="DU50" s="247">
        <f>VLOOKUP(A50,'новий кошторис с 01.06'!$A$4:$AI$399,35)*1.2</f>
        <v>345.59477410611845</v>
      </c>
      <c r="DV50" s="29">
        <f t="shared" si="50"/>
        <v>-1.6747741061184342</v>
      </c>
      <c r="DW50" s="1016">
        <f>'[2]побудинковий звіт'!$DW$9+'[1]побудинковий звіт'!DW50</f>
        <v>0</v>
      </c>
      <c r="DX50" s="101">
        <f>'[1]побудинковий звіт'!DX50</f>
        <v>0</v>
      </c>
      <c r="DY50" s="5">
        <f t="shared" si="51"/>
        <v>3574.6508723868765</v>
      </c>
      <c r="DZ50" s="5">
        <f t="shared" si="52"/>
        <v>8104.3837624713642</v>
      </c>
      <c r="EA50" s="737">
        <f t="shared" si="53"/>
        <v>-47.739999999999995</v>
      </c>
      <c r="EC50" s="577">
        <f t="shared" si="54"/>
        <v>35746.50872386877</v>
      </c>
      <c r="EE50" s="743">
        <v>-651</v>
      </c>
      <c r="EF50" s="723">
        <f t="shared" si="55"/>
        <v>-2274.5876142254965</v>
      </c>
      <c r="EH50" s="798">
        <v>-3063.0814461793298</v>
      </c>
      <c r="EI50" s="101">
        <f>VLOOKUP(A50,'кошти 01.01.24'!$A$9:$D$352,4,FALSE)</f>
        <v>-5069.681289063843</v>
      </c>
    </row>
    <row r="51" spans="1:139" ht="14.4" hidden="1" customHeight="1" x14ac:dyDescent="0.3">
      <c r="A51" s="318">
        <v>150000970</v>
      </c>
      <c r="B51" s="43" t="s">
        <v>469</v>
      </c>
      <c r="C51" s="44" t="s">
        <v>242</v>
      </c>
      <c r="D51" s="44" t="s">
        <v>242</v>
      </c>
      <c r="E51" s="39">
        <f t="shared" si="4"/>
        <v>3068.2</v>
      </c>
      <c r="F51" s="205">
        <f>'[1]побудинковий звіт'!F51</f>
        <v>2587.4</v>
      </c>
      <c r="G51" s="29">
        <f>'[1]побудинковий звіт'!G51</f>
        <v>0</v>
      </c>
      <c r="H51" s="148">
        <f>'[1]побудинковий звіт'!H51</f>
        <v>480.79999999999995</v>
      </c>
      <c r="I51" s="41">
        <f>'[2]побудинковий звіт'!I51+'[1]побудинковий звіт'!I51</f>
        <v>8966.4775857604127</v>
      </c>
      <c r="J51" s="41">
        <f>'[2]побудинковий звіт'!J51+'[1]побудинковий звіт'!J51</f>
        <v>9256.0712786276017</v>
      </c>
      <c r="K51" s="55">
        <f t="shared" si="5"/>
        <v>289.59369286718902</v>
      </c>
      <c r="L51" s="41">
        <f>'[2]побудинковий звіт'!L51+'[1]побудинковий звіт'!L51</f>
        <v>1743.7906077232403</v>
      </c>
      <c r="M51" s="41">
        <f>'[2]побудинковий звіт'!M51+'[1]побудинковий звіт'!M51</f>
        <v>1829.2956055460297</v>
      </c>
      <c r="N51" s="55">
        <f t="shared" si="6"/>
        <v>85.504997822789392</v>
      </c>
      <c r="O51" s="41">
        <f>'[2]побудинковий звіт'!O51+'[1]побудинковий звіт'!O51</f>
        <v>3924.026267036309</v>
      </c>
      <c r="P51" s="41">
        <f>'[2]побудинковий звіт'!P51+'[1]побудинковий звіт'!P51</f>
        <v>3935.129053020677</v>
      </c>
      <c r="Q51" s="55">
        <f t="shared" si="7"/>
        <v>11.102785984367983</v>
      </c>
      <c r="R51" s="41">
        <f>'[2]побудинковий звіт'!R51+'[1]побудинковий звіт'!R51</f>
        <v>0</v>
      </c>
      <c r="S51" s="41">
        <f>'[2]побудинковий звіт'!S51+'[1]побудинковий звіт'!S51</f>
        <v>0</v>
      </c>
      <c r="T51" s="55">
        <f t="shared" si="8"/>
        <v>0</v>
      </c>
      <c r="U51" s="41">
        <f>'[2]побудинковий звіт'!U51+'[1]побудинковий звіт'!U51</f>
        <v>187.10196558541708</v>
      </c>
      <c r="V51" s="41">
        <f>'[2]побудинковий звіт'!V51+'[1]побудинковий звіт'!V51</f>
        <v>107.9445908639935</v>
      </c>
      <c r="W51" s="55">
        <f t="shared" si="9"/>
        <v>-79.157374721423579</v>
      </c>
      <c r="X51" s="41">
        <f>'[2]побудинковий звіт'!X51+'[1]побудинковий звіт'!X51</f>
        <v>5551.3028932095785</v>
      </c>
      <c r="Y51" s="41">
        <f>'[2]побудинковий звіт'!Y51+'[1]побудинковий звіт'!Y51</f>
        <v>5341.7799738043832</v>
      </c>
      <c r="Z51" s="55">
        <f t="shared" si="10"/>
        <v>-209.52291940519535</v>
      </c>
      <c r="AA51" s="41">
        <f>'[2]побудинковий звіт'!AA51+'[1]побудинковий звіт'!AA51</f>
        <v>0</v>
      </c>
      <c r="AB51" s="41">
        <f>'[2]побудинковий звіт'!AB51+'[1]побудинковий звіт'!AB51</f>
        <v>0</v>
      </c>
      <c r="AC51" s="55">
        <f t="shared" si="11"/>
        <v>0</v>
      </c>
      <c r="AD51" s="41">
        <f>'[2]побудинковий звіт'!AD51+'[1]побудинковий звіт'!AD51</f>
        <v>12873.722901802523</v>
      </c>
      <c r="AE51" s="41">
        <f>'[2]побудинковий звіт'!AE51+'[1]побудинковий звіт'!AE51</f>
        <v>13262.880113937528</v>
      </c>
      <c r="AF51" s="36">
        <f t="shared" si="12"/>
        <v>389.15721213500547</v>
      </c>
      <c r="AG51" s="84">
        <f t="shared" si="13"/>
        <v>33246.422221117486</v>
      </c>
      <c r="AH51" s="56">
        <f t="shared" si="14"/>
        <v>33733.100615800213</v>
      </c>
      <c r="AI51" s="55">
        <f t="shared" si="15"/>
        <v>486.67839468272723</v>
      </c>
      <c r="AJ51" s="41">
        <f>'[2]побудинковий звіт'!AJ51+'[1]побудинковий звіт'!AJ51</f>
        <v>0</v>
      </c>
      <c r="AK51" s="41">
        <f>'[2]побудинковий звіт'!AK51+'[1]побудинковий звіт'!AK51</f>
        <v>0</v>
      </c>
      <c r="AL51" s="55">
        <f t="shared" si="16"/>
        <v>0</v>
      </c>
      <c r="AM51" s="41">
        <f>'[2]побудинковий звіт'!AM51+'[1]побудинковий звіт'!AM51</f>
        <v>0</v>
      </c>
      <c r="AN51" s="41">
        <f>'[2]побудинковий звіт'!AN51+'[1]побудинковий звіт'!AN51</f>
        <v>0</v>
      </c>
      <c r="AO51" s="55">
        <f t="shared" si="17"/>
        <v>0</v>
      </c>
      <c r="AP51" s="41">
        <f>'[2]побудинковий звіт'!AP51+'[1]побудинковий звіт'!AP51</f>
        <v>8023.843337532152</v>
      </c>
      <c r="AQ51" s="41">
        <f>'[2]побудинковий звіт'!AQ51+'[1]побудинковий звіт'!AQ51</f>
        <v>7617.2881625980463</v>
      </c>
      <c r="AR51" s="55">
        <f t="shared" si="18"/>
        <v>-406.55517493410571</v>
      </c>
      <c r="AS51" s="41">
        <f>'[2]побудинковий звіт'!AS51+'[1]побудинковий звіт'!AS51</f>
        <v>32752.77152748331</v>
      </c>
      <c r="AT51" s="41">
        <f>'[2]побудинковий звіт'!AT51+'[1]побудинковий звіт'!AT51</f>
        <v>6092.1120329133755</v>
      </c>
      <c r="AU51" s="57">
        <f t="shared" si="19"/>
        <v>-26660.659494569933</v>
      </c>
      <c r="AV51" s="41">
        <f>'[2]побудинковий звіт'!AV51+'[1]побудинковий звіт'!AV51</f>
        <v>1460.6826858355566</v>
      </c>
      <c r="AW51" s="41">
        <f>'[2]побудинковий звіт'!AW51+'[1]побудинковий звіт'!AW51</f>
        <v>3357.4912038997713</v>
      </c>
      <c r="AX51" s="58">
        <f t="shared" si="20"/>
        <v>1896.8085180642147</v>
      </c>
      <c r="AY51" s="41">
        <f>'[2]побудинковий звіт'!AY51+'[1]побудинковий звіт'!AY51</f>
        <v>2207.0734999794458</v>
      </c>
      <c r="AZ51" s="41">
        <f>'[2]побудинковий звіт'!AZ51+'[1]побудинковий звіт'!AZ51</f>
        <v>1778.882322286561</v>
      </c>
      <c r="BA51" s="36">
        <f t="shared" si="21"/>
        <v>-428.19117769288482</v>
      </c>
      <c r="BB51" s="41">
        <f>'[2]побудинковий звіт'!BB51+'[1]побудинковий звіт'!BB51</f>
        <v>2032.1034016097319</v>
      </c>
      <c r="BC51" s="41">
        <f>'[2]побудинковий звіт'!BC51+'[1]побудинковий звіт'!BC51</f>
        <v>0</v>
      </c>
      <c r="BD51" s="58">
        <f t="shared" si="22"/>
        <v>-2032.1034016097319</v>
      </c>
      <c r="BE51" s="41">
        <f>'[2]побудинковий звіт'!BE51+'[1]побудинковий звіт'!BE51</f>
        <v>0</v>
      </c>
      <c r="BF51" s="41">
        <f>'[2]побудинковий звіт'!BF51+'[1]побудинковий звіт'!BF51</f>
        <v>0</v>
      </c>
      <c r="BG51" s="38">
        <f t="shared" si="23"/>
        <v>0</v>
      </c>
      <c r="BH51" s="41">
        <f>'[2]побудинковий звіт'!BH51+'[1]побудинковий звіт'!BH51</f>
        <v>110.27308797143304</v>
      </c>
      <c r="BI51" s="41">
        <f>'[2]побудинковий звіт'!BI51+'[1]побудинковий звіт'!BI51</f>
        <v>0</v>
      </c>
      <c r="BJ51" s="58">
        <f t="shared" si="24"/>
        <v>-110.27308797143304</v>
      </c>
      <c r="BK51" s="41">
        <f>'[2]побудинковий звіт'!BK51+'[1]побудинковий звіт'!BK51</f>
        <v>911.04962355520001</v>
      </c>
      <c r="BL51" s="41">
        <f>'[2]побудинковий звіт'!BL51+'[1]побудинковий звіт'!BL51</f>
        <v>1268.3668267310927</v>
      </c>
      <c r="BM51" s="38">
        <f t="shared" si="25"/>
        <v>357.3172031758927</v>
      </c>
      <c r="BN51" s="41">
        <f>'[2]побудинковий звіт'!BN51+'[1]побудинковий звіт'!BN51</f>
        <v>34.288359423174953</v>
      </c>
      <c r="BO51" s="41">
        <f>'[2]побудинковий звіт'!BO51+'[1]побудинковий звіт'!BO51</f>
        <v>0</v>
      </c>
      <c r="BP51" s="58">
        <f t="shared" si="26"/>
        <v>-34.288359423174953</v>
      </c>
      <c r="BQ51" s="84">
        <f t="shared" si="27"/>
        <v>6755.4706583745428</v>
      </c>
      <c r="BR51" s="42">
        <f t="shared" si="28"/>
        <v>6404.7403529174244</v>
      </c>
      <c r="BS51" s="58">
        <f t="shared" si="29"/>
        <v>-350.73030545711845</v>
      </c>
      <c r="BT51" s="41">
        <f>'[2]побудинковий звіт'!BT51+'[1]побудинковий звіт'!BT51</f>
        <v>28168.611798246831</v>
      </c>
      <c r="BU51" s="41">
        <f>'[2]побудинковий звіт'!BU51+'[1]побудинковий звіт'!BU51</f>
        <v>50335.260187711392</v>
      </c>
      <c r="BV51" s="55">
        <f t="shared" si="30"/>
        <v>22166.648389464561</v>
      </c>
      <c r="BW51" s="41">
        <f>'[2]побудинковий звіт'!BW51+'[1]побудинковий звіт'!BW51</f>
        <v>12401.380882911593</v>
      </c>
      <c r="BX51" s="41">
        <f>'[2]побудинковий звіт'!BX51+'[1]побудинковий звіт'!BX51</f>
        <v>15515.674211871636</v>
      </c>
      <c r="BY51" s="55">
        <f t="shared" si="31"/>
        <v>3114.2933289600423</v>
      </c>
      <c r="BZ51" s="41">
        <f>'[2]побудинковий звіт'!BZ51+'[1]побудинковий звіт'!BZ51</f>
        <v>12533.173962088506</v>
      </c>
      <c r="CA51" s="41">
        <f>'[2]побудинковий звіт'!CA51+'[1]побудинковий звіт'!CA51</f>
        <v>4459.4210902489795</v>
      </c>
      <c r="CB51" s="55">
        <f t="shared" si="32"/>
        <v>-8073.7528718395261</v>
      </c>
      <c r="CC51" s="41">
        <f>'[2]побудинковий звіт'!CC51+'[1]побудинковий звіт'!CC51</f>
        <v>1443.4191260258578</v>
      </c>
      <c r="CD51" s="41">
        <f>'[2]побудинковий звіт'!CD51+'[1]побудинковий звіт'!CD51</f>
        <v>1448.3135992779457</v>
      </c>
      <c r="CE51" s="55">
        <f t="shared" si="33"/>
        <v>4.8944732520878915</v>
      </c>
      <c r="CF51" s="41">
        <f>'[2]побудинковий звіт'!CF51+'[1]побудинковий звіт'!CF51</f>
        <v>178.83195767464147</v>
      </c>
      <c r="CG51" s="41">
        <f>'[2]побудинковий звіт'!CG51+'[1]побудинковий звіт'!CG51</f>
        <v>0</v>
      </c>
      <c r="CH51" s="55">
        <f t="shared" si="34"/>
        <v>-178.83195767464147</v>
      </c>
      <c r="CI51" s="41">
        <f>'[2]побудинковий звіт'!CI51+'[1]побудинковий звіт'!CI51</f>
        <v>5964.6592113973211</v>
      </c>
      <c r="CJ51" s="41">
        <f>'[2]побудинковий звіт'!CJ51+'[1]побудинковий звіт'!CJ51</f>
        <v>14211.217662385625</v>
      </c>
      <c r="CK51" s="55">
        <f t="shared" si="35"/>
        <v>8246.5584509883047</v>
      </c>
      <c r="CL51" s="41">
        <f>'[2]побудинковий звіт'!CL51+'[1]побудинковий звіт'!CL51</f>
        <v>0</v>
      </c>
      <c r="CM51" s="41">
        <f>'[2]побудинковий звіт'!CM51+'[1]побудинковий звіт'!CM51</f>
        <v>0</v>
      </c>
      <c r="CN51" s="55">
        <f t="shared" si="36"/>
        <v>0</v>
      </c>
      <c r="CO51" s="41">
        <f t="shared" si="37"/>
        <v>5964.6592113973211</v>
      </c>
      <c r="CP51" s="42">
        <f t="shared" si="38"/>
        <v>14211.217662385625</v>
      </c>
      <c r="CQ51" s="55">
        <f t="shared" si="39"/>
        <v>8246.5584509883047</v>
      </c>
      <c r="CR51" s="76">
        <f t="shared" si="40"/>
        <v>141468.58468285223</v>
      </c>
      <c r="CS51" s="5">
        <f t="shared" si="41"/>
        <v>139817.12791572462</v>
      </c>
      <c r="CT51" s="55">
        <f t="shared" si="42"/>
        <v>-1651.4567671276163</v>
      </c>
      <c r="CU51" s="84">
        <f t="shared" si="43"/>
        <v>169762.30161942268</v>
      </c>
      <c r="CV51" s="68">
        <f t="shared" si="44"/>
        <v>167780.55349886953</v>
      </c>
      <c r="CW51" s="36">
        <f t="shared" si="45"/>
        <v>-1981.7481205531512</v>
      </c>
      <c r="CX51" s="41">
        <f>'[2]побудинковий звіт'!CX51+'[1]побудинковий звіт'!CX51</f>
        <v>13693.06129815317</v>
      </c>
      <c r="CY51" s="41">
        <f>'[2]побудинковий звіт'!CY51+'[1]побудинковий звіт'!CY51</f>
        <v>15674.809418706278</v>
      </c>
      <c r="CZ51" s="55">
        <f t="shared" si="46"/>
        <v>1981.7481205531076</v>
      </c>
      <c r="DA51" s="254">
        <f>'[1]побудинковий звіт'!DA51</f>
        <v>-553.04235046426766</v>
      </c>
      <c r="DB51" s="2">
        <v>2</v>
      </c>
      <c r="DC51" s="702">
        <f>'[1]побудинковий звіт'!DC51</f>
        <v>41122.28</v>
      </c>
      <c r="DD51" s="702">
        <f>'[1]побудинковий звіт'!DD51</f>
        <v>3273.46</v>
      </c>
      <c r="DE51" s="702">
        <f>'[1]побудинковий звіт'!DE51</f>
        <v>23844.379999999997</v>
      </c>
      <c r="DF51" s="702">
        <f>'[1]побудинковий звіт'!DF51</f>
        <v>373.19999999999982</v>
      </c>
      <c r="DG51" s="772">
        <v>22128.260137070669</v>
      </c>
      <c r="DH51" s="746">
        <f t="shared" si="47"/>
        <v>2201464.35501091</v>
      </c>
      <c r="DI51" s="769"/>
      <c r="DJ51" s="5"/>
      <c r="DK51" s="307">
        <f>VLOOKUP($A51,ціни!$A$4:$G$401,5)</f>
        <v>4.7575133213467931</v>
      </c>
      <c r="DL51" s="307"/>
      <c r="DM51" s="307">
        <f>VLOOKUP($A51,ціни!$A$4:$G$401,7)</f>
        <v>4.2813897154735692</v>
      </c>
      <c r="DN51" s="29">
        <f t="shared" si="60"/>
        <v>12309.589967652693</v>
      </c>
      <c r="DO51" s="29">
        <f t="shared" si="61"/>
        <v>2058.4921751996917</v>
      </c>
      <c r="DP51" s="306">
        <f t="shared" si="48"/>
        <v>14368.082142852385</v>
      </c>
      <c r="DQ51" s="101"/>
      <c r="DR51" s="29">
        <f>VLOOKUP(A51,'ДЗ нас '!$A$1:$C$359,2)</f>
        <v>12309.53</v>
      </c>
      <c r="DS51" s="733">
        <f>VLOOKUP(A51,'ДЗ нежит'!$A$1:$D$153,4,0)</f>
        <v>2058.5099999999998</v>
      </c>
      <c r="DT51" s="29">
        <f t="shared" si="49"/>
        <v>14368.04</v>
      </c>
      <c r="DU51" s="247">
        <f>VLOOKUP(A51,'новий кошторис с 01.06'!$A$4:$AI$399,35)*1.2</f>
        <v>13984.629255048285</v>
      </c>
      <c r="DV51" s="29">
        <f t="shared" si="50"/>
        <v>383.41074495171597</v>
      </c>
      <c r="DW51" s="1016">
        <f>'[2]побудинковий звіт'!$DW$9+'[1]побудинковий звіт'!DW51</f>
        <v>918</v>
      </c>
      <c r="DX51" s="101">
        <f>'[1]побудинковий звіт'!DX51</f>
        <v>0</v>
      </c>
      <c r="DY51" s="5">
        <f t="shared" si="51"/>
        <v>47409.890623029423</v>
      </c>
      <c r="DZ51" s="5">
        <f t="shared" si="52"/>
        <v>14996.22286299696</v>
      </c>
      <c r="EA51" s="737">
        <f t="shared" si="53"/>
        <v>24217.579999999998</v>
      </c>
      <c r="EC51" s="577">
        <f t="shared" si="54"/>
        <v>393033.25832979975</v>
      </c>
      <c r="EE51" s="743">
        <v>26932</v>
      </c>
      <c r="EF51" s="723">
        <f t="shared" si="55"/>
        <v>49060.260137070669</v>
      </c>
      <c r="EH51" s="798">
        <v>25117.032458931499</v>
      </c>
      <c r="EI51" s="101">
        <f>VLOOKUP(A51,'кошти 01.01.24'!$A$9:$D$352,4,FALSE)</f>
        <v>1428.7057700888163</v>
      </c>
    </row>
    <row r="52" spans="1:139" hidden="1" x14ac:dyDescent="0.3">
      <c r="A52" s="318">
        <v>150000971</v>
      </c>
      <c r="B52" s="43" t="s">
        <v>470</v>
      </c>
      <c r="C52" s="44" t="s">
        <v>193</v>
      </c>
      <c r="D52" s="44" t="s">
        <v>193</v>
      </c>
      <c r="E52" s="39">
        <f t="shared" si="4"/>
        <v>1469.4299999999998</v>
      </c>
      <c r="F52" s="205">
        <f>'[1]побудинковий звіт'!F52</f>
        <v>1103.3</v>
      </c>
      <c r="G52" s="29">
        <f>'[1]побудинковий звіт'!G52</f>
        <v>0</v>
      </c>
      <c r="H52" s="148">
        <f>'[1]побудинковий звіт'!H52</f>
        <v>366.12999999999994</v>
      </c>
      <c r="I52" s="41">
        <f>'[2]побудинковий звіт'!I52+'[1]побудинковий звіт'!I52</f>
        <v>6101.5327166796014</v>
      </c>
      <c r="J52" s="41">
        <f>'[2]побудинковий звіт'!J52+'[1]побудинковий звіт'!J52</f>
        <v>6238.7054078139045</v>
      </c>
      <c r="K52" s="55">
        <f t="shared" si="5"/>
        <v>137.17269113430302</v>
      </c>
      <c r="L52" s="41">
        <f>'[2]побудинковий звіт'!L52+'[1]побудинковий звіт'!L52</f>
        <v>1238.1208940784231</v>
      </c>
      <c r="M52" s="41">
        <f>'[2]побудинковий звіт'!M52+'[1]побудинковий звіт'!M52</f>
        <v>1298.6038712522377</v>
      </c>
      <c r="N52" s="55">
        <f t="shared" si="6"/>
        <v>60.482977173814561</v>
      </c>
      <c r="O52" s="41">
        <f>'[2]побудинковий звіт'!O52+'[1]побудинковий звіт'!O52</f>
        <v>2213.6915219710941</v>
      </c>
      <c r="P52" s="41">
        <f>'[2]побудинковий звіт'!P52+'[1]побудинковий звіт'!P52</f>
        <v>2220.0198476888709</v>
      </c>
      <c r="Q52" s="55">
        <f t="shared" si="7"/>
        <v>6.3283257177768064</v>
      </c>
      <c r="R52" s="41">
        <f>'[2]побудинковий звіт'!R52+'[1]побудинковий звіт'!R52</f>
        <v>0</v>
      </c>
      <c r="S52" s="41">
        <f>'[2]побудинковий звіт'!S52+'[1]побудинковий звіт'!S52</f>
        <v>0</v>
      </c>
      <c r="T52" s="55">
        <f t="shared" si="8"/>
        <v>0</v>
      </c>
      <c r="U52" s="41">
        <f>'[2]побудинковий звіт'!U52+'[1]побудинковий звіт'!U52</f>
        <v>112.26117935125026</v>
      </c>
      <c r="V52" s="41">
        <f>'[2]побудинковий звіт'!V52+'[1]побудинковий звіт'!V52</f>
        <v>64.766754518396098</v>
      </c>
      <c r="W52" s="55">
        <f t="shared" si="9"/>
        <v>-47.494424832854165</v>
      </c>
      <c r="X52" s="41">
        <f>'[2]побудинковий звіт'!X52+'[1]побудинковий звіт'!X52</f>
        <v>4235.8409362924467</v>
      </c>
      <c r="Y52" s="41">
        <f>'[2]побудинковий звіт'!Y52+'[1]побудинковий звіт'!Y52</f>
        <v>3936.1363302663885</v>
      </c>
      <c r="Z52" s="55">
        <f t="shared" si="10"/>
        <v>-299.70460602605817</v>
      </c>
      <c r="AA52" s="41">
        <f>'[2]побудинковий звіт'!AA52+'[1]побудинковий звіт'!AA52</f>
        <v>0</v>
      </c>
      <c r="AB52" s="41">
        <f>'[2]побудинковий звіт'!AB52+'[1]побудинковий звіт'!AB52</f>
        <v>0</v>
      </c>
      <c r="AC52" s="55">
        <f t="shared" si="11"/>
        <v>0</v>
      </c>
      <c r="AD52" s="41">
        <f>'[2]побудинковий звіт'!AD52+'[1]побудинковий звіт'!AD52</f>
        <v>6373.7364956317888</v>
      </c>
      <c r="AE52" s="41">
        <f>'[2]побудинковий звіт'!AE52+'[1]побудинковий звіт'!AE52</f>
        <v>6450.6545944481095</v>
      </c>
      <c r="AF52" s="36">
        <f t="shared" si="12"/>
        <v>76.918098816320708</v>
      </c>
      <c r="AG52" s="84">
        <f t="shared" si="13"/>
        <v>20275.183744004604</v>
      </c>
      <c r="AH52" s="56">
        <f t="shared" si="14"/>
        <v>20208.886805987906</v>
      </c>
      <c r="AI52" s="55">
        <f t="shared" si="15"/>
        <v>-66.296938016697823</v>
      </c>
      <c r="AJ52" s="41">
        <f>'[2]побудинковий звіт'!AJ52+'[1]побудинковий звіт'!AJ52</f>
        <v>0</v>
      </c>
      <c r="AK52" s="41">
        <f>'[2]побудинковий звіт'!AK52+'[1]побудинковий звіт'!AK52</f>
        <v>0</v>
      </c>
      <c r="AL52" s="55">
        <f t="shared" si="16"/>
        <v>0</v>
      </c>
      <c r="AM52" s="41">
        <f>'[2]побудинковий звіт'!AM52+'[1]побудинковий звіт'!AM52</f>
        <v>0</v>
      </c>
      <c r="AN52" s="41">
        <f>'[2]побудинковий звіт'!AN52+'[1]побудинковий звіт'!AN52</f>
        <v>0</v>
      </c>
      <c r="AO52" s="55">
        <f t="shared" si="17"/>
        <v>0</v>
      </c>
      <c r="AP52" s="41">
        <f>'[2]побудинковий звіт'!AP52+'[1]побудинковий звіт'!AP52</f>
        <v>4309.1010516376373</v>
      </c>
      <c r="AQ52" s="41">
        <f>'[2]побудинковий звіт'!AQ52+'[1]побудинковий звіт'!AQ52</f>
        <v>3801.752528924666</v>
      </c>
      <c r="AR52" s="55">
        <f t="shared" si="18"/>
        <v>-507.34852271297132</v>
      </c>
      <c r="AS52" s="41">
        <f>'[2]побудинковий звіт'!AS52+'[1]побудинковий звіт'!AS52</f>
        <v>24264.398841207098</v>
      </c>
      <c r="AT52" s="41">
        <f>'[2]побудинковий звіт'!AT52+'[1]побудинковий звіт'!AT52</f>
        <v>8060.0376561816383</v>
      </c>
      <c r="AU52" s="57">
        <f t="shared" si="19"/>
        <v>-16204.36118502546</v>
      </c>
      <c r="AV52" s="41">
        <f>'[2]побудинковий звіт'!AV52+'[1]побудинковий звіт'!AV52</f>
        <v>1024.8602536337537</v>
      </c>
      <c r="AW52" s="41">
        <f>'[2]побудинковий звіт'!AW52+'[1]побудинковий звіт'!AW52</f>
        <v>0</v>
      </c>
      <c r="AX52" s="58">
        <f t="shared" si="20"/>
        <v>-1024.8602536337537</v>
      </c>
      <c r="AY52" s="41">
        <f>'[2]побудинковий звіт'!AY52+'[1]побудинковий звіт'!AY52</f>
        <v>1483.0643238290704</v>
      </c>
      <c r="AZ52" s="41">
        <f>'[2]побудинковий звіт'!AZ52+'[1]побудинковий звіт'!AZ52</f>
        <v>0</v>
      </c>
      <c r="BA52" s="36">
        <f t="shared" si="21"/>
        <v>-1483.0643238290704</v>
      </c>
      <c r="BB52" s="41">
        <f>'[2]побудинковий звіт'!BB52+'[1]побудинковий звіт'!BB52</f>
        <v>887.14365870552388</v>
      </c>
      <c r="BC52" s="41">
        <f>'[2]побудинковий звіт'!BC52+'[1]побудинковий звіт'!BC52</f>
        <v>0</v>
      </c>
      <c r="BD52" s="58">
        <f t="shared" si="22"/>
        <v>-887.14365870552388</v>
      </c>
      <c r="BE52" s="41">
        <f>'[2]побудинковий звіт'!BE52+'[1]побудинковий звіт'!BE52</f>
        <v>0</v>
      </c>
      <c r="BF52" s="41">
        <f>'[2]побудинковий звіт'!BF52+'[1]побудинковий звіт'!BF52</f>
        <v>0</v>
      </c>
      <c r="BG52" s="38">
        <f t="shared" si="23"/>
        <v>0</v>
      </c>
      <c r="BH52" s="41">
        <f>'[2]побудинковий звіт'!BH52+'[1]побудинковий звіт'!BH52</f>
        <v>66.163852782859806</v>
      </c>
      <c r="BI52" s="41">
        <f>'[2]побудинковий звіт'!BI52+'[1]побудинковий звіт'!BI52</f>
        <v>0</v>
      </c>
      <c r="BJ52" s="58">
        <f t="shared" si="24"/>
        <v>-66.163852782859806</v>
      </c>
      <c r="BK52" s="41">
        <f>'[2]побудинковий звіт'!BK52+'[1]побудинковий звіт'!BK52</f>
        <v>715.84356472749005</v>
      </c>
      <c r="BL52" s="41">
        <f>'[2]побудинковий звіт'!BL52+'[1]побудинковий звіт'!BL52</f>
        <v>10073.774540164291</v>
      </c>
      <c r="BM52" s="38">
        <f t="shared" si="25"/>
        <v>9357.9309754368005</v>
      </c>
      <c r="BN52" s="41">
        <f>'[2]побудинковий звіт'!BN52+'[1]побудинковий звіт'!BN52</f>
        <v>34.288359423174953</v>
      </c>
      <c r="BO52" s="41">
        <f>'[2]побудинковий звіт'!BO52+'[1]побудинковий звіт'!BO52</f>
        <v>0</v>
      </c>
      <c r="BP52" s="58">
        <f t="shared" si="26"/>
        <v>-34.288359423174953</v>
      </c>
      <c r="BQ52" s="84">
        <f t="shared" si="27"/>
        <v>4211.3640131018738</v>
      </c>
      <c r="BR52" s="42">
        <f t="shared" si="28"/>
        <v>10073.774540164291</v>
      </c>
      <c r="BS52" s="58">
        <f t="shared" si="29"/>
        <v>5862.4105270624177</v>
      </c>
      <c r="BT52" s="41">
        <f>'[2]побудинковий звіт'!BT52+'[1]побудинковий звіт'!BT52</f>
        <v>14380.674665128492</v>
      </c>
      <c r="BU52" s="41">
        <f>'[2]побудинковий звіт'!BU52+'[1]побудинковий звіт'!BU52</f>
        <v>21118.165119824131</v>
      </c>
      <c r="BV52" s="55">
        <f t="shared" si="30"/>
        <v>6737.4904546956386</v>
      </c>
      <c r="BW52" s="41">
        <f>'[2]побудинковий звіт'!BW52+'[1]побудинковий звіт'!BW52</f>
        <v>14076.962475447051</v>
      </c>
      <c r="BX52" s="41">
        <f>'[2]побудинковий звіт'!BX52+'[1]побудинковий звіт'!BX52</f>
        <v>15004.622994820766</v>
      </c>
      <c r="BY52" s="55">
        <f t="shared" si="31"/>
        <v>927.66051937371412</v>
      </c>
      <c r="BZ52" s="41">
        <f>'[2]побудинковий звіт'!BZ52+'[1]побудинковий звіт'!BZ52</f>
        <v>5307.7882190669488</v>
      </c>
      <c r="CA52" s="41">
        <f>'[2]побудинковий звіт'!CA52+'[1]побудинковий звіт'!CA52</f>
        <v>2444.217680157135</v>
      </c>
      <c r="CB52" s="55">
        <f t="shared" si="32"/>
        <v>-2863.5705389098139</v>
      </c>
      <c r="CC52" s="41">
        <f>'[2]побудинковий звіт'!CC52+'[1]побудинковий звіт'!CC52</f>
        <v>2042.8334997065772</v>
      </c>
      <c r="CD52" s="41">
        <f>'[2]побудинковий звіт'!CD52+'[1]побудинковий звіт'!CD52</f>
        <v>2049.7605202389373</v>
      </c>
      <c r="CE52" s="55">
        <f t="shared" si="33"/>
        <v>6.9270205323600749</v>
      </c>
      <c r="CF52" s="41">
        <f>'[2]побудинковий звіт'!CF52+'[1]побудинковий звіт'!CF52</f>
        <v>253.09621257528062</v>
      </c>
      <c r="CG52" s="41">
        <f>'[2]побудинковий звіт'!CG52+'[1]побудинковий звіт'!CG52</f>
        <v>0</v>
      </c>
      <c r="CH52" s="55">
        <f t="shared" si="34"/>
        <v>-253.09621257528062</v>
      </c>
      <c r="CI52" s="41">
        <f>'[2]побудинковий звіт'!CI52+'[1]побудинковий звіт'!CI52</f>
        <v>3635.0974844945913</v>
      </c>
      <c r="CJ52" s="41">
        <f>'[2]побудинковий звіт'!CJ52+'[1]побудинковий звіт'!CJ52</f>
        <v>2573.0113560204431</v>
      </c>
      <c r="CK52" s="55">
        <f t="shared" si="35"/>
        <v>-1062.0861284741482</v>
      </c>
      <c r="CL52" s="41">
        <f>'[2]побудинковий звіт'!CL52+'[1]побудинковий звіт'!CL52</f>
        <v>0</v>
      </c>
      <c r="CM52" s="41">
        <f>'[2]побудинковий звіт'!CM52+'[1]побудинковий звіт'!CM52</f>
        <v>0</v>
      </c>
      <c r="CN52" s="55">
        <f t="shared" si="36"/>
        <v>0</v>
      </c>
      <c r="CO52" s="41">
        <f t="shared" si="37"/>
        <v>3635.0974844945913</v>
      </c>
      <c r="CP52" s="42">
        <f t="shared" si="38"/>
        <v>2573.0113560204431</v>
      </c>
      <c r="CQ52" s="55">
        <f t="shared" si="39"/>
        <v>-1062.0861284741482</v>
      </c>
      <c r="CR52" s="76">
        <f t="shared" si="40"/>
        <v>92756.500206370169</v>
      </c>
      <c r="CS52" s="5">
        <f t="shared" si="41"/>
        <v>85334.229202319912</v>
      </c>
      <c r="CT52" s="55">
        <f t="shared" si="42"/>
        <v>-7422.271004050257</v>
      </c>
      <c r="CU52" s="84">
        <f t="shared" si="43"/>
        <v>111307.80024764421</v>
      </c>
      <c r="CV52" s="68">
        <f t="shared" si="44"/>
        <v>102401.07504278389</v>
      </c>
      <c r="CW52" s="36">
        <f t="shared" si="45"/>
        <v>-8906.7252048603114</v>
      </c>
      <c r="CX52" s="41">
        <f>'[2]побудинковий звіт'!CX52+'[1]побудинковий звіт'!CX52</f>
        <v>2082.0324355095386</v>
      </c>
      <c r="CY52" s="41">
        <f>'[2]побудинковий звіт'!CY52+'[1]побудинковий звіт'!CY52</f>
        <v>10988.757640369819</v>
      </c>
      <c r="CZ52" s="55">
        <f t="shared" si="46"/>
        <v>8906.7252048602804</v>
      </c>
      <c r="DA52" s="254">
        <f>'[1]побудинковий звіт'!DA52</f>
        <v>-25374.540615562102</v>
      </c>
      <c r="DB52" s="2">
        <v>2</v>
      </c>
      <c r="DC52" s="702">
        <f>'[1]побудинковий звіт'!DC52</f>
        <v>28761.360000000001</v>
      </c>
      <c r="DD52" s="702">
        <f>'[1]побудинковий звіт'!DD52</f>
        <v>8556.369999999999</v>
      </c>
      <c r="DE52" s="702">
        <f>'[1]побудинковий звіт'!DE52</f>
        <v>18962.53</v>
      </c>
      <c r="DF52" s="702">
        <f>'[1]побудинковий звіт'!DF52</f>
        <v>5900.4299999999985</v>
      </c>
      <c r="DG52" s="772">
        <v>-33261.525089854666</v>
      </c>
      <c r="DH52" s="746">
        <f t="shared" si="47"/>
        <v>1360677.9921978449</v>
      </c>
      <c r="DI52" s="769"/>
      <c r="DJ52" s="5"/>
      <c r="DK52" s="307">
        <f>VLOOKUP($A52,ціни!$A$4:$G$401,5)</f>
        <v>6.3478899867385463</v>
      </c>
      <c r="DL52" s="307"/>
      <c r="DM52" s="307">
        <f>VLOOKUP($A52,ціни!$A$4:$G$401,7)</f>
        <v>5.1376180195544219</v>
      </c>
      <c r="DN52" s="29">
        <f t="shared" si="60"/>
        <v>7003.6270223686379</v>
      </c>
      <c r="DO52" s="29">
        <f t="shared" si="61"/>
        <v>1881.0360854994601</v>
      </c>
      <c r="DP52" s="306">
        <f t="shared" si="48"/>
        <v>8884.6631078680985</v>
      </c>
      <c r="DQ52" s="101"/>
      <c r="DR52" s="29">
        <f>VLOOKUP(A52,'ДЗ нас '!$A$1:$C$359,2)</f>
        <v>6999.18</v>
      </c>
      <c r="DS52" s="733">
        <f>VLOOKUP(A52,'ДЗ нежит'!$A$1:$D$153,4,0)</f>
        <v>1881.0299999999997</v>
      </c>
      <c r="DT52" s="29">
        <f t="shared" si="49"/>
        <v>8880.2099999999991</v>
      </c>
      <c r="DU52" s="247">
        <f>VLOOKUP(A52,'новий кошторис с 01.06'!$A$4:$AI$399,35)*1.2</f>
        <v>8947.3684103023461</v>
      </c>
      <c r="DV52" s="29">
        <f t="shared" si="50"/>
        <v>-67.158410302346965</v>
      </c>
      <c r="DW52" s="1016">
        <f>'[2]побудинковий звіт'!$DW$9+'[1]побудинковий звіт'!DW52</f>
        <v>909</v>
      </c>
      <c r="DX52" s="101">
        <f>'[1]побудинковий звіт'!DX52</f>
        <v>0</v>
      </c>
      <c r="DY52" s="5">
        <f t="shared" si="51"/>
        <v>34170.915425170766</v>
      </c>
      <c r="DZ52" s="5">
        <f t="shared" si="52"/>
        <v>21760.574635615118</v>
      </c>
      <c r="EA52" s="737">
        <f t="shared" si="53"/>
        <v>24862.959999999999</v>
      </c>
      <c r="EC52" s="577">
        <f t="shared" si="54"/>
        <v>291172.7860944852</v>
      </c>
      <c r="EE52" s="743">
        <v>20819</v>
      </c>
      <c r="EF52" s="723">
        <f t="shared" si="55"/>
        <v>-12442.525089854666</v>
      </c>
      <c r="EH52" s="798">
        <v>-45317.409498198729</v>
      </c>
      <c r="EI52" s="101">
        <f>VLOOKUP(A52,'кошти 01.01.24'!$A$9:$D$352,4,FALSE)</f>
        <v>-16467.81541070182</v>
      </c>
    </row>
    <row r="53" spans="1:139" hidden="1" x14ac:dyDescent="0.3">
      <c r="A53" s="318">
        <v>150000991</v>
      </c>
      <c r="B53" s="43" t="s">
        <v>471</v>
      </c>
      <c r="C53" s="44" t="s">
        <v>341</v>
      </c>
      <c r="D53" s="44" t="s">
        <v>341</v>
      </c>
      <c r="E53" s="39">
        <f t="shared" si="4"/>
        <v>4089.1</v>
      </c>
      <c r="F53" s="205">
        <f>'[1]побудинковий звіт'!F53</f>
        <v>4089.1</v>
      </c>
      <c r="G53" s="29">
        <f>'[1]побудинковий звіт'!G53</f>
        <v>442.1</v>
      </c>
      <c r="H53" s="148">
        <f>'[1]побудинковий звіт'!H53</f>
        <v>0</v>
      </c>
      <c r="I53" s="41">
        <f>'[2]побудинковий звіт'!I53+'[1]побудинковий звіт'!I53</f>
        <v>12121.615202261648</v>
      </c>
      <c r="J53" s="41">
        <f>'[2]побудинковий звіт'!J53+'[1]побудинковий звіт'!J53</f>
        <v>12512.312003253508</v>
      </c>
      <c r="K53" s="55">
        <f t="shared" si="5"/>
        <v>390.69680099186007</v>
      </c>
      <c r="L53" s="41">
        <f>'[2]побудинковий звіт'!L53+'[1]побудинковий звіт'!L53</f>
        <v>1940.8629830037339</v>
      </c>
      <c r="M53" s="41">
        <f>'[2]побудинковий звіт'!M53+'[1]побудинковий звіт'!M53</f>
        <v>2122.0198531382639</v>
      </c>
      <c r="N53" s="55">
        <f t="shared" si="6"/>
        <v>181.15687013452998</v>
      </c>
      <c r="O53" s="41">
        <f>'[2]побудинковий звіт'!O53+'[1]побудинковий звіт'!O53</f>
        <v>3887.1824437421456</v>
      </c>
      <c r="P53" s="41">
        <f>'[2]побудинковий звіт'!P53+'[1]побудинковий звіт'!P53</f>
        <v>3899.3878355180482</v>
      </c>
      <c r="Q53" s="55">
        <f t="shared" si="7"/>
        <v>12.205391775902626</v>
      </c>
      <c r="R53" s="41">
        <f>'[2]побудинковий звіт'!R53+'[1]побудинковий звіт'!R53</f>
        <v>903.48677596676328</v>
      </c>
      <c r="S53" s="41">
        <f>'[2]побудинковий звіт'!S53+'[1]побудинковий звіт'!S53</f>
        <v>904.99344838606646</v>
      </c>
      <c r="T53" s="55">
        <f t="shared" si="8"/>
        <v>1.506672419303186</v>
      </c>
      <c r="U53" s="41">
        <f>'[2]побудинковий звіт'!U53+'[1]побудинковий звіт'!U53</f>
        <v>796.8751595035626</v>
      </c>
      <c r="V53" s="41">
        <f>'[2]побудинковий звіт'!V53+'[1]побудинковий звіт'!V53</f>
        <v>551.39772374526069</v>
      </c>
      <c r="W53" s="55">
        <f t="shared" si="9"/>
        <v>-245.47743575830191</v>
      </c>
      <c r="X53" s="41">
        <f>'[2]побудинковий звіт'!X53+'[1]побудинковий звіт'!X53</f>
        <v>7361.0713380972311</v>
      </c>
      <c r="Y53" s="41">
        <f>'[2]побудинковий звіт'!Y53+'[1]побудинковий звіт'!Y53</f>
        <v>7933.6881540263148</v>
      </c>
      <c r="Z53" s="55">
        <f t="shared" si="10"/>
        <v>572.61681592908371</v>
      </c>
      <c r="AA53" s="41">
        <f>'[2]побудинковий звіт'!AA53+'[1]побудинковий звіт'!AA53</f>
        <v>0</v>
      </c>
      <c r="AB53" s="41">
        <f>'[2]побудинковий звіт'!AB53+'[1]побудинковий звіт'!AB53</f>
        <v>0</v>
      </c>
      <c r="AC53" s="55">
        <f t="shared" si="11"/>
        <v>0</v>
      </c>
      <c r="AD53" s="41">
        <f>'[2]побудинковий звіт'!AD53+'[1]побудинковий звіт'!AD53</f>
        <v>17712.670690614341</v>
      </c>
      <c r="AE53" s="41">
        <f>'[2]побудинковий звіт'!AE53+'[1]побудинковий звіт'!AE53</f>
        <v>17644.655951632853</v>
      </c>
      <c r="AF53" s="36">
        <f t="shared" si="12"/>
        <v>-68.014738981488335</v>
      </c>
      <c r="AG53" s="84">
        <f t="shared" si="13"/>
        <v>44723.764593189422</v>
      </c>
      <c r="AH53" s="56">
        <f t="shared" si="14"/>
        <v>45568.454969700309</v>
      </c>
      <c r="AI53" s="55">
        <f t="shared" si="15"/>
        <v>844.69037651088729</v>
      </c>
      <c r="AJ53" s="41">
        <f>'[2]побудинковий звіт'!AJ53+'[1]побудинковий звіт'!AJ53</f>
        <v>37302.594079984745</v>
      </c>
      <c r="AK53" s="41">
        <f>'[2]побудинковий звіт'!AK53+'[1]побудинковий звіт'!AK53</f>
        <v>41378.933735874467</v>
      </c>
      <c r="AL53" s="55">
        <f t="shared" si="16"/>
        <v>4076.3396558897221</v>
      </c>
      <c r="AM53" s="41">
        <f>'[2]побудинковий звіт'!AM53+'[1]побудинковий звіт'!AM53</f>
        <v>835.3964758828439</v>
      </c>
      <c r="AN53" s="41">
        <f>'[2]побудинковий звіт'!AN53+'[1]побудинковий звіт'!AN53</f>
        <v>4254.1116730774402</v>
      </c>
      <c r="AO53" s="55">
        <f t="shared" si="17"/>
        <v>3418.7151971945964</v>
      </c>
      <c r="AP53" s="41">
        <f>'[2]побудинковий звіт'!AP53+'[1]побудинковий звіт'!AP53</f>
        <v>3197.1312982122822</v>
      </c>
      <c r="AQ53" s="41">
        <f>'[2]побудинковий звіт'!AQ53+'[1]побудинковий звіт'!AQ53</f>
        <v>5060.2994999803723</v>
      </c>
      <c r="AR53" s="55">
        <f t="shared" si="18"/>
        <v>1863.1682017680901</v>
      </c>
      <c r="AS53" s="41">
        <f>'[2]побудинковий звіт'!AS53+'[1]побудинковий звіт'!AS53</f>
        <v>77972.133682478205</v>
      </c>
      <c r="AT53" s="41">
        <f>'[2]побудинковий звіт'!AT53+'[1]побудинковий звіт'!AT53</f>
        <v>4251.2812292618282</v>
      </c>
      <c r="AU53" s="57">
        <f t="shared" si="19"/>
        <v>-73720.852453216372</v>
      </c>
      <c r="AV53" s="41">
        <f>'[2]побудинковий звіт'!AV53+'[1]побудинковий звіт'!AV53</f>
        <v>1326.4405968315884</v>
      </c>
      <c r="AW53" s="41">
        <f>'[2]побудинковий звіт'!AW53+'[1]побудинковий звіт'!AW53</f>
        <v>3264.9694063399338</v>
      </c>
      <c r="AX53" s="58">
        <f t="shared" si="20"/>
        <v>1938.5288095083454</v>
      </c>
      <c r="AY53" s="41">
        <f>'[2]побудинковий звіт'!AY53+'[1]побудинковий звіт'!AY53</f>
        <v>1336.8608994490548</v>
      </c>
      <c r="AZ53" s="41">
        <f>'[2]побудинковий звіт'!AZ53+'[1]побудинковий звіт'!AZ53</f>
        <v>0</v>
      </c>
      <c r="BA53" s="36">
        <f t="shared" si="21"/>
        <v>-1336.8608994490548</v>
      </c>
      <c r="BB53" s="41">
        <f>'[2]побудинковий звіт'!BB53+'[1]побудинковий звіт'!BB53</f>
        <v>1086.7949527393178</v>
      </c>
      <c r="BC53" s="41">
        <f>'[2]побудинковий звіт'!BC53+'[1]побудинковий звіт'!BC53</f>
        <v>806.97263289390003</v>
      </c>
      <c r="BD53" s="58">
        <f t="shared" si="22"/>
        <v>-279.82231984541772</v>
      </c>
      <c r="BE53" s="41">
        <f>'[2]побудинковий звіт'!BE53+'[1]побудинковий звіт'!BE53</f>
        <v>561.06830127557487</v>
      </c>
      <c r="BF53" s="41">
        <f>'[2]побудинковий звіт'!BF53+'[1]побудинковий звіт'!BF53</f>
        <v>1047.800462372076</v>
      </c>
      <c r="BG53" s="38">
        <f t="shared" si="23"/>
        <v>486.73216109650116</v>
      </c>
      <c r="BH53" s="41">
        <f>'[2]побудинковий звіт'!BH53+'[1]побудинковий звіт'!BH53</f>
        <v>415.80905432125786</v>
      </c>
      <c r="BI53" s="41">
        <f>'[2]побудинковий звіт'!BI53+'[1]побудинковий звіт'!BI53</f>
        <v>0</v>
      </c>
      <c r="BJ53" s="58">
        <f t="shared" si="24"/>
        <v>-415.80905432125786</v>
      </c>
      <c r="BK53" s="41">
        <f>'[2]побудинковий звіт'!BK53+'[1]побудинковий звіт'!BK53</f>
        <v>1480.5875449063324</v>
      </c>
      <c r="BL53" s="41">
        <f>'[2]побудинковий звіт'!BL53+'[1]побудинковий звіт'!BL53</f>
        <v>0</v>
      </c>
      <c r="BM53" s="38">
        <f t="shared" si="25"/>
        <v>-1480.5875449063324</v>
      </c>
      <c r="BN53" s="41">
        <f>'[2]побудинковий звіт'!BN53+'[1]побудинковий звіт'!BN53</f>
        <v>119.20930083080034</v>
      </c>
      <c r="BO53" s="41">
        <f>'[2]побудинковий звіт'!BO53+'[1]побудинковий звіт'!BO53</f>
        <v>0</v>
      </c>
      <c r="BP53" s="58">
        <f t="shared" si="26"/>
        <v>-119.20930083080034</v>
      </c>
      <c r="BQ53" s="84">
        <f t="shared" si="27"/>
        <v>6326.7706503539266</v>
      </c>
      <c r="BR53" s="42">
        <f t="shared" si="28"/>
        <v>5119.7425016059096</v>
      </c>
      <c r="BS53" s="58">
        <f t="shared" si="29"/>
        <v>-1207.028148748017</v>
      </c>
      <c r="BT53" s="41">
        <f>'[2]побудинковий звіт'!BT53+'[1]побудинковий звіт'!BT53</f>
        <v>56002.76899314794</v>
      </c>
      <c r="BU53" s="41">
        <f>'[2]побудинковий звіт'!BU53+'[1]побудинковий звіт'!BU53</f>
        <v>55634.211393285514</v>
      </c>
      <c r="BV53" s="55">
        <f t="shared" si="30"/>
        <v>-368.55759986242629</v>
      </c>
      <c r="BW53" s="41">
        <f>'[2]побудинковий звіт'!BW53+'[1]побудинковий звіт'!BW53</f>
        <v>26417.536834754173</v>
      </c>
      <c r="BX53" s="41">
        <f>'[2]побудинковий звіт'!BX53+'[1]побудинковий звіт'!BX53</f>
        <v>34028.59309769336</v>
      </c>
      <c r="BY53" s="55">
        <f t="shared" si="31"/>
        <v>7611.0562629391861</v>
      </c>
      <c r="BZ53" s="41">
        <f>'[2]побудинковий звіт'!BZ53+'[1]побудинковий звіт'!BZ53</f>
        <v>6495.0558196784914</v>
      </c>
      <c r="CA53" s="41">
        <f>'[2]побудинковий звіт'!CA53+'[1]побудинковий звіт'!CA53</f>
        <v>4917.326336506504</v>
      </c>
      <c r="CB53" s="55">
        <f t="shared" si="32"/>
        <v>-1577.7294831719873</v>
      </c>
      <c r="CC53" s="41">
        <f>'[2]побудинковий звіт'!CC53+'[1]побудинковий звіт'!CC53</f>
        <v>1862.67329569658</v>
      </c>
      <c r="CD53" s="41">
        <f>'[2]побудинковий звіт'!CD53+'[1]побудинковий звіт'!CD53</f>
        <v>1868.9894130728726</v>
      </c>
      <c r="CE53" s="55">
        <f t="shared" si="33"/>
        <v>6.3161173762925955</v>
      </c>
      <c r="CF53" s="41">
        <f>'[2]побудинковий звіт'!CF53+'[1]побудинковий звіт'!CF53</f>
        <v>230.77532088329022</v>
      </c>
      <c r="CG53" s="41">
        <f>'[2]побудинковий звіт'!CG53+'[1]побудинковий звіт'!CG53</f>
        <v>0</v>
      </c>
      <c r="CH53" s="55">
        <f t="shared" si="34"/>
        <v>-230.77532088329022</v>
      </c>
      <c r="CI53" s="41">
        <f>'[2]побудинковий звіт'!CI53+'[1]побудинковий звіт'!CI53</f>
        <v>12730.053880487423</v>
      </c>
      <c r="CJ53" s="41">
        <f>'[2]побудинковий звіт'!CJ53+'[1]побудинковий звіт'!CJ53</f>
        <v>15516.384277210014</v>
      </c>
      <c r="CK53" s="55">
        <f t="shared" si="35"/>
        <v>2786.3303967225911</v>
      </c>
      <c r="CL53" s="41">
        <f>'[2]побудинковий звіт'!CL53+'[1]побудинковий звіт'!CL53</f>
        <v>14584.668957156533</v>
      </c>
      <c r="CM53" s="41">
        <f>'[2]побудинковий звіт'!CM53+'[1]побудинковий звіт'!CM53</f>
        <v>23430.288476941038</v>
      </c>
      <c r="CN53" s="55">
        <f t="shared" si="36"/>
        <v>8845.6195197845045</v>
      </c>
      <c r="CO53" s="41">
        <f t="shared" si="37"/>
        <v>27314.722837643956</v>
      </c>
      <c r="CP53" s="42">
        <f t="shared" si="38"/>
        <v>38946.672754151048</v>
      </c>
      <c r="CQ53" s="55">
        <f t="shared" si="39"/>
        <v>11631.949916507092</v>
      </c>
      <c r="CR53" s="76">
        <f t="shared" si="40"/>
        <v>288681.32388190582</v>
      </c>
      <c r="CS53" s="5">
        <f t="shared" si="41"/>
        <v>241028.61660420962</v>
      </c>
      <c r="CT53" s="55">
        <f t="shared" si="42"/>
        <v>-47652.707277696201</v>
      </c>
      <c r="CU53" s="84">
        <f t="shared" si="43"/>
        <v>346417.58865828696</v>
      </c>
      <c r="CV53" s="68">
        <f t="shared" si="44"/>
        <v>289234.33992505155</v>
      </c>
      <c r="CW53" s="36">
        <f t="shared" si="45"/>
        <v>-57183.248733235407</v>
      </c>
      <c r="CX53" s="41">
        <f>'[2]побудинковий звіт'!CX53+'[1]побудинковий звіт'!CX53</f>
        <v>6146.1402128063592</v>
      </c>
      <c r="CY53" s="41">
        <f>'[2]побудинковий звіт'!CY53+'[1]побудинковий звіт'!CY53</f>
        <v>63329.388946041872</v>
      </c>
      <c r="CZ53" s="55">
        <f t="shared" si="46"/>
        <v>57183.248733235516</v>
      </c>
      <c r="DA53" s="254">
        <f>'[1]побудинковий звіт'!DA53</f>
        <v>15016.762944657559</v>
      </c>
      <c r="DB53" s="2">
        <v>3</v>
      </c>
      <c r="DC53" s="702">
        <f>'[1]побудинковий звіт'!DC53</f>
        <v>71638.22</v>
      </c>
      <c r="DD53" s="702">
        <f>'[1]побудинковий звіт'!DD53</f>
        <v>0</v>
      </c>
      <c r="DE53" s="702">
        <f>'[1]побудинковий звіт'!DE53</f>
        <v>33098.25</v>
      </c>
      <c r="DF53" s="702">
        <f>'[1]побудинковий звіт'!DF53</f>
        <v>0</v>
      </c>
      <c r="DG53" s="772">
        <v>-95167.904494036513</v>
      </c>
      <c r="DH53" s="746">
        <f t="shared" si="47"/>
        <v>4230764.7464531194</v>
      </c>
      <c r="DI53" s="769"/>
      <c r="DJ53" s="5"/>
      <c r="DK53" s="307">
        <f>VLOOKUP($A53,ціни!$A$4:$G$401,5)</f>
        <v>5.5669406455463317</v>
      </c>
      <c r="DL53" s="307">
        <f>VLOOKUP($A53,ціни!$A$4:$G$401,6)</f>
        <v>6.9086241200423295</v>
      </c>
      <c r="DM53" s="307">
        <f>VLOOKUP($A53,ціни!$A$4:$G$401,7)</f>
        <v>4.9320505683068916</v>
      </c>
      <c r="DN53" s="29">
        <f>DK53*G53+(F53-G53)*DL53</f>
        <v>27656.896625190409</v>
      </c>
      <c r="DO53" s="29">
        <f>DM53*H53</f>
        <v>0</v>
      </c>
      <c r="DP53" s="306">
        <f t="shared" si="48"/>
        <v>27656.896625190409</v>
      </c>
      <c r="DQ53" s="101"/>
      <c r="DR53" s="29">
        <f>VLOOKUP(A53,'ДЗ нас '!$A$1:$C$359,2)</f>
        <v>27656.799999999999</v>
      </c>
      <c r="DS53" s="733"/>
      <c r="DT53" s="29">
        <f t="shared" si="49"/>
        <v>27656.799999999999</v>
      </c>
      <c r="DU53" s="247">
        <f>VLOOKUP(A53,'новий кошторис с 01.06'!$A$4:$AI$399,35)*1.2</f>
        <v>27656.511083886937</v>
      </c>
      <c r="DV53" s="29">
        <f t="shared" si="50"/>
        <v>0.28891611306244158</v>
      </c>
      <c r="DW53" s="1016">
        <f>'[2]побудинковий звіт'!$DW$9+'[1]побудинковий звіт'!DW53</f>
        <v>1188</v>
      </c>
      <c r="DX53" s="101">
        <f>'[1]побудинковий звіт'!DX53</f>
        <v>0</v>
      </c>
      <c r="DY53" s="5">
        <f t="shared" si="51"/>
        <v>101158.68519939855</v>
      </c>
      <c r="DZ53" s="5">
        <f t="shared" si="52"/>
        <v>11245.228477041286</v>
      </c>
      <c r="EA53" s="737">
        <f t="shared" si="53"/>
        <v>33098.25</v>
      </c>
      <c r="EC53" s="577">
        <f t="shared" si="54"/>
        <v>935665.6041897384</v>
      </c>
      <c r="EE53" s="743">
        <v>2279</v>
      </c>
      <c r="EF53" s="723">
        <f t="shared" si="55"/>
        <v>-92888.904494036513</v>
      </c>
      <c r="EH53" s="798">
        <v>24404.857217531098</v>
      </c>
      <c r="EI53" s="101">
        <f>VLOOKUP(A53,'кошти 01.01.24'!$A$9:$D$352,4,FALSE)</f>
        <v>72200.01167789301</v>
      </c>
    </row>
    <row r="54" spans="1:139" ht="14.4" hidden="1" customHeight="1" x14ac:dyDescent="0.3">
      <c r="A54" s="318">
        <v>150000999</v>
      </c>
      <c r="B54" s="43" t="s">
        <v>473</v>
      </c>
      <c r="C54" s="44" t="s">
        <v>40</v>
      </c>
      <c r="D54" s="44" t="s">
        <v>40</v>
      </c>
      <c r="E54" s="39">
        <f t="shared" si="4"/>
        <v>298.60000000000002</v>
      </c>
      <c r="F54" s="205">
        <f>'[1]побудинковий звіт'!F54</f>
        <v>298.60000000000002</v>
      </c>
      <c r="G54" s="29">
        <f>'[1]побудинковий звіт'!G54</f>
        <v>0</v>
      </c>
      <c r="H54" s="148">
        <f>'[1]побудинковий звіт'!H54</f>
        <v>0</v>
      </c>
      <c r="I54" s="41">
        <f>'[2]побудинковий звіт'!I54+'[1]побудинковий звіт'!I54</f>
        <v>0</v>
      </c>
      <c r="J54" s="41">
        <f>'[2]побудинковий звіт'!J54+'[1]побудинковий звіт'!J54</f>
        <v>0</v>
      </c>
      <c r="K54" s="55">
        <f t="shared" si="5"/>
        <v>0</v>
      </c>
      <c r="L54" s="41">
        <f>'[2]побудинковий звіт'!L54+'[1]побудинковий звіт'!L54</f>
        <v>0</v>
      </c>
      <c r="M54" s="41">
        <f>'[2]побудинковий звіт'!M54+'[1]побудинковий звіт'!M54</f>
        <v>0</v>
      </c>
      <c r="N54" s="55">
        <f t="shared" si="6"/>
        <v>0</v>
      </c>
      <c r="O54" s="41">
        <f>'[2]побудинковий звіт'!O54+'[1]побудинковий звіт'!O54</f>
        <v>0</v>
      </c>
      <c r="P54" s="41">
        <f>'[2]побудинковий звіт'!P54+'[1]побудинковий звіт'!P54</f>
        <v>0</v>
      </c>
      <c r="Q54" s="55">
        <f t="shared" si="7"/>
        <v>0</v>
      </c>
      <c r="R54" s="41">
        <f>'[2]побудинковий звіт'!R54+'[1]побудинковий звіт'!R54</f>
        <v>0</v>
      </c>
      <c r="S54" s="41">
        <f>'[2]побудинковий звіт'!S54+'[1]побудинковий звіт'!S54</f>
        <v>0</v>
      </c>
      <c r="T54" s="55">
        <f t="shared" si="8"/>
        <v>0</v>
      </c>
      <c r="U54" s="41">
        <f>'[2]побудинковий звіт'!U54+'[1]побудинковий звіт'!U54</f>
        <v>0</v>
      </c>
      <c r="V54" s="41">
        <f>'[2]побудинковий звіт'!V54+'[1]побудинковий звіт'!V54</f>
        <v>0</v>
      </c>
      <c r="W54" s="55">
        <f t="shared" si="9"/>
        <v>0</v>
      </c>
      <c r="X54" s="41">
        <f>'[2]побудинковий звіт'!X54+'[1]побудинковий звіт'!X54</f>
        <v>0</v>
      </c>
      <c r="Y54" s="41">
        <f>'[2]побудинковий звіт'!Y54+'[1]побудинковий звіт'!Y54</f>
        <v>0</v>
      </c>
      <c r="Z54" s="55">
        <f t="shared" si="10"/>
        <v>0</v>
      </c>
      <c r="AA54" s="41">
        <f>'[2]побудинковий звіт'!AA54+'[1]побудинковий звіт'!AA54</f>
        <v>0</v>
      </c>
      <c r="AB54" s="41">
        <f>'[2]побудинковий звіт'!AB54+'[1]побудинковий звіт'!AB54</f>
        <v>0</v>
      </c>
      <c r="AC54" s="55">
        <f t="shared" si="11"/>
        <v>0</v>
      </c>
      <c r="AD54" s="41">
        <f>'[2]побудинковий звіт'!AD54+'[1]побудинковий звіт'!AD54</f>
        <v>0</v>
      </c>
      <c r="AE54" s="41">
        <f>'[2]побудинковий звіт'!AE54+'[1]побудинковий звіт'!AE54</f>
        <v>0</v>
      </c>
      <c r="AF54" s="36">
        <f t="shared" si="12"/>
        <v>0</v>
      </c>
      <c r="AG54" s="84">
        <f t="shared" si="13"/>
        <v>0</v>
      </c>
      <c r="AH54" s="56">
        <f t="shared" si="14"/>
        <v>0</v>
      </c>
      <c r="AI54" s="55">
        <f t="shared" si="15"/>
        <v>0</v>
      </c>
      <c r="AJ54" s="41">
        <f>'[2]побудинковий звіт'!AJ54+'[1]побудинковий звіт'!AJ54</f>
        <v>0</v>
      </c>
      <c r="AK54" s="41">
        <f>'[2]побудинковий звіт'!AK54+'[1]побудинковий звіт'!AK54</f>
        <v>0</v>
      </c>
      <c r="AL54" s="55">
        <f t="shared" si="16"/>
        <v>0</v>
      </c>
      <c r="AM54" s="41">
        <f>'[2]побудинковий звіт'!AM54+'[1]побудинковий звіт'!AM54</f>
        <v>0</v>
      </c>
      <c r="AN54" s="41">
        <f>'[2]побудинковий звіт'!AN54+'[1]побудинковий звіт'!AN54</f>
        <v>0</v>
      </c>
      <c r="AO54" s="55">
        <f t="shared" si="17"/>
        <v>0</v>
      </c>
      <c r="AP54" s="41">
        <f>'[2]побудинковий звіт'!AP54+'[1]побудинковий звіт'!AP54</f>
        <v>446.91778141850642</v>
      </c>
      <c r="AQ54" s="41">
        <f>'[2]побудинковий звіт'!AQ54+'[1]побудинковий звіт'!AQ54</f>
        <v>140.47538423161123</v>
      </c>
      <c r="AR54" s="55">
        <f t="shared" si="18"/>
        <v>-306.44239718689516</v>
      </c>
      <c r="AS54" s="41">
        <f>'[2]побудинковий звіт'!AS54+'[1]побудинковий звіт'!AS54</f>
        <v>3645.9734012287681</v>
      </c>
      <c r="AT54" s="41">
        <f>'[2]побудинковий звіт'!AT54+'[1]побудинковий звіт'!AT54</f>
        <v>0</v>
      </c>
      <c r="AU54" s="57">
        <f t="shared" si="19"/>
        <v>-3645.9734012287681</v>
      </c>
      <c r="AV54" s="41">
        <f>'[2]побудинковий звіт'!AV54+'[1]побудинковий звіт'!AV54</f>
        <v>0</v>
      </c>
      <c r="AW54" s="41">
        <f>'[2]побудинковий звіт'!AW54+'[1]побудинковий звіт'!AW54</f>
        <v>0</v>
      </c>
      <c r="AX54" s="58">
        <f t="shared" si="20"/>
        <v>0</v>
      </c>
      <c r="AY54" s="41">
        <f>'[2]побудинковий звіт'!AY54+'[1]побудинковий звіт'!AY54</f>
        <v>0</v>
      </c>
      <c r="AZ54" s="41">
        <f>'[2]побудинковий звіт'!AZ54+'[1]побудинковий звіт'!AZ54</f>
        <v>0</v>
      </c>
      <c r="BA54" s="36">
        <f t="shared" si="21"/>
        <v>0</v>
      </c>
      <c r="BB54" s="41">
        <f>'[2]побудинковий звіт'!BB54+'[1]побудинковий звіт'!BB54</f>
        <v>0</v>
      </c>
      <c r="BC54" s="41">
        <f>'[2]побудинковий звіт'!BC54+'[1]побудинковий звіт'!BC54</f>
        <v>0</v>
      </c>
      <c r="BD54" s="58">
        <f t="shared" si="22"/>
        <v>0</v>
      </c>
      <c r="BE54" s="41">
        <f>'[2]побудинковий звіт'!BE54+'[1]побудинковий звіт'!BE54</f>
        <v>0</v>
      </c>
      <c r="BF54" s="41">
        <f>'[2]побудинковий звіт'!BF54+'[1]побудинковий звіт'!BF54</f>
        <v>0</v>
      </c>
      <c r="BG54" s="38">
        <f t="shared" si="23"/>
        <v>0</v>
      </c>
      <c r="BH54" s="41">
        <f>'[2]побудинковий звіт'!BH54+'[1]побудинковий звіт'!BH54</f>
        <v>0</v>
      </c>
      <c r="BI54" s="41">
        <f>'[2]побудинковий звіт'!BI54+'[1]побудинковий звіт'!BI54</f>
        <v>0</v>
      </c>
      <c r="BJ54" s="58">
        <f t="shared" si="24"/>
        <v>0</v>
      </c>
      <c r="BK54" s="41">
        <f>'[2]побудинковий звіт'!BK54+'[1]побудинковий звіт'!BK54</f>
        <v>0</v>
      </c>
      <c r="BL54" s="41">
        <f>'[2]побудинковий звіт'!BL54+'[1]побудинковий звіт'!BL54</f>
        <v>0</v>
      </c>
      <c r="BM54" s="38">
        <f t="shared" si="25"/>
        <v>0</v>
      </c>
      <c r="BN54" s="41">
        <f>'[2]побудинковий звіт'!BN54+'[1]побудинковий звіт'!BN54</f>
        <v>0</v>
      </c>
      <c r="BO54" s="41">
        <f>'[2]побудинковий звіт'!BO54+'[1]побудинковий звіт'!BO54</f>
        <v>0</v>
      </c>
      <c r="BP54" s="58">
        <f t="shared" si="26"/>
        <v>0</v>
      </c>
      <c r="BQ54" s="84">
        <f t="shared" si="27"/>
        <v>0</v>
      </c>
      <c r="BR54" s="42">
        <f t="shared" si="28"/>
        <v>0</v>
      </c>
      <c r="BS54" s="58">
        <f t="shared" si="29"/>
        <v>0</v>
      </c>
      <c r="BT54" s="41">
        <f>'[2]побудинковий звіт'!BT54+'[1]побудинковий звіт'!BT54</f>
        <v>218.59799938781305</v>
      </c>
      <c r="BU54" s="41">
        <f>'[2]побудинковий звіт'!BU54+'[1]побудинковий звіт'!BU54</f>
        <v>1320.9121887464132</v>
      </c>
      <c r="BV54" s="55">
        <f t="shared" si="30"/>
        <v>1102.3141893586003</v>
      </c>
      <c r="BW54" s="41">
        <f>'[2]побудинковий звіт'!BW54+'[1]побудинковий звіт'!BW54</f>
        <v>0</v>
      </c>
      <c r="BX54" s="41">
        <f>'[2]побудинковий звіт'!BX54+'[1]побудинковий звіт'!BX54</f>
        <v>1.215389247691181</v>
      </c>
      <c r="BY54" s="55">
        <f t="shared" si="31"/>
        <v>1.215389247691181</v>
      </c>
      <c r="BZ54" s="41">
        <f>'[2]побудинковий звіт'!BZ54+'[1]побудинковий звіт'!BZ54</f>
        <v>42.971658364901714</v>
      </c>
      <c r="CA54" s="41">
        <f>'[2]побудинковий звіт'!CA54+'[1]побудинковий звіт'!CA54</f>
        <v>110.7976441116202</v>
      </c>
      <c r="CB54" s="55">
        <f t="shared" si="32"/>
        <v>67.825985746718487</v>
      </c>
      <c r="CC54" s="41">
        <f>'[2]побудинковий звіт'!CC54+'[1]побудинковий звіт'!CC54</f>
        <v>0</v>
      </c>
      <c r="CD54" s="41">
        <f>'[2]побудинковий звіт'!CD54+'[1]побудинковий звіт'!CD54</f>
        <v>0</v>
      </c>
      <c r="CE54" s="55">
        <f t="shared" si="33"/>
        <v>0</v>
      </c>
      <c r="CF54" s="41">
        <f>'[2]побудинковий звіт'!CF54+'[1]побудинковий звіт'!CF54</f>
        <v>0</v>
      </c>
      <c r="CG54" s="41">
        <f>'[2]побудинковий звіт'!CG54+'[1]побудинковий звіт'!CG54</f>
        <v>0</v>
      </c>
      <c r="CH54" s="55">
        <f t="shared" si="34"/>
        <v>0</v>
      </c>
      <c r="CI54" s="41">
        <f>'[2]побудинковий звіт'!CI54+'[1]побудинковий звіт'!CI54</f>
        <v>0</v>
      </c>
      <c r="CJ54" s="41">
        <f>'[2]побудинковий звіт'!CJ54+'[1]побудинковий звіт'!CJ54</f>
        <v>0</v>
      </c>
      <c r="CK54" s="55">
        <f t="shared" si="35"/>
        <v>0</v>
      </c>
      <c r="CL54" s="41">
        <f>'[2]побудинковий звіт'!CL54+'[1]побудинковий звіт'!CL54</f>
        <v>0</v>
      </c>
      <c r="CM54" s="41">
        <f>'[2]побудинковий звіт'!CM54+'[1]побудинковий звіт'!CM54</f>
        <v>0</v>
      </c>
      <c r="CN54" s="55">
        <f t="shared" si="36"/>
        <v>0</v>
      </c>
      <c r="CO54" s="41">
        <f t="shared" si="37"/>
        <v>0</v>
      </c>
      <c r="CP54" s="42">
        <f t="shared" si="38"/>
        <v>0</v>
      </c>
      <c r="CQ54" s="55">
        <f t="shared" si="39"/>
        <v>0</v>
      </c>
      <c r="CR54" s="76">
        <f t="shared" si="40"/>
        <v>4354.4608403999891</v>
      </c>
      <c r="CS54" s="5">
        <f t="shared" si="41"/>
        <v>1573.4006063373361</v>
      </c>
      <c r="CT54" s="55">
        <f t="shared" si="42"/>
        <v>-2781.0602340626529</v>
      </c>
      <c r="CU54" s="84">
        <f t="shared" si="43"/>
        <v>5225.3530084799868</v>
      </c>
      <c r="CV54" s="68">
        <f t="shared" si="44"/>
        <v>1888.0807276048031</v>
      </c>
      <c r="CW54" s="36">
        <f t="shared" si="45"/>
        <v>-3337.2722808751837</v>
      </c>
      <c r="CX54" s="41">
        <f>'[2]побудинковий звіт'!CX54+'[1]побудинковий звіт'!CX54</f>
        <v>115.13714415305296</v>
      </c>
      <c r="CY54" s="41">
        <f>'[2]побудинковий звіт'!CY54+'[1]побудинковий звіт'!CY54</f>
        <v>3452.4094250282369</v>
      </c>
      <c r="CZ54" s="55">
        <f t="shared" si="46"/>
        <v>3337.2722808751842</v>
      </c>
      <c r="DA54" s="254">
        <f>'[1]побудинковий звіт'!DA54</f>
        <v>-9404.6621392878696</v>
      </c>
      <c r="DB54" s="2">
        <v>3</v>
      </c>
      <c r="DC54" s="702">
        <f>'[1]побудинковий звіт'!DC54</f>
        <v>1221.82</v>
      </c>
      <c r="DD54" s="702">
        <f>'[1]побудинковий звіт'!DD54</f>
        <v>0</v>
      </c>
      <c r="DE54" s="702">
        <f>'[1]побудинковий звіт'!DE54</f>
        <v>643.24999999999989</v>
      </c>
      <c r="DF54" s="702">
        <f>'[1]побудинковий звіт'!DF54</f>
        <v>0</v>
      </c>
      <c r="DG54" s="772">
        <v>-3998.0100843049695</v>
      </c>
      <c r="DH54" s="746">
        <f t="shared" si="47"/>
        <v>64085.881831596475</v>
      </c>
      <c r="DI54" s="769"/>
      <c r="DJ54" s="5"/>
      <c r="DK54" s="307">
        <f>VLOOKUP($A54,ціни!$A$4:$G$401,5)</f>
        <v>1.4062583882304156</v>
      </c>
      <c r="DL54" s="307"/>
      <c r="DM54" s="307">
        <f>VLOOKUP($A54,ціни!$A$4:$G$401,7)</f>
        <v>1.4062583882304156</v>
      </c>
      <c r="DN54" s="29">
        <f t="shared" ref="DN54:DN68" si="62">F54*DK54</f>
        <v>419.90875472560214</v>
      </c>
      <c r="DO54" s="29">
        <f t="shared" ref="DO54:DO68" si="63">H54*DM54</f>
        <v>0</v>
      </c>
      <c r="DP54" s="306">
        <f t="shared" si="48"/>
        <v>419.90875472560214</v>
      </c>
      <c r="DQ54" s="101"/>
      <c r="DR54" s="29">
        <f>VLOOKUP(A54,'ДЗ нас '!$A$1:$C$359,2)</f>
        <v>419.92</v>
      </c>
      <c r="DS54" s="733"/>
      <c r="DT54" s="29">
        <f t="shared" si="49"/>
        <v>419.92</v>
      </c>
      <c r="DU54" s="247">
        <f>VLOOKUP(A54,'новий кошторис с 01.06'!$A$4:$AI$399,35)*1.2</f>
        <v>421.14986434548075</v>
      </c>
      <c r="DV54" s="29">
        <f t="shared" si="50"/>
        <v>-1.2298643454807348</v>
      </c>
      <c r="DW54" s="1016">
        <f>'[2]побудинковий звіт'!$DW$9+'[1]побудинковий звіт'!DW54</f>
        <v>918</v>
      </c>
      <c r="DX54" s="101">
        <f>'[1]побудинковий звіт'!DX54</f>
        <v>0</v>
      </c>
      <c r="DY54" s="5">
        <f t="shared" si="51"/>
        <v>4375.1680814745214</v>
      </c>
      <c r="DZ54" s="5">
        <f t="shared" si="52"/>
        <v>0</v>
      </c>
      <c r="EA54" s="737">
        <f t="shared" si="53"/>
        <v>643.24999999999989</v>
      </c>
      <c r="EC54" s="577">
        <f t="shared" si="54"/>
        <v>43751.680814745218</v>
      </c>
      <c r="EE54" s="743">
        <v>-618</v>
      </c>
      <c r="EF54" s="723">
        <f t="shared" si="55"/>
        <v>-4616.0100843049695</v>
      </c>
      <c r="EH54" s="798">
        <v>-5471.1722772841667</v>
      </c>
      <c r="EI54" s="101">
        <f>VLOOKUP(A54,'кошти 01.01.24'!$A$9:$D$352,4,FALSE)</f>
        <v>-6067.3898584126855</v>
      </c>
    </row>
    <row r="55" spans="1:139" hidden="1" x14ac:dyDescent="0.3">
      <c r="A55" s="318">
        <v>150000993</v>
      </c>
      <c r="B55" s="43" t="s">
        <v>474</v>
      </c>
      <c r="C55" s="44" t="s">
        <v>41</v>
      </c>
      <c r="D55" s="44" t="s">
        <v>41</v>
      </c>
      <c r="E55" s="39">
        <f t="shared" si="4"/>
        <v>298.39999999999998</v>
      </c>
      <c r="F55" s="205">
        <f>'[1]побудинковий звіт'!F55</f>
        <v>298.39999999999998</v>
      </c>
      <c r="G55" s="29">
        <f>'[1]побудинковий звіт'!G55</f>
        <v>0</v>
      </c>
      <c r="H55" s="148">
        <f>'[1]побудинковий звіт'!H55</f>
        <v>0</v>
      </c>
      <c r="I55" s="41">
        <f>'[2]побудинковий звіт'!I55+'[1]побудинковий звіт'!I55</f>
        <v>0</v>
      </c>
      <c r="J55" s="41">
        <f>'[2]побудинковий звіт'!J55+'[1]побудинковий звіт'!J55</f>
        <v>0</v>
      </c>
      <c r="K55" s="55">
        <f t="shared" si="5"/>
        <v>0</v>
      </c>
      <c r="L55" s="41">
        <f>'[2]побудинковий звіт'!L55+'[1]побудинковий звіт'!L55</f>
        <v>0</v>
      </c>
      <c r="M55" s="41">
        <f>'[2]побудинковий звіт'!M55+'[1]побудинковий звіт'!M55</f>
        <v>0</v>
      </c>
      <c r="N55" s="55">
        <f t="shared" si="6"/>
        <v>0</v>
      </c>
      <c r="O55" s="41">
        <f>'[2]побудинковий звіт'!O55+'[1]побудинковий звіт'!O55</f>
        <v>0</v>
      </c>
      <c r="P55" s="41">
        <f>'[2]побудинковий звіт'!P55+'[1]побудинковий звіт'!P55</f>
        <v>0</v>
      </c>
      <c r="Q55" s="55">
        <f t="shared" si="7"/>
        <v>0</v>
      </c>
      <c r="R55" s="41">
        <f>'[2]побудинковий звіт'!R55+'[1]побудинковий звіт'!R55</f>
        <v>0</v>
      </c>
      <c r="S55" s="41">
        <f>'[2]побудинковий звіт'!S55+'[1]побудинковий звіт'!S55</f>
        <v>0</v>
      </c>
      <c r="T55" s="55">
        <f t="shared" si="8"/>
        <v>0</v>
      </c>
      <c r="U55" s="41">
        <f>'[2]побудинковий звіт'!U55+'[1]побудинковий звіт'!U55</f>
        <v>0</v>
      </c>
      <c r="V55" s="41">
        <f>'[2]побудинковий звіт'!V55+'[1]побудинковий звіт'!V55</f>
        <v>0</v>
      </c>
      <c r="W55" s="55">
        <f t="shared" si="9"/>
        <v>0</v>
      </c>
      <c r="X55" s="41">
        <f>'[2]побудинковий звіт'!X55+'[1]побудинковий звіт'!X55</f>
        <v>0</v>
      </c>
      <c r="Y55" s="41">
        <f>'[2]побудинковий звіт'!Y55+'[1]побудинковий звіт'!Y55</f>
        <v>1623.6420351419495</v>
      </c>
      <c r="Z55" s="55">
        <f t="shared" si="10"/>
        <v>1623.6420351419495</v>
      </c>
      <c r="AA55" s="41">
        <f>'[2]побудинковий звіт'!AA55+'[1]побудинковий звіт'!AA55</f>
        <v>0</v>
      </c>
      <c r="AB55" s="41">
        <f>'[2]побудинковий звіт'!AB55+'[1]побудинковий звіт'!AB55</f>
        <v>0</v>
      </c>
      <c r="AC55" s="55">
        <f t="shared" si="11"/>
        <v>0</v>
      </c>
      <c r="AD55" s="41">
        <f>'[2]побудинковий звіт'!AD55+'[1]побудинковий звіт'!AD55</f>
        <v>0</v>
      </c>
      <c r="AE55" s="41">
        <f>'[2]побудинковий звіт'!AE55+'[1]побудинковий звіт'!AE55</f>
        <v>0</v>
      </c>
      <c r="AF55" s="36">
        <f t="shared" si="12"/>
        <v>0</v>
      </c>
      <c r="AG55" s="84">
        <f t="shared" si="13"/>
        <v>0</v>
      </c>
      <c r="AH55" s="56">
        <f t="shared" si="14"/>
        <v>1623.6420351419495</v>
      </c>
      <c r="AI55" s="55">
        <f t="shared" si="15"/>
        <v>1623.6420351419495</v>
      </c>
      <c r="AJ55" s="41">
        <f>'[2]побудинковий звіт'!AJ55+'[1]побудинковий звіт'!AJ55</f>
        <v>0</v>
      </c>
      <c r="AK55" s="41">
        <f>'[2]побудинковий звіт'!AK55+'[1]побудинковий звіт'!AK55</f>
        <v>0</v>
      </c>
      <c r="AL55" s="55">
        <f t="shared" si="16"/>
        <v>0</v>
      </c>
      <c r="AM55" s="41">
        <f>'[2]побудинковий звіт'!AM55+'[1]побудинковий звіт'!AM55</f>
        <v>0</v>
      </c>
      <c r="AN55" s="41">
        <f>'[2]побудинковий звіт'!AN55+'[1]побудинковий звіт'!AN55</f>
        <v>0</v>
      </c>
      <c r="AO55" s="55">
        <f t="shared" si="17"/>
        <v>0</v>
      </c>
      <c r="AP55" s="41">
        <f>'[2]побудинковий звіт'!AP55+'[1]побудинковий звіт'!AP55</f>
        <v>536.30133770220777</v>
      </c>
      <c r="AQ55" s="41">
        <f>'[2]побудинковий звіт'!AQ55+'[1]побудинковий звіт'!AQ55</f>
        <v>146.37787894674858</v>
      </c>
      <c r="AR55" s="55">
        <f t="shared" si="18"/>
        <v>-389.92345875545919</v>
      </c>
      <c r="AS55" s="41">
        <f>'[2]побудинковий звіт'!AS55+'[1]побудинковий звіт'!AS55</f>
        <v>3651.1174642665414</v>
      </c>
      <c r="AT55" s="41">
        <f>'[2]побудинковий звіт'!AT55+'[1]побудинковий звіт'!AT55</f>
        <v>13823.951424754938</v>
      </c>
      <c r="AU55" s="57">
        <f t="shared" si="19"/>
        <v>10172.833960488397</v>
      </c>
      <c r="AV55" s="41">
        <f>'[2]побудинковий звіт'!AV55+'[1]побудинковий звіт'!AV55</f>
        <v>0</v>
      </c>
      <c r="AW55" s="41">
        <f>'[2]побудинковий звіт'!AW55+'[1]побудинковий звіт'!AW55</f>
        <v>0</v>
      </c>
      <c r="AX55" s="58">
        <f t="shared" si="20"/>
        <v>0</v>
      </c>
      <c r="AY55" s="41">
        <f>'[2]побудинковий звіт'!AY55+'[1]побудинковий звіт'!AY55</f>
        <v>0</v>
      </c>
      <c r="AZ55" s="41">
        <f>'[2]побудинковий звіт'!AZ55+'[1]побудинковий звіт'!AZ55</f>
        <v>0</v>
      </c>
      <c r="BA55" s="36">
        <f t="shared" si="21"/>
        <v>0</v>
      </c>
      <c r="BB55" s="41">
        <f>'[2]побудинковий звіт'!BB55+'[1]побудинковий звіт'!BB55</f>
        <v>0</v>
      </c>
      <c r="BC55" s="41">
        <f>'[2]побудинковий звіт'!BC55+'[1]побудинковий звіт'!BC55</f>
        <v>0</v>
      </c>
      <c r="BD55" s="58">
        <f t="shared" si="22"/>
        <v>0</v>
      </c>
      <c r="BE55" s="41">
        <f>'[2]побудинковий звіт'!BE55+'[1]побудинковий звіт'!BE55</f>
        <v>0</v>
      </c>
      <c r="BF55" s="41">
        <f>'[2]побудинковий звіт'!BF55+'[1]побудинковий звіт'!BF55</f>
        <v>0</v>
      </c>
      <c r="BG55" s="38">
        <f t="shared" si="23"/>
        <v>0</v>
      </c>
      <c r="BH55" s="41">
        <f>'[2]побудинковий звіт'!BH55+'[1]побудинковий звіт'!BH55</f>
        <v>0</v>
      </c>
      <c r="BI55" s="41">
        <f>'[2]побудинковий звіт'!BI55+'[1]побудинковий звіт'!BI55</f>
        <v>0</v>
      </c>
      <c r="BJ55" s="58">
        <f t="shared" si="24"/>
        <v>0</v>
      </c>
      <c r="BK55" s="41">
        <f>'[2]побудинковий звіт'!BK55+'[1]побудинковий звіт'!BK55</f>
        <v>0</v>
      </c>
      <c r="BL55" s="41">
        <f>'[2]побудинковий звіт'!BL55+'[1]побудинковий звіт'!BL55</f>
        <v>0</v>
      </c>
      <c r="BM55" s="38">
        <f t="shared" si="25"/>
        <v>0</v>
      </c>
      <c r="BN55" s="41">
        <f>'[2]побудинковий звіт'!BN55+'[1]побудинковий звіт'!BN55</f>
        <v>0</v>
      </c>
      <c r="BO55" s="41">
        <f>'[2]побудинковий звіт'!BO55+'[1]побудинковий звіт'!BO55</f>
        <v>0</v>
      </c>
      <c r="BP55" s="58">
        <f t="shared" si="26"/>
        <v>0</v>
      </c>
      <c r="BQ55" s="84">
        <f t="shared" si="27"/>
        <v>0</v>
      </c>
      <c r="BR55" s="42">
        <f t="shared" si="28"/>
        <v>0</v>
      </c>
      <c r="BS55" s="58">
        <f t="shared" si="29"/>
        <v>0</v>
      </c>
      <c r="BT55" s="41">
        <f>'[2]побудинковий звіт'!BT55+'[1]побудинковий звіт'!BT55</f>
        <v>170.02066619052121</v>
      </c>
      <c r="BU55" s="41">
        <f>'[2]побудинковий звіт'!BU55+'[1]побудинковий звіт'!BU55</f>
        <v>1122.7809512276581</v>
      </c>
      <c r="BV55" s="55">
        <f t="shared" si="30"/>
        <v>952.7602850371369</v>
      </c>
      <c r="BW55" s="41">
        <f>'[2]побудинковий звіт'!BW55+'[1]побудинковий звіт'!BW55</f>
        <v>0</v>
      </c>
      <c r="BX55" s="41">
        <f>'[2]побудинковий звіт'!BX55+'[1]побудинковий звіт'!BX55</f>
        <v>1.2145751892533436</v>
      </c>
      <c r="BY55" s="55">
        <f t="shared" si="31"/>
        <v>1.2145751892533436</v>
      </c>
      <c r="BZ55" s="41">
        <f>'[2]побудинковий звіт'!BZ55+'[1]побудинковий звіт'!BZ55</f>
        <v>33.422400950479123</v>
      </c>
      <c r="CA55" s="41">
        <f>'[2]побудинковий звіт'!CA55+'[1]побудинковий звіт'!CA55</f>
        <v>94.18658579242873</v>
      </c>
      <c r="CB55" s="55">
        <f t="shared" si="32"/>
        <v>60.764184841949607</v>
      </c>
      <c r="CC55" s="41">
        <f>'[2]побудинковий звіт'!CC55+'[1]побудинковий звіт'!CC55</f>
        <v>0</v>
      </c>
      <c r="CD55" s="41">
        <f>'[2]побудинковий звіт'!CD55+'[1]побудинковий звіт'!CD55</f>
        <v>0</v>
      </c>
      <c r="CE55" s="55">
        <f t="shared" si="33"/>
        <v>0</v>
      </c>
      <c r="CF55" s="41">
        <f>'[2]побудинковий звіт'!CF55+'[1]побудинковий звіт'!CF55</f>
        <v>0</v>
      </c>
      <c r="CG55" s="41">
        <f>'[2]побудинковий звіт'!CG55+'[1]побудинковий звіт'!CG55</f>
        <v>0</v>
      </c>
      <c r="CH55" s="55">
        <f t="shared" si="34"/>
        <v>0</v>
      </c>
      <c r="CI55" s="41">
        <f>'[2]побудинковий звіт'!CI55+'[1]побудинковий звіт'!CI55</f>
        <v>0</v>
      </c>
      <c r="CJ55" s="41">
        <f>'[2]побудинковий звіт'!CJ55+'[1]побудинковий звіт'!CJ55</f>
        <v>0</v>
      </c>
      <c r="CK55" s="55">
        <f t="shared" si="35"/>
        <v>0</v>
      </c>
      <c r="CL55" s="41">
        <f>'[2]побудинковий звіт'!CL55+'[1]побудинковий звіт'!CL55</f>
        <v>0</v>
      </c>
      <c r="CM55" s="41">
        <f>'[2]побудинковий звіт'!CM55+'[1]побудинковий звіт'!CM55</f>
        <v>0</v>
      </c>
      <c r="CN55" s="55">
        <f t="shared" si="36"/>
        <v>0</v>
      </c>
      <c r="CO55" s="41">
        <f t="shared" si="37"/>
        <v>0</v>
      </c>
      <c r="CP55" s="42">
        <f t="shared" si="38"/>
        <v>0</v>
      </c>
      <c r="CQ55" s="55">
        <f t="shared" si="39"/>
        <v>0</v>
      </c>
      <c r="CR55" s="76">
        <f t="shared" si="40"/>
        <v>4390.861869109749</v>
      </c>
      <c r="CS55" s="5">
        <f t="shared" si="41"/>
        <v>16812.153451052975</v>
      </c>
      <c r="CT55" s="55">
        <f t="shared" si="42"/>
        <v>12421.291581943226</v>
      </c>
      <c r="CU55" s="84">
        <f t="shared" si="43"/>
        <v>5269.0342429316988</v>
      </c>
      <c r="CV55" s="68">
        <f t="shared" si="44"/>
        <v>20174.584141263567</v>
      </c>
      <c r="CW55" s="36">
        <f t="shared" si="45"/>
        <v>14905.549898331868</v>
      </c>
      <c r="CX55" s="41">
        <f>'[2]побудинковий звіт'!CX55+'[1]побудинковий звіт'!CX55</f>
        <v>116.4755523026425</v>
      </c>
      <c r="CY55" s="41">
        <f>'[2]побудинковий звіт'!CY55+'[1]побудинковий звіт'!CY55</f>
        <v>-14789.074346029231</v>
      </c>
      <c r="CZ55" s="55">
        <f t="shared" si="46"/>
        <v>-14905.549898331874</v>
      </c>
      <c r="DA55" s="254">
        <f>'[1]побудинковий звіт'!DA55</f>
        <v>6632.6421197356067</v>
      </c>
      <c r="DB55" s="2">
        <v>3</v>
      </c>
      <c r="DC55" s="702">
        <f>'[1]побудинковий звіт'!DC55</f>
        <v>615.91</v>
      </c>
      <c r="DD55" s="702">
        <f>'[1]побудинковий звіт'!DD55</f>
        <v>0</v>
      </c>
      <c r="DE55" s="702">
        <f>'[1]побудинковий звіт'!DE55</f>
        <v>25.089999999999918</v>
      </c>
      <c r="DF55" s="702">
        <f>'[1]побудинковий звіт'!DF55</f>
        <v>0</v>
      </c>
      <c r="DG55" s="772">
        <v>-4663.8948197575191</v>
      </c>
      <c r="DH55" s="746">
        <f t="shared" si="47"/>
        <v>64626.117542812091</v>
      </c>
      <c r="DI55" s="769"/>
      <c r="DJ55" s="5"/>
      <c r="DK55" s="307">
        <f>VLOOKUP($A55,ціни!$A$4:$G$401,5)</f>
        <v>1.4144370817680472</v>
      </c>
      <c r="DL55" s="307"/>
      <c r="DM55" s="307">
        <f>VLOOKUP($A55,ціни!$A$4:$G$401,7)</f>
        <v>1.4144370817680472</v>
      </c>
      <c r="DN55" s="29">
        <f t="shared" si="62"/>
        <v>422.06802519958524</v>
      </c>
      <c r="DO55" s="29">
        <f t="shared" si="63"/>
        <v>0</v>
      </c>
      <c r="DP55" s="306">
        <f t="shared" si="48"/>
        <v>422.06802519958524</v>
      </c>
      <c r="DQ55" s="101"/>
      <c r="DR55" s="29">
        <f>VLOOKUP(A55,'ДЗ нас '!$A$1:$C$359,2)</f>
        <v>422.07</v>
      </c>
      <c r="DS55" s="733"/>
      <c r="DT55" s="29">
        <f t="shared" si="49"/>
        <v>422.07</v>
      </c>
      <c r="DU55" s="247">
        <f>VLOOKUP(A55,'новий кошторис с 01.06'!$A$4:$AI$399,35)*1.2</f>
        <v>423.31551689968256</v>
      </c>
      <c r="DV55" s="29">
        <f t="shared" si="50"/>
        <v>-1.2455168996825705</v>
      </c>
      <c r="DW55" s="1016">
        <f>'[2]побудинковий звіт'!$DW$9+'[1]побудинковий звіт'!DW55</f>
        <v>0</v>
      </c>
      <c r="DX55" s="101">
        <f>'[1]побудинковий звіт'!DX55</f>
        <v>1768.4</v>
      </c>
      <c r="DY55" s="5">
        <f t="shared" si="51"/>
        <v>4381.3409571198499</v>
      </c>
      <c r="DZ55" s="5">
        <f t="shared" si="52"/>
        <v>16588.741709705926</v>
      </c>
      <c r="EA55" s="737">
        <f t="shared" si="53"/>
        <v>25.089999999999918</v>
      </c>
      <c r="EC55" s="577">
        <f t="shared" si="54"/>
        <v>43813.409571198499</v>
      </c>
      <c r="EE55" s="743">
        <v>-783</v>
      </c>
      <c r="EF55" s="723">
        <f t="shared" si="55"/>
        <v>-5446.8948197575191</v>
      </c>
      <c r="EH55" s="798">
        <v>-6283.6899857241979</v>
      </c>
      <c r="EI55" s="101">
        <f>VLOOKUP(A55,'кошти 01.01.24'!$A$9:$D$352,4,FALSE)</f>
        <v>-8272.9077785962654</v>
      </c>
    </row>
    <row r="56" spans="1:139" hidden="1" x14ac:dyDescent="0.3">
      <c r="A56" s="318">
        <v>150001004</v>
      </c>
      <c r="B56" s="43" t="s">
        <v>476</v>
      </c>
      <c r="C56" s="44" t="s">
        <v>43</v>
      </c>
      <c r="D56" s="44" t="s">
        <v>43</v>
      </c>
      <c r="E56" s="39">
        <f t="shared" si="4"/>
        <v>315.7</v>
      </c>
      <c r="F56" s="205">
        <f>'[1]побудинковий звіт'!F56</f>
        <v>315.7</v>
      </c>
      <c r="G56" s="29">
        <f>'[1]побудинковий звіт'!G56</f>
        <v>0</v>
      </c>
      <c r="H56" s="148">
        <f>'[1]побудинковий звіт'!H56</f>
        <v>0</v>
      </c>
      <c r="I56" s="41">
        <f>'[2]побудинковий звіт'!I56+'[1]побудинковий звіт'!I56</f>
        <v>0</v>
      </c>
      <c r="J56" s="41">
        <f>'[2]побудинковий звіт'!J56+'[1]побудинковий звіт'!J56</f>
        <v>0</v>
      </c>
      <c r="K56" s="55">
        <f t="shared" si="5"/>
        <v>0</v>
      </c>
      <c r="L56" s="41">
        <f>'[2]побудинковий звіт'!L56+'[1]побудинковий звіт'!L56</f>
        <v>0</v>
      </c>
      <c r="M56" s="41">
        <f>'[2]побудинковий звіт'!M56+'[1]побудинковий звіт'!M56</f>
        <v>0</v>
      </c>
      <c r="N56" s="55">
        <f t="shared" si="6"/>
        <v>0</v>
      </c>
      <c r="O56" s="41">
        <f>'[2]побудинковий звіт'!O56+'[1]побудинковий звіт'!O56</f>
        <v>0</v>
      </c>
      <c r="P56" s="41">
        <f>'[2]побудинковий звіт'!P56+'[1]побудинковий звіт'!P56</f>
        <v>0</v>
      </c>
      <c r="Q56" s="55">
        <f t="shared" si="7"/>
        <v>0</v>
      </c>
      <c r="R56" s="41">
        <f>'[2]побудинковий звіт'!R56+'[1]побудинковий звіт'!R56</f>
        <v>0</v>
      </c>
      <c r="S56" s="41">
        <f>'[2]побудинковий звіт'!S56+'[1]побудинковий звіт'!S56</f>
        <v>0</v>
      </c>
      <c r="T56" s="55">
        <f t="shared" si="8"/>
        <v>0</v>
      </c>
      <c r="U56" s="41">
        <f>'[2]побудинковий звіт'!U56+'[1]побудинковий звіт'!U56</f>
        <v>0</v>
      </c>
      <c r="V56" s="41">
        <f>'[2]побудинковий звіт'!V56+'[1]побудинковий звіт'!V56</f>
        <v>0</v>
      </c>
      <c r="W56" s="55">
        <f t="shared" si="9"/>
        <v>0</v>
      </c>
      <c r="X56" s="41">
        <f>'[2]побудинковий звіт'!X56+'[1]побудинковий звіт'!X56</f>
        <v>0</v>
      </c>
      <c r="Y56" s="41">
        <f>'[2]побудинковий звіт'!Y56+'[1]побудинковий звіт'!Y56</f>
        <v>0</v>
      </c>
      <c r="Z56" s="55">
        <f t="shared" si="10"/>
        <v>0</v>
      </c>
      <c r="AA56" s="41">
        <f>'[2]побудинковий звіт'!AA56+'[1]побудинковий звіт'!AA56</f>
        <v>0</v>
      </c>
      <c r="AB56" s="41">
        <f>'[2]побудинковий звіт'!AB56+'[1]побудинковий звіт'!AB56</f>
        <v>0</v>
      </c>
      <c r="AC56" s="55">
        <f t="shared" si="11"/>
        <v>0</v>
      </c>
      <c r="AD56" s="41">
        <f>'[2]побудинковий звіт'!AD56+'[1]побудинковий звіт'!AD56</f>
        <v>0</v>
      </c>
      <c r="AE56" s="41">
        <f>'[2]побудинковий звіт'!AE56+'[1]побудинковий звіт'!AE56</f>
        <v>0</v>
      </c>
      <c r="AF56" s="36">
        <f t="shared" si="12"/>
        <v>0</v>
      </c>
      <c r="AG56" s="84">
        <f t="shared" si="13"/>
        <v>0</v>
      </c>
      <c r="AH56" s="56">
        <f t="shared" si="14"/>
        <v>0</v>
      </c>
      <c r="AI56" s="55">
        <f t="shared" si="15"/>
        <v>0</v>
      </c>
      <c r="AJ56" s="41">
        <f>'[2]побудинковий звіт'!AJ56+'[1]побудинковий звіт'!AJ56</f>
        <v>0</v>
      </c>
      <c r="AK56" s="41">
        <f>'[2]побудинковий звіт'!AK56+'[1]побудинковий звіт'!AK56</f>
        <v>0</v>
      </c>
      <c r="AL56" s="55">
        <f t="shared" si="16"/>
        <v>0</v>
      </c>
      <c r="AM56" s="41">
        <f>'[2]побудинковий звіт'!AM56+'[1]побудинковий звіт'!AM56</f>
        <v>0</v>
      </c>
      <c r="AN56" s="41">
        <f>'[2]побудинковий звіт'!AN56+'[1]побудинковий звіт'!AN56</f>
        <v>0</v>
      </c>
      <c r="AO56" s="55">
        <f t="shared" si="17"/>
        <v>0</v>
      </c>
      <c r="AP56" s="41">
        <f>'[2]побудинковий звіт'!AP56+'[1]побудинковий звіт'!AP56</f>
        <v>491.60955956035713</v>
      </c>
      <c r="AQ56" s="41">
        <f>'[2]побудинковий звіт'!AQ56+'[1]побудинковий звіт'!AQ56</f>
        <v>73.18893947337429</v>
      </c>
      <c r="AR56" s="55">
        <f t="shared" si="18"/>
        <v>-418.42062008698281</v>
      </c>
      <c r="AS56" s="41">
        <f>'[2]побудинковий звіт'!AS56+'[1]побудинковий звіт'!AS56</f>
        <v>3852.3472277861374</v>
      </c>
      <c r="AT56" s="41">
        <f>'[2]побудинковий звіт'!AT56+'[1]побудинковий звіт'!AT56</f>
        <v>0</v>
      </c>
      <c r="AU56" s="57">
        <f t="shared" si="19"/>
        <v>-3852.3472277861374</v>
      </c>
      <c r="AV56" s="41">
        <f>'[2]побудинковий звіт'!AV56+'[1]побудинковий звіт'!AV56</f>
        <v>0</v>
      </c>
      <c r="AW56" s="41">
        <f>'[2]побудинковий звіт'!AW56+'[1]побудинковий звіт'!AW56</f>
        <v>0</v>
      </c>
      <c r="AX56" s="58">
        <f t="shared" si="20"/>
        <v>0</v>
      </c>
      <c r="AY56" s="41">
        <f>'[2]побудинковий звіт'!AY56+'[1]побудинковий звіт'!AY56</f>
        <v>0</v>
      </c>
      <c r="AZ56" s="41">
        <f>'[2]побудинковий звіт'!AZ56+'[1]побудинковий звіт'!AZ56</f>
        <v>0</v>
      </c>
      <c r="BA56" s="36">
        <f t="shared" si="21"/>
        <v>0</v>
      </c>
      <c r="BB56" s="41">
        <f>'[2]побудинковий звіт'!BB56+'[1]побудинковий звіт'!BB56</f>
        <v>0</v>
      </c>
      <c r="BC56" s="41">
        <f>'[2]побудинковий звіт'!BC56+'[1]побудинковий звіт'!BC56</f>
        <v>0</v>
      </c>
      <c r="BD56" s="58">
        <f t="shared" si="22"/>
        <v>0</v>
      </c>
      <c r="BE56" s="41">
        <f>'[2]побудинковий звіт'!BE56+'[1]побудинковий звіт'!BE56</f>
        <v>0</v>
      </c>
      <c r="BF56" s="41">
        <f>'[2]побудинковий звіт'!BF56+'[1]побудинковий звіт'!BF56</f>
        <v>0</v>
      </c>
      <c r="BG56" s="38">
        <f t="shared" si="23"/>
        <v>0</v>
      </c>
      <c r="BH56" s="41">
        <f>'[2]побудинковий звіт'!BH56+'[1]побудинковий звіт'!BH56</f>
        <v>0</v>
      </c>
      <c r="BI56" s="41">
        <f>'[2]побудинковий звіт'!BI56+'[1]побудинковий звіт'!BI56</f>
        <v>0</v>
      </c>
      <c r="BJ56" s="58">
        <f t="shared" si="24"/>
        <v>0</v>
      </c>
      <c r="BK56" s="41">
        <f>'[2]побудинковий звіт'!BK56+'[1]побудинковий звіт'!BK56</f>
        <v>0</v>
      </c>
      <c r="BL56" s="41">
        <f>'[2]побудинковий звіт'!BL56+'[1]побудинковий звіт'!BL56</f>
        <v>0</v>
      </c>
      <c r="BM56" s="38">
        <f t="shared" si="25"/>
        <v>0</v>
      </c>
      <c r="BN56" s="41">
        <f>'[2]побудинковий звіт'!BN56+'[1]побудинковий звіт'!BN56</f>
        <v>0</v>
      </c>
      <c r="BO56" s="41">
        <f>'[2]побудинковий звіт'!BO56+'[1]побудинковий звіт'!BO56</f>
        <v>0</v>
      </c>
      <c r="BP56" s="58">
        <f t="shared" si="26"/>
        <v>0</v>
      </c>
      <c r="BQ56" s="84">
        <f t="shared" si="27"/>
        <v>0</v>
      </c>
      <c r="BR56" s="42">
        <f t="shared" si="28"/>
        <v>0</v>
      </c>
      <c r="BS56" s="58">
        <f t="shared" si="29"/>
        <v>0</v>
      </c>
      <c r="BT56" s="41">
        <f>'[2]побудинковий звіт'!BT56+'[1]побудинковий звіт'!BT56</f>
        <v>145.73199959187534</v>
      </c>
      <c r="BU56" s="41">
        <f>'[2]побудинковий звіт'!BU56+'[1]побудинковий звіт'!BU56</f>
        <v>858.68469335733778</v>
      </c>
      <c r="BV56" s="55">
        <f t="shared" si="30"/>
        <v>712.95269376546241</v>
      </c>
      <c r="BW56" s="41">
        <f>'[2]побудинковий звіт'!BW56+'[1]побудинковий звіт'!BW56</f>
        <v>0</v>
      </c>
      <c r="BX56" s="41">
        <f>'[2]побудинковий звіт'!BX56+'[1]побудинковий звіт'!BX56</f>
        <v>1.2849912441262754</v>
      </c>
      <c r="BY56" s="55">
        <f t="shared" si="31"/>
        <v>1.2849912441262754</v>
      </c>
      <c r="BZ56" s="41">
        <f>'[2]побудинковий звіт'!BZ56+'[1]побудинковий звіт'!BZ56</f>
        <v>28.647772243267816</v>
      </c>
      <c r="CA56" s="41">
        <f>'[2]побудинковий звіт'!CA56+'[1]побудинковий звіт'!CA56</f>
        <v>72.022149371503815</v>
      </c>
      <c r="CB56" s="55">
        <f t="shared" si="32"/>
        <v>43.374377128235999</v>
      </c>
      <c r="CC56" s="41">
        <f>'[2]побудинковий звіт'!CC56+'[1]побудинковий звіт'!CC56</f>
        <v>0</v>
      </c>
      <c r="CD56" s="41">
        <f>'[2]побудинковий звіт'!CD56+'[1]побудинковий звіт'!CD56</f>
        <v>0</v>
      </c>
      <c r="CE56" s="55">
        <f t="shared" si="33"/>
        <v>0</v>
      </c>
      <c r="CF56" s="41">
        <f>'[2]побудинковий звіт'!CF56+'[1]побудинковий звіт'!CF56</f>
        <v>0</v>
      </c>
      <c r="CG56" s="41">
        <f>'[2]побудинковий звіт'!CG56+'[1]побудинковий звіт'!CG56</f>
        <v>0</v>
      </c>
      <c r="CH56" s="55">
        <f t="shared" si="34"/>
        <v>0</v>
      </c>
      <c r="CI56" s="41">
        <f>'[2]побудинковий звіт'!CI56+'[1]побудинковий звіт'!CI56</f>
        <v>0</v>
      </c>
      <c r="CJ56" s="41">
        <f>'[2]побудинковий звіт'!CJ56+'[1]побудинковий звіт'!CJ56</f>
        <v>0</v>
      </c>
      <c r="CK56" s="55">
        <f t="shared" si="35"/>
        <v>0</v>
      </c>
      <c r="CL56" s="41">
        <f>'[2]побудинковий звіт'!CL56+'[1]побудинковий звіт'!CL56</f>
        <v>0</v>
      </c>
      <c r="CM56" s="41">
        <f>'[2]побудинковий звіт'!CM56+'[1]побудинковий звіт'!CM56</f>
        <v>0</v>
      </c>
      <c r="CN56" s="55">
        <f t="shared" si="36"/>
        <v>0</v>
      </c>
      <c r="CO56" s="41">
        <f t="shared" si="37"/>
        <v>0</v>
      </c>
      <c r="CP56" s="42">
        <f t="shared" si="38"/>
        <v>0</v>
      </c>
      <c r="CQ56" s="55">
        <f t="shared" si="39"/>
        <v>0</v>
      </c>
      <c r="CR56" s="76">
        <f t="shared" si="40"/>
        <v>4518.3365591816382</v>
      </c>
      <c r="CS56" s="5">
        <f t="shared" si="41"/>
        <v>1005.1807734463422</v>
      </c>
      <c r="CT56" s="55">
        <f t="shared" si="42"/>
        <v>-3513.1557857352959</v>
      </c>
      <c r="CU56" s="84">
        <f t="shared" si="43"/>
        <v>5422.003871017966</v>
      </c>
      <c r="CV56" s="68">
        <f t="shared" si="44"/>
        <v>1206.2169281356105</v>
      </c>
      <c r="CW56" s="36">
        <f t="shared" si="45"/>
        <v>-4215.786942882356</v>
      </c>
      <c r="CX56" s="41">
        <f>'[2]побудинковий звіт'!CX56+'[1]побудинковий звіт'!CX56</f>
        <v>163.11450216200811</v>
      </c>
      <c r="CY56" s="41">
        <f>'[2]побудинковий звіт'!CY56+'[1]побудинковий звіт'!CY56</f>
        <v>4378.9014450443628</v>
      </c>
      <c r="CZ56" s="55">
        <f t="shared" si="46"/>
        <v>4215.7869428823551</v>
      </c>
      <c r="DA56" s="254">
        <f>'[1]побудинковий звіт'!DA56</f>
        <v>-2667.6621087864096</v>
      </c>
      <c r="DB56" s="2">
        <v>3</v>
      </c>
      <c r="DC56" s="702">
        <f>'[1]побудинковий звіт'!DC56</f>
        <v>527.76</v>
      </c>
      <c r="DD56" s="702">
        <f>'[1]побудинковий звіт'!DD56</f>
        <v>0</v>
      </c>
      <c r="DE56" s="702">
        <f>'[1]побудинковий звіт'!DE56</f>
        <v>-82.310000000000059</v>
      </c>
      <c r="DF56" s="702">
        <f>'[1]побудинковий звіт'!DF56</f>
        <v>0</v>
      </c>
      <c r="DG56" s="772">
        <v>-3412.586272178758</v>
      </c>
      <c r="DH56" s="746">
        <f t="shared" si="47"/>
        <v>67021.420478159678</v>
      </c>
      <c r="DI56" s="769"/>
      <c r="DJ56" s="5"/>
      <c r="DK56" s="307">
        <f>VLOOKUP($A56,ціни!$A$4:$G$401,5)</f>
        <v>1.3881003482150942</v>
      </c>
      <c r="DL56" s="307"/>
      <c r="DM56" s="307">
        <f>VLOOKUP($A56,ціни!$A$4:$G$401,7)</f>
        <v>1.3881003482150942</v>
      </c>
      <c r="DN56" s="29">
        <f t="shared" si="62"/>
        <v>438.2232799315052</v>
      </c>
      <c r="DO56" s="29">
        <f t="shared" si="63"/>
        <v>0</v>
      </c>
      <c r="DP56" s="306">
        <f t="shared" si="48"/>
        <v>438.2232799315052</v>
      </c>
      <c r="DQ56" s="101"/>
      <c r="DR56" s="29">
        <f>VLOOKUP(A56,'ДЗ нас '!$A$1:$C$359,2)</f>
        <v>438.22</v>
      </c>
      <c r="DS56" s="733"/>
      <c r="DT56" s="29">
        <f t="shared" si="49"/>
        <v>438.22</v>
      </c>
      <c r="DU56" s="247">
        <f>VLOOKUP(A56,'новий кошторис с 01.06'!$A$4:$AI$399,35)*1.2</f>
        <v>440.36095446775647</v>
      </c>
      <c r="DV56" s="29">
        <f t="shared" si="50"/>
        <v>-2.140954467756444</v>
      </c>
      <c r="DW56" s="1016">
        <f>'[2]побудинковий звіт'!$DW$9+'[1]побудинковий звіт'!DW56</f>
        <v>0</v>
      </c>
      <c r="DX56" s="101">
        <f>'[1]побудинковий звіт'!DX56</f>
        <v>0</v>
      </c>
      <c r="DY56" s="5">
        <f t="shared" si="51"/>
        <v>4622.8166733433645</v>
      </c>
      <c r="DZ56" s="5">
        <f t="shared" si="52"/>
        <v>0</v>
      </c>
      <c r="EA56" s="737">
        <f t="shared" si="53"/>
        <v>-82.310000000000059</v>
      </c>
      <c r="EC56" s="577">
        <f t="shared" si="54"/>
        <v>46228.166733433653</v>
      </c>
      <c r="EE56" s="743">
        <v>-706</v>
      </c>
      <c r="EF56" s="723">
        <f t="shared" si="55"/>
        <v>-4118.586272178758</v>
      </c>
      <c r="EH56" s="798">
        <v>-5127.6689699335639</v>
      </c>
      <c r="EI56" s="101">
        <f>VLOOKUP(A56,'кошти 01.01.24'!$A$9:$D$352,4,FALSE)</f>
        <v>1548.1248340959453</v>
      </c>
    </row>
    <row r="57" spans="1:139" ht="14.4" hidden="1" customHeight="1" x14ac:dyDescent="0.3">
      <c r="A57" s="318">
        <v>150000994</v>
      </c>
      <c r="B57" s="43" t="s">
        <v>477</v>
      </c>
      <c r="C57" s="44" t="s">
        <v>44</v>
      </c>
      <c r="D57" s="44" t="s">
        <v>44</v>
      </c>
      <c r="E57" s="39">
        <f t="shared" si="4"/>
        <v>240.1</v>
      </c>
      <c r="F57" s="205">
        <f>'[1]побудинковий звіт'!F57</f>
        <v>240.1</v>
      </c>
      <c r="G57" s="29">
        <f>'[1]побудинковий звіт'!G57</f>
        <v>0</v>
      </c>
      <c r="H57" s="148">
        <f>'[1]побудинковий звіт'!H57</f>
        <v>0</v>
      </c>
      <c r="I57" s="41">
        <f>'[2]побудинковий звіт'!I57+'[1]побудинковий звіт'!I57</f>
        <v>0</v>
      </c>
      <c r="J57" s="41">
        <f>'[2]побудинковий звіт'!J57+'[1]побудинковий звіт'!J57</f>
        <v>0</v>
      </c>
      <c r="K57" s="55">
        <f t="shared" si="5"/>
        <v>0</v>
      </c>
      <c r="L57" s="41">
        <f>'[2]побудинковий звіт'!L57+'[1]побудинковий звіт'!L57</f>
        <v>0</v>
      </c>
      <c r="M57" s="41">
        <f>'[2]побудинковий звіт'!M57+'[1]побудинковий звіт'!M57</f>
        <v>0</v>
      </c>
      <c r="N57" s="55">
        <f t="shared" si="6"/>
        <v>0</v>
      </c>
      <c r="O57" s="41">
        <f>'[2]побудинковий звіт'!O57+'[1]побудинковий звіт'!O57</f>
        <v>0</v>
      </c>
      <c r="P57" s="41">
        <f>'[2]побудинковий звіт'!P57+'[1]побудинковий звіт'!P57</f>
        <v>0</v>
      </c>
      <c r="Q57" s="55">
        <f t="shared" si="7"/>
        <v>0</v>
      </c>
      <c r="R57" s="41">
        <f>'[2]побудинковий звіт'!R57+'[1]побудинковий звіт'!R57</f>
        <v>0</v>
      </c>
      <c r="S57" s="41">
        <f>'[2]побудинковий звіт'!S57+'[1]побудинковий звіт'!S57</f>
        <v>0</v>
      </c>
      <c r="T57" s="55">
        <f t="shared" si="8"/>
        <v>0</v>
      </c>
      <c r="U57" s="41">
        <f>'[2]побудинковий звіт'!U57+'[1]побудинковий звіт'!U57</f>
        <v>0</v>
      </c>
      <c r="V57" s="41">
        <f>'[2]побудинковий звіт'!V57+'[1]побудинковий звіт'!V57</f>
        <v>0</v>
      </c>
      <c r="W57" s="55">
        <f t="shared" si="9"/>
        <v>0</v>
      </c>
      <c r="X57" s="41">
        <f>'[2]побудинковий звіт'!X57+'[1]побудинковий звіт'!X57</f>
        <v>25.896266828444737</v>
      </c>
      <c r="Y57" s="41">
        <f>'[2]побудинковий звіт'!Y57+'[1]побудинковий звіт'!Y57</f>
        <v>510.73058524494724</v>
      </c>
      <c r="Z57" s="55">
        <f t="shared" si="10"/>
        <v>484.83431841650247</v>
      </c>
      <c r="AA57" s="41">
        <f>'[2]побудинковий звіт'!AA57+'[1]побудинковий звіт'!AA57</f>
        <v>0</v>
      </c>
      <c r="AB57" s="41">
        <f>'[2]побудинковий звіт'!AB57+'[1]побудинковий звіт'!AB57</f>
        <v>0</v>
      </c>
      <c r="AC57" s="55">
        <f t="shared" si="11"/>
        <v>0</v>
      </c>
      <c r="AD57" s="41">
        <f>'[2]побудинковий звіт'!AD57+'[1]побудинковий звіт'!AD57</f>
        <v>0</v>
      </c>
      <c r="AE57" s="41">
        <f>'[2]побудинковий звіт'!AE57+'[1]побудинковий звіт'!AE57</f>
        <v>1026.6327753525879</v>
      </c>
      <c r="AF57" s="36">
        <f t="shared" si="12"/>
        <v>1026.6327753525879</v>
      </c>
      <c r="AG57" s="84">
        <f t="shared" si="13"/>
        <v>25.896266828444737</v>
      </c>
      <c r="AH57" s="56">
        <f t="shared" si="14"/>
        <v>1537.3633605975351</v>
      </c>
      <c r="AI57" s="55">
        <f t="shared" si="15"/>
        <v>1511.4670937690903</v>
      </c>
      <c r="AJ57" s="41">
        <f>'[2]побудинковий звіт'!AJ57+'[1]побудинковий звіт'!AJ57</f>
        <v>0</v>
      </c>
      <c r="AK57" s="41">
        <f>'[2]побудинковий звіт'!AK57+'[1]побудинковий звіт'!AK57</f>
        <v>0</v>
      </c>
      <c r="AL57" s="55">
        <f t="shared" si="16"/>
        <v>0</v>
      </c>
      <c r="AM57" s="41">
        <f>'[2]побудинковий звіт'!AM57+'[1]побудинковий звіт'!AM57</f>
        <v>0</v>
      </c>
      <c r="AN57" s="41">
        <f>'[2]побудинковий звіт'!AN57+'[1]побудинковий звіт'!AN57</f>
        <v>0</v>
      </c>
      <c r="AO57" s="55">
        <f t="shared" si="17"/>
        <v>0</v>
      </c>
      <c r="AP57" s="41">
        <f>'[2]побудинковий звіт'!AP57+'[1]побудинковий звіт'!AP57</f>
        <v>536.30133770220777</v>
      </c>
      <c r="AQ57" s="41">
        <f>'[2]побудинковий звіт'!AQ57+'[1]побудинковий звіт'!AQ57</f>
        <v>280.95076846322246</v>
      </c>
      <c r="AR57" s="55">
        <f t="shared" si="18"/>
        <v>-255.35056923898532</v>
      </c>
      <c r="AS57" s="41">
        <f>'[2]побудинковий звіт'!AS57+'[1]побудинковий звіт'!AS57</f>
        <v>3398.085213503</v>
      </c>
      <c r="AT57" s="41">
        <f>'[2]побудинковий звіт'!AT57+'[1]побудинковий звіт'!AT57</f>
        <v>0</v>
      </c>
      <c r="AU57" s="57">
        <f t="shared" si="19"/>
        <v>-3398.085213503</v>
      </c>
      <c r="AV57" s="41">
        <f>'[2]побудинковий звіт'!AV57+'[1]побудинковий звіт'!AV57</f>
        <v>0</v>
      </c>
      <c r="AW57" s="41">
        <f>'[2]побудинковий звіт'!AW57+'[1]побудинковий звіт'!AW57</f>
        <v>0</v>
      </c>
      <c r="AX57" s="58">
        <f t="shared" si="20"/>
        <v>0</v>
      </c>
      <c r="AY57" s="41">
        <f>'[2]побудинковий звіт'!AY57+'[1]побудинковий звіт'!AY57</f>
        <v>0</v>
      </c>
      <c r="AZ57" s="41">
        <f>'[2]побудинковий звіт'!AZ57+'[1]побудинковий звіт'!AZ57</f>
        <v>0</v>
      </c>
      <c r="BA57" s="36">
        <f t="shared" si="21"/>
        <v>0</v>
      </c>
      <c r="BB57" s="41">
        <f>'[2]побудинковий звіт'!BB57+'[1]побудинковий звіт'!BB57</f>
        <v>0</v>
      </c>
      <c r="BC57" s="41">
        <f>'[2]побудинковий звіт'!BC57+'[1]побудинковий звіт'!BC57</f>
        <v>0</v>
      </c>
      <c r="BD57" s="58">
        <f t="shared" si="22"/>
        <v>0</v>
      </c>
      <c r="BE57" s="41">
        <f>'[2]побудинковий звіт'!BE57+'[1]побудинковий звіт'!BE57</f>
        <v>0</v>
      </c>
      <c r="BF57" s="41">
        <f>'[2]побудинковий звіт'!BF57+'[1]побудинковий звіт'!BF57</f>
        <v>0</v>
      </c>
      <c r="BG57" s="38">
        <f t="shared" si="23"/>
        <v>0</v>
      </c>
      <c r="BH57" s="41">
        <f>'[2]побудинковий звіт'!BH57+'[1]побудинковий звіт'!BH57</f>
        <v>0</v>
      </c>
      <c r="BI57" s="41">
        <f>'[2]побудинковий звіт'!BI57+'[1]побудинковий звіт'!BI57</f>
        <v>0</v>
      </c>
      <c r="BJ57" s="58">
        <f t="shared" si="24"/>
        <v>0</v>
      </c>
      <c r="BK57" s="41">
        <f>'[2]побудинковий звіт'!BK57+'[1]побудинковий звіт'!BK57</f>
        <v>3.8899767357449502</v>
      </c>
      <c r="BL57" s="41">
        <f>'[2]побудинковий звіт'!BL57+'[1]побудинковий звіт'!BL57</f>
        <v>0</v>
      </c>
      <c r="BM57" s="38">
        <f t="shared" si="25"/>
        <v>-3.8899767357449502</v>
      </c>
      <c r="BN57" s="41">
        <f>'[2]побудинковий звіт'!BN57+'[1]побудинковий звіт'!BN57</f>
        <v>0</v>
      </c>
      <c r="BO57" s="41">
        <f>'[2]побудинковий звіт'!BO57+'[1]побудинковий звіт'!BO57</f>
        <v>0</v>
      </c>
      <c r="BP57" s="58">
        <f t="shared" si="26"/>
        <v>0</v>
      </c>
      <c r="BQ57" s="84">
        <f t="shared" si="27"/>
        <v>3.8899767357449502</v>
      </c>
      <c r="BR57" s="42">
        <f t="shared" si="28"/>
        <v>0</v>
      </c>
      <c r="BS57" s="58">
        <f t="shared" si="29"/>
        <v>-3.8899767357449502</v>
      </c>
      <c r="BT57" s="41">
        <f>'[2]побудинковий звіт'!BT57+'[1]побудинковий звіт'!BT57</f>
        <v>97.154666394583558</v>
      </c>
      <c r="BU57" s="41">
        <f>'[2]побудинковий звіт'!BU57+'[1]побудинковий звіт'!BU57</f>
        <v>572.2869874469003</v>
      </c>
      <c r="BV57" s="55">
        <f t="shared" si="30"/>
        <v>475.13232105231674</v>
      </c>
      <c r="BW57" s="41">
        <f>'[2]побудинковий звіт'!BW57+'[1]побудинковий звіт'!BW57</f>
        <v>0</v>
      </c>
      <c r="BX57" s="41">
        <f>'[2]побудинковий звіт'!BX57+'[1]побудинковий звіт'!BX57</f>
        <v>0.97646309618591531</v>
      </c>
      <c r="BY57" s="55">
        <f t="shared" si="31"/>
        <v>0.97646309618591531</v>
      </c>
      <c r="BZ57" s="41">
        <f>'[2]побудинковий звіт'!BZ57+'[1]побудинковий звіт'!BZ57</f>
        <v>19.098514828845211</v>
      </c>
      <c r="CA57" s="41">
        <f>'[2]побудинковий звіт'!CA57+'[1]побудинковий звіт'!CA57</f>
        <v>51.737644081176434</v>
      </c>
      <c r="CB57" s="55">
        <f t="shared" si="32"/>
        <v>32.639129252331223</v>
      </c>
      <c r="CC57" s="41">
        <f>'[2]побудинковий звіт'!CC57+'[1]побудинковий звіт'!CC57</f>
        <v>0</v>
      </c>
      <c r="CD57" s="41">
        <f>'[2]побудинковий звіт'!CD57+'[1]побудинковий звіт'!CD57</f>
        <v>0</v>
      </c>
      <c r="CE57" s="55">
        <f t="shared" si="33"/>
        <v>0</v>
      </c>
      <c r="CF57" s="41">
        <f>'[2]побудинковий звіт'!CF57+'[1]побудинковий звіт'!CF57</f>
        <v>0</v>
      </c>
      <c r="CG57" s="41">
        <f>'[2]побудинковий звіт'!CG57+'[1]побудинковий звіт'!CG57</f>
        <v>0</v>
      </c>
      <c r="CH57" s="55">
        <f t="shared" si="34"/>
        <v>0</v>
      </c>
      <c r="CI57" s="41">
        <f>'[2]побудинковий звіт'!CI57+'[1]побудинковий звіт'!CI57</f>
        <v>443.69787337337596</v>
      </c>
      <c r="CJ57" s="41">
        <f>'[2]побудинковий звіт'!CJ57+'[1]побудинковий звіт'!CJ57</f>
        <v>682.21715700607751</v>
      </c>
      <c r="CK57" s="55">
        <f t="shared" si="35"/>
        <v>238.51928363270156</v>
      </c>
      <c r="CL57" s="41">
        <f>'[2]побудинковий звіт'!CL57+'[1]побудинковий звіт'!CL57</f>
        <v>0</v>
      </c>
      <c r="CM57" s="41">
        <f>'[2]побудинковий звіт'!CM57+'[1]побудинковий звіт'!CM57</f>
        <v>0</v>
      </c>
      <c r="CN57" s="55">
        <f t="shared" si="36"/>
        <v>0</v>
      </c>
      <c r="CO57" s="41">
        <f t="shared" si="37"/>
        <v>443.69787337337596</v>
      </c>
      <c r="CP57" s="42">
        <f t="shared" si="38"/>
        <v>682.21715700607751</v>
      </c>
      <c r="CQ57" s="55">
        <f t="shared" si="39"/>
        <v>238.51928363270156</v>
      </c>
      <c r="CR57" s="76">
        <f t="shared" si="40"/>
        <v>4524.1238493662022</v>
      </c>
      <c r="CS57" s="5">
        <f t="shared" si="41"/>
        <v>3125.5323806910974</v>
      </c>
      <c r="CT57" s="55">
        <f t="shared" si="42"/>
        <v>-1398.5914686751048</v>
      </c>
      <c r="CU57" s="84">
        <f t="shared" si="43"/>
        <v>5428.9486192394425</v>
      </c>
      <c r="CV57" s="68">
        <f t="shared" si="44"/>
        <v>3750.6388568293169</v>
      </c>
      <c r="CW57" s="36">
        <f t="shared" si="45"/>
        <v>-1678.3097624101256</v>
      </c>
      <c r="CX57" s="41">
        <f>'[2]побудинковий звіт'!CX57+'[1]побудинковий звіт'!CX57</f>
        <v>62.253193764562681</v>
      </c>
      <c r="CY57" s="41">
        <f>'[2]побудинковий звіт'!CY57+'[1]побудинковий звіт'!CY57</f>
        <v>1286.5840486333641</v>
      </c>
      <c r="CZ57" s="55">
        <f t="shared" si="46"/>
        <v>1224.3308548688015</v>
      </c>
      <c r="DA57" s="254">
        <f>'[1]побудинковий звіт'!DA57</f>
        <v>-4042.1415171341337</v>
      </c>
      <c r="DB57" s="2">
        <v>3</v>
      </c>
      <c r="DC57" s="702">
        <f>'[1]побудинковий звіт'!DC57</f>
        <v>79.12</v>
      </c>
      <c r="DD57" s="702">
        <f>'[1]побудинковий звіт'!DD57</f>
        <v>0</v>
      </c>
      <c r="DE57" s="702">
        <f>'[1]побудинковий звіт'!DE57</f>
        <v>-342.35</v>
      </c>
      <c r="DF57" s="702">
        <f>'[1]побудинковий звіт'!DF57</f>
        <v>0</v>
      </c>
      <c r="DG57" s="772">
        <v>-3139.1266978597032</v>
      </c>
      <c r="DH57" s="746">
        <f t="shared" si="47"/>
        <v>65894.421756048061</v>
      </c>
      <c r="DI57" s="769"/>
      <c r="DJ57" s="5"/>
      <c r="DK57" s="307">
        <f>VLOOKUP($A57,ціни!$A$4:$G$401,5)</f>
        <v>1.7554230957844135</v>
      </c>
      <c r="DL57" s="307"/>
      <c r="DM57" s="307">
        <f>VLOOKUP($A57,ціни!$A$4:$G$401,7)</f>
        <v>1.7554230957844135</v>
      </c>
      <c r="DN57" s="29">
        <f t="shared" si="62"/>
        <v>421.47708529783768</v>
      </c>
      <c r="DO57" s="29">
        <f t="shared" si="63"/>
        <v>0</v>
      </c>
      <c r="DP57" s="306">
        <f t="shared" si="48"/>
        <v>421.47708529783768</v>
      </c>
      <c r="DQ57" s="101"/>
      <c r="DR57" s="29">
        <f>VLOOKUP(A57,'ДЗ нас '!$A$1:$C$359,2)</f>
        <v>421.47</v>
      </c>
      <c r="DS57" s="733"/>
      <c r="DT57" s="29">
        <f t="shared" si="49"/>
        <v>421.47</v>
      </c>
      <c r="DU57" s="247">
        <f>VLOOKUP(A57,'новий кошторис с 01.06'!$A$4:$AI$399,35)*1.2</f>
        <v>421.12600067868078</v>
      </c>
      <c r="DV57" s="29">
        <f t="shared" si="50"/>
        <v>0.34399932131924515</v>
      </c>
      <c r="DW57" s="1016">
        <f>'[2]побудинковий звіт'!$DW$9+'[1]побудинковий звіт'!DW57</f>
        <v>0</v>
      </c>
      <c r="DX57" s="101">
        <f>'[1]побудинковий звіт'!DX57</f>
        <v>0</v>
      </c>
      <c r="DY57" s="5">
        <f t="shared" si="51"/>
        <v>4082.3702282864933</v>
      </c>
      <c r="DZ57" s="5">
        <f t="shared" si="52"/>
        <v>0</v>
      </c>
      <c r="EA57" s="737">
        <f t="shared" si="53"/>
        <v>-342.35</v>
      </c>
      <c r="EC57" s="577">
        <f t="shared" si="54"/>
        <v>40777.022562036</v>
      </c>
      <c r="EE57" s="743">
        <v>2019</v>
      </c>
      <c r="EF57" s="723">
        <f t="shared" si="55"/>
        <v>-1120.1266978597032</v>
      </c>
      <c r="EH57" s="798">
        <v>-4404.9593934273144</v>
      </c>
      <c r="EI57" s="101">
        <f>VLOOKUP(A57,'кошти 01.01.24'!$A$9:$D$352,4,FALSE)</f>
        <v>-2363.8317547240094</v>
      </c>
    </row>
    <row r="58" spans="1:139" hidden="1" x14ac:dyDescent="0.3">
      <c r="A58" s="318">
        <v>150000995</v>
      </c>
      <c r="B58" s="43" t="s">
        <v>478</v>
      </c>
      <c r="C58" s="44" t="s">
        <v>47</v>
      </c>
      <c r="D58" s="44" t="s">
        <v>47</v>
      </c>
      <c r="E58" s="39">
        <f t="shared" si="4"/>
        <v>135.5</v>
      </c>
      <c r="F58" s="205">
        <f>'[1]побудинковий звіт'!F58</f>
        <v>135.5</v>
      </c>
      <c r="G58" s="29">
        <f>'[1]побудинковий звіт'!G58</f>
        <v>0</v>
      </c>
      <c r="H58" s="148">
        <f>'[1]побудинковий звіт'!H58</f>
        <v>0</v>
      </c>
      <c r="I58" s="41">
        <f>'[2]побудинковий звіт'!I58+'[1]побудинковий звіт'!I58</f>
        <v>0</v>
      </c>
      <c r="J58" s="41">
        <f>'[2]побудинковий звіт'!J58+'[1]побудинковий звіт'!J58</f>
        <v>0</v>
      </c>
      <c r="K58" s="55">
        <f t="shared" si="5"/>
        <v>0</v>
      </c>
      <c r="L58" s="41">
        <f>'[2]побудинковий звіт'!L58+'[1]побудинковий звіт'!L58</f>
        <v>0</v>
      </c>
      <c r="M58" s="41">
        <f>'[2]побудинковий звіт'!M58+'[1]побудинковий звіт'!M58</f>
        <v>0</v>
      </c>
      <c r="N58" s="55">
        <f t="shared" si="6"/>
        <v>0</v>
      </c>
      <c r="O58" s="41">
        <f>'[2]побудинковий звіт'!O58+'[1]побудинковий звіт'!O58</f>
        <v>0</v>
      </c>
      <c r="P58" s="41">
        <f>'[2]побудинковий звіт'!P58+'[1]побудинковий звіт'!P58</f>
        <v>0</v>
      </c>
      <c r="Q58" s="55">
        <f t="shared" si="7"/>
        <v>0</v>
      </c>
      <c r="R58" s="41">
        <f>'[2]побудинковий звіт'!R58+'[1]побудинковий звіт'!R58</f>
        <v>0</v>
      </c>
      <c r="S58" s="41">
        <f>'[2]побудинковий звіт'!S58+'[1]побудинковий звіт'!S58</f>
        <v>0</v>
      </c>
      <c r="T58" s="55">
        <f t="shared" si="8"/>
        <v>0</v>
      </c>
      <c r="U58" s="41">
        <f>'[2]побудинковий звіт'!U58+'[1]побудинковий звіт'!U58</f>
        <v>0</v>
      </c>
      <c r="V58" s="41">
        <f>'[2]побудинковий звіт'!V58+'[1]побудинковий звіт'!V58</f>
        <v>0</v>
      </c>
      <c r="W58" s="55">
        <f t="shared" si="9"/>
        <v>0</v>
      </c>
      <c r="X58" s="41">
        <f>'[2]побудинковий звіт'!X58+'[1]побудинковий звіт'!X58</f>
        <v>25.896266828444737</v>
      </c>
      <c r="Y58" s="41">
        <f>'[2]побудинковий звіт'!Y58+'[1]побудинковий звіт'!Y58</f>
        <v>7.2285232889148716</v>
      </c>
      <c r="Z58" s="55">
        <f t="shared" si="10"/>
        <v>-18.667743539529866</v>
      </c>
      <c r="AA58" s="41">
        <f>'[2]побудинковий звіт'!AA58+'[1]побудинковий звіт'!AA58</f>
        <v>0</v>
      </c>
      <c r="AB58" s="41">
        <f>'[2]побудинковий звіт'!AB58+'[1]побудинковий звіт'!AB58</f>
        <v>0</v>
      </c>
      <c r="AC58" s="55">
        <f t="shared" si="11"/>
        <v>0</v>
      </c>
      <c r="AD58" s="41">
        <f>'[2]побудинковий звіт'!AD58+'[1]побудинковий звіт'!AD58</f>
        <v>0</v>
      </c>
      <c r="AE58" s="41">
        <f>'[2]побудинковий звіт'!AE58+'[1]побудинковий звіт'!AE58</f>
        <v>0</v>
      </c>
      <c r="AF58" s="36">
        <f t="shared" si="12"/>
        <v>0</v>
      </c>
      <c r="AG58" s="84">
        <f t="shared" si="13"/>
        <v>25.896266828444737</v>
      </c>
      <c r="AH58" s="56">
        <f t="shared" si="14"/>
        <v>7.2285232889148716</v>
      </c>
      <c r="AI58" s="55">
        <f t="shared" si="15"/>
        <v>-18.667743539529866</v>
      </c>
      <c r="AJ58" s="41">
        <f>'[2]побудинковий звіт'!AJ58+'[1]побудинковий звіт'!AJ58</f>
        <v>0</v>
      </c>
      <c r="AK58" s="41">
        <f>'[2]побудинковий звіт'!AK58+'[1]побудинковий звіт'!AK58</f>
        <v>0</v>
      </c>
      <c r="AL58" s="55">
        <f t="shared" si="16"/>
        <v>0</v>
      </c>
      <c r="AM58" s="41">
        <f>'[2]побудинковий звіт'!AM58+'[1]побудинковий звіт'!AM58</f>
        <v>0</v>
      </c>
      <c r="AN58" s="41">
        <f>'[2]побудинковий звіт'!AN58+'[1]побудинковий звіт'!AN58</f>
        <v>0</v>
      </c>
      <c r="AO58" s="55">
        <f t="shared" si="17"/>
        <v>0</v>
      </c>
      <c r="AP58" s="41">
        <f>'[2]побудинковий звіт'!AP58+'[1]побудинковий звіт'!AP58</f>
        <v>268.18312474386971</v>
      </c>
      <c r="AQ58" s="41">
        <f>'[2]побудинковий звіт'!AQ58+'[1]побудинковий звіт'!AQ58</f>
        <v>187.30051230881497</v>
      </c>
      <c r="AR58" s="55">
        <f t="shared" si="18"/>
        <v>-80.882612435054739</v>
      </c>
      <c r="AS58" s="41">
        <f>'[2]побудинковий звіт'!AS58+'[1]побудинковий звіт'!AS58</f>
        <v>2213.2730885656388</v>
      </c>
      <c r="AT58" s="41">
        <f>'[2]побудинковий звіт'!AT58+'[1]побудинковий звіт'!AT58</f>
        <v>0</v>
      </c>
      <c r="AU58" s="57">
        <f t="shared" si="19"/>
        <v>-2213.2730885656388</v>
      </c>
      <c r="AV58" s="41">
        <f>'[2]побудинковий звіт'!AV58+'[1]побудинковий звіт'!AV58</f>
        <v>0</v>
      </c>
      <c r="AW58" s="41">
        <f>'[2]побудинковий звіт'!AW58+'[1]побудинковий звіт'!AW58</f>
        <v>0</v>
      </c>
      <c r="AX58" s="58">
        <f t="shared" si="20"/>
        <v>0</v>
      </c>
      <c r="AY58" s="41">
        <f>'[2]побудинковий звіт'!AY58+'[1]побудинковий звіт'!AY58</f>
        <v>0</v>
      </c>
      <c r="AZ58" s="41">
        <f>'[2]побудинковий звіт'!AZ58+'[1]побудинковий звіт'!AZ58</f>
        <v>0</v>
      </c>
      <c r="BA58" s="36">
        <f t="shared" si="21"/>
        <v>0</v>
      </c>
      <c r="BB58" s="41">
        <f>'[2]побудинковий звіт'!BB58+'[1]побудинковий звіт'!BB58</f>
        <v>0</v>
      </c>
      <c r="BC58" s="41">
        <f>'[2]побудинковий звіт'!BC58+'[1]побудинковий звіт'!BC58</f>
        <v>0</v>
      </c>
      <c r="BD58" s="58">
        <f t="shared" si="22"/>
        <v>0</v>
      </c>
      <c r="BE58" s="41">
        <f>'[2]побудинковий звіт'!BE58+'[1]побудинковий звіт'!BE58</f>
        <v>0</v>
      </c>
      <c r="BF58" s="41">
        <f>'[2]побудинковий звіт'!BF58+'[1]побудинковий звіт'!BF58</f>
        <v>0</v>
      </c>
      <c r="BG58" s="38">
        <f t="shared" si="23"/>
        <v>0</v>
      </c>
      <c r="BH58" s="41">
        <f>'[2]побудинковий звіт'!BH58+'[1]побудинковий звіт'!BH58</f>
        <v>0</v>
      </c>
      <c r="BI58" s="41">
        <f>'[2]побудинковий звіт'!BI58+'[1]побудинковий звіт'!BI58</f>
        <v>0</v>
      </c>
      <c r="BJ58" s="58">
        <f t="shared" si="24"/>
        <v>0</v>
      </c>
      <c r="BK58" s="41">
        <f>'[2]побудинковий звіт'!BK58+'[1]побудинковий звіт'!BK58</f>
        <v>3.8899767357449502</v>
      </c>
      <c r="BL58" s="41">
        <f>'[2]побудинковий звіт'!BL58+'[1]побудинковий звіт'!BL58</f>
        <v>0</v>
      </c>
      <c r="BM58" s="38">
        <f t="shared" si="25"/>
        <v>-3.8899767357449502</v>
      </c>
      <c r="BN58" s="41">
        <f>'[2]побудинковий звіт'!BN58+'[1]побудинковий звіт'!BN58</f>
        <v>0</v>
      </c>
      <c r="BO58" s="41">
        <f>'[2]побудинковий звіт'!BO58+'[1]побудинковий звіт'!BO58</f>
        <v>0</v>
      </c>
      <c r="BP58" s="58">
        <f t="shared" si="26"/>
        <v>0</v>
      </c>
      <c r="BQ58" s="84">
        <f t="shared" si="27"/>
        <v>3.8899767357449502</v>
      </c>
      <c r="BR58" s="42">
        <f t="shared" si="28"/>
        <v>0</v>
      </c>
      <c r="BS58" s="58">
        <f t="shared" si="29"/>
        <v>-3.8899767357449502</v>
      </c>
      <c r="BT58" s="41">
        <f>'[2]побудинковий звіт'!BT58+'[1]побудинковий звіт'!BT58</f>
        <v>72.867824527082732</v>
      </c>
      <c r="BU58" s="41">
        <f>'[2]побудинковий звіт'!BU58+'[1]побудинковий звіт'!BU58</f>
        <v>381.54017910910329</v>
      </c>
      <c r="BV58" s="55">
        <f t="shared" si="30"/>
        <v>308.67235458202055</v>
      </c>
      <c r="BW58" s="41">
        <f>'[2]побудинковий звіт'!BW58+'[1]побудинковий звіт'!BW58</f>
        <v>0</v>
      </c>
      <c r="BX58" s="41">
        <f>'[2]побудинковий звіт'!BX58+'[1]побудинковий звіт'!BX58</f>
        <v>0.55193162085373126</v>
      </c>
      <c r="BY58" s="55">
        <f t="shared" si="31"/>
        <v>0.55193162085373126</v>
      </c>
      <c r="BZ58" s="41">
        <f>'[2]побудинковий звіт'!BZ58+'[1]побудинковий звіт'!BZ58</f>
        <v>14.323886121633908</v>
      </c>
      <c r="CA58" s="41">
        <f>'[2]побудинковий звіт'!CA58+'[1]побудинковий звіт'!CA58</f>
        <v>34.491762720784287</v>
      </c>
      <c r="CB58" s="55">
        <f t="shared" si="32"/>
        <v>20.167876599150379</v>
      </c>
      <c r="CC58" s="41">
        <f>'[2]побудинковий звіт'!CC58+'[1]побудинковий звіт'!CC58</f>
        <v>0</v>
      </c>
      <c r="CD58" s="41">
        <f>'[2]побудинковий звіт'!CD58+'[1]побудинковий звіт'!CD58</f>
        <v>0</v>
      </c>
      <c r="CE58" s="55">
        <f t="shared" si="33"/>
        <v>0</v>
      </c>
      <c r="CF58" s="41">
        <f>'[2]побудинковий звіт'!CF58+'[1]побудинковий звіт'!CF58</f>
        <v>0</v>
      </c>
      <c r="CG58" s="41">
        <f>'[2]побудинковий звіт'!CG58+'[1]побудинковий звіт'!CG58</f>
        <v>0</v>
      </c>
      <c r="CH58" s="55">
        <f t="shared" si="34"/>
        <v>0</v>
      </c>
      <c r="CI58" s="41">
        <f>'[2]побудинковий звіт'!CI58+'[1]побудинковий звіт'!CI58</f>
        <v>102.05348076188075</v>
      </c>
      <c r="CJ58" s="41">
        <f>'[2]побудинковий звіт'!CJ58+'[1]побудинковий звіт'!CJ58</f>
        <v>0</v>
      </c>
      <c r="CK58" s="55">
        <f t="shared" si="35"/>
        <v>-102.05348076188075</v>
      </c>
      <c r="CL58" s="41">
        <f>'[2]побудинковий звіт'!CL58+'[1]побудинковий звіт'!CL58</f>
        <v>0</v>
      </c>
      <c r="CM58" s="41">
        <f>'[2]побудинковий звіт'!CM58+'[1]побудинковий звіт'!CM58</f>
        <v>0</v>
      </c>
      <c r="CN58" s="55">
        <f t="shared" si="36"/>
        <v>0</v>
      </c>
      <c r="CO58" s="41">
        <f t="shared" si="37"/>
        <v>102.05348076188075</v>
      </c>
      <c r="CP58" s="42">
        <f t="shared" si="38"/>
        <v>0</v>
      </c>
      <c r="CQ58" s="55">
        <f t="shared" si="39"/>
        <v>-102.05348076188075</v>
      </c>
      <c r="CR58" s="76">
        <f t="shared" si="40"/>
        <v>2700.4876482842951</v>
      </c>
      <c r="CS58" s="5">
        <f t="shared" si="41"/>
        <v>611.11290904847112</v>
      </c>
      <c r="CT58" s="55">
        <f t="shared" si="42"/>
        <v>-2089.3747392358241</v>
      </c>
      <c r="CU58" s="84">
        <f t="shared" si="43"/>
        <v>3240.5851779411541</v>
      </c>
      <c r="CV58" s="68">
        <f t="shared" si="44"/>
        <v>733.33549085816537</v>
      </c>
      <c r="CW58" s="36">
        <f t="shared" si="45"/>
        <v>-2507.2496870829887</v>
      </c>
      <c r="CX58" s="41">
        <f>'[2]побудинковий звіт'!CX58+'[1]побудинковий звіт'!CX58</f>
        <v>70.049707046687587</v>
      </c>
      <c r="CY58" s="41">
        <f>'[2]побудинковий звіт'!CY58+'[1]побудинковий звіт'!CY58</f>
        <v>2577.2993941296772</v>
      </c>
      <c r="CZ58" s="55">
        <f t="shared" si="46"/>
        <v>2507.2496870829896</v>
      </c>
      <c r="DA58" s="254">
        <f>'[1]побудинковий звіт'!DA58</f>
        <v>-8986.9722300310677</v>
      </c>
      <c r="DB58" s="2">
        <v>3</v>
      </c>
      <c r="DC58" s="702">
        <f>'[1]побудинковий звіт'!DC58</f>
        <v>487.99</v>
      </c>
      <c r="DD58" s="702">
        <f>'[1]побудинковий звіт'!DD58</f>
        <v>0</v>
      </c>
      <c r="DE58" s="702">
        <f>'[1]побудинковий звіт'!DE58</f>
        <v>119.15000000000003</v>
      </c>
      <c r="DF58" s="702">
        <f>'[1]побудинковий звіт'!DF58</f>
        <v>0</v>
      </c>
      <c r="DG58" s="772">
        <v>-3115.2834258145149</v>
      </c>
      <c r="DH58" s="746">
        <f t="shared" si="47"/>
        <v>39727.618619854104</v>
      </c>
      <c r="DI58" s="769"/>
      <c r="DJ58" s="5"/>
      <c r="DK58" s="307">
        <f>VLOOKUP($A58,ціни!$A$4:$G$401,5)</f>
        <v>1.9070205753112273</v>
      </c>
      <c r="DL58" s="307"/>
      <c r="DM58" s="307">
        <f>VLOOKUP($A58,ціни!$A$4:$G$401,7)</f>
        <v>1.9070205753112273</v>
      </c>
      <c r="DN58" s="29">
        <f t="shared" si="62"/>
        <v>258.40128795467132</v>
      </c>
      <c r="DO58" s="29">
        <f t="shared" si="63"/>
        <v>0</v>
      </c>
      <c r="DP58" s="306">
        <f t="shared" si="48"/>
        <v>258.40128795467132</v>
      </c>
      <c r="DQ58" s="101"/>
      <c r="DR58" s="29">
        <f>VLOOKUP(A58,'ДЗ нас '!$A$1:$C$359,2)</f>
        <v>258.39999999999998</v>
      </c>
      <c r="DS58" s="733"/>
      <c r="DT58" s="29">
        <f t="shared" si="49"/>
        <v>258.39999999999998</v>
      </c>
      <c r="DU58" s="247">
        <f>VLOOKUP(A58,'новий кошторис с 01.06'!$A$4:$AI$399,35)*1.2</f>
        <v>259.35630131273109</v>
      </c>
      <c r="DV58" s="29">
        <f t="shared" si="50"/>
        <v>-0.95630131273111374</v>
      </c>
      <c r="DW58" s="1016">
        <f>'[2]побудинковий звіт'!$DW$9+'[1]побудинковий звіт'!DW58</f>
        <v>0</v>
      </c>
      <c r="DX58" s="101">
        <f>'[1]побудинковий звіт'!DX58</f>
        <v>0</v>
      </c>
      <c r="DY58" s="5">
        <f t="shared" si="51"/>
        <v>2660.5956783616602</v>
      </c>
      <c r="DZ58" s="5">
        <f t="shared" si="52"/>
        <v>0</v>
      </c>
      <c r="EA58" s="737">
        <f t="shared" si="53"/>
        <v>119.15000000000003</v>
      </c>
      <c r="EC58" s="577">
        <f t="shared" si="54"/>
        <v>26559.277062787667</v>
      </c>
      <c r="EE58" s="743">
        <v>2198</v>
      </c>
      <c r="EF58" s="723">
        <f t="shared" si="55"/>
        <v>-917.28342581451489</v>
      </c>
      <c r="EH58" s="798">
        <v>-4502.4189999519949</v>
      </c>
      <c r="EI58" s="101">
        <f>VLOOKUP(A58,'кошти 01.01.24'!$A$9:$D$352,4,FALSE)</f>
        <v>-6479.7225429480768</v>
      </c>
    </row>
    <row r="59" spans="1:139" hidden="1" x14ac:dyDescent="0.3">
      <c r="A59" s="318">
        <v>150001002</v>
      </c>
      <c r="B59" s="43" t="s">
        <v>479</v>
      </c>
      <c r="C59" s="44" t="s">
        <v>48</v>
      </c>
      <c r="D59" s="44" t="s">
        <v>48</v>
      </c>
      <c r="E59" s="39">
        <f t="shared" si="4"/>
        <v>229.9</v>
      </c>
      <c r="F59" s="205">
        <f>'[1]побудинковий звіт'!F59</f>
        <v>229.9</v>
      </c>
      <c r="G59" s="29">
        <f>'[1]побудинковий звіт'!G59</f>
        <v>0</v>
      </c>
      <c r="H59" s="148">
        <f>'[1]побудинковий звіт'!H59</f>
        <v>0</v>
      </c>
      <c r="I59" s="41">
        <f>'[2]побудинковий звіт'!I59+'[1]побудинковий звіт'!I59</f>
        <v>0</v>
      </c>
      <c r="J59" s="41">
        <f>'[2]побудинковий звіт'!J59+'[1]побудинковий звіт'!J59</f>
        <v>0</v>
      </c>
      <c r="K59" s="55">
        <f t="shared" si="5"/>
        <v>0</v>
      </c>
      <c r="L59" s="41">
        <f>'[2]побудинковий звіт'!L59+'[1]побудинковий звіт'!L59</f>
        <v>0</v>
      </c>
      <c r="M59" s="41">
        <f>'[2]побудинковий звіт'!M59+'[1]побудинковий звіт'!M59</f>
        <v>0</v>
      </c>
      <c r="N59" s="55">
        <f t="shared" si="6"/>
        <v>0</v>
      </c>
      <c r="O59" s="41">
        <f>'[2]побудинковий звіт'!O59+'[1]побудинковий звіт'!O59</f>
        <v>0</v>
      </c>
      <c r="P59" s="41">
        <f>'[2]побудинковий звіт'!P59+'[1]побудинковий звіт'!P59</f>
        <v>0</v>
      </c>
      <c r="Q59" s="55">
        <f t="shared" si="7"/>
        <v>0</v>
      </c>
      <c r="R59" s="41">
        <f>'[2]побудинковий звіт'!R59+'[1]побудинковий звіт'!R59</f>
        <v>0</v>
      </c>
      <c r="S59" s="41">
        <f>'[2]побудинковий звіт'!S59+'[1]побудинковий звіт'!S59</f>
        <v>0</v>
      </c>
      <c r="T59" s="55">
        <f t="shared" si="8"/>
        <v>0</v>
      </c>
      <c r="U59" s="41">
        <f>'[2]побудинковий звіт'!U59+'[1]побудинковий звіт'!U59</f>
        <v>0</v>
      </c>
      <c r="V59" s="41">
        <f>'[2]побудинковий звіт'!V59+'[1]побудинковий звіт'!V59</f>
        <v>0</v>
      </c>
      <c r="W59" s="55">
        <f t="shared" si="9"/>
        <v>0</v>
      </c>
      <c r="X59" s="41">
        <f>'[2]побудинковий звіт'!X59+'[1]побудинковий звіт'!X59</f>
        <v>25.896266828444737</v>
      </c>
      <c r="Y59" s="41">
        <f>'[2]побудинковий звіт'!Y59+'[1]побудинковий звіт'!Y59</f>
        <v>7.2285232889148716</v>
      </c>
      <c r="Z59" s="55">
        <f t="shared" si="10"/>
        <v>-18.667743539529866</v>
      </c>
      <c r="AA59" s="41">
        <f>'[2]побудинковий звіт'!AA59+'[1]побудинковий звіт'!AA59</f>
        <v>0</v>
      </c>
      <c r="AB59" s="41">
        <f>'[2]побудинковий звіт'!AB59+'[1]побудинковий звіт'!AB59</f>
        <v>0</v>
      </c>
      <c r="AC59" s="55">
        <f t="shared" si="11"/>
        <v>0</v>
      </c>
      <c r="AD59" s="41">
        <f>'[2]побудинковий звіт'!AD59+'[1]побудинковий звіт'!AD59</f>
        <v>0</v>
      </c>
      <c r="AE59" s="41">
        <f>'[2]побудинковий звіт'!AE59+'[1]побудинковий звіт'!AE59</f>
        <v>993.2698880952039</v>
      </c>
      <c r="AF59" s="36">
        <f t="shared" si="12"/>
        <v>993.2698880952039</v>
      </c>
      <c r="AG59" s="84">
        <f t="shared" si="13"/>
        <v>25.896266828444737</v>
      </c>
      <c r="AH59" s="56">
        <f t="shared" si="14"/>
        <v>1000.4984113841188</v>
      </c>
      <c r="AI59" s="55">
        <f t="shared" si="15"/>
        <v>974.60214455567404</v>
      </c>
      <c r="AJ59" s="41">
        <f>'[2]побудинковий звіт'!AJ59+'[1]побудинковий звіт'!AJ59</f>
        <v>0</v>
      </c>
      <c r="AK59" s="41">
        <f>'[2]побудинковий звіт'!AK59+'[1]побудинковий звіт'!AK59</f>
        <v>0</v>
      </c>
      <c r="AL59" s="55">
        <f t="shared" si="16"/>
        <v>0</v>
      </c>
      <c r="AM59" s="41">
        <f>'[2]побудинковий звіт'!AM59+'[1]побудинковий звіт'!AM59</f>
        <v>0</v>
      </c>
      <c r="AN59" s="41">
        <f>'[2]побудинковий звіт'!AN59+'[1]побудинковий звіт'!AN59</f>
        <v>0</v>
      </c>
      <c r="AO59" s="55">
        <f t="shared" si="17"/>
        <v>0</v>
      </c>
      <c r="AP59" s="41">
        <f>'[2]побудинковий звіт'!AP59+'[1]побудинковий звіт'!AP59</f>
        <v>446.91778141850642</v>
      </c>
      <c r="AQ59" s="41">
        <f>'[2]побудинковий звіт'!AQ59+'[1]побудинковий звіт'!AQ59</f>
        <v>48.792626315582865</v>
      </c>
      <c r="AR59" s="55">
        <f t="shared" si="18"/>
        <v>-398.12515510292354</v>
      </c>
      <c r="AS59" s="41">
        <f>'[2]побудинковий звіт'!AS59+'[1]побудинковий звіт'!AS59</f>
        <v>3409.8801014368005</v>
      </c>
      <c r="AT59" s="41">
        <f>'[2]побудинковий звіт'!AT59+'[1]побудинковий звіт'!AT59</f>
        <v>0</v>
      </c>
      <c r="AU59" s="57">
        <f t="shared" si="19"/>
        <v>-3409.8801014368005</v>
      </c>
      <c r="AV59" s="41">
        <f>'[2]побудинковий звіт'!AV59+'[1]побудинковий звіт'!AV59</f>
        <v>0</v>
      </c>
      <c r="AW59" s="41">
        <f>'[2]побудинковий звіт'!AW59+'[1]побудинковий звіт'!AW59</f>
        <v>0</v>
      </c>
      <c r="AX59" s="58">
        <f t="shared" si="20"/>
        <v>0</v>
      </c>
      <c r="AY59" s="41">
        <f>'[2]побудинковий звіт'!AY59+'[1]побудинковий звіт'!AY59</f>
        <v>0</v>
      </c>
      <c r="AZ59" s="41">
        <f>'[2]побудинковий звіт'!AZ59+'[1]побудинковий звіт'!AZ59</f>
        <v>0</v>
      </c>
      <c r="BA59" s="36">
        <f t="shared" si="21"/>
        <v>0</v>
      </c>
      <c r="BB59" s="41">
        <f>'[2]побудинковий звіт'!BB59+'[1]побудинковий звіт'!BB59</f>
        <v>0</v>
      </c>
      <c r="BC59" s="41">
        <f>'[2]побудинковий звіт'!BC59+'[1]побудинковий звіт'!BC59</f>
        <v>0</v>
      </c>
      <c r="BD59" s="58">
        <f t="shared" si="22"/>
        <v>0</v>
      </c>
      <c r="BE59" s="41">
        <f>'[2]побудинковий звіт'!BE59+'[1]побудинковий звіт'!BE59</f>
        <v>0</v>
      </c>
      <c r="BF59" s="41">
        <f>'[2]побудинковий звіт'!BF59+'[1]побудинковий звіт'!BF59</f>
        <v>0</v>
      </c>
      <c r="BG59" s="38">
        <f t="shared" si="23"/>
        <v>0</v>
      </c>
      <c r="BH59" s="41">
        <f>'[2]побудинковий звіт'!BH59+'[1]побудинковий звіт'!BH59</f>
        <v>0</v>
      </c>
      <c r="BI59" s="41">
        <f>'[2]побудинковий звіт'!BI59+'[1]побудинковий звіт'!BI59</f>
        <v>0</v>
      </c>
      <c r="BJ59" s="58">
        <f t="shared" si="24"/>
        <v>0</v>
      </c>
      <c r="BK59" s="41">
        <f>'[2]побудинковий звіт'!BK59+'[1]побудинковий звіт'!BK59</f>
        <v>3.8899767357449502</v>
      </c>
      <c r="BL59" s="41">
        <f>'[2]побудинковий звіт'!BL59+'[1]побудинковий звіт'!BL59</f>
        <v>0</v>
      </c>
      <c r="BM59" s="38">
        <f t="shared" si="25"/>
        <v>-3.8899767357449502</v>
      </c>
      <c r="BN59" s="41">
        <f>'[2]побудинковий звіт'!BN59+'[1]побудинковий звіт'!BN59</f>
        <v>0</v>
      </c>
      <c r="BO59" s="41">
        <f>'[2]побудинковий звіт'!BO59+'[1]побудинковий звіт'!BO59</f>
        <v>0</v>
      </c>
      <c r="BP59" s="58">
        <f t="shared" si="26"/>
        <v>0</v>
      </c>
      <c r="BQ59" s="84">
        <f t="shared" si="27"/>
        <v>3.8899767357449502</v>
      </c>
      <c r="BR59" s="42">
        <f t="shared" si="28"/>
        <v>0</v>
      </c>
      <c r="BS59" s="58">
        <f t="shared" si="29"/>
        <v>-3.8899767357449502</v>
      </c>
      <c r="BT59" s="41">
        <f>'[2]побудинковий звіт'!BT59+'[1]побудинковий звіт'!BT59</f>
        <v>170.02066619052121</v>
      </c>
      <c r="BU59" s="41">
        <f>'[2]побудинковий звіт'!BU59+'[1]побудинковий звіт'!BU59</f>
        <v>763.0337957846973</v>
      </c>
      <c r="BV59" s="55">
        <f t="shared" si="30"/>
        <v>593.01312959417612</v>
      </c>
      <c r="BW59" s="41">
        <f>'[2]побудинковий звіт'!BW59+'[1]побудинковий звіт'!BW59</f>
        <v>0</v>
      </c>
      <c r="BX59" s="41">
        <f>'[2]побудинковий звіт'!BX59+'[1]побудинковий звіт'!BX59</f>
        <v>0.93576017429404723</v>
      </c>
      <c r="BY59" s="55">
        <f t="shared" si="31"/>
        <v>0.93576017429404723</v>
      </c>
      <c r="BZ59" s="41">
        <f>'[2]побудинковий звіт'!BZ59+'[1]побудинковий звіт'!BZ59</f>
        <v>33.422400950479123</v>
      </c>
      <c r="CA59" s="41">
        <f>'[2]побудинковий звіт'!CA59+'[1]побудинковий звіт'!CA59</f>
        <v>68.983525441568574</v>
      </c>
      <c r="CB59" s="55">
        <f t="shared" si="32"/>
        <v>35.561124491089451</v>
      </c>
      <c r="CC59" s="41">
        <f>'[2]побудинковий звіт'!CC59+'[1]побудинковий звіт'!CC59</f>
        <v>0</v>
      </c>
      <c r="CD59" s="41">
        <f>'[2]побудинковий звіт'!CD59+'[1]побудинковий звіт'!CD59</f>
        <v>0</v>
      </c>
      <c r="CE59" s="55">
        <f t="shared" si="33"/>
        <v>0</v>
      </c>
      <c r="CF59" s="41">
        <f>'[2]побудинковий звіт'!CF59+'[1]побудинковий звіт'!CF59</f>
        <v>0</v>
      </c>
      <c r="CG59" s="41">
        <f>'[2]побудинковий звіт'!CG59+'[1]побудинковий звіт'!CG59</f>
        <v>0</v>
      </c>
      <c r="CH59" s="55">
        <f t="shared" si="34"/>
        <v>0</v>
      </c>
      <c r="CI59" s="41">
        <f>'[2]побудинковий звіт'!CI59+'[1]побудинковий звіт'!CI59</f>
        <v>289.26973949349127</v>
      </c>
      <c r="CJ59" s="41">
        <f>'[2]побудинковий звіт'!CJ59+'[1]побудинковий звіт'!CJ59</f>
        <v>118.97539405522426</v>
      </c>
      <c r="CK59" s="55">
        <f t="shared" si="35"/>
        <v>-170.29434543826702</v>
      </c>
      <c r="CL59" s="41">
        <f>'[2]побудинковий звіт'!CL59+'[1]побудинковий звіт'!CL59</f>
        <v>0</v>
      </c>
      <c r="CM59" s="41">
        <f>'[2]побудинковий звіт'!CM59+'[1]побудинковий звіт'!CM59</f>
        <v>0</v>
      </c>
      <c r="CN59" s="55">
        <f t="shared" si="36"/>
        <v>0</v>
      </c>
      <c r="CO59" s="41">
        <f t="shared" si="37"/>
        <v>289.26973949349127</v>
      </c>
      <c r="CP59" s="42">
        <f t="shared" si="38"/>
        <v>118.97539405522426</v>
      </c>
      <c r="CQ59" s="55">
        <f t="shared" si="39"/>
        <v>-170.29434543826702</v>
      </c>
      <c r="CR59" s="76">
        <f t="shared" si="40"/>
        <v>4379.2969330539881</v>
      </c>
      <c r="CS59" s="5">
        <f t="shared" si="41"/>
        <v>2001.2195131554859</v>
      </c>
      <c r="CT59" s="55">
        <f t="shared" si="42"/>
        <v>-2378.0774198985023</v>
      </c>
      <c r="CU59" s="84">
        <f t="shared" si="43"/>
        <v>5255.1563196647858</v>
      </c>
      <c r="CV59" s="68">
        <f t="shared" si="44"/>
        <v>2401.463415786583</v>
      </c>
      <c r="CW59" s="36">
        <f t="shared" si="45"/>
        <v>-2853.6929038782027</v>
      </c>
      <c r="CX59" s="41">
        <f>'[2]побудинковий звіт'!CX59+'[1]побудинковий звіт'!CX59</f>
        <v>158.56601007448194</v>
      </c>
      <c r="CY59" s="41">
        <f>'[2]побудинковий звіт'!CY59+'[1]побудинковий звіт'!CY59</f>
        <v>3012.2589139526845</v>
      </c>
      <c r="CZ59" s="55">
        <f t="shared" si="46"/>
        <v>2853.6929038782027</v>
      </c>
      <c r="DA59" s="254">
        <f>'[1]побудинковий звіт'!DA59</f>
        <v>787.71112201289498</v>
      </c>
      <c r="DB59" s="2">
        <v>3</v>
      </c>
      <c r="DC59" s="702">
        <f>'[1]побудинковий звіт'!DC59</f>
        <v>717.43</v>
      </c>
      <c r="DD59" s="702">
        <f>'[1]побудинковий звіт'!DD59</f>
        <v>0</v>
      </c>
      <c r="DE59" s="702">
        <f>'[1]побудинковий звіт'!DE59</f>
        <v>115.13999999999999</v>
      </c>
      <c r="DF59" s="702">
        <f>'[1]побудинковий звіт'!DF59</f>
        <v>0</v>
      </c>
      <c r="DG59" s="772">
        <v>-2012.6506757994739</v>
      </c>
      <c r="DH59" s="746">
        <f t="shared" si="47"/>
        <v>64964.667956871213</v>
      </c>
      <c r="DI59" s="769"/>
      <c r="DJ59" s="5"/>
      <c r="DK59" s="307">
        <f>VLOOKUP($A59,ціни!$A$4:$G$401,5)</f>
        <v>1.8386945499976419</v>
      </c>
      <c r="DL59" s="307"/>
      <c r="DM59" s="307">
        <f>VLOOKUP($A59,ціни!$A$4:$G$401,7)</f>
        <v>1.8386945499976419</v>
      </c>
      <c r="DN59" s="29">
        <f t="shared" si="62"/>
        <v>422.7158770444579</v>
      </c>
      <c r="DO59" s="29">
        <f t="shared" si="63"/>
        <v>0</v>
      </c>
      <c r="DP59" s="306">
        <f t="shared" si="48"/>
        <v>422.7158770444579</v>
      </c>
      <c r="DQ59" s="101"/>
      <c r="DR59" s="29">
        <f>VLOOKUP(A59,'ДЗ нас '!$A$1:$C$359,2)</f>
        <v>422.71</v>
      </c>
      <c r="DS59" s="733"/>
      <c r="DT59" s="29">
        <f t="shared" si="49"/>
        <v>422.71</v>
      </c>
      <c r="DU59" s="247">
        <f>VLOOKUP(A59,'новий кошторис с 01.06'!$A$4:$AI$399,35)*1.2</f>
        <v>424.77790571296748</v>
      </c>
      <c r="DV59" s="29">
        <f t="shared" si="50"/>
        <v>-2.0679057129675016</v>
      </c>
      <c r="DW59" s="1016">
        <f>'[2]побудинковий звіт'!$DW$9+'[1]побудинковий звіт'!DW59</f>
        <v>0</v>
      </c>
      <c r="DX59" s="101">
        <f>'[1]побудинковий звіт'!DX59</f>
        <v>0</v>
      </c>
      <c r="DY59" s="5">
        <f t="shared" si="51"/>
        <v>4096.5240938070538</v>
      </c>
      <c r="DZ59" s="5">
        <f t="shared" si="52"/>
        <v>0</v>
      </c>
      <c r="EA59" s="737">
        <f t="shared" si="53"/>
        <v>115.13999999999999</v>
      </c>
      <c r="EC59" s="577">
        <f t="shared" si="54"/>
        <v>40918.561217241608</v>
      </c>
      <c r="EE59" s="743">
        <v>3043</v>
      </c>
      <c r="EF59" s="723">
        <f t="shared" si="55"/>
        <v>1030.3493242005261</v>
      </c>
      <c r="EH59" s="798">
        <v>5365.6709716300029</v>
      </c>
      <c r="EI59" s="101">
        <f>VLOOKUP(A59,'кошти 01.01.24'!$A$9:$D$352,4,FALSE)</f>
        <v>3641.4040258910977</v>
      </c>
    </row>
    <row r="60" spans="1:139" ht="14.4" hidden="1" customHeight="1" x14ac:dyDescent="0.3">
      <c r="A60" s="318">
        <v>150000972</v>
      </c>
      <c r="B60" s="43" t="s">
        <v>480</v>
      </c>
      <c r="C60" s="44" t="s">
        <v>201</v>
      </c>
      <c r="D60" s="44" t="s">
        <v>201</v>
      </c>
      <c r="E60" s="39">
        <f t="shared" si="4"/>
        <v>2167.6</v>
      </c>
      <c r="F60" s="205">
        <f>'[1]побудинковий звіт'!F60</f>
        <v>1988.1</v>
      </c>
      <c r="G60" s="29">
        <f>'[1]побудинковий звіт'!G60</f>
        <v>0</v>
      </c>
      <c r="H60" s="148">
        <f>'[1]побудинковий звіт'!H60</f>
        <v>179.5</v>
      </c>
      <c r="I60" s="41">
        <f>'[2]побудинковий звіт'!I60+'[1]побудинковий звіт'!I60</f>
        <v>8688.8910621233226</v>
      </c>
      <c r="J60" s="41">
        <f>'[2]побудинковий звіт'!J60+'[1]побудинковий звіт'!J60</f>
        <v>8907.2603533872752</v>
      </c>
      <c r="K60" s="55">
        <f t="shared" si="5"/>
        <v>218.36929126395262</v>
      </c>
      <c r="L60" s="41">
        <f>'[2]побудинковий звіт'!L60+'[1]побудинковий звіт'!L60</f>
        <v>1457.4884973383364</v>
      </c>
      <c r="M60" s="41">
        <f>'[2]побудинковий звіт'!M60+'[1]побудинковий звіт'!M60</f>
        <v>1526.3799518196897</v>
      </c>
      <c r="N60" s="55">
        <f t="shared" si="6"/>
        <v>68.891454481353321</v>
      </c>
      <c r="O60" s="41">
        <f>'[2]побудинковий звіт'!O60+'[1]побудинковий звіт'!O60</f>
        <v>3469.7133919221624</v>
      </c>
      <c r="P60" s="41">
        <f>'[2]побудинковий звіт'!P60+'[1]побудинковий звіт'!P60</f>
        <v>3479.529886233855</v>
      </c>
      <c r="Q60" s="55">
        <f t="shared" si="7"/>
        <v>9.8164943116926224</v>
      </c>
      <c r="R60" s="41">
        <f>'[2]побудинковий звіт'!R60+'[1]побудинковий звіт'!R60</f>
        <v>0</v>
      </c>
      <c r="S60" s="41">
        <f>'[2]побудинковий звіт'!S60+'[1]побудинковий звіт'!S60</f>
        <v>0</v>
      </c>
      <c r="T60" s="55">
        <f t="shared" si="8"/>
        <v>0</v>
      </c>
      <c r="U60" s="41">
        <f>'[2]побудинковий звіт'!U60+'[1]побудинковий звіт'!U60</f>
        <v>149.68157246833368</v>
      </c>
      <c r="V60" s="41">
        <f>'[2]побудинковий звіт'!V60+'[1]побудинковий звіт'!V60</f>
        <v>86.355672691194812</v>
      </c>
      <c r="W60" s="55">
        <f t="shared" si="9"/>
        <v>-63.325899777138872</v>
      </c>
      <c r="X60" s="41">
        <f>'[2]побудинковий звіт'!X60+'[1]побудинковий звіт'!X60</f>
        <v>5011.9797063014266</v>
      </c>
      <c r="Y60" s="41">
        <f>'[2]побудинковий звіт'!Y60+'[1]побудинковий звіт'!Y60</f>
        <v>4750.7626312197317</v>
      </c>
      <c r="Z60" s="55">
        <f t="shared" si="10"/>
        <v>-261.21707508169493</v>
      </c>
      <c r="AA60" s="41">
        <f>'[2]побудинковий звіт'!AA60+'[1]побудинковий звіт'!AA60</f>
        <v>0</v>
      </c>
      <c r="AB60" s="41">
        <f>'[2]побудинковий звіт'!AB60+'[1]побудинковий звіт'!AB60</f>
        <v>0</v>
      </c>
      <c r="AC60" s="55">
        <f t="shared" si="11"/>
        <v>0</v>
      </c>
      <c r="AD60" s="41">
        <f>'[2]побудинковий звіт'!AD60+'[1]побудинковий звіт'!AD60</f>
        <v>9401.5578466832885</v>
      </c>
      <c r="AE60" s="41">
        <f>'[2]побудинковий звіт'!AE60+'[1]побудинковий звіт'!AE60</f>
        <v>9364.9926465209392</v>
      </c>
      <c r="AF60" s="36">
        <f t="shared" si="12"/>
        <v>-36.565200162349356</v>
      </c>
      <c r="AG60" s="84">
        <f t="shared" si="13"/>
        <v>28179.312076836868</v>
      </c>
      <c r="AH60" s="56">
        <f t="shared" si="14"/>
        <v>28115.281141872689</v>
      </c>
      <c r="AI60" s="55">
        <f t="shared" si="15"/>
        <v>-64.030934964179323</v>
      </c>
      <c r="AJ60" s="41">
        <f>'[2]побудинковий звіт'!AJ60+'[1]побудинковий звіт'!AJ60</f>
        <v>0</v>
      </c>
      <c r="AK60" s="41">
        <f>'[2]побудинковий звіт'!AK60+'[1]побудинковий звіт'!AK60</f>
        <v>0</v>
      </c>
      <c r="AL60" s="55">
        <f t="shared" si="16"/>
        <v>0</v>
      </c>
      <c r="AM60" s="41">
        <f>'[2]побудинковий звіт'!AM60+'[1]побудинковий звіт'!AM60</f>
        <v>0</v>
      </c>
      <c r="AN60" s="41">
        <f>'[2]побудинковий звіт'!AN60+'[1]побудинковий звіт'!AN60</f>
        <v>0</v>
      </c>
      <c r="AO60" s="55">
        <f t="shared" si="17"/>
        <v>0</v>
      </c>
      <c r="AP60" s="41">
        <f>'[2]побудинковий звіт'!AP60+'[1]побудинковий звіт'!AP60</f>
        <v>6389.3567317385659</v>
      </c>
      <c r="AQ60" s="41">
        <f>'[2]побудинковий звіт'!AQ60+'[1]побудинковий звіт'!AQ60</f>
        <v>5963.7788549812121</v>
      </c>
      <c r="AR60" s="55">
        <f t="shared" si="18"/>
        <v>-425.57787675735381</v>
      </c>
      <c r="AS60" s="41">
        <f>'[2]побудинковий звіт'!AS60+'[1]побудинковий звіт'!AS60</f>
        <v>21337.621596322955</v>
      </c>
      <c r="AT60" s="41">
        <f>'[2]побудинковий звіт'!AT60+'[1]побудинковий звіт'!AT60</f>
        <v>39423.629023001762</v>
      </c>
      <c r="AU60" s="57">
        <f t="shared" si="19"/>
        <v>18086.007426678807</v>
      </c>
      <c r="AV60" s="41">
        <f>'[2]побудинковий звіт'!AV60+'[1]побудинковий звіт'!AV60</f>
        <v>1456.2549934027218</v>
      </c>
      <c r="AW60" s="41">
        <f>'[2]побудинковий звіт'!AW60+'[1]побудинковий звіт'!AW60</f>
        <v>7960.6446587581977</v>
      </c>
      <c r="AX60" s="58">
        <f t="shared" si="20"/>
        <v>6504.3896653554757</v>
      </c>
      <c r="AY60" s="41">
        <f>'[2]побудинковий звіт'!AY60+'[1]побудинковий звіт'!AY60</f>
        <v>1799.4870871366427</v>
      </c>
      <c r="AZ60" s="41">
        <f>'[2]побудинковий звіт'!AZ60+'[1]побудинковий звіт'!AZ60</f>
        <v>0</v>
      </c>
      <c r="BA60" s="36">
        <f t="shared" si="21"/>
        <v>-1799.4870871366427</v>
      </c>
      <c r="BB60" s="41">
        <f>'[2]побудинковий звіт'!BB60+'[1]побудинковий звіт'!BB60</f>
        <v>1766.1764007852339</v>
      </c>
      <c r="BC60" s="41">
        <f>'[2]побудинковий звіт'!BC60+'[1]побудинковий звіт'!BC60</f>
        <v>0</v>
      </c>
      <c r="BD60" s="58">
        <f t="shared" si="22"/>
        <v>-1766.1764007852339</v>
      </c>
      <c r="BE60" s="41">
        <f>'[2]побудинковий звіт'!BE60+'[1]побудинковий звіт'!BE60</f>
        <v>0</v>
      </c>
      <c r="BF60" s="41">
        <f>'[2]побудинковий звіт'!BF60+'[1]побудинковий звіт'!BF60</f>
        <v>0</v>
      </c>
      <c r="BG60" s="38">
        <f t="shared" si="23"/>
        <v>0</v>
      </c>
      <c r="BH60" s="41">
        <f>'[2]побудинковий звіт'!BH60+'[1]побудинковий звіт'!BH60</f>
        <v>88.218470377146446</v>
      </c>
      <c r="BI60" s="41">
        <f>'[2]побудинковий звіт'!BI60+'[1]побудинковий звіт'!BI60</f>
        <v>2560.2511340297519</v>
      </c>
      <c r="BJ60" s="58">
        <f t="shared" si="24"/>
        <v>2472.0326636526056</v>
      </c>
      <c r="BK60" s="41">
        <f>'[2]побудинковий звіт'!BK60+'[1]побудинковий звіт'!BK60</f>
        <v>810.38991353062784</v>
      </c>
      <c r="BL60" s="41">
        <f>'[2]побудинковий звіт'!BL60+'[1]побудинковий звіт'!BL60</f>
        <v>867.75934537491833</v>
      </c>
      <c r="BM60" s="38">
        <f t="shared" si="25"/>
        <v>57.369431844290489</v>
      </c>
      <c r="BN60" s="41">
        <f>'[2]побудинковий звіт'!BN60+'[1]побудинковий звіт'!BN60</f>
        <v>49.785568531179003</v>
      </c>
      <c r="BO60" s="41">
        <f>'[2]побудинковий звіт'!BO60+'[1]побудинковий звіт'!BO60</f>
        <v>0</v>
      </c>
      <c r="BP60" s="58">
        <f t="shared" si="26"/>
        <v>-49.785568531179003</v>
      </c>
      <c r="BQ60" s="84">
        <f t="shared" si="27"/>
        <v>5970.3124337635509</v>
      </c>
      <c r="BR60" s="42">
        <f t="shared" si="28"/>
        <v>11388.655138162867</v>
      </c>
      <c r="BS60" s="58">
        <f t="shared" si="29"/>
        <v>5418.3427043993161</v>
      </c>
      <c r="BT60" s="41">
        <f>'[2]побудинковий звіт'!BT60+'[1]побудинковий звіт'!BT60</f>
        <v>27203.827283618848</v>
      </c>
      <c r="BU60" s="41">
        <f>'[2]побудинковий звіт'!BU60+'[1]побудинковий звіт'!BU60</f>
        <v>36939.280813680431</v>
      </c>
      <c r="BV60" s="55">
        <f t="shared" si="30"/>
        <v>9735.4535300615826</v>
      </c>
      <c r="BW60" s="41">
        <f>'[2]побудинковий звіт'!BW60+'[1]побудинковий звіт'!BW60</f>
        <v>14192.01175114384</v>
      </c>
      <c r="BX60" s="41">
        <f>'[2]побудинковий звіт'!BX60+'[1]побудинковий звіт'!BX60</f>
        <v>15349.924280347839</v>
      </c>
      <c r="BY60" s="55">
        <f t="shared" si="31"/>
        <v>1157.9125292039989</v>
      </c>
      <c r="BZ60" s="41">
        <f>'[2]побудинковий звіт'!BZ60+'[1]побудинковий звіт'!BZ60</f>
        <v>7961.799119002002</v>
      </c>
      <c r="CA60" s="41">
        <f>'[2]побудинковий звіт'!CA60+'[1]побудинковий звіт'!CA60</f>
        <v>4058.5803051397502</v>
      </c>
      <c r="CB60" s="55">
        <f t="shared" si="32"/>
        <v>-3903.2188138622519</v>
      </c>
      <c r="CC60" s="41">
        <f>'[2]побудинковий звіт'!CC60+'[1]побудинковий звіт'!CC60</f>
        <v>1389.3710648228589</v>
      </c>
      <c r="CD60" s="41">
        <f>'[2]побудинковий звіт'!CD60+'[1]побудинковий звіт'!CD60</f>
        <v>1394.0822671281264</v>
      </c>
      <c r="CE60" s="55">
        <f t="shared" si="33"/>
        <v>4.711202305267534</v>
      </c>
      <c r="CF60" s="41">
        <f>'[2]побудинковий звіт'!CF60+'[1]побудинковий звіт'!CF60</f>
        <v>172.13569016704434</v>
      </c>
      <c r="CG60" s="41">
        <f>'[2]побудинковий звіт'!CG60+'[1]побудинковий звіт'!CG60</f>
        <v>0</v>
      </c>
      <c r="CH60" s="55">
        <f t="shared" si="34"/>
        <v>-172.13569016704434</v>
      </c>
      <c r="CI60" s="41">
        <f>'[2]побудинковий звіт'!CI60+'[1]побудинковий звіт'!CI60</f>
        <v>2866.7894263373091</v>
      </c>
      <c r="CJ60" s="41">
        <f>'[2]побудинковий звіт'!CJ60+'[1]побудинковий звіт'!CJ60</f>
        <v>1421.0914231373231</v>
      </c>
      <c r="CK60" s="55">
        <f t="shared" si="35"/>
        <v>-1445.698003199986</v>
      </c>
      <c r="CL60" s="41">
        <f>'[2]побудинковий звіт'!CL60+'[1]побудинковий звіт'!CL60</f>
        <v>0</v>
      </c>
      <c r="CM60" s="41">
        <f>'[2]побудинковий звіт'!CM60+'[1]побудинковий звіт'!CM60</f>
        <v>0</v>
      </c>
      <c r="CN60" s="55">
        <f t="shared" si="36"/>
        <v>0</v>
      </c>
      <c r="CO60" s="41">
        <f t="shared" si="37"/>
        <v>2866.7894263373091</v>
      </c>
      <c r="CP60" s="42">
        <f t="shared" si="38"/>
        <v>1421.0914231373231</v>
      </c>
      <c r="CQ60" s="55">
        <f t="shared" si="39"/>
        <v>-1445.698003199986</v>
      </c>
      <c r="CR60" s="76">
        <f t="shared" si="40"/>
        <v>115662.53717375384</v>
      </c>
      <c r="CS60" s="5">
        <f t="shared" si="41"/>
        <v>144054.30324745199</v>
      </c>
      <c r="CT60" s="55">
        <f t="shared" si="42"/>
        <v>28391.766073698149</v>
      </c>
      <c r="CU60" s="84">
        <f t="shared" si="43"/>
        <v>138795.0446085046</v>
      </c>
      <c r="CV60" s="68">
        <f t="shared" si="44"/>
        <v>172865.16389694237</v>
      </c>
      <c r="CW60" s="36">
        <f t="shared" si="45"/>
        <v>34070.119288437767</v>
      </c>
      <c r="CX60" s="41">
        <f>'[2]побудинковий звіт'!CX60+'[1]побудинковий звіт'!CX60</f>
        <v>4508.0311928423489</v>
      </c>
      <c r="CY60" s="41">
        <f>'[2]побудинковий звіт'!CY60+'[1]побудинковий звіт'!CY60</f>
        <v>-29562.088095595453</v>
      </c>
      <c r="CZ60" s="55">
        <f t="shared" si="46"/>
        <v>-34070.119288437803</v>
      </c>
      <c r="DA60" s="254">
        <f>'[1]побудинковий звіт'!DA60</f>
        <v>50600.264235623996</v>
      </c>
      <c r="DB60" s="2">
        <v>2</v>
      </c>
      <c r="DC60" s="702">
        <f>'[1]побудинковий звіт'!DC60</f>
        <v>33526.92</v>
      </c>
      <c r="DD60" s="702">
        <f>'[1]побудинковий звіт'!DD60</f>
        <v>2939.58</v>
      </c>
      <c r="DE60" s="702">
        <f>'[1]побудинковий звіт'!DE60</f>
        <v>18947.349999999999</v>
      </c>
      <c r="DF60" s="702">
        <f>'[1]побудинковий звіт'!DF60</f>
        <v>1787.07</v>
      </c>
      <c r="DG60" s="772">
        <v>29766.89075069339</v>
      </c>
      <c r="DH60" s="746">
        <f t="shared" si="47"/>
        <v>1719636.9096161635</v>
      </c>
      <c r="DI60" s="769"/>
      <c r="DJ60" s="5"/>
      <c r="DK60" s="307">
        <f>VLOOKUP($A60,ціни!$A$4:$G$401,5)</f>
        <v>5.2441445196085343</v>
      </c>
      <c r="DL60" s="307"/>
      <c r="DM60" s="307">
        <f>VLOOKUP($A60,ціни!$A$4:$G$401,7)</f>
        <v>4.5218109909630009</v>
      </c>
      <c r="DN60" s="29">
        <f t="shared" si="62"/>
        <v>10425.883719433727</v>
      </c>
      <c r="DO60" s="29">
        <f t="shared" si="63"/>
        <v>811.66507287785862</v>
      </c>
      <c r="DP60" s="306">
        <f t="shared" si="48"/>
        <v>11237.548792311585</v>
      </c>
      <c r="DQ60" s="101"/>
      <c r="DR60" s="29">
        <f>VLOOKUP(A60,'ДЗ нас '!$A$1:$C$359,2)</f>
        <v>10128.43</v>
      </c>
      <c r="DS60" s="733">
        <f>VLOOKUP(A60,'ДЗ нежит'!$A$1:$D$153,4,0)</f>
        <v>1068.0500000000002</v>
      </c>
      <c r="DT60" s="29">
        <f t="shared" si="49"/>
        <v>11196.48</v>
      </c>
      <c r="DU60" s="247">
        <f>VLOOKUP(A60,'новий кошторис с 01.06'!$A$4:$AI$399,35)*1.2</f>
        <v>11251.210005536102</v>
      </c>
      <c r="DV60" s="29">
        <f t="shared" si="50"/>
        <v>-54.730005536102908</v>
      </c>
      <c r="DW60" s="1016">
        <f>'[2]побудинковий звіт'!$DW$9+'[1]побудинковий звіт'!DW60</f>
        <v>1062</v>
      </c>
      <c r="DX60" s="101">
        <f>'[1]побудинковий звіт'!DX60</f>
        <v>0</v>
      </c>
      <c r="DY60" s="5">
        <f t="shared" si="51"/>
        <v>32769.520836103809</v>
      </c>
      <c r="DZ60" s="5">
        <f t="shared" si="52"/>
        <v>60974.74099339755</v>
      </c>
      <c r="EA60" s="737">
        <f t="shared" si="53"/>
        <v>20734.419999999998</v>
      </c>
      <c r="EC60" s="577">
        <f t="shared" si="54"/>
        <v>256051.45915587546</v>
      </c>
      <c r="EE60" s="743">
        <v>-15337</v>
      </c>
      <c r="EF60" s="723">
        <f t="shared" si="55"/>
        <v>14429.89075069339</v>
      </c>
      <c r="EH60" s="798">
        <v>21609.065324280717</v>
      </c>
      <c r="EI60" s="101">
        <f>VLOOKUP(A60,'кошти 01.01.24'!$A$9:$D$352,4,FALSE)</f>
        <v>16530.1449471862</v>
      </c>
    </row>
    <row r="61" spans="1:139" hidden="1" x14ac:dyDescent="0.3">
      <c r="A61" s="318">
        <v>150000974</v>
      </c>
      <c r="B61" s="43" t="s">
        <v>481</v>
      </c>
      <c r="C61" s="44" t="s">
        <v>202</v>
      </c>
      <c r="D61" s="44" t="s">
        <v>202</v>
      </c>
      <c r="E61" s="39">
        <f t="shared" si="4"/>
        <v>2330.37</v>
      </c>
      <c r="F61" s="205">
        <f>'[1]побудинковий звіт'!F61</f>
        <v>1907.2</v>
      </c>
      <c r="G61" s="29">
        <f>'[1]побудинковий звіт'!G61</f>
        <v>0</v>
      </c>
      <c r="H61" s="148">
        <f>'[1]побудинковий звіт'!H61</f>
        <v>423.17000000000007</v>
      </c>
      <c r="I61" s="41">
        <f>'[2]побудинковий звіт'!I61+'[1]побудинковий звіт'!I61</f>
        <v>6869.7855912959885</v>
      </c>
      <c r="J61" s="41">
        <f>'[2]побудинковий звіт'!J61+'[1]побудинковий звіт'!J61</f>
        <v>7054.3245209570432</v>
      </c>
      <c r="K61" s="55">
        <f t="shared" si="5"/>
        <v>184.53892966105468</v>
      </c>
      <c r="L61" s="41">
        <f>'[2]побудинковий звіт'!L61+'[1]побудинковий звіт'!L61</f>
        <v>1012.9450327344643</v>
      </c>
      <c r="M61" s="41">
        <f>'[2]побудинковий звіт'!M61+'[1]побудинковий звіт'!M61</f>
        <v>1059.9259130247292</v>
      </c>
      <c r="N61" s="55">
        <f t="shared" si="6"/>
        <v>46.980880290264849</v>
      </c>
      <c r="O61" s="41">
        <f>'[2]побудинковий звіт'!O61+'[1]побудинковий звіт'!O61</f>
        <v>3418.7605390247536</v>
      </c>
      <c r="P61" s="41">
        <f>'[2]побудинковий звіт'!P61+'[1]побудинковий звіт'!P61</f>
        <v>3428.7202165172844</v>
      </c>
      <c r="Q61" s="55">
        <f t="shared" si="7"/>
        <v>9.9596774925307727</v>
      </c>
      <c r="R61" s="41">
        <f>'[2]побудинковий звіт'!R61+'[1]побудинковий звіт'!R61</f>
        <v>850.57423591615873</v>
      </c>
      <c r="S61" s="41">
        <f>'[2]побудинковий звіт'!S61+'[1]побудинковий звіт'!S61</f>
        <v>853.15761675385124</v>
      </c>
      <c r="T61" s="55">
        <f t="shared" si="8"/>
        <v>2.5833808376925163</v>
      </c>
      <c r="U61" s="41">
        <f>'[2]побудинковий звіт'!U61+'[1]побудинковий звіт'!U61</f>
        <v>149.68157246833368</v>
      </c>
      <c r="V61" s="41">
        <f>'[2]побудинковий звіт'!V61+'[1]побудинковий звіт'!V61</f>
        <v>86.355672691194812</v>
      </c>
      <c r="W61" s="55">
        <f t="shared" si="9"/>
        <v>-63.325899777138872</v>
      </c>
      <c r="X61" s="41">
        <f>'[2]побудинковий звіт'!X61+'[1]побудинковий звіт'!X61</f>
        <v>4803.7245687683708</v>
      </c>
      <c r="Y61" s="41">
        <f>'[2]побудинковий звіт'!Y61+'[1]побудинковий звіт'!Y61</f>
        <v>4638.5206195823339</v>
      </c>
      <c r="Z61" s="55">
        <f t="shared" si="10"/>
        <v>-165.20394918603688</v>
      </c>
      <c r="AA61" s="41">
        <f>'[2]побудинковий звіт'!AA61+'[1]побудинковий звіт'!AA61</f>
        <v>0</v>
      </c>
      <c r="AB61" s="41">
        <f>'[2]побудинковий звіт'!AB61+'[1]побудинковий звіт'!AB61</f>
        <v>0</v>
      </c>
      <c r="AC61" s="55">
        <f t="shared" si="11"/>
        <v>0</v>
      </c>
      <c r="AD61" s="41">
        <f>'[2]побудинковий звіт'!AD61+'[1]побудинковий звіт'!AD61</f>
        <v>10054.279539485389</v>
      </c>
      <c r="AE61" s="41">
        <f>'[2]побудинковий звіт'!AE61+'[1]побудинковий звіт'!AE61</f>
        <v>10068.920817200842</v>
      </c>
      <c r="AF61" s="36">
        <f t="shared" si="12"/>
        <v>14.641277715452816</v>
      </c>
      <c r="AG61" s="84">
        <f t="shared" si="13"/>
        <v>27159.751079693458</v>
      </c>
      <c r="AH61" s="56">
        <f t="shared" si="14"/>
        <v>27189.925376727282</v>
      </c>
      <c r="AI61" s="55">
        <f t="shared" si="15"/>
        <v>30.174297033823677</v>
      </c>
      <c r="AJ61" s="41">
        <f>'[2]побудинковий звіт'!AJ61+'[1]побудинковий звіт'!AJ61</f>
        <v>0</v>
      </c>
      <c r="AK61" s="41">
        <f>'[2]побудинковий звіт'!AK61+'[1]побудинковий звіт'!AK61</f>
        <v>0</v>
      </c>
      <c r="AL61" s="55">
        <f t="shared" si="16"/>
        <v>0</v>
      </c>
      <c r="AM61" s="41">
        <f>'[2]побудинковий звіт'!AM61+'[1]побудинковий звіт'!AM61</f>
        <v>0</v>
      </c>
      <c r="AN61" s="41">
        <f>'[2]побудинковий звіт'!AN61+'[1]побудинковий звіт'!AN61</f>
        <v>0</v>
      </c>
      <c r="AO61" s="55">
        <f t="shared" si="17"/>
        <v>0</v>
      </c>
      <c r="AP61" s="41">
        <f>'[2]побудинковий звіт'!AP61+'[1]побудинковий звіт'!AP61</f>
        <v>1584.9567086483266</v>
      </c>
      <c r="AQ61" s="41">
        <f>'[2]побудинковий звіт'!AQ61+'[1]побудинковий звіт'!AQ61</f>
        <v>1319.9488241293323</v>
      </c>
      <c r="AR61" s="55">
        <f t="shared" si="18"/>
        <v>-265.00788451899439</v>
      </c>
      <c r="AS61" s="41">
        <f>'[2]побудинковий звіт'!AS61+'[1]побудинковий звіт'!AS61</f>
        <v>27905.501390250254</v>
      </c>
      <c r="AT61" s="41">
        <f>'[2]побудинковий звіт'!AT61+'[1]побудинковий звіт'!AT61</f>
        <v>4350.3579441780439</v>
      </c>
      <c r="AU61" s="57">
        <f t="shared" si="19"/>
        <v>-23555.143446072208</v>
      </c>
      <c r="AV61" s="41">
        <f>'[2]побудинковий звіт'!AV61+'[1]побудинковий звіт'!AV61</f>
        <v>1145.6064747396795</v>
      </c>
      <c r="AW61" s="41">
        <f>'[2]побудинковий звіт'!AW61+'[1]побудинковий звіт'!AW61</f>
        <v>0</v>
      </c>
      <c r="AX61" s="58">
        <f t="shared" si="20"/>
        <v>-1145.6064747396795</v>
      </c>
      <c r="AY61" s="41">
        <f>'[2]побудинковий звіт'!AY61+'[1]побудинковий звіт'!AY61</f>
        <v>1247.5674722117903</v>
      </c>
      <c r="AZ61" s="41">
        <f>'[2]побудинковий звіт'!AZ61+'[1]побудинковий звіт'!AZ61</f>
        <v>0</v>
      </c>
      <c r="BA61" s="36">
        <f t="shared" si="21"/>
        <v>-1247.5674722117903</v>
      </c>
      <c r="BB61" s="41">
        <f>'[2]побудинковий звіт'!BB61+'[1]побудинковий звіт'!BB61</f>
        <v>1691.5501933734936</v>
      </c>
      <c r="BC61" s="41">
        <f>'[2]побудинковий звіт'!BC61+'[1]побудинковий звіт'!BC61</f>
        <v>0</v>
      </c>
      <c r="BD61" s="58">
        <f t="shared" si="22"/>
        <v>-1691.5501933734936</v>
      </c>
      <c r="BE61" s="41">
        <f>'[2]побудинковий звіт'!BE61+'[1]побудинковий звіт'!BE61</f>
        <v>1059.9883403011011</v>
      </c>
      <c r="BF61" s="41">
        <f>'[2]побудинковий звіт'!BF61+'[1]побудинковий звіт'!BF61</f>
        <v>0</v>
      </c>
      <c r="BG61" s="38">
        <f t="shared" si="23"/>
        <v>-1059.9883403011011</v>
      </c>
      <c r="BH61" s="41">
        <f>'[2]побудинковий звіт'!BH61+'[1]побудинковий звіт'!BH61</f>
        <v>88.218470377146446</v>
      </c>
      <c r="BI61" s="41">
        <f>'[2]побудинковий звіт'!BI61+'[1]побудинковий звіт'!BI61</f>
        <v>148.72415250426442</v>
      </c>
      <c r="BJ61" s="58">
        <f t="shared" si="24"/>
        <v>60.505682127117979</v>
      </c>
      <c r="BK61" s="41">
        <f>'[2]побудинковий звіт'!BK61+'[1]побудинковий звіт'!BK61</f>
        <v>809.25058002907485</v>
      </c>
      <c r="BL61" s="41">
        <f>'[2]побудинковий звіт'!BL61+'[1]побудинковий звіт'!BL61</f>
        <v>0</v>
      </c>
      <c r="BM61" s="38">
        <f t="shared" si="25"/>
        <v>-809.25058002907485</v>
      </c>
      <c r="BN61" s="41">
        <f>'[2]побудинковий звіт'!BN61+'[1]побудинковий звіт'!BN61</f>
        <v>34.288359423174953</v>
      </c>
      <c r="BO61" s="41">
        <f>'[2]побудинковий звіт'!BO61+'[1]побудинковий звіт'!BO61</f>
        <v>0</v>
      </c>
      <c r="BP61" s="58">
        <f t="shared" si="26"/>
        <v>-34.288359423174953</v>
      </c>
      <c r="BQ61" s="84">
        <f t="shared" si="27"/>
        <v>6076.4698904554607</v>
      </c>
      <c r="BR61" s="42">
        <f t="shared" si="28"/>
        <v>148.72415250426442</v>
      </c>
      <c r="BS61" s="58">
        <f t="shared" si="29"/>
        <v>-5927.7457379511961</v>
      </c>
      <c r="BT61" s="41">
        <f>'[2]побудинковий звіт'!BT61+'[1]побудинковий звіт'!BT61</f>
        <v>45820.461021978954</v>
      </c>
      <c r="BU61" s="41">
        <f>'[2]побудинковий звіт'!BU61+'[1]побудинковий звіт'!BU61</f>
        <v>70902.616569914797</v>
      </c>
      <c r="BV61" s="55">
        <f t="shared" si="30"/>
        <v>25082.155547935843</v>
      </c>
      <c r="BW61" s="41">
        <f>'[2]побудинковий звіт'!BW61+'[1]побудинковий звіт'!BW61</f>
        <v>23377.268569982429</v>
      </c>
      <c r="BX61" s="41">
        <f>'[2]побудинковий звіт'!BX61+'[1]побудинковий звіт'!BX61</f>
        <v>26676.067016468478</v>
      </c>
      <c r="BY61" s="55">
        <f t="shared" si="31"/>
        <v>3298.7984464860492</v>
      </c>
      <c r="BZ61" s="41">
        <f>'[2]побудинковий звіт'!BZ61+'[1]побудинковий звіт'!BZ61</f>
        <v>14960.058799857259</v>
      </c>
      <c r="CA61" s="41">
        <f>'[2]побудинковий звіт'!CA61+'[1]побудинковий звіт'!CA61</f>
        <v>5422.057541761078</v>
      </c>
      <c r="CB61" s="55">
        <f t="shared" si="32"/>
        <v>-9538.0012580961811</v>
      </c>
      <c r="CC61" s="41">
        <f>'[2]побудинковий звіт'!CC61+'[1]побудинковий звіт'!CC61</f>
        <v>0</v>
      </c>
      <c r="CD61" s="41">
        <f>'[2]побудинковий звіт'!CD61+'[1]побудинковий звіт'!CD61</f>
        <v>0</v>
      </c>
      <c r="CE61" s="55">
        <f t="shared" si="33"/>
        <v>0</v>
      </c>
      <c r="CF61" s="41">
        <f>'[2]побудинковий звіт'!CF61+'[1]побудинковий звіт'!CF61</f>
        <v>0</v>
      </c>
      <c r="CG61" s="41">
        <f>'[2]побудинковий звіт'!CG61+'[1]побудинковий звіт'!CG61</f>
        <v>0</v>
      </c>
      <c r="CH61" s="55">
        <f t="shared" si="34"/>
        <v>0</v>
      </c>
      <c r="CI61" s="41">
        <f>'[2]побудинковий звіт'!CI61+'[1]побудинковий звіт'!CI61</f>
        <v>3279.8004081514314</v>
      </c>
      <c r="CJ61" s="41">
        <f>'[2]побудинковий звіт'!CJ61+'[1]побудинковий звіт'!CJ61</f>
        <v>3475.5078409928919</v>
      </c>
      <c r="CK61" s="55">
        <f t="shared" si="35"/>
        <v>195.70743284146056</v>
      </c>
      <c r="CL61" s="41">
        <f>'[2]побудинковий звіт'!CL61+'[1]побудинковий звіт'!CL61</f>
        <v>0</v>
      </c>
      <c r="CM61" s="41">
        <f>'[2]побудинковий звіт'!CM61+'[1]побудинковий звіт'!CM61</f>
        <v>0</v>
      </c>
      <c r="CN61" s="55">
        <f t="shared" si="36"/>
        <v>0</v>
      </c>
      <c r="CO61" s="41">
        <f t="shared" si="37"/>
        <v>3279.8004081514314</v>
      </c>
      <c r="CP61" s="42">
        <f t="shared" si="38"/>
        <v>3475.5078409928919</v>
      </c>
      <c r="CQ61" s="55">
        <f t="shared" si="39"/>
        <v>195.70743284146056</v>
      </c>
      <c r="CR61" s="76">
        <f t="shared" si="40"/>
        <v>150164.26786901758</v>
      </c>
      <c r="CS61" s="5">
        <f t="shared" si="41"/>
        <v>139485.20526667614</v>
      </c>
      <c r="CT61" s="55">
        <f t="shared" si="42"/>
        <v>-10679.062602341437</v>
      </c>
      <c r="CU61" s="84">
        <f t="shared" si="43"/>
        <v>180197.12144282108</v>
      </c>
      <c r="CV61" s="68">
        <f t="shared" si="44"/>
        <v>167382.24632001136</v>
      </c>
      <c r="CW61" s="36">
        <f t="shared" si="45"/>
        <v>-12814.875122809724</v>
      </c>
      <c r="CX61" s="41">
        <f>'[2]побудинковий звіт'!CX61+'[1]побудинковий звіт'!CX61</f>
        <v>4769.7464028881495</v>
      </c>
      <c r="CY61" s="41">
        <f>'[2]побудинковий звіт'!CY61+'[1]побудинковий звіт'!CY61</f>
        <v>17584.621525697818</v>
      </c>
      <c r="CZ61" s="55">
        <f t="shared" si="46"/>
        <v>12814.875122809668</v>
      </c>
      <c r="DA61" s="254">
        <f>'[1]побудинковий звіт'!DA61</f>
        <v>4644.5610457986331</v>
      </c>
      <c r="DB61" s="2">
        <v>2</v>
      </c>
      <c r="DC61" s="702">
        <f>'[1]побудинковий звіт'!DC61</f>
        <v>20343.25</v>
      </c>
      <c r="DD61" s="702">
        <f>'[1]побудинковий звіт'!DD61</f>
        <v>63399.25</v>
      </c>
      <c r="DE61" s="702">
        <f>'[1]побудинковий звіт'!DE61</f>
        <v>3186.8199999999997</v>
      </c>
      <c r="DF61" s="702">
        <f>'[1]побудинковий звіт'!DF61</f>
        <v>60239.83</v>
      </c>
      <c r="DG61" s="772">
        <v>51488.099311109458</v>
      </c>
      <c r="DH61" s="746">
        <f t="shared" si="47"/>
        <v>2219602.4141485109</v>
      </c>
      <c r="DI61" s="769"/>
      <c r="DJ61" s="5"/>
      <c r="DK61" s="307">
        <f>VLOOKUP($A61,ціни!$A$4:$G$401,5)</f>
        <v>6.4365451255800847</v>
      </c>
      <c r="DL61" s="307"/>
      <c r="DM61" s="307">
        <f>VLOOKUP($A61,ціни!$A$4:$G$401,7)</f>
        <v>5.2366527951354618</v>
      </c>
      <c r="DN61" s="29">
        <f t="shared" si="62"/>
        <v>12275.778863506337</v>
      </c>
      <c r="DO61" s="29">
        <f t="shared" si="63"/>
        <v>2215.9943633174739</v>
      </c>
      <c r="DP61" s="306">
        <f t="shared" si="48"/>
        <v>14491.773226823811</v>
      </c>
      <c r="DQ61" s="101"/>
      <c r="DR61" s="29">
        <f>VLOOKUP(A61,'ДЗ нас '!$A$1:$C$359,2)</f>
        <v>12275.72</v>
      </c>
      <c r="DS61" s="733">
        <f>VLOOKUP(A61,'ДЗ нежит'!$A$1:$D$153,4,0)</f>
        <v>2216.0299999999997</v>
      </c>
      <c r="DT61" s="29">
        <f t="shared" si="49"/>
        <v>14491.75</v>
      </c>
      <c r="DU61" s="247">
        <f>VLOOKUP(A61,'новий кошторис с 01.06'!$A$4:$AI$399,35)*1.2</f>
        <v>14457.115209174868</v>
      </c>
      <c r="DV61" s="29">
        <f t="shared" si="50"/>
        <v>34.634790825131859</v>
      </c>
      <c r="DW61" s="1016">
        <f>'[2]побудинковий звіт'!$DW$9+'[1]побудинковий звіт'!DW61</f>
        <v>918</v>
      </c>
      <c r="DX61" s="101">
        <f>'[1]побудинковий звіт'!DX61</f>
        <v>0</v>
      </c>
      <c r="DY61" s="5">
        <f t="shared" si="51"/>
        <v>40778.365536846854</v>
      </c>
      <c r="DZ61" s="5">
        <f t="shared" si="52"/>
        <v>5398.8985160187704</v>
      </c>
      <c r="EA61" s="737">
        <f t="shared" si="53"/>
        <v>63426.65</v>
      </c>
      <c r="EC61" s="577">
        <f t="shared" si="54"/>
        <v>334866.01668300305</v>
      </c>
      <c r="EE61" s="743">
        <v>-38882</v>
      </c>
      <c r="EF61" s="723">
        <f t="shared" si="55"/>
        <v>12606.099311109458</v>
      </c>
      <c r="EH61" s="798">
        <v>42930.051765951081</v>
      </c>
      <c r="EI61" s="101">
        <f>VLOOKUP(A61,'кошти 01.01.24'!$A$9:$D$352,4,FALSE)</f>
        <v>17459.436168608314</v>
      </c>
    </row>
    <row r="62" spans="1:139" hidden="1" x14ac:dyDescent="0.3">
      <c r="A62" s="318">
        <v>150000975</v>
      </c>
      <c r="B62" s="43" t="s">
        <v>482</v>
      </c>
      <c r="C62" s="44" t="s">
        <v>203</v>
      </c>
      <c r="D62" s="44" t="s">
        <v>203</v>
      </c>
      <c r="E62" s="39">
        <f t="shared" si="4"/>
        <v>3253.63</v>
      </c>
      <c r="F62" s="205">
        <f>'[1]побудинковий звіт'!F62</f>
        <v>2888.9</v>
      </c>
      <c r="G62" s="29">
        <f>'[1]побудинковий звіт'!G62</f>
        <v>0</v>
      </c>
      <c r="H62" s="148">
        <f>'[1]побудинковий звіт'!H62</f>
        <v>364.73</v>
      </c>
      <c r="I62" s="41">
        <f>'[2]побудинковий звіт'!I62+'[1]побудинковий звіт'!I62</f>
        <v>10379.899125352367</v>
      </c>
      <c r="J62" s="41">
        <f>'[2]побудинковий звіт'!J62+'[1]побудинковий звіт'!J62</f>
        <v>10655.723219818959</v>
      </c>
      <c r="K62" s="55">
        <f t="shared" si="5"/>
        <v>275.82409446659221</v>
      </c>
      <c r="L62" s="41">
        <f>'[2]побудинковий звіт'!L62+'[1]побудинковий звіт'!L62</f>
        <v>2003.0457702716503</v>
      </c>
      <c r="M62" s="41">
        <f>'[2]побудинковий звіт'!M62+'[1]побудинковий звіт'!M62</f>
        <v>2102.6780496998367</v>
      </c>
      <c r="N62" s="55">
        <f t="shared" si="6"/>
        <v>99.632279428186393</v>
      </c>
      <c r="O62" s="41">
        <f>'[2]побудинковий звіт'!O62+'[1]побудинковий звіт'!O62</f>
        <v>4832.4942016494597</v>
      </c>
      <c r="P62" s="41">
        <f>'[2]побудинковий звіт'!P62+'[1]побудинковий звіт'!P62</f>
        <v>4846.1728438415366</v>
      </c>
      <c r="Q62" s="55">
        <f t="shared" si="7"/>
        <v>13.67864219207695</v>
      </c>
      <c r="R62" s="41">
        <f>'[2]побудинковий звіт'!R62+'[1]побудинковий звіт'!R62</f>
        <v>0</v>
      </c>
      <c r="S62" s="41">
        <f>'[2]побудинковий звіт'!S62+'[1]побудинковий звіт'!S62</f>
        <v>0</v>
      </c>
      <c r="T62" s="55">
        <f t="shared" si="8"/>
        <v>0</v>
      </c>
      <c r="U62" s="41">
        <f>'[2]побудинковий звіт'!U62+'[1]побудинковий звіт'!U62</f>
        <v>187.10196558541708</v>
      </c>
      <c r="V62" s="41">
        <f>'[2]побудинковий звіт'!V62+'[1]побудинковий звіт'!V62</f>
        <v>107.9445908639935</v>
      </c>
      <c r="W62" s="55">
        <f t="shared" si="9"/>
        <v>-79.157374721423579</v>
      </c>
      <c r="X62" s="41">
        <f>'[2]побудинковий звіт'!X62+'[1]побудинковий звіт'!X62</f>
        <v>8129.1781582077001</v>
      </c>
      <c r="Y62" s="41">
        <f>'[2]побудинковий звіт'!Y62+'[1]побудинковий звіт'!Y62</f>
        <v>7883.2176869319592</v>
      </c>
      <c r="Z62" s="55">
        <f t="shared" si="10"/>
        <v>-245.96047127574093</v>
      </c>
      <c r="AA62" s="41">
        <f>'[2]побудинковий звіт'!AA62+'[1]побудинковий звіт'!AA62</f>
        <v>0</v>
      </c>
      <c r="AB62" s="41">
        <f>'[2]побудинковий звіт'!AB62+'[1]побудинковий звіт'!AB62</f>
        <v>0</v>
      </c>
      <c r="AC62" s="55">
        <f t="shared" si="11"/>
        <v>0</v>
      </c>
      <c r="AD62" s="41">
        <f>'[2]побудинковий звіт'!AD62+'[1]побудинковий звіт'!AD62</f>
        <v>14110.929328688517</v>
      </c>
      <c r="AE62" s="41">
        <f>'[2]побудинковий звіт'!AE62+'[1]побудинковий звіт'!AE62</f>
        <v>14056.08910775171</v>
      </c>
      <c r="AF62" s="36">
        <f t="shared" si="12"/>
        <v>-54.840220936806872</v>
      </c>
      <c r="AG62" s="84">
        <f t="shared" si="13"/>
        <v>39642.648549755111</v>
      </c>
      <c r="AH62" s="56">
        <f t="shared" si="14"/>
        <v>39651.825498907994</v>
      </c>
      <c r="AI62" s="55">
        <f t="shared" si="15"/>
        <v>9.1769491528830258</v>
      </c>
      <c r="AJ62" s="41">
        <f>'[2]побудинковий звіт'!AJ62+'[1]побудинковий звіт'!AJ62</f>
        <v>0</v>
      </c>
      <c r="AK62" s="41">
        <f>'[2]побудинковий звіт'!AK62+'[1]побудинковий звіт'!AK62</f>
        <v>0</v>
      </c>
      <c r="AL62" s="55">
        <f t="shared" si="16"/>
        <v>0</v>
      </c>
      <c r="AM62" s="41">
        <f>'[2]побудинковий звіт'!AM62+'[1]побудинковий звіт'!AM62</f>
        <v>0</v>
      </c>
      <c r="AN62" s="41">
        <f>'[2]побудинковий звіт'!AN62+'[1]побудинковий звіт'!AN62</f>
        <v>0</v>
      </c>
      <c r="AO62" s="55">
        <f t="shared" si="17"/>
        <v>0</v>
      </c>
      <c r="AP62" s="41">
        <f>'[2]побудинковий звіт'!AP62+'[1]побудинковий звіт'!AP62</f>
        <v>7578.0742632248093</v>
      </c>
      <c r="AQ62" s="41">
        <f>'[2]побудинковий звіт'!AQ62+'[1]побудинковий звіт'!AQ62</f>
        <v>7172.782520277231</v>
      </c>
      <c r="AR62" s="55">
        <f t="shared" si="18"/>
        <v>-405.29174294757831</v>
      </c>
      <c r="AS62" s="41">
        <f>'[2]побудинковий звіт'!AS62+'[1]побудинковий звіт'!AS62</f>
        <v>26680.359115421932</v>
      </c>
      <c r="AT62" s="41">
        <f>'[2]побудинковий звіт'!AT62+'[1]побудинковий звіт'!AT62</f>
        <v>6197.6493862811785</v>
      </c>
      <c r="AU62" s="57">
        <f t="shared" si="19"/>
        <v>-20482.709729140755</v>
      </c>
      <c r="AV62" s="41">
        <f>'[2]побудинковий звіт'!AV62+'[1]побудинковий звіт'!AV62</f>
        <v>1717.4339425362734</v>
      </c>
      <c r="AW62" s="41">
        <f>'[2]побудинковий звіт'!AW62+'[1]побудинковий звіт'!AW62</f>
        <v>0</v>
      </c>
      <c r="AX62" s="58">
        <f t="shared" si="20"/>
        <v>-1717.4339425362734</v>
      </c>
      <c r="AY62" s="41">
        <f>'[2]побудинковий звіт'!AY62+'[1]побудинковий звіт'!AY62</f>
        <v>2409.4919393336622</v>
      </c>
      <c r="AZ62" s="41">
        <f>'[2]побудинковий звіт'!AZ62+'[1]побудинковий звіт'!AZ62</f>
        <v>0</v>
      </c>
      <c r="BA62" s="36">
        <f t="shared" si="21"/>
        <v>-2409.4919393336622</v>
      </c>
      <c r="BB62" s="41">
        <f>'[2]побудинковий звіт'!BB62+'[1]побудинковий звіт'!BB62</f>
        <v>2337.9050862001436</v>
      </c>
      <c r="BC62" s="41">
        <f>'[2]побудинковий звіт'!BC62+'[1]побудинковий звіт'!BC62</f>
        <v>0</v>
      </c>
      <c r="BD62" s="58">
        <f t="shared" si="22"/>
        <v>-2337.9050862001436</v>
      </c>
      <c r="BE62" s="41">
        <f>'[2]побудинковий звіт'!BE62+'[1]побудинковий звіт'!BE62</f>
        <v>0</v>
      </c>
      <c r="BF62" s="41">
        <f>'[2]побудинковий звіт'!BF62+'[1]побудинковий звіт'!BF62</f>
        <v>0</v>
      </c>
      <c r="BG62" s="38">
        <f t="shared" si="23"/>
        <v>0</v>
      </c>
      <c r="BH62" s="41">
        <f>'[2]побудинковий звіт'!BH62+'[1]побудинковий звіт'!BH62</f>
        <v>110.27308797143304</v>
      </c>
      <c r="BI62" s="41">
        <f>'[2]побудинковий звіт'!BI62+'[1]побудинковий звіт'!BI62</f>
        <v>0</v>
      </c>
      <c r="BJ62" s="58">
        <f t="shared" si="24"/>
        <v>-110.27308797143304</v>
      </c>
      <c r="BK62" s="41">
        <f>'[2]побудинковий звіт'!BK62+'[1]побудинковий звіт'!BK62</f>
        <v>1212.7647573230745</v>
      </c>
      <c r="BL62" s="41">
        <f>'[2]побудинковий звіт'!BL62+'[1]побудинковий звіт'!BL62</f>
        <v>0</v>
      </c>
      <c r="BM62" s="38">
        <f t="shared" si="25"/>
        <v>-1212.7647573230745</v>
      </c>
      <c r="BN62" s="41">
        <f>'[2]побудинковий звіт'!BN62+'[1]побудинковий звіт'!BN62</f>
        <v>89.28149214854156</v>
      </c>
      <c r="BO62" s="41">
        <f>'[2]побудинковий звіт'!BO62+'[1]побудинковий звіт'!BO62</f>
        <v>3989.4135767078797</v>
      </c>
      <c r="BP62" s="58">
        <f t="shared" si="26"/>
        <v>3900.1320845593382</v>
      </c>
      <c r="BQ62" s="84">
        <f t="shared" si="27"/>
        <v>7877.150305513127</v>
      </c>
      <c r="BR62" s="42">
        <f t="shared" si="28"/>
        <v>3989.4135767078797</v>
      </c>
      <c r="BS62" s="58">
        <f t="shared" si="29"/>
        <v>-3887.7367288052474</v>
      </c>
      <c r="BT62" s="41">
        <f>'[2]побудинковий звіт'!BT62+'[1]побудинковий звіт'!BT62</f>
        <v>43942.245300441857</v>
      </c>
      <c r="BU62" s="41">
        <f>'[2]побудинковий звіт'!BU62+'[1]побудинковий звіт'!BU62</f>
        <v>72704.501341100695</v>
      </c>
      <c r="BV62" s="55">
        <f t="shared" si="30"/>
        <v>28762.256040658838</v>
      </c>
      <c r="BW62" s="41">
        <f>'[2]побудинковий звіт'!BW62+'[1]побудинковий звіт'!BW62</f>
        <v>27797.812138745354</v>
      </c>
      <c r="BX62" s="41">
        <f>'[2]побудинковий звіт'!BX62+'[1]побудинковий звіт'!BX62</f>
        <v>32159.620758267687</v>
      </c>
      <c r="BY62" s="55">
        <f t="shared" si="31"/>
        <v>4361.8086195223332</v>
      </c>
      <c r="BZ62" s="41">
        <f>'[2]побудинковий звіт'!BZ62+'[1]побудинковий звіт'!BZ62</f>
        <v>19004.280927646148</v>
      </c>
      <c r="CA62" s="41">
        <f>'[2]побудинковий звіт'!CA62+'[1]побудинковий звіт'!CA62</f>
        <v>5828.9471991557157</v>
      </c>
      <c r="CB62" s="55">
        <f t="shared" si="32"/>
        <v>-13175.333728490434</v>
      </c>
      <c r="CC62" s="41">
        <f>'[2]побудинковий звіт'!CC62+'[1]побудинковий звіт'!CC62</f>
        <v>1053.4791590415084</v>
      </c>
      <c r="CD62" s="41">
        <f>'[2]побудинковий звіт'!CD62+'[1]побудинковий звіт'!CD62</f>
        <v>1057.0513893608868</v>
      </c>
      <c r="CE62" s="55">
        <f t="shared" si="33"/>
        <v>3.5722303193783773</v>
      </c>
      <c r="CF62" s="41">
        <f>'[2]побудинковий звіт'!CF62+'[1]побудинковий звіт'!CF62</f>
        <v>130.52046836841828</v>
      </c>
      <c r="CG62" s="41">
        <f>'[2]побудинковий звіт'!CG62+'[1]побудинковий звіт'!CG62</f>
        <v>0</v>
      </c>
      <c r="CH62" s="55">
        <f t="shared" si="34"/>
        <v>-130.52046836841828</v>
      </c>
      <c r="CI62" s="41">
        <f>'[2]побудинковий звіт'!CI62+'[1]побудинковий звіт'!CI62</f>
        <v>2558.75410106656</v>
      </c>
      <c r="CJ62" s="41">
        <f>'[2]побудинковий звіт'!CJ62+'[1]побудинковий звіт'!CJ62</f>
        <v>2446.0721677156853</v>
      </c>
      <c r="CK62" s="55">
        <f t="shared" si="35"/>
        <v>-112.68193335087471</v>
      </c>
      <c r="CL62" s="41">
        <f>'[2]побудинковий звіт'!CL62+'[1]побудинковий звіт'!CL62</f>
        <v>0</v>
      </c>
      <c r="CM62" s="41">
        <f>'[2]побудинковий звіт'!CM62+'[1]побудинковий звіт'!CM62</f>
        <v>0</v>
      </c>
      <c r="CN62" s="55">
        <f t="shared" si="36"/>
        <v>0</v>
      </c>
      <c r="CO62" s="41">
        <f t="shared" si="37"/>
        <v>2558.75410106656</v>
      </c>
      <c r="CP62" s="42">
        <f t="shared" si="38"/>
        <v>2446.0721677156853</v>
      </c>
      <c r="CQ62" s="55">
        <f t="shared" si="39"/>
        <v>-112.68193335087471</v>
      </c>
      <c r="CR62" s="76">
        <f t="shared" si="40"/>
        <v>176265.32432922485</v>
      </c>
      <c r="CS62" s="5">
        <f t="shared" si="41"/>
        <v>171207.86383777496</v>
      </c>
      <c r="CT62" s="55">
        <f t="shared" si="42"/>
        <v>-5057.4604914498923</v>
      </c>
      <c r="CU62" s="84">
        <f t="shared" si="43"/>
        <v>211518.38919506982</v>
      </c>
      <c r="CV62" s="68">
        <f t="shared" si="44"/>
        <v>205449.43660532995</v>
      </c>
      <c r="CW62" s="36">
        <f t="shared" si="45"/>
        <v>-6068.9525897398707</v>
      </c>
      <c r="CX62" s="41">
        <f>'[2]побудинковий звіт'!CX62+'[1]побудинковий звіт'!CX62</f>
        <v>2120.9599124914057</v>
      </c>
      <c r="CY62" s="41">
        <f>'[2]побудинковий звіт'!CY62+'[1]побудинковий звіт'!CY62</f>
        <v>8189.9125022312237</v>
      </c>
      <c r="CZ62" s="55">
        <f t="shared" si="46"/>
        <v>6068.952589739818</v>
      </c>
      <c r="DA62" s="254">
        <f>'[1]побудинковий звіт'!DA62</f>
        <v>18648.021268597702</v>
      </c>
      <c r="DB62" s="2">
        <v>2</v>
      </c>
      <c r="DC62" s="702">
        <f>'[1]побудинковий звіт'!DC62</f>
        <v>52231.5</v>
      </c>
      <c r="DD62" s="702">
        <f>'[1]побудинковий звіт'!DD62</f>
        <v>1229.06</v>
      </c>
      <c r="DE62" s="702">
        <f>'[1]побудинковий звіт'!DE62</f>
        <v>31031.01</v>
      </c>
      <c r="DF62" s="702">
        <f>'[1]побудинковий звіт'!DF62</f>
        <v>-995.75</v>
      </c>
      <c r="DG62" s="772">
        <v>13532.162546917447</v>
      </c>
      <c r="DH62" s="746">
        <f t="shared" si="47"/>
        <v>2563672.1892907349</v>
      </c>
      <c r="DI62" s="769"/>
      <c r="DJ62" s="5"/>
      <c r="DK62" s="307">
        <f>VLOOKUP($A62,ціни!$A$4:$G$401,5)</f>
        <v>5.2504992648654643</v>
      </c>
      <c r="DL62" s="307"/>
      <c r="DM62" s="307">
        <f>VLOOKUP($A62,ціни!$A$4:$G$401,7)</f>
        <v>4.3290859710518665</v>
      </c>
      <c r="DN62" s="29">
        <f t="shared" si="62"/>
        <v>15168.16732626984</v>
      </c>
      <c r="DO62" s="29">
        <f t="shared" si="63"/>
        <v>1578.9475262217475</v>
      </c>
      <c r="DP62" s="306">
        <f t="shared" si="48"/>
        <v>16747.114852491588</v>
      </c>
      <c r="DQ62" s="101"/>
      <c r="DR62" s="29">
        <f>VLOOKUP(A62,'ДЗ нас '!$A$1:$C$359,2)</f>
        <v>15161.34</v>
      </c>
      <c r="DS62" s="733">
        <f>VLOOKUP(A62,'ДЗ нежит'!$A$1:$D$153,4,0)</f>
        <v>1578.95</v>
      </c>
      <c r="DT62" s="29">
        <f t="shared" si="49"/>
        <v>16740.29</v>
      </c>
      <c r="DU62" s="247">
        <f>VLOOKUP(A62,'новий кошторис с 01.06'!$A$4:$AI$399,35)*1.2</f>
        <v>16745.539702712125</v>
      </c>
      <c r="DV62" s="29">
        <f t="shared" si="50"/>
        <v>-5.2497027121244173</v>
      </c>
      <c r="DW62" s="1016">
        <f>'[2]побудинковий звіт'!$DW$9+'[1]побудинковий звіт'!DW62</f>
        <v>1062</v>
      </c>
      <c r="DX62" s="101">
        <f>'[1]побудинковий звіт'!DX62</f>
        <v>0</v>
      </c>
      <c r="DY62" s="5">
        <f t="shared" si="51"/>
        <v>41469.011305122069</v>
      </c>
      <c r="DZ62" s="5">
        <f t="shared" si="52"/>
        <v>12224.475555586869</v>
      </c>
      <c r="EA62" s="737">
        <f t="shared" si="53"/>
        <v>30035.26</v>
      </c>
      <c r="EC62" s="577">
        <f t="shared" si="54"/>
        <v>320164.30938506318</v>
      </c>
      <c r="EE62" s="743">
        <v>13292</v>
      </c>
      <c r="EF62" s="723">
        <f t="shared" si="55"/>
        <v>26824.162546917447</v>
      </c>
      <c r="EH62" s="798">
        <v>15510.231740190926</v>
      </c>
      <c r="EI62" s="101">
        <f>VLOOKUP(A62,'кошти 01.01.24'!$A$9:$D$352,4,FALSE)</f>
        <v>24716.973858337496</v>
      </c>
    </row>
    <row r="63" spans="1:139" ht="14.4" hidden="1" customHeight="1" x14ac:dyDescent="0.3">
      <c r="A63" s="318">
        <v>150000976</v>
      </c>
      <c r="B63" s="43" t="s">
        <v>483</v>
      </c>
      <c r="C63" s="44" t="s">
        <v>149</v>
      </c>
      <c r="D63" s="44" t="s">
        <v>149</v>
      </c>
      <c r="E63" s="39">
        <f t="shared" si="4"/>
        <v>922.6</v>
      </c>
      <c r="F63" s="205">
        <f>'[1]побудинковий звіт'!F63</f>
        <v>821.7</v>
      </c>
      <c r="G63" s="29">
        <f>'[1]побудинковий звіт'!G63</f>
        <v>0</v>
      </c>
      <c r="H63" s="148">
        <f>'[1]побудинковий звіт'!H63</f>
        <v>100.9</v>
      </c>
      <c r="I63" s="41">
        <f>'[2]побудинковий звіт'!I63+'[1]побудинковий звіт'!I63</f>
        <v>4708.5275284597183</v>
      </c>
      <c r="J63" s="41">
        <f>'[2]побудинковий звіт'!J63+'[1]побудинковий звіт'!J63</f>
        <v>4797.2790205653664</v>
      </c>
      <c r="K63" s="55">
        <f t="shared" si="5"/>
        <v>88.75149210564814</v>
      </c>
      <c r="L63" s="41">
        <f>'[2]побудинковий звіт'!L63+'[1]побудинковий звіт'!L63</f>
        <v>858.56185433289193</v>
      </c>
      <c r="M63" s="41">
        <f>'[2]побудинковий звіт'!M63+'[1]побудинковий звіт'!M63</f>
        <v>901.13165386796413</v>
      </c>
      <c r="N63" s="55">
        <f t="shared" si="6"/>
        <v>42.569799535072207</v>
      </c>
      <c r="O63" s="41">
        <f>'[2]побудинковий звіт'!O63+'[1]побудинковий звіт'!O63</f>
        <v>1332.0505348395868</v>
      </c>
      <c r="P63" s="41">
        <f>'[2]побудинковий звіт'!P63+'[1]побудинковий звіт'!P63</f>
        <v>1335.9316156206178</v>
      </c>
      <c r="Q63" s="55">
        <f t="shared" si="7"/>
        <v>3.8810807810309598</v>
      </c>
      <c r="R63" s="41">
        <f>'[2]побудинковий звіт'!R63+'[1]побудинковий звіт'!R63</f>
        <v>330.04648108132852</v>
      </c>
      <c r="S63" s="41">
        <f>'[2]побудинковий звіт'!S63+'[1]побудинковий звіт'!S63</f>
        <v>331.12840113824052</v>
      </c>
      <c r="T63" s="55">
        <f t="shared" si="8"/>
        <v>1.0819200569119971</v>
      </c>
      <c r="U63" s="41">
        <f>'[2]побудинковий звіт'!U63+'[1]побудинковий звіт'!U63</f>
        <v>0</v>
      </c>
      <c r="V63" s="41">
        <f>'[2]побудинковий звіт'!V63+'[1]побудинковий звіт'!V63</f>
        <v>0</v>
      </c>
      <c r="W63" s="55">
        <f t="shared" si="9"/>
        <v>0</v>
      </c>
      <c r="X63" s="41">
        <f>'[2]побудинковий звіт'!X63+'[1]побудинковий звіт'!X63</f>
        <v>1771.4443034860587</v>
      </c>
      <c r="Y63" s="41">
        <f>'[2]побудинковий звіт'!Y63+'[1]побудинковий звіт'!Y63</f>
        <v>1678.1409167281404</v>
      </c>
      <c r="Z63" s="55">
        <f t="shared" si="10"/>
        <v>-93.303386757918361</v>
      </c>
      <c r="AA63" s="41">
        <f>'[2]побудинковий звіт'!AA63+'[1]побудинковий звіт'!AA63</f>
        <v>0</v>
      </c>
      <c r="AB63" s="41">
        <f>'[2]побудинковий звіт'!AB63+'[1]побудинковий звіт'!AB63</f>
        <v>0</v>
      </c>
      <c r="AC63" s="55">
        <f t="shared" si="11"/>
        <v>0</v>
      </c>
      <c r="AD63" s="41">
        <f>'[2]побудинковий звіт'!AD63+'[1]побудинковий звіт'!AD63</f>
        <v>4008.4419697652584</v>
      </c>
      <c r="AE63" s="41">
        <f>'[2]побудинковий звіт'!AE63+'[1]побудинковий звіт'!AE63</f>
        <v>3986.0408819340364</v>
      </c>
      <c r="AF63" s="36">
        <f t="shared" si="12"/>
        <v>-22.401087831221957</v>
      </c>
      <c r="AG63" s="84">
        <f t="shared" si="13"/>
        <v>13009.072671964845</v>
      </c>
      <c r="AH63" s="56">
        <f t="shared" si="14"/>
        <v>13029.652489854365</v>
      </c>
      <c r="AI63" s="55">
        <f t="shared" si="15"/>
        <v>20.5798178895202</v>
      </c>
      <c r="AJ63" s="41">
        <f>'[2]побудинковий звіт'!AJ63+'[1]побудинковий звіт'!AJ63</f>
        <v>0</v>
      </c>
      <c r="AK63" s="41">
        <f>'[2]побудинковий звіт'!AK63+'[1]побудинковий звіт'!AK63</f>
        <v>0</v>
      </c>
      <c r="AL63" s="55">
        <f t="shared" si="16"/>
        <v>0</v>
      </c>
      <c r="AM63" s="41">
        <f>'[2]побудинковий звіт'!AM63+'[1]побудинковий звіт'!AM63</f>
        <v>0</v>
      </c>
      <c r="AN63" s="41">
        <f>'[2]побудинковий звіт'!AN63+'[1]побудинковий звіт'!AN63</f>
        <v>0</v>
      </c>
      <c r="AO63" s="55">
        <f t="shared" si="17"/>
        <v>0</v>
      </c>
      <c r="AP63" s="41">
        <f>'[2]побудинковий звіт'!AP63+'[1]побудинковий звіт'!AP63</f>
        <v>792.47835432416332</v>
      </c>
      <c r="AQ63" s="41">
        <f>'[2]побудинковий звіт'!AQ63+'[1]побудинковий звіт'!AQ63</f>
        <v>749.20204923525989</v>
      </c>
      <c r="AR63" s="55">
        <f t="shared" si="18"/>
        <v>-43.276305088903428</v>
      </c>
      <c r="AS63" s="41">
        <f>'[2]побудинковий звіт'!AS63+'[1]побудинковий звіт'!AS63</f>
        <v>10320.467686680873</v>
      </c>
      <c r="AT63" s="41">
        <f>'[2]побудинковий звіт'!AT63+'[1]побудинковий звіт'!AT63</f>
        <v>2951.25575148403</v>
      </c>
      <c r="AU63" s="57">
        <f t="shared" si="19"/>
        <v>-7369.2119351968431</v>
      </c>
      <c r="AV63" s="41">
        <f>'[2]побудинковий звіт'!AV63+'[1]побудинковий звіт'!AV63</f>
        <v>817.28010387572681</v>
      </c>
      <c r="AW63" s="41">
        <f>'[2]побудинковий звіт'!AW63+'[1]побудинковий звіт'!AW63</f>
        <v>0</v>
      </c>
      <c r="AX63" s="58">
        <f t="shared" si="20"/>
        <v>-817.28010387572681</v>
      </c>
      <c r="AY63" s="41">
        <f>'[2]побудинковий звіт'!AY63+'[1]побудинковий звіт'!AY63</f>
        <v>1032.0669784720221</v>
      </c>
      <c r="AZ63" s="41">
        <f>'[2]побудинковий звіт'!AZ63+'[1]побудинковий звіт'!AZ63</f>
        <v>0</v>
      </c>
      <c r="BA63" s="36">
        <f t="shared" si="21"/>
        <v>-1032.0669784720221</v>
      </c>
      <c r="BB63" s="41">
        <f>'[2]побудинковий звіт'!BB63+'[1]побудинковий звіт'!BB63</f>
        <v>534.49287309918634</v>
      </c>
      <c r="BC63" s="41">
        <f>'[2]побудинковий звіт'!BC63+'[1]побудинковий звіт'!BC63</f>
        <v>0</v>
      </c>
      <c r="BD63" s="58">
        <f t="shared" si="22"/>
        <v>-534.49287309918634</v>
      </c>
      <c r="BE63" s="41">
        <f>'[2]побудинковий звіт'!BE63+'[1]побудинковий звіт'!BE63</f>
        <v>341.13178478687007</v>
      </c>
      <c r="BF63" s="41">
        <f>'[2]побудинковий звіт'!BF63+'[1]побудинковий звіт'!BF63</f>
        <v>0</v>
      </c>
      <c r="BG63" s="38">
        <f t="shared" si="23"/>
        <v>-341.13178478687007</v>
      </c>
      <c r="BH63" s="41">
        <f>'[2]побудинковий звіт'!BH63+'[1]побудинковий звіт'!BH63</f>
        <v>0</v>
      </c>
      <c r="BI63" s="41">
        <f>'[2]побудинковий звіт'!BI63+'[1]побудинковий звіт'!BI63</f>
        <v>0</v>
      </c>
      <c r="BJ63" s="58">
        <f t="shared" si="24"/>
        <v>0</v>
      </c>
      <c r="BK63" s="41">
        <f>'[2]побудинковий звіт'!BK63+'[1]побудинковий звіт'!BK63</f>
        <v>410.13574209981823</v>
      </c>
      <c r="BL63" s="41">
        <f>'[2]побудинковий звіт'!BL63+'[1]побудинковий звіт'!BL63</f>
        <v>0</v>
      </c>
      <c r="BM63" s="38">
        <f t="shared" si="25"/>
        <v>-410.13574209981823</v>
      </c>
      <c r="BN63" s="41">
        <f>'[2]побудинковий звіт'!BN63+'[1]побудинковий звіт'!BN63</f>
        <v>339.44222927174837</v>
      </c>
      <c r="BO63" s="41">
        <f>'[2]побудинковий звіт'!BO63+'[1]побудинковий звіт'!BO63</f>
        <v>2960.3255682942668</v>
      </c>
      <c r="BP63" s="58">
        <f t="shared" si="26"/>
        <v>2620.8833390225182</v>
      </c>
      <c r="BQ63" s="84">
        <f t="shared" si="27"/>
        <v>3474.5497116053721</v>
      </c>
      <c r="BR63" s="42">
        <f t="shared" si="28"/>
        <v>2960.3255682942668</v>
      </c>
      <c r="BS63" s="58">
        <f t="shared" si="29"/>
        <v>-514.22414331110531</v>
      </c>
      <c r="BT63" s="41">
        <f>'[2]побудинковий звіт'!BT63+'[1]побудинковий звіт'!BT63</f>
        <v>14447.850745752041</v>
      </c>
      <c r="BU63" s="41">
        <f>'[2]побудинковий звіт'!BU63+'[1]побудинковий звіт'!BU63</f>
        <v>26403.425166334819</v>
      </c>
      <c r="BV63" s="55">
        <f t="shared" si="30"/>
        <v>11955.574420582778</v>
      </c>
      <c r="BW63" s="41">
        <f>'[2]побудинковий звіт'!BW63+'[1]побудинковий звіт'!BW63</f>
        <v>7748.9043540936864</v>
      </c>
      <c r="BX63" s="41">
        <f>'[2]побудинковий звіт'!BX63+'[1]побудинковий звіт'!BX63</f>
        <v>9483.7571119397217</v>
      </c>
      <c r="BY63" s="55">
        <f t="shared" si="31"/>
        <v>1734.8527578460353</v>
      </c>
      <c r="BZ63" s="41">
        <f>'[2]побудинковий звіт'!BZ63+'[1]побудинковий звіт'!BZ63</f>
        <v>4732.4611487797156</v>
      </c>
      <c r="CA63" s="41">
        <f>'[2]побудинковий звіт'!CA63+'[1]побудинковий звіт'!CA63</f>
        <v>1969.2439276447033</v>
      </c>
      <c r="CB63" s="55">
        <f t="shared" si="32"/>
        <v>-2763.2172211350126</v>
      </c>
      <c r="CC63" s="41">
        <f>'[2]побудинковий звіт'!CC63+'[1]побудинковий звіт'!CC63</f>
        <v>0</v>
      </c>
      <c r="CD63" s="41">
        <f>'[2]побудинковий звіт'!CD63+'[1]побудинковий звіт'!CD63</f>
        <v>0</v>
      </c>
      <c r="CE63" s="55">
        <f t="shared" si="33"/>
        <v>0</v>
      </c>
      <c r="CF63" s="41">
        <f>'[2]побудинковий звіт'!CF63+'[1]побудинковий звіт'!CF63</f>
        <v>0</v>
      </c>
      <c r="CG63" s="41">
        <f>'[2]побудинковий звіт'!CG63+'[1]побудинковий звіт'!CG63</f>
        <v>0</v>
      </c>
      <c r="CH63" s="55">
        <f t="shared" si="34"/>
        <v>0</v>
      </c>
      <c r="CI63" s="41">
        <f>'[2]побудинковий звіт'!CI63+'[1]побудинковий звіт'!CI63</f>
        <v>2659.4996759343458</v>
      </c>
      <c r="CJ63" s="41">
        <f>'[2]побудинковий звіт'!CJ63+'[1]побудинковий звіт'!CJ63</f>
        <v>2098.9865722841241</v>
      </c>
      <c r="CK63" s="55">
        <f t="shared" si="35"/>
        <v>-560.51310365022164</v>
      </c>
      <c r="CL63" s="41">
        <f>'[2]побудинковий звіт'!CL63+'[1]побудинковий звіт'!CL63</f>
        <v>0</v>
      </c>
      <c r="CM63" s="41">
        <f>'[2]побудинковий звіт'!CM63+'[1]побудинковий звіт'!CM63</f>
        <v>0</v>
      </c>
      <c r="CN63" s="55">
        <f t="shared" si="36"/>
        <v>0</v>
      </c>
      <c r="CO63" s="41">
        <f t="shared" si="37"/>
        <v>2659.4996759343458</v>
      </c>
      <c r="CP63" s="42">
        <f t="shared" si="38"/>
        <v>2098.9865722841241</v>
      </c>
      <c r="CQ63" s="55">
        <f t="shared" si="39"/>
        <v>-560.51310365022164</v>
      </c>
      <c r="CR63" s="76">
        <f t="shared" si="40"/>
        <v>57185.284349135043</v>
      </c>
      <c r="CS63" s="5">
        <f t="shared" si="41"/>
        <v>59645.848637071293</v>
      </c>
      <c r="CT63" s="55">
        <f t="shared" si="42"/>
        <v>2460.5642879362495</v>
      </c>
      <c r="CU63" s="84">
        <f t="shared" si="43"/>
        <v>68622.341218962043</v>
      </c>
      <c r="CV63" s="68">
        <f t="shared" si="44"/>
        <v>71575.018364485542</v>
      </c>
      <c r="CW63" s="36">
        <f t="shared" si="45"/>
        <v>2952.6771455234993</v>
      </c>
      <c r="CX63" s="41">
        <f>'[2]побудинковий звіт'!CX63+'[1]побудинковий звіт'!CX63</f>
        <v>1966.2738684367912</v>
      </c>
      <c r="CY63" s="41">
        <f>'[2]побудинковий звіт'!CY63+'[1]побудинковий звіт'!CY63</f>
        <v>-986.4032770866952</v>
      </c>
      <c r="CZ63" s="55">
        <f t="shared" si="46"/>
        <v>-2952.6771455234866</v>
      </c>
      <c r="DA63" s="254">
        <f>'[1]побудинковий звіт'!DA63</f>
        <v>-43144.554730124932</v>
      </c>
      <c r="DB63" s="2">
        <v>2</v>
      </c>
      <c r="DC63" s="702">
        <f>'[1]побудинковий звіт'!DC63</f>
        <v>29750.71</v>
      </c>
      <c r="DD63" s="702">
        <f>'[1]побудинковий звіт'!DD63</f>
        <v>18304.059999999998</v>
      </c>
      <c r="DE63" s="702">
        <f>'[1]побудинковий звіт'!DE63</f>
        <v>22741.62</v>
      </c>
      <c r="DF63" s="702">
        <f>'[1]побудинковий звіт'!DF63</f>
        <v>17576.249999999996</v>
      </c>
      <c r="DG63" s="772">
        <v>-33731.903280691913</v>
      </c>
      <c r="DH63" s="746">
        <f t="shared" si="47"/>
        <v>847063.38104878599</v>
      </c>
      <c r="DI63" s="769"/>
      <c r="DJ63" s="5"/>
      <c r="DK63" s="307">
        <f>VLOOKUP($A63,ціни!$A$4:$G$401,5)</f>
        <v>6.0968567486052896</v>
      </c>
      <c r="DL63" s="307"/>
      <c r="DM63" s="307">
        <f>VLOOKUP($A63,ціни!$A$4:$G$401,7)</f>
        <v>5.1902077922694545</v>
      </c>
      <c r="DN63" s="29">
        <f t="shared" si="62"/>
        <v>5009.787190328967</v>
      </c>
      <c r="DO63" s="29">
        <f t="shared" si="63"/>
        <v>523.69196623998801</v>
      </c>
      <c r="DP63" s="306">
        <f t="shared" si="48"/>
        <v>5533.4791565689547</v>
      </c>
      <c r="DQ63" s="101"/>
      <c r="DR63" s="29">
        <f>VLOOKUP(A63,'ДЗ нас '!$A$1:$C$359,2)</f>
        <v>5009.82</v>
      </c>
      <c r="DS63" s="733">
        <f>VLOOKUP(A63,'ДЗ нежит'!$A$1:$D$153,4,0)</f>
        <v>523.69000000000005</v>
      </c>
      <c r="DT63" s="29">
        <f t="shared" si="49"/>
        <v>5533.51</v>
      </c>
      <c r="DU63" s="247">
        <f>VLOOKUP(A63,'новий кошторис с 01.06'!$A$4:$AI$399,35)*1.2</f>
        <v>5570.3812369907264</v>
      </c>
      <c r="DV63" s="29">
        <f t="shared" si="50"/>
        <v>-36.871236990726175</v>
      </c>
      <c r="DW63" s="1016">
        <f>'[2]побудинковий звіт'!$DW$9+'[1]побудинковий звіт'!DW63</f>
        <v>918</v>
      </c>
      <c r="DX63" s="101">
        <f>'[1]побудинковий звіт'!DX63</f>
        <v>0</v>
      </c>
      <c r="DY63" s="5">
        <f t="shared" si="51"/>
        <v>16554.020877943494</v>
      </c>
      <c r="DZ63" s="5">
        <f t="shared" si="52"/>
        <v>7093.8975837339567</v>
      </c>
      <c r="EA63" s="737">
        <f t="shared" si="53"/>
        <v>40317.869999999995</v>
      </c>
      <c r="EC63" s="577">
        <f t="shared" si="54"/>
        <v>123845.61224017048</v>
      </c>
      <c r="EE63" s="743">
        <v>44711</v>
      </c>
      <c r="EF63" s="723">
        <f t="shared" si="55"/>
        <v>10979.096719308087</v>
      </c>
      <c r="EH63" s="798">
        <v>-38210.811277607492</v>
      </c>
      <c r="EI63" s="101">
        <f>VLOOKUP(A63,'кошти 01.01.24'!$A$9:$D$352,4,FALSE)</f>
        <v>-46097.231875648431</v>
      </c>
    </row>
    <row r="64" spans="1:139" hidden="1" x14ac:dyDescent="0.3">
      <c r="A64" s="318">
        <v>150000977</v>
      </c>
      <c r="B64" s="43" t="s">
        <v>484</v>
      </c>
      <c r="C64" s="44" t="s">
        <v>150</v>
      </c>
      <c r="D64" s="44" t="s">
        <v>150</v>
      </c>
      <c r="E64" s="39">
        <f t="shared" si="4"/>
        <v>0</v>
      </c>
      <c r="F64" s="205">
        <f>'[1]побудинковий звіт'!F64</f>
        <v>0</v>
      </c>
      <c r="G64" s="29">
        <f>'[1]побудинковий звіт'!G64</f>
        <v>0</v>
      </c>
      <c r="H64" s="148">
        <f>'[1]побудинковий звіт'!H64</f>
        <v>0</v>
      </c>
      <c r="I64" s="41">
        <f>'[2]побудинковий звіт'!I64+'[1]побудинковий звіт'!I64</f>
        <v>3629.5694338218705</v>
      </c>
      <c r="J64" s="41">
        <f>'[2]побудинковий звіт'!J64+'[1]побудинковий звіт'!J64</f>
        <v>3776.9781287615242</v>
      </c>
      <c r="K64" s="55">
        <f t="shared" si="5"/>
        <v>147.40869493965374</v>
      </c>
      <c r="L64" s="41">
        <f>'[2]побудинковий звіт'!L64+'[1]побудинковий звіт'!L64</f>
        <v>691.16620271561169</v>
      </c>
      <c r="M64" s="41">
        <f>'[2]побудинковий звіт'!M64+'[1]побудинковий звіт'!M64</f>
        <v>743.22463449158522</v>
      </c>
      <c r="N64" s="55">
        <f t="shared" si="6"/>
        <v>52.058431775973531</v>
      </c>
      <c r="O64" s="41">
        <f>'[2]побудинковий звіт'!O64+'[1]побудинковий звіт'!O64</f>
        <v>992.99999999999989</v>
      </c>
      <c r="P64" s="41">
        <f>'[2]побудинковий звіт'!P64+'[1]побудинковий звіт'!P64</f>
        <v>992.99999999999989</v>
      </c>
      <c r="Q64" s="55">
        <f t="shared" si="7"/>
        <v>0</v>
      </c>
      <c r="R64" s="41">
        <f>'[2]побудинковий звіт'!R64+'[1]побудинковий звіт'!R64</f>
        <v>0</v>
      </c>
      <c r="S64" s="41">
        <f>'[2]побудинковий звіт'!S64+'[1]побудинковий звіт'!S64</f>
        <v>0</v>
      </c>
      <c r="T64" s="55">
        <f t="shared" si="8"/>
        <v>0</v>
      </c>
      <c r="U64" s="41">
        <f>'[2]побудинковий звіт'!U64+'[1]побудинковий звіт'!U64</f>
        <v>0</v>
      </c>
      <c r="V64" s="41">
        <f>'[2]побудинковий звіт'!V64+'[1]побудинковий звіт'!V64</f>
        <v>0</v>
      </c>
      <c r="W64" s="55">
        <f t="shared" si="9"/>
        <v>0</v>
      </c>
      <c r="X64" s="41">
        <f>'[2]побудинковий звіт'!X64+'[1]побудинковий звіт'!X64</f>
        <v>1379.857618713409</v>
      </c>
      <c r="Y64" s="41">
        <f>'[2]побудинковий звіт'!Y64+'[1]побудинковий звіт'!Y64</f>
        <v>1287.6786584490974</v>
      </c>
      <c r="Z64" s="55">
        <f t="shared" si="10"/>
        <v>-92.178960264311627</v>
      </c>
      <c r="AA64" s="41">
        <f>'[2]побудинковий звіт'!AA64+'[1]побудинковий звіт'!AA64</f>
        <v>0</v>
      </c>
      <c r="AB64" s="41">
        <f>'[2]побудинковий звіт'!AB64+'[1]побудинковий звіт'!AB64</f>
        <v>0</v>
      </c>
      <c r="AC64" s="55">
        <f t="shared" si="11"/>
        <v>0</v>
      </c>
      <c r="AD64" s="41">
        <f>'[2]побудинковий звіт'!AD64+'[1]побудинковий звіт'!AD64</f>
        <v>3239.655024990916</v>
      </c>
      <c r="AE64" s="41">
        <f>'[2]побудинковий звіт'!AE64+'[1]побудинковий звіт'!AE64</f>
        <v>3135.0741362600838</v>
      </c>
      <c r="AF64" s="36">
        <f t="shared" si="12"/>
        <v>-104.58088873083216</v>
      </c>
      <c r="AG64" s="84">
        <f t="shared" si="13"/>
        <v>9933.2482802418072</v>
      </c>
      <c r="AH64" s="56">
        <f t="shared" si="14"/>
        <v>9935.9555579622902</v>
      </c>
      <c r="AI64" s="55">
        <f t="shared" si="15"/>
        <v>2.7072777204830345</v>
      </c>
      <c r="AJ64" s="41">
        <f>'[2]побудинковий звіт'!AJ64+'[1]побудинковий звіт'!AJ64</f>
        <v>0</v>
      </c>
      <c r="AK64" s="41">
        <f>'[2]побудинковий звіт'!AK64+'[1]побудинковий звіт'!AK64</f>
        <v>0</v>
      </c>
      <c r="AL64" s="55">
        <f t="shared" si="16"/>
        <v>0</v>
      </c>
      <c r="AM64" s="41">
        <f>'[2]побудинковий звіт'!AM64+'[1]побудинковий звіт'!AM64</f>
        <v>0</v>
      </c>
      <c r="AN64" s="41">
        <f>'[2]побудинковий звіт'!AN64+'[1]побудинковий звіт'!AN64</f>
        <v>0</v>
      </c>
      <c r="AO64" s="55">
        <f t="shared" si="17"/>
        <v>0</v>
      </c>
      <c r="AP64" s="41">
        <f>'[2]побудинковий звіт'!AP64+'[1]побудинковий звіт'!AP64</f>
        <v>1538.9036697021809</v>
      </c>
      <c r="AQ64" s="41">
        <f>'[2]побудинковий звіт'!AQ64+'[1]побудинковий звіт'!AQ64</f>
        <v>1712.703044762274</v>
      </c>
      <c r="AR64" s="55">
        <f t="shared" si="18"/>
        <v>173.7993750600931</v>
      </c>
      <c r="AS64" s="41">
        <f>'[2]побудинковий звіт'!AS64+'[1]побудинковий звіт'!AS64</f>
        <v>10894.088610326024</v>
      </c>
      <c r="AT64" s="41">
        <f>'[2]побудинковий звіт'!AT64+'[1]побудинковий звіт'!AT64</f>
        <v>5359.4381794659275</v>
      </c>
      <c r="AU64" s="57">
        <f t="shared" si="19"/>
        <v>-5534.6504308600961</v>
      </c>
      <c r="AV64" s="41">
        <f>'[2]побудинковий звіт'!AV64+'[1]побудинковий звіт'!AV64</f>
        <v>674.61487126186034</v>
      </c>
      <c r="AW64" s="41">
        <f>'[2]побудинковий звіт'!AW64+'[1]побудинковий звіт'!AW64</f>
        <v>0</v>
      </c>
      <c r="AX64" s="58">
        <f t="shared" si="20"/>
        <v>-674.61487126186034</v>
      </c>
      <c r="AY64" s="41">
        <f>'[2]побудинковий звіт'!AY64+'[1]побудинковий звіт'!AY64</f>
        <v>890.92350960335341</v>
      </c>
      <c r="AZ64" s="41">
        <f>'[2]побудинковий звіт'!AZ64+'[1]побудинковий звіт'!AZ64</f>
        <v>0</v>
      </c>
      <c r="BA64" s="36">
        <f t="shared" si="21"/>
        <v>-890.92350960335341</v>
      </c>
      <c r="BB64" s="41">
        <f>'[2]побудинковий звіт'!BB64+'[1]побудинковий звіт'!BB64</f>
        <v>528.86388444950489</v>
      </c>
      <c r="BC64" s="41">
        <f>'[2]побудинковий звіт'!BC64+'[1]побудинковий звіт'!BC64</f>
        <v>0</v>
      </c>
      <c r="BD64" s="58">
        <f t="shared" si="22"/>
        <v>-528.86388444950489</v>
      </c>
      <c r="BE64" s="41">
        <f>'[2]побудинковий звіт'!BE64+'[1]побудинковий звіт'!BE64</f>
        <v>0</v>
      </c>
      <c r="BF64" s="41">
        <f>'[2]побудинковий звіт'!BF64+'[1]побудинковий звіт'!BF64</f>
        <v>0</v>
      </c>
      <c r="BG64" s="38">
        <f t="shared" si="23"/>
        <v>0</v>
      </c>
      <c r="BH64" s="41">
        <f>'[2]побудинковий звіт'!BH64+'[1]побудинковий звіт'!BH64</f>
        <v>0</v>
      </c>
      <c r="BI64" s="41">
        <f>'[2]побудинковий звіт'!BI64+'[1]побудинковий звіт'!BI64</f>
        <v>0</v>
      </c>
      <c r="BJ64" s="58">
        <f t="shared" si="24"/>
        <v>0</v>
      </c>
      <c r="BK64" s="41">
        <f>'[2]побудинковий звіт'!BK64+'[1]побудинковий звіт'!BK64</f>
        <v>148.16363198934826</v>
      </c>
      <c r="BL64" s="41">
        <f>'[2]побудинковий звіт'!BL64+'[1]побудинковий звіт'!BL64</f>
        <v>0</v>
      </c>
      <c r="BM64" s="38">
        <f t="shared" si="25"/>
        <v>-148.16363198934826</v>
      </c>
      <c r="BN64" s="41">
        <f>'[2]побудинковий звіт'!BN64+'[1]побудинковий звіт'!BN64</f>
        <v>0</v>
      </c>
      <c r="BO64" s="41">
        <f>'[2]побудинковий звіт'!BO64+'[1]побудинковий звіт'!BO64</f>
        <v>3554.2861399005856</v>
      </c>
      <c r="BP64" s="58">
        <f t="shared" si="26"/>
        <v>3554.2861399005856</v>
      </c>
      <c r="BQ64" s="84">
        <f t="shared" si="27"/>
        <v>2242.5658973040668</v>
      </c>
      <c r="BR64" s="42">
        <f t="shared" si="28"/>
        <v>3554.2861399005856</v>
      </c>
      <c r="BS64" s="58">
        <f t="shared" si="29"/>
        <v>1311.7202425965188</v>
      </c>
      <c r="BT64" s="41">
        <f>'[2]побудинковий звіт'!BT64+'[1]побудинковий звіт'!BT64</f>
        <v>13913.891133766674</v>
      </c>
      <c r="BU64" s="41">
        <f>'[2]побудинковий звіт'!BU64+'[1]побудинковий звіт'!BU64</f>
        <v>18299.556440795055</v>
      </c>
      <c r="BV64" s="55">
        <f t="shared" si="30"/>
        <v>4385.665307028381</v>
      </c>
      <c r="BW64" s="41">
        <f>'[2]побудинковий звіт'!BW64+'[1]побудинковий звіт'!BW64</f>
        <v>5666.7043495623238</v>
      </c>
      <c r="BX64" s="41">
        <f>'[2]побудинковий звіт'!BX64+'[1]побудинковий звіт'!BX64</f>
        <v>7553.6100809143018</v>
      </c>
      <c r="BY64" s="55">
        <f t="shared" si="31"/>
        <v>1886.9057313519779</v>
      </c>
      <c r="BZ64" s="41">
        <f>'[2]побудинковий звіт'!BZ64+'[1]побудинковий звіт'!BZ64</f>
        <v>2154.5117370159442</v>
      </c>
      <c r="CA64" s="41">
        <f>'[2]побудинковий звіт'!CA64+'[1]побудинковий звіт'!CA64</f>
        <v>1781.9571147515474</v>
      </c>
      <c r="CB64" s="55">
        <f t="shared" si="32"/>
        <v>-372.55462226439681</v>
      </c>
      <c r="CC64" s="41">
        <f>'[2]побудинковий звіт'!CC64+'[1]побудинковий звіт'!CC64</f>
        <v>0</v>
      </c>
      <c r="CD64" s="41">
        <f>'[2]побудинковий звіт'!CD64+'[1]побудинковий звіт'!CD64</f>
        <v>0</v>
      </c>
      <c r="CE64" s="55">
        <f t="shared" si="33"/>
        <v>0</v>
      </c>
      <c r="CF64" s="41">
        <f>'[2]побудинковий звіт'!CF64+'[1]побудинковий звіт'!CF64</f>
        <v>0</v>
      </c>
      <c r="CG64" s="41">
        <f>'[2]побудинковий звіт'!CG64+'[1]побудинковий звіт'!CG64</f>
        <v>0</v>
      </c>
      <c r="CH64" s="55">
        <f t="shared" si="34"/>
        <v>0</v>
      </c>
      <c r="CI64" s="41">
        <f>'[2]побудинковий звіт'!CI64+'[1]побудинковий звіт'!CI64</f>
        <v>904.68038356428656</v>
      </c>
      <c r="CJ64" s="41">
        <f>'[2]побудинковий звіт'!CJ64+'[1]побудинковий звіт'!CJ64</f>
        <v>731.02590760410965</v>
      </c>
      <c r="CK64" s="55">
        <f t="shared" si="35"/>
        <v>-173.65447596017691</v>
      </c>
      <c r="CL64" s="41">
        <f>'[2]побудинковий звіт'!CL64+'[1]побудинковий звіт'!CL64</f>
        <v>0</v>
      </c>
      <c r="CM64" s="41">
        <f>'[2]побудинковий звіт'!CM64+'[1]побудинковий звіт'!CM64</f>
        <v>0</v>
      </c>
      <c r="CN64" s="55">
        <f t="shared" si="36"/>
        <v>0</v>
      </c>
      <c r="CO64" s="41">
        <f t="shared" si="37"/>
        <v>904.68038356428656</v>
      </c>
      <c r="CP64" s="42">
        <f t="shared" si="38"/>
        <v>731.02590760410965</v>
      </c>
      <c r="CQ64" s="55">
        <f t="shared" si="39"/>
        <v>-173.65447596017691</v>
      </c>
      <c r="CR64" s="76">
        <f t="shared" si="40"/>
        <v>47248.594061483302</v>
      </c>
      <c r="CS64" s="5">
        <f t="shared" si="41"/>
        <v>48928.532466156088</v>
      </c>
      <c r="CT64" s="55">
        <f t="shared" si="42"/>
        <v>1679.9384046727864</v>
      </c>
      <c r="CU64" s="84">
        <f t="shared" si="43"/>
        <v>56698.312873779963</v>
      </c>
      <c r="CV64" s="68">
        <f t="shared" si="44"/>
        <v>58714.238959387301</v>
      </c>
      <c r="CW64" s="36">
        <f t="shared" si="45"/>
        <v>2015.9260856073379</v>
      </c>
      <c r="CX64" s="41">
        <f>'[2]побудинковий звіт'!CX64+'[1]побудинковий звіт'!CX64</f>
        <v>6.8871262200354977</v>
      </c>
      <c r="CY64" s="41">
        <f>'[2]побудинковий звіт'!CY64+'[1]побудинковий звіт'!CY64</f>
        <v>-2009.0389593872987</v>
      </c>
      <c r="CZ64" s="55">
        <f t="shared" si="46"/>
        <v>-2015.9260856073342</v>
      </c>
      <c r="DA64" s="254">
        <f>'[1]побудинковий звіт'!DA64</f>
        <v>-15520.479638894401</v>
      </c>
      <c r="DB64" s="2">
        <v>2</v>
      </c>
      <c r="DC64" s="702">
        <f>'[1]побудинковий звіт'!DC64</f>
        <v>0</v>
      </c>
      <c r="DD64" s="702">
        <f>'[1]побудинковий звіт'!DD64</f>
        <v>0</v>
      </c>
      <c r="DE64" s="702">
        <f>'[1]побудинковий звіт'!DE64</f>
        <v>0</v>
      </c>
      <c r="DF64" s="702">
        <f>'[1]побудинковий звіт'!DF64</f>
        <v>0</v>
      </c>
      <c r="DG64" s="772">
        <v>2736.0315718800994</v>
      </c>
      <c r="DH64" s="746">
        <f t="shared" si="47"/>
        <v>680462.39999999991</v>
      </c>
      <c r="DI64" s="769"/>
      <c r="DJ64" s="5"/>
      <c r="DK64" s="307">
        <f>VLOOKUP($A64,ціни!$A$4:$G$401,5)</f>
        <v>6.5275952569415638</v>
      </c>
      <c r="DL64" s="307"/>
      <c r="DM64" s="307">
        <f>VLOOKUP($A64,ціни!$A$4:$G$401,7)</f>
        <v>5.4881508638699055</v>
      </c>
      <c r="DN64" s="29">
        <f t="shared" si="62"/>
        <v>0</v>
      </c>
      <c r="DO64" s="29">
        <f t="shared" si="63"/>
        <v>0</v>
      </c>
      <c r="DP64" s="306">
        <f t="shared" si="48"/>
        <v>0</v>
      </c>
      <c r="DQ64" s="101"/>
      <c r="DR64" s="29">
        <f>VLOOKUP(A64,'ДЗ нас '!$A$1:$C$359,2)</f>
        <v>4271.0200000000004</v>
      </c>
      <c r="DS64" s="733">
        <f>VLOOKUP(A64,'ДЗ нежит'!$A$1:$D$153,4,0)</f>
        <v>1399.5</v>
      </c>
      <c r="DT64" s="29">
        <f t="shared" si="49"/>
        <v>5670.52</v>
      </c>
      <c r="DU64" s="247">
        <f>VLOOKUP(A64,'новий кошторис с 01.06'!$A$4:$AI$399,35)*1.2</f>
        <v>5669.8312873779969</v>
      </c>
      <c r="DV64" s="29">
        <f t="shared" si="50"/>
        <v>0.68871262200354977</v>
      </c>
      <c r="DW64" s="1016">
        <f>'[2]побудинковий звіт'!$DW$9+'[1]побудинковий звіт'!DW64</f>
        <v>816</v>
      </c>
      <c r="DX64" s="101">
        <f>'[1]побудинковий звіт'!DX64</f>
        <v>0</v>
      </c>
      <c r="DY64" s="5">
        <f t="shared" si="51"/>
        <v>15763.985409156106</v>
      </c>
      <c r="DZ64" s="5">
        <f t="shared" si="52"/>
        <v>10696.469183239815</v>
      </c>
      <c r="EA64" s="737">
        <f t="shared" si="53"/>
        <v>0</v>
      </c>
      <c r="EC64" s="577">
        <f t="shared" si="54"/>
        <v>130729.06332391228</v>
      </c>
      <c r="EE64" s="743">
        <v>2457</v>
      </c>
      <c r="EF64" s="723">
        <f t="shared" si="55"/>
        <v>5193.0315718800994</v>
      </c>
      <c r="EH64" s="798">
        <v>-4805.3724661808237</v>
      </c>
      <c r="EI64" s="101">
        <f>VLOOKUP(A64,'кошти 01.01.24'!$A$9:$D$352,4,FALSE)</f>
        <v>-17536.405724501768</v>
      </c>
    </row>
    <row r="65" spans="1:139" hidden="1" x14ac:dyDescent="0.3">
      <c r="A65" s="318">
        <v>150000978</v>
      </c>
      <c r="B65" s="43" t="s">
        <v>485</v>
      </c>
      <c r="C65" s="44" t="s">
        <v>243</v>
      </c>
      <c r="D65" s="44" t="s">
        <v>243</v>
      </c>
      <c r="E65" s="39">
        <f t="shared" si="4"/>
        <v>1867.1</v>
      </c>
      <c r="F65" s="205">
        <f>'[1]побудинковий звіт'!F65</f>
        <v>1730</v>
      </c>
      <c r="G65" s="29">
        <f>'[1]побудинковий звіт'!G65</f>
        <v>0</v>
      </c>
      <c r="H65" s="148">
        <f>'[1]побудинковий звіт'!H65</f>
        <v>137.1</v>
      </c>
      <c r="I65" s="41">
        <f>'[2]побудинковий звіт'!I65+'[1]побудинковий звіт'!I65</f>
        <v>6265.1027784546368</v>
      </c>
      <c r="J65" s="41">
        <f>'[2]побудинковий звіт'!J65+'[1]побудинковий звіт'!J65</f>
        <v>6448.5778455504933</v>
      </c>
      <c r="K65" s="55">
        <f t="shared" si="5"/>
        <v>183.4750670958565</v>
      </c>
      <c r="L65" s="41">
        <f>'[2]побудинковий звіт'!L65+'[1]побудинковий звіт'!L65</f>
        <v>1093.3766235502496</v>
      </c>
      <c r="M65" s="41">
        <f>'[2]побудинковий звіт'!M65+'[1]побудинковий звіт'!M65</f>
        <v>1145.1107173800842</v>
      </c>
      <c r="N65" s="55">
        <f t="shared" si="6"/>
        <v>51.734093829834592</v>
      </c>
      <c r="O65" s="41">
        <f>'[2]побудинковий звіт'!O65+'[1]побудинковий звіт'!O65</f>
        <v>3012.5272415902527</v>
      </c>
      <c r="P65" s="41">
        <f>'[2]побудинковий звіт'!P65+'[1]побудинковий звіт'!P65</f>
        <v>3021.1932367616691</v>
      </c>
      <c r="Q65" s="55">
        <f t="shared" si="7"/>
        <v>8.6659951714163981</v>
      </c>
      <c r="R65" s="41">
        <f>'[2]побудинковий звіт'!R65+'[1]побудинковий звіт'!R65</f>
        <v>0</v>
      </c>
      <c r="S65" s="41">
        <f>'[2]побудинковий звіт'!S65+'[1]побудинковий звіт'!S65</f>
        <v>0</v>
      </c>
      <c r="T65" s="55">
        <f t="shared" si="8"/>
        <v>0</v>
      </c>
      <c r="U65" s="41">
        <f>'[2]побудинковий звіт'!U65+'[1]побудинковий звіт'!U65</f>
        <v>140.32647418906288</v>
      </c>
      <c r="V65" s="41">
        <f>'[2]побудинковий звіт'!V65+'[1]побудинковий звіт'!V65</f>
        <v>80.958443147995155</v>
      </c>
      <c r="W65" s="55">
        <f t="shared" si="9"/>
        <v>-59.368031041067724</v>
      </c>
      <c r="X65" s="41">
        <f>'[2]побудинковий звіт'!X65+'[1]побудинковий звіт'!X65</f>
        <v>3352.24845356689</v>
      </c>
      <c r="Y65" s="41">
        <f>'[2]побудинковий звіт'!Y65+'[1]побудинковий звіт'!Y65</f>
        <v>3155.78942233219</v>
      </c>
      <c r="Z65" s="55">
        <f t="shared" si="10"/>
        <v>-196.45903123469998</v>
      </c>
      <c r="AA65" s="41">
        <f>'[2]побудинковий звіт'!AA65+'[1]побудинковий звіт'!AA65</f>
        <v>0</v>
      </c>
      <c r="AB65" s="41">
        <f>'[2]побудинковий звіт'!AB65+'[1]побудинковий звіт'!AB65</f>
        <v>0</v>
      </c>
      <c r="AC65" s="55">
        <f t="shared" si="11"/>
        <v>0</v>
      </c>
      <c r="AD65" s="41">
        <f>'[2]побудинковий звіт'!AD65+'[1]побудинковий звіт'!AD65</f>
        <v>8098.1955414017202</v>
      </c>
      <c r="AE65" s="41">
        <f>'[2]побудинковий звіт'!AE65+'[1]побудинковий звіт'!AE65</f>
        <v>8066.6994696065904</v>
      </c>
      <c r="AF65" s="36">
        <f t="shared" si="12"/>
        <v>-31.496071795129865</v>
      </c>
      <c r="AG65" s="84">
        <f t="shared" si="13"/>
        <v>21961.777112752814</v>
      </c>
      <c r="AH65" s="56">
        <f t="shared" si="14"/>
        <v>21918.329134779022</v>
      </c>
      <c r="AI65" s="55">
        <f t="shared" si="15"/>
        <v>-43.447977973792149</v>
      </c>
      <c r="AJ65" s="41">
        <f>'[2]побудинковий звіт'!AJ65+'[1]побудинковий звіт'!AJ65</f>
        <v>0</v>
      </c>
      <c r="AK65" s="41">
        <f>'[2]побудинковий звіт'!AK65+'[1]побудинковий звіт'!AK65</f>
        <v>0</v>
      </c>
      <c r="AL65" s="55">
        <f t="shared" si="16"/>
        <v>0</v>
      </c>
      <c r="AM65" s="41">
        <f>'[2]побудинковий звіт'!AM65+'[1]побудинковий звіт'!AM65</f>
        <v>0</v>
      </c>
      <c r="AN65" s="41">
        <f>'[2]побудинковий звіт'!AN65+'[1]побудинковий звіт'!AN65</f>
        <v>0</v>
      </c>
      <c r="AO65" s="55">
        <f t="shared" si="17"/>
        <v>0</v>
      </c>
      <c r="AP65" s="41">
        <f>'[2]побудинковий звіт'!AP65+'[1]побудинковий звіт'!AP65</f>
        <v>5497.8185831238825</v>
      </c>
      <c r="AQ65" s="41">
        <f>'[2]побудинковий звіт'!AQ65+'[1]побудинковий звіт'!AQ65</f>
        <v>5006.0705263846476</v>
      </c>
      <c r="AR65" s="55">
        <f t="shared" si="18"/>
        <v>-491.74805673923493</v>
      </c>
      <c r="AS65" s="41">
        <f>'[2]побудинковий звіт'!AS65+'[1]побудинковий звіт'!AS65</f>
        <v>24686.674640317498</v>
      </c>
      <c r="AT65" s="41">
        <f>'[2]побудинковий звіт'!AT65+'[1]побудинковий звіт'!AT65</f>
        <v>14081.617266865725</v>
      </c>
      <c r="AU65" s="57">
        <f t="shared" si="19"/>
        <v>-10605.057373451773</v>
      </c>
      <c r="AV65" s="41">
        <f>'[2]побудинковий звіт'!AV65+'[1]побудинковий звіт'!AV65</f>
        <v>1050.0160878399581</v>
      </c>
      <c r="AW65" s="41">
        <f>'[2]побудинковий звіт'!AW65+'[1]побудинковий звіт'!AW65</f>
        <v>16832.148707978471</v>
      </c>
      <c r="AX65" s="58">
        <f t="shared" si="20"/>
        <v>15782.132620138513</v>
      </c>
      <c r="AY65" s="41">
        <f>'[2]побудинковий звіт'!AY65+'[1]побудинковий звіт'!AY65</f>
        <v>1424.3755973098519</v>
      </c>
      <c r="AZ65" s="41">
        <f>'[2]побудинковий звіт'!AZ65+'[1]побудинковий звіт'!AZ65</f>
        <v>0</v>
      </c>
      <c r="BA65" s="36">
        <f t="shared" si="21"/>
        <v>-1424.3755973098519</v>
      </c>
      <c r="BB65" s="41">
        <f>'[2]побудинковий звіт'!BB65+'[1]побудинковий звіт'!BB65</f>
        <v>1191.8464305523471</v>
      </c>
      <c r="BC65" s="41">
        <f>'[2]побудинковий звіт'!BC65+'[1]побудинковий звіт'!BC65</f>
        <v>0</v>
      </c>
      <c r="BD65" s="58">
        <f t="shared" si="22"/>
        <v>-1191.8464305523471</v>
      </c>
      <c r="BE65" s="41">
        <f>'[2]побудинковий звіт'!BE65+'[1]побудинковий звіт'!BE65</f>
        <v>0</v>
      </c>
      <c r="BF65" s="41">
        <f>'[2]побудинковий звіт'!BF65+'[1]побудинковий звіт'!BF65</f>
        <v>0</v>
      </c>
      <c r="BG65" s="38">
        <f t="shared" si="23"/>
        <v>0</v>
      </c>
      <c r="BH65" s="41">
        <f>'[2]побудинковий звіт'!BH65+'[1]побудинковий звіт'!BH65</f>
        <v>82.704815978574771</v>
      </c>
      <c r="BI65" s="41">
        <f>'[2]побудинковий звіт'!BI65+'[1]побудинковий звіт'!BI65</f>
        <v>0</v>
      </c>
      <c r="BJ65" s="58">
        <f t="shared" si="24"/>
        <v>-82.704815978574771</v>
      </c>
      <c r="BK65" s="41">
        <f>'[2]побудинковий звіт'!BK65+'[1]побудинковий звіт'!BK65</f>
        <v>516.68660379954781</v>
      </c>
      <c r="BL65" s="41">
        <f>'[2]побудинковий звіт'!BL65+'[1]побудинковий звіт'!BL65</f>
        <v>3281.1161694687517</v>
      </c>
      <c r="BM65" s="38">
        <f t="shared" si="25"/>
        <v>2764.4295656692038</v>
      </c>
      <c r="BN65" s="41">
        <f>'[2]побудинковий звіт'!BN65+'[1]побудинковий звіт'!BN65</f>
        <v>53.989264928896702</v>
      </c>
      <c r="BO65" s="41">
        <f>'[2]побудинковий звіт'!BO65+'[1]побудинковий звіт'!BO65</f>
        <v>1394.0767414220215</v>
      </c>
      <c r="BP65" s="58">
        <f t="shared" si="26"/>
        <v>1340.0874764931248</v>
      </c>
      <c r="BQ65" s="84">
        <f t="shared" si="27"/>
        <v>4319.6188004091764</v>
      </c>
      <c r="BR65" s="42">
        <f t="shared" si="28"/>
        <v>21507.341618869243</v>
      </c>
      <c r="BS65" s="58">
        <f t="shared" si="29"/>
        <v>17187.722818460068</v>
      </c>
      <c r="BT65" s="41">
        <f>'[2]побудинковий звіт'!BT65+'[1]побудинковий звіт'!BT65</f>
        <v>15341.798781425954</v>
      </c>
      <c r="BU65" s="41">
        <f>'[2]побудинковий звіт'!BU65+'[1]побудинковий звіт'!BU65</f>
        <v>26029.484795326152</v>
      </c>
      <c r="BV65" s="55">
        <f t="shared" si="30"/>
        <v>10687.686013900198</v>
      </c>
      <c r="BW65" s="41">
        <f>'[2]побудинковий звіт'!BW65+'[1]побудинковий звіт'!BW65</f>
        <v>8931.4022280297104</v>
      </c>
      <c r="BX65" s="41">
        <f>'[2]побудинковий звіт'!BX65+'[1]побудинковий звіт'!BX65</f>
        <v>11625.288635441706</v>
      </c>
      <c r="BY65" s="55">
        <f t="shared" si="31"/>
        <v>2693.8864074119956</v>
      </c>
      <c r="BZ65" s="41">
        <f>'[2]побудинковий звіт'!BZ65+'[1]побудинковий звіт'!BZ65</f>
        <v>8177.6745036405528</v>
      </c>
      <c r="CA65" s="41">
        <f>'[2]побудинковий звіт'!CA65+'[1]побудинковий звіт'!CA65</f>
        <v>2853.9311802738289</v>
      </c>
      <c r="CB65" s="55">
        <f t="shared" si="32"/>
        <v>-5323.7433233667234</v>
      </c>
      <c r="CC65" s="41">
        <f>'[2]побудинковий звіт'!CC65+'[1]побудинковий звіт'!CC65</f>
        <v>0</v>
      </c>
      <c r="CD65" s="41">
        <f>'[2]побудинковий звіт'!CD65+'[1]побудинковий звіт'!CD65</f>
        <v>0</v>
      </c>
      <c r="CE65" s="55">
        <f t="shared" si="33"/>
        <v>0</v>
      </c>
      <c r="CF65" s="41">
        <f>'[2]побудинковий звіт'!CF65+'[1]побудинковий звіт'!CF65</f>
        <v>0</v>
      </c>
      <c r="CG65" s="41">
        <f>'[2]побудинковий звіт'!CG65+'[1]побудинковий звіт'!CG65</f>
        <v>0</v>
      </c>
      <c r="CH65" s="55">
        <f t="shared" si="34"/>
        <v>0</v>
      </c>
      <c r="CI65" s="41">
        <f>'[2]побудинковий звіт'!CI65+'[1]побудинковий звіт'!CI65</f>
        <v>2049.352995290727</v>
      </c>
      <c r="CJ65" s="41">
        <f>'[2]побудинковий звіт'!CJ65+'[1]побудинковий звіт'!CJ65</f>
        <v>661.86918039108787</v>
      </c>
      <c r="CK65" s="55">
        <f t="shared" si="35"/>
        <v>-1387.4838148996391</v>
      </c>
      <c r="CL65" s="41">
        <f>'[2]побудинковий звіт'!CL65+'[1]побудинковий звіт'!CL65</f>
        <v>0</v>
      </c>
      <c r="CM65" s="41">
        <f>'[2]побудинковий звіт'!CM65+'[1]побудинковий звіт'!CM65</f>
        <v>0</v>
      </c>
      <c r="CN65" s="55">
        <f t="shared" si="36"/>
        <v>0</v>
      </c>
      <c r="CO65" s="41">
        <f t="shared" si="37"/>
        <v>2049.352995290727</v>
      </c>
      <c r="CP65" s="42">
        <f t="shared" si="38"/>
        <v>661.86918039108787</v>
      </c>
      <c r="CQ65" s="55">
        <f t="shared" si="39"/>
        <v>-1387.4838148996391</v>
      </c>
      <c r="CR65" s="76">
        <f t="shared" si="40"/>
        <v>90966.1176449903</v>
      </c>
      <c r="CS65" s="5">
        <f t="shared" si="41"/>
        <v>103683.9323383314</v>
      </c>
      <c r="CT65" s="55">
        <f t="shared" si="42"/>
        <v>12717.814693341104</v>
      </c>
      <c r="CU65" s="84">
        <f t="shared" si="43"/>
        <v>109159.34117398836</v>
      </c>
      <c r="CV65" s="68">
        <f t="shared" si="44"/>
        <v>124420.71880599768</v>
      </c>
      <c r="CW65" s="36">
        <f t="shared" si="45"/>
        <v>15261.377632009317</v>
      </c>
      <c r="CX65" s="41">
        <f>'[2]побудинковий звіт'!CX65+'[1]побудинковий звіт'!CX65</f>
        <v>3722.6117205507812</v>
      </c>
      <c r="CY65" s="41">
        <f>'[2]побудинковий звіт'!CY65+'[1]побудинковий звіт'!CY65</f>
        <v>-11538.765911458551</v>
      </c>
      <c r="CZ65" s="55">
        <f t="shared" si="46"/>
        <v>-15261.377632009333</v>
      </c>
      <c r="DA65" s="254">
        <f>'[1]побудинковий звіт'!DA65</f>
        <v>8517.8286576127575</v>
      </c>
      <c r="DB65" s="2">
        <v>2</v>
      </c>
      <c r="DC65" s="702">
        <f>'[1]побудинковий звіт'!DC65</f>
        <v>40354.29</v>
      </c>
      <c r="DD65" s="702">
        <f>'[1]побудинковий звіт'!DD65</f>
        <v>2112.79</v>
      </c>
      <c r="DE65" s="702">
        <f>'[1]побудинковий звіт'!DE65</f>
        <v>28812.410000000003</v>
      </c>
      <c r="DF65" s="702">
        <f>'[1]побудинковий звіт'!DF65</f>
        <v>1290.2199999999998</v>
      </c>
      <c r="DG65" s="772">
        <v>5423.9847659426741</v>
      </c>
      <c r="DH65" s="746">
        <f t="shared" si="47"/>
        <v>1354583.4347344697</v>
      </c>
      <c r="DI65" s="769"/>
      <c r="DJ65" s="5"/>
      <c r="DK65" s="307">
        <f>VLOOKUP($A65,ціни!$A$4:$G$401,5)</f>
        <v>4.7774743238734203</v>
      </c>
      <c r="DL65" s="307"/>
      <c r="DM65" s="307">
        <f>VLOOKUP($A65,ціни!$A$4:$G$401,7)</f>
        <v>4.2696882477374931</v>
      </c>
      <c r="DN65" s="29">
        <f t="shared" si="62"/>
        <v>8265.0305803010178</v>
      </c>
      <c r="DO65" s="29">
        <f t="shared" si="63"/>
        <v>585.37425876481029</v>
      </c>
      <c r="DP65" s="306">
        <f t="shared" si="48"/>
        <v>8850.4048390658281</v>
      </c>
      <c r="DQ65" s="101"/>
      <c r="DR65" s="29">
        <f>VLOOKUP(A65,'ДЗ нас '!$A$1:$C$359,2)</f>
        <v>8265.06</v>
      </c>
      <c r="DS65" s="733">
        <f>VLOOKUP(A65,'ДЗ нежит'!$A$1:$D$153,4,0)</f>
        <v>585.38</v>
      </c>
      <c r="DT65" s="29">
        <f t="shared" si="49"/>
        <v>8850.4399999999987</v>
      </c>
      <c r="DU65" s="247">
        <f>VLOOKUP(A65,'новий кошторис с 01.06'!$A$4:$AI$399,35)*1.2</f>
        <v>8901.9605954099006</v>
      </c>
      <c r="DV65" s="29">
        <f t="shared" si="50"/>
        <v>-51.520595409901944</v>
      </c>
      <c r="DW65" s="1016">
        <f>'[2]побудинковий звіт'!$DW$9+'[1]побудинковий звіт'!DW65</f>
        <v>1062</v>
      </c>
      <c r="DX65" s="101">
        <f>'[1]побудинковий звіт'!DX65</f>
        <v>0</v>
      </c>
      <c r="DY65" s="5">
        <f t="shared" si="51"/>
        <v>34807.552128872005</v>
      </c>
      <c r="DZ65" s="5">
        <f t="shared" si="52"/>
        <v>42706.750662881961</v>
      </c>
      <c r="EA65" s="737">
        <f t="shared" si="53"/>
        <v>30102.630000000005</v>
      </c>
      <c r="EC65" s="577">
        <f t="shared" si="54"/>
        <v>296240.09568380995</v>
      </c>
      <c r="EE65" s="743">
        <v>4393</v>
      </c>
      <c r="EF65" s="723">
        <f t="shared" si="55"/>
        <v>9816.9847659426741</v>
      </c>
      <c r="EH65" s="798">
        <v>-11633.036542035508</v>
      </c>
      <c r="EI65" s="101">
        <f>VLOOKUP(A65,'кошти 01.01.24'!$A$9:$D$352,4,FALSE)</f>
        <v>-6743.5489743965727</v>
      </c>
    </row>
    <row r="66" spans="1:139" ht="14.4" hidden="1" customHeight="1" x14ac:dyDescent="0.3">
      <c r="A66" s="318">
        <v>150000966</v>
      </c>
      <c r="B66" s="43" t="s">
        <v>486</v>
      </c>
      <c r="C66" s="44" t="s">
        <v>204</v>
      </c>
      <c r="D66" s="44" t="s">
        <v>204</v>
      </c>
      <c r="E66" s="39">
        <f t="shared" si="4"/>
        <v>1171.21</v>
      </c>
      <c r="F66" s="205">
        <f>'[1]побудинковий звіт'!F66</f>
        <v>932.4</v>
      </c>
      <c r="G66" s="29">
        <f>'[1]побудинковий звіт'!G66</f>
        <v>0</v>
      </c>
      <c r="H66" s="148">
        <f>'[1]побудинковий звіт'!H66</f>
        <v>238.81</v>
      </c>
      <c r="I66" s="41">
        <f>'[2]побудинковий звіт'!I66+'[1]побудинковий звіт'!I66</f>
        <v>4745.2706254274481</v>
      </c>
      <c r="J66" s="41">
        <f>'[2]побудинковий звіт'!J66+'[1]побудинковий звіт'!J66</f>
        <v>4848.3759849101834</v>
      </c>
      <c r="K66" s="55">
        <f t="shared" si="5"/>
        <v>103.10535948273537</v>
      </c>
      <c r="L66" s="41">
        <f>'[2]побудинковий звіт'!L66+'[1]побудинковий звіт'!L66</f>
        <v>944.11572591654669</v>
      </c>
      <c r="M66" s="41">
        <f>'[2]побудинковий звіт'!M66+'[1]побудинковий звіт'!M66</f>
        <v>990.22119457866972</v>
      </c>
      <c r="N66" s="55">
        <f t="shared" si="6"/>
        <v>46.10546866212303</v>
      </c>
      <c r="O66" s="41">
        <f>'[2]побудинковий звіт'!O66+'[1]побудинковий звіт'!O66</f>
        <v>1680.2660356157621</v>
      </c>
      <c r="P66" s="41">
        <f>'[2]побудинковий звіт'!P66+'[1]побудинковий звіт'!P66</f>
        <v>1685.1202129288727</v>
      </c>
      <c r="Q66" s="55">
        <f t="shared" si="7"/>
        <v>4.8541773131105401</v>
      </c>
      <c r="R66" s="41">
        <f>'[2]побудинковий звіт'!R66+'[1]побудинковий звіт'!R66</f>
        <v>0</v>
      </c>
      <c r="S66" s="41">
        <f>'[2]побудинковий звіт'!S66+'[1]побудинковий звіт'!S66</f>
        <v>0</v>
      </c>
      <c r="T66" s="55">
        <f t="shared" si="8"/>
        <v>0</v>
      </c>
      <c r="U66" s="41">
        <f>'[2]побудинковий звіт'!U66+'[1]побудинковий звіт'!U66</f>
        <v>74.840786234166842</v>
      </c>
      <c r="V66" s="41">
        <f>'[2]побудинковий звіт'!V66+'[1]побудинковий звіт'!V66</f>
        <v>43.177836345597406</v>
      </c>
      <c r="W66" s="55">
        <f t="shared" si="9"/>
        <v>-31.662949888569436</v>
      </c>
      <c r="X66" s="41">
        <f>'[2]побудинковий звіт'!X66+'[1]побудинковий звіт'!X66</f>
        <v>2937.6333988300516</v>
      </c>
      <c r="Y66" s="41">
        <f>'[2]побудинковий звіт'!Y66+'[1]побудинковий звіт'!Y66</f>
        <v>2629.3915113531202</v>
      </c>
      <c r="Z66" s="55">
        <f t="shared" si="10"/>
        <v>-308.24188747693142</v>
      </c>
      <c r="AA66" s="41">
        <f>'[2]побудинковий звіт'!AA66+'[1]побудинковий звіт'!AA66</f>
        <v>0</v>
      </c>
      <c r="AB66" s="41">
        <f>'[2]побудинковий звіт'!AB66+'[1]побудинковий звіт'!AB66</f>
        <v>0</v>
      </c>
      <c r="AC66" s="55">
        <f t="shared" si="11"/>
        <v>0</v>
      </c>
      <c r="AD66" s="41">
        <f>'[2]побудинковий звіт'!AD66+'[1]побудинковий звіт'!AD66</f>
        <v>5085.6614993948078</v>
      </c>
      <c r="AE66" s="41">
        <f>'[2]побудинковий звіт'!AE66+'[1]побудинковий звіт'!AE66</f>
        <v>5065.6633304411043</v>
      </c>
      <c r="AF66" s="36">
        <f t="shared" si="12"/>
        <v>-19.998168953703498</v>
      </c>
      <c r="AG66" s="84">
        <f t="shared" si="13"/>
        <v>15467.788071418783</v>
      </c>
      <c r="AH66" s="56">
        <f t="shared" si="14"/>
        <v>15261.950070557548</v>
      </c>
      <c r="AI66" s="55">
        <f t="shared" si="15"/>
        <v>-205.83800086123483</v>
      </c>
      <c r="AJ66" s="41">
        <f>'[2]побудинковий звіт'!AJ66+'[1]побудинковий звіт'!AJ66</f>
        <v>0</v>
      </c>
      <c r="AK66" s="41">
        <f>'[2]побудинковий звіт'!AK66+'[1]побудинковий звіт'!AK66</f>
        <v>0</v>
      </c>
      <c r="AL66" s="55">
        <f t="shared" si="16"/>
        <v>0</v>
      </c>
      <c r="AM66" s="41">
        <f>'[2]побудинковий звіт'!AM66+'[1]побудинковий звіт'!AM66</f>
        <v>0</v>
      </c>
      <c r="AN66" s="41">
        <f>'[2]побудинковий звіт'!AN66+'[1]побудинковий звіт'!AN66</f>
        <v>0</v>
      </c>
      <c r="AO66" s="55">
        <f t="shared" si="17"/>
        <v>0</v>
      </c>
      <c r="AP66" s="41">
        <f>'[2]побудинковий звіт'!AP66+'[1]побудинковий звіт'!AP66</f>
        <v>2674.6144458440508</v>
      </c>
      <c r="AQ66" s="41">
        <f>'[2]побудинковий звіт'!AQ66+'[1]побудинковий звіт'!AQ66</f>
        <v>2583.5713002741682</v>
      </c>
      <c r="AR66" s="55">
        <f t="shared" si="18"/>
        <v>-91.043145569882654</v>
      </c>
      <c r="AS66" s="41">
        <f>'[2]побудинковий звіт'!AS66+'[1]побудинковий звіт'!AS66</f>
        <v>14588.509230208359</v>
      </c>
      <c r="AT66" s="41">
        <f>'[2]побудинковий звіт'!AT66+'[1]побудинковий звіт'!AT66</f>
        <v>0</v>
      </c>
      <c r="AU66" s="57">
        <f t="shared" si="19"/>
        <v>-14588.509230208359</v>
      </c>
      <c r="AV66" s="41">
        <f>'[2]побудинковий звіт'!AV66+'[1]побудинковий звіт'!AV66</f>
        <v>843.78977793612421</v>
      </c>
      <c r="AW66" s="41">
        <f>'[2]побудинковий звіт'!AW66+'[1]побудинковий звіт'!AW66</f>
        <v>0</v>
      </c>
      <c r="AX66" s="58">
        <f t="shared" si="20"/>
        <v>-843.78977793612421</v>
      </c>
      <c r="AY66" s="41">
        <f>'[2]побудинковий звіт'!AY66+'[1]побудинковий звіт'!AY66</f>
        <v>1130.4713305569235</v>
      </c>
      <c r="AZ66" s="41">
        <f>'[2]побудинковий звіт'!AZ66+'[1]побудинковий звіт'!AZ66</f>
        <v>2503.3916264483914</v>
      </c>
      <c r="BA66" s="36">
        <f t="shared" si="21"/>
        <v>1372.920295891468</v>
      </c>
      <c r="BB66" s="41">
        <f>'[2]побудинковий звіт'!BB66+'[1]побудинковий звіт'!BB66</f>
        <v>778.78124857232433</v>
      </c>
      <c r="BC66" s="41">
        <f>'[2]побудинковий звіт'!BC66+'[1]побудинковий звіт'!BC66</f>
        <v>378.07232362048796</v>
      </c>
      <c r="BD66" s="58">
        <f t="shared" si="22"/>
        <v>-400.70892495183637</v>
      </c>
      <c r="BE66" s="41">
        <f>'[2]побудинковий звіт'!BE66+'[1]побудинковий звіт'!BE66</f>
        <v>0</v>
      </c>
      <c r="BF66" s="41">
        <f>'[2]побудинковий звіт'!BF66+'[1]побудинковий звіт'!BF66</f>
        <v>0</v>
      </c>
      <c r="BG66" s="38">
        <f t="shared" si="23"/>
        <v>0</v>
      </c>
      <c r="BH66" s="41">
        <f>'[2]побудинковий звіт'!BH66+'[1]побудинковий звіт'!BH66</f>
        <v>44.109235188573223</v>
      </c>
      <c r="BI66" s="41">
        <f>'[2]побудинковий звіт'!BI66+'[1]побудинковий звіт'!BI66</f>
        <v>0</v>
      </c>
      <c r="BJ66" s="58">
        <f t="shared" si="24"/>
        <v>-44.109235188573223</v>
      </c>
      <c r="BK66" s="41">
        <f>'[2]побудинковий звіт'!BK66+'[1]побудинковий звіт'!BK66</f>
        <v>438.89730261181319</v>
      </c>
      <c r="BL66" s="41">
        <f>'[2]побудинковий звіт'!BL66+'[1]побудинковий звіт'!BL66</f>
        <v>565.91387857950178</v>
      </c>
      <c r="BM66" s="38">
        <f t="shared" si="25"/>
        <v>127.0165759676886</v>
      </c>
      <c r="BN66" s="41">
        <f>'[2]побудинковий звіт'!BN66+'[1]побудинковий звіт'!BN66</f>
        <v>38.711651901370431</v>
      </c>
      <c r="BO66" s="41">
        <f>'[2]побудинковий звіт'!BO66+'[1]побудинковий звіт'!BO66</f>
        <v>0</v>
      </c>
      <c r="BP66" s="58">
        <f t="shared" si="26"/>
        <v>-38.711651901370431</v>
      </c>
      <c r="BQ66" s="84">
        <f t="shared" si="27"/>
        <v>3274.7605467671287</v>
      </c>
      <c r="BR66" s="42">
        <f t="shared" si="28"/>
        <v>3447.3778286483812</v>
      </c>
      <c r="BS66" s="58">
        <f t="shared" si="29"/>
        <v>172.61728188125244</v>
      </c>
      <c r="BT66" s="41">
        <f>'[2]побудинковий звіт'!BT66+'[1]побудинковий звіт'!BT66</f>
        <v>21965.106477941103</v>
      </c>
      <c r="BU66" s="41">
        <f>'[2]побудинковий звіт'!BU66+'[1]побудинковий звіт'!BU66</f>
        <v>32847.675454653538</v>
      </c>
      <c r="BV66" s="55">
        <f t="shared" si="30"/>
        <v>10882.568976712435</v>
      </c>
      <c r="BW66" s="41">
        <f>'[2]побудинковий звіт'!BW66+'[1]побудинковий звіт'!BW66</f>
        <v>8378.392023910601</v>
      </c>
      <c r="BX66" s="41">
        <f>'[2]побудинковий звіт'!BX66+'[1]побудинковий звіт'!BX66</f>
        <v>10170.888834015426</v>
      </c>
      <c r="BY66" s="55">
        <f t="shared" si="31"/>
        <v>1792.4968101048253</v>
      </c>
      <c r="BZ66" s="41">
        <f>'[2]побудинковий звіт'!BZ66+'[1]побудинковий звіт'!BZ66</f>
        <v>7132.9172277452799</v>
      </c>
      <c r="CA66" s="41">
        <f>'[2]побудинковий звіт'!CA66+'[1]побудинковий звіт'!CA66</f>
        <v>3472.1999227187562</v>
      </c>
      <c r="CB66" s="55">
        <f t="shared" si="32"/>
        <v>-3660.7173050265237</v>
      </c>
      <c r="CC66" s="41">
        <f>'[2]побудинковий звіт'!CC66+'[1]побудинковий звіт'!CC66</f>
        <v>299.249152423385</v>
      </c>
      <c r="CD66" s="41">
        <f>'[2]побудинковий звіт'!CD66+'[1]побудинковий звіт'!CD66</f>
        <v>300.26387291990414</v>
      </c>
      <c r="CE66" s="55">
        <f t="shared" si="33"/>
        <v>1.0147204965191463</v>
      </c>
      <c r="CF66" s="41">
        <f>'[2]побудинковий звіт'!CF66+'[1]побудинковий звіт'!CF66</f>
        <v>37.075379420594167</v>
      </c>
      <c r="CG66" s="41">
        <f>'[2]побудинковий звіт'!CG66+'[1]побудинковий звіт'!CG66</f>
        <v>0</v>
      </c>
      <c r="CH66" s="55">
        <f t="shared" si="34"/>
        <v>-37.075379420594167</v>
      </c>
      <c r="CI66" s="41">
        <f>'[2]побудинковий звіт'!CI66+'[1]побудинковий звіт'!CI66</f>
        <v>2558.5553658498366</v>
      </c>
      <c r="CJ66" s="41">
        <f>'[2]побудинковий звіт'!CJ66+'[1]побудинковий звіт'!CJ66</f>
        <v>735.94821158271634</v>
      </c>
      <c r="CK66" s="55">
        <f t="shared" si="35"/>
        <v>-1822.6071542671202</v>
      </c>
      <c r="CL66" s="41">
        <f>'[2]побудинковий звіт'!CL66+'[1]побудинковий звіт'!CL66</f>
        <v>0</v>
      </c>
      <c r="CM66" s="41">
        <f>'[2]побудинковий звіт'!CM66+'[1]побудинковий звіт'!CM66</f>
        <v>0</v>
      </c>
      <c r="CN66" s="55">
        <f t="shared" si="36"/>
        <v>0</v>
      </c>
      <c r="CO66" s="41">
        <f t="shared" si="37"/>
        <v>2558.5553658498366</v>
      </c>
      <c r="CP66" s="42">
        <f t="shared" si="38"/>
        <v>735.94821158271634</v>
      </c>
      <c r="CQ66" s="55">
        <f t="shared" si="39"/>
        <v>-1822.6071542671202</v>
      </c>
      <c r="CR66" s="76">
        <f t="shared" si="40"/>
        <v>76376.96792152914</v>
      </c>
      <c r="CS66" s="5">
        <f t="shared" si="41"/>
        <v>68819.875495370448</v>
      </c>
      <c r="CT66" s="55">
        <f t="shared" si="42"/>
        <v>-7557.0924261586915</v>
      </c>
      <c r="CU66" s="84">
        <f t="shared" si="43"/>
        <v>91652.361505834968</v>
      </c>
      <c r="CV66" s="68">
        <f t="shared" si="44"/>
        <v>82583.850594444535</v>
      </c>
      <c r="CW66" s="36">
        <f t="shared" si="45"/>
        <v>-9068.5109113904327</v>
      </c>
      <c r="CX66" s="41">
        <f>'[2]побудинковий звіт'!CX66+'[1]побудинковий звіт'!CX66</f>
        <v>2654.2332853017433</v>
      </c>
      <c r="CY66" s="41">
        <f>'[2]побудинковий звіт'!CY66+'[1]побудинковий звіт'!CY66</f>
        <v>11722.744196692167</v>
      </c>
      <c r="CZ66" s="55">
        <f t="shared" si="46"/>
        <v>9068.5109113904236</v>
      </c>
      <c r="DA66" s="254">
        <f>'[1]побудинковий звіт'!DA66</f>
        <v>-13217.305700809888</v>
      </c>
      <c r="DB66" s="2">
        <v>2</v>
      </c>
      <c r="DC66" s="702">
        <f>'[1]побудинковий звіт'!DC66</f>
        <v>55391.57</v>
      </c>
      <c r="DD66" s="702">
        <f>'[1]побудинковий звіт'!DD66</f>
        <v>7741.09</v>
      </c>
      <c r="DE66" s="702">
        <f>'[1]побудинковий звіт'!DE66</f>
        <v>46944.76</v>
      </c>
      <c r="DF66" s="702">
        <f>'[1]побудинковий звіт'!DF66</f>
        <v>5850.68</v>
      </c>
      <c r="DG66" s="772">
        <v>6426.1340545530838</v>
      </c>
      <c r="DH66" s="746">
        <f t="shared" si="47"/>
        <v>1131679.1374936407</v>
      </c>
      <c r="DI66" s="769"/>
      <c r="DJ66" s="5"/>
      <c r="DK66" s="307">
        <f>VLOOKUP($A66,ціни!$A$4:$G$401,5)</f>
        <v>6.4919833611606617</v>
      </c>
      <c r="DL66" s="307"/>
      <c r="DM66" s="307">
        <f>VLOOKUP($A66,ціни!$A$4:$G$401,7)</f>
        <v>5.6091247455764019</v>
      </c>
      <c r="DN66" s="29">
        <f t="shared" si="62"/>
        <v>6053.1252859462011</v>
      </c>
      <c r="DO66" s="29">
        <f t="shared" si="63"/>
        <v>1339.5150804911007</v>
      </c>
      <c r="DP66" s="306">
        <f t="shared" si="48"/>
        <v>7392.640366437302</v>
      </c>
      <c r="DQ66" s="101"/>
      <c r="DR66" s="29">
        <f>VLOOKUP(A66,'ДЗ нас '!$A$1:$C$359,2)</f>
        <v>6053.15</v>
      </c>
      <c r="DS66" s="733">
        <f>VLOOKUP(A66,'ДЗ нежит'!$A$1:$D$153,4,0)</f>
        <v>1339.51</v>
      </c>
      <c r="DT66" s="29">
        <f t="shared" si="49"/>
        <v>7392.66</v>
      </c>
      <c r="DU66" s="247">
        <f>VLOOKUP(A66,'новий кошторис с 01.06'!$A$4:$AI$399,35)*1.2</f>
        <v>7439.1398692776711</v>
      </c>
      <c r="DV66" s="29">
        <f t="shared" si="50"/>
        <v>-46.479869277671241</v>
      </c>
      <c r="DW66" s="1016">
        <f>'[2]побудинковий звіт'!$DW$9+'[1]побудинковий звіт'!DW66</f>
        <v>918</v>
      </c>
      <c r="DX66" s="101">
        <f>'[1]побудинковий звіт'!DX66</f>
        <v>0</v>
      </c>
      <c r="DY66" s="5">
        <f t="shared" si="51"/>
        <v>21435.923732370586</v>
      </c>
      <c r="DZ66" s="5">
        <f t="shared" si="52"/>
        <v>4136.8533943780576</v>
      </c>
      <c r="EA66" s="737">
        <f t="shared" si="53"/>
        <v>52795.44</v>
      </c>
      <c r="EC66" s="577">
        <f t="shared" si="54"/>
        <v>175062.11076250032</v>
      </c>
      <c r="EE66" s="743">
        <v>-11804</v>
      </c>
      <c r="EF66" s="723">
        <f t="shared" si="55"/>
        <v>-5377.8659454469162</v>
      </c>
      <c r="EH66" s="798">
        <v>-4209.3331629813802</v>
      </c>
      <c r="EI66" s="101">
        <f>VLOOKUP(A66,'кошти 01.01.24'!$A$9:$D$352,4,FALSE)</f>
        <v>-4148.7947894194822</v>
      </c>
    </row>
    <row r="67" spans="1:139" hidden="1" x14ac:dyDescent="0.3">
      <c r="A67" s="318">
        <v>150000967</v>
      </c>
      <c r="B67" s="43" t="s">
        <v>487</v>
      </c>
      <c r="C67" s="44" t="s">
        <v>205</v>
      </c>
      <c r="D67" s="44" t="s">
        <v>205</v>
      </c>
      <c r="E67" s="39">
        <f t="shared" si="4"/>
        <v>1448.3</v>
      </c>
      <c r="F67" s="205">
        <f>'[1]побудинковий звіт'!F67</f>
        <v>1264.5999999999999</v>
      </c>
      <c r="G67" s="29">
        <f>'[1]побудинковий звіт'!G67</f>
        <v>0</v>
      </c>
      <c r="H67" s="148">
        <f>'[1]побудинковий звіт'!H67</f>
        <v>183.7</v>
      </c>
      <c r="I67" s="41">
        <f>'[2]побудинковий звіт'!I67+'[1]побудинковий звіт'!I67</f>
        <v>5364.981168093811</v>
      </c>
      <c r="J67" s="41">
        <f>'[2]побудинковий звіт'!J67+'[1]побудинковий звіт'!J67</f>
        <v>5506.5186392611522</v>
      </c>
      <c r="K67" s="55">
        <f t="shared" si="5"/>
        <v>141.53747116734121</v>
      </c>
      <c r="L67" s="41">
        <f>'[2]побудинковий звіт'!L67+'[1]побудинковий звіт'!L67</f>
        <v>968.77311968727599</v>
      </c>
      <c r="M67" s="41">
        <f>'[2]побудинковий звіт'!M67+'[1]побудинковий звіт'!M67</f>
        <v>1016.4713689684902</v>
      </c>
      <c r="N67" s="55">
        <f t="shared" si="6"/>
        <v>47.698249281214203</v>
      </c>
      <c r="O67" s="41">
        <f>'[2]побудинковий звіт'!O67+'[1]побудинковий звіт'!O67</f>
        <v>2168.1617617319571</v>
      </c>
      <c r="P67" s="41">
        <f>'[2]побудинковий звіт'!P67+'[1]побудинковий звіт'!P67</f>
        <v>2174.4162404196036</v>
      </c>
      <c r="Q67" s="55">
        <f t="shared" si="7"/>
        <v>6.2544786876464968</v>
      </c>
      <c r="R67" s="41">
        <f>'[2]побудинковий звіт'!R67+'[1]побудинковий звіт'!R67</f>
        <v>0</v>
      </c>
      <c r="S67" s="41">
        <f>'[2]побудинковий звіт'!S67+'[1]побудинковий звіт'!S67</f>
        <v>0</v>
      </c>
      <c r="T67" s="55">
        <f t="shared" si="8"/>
        <v>0</v>
      </c>
      <c r="U67" s="41">
        <f>'[2]побудинковий звіт'!U67+'[1]побудинковий звіт'!U67</f>
        <v>187.10196558541708</v>
      </c>
      <c r="V67" s="41">
        <f>'[2]побудинковий звіт'!V67+'[1]побудинковий звіт'!V67</f>
        <v>107.9445908639935</v>
      </c>
      <c r="W67" s="55">
        <f t="shared" si="9"/>
        <v>-79.157374721423579</v>
      </c>
      <c r="X67" s="41">
        <f>'[2]побудинковий звіт'!X67+'[1]побудинковий звіт'!X67</f>
        <v>3100.7697416348797</v>
      </c>
      <c r="Y67" s="41">
        <f>'[2]побудинковий звіт'!Y67+'[1]побудинковий звіт'!Y67</f>
        <v>3361.0012659562417</v>
      </c>
      <c r="Z67" s="55">
        <f t="shared" si="10"/>
        <v>260.23152432136203</v>
      </c>
      <c r="AA67" s="41">
        <f>'[2]побудинковий звіт'!AA67+'[1]побудинковий звіт'!AA67</f>
        <v>0</v>
      </c>
      <c r="AB67" s="41">
        <f>'[2]побудинковий звіт'!AB67+'[1]побудинковий звіт'!AB67</f>
        <v>0</v>
      </c>
      <c r="AC67" s="55">
        <f t="shared" si="11"/>
        <v>0</v>
      </c>
      <c r="AD67" s="41">
        <f>'[2]побудинковий звіт'!AD67+'[1]побудинковий звіт'!AD67</f>
        <v>6281.7292071191223</v>
      </c>
      <c r="AE67" s="41">
        <f>'[2]побудинковий звіт'!AE67+'[1]побудинковий звіт'!AE67</f>
        <v>6257.2978639768762</v>
      </c>
      <c r="AF67" s="36">
        <f t="shared" si="12"/>
        <v>-24.431343142246078</v>
      </c>
      <c r="AG67" s="84">
        <f t="shared" si="13"/>
        <v>18071.516963852464</v>
      </c>
      <c r="AH67" s="56">
        <f t="shared" si="14"/>
        <v>18423.649969446356</v>
      </c>
      <c r="AI67" s="55">
        <f t="shared" si="15"/>
        <v>352.13300559389245</v>
      </c>
      <c r="AJ67" s="41">
        <f>'[2]побудинковий звіт'!AJ67+'[1]побудинковий звіт'!AJ67</f>
        <v>0</v>
      </c>
      <c r="AK67" s="41">
        <f>'[2]побудинковий звіт'!AK67+'[1]побудинковий звіт'!AK67</f>
        <v>0</v>
      </c>
      <c r="AL67" s="55">
        <f t="shared" si="16"/>
        <v>0</v>
      </c>
      <c r="AM67" s="41">
        <f>'[2]побудинковий звіт'!AM67+'[1]побудинковий звіт'!AM67</f>
        <v>0</v>
      </c>
      <c r="AN67" s="41">
        <f>'[2]побудинковий звіт'!AN67+'[1]побудинковий звіт'!AN67</f>
        <v>0</v>
      </c>
      <c r="AO67" s="55">
        <f t="shared" si="17"/>
        <v>0</v>
      </c>
      <c r="AP67" s="41">
        <f>'[2]побудинковий звіт'!AP67+'[1]побудинковий звіт'!AP67</f>
        <v>4011.921668766076</v>
      </c>
      <c r="AQ67" s="41">
        <f>'[2]побудинковий звіт'!AQ67+'[1]побудинковий звіт'!AQ67</f>
        <v>3438.764086751079</v>
      </c>
      <c r="AR67" s="55">
        <f t="shared" si="18"/>
        <v>-573.15758201499693</v>
      </c>
      <c r="AS67" s="41">
        <f>'[2]побудинковий звіт'!AS67+'[1]побудинковий звіт'!AS67</f>
        <v>13775.708168024916</v>
      </c>
      <c r="AT67" s="41">
        <f>'[2]побудинковий звіт'!AT67+'[1]побудинковий звіт'!AT67</f>
        <v>3393.9667289920503</v>
      </c>
      <c r="AU67" s="57">
        <f t="shared" si="19"/>
        <v>-10381.741439032865</v>
      </c>
      <c r="AV67" s="41">
        <f>'[2]побудинковий звіт'!AV67+'[1]побудинковий звіт'!AV67</f>
        <v>910.60457595382718</v>
      </c>
      <c r="AW67" s="41">
        <f>'[2]побудинковий звіт'!AW67+'[1]побудинковий звіт'!AW67</f>
        <v>0</v>
      </c>
      <c r="AX67" s="58">
        <f t="shared" si="20"/>
        <v>-910.60457595382718</v>
      </c>
      <c r="AY67" s="41">
        <f>'[2]побудинковий звіт'!AY67+'[1]побудинковий звіт'!AY67</f>
        <v>1162.5939748222854</v>
      </c>
      <c r="AZ67" s="41">
        <f>'[2]побудинковий звіт'!AZ67+'[1]побудинковий звіт'!AZ67</f>
        <v>0</v>
      </c>
      <c r="BA67" s="36">
        <f t="shared" si="21"/>
        <v>-1162.5939748222854</v>
      </c>
      <c r="BB67" s="41">
        <f>'[2]побудинковий звіт'!BB67+'[1]побудинковий звіт'!BB67</f>
        <v>1098.9113582112991</v>
      </c>
      <c r="BC67" s="41">
        <f>'[2]побудинковий звіт'!BC67+'[1]побудинковий звіт'!BC67</f>
        <v>1322.1204411355916</v>
      </c>
      <c r="BD67" s="58">
        <f t="shared" si="22"/>
        <v>223.20908292429249</v>
      </c>
      <c r="BE67" s="41">
        <f>'[2]побудинковий звіт'!BE67+'[1]побудинковий звіт'!BE67</f>
        <v>0</v>
      </c>
      <c r="BF67" s="41">
        <f>'[2]побудинковий звіт'!BF67+'[1]побудинковий звіт'!BF67</f>
        <v>0</v>
      </c>
      <c r="BG67" s="38">
        <f t="shared" si="23"/>
        <v>0</v>
      </c>
      <c r="BH67" s="41">
        <f>'[2]побудинковий звіт'!BH67+'[1]побудинковий звіт'!BH67</f>
        <v>110.27308797143304</v>
      </c>
      <c r="BI67" s="41">
        <f>'[2]побудинковий звіт'!BI67+'[1]побудинковий звіт'!BI67</f>
        <v>0</v>
      </c>
      <c r="BJ67" s="58">
        <f t="shared" si="24"/>
        <v>-110.27308797143304</v>
      </c>
      <c r="BK67" s="41">
        <f>'[2]побудинковий звіт'!BK67+'[1]побудинковий звіт'!BK67</f>
        <v>472.88634582441483</v>
      </c>
      <c r="BL67" s="41">
        <f>'[2]побудинковий звіт'!BL67+'[1]побудинковий звіт'!BL67</f>
        <v>0</v>
      </c>
      <c r="BM67" s="38">
        <f t="shared" si="25"/>
        <v>-472.88634582441483</v>
      </c>
      <c r="BN67" s="41">
        <f>'[2]побудинковий звіт'!BN67+'[1]побудинковий звіт'!BN67</f>
        <v>40.374307939273699</v>
      </c>
      <c r="BO67" s="41">
        <f>'[2]побудинковий звіт'!BO67+'[1]побудинковий звіт'!BO67</f>
        <v>0</v>
      </c>
      <c r="BP67" s="58">
        <f t="shared" si="26"/>
        <v>-40.374307939273699</v>
      </c>
      <c r="BQ67" s="84">
        <f t="shared" si="27"/>
        <v>3795.6436507225339</v>
      </c>
      <c r="BR67" s="42">
        <f t="shared" si="28"/>
        <v>1322.1204411355916</v>
      </c>
      <c r="BS67" s="58">
        <f t="shared" si="29"/>
        <v>-2473.5232095869424</v>
      </c>
      <c r="BT67" s="41">
        <f>'[2]побудинковий звіт'!BT67+'[1]побудинковий звіт'!BT67</f>
        <v>29258.760108748895</v>
      </c>
      <c r="BU67" s="41">
        <f>'[2]побудинковий звіт'!BU67+'[1]побудинковий звіт'!BU67</f>
        <v>52117.956881313163</v>
      </c>
      <c r="BV67" s="55">
        <f t="shared" si="30"/>
        <v>22859.196772564268</v>
      </c>
      <c r="BW67" s="41">
        <f>'[2]побудинковий звіт'!BW67+'[1]побудинковий звіт'!BW67</f>
        <v>9413.9446230366138</v>
      </c>
      <c r="BX67" s="41">
        <f>'[2]побудинковий звіт'!BX67+'[1]побудинковий звіт'!BX67</f>
        <v>11346.766757062564</v>
      </c>
      <c r="BY67" s="55">
        <f t="shared" si="31"/>
        <v>1932.8221340259497</v>
      </c>
      <c r="BZ67" s="41">
        <f>'[2]побудинковий звіт'!BZ67+'[1]побудинковий звіт'!BZ67</f>
        <v>13347.093922857544</v>
      </c>
      <c r="CA67" s="41">
        <f>'[2]побудинковий звіт'!CA67+'[1]побудинковий звіт'!CA67</f>
        <v>4742.8810530029295</v>
      </c>
      <c r="CB67" s="55">
        <f t="shared" si="32"/>
        <v>-8604.2128698546148</v>
      </c>
      <c r="CC67" s="41">
        <f>'[2]побудинковий звіт'!CC67+'[1]побудинковий звіт'!CC67</f>
        <v>940.49733618778146</v>
      </c>
      <c r="CD67" s="41">
        <f>'[2]побудинковий звіт'!CD67+'[1]побудинковий звіт'!CD67</f>
        <v>943.68645774827007</v>
      </c>
      <c r="CE67" s="55">
        <f t="shared" si="33"/>
        <v>3.1891215604886156</v>
      </c>
      <c r="CF67" s="41">
        <f>'[2]побудинковий звіт'!CF67+'[1]побудинковий звіт'!CF67</f>
        <v>116.52262103615311</v>
      </c>
      <c r="CG67" s="41">
        <f>'[2]побудинковий звіт'!CG67+'[1]побудинковий звіт'!CG67</f>
        <v>0</v>
      </c>
      <c r="CH67" s="55">
        <f t="shared" si="34"/>
        <v>-116.52262103615311</v>
      </c>
      <c r="CI67" s="41">
        <f>'[2]побудинковий звіт'!CI67+'[1]побудинковий звіт'!CI67</f>
        <v>2186.0612227212246</v>
      </c>
      <c r="CJ67" s="41">
        <f>'[2]побудинковий звіт'!CJ67+'[1]побудинковий звіт'!CJ67</f>
        <v>403.55032799894377</v>
      </c>
      <c r="CK67" s="55">
        <f t="shared" si="35"/>
        <v>-1782.5108947222807</v>
      </c>
      <c r="CL67" s="41">
        <f>'[2]побудинковий звіт'!CL67+'[1]побудинковий звіт'!CL67</f>
        <v>0</v>
      </c>
      <c r="CM67" s="41">
        <f>'[2]побудинковий звіт'!CM67+'[1]побудинковий звіт'!CM67</f>
        <v>0</v>
      </c>
      <c r="CN67" s="55">
        <f t="shared" si="36"/>
        <v>0</v>
      </c>
      <c r="CO67" s="41">
        <f t="shared" si="37"/>
        <v>2186.0612227212246</v>
      </c>
      <c r="CP67" s="42">
        <f t="shared" si="38"/>
        <v>403.55032799894377</v>
      </c>
      <c r="CQ67" s="55">
        <f t="shared" si="39"/>
        <v>-1782.5108947222807</v>
      </c>
      <c r="CR67" s="76">
        <f t="shared" si="40"/>
        <v>94917.670285954213</v>
      </c>
      <c r="CS67" s="5">
        <f t="shared" si="41"/>
        <v>96133.342703450937</v>
      </c>
      <c r="CT67" s="55">
        <f t="shared" si="42"/>
        <v>1215.6724174967239</v>
      </c>
      <c r="CU67" s="84">
        <f t="shared" si="43"/>
        <v>113901.20434314506</v>
      </c>
      <c r="CV67" s="68">
        <f t="shared" si="44"/>
        <v>115360.01124414112</v>
      </c>
      <c r="CW67" s="36">
        <f t="shared" si="45"/>
        <v>1458.80690099606</v>
      </c>
      <c r="CX67" s="41">
        <f>'[2]побудинковий звіт'!CX67+'[1]побудинковий звіт'!CX67</f>
        <v>1141.3402700705201</v>
      </c>
      <c r="CY67" s="41">
        <f>'[2]побудинковий звіт'!CY67+'[1]побудинковий звіт'!CY67</f>
        <v>-317.46663092559811</v>
      </c>
      <c r="CZ67" s="55">
        <f t="shared" si="46"/>
        <v>-1458.8069009961182</v>
      </c>
      <c r="DA67" s="254">
        <f>'[1]побудинковий звіт'!DA67</f>
        <v>44165.851581966774</v>
      </c>
      <c r="DB67" s="2">
        <v>2</v>
      </c>
      <c r="DC67" s="702">
        <f>'[1]побудинковий звіт'!DC67</f>
        <v>16174.85</v>
      </c>
      <c r="DD67" s="702">
        <f>'[1]побудинковий звіт'!DD67</f>
        <v>3234.5</v>
      </c>
      <c r="DE67" s="702">
        <f>'[1]побудинковий звіт'!DE67</f>
        <v>5006.6400000000012</v>
      </c>
      <c r="DF67" s="702">
        <f>'[1]побудинковий звіт'!DF67</f>
        <v>1791.02</v>
      </c>
      <c r="DG67" s="772">
        <v>42793.575832653092</v>
      </c>
      <c r="DH67" s="746">
        <f t="shared" si="47"/>
        <v>1380510.5353585868</v>
      </c>
      <c r="DI67" s="769"/>
      <c r="DJ67" s="5"/>
      <c r="DK67" s="307">
        <f>VLOOKUP($A67,ціни!$A$4:$G$401,5)</f>
        <v>6.3165607457523425</v>
      </c>
      <c r="DL67" s="307"/>
      <c r="DM67" s="307">
        <f>VLOOKUP($A67,ціни!$A$4:$G$401,7)</f>
        <v>5.606524644556921</v>
      </c>
      <c r="DN67" s="29">
        <f t="shared" si="62"/>
        <v>7987.9227190784113</v>
      </c>
      <c r="DO67" s="29">
        <f t="shared" si="63"/>
        <v>1029.9185772051064</v>
      </c>
      <c r="DP67" s="306">
        <f t="shared" si="48"/>
        <v>9017.8412962835173</v>
      </c>
      <c r="DQ67" s="101"/>
      <c r="DR67" s="29">
        <f>VLOOKUP(A67,'ДЗ нас '!$A$1:$C$359,2)</f>
        <v>7987.96</v>
      </c>
      <c r="DS67" s="733">
        <f>VLOOKUP(A67,'ДЗ нежит'!$A$1:$D$153,4,0)</f>
        <v>1029.9099999999999</v>
      </c>
      <c r="DT67" s="29">
        <f t="shared" si="49"/>
        <v>9017.869999999999</v>
      </c>
      <c r="DU67" s="247">
        <f>VLOOKUP(A67,'новий кошторис с 01.06'!$A$4:$AI$399,35)*1.2</f>
        <v>9017.8412962835191</v>
      </c>
      <c r="DV67" s="29">
        <f t="shared" si="50"/>
        <v>2.870371647986758E-2</v>
      </c>
      <c r="DW67" s="1016">
        <f>'[2]побудинковий звіт'!$DW$9+'[1]побудинковий звіт'!DW67</f>
        <v>918</v>
      </c>
      <c r="DX67" s="101">
        <f>'[1]побудинковий звіт'!DX67</f>
        <v>0</v>
      </c>
      <c r="DY67" s="5">
        <f t="shared" si="51"/>
        <v>21085.62218249694</v>
      </c>
      <c r="DZ67" s="5">
        <f t="shared" si="52"/>
        <v>5659.3046041531697</v>
      </c>
      <c r="EA67" s="737">
        <f t="shared" si="53"/>
        <v>6797.6600000000017</v>
      </c>
      <c r="EC67" s="577">
        <f t="shared" si="54"/>
        <v>165308.49801629898</v>
      </c>
      <c r="EE67" s="743">
        <v>-12588</v>
      </c>
      <c r="EF67" s="723">
        <f t="shared" si="55"/>
        <v>30205.575832653092</v>
      </c>
      <c r="EH67" s="798">
        <v>42900.181819527214</v>
      </c>
      <c r="EI67" s="101">
        <f>VLOOKUP(A67,'кошти 01.01.24'!$A$9:$D$352,4,FALSE)</f>
        <v>42707.04468097067</v>
      </c>
    </row>
    <row r="68" spans="1:139" hidden="1" x14ac:dyDescent="0.3">
      <c r="A68" s="318">
        <v>150000968</v>
      </c>
      <c r="B68" s="43" t="s">
        <v>488</v>
      </c>
      <c r="C68" s="44" t="s">
        <v>244</v>
      </c>
      <c r="D68" s="44" t="s">
        <v>244</v>
      </c>
      <c r="E68" s="39">
        <f t="shared" si="4"/>
        <v>2116.1999999999998</v>
      </c>
      <c r="F68" s="205">
        <f>'[1]побудинковий звіт'!F68</f>
        <v>1758.2</v>
      </c>
      <c r="G68" s="29">
        <f>'[1]побудинковий звіт'!G68</f>
        <v>0</v>
      </c>
      <c r="H68" s="148">
        <f>'[1]побудинковий звіт'!H68</f>
        <v>358</v>
      </c>
      <c r="I68" s="41">
        <f>'[2]побудинковий звіт'!I68+'[1]побудинковий звіт'!I68</f>
        <v>6223.1460944261071</v>
      </c>
      <c r="J68" s="41">
        <f>'[2]побудинковий звіт'!J68+'[1]побудинковий звіт'!J68</f>
        <v>6435.4949528299139</v>
      </c>
      <c r="K68" s="55">
        <f t="shared" si="5"/>
        <v>212.34885840380684</v>
      </c>
      <c r="L68" s="41">
        <f>'[2]побудинковий звіт'!L68+'[1]побудинковий звіт'!L68</f>
        <v>1091.3788309791014</v>
      </c>
      <c r="M68" s="41">
        <f>'[2]побудинковий звіт'!M68+'[1]побудинковий звіт'!M68</f>
        <v>1145.1107173800842</v>
      </c>
      <c r="N68" s="55">
        <f t="shared" si="6"/>
        <v>53.73188640098283</v>
      </c>
      <c r="O68" s="41">
        <f>'[2]побудинковий звіт'!O68+'[1]побудинковий звіт'!O68</f>
        <v>2845.7967391133998</v>
      </c>
      <c r="P68" s="41">
        <f>'[2]побудинковий звіт'!P68+'[1]побудинковий звіт'!P68</f>
        <v>2853.8348131018247</v>
      </c>
      <c r="Q68" s="55">
        <f t="shared" si="7"/>
        <v>8.0380739884249124</v>
      </c>
      <c r="R68" s="41">
        <f>'[2]побудинковий звіт'!R68+'[1]побудинковий звіт'!R68</f>
        <v>0</v>
      </c>
      <c r="S68" s="41">
        <f>'[2]побудинковий звіт'!S68+'[1]побудинковий звіт'!S68</f>
        <v>0</v>
      </c>
      <c r="T68" s="55">
        <f t="shared" si="8"/>
        <v>0</v>
      </c>
      <c r="U68" s="41">
        <f>'[2]побудинковий звіт'!U68+'[1]побудинковий звіт'!U68</f>
        <v>140.32647418906288</v>
      </c>
      <c r="V68" s="41">
        <f>'[2]побудинковий звіт'!V68+'[1]побудинковий звіт'!V68</f>
        <v>80.958443147995155</v>
      </c>
      <c r="W68" s="55">
        <f t="shared" si="9"/>
        <v>-59.368031041067724</v>
      </c>
      <c r="X68" s="41">
        <f>'[2]побудинковий звіт'!X68+'[1]побудинковий звіт'!X68</f>
        <v>3656.3429038155682</v>
      </c>
      <c r="Y68" s="41">
        <f>'[2]побудинковий звіт'!Y68+'[1]побудинковий звіт'!Y68</f>
        <v>3438.7391954534696</v>
      </c>
      <c r="Z68" s="55">
        <f t="shared" si="10"/>
        <v>-217.60370836209859</v>
      </c>
      <c r="AA68" s="41">
        <f>'[2]побудинковий звіт'!AA68+'[1]побудинковий звіт'!AA68</f>
        <v>0</v>
      </c>
      <c r="AB68" s="41">
        <f>'[2]побудинковий звіт'!AB68+'[1]побудинковий звіт'!AB68</f>
        <v>0</v>
      </c>
      <c r="AC68" s="55">
        <f t="shared" si="11"/>
        <v>0</v>
      </c>
      <c r="AD68" s="41">
        <f>'[2]побудинковий звіт'!AD68+'[1]побудинковий звіт'!AD68</f>
        <v>9182.9385913022998</v>
      </c>
      <c r="AE68" s="41">
        <f>'[2]побудинковий звіт'!AE68+'[1]побудинковий звіт'!AE68</f>
        <v>9147.0596681661173</v>
      </c>
      <c r="AF68" s="36">
        <f t="shared" si="12"/>
        <v>-35.878923136182493</v>
      </c>
      <c r="AG68" s="84">
        <f t="shared" si="13"/>
        <v>23139.929633825537</v>
      </c>
      <c r="AH68" s="56">
        <f t="shared" si="14"/>
        <v>23101.197790079401</v>
      </c>
      <c r="AI68" s="55">
        <f t="shared" si="15"/>
        <v>-38.731843746136292</v>
      </c>
      <c r="AJ68" s="41">
        <f>'[2]побудинковий звіт'!AJ68+'[1]побудинковий звіт'!AJ68</f>
        <v>0</v>
      </c>
      <c r="AK68" s="41">
        <f>'[2]побудинковий звіт'!AK68+'[1]побудинковий звіт'!AK68</f>
        <v>0</v>
      </c>
      <c r="AL68" s="55">
        <f t="shared" si="16"/>
        <v>0</v>
      </c>
      <c r="AM68" s="41">
        <f>'[2]побудинковий звіт'!AM68+'[1]побудинковий звіт'!AM68</f>
        <v>0</v>
      </c>
      <c r="AN68" s="41">
        <f>'[2]побудинковий звіт'!AN68+'[1]побудинковий звіт'!AN68</f>
        <v>0</v>
      </c>
      <c r="AO68" s="55">
        <f t="shared" si="17"/>
        <v>0</v>
      </c>
      <c r="AP68" s="41">
        <f>'[2]побудинковий звіт'!AP68+'[1]побудинковий звіт'!AP68</f>
        <v>5497.8185831238825</v>
      </c>
      <c r="AQ68" s="41">
        <f>'[2]побудинковий звіт'!AQ68+'[1]побудинковий звіт'!AQ68</f>
        <v>5126.6317145492158</v>
      </c>
      <c r="AR68" s="55">
        <f t="shared" si="18"/>
        <v>-371.18686857466673</v>
      </c>
      <c r="AS68" s="41">
        <f>'[2]побудинковий звіт'!AS68+'[1]побудинковий звіт'!AS68</f>
        <v>14504.458166747932</v>
      </c>
      <c r="AT68" s="41">
        <f>'[2]побудинковий звіт'!AT68+'[1]побудинковий звіт'!AT68</f>
        <v>4101.7419157678305</v>
      </c>
      <c r="AU68" s="57">
        <f t="shared" si="19"/>
        <v>-10402.716250980102</v>
      </c>
      <c r="AV68" s="41">
        <f>'[2]побудинковий звіт'!AV68+'[1]побудинковий звіт'!AV68</f>
        <v>1029.3812202455756</v>
      </c>
      <c r="AW68" s="41">
        <f>'[2]побудинковий звіт'!AW68+'[1]побудинковий звіт'!AW68</f>
        <v>534.67626702048801</v>
      </c>
      <c r="AX68" s="58">
        <f t="shared" si="20"/>
        <v>-494.70495322508759</v>
      </c>
      <c r="AY68" s="41">
        <f>'[2]побудинковий звіт'!AY68+'[1]побудинковий звіт'!AY68</f>
        <v>1309.7009230354799</v>
      </c>
      <c r="AZ68" s="41">
        <f>'[2]побудинковий звіт'!AZ68+'[1]побудинковий звіт'!AZ68</f>
        <v>0</v>
      </c>
      <c r="BA68" s="36">
        <f t="shared" si="21"/>
        <v>-1309.7009230354799</v>
      </c>
      <c r="BB68" s="41">
        <f>'[2]побудинковий звіт'!BB68+'[1]побудинковий звіт'!BB68</f>
        <v>1576.7622734862834</v>
      </c>
      <c r="BC68" s="41">
        <f>'[2]побудинковий звіт'!BC68+'[1]побудинковий звіт'!BC68</f>
        <v>0</v>
      </c>
      <c r="BD68" s="58">
        <f t="shared" si="22"/>
        <v>-1576.7622734862834</v>
      </c>
      <c r="BE68" s="41">
        <f>'[2]побудинковий звіт'!BE68+'[1]побудинковий звіт'!BE68</f>
        <v>0</v>
      </c>
      <c r="BF68" s="41">
        <f>'[2]побудинковий звіт'!BF68+'[1]побудинковий звіт'!BF68</f>
        <v>0</v>
      </c>
      <c r="BG68" s="38">
        <f t="shared" si="23"/>
        <v>0</v>
      </c>
      <c r="BH68" s="41">
        <f>'[2]побудинковий звіт'!BH68+'[1]побудинковий звіт'!BH68</f>
        <v>82.704815978574771</v>
      </c>
      <c r="BI68" s="41">
        <f>'[2]побудинковий звіт'!BI68+'[1]побудинковий звіт'!BI68</f>
        <v>0</v>
      </c>
      <c r="BJ68" s="58">
        <f t="shared" si="24"/>
        <v>-82.704815978574771</v>
      </c>
      <c r="BK68" s="41">
        <f>'[2]побудинковий звіт'!BK68+'[1]побудинковий звіт'!BK68</f>
        <v>538.46017314545952</v>
      </c>
      <c r="BL68" s="41">
        <f>'[2]побудинковий звіт'!BL68+'[1]побудинковий звіт'!BL68</f>
        <v>0</v>
      </c>
      <c r="BM68" s="38">
        <f t="shared" si="25"/>
        <v>-538.46017314545952</v>
      </c>
      <c r="BN68" s="41">
        <f>'[2]побудинковий звіт'!BN68+'[1]побудинковий звіт'!BN68</f>
        <v>39.401811011443485</v>
      </c>
      <c r="BO68" s="41">
        <f>'[2]побудинковий звіт'!BO68+'[1]побудинковий звіт'!BO68</f>
        <v>0</v>
      </c>
      <c r="BP68" s="58">
        <f t="shared" si="26"/>
        <v>-39.401811011443485</v>
      </c>
      <c r="BQ68" s="84">
        <f t="shared" si="27"/>
        <v>4576.4112169028167</v>
      </c>
      <c r="BR68" s="42">
        <f t="shared" si="28"/>
        <v>534.67626702048801</v>
      </c>
      <c r="BS68" s="58">
        <f t="shared" si="29"/>
        <v>-4041.7349498823287</v>
      </c>
      <c r="BT68" s="41">
        <f>'[2]побудинковий звіт'!BT68+'[1]побудинковий звіт'!BT68</f>
        <v>23682.246863272059</v>
      </c>
      <c r="BU68" s="41">
        <f>'[2]побудинковий звіт'!BU68+'[1]побудинковий звіт'!BU68</f>
        <v>43554.440209417065</v>
      </c>
      <c r="BV68" s="55">
        <f t="shared" si="30"/>
        <v>19872.193346145006</v>
      </c>
      <c r="BW68" s="41">
        <f>'[2]побудинковий звіт'!BW68+'[1]побудинковий звіт'!BW68</f>
        <v>10444.553293070992</v>
      </c>
      <c r="BX68" s="41">
        <f>'[2]побудинковий звіт'!BX68+'[1]побудинковий звіт'!BX68</f>
        <v>12647.602463517105</v>
      </c>
      <c r="BY68" s="55">
        <f t="shared" si="31"/>
        <v>2203.0491704461128</v>
      </c>
      <c r="BZ68" s="41">
        <f>'[2]побудинковий звіт'!BZ68+'[1]побудинковий звіт'!BZ68</f>
        <v>12163.739998805684</v>
      </c>
      <c r="CA68" s="41">
        <f>'[2]побудинковий звіт'!CA68+'[1]побудинковий звіт'!CA68</f>
        <v>4109.8492894262854</v>
      </c>
      <c r="CB68" s="55">
        <f t="shared" si="32"/>
        <v>-8053.8907093793987</v>
      </c>
      <c r="CC68" s="41">
        <f>'[2]побудинковий звіт'!CC68+'[1]побудинковий звіт'!CC68</f>
        <v>0</v>
      </c>
      <c r="CD68" s="41">
        <f>'[2]побудинковий звіт'!CD68+'[1]побудинковий звіт'!CD68</f>
        <v>0</v>
      </c>
      <c r="CE68" s="55">
        <f t="shared" si="33"/>
        <v>0</v>
      </c>
      <c r="CF68" s="41">
        <f>'[2]побудинковий звіт'!CF68+'[1]побудинковий звіт'!CF68</f>
        <v>0</v>
      </c>
      <c r="CG68" s="41">
        <f>'[2]побудинковий звіт'!CG68+'[1]побудинковий звіт'!CG68</f>
        <v>0</v>
      </c>
      <c r="CH68" s="55">
        <f t="shared" si="34"/>
        <v>0</v>
      </c>
      <c r="CI68" s="41">
        <f>'[2]побудинковий звіт'!CI68+'[1]побудинковий звіт'!CI68</f>
        <v>3605.6550074799297</v>
      </c>
      <c r="CJ68" s="41">
        <f>'[2]побудинковий звіт'!CJ68+'[1]побудинковий звіт'!CJ68</f>
        <v>3824.6875494763303</v>
      </c>
      <c r="CK68" s="55">
        <f t="shared" si="35"/>
        <v>219.0325419964006</v>
      </c>
      <c r="CL68" s="41">
        <f>'[2]побудинковий звіт'!CL68+'[1]побудинковий звіт'!CL68</f>
        <v>0</v>
      </c>
      <c r="CM68" s="41">
        <f>'[2]побудинковий звіт'!CM68+'[1]побудинковий звіт'!CM68</f>
        <v>0</v>
      </c>
      <c r="CN68" s="55">
        <f t="shared" si="36"/>
        <v>0</v>
      </c>
      <c r="CO68" s="41">
        <f t="shared" si="37"/>
        <v>3605.6550074799297</v>
      </c>
      <c r="CP68" s="42">
        <f t="shared" si="38"/>
        <v>3824.6875494763303</v>
      </c>
      <c r="CQ68" s="55">
        <f t="shared" si="39"/>
        <v>219.0325419964006</v>
      </c>
      <c r="CR68" s="76">
        <f t="shared" si="40"/>
        <v>97614.812763228838</v>
      </c>
      <c r="CS68" s="5">
        <f t="shared" si="41"/>
        <v>97000.827199253734</v>
      </c>
      <c r="CT68" s="55">
        <f t="shared" si="42"/>
        <v>-613.98556397510401</v>
      </c>
      <c r="CU68" s="84">
        <f t="shared" si="43"/>
        <v>117137.77531587461</v>
      </c>
      <c r="CV68" s="68">
        <f t="shared" si="44"/>
        <v>116400.99263910447</v>
      </c>
      <c r="CW68" s="36">
        <f t="shared" si="45"/>
        <v>-736.78267677013355</v>
      </c>
      <c r="CX68" s="41">
        <f>'[2]побудинковий звіт'!CX68+'[1]побудинковий звіт'!CX68</f>
        <v>1118.1718618662749</v>
      </c>
      <c r="CY68" s="41">
        <f>'[2]побудинковий звіт'!CY68+'[1]побудинковий звіт'!CY68</f>
        <v>1854.9545386364071</v>
      </c>
      <c r="CZ68" s="55">
        <f t="shared" si="46"/>
        <v>736.78267677013218</v>
      </c>
      <c r="DA68" s="254">
        <f>'[1]побудинковий звіт'!DA68</f>
        <v>30166.463114681224</v>
      </c>
      <c r="DB68" s="2">
        <v>2</v>
      </c>
      <c r="DC68" s="702">
        <f>'[1]побудинковий звіт'!DC68</f>
        <v>12730.16</v>
      </c>
      <c r="DD68" s="702">
        <f>'[1]побудинковий звіт'!DD68</f>
        <v>380.8</v>
      </c>
      <c r="DE68" s="702">
        <f>'[1]побудинковий звіт'!DE68</f>
        <v>1735.0900000000001</v>
      </c>
      <c r="DF68" s="702">
        <f>'[1]побудинковий звіт'!DF68</f>
        <v>-1576.42</v>
      </c>
      <c r="DG68" s="772">
        <v>37759.641621229763</v>
      </c>
      <c r="DH68" s="746">
        <f t="shared" si="47"/>
        <v>1419071.3661328906</v>
      </c>
      <c r="DI68" s="769"/>
      <c r="DJ68" s="5"/>
      <c r="DK68" s="307">
        <f>VLOOKUP($A68,ціни!$A$4:$G$401,5)</f>
        <v>4.4768819785430631</v>
      </c>
      <c r="DL68" s="307"/>
      <c r="DM68" s="307">
        <f>VLOOKUP($A68,ціни!$A$4:$G$401,7)</f>
        <v>3.9123767778049143</v>
      </c>
      <c r="DN68" s="29">
        <f t="shared" si="62"/>
        <v>7871.2538946744135</v>
      </c>
      <c r="DO68" s="29">
        <f t="shared" si="63"/>
        <v>1400.6308864541593</v>
      </c>
      <c r="DP68" s="306">
        <f t="shared" si="48"/>
        <v>9271.8847811285723</v>
      </c>
      <c r="DQ68" s="101"/>
      <c r="DR68" s="29">
        <f>VLOOKUP(A68,'ДЗ нас '!$A$1:$C$359,2)</f>
        <v>7871.3</v>
      </c>
      <c r="DS68" s="733">
        <f>VLOOKUP(A68,'ДЗ нежит'!$A$1:$D$153,4,0)</f>
        <v>1400.6399999999999</v>
      </c>
      <c r="DT68" s="29">
        <f t="shared" si="49"/>
        <v>9271.94</v>
      </c>
      <c r="DU68" s="247">
        <f>VLOOKUP(A68,'новий кошторис с 01.06'!$A$4:$AI$399,35)*1.2</f>
        <v>9277.2570395028251</v>
      </c>
      <c r="DV68" s="29">
        <f t="shared" si="50"/>
        <v>-5.3170395028246276</v>
      </c>
      <c r="DW68" s="1016">
        <f>'[2]побудинковий звіт'!$DW$9+'[1]побудинковий звіт'!DW68</f>
        <v>918</v>
      </c>
      <c r="DX68" s="101">
        <f>'[1]побудинковий звіт'!DX68</f>
        <v>0</v>
      </c>
      <c r="DY68" s="5">
        <f t="shared" si="51"/>
        <v>22897.043260380899</v>
      </c>
      <c r="DZ68" s="5">
        <f t="shared" si="52"/>
        <v>5563.7018193459817</v>
      </c>
      <c r="EA68" s="737">
        <f t="shared" si="53"/>
        <v>158.67000000000007</v>
      </c>
      <c r="EC68" s="577">
        <f t="shared" si="54"/>
        <v>174053.49800097517</v>
      </c>
      <c r="EE68" s="743">
        <v>-12237</v>
      </c>
      <c r="EF68" s="723">
        <f t="shared" si="55"/>
        <v>25522.641621229763</v>
      </c>
      <c r="EH68" s="798">
        <v>37534.639435116456</v>
      </c>
      <c r="EI68" s="101">
        <f>VLOOKUP(A68,'кошти 01.01.24'!$A$9:$D$352,4,FALSE)</f>
        <v>30903.245791451358</v>
      </c>
    </row>
    <row r="69" spans="1:139" ht="14.4" hidden="1" customHeight="1" x14ac:dyDescent="0.3">
      <c r="A69" s="318">
        <v>150000981</v>
      </c>
      <c r="B69" s="43" t="s">
        <v>489</v>
      </c>
      <c r="C69" s="44" t="s">
        <v>342</v>
      </c>
      <c r="D69" s="44" t="s">
        <v>342</v>
      </c>
      <c r="E69" s="39">
        <f t="shared" si="4"/>
        <v>2215.63</v>
      </c>
      <c r="F69" s="205">
        <f>'[1]побудинковий звіт'!F69</f>
        <v>2215.63</v>
      </c>
      <c r="G69" s="29">
        <f>'[1]побудинковий звіт'!G69</f>
        <v>213.63</v>
      </c>
      <c r="H69" s="148">
        <f>'[1]побудинковий звіт'!H69</f>
        <v>0</v>
      </c>
      <c r="I69" s="41">
        <f>'[2]побудинковий звіт'!I69+'[1]побудинковий звіт'!I69</f>
        <v>7774.0918830100209</v>
      </c>
      <c r="J69" s="41">
        <f>'[2]побудинковий звіт'!J69+'[1]побудинковий звіт'!J69</f>
        <v>8090.1902375635182</v>
      </c>
      <c r="K69" s="55">
        <f t="shared" si="5"/>
        <v>316.0983545534973</v>
      </c>
      <c r="L69" s="41">
        <f>'[2]побудинковий звіт'!L69+'[1]побудинковий звіт'!L69</f>
        <v>1420.0173019873594</v>
      </c>
      <c r="M69" s="41">
        <f>'[2]побудинковий звіт'!M69+'[1]побудинковий звіт'!M69</f>
        <v>1565.0997086945686</v>
      </c>
      <c r="N69" s="55">
        <f t="shared" si="6"/>
        <v>145.0824067072092</v>
      </c>
      <c r="O69" s="41">
        <f>'[2]побудинковий звіт'!O69+'[1]побудинковий звіт'!O69</f>
        <v>3058.5530430926719</v>
      </c>
      <c r="P69" s="41">
        <f>'[2]побудинковий звіт'!P69+'[1]побудинковий звіт'!P69</f>
        <v>3067.6379400975493</v>
      </c>
      <c r="Q69" s="55">
        <f t="shared" si="7"/>
        <v>9.0848970048773481</v>
      </c>
      <c r="R69" s="41">
        <f>'[2]побудинковий звіт'!R69+'[1]побудинковий звіт'!R69</f>
        <v>763.35758648423189</v>
      </c>
      <c r="S69" s="41">
        <f>'[2]побудинковий звіт'!S69+'[1]побудинковий звіт'!S69</f>
        <v>764.66693314129657</v>
      </c>
      <c r="T69" s="55">
        <f t="shared" si="8"/>
        <v>1.3093466570646797</v>
      </c>
      <c r="U69" s="41">
        <f>'[2]побудинковий звіт'!U69+'[1]побудинковий звіт'!U69</f>
        <v>398.56014519675364</v>
      </c>
      <c r="V69" s="41">
        <f>'[2]побудинковий звіт'!V69+'[1]побудинковий звіт'!V69</f>
        <v>275.78806158453733</v>
      </c>
      <c r="W69" s="55">
        <f t="shared" si="9"/>
        <v>-122.77208361221631</v>
      </c>
      <c r="X69" s="41">
        <f>'[2]побудинковий звіт'!X69+'[1]побудинковий звіт'!X69</f>
        <v>3837.2017419362815</v>
      </c>
      <c r="Y69" s="41">
        <f>'[2]побудинковий звіт'!Y69+'[1]побудинковий звіт'!Y69</f>
        <v>3668.966024821862</v>
      </c>
      <c r="Z69" s="55">
        <f t="shared" si="10"/>
        <v>-168.23571711441946</v>
      </c>
      <c r="AA69" s="41">
        <f>'[2]побудинковий звіт'!AA69+'[1]побудинковий звіт'!AA69</f>
        <v>0</v>
      </c>
      <c r="AB69" s="41">
        <f>'[2]побудинковий звіт'!AB69+'[1]побудинковий звіт'!AB69</f>
        <v>0</v>
      </c>
      <c r="AC69" s="55">
        <f t="shared" si="11"/>
        <v>0</v>
      </c>
      <c r="AD69" s="41">
        <f>'[2]побудинковий звіт'!AD69+'[1]побудинковий звіт'!AD69</f>
        <v>9605.34443057918</v>
      </c>
      <c r="AE69" s="41">
        <f>'[2]побудинковий звіт'!AE69+'[1]побудинковий звіт'!AE69</f>
        <v>9568.1588412781257</v>
      </c>
      <c r="AF69" s="36">
        <f t="shared" si="12"/>
        <v>-37.185589301054279</v>
      </c>
      <c r="AG69" s="84">
        <f t="shared" si="13"/>
        <v>26857.126132286496</v>
      </c>
      <c r="AH69" s="56">
        <f t="shared" si="14"/>
        <v>27000.507747181458</v>
      </c>
      <c r="AI69" s="55">
        <f t="shared" si="15"/>
        <v>143.38161489496269</v>
      </c>
      <c r="AJ69" s="41">
        <f>'[2]побудинковий звіт'!AJ69+'[1]побудинковий звіт'!AJ69</f>
        <v>21728.339627349756</v>
      </c>
      <c r="AK69" s="41">
        <f>'[2]побудинковий звіт'!AK69+'[1]побудинковий звіт'!AK69</f>
        <v>20736.501747947099</v>
      </c>
      <c r="AL69" s="55">
        <f t="shared" si="16"/>
        <v>-991.83787940265756</v>
      </c>
      <c r="AM69" s="41">
        <f>'[2]побудинковий звіт'!AM69+'[1]побудинковий звіт'!AM69</f>
        <v>0</v>
      </c>
      <c r="AN69" s="41">
        <f>'[2]побудинковий звіт'!AN69+'[1]побудинковий звіт'!AN69</f>
        <v>0</v>
      </c>
      <c r="AO69" s="55">
        <f t="shared" si="17"/>
        <v>0</v>
      </c>
      <c r="AP69" s="41">
        <f>'[2]побудинковий звіт'!AP69+'[1]побудинковий звіт'!AP69</f>
        <v>1733.5464000841075</v>
      </c>
      <c r="AQ69" s="41">
        <f>'[2]побудинковий звіт'!AQ69+'[1]побудинковий звіт'!AQ69</f>
        <v>1823.3275930033933</v>
      </c>
      <c r="AR69" s="55">
        <f t="shared" si="18"/>
        <v>89.781192919285786</v>
      </c>
      <c r="AS69" s="41">
        <f>'[2]побудинковий звіт'!AS69+'[1]побудинковий звіт'!AS69</f>
        <v>49065.403535007863</v>
      </c>
      <c r="AT69" s="41">
        <f>'[2]побудинковий звіт'!AT69+'[1]побудинковий звіт'!AT69</f>
        <v>95803.600312378738</v>
      </c>
      <c r="AU69" s="57">
        <f t="shared" si="19"/>
        <v>46738.196777370875</v>
      </c>
      <c r="AV69" s="41">
        <f>'[2]побудинковий звіт'!AV69+'[1]побудинковий звіт'!AV69</f>
        <v>504.63829497068048</v>
      </c>
      <c r="AW69" s="41">
        <f>'[2]побудинковий звіт'!AW69+'[1]побудинковий звіт'!AW69</f>
        <v>0</v>
      </c>
      <c r="AX69" s="58">
        <f t="shared" si="20"/>
        <v>-504.63829497068048</v>
      </c>
      <c r="AY69" s="41">
        <f>'[2]побудинковий звіт'!AY69+'[1]побудинковий звіт'!AY69</f>
        <v>377.96015498629095</v>
      </c>
      <c r="AZ69" s="41">
        <f>'[2]побудинковий звіт'!AZ69+'[1]побудинковий звіт'!AZ69</f>
        <v>0</v>
      </c>
      <c r="BA69" s="36">
        <f t="shared" si="21"/>
        <v>-377.96015498629095</v>
      </c>
      <c r="BB69" s="41">
        <f>'[2]побудинковий звіт'!BB69+'[1]побудинковий звіт'!BB69</f>
        <v>541.55410448177122</v>
      </c>
      <c r="BC69" s="41">
        <f>'[2]побудинковий звіт'!BC69+'[1]побудинковий звіт'!BC69</f>
        <v>0</v>
      </c>
      <c r="BD69" s="58">
        <f t="shared" si="22"/>
        <v>-541.55410448177122</v>
      </c>
      <c r="BE69" s="41">
        <f>'[2]побудинковий звіт'!BE69+'[1]побудинковий звіт'!BE69</f>
        <v>194.66542485435872</v>
      </c>
      <c r="BF69" s="41">
        <f>'[2]побудинковий звіт'!BF69+'[1]побудинковий звіт'!BF69</f>
        <v>0</v>
      </c>
      <c r="BG69" s="38">
        <f t="shared" si="23"/>
        <v>-194.66542485435872</v>
      </c>
      <c r="BH69" s="41">
        <f>'[2]побудинковий звіт'!BH69+'[1]побудинковий звіт'!BH69</f>
        <v>107.97325565782403</v>
      </c>
      <c r="BI69" s="41">
        <f>'[2]побудинковий звіт'!BI69+'[1]побудинковий звіт'!BI69</f>
        <v>0</v>
      </c>
      <c r="BJ69" s="58">
        <f t="shared" si="24"/>
        <v>-107.97325565782403</v>
      </c>
      <c r="BK69" s="41">
        <f>'[2]побудинковий звіт'!BK69+'[1]побудинковий звіт'!BK69</f>
        <v>396.06868524799188</v>
      </c>
      <c r="BL69" s="41">
        <f>'[2]побудинковий звіт'!BL69+'[1]побудинковий звіт'!BL69</f>
        <v>2203.3106709928916</v>
      </c>
      <c r="BM69" s="38">
        <f t="shared" si="25"/>
        <v>1807.2419857448997</v>
      </c>
      <c r="BN69" s="41">
        <f>'[2]побудинковий звіт'!BN69+'[1]побудинковий звіт'!BN69</f>
        <v>50.193389823494897</v>
      </c>
      <c r="BO69" s="41">
        <f>'[2]побудинковий звіт'!BO69+'[1]побудинковий звіт'!BO69</f>
        <v>2808.4596569599998</v>
      </c>
      <c r="BP69" s="58">
        <f t="shared" si="26"/>
        <v>2758.2662671365051</v>
      </c>
      <c r="BQ69" s="84">
        <f t="shared" si="27"/>
        <v>2173.053310022412</v>
      </c>
      <c r="BR69" s="42">
        <f t="shared" si="28"/>
        <v>5011.7703279528914</v>
      </c>
      <c r="BS69" s="58">
        <f t="shared" si="29"/>
        <v>2838.7170179304794</v>
      </c>
      <c r="BT69" s="41">
        <f>'[2]побудинковий звіт'!BT69+'[1]побудинковий звіт'!BT69</f>
        <v>23113.449467330945</v>
      </c>
      <c r="BU69" s="41">
        <f>'[2]побудинковий звіт'!BU69+'[1]побудинковий звіт'!BU69</f>
        <v>30252.162411581314</v>
      </c>
      <c r="BV69" s="55">
        <f t="shared" si="30"/>
        <v>7138.7129442503683</v>
      </c>
      <c r="BW69" s="41">
        <f>'[2]побудинковий звіт'!BW69+'[1]побудинковий звіт'!BW69</f>
        <v>20072.232445802951</v>
      </c>
      <c r="BX69" s="41">
        <f>'[2]побудинковий звіт'!BX69+'[1]побудинковий звіт'!BX69</f>
        <v>11768.51094850958</v>
      </c>
      <c r="BY69" s="55">
        <f t="shared" si="31"/>
        <v>-8303.7214972933707</v>
      </c>
      <c r="BZ69" s="41">
        <f>'[2]побудинковий звіт'!BZ69+'[1]побудинковий звіт'!BZ69</f>
        <v>6238.871428614686</v>
      </c>
      <c r="CA69" s="41">
        <f>'[2]побудинковий звіт'!CA69+'[1]побудинковий звіт'!CA69</f>
        <v>1910.0916299225937</v>
      </c>
      <c r="CB69" s="55">
        <f t="shared" si="32"/>
        <v>-4328.7797986920923</v>
      </c>
      <c r="CC69" s="41">
        <f>'[2]побудинковий звіт'!CC69+'[1]побудинковий звіт'!CC69</f>
        <v>761.25320101173361</v>
      </c>
      <c r="CD69" s="41">
        <f>'[2]побудинковий звіт'!CD69+'[1]побудинковий звіт'!CD69</f>
        <v>763.83452570338875</v>
      </c>
      <c r="CE69" s="55">
        <f t="shared" si="33"/>
        <v>2.5813246916551407</v>
      </c>
      <c r="CF69" s="41">
        <f>'[2]побудинковий звіт'!CF69+'[1]побудинковий звіт'!CF69</f>
        <v>94.315225403613553</v>
      </c>
      <c r="CG69" s="41">
        <f>'[2]побудинковий звіт'!CG69+'[1]побудинковий звіт'!CG69</f>
        <v>0</v>
      </c>
      <c r="CH69" s="55">
        <f t="shared" si="34"/>
        <v>-94.315225403613553</v>
      </c>
      <c r="CI69" s="41">
        <f>'[2]побудинковий звіт'!CI69+'[1]побудинковий звіт'!CI69</f>
        <v>8224.5857270470933</v>
      </c>
      <c r="CJ69" s="41">
        <f>'[2]побудинковий звіт'!CJ69+'[1]побудинковий звіт'!CJ69</f>
        <v>18381.939942867055</v>
      </c>
      <c r="CK69" s="55">
        <f t="shared" si="35"/>
        <v>10157.354215819962</v>
      </c>
      <c r="CL69" s="41">
        <f>'[2]побудинковий звіт'!CL69+'[1]побудинковий звіт'!CL69</f>
        <v>6385.9644469004961</v>
      </c>
      <c r="CM69" s="41">
        <f>'[2]побудинковий звіт'!CM69+'[1]побудинковий звіт'!CM69</f>
        <v>8377.6234995141167</v>
      </c>
      <c r="CN69" s="55">
        <f t="shared" si="36"/>
        <v>1991.6590526136206</v>
      </c>
      <c r="CO69" s="41">
        <f t="shared" si="37"/>
        <v>14610.550173947589</v>
      </c>
      <c r="CP69" s="42">
        <f t="shared" si="38"/>
        <v>26759.563442381172</v>
      </c>
      <c r="CQ69" s="55">
        <f t="shared" si="39"/>
        <v>12149.013268433582</v>
      </c>
      <c r="CR69" s="76">
        <f t="shared" si="40"/>
        <v>166448.14094686217</v>
      </c>
      <c r="CS69" s="5">
        <f t="shared" si="41"/>
        <v>221829.87068656163</v>
      </c>
      <c r="CT69" s="55">
        <f t="shared" si="42"/>
        <v>55381.729739699455</v>
      </c>
      <c r="CU69" s="84">
        <f t="shared" si="43"/>
        <v>199737.76913623459</v>
      </c>
      <c r="CV69" s="68">
        <f t="shared" si="44"/>
        <v>266195.84482387395</v>
      </c>
      <c r="CW69" s="36">
        <f t="shared" si="45"/>
        <v>66458.075687639357</v>
      </c>
      <c r="CX69" s="41">
        <f>'[2]побудинковий звіт'!CX69+'[1]побудинковий звіт'!CX69</f>
        <v>6087.0526755561777</v>
      </c>
      <c r="CY69" s="41">
        <f>'[2]побудинковий звіт'!CY69+'[1]побудинковий звіт'!CY69</f>
        <v>-60371.023012083184</v>
      </c>
      <c r="CZ69" s="55">
        <f t="shared" si="46"/>
        <v>-66458.075687639357</v>
      </c>
      <c r="DA69" s="254">
        <f>'[1]побудинковий звіт'!DA69</f>
        <v>42728.95095701464</v>
      </c>
      <c r="DB69" s="2">
        <v>3</v>
      </c>
      <c r="DC69" s="702">
        <f>'[1]побудинковий звіт'!DC69</f>
        <v>38416.58</v>
      </c>
      <c r="DD69" s="702">
        <f>'[1]побудинковий звіт'!DD69</f>
        <v>0</v>
      </c>
      <c r="DE69" s="702">
        <f>'[1]побудинковий звіт'!DE69</f>
        <v>15648.580000000002</v>
      </c>
      <c r="DF69" s="702">
        <f>'[1]побудинковий звіт'!DF69</f>
        <v>0</v>
      </c>
      <c r="DG69" s="772">
        <v>5149.5570303657441</v>
      </c>
      <c r="DH69" s="746">
        <f t="shared" si="47"/>
        <v>2469897.8617414893</v>
      </c>
      <c r="DI69" s="769"/>
      <c r="DJ69" s="5"/>
      <c r="DK69" s="307">
        <f>VLOOKUP($A69,ціни!$A$4:$G$401,5)</f>
        <v>6.0421169690571013</v>
      </c>
      <c r="DL69" s="307">
        <f>VLOOKUP($A69,ціни!$A$4:$G$401,6)</f>
        <v>7.3961234000275127</v>
      </c>
      <c r="DM69" s="307">
        <f>VLOOKUP($A69,ціни!$A$4:$G$401,7)</f>
        <v>5.0321242600402067</v>
      </c>
      <c r="DN69" s="29">
        <f>DK69*G69+(F69-G69)*DL69</f>
        <v>16097.816494954748</v>
      </c>
      <c r="DO69" s="29">
        <f>DM69*H69</f>
        <v>0</v>
      </c>
      <c r="DP69" s="306">
        <f t="shared" si="48"/>
        <v>16097.816494954748</v>
      </c>
      <c r="DQ69" s="101"/>
      <c r="DR69" s="29">
        <f>VLOOKUP(A69,'ДЗ нас '!$A$1:$C$359,2)</f>
        <v>16094.79</v>
      </c>
      <c r="DS69" s="733"/>
      <c r="DT69" s="29">
        <f t="shared" si="49"/>
        <v>16094.79</v>
      </c>
      <c r="DU69" s="247">
        <f>VLOOKUP(A69,'новий кошторис с 01.06'!$A$4:$AI$399,35)*1.2</f>
        <v>16166.977854492521</v>
      </c>
      <c r="DV69" s="29">
        <f t="shared" si="50"/>
        <v>-72.187854492520273</v>
      </c>
      <c r="DW69" s="1016">
        <f>'[2]побудинковий звіт'!$DW$9+'[1]побудинковий звіт'!DW69</f>
        <v>918</v>
      </c>
      <c r="DX69" s="101">
        <f>'[1]побудинковий звіт'!DX69</f>
        <v>0</v>
      </c>
      <c r="DY69" s="5">
        <f t="shared" si="51"/>
        <v>61486.14821403633</v>
      </c>
      <c r="DZ69" s="5">
        <f t="shared" si="52"/>
        <v>120978.44476839795</v>
      </c>
      <c r="EA69" s="737">
        <f t="shared" si="53"/>
        <v>15648.580000000002</v>
      </c>
      <c r="EC69" s="577">
        <f t="shared" si="54"/>
        <v>588784.84242009441</v>
      </c>
      <c r="EE69" s="743">
        <v>-7907</v>
      </c>
      <c r="EF69" s="723">
        <f t="shared" si="55"/>
        <v>-2757.4429696342559</v>
      </c>
      <c r="EH69" s="798">
        <v>-6931.3273414837549</v>
      </c>
      <c r="EI69" s="101">
        <f>VLOOKUP(A69,'кошти 01.01.24'!$A$9:$D$352,4,FALSE)</f>
        <v>-23729.124730624731</v>
      </c>
    </row>
    <row r="70" spans="1:139" hidden="1" x14ac:dyDescent="0.3">
      <c r="A70" s="318">
        <v>150000982</v>
      </c>
      <c r="B70" s="43" t="s">
        <v>490</v>
      </c>
      <c r="C70" s="44" t="s">
        <v>343</v>
      </c>
      <c r="D70" s="44" t="s">
        <v>343</v>
      </c>
      <c r="E70" s="39">
        <f t="shared" si="4"/>
        <v>5955.55</v>
      </c>
      <c r="F70" s="205">
        <f>'[1]побудинковий звіт'!F70</f>
        <v>5955.55</v>
      </c>
      <c r="G70" s="29">
        <f>'[1]побудинковий звіт'!G70</f>
        <v>569.36</v>
      </c>
      <c r="H70" s="148">
        <f>'[1]побудинковий звіт'!H70</f>
        <v>0</v>
      </c>
      <c r="I70" s="41">
        <f>'[2]побудинковий звіт'!I70+'[1]побудинковий звіт'!I70</f>
        <v>17047.680053855656</v>
      </c>
      <c r="J70" s="41">
        <f>'[2]побудинковий звіт'!J70+'[1]побудинковий звіт'!J70</f>
        <v>17787.654864764558</v>
      </c>
      <c r="K70" s="55">
        <f t="shared" si="5"/>
        <v>739.97481090890142</v>
      </c>
      <c r="L70" s="41">
        <f>'[2]побудинковий звіт'!L70+'[1]побудинковий звіт'!L70</f>
        <v>4253.5079893342709</v>
      </c>
      <c r="M70" s="41">
        <f>'[2]побудинковий звіт'!M70+'[1]побудинковий звіт'!M70</f>
        <v>4632.5269056337829</v>
      </c>
      <c r="N70" s="55">
        <f t="shared" si="6"/>
        <v>379.01891629951206</v>
      </c>
      <c r="O70" s="41">
        <f>'[2]побудинковий звіт'!O70+'[1]побудинковий звіт'!O70</f>
        <v>8208.5348941525081</v>
      </c>
      <c r="P70" s="41">
        <f>'[2]побудинковий звіт'!P70+'[1]побудинковий звіт'!P70</f>
        <v>8232.98620437106</v>
      </c>
      <c r="Q70" s="55">
        <f t="shared" si="7"/>
        <v>24.451310218551953</v>
      </c>
      <c r="R70" s="41">
        <f>'[2]побудинковий звіт'!R70+'[1]побудинковий звіт'!R70</f>
        <v>1995.9012540828176</v>
      </c>
      <c r="S70" s="41">
        <f>'[2]побудинковий звіт'!S70+'[1]побудинковий звіт'!S70</f>
        <v>2000.4728990345452</v>
      </c>
      <c r="T70" s="55">
        <f t="shared" si="8"/>
        <v>4.5716449517276487</v>
      </c>
      <c r="U70" s="41">
        <f>'[2]побудинковий звіт'!U70+'[1]побудинковий звіт'!U70</f>
        <v>1195.4353047003162</v>
      </c>
      <c r="V70" s="41">
        <f>'[2]побудинковий звіт'!V70+'[1]побудинковий звіт'!V70</f>
        <v>1095.1521773469262</v>
      </c>
      <c r="W70" s="55">
        <f t="shared" si="9"/>
        <v>-100.28312735339</v>
      </c>
      <c r="X70" s="41">
        <f>'[2]побудинковий звіт'!X70+'[1]побудинковий звіт'!X70</f>
        <v>11997.922641524048</v>
      </c>
      <c r="Y70" s="41">
        <f>'[2]побудинковий звіт'!Y70+'[1]побудинковий звіт'!Y70</f>
        <v>15144.104685144377</v>
      </c>
      <c r="Z70" s="55">
        <f t="shared" si="10"/>
        <v>3146.1820436203288</v>
      </c>
      <c r="AA70" s="41">
        <f>'[2]побудинковий звіт'!AA70+'[1]побудинковий звіт'!AA70</f>
        <v>0</v>
      </c>
      <c r="AB70" s="41">
        <f>'[2]побудинковий звіт'!AB70+'[1]побудинковий звіт'!AB70</f>
        <v>0</v>
      </c>
      <c r="AC70" s="55">
        <f t="shared" si="11"/>
        <v>0</v>
      </c>
      <c r="AD70" s="41">
        <f>'[2]побудинковий звіт'!AD70+'[1]побудинковий звіт'!AD70</f>
        <v>25822.94611408691</v>
      </c>
      <c r="AE70" s="41">
        <f>'[2]побудинковий звіт'!AE70+'[1]побудинковий звіт'!AE70</f>
        <v>25722.822547736359</v>
      </c>
      <c r="AF70" s="36">
        <f t="shared" si="12"/>
        <v>-100.12356635055039</v>
      </c>
      <c r="AG70" s="84">
        <f t="shared" si="13"/>
        <v>70521.928251736535</v>
      </c>
      <c r="AH70" s="56">
        <f t="shared" si="14"/>
        <v>74615.720284031617</v>
      </c>
      <c r="AI70" s="55">
        <f t="shared" si="15"/>
        <v>4093.7920322950813</v>
      </c>
      <c r="AJ70" s="41">
        <f>'[2]побудинковий звіт'!AJ70+'[1]побудинковий звіт'!AJ70</f>
        <v>90534.638401532226</v>
      </c>
      <c r="AK70" s="41">
        <f>'[2]побудинковий звіт'!AK70+'[1]побудинковий звіт'!AK70</f>
        <v>86166.081796288709</v>
      </c>
      <c r="AL70" s="55">
        <f t="shared" si="16"/>
        <v>-4368.556605243517</v>
      </c>
      <c r="AM70" s="41">
        <f>'[2]побудинковий звіт'!AM70+'[1]побудинковий звіт'!AM70</f>
        <v>0</v>
      </c>
      <c r="AN70" s="41">
        <f>'[2]побудинковий звіт'!AN70+'[1]побудинковий звіт'!AN70</f>
        <v>0</v>
      </c>
      <c r="AO70" s="55">
        <f t="shared" si="17"/>
        <v>0</v>
      </c>
      <c r="AP70" s="41">
        <f>'[2]побудинковий звіт'!AP70+'[1]побудинковий звіт'!AP70</f>
        <v>5200.6392002523207</v>
      </c>
      <c r="AQ70" s="41">
        <f>'[2]побудинковий звіт'!AQ70+'[1]побудинковий звіт'!AQ70</f>
        <v>6000</v>
      </c>
      <c r="AR70" s="55">
        <f t="shared" si="18"/>
        <v>799.36079974767927</v>
      </c>
      <c r="AS70" s="41">
        <f>'[2]побудинковий звіт'!AS70+'[1]побудинковий звіт'!AS70</f>
        <v>165990.14451688915</v>
      </c>
      <c r="AT70" s="41">
        <f>'[2]побудинковий звіт'!AT70+'[1]побудинковий звіт'!AT70</f>
        <v>144617.42536006306</v>
      </c>
      <c r="AU70" s="57">
        <f t="shared" si="19"/>
        <v>-21372.71915682609</v>
      </c>
      <c r="AV70" s="41">
        <f>'[2]побудинковий звіт'!AV70+'[1]побудинковий звіт'!AV70</f>
        <v>1043.1723659601482</v>
      </c>
      <c r="AW70" s="41">
        <f>'[2]побудинковий звіт'!AW70+'[1]побудинковий звіт'!AW70</f>
        <v>0</v>
      </c>
      <c r="AX70" s="58">
        <f t="shared" si="20"/>
        <v>-1043.1723659601482</v>
      </c>
      <c r="AY70" s="41">
        <f>'[2]побудинковий звіт'!AY70+'[1]побудинковий звіт'!AY70</f>
        <v>1664.4427299967067</v>
      </c>
      <c r="AZ70" s="41">
        <f>'[2]побудинковий звіт'!AZ70+'[1]побудинковий звіт'!AZ70</f>
        <v>5944.4275492047309</v>
      </c>
      <c r="BA70" s="36">
        <f t="shared" si="21"/>
        <v>4279.9848192080244</v>
      </c>
      <c r="BB70" s="41">
        <f>'[2]побудинковий звіт'!BB70+'[1]побудинковий звіт'!BB70</f>
        <v>1630.228602699945</v>
      </c>
      <c r="BC70" s="41">
        <f>'[2]побудинковий звіт'!BC70+'[1]побудинковий звіт'!BC70</f>
        <v>4822.4608747513121</v>
      </c>
      <c r="BD70" s="58">
        <f t="shared" si="22"/>
        <v>3192.2322720513671</v>
      </c>
      <c r="BE70" s="41">
        <f>'[2]побудинковий звіт'!BE70+'[1]побудинковий звіт'!BE70</f>
        <v>469.39784941210189</v>
      </c>
      <c r="BF70" s="41">
        <f>'[2]побудинковий звіт'!BF70+'[1]побудинковий звіт'!BF70</f>
        <v>807</v>
      </c>
      <c r="BG70" s="38">
        <f t="shared" si="23"/>
        <v>337.60215058789811</v>
      </c>
      <c r="BH70" s="41">
        <f>'[2]побудинковий звіт'!BH70+'[1]побудинковий звіт'!BH70</f>
        <v>323.91968446591562</v>
      </c>
      <c r="BI70" s="41">
        <f>'[2]побудинковий звіт'!BI70+'[1]побудинковий звіт'!BI70</f>
        <v>0</v>
      </c>
      <c r="BJ70" s="58">
        <f t="shared" si="24"/>
        <v>-323.91968446591562</v>
      </c>
      <c r="BK70" s="41">
        <f>'[2]побудинковий звіт'!BK70+'[1]побудинковий звіт'!BK70</f>
        <v>1011.5482392284537</v>
      </c>
      <c r="BL70" s="41">
        <f>'[2]побудинковий звіт'!BL70+'[1]побудинковий звіт'!BL70</f>
        <v>1010.4232548013701</v>
      </c>
      <c r="BM70" s="38">
        <f t="shared" si="25"/>
        <v>-1.1249844270835183</v>
      </c>
      <c r="BN70" s="41">
        <f>'[2]побудинковий звіт'!BN70+'[1]побудинковий звіт'!BN70</f>
        <v>112.9351271028635</v>
      </c>
      <c r="BO70" s="41">
        <f>'[2]побудинковий звіт'!BO70+'[1]побудинковий звіт'!BO70</f>
        <v>0</v>
      </c>
      <c r="BP70" s="58">
        <f t="shared" si="26"/>
        <v>-112.9351271028635</v>
      </c>
      <c r="BQ70" s="84">
        <f t="shared" si="27"/>
        <v>6255.6445988661344</v>
      </c>
      <c r="BR70" s="42">
        <f t="shared" si="28"/>
        <v>12584.311678757413</v>
      </c>
      <c r="BS70" s="58">
        <f t="shared" si="29"/>
        <v>6328.6670798912783</v>
      </c>
      <c r="BT70" s="41">
        <f>'[2]побудинковий звіт'!BT70+'[1]побудинковий звіт'!BT70</f>
        <v>24915.07855360848</v>
      </c>
      <c r="BU70" s="41">
        <f>'[2]побудинковий звіт'!BU70+'[1]побудинковий звіт'!BU70</f>
        <v>28141.272648446153</v>
      </c>
      <c r="BV70" s="55">
        <f t="shared" si="30"/>
        <v>3226.1940948376723</v>
      </c>
      <c r="BW70" s="41">
        <f>'[2]побудинковий звіт'!BW70+'[1]побудинковий звіт'!BW70</f>
        <v>60399.244164662603</v>
      </c>
      <c r="BX70" s="41">
        <f>'[2]побудинковий звіт'!BX70+'[1]побудинковий звіт'!BX70</f>
        <v>36449.899622217308</v>
      </c>
      <c r="BY70" s="55">
        <f t="shared" si="31"/>
        <v>-23949.344542445295</v>
      </c>
      <c r="BZ70" s="41">
        <f>'[2]побудинковий звіт'!BZ70+'[1]побудинковий звіт'!BZ70</f>
        <v>9236.2913530273108</v>
      </c>
      <c r="CA70" s="41">
        <f>'[2]побудинковий звіт'!CA70+'[1]побудинковий звіт'!CA70</f>
        <v>2124.2479453567335</v>
      </c>
      <c r="CB70" s="55">
        <f t="shared" si="32"/>
        <v>-7112.0434076705769</v>
      </c>
      <c r="CC70" s="41">
        <f>'[2]побудинковий звіт'!CC70+'[1]побудинковий звіт'!CC70</f>
        <v>2283.8817455463941</v>
      </c>
      <c r="CD70" s="41">
        <f>'[2]побудинковий звіт'!CD70+'[1]побудинковий звіт'!CD70</f>
        <v>2291.6261337929909</v>
      </c>
      <c r="CE70" s="55">
        <f t="shared" si="33"/>
        <v>7.7443882465968272</v>
      </c>
      <c r="CF70" s="41">
        <f>'[2]побудинковий звіт'!CF70+'[1]побудинковий звіт'!CF70</f>
        <v>282.96080901876746</v>
      </c>
      <c r="CG70" s="41">
        <f>'[2]побудинковий звіт'!CG70+'[1]побудинковий звіт'!CG70</f>
        <v>0</v>
      </c>
      <c r="CH70" s="55">
        <f t="shared" si="34"/>
        <v>-282.96080901876746</v>
      </c>
      <c r="CI70" s="41">
        <f>'[2]побудинковий звіт'!CI70+'[1]побудинковий звіт'!CI70</f>
        <v>22165.90798493283</v>
      </c>
      <c r="CJ70" s="41">
        <f>'[2]побудинковий звіт'!CJ70+'[1]побудинковий звіт'!CJ70</f>
        <v>21809.966307857354</v>
      </c>
      <c r="CK70" s="55">
        <f t="shared" si="35"/>
        <v>-355.94167707547604</v>
      </c>
      <c r="CL70" s="41">
        <f>'[2]побудинковий звіт'!CL70+'[1]побудинковий звіт'!CL70</f>
        <v>13333.424398019459</v>
      </c>
      <c r="CM70" s="41">
        <f>'[2]побудинковий звіт'!CM70+'[1]побудинковий звіт'!CM70</f>
        <v>26590.985600172295</v>
      </c>
      <c r="CN70" s="55">
        <f t="shared" si="36"/>
        <v>13257.561202152836</v>
      </c>
      <c r="CO70" s="41">
        <f t="shared" si="37"/>
        <v>35499.332382952285</v>
      </c>
      <c r="CP70" s="42">
        <f t="shared" si="38"/>
        <v>48400.951908029645</v>
      </c>
      <c r="CQ70" s="55">
        <f t="shared" si="39"/>
        <v>12901.61952507736</v>
      </c>
      <c r="CR70" s="76">
        <f t="shared" si="40"/>
        <v>471119.78397809225</v>
      </c>
      <c r="CS70" s="5">
        <f t="shared" si="41"/>
        <v>441391.53737698356</v>
      </c>
      <c r="CT70" s="55">
        <f t="shared" si="42"/>
        <v>-29728.246601108694</v>
      </c>
      <c r="CU70" s="84">
        <f t="shared" si="43"/>
        <v>565343.74077371066</v>
      </c>
      <c r="CV70" s="68">
        <f t="shared" si="44"/>
        <v>529669.84485238022</v>
      </c>
      <c r="CW70" s="36">
        <f t="shared" si="45"/>
        <v>-35673.895921330433</v>
      </c>
      <c r="CX70" s="41">
        <f>'[2]побудинковий звіт'!CX70+'[1]побудинковий звіт'!CX70</f>
        <v>10111.919538395918</v>
      </c>
      <c r="CY70" s="41">
        <f>'[2]побудинковий звіт'!CY70+'[1]побудинковий звіт'!CY70</f>
        <v>45785.815459726189</v>
      </c>
      <c r="CZ70" s="55">
        <f t="shared" si="46"/>
        <v>35673.895921330273</v>
      </c>
      <c r="DA70" s="254">
        <f>'[1]побудинковий звіт'!DA70</f>
        <v>5472.5743164576852</v>
      </c>
      <c r="DB70" s="2">
        <v>3</v>
      </c>
      <c r="DC70" s="702">
        <f>'[1]побудинковий звіт'!DC70</f>
        <v>190528.43</v>
      </c>
      <c r="DD70" s="702">
        <f>'[1]побудинковий звіт'!DD70</f>
        <v>0</v>
      </c>
      <c r="DE70" s="702">
        <f>'[1]побудинковий звіт'!DE70</f>
        <v>127503.56999999999</v>
      </c>
      <c r="DF70" s="702">
        <f>'[1]побудинковий звіт'!DF70</f>
        <v>0</v>
      </c>
      <c r="DG70" s="772">
        <v>-58542.504229559796</v>
      </c>
      <c r="DH70" s="746">
        <f t="shared" si="47"/>
        <v>6905467.9237452792</v>
      </c>
      <c r="DI70" s="769"/>
      <c r="DJ70" s="5"/>
      <c r="DK70" s="307">
        <f>VLOOKUP($A70,ціни!$A$4:$G$401,5)</f>
        <v>5.9306016635307897</v>
      </c>
      <c r="DL70" s="307">
        <f>VLOOKUP($A70,ціни!$A$4:$G$401,6)</f>
        <v>7.7551963358194227</v>
      </c>
      <c r="DM70" s="307">
        <f>VLOOKUP($A70,ціни!$A$4:$G$401,7)</f>
        <v>4.7935738498184897</v>
      </c>
      <c r="DN70" s="29">
        <f>DK70*G70+(F70-G70)*DL70</f>
        <v>45147.608315175108</v>
      </c>
      <c r="DO70" s="29">
        <f>DM70*H70</f>
        <v>0</v>
      </c>
      <c r="DP70" s="306">
        <f t="shared" si="48"/>
        <v>45147.608315175108</v>
      </c>
      <c r="DQ70" s="101"/>
      <c r="DR70" s="29">
        <f>VLOOKUP(A70,'ДЗ нас '!$A$1:$C$359,2)</f>
        <v>45132.19</v>
      </c>
      <c r="DS70" s="733"/>
      <c r="DT70" s="29">
        <f t="shared" si="49"/>
        <v>45132.19</v>
      </c>
      <c r="DU70" s="247">
        <f>VLOOKUP(A70,'новий кошторис с 01.06'!$A$4:$AI$399,35)*1.2</f>
        <v>45219.448069617451</v>
      </c>
      <c r="DV70" s="29">
        <f t="shared" si="50"/>
        <v>-87.2580696174482</v>
      </c>
      <c r="DW70" s="1016">
        <f>'[2]побудинковий звіт'!$DW$9+'[1]побудинковий звіт'!DW70</f>
        <v>792</v>
      </c>
      <c r="DX70" s="101">
        <f>'[1]побудинковий звіт'!DX70</f>
        <v>0</v>
      </c>
      <c r="DY70" s="5">
        <f t="shared" si="51"/>
        <v>206694.94693890636</v>
      </c>
      <c r="DZ70" s="5">
        <f t="shared" si="52"/>
        <v>188642.08444658457</v>
      </c>
      <c r="EA70" s="737">
        <f t="shared" si="53"/>
        <v>127503.56999999999</v>
      </c>
      <c r="EC70" s="577">
        <f t="shared" si="54"/>
        <v>1991881.7342026699</v>
      </c>
      <c r="EE70" s="743">
        <v>58899</v>
      </c>
      <c r="EF70" s="723">
        <f t="shared" si="55"/>
        <v>356.49577044020407</v>
      </c>
      <c r="EH70" s="798">
        <v>-103993.97385684289</v>
      </c>
      <c r="EI70" s="101">
        <f>VLOOKUP(A70,'кошти 01.01.24'!$A$9:$D$352,4,FALSE)</f>
        <v>41146.470237788053</v>
      </c>
    </row>
    <row r="71" spans="1:139" hidden="1" x14ac:dyDescent="0.3">
      <c r="A71" s="318">
        <v>150000983</v>
      </c>
      <c r="B71" s="43" t="s">
        <v>491</v>
      </c>
      <c r="C71" s="44" t="s">
        <v>344</v>
      </c>
      <c r="D71" s="44" t="s">
        <v>344</v>
      </c>
      <c r="E71" s="39">
        <f t="shared" si="4"/>
        <v>3858.65</v>
      </c>
      <c r="F71" s="205">
        <f>'[1]побудинковий звіт'!F71</f>
        <v>3858.65</v>
      </c>
      <c r="G71" s="29">
        <f>'[1]побудинковий звіт'!G71</f>
        <v>441.5</v>
      </c>
      <c r="H71" s="148">
        <f>'[1]побудинковий звіт'!H71</f>
        <v>0</v>
      </c>
      <c r="I71" s="41">
        <f>'[2]побудинковий звіт'!I71+'[1]побудинковий звіт'!I71</f>
        <v>10969.029417565547</v>
      </c>
      <c r="J71" s="41">
        <f>'[2]побудинковий звіт'!J71+'[1]побудинковий звіт'!J71</f>
        <v>11463.212833863148</v>
      </c>
      <c r="K71" s="55">
        <f t="shared" si="5"/>
        <v>494.18341629760107</v>
      </c>
      <c r="L71" s="41">
        <f>'[2]побудинковий звіт'!L71+'[1]побудинковий звіт'!L71</f>
        <v>1647.3714886133916</v>
      </c>
      <c r="M71" s="41">
        <f>'[2]побудинковий звіт'!M71+'[1]побудинковий звіт'!M71</f>
        <v>1802.0997141262096</v>
      </c>
      <c r="N71" s="55">
        <f t="shared" si="6"/>
        <v>154.72822551281797</v>
      </c>
      <c r="O71" s="41">
        <f>'[2]побудинковий звіт'!O71+'[1]побудинковий звіт'!O71</f>
        <v>5283.0731032478652</v>
      </c>
      <c r="P71" s="41">
        <f>'[2]побудинковий звіт'!P71+'[1]побудинковий звіт'!P71</f>
        <v>5297.6253718398593</v>
      </c>
      <c r="Q71" s="55">
        <f t="shared" si="7"/>
        <v>14.552268591994107</v>
      </c>
      <c r="R71" s="41">
        <f>'[2]побудинковий звіт'!R71+'[1]побудинковий звіт'!R71</f>
        <v>1350.0909239926714</v>
      </c>
      <c r="S71" s="41">
        <f>'[2]побудинковий звіт'!S71+'[1]побудинковий звіт'!S71</f>
        <v>1355.0030778870225</v>
      </c>
      <c r="T71" s="55">
        <f t="shared" si="8"/>
        <v>4.9121538943511496</v>
      </c>
      <c r="U71" s="41">
        <f>'[2]побудинковий звіт'!U71+'[1]побудинковий звіт'!U71</f>
        <v>799.99352559665294</v>
      </c>
      <c r="V71" s="41">
        <f>'[2]побудинковий звіт'!V71+'[1]побудинковий звіт'!V71</f>
        <v>553.19680025966068</v>
      </c>
      <c r="W71" s="55">
        <f t="shared" si="9"/>
        <v>-246.79672533699227</v>
      </c>
      <c r="X71" s="41">
        <f>'[2]побудинковий звіт'!X71+'[1]побудинковий звіт'!X71</f>
        <v>8835.4409393799287</v>
      </c>
      <c r="Y71" s="41">
        <f>'[2]побудинковий звіт'!Y71+'[1]побудинковий звіт'!Y71</f>
        <v>11174.446352875546</v>
      </c>
      <c r="Z71" s="55">
        <f t="shared" si="10"/>
        <v>2339.0054134956172</v>
      </c>
      <c r="AA71" s="41">
        <f>'[2]побудинковий звіт'!AA71+'[1]побудинковий звіт'!AA71</f>
        <v>0</v>
      </c>
      <c r="AB71" s="41">
        <f>'[2]побудинковий звіт'!AB71+'[1]побудинковий звіт'!AB71</f>
        <v>0</v>
      </c>
      <c r="AC71" s="55">
        <f t="shared" si="11"/>
        <v>0</v>
      </c>
      <c r="AD71" s="41">
        <f>'[2]побудинковий звіт'!AD71+'[1]побудинковий звіт'!AD71</f>
        <v>16736.169581613067</v>
      </c>
      <c r="AE71" s="41">
        <f>'[2]побудинковий звіт'!AE71+'[1]побудинковий звіт'!AE71</f>
        <v>16671.078093512653</v>
      </c>
      <c r="AF71" s="36">
        <f t="shared" si="12"/>
        <v>-65.091488100413699</v>
      </c>
      <c r="AG71" s="84">
        <f t="shared" si="13"/>
        <v>45621.168980009126</v>
      </c>
      <c r="AH71" s="56">
        <f t="shared" si="14"/>
        <v>48316.662244364103</v>
      </c>
      <c r="AI71" s="55">
        <f t="shared" si="15"/>
        <v>2695.4932643549764</v>
      </c>
      <c r="AJ71" s="41">
        <f>'[2]побудинковий звіт'!AJ71+'[1]побудинковий звіт'!AJ71</f>
        <v>60356.418595600298</v>
      </c>
      <c r="AK71" s="41">
        <f>'[2]побудинковий звіт'!AK71+'[1]побудинковий звіт'!AK71</f>
        <v>57601.276576215751</v>
      </c>
      <c r="AL71" s="55">
        <f t="shared" si="16"/>
        <v>-2755.1420193845479</v>
      </c>
      <c r="AM71" s="41">
        <f>'[2]побудинковий звіт'!AM71+'[1]побудинковий звіт'!AM71</f>
        <v>0</v>
      </c>
      <c r="AN71" s="41">
        <f>'[2]побудинковий звіт'!AN71+'[1]побудинковий звіт'!AN71</f>
        <v>0</v>
      </c>
      <c r="AO71" s="55">
        <f t="shared" si="17"/>
        <v>0</v>
      </c>
      <c r="AP71" s="41">
        <f>'[2]побудинковий звіт'!AP71+'[1]побудинковий звіт'!AP71</f>
        <v>3467.092800168215</v>
      </c>
      <c r="AQ71" s="41">
        <f>'[2]побудинковий звіт'!AQ71+'[1]побудинковий звіт'!AQ71</f>
        <v>3766.6551860067866</v>
      </c>
      <c r="AR71" s="55">
        <f t="shared" si="18"/>
        <v>299.56238583857157</v>
      </c>
      <c r="AS71" s="41">
        <f>'[2]побудинковий звіт'!AS71+'[1]побудинковий звіт'!AS71</f>
        <v>103123.74695816974</v>
      </c>
      <c r="AT71" s="41">
        <f>'[2]побудинковий звіт'!AT71+'[1]побудинковий звіт'!AT71</f>
        <v>24933.613231866464</v>
      </c>
      <c r="AU71" s="57">
        <f t="shared" si="19"/>
        <v>-78190.133726303276</v>
      </c>
      <c r="AV71" s="41">
        <f>'[2]побудинковий звіт'!AV71+'[1]побудинковий звіт'!AV71</f>
        <v>733.64488543229561</v>
      </c>
      <c r="AW71" s="41">
        <f>'[2]побудинковий звіт'!AW71+'[1]побудинковий звіт'!AW71</f>
        <v>0</v>
      </c>
      <c r="AX71" s="58">
        <f t="shared" si="20"/>
        <v>-733.64488543229561</v>
      </c>
      <c r="AY71" s="41">
        <f>'[2]побудинковий звіт'!AY71+'[1]побудинковий звіт'!AY71</f>
        <v>707.25890072866105</v>
      </c>
      <c r="AZ71" s="41">
        <f>'[2]побудинковий звіт'!AZ71+'[1]побудинковий звіт'!AZ71</f>
        <v>0</v>
      </c>
      <c r="BA71" s="36">
        <f t="shared" si="21"/>
        <v>-707.25890072866105</v>
      </c>
      <c r="BB71" s="41">
        <f>'[2]побудинковий звіт'!BB71+'[1]побудинковий звіт'!BB71</f>
        <v>999.0587483084613</v>
      </c>
      <c r="BC71" s="41">
        <f>'[2]побудинковий звіт'!BC71+'[1]побудинковий звіт'!BC71</f>
        <v>0</v>
      </c>
      <c r="BD71" s="58">
        <f t="shared" si="22"/>
        <v>-999.0587483084613</v>
      </c>
      <c r="BE71" s="41">
        <f>'[2]побудинковий звіт'!BE71+'[1]побудинковий звіт'!BE71</f>
        <v>342.85878254410636</v>
      </c>
      <c r="BF71" s="41">
        <f>'[2]побудинковий звіт'!BF71+'[1]побудинковий звіт'!BF71</f>
        <v>390.29985691784998</v>
      </c>
      <c r="BG71" s="38">
        <f t="shared" si="23"/>
        <v>47.441074373743618</v>
      </c>
      <c r="BH71" s="41">
        <f>'[2]побудинковий звіт'!BH71+'[1]побудинковий звіт'!BH71</f>
        <v>217.78439611517194</v>
      </c>
      <c r="BI71" s="41">
        <f>'[2]побудинковий звіт'!BI71+'[1]побудинковий звіт'!BI71</f>
        <v>0</v>
      </c>
      <c r="BJ71" s="58">
        <f t="shared" si="24"/>
        <v>-217.78439611517194</v>
      </c>
      <c r="BK71" s="41">
        <f>'[2]побудинковий звіт'!BK71+'[1]побудинковий звіт'!BK71</f>
        <v>677.43827015095701</v>
      </c>
      <c r="BL71" s="41">
        <f>'[2]побудинковий звіт'!BL71+'[1]побудинковий звіт'!BL71</f>
        <v>0</v>
      </c>
      <c r="BM71" s="38">
        <f t="shared" si="25"/>
        <v>-677.43827015095701</v>
      </c>
      <c r="BN71" s="41">
        <f>'[2]побудинковий звіт'!BN71+'[1]побудинковий звіт'!BN71</f>
        <v>75.290084735242345</v>
      </c>
      <c r="BO71" s="41">
        <f>'[2]побудинковий звіт'!BO71+'[1]побудинковий звіт'!BO71</f>
        <v>0</v>
      </c>
      <c r="BP71" s="58">
        <f t="shared" si="26"/>
        <v>-75.290084735242345</v>
      </c>
      <c r="BQ71" s="84">
        <f t="shared" si="27"/>
        <v>3753.3340680148963</v>
      </c>
      <c r="BR71" s="42">
        <f t="shared" si="28"/>
        <v>390.29985691784998</v>
      </c>
      <c r="BS71" s="58">
        <f t="shared" si="29"/>
        <v>-3363.0342110970464</v>
      </c>
      <c r="BT71" s="41">
        <f>'[2]побудинковий звіт'!BT71+'[1]побудинковий звіт'!BT71</f>
        <v>13755.266526987691</v>
      </c>
      <c r="BU71" s="41">
        <f>'[2]побудинковий звіт'!BU71+'[1]побудинковий звіт'!BU71</f>
        <v>18577.809432784754</v>
      </c>
      <c r="BV71" s="55">
        <f t="shared" si="30"/>
        <v>4822.5429057970632</v>
      </c>
      <c r="BW71" s="41">
        <f>'[2]побудинковий звіт'!BW71+'[1]побудинковий звіт'!BW71</f>
        <v>41582.193185421325</v>
      </c>
      <c r="BX71" s="41">
        <f>'[2]побудинковий звіт'!BX71+'[1]побудинковий звіт'!BX71</f>
        <v>25103.740334152077</v>
      </c>
      <c r="BY71" s="55">
        <f t="shared" si="31"/>
        <v>-16478.452851269249</v>
      </c>
      <c r="BZ71" s="41">
        <f>'[2]побудинковий звіт'!BZ71+'[1]побудинковий звіт'!BZ71</f>
        <v>6249.2212703090863</v>
      </c>
      <c r="CA71" s="41">
        <f>'[2]побудинковий звіт'!CA71+'[1]побудинковий звіт'!CA71</f>
        <v>1547.5929392805874</v>
      </c>
      <c r="CB71" s="55">
        <f t="shared" si="32"/>
        <v>-4701.6283310284989</v>
      </c>
      <c r="CC71" s="41">
        <f>'[2]побудинковий звіт'!CC71+'[1]побудинковий звіт'!CC71</f>
        <v>1233.3340067735226</v>
      </c>
      <c r="CD71" s="41">
        <f>'[2]побудинковий звіт'!CD71+'[1]побудинковий звіт'!CD71</f>
        <v>1237.5161048198904</v>
      </c>
      <c r="CE71" s="55">
        <f t="shared" si="33"/>
        <v>4.1820980463678552</v>
      </c>
      <c r="CF71" s="41">
        <f>'[2]побудинковий звіт'!CF71+'[1]побудинковий звіт'!CF71</f>
        <v>152.80352804059166</v>
      </c>
      <c r="CG71" s="41">
        <f>'[2]побудинковий звіт'!CG71+'[1]побудинковий звіт'!CG71</f>
        <v>0</v>
      </c>
      <c r="CH71" s="55">
        <f t="shared" si="34"/>
        <v>-152.80352804059166</v>
      </c>
      <c r="CI71" s="41">
        <f>'[2]побудинковий звіт'!CI71+'[1]побудинковий звіт'!CI71</f>
        <v>854.02129088158881</v>
      </c>
      <c r="CJ71" s="41">
        <f>'[2]побудинковий звіт'!CJ71+'[1]побудинковий звіт'!CJ71</f>
        <v>1927.857267923247</v>
      </c>
      <c r="CK71" s="55">
        <f t="shared" si="35"/>
        <v>1073.8359770416582</v>
      </c>
      <c r="CL71" s="41">
        <f>'[2]побудинковий звіт'!CL71+'[1]побудинковий звіт'!CL71</f>
        <v>7114.1194641077309</v>
      </c>
      <c r="CM71" s="41">
        <f>'[2]побудинковий звіт'!CM71+'[1]побудинковий звіт'!CM71</f>
        <v>16593.720637240873</v>
      </c>
      <c r="CN71" s="55">
        <f t="shared" si="36"/>
        <v>9479.6011731331419</v>
      </c>
      <c r="CO71" s="41">
        <f t="shared" si="37"/>
        <v>7968.1407549893192</v>
      </c>
      <c r="CP71" s="42">
        <f t="shared" si="38"/>
        <v>18521.577905164118</v>
      </c>
      <c r="CQ71" s="55">
        <f t="shared" si="39"/>
        <v>10553.437150174799</v>
      </c>
      <c r="CR71" s="76">
        <f t="shared" si="40"/>
        <v>287262.7206744838</v>
      </c>
      <c r="CS71" s="5">
        <f t="shared" si="41"/>
        <v>199996.74381157238</v>
      </c>
      <c r="CT71" s="55">
        <f t="shared" si="42"/>
        <v>-87265.976862911426</v>
      </c>
      <c r="CU71" s="84">
        <f t="shared" si="43"/>
        <v>344715.26480938058</v>
      </c>
      <c r="CV71" s="68">
        <f t="shared" si="44"/>
        <v>239996.09257388685</v>
      </c>
      <c r="CW71" s="36">
        <f t="shared" si="45"/>
        <v>-104719.17223549372</v>
      </c>
      <c r="CX71" s="41">
        <f>'[2]побудинковий звіт'!CX71+'[1]побудинковий звіт'!CX71</f>
        <v>6222.6485821199258</v>
      </c>
      <c r="CY71" s="41">
        <f>'[2]побудинковий звіт'!CY71+'[1]побудинковий звіт'!CY71</f>
        <v>110941.82081761365</v>
      </c>
      <c r="CZ71" s="55">
        <f t="shared" si="46"/>
        <v>104719.17223549372</v>
      </c>
      <c r="DA71" s="254">
        <f>'[1]побудинковий звіт'!DA71</f>
        <v>-120044.28545678874</v>
      </c>
      <c r="DB71" s="2">
        <v>3</v>
      </c>
      <c r="DC71" s="702">
        <f>'[1]побудинковий звіт'!DC71</f>
        <v>64718.26</v>
      </c>
      <c r="DD71" s="702">
        <f>'[1]побудинковий звіт'!DD71</f>
        <v>0</v>
      </c>
      <c r="DE71" s="702">
        <f>'[1]побудинковий звіт'!DE71</f>
        <v>26347.620000000003</v>
      </c>
      <c r="DF71" s="702">
        <f>'[1]побудинковий звіт'!DF71</f>
        <v>0</v>
      </c>
      <c r="DG71" s="772">
        <v>-21142.909870603005</v>
      </c>
      <c r="DH71" s="746">
        <f t="shared" si="47"/>
        <v>4211254.9606980057</v>
      </c>
      <c r="DI71" s="769"/>
      <c r="DJ71" s="5"/>
      <c r="DK71" s="307">
        <f>VLOOKUP($A71,ціни!$A$4:$G$401,5)</f>
        <v>5.5021858027701382</v>
      </c>
      <c r="DL71" s="307">
        <f>VLOOKUP($A71,ціни!$A$4:$G$401,6)</f>
        <v>7.3450029807116461</v>
      </c>
      <c r="DM71" s="307">
        <f>VLOOKUP($A71,ціни!$A$4:$G$401,7)</f>
        <v>4.2929902431640103</v>
      </c>
      <c r="DN71" s="29">
        <f>DK71*G71+(F71-G71)*DL71</f>
        <v>27528.191967461818</v>
      </c>
      <c r="DO71" s="29">
        <f>DM71*H71</f>
        <v>0</v>
      </c>
      <c r="DP71" s="306">
        <f t="shared" si="48"/>
        <v>27528.191967461818</v>
      </c>
      <c r="DQ71" s="101"/>
      <c r="DR71" s="29">
        <f>VLOOKUP(A71,'ДЗ нас '!$A$1:$C$359,2)</f>
        <v>27528.01</v>
      </c>
      <c r="DS71" s="733"/>
      <c r="DT71" s="29">
        <f t="shared" si="49"/>
        <v>27528.01</v>
      </c>
      <c r="DU71" s="247">
        <f>VLOOKUP(A71,'новий кошторис с 01.06'!$A$4:$AI$399,35)*1.2</f>
        <v>27582.70323868452</v>
      </c>
      <c r="DV71" s="29">
        <f t="shared" si="50"/>
        <v>-54.69323868452193</v>
      </c>
      <c r="DW71" s="1016">
        <f>'[2]побудинковий звіт'!$DW$9+'[1]побудинковий звіт'!DW71</f>
        <v>756</v>
      </c>
      <c r="DX71" s="101">
        <f>'[1]побудинковий звіт'!DX71</f>
        <v>0</v>
      </c>
      <c r="DY71" s="5">
        <f t="shared" si="51"/>
        <v>128252.49723142156</v>
      </c>
      <c r="DZ71" s="5">
        <f t="shared" si="52"/>
        <v>30388.695706541173</v>
      </c>
      <c r="EA71" s="737">
        <f t="shared" si="53"/>
        <v>26347.620000000003</v>
      </c>
      <c r="EC71" s="577">
        <f t="shared" si="54"/>
        <v>1237484.9634980368</v>
      </c>
      <c r="EE71" s="743">
        <v>25832</v>
      </c>
      <c r="EF71" s="723">
        <f t="shared" si="55"/>
        <v>4689.0901293969946</v>
      </c>
      <c r="EH71" s="798">
        <v>-44332.988492224846</v>
      </c>
      <c r="EI71" s="101">
        <f>VLOOKUP(A71,'кошти 01.01.24'!$A$9:$D$352,4,FALSE)</f>
        <v>-15325.113221295005</v>
      </c>
    </row>
    <row r="72" spans="1:139" ht="14.4" hidden="1" customHeight="1" x14ac:dyDescent="0.3">
      <c r="A72" s="318">
        <v>150000984</v>
      </c>
      <c r="B72" s="43" t="s">
        <v>492</v>
      </c>
      <c r="C72" s="44" t="s">
        <v>345</v>
      </c>
      <c r="D72" s="44" t="s">
        <v>345</v>
      </c>
      <c r="E72" s="39">
        <f t="shared" si="4"/>
        <v>9797.7000000000007</v>
      </c>
      <c r="F72" s="205">
        <f>'[1]побудинковий звіт'!F72</f>
        <v>9797.7000000000007</v>
      </c>
      <c r="G72" s="29">
        <f>'[1]побудинковий звіт'!G72</f>
        <v>1089.02</v>
      </c>
      <c r="H72" s="148">
        <f>'[1]побудинковий звіт'!H72</f>
        <v>0</v>
      </c>
      <c r="I72" s="41">
        <f>'[2]побудинковий звіт'!I72+'[1]побудинковий звіт'!I72</f>
        <v>27247.415762210268</v>
      </c>
      <c r="J72" s="41">
        <f>'[2]побудинковий звіт'!J72+'[1]побудинковий звіт'!J72</f>
        <v>28510.717762228462</v>
      </c>
      <c r="K72" s="55">
        <f t="shared" si="5"/>
        <v>1263.3020000181932</v>
      </c>
      <c r="L72" s="41">
        <f>'[2]побудинковий звіт'!L72+'[1]побудинковий звіт'!L72</f>
        <v>4412.1915375145491</v>
      </c>
      <c r="M72" s="41">
        <f>'[2]побудинковий звіт'!M72+'[1]побудинковий звіт'!M72</f>
        <v>4803.2962932901773</v>
      </c>
      <c r="N72" s="55">
        <f t="shared" si="6"/>
        <v>391.10475577562829</v>
      </c>
      <c r="O72" s="41">
        <f>'[2]побудинковий звіт'!O72+'[1]побудинковий звіт'!O72</f>
        <v>13235.333002524809</v>
      </c>
      <c r="P72" s="41">
        <f>'[2]побудинковий звіт'!P72+'[1]побудинковий звіт'!P72</f>
        <v>13270.777897394537</v>
      </c>
      <c r="Q72" s="55">
        <f t="shared" si="7"/>
        <v>35.444894869728159</v>
      </c>
      <c r="R72" s="41">
        <f>'[2]побудинковий звіт'!R72+'[1]побудинковий звіт'!R72</f>
        <v>3130.7748542812978</v>
      </c>
      <c r="S72" s="41">
        <f>'[2]побудинковий звіт'!S72+'[1]побудинковий звіт'!S72</f>
        <v>3136.7735308224178</v>
      </c>
      <c r="T72" s="55">
        <f t="shared" si="8"/>
        <v>5.9986765411199485</v>
      </c>
      <c r="U72" s="41">
        <f>'[2]побудинковий звіт'!U72+'[1]побудинковий звіт'!U72</f>
        <v>1200.1128538399516</v>
      </c>
      <c r="V72" s="41">
        <f>'[2]побудинковий звіт'!V72+'[1]побудинковий звіт'!V72</f>
        <v>829.88440010139789</v>
      </c>
      <c r="W72" s="55">
        <f t="shared" si="9"/>
        <v>-370.22845373855375</v>
      </c>
      <c r="X72" s="41">
        <f>'[2]побудинковий звіт'!X72+'[1]побудинковий звіт'!X72</f>
        <v>16761.364535255692</v>
      </c>
      <c r="Y72" s="41">
        <f>'[2]побудинковий звіт'!Y72+'[1]побудинковий звіт'!Y72</f>
        <v>17028.940233848985</v>
      </c>
      <c r="Z72" s="55">
        <f t="shared" si="10"/>
        <v>267.57569859329305</v>
      </c>
      <c r="AA72" s="41">
        <f>'[2]побудинковий звіт'!AA72+'[1]побудинковий звіт'!AA72</f>
        <v>0</v>
      </c>
      <c r="AB72" s="41">
        <f>'[2]побудинковий звіт'!AB72+'[1]побудинковий звіт'!AB72</f>
        <v>0</v>
      </c>
      <c r="AC72" s="55">
        <f t="shared" si="11"/>
        <v>0</v>
      </c>
      <c r="AD72" s="41">
        <f>'[2]побудинковий звіт'!AD72+'[1]побудинковий звіт'!AD72</f>
        <v>42463.437918339681</v>
      </c>
      <c r="AE72" s="41">
        <f>'[2]побудинковий звіт'!AE72+'[1]побудинковий звіт'!AE72</f>
        <v>42299.510604648938</v>
      </c>
      <c r="AF72" s="36">
        <f t="shared" si="12"/>
        <v>-163.92731369074318</v>
      </c>
      <c r="AG72" s="84">
        <f t="shared" si="13"/>
        <v>108450.63046396626</v>
      </c>
      <c r="AH72" s="56">
        <f t="shared" si="14"/>
        <v>109879.90072233492</v>
      </c>
      <c r="AI72" s="55">
        <f t="shared" si="15"/>
        <v>1429.2702583686623</v>
      </c>
      <c r="AJ72" s="41">
        <f>'[2]побудинковий звіт'!AJ72+'[1]побудинковий звіт'!AJ72</f>
        <v>55505.566150268969</v>
      </c>
      <c r="AK72" s="41">
        <f>'[2]побудинковий звіт'!AK72+'[1]побудинковий звіт'!AK72</f>
        <v>55579.392702110119</v>
      </c>
      <c r="AL72" s="55">
        <f t="shared" si="16"/>
        <v>73.826551841149922</v>
      </c>
      <c r="AM72" s="41">
        <f>'[2]побудинковий звіт'!AM72+'[1]побудинковий звіт'!AM72</f>
        <v>908.80628444281319</v>
      </c>
      <c r="AN72" s="41">
        <f>'[2]побудинковий звіт'!AN72+'[1]побудинковий звіт'!AN72</f>
        <v>4077.714841086914</v>
      </c>
      <c r="AO72" s="55">
        <f t="shared" si="17"/>
        <v>3168.9085566441008</v>
      </c>
      <c r="AP72" s="41">
        <f>'[2]побудинковий звіт'!AP72+'[1]побудинковий звіт'!AP72</f>
        <v>7974.3134403868917</v>
      </c>
      <c r="AQ72" s="41">
        <f>'[2]побудинковий звіт'!AQ72+'[1]побудинковий звіт'!AQ72</f>
        <v>7360.788436863043</v>
      </c>
      <c r="AR72" s="55">
        <f t="shared" si="18"/>
        <v>-613.52500352384868</v>
      </c>
      <c r="AS72" s="41">
        <f>'[2]побудинковий звіт'!AS72+'[1]побудинковий звіт'!AS72</f>
        <v>232452.08405456739</v>
      </c>
      <c r="AT72" s="41">
        <f>'[2]побудинковий звіт'!AT72+'[1]побудинковий звіт'!AT72</f>
        <v>171562.4200753808</v>
      </c>
      <c r="AU72" s="57">
        <f t="shared" si="19"/>
        <v>-60889.663979186589</v>
      </c>
      <c r="AV72" s="41">
        <f>'[2]побудинковий звіт'!AV72+'[1]побудинковий звіт'!AV72</f>
        <v>2791.6309716536498</v>
      </c>
      <c r="AW72" s="41">
        <f>'[2]побудинковий звіт'!AW72+'[1]побудинковий звіт'!AW72</f>
        <v>1606.1249901208598</v>
      </c>
      <c r="AX72" s="58">
        <f t="shared" si="20"/>
        <v>-1185.50598153279</v>
      </c>
      <c r="AY72" s="41">
        <f>'[2]побудинковий звіт'!AY72+'[1]побудинковий звіт'!AY72</f>
        <v>3150.3491102086309</v>
      </c>
      <c r="AZ72" s="41">
        <f>'[2]побудинковий звіт'!AZ72+'[1]побудинковий звіт'!AZ72</f>
        <v>0</v>
      </c>
      <c r="BA72" s="36">
        <f t="shared" si="21"/>
        <v>-3150.3491102086309</v>
      </c>
      <c r="BB72" s="41">
        <f>'[2]побудинковий звіт'!BB72+'[1]побудинковий звіт'!BB72</f>
        <v>5486.0040123631406</v>
      </c>
      <c r="BC72" s="41">
        <f>'[2]побудинковий звіт'!BC72+'[1]побудинковий звіт'!BC72</f>
        <v>790.158006</v>
      </c>
      <c r="BD72" s="58">
        <f t="shared" si="22"/>
        <v>-4695.846006363141</v>
      </c>
      <c r="BE72" s="41">
        <f>'[2]побудинковий звіт'!BE72+'[1]побудинковий звіт'!BE72</f>
        <v>1497.8929979699255</v>
      </c>
      <c r="BF72" s="41">
        <f>'[2]побудинковий звіт'!BF72+'[1]побудинковий звіт'!BF72</f>
        <v>1148</v>
      </c>
      <c r="BG72" s="38">
        <f t="shared" si="23"/>
        <v>-349.89299796992555</v>
      </c>
      <c r="BH72" s="41">
        <f>'[2]побудинковий звіт'!BH72+'[1]побудинковий звіт'!BH72</f>
        <v>626.47020241228165</v>
      </c>
      <c r="BI72" s="41">
        <f>'[2]побудинковий звіт'!BI72+'[1]побудинковий звіт'!BI72</f>
        <v>0</v>
      </c>
      <c r="BJ72" s="58">
        <f t="shared" si="24"/>
        <v>-626.47020241228165</v>
      </c>
      <c r="BK72" s="41">
        <f>'[2]побудинковий звіт'!BK72+'[1]побудинковий звіт'!BK72</f>
        <v>2420.5090058344013</v>
      </c>
      <c r="BL72" s="41">
        <f>'[2]побудинковий звіт'!BL72+'[1]побудинковий звіт'!BL72</f>
        <v>7579.4949772765867</v>
      </c>
      <c r="BM72" s="38">
        <f t="shared" si="25"/>
        <v>5158.9859714421855</v>
      </c>
      <c r="BN72" s="41">
        <f>'[2]побудинковий звіт'!BN72+'[1]побудинковий звіт'!BN72</f>
        <v>131.75764828667408</v>
      </c>
      <c r="BO72" s="41">
        <f>'[2]побудинковий звіт'!BO72+'[1]побудинковий звіт'!BO72</f>
        <v>18412.818962083449</v>
      </c>
      <c r="BP72" s="58">
        <f t="shared" si="26"/>
        <v>18281.061313796774</v>
      </c>
      <c r="BQ72" s="84">
        <f t="shared" si="27"/>
        <v>16104.613948728704</v>
      </c>
      <c r="BR72" s="42">
        <f t="shared" si="28"/>
        <v>29536.596935480895</v>
      </c>
      <c r="BS72" s="58">
        <f t="shared" si="29"/>
        <v>13431.982986752191</v>
      </c>
      <c r="BT72" s="41">
        <f>'[2]побудинковий звіт'!BT72+'[1]побудинковий звіт'!BT72</f>
        <v>63897.491619056585</v>
      </c>
      <c r="BU72" s="41">
        <f>'[2]побудинковий звіт'!BU72+'[1]побудинковий звіт'!BU72</f>
        <v>92125.287546217776</v>
      </c>
      <c r="BV72" s="55">
        <f t="shared" si="30"/>
        <v>28227.795927161191</v>
      </c>
      <c r="BW72" s="41">
        <f>'[2]побудинковий звіт'!BW72+'[1]побудинковий звіт'!BW72</f>
        <v>64406.990426615324</v>
      </c>
      <c r="BX72" s="41">
        <f>'[2]побудинковий звіт'!BX72+'[1]побудинковий звіт'!BX72</f>
        <v>77532.640890428622</v>
      </c>
      <c r="BY72" s="55">
        <f t="shared" si="31"/>
        <v>13125.650463813297</v>
      </c>
      <c r="BZ72" s="41">
        <f>'[2]побудинковий звіт'!BZ72+'[1]побудинковий звіт'!BZ72</f>
        <v>12024.38491194054</v>
      </c>
      <c r="CA72" s="41">
        <f>'[2]побудинковий звіт'!CA72+'[1]побудинковий звіт'!CA72</f>
        <v>8555.5287654491713</v>
      </c>
      <c r="CB72" s="55">
        <f t="shared" si="32"/>
        <v>-3468.8561464913691</v>
      </c>
      <c r="CC72" s="41">
        <f>'[2]побудинковий звіт'!CC72+'[1]побудинковий звіт'!CC72</f>
        <v>2415.4597657292879</v>
      </c>
      <c r="CD72" s="41">
        <f>'[2]побудинковий звіт'!CD72+'[1]побудинковий звіт'!CD72</f>
        <v>2423.6503203656303</v>
      </c>
      <c r="CE72" s="55">
        <f t="shared" si="33"/>
        <v>8.1905546363423127</v>
      </c>
      <c r="CF72" s="41">
        <f>'[2]побудинковий звіт'!CF72+'[1]побудинковий звіт'!CF72</f>
        <v>299.26262635788373</v>
      </c>
      <c r="CG72" s="41">
        <f>'[2]побудинковий звіт'!CG72+'[1]побудинковий звіт'!CG72</f>
        <v>0</v>
      </c>
      <c r="CH72" s="55">
        <f t="shared" si="34"/>
        <v>-299.26262635788373</v>
      </c>
      <c r="CI72" s="41">
        <f>'[2]побудинковий звіт'!CI72+'[1]побудинковий звіт'!CI72</f>
        <v>47098.053917671772</v>
      </c>
      <c r="CJ72" s="41">
        <f>'[2]побудинковий звіт'!CJ72+'[1]побудинковий звіт'!CJ72</f>
        <v>44845.696496658784</v>
      </c>
      <c r="CK72" s="55">
        <f t="shared" si="35"/>
        <v>-2252.3574210129882</v>
      </c>
      <c r="CL72" s="41">
        <f>'[2]побудинковий звіт'!CL72+'[1]побудинковий звіт'!CL72</f>
        <v>25333.839744318651</v>
      </c>
      <c r="CM72" s="41">
        <f>'[2]побудинковий звіт'!CM72+'[1]побудинковий звіт'!CM72</f>
        <v>40133.028461408365</v>
      </c>
      <c r="CN72" s="55">
        <f t="shared" si="36"/>
        <v>14799.188717089713</v>
      </c>
      <c r="CO72" s="41">
        <f t="shared" si="37"/>
        <v>72431.893661990427</v>
      </c>
      <c r="CP72" s="42">
        <f t="shared" si="38"/>
        <v>84978.724958067149</v>
      </c>
      <c r="CQ72" s="55">
        <f t="shared" si="39"/>
        <v>12546.831296076722</v>
      </c>
      <c r="CR72" s="76">
        <f t="shared" si="40"/>
        <v>636871.4973540511</v>
      </c>
      <c r="CS72" s="5">
        <f t="shared" si="41"/>
        <v>643612.64619378513</v>
      </c>
      <c r="CT72" s="55">
        <f t="shared" si="42"/>
        <v>6741.148839734029</v>
      </c>
      <c r="CU72" s="84">
        <f t="shared" si="43"/>
        <v>764245.79682486132</v>
      </c>
      <c r="CV72" s="68">
        <f t="shared" si="44"/>
        <v>772335.17543254211</v>
      </c>
      <c r="CW72" s="36">
        <f t="shared" si="45"/>
        <v>8089.3786076807883</v>
      </c>
      <c r="CX72" s="41">
        <f>'[2]побудинковий звіт'!CX72+'[1]побудинковий звіт'!CX72</f>
        <v>23514.623832604477</v>
      </c>
      <c r="CY72" s="41">
        <f>'[2]побудинковий звіт'!CY72+'[1]побудинковий звіт'!CY72</f>
        <v>15425.24522492371</v>
      </c>
      <c r="CZ72" s="55">
        <f t="shared" si="46"/>
        <v>-8089.3786076807664</v>
      </c>
      <c r="DA72" s="254">
        <f>'[1]побудинковий звіт'!DA72</f>
        <v>-189407.53400043875</v>
      </c>
      <c r="DB72" s="2">
        <v>3</v>
      </c>
      <c r="DC72" s="702">
        <f>'[1]побудинковий звіт'!DC72</f>
        <v>141955.9</v>
      </c>
      <c r="DD72" s="702">
        <f>'[1]побудинковий звіт'!DD72</f>
        <v>0</v>
      </c>
      <c r="DE72" s="702">
        <f>'[1]побудинковий звіт'!DE72</f>
        <v>55726.119999999995</v>
      </c>
      <c r="DF72" s="702">
        <f>'[1]побудинковий звіт'!DF72</f>
        <v>0</v>
      </c>
      <c r="DG72" s="772">
        <v>-185554.78497965727</v>
      </c>
      <c r="DH72" s="746">
        <f t="shared" si="47"/>
        <v>9453125.0478895903</v>
      </c>
      <c r="DI72" s="769"/>
      <c r="DJ72" s="5"/>
      <c r="DK72" s="307">
        <f>VLOOKUP($A72,ціни!$A$4:$G$401,5)</f>
        <v>5.5224091950364445</v>
      </c>
      <c r="DL72" s="307">
        <f>VLOOKUP($A72,ціни!$A$4:$G$401,6)</f>
        <v>6.4042584908005491</v>
      </c>
      <c r="DM72" s="307">
        <f>VLOOKUP($A72,ціни!$A$4:$G$401,7)</f>
        <v>4.7781747592983397</v>
      </c>
      <c r="DN72" s="29">
        <f>DK72*G72+(F72-G72)*DL72</f>
        <v>61786.651895243514</v>
      </c>
      <c r="DO72" s="29">
        <f>DM72*H72</f>
        <v>0</v>
      </c>
      <c r="DP72" s="306">
        <f t="shared" si="48"/>
        <v>61786.651895243514</v>
      </c>
      <c r="DQ72" s="101"/>
      <c r="DR72" s="29">
        <f>VLOOKUP(A72,'ДЗ нас '!$A$1:$C$359,2)</f>
        <v>61783</v>
      </c>
      <c r="DS72" s="733"/>
      <c r="DT72" s="29">
        <f t="shared" si="49"/>
        <v>61783</v>
      </c>
      <c r="DU72" s="247">
        <f>VLOOKUP(A72,'новий кошторис с 01.06'!$A$4:$AI$399,35)*1.2</f>
        <v>62030.388128137478</v>
      </c>
      <c r="DV72" s="29">
        <f t="shared" si="50"/>
        <v>-247.38812813747791</v>
      </c>
      <c r="DW72" s="1016">
        <f>'[2]побудинковий звіт'!$DW$9+'[1]побудинковий звіт'!DW72</f>
        <v>1215</v>
      </c>
      <c r="DX72" s="101">
        <f>'[1]побудинковий звіт'!DX72</f>
        <v>0</v>
      </c>
      <c r="DY72" s="5">
        <f t="shared" si="51"/>
        <v>298268.03760395531</v>
      </c>
      <c r="DZ72" s="5">
        <f t="shared" si="52"/>
        <v>241318.820413034</v>
      </c>
      <c r="EA72" s="737">
        <f t="shared" si="53"/>
        <v>55726.119999999995</v>
      </c>
      <c r="EC72" s="577">
        <f t="shared" si="54"/>
        <v>2789425.0086548086</v>
      </c>
      <c r="EE72" s="743">
        <v>132271</v>
      </c>
      <c r="EF72" s="723">
        <f t="shared" si="55"/>
        <v>-53283.78497965727</v>
      </c>
      <c r="EH72" s="798">
        <v>-283436.91141545726</v>
      </c>
      <c r="EI72" s="101">
        <f>VLOOKUP(A72,'кошти 01.01.24'!$A$9:$D$352,4,FALSE)</f>
        <v>-197496.91260811954</v>
      </c>
    </row>
    <row r="73" spans="1:139" hidden="1" x14ac:dyDescent="0.3">
      <c r="A73" s="318">
        <v>150000986</v>
      </c>
      <c r="B73" s="43" t="s">
        <v>493</v>
      </c>
      <c r="C73" s="44" t="s">
        <v>346</v>
      </c>
      <c r="D73" s="44" t="s">
        <v>346</v>
      </c>
      <c r="E73" s="39">
        <f t="shared" ref="E73:E136" si="64">F73+H73</f>
        <v>6582.6</v>
      </c>
      <c r="F73" s="205">
        <f>'[1]побудинковий звіт'!F73</f>
        <v>6582.6</v>
      </c>
      <c r="G73" s="29">
        <f>'[1]побудинковий звіт'!G73</f>
        <v>729.6</v>
      </c>
      <c r="H73" s="148">
        <f>'[1]побудинковий звіт'!H73</f>
        <v>0</v>
      </c>
      <c r="I73" s="41">
        <f>'[2]побудинковий звіт'!I73+'[1]побудинковий звіт'!I73</f>
        <v>18000.158302894655</v>
      </c>
      <c r="J73" s="41">
        <f>'[2]побудинковий звіт'!J73+'[1]побудинковий звіт'!J73</f>
        <v>18858.251774250384</v>
      </c>
      <c r="K73" s="55">
        <f t="shared" ref="K73:K136" si="65">J73-I73</f>
        <v>858.09347135572898</v>
      </c>
      <c r="L73" s="41">
        <f>'[2]побудинковий звіт'!L73+'[1]побудинковий звіт'!L73</f>
        <v>2950.3438770591565</v>
      </c>
      <c r="M73" s="41">
        <f>'[2]побудинковий звіт'!M73+'[1]побудинковий звіт'!M73</f>
        <v>3219.6856380028803</v>
      </c>
      <c r="N73" s="55">
        <f t="shared" ref="N73:N136" si="66">M73-L73</f>
        <v>269.34176094372378</v>
      </c>
      <c r="O73" s="41">
        <f>'[2]побудинковий звіт'!O73+'[1]побудинковий звіт'!O73</f>
        <v>8956.9012430586045</v>
      </c>
      <c r="P73" s="41">
        <f>'[2]побудинковий звіт'!P73+'[1]побудинковий звіт'!P73</f>
        <v>8983.2181505880035</v>
      </c>
      <c r="Q73" s="55">
        <f t="shared" ref="Q73:Q136" si="67">P73-O73</f>
        <v>26.316907529399032</v>
      </c>
      <c r="R73" s="41">
        <f>'[2]побудинковий звіт'!R73+'[1]побудинковий звіт'!R73</f>
        <v>2109.249175072151</v>
      </c>
      <c r="S73" s="41">
        <f>'[2]побудинковий звіт'!S73+'[1]побудинковий звіт'!S73</f>
        <v>2115.0149211285802</v>
      </c>
      <c r="T73" s="55">
        <f t="shared" ref="T73:T136" si="68">S73-R73</f>
        <v>5.7657460564291796</v>
      </c>
      <c r="U73" s="41">
        <f>'[2]побудинковий звіт'!U73+'[1]побудинковий звіт'!U73</f>
        <v>799.99352559665294</v>
      </c>
      <c r="V73" s="41">
        <f>'[2]побудинковий звіт'!V73+'[1]побудинковий звіт'!V73</f>
        <v>731.79163700436789</v>
      </c>
      <c r="W73" s="55">
        <f t="shared" ref="W73:W136" si="69">V73-U73</f>
        <v>-68.201888592285059</v>
      </c>
      <c r="X73" s="41">
        <f>'[2]побудинковий звіт'!X73+'[1]побудинковий звіт'!X73</f>
        <v>10275.26085756003</v>
      </c>
      <c r="Y73" s="41">
        <f>'[2]побудинковий звіт'!Y73+'[1]побудинковий звіт'!Y73</f>
        <v>16491.877777818168</v>
      </c>
      <c r="Z73" s="55">
        <f t="shared" ref="Z73:Z136" si="70">Y73-X73</f>
        <v>6216.6169202581386</v>
      </c>
      <c r="AA73" s="41">
        <f>'[2]побудинковий звіт'!AA73+'[1]побудинковий звіт'!AA73</f>
        <v>0</v>
      </c>
      <c r="AB73" s="41">
        <f>'[2]побудинковий звіт'!AB73+'[1]побудинковий звіт'!AB73</f>
        <v>0</v>
      </c>
      <c r="AC73" s="55">
        <f t="shared" ref="AC73:AC136" si="71">AB73-AA73</f>
        <v>0</v>
      </c>
      <c r="AD73" s="41">
        <f>'[2]побудинковий звіт'!AD73+'[1]побудинковий звіт'!AD73</f>
        <v>28548.271873325306</v>
      </c>
      <c r="AE73" s="41">
        <f>'[2]побудинковий звіт'!AE73+'[1]побудинковий звіт'!AE73</f>
        <v>28437.335588239683</v>
      </c>
      <c r="AF73" s="36">
        <f t="shared" ref="AF73:AF136" si="72">AE73-AD73</f>
        <v>-110.93628508562324</v>
      </c>
      <c r="AG73" s="84">
        <f t="shared" ref="AG73:AG136" si="73">I73+L73+O73+R73+U73+X73+AA73+AD73</f>
        <v>71640.178854566562</v>
      </c>
      <c r="AH73" s="56">
        <f t="shared" ref="AH73:AH136" si="74">J73+M73+P73+S73+V73+Y73+AB73+AE73</f>
        <v>78837.175487032073</v>
      </c>
      <c r="AI73" s="55">
        <f t="shared" ref="AI73:AI136" si="75">AH73-AG73</f>
        <v>7196.9966324655106</v>
      </c>
      <c r="AJ73" s="41">
        <f>'[2]побудинковий звіт'!AJ73+'[1]побудинковий звіт'!AJ73</f>
        <v>29562.296540326392</v>
      </c>
      <c r="AK73" s="41">
        <f>'[2]побудинковий звіт'!AK73+'[1]побудинковий звіт'!AK73</f>
        <v>28212.909365368952</v>
      </c>
      <c r="AL73" s="55">
        <f t="shared" ref="AL73:AL136" si="76">AK73-AJ73</f>
        <v>-1349.3871749574391</v>
      </c>
      <c r="AM73" s="41">
        <f>'[2]побудинковий звіт'!AM73+'[1]побудинковий звіт'!AM73</f>
        <v>605.85684545284585</v>
      </c>
      <c r="AN73" s="41">
        <f>'[2]побудинковий звіт'!AN73+'[1]побудинковий звіт'!AN73</f>
        <v>2890.8138777570598</v>
      </c>
      <c r="AO73" s="55">
        <f t="shared" ref="AO73:AO136" si="77">AN73-AM73</f>
        <v>2284.957032304214</v>
      </c>
      <c r="AP73" s="41">
        <f>'[2]побудинковий звіт'!AP73+'[1]побудинковий звіт'!AP73</f>
        <v>5349.2288916881016</v>
      </c>
      <c r="AQ73" s="41">
        <f>'[2]побудинковий звіт'!AQ73+'[1]побудинковий звіт'!AQ73</f>
        <v>6082.2069146757149</v>
      </c>
      <c r="AR73" s="55">
        <f t="shared" ref="AR73:AR136" si="78">AQ73-AP73</f>
        <v>732.97802298761326</v>
      </c>
      <c r="AS73" s="41">
        <f>'[2]побудинковий звіт'!AS73+'[1]побудинковий звіт'!AS73</f>
        <v>165152.17224375604</v>
      </c>
      <c r="AT73" s="41">
        <f>'[2]побудинковий звіт'!AT73+'[1]побудинковий звіт'!AT73</f>
        <v>96540.079919554468</v>
      </c>
      <c r="AU73" s="57">
        <f t="shared" ref="AU73:AU136" si="79">AT73-AS73</f>
        <v>-68612.092324201571</v>
      </c>
      <c r="AV73" s="41">
        <f>'[2]побудинковий звіт'!AV73+'[1]побудинковий звіт'!AV73</f>
        <v>1824.2996265627455</v>
      </c>
      <c r="AW73" s="41">
        <f>'[2]побудинковий звіт'!AW73+'[1]побудинковий звіт'!AW73</f>
        <v>1129.1021187651984</v>
      </c>
      <c r="AX73" s="58">
        <f t="shared" ref="AX73:AX136" si="80">AW73-AV73</f>
        <v>-695.19750779754713</v>
      </c>
      <c r="AY73" s="41">
        <f>'[2]побудинковий звіт'!AY73+'[1]побудинковий звіт'!AY73</f>
        <v>2102.4548615407862</v>
      </c>
      <c r="AZ73" s="41">
        <f>'[2]побудинковий звіт'!AZ73+'[1]побудинковий звіт'!AZ73</f>
        <v>2343.503577452595</v>
      </c>
      <c r="BA73" s="36">
        <f t="shared" ref="BA73:BA136" si="81">AZ73-AY73</f>
        <v>241.04871591180881</v>
      </c>
      <c r="BB73" s="41">
        <f>'[2]побудинковий звіт'!BB73+'[1]побудинковий звіт'!BB73</f>
        <v>3516.139250574045</v>
      </c>
      <c r="BC73" s="41">
        <f>'[2]побудинковий звіт'!BC73+'[1]побудинковий звіт'!BC73</f>
        <v>1054.5142952903445</v>
      </c>
      <c r="BD73" s="58">
        <f t="shared" ref="BD73:BD136" si="82">BC73-BB73</f>
        <v>-2461.6249552837007</v>
      </c>
      <c r="BE73" s="41">
        <f>'[2]побудинковий звіт'!BE73+'[1]побудинковий звіт'!BE73</f>
        <v>1041.8580415156739</v>
      </c>
      <c r="BF73" s="41">
        <f>'[2]побудинковий звіт'!BF73+'[1]побудинковий звіт'!BF73</f>
        <v>1276.3538271621001</v>
      </c>
      <c r="BG73" s="38">
        <f t="shared" ref="BG73:BG136" si="83">BF73-BE73</f>
        <v>234.49578564642616</v>
      </c>
      <c r="BH73" s="41">
        <f>'[2]побудинковий звіт'!BH73+'[1]побудинковий звіт'!BH73</f>
        <v>417.64693912078178</v>
      </c>
      <c r="BI73" s="41">
        <f>'[2]побудинковий звіт'!BI73+'[1]побудинковий звіт'!BI73</f>
        <v>0</v>
      </c>
      <c r="BJ73" s="58">
        <f t="shared" ref="BJ73:BJ136" si="84">BI73-BH73</f>
        <v>-417.64693912078178</v>
      </c>
      <c r="BK73" s="41">
        <f>'[2]побудинковий звіт'!BK73+'[1]побудинковий звіт'!BK73</f>
        <v>1705.9984995695763</v>
      </c>
      <c r="BL73" s="41">
        <f>'[2]побудинковий звіт'!BL73+'[1]побудинковий звіт'!BL73</f>
        <v>2516.4344032549598</v>
      </c>
      <c r="BM73" s="38">
        <f t="shared" ref="BM73:BM136" si="85">BL73-BK73</f>
        <v>810.43590368538344</v>
      </c>
      <c r="BN73" s="41">
        <f>'[2]побудинковий звіт'!BN73+'[1]побудинковий звіт'!BN73</f>
        <v>81.564258463179186</v>
      </c>
      <c r="BO73" s="41">
        <f>'[2]побудинковий звіт'!BO73+'[1]побудинковий звіт'!BO73</f>
        <v>0</v>
      </c>
      <c r="BP73" s="58">
        <f t="shared" ref="BP73:BP136" si="86">BO73-BN73</f>
        <v>-81.564258463179186</v>
      </c>
      <c r="BQ73" s="84">
        <f t="shared" ref="BQ73:BQ136" si="87">AV73+AY73+BB73+BE73+BH73+BK73+BN73</f>
        <v>10689.961477346787</v>
      </c>
      <c r="BR73" s="42">
        <f t="shared" ref="BR73:BR136" si="88">AW73+AZ73+BC73+BF73+BI73+BL73+BO73</f>
        <v>8319.9082219251977</v>
      </c>
      <c r="BS73" s="58">
        <f t="shared" ref="BS73:BS136" si="89">BR73-BQ73</f>
        <v>-2370.0532554215897</v>
      </c>
      <c r="BT73" s="41">
        <f>'[2]побудинковий звіт'!BT73+'[1]побудинковий звіт'!BT73</f>
        <v>68308.98290258793</v>
      </c>
      <c r="BU73" s="41">
        <f>'[2]побудинковий звіт'!BU73+'[1]побудинковий звіт'!BU73</f>
        <v>110948.41239130589</v>
      </c>
      <c r="BV73" s="55">
        <f t="shared" ref="BV73:BV136" si="90">BU73-BT73</f>
        <v>42639.429488717957</v>
      </c>
      <c r="BW73" s="41">
        <f>'[2]побудинковий звіт'!BW73+'[1]побудинковий звіт'!BW73</f>
        <v>41239.516432864766</v>
      </c>
      <c r="BX73" s="41">
        <f>'[2]побудинковий звіт'!BX73+'[1]побудинковий звіт'!BX73</f>
        <v>49933.742955615096</v>
      </c>
      <c r="BY73" s="55">
        <f t="shared" ref="BY73:BY136" si="91">BX73-BW73</f>
        <v>8694.2265227503303</v>
      </c>
      <c r="BZ73" s="41">
        <f>'[2]побудинковий звіт'!BZ73+'[1]побудинковий звіт'!BZ73</f>
        <v>16168.023270274261</v>
      </c>
      <c r="CA73" s="41">
        <f>'[2]побудинковий звіт'!CA73+'[1]побудинковий звіт'!CA73</f>
        <v>9261.7090810396548</v>
      </c>
      <c r="CB73" s="55">
        <f t="shared" ref="CB73:CB136" si="92">CA73-BZ73</f>
        <v>-6906.3141892346066</v>
      </c>
      <c r="CC73" s="41">
        <f>'[2]побудинковий звіт'!CC73+'[1]побудинковий звіт'!CC73</f>
        <v>2339.1206962335273</v>
      </c>
      <c r="CD73" s="41">
        <f>'[2]побудинковий звіт'!CD73+'[1]побудинковий звіт'!CD73</f>
        <v>2347.0523936003483</v>
      </c>
      <c r="CE73" s="55">
        <f t="shared" ref="CE73:CE136" si="93">CD73-CC73</f>
        <v>7.9316973668210267</v>
      </c>
      <c r="CF73" s="41">
        <f>'[2]побудинковий звіт'!CF73+'[1]побудинковий звіт'!CF73</f>
        <v>289.80462140365057</v>
      </c>
      <c r="CG73" s="41">
        <f>'[2]побудинковий звіт'!CG73+'[1]побудинковий звіт'!CG73</f>
        <v>549.70273558112797</v>
      </c>
      <c r="CH73" s="55">
        <f t="shared" ref="CH73:CH136" si="94">CG73-CF73</f>
        <v>259.8981141774774</v>
      </c>
      <c r="CI73" s="41">
        <f>'[2]побудинковий звіт'!CI73+'[1]побудинковий звіт'!CI73</f>
        <v>20358.960448496633</v>
      </c>
      <c r="CJ73" s="41">
        <f>'[2]побудинковий звіт'!CJ73+'[1]побудинковий звіт'!CJ73</f>
        <v>11176.243397980621</v>
      </c>
      <c r="CK73" s="55">
        <f t="shared" ref="CK73:CK136" si="95">CJ73-CI73</f>
        <v>-9182.717050516012</v>
      </c>
      <c r="CL73" s="41">
        <f>'[2]побудинковий звіт'!CL73+'[1]побудинковий звіт'!CL73</f>
        <v>9271.0654808449635</v>
      </c>
      <c r="CM73" s="41">
        <f>'[2]побудинковий звіт'!CM73+'[1]побудинковий звіт'!CM73</f>
        <v>20438.005776370072</v>
      </c>
      <c r="CN73" s="55">
        <f t="shared" ref="CN73:CN136" si="96">CM73-CL73</f>
        <v>11166.940295525108</v>
      </c>
      <c r="CO73" s="41">
        <f t="shared" ref="CO73:CO136" si="97">CI73+CL73</f>
        <v>29630.025929341595</v>
      </c>
      <c r="CP73" s="42">
        <f t="shared" ref="CP73:CP136" si="98">CJ73+CM73</f>
        <v>31614.249174350691</v>
      </c>
      <c r="CQ73" s="55">
        <f t="shared" ref="CQ73:CQ136" si="99">CP73-CO73</f>
        <v>1984.223245009096</v>
      </c>
      <c r="CR73" s="76">
        <f t="shared" ref="CR73:CR136" si="100">AG73+AJ73+AM73+AP73+AS73+BQ73+BT73+BW73+BZ73+CC73+CF73+CO73</f>
        <v>440975.16870584246</v>
      </c>
      <c r="CS73" s="5">
        <f t="shared" ref="CS73:CS136" si="101">AH73+AK73+AN73+AQ73+AT73+BR73+BU73+BX73+CA73+CD73+CG73+CP73</f>
        <v>425537.96251780627</v>
      </c>
      <c r="CT73" s="55">
        <f t="shared" ref="CT73:CT136" si="102">CS73-CR73</f>
        <v>-15437.206188036187</v>
      </c>
      <c r="CU73" s="84">
        <f t="shared" ref="CU73:CU136" si="103">CR73*1.2</f>
        <v>529170.2024470109</v>
      </c>
      <c r="CV73" s="68">
        <f t="shared" ref="CV73:CV136" si="104">CS73*1.2</f>
        <v>510645.5550213675</v>
      </c>
      <c r="CW73" s="36">
        <f t="shared" ref="CW73:CW136" si="105">CV73-CU73</f>
        <v>-18524.647425643401</v>
      </c>
      <c r="CX73" s="41">
        <f>'[2]побудинковий звіт'!CX73+'[1]побудинковий звіт'!CX73</f>
        <v>11727.035666508516</v>
      </c>
      <c r="CY73" s="41">
        <f>'[2]побудинковий звіт'!CY73+'[1]побудинковий звіт'!CY73</f>
        <v>30251.683092152001</v>
      </c>
      <c r="CZ73" s="55">
        <f t="shared" ref="CZ73:CZ136" si="106">CY73-CX73</f>
        <v>18524.647425643485</v>
      </c>
      <c r="DA73" s="254">
        <f>'[1]побудинковий звіт'!DA73</f>
        <v>-85111.035991823286</v>
      </c>
      <c r="DB73" s="2">
        <v>3</v>
      </c>
      <c r="DC73" s="702">
        <f>'[1]побудинковий звіт'!DC73</f>
        <v>72224.789999999994</v>
      </c>
      <c r="DD73" s="702">
        <f>'[1]побудинковий звіт'!DD73</f>
        <v>0</v>
      </c>
      <c r="DE73" s="702">
        <f>'[1]побудинковий звіт'!DE73</f>
        <v>13096.089999999997</v>
      </c>
      <c r="DF73" s="702">
        <f>'[1]побудинковий звіт'!DF73</f>
        <v>0</v>
      </c>
      <c r="DG73" s="772">
        <v>69460.448651565006</v>
      </c>
      <c r="DH73" s="746">
        <f t="shared" ref="DH73:DH136" si="107">(CU73+CX73)*12</f>
        <v>6490766.8573622331</v>
      </c>
      <c r="DI73" s="769"/>
      <c r="DJ73" s="5"/>
      <c r="DK73" s="307">
        <f>VLOOKUP($A73,ціни!$A$4:$G$401,5)</f>
        <v>5.8918966216855715</v>
      </c>
      <c r="DL73" s="307">
        <f>VLOOKUP($A73,ціни!$A$4:$G$401,6)</f>
        <v>6.5150228100437317</v>
      </c>
      <c r="DM73" s="307">
        <f>VLOOKUP($A73,ціни!$A$4:$G$401,7)</f>
        <v>5.1906796835539026</v>
      </c>
      <c r="DN73" s="29">
        <f>DK73*G73+(F73-G73)*DL73</f>
        <v>42431.156282367752</v>
      </c>
      <c r="DO73" s="29">
        <f>DM73*H73</f>
        <v>0</v>
      </c>
      <c r="DP73" s="306">
        <f t="shared" ref="DP73:DP136" si="108">DN73+DO73</f>
        <v>42431.156282367752</v>
      </c>
      <c r="DQ73" s="101"/>
      <c r="DR73" s="29">
        <f>VLOOKUP(A73,'ДЗ нас '!$A$1:$C$359,2)</f>
        <v>42431.02</v>
      </c>
      <c r="DS73" s="733"/>
      <c r="DT73" s="29">
        <f t="shared" ref="DT73:DT136" si="109">DR73+DS73</f>
        <v>42431.02</v>
      </c>
      <c r="DU73" s="247">
        <f>VLOOKUP(A73,'новий кошторис с 01.06'!$A$4:$AI$399,35)*1.2</f>
        <v>42551.99457162161</v>
      </c>
      <c r="DV73" s="29">
        <f t="shared" ref="DV73:DV136" si="110">DT73-DU73</f>
        <v>-120.97457162161299</v>
      </c>
      <c r="DW73" s="1016">
        <f>'[2]побудинковий звіт'!$DW$9+'[1]побудинковий звіт'!DW73</f>
        <v>846</v>
      </c>
      <c r="DX73" s="101">
        <f>'[1]побудинковий звіт'!DX73</f>
        <v>0</v>
      </c>
      <c r="DY73" s="5">
        <f t="shared" ref="DY73:DY136" si="111">(AS73+BQ73)*1.2</f>
        <v>211010.56046532336</v>
      </c>
      <c r="DZ73" s="5">
        <f t="shared" ref="DZ73:DZ136" si="112">(AT73+BR73)*1.2</f>
        <v>125831.98576977559</v>
      </c>
      <c r="EA73" s="737">
        <f t="shared" ref="EA73:EA136" si="113">DE73+DF73</f>
        <v>13096.089999999997</v>
      </c>
      <c r="EC73" s="577">
        <f t="shared" ref="EC73:EC136" si="114">AS73*12</f>
        <v>1981826.0669250726</v>
      </c>
      <c r="EE73" s="743">
        <v>29685</v>
      </c>
      <c r="EF73" s="723">
        <f t="shared" ref="EF73:EF136" si="115">EE73+DG73</f>
        <v>99145.448651565006</v>
      </c>
      <c r="EH73" s="798">
        <v>-5240.4227973086381</v>
      </c>
      <c r="EI73" s="101">
        <f>VLOOKUP(A73,'кошти 01.01.24'!$A$9:$D$352,4,FALSE)</f>
        <v>-66586.388566179812</v>
      </c>
    </row>
    <row r="74" spans="1:139" hidden="1" x14ac:dyDescent="0.3">
      <c r="A74" s="318">
        <v>150000996</v>
      </c>
      <c r="B74" s="43" t="s">
        <v>494</v>
      </c>
      <c r="C74" s="44" t="s">
        <v>245</v>
      </c>
      <c r="D74" s="44" t="s">
        <v>245</v>
      </c>
      <c r="E74" s="39">
        <f t="shared" si="64"/>
        <v>3447.57</v>
      </c>
      <c r="F74" s="205">
        <f>'[1]побудинковий звіт'!F74</f>
        <v>3261.8</v>
      </c>
      <c r="G74" s="29">
        <f>'[1]побудинковий звіт'!G74</f>
        <v>0</v>
      </c>
      <c r="H74" s="148">
        <f>'[1]побудинковий звіт'!H74</f>
        <v>185.76999999999998</v>
      </c>
      <c r="I74" s="41">
        <f>'[2]побудинковий звіт'!I74+'[1]побудинковий звіт'!I74</f>
        <v>11752.006547957342</v>
      </c>
      <c r="J74" s="41">
        <f>'[2]побудинковий звіт'!J74+'[1]побудинковий звіт'!J74</f>
        <v>12109.413731650882</v>
      </c>
      <c r="K74" s="55">
        <f t="shared" si="65"/>
        <v>357.40718369353999</v>
      </c>
      <c r="L74" s="41">
        <f>'[2]побудинковий звіт'!L74+'[1]побудинковий звіт'!L74</f>
        <v>2137.1800682820863</v>
      </c>
      <c r="M74" s="41">
        <f>'[2]побудинковий звіт'!M74+'[1]побудинковий звіт'!M74</f>
        <v>2241.6983851305004</v>
      </c>
      <c r="N74" s="55">
        <f t="shared" si="66"/>
        <v>104.51831684841409</v>
      </c>
      <c r="O74" s="41">
        <f>'[2]побудинковий звіт'!O74+'[1]побудинковий звіт'!O74</f>
        <v>4769.1911260305378</v>
      </c>
      <c r="P74" s="41">
        <f>'[2]побудинковий звіт'!P74+'[1]побудинковий звіт'!P74</f>
        <v>4782.759080032145</v>
      </c>
      <c r="Q74" s="55">
        <f t="shared" si="67"/>
        <v>13.567954001607177</v>
      </c>
      <c r="R74" s="41">
        <f>'[2]побудинковий звіт'!R74+'[1]побудинковий звіт'!R74</f>
        <v>0</v>
      </c>
      <c r="S74" s="41">
        <f>'[2]побудинковий звіт'!S74+'[1]побудинковий звіт'!S74</f>
        <v>0</v>
      </c>
      <c r="T74" s="55">
        <f t="shared" si="68"/>
        <v>0</v>
      </c>
      <c r="U74" s="41">
        <f>'[2]побудинковий звіт'!U74+'[1]побудинковий звіт'!U74</f>
        <v>84.195884513437704</v>
      </c>
      <c r="V74" s="41">
        <f>'[2]побудинковий звіт'!V74+'[1]побудинковий звіт'!V74</f>
        <v>48.575065888797084</v>
      </c>
      <c r="W74" s="55">
        <f t="shared" si="69"/>
        <v>-35.62081862464062</v>
      </c>
      <c r="X74" s="41">
        <f>'[2]побудинковий звіт'!X74+'[1]побудинковий звіт'!X74</f>
        <v>7525.0579096794236</v>
      </c>
      <c r="Y74" s="41">
        <f>'[2]побудинковий звіт'!Y74+'[1]побудинковий звіт'!Y74</f>
        <v>7536.6248021299944</v>
      </c>
      <c r="Z74" s="55">
        <f t="shared" si="70"/>
        <v>11.566892450570776</v>
      </c>
      <c r="AA74" s="41">
        <f>'[2]побудинковий звіт'!AA74+'[1]побудинковий звіт'!AA74</f>
        <v>0</v>
      </c>
      <c r="AB74" s="41">
        <f>'[2]побудинковий звіт'!AB74+'[1]побудинковий звіт'!AB74</f>
        <v>0</v>
      </c>
      <c r="AC74" s="55">
        <f t="shared" si="71"/>
        <v>0</v>
      </c>
      <c r="AD74" s="41">
        <f>'[2]побудинковий звіт'!AD74+'[1]побудинковий звіт'!AD74</f>
        <v>14950.308237337509</v>
      </c>
      <c r="AE74" s="41">
        <f>'[2]побудинковий звіт'!AE74+'[1]побудинковий звіт'!AE74</f>
        <v>14892.271775050758</v>
      </c>
      <c r="AF74" s="36">
        <f t="shared" si="72"/>
        <v>-58.036462286750975</v>
      </c>
      <c r="AG74" s="84">
        <f t="shared" si="73"/>
        <v>41217.939773800339</v>
      </c>
      <c r="AH74" s="56">
        <f t="shared" si="74"/>
        <v>41611.342839883073</v>
      </c>
      <c r="AI74" s="55">
        <f t="shared" si="75"/>
        <v>393.40306608273386</v>
      </c>
      <c r="AJ74" s="41">
        <f>'[2]побудинковий звіт'!AJ74+'[1]побудинковий звіт'!AJ74</f>
        <v>0</v>
      </c>
      <c r="AK74" s="41">
        <f>'[2]побудинковий звіт'!AK74+'[1]побудинковий звіт'!AK74</f>
        <v>0</v>
      </c>
      <c r="AL74" s="55">
        <f t="shared" si="76"/>
        <v>0</v>
      </c>
      <c r="AM74" s="41">
        <f>'[2]побудинковий звіт'!AM74+'[1]побудинковий звіт'!AM74</f>
        <v>0</v>
      </c>
      <c r="AN74" s="41">
        <f>'[2]побудинковий звіт'!AN74+'[1]побудинковий звіт'!AN74</f>
        <v>0</v>
      </c>
      <c r="AO74" s="55">
        <f t="shared" si="77"/>
        <v>0</v>
      </c>
      <c r="AP74" s="41">
        <f>'[2]побудинковий звіт'!AP74+'[1]побудинковий звіт'!AP74</f>
        <v>10549.868091940421</v>
      </c>
      <c r="AQ74" s="41">
        <f>'[2]побудинковий звіт'!AQ74+'[1]побудинковий звіт'!AQ74</f>
        <v>11341.940951654979</v>
      </c>
      <c r="AR74" s="55">
        <f t="shared" si="78"/>
        <v>792.07285971455713</v>
      </c>
      <c r="AS74" s="41">
        <f>'[2]побудинковий звіт'!AS74+'[1]побудинковий звіт'!AS74</f>
        <v>45264.228445748027</v>
      </c>
      <c r="AT74" s="41">
        <f>'[2]побудинковий звіт'!AT74+'[1]побудинковий звіт'!AT74</f>
        <v>14058.99941768222</v>
      </c>
      <c r="AU74" s="57">
        <f t="shared" si="79"/>
        <v>-31205.229028065805</v>
      </c>
      <c r="AV74" s="41">
        <f>'[2]побудинковий звіт'!AV74+'[1]побудинковий звіт'!AV74</f>
        <v>1909.6320795328274</v>
      </c>
      <c r="AW74" s="41">
        <f>'[2]побудинковий звіт'!AW74+'[1]побудинковий звіт'!AW74</f>
        <v>0</v>
      </c>
      <c r="AX74" s="58">
        <f t="shared" si="80"/>
        <v>-1909.6320795328274</v>
      </c>
      <c r="AY74" s="41">
        <f>'[2]побудинковий звіт'!AY74+'[1]побудинковий звіт'!AY74</f>
        <v>2560.4037623702466</v>
      </c>
      <c r="AZ74" s="41">
        <f>'[2]побудинковий звіт'!AZ74+'[1]побудинковий звіт'!AZ74</f>
        <v>0</v>
      </c>
      <c r="BA74" s="36">
        <f t="shared" si="81"/>
        <v>-2560.4037623702466</v>
      </c>
      <c r="BB74" s="41">
        <f>'[2]побудинковий звіт'!BB74+'[1]побудинковий звіт'!BB74</f>
        <v>2410.0351224553301</v>
      </c>
      <c r="BC74" s="41">
        <f>'[2]побудинковий звіт'!BC74+'[1]побудинковий звіт'!BC74</f>
        <v>0</v>
      </c>
      <c r="BD74" s="58">
        <f t="shared" si="82"/>
        <v>-2410.0351224553301</v>
      </c>
      <c r="BE74" s="41">
        <f>'[2]побудинковий звіт'!BE74+'[1]побудинковий звіт'!BE74</f>
        <v>0</v>
      </c>
      <c r="BF74" s="41">
        <f>'[2]побудинковий звіт'!BF74+'[1]побудинковий звіт'!BF74</f>
        <v>0</v>
      </c>
      <c r="BG74" s="38">
        <f t="shared" si="83"/>
        <v>0</v>
      </c>
      <c r="BH74" s="41">
        <f>'[2]побудинковий звіт'!BH74+'[1]побудинковий звіт'!BH74</f>
        <v>49.622889587144876</v>
      </c>
      <c r="BI74" s="41">
        <f>'[2]побудинковий звіт'!BI74+'[1]побудинковий звіт'!BI74</f>
        <v>0</v>
      </c>
      <c r="BJ74" s="58">
        <f t="shared" si="84"/>
        <v>-49.622889587144876</v>
      </c>
      <c r="BK74" s="41">
        <f>'[2]побудинковий звіт'!BK74+'[1]побудинковий звіт'!BK74</f>
        <v>1337.3387578490754</v>
      </c>
      <c r="BL74" s="41">
        <f>'[2]побудинковий звіт'!BL74+'[1]побудинковий звіт'!BL74</f>
        <v>0</v>
      </c>
      <c r="BM74" s="38">
        <f t="shared" si="85"/>
        <v>-1337.3387578490754</v>
      </c>
      <c r="BN74" s="41">
        <f>'[2]побудинковий звіт'!BN74+'[1]побудинковий звіт'!BN74</f>
        <v>87.681577847917652</v>
      </c>
      <c r="BO74" s="41">
        <f>'[2]побудинковий звіт'!BO74+'[1]побудинковий звіт'!BO74</f>
        <v>0</v>
      </c>
      <c r="BP74" s="58">
        <f t="shared" si="86"/>
        <v>-87.681577847917652</v>
      </c>
      <c r="BQ74" s="84">
        <f t="shared" si="87"/>
        <v>8354.7141896425419</v>
      </c>
      <c r="BR74" s="42">
        <f t="shared" si="88"/>
        <v>0</v>
      </c>
      <c r="BS74" s="58">
        <f t="shared" si="89"/>
        <v>-8354.7141896425419</v>
      </c>
      <c r="BT74" s="41">
        <f>'[2]побудинковий звіт'!BT74+'[1]побудинковий звіт'!BT74</f>
        <v>42701.870513453017</v>
      </c>
      <c r="BU74" s="41">
        <f>'[2]побудинковий звіт'!BU74+'[1]побудинковий звіт'!BU74</f>
        <v>73938.377990144712</v>
      </c>
      <c r="BV74" s="55">
        <f t="shared" si="90"/>
        <v>31236.507476691695</v>
      </c>
      <c r="BW74" s="41">
        <f>'[2]побудинковий звіт'!BW74+'[1]побудинковий звіт'!BW74</f>
        <v>31905.61205056317</v>
      </c>
      <c r="BX74" s="41">
        <f>'[2]побудинковий звіт'!BX74+'[1]побудинковий звіт'!BX74</f>
        <v>36321.742640306577</v>
      </c>
      <c r="BY74" s="55">
        <f t="shared" si="91"/>
        <v>4416.1305897434067</v>
      </c>
      <c r="BZ74" s="41">
        <f>'[2]побудинковий звіт'!BZ74+'[1]побудинковий звіт'!BZ74</f>
        <v>22689.850746392916</v>
      </c>
      <c r="CA74" s="41">
        <f>'[2]побудинковий звіт'!CA74+'[1]побудинковий звіт'!CA74</f>
        <v>5741.9101341780224</v>
      </c>
      <c r="CB74" s="55">
        <f t="shared" si="92"/>
        <v>-16947.940612214894</v>
      </c>
      <c r="CC74" s="41">
        <f>'[2]побудинковий звіт'!CC74+'[1]побудинковий звіт'!CC74</f>
        <v>0</v>
      </c>
      <c r="CD74" s="41">
        <f>'[2]побудинковий звіт'!CD74+'[1]побудинковий звіт'!CD74</f>
        <v>0</v>
      </c>
      <c r="CE74" s="55">
        <f t="shared" si="93"/>
        <v>0</v>
      </c>
      <c r="CF74" s="41">
        <f>'[2]побудинковий звіт'!CF74+'[1]побудинковий звіт'!CF74</f>
        <v>0</v>
      </c>
      <c r="CG74" s="41">
        <f>'[2]побудинковий звіт'!CG74+'[1]побудинковий звіт'!CG74</f>
        <v>0</v>
      </c>
      <c r="CH74" s="55">
        <f t="shared" si="94"/>
        <v>0</v>
      </c>
      <c r="CI74" s="41">
        <f>'[2]побудинковий звіт'!CI74+'[1]побудинковий звіт'!CI74</f>
        <v>5524.4224804547648</v>
      </c>
      <c r="CJ74" s="41">
        <f>'[2]побудинковий звіт'!CJ74+'[1]побудинковий звіт'!CJ74</f>
        <v>4774.1068620535725</v>
      </c>
      <c r="CK74" s="55">
        <f t="shared" si="95"/>
        <v>-750.3156184011923</v>
      </c>
      <c r="CL74" s="41">
        <f>'[2]побудинковий звіт'!CL74+'[1]побудинковий звіт'!CL74</f>
        <v>0</v>
      </c>
      <c r="CM74" s="41">
        <f>'[2]побудинковий звіт'!CM74+'[1]побудинковий звіт'!CM74</f>
        <v>0</v>
      </c>
      <c r="CN74" s="55">
        <f t="shared" si="96"/>
        <v>0</v>
      </c>
      <c r="CO74" s="41">
        <f t="shared" si="97"/>
        <v>5524.4224804547648</v>
      </c>
      <c r="CP74" s="42">
        <f t="shared" si="98"/>
        <v>4774.1068620535725</v>
      </c>
      <c r="CQ74" s="55">
        <f t="shared" si="99"/>
        <v>-750.3156184011923</v>
      </c>
      <c r="CR74" s="76">
        <f t="shared" si="100"/>
        <v>208208.5062919952</v>
      </c>
      <c r="CS74" s="5">
        <f t="shared" si="101"/>
        <v>187788.42083590318</v>
      </c>
      <c r="CT74" s="55">
        <f t="shared" si="102"/>
        <v>-20420.085456092027</v>
      </c>
      <c r="CU74" s="84">
        <f t="shared" si="103"/>
        <v>249850.20755039423</v>
      </c>
      <c r="CV74" s="68">
        <f t="shared" si="104"/>
        <v>225346.10500308379</v>
      </c>
      <c r="CW74" s="36">
        <f t="shared" si="105"/>
        <v>-24504.102547310438</v>
      </c>
      <c r="CX74" s="41">
        <f>'[2]побудинковий звіт'!CX74+'[1]побудинковий звіт'!CX74</f>
        <v>2547.9409647696802</v>
      </c>
      <c r="CY74" s="41">
        <f>'[2]побудинковий звіт'!CY74+'[1]побудинковий звіт'!CY74</f>
        <v>27052.043512080141</v>
      </c>
      <c r="CZ74" s="55">
        <f t="shared" si="106"/>
        <v>24504.10254731046</v>
      </c>
      <c r="DA74" s="254">
        <f>'[1]побудинковий звіт'!DA74</f>
        <v>-13609.770325848709</v>
      </c>
      <c r="DB74" s="2">
        <v>2</v>
      </c>
      <c r="DC74" s="702">
        <f>'[1]побудинковий звіт'!DC74</f>
        <v>65961.98</v>
      </c>
      <c r="DD74" s="702">
        <f>'[1]побудинковий звіт'!DD74</f>
        <v>1881.86</v>
      </c>
      <c r="DE74" s="702">
        <f>'[1]побудинковий звіт'!DE74</f>
        <v>39593.569999999992</v>
      </c>
      <c r="DF74" s="702">
        <f>'[1]побудинковий звіт'!DF74</f>
        <v>610.8599999999999</v>
      </c>
      <c r="DG74" s="772">
        <v>27118.061993240844</v>
      </c>
      <c r="DH74" s="746">
        <f t="shared" si="107"/>
        <v>3028777.782181967</v>
      </c>
      <c r="DI74" s="769"/>
      <c r="DJ74" s="5"/>
      <c r="DK74" s="307">
        <f>VLOOKUP($A74,ціни!$A$4:$G$401,5)</f>
        <v>5.7910334285544476</v>
      </c>
      <c r="DL74" s="307"/>
      <c r="DM74" s="307">
        <f>VLOOKUP($A74,ціни!$A$4:$G$401,7)</f>
        <v>4.8512069893767888</v>
      </c>
      <c r="DN74" s="29">
        <f t="shared" ref="DN74:DN89" si="116">F74*DK74</f>
        <v>18889.192837258899</v>
      </c>
      <c r="DO74" s="29">
        <f t="shared" ref="DO74:DO89" si="117">H74*DM74</f>
        <v>901.20872241652603</v>
      </c>
      <c r="DP74" s="306">
        <f t="shared" si="108"/>
        <v>19790.401559675425</v>
      </c>
      <c r="DQ74" s="101"/>
      <c r="DR74" s="29">
        <f>VLOOKUP(A74,'ДЗ нас '!$A$1:$C$359,2)</f>
        <v>18889.099999999999</v>
      </c>
      <c r="DS74" s="733">
        <f>VLOOKUP(A74,'ДЗ нежит'!$A$1:$D$153,4,0)</f>
        <v>901.22</v>
      </c>
      <c r="DT74" s="29">
        <f t="shared" si="109"/>
        <v>19790.32</v>
      </c>
      <c r="DU74" s="247">
        <f>VLOOKUP(A74,'новий кошторис с 01.06'!$A$4:$AI$399,35)*1.2</f>
        <v>19785.768732932582</v>
      </c>
      <c r="DV74" s="29">
        <f t="shared" si="110"/>
        <v>4.551267067417939</v>
      </c>
      <c r="DW74" s="1016">
        <f>'[2]побудинковий звіт'!$DW$9+'[1]побудинковий звіт'!DW74</f>
        <v>1138.5</v>
      </c>
      <c r="DX74" s="101">
        <f>'[1]побудинковий звіт'!DX74</f>
        <v>0</v>
      </c>
      <c r="DY74" s="5">
        <f t="shared" si="111"/>
        <v>64342.731162468684</v>
      </c>
      <c r="DZ74" s="5">
        <f t="shared" si="112"/>
        <v>16870.799301218663</v>
      </c>
      <c r="EA74" s="737">
        <f t="shared" si="113"/>
        <v>40204.429999999993</v>
      </c>
      <c r="EC74" s="577">
        <f t="shared" si="114"/>
        <v>543170.74134897627</v>
      </c>
      <c r="EE74" s="743">
        <v>-13812</v>
      </c>
      <c r="EF74" s="723">
        <f t="shared" si="115"/>
        <v>13306.061993240844</v>
      </c>
      <c r="EH74" s="798">
        <v>5562.8710717784197</v>
      </c>
      <c r="EI74" s="101">
        <f>VLOOKUP(A74,'кошти 01.01.24'!$A$9:$D$352,4,FALSE)</f>
        <v>10894.332221461718</v>
      </c>
    </row>
    <row r="75" spans="1:139" ht="14.4" hidden="1" customHeight="1" x14ac:dyDescent="0.3">
      <c r="A75" s="318">
        <v>150000987</v>
      </c>
      <c r="B75" s="43" t="s">
        <v>495</v>
      </c>
      <c r="C75" s="44" t="s">
        <v>50</v>
      </c>
      <c r="D75" s="44" t="s">
        <v>50</v>
      </c>
      <c r="E75" s="39">
        <f t="shared" si="64"/>
        <v>244.2</v>
      </c>
      <c r="F75" s="205">
        <f>'[1]побудинковий звіт'!F75</f>
        <v>244.2</v>
      </c>
      <c r="G75" s="29">
        <f>'[1]побудинковий звіт'!G75</f>
        <v>0</v>
      </c>
      <c r="H75" s="148">
        <f>'[1]побудинковий звіт'!H75</f>
        <v>0</v>
      </c>
      <c r="I75" s="41">
        <f>'[2]побудинковий звіт'!I75+'[1]побудинковий звіт'!I75</f>
        <v>0</v>
      </c>
      <c r="J75" s="41">
        <f>'[2]побудинковий звіт'!J75+'[1]побудинковий звіт'!J75</f>
        <v>0</v>
      </c>
      <c r="K75" s="55">
        <f t="shared" si="65"/>
        <v>0</v>
      </c>
      <c r="L75" s="41">
        <f>'[2]побудинковий звіт'!L75+'[1]побудинковий звіт'!L75</f>
        <v>0</v>
      </c>
      <c r="M75" s="41">
        <f>'[2]побудинковий звіт'!M75+'[1]побудинковий звіт'!M75</f>
        <v>0</v>
      </c>
      <c r="N75" s="55">
        <f t="shared" si="66"/>
        <v>0</v>
      </c>
      <c r="O75" s="41">
        <f>'[2]побудинковий звіт'!O75+'[1]побудинковий звіт'!O75</f>
        <v>0</v>
      </c>
      <c r="P75" s="41">
        <f>'[2]побудинковий звіт'!P75+'[1]побудинковий звіт'!P75</f>
        <v>0</v>
      </c>
      <c r="Q75" s="55">
        <f t="shared" si="67"/>
        <v>0</v>
      </c>
      <c r="R75" s="41">
        <f>'[2]побудинковий звіт'!R75+'[1]побудинковий звіт'!R75</f>
        <v>0</v>
      </c>
      <c r="S75" s="41">
        <f>'[2]побудинковий звіт'!S75+'[1]побудинковий звіт'!S75</f>
        <v>0</v>
      </c>
      <c r="T75" s="55">
        <f t="shared" si="68"/>
        <v>0</v>
      </c>
      <c r="U75" s="41">
        <f>'[2]побудинковий звіт'!U75+'[1]побудинковий звіт'!U75</f>
        <v>0</v>
      </c>
      <c r="V75" s="41">
        <f>'[2]побудинковий звіт'!V75+'[1]побудинковий звіт'!V75</f>
        <v>0</v>
      </c>
      <c r="W75" s="55">
        <f t="shared" si="69"/>
        <v>0</v>
      </c>
      <c r="X75" s="41">
        <f>'[2]побудинковий звіт'!X75+'[1]побудинковий звіт'!X75</f>
        <v>0</v>
      </c>
      <c r="Y75" s="41">
        <f>'[2]побудинковий звіт'!Y75+'[1]побудинковий звіт'!Y75</f>
        <v>0</v>
      </c>
      <c r="Z75" s="55">
        <f t="shared" si="70"/>
        <v>0</v>
      </c>
      <c r="AA75" s="41">
        <f>'[2]побудинковий звіт'!AA75+'[1]побудинковий звіт'!AA75</f>
        <v>0</v>
      </c>
      <c r="AB75" s="41">
        <f>'[2]побудинковий звіт'!AB75+'[1]побудинковий звіт'!AB75</f>
        <v>0</v>
      </c>
      <c r="AC75" s="55">
        <f t="shared" si="71"/>
        <v>0</v>
      </c>
      <c r="AD75" s="41">
        <f>'[2]побудинковий звіт'!AD75+'[1]побудинковий звіт'!AD75</f>
        <v>0</v>
      </c>
      <c r="AE75" s="41">
        <f>'[2]побудинковий звіт'!AE75+'[1]побудинковий звіт'!AE75</f>
        <v>0</v>
      </c>
      <c r="AF75" s="36">
        <f t="shared" si="72"/>
        <v>0</v>
      </c>
      <c r="AG75" s="84">
        <f t="shared" si="73"/>
        <v>0</v>
      </c>
      <c r="AH75" s="56">
        <f t="shared" si="74"/>
        <v>0</v>
      </c>
      <c r="AI75" s="55">
        <f t="shared" si="75"/>
        <v>0</v>
      </c>
      <c r="AJ75" s="41">
        <f>'[2]побудинковий звіт'!AJ75+'[1]побудинковий звіт'!AJ75</f>
        <v>0</v>
      </c>
      <c r="AK75" s="41">
        <f>'[2]побудинковий звіт'!AK75+'[1]побудинковий звіт'!AK75</f>
        <v>0</v>
      </c>
      <c r="AL75" s="55">
        <f t="shared" si="76"/>
        <v>0</v>
      </c>
      <c r="AM75" s="41">
        <f>'[2]побудинковий звіт'!AM75+'[1]побудинковий звіт'!AM75</f>
        <v>0</v>
      </c>
      <c r="AN75" s="41">
        <f>'[2]побудинковий звіт'!AN75+'[1]побудинковий звіт'!AN75</f>
        <v>0</v>
      </c>
      <c r="AO75" s="55">
        <f t="shared" si="77"/>
        <v>0</v>
      </c>
      <c r="AP75" s="41">
        <f>'[2]побудинковий звіт'!AP75+'[1]побудинковий звіт'!AP75</f>
        <v>562.54133770220778</v>
      </c>
      <c r="AQ75" s="41">
        <f>'[2]побудинковий звіт'!AQ75+'[1]побудинковий звіт'!AQ75</f>
        <v>93.650256154407487</v>
      </c>
      <c r="AR75" s="55">
        <f t="shared" si="78"/>
        <v>-468.8910815478003</v>
      </c>
      <c r="AS75" s="41">
        <f>'[2]побудинковий звіт'!AS75+'[1]побудинковий звіт'!AS75</f>
        <v>33.476399999999998</v>
      </c>
      <c r="AT75" s="41">
        <f>'[2]побудинковий звіт'!AT75+'[1]побудинковий звіт'!AT75</f>
        <v>0</v>
      </c>
      <c r="AU75" s="57">
        <f t="shared" si="79"/>
        <v>-33.476399999999998</v>
      </c>
      <c r="AV75" s="41">
        <f>'[2]побудинковий звіт'!AV75+'[1]побудинковий звіт'!AV75</f>
        <v>0</v>
      </c>
      <c r="AW75" s="41">
        <f>'[2]побудинковий звіт'!AW75+'[1]побудинковий звіт'!AW75</f>
        <v>0</v>
      </c>
      <c r="AX75" s="58">
        <f t="shared" si="80"/>
        <v>0</v>
      </c>
      <c r="AY75" s="41">
        <f>'[2]побудинковий звіт'!AY75+'[1]побудинковий звіт'!AY75</f>
        <v>0</v>
      </c>
      <c r="AZ75" s="41">
        <f>'[2]побудинковий звіт'!AZ75+'[1]побудинковий звіт'!AZ75</f>
        <v>0</v>
      </c>
      <c r="BA75" s="36">
        <f t="shared" si="81"/>
        <v>0</v>
      </c>
      <c r="BB75" s="41">
        <f>'[2]побудинковий звіт'!BB75+'[1]побудинковий звіт'!BB75</f>
        <v>0</v>
      </c>
      <c r="BC75" s="41">
        <f>'[2]побудинковий звіт'!BC75+'[1]побудинковий звіт'!BC75</f>
        <v>0</v>
      </c>
      <c r="BD75" s="58">
        <f t="shared" si="82"/>
        <v>0</v>
      </c>
      <c r="BE75" s="41">
        <f>'[2]побудинковий звіт'!BE75+'[1]побудинковий звіт'!BE75</f>
        <v>0</v>
      </c>
      <c r="BF75" s="41">
        <f>'[2]побудинковий звіт'!BF75+'[1]побудинковий звіт'!BF75</f>
        <v>0</v>
      </c>
      <c r="BG75" s="38">
        <f t="shared" si="83"/>
        <v>0</v>
      </c>
      <c r="BH75" s="41">
        <f>'[2]побудинковий звіт'!BH75+'[1]побудинковий звіт'!BH75</f>
        <v>0</v>
      </c>
      <c r="BI75" s="41">
        <f>'[2]побудинковий звіт'!BI75+'[1]побудинковий звіт'!BI75</f>
        <v>0</v>
      </c>
      <c r="BJ75" s="58">
        <f t="shared" si="84"/>
        <v>0</v>
      </c>
      <c r="BK75" s="41">
        <f>'[2]побудинковий звіт'!BK75+'[1]побудинковий звіт'!BK75</f>
        <v>0</v>
      </c>
      <c r="BL75" s="41">
        <f>'[2]побудинковий звіт'!BL75+'[1]побудинковий звіт'!BL75</f>
        <v>0</v>
      </c>
      <c r="BM75" s="38">
        <f t="shared" si="85"/>
        <v>0</v>
      </c>
      <c r="BN75" s="41">
        <f>'[2]побудинковий звіт'!BN75+'[1]побудинковий звіт'!BN75</f>
        <v>0</v>
      </c>
      <c r="BO75" s="41">
        <f>'[2]побудинковий звіт'!BO75+'[1]побудинковий звіт'!BO75</f>
        <v>0</v>
      </c>
      <c r="BP75" s="58">
        <f t="shared" si="86"/>
        <v>0</v>
      </c>
      <c r="BQ75" s="84">
        <f t="shared" si="87"/>
        <v>0</v>
      </c>
      <c r="BR75" s="42">
        <f t="shared" si="88"/>
        <v>0</v>
      </c>
      <c r="BS75" s="58">
        <f t="shared" si="89"/>
        <v>0</v>
      </c>
      <c r="BT75" s="41">
        <f>'[2]побудинковий звіт'!BT75+'[1]побудинковий звіт'!BT75</f>
        <v>190.77116225983616</v>
      </c>
      <c r="BU75" s="41">
        <f>'[2]побудинковий звіт'!BU75+'[1]побудинковий звіт'!BU75</f>
        <v>669.67636579311591</v>
      </c>
      <c r="BV75" s="55">
        <f t="shared" si="90"/>
        <v>478.90520353327975</v>
      </c>
      <c r="BW75" s="41">
        <f>'[2]побудинковий звіт'!BW75+'[1]побудинковий звіт'!BW75</f>
        <v>0</v>
      </c>
      <c r="BX75" s="41">
        <f>'[2]побудинковий звіт'!BX75+'[1]побудинковий звіт'!BX75</f>
        <v>0.99396535259941854</v>
      </c>
      <c r="BY75" s="55">
        <f t="shared" si="91"/>
        <v>0.99396535259941854</v>
      </c>
      <c r="BZ75" s="41">
        <f>'[2]побудинковий звіт'!BZ75+'[1]побудинковий звіт'!BZ75</f>
        <v>57.295544486535633</v>
      </c>
      <c r="CA75" s="41">
        <f>'[2]побудинковий звіт'!CA75+'[1]побудинковий звіт'!CA75</f>
        <v>59.999440419953473</v>
      </c>
      <c r="CB75" s="55">
        <f t="shared" si="92"/>
        <v>2.7038959334178401</v>
      </c>
      <c r="CC75" s="41">
        <f>'[2]побудинковий звіт'!CC75+'[1]побудинковий звіт'!CC75</f>
        <v>0</v>
      </c>
      <c r="CD75" s="41">
        <f>'[2]побудинковий звіт'!CD75+'[1]побудинковий звіт'!CD75</f>
        <v>0</v>
      </c>
      <c r="CE75" s="55">
        <f t="shared" si="93"/>
        <v>0</v>
      </c>
      <c r="CF75" s="41">
        <f>'[2]побудинковий звіт'!CF75+'[1]побудинковий звіт'!CF75</f>
        <v>0</v>
      </c>
      <c r="CG75" s="41">
        <f>'[2]побудинковий звіт'!CG75+'[1]побудинковий звіт'!CG75</f>
        <v>0</v>
      </c>
      <c r="CH75" s="55">
        <f t="shared" si="94"/>
        <v>0</v>
      </c>
      <c r="CI75" s="41">
        <f>'[2]побудинковий звіт'!CI75+'[1]побудинковий звіт'!CI75</f>
        <v>0</v>
      </c>
      <c r="CJ75" s="41">
        <f>'[2]побудинковий звіт'!CJ75+'[1]побудинковий звіт'!CJ75</f>
        <v>0</v>
      </c>
      <c r="CK75" s="55">
        <f t="shared" si="95"/>
        <v>0</v>
      </c>
      <c r="CL75" s="41">
        <f>'[2]побудинковий звіт'!CL75+'[1]побудинковий звіт'!CL75</f>
        <v>0</v>
      </c>
      <c r="CM75" s="41">
        <f>'[2]побудинковий звіт'!CM75+'[1]побудинковий звіт'!CM75</f>
        <v>0</v>
      </c>
      <c r="CN75" s="55">
        <f t="shared" si="96"/>
        <v>0</v>
      </c>
      <c r="CO75" s="41">
        <f t="shared" si="97"/>
        <v>0</v>
      </c>
      <c r="CP75" s="42">
        <f t="shared" si="98"/>
        <v>0</v>
      </c>
      <c r="CQ75" s="55">
        <f t="shared" si="99"/>
        <v>0</v>
      </c>
      <c r="CR75" s="76">
        <f t="shared" si="100"/>
        <v>844.08444444857957</v>
      </c>
      <c r="CS75" s="5">
        <f t="shared" si="101"/>
        <v>824.32002772007615</v>
      </c>
      <c r="CT75" s="55">
        <f t="shared" si="102"/>
        <v>-19.76441672850342</v>
      </c>
      <c r="CU75" s="84">
        <f t="shared" si="103"/>
        <v>1012.9013333382954</v>
      </c>
      <c r="CV75" s="68">
        <f t="shared" si="104"/>
        <v>989.18403326409134</v>
      </c>
      <c r="CW75" s="36">
        <f t="shared" si="105"/>
        <v>-23.717300074204104</v>
      </c>
      <c r="CX75" s="41">
        <f>'[2]побудинковий звіт'!CX75+'[1]побудинковий звіт'!CX75</f>
        <v>38.441912159900184</v>
      </c>
      <c r="CY75" s="41">
        <f>'[2]побудинковий звіт'!CY75+'[1]побудинковий звіт'!CY75</f>
        <v>62.159212234104203</v>
      </c>
      <c r="CZ75" s="55">
        <f t="shared" si="106"/>
        <v>23.717300074204019</v>
      </c>
      <c r="DA75" s="254">
        <f>'[1]побудинковий звіт'!DA75</f>
        <v>152.09058020013055</v>
      </c>
      <c r="DB75" s="2">
        <v>3</v>
      </c>
      <c r="DC75" s="702">
        <f>'[1]побудинковий звіт'!DC75</f>
        <v>19.399999999999999</v>
      </c>
      <c r="DD75" s="702">
        <f>'[1]побудинковий звіт'!DD75</f>
        <v>0</v>
      </c>
      <c r="DE75" s="702">
        <f>'[1]побудинковий звіт'!DE75</f>
        <v>-90.13</v>
      </c>
      <c r="DF75" s="702">
        <f>'[1]побудинковий звіт'!DF75</f>
        <v>0</v>
      </c>
      <c r="DG75" s="772">
        <v>-746.40025456745502</v>
      </c>
      <c r="DH75" s="746">
        <f t="shared" si="107"/>
        <v>12616.118945978345</v>
      </c>
      <c r="DI75" s="769"/>
      <c r="DJ75" s="5"/>
      <c r="DK75" s="307">
        <f>VLOOKUP($A75,ціни!$A$4:$G$401,5)</f>
        <v>0.34186296172848551</v>
      </c>
      <c r="DL75" s="307"/>
      <c r="DM75" s="307">
        <f>VLOOKUP($A75,ціни!$A$4:$G$401,7)</f>
        <v>0.34186296172848551</v>
      </c>
      <c r="DN75" s="29">
        <f t="shared" si="116"/>
        <v>83.482935254096162</v>
      </c>
      <c r="DO75" s="29">
        <f t="shared" si="117"/>
        <v>0</v>
      </c>
      <c r="DP75" s="306">
        <f t="shared" si="108"/>
        <v>83.482935254096162</v>
      </c>
      <c r="DQ75" s="101"/>
      <c r="DR75" s="29">
        <f>VLOOKUP(A75,'ДЗ нас '!$A$1:$C$359,2)</f>
        <v>83.49</v>
      </c>
      <c r="DS75" s="733"/>
      <c r="DT75" s="29">
        <f t="shared" si="109"/>
        <v>83.49</v>
      </c>
      <c r="DU75" s="247">
        <f>VLOOKUP(A75,'новий кошторис с 01.06'!$A$4:$AI$399,35)*1.2</f>
        <v>83.89016908460394</v>
      </c>
      <c r="DV75" s="29">
        <f t="shared" si="110"/>
        <v>-0.40016908460394518</v>
      </c>
      <c r="DW75" s="1016">
        <f>'[2]побудинковий звіт'!$DW$9+'[1]побудинковий звіт'!DW75</f>
        <v>0</v>
      </c>
      <c r="DX75" s="101">
        <f>'[1]побудинковий звіт'!DX75</f>
        <v>0</v>
      </c>
      <c r="DY75" s="5">
        <f t="shared" si="111"/>
        <v>40.171679999999995</v>
      </c>
      <c r="DZ75" s="5">
        <f t="shared" si="112"/>
        <v>0</v>
      </c>
      <c r="EA75" s="737">
        <f t="shared" si="113"/>
        <v>-90.13</v>
      </c>
      <c r="EC75" s="577">
        <f t="shared" si="114"/>
        <v>401.71679999999998</v>
      </c>
      <c r="EE75" s="743">
        <v>915</v>
      </c>
      <c r="EF75" s="723">
        <f t="shared" si="115"/>
        <v>168.59974543254498</v>
      </c>
      <c r="EH75" s="798">
        <v>-379.39656602200847</v>
      </c>
      <c r="EI75" s="101">
        <f>VLOOKUP(A75,'кошти 01.01.24'!$A$9:$D$352,4,FALSE)</f>
        <v>175.80788027433439</v>
      </c>
    </row>
    <row r="76" spans="1:139" hidden="1" x14ac:dyDescent="0.3">
      <c r="A76" s="318">
        <v>150000988</v>
      </c>
      <c r="B76" s="43" t="s">
        <v>496</v>
      </c>
      <c r="C76" s="44" t="s">
        <v>51</v>
      </c>
      <c r="D76" s="44" t="s">
        <v>51</v>
      </c>
      <c r="E76" s="39">
        <f t="shared" si="64"/>
        <v>323.7</v>
      </c>
      <c r="F76" s="205">
        <f>'[1]побудинковий звіт'!F76</f>
        <v>323.7</v>
      </c>
      <c r="G76" s="29">
        <f>'[1]побудинковий звіт'!G76</f>
        <v>0</v>
      </c>
      <c r="H76" s="148">
        <f>'[1]побудинковий звіт'!H76</f>
        <v>0</v>
      </c>
      <c r="I76" s="41">
        <f>'[2]побудинковий звіт'!I76+'[1]побудинковий звіт'!I76</f>
        <v>0</v>
      </c>
      <c r="J76" s="41">
        <f>'[2]побудинковий звіт'!J76+'[1]побудинковий звіт'!J76</f>
        <v>0</v>
      </c>
      <c r="K76" s="55">
        <f t="shared" si="65"/>
        <v>0</v>
      </c>
      <c r="L76" s="41">
        <f>'[2]побудинковий звіт'!L76+'[1]побудинковий звіт'!L76</f>
        <v>0</v>
      </c>
      <c r="M76" s="41">
        <f>'[2]побудинковий звіт'!M76+'[1]побудинковий звіт'!M76</f>
        <v>0</v>
      </c>
      <c r="N76" s="55">
        <f t="shared" si="66"/>
        <v>0</v>
      </c>
      <c r="O76" s="41">
        <f>'[2]побудинковий звіт'!O76+'[1]побудинковий звіт'!O76</f>
        <v>0</v>
      </c>
      <c r="P76" s="41">
        <f>'[2]побудинковий звіт'!P76+'[1]побудинковий звіт'!P76</f>
        <v>0</v>
      </c>
      <c r="Q76" s="55">
        <f t="shared" si="67"/>
        <v>0</v>
      </c>
      <c r="R76" s="41">
        <f>'[2]побудинковий звіт'!R76+'[1]побудинковий звіт'!R76</f>
        <v>0</v>
      </c>
      <c r="S76" s="41">
        <f>'[2]побудинковий звіт'!S76+'[1]побудинковий звіт'!S76</f>
        <v>0</v>
      </c>
      <c r="T76" s="55">
        <f t="shared" si="68"/>
        <v>0</v>
      </c>
      <c r="U76" s="41">
        <f>'[2]побудинковий звіт'!U76+'[1]побудинковий звіт'!U76</f>
        <v>0</v>
      </c>
      <c r="V76" s="41">
        <f>'[2]побудинковий звіт'!V76+'[1]побудинковий звіт'!V76</f>
        <v>0</v>
      </c>
      <c r="W76" s="55">
        <f t="shared" si="69"/>
        <v>0</v>
      </c>
      <c r="X76" s="41">
        <f>'[2]побудинковий звіт'!X76+'[1]побудинковий звіт'!X76</f>
        <v>0</v>
      </c>
      <c r="Y76" s="41">
        <f>'[2]побудинковий звіт'!Y76+'[1]побудинковий звіт'!Y76</f>
        <v>0</v>
      </c>
      <c r="Z76" s="55">
        <f t="shared" si="70"/>
        <v>0</v>
      </c>
      <c r="AA76" s="41">
        <f>'[2]побудинковий звіт'!AA76+'[1]побудинковий звіт'!AA76</f>
        <v>0</v>
      </c>
      <c r="AB76" s="41">
        <f>'[2]побудинковий звіт'!AB76+'[1]побудинковий звіт'!AB76</f>
        <v>0</v>
      </c>
      <c r="AC76" s="55">
        <f t="shared" si="71"/>
        <v>0</v>
      </c>
      <c r="AD76" s="41">
        <f>'[2]побудинковий звіт'!AD76+'[1]побудинковий звіт'!AD76</f>
        <v>0</v>
      </c>
      <c r="AE76" s="41">
        <f>'[2]побудинковий звіт'!AE76+'[1]побудинковий звіт'!AE76</f>
        <v>0</v>
      </c>
      <c r="AF76" s="36">
        <f t="shared" si="72"/>
        <v>0</v>
      </c>
      <c r="AG76" s="84">
        <f t="shared" si="73"/>
        <v>0</v>
      </c>
      <c r="AH76" s="56">
        <f t="shared" si="74"/>
        <v>0</v>
      </c>
      <c r="AI76" s="55">
        <f t="shared" si="75"/>
        <v>0</v>
      </c>
      <c r="AJ76" s="41">
        <f>'[2]побудинковий звіт'!AJ76+'[1]побудинковий звіт'!AJ76</f>
        <v>0</v>
      </c>
      <c r="AK76" s="41">
        <f>'[2]побудинковий звіт'!AK76+'[1]побудинковий звіт'!AK76</f>
        <v>0</v>
      </c>
      <c r="AL76" s="55">
        <f t="shared" si="76"/>
        <v>0</v>
      </c>
      <c r="AM76" s="41">
        <f>'[2]побудинковий звіт'!AM76+'[1]побудинковий звіт'!AM76</f>
        <v>0</v>
      </c>
      <c r="AN76" s="41">
        <f>'[2]побудинковий звіт'!AN76+'[1]побудинковий звіт'!AN76</f>
        <v>0</v>
      </c>
      <c r="AO76" s="55">
        <f t="shared" si="77"/>
        <v>0</v>
      </c>
      <c r="AP76" s="41">
        <f>'[2]побудинковий звіт'!AP76+'[1]побудинковий звіт'!AP76</f>
        <v>446.91778141850642</v>
      </c>
      <c r="AQ76" s="41">
        <f>'[2]побудинковий звіт'!AQ76+'[1]побудинковий звіт'!AQ76</f>
        <v>234.12564038601874</v>
      </c>
      <c r="AR76" s="55">
        <f t="shared" si="78"/>
        <v>-212.79214103248768</v>
      </c>
      <c r="AS76" s="41">
        <f>'[2]побудинковий звіт'!AS76+'[1]побудинковий звіт'!AS76</f>
        <v>3926.583298344045</v>
      </c>
      <c r="AT76" s="41">
        <f>'[2]побудинковий звіт'!AT76+'[1]побудинковий звіт'!AT76</f>
        <v>10192.764529694025</v>
      </c>
      <c r="AU76" s="57">
        <f t="shared" si="79"/>
        <v>6266.1812313499795</v>
      </c>
      <c r="AV76" s="41">
        <f>'[2]побудинковий звіт'!AV76+'[1]побудинковий звіт'!AV76</f>
        <v>0</v>
      </c>
      <c r="AW76" s="41">
        <f>'[2]побудинковий звіт'!AW76+'[1]побудинковий звіт'!AW76</f>
        <v>0</v>
      </c>
      <c r="AX76" s="58">
        <f t="shared" si="80"/>
        <v>0</v>
      </c>
      <c r="AY76" s="41">
        <f>'[2]побудинковий звіт'!AY76+'[1]побудинковий звіт'!AY76</f>
        <v>0</v>
      </c>
      <c r="AZ76" s="41">
        <f>'[2]побудинковий звіт'!AZ76+'[1]побудинковий звіт'!AZ76</f>
        <v>0</v>
      </c>
      <c r="BA76" s="36">
        <f t="shared" si="81"/>
        <v>0</v>
      </c>
      <c r="BB76" s="41">
        <f>'[2]побудинковий звіт'!BB76+'[1]побудинковий звіт'!BB76</f>
        <v>0</v>
      </c>
      <c r="BC76" s="41">
        <f>'[2]побудинковий звіт'!BC76+'[1]побудинковий звіт'!BC76</f>
        <v>0</v>
      </c>
      <c r="BD76" s="58">
        <f t="shared" si="82"/>
        <v>0</v>
      </c>
      <c r="BE76" s="41">
        <f>'[2]побудинковий звіт'!BE76+'[1]побудинковий звіт'!BE76</f>
        <v>0</v>
      </c>
      <c r="BF76" s="41">
        <f>'[2]побудинковий звіт'!BF76+'[1]побудинковий звіт'!BF76</f>
        <v>0</v>
      </c>
      <c r="BG76" s="38">
        <f t="shared" si="83"/>
        <v>0</v>
      </c>
      <c r="BH76" s="41">
        <f>'[2]побудинковий звіт'!BH76+'[1]побудинковий звіт'!BH76</f>
        <v>0</v>
      </c>
      <c r="BI76" s="41">
        <f>'[2]побудинковий звіт'!BI76+'[1]побудинковий звіт'!BI76</f>
        <v>0</v>
      </c>
      <c r="BJ76" s="58">
        <f t="shared" si="84"/>
        <v>0</v>
      </c>
      <c r="BK76" s="41">
        <f>'[2]побудинковий звіт'!BK76+'[1]побудинковий звіт'!BK76</f>
        <v>0</v>
      </c>
      <c r="BL76" s="41">
        <f>'[2]побудинковий звіт'!BL76+'[1]побудинковий звіт'!BL76</f>
        <v>0</v>
      </c>
      <c r="BM76" s="38">
        <f t="shared" si="85"/>
        <v>0</v>
      </c>
      <c r="BN76" s="41">
        <f>'[2]побудинковий звіт'!BN76+'[1]побудинковий звіт'!BN76</f>
        <v>0</v>
      </c>
      <c r="BO76" s="41">
        <f>'[2]побудинковий звіт'!BO76+'[1]побудинковий звіт'!BO76</f>
        <v>0</v>
      </c>
      <c r="BP76" s="58">
        <f t="shared" si="86"/>
        <v>0</v>
      </c>
      <c r="BQ76" s="84">
        <f t="shared" si="87"/>
        <v>0</v>
      </c>
      <c r="BR76" s="42">
        <f t="shared" si="88"/>
        <v>0</v>
      </c>
      <c r="BS76" s="58">
        <f t="shared" si="89"/>
        <v>0</v>
      </c>
      <c r="BT76" s="41">
        <f>'[2]побудинковий звіт'!BT76+'[1]побудинковий звіт'!BT76</f>
        <v>97.154666394583558</v>
      </c>
      <c r="BU76" s="41">
        <f>'[2]побудинковий звіт'!BU76+'[1]побудинковий звіт'!BU76</f>
        <v>354.43917646265277</v>
      </c>
      <c r="BV76" s="55">
        <f t="shared" si="90"/>
        <v>257.28451006806921</v>
      </c>
      <c r="BW76" s="41">
        <f>'[2]побудинковий звіт'!BW76+'[1]побудинковий звіт'!BW76</f>
        <v>0</v>
      </c>
      <c r="BX76" s="41">
        <f>'[2]побудинковий звіт'!BX76+'[1]побудинковий звіт'!BX76</f>
        <v>1.3175535816397699</v>
      </c>
      <c r="BY76" s="55">
        <f t="shared" si="91"/>
        <v>1.3175535816397699</v>
      </c>
      <c r="BZ76" s="41">
        <f>'[2]побудинковий звіт'!BZ76+'[1]побудинковий звіт'!BZ76</f>
        <v>19.098514828845211</v>
      </c>
      <c r="CA76" s="41">
        <f>'[2]побудинковий звіт'!CA76+'[1]побудинковий звіт'!CA76</f>
        <v>31.749975520560945</v>
      </c>
      <c r="CB76" s="55">
        <f t="shared" si="92"/>
        <v>12.651460691715734</v>
      </c>
      <c r="CC76" s="41">
        <f>'[2]побудинковий звіт'!CC76+'[1]побудинковий звіт'!CC76</f>
        <v>0</v>
      </c>
      <c r="CD76" s="41">
        <f>'[2]побудинковий звіт'!CD76+'[1]побудинковий звіт'!CD76</f>
        <v>0</v>
      </c>
      <c r="CE76" s="55">
        <f t="shared" si="93"/>
        <v>0</v>
      </c>
      <c r="CF76" s="41">
        <f>'[2]побудинковий звіт'!CF76+'[1]побудинковий звіт'!CF76</f>
        <v>0</v>
      </c>
      <c r="CG76" s="41">
        <f>'[2]побудинковий звіт'!CG76+'[1]побудинковий звіт'!CG76</f>
        <v>0</v>
      </c>
      <c r="CH76" s="55">
        <f t="shared" si="94"/>
        <v>0</v>
      </c>
      <c r="CI76" s="41">
        <f>'[2]побудинковий звіт'!CI76+'[1]побудинковий звіт'!CI76</f>
        <v>0</v>
      </c>
      <c r="CJ76" s="41">
        <f>'[2]побудинковий звіт'!CJ76+'[1]побудинковий звіт'!CJ76</f>
        <v>0</v>
      </c>
      <c r="CK76" s="55">
        <f t="shared" si="95"/>
        <v>0</v>
      </c>
      <c r="CL76" s="41">
        <f>'[2]побудинковий звіт'!CL76+'[1]побудинковий звіт'!CL76</f>
        <v>0</v>
      </c>
      <c r="CM76" s="41">
        <f>'[2]побудинковий звіт'!CM76+'[1]побудинковий звіт'!CM76</f>
        <v>0</v>
      </c>
      <c r="CN76" s="55">
        <f t="shared" si="96"/>
        <v>0</v>
      </c>
      <c r="CO76" s="41">
        <f t="shared" si="97"/>
        <v>0</v>
      </c>
      <c r="CP76" s="42">
        <f t="shared" si="98"/>
        <v>0</v>
      </c>
      <c r="CQ76" s="55">
        <f t="shared" si="99"/>
        <v>0</v>
      </c>
      <c r="CR76" s="76">
        <f t="shared" si="100"/>
        <v>4489.7542609859811</v>
      </c>
      <c r="CS76" s="5">
        <f t="shared" si="101"/>
        <v>10814.396875644896</v>
      </c>
      <c r="CT76" s="55">
        <f t="shared" si="102"/>
        <v>6324.6426146589147</v>
      </c>
      <c r="CU76" s="84">
        <f t="shared" si="103"/>
        <v>5387.7051131831768</v>
      </c>
      <c r="CV76" s="68">
        <f t="shared" si="104"/>
        <v>12977.276250773875</v>
      </c>
      <c r="CW76" s="36">
        <f t="shared" si="105"/>
        <v>7589.5711375906985</v>
      </c>
      <c r="CX76" s="41">
        <f>'[2]побудинковий звіт'!CX76+'[1]побудинковий звіт'!CX76</f>
        <v>162.35641484681736</v>
      </c>
      <c r="CY76" s="41">
        <f>'[2]побудинковий звіт'!CY76+'[1]побудинковий звіт'!CY76</f>
        <v>-7427.2147227438836</v>
      </c>
      <c r="CZ76" s="55">
        <f t="shared" si="106"/>
        <v>-7589.5711375907013</v>
      </c>
      <c r="DA76" s="254">
        <f>'[1]побудинковий звіт'!DA76</f>
        <v>4669.2097616697993</v>
      </c>
      <c r="DB76" s="2">
        <v>3</v>
      </c>
      <c r="DC76" s="702">
        <f>'[1]побудинковий звіт'!DC76</f>
        <v>565.17999999999995</v>
      </c>
      <c r="DD76" s="702">
        <f>'[1]побудинковий звіт'!DD76</f>
        <v>0</v>
      </c>
      <c r="DE76" s="702">
        <f>'[1]побудинковий звіт'!DE76</f>
        <v>-44.120000000000005</v>
      </c>
      <c r="DF76" s="702">
        <f>'[1]побудинковий звіт'!DF76</f>
        <v>0</v>
      </c>
      <c r="DG76" s="772">
        <v>-4880.1557126058678</v>
      </c>
      <c r="DH76" s="746">
        <f t="shared" si="107"/>
        <v>66600.738336359937</v>
      </c>
      <c r="DI76" s="769"/>
      <c r="DJ76" s="5"/>
      <c r="DK76" s="307">
        <f>VLOOKUP($A76,ціни!$A$4:$G$401,5)</f>
        <v>1.3434664307198401</v>
      </c>
      <c r="DL76" s="307"/>
      <c r="DM76" s="307">
        <f>VLOOKUP($A76,ціни!$A$4:$G$401,7)</f>
        <v>1.3434664307198401</v>
      </c>
      <c r="DN76" s="29">
        <f t="shared" si="116"/>
        <v>434.88008362401223</v>
      </c>
      <c r="DO76" s="29">
        <f t="shared" si="117"/>
        <v>0</v>
      </c>
      <c r="DP76" s="306">
        <f t="shared" si="108"/>
        <v>434.88008362401223</v>
      </c>
      <c r="DQ76" s="101"/>
      <c r="DR76" s="29">
        <f>VLOOKUP(A76,'ДЗ нас '!$A$1:$C$359,2)</f>
        <v>434.89</v>
      </c>
      <c r="DS76" s="733"/>
      <c r="DT76" s="29">
        <f t="shared" si="109"/>
        <v>434.89</v>
      </c>
      <c r="DU76" s="247">
        <f>VLOOKUP(A76,'новий кошторис с 01.06'!$A$4:$AI$399,35)*1.2</f>
        <v>437.00144988559276</v>
      </c>
      <c r="DV76" s="29">
        <f t="shared" si="110"/>
        <v>-2.1114498855927764</v>
      </c>
      <c r="DW76" s="1016">
        <f>'[2]побудинковий звіт'!$DW$9+'[1]побудинковий звіт'!DW76</f>
        <v>0</v>
      </c>
      <c r="DX76" s="101">
        <f>'[1]побудинковий звіт'!DX76</f>
        <v>0</v>
      </c>
      <c r="DY76" s="5">
        <f t="shared" si="111"/>
        <v>4711.8999580128539</v>
      </c>
      <c r="DZ76" s="5">
        <f t="shared" si="112"/>
        <v>12231.317435632829</v>
      </c>
      <c r="EA76" s="737">
        <f t="shared" si="113"/>
        <v>-44.120000000000005</v>
      </c>
      <c r="EC76" s="577">
        <f t="shared" si="114"/>
        <v>47118.99958012854</v>
      </c>
      <c r="EE76" s="743">
        <v>-1350</v>
      </c>
      <c r="EF76" s="723">
        <f t="shared" si="115"/>
        <v>-6230.1557126058678</v>
      </c>
      <c r="EH76" s="798">
        <v>712.6901873348379</v>
      </c>
      <c r="EI76" s="101">
        <f>VLOOKUP(A76,'кошти 01.01.24'!$A$9:$D$352,4,FALSE)</f>
        <v>-2920.3613759209011</v>
      </c>
    </row>
    <row r="77" spans="1:139" hidden="1" x14ac:dyDescent="0.3">
      <c r="A77" s="318">
        <v>150000548</v>
      </c>
      <c r="B77" s="43" t="s">
        <v>497</v>
      </c>
      <c r="C77" s="44" t="s">
        <v>246</v>
      </c>
      <c r="D77" s="44" t="s">
        <v>246</v>
      </c>
      <c r="E77" s="39">
        <f t="shared" si="64"/>
        <v>2189.75</v>
      </c>
      <c r="F77" s="205">
        <f>'[1]побудинковий звіт'!F77</f>
        <v>2189.75</v>
      </c>
      <c r="G77" s="29">
        <f>'[1]побудинковий звіт'!G77</f>
        <v>0</v>
      </c>
      <c r="H77" s="148">
        <f>'[1]побудинковий звіт'!H77</f>
        <v>0</v>
      </c>
      <c r="I77" s="41">
        <f>'[2]побудинковий звіт'!I77+'[1]побудинковий звіт'!I77</f>
        <v>7821.2422460169146</v>
      </c>
      <c r="J77" s="41">
        <f>'[2]побудинковий звіт'!J77+'[1]побудинковий звіт'!J77</f>
        <v>6105.9980037993773</v>
      </c>
      <c r="K77" s="55">
        <f t="shared" si="65"/>
        <v>-1715.2442422175372</v>
      </c>
      <c r="L77" s="41">
        <f>'[2]побудинковий звіт'!L77+'[1]побудинковий звіт'!L77</f>
        <v>1824.1384697279993</v>
      </c>
      <c r="M77" s="41">
        <f>'[2]побудинковий звіт'!M77+'[1]побудинковий звіт'!M77</f>
        <v>1553.4245215466622</v>
      </c>
      <c r="N77" s="55">
        <f t="shared" si="66"/>
        <v>-270.71394818133717</v>
      </c>
      <c r="O77" s="41">
        <f>'[2]побудинковий звіт'!O77+'[1]побудинковий звіт'!O77</f>
        <v>3508.494164106271</v>
      </c>
      <c r="P77" s="41">
        <f>'[2]побудинковий звіт'!P77+'[1]побудинковий звіт'!P77</f>
        <v>3518.5661376557241</v>
      </c>
      <c r="Q77" s="55">
        <f t="shared" si="67"/>
        <v>10.071973549453105</v>
      </c>
      <c r="R77" s="41">
        <f>'[2]побудинковий звіт'!R77+'[1]побудинковий звіт'!R77</f>
        <v>691.6631617178773</v>
      </c>
      <c r="S77" s="41">
        <f>'[2]побудинковий звіт'!S77+'[1]побудинковий звіт'!S77</f>
        <v>693.74297724688847</v>
      </c>
      <c r="T77" s="55">
        <f t="shared" si="68"/>
        <v>2.0798155290111708</v>
      </c>
      <c r="U77" s="41">
        <f>'[2]побудинковий звіт'!U77+'[1]побудинковий звіт'!U77</f>
        <v>566.15573473312088</v>
      </c>
      <c r="V77" s="41">
        <f>'[2]побудинковий звіт'!V77+'[1]побудинковий звіт'!V77</f>
        <v>225.25343946102902</v>
      </c>
      <c r="W77" s="55">
        <f t="shared" si="69"/>
        <v>-340.90229527209186</v>
      </c>
      <c r="X77" s="41">
        <f>'[2]побудинковий звіт'!X77+'[1]побудинковий звіт'!X77</f>
        <v>5889.1336565483398</v>
      </c>
      <c r="Y77" s="41">
        <f>'[2]побудинковий звіт'!Y77+'[1]побудинковий звіт'!Y77</f>
        <v>6068.5207097916482</v>
      </c>
      <c r="Z77" s="55">
        <f t="shared" si="70"/>
        <v>179.3870532433084</v>
      </c>
      <c r="AA77" s="41">
        <f>'[2]побудинковий звіт'!AA77+'[1]побудинковий звіт'!AA77</f>
        <v>0</v>
      </c>
      <c r="AB77" s="41">
        <f>'[2]побудинковий звіт'!AB77+'[1]побудинковий звіт'!AB77</f>
        <v>0</v>
      </c>
      <c r="AC77" s="55">
        <f t="shared" si="71"/>
        <v>0</v>
      </c>
      <c r="AD77" s="41">
        <f>'[2]побудинковий звіт'!AD77+'[1]побудинковий звіт'!AD77</f>
        <v>9498.1691348469249</v>
      </c>
      <c r="AE77" s="41">
        <f>'[2]побудинковий звіт'!AE77+'[1]побудинковий звіт'!AE77</f>
        <v>9461.2076882210204</v>
      </c>
      <c r="AF77" s="36">
        <f t="shared" si="72"/>
        <v>-36.9614466259045</v>
      </c>
      <c r="AG77" s="84">
        <f t="shared" si="73"/>
        <v>29798.996567697446</v>
      </c>
      <c r="AH77" s="56">
        <f t="shared" si="74"/>
        <v>27626.713477722347</v>
      </c>
      <c r="AI77" s="55">
        <f t="shared" si="75"/>
        <v>-2172.2830899750988</v>
      </c>
      <c r="AJ77" s="41">
        <f>'[2]побудинковий звіт'!AJ77+'[1]побудинковий звіт'!AJ77</f>
        <v>0</v>
      </c>
      <c r="AK77" s="41">
        <f>'[2]побудинковий звіт'!AK77+'[1]побудинковий звіт'!AK77</f>
        <v>0</v>
      </c>
      <c r="AL77" s="55">
        <f t="shared" si="76"/>
        <v>0</v>
      </c>
      <c r="AM77" s="41">
        <f>'[2]побудинковий звіт'!AM77+'[1]побудинковий звіт'!AM77</f>
        <v>0</v>
      </c>
      <c r="AN77" s="41">
        <f>'[2]побудинковий звіт'!AN77+'[1]побудинковий звіт'!AN77</f>
        <v>0</v>
      </c>
      <c r="AO77" s="55">
        <f t="shared" si="77"/>
        <v>0</v>
      </c>
      <c r="AP77" s="41">
        <f>'[2]побудинковий звіт'!AP77+'[1]побудинковий звіт'!AP77</f>
        <v>1485.8969143578061</v>
      </c>
      <c r="AQ77" s="41">
        <f>'[2]побудинковий звіт'!AQ77+'[1]побудинковий звіт'!AQ77</f>
        <v>1156.3896933244228</v>
      </c>
      <c r="AR77" s="55">
        <f t="shared" si="78"/>
        <v>-329.5072210333833</v>
      </c>
      <c r="AS77" s="41">
        <f>'[2]побудинковий звіт'!AS77+'[1]побудинковий звіт'!AS77</f>
        <v>32360.27533765736</v>
      </c>
      <c r="AT77" s="41">
        <f>'[2]побудинковий звіт'!AT77+'[1]побудинковий звіт'!AT77</f>
        <v>29925.014341413651</v>
      </c>
      <c r="AU77" s="57">
        <f t="shared" si="79"/>
        <v>-2435.2609962437091</v>
      </c>
      <c r="AV77" s="41">
        <f>'[2]побудинковий звіт'!AV77+'[1]побудинковий звіт'!AV77</f>
        <v>1510.5396056282004</v>
      </c>
      <c r="AW77" s="41">
        <f>'[2]побудинковий звіт'!AW77+'[1]побудинковий звіт'!AW77</f>
        <v>425.98817545704691</v>
      </c>
      <c r="AX77" s="58">
        <f t="shared" si="80"/>
        <v>-1084.5514301711535</v>
      </c>
      <c r="AY77" s="41">
        <f>'[2]побудинковий звіт'!AY77+'[1]побудинковий звіт'!AY77</f>
        <v>2154.925797311424</v>
      </c>
      <c r="AZ77" s="41">
        <f>'[2]побудинковий звіт'!AZ77+'[1]побудинковий звіт'!AZ77</f>
        <v>2913.6280338663282</v>
      </c>
      <c r="BA77" s="36">
        <f t="shared" si="81"/>
        <v>758.70223655490418</v>
      </c>
      <c r="BB77" s="41">
        <f>'[2]побудинковий звіт'!BB77+'[1]побудинковий звіт'!BB77</f>
        <v>1179.5922127745503</v>
      </c>
      <c r="BC77" s="41">
        <f>'[2]побудинковий звіт'!BC77+'[1]побудинковий звіт'!BC77</f>
        <v>51.992053775999999</v>
      </c>
      <c r="BD77" s="58">
        <f t="shared" si="82"/>
        <v>-1127.6001589985503</v>
      </c>
      <c r="BE77" s="41">
        <f>'[2]побудинковий звіт'!BE77+'[1]побудинковий звіт'!BE77</f>
        <v>786.16348604816574</v>
      </c>
      <c r="BF77" s="41">
        <f>'[2]побудинковий звіт'!BF77+'[1]побудинковий звіт'!BF77</f>
        <v>0</v>
      </c>
      <c r="BG77" s="38">
        <f t="shared" si="83"/>
        <v>-786.16348604816574</v>
      </c>
      <c r="BH77" s="41">
        <f>'[2]побудинковий звіт'!BH77+'[1]побудинковий звіт'!BH77</f>
        <v>524.13941603615615</v>
      </c>
      <c r="BI77" s="41">
        <f>'[2]побудинковий звіт'!BI77+'[1]побудинковий звіт'!BI77</f>
        <v>7.7228418000000003</v>
      </c>
      <c r="BJ77" s="58">
        <f t="shared" si="84"/>
        <v>-516.41657423615618</v>
      </c>
      <c r="BK77" s="41">
        <f>'[2]побудинковий звіт'!BK77+'[1]побудинковий звіт'!BK77</f>
        <v>1026.3243605421635</v>
      </c>
      <c r="BL77" s="41">
        <f>'[2]побудинковий звіт'!BL77+'[1]побудинковий звіт'!BL77</f>
        <v>1298.6085154476873</v>
      </c>
      <c r="BM77" s="38">
        <f t="shared" si="85"/>
        <v>272.28415490552379</v>
      </c>
      <c r="BN77" s="41">
        <f>'[2]побудинковий звіт'!BN77+'[1]побудинковий звіт'!BN77</f>
        <v>692.1908980123028</v>
      </c>
      <c r="BO77" s="41">
        <f>'[2]побудинковий звіт'!BO77+'[1]побудинковий звіт'!BO77</f>
        <v>0</v>
      </c>
      <c r="BP77" s="58">
        <f t="shared" si="86"/>
        <v>-692.1908980123028</v>
      </c>
      <c r="BQ77" s="84">
        <f t="shared" si="87"/>
        <v>7873.8757763529629</v>
      </c>
      <c r="BR77" s="42">
        <f t="shared" si="88"/>
        <v>4697.9396203470624</v>
      </c>
      <c r="BS77" s="58">
        <f t="shared" si="89"/>
        <v>-3175.9361560059006</v>
      </c>
      <c r="BT77" s="41">
        <f>'[2]побудинковий звіт'!BT77+'[1]побудинковий звіт'!BT77</f>
        <v>40407.116238013572</v>
      </c>
      <c r="BU77" s="41">
        <f>'[2]побудинковий звіт'!BU77+'[1]побудинковий звіт'!BU77</f>
        <v>33137.545977924761</v>
      </c>
      <c r="BV77" s="55">
        <f t="shared" si="90"/>
        <v>-7269.5702600888108</v>
      </c>
      <c r="BW77" s="41">
        <f>'[2]побудинковий звіт'!BW77+'[1]побудинковий звіт'!BW77</f>
        <v>18561.237617587856</v>
      </c>
      <c r="BX77" s="41">
        <f>'[2]побудинковий звіт'!BX77+'[1]побудинковий звіт'!BX77</f>
        <v>14641.318132807997</v>
      </c>
      <c r="BY77" s="55">
        <f t="shared" si="91"/>
        <v>-3919.919484779859</v>
      </c>
      <c r="BZ77" s="41">
        <f>'[2]побудинковий звіт'!BZ77+'[1]побудинковий звіт'!BZ77</f>
        <v>5670.7593378728843</v>
      </c>
      <c r="CA77" s="41">
        <f>'[2]побудинковий звіт'!CA77+'[1]побудинковий звіт'!CA77</f>
        <v>4506.0044578378756</v>
      </c>
      <c r="CB77" s="55">
        <f t="shared" si="92"/>
        <v>-1164.7548800350087</v>
      </c>
      <c r="CC77" s="41">
        <f>'[2]побудинковий звіт'!CC77+'[1]побудинковий звіт'!CC77</f>
        <v>630.25535775700678</v>
      </c>
      <c r="CD77" s="41">
        <f>'[2]побудинковий звіт'!CD77+'[1]побудинковий звіт'!CD77</f>
        <v>632.39248337416552</v>
      </c>
      <c r="CE77" s="55">
        <f t="shared" si="93"/>
        <v>2.1371256171587447</v>
      </c>
      <c r="CF77" s="41">
        <f>'[2]побудинковий звіт'!CF77+'[1]побудинковий звіт'!CF77</f>
        <v>78.085288902149372</v>
      </c>
      <c r="CG77" s="41">
        <f>'[2]побудинковий звіт'!CG77+'[1]побудинковий звіт'!CG77</f>
        <v>678.72949786985009</v>
      </c>
      <c r="CH77" s="55">
        <f t="shared" si="94"/>
        <v>600.64420896770071</v>
      </c>
      <c r="CI77" s="41">
        <f>'[2]побудинковий звіт'!CI77+'[1]побудинковий звіт'!CI77</f>
        <v>4110.2038243078787</v>
      </c>
      <c r="CJ77" s="41">
        <f>'[2]побудинковий звіт'!CJ77+'[1]побудинковий звіт'!CJ77</f>
        <v>2784.9060240888584</v>
      </c>
      <c r="CK77" s="55">
        <f t="shared" si="95"/>
        <v>-1325.2978002190202</v>
      </c>
      <c r="CL77" s="41">
        <f>'[2]побудинковий звіт'!CL77+'[1]побудинковий звіт'!CL77</f>
        <v>0</v>
      </c>
      <c r="CM77" s="41">
        <f>'[2]побудинковий звіт'!CM77+'[1]побудинковий звіт'!CM77</f>
        <v>0</v>
      </c>
      <c r="CN77" s="55">
        <f t="shared" si="96"/>
        <v>0</v>
      </c>
      <c r="CO77" s="41">
        <f t="shared" si="97"/>
        <v>4110.2038243078787</v>
      </c>
      <c r="CP77" s="42">
        <f t="shared" si="98"/>
        <v>2784.9060240888584</v>
      </c>
      <c r="CQ77" s="55">
        <f t="shared" si="99"/>
        <v>-1325.2978002190202</v>
      </c>
      <c r="CR77" s="76">
        <f t="shared" si="100"/>
        <v>140976.70226050695</v>
      </c>
      <c r="CS77" s="5">
        <f t="shared" si="101"/>
        <v>119786.95370671099</v>
      </c>
      <c r="CT77" s="55">
        <f t="shared" si="102"/>
        <v>-21189.748553795958</v>
      </c>
      <c r="CU77" s="84">
        <f t="shared" si="103"/>
        <v>169172.04271260832</v>
      </c>
      <c r="CV77" s="68">
        <f t="shared" si="104"/>
        <v>143744.34444805319</v>
      </c>
      <c r="CW77" s="36">
        <f t="shared" si="105"/>
        <v>-25427.698264555132</v>
      </c>
      <c r="CX77" s="41">
        <f>'[2]побудинковий звіт'!CX77+'[1]побудинковий звіт'!CX77</f>
        <v>8449.4262696138048</v>
      </c>
      <c r="CY77" s="41">
        <f>'[2]побудинковий звіт'!CY77+'[1]побудинковий звіт'!CY77</f>
        <v>33877.124534168928</v>
      </c>
      <c r="CZ77" s="55">
        <f t="shared" si="106"/>
        <v>25427.698264555125</v>
      </c>
      <c r="DA77" s="254">
        <f>'[1]побудинковий звіт'!DA77</f>
        <v>-2971.3487256749067</v>
      </c>
      <c r="DB77" s="2">
        <v>1</v>
      </c>
      <c r="DC77" s="702">
        <f>'[1]побудинковий звіт'!DC77</f>
        <v>29711.599999999999</v>
      </c>
      <c r="DD77" s="702">
        <f>'[1]побудинковий звіт'!DD77</f>
        <v>0</v>
      </c>
      <c r="DE77" s="702">
        <f>'[1]побудинковий звіт'!DE77</f>
        <v>10262.019999999997</v>
      </c>
      <c r="DF77" s="702">
        <f>'[1]побудинковий звіт'!DF77</f>
        <v>0</v>
      </c>
      <c r="DG77" s="772">
        <v>-16064.657526664087</v>
      </c>
      <c r="DH77" s="746">
        <f t="shared" si="107"/>
        <v>2131457.6277866657</v>
      </c>
      <c r="DI77" s="769"/>
      <c r="DJ77" s="5"/>
      <c r="DK77" s="307">
        <f>VLOOKUP($A77,ціни!$A$4:$G$401,5)</f>
        <v>6.36027604072597</v>
      </c>
      <c r="DL77" s="307"/>
      <c r="DM77" s="307">
        <f>VLOOKUP($A77,ціни!$A$4:$G$401,7)</f>
        <v>5.516066245261352</v>
      </c>
      <c r="DN77" s="29">
        <f t="shared" si="116"/>
        <v>13927.414460179692</v>
      </c>
      <c r="DO77" s="29">
        <f t="shared" si="117"/>
        <v>0</v>
      </c>
      <c r="DP77" s="306">
        <f t="shared" si="108"/>
        <v>13927.414460179692</v>
      </c>
      <c r="DQ77" s="101"/>
      <c r="DR77" s="29">
        <f>VLOOKUP(A77,'ДЗ нас '!$A$1:$C$359,2)</f>
        <v>13927.46</v>
      </c>
      <c r="DS77" s="733"/>
      <c r="DT77" s="29">
        <f t="shared" si="109"/>
        <v>13927.46</v>
      </c>
      <c r="DU77" s="247">
        <f>VLOOKUP(A77,'новий кошторис с 01.06'!$A$4:$AI$399,35)*1.2</f>
        <v>14061.019630172334</v>
      </c>
      <c r="DV77" s="29">
        <f t="shared" si="110"/>
        <v>-133.55963017233444</v>
      </c>
      <c r="DW77" s="1016">
        <f>'[2]побудинковий звіт'!$DW$9+'[1]побудинковий звіт'!DW77</f>
        <v>918</v>
      </c>
      <c r="DX77" s="101">
        <f>'[1]побудинковий звіт'!DX77</f>
        <v>0</v>
      </c>
      <c r="DY77" s="5">
        <f t="shared" si="111"/>
        <v>48280.981336812387</v>
      </c>
      <c r="DZ77" s="5">
        <f t="shared" si="112"/>
        <v>41547.54475411286</v>
      </c>
      <c r="EA77" s="737">
        <f t="shared" si="113"/>
        <v>10262.019999999997</v>
      </c>
      <c r="EC77" s="577">
        <f t="shared" si="114"/>
        <v>388323.30405188829</v>
      </c>
      <c r="EE77" s="743">
        <v>-21735</v>
      </c>
      <c r="EF77" s="723">
        <f t="shared" si="115"/>
        <v>-37799.657526664087</v>
      </c>
      <c r="EH77" s="798">
        <v>-14011.702993473693</v>
      </c>
      <c r="EI77" s="101">
        <f>VLOOKUP(A77,'кошти 01.01.24'!$A$9:$D$352,4,FALSE)</f>
        <v>22456.349538880226</v>
      </c>
    </row>
    <row r="78" spans="1:139" ht="14.4" hidden="1" customHeight="1" x14ac:dyDescent="0.3">
      <c r="A78" s="318">
        <v>150000549</v>
      </c>
      <c r="B78" s="43" t="s">
        <v>498</v>
      </c>
      <c r="C78" s="44" t="s">
        <v>206</v>
      </c>
      <c r="D78" s="44" t="s">
        <v>206</v>
      </c>
      <c r="E78" s="39">
        <f t="shared" si="64"/>
        <v>1174.6199999999999</v>
      </c>
      <c r="F78" s="205">
        <f>'[1]побудинковий звіт'!F78</f>
        <v>1174.6199999999999</v>
      </c>
      <c r="G78" s="29">
        <f>'[1]побудинковий звіт'!G78</f>
        <v>0</v>
      </c>
      <c r="H78" s="148">
        <f>'[1]побудинковий звіт'!H78</f>
        <v>0</v>
      </c>
      <c r="I78" s="41">
        <f>'[2]побудинковий звіт'!I78+'[1]побудинковий звіт'!I78</f>
        <v>5762.5992105663299</v>
      </c>
      <c r="J78" s="41">
        <f>'[2]побудинковий звіт'!J78+'[1]побудинковий звіт'!J78</f>
        <v>4527.0161764640734</v>
      </c>
      <c r="K78" s="55">
        <f t="shared" si="65"/>
        <v>-1235.5830341022565</v>
      </c>
      <c r="L78" s="41">
        <f>'[2]побудинковий звіт'!L78+'[1]побудинковий звіт'!L78</f>
        <v>1452.7067607593908</v>
      </c>
      <c r="M78" s="41">
        <f>'[2]побудинковий звіт'!M78+'[1]побудинковий звіт'!M78</f>
        <v>1226.4821076863548</v>
      </c>
      <c r="N78" s="55">
        <f t="shared" si="66"/>
        <v>-226.22465307303605</v>
      </c>
      <c r="O78" s="41">
        <f>'[2]побудинковий звіт'!O78+'[1]побудинковий звіт'!O78</f>
        <v>1792.1484286876225</v>
      </c>
      <c r="P78" s="41">
        <f>'[2]побудинковий звіт'!P78+'[1]побудинковий звіт'!P78</f>
        <v>1797.0088723027607</v>
      </c>
      <c r="Q78" s="55">
        <f t="shared" si="67"/>
        <v>4.8604436151381378</v>
      </c>
      <c r="R78" s="41">
        <f>'[2]побудинковий звіт'!R78+'[1]побудинковий звіт'!R78</f>
        <v>345.79378825759358</v>
      </c>
      <c r="S78" s="41">
        <f>'[2]побудинковий звіт'!S78+'[1]побудинковий звіт'!S78</f>
        <v>346.42977711325648</v>
      </c>
      <c r="T78" s="55">
        <f t="shared" si="68"/>
        <v>0.63598885566290164</v>
      </c>
      <c r="U78" s="41">
        <f>'[2]побудинковий звіт'!U78+'[1]побудинковий звіт'!U78</f>
        <v>112.26117935125026</v>
      </c>
      <c r="V78" s="41">
        <f>'[2]побудинковий звіт'!V78+'[1]побудинковий звіт'!V78</f>
        <v>64.766754518396098</v>
      </c>
      <c r="W78" s="55">
        <f t="shared" si="69"/>
        <v>-47.494424832854165</v>
      </c>
      <c r="X78" s="41">
        <f>'[2]побудинковий звіт'!X78+'[1]побудинковий звіт'!X78</f>
        <v>2886.4369483609935</v>
      </c>
      <c r="Y78" s="41">
        <f>'[2]побудинковий звіт'!Y78+'[1]побудинковий звіт'!Y78</f>
        <v>1964.6483476590256</v>
      </c>
      <c r="Z78" s="55">
        <f t="shared" si="70"/>
        <v>-921.78860070196788</v>
      </c>
      <c r="AA78" s="41">
        <f>'[2]побудинковий звіт'!AA78+'[1]побудинковий звіт'!AA78</f>
        <v>0</v>
      </c>
      <c r="AB78" s="41">
        <f>'[2]побудинковий звіт'!AB78+'[1]побудинковий звіт'!AB78</f>
        <v>0</v>
      </c>
      <c r="AC78" s="55">
        <f t="shared" si="71"/>
        <v>0</v>
      </c>
      <c r="AD78" s="41">
        <f>'[2]побудинковий звіт'!AD78+'[1]побудинковий звіт'!AD78</f>
        <v>5089.2953767653253</v>
      </c>
      <c r="AE78" s="41">
        <f>'[2]побудинковий звіт'!AE78+'[1]побудинковий звіт'!AE78</f>
        <v>5069.7067216136957</v>
      </c>
      <c r="AF78" s="36">
        <f t="shared" si="72"/>
        <v>-19.588655151629609</v>
      </c>
      <c r="AG78" s="84">
        <f t="shared" si="73"/>
        <v>17441.241692748503</v>
      </c>
      <c r="AH78" s="56">
        <f t="shared" si="74"/>
        <v>14996.058757357561</v>
      </c>
      <c r="AI78" s="55">
        <f t="shared" si="75"/>
        <v>-2445.1829353909416</v>
      </c>
      <c r="AJ78" s="41">
        <f>'[2]побудинковий звіт'!AJ78+'[1]побудинковий звіт'!AJ78</f>
        <v>0</v>
      </c>
      <c r="AK78" s="41">
        <f>'[2]побудинковий звіт'!AK78+'[1]побудинковий звіт'!AK78</f>
        <v>0</v>
      </c>
      <c r="AL78" s="55">
        <f t="shared" si="76"/>
        <v>0</v>
      </c>
      <c r="AM78" s="41">
        <f>'[2]побудинковий звіт'!AM78+'[1]побудинковий звіт'!AM78</f>
        <v>0</v>
      </c>
      <c r="AN78" s="41">
        <f>'[2]побудинковий звіт'!AN78+'[1]побудинковий звіт'!AN78</f>
        <v>0</v>
      </c>
      <c r="AO78" s="55">
        <f t="shared" si="77"/>
        <v>0</v>
      </c>
      <c r="AP78" s="41">
        <f>'[2]побудинковий звіт'!AP78+'[1]побудинковий звіт'!AP78</f>
        <v>1783.0762972293671</v>
      </c>
      <c r="AQ78" s="41">
        <f>'[2]побудинковий звіт'!AQ78+'[1]побудинковий звіт'!AQ78</f>
        <v>1380.8277000648059</v>
      </c>
      <c r="AR78" s="55">
        <f t="shared" si="78"/>
        <v>-402.24859716456126</v>
      </c>
      <c r="AS78" s="41">
        <f>'[2]побудинковий звіт'!AS78+'[1]побудинковий звіт'!AS78</f>
        <v>14489.144722341773</v>
      </c>
      <c r="AT78" s="41">
        <f>'[2]побудинковий звіт'!AT78+'[1]побудинковий звіт'!AT78</f>
        <v>912.19252952684133</v>
      </c>
      <c r="AU78" s="57">
        <f t="shared" si="79"/>
        <v>-13576.952192814932</v>
      </c>
      <c r="AV78" s="41">
        <f>'[2]побудинковий звіт'!AV78+'[1]побудинковий звіт'!AV78</f>
        <v>854.40765490034551</v>
      </c>
      <c r="AW78" s="41">
        <f>'[2]побудинковий звіт'!AW78+'[1]побудинковий звіт'!AW78</f>
        <v>0</v>
      </c>
      <c r="AX78" s="58">
        <f t="shared" si="80"/>
        <v>-854.40765490034551</v>
      </c>
      <c r="AY78" s="41">
        <f>'[2]побудинковий звіт'!AY78+'[1]побудинковий звіт'!AY78</f>
        <v>1676.1134284666664</v>
      </c>
      <c r="AZ78" s="41">
        <f>'[2]побудинковий звіт'!AZ78+'[1]побудинковий звіт'!AZ78</f>
        <v>0</v>
      </c>
      <c r="BA78" s="36">
        <f t="shared" si="81"/>
        <v>-1676.1134284666664</v>
      </c>
      <c r="BB78" s="41">
        <f>'[2]побудинковий звіт'!BB78+'[1]побудинковий звіт'!BB78</f>
        <v>479.91948475327195</v>
      </c>
      <c r="BC78" s="41">
        <f>'[2]побудинковий звіт'!BC78+'[1]побудинковий звіт'!BC78</f>
        <v>0</v>
      </c>
      <c r="BD78" s="58">
        <f t="shared" si="82"/>
        <v>-479.91948475327195</v>
      </c>
      <c r="BE78" s="41">
        <f>'[2]побудинковий звіт'!BE78+'[1]побудинковий звіт'!BE78</f>
        <v>426.66880957686283</v>
      </c>
      <c r="BF78" s="41">
        <f>'[2]побудинковий звіт'!BF78+'[1]побудинковий звіт'!BF78</f>
        <v>0</v>
      </c>
      <c r="BG78" s="38">
        <f t="shared" si="83"/>
        <v>-426.66880957686283</v>
      </c>
      <c r="BH78" s="41">
        <f>'[2]побудинковий звіт'!BH78+'[1]побудинковий звіт'!BH78</f>
        <v>66.163852782859806</v>
      </c>
      <c r="BI78" s="41">
        <f>'[2]побудинковий звіт'!BI78+'[1]побудинковий звіт'!BI78</f>
        <v>0</v>
      </c>
      <c r="BJ78" s="58">
        <f t="shared" si="84"/>
        <v>-66.163852782859806</v>
      </c>
      <c r="BK78" s="41">
        <f>'[2]побудинковий звіт'!BK78+'[1]побудинковий звіт'!BK78</f>
        <v>536.38959259714898</v>
      </c>
      <c r="BL78" s="41">
        <f>'[2]побудинковий звіт'!BL78+'[1]побудинковий звіт'!BL78</f>
        <v>0</v>
      </c>
      <c r="BM78" s="38">
        <f t="shared" si="85"/>
        <v>-536.38959259714898</v>
      </c>
      <c r="BN78" s="41">
        <f>'[2]побудинковий звіт'!BN78+'[1]побудинковий звіт'!BN78</f>
        <v>364.99839306623153</v>
      </c>
      <c r="BO78" s="41">
        <f>'[2]побудинковий звіт'!BO78+'[1]побудинковий звіт'!BO78</f>
        <v>374.54545586028001</v>
      </c>
      <c r="BP78" s="58">
        <f t="shared" si="86"/>
        <v>9.547062794048486</v>
      </c>
      <c r="BQ78" s="84">
        <f t="shared" si="87"/>
        <v>4404.6612161433859</v>
      </c>
      <c r="BR78" s="42">
        <f t="shared" si="88"/>
        <v>374.54545586028001</v>
      </c>
      <c r="BS78" s="58">
        <f t="shared" si="89"/>
        <v>-4030.1157602831058</v>
      </c>
      <c r="BT78" s="41">
        <f>'[2]побудинковий звіт'!BT78+'[1]побудинковий звіт'!BT78</f>
        <v>20316.868608854777</v>
      </c>
      <c r="BU78" s="41">
        <f>'[2]побудинковий звіт'!BU78+'[1]побудинковий звіт'!BU78</f>
        <v>14931.02001578706</v>
      </c>
      <c r="BV78" s="55">
        <f t="shared" si="90"/>
        <v>-5385.8485930677161</v>
      </c>
      <c r="BW78" s="41">
        <f>'[2]побудинковий звіт'!BW78+'[1]побудинковий звіт'!BW78</f>
        <v>8177.112611657305</v>
      </c>
      <c r="BX78" s="41">
        <f>'[2]побудинковий звіт'!BX78+'[1]побудинковий звіт'!BX78</f>
        <v>4330.4915534832362</v>
      </c>
      <c r="BY78" s="55">
        <f t="shared" si="91"/>
        <v>-3846.6210581740688</v>
      </c>
      <c r="BZ78" s="41">
        <f>'[2]побудинковий звіт'!BZ78+'[1]побудинковий звіт'!BZ78</f>
        <v>6976.8180335454063</v>
      </c>
      <c r="CA78" s="41">
        <f>'[2]побудинковий звіт'!CA78+'[1]побудинковий звіт'!CA78</f>
        <v>1723.3599164097154</v>
      </c>
      <c r="CB78" s="55">
        <f t="shared" si="92"/>
        <v>-5253.4581171356913</v>
      </c>
      <c r="CC78" s="41">
        <f>'[2]побудинковий звіт'!CC78+'[1]побудинковий звіт'!CC78</f>
        <v>621.40002569549847</v>
      </c>
      <c r="CD78" s="41">
        <f>'[2]побудинковий звіт'!CD78+'[1]побудинковий звіт'!CD78</f>
        <v>623.50712386939267</v>
      </c>
      <c r="CE78" s="55">
        <f t="shared" si="93"/>
        <v>2.107098173894201</v>
      </c>
      <c r="CF78" s="41">
        <f>'[2]побудинковий звіт'!CF78+'[1]побудинковий звіт'!CF78</f>
        <v>76.988160327458303</v>
      </c>
      <c r="CG78" s="41">
        <f>'[2]побудинковий звіт'!CG78+'[1]побудинковий звіт'!CG78</f>
        <v>1350.6288907757405</v>
      </c>
      <c r="CH78" s="55">
        <f t="shared" si="94"/>
        <v>1273.6407304482823</v>
      </c>
      <c r="CI78" s="41">
        <f>'[2]побудинковий звіт'!CI78+'[1]побудинковий звіт'!CI78</f>
        <v>1605.1322822534171</v>
      </c>
      <c r="CJ78" s="41">
        <f>'[2]побудинковий звіт'!CJ78+'[1]побудинковий звіт'!CJ78</f>
        <v>1041.7476923630124</v>
      </c>
      <c r="CK78" s="55">
        <f t="shared" si="95"/>
        <v>-563.38458989040464</v>
      </c>
      <c r="CL78" s="41">
        <f>'[2]побудинковий звіт'!CL78+'[1]побудинковий звіт'!CL78</f>
        <v>0</v>
      </c>
      <c r="CM78" s="41">
        <f>'[2]побудинковий звіт'!CM78+'[1]побудинковий звіт'!CM78</f>
        <v>0</v>
      </c>
      <c r="CN78" s="55">
        <f t="shared" si="96"/>
        <v>0</v>
      </c>
      <c r="CO78" s="41">
        <f t="shared" si="97"/>
        <v>1605.1322822534171</v>
      </c>
      <c r="CP78" s="42">
        <f t="shared" si="98"/>
        <v>1041.7476923630124</v>
      </c>
      <c r="CQ78" s="55">
        <f t="shared" si="99"/>
        <v>-563.38458989040464</v>
      </c>
      <c r="CR78" s="76">
        <f t="shared" si="100"/>
        <v>75892.443650796893</v>
      </c>
      <c r="CS78" s="5">
        <f t="shared" si="101"/>
        <v>41664.379635497644</v>
      </c>
      <c r="CT78" s="55">
        <f t="shared" si="102"/>
        <v>-34228.064015299249</v>
      </c>
      <c r="CU78" s="84">
        <f t="shared" si="103"/>
        <v>91070.932380956263</v>
      </c>
      <c r="CV78" s="68">
        <f t="shared" si="104"/>
        <v>49997.255562597173</v>
      </c>
      <c r="CW78" s="36">
        <f t="shared" si="105"/>
        <v>-41073.67681835909</v>
      </c>
      <c r="CX78" s="41">
        <f>'[2]побудинковий звіт'!CX78+'[1]побудинковий звіт'!CX78</f>
        <v>1003.9277480890262</v>
      </c>
      <c r="CY78" s="41">
        <f>'[2]побудинковий звіт'!CY78+'[1]побудинковий звіт'!CY78</f>
        <v>42077.604566448106</v>
      </c>
      <c r="CZ78" s="55">
        <f t="shared" si="106"/>
        <v>41073.676818359083</v>
      </c>
      <c r="DA78" s="254">
        <f>'[1]побудинковий звіт'!DA78</f>
        <v>27603.599963680746</v>
      </c>
      <c r="DB78" s="2">
        <v>1</v>
      </c>
      <c r="DC78" s="702">
        <f>'[1]побудинковий звіт'!DC78</f>
        <v>50484.35</v>
      </c>
      <c r="DD78" s="702">
        <f>'[1]побудинковий звіт'!DD78</f>
        <v>0</v>
      </c>
      <c r="DE78" s="702">
        <f>'[1]побудинковий звіт'!DE78</f>
        <v>40410.199999999997</v>
      </c>
      <c r="DF78" s="702">
        <f>'[1]побудинковий звіт'!DF78</f>
        <v>0</v>
      </c>
      <c r="DG78" s="772">
        <v>9925.9931927620783</v>
      </c>
      <c r="DH78" s="746">
        <f t="shared" si="107"/>
        <v>1104898.3215485434</v>
      </c>
      <c r="DI78" s="769"/>
      <c r="DJ78" s="5"/>
      <c r="DK78" s="307">
        <f>VLOOKUP($A78,ціни!$A$4:$G$401,5)</f>
        <v>6.1477471658533833</v>
      </c>
      <c r="DL78" s="307"/>
      <c r="DM78" s="307">
        <f>VLOOKUP($A78,ціни!$A$4:$G$401,7)</f>
        <v>5.4746973002745358</v>
      </c>
      <c r="DN78" s="29">
        <f t="shared" si="116"/>
        <v>7221.2667759547003</v>
      </c>
      <c r="DO78" s="29">
        <f t="shared" si="117"/>
        <v>0</v>
      </c>
      <c r="DP78" s="306">
        <f t="shared" si="108"/>
        <v>7221.2667759547003</v>
      </c>
      <c r="DQ78" s="101"/>
      <c r="DR78" s="29">
        <f>VLOOKUP(A78,'ДЗ нас '!$A$1:$C$359,2)</f>
        <v>7221.2</v>
      </c>
      <c r="DS78" s="733"/>
      <c r="DT78" s="29">
        <f t="shared" si="109"/>
        <v>7221.2</v>
      </c>
      <c r="DU78" s="247">
        <f>VLOOKUP(A78,'новий кошторис с 01.06'!$A$4:$AI$399,35)*1.2</f>
        <v>7212.0451552059203</v>
      </c>
      <c r="DV78" s="29">
        <f t="shared" si="110"/>
        <v>9.1548447940795086</v>
      </c>
      <c r="DW78" s="1016">
        <f>'[2]побудинковий звіт'!$DW$9+'[1]побудинковий звіт'!DW78</f>
        <v>918</v>
      </c>
      <c r="DX78" s="101">
        <f>'[1]побудинковий звіт'!DX78</f>
        <v>0</v>
      </c>
      <c r="DY78" s="5">
        <f t="shared" si="111"/>
        <v>22672.567126182188</v>
      </c>
      <c r="DZ78" s="5">
        <f t="shared" si="112"/>
        <v>1544.0855824645457</v>
      </c>
      <c r="EA78" s="737">
        <f t="shared" si="113"/>
        <v>40410.199999999997</v>
      </c>
      <c r="EC78" s="577">
        <f t="shared" si="114"/>
        <v>173869.73666810128</v>
      </c>
      <c r="EE78" s="743">
        <v>-351</v>
      </c>
      <c r="EF78" s="723">
        <f t="shared" si="115"/>
        <v>9574.9931927620783</v>
      </c>
      <c r="EH78" s="798">
        <v>58195.412854623632</v>
      </c>
      <c r="EI78" s="101">
        <f>VLOOKUP(A78,'кошти 01.01.24'!$A$9:$D$352,4,FALSE)</f>
        <v>68677.276782039859</v>
      </c>
    </row>
    <row r="79" spans="1:139" hidden="1" x14ac:dyDescent="0.3">
      <c r="A79" s="318">
        <v>150000547</v>
      </c>
      <c r="B79" s="43" t="s">
        <v>499</v>
      </c>
      <c r="C79" s="44" t="s">
        <v>247</v>
      </c>
      <c r="D79" s="44" t="s">
        <v>247</v>
      </c>
      <c r="E79" s="39">
        <f t="shared" si="64"/>
        <v>2745.3</v>
      </c>
      <c r="F79" s="205">
        <f>'[1]побудинковий звіт'!F79</f>
        <v>2745.3</v>
      </c>
      <c r="G79" s="29">
        <f>'[1]побудинковий звіт'!G79</f>
        <v>0</v>
      </c>
      <c r="H79" s="148">
        <f>'[1]побудинковий звіт'!H79</f>
        <v>0</v>
      </c>
      <c r="I79" s="41">
        <f>'[2]побудинковий звіт'!I79+'[1]побудинковий звіт'!I79</f>
        <v>11116.507877255419</v>
      </c>
      <c r="J79" s="41">
        <f>'[2]побудинковий звіт'!J79+'[1]побудинковий звіт'!J79</f>
        <v>8725.7393500826474</v>
      </c>
      <c r="K79" s="55">
        <f t="shared" si="65"/>
        <v>-2390.7685271727714</v>
      </c>
      <c r="L79" s="41">
        <f>'[2]побудинковий звіт'!L79+'[1]побудинковий звіт'!L79</f>
        <v>2111.7918789351111</v>
      </c>
      <c r="M79" s="41">
        <f>'[2]побудинковий звіт'!M79+'[1]побудинковий звіт'!M79</f>
        <v>1867.5868770647862</v>
      </c>
      <c r="N79" s="55">
        <f t="shared" si="66"/>
        <v>-244.20500187032485</v>
      </c>
      <c r="O79" s="41">
        <f>'[2]побудинковий звіт'!O79+'[1]побудинковий звіт'!O79</f>
        <v>4368.0546832285672</v>
      </c>
      <c r="P79" s="41">
        <f>'[2]побудинковий звіт'!P79+'[1]побудинковий звіт'!P79</f>
        <v>4380.7810700651589</v>
      </c>
      <c r="Q79" s="55">
        <f t="shared" si="67"/>
        <v>12.726386836591701</v>
      </c>
      <c r="R79" s="41">
        <f>'[2]побудинковий звіт'!R79+'[1]побудинковий звіт'!R79</f>
        <v>941.48909371463105</v>
      </c>
      <c r="S79" s="41">
        <f>'[2]побудинковий звіт'!S79+'[1]побудинковий звіт'!S79</f>
        <v>944.03448461189225</v>
      </c>
      <c r="T79" s="55">
        <f t="shared" si="68"/>
        <v>2.5453908972611998</v>
      </c>
      <c r="U79" s="41">
        <f>'[2]побудинковий звіт'!U79+'[1]побудинковий звіт'!U79</f>
        <v>718.65665830547721</v>
      </c>
      <c r="V79" s="41">
        <f>'[2]побудинковий звіт'!V79+'[1]побудинковий звіт'!V79</f>
        <v>279.40686477871026</v>
      </c>
      <c r="W79" s="55">
        <f t="shared" si="69"/>
        <v>-439.24979352676695</v>
      </c>
      <c r="X79" s="41">
        <f>'[2]побудинковий звіт'!X79+'[1]побудинковий звіт'!X79</f>
        <v>7696.7150710803598</v>
      </c>
      <c r="Y79" s="41">
        <f>'[2]побудинковий звіт'!Y79+'[1]побудинковий звіт'!Y79</f>
        <v>7523.7322296901375</v>
      </c>
      <c r="Z79" s="55">
        <f t="shared" si="70"/>
        <v>-172.98284139022235</v>
      </c>
      <c r="AA79" s="41">
        <f>'[2]побудинковий звіт'!AA79+'[1]побудинковий звіт'!AA79</f>
        <v>0</v>
      </c>
      <c r="AB79" s="41">
        <f>'[2]побудинковий звіт'!AB79+'[1]побудинковий звіт'!AB79</f>
        <v>0</v>
      </c>
      <c r="AC79" s="55">
        <f t="shared" si="71"/>
        <v>0</v>
      </c>
      <c r="AD79" s="41">
        <f>'[2]побудинковий звіт'!AD79+'[1]побудинковий звіт'!AD79</f>
        <v>11899.305669102947</v>
      </c>
      <c r="AE79" s="41">
        <f>'[2]побудинковий звіт'!AE79+'[1]побудинковий звіт'!AE79</f>
        <v>11853.326705059491</v>
      </c>
      <c r="AF79" s="36">
        <f t="shared" si="72"/>
        <v>-45.978964043455562</v>
      </c>
      <c r="AG79" s="84">
        <f t="shared" si="73"/>
        <v>38852.520931622515</v>
      </c>
      <c r="AH79" s="56">
        <f t="shared" si="74"/>
        <v>35574.607581352822</v>
      </c>
      <c r="AI79" s="55">
        <f t="shared" si="75"/>
        <v>-3277.9133502696932</v>
      </c>
      <c r="AJ79" s="41">
        <f>'[2]побудинковий звіт'!AJ79+'[1]побудинковий звіт'!AJ79</f>
        <v>0</v>
      </c>
      <c r="AK79" s="41">
        <f>'[2]побудинковий звіт'!AK79+'[1]побудинковий звіт'!AK79</f>
        <v>0</v>
      </c>
      <c r="AL79" s="55">
        <f t="shared" si="76"/>
        <v>0</v>
      </c>
      <c r="AM79" s="41">
        <f>'[2]побудинковий звіт'!AM79+'[1]побудинковий звіт'!AM79</f>
        <v>0</v>
      </c>
      <c r="AN79" s="41">
        <f>'[2]побудинковий звіт'!AN79+'[1]побудинковий звіт'!AN79</f>
        <v>0</v>
      </c>
      <c r="AO79" s="55">
        <f t="shared" si="77"/>
        <v>0</v>
      </c>
      <c r="AP79" s="41">
        <f>'[2]побудинковий звіт'!AP79+'[1]побудинковий звіт'!AP79</f>
        <v>2971.7938287156121</v>
      </c>
      <c r="AQ79" s="41">
        <f>'[2]побудинковий звіт'!AQ79+'[1]побудинковий звіт'!AQ79</f>
        <v>2784.325037177191</v>
      </c>
      <c r="AR79" s="55">
        <f t="shared" si="78"/>
        <v>-187.4687915384211</v>
      </c>
      <c r="AS79" s="41">
        <f>'[2]побудинковий звіт'!AS79+'[1]побудинковий звіт'!AS79</f>
        <v>62814.261053753376</v>
      </c>
      <c r="AT79" s="41">
        <f>'[2]побудинковий звіт'!AT79+'[1]побудинковий звіт'!AT79</f>
        <v>19213.553176788675</v>
      </c>
      <c r="AU79" s="57">
        <f t="shared" si="79"/>
        <v>-43600.707876964705</v>
      </c>
      <c r="AV79" s="41">
        <f>'[2]побудинковий звіт'!AV79+'[1]побудинковий звіт'!AV79</f>
        <v>1909.3387858689771</v>
      </c>
      <c r="AW79" s="41">
        <f>'[2]побудинковий звіт'!AW79+'[1]побудинковий звіт'!AW79</f>
        <v>951.97722752600112</v>
      </c>
      <c r="AX79" s="58">
        <f t="shared" si="80"/>
        <v>-957.36155834297597</v>
      </c>
      <c r="AY79" s="41">
        <f>'[2]побудинковий звіт'!AY79+'[1]побудинковий звіт'!AY79</f>
        <v>2752.0885506111304</v>
      </c>
      <c r="AZ79" s="41">
        <f>'[2]побудинковий звіт'!AZ79+'[1]побудинковий звіт'!AZ79</f>
        <v>3916.8740418133639</v>
      </c>
      <c r="BA79" s="36">
        <f t="shared" si="81"/>
        <v>1164.7854912022335</v>
      </c>
      <c r="BB79" s="41">
        <f>'[2]побудинковий звіт'!BB79+'[1]побудинковий звіт'!BB79</f>
        <v>1428.4075284060007</v>
      </c>
      <c r="BC79" s="41">
        <f>'[2]побудинковий звіт'!BC79+'[1]побудинковий звіт'!BC79</f>
        <v>0</v>
      </c>
      <c r="BD79" s="58">
        <f t="shared" si="82"/>
        <v>-1428.4075284060007</v>
      </c>
      <c r="BE79" s="41">
        <f>'[2]побудинковий звіт'!BE79+'[1]побудинковий звіт'!BE79</f>
        <v>738.90481727217912</v>
      </c>
      <c r="BF79" s="41">
        <f>'[2]побудинковий звіт'!BF79+'[1]побудинковий звіт'!BF79</f>
        <v>0</v>
      </c>
      <c r="BG79" s="38">
        <f t="shared" si="83"/>
        <v>-738.90481727217912</v>
      </c>
      <c r="BH79" s="41">
        <f>'[2]побудинковий звіт'!BH79+'[1]побудинковий звіт'!BH79</f>
        <v>677.41056538709631</v>
      </c>
      <c r="BI79" s="41">
        <f>'[2]побудинковий звіт'!BI79+'[1]побудинковий звіт'!BI79</f>
        <v>7.7228418000000003</v>
      </c>
      <c r="BJ79" s="58">
        <f t="shared" si="84"/>
        <v>-669.68772358709634</v>
      </c>
      <c r="BK79" s="41">
        <f>'[2]побудинковий звіт'!BK79+'[1]побудинковий звіт'!BK79</f>
        <v>1440.4627861056185</v>
      </c>
      <c r="BL79" s="41">
        <f>'[2]побудинковий звіт'!BL79+'[1]побудинковий звіт'!BL79</f>
        <v>694.82260686979976</v>
      </c>
      <c r="BM79" s="38">
        <f t="shared" si="85"/>
        <v>-745.64017923581878</v>
      </c>
      <c r="BN79" s="41">
        <f>'[2]побудинковий звіт'!BN79+'[1]побудинковий звіт'!BN79</f>
        <v>224.79389694457677</v>
      </c>
      <c r="BO79" s="41">
        <f>'[2]побудинковий звіт'!BO79+'[1]побудинковий звіт'!BO79</f>
        <v>2240.1847182129</v>
      </c>
      <c r="BP79" s="58">
        <f t="shared" si="86"/>
        <v>2015.3908212683232</v>
      </c>
      <c r="BQ79" s="84">
        <f t="shared" si="87"/>
        <v>9171.40693059558</v>
      </c>
      <c r="BR79" s="42">
        <f t="shared" si="88"/>
        <v>7811.5814362220644</v>
      </c>
      <c r="BS79" s="58">
        <f t="shared" si="89"/>
        <v>-1359.8254943735155</v>
      </c>
      <c r="BT79" s="41">
        <f>'[2]побудинковий звіт'!BT79+'[1]побудинковий звіт'!BT79</f>
        <v>16782.169506207822</v>
      </c>
      <c r="BU79" s="41">
        <f>'[2]побудинковий звіт'!BU79+'[1]побудинковий звіт'!BU79</f>
        <v>28385.553436270973</v>
      </c>
      <c r="BV79" s="55">
        <f t="shared" si="90"/>
        <v>11603.383930063152</v>
      </c>
      <c r="BW79" s="41">
        <f>'[2]побудинковий звіт'!BW79+'[1]побудинковий звіт'!BW79</f>
        <v>18346.850757567823</v>
      </c>
      <c r="BX79" s="41">
        <f>'[2]побудинковий звіт'!BX79+'[1]побудинковий звіт'!BX79</f>
        <v>21684.679200004186</v>
      </c>
      <c r="BY79" s="55">
        <f t="shared" si="91"/>
        <v>3337.8284424363628</v>
      </c>
      <c r="BZ79" s="41">
        <f>'[2]побудинковий звіт'!BZ79+'[1]побудинковий звіт'!BZ79</f>
        <v>8953.8305334834986</v>
      </c>
      <c r="CA79" s="41">
        <f>'[2]побудинковий звіт'!CA79+'[1]побудинковий звіт'!CA79</f>
        <v>2803.5911639625174</v>
      </c>
      <c r="CB79" s="55">
        <f t="shared" si="92"/>
        <v>-6150.2393695209812</v>
      </c>
      <c r="CC79" s="41">
        <f>'[2]побудинковий звіт'!CC79+'[1]побудинковий звіт'!CC79</f>
        <v>1516.0939201858232</v>
      </c>
      <c r="CD79" s="41">
        <f>'[2]побудинковий звіт'!CD79+'[1]побудинковий звіт'!CD79</f>
        <v>1521.2348255584936</v>
      </c>
      <c r="CE79" s="55">
        <f t="shared" si="93"/>
        <v>5.1409053726704315</v>
      </c>
      <c r="CF79" s="41">
        <f>'[2]побудинковий звіт'!CF79+'[1]побудинковий звіт'!CF79</f>
        <v>187.83597839107148</v>
      </c>
      <c r="CG79" s="41">
        <f>'[2]побудинковий звіт'!CG79+'[1]побудинковий звіт'!CG79</f>
        <v>0</v>
      </c>
      <c r="CH79" s="55">
        <f t="shared" si="94"/>
        <v>-187.83597839107148</v>
      </c>
      <c r="CI79" s="41">
        <f>'[2]побудинковий звіт'!CI79+'[1]побудинковий звіт'!CI79</f>
        <v>6029.6928721633703</v>
      </c>
      <c r="CJ79" s="41">
        <f>'[2]побудинковий звіт'!CJ79+'[1]побудинковий звіт'!CJ79</f>
        <v>2392.8902559238722</v>
      </c>
      <c r="CK79" s="55">
        <f t="shared" si="95"/>
        <v>-3636.8026162394981</v>
      </c>
      <c r="CL79" s="41">
        <f>'[2]побудинковий звіт'!CL79+'[1]побудинковий звіт'!CL79</f>
        <v>0</v>
      </c>
      <c r="CM79" s="41">
        <f>'[2]побудинковий звіт'!CM79+'[1]побудинковий звіт'!CM79</f>
        <v>0</v>
      </c>
      <c r="CN79" s="55">
        <f t="shared" si="96"/>
        <v>0</v>
      </c>
      <c r="CO79" s="41">
        <f t="shared" si="97"/>
        <v>6029.6928721633703</v>
      </c>
      <c r="CP79" s="42">
        <f t="shared" si="98"/>
        <v>2392.8902559238722</v>
      </c>
      <c r="CQ79" s="55">
        <f t="shared" si="99"/>
        <v>-3636.8026162394981</v>
      </c>
      <c r="CR79" s="76">
        <f t="shared" si="100"/>
        <v>165626.4563126865</v>
      </c>
      <c r="CS79" s="5">
        <f t="shared" si="101"/>
        <v>122172.01611326079</v>
      </c>
      <c r="CT79" s="55">
        <f t="shared" si="102"/>
        <v>-43454.440199425706</v>
      </c>
      <c r="CU79" s="84">
        <f t="shared" si="103"/>
        <v>198751.7475752238</v>
      </c>
      <c r="CV79" s="68">
        <f t="shared" si="104"/>
        <v>146606.41933591294</v>
      </c>
      <c r="CW79" s="36">
        <f t="shared" si="105"/>
        <v>-52145.328239310853</v>
      </c>
      <c r="CX79" s="41">
        <f>'[2]побудинковий звіт'!CX79+'[1]побудинковий звіт'!CX79</f>
        <v>10046.399830807461</v>
      </c>
      <c r="CY79" s="41">
        <f>'[2]побудинковий звіт'!CY79+'[1]побудинковий звіт'!CY79</f>
        <v>62191.728070118268</v>
      </c>
      <c r="CZ79" s="55">
        <f t="shared" si="106"/>
        <v>52145.328239310809</v>
      </c>
      <c r="DA79" s="254">
        <f>'[1]побудинковий звіт'!DA79</f>
        <v>-50827.741547454498</v>
      </c>
      <c r="DB79" s="2">
        <v>1</v>
      </c>
      <c r="DC79" s="702">
        <f>'[1]побудинковий звіт'!DC79</f>
        <v>56769.74</v>
      </c>
      <c r="DD79" s="702">
        <f>'[1]побудинковий звіт'!DD79</f>
        <v>0</v>
      </c>
      <c r="DE79" s="702">
        <f>'[1]побудинковий звіт'!DE79</f>
        <v>33904.429999999993</v>
      </c>
      <c r="DF79" s="702">
        <f>'[1]побудинковий звіт'!DF79</f>
        <v>0</v>
      </c>
      <c r="DG79" s="772">
        <v>-916.22602004563669</v>
      </c>
      <c r="DH79" s="746">
        <f t="shared" si="107"/>
        <v>2505577.7688723751</v>
      </c>
      <c r="DI79" s="769"/>
      <c r="DJ79" s="5"/>
      <c r="DK79" s="307">
        <f>VLOOKUP($A79,ціни!$A$4:$G$401,5)</f>
        <v>5.9643898425231026</v>
      </c>
      <c r="DL79" s="307"/>
      <c r="DM79" s="307">
        <f>VLOOKUP($A79,ціни!$A$4:$G$401,7)</f>
        <v>5.2881823614970447</v>
      </c>
      <c r="DN79" s="29">
        <f t="shared" si="116"/>
        <v>16374.039434678674</v>
      </c>
      <c r="DO79" s="29">
        <f t="shared" si="117"/>
        <v>0</v>
      </c>
      <c r="DP79" s="306">
        <f t="shared" si="108"/>
        <v>16374.039434678674</v>
      </c>
      <c r="DQ79" s="101"/>
      <c r="DR79" s="29">
        <f>VLOOKUP(A79,'ДЗ нас '!$A$1:$C$359,2)</f>
        <v>16366.32</v>
      </c>
      <c r="DS79" s="733"/>
      <c r="DT79" s="29">
        <f t="shared" si="109"/>
        <v>16366.32</v>
      </c>
      <c r="DU79" s="247">
        <f>VLOOKUP(A79,'новий кошторис с 01.06'!$A$4:$AI$399,35)*1.2</f>
        <v>16516.736041568216</v>
      </c>
      <c r="DV79" s="29">
        <f t="shared" si="110"/>
        <v>-150.41604156821631</v>
      </c>
      <c r="DW79" s="1016">
        <f>'[2]побудинковий звіт'!$DW$9+'[1]побудинковий звіт'!DW79</f>
        <v>909</v>
      </c>
      <c r="DX79" s="101">
        <f>'[1]побудинковий звіт'!DX79</f>
        <v>0</v>
      </c>
      <c r="DY79" s="5">
        <f t="shared" si="111"/>
        <v>86382.801581218737</v>
      </c>
      <c r="DZ79" s="5">
        <f t="shared" si="112"/>
        <v>32430.16153561289</v>
      </c>
      <c r="EA79" s="737">
        <f t="shared" si="113"/>
        <v>33904.429999999993</v>
      </c>
      <c r="EC79" s="577">
        <f t="shared" si="114"/>
        <v>753771.13264504052</v>
      </c>
      <c r="EE79" s="743">
        <v>-32085</v>
      </c>
      <c r="EF79" s="723">
        <f t="shared" si="115"/>
        <v>-33001.226020045637</v>
      </c>
      <c r="EH79" s="798">
        <v>66105.415523138538</v>
      </c>
      <c r="EI79" s="101">
        <f>VLOOKUP(A79,'кошти 01.01.24'!$A$9:$D$352,4,FALSE)</f>
        <v>1317.5866918563024</v>
      </c>
    </row>
    <row r="80" spans="1:139" hidden="1" x14ac:dyDescent="0.3">
      <c r="A80" s="318">
        <v>150000510</v>
      </c>
      <c r="B80" s="43" t="s">
        <v>501</v>
      </c>
      <c r="C80" s="44" t="s">
        <v>248</v>
      </c>
      <c r="D80" s="44" t="s">
        <v>248</v>
      </c>
      <c r="E80" s="39">
        <f t="shared" si="64"/>
        <v>2889.25</v>
      </c>
      <c r="F80" s="205">
        <f>'[1]побудинковий звіт'!F80</f>
        <v>2797.15</v>
      </c>
      <c r="G80" s="29">
        <f>'[1]побудинковий звіт'!G80</f>
        <v>0</v>
      </c>
      <c r="H80" s="148">
        <f>'[1]побудинковий звіт'!H80</f>
        <v>92.1</v>
      </c>
      <c r="I80" s="41">
        <f>'[2]побудинковий звіт'!I80+'[1]побудинковий звіт'!I80</f>
        <v>6816.6083851643634</v>
      </c>
      <c r="J80" s="41">
        <f>'[2]побудинковий звіт'!J80+'[1]побудинковий звіт'!J80</f>
        <v>7043.9676612758112</v>
      </c>
      <c r="K80" s="55">
        <f t="shared" si="65"/>
        <v>227.3592761114478</v>
      </c>
      <c r="L80" s="41">
        <f>'[2]побудинковий звіт'!L80+'[1]побудинковий звіт'!L80</f>
        <v>1284.4425437177954</v>
      </c>
      <c r="M80" s="41">
        <f>'[2]побудинковий звіт'!M80+'[1]побудинковий звіт'!M80</f>
        <v>1347.9223807119004</v>
      </c>
      <c r="N80" s="55">
        <f t="shared" si="66"/>
        <v>63.479836994104971</v>
      </c>
      <c r="O80" s="41">
        <f>'[2]побудинковий звіт'!O80+'[1]побудинковий звіт'!O80</f>
        <v>4543.7010882956465</v>
      </c>
      <c r="P80" s="41">
        <f>'[2]побудинковий звіт'!P80+'[1]побудинковий звіт'!P80</f>
        <v>4556.5169350480492</v>
      </c>
      <c r="Q80" s="55">
        <f t="shared" si="67"/>
        <v>12.815846752402649</v>
      </c>
      <c r="R80" s="41">
        <f>'[2]побудинковий звіт'!R80+'[1]побудинковий звіт'!R80</f>
        <v>0</v>
      </c>
      <c r="S80" s="41">
        <f>'[2]побудинковий звіт'!S80+'[1]побудинковий звіт'!S80</f>
        <v>0</v>
      </c>
      <c r="T80" s="55">
        <f t="shared" si="68"/>
        <v>0</v>
      </c>
      <c r="U80" s="41">
        <f>'[2]побудинковий звіт'!U80+'[1]побудинковий звіт'!U80</f>
        <v>187.10196558541708</v>
      </c>
      <c r="V80" s="41">
        <f>'[2]побудинковий звіт'!V80+'[1]побудинковий звіт'!V80</f>
        <v>130.79993833955288</v>
      </c>
      <c r="W80" s="55">
        <f t="shared" si="69"/>
        <v>-56.302027245864195</v>
      </c>
      <c r="X80" s="41">
        <f>'[2]побудинковий звіт'!X80+'[1]побудинковий звіт'!X80</f>
        <v>5543.2088669283385</v>
      </c>
      <c r="Y80" s="41">
        <f>'[2]побудинковий звіт'!Y80+'[1]побудинковий звіт'!Y80</f>
        <v>5369.676978134481</v>
      </c>
      <c r="Z80" s="55">
        <f t="shared" si="70"/>
        <v>-173.53188879385743</v>
      </c>
      <c r="AA80" s="41">
        <f>'[2]побудинковий звіт'!AA80+'[1]побудинковий звіт'!AA80</f>
        <v>0</v>
      </c>
      <c r="AB80" s="41">
        <f>'[2]побудинковий звіт'!AB80+'[1]побудинковий звіт'!AB80</f>
        <v>0</v>
      </c>
      <c r="AC80" s="55">
        <f t="shared" si="71"/>
        <v>0</v>
      </c>
      <c r="AD80" s="41">
        <f>'[2]побудинковий звіт'!AD80+'[1]побудинковий звіт'!AD80</f>
        <v>12530.895393106835</v>
      </c>
      <c r="AE80" s="41">
        <f>'[2]побудинковий звіт'!AE80+'[1]побудинковий звіт'!AE80</f>
        <v>12482.150836994409</v>
      </c>
      <c r="AF80" s="36">
        <f t="shared" si="72"/>
        <v>-48.744556112425926</v>
      </c>
      <c r="AG80" s="84">
        <f t="shared" si="73"/>
        <v>30905.958242798395</v>
      </c>
      <c r="AH80" s="56">
        <f t="shared" si="74"/>
        <v>30931.034730504205</v>
      </c>
      <c r="AI80" s="55">
        <f t="shared" si="75"/>
        <v>25.076487705809996</v>
      </c>
      <c r="AJ80" s="41">
        <f>'[2]побудинковий звіт'!AJ80+'[1]побудинковий звіт'!AJ80</f>
        <v>0</v>
      </c>
      <c r="AK80" s="41">
        <f>'[2]побудинковий звіт'!AK80+'[1]побудинковий звіт'!AK80</f>
        <v>0</v>
      </c>
      <c r="AL80" s="55">
        <f t="shared" si="76"/>
        <v>0</v>
      </c>
      <c r="AM80" s="41">
        <f>'[2]побудинковий звіт'!AM80+'[1]побудинковий звіт'!AM80</f>
        <v>0</v>
      </c>
      <c r="AN80" s="41">
        <f>'[2]побудинковий звіт'!AN80+'[1]побудинковий звіт'!AN80</f>
        <v>0</v>
      </c>
      <c r="AO80" s="55">
        <f t="shared" si="77"/>
        <v>0</v>
      </c>
      <c r="AP80" s="41">
        <f>'[2]побудинковий звіт'!AP80+'[1]побудинковий звіт'!AP80</f>
        <v>1436.3670172125458</v>
      </c>
      <c r="AQ80" s="41">
        <f>'[2]побудинковий звіт'!AQ80+'[1]побудинковий звіт'!AQ80</f>
        <v>1316.4041521313954</v>
      </c>
      <c r="AR80" s="55">
        <f t="shared" si="78"/>
        <v>-119.96286508115031</v>
      </c>
      <c r="AS80" s="41">
        <f>'[2]побудинковий звіт'!AS80+'[1]побудинковий звіт'!AS80</f>
        <v>25660.138658147996</v>
      </c>
      <c r="AT80" s="41">
        <f>'[2]побудинковий звіт'!AT80+'[1]побудинковий звіт'!AT80</f>
        <v>381.95422233845773</v>
      </c>
      <c r="AU80" s="57">
        <f t="shared" si="79"/>
        <v>-25278.18443580954</v>
      </c>
      <c r="AV80" s="41">
        <f>'[2]побудинковий звіт'!AV80+'[1]побудинковий звіт'!AV80</f>
        <v>1332.9452238490601</v>
      </c>
      <c r="AW80" s="41">
        <f>'[2]побудинковий звіт'!AW80+'[1]побудинковий звіт'!AW80</f>
        <v>707.12426764617521</v>
      </c>
      <c r="AX80" s="58">
        <f t="shared" si="80"/>
        <v>-625.82095620288487</v>
      </c>
      <c r="AY80" s="41">
        <f>'[2]побудинковий звіт'!AY80+'[1]побудинковий звіт'!AY80</f>
        <v>1542.6018370944353</v>
      </c>
      <c r="AZ80" s="41">
        <f>'[2]побудинковий звіт'!AZ80+'[1]побудинковий звіт'!AZ80</f>
        <v>2230.5521223824899</v>
      </c>
      <c r="BA80" s="36">
        <f t="shared" si="81"/>
        <v>687.9502852880546</v>
      </c>
      <c r="BB80" s="41">
        <f>'[2]побудинковий звіт'!BB80+'[1]побудинковий звіт'!BB80</f>
        <v>2057.972689399096</v>
      </c>
      <c r="BC80" s="41">
        <f>'[2]побудинковий звіт'!BC80+'[1]побудинковий звіт'!BC80</f>
        <v>0</v>
      </c>
      <c r="BD80" s="58">
        <f t="shared" si="82"/>
        <v>-2057.972689399096</v>
      </c>
      <c r="BE80" s="41">
        <f>'[2]побудинковий звіт'!BE80+'[1]побудинковий звіт'!BE80</f>
        <v>0</v>
      </c>
      <c r="BF80" s="41">
        <f>'[2]побудинковий звіт'!BF80+'[1]побудинковий звіт'!BF80</f>
        <v>0</v>
      </c>
      <c r="BG80" s="38">
        <f t="shared" si="83"/>
        <v>0</v>
      </c>
      <c r="BH80" s="41">
        <f>'[2]побудинковий звіт'!BH80+'[1]побудинковий звіт'!BH80</f>
        <v>110.27308797143304</v>
      </c>
      <c r="BI80" s="41">
        <f>'[2]побудинковий звіт'!BI80+'[1]побудинковий звіт'!BI80</f>
        <v>464.80188273267919</v>
      </c>
      <c r="BJ80" s="58">
        <f t="shared" si="84"/>
        <v>354.52879476124616</v>
      </c>
      <c r="BK80" s="41">
        <f>'[2]побудинковий звіт'!BK80+'[1]побудинковий звіт'!BK80</f>
        <v>956.95560187840579</v>
      </c>
      <c r="BL80" s="41">
        <f>'[2]побудинковий звіт'!BL80+'[1]побудинковий звіт'!BL80</f>
        <v>0</v>
      </c>
      <c r="BM80" s="38">
        <f t="shared" si="85"/>
        <v>-956.95560187840579</v>
      </c>
      <c r="BN80" s="41">
        <f>'[2]побудинковий звіт'!BN80+'[1]побудинковий звіт'!BN80</f>
        <v>47.275899040004248</v>
      </c>
      <c r="BO80" s="41">
        <f>'[2]побудинковий звіт'!BO80+'[1]побудинковий звіт'!BO80</f>
        <v>0</v>
      </c>
      <c r="BP80" s="58">
        <f t="shared" si="86"/>
        <v>-47.275899040004248</v>
      </c>
      <c r="BQ80" s="84">
        <f t="shared" si="87"/>
        <v>6048.0243392324346</v>
      </c>
      <c r="BR80" s="42">
        <f t="shared" si="88"/>
        <v>3402.4782727613442</v>
      </c>
      <c r="BS80" s="58">
        <f t="shared" si="89"/>
        <v>-2645.5460664710904</v>
      </c>
      <c r="BT80" s="41">
        <f>'[2]побудинковий звіт'!BT80+'[1]побудинковий звіт'!BT80</f>
        <v>31474.989580799433</v>
      </c>
      <c r="BU80" s="41">
        <f>'[2]побудинковий звіт'!BU80+'[1]побудинковий звіт'!BU80</f>
        <v>49937.283251758592</v>
      </c>
      <c r="BV80" s="55">
        <f t="shared" si="90"/>
        <v>18462.293670959159</v>
      </c>
      <c r="BW80" s="41">
        <f>'[2]побудинковий звіт'!BW80+'[1]побудинковий звіт'!BW80</f>
        <v>17494.368979372459</v>
      </c>
      <c r="BX80" s="41">
        <f>'[2]побудинковий звіт'!BX80+'[1]побудинковий звіт'!BX80</f>
        <v>20933.834101912315</v>
      </c>
      <c r="BY80" s="55">
        <f t="shared" si="91"/>
        <v>3439.4651225398557</v>
      </c>
      <c r="BZ80" s="41">
        <f>'[2]побудинковий звіт'!BZ80+'[1]побудинковий звіт'!BZ80</f>
        <v>13066.981776182929</v>
      </c>
      <c r="CA80" s="41">
        <f>'[2]побудинковий звіт'!CA80+'[1]побудинковий звіт'!CA80</f>
        <v>3728.6678401932581</v>
      </c>
      <c r="CB80" s="55">
        <f t="shared" si="92"/>
        <v>-9338.3139359896704</v>
      </c>
      <c r="CC80" s="41">
        <f>'[2]побудинковий звіт'!CC80+'[1]побудинковий звіт'!CC80</f>
        <v>0</v>
      </c>
      <c r="CD80" s="41">
        <f>'[2]побудинковий звіт'!CD80+'[1]побудинковий звіт'!CD80</f>
        <v>0</v>
      </c>
      <c r="CE80" s="55">
        <f t="shared" si="93"/>
        <v>0</v>
      </c>
      <c r="CF80" s="41">
        <f>'[2]побудинковий звіт'!CF80+'[1]побудинковий звіт'!CF80</f>
        <v>0</v>
      </c>
      <c r="CG80" s="41">
        <f>'[2]побудинковий звіт'!CG80+'[1]побудинковий звіт'!CG80</f>
        <v>0</v>
      </c>
      <c r="CH80" s="55">
        <f t="shared" si="94"/>
        <v>0</v>
      </c>
      <c r="CI80" s="41">
        <f>'[2]побудинковий звіт'!CI80+'[1]побудинковий звіт'!CI80</f>
        <v>3266.5353202164811</v>
      </c>
      <c r="CJ80" s="41">
        <f>'[2]побудинковий звіт'!CJ80+'[1]побудинковий звіт'!CJ80</f>
        <v>2993.1070499316502</v>
      </c>
      <c r="CK80" s="55">
        <f t="shared" si="95"/>
        <v>-273.42827028483089</v>
      </c>
      <c r="CL80" s="41">
        <f>'[2]побудинковий звіт'!CL80+'[1]побудинковий звіт'!CL80</f>
        <v>0</v>
      </c>
      <c r="CM80" s="41">
        <f>'[2]побудинковий звіт'!CM80+'[1]побудинковий звіт'!CM80</f>
        <v>0</v>
      </c>
      <c r="CN80" s="55">
        <f t="shared" si="96"/>
        <v>0</v>
      </c>
      <c r="CO80" s="41">
        <f t="shared" si="97"/>
        <v>3266.5353202164811</v>
      </c>
      <c r="CP80" s="42">
        <f t="shared" si="98"/>
        <v>2993.1070499316502</v>
      </c>
      <c r="CQ80" s="55">
        <f t="shared" si="99"/>
        <v>-273.42827028483089</v>
      </c>
      <c r="CR80" s="76">
        <f t="shared" si="100"/>
        <v>129353.36391396268</v>
      </c>
      <c r="CS80" s="5">
        <f t="shared" si="101"/>
        <v>113624.76362153122</v>
      </c>
      <c r="CT80" s="55">
        <f t="shared" si="102"/>
        <v>-15728.600292431453</v>
      </c>
      <c r="CU80" s="84">
        <f t="shared" si="103"/>
        <v>155224.03669675521</v>
      </c>
      <c r="CV80" s="68">
        <f t="shared" si="104"/>
        <v>136349.71634583746</v>
      </c>
      <c r="CW80" s="36">
        <f t="shared" si="105"/>
        <v>-18874.320350917755</v>
      </c>
      <c r="CX80" s="41">
        <f>'[2]побудинковий звіт'!CX80+'[1]побудинковий звіт'!CX80</f>
        <v>7770.6986253523928</v>
      </c>
      <c r="CY80" s="41">
        <f>'[2]побудинковий звіт'!CY80+'[1]побудинковий звіт'!CY80</f>
        <v>26645.018976270127</v>
      </c>
      <c r="CZ80" s="55">
        <f t="shared" si="106"/>
        <v>18874.320350917733</v>
      </c>
      <c r="DA80" s="254">
        <f>'[1]побудинковий звіт'!DA80</f>
        <v>-46120.485253728955</v>
      </c>
      <c r="DB80" s="2">
        <v>2</v>
      </c>
      <c r="DC80" s="702">
        <f>'[1]побудинковий звіт'!DC80</f>
        <v>149387.98000000001</v>
      </c>
      <c r="DD80" s="702">
        <f>'[1]побудинковий звіт'!DD80</f>
        <v>2387.34</v>
      </c>
      <c r="DE80" s="702">
        <f>'[1]побудинковий звіт'!DE80</f>
        <v>131932.63</v>
      </c>
      <c r="DF80" s="702">
        <f>'[1]побудинковий звіт'!DF80</f>
        <v>1888.16</v>
      </c>
      <c r="DG80" s="772">
        <v>-10077.066617427277</v>
      </c>
      <c r="DH80" s="746">
        <f t="shared" si="107"/>
        <v>1955936.8238652912</v>
      </c>
      <c r="DI80" s="769"/>
      <c r="DJ80" s="5"/>
      <c r="DK80" s="307">
        <f>VLOOKUP($A80,ціни!$A$4:$G$401,5)</f>
        <v>4.436472521918235</v>
      </c>
      <c r="DL80" s="307"/>
      <c r="DM80" s="307">
        <f>VLOOKUP($A80,ціни!$A$4:$G$401,7)</f>
        <v>3.8105298396722849</v>
      </c>
      <c r="DN80" s="29">
        <f t="shared" si="116"/>
        <v>12409.479114683592</v>
      </c>
      <c r="DO80" s="29">
        <f t="shared" si="117"/>
        <v>350.94979823381743</v>
      </c>
      <c r="DP80" s="306">
        <f t="shared" si="108"/>
        <v>12760.42891291741</v>
      </c>
      <c r="DQ80" s="101"/>
      <c r="DR80" s="29">
        <f>VLOOKUP(A80,'ДЗ нас '!$A$1:$C$359,2)</f>
        <v>12409.57</v>
      </c>
      <c r="DS80" s="733">
        <f>VLOOKUP(A80,'ДЗ нежит'!$A$1:$D$153,4,0)</f>
        <v>350.95</v>
      </c>
      <c r="DT80" s="29">
        <f t="shared" si="109"/>
        <v>12760.52</v>
      </c>
      <c r="DU80" s="247">
        <f>VLOOKUP(A80,'новий кошторис с 01.06'!$A$4:$AI$399,35)*1.2</f>
        <v>12881.099530603911</v>
      </c>
      <c r="DV80" s="29">
        <f t="shared" si="110"/>
        <v>-120.57953060391083</v>
      </c>
      <c r="DW80" s="1016">
        <f>'[2]побудинковий звіт'!$DW$9+'[1]побудинковий звіт'!DW80</f>
        <v>1062</v>
      </c>
      <c r="DX80" s="101">
        <f>'[1]побудинковий звіт'!DX80</f>
        <v>0</v>
      </c>
      <c r="DY80" s="5">
        <f t="shared" si="111"/>
        <v>38049.795596856515</v>
      </c>
      <c r="DZ80" s="5">
        <f t="shared" si="112"/>
        <v>4541.3189941197625</v>
      </c>
      <c r="EA80" s="737">
        <f t="shared" si="113"/>
        <v>133820.79</v>
      </c>
      <c r="EC80" s="577">
        <f t="shared" si="114"/>
        <v>307921.66389777593</v>
      </c>
      <c r="EE80" s="743">
        <v>63251</v>
      </c>
      <c r="EF80" s="723">
        <f t="shared" si="115"/>
        <v>53173.933382572723</v>
      </c>
      <c r="EH80" s="798">
        <v>-9339.7995467688706</v>
      </c>
      <c r="EI80" s="101">
        <f>VLOOKUP(A80,'кошти 01.01.24'!$A$9:$D$352,4,FALSE)</f>
        <v>-27246.164902811237</v>
      </c>
    </row>
    <row r="81" spans="1:139" ht="14.4" hidden="1" customHeight="1" x14ac:dyDescent="0.3">
      <c r="A81" s="318">
        <v>150000511</v>
      </c>
      <c r="B81" s="43" t="s">
        <v>502</v>
      </c>
      <c r="C81" s="44" t="s">
        <v>249</v>
      </c>
      <c r="D81" s="44" t="s">
        <v>249</v>
      </c>
      <c r="E81" s="39">
        <f t="shared" si="64"/>
        <v>3220</v>
      </c>
      <c r="F81" s="205">
        <f>'[1]побудинковий звіт'!F81</f>
        <v>3220</v>
      </c>
      <c r="G81" s="29">
        <f>'[1]побудинковий звіт'!G81</f>
        <v>0</v>
      </c>
      <c r="H81" s="148">
        <f>'[1]побудинковий звіт'!H81</f>
        <v>0</v>
      </c>
      <c r="I81" s="41">
        <f>'[2]побудинковий звіт'!I81+'[1]побудинковий звіт'!I81</f>
        <v>12869.091418423301</v>
      </c>
      <c r="J81" s="41">
        <f>'[2]побудинковий звіт'!J81+'[1]побудинковий звіт'!J81</f>
        <v>13189.675997141643</v>
      </c>
      <c r="K81" s="55">
        <f t="shared" si="65"/>
        <v>320.58457871834253</v>
      </c>
      <c r="L81" s="41">
        <f>'[2]побудинковий звіт'!L81+'[1]побудинковий звіт'!L81</f>
        <v>2448.4337471309245</v>
      </c>
      <c r="M81" s="41">
        <f>'[2]побудинковий звіт'!M81+'[1]побудинковий звіт'!M81</f>
        <v>2571.4829624012</v>
      </c>
      <c r="N81" s="55">
        <f t="shared" si="66"/>
        <v>123.04921527027545</v>
      </c>
      <c r="O81" s="41">
        <f>'[2]побудинковий звіт'!O81+'[1]побудинковий звіт'!O81</f>
        <v>5120.7540259744073</v>
      </c>
      <c r="P81" s="41">
        <f>'[2]побудинковий звіт'!P81+'[1]побудинковий звіт'!P81</f>
        <v>5135.1180975169209</v>
      </c>
      <c r="Q81" s="55">
        <f t="shared" si="67"/>
        <v>14.364071542513557</v>
      </c>
      <c r="R81" s="41">
        <f>'[2]побудинковий звіт'!R81+'[1]побудинковий звіт'!R81</f>
        <v>0</v>
      </c>
      <c r="S81" s="41">
        <f>'[2]побудинковий звіт'!S81+'[1]побудинковий звіт'!S81</f>
        <v>0</v>
      </c>
      <c r="T81" s="55">
        <f t="shared" si="68"/>
        <v>0</v>
      </c>
      <c r="U81" s="41">
        <f>'[2]побудинковий звіт'!U81+'[1]побудинковий звіт'!U81</f>
        <v>233.87745698177133</v>
      </c>
      <c r="V81" s="41">
        <f>'[2]побудинковий звіт'!V81+'[1]побудинковий звіт'!V81</f>
        <v>157.78608605555124</v>
      </c>
      <c r="W81" s="55">
        <f t="shared" si="69"/>
        <v>-76.091370926220094</v>
      </c>
      <c r="X81" s="41">
        <f>'[2]побудинковий звіт'!X81+'[1]побудинковий звіт'!X81</f>
        <v>7798.2962263304798</v>
      </c>
      <c r="Y81" s="41">
        <f>'[2]побудинковий звіт'!Y81+'[1]побудинковий звіт'!Y81</f>
        <v>7592.5378380288785</v>
      </c>
      <c r="Z81" s="55">
        <f t="shared" si="70"/>
        <v>-205.75838830160137</v>
      </c>
      <c r="AA81" s="41">
        <f>'[2]побудинковий звіт'!AA81+'[1]побудинковий звіт'!AA81</f>
        <v>0</v>
      </c>
      <c r="AB81" s="41">
        <f>'[2]побудинковий звіт'!AB81+'[1]побудинковий звіт'!AB81</f>
        <v>0</v>
      </c>
      <c r="AC81" s="55">
        <f t="shared" si="71"/>
        <v>0</v>
      </c>
      <c r="AD81" s="41">
        <f>'[2]побудинковий звіт'!AD81+'[1]побудинковий звіт'!AD81</f>
        <v>13964.345755638487</v>
      </c>
      <c r="AE81" s="41">
        <f>'[2]побудинковий звіт'!AE81+'[1]побудинковий звіт'!AE81</f>
        <v>13910.102969906147</v>
      </c>
      <c r="AF81" s="36">
        <f t="shared" si="72"/>
        <v>-54.242785732340053</v>
      </c>
      <c r="AG81" s="84">
        <f t="shared" si="73"/>
        <v>42434.798630479374</v>
      </c>
      <c r="AH81" s="56">
        <f t="shared" si="74"/>
        <v>42556.703951050338</v>
      </c>
      <c r="AI81" s="55">
        <f t="shared" si="75"/>
        <v>121.90532057096425</v>
      </c>
      <c r="AJ81" s="41">
        <f>'[2]побудинковий звіт'!AJ81+'[1]побудинковий звіт'!AJ81</f>
        <v>0</v>
      </c>
      <c r="AK81" s="41">
        <f>'[2]побудинковий звіт'!AK81+'[1]побудинковий звіт'!AK81</f>
        <v>0</v>
      </c>
      <c r="AL81" s="55">
        <f t="shared" si="76"/>
        <v>0</v>
      </c>
      <c r="AM81" s="41">
        <f>'[2]побудинковий звіт'!AM81+'[1]побудинковий звіт'!AM81</f>
        <v>0</v>
      </c>
      <c r="AN81" s="41">
        <f>'[2]побудинковий звіт'!AN81+'[1]побудинковий звіт'!AN81</f>
        <v>0</v>
      </c>
      <c r="AO81" s="55">
        <f t="shared" si="77"/>
        <v>0</v>
      </c>
      <c r="AP81" s="41">
        <f>'[2]побудинковий звіт'!AP81+'[1]побудинковий звіт'!AP81</f>
        <v>11887.175314862448</v>
      </c>
      <c r="AQ81" s="41">
        <f>'[2]побудинковий звіт'!AQ81+'[1]побудинковий звіт'!AQ81</f>
        <v>10827.418989889664</v>
      </c>
      <c r="AR81" s="55">
        <f t="shared" si="78"/>
        <v>-1059.7563249727846</v>
      </c>
      <c r="AS81" s="41">
        <f>'[2]побудинковий звіт'!AS81+'[1]побудинковий звіт'!AS81</f>
        <v>31411.317008712322</v>
      </c>
      <c r="AT81" s="41">
        <f>'[2]побудинковий звіт'!AT81+'[1]побудинковий звіт'!AT81</f>
        <v>297</v>
      </c>
      <c r="AU81" s="57">
        <f t="shared" si="79"/>
        <v>-31114.317008712322</v>
      </c>
      <c r="AV81" s="41">
        <f>'[2]побудинковий звіт'!AV81+'[1]побудинковий звіт'!AV81</f>
        <v>1936.1500485617667</v>
      </c>
      <c r="AW81" s="41">
        <f>'[2]побудинковий звіт'!AW81+'[1]побудинковий звіт'!AW81</f>
        <v>2630.8750602537534</v>
      </c>
      <c r="AX81" s="58">
        <f t="shared" si="80"/>
        <v>694.72501169198677</v>
      </c>
      <c r="AY81" s="41">
        <f>'[2]побудинковий звіт'!AY81+'[1]побудинковий звіт'!AY81</f>
        <v>3194.9349491934017</v>
      </c>
      <c r="AZ81" s="41">
        <f>'[2]побудинковий звіт'!AZ81+'[1]побудинковий звіт'!AZ81</f>
        <v>0</v>
      </c>
      <c r="BA81" s="36">
        <f t="shared" si="81"/>
        <v>-3194.9349491934017</v>
      </c>
      <c r="BB81" s="41">
        <f>'[2]побудинковий звіт'!BB81+'[1]побудинковий звіт'!BB81</f>
        <v>2441.3863171656981</v>
      </c>
      <c r="BC81" s="41">
        <f>'[2]побудинковий звіт'!BC81+'[1]побудинковий звіт'!BC81</f>
        <v>0</v>
      </c>
      <c r="BD81" s="58">
        <f t="shared" si="82"/>
        <v>-2441.3863171656981</v>
      </c>
      <c r="BE81" s="41">
        <f>'[2]побудинковий звіт'!BE81+'[1]побудинковий звіт'!BE81</f>
        <v>0</v>
      </c>
      <c r="BF81" s="41">
        <f>'[2]побудинковий звіт'!BF81+'[1]побудинковий звіт'!BF81</f>
        <v>0</v>
      </c>
      <c r="BG81" s="38">
        <f t="shared" si="83"/>
        <v>0</v>
      </c>
      <c r="BH81" s="41">
        <f>'[2]побудинковий звіт'!BH81+'[1]побудинковий звіт'!BH81</f>
        <v>137.84135996429129</v>
      </c>
      <c r="BI81" s="41">
        <f>'[2]побудинковий звіт'!BI81+'[1]побудинковий звіт'!BI81</f>
        <v>2477.1850515697056</v>
      </c>
      <c r="BJ81" s="58">
        <f t="shared" si="84"/>
        <v>2339.3436916054143</v>
      </c>
      <c r="BK81" s="41">
        <f>'[2]побудинковий звіт'!BK81+'[1]побудинковий звіт'!BK81</f>
        <v>1387.783189347987</v>
      </c>
      <c r="BL81" s="41">
        <f>'[2]побудинковий звіт'!BL81+'[1]побудинковий звіт'!BL81</f>
        <v>0</v>
      </c>
      <c r="BM81" s="38">
        <f t="shared" si="85"/>
        <v>-1387.783189347987</v>
      </c>
      <c r="BN81" s="41">
        <f>'[2]побудинковий звіт'!BN81+'[1]побудинковий звіт'!BN81</f>
        <v>47.275899040004248</v>
      </c>
      <c r="BO81" s="41">
        <f>'[2]побудинковий звіт'!BO81+'[1]побудинковий звіт'!BO81</f>
        <v>0</v>
      </c>
      <c r="BP81" s="58">
        <f t="shared" si="86"/>
        <v>-47.275899040004248</v>
      </c>
      <c r="BQ81" s="84">
        <f t="shared" si="87"/>
        <v>9145.3717632731459</v>
      </c>
      <c r="BR81" s="42">
        <f t="shared" si="88"/>
        <v>5108.060111823459</v>
      </c>
      <c r="BS81" s="58">
        <f t="shared" si="89"/>
        <v>-4037.3116514496869</v>
      </c>
      <c r="BT81" s="41">
        <f>'[2]побудинковий звіт'!BT81+'[1]побудинковий звіт'!BT81</f>
        <v>38573.371118335323</v>
      </c>
      <c r="BU81" s="41">
        <f>'[2]побудинковий звіт'!BU81+'[1]побудинковий звіт'!BU81</f>
        <v>64543.271305439674</v>
      </c>
      <c r="BV81" s="55">
        <f t="shared" si="90"/>
        <v>25969.900187104351</v>
      </c>
      <c r="BW81" s="41">
        <f>'[2]побудинковий звіт'!BW81+'[1]побудинковий звіт'!BW81</f>
        <v>19784.770332191838</v>
      </c>
      <c r="BX81" s="41">
        <f>'[2]побудинковий звіт'!BX81+'[1]побудинковий звіт'!BX81</f>
        <v>23471.754317130253</v>
      </c>
      <c r="BY81" s="55">
        <f t="shared" si="91"/>
        <v>3686.9839849384152</v>
      </c>
      <c r="BZ81" s="41">
        <f>'[2]побудинковий звіт'!BZ81+'[1]побудинковий звіт'!BZ81</f>
        <v>18306.858889317242</v>
      </c>
      <c r="CA81" s="41">
        <f>'[2]побудинковий звіт'!CA81+'[1]побудинковий звіт'!CA81</f>
        <v>4674.5341733561727</v>
      </c>
      <c r="CB81" s="55">
        <f t="shared" si="92"/>
        <v>-13632.324715961069</v>
      </c>
      <c r="CC81" s="41">
        <f>'[2]побудинковий звіт'!CC81+'[1]побудинковий звіт'!CC81</f>
        <v>2046.8031313203569</v>
      </c>
      <c r="CD81" s="41">
        <f>'[2]побудинковий звіт'!CD81+'[1]побудинковий звіт'!CD81</f>
        <v>2053.7436124307314</v>
      </c>
      <c r="CE81" s="55">
        <f t="shared" si="93"/>
        <v>6.9404811103745487</v>
      </c>
      <c r="CF81" s="41">
        <f>'[2]побудинковий звіт'!CF81+'[1]побудинковий звіт'!CF81</f>
        <v>253.5880288329007</v>
      </c>
      <c r="CG81" s="41">
        <f>'[2]побудинковий звіт'!CG81+'[1]побудинковий звіт'!CG81</f>
        <v>0</v>
      </c>
      <c r="CH81" s="55">
        <f t="shared" si="94"/>
        <v>-253.5880288329007</v>
      </c>
      <c r="CI81" s="41">
        <f>'[2]побудинковий звіт'!CI81+'[1]побудинковий звіт'!CI81</f>
        <v>4582.2984953680452</v>
      </c>
      <c r="CJ81" s="41">
        <f>'[2]побудинковий звіт'!CJ81+'[1]побудинковий звіт'!CJ81</f>
        <v>1465.0650909587919</v>
      </c>
      <c r="CK81" s="55">
        <f t="shared" si="95"/>
        <v>-3117.2334044092531</v>
      </c>
      <c r="CL81" s="41">
        <f>'[2]побудинковий звіт'!CL81+'[1]побудинковий звіт'!CL81</f>
        <v>0</v>
      </c>
      <c r="CM81" s="41">
        <f>'[2]побудинковий звіт'!CM81+'[1]побудинковий звіт'!CM81</f>
        <v>0</v>
      </c>
      <c r="CN81" s="55">
        <f t="shared" si="96"/>
        <v>0</v>
      </c>
      <c r="CO81" s="41">
        <f t="shared" si="97"/>
        <v>4582.2984953680452</v>
      </c>
      <c r="CP81" s="42">
        <f t="shared" si="98"/>
        <v>1465.0650909587919</v>
      </c>
      <c r="CQ81" s="55">
        <f t="shared" si="99"/>
        <v>-3117.2334044092531</v>
      </c>
      <c r="CR81" s="76">
        <f t="shared" si="100"/>
        <v>178426.35271269298</v>
      </c>
      <c r="CS81" s="5">
        <f t="shared" si="101"/>
        <v>154997.55155207907</v>
      </c>
      <c r="CT81" s="55">
        <f t="shared" si="102"/>
        <v>-23428.801160613919</v>
      </c>
      <c r="CU81" s="84">
        <f t="shared" si="103"/>
        <v>214111.62325523156</v>
      </c>
      <c r="CV81" s="68">
        <f t="shared" si="104"/>
        <v>185997.06186249488</v>
      </c>
      <c r="CW81" s="36">
        <f t="shared" si="105"/>
        <v>-28114.561392736679</v>
      </c>
      <c r="CX81" s="41">
        <f>'[2]побудинковий звіт'!CX81+'[1]побудинковий звіт'!CX81</f>
        <v>8184.8441163461166</v>
      </c>
      <c r="CY81" s="41">
        <f>'[2]побудинковий звіт'!CY81+'[1]побудинковий звіт'!CY81</f>
        <v>36299.405509082804</v>
      </c>
      <c r="CZ81" s="55">
        <f t="shared" si="106"/>
        <v>28114.561392736687</v>
      </c>
      <c r="DA81" s="254">
        <f>'[1]побудинковий звіт'!DA81</f>
        <v>-8368.9811128404981</v>
      </c>
      <c r="DB81" s="2">
        <v>2</v>
      </c>
      <c r="DC81" s="702">
        <f>'[1]побудинковий звіт'!DC81</f>
        <v>53609.71</v>
      </c>
      <c r="DD81" s="702">
        <f>'[1]побудинковий звіт'!DD81</f>
        <v>0</v>
      </c>
      <c r="DE81" s="702">
        <f>'[1]побудинковий звіт'!DE81</f>
        <v>29091.68</v>
      </c>
      <c r="DF81" s="702">
        <f>'[1]побудинковий звіт'!DF81</f>
        <v>0</v>
      </c>
      <c r="DG81" s="772">
        <v>-83238.421227189654</v>
      </c>
      <c r="DH81" s="746">
        <f t="shared" si="107"/>
        <v>2667557.6084589325</v>
      </c>
      <c r="DI81" s="769"/>
      <c r="DJ81" s="5"/>
      <c r="DK81" s="307">
        <f>VLOOKUP($A81,ціни!$A$4:$G$401,5)</f>
        <v>5.4029260836942266</v>
      </c>
      <c r="DL81" s="307"/>
      <c r="DM81" s="307">
        <f>VLOOKUP($A81,ціни!$A$4:$G$401,7)</f>
        <v>4.7934303155311877</v>
      </c>
      <c r="DN81" s="29">
        <f t="shared" si="116"/>
        <v>17397.421989495411</v>
      </c>
      <c r="DO81" s="29">
        <f t="shared" si="117"/>
        <v>0</v>
      </c>
      <c r="DP81" s="306">
        <f t="shared" si="108"/>
        <v>17397.421989495411</v>
      </c>
      <c r="DQ81" s="101"/>
      <c r="DR81" s="29">
        <f>VLOOKUP(A81,'ДЗ нас '!$A$1:$C$359,2)</f>
        <v>17397.240000000002</v>
      </c>
      <c r="DS81" s="733"/>
      <c r="DT81" s="29">
        <f t="shared" si="109"/>
        <v>17397.240000000002</v>
      </c>
      <c r="DU81" s="247">
        <f>VLOOKUP(A81,'новий кошторис с 01.06'!$A$4:$AI$399,35)*1.2</f>
        <v>17512.36597928948</v>
      </c>
      <c r="DV81" s="29">
        <f t="shared" si="110"/>
        <v>-115.12597928947798</v>
      </c>
      <c r="DW81" s="1016">
        <f>'[2]побудинковий звіт'!$DW$9+'[1]побудинковий звіт'!DW81</f>
        <v>1062</v>
      </c>
      <c r="DX81" s="101">
        <f>'[1]побудинковий звіт'!DX81</f>
        <v>0</v>
      </c>
      <c r="DY81" s="5">
        <f t="shared" si="111"/>
        <v>48668.026526382564</v>
      </c>
      <c r="DZ81" s="5">
        <f t="shared" si="112"/>
        <v>6486.0721341881508</v>
      </c>
      <c r="EA81" s="737">
        <f t="shared" si="113"/>
        <v>29091.68</v>
      </c>
      <c r="EC81" s="577">
        <f t="shared" si="114"/>
        <v>376935.80410454783</v>
      </c>
      <c r="EE81" s="743">
        <v>70903</v>
      </c>
      <c r="EF81" s="723">
        <f t="shared" si="115"/>
        <v>-12335.421227189654</v>
      </c>
      <c r="EH81" s="798">
        <v>49926.935857157107</v>
      </c>
      <c r="EI81" s="101">
        <f>VLOOKUP(A81,'кошти 01.01.24'!$A$9:$D$352,4,FALSE)</f>
        <v>19745.580279896214</v>
      </c>
    </row>
    <row r="82" spans="1:139" hidden="1" x14ac:dyDescent="0.3">
      <c r="A82" s="318">
        <v>150000512</v>
      </c>
      <c r="B82" s="43" t="s">
        <v>503</v>
      </c>
      <c r="C82" s="44" t="s">
        <v>250</v>
      </c>
      <c r="D82" s="44" t="s">
        <v>250</v>
      </c>
      <c r="E82" s="39">
        <f t="shared" si="64"/>
        <v>1872.1999999999998</v>
      </c>
      <c r="F82" s="205">
        <f>'[1]побудинковий звіт'!F82</f>
        <v>1738.6</v>
      </c>
      <c r="G82" s="29">
        <f>'[1]побудинковий звіт'!G82</f>
        <v>0</v>
      </c>
      <c r="H82" s="148">
        <f>'[1]побудинковий звіт'!H82</f>
        <v>133.6</v>
      </c>
      <c r="I82" s="41">
        <f>'[2]побудинковий звіт'!I82+'[1]побудинковий звіт'!I82</f>
        <v>5599.37736545197</v>
      </c>
      <c r="J82" s="41">
        <f>'[2]побудинковий звіт'!J82+'[1]побудинковий звіт'!J82</f>
        <v>5767.6979886123017</v>
      </c>
      <c r="K82" s="55">
        <f t="shared" si="65"/>
        <v>168.32062316033171</v>
      </c>
      <c r="L82" s="41">
        <f>'[2]побудинковий звіт'!L82+'[1]побудинковий звіт'!L82</f>
        <v>1247.3770795784753</v>
      </c>
      <c r="M82" s="41">
        <f>'[2]побудинковий звіт'!M82+'[1]побудинковий звіт'!M82</f>
        <v>1310.4007359304317</v>
      </c>
      <c r="N82" s="55">
        <f t="shared" si="66"/>
        <v>63.023656351956333</v>
      </c>
      <c r="O82" s="41">
        <f>'[2]побудинковий звіт'!O82+'[1]побудинковий звіт'!O82</f>
        <v>2476.5200131868519</v>
      </c>
      <c r="P82" s="41">
        <f>'[2]побудинковий звіт'!P82+'[1]побудинковий звіт'!P82</f>
        <v>2483.5875577405459</v>
      </c>
      <c r="Q82" s="55">
        <f t="shared" si="67"/>
        <v>7.067544553694006</v>
      </c>
      <c r="R82" s="41">
        <f>'[2]побудинковий звіт'!R82+'[1]побудинковий звіт'!R82</f>
        <v>0</v>
      </c>
      <c r="S82" s="41">
        <f>'[2]побудинковий звіт'!S82+'[1]побудинковий звіт'!S82</f>
        <v>0</v>
      </c>
      <c r="T82" s="55">
        <f t="shared" si="68"/>
        <v>0</v>
      </c>
      <c r="U82" s="41">
        <f>'[2]побудинковий звіт'!U82+'[1]побудинковий звіт'!U82</f>
        <v>140.32647418906288</v>
      </c>
      <c r="V82" s="41">
        <f>'[2]побудинковий звіт'!V82+'[1]побудинковий звіт'!V82</f>
        <v>103.81379062355452</v>
      </c>
      <c r="W82" s="55">
        <f t="shared" si="69"/>
        <v>-36.512683565508354</v>
      </c>
      <c r="X82" s="41">
        <f>'[2]побудинковий звіт'!X82+'[1]побудинковий звіт'!X82</f>
        <v>3439.0432959033478</v>
      </c>
      <c r="Y82" s="41">
        <f>'[2]побудинковий звіт'!Y82+'[1]побудинковий звіт'!Y82</f>
        <v>3200.0247947957509</v>
      </c>
      <c r="Z82" s="55">
        <f t="shared" si="70"/>
        <v>-239.01850110759688</v>
      </c>
      <c r="AA82" s="41">
        <f>'[2]побудинковий звіт'!AA82+'[1]побудинковий звіт'!AA82</f>
        <v>0</v>
      </c>
      <c r="AB82" s="41">
        <f>'[2]побудинковий звіт'!AB82+'[1]побудинковий звіт'!AB82</f>
        <v>0</v>
      </c>
      <c r="AC82" s="55">
        <f t="shared" si="71"/>
        <v>0</v>
      </c>
      <c r="AD82" s="41">
        <f>'[2]побудинковий звіт'!AD82+'[1]побудинковий звіт'!AD82</f>
        <v>8118.5164210012226</v>
      </c>
      <c r="AE82" s="41">
        <f>'[2]побудинковий звіт'!AE82+'[1]побудинковий звіт'!AE82</f>
        <v>8087.0096459621891</v>
      </c>
      <c r="AF82" s="36">
        <f t="shared" si="72"/>
        <v>-31.506775039033528</v>
      </c>
      <c r="AG82" s="84">
        <f t="shared" si="73"/>
        <v>21021.160649310928</v>
      </c>
      <c r="AH82" s="56">
        <f t="shared" si="74"/>
        <v>20952.534513664774</v>
      </c>
      <c r="AI82" s="55">
        <f t="shared" si="75"/>
        <v>-68.62613564615458</v>
      </c>
      <c r="AJ82" s="41">
        <f>'[2]побудинковий звіт'!AJ82+'[1]побудинковий звіт'!AJ82</f>
        <v>0</v>
      </c>
      <c r="AK82" s="41">
        <f>'[2]побудинковий звіт'!AK82+'[1]побудинковий звіт'!AK82</f>
        <v>0</v>
      </c>
      <c r="AL82" s="55">
        <f t="shared" si="76"/>
        <v>0</v>
      </c>
      <c r="AM82" s="41">
        <f>'[2]побудинковий звіт'!AM82+'[1]побудинковий звіт'!AM82</f>
        <v>0</v>
      </c>
      <c r="AN82" s="41">
        <f>'[2]побудинковий звіт'!AN82+'[1]побудинковий звіт'!AN82</f>
        <v>0</v>
      </c>
      <c r="AO82" s="55">
        <f t="shared" si="77"/>
        <v>0</v>
      </c>
      <c r="AP82" s="41">
        <f>'[2]побудинковий звіт'!AP82+'[1]побудинковий звіт'!AP82</f>
        <v>5497.8185831238825</v>
      </c>
      <c r="AQ82" s="41">
        <f>'[2]побудинковий звіт'!AQ82+'[1]побудинковий звіт'!AQ82</f>
        <v>5226.608621659856</v>
      </c>
      <c r="AR82" s="55">
        <f t="shared" si="78"/>
        <v>-271.20996146402649</v>
      </c>
      <c r="AS82" s="41">
        <f>'[2]побудинковий звіт'!AS82+'[1]побудинковий звіт'!AS82</f>
        <v>20668.836747923797</v>
      </c>
      <c r="AT82" s="41">
        <f>'[2]побудинковий звіт'!AT82+'[1]побудинковий звіт'!AT82</f>
        <v>1719.7387849206921</v>
      </c>
      <c r="AU82" s="57">
        <f t="shared" si="79"/>
        <v>-18949.097963003103</v>
      </c>
      <c r="AV82" s="41">
        <f>'[2]побудинковий звіт'!AV82+'[1]побудинковий звіт'!AV82</f>
        <v>931.28551837329928</v>
      </c>
      <c r="AW82" s="41">
        <f>'[2]побудинковий звіт'!AW82+'[1]побудинковий звіт'!AW82</f>
        <v>0</v>
      </c>
      <c r="AX82" s="58">
        <f t="shared" si="80"/>
        <v>-931.28551837329928</v>
      </c>
      <c r="AY82" s="41">
        <f>'[2]побудинковий звіт'!AY82+'[1]побудинковий звіт'!AY82</f>
        <v>1627.2362312293842</v>
      </c>
      <c r="AZ82" s="41">
        <f>'[2]побудинковий звіт'!AZ82+'[1]побудинковий звіт'!AZ82</f>
        <v>0</v>
      </c>
      <c r="BA82" s="36">
        <f t="shared" si="81"/>
        <v>-1627.2362312293842</v>
      </c>
      <c r="BB82" s="41">
        <f>'[2]побудинковий звіт'!BB82+'[1]побудинковий звіт'!BB82</f>
        <v>1456.9079906933459</v>
      </c>
      <c r="BC82" s="41">
        <f>'[2]побудинковий звіт'!BC82+'[1]побудинковий звіт'!BC82</f>
        <v>0</v>
      </c>
      <c r="BD82" s="58">
        <f t="shared" si="82"/>
        <v>-1456.9079906933459</v>
      </c>
      <c r="BE82" s="41">
        <f>'[2]побудинковий звіт'!BE82+'[1]побудинковий звіт'!BE82</f>
        <v>0</v>
      </c>
      <c r="BF82" s="41">
        <f>'[2]побудинковий звіт'!BF82+'[1]побудинковий звіт'!BF82</f>
        <v>0</v>
      </c>
      <c r="BG82" s="38">
        <f t="shared" si="83"/>
        <v>0</v>
      </c>
      <c r="BH82" s="41">
        <f>'[2]побудинковий звіт'!BH82+'[1]побудинковий звіт'!BH82</f>
        <v>82.704815978574771</v>
      </c>
      <c r="BI82" s="41">
        <f>'[2]побудинковий звіт'!BI82+'[1]побудинковий звіт'!BI82</f>
        <v>603.48322308377033</v>
      </c>
      <c r="BJ82" s="58">
        <f t="shared" si="84"/>
        <v>520.77840710519558</v>
      </c>
      <c r="BK82" s="41">
        <f>'[2]побудинковий звіт'!BK82+'[1]побудинковий звіт'!BK82</f>
        <v>537.9657134783738</v>
      </c>
      <c r="BL82" s="41">
        <f>'[2]побудинковий звіт'!BL82+'[1]побудинковий звіт'!BL82</f>
        <v>0</v>
      </c>
      <c r="BM82" s="38">
        <f t="shared" si="85"/>
        <v>-537.9657134783738</v>
      </c>
      <c r="BN82" s="41">
        <f>'[2]побудинковий звіт'!BN82+'[1]побудинковий звіт'!BN82</f>
        <v>45.299534315704136</v>
      </c>
      <c r="BO82" s="41">
        <f>'[2]побудинковий звіт'!BO82+'[1]побудинковий звіт'!BO82</f>
        <v>0</v>
      </c>
      <c r="BP82" s="58">
        <f t="shared" si="86"/>
        <v>-45.299534315704136</v>
      </c>
      <c r="BQ82" s="84">
        <f t="shared" si="87"/>
        <v>4681.399804068682</v>
      </c>
      <c r="BR82" s="42">
        <f t="shared" si="88"/>
        <v>603.48322308377033</v>
      </c>
      <c r="BS82" s="58">
        <f t="shared" si="89"/>
        <v>-4077.9165809849119</v>
      </c>
      <c r="BT82" s="41">
        <f>'[2]побудинковий звіт'!BT82+'[1]побудинковий звіт'!BT82</f>
        <v>11689.245487411445</v>
      </c>
      <c r="BU82" s="41">
        <f>'[2]побудинковий звіт'!BU82+'[1]побудинковий звіт'!BU82</f>
        <v>19612.860712575122</v>
      </c>
      <c r="BV82" s="55">
        <f t="shared" si="90"/>
        <v>7923.6152251636777</v>
      </c>
      <c r="BW82" s="41">
        <f>'[2]побудинковий звіт'!BW82+'[1]побудинковий звіт'!BW82</f>
        <v>8450.7951199646741</v>
      </c>
      <c r="BX82" s="41">
        <f>'[2]побудинковий звіт'!BX82+'[1]побудинковий звіт'!BX82</f>
        <v>10064.007780908061</v>
      </c>
      <c r="BY82" s="55">
        <f t="shared" si="91"/>
        <v>1613.2126609433872</v>
      </c>
      <c r="BZ82" s="41">
        <f>'[2]побудинковий звіт'!BZ82+'[1]побудинковий звіт'!BZ82</f>
        <v>7352.0589003143104</v>
      </c>
      <c r="CA82" s="41">
        <f>'[2]побудинковий звіт'!CA82+'[1]побудинковий звіт'!CA82</f>
        <v>1952.4344355712155</v>
      </c>
      <c r="CB82" s="55">
        <f t="shared" si="92"/>
        <v>-5399.6244647430949</v>
      </c>
      <c r="CC82" s="41">
        <f>'[2]побудинковий звіт'!CC82+'[1]побудинковий звіт'!CC82</f>
        <v>541.70203714192337</v>
      </c>
      <c r="CD82" s="41">
        <f>'[2]побудинковий звіт'!CD82+'[1]побудинковий звіт'!CD82</f>
        <v>543.53888832643861</v>
      </c>
      <c r="CE82" s="55">
        <f t="shared" si="93"/>
        <v>1.8368511845152398</v>
      </c>
      <c r="CF82" s="41">
        <f>'[2]побудинковий звіт'!CF82+'[1]побудинковий звіт'!CF82</f>
        <v>67.114003155238834</v>
      </c>
      <c r="CG82" s="41">
        <f>'[2]побудинковий звіт'!CG82+'[1]побудинковий звіт'!CG82</f>
        <v>0</v>
      </c>
      <c r="CH82" s="55">
        <f t="shared" si="94"/>
        <v>-67.114003155238834</v>
      </c>
      <c r="CI82" s="41">
        <f>'[2]побудинковий звіт'!CI82+'[1]побудинковий звіт'!CI82</f>
        <v>4600.0184018174323</v>
      </c>
      <c r="CJ82" s="41">
        <f>'[2]побудинковий звіт'!CJ82+'[1]побудинковий звіт'!CJ82</f>
        <v>4140.2492179769952</v>
      </c>
      <c r="CK82" s="55">
        <f t="shared" si="95"/>
        <v>-459.76918384043711</v>
      </c>
      <c r="CL82" s="41">
        <f>'[2]побудинковий звіт'!CL82+'[1]побудинковий звіт'!CL82</f>
        <v>0</v>
      </c>
      <c r="CM82" s="41">
        <f>'[2]побудинковий звіт'!CM82+'[1]побудинковий звіт'!CM82</f>
        <v>0</v>
      </c>
      <c r="CN82" s="55">
        <f t="shared" si="96"/>
        <v>0</v>
      </c>
      <c r="CO82" s="41">
        <f t="shared" si="97"/>
        <v>4600.0184018174323</v>
      </c>
      <c r="CP82" s="42">
        <f t="shared" si="98"/>
        <v>4140.2492179769952</v>
      </c>
      <c r="CQ82" s="55">
        <f t="shared" si="99"/>
        <v>-459.76918384043711</v>
      </c>
      <c r="CR82" s="76">
        <f t="shared" si="100"/>
        <v>84570.149734232313</v>
      </c>
      <c r="CS82" s="5">
        <f t="shared" si="101"/>
        <v>64815.456178686931</v>
      </c>
      <c r="CT82" s="55">
        <f t="shared" si="102"/>
        <v>-19754.693555545382</v>
      </c>
      <c r="CU82" s="84">
        <f t="shared" si="103"/>
        <v>101484.17968107878</v>
      </c>
      <c r="CV82" s="68">
        <f t="shared" si="104"/>
        <v>77778.54741442432</v>
      </c>
      <c r="CW82" s="36">
        <f t="shared" si="105"/>
        <v>-23705.632266654458</v>
      </c>
      <c r="CX82" s="41">
        <f>'[2]побудинковий звіт'!CX82+'[1]побудинковий звіт'!CX82</f>
        <v>5096.8308096925648</v>
      </c>
      <c r="CY82" s="41">
        <f>'[2]побудинковий звіт'!CY82+'[1]побудинковий звіт'!CY82</f>
        <v>28802.463076347027</v>
      </c>
      <c r="CZ82" s="55">
        <f t="shared" si="106"/>
        <v>23705.632266654462</v>
      </c>
      <c r="DA82" s="254">
        <f>'[1]побудинковий звіт'!DA82</f>
        <v>-28070.62808961868</v>
      </c>
      <c r="DB82" s="2">
        <v>2</v>
      </c>
      <c r="DC82" s="702">
        <f>'[1]побудинковий звіт'!DC82</f>
        <v>41230.15</v>
      </c>
      <c r="DD82" s="702">
        <f>'[1]побудинковий звіт'!DD82</f>
        <v>-111.39</v>
      </c>
      <c r="DE82" s="702">
        <f>'[1]побудинковий звіт'!DE82</f>
        <v>30215.940000000002</v>
      </c>
      <c r="DF82" s="702">
        <f>'[1]побудинковий звіт'!DF82</f>
        <v>-870.49</v>
      </c>
      <c r="DG82" s="772">
        <v>24043.923270895117</v>
      </c>
      <c r="DH82" s="746">
        <f t="shared" si="107"/>
        <v>1278972.1258892561</v>
      </c>
      <c r="DI82" s="769"/>
      <c r="DJ82" s="5"/>
      <c r="DK82" s="307">
        <f>VLOOKUP($A82,ціни!$A$4:$G$401,5)</f>
        <v>4.4879986430011209</v>
      </c>
      <c r="DL82" s="307"/>
      <c r="DM82" s="307">
        <f>VLOOKUP($A82,ціни!$A$4:$G$401,7)</f>
        <v>4.0043396248731922</v>
      </c>
      <c r="DN82" s="29">
        <f t="shared" si="116"/>
        <v>7802.8344407217483</v>
      </c>
      <c r="DO82" s="29">
        <f t="shared" si="117"/>
        <v>534.97977388305844</v>
      </c>
      <c r="DP82" s="306">
        <f t="shared" si="108"/>
        <v>8337.8142146048067</v>
      </c>
      <c r="DQ82" s="101"/>
      <c r="DR82" s="29">
        <f>VLOOKUP(A82,'ДЗ нас '!$A$1:$C$359,2)</f>
        <v>7802.85</v>
      </c>
      <c r="DS82" s="733">
        <f>VLOOKUP(A82,'ДЗ нежит'!$A$1:$D$153,4,0)</f>
        <v>534.96</v>
      </c>
      <c r="DT82" s="29">
        <f t="shared" si="109"/>
        <v>8337.8100000000013</v>
      </c>
      <c r="DU82" s="247">
        <f>VLOOKUP(A82,'новий кошторис с 01.06'!$A$4:$AI$399,35)*1.2</f>
        <v>8414.956598286004</v>
      </c>
      <c r="DV82" s="29">
        <f t="shared" si="110"/>
        <v>-77.1465982860027</v>
      </c>
      <c r="DW82" s="1016">
        <f>'[2]побудинковий звіт'!$DW$9+'[1]побудинковий звіт'!DW82</f>
        <v>918</v>
      </c>
      <c r="DX82" s="101">
        <f>'[1]побудинковий звіт'!DX82</f>
        <v>0</v>
      </c>
      <c r="DY82" s="5">
        <f t="shared" si="111"/>
        <v>30420.283862390974</v>
      </c>
      <c r="DZ82" s="5">
        <f t="shared" si="112"/>
        <v>2787.8664096053549</v>
      </c>
      <c r="EA82" s="737">
        <f t="shared" si="113"/>
        <v>29345.45</v>
      </c>
      <c r="EC82" s="577">
        <f t="shared" si="114"/>
        <v>248026.04097508558</v>
      </c>
      <c r="EE82" s="743">
        <v>4010</v>
      </c>
      <c r="EF82" s="723">
        <f t="shared" si="115"/>
        <v>28053.923270895117</v>
      </c>
      <c r="EH82" s="798">
        <v>12582.260116757532</v>
      </c>
      <c r="EI82" s="101">
        <f>VLOOKUP(A82,'кошти 01.01.24'!$A$9:$D$352,4,FALSE)</f>
        <v>-4364.9958229642207</v>
      </c>
    </row>
    <row r="83" spans="1:139" hidden="1" x14ac:dyDescent="0.3">
      <c r="A83" s="318">
        <v>150000513</v>
      </c>
      <c r="B83" s="43" t="s">
        <v>504</v>
      </c>
      <c r="C83" s="44" t="s">
        <v>333</v>
      </c>
      <c r="D83" s="44" t="s">
        <v>333</v>
      </c>
      <c r="E83" s="39">
        <f t="shared" si="64"/>
        <v>3630</v>
      </c>
      <c r="F83" s="205">
        <f>'[1]побудинковий звіт'!F83</f>
        <v>2148</v>
      </c>
      <c r="G83" s="29">
        <f>'[1]побудинковий звіт'!G83</f>
        <v>0</v>
      </c>
      <c r="H83" s="148">
        <f>'[1]побудинковий звіт'!H83</f>
        <v>1482</v>
      </c>
      <c r="I83" s="41">
        <f>'[2]побудинковий звіт'!I83+'[1]побудинковий звіт'!I83</f>
        <v>8416.9831788913289</v>
      </c>
      <c r="J83" s="41">
        <f>'[2]побудинковий звіт'!J83+'[1]побудинковий звіт'!J83</f>
        <v>8707.7417912088058</v>
      </c>
      <c r="K83" s="55">
        <f t="shared" si="65"/>
        <v>290.75861231747695</v>
      </c>
      <c r="L83" s="41">
        <f>'[2]побудинковий звіт'!L83+'[1]побудинковий звіт'!L83</f>
        <v>1651.3282473092092</v>
      </c>
      <c r="M83" s="41">
        <f>'[2]побудинковий звіт'!M83+'[1]побудинковий звіт'!M83</f>
        <v>1896.3339767346997</v>
      </c>
      <c r="N83" s="55">
        <f t="shared" si="66"/>
        <v>245.00572942549047</v>
      </c>
      <c r="O83" s="41">
        <f>'[2]побудинковий звіт'!O83+'[1]побудинковий звіт'!O83</f>
        <v>5872.641745283162</v>
      </c>
      <c r="P83" s="41">
        <f>'[2]побудинковий звіт'!P83+'[1]побудинковий звіт'!P83</f>
        <v>5889.3386792454339</v>
      </c>
      <c r="Q83" s="55">
        <f t="shared" si="67"/>
        <v>16.696933962271942</v>
      </c>
      <c r="R83" s="41">
        <f>'[2]побудинковий звіт'!R83+'[1]побудинковий звіт'!R83</f>
        <v>1224.8431747297655</v>
      </c>
      <c r="S83" s="41">
        <f>'[2]побудинковий звіт'!S83+'[1]побудинковий звіт'!S83</f>
        <v>1227.990885680455</v>
      </c>
      <c r="T83" s="55">
        <f t="shared" si="68"/>
        <v>3.1477109506895431</v>
      </c>
      <c r="U83" s="41">
        <f>'[2]побудинковий звіт'!U83+'[1]побудинковий звіт'!U83</f>
        <v>415.05737772233431</v>
      </c>
      <c r="V83" s="41">
        <f>'[2]побудинковий звіт'!V83+'[1]побудинковий звіт'!V83</f>
        <v>920.10865199313082</v>
      </c>
      <c r="W83" s="55">
        <f t="shared" si="69"/>
        <v>505.05127427079651</v>
      </c>
      <c r="X83" s="41">
        <f>'[2]побудинковий звіт'!X83+'[1]побудинковий звіт'!X83</f>
        <v>4180.8823684839308</v>
      </c>
      <c r="Y83" s="41">
        <f>'[2]побудинковий звіт'!Y83+'[1]побудинковий звіт'!Y83</f>
        <v>4057.4731432686326</v>
      </c>
      <c r="Z83" s="55">
        <f t="shared" si="70"/>
        <v>-123.40922521529819</v>
      </c>
      <c r="AA83" s="41">
        <f>'[2]побудинковий звіт'!AA83+'[1]побудинковий звіт'!AA83</f>
        <v>0</v>
      </c>
      <c r="AB83" s="41">
        <f>'[2]побудинковий звіт'!AB83+'[1]побудинковий звіт'!AB83</f>
        <v>0</v>
      </c>
      <c r="AC83" s="55">
        <f t="shared" si="71"/>
        <v>0</v>
      </c>
      <c r="AD83" s="41">
        <f>'[2]побудинковий звіт'!AD83+'[1]побудинковий звіт'!AD83</f>
        <v>15744.443155314792</v>
      </c>
      <c r="AE83" s="41">
        <f>'[2]побудинковий звіт'!AE83+'[1]побудинковий звіт'!AE83</f>
        <v>15683.208759397958</v>
      </c>
      <c r="AF83" s="36">
        <f t="shared" si="72"/>
        <v>-61.234395916833819</v>
      </c>
      <c r="AG83" s="84">
        <f t="shared" si="73"/>
        <v>37506.179247734515</v>
      </c>
      <c r="AH83" s="56">
        <f t="shared" si="74"/>
        <v>38382.195887529109</v>
      </c>
      <c r="AI83" s="55">
        <f t="shared" si="75"/>
        <v>876.01663979459408</v>
      </c>
      <c r="AJ83" s="41">
        <f>'[2]побудинковий звіт'!AJ83+'[1]побудинковий звіт'!AJ83</f>
        <v>0</v>
      </c>
      <c r="AK83" s="41">
        <f>'[2]побудинковий звіт'!AK83+'[1]побудинковий звіт'!AK83</f>
        <v>0</v>
      </c>
      <c r="AL83" s="55">
        <f t="shared" si="76"/>
        <v>0</v>
      </c>
      <c r="AM83" s="41">
        <f>'[2]побудинковий звіт'!AM83+'[1]побудинковий звіт'!AM83</f>
        <v>0</v>
      </c>
      <c r="AN83" s="41">
        <f>'[2]побудинковий звіт'!AN83+'[1]побудинковий звіт'!AN83</f>
        <v>0</v>
      </c>
      <c r="AO83" s="55">
        <f t="shared" si="77"/>
        <v>0</v>
      </c>
      <c r="AP83" s="41">
        <f>'[2]побудинковий звіт'!AP83+'[1]побудинковий звіт'!AP83</f>
        <v>1287.7773257767651</v>
      </c>
      <c r="AQ83" s="41">
        <f>'[2]побудинковий звіт'!AQ83+'[1]побудинковий звіт'!AQ83</f>
        <v>1129.5052220338121</v>
      </c>
      <c r="AR83" s="55">
        <f t="shared" si="78"/>
        <v>-158.27210374295305</v>
      </c>
      <c r="AS83" s="41">
        <f>'[2]побудинковий звіт'!AS83+'[1]побудинковий звіт'!AS83</f>
        <v>50381.951743087717</v>
      </c>
      <c r="AT83" s="41">
        <f>'[2]побудинковий звіт'!AT83+'[1]побудинковий звіт'!AT83</f>
        <v>26426.693973976267</v>
      </c>
      <c r="AU83" s="57">
        <f t="shared" si="79"/>
        <v>-23955.257769111449</v>
      </c>
      <c r="AV83" s="41">
        <f>'[2]побудинковий звіт'!AV83+'[1]побудинковий звіт'!AV83</f>
        <v>1604.1208706321268</v>
      </c>
      <c r="AW83" s="41">
        <f>'[2]побудинковий звіт'!AW83+'[1]побудинковий звіт'!AW83</f>
        <v>0</v>
      </c>
      <c r="AX83" s="58">
        <f t="shared" si="80"/>
        <v>-1604.1208706321268</v>
      </c>
      <c r="AY83" s="41">
        <f>'[2]побудинковий звіт'!AY83+'[1]побудинковий звіт'!AY83</f>
        <v>2149.0840849573774</v>
      </c>
      <c r="AZ83" s="41">
        <f>'[2]побудинковий звіт'!AZ83+'[1]побудинковий звіт'!AZ83</f>
        <v>0</v>
      </c>
      <c r="BA83" s="36">
        <f t="shared" si="81"/>
        <v>-2149.0840849573774</v>
      </c>
      <c r="BB83" s="41">
        <f>'[2]побудинковий звіт'!BB83+'[1]побудинковий звіт'!BB83</f>
        <v>2595.4654728001951</v>
      </c>
      <c r="BC83" s="41">
        <f>'[2]побудинковий звіт'!BC83+'[1]побудинковий звіт'!BC83</f>
        <v>9563.0944083643353</v>
      </c>
      <c r="BD83" s="58">
        <f t="shared" si="82"/>
        <v>6967.6289355641402</v>
      </c>
      <c r="BE83" s="41">
        <f>'[2]побудинковий звіт'!BE83+'[1]побудинковий звіт'!BE83</f>
        <v>1066.6200087996936</v>
      </c>
      <c r="BF83" s="41">
        <f>'[2]побудинковий звіт'!BF83+'[1]побудинковий звіт'!BF83</f>
        <v>0</v>
      </c>
      <c r="BG83" s="38">
        <f t="shared" si="83"/>
        <v>-1066.6200087996936</v>
      </c>
      <c r="BH83" s="41">
        <f>'[2]побудинковий звіт'!BH83+'[1]побудинковий звіт'!BH83</f>
        <v>390.61659625884829</v>
      </c>
      <c r="BI83" s="41">
        <f>'[2]побудинковий звіт'!BI83+'[1]побудинковий звіт'!BI83</f>
        <v>0</v>
      </c>
      <c r="BJ83" s="58">
        <f t="shared" si="84"/>
        <v>-390.61659625884829</v>
      </c>
      <c r="BK83" s="41">
        <f>'[2]побудинковий звіт'!BK83+'[1]побудинковий звіт'!BK83</f>
        <v>612.3268306109494</v>
      </c>
      <c r="BL83" s="41">
        <f>'[2]побудинковий звіт'!BL83+'[1]побудинковий звіт'!BL83</f>
        <v>2861.2110204274854</v>
      </c>
      <c r="BM83" s="38">
        <f t="shared" si="85"/>
        <v>2248.884189816536</v>
      </c>
      <c r="BN83" s="41">
        <f>'[2]побудинковий звіт'!BN83+'[1]побудинковий звіт'!BN83</f>
        <v>53.989264928896702</v>
      </c>
      <c r="BO83" s="41">
        <f>'[2]побудинковий звіт'!BO83+'[1]побудинковий звіт'!BO83</f>
        <v>5934.5907324580003</v>
      </c>
      <c r="BP83" s="58">
        <f t="shared" si="86"/>
        <v>5880.6014675291035</v>
      </c>
      <c r="BQ83" s="84">
        <f t="shared" si="87"/>
        <v>8472.2231289880874</v>
      </c>
      <c r="BR83" s="42">
        <f t="shared" si="88"/>
        <v>18358.896161249821</v>
      </c>
      <c r="BS83" s="58">
        <f t="shared" si="89"/>
        <v>9886.6730322617332</v>
      </c>
      <c r="BT83" s="41">
        <f>'[2]побудинковий звіт'!BT83+'[1]побудинковий звіт'!BT83</f>
        <v>14341.65337398709</v>
      </c>
      <c r="BU83" s="41">
        <f>'[2]побудинковий звіт'!BU83+'[1]побудинковий звіт'!BU83</f>
        <v>26832.524845552929</v>
      </c>
      <c r="BV83" s="55">
        <f t="shared" si="90"/>
        <v>12490.871471565839</v>
      </c>
      <c r="BW83" s="41">
        <f>'[2]побудинковий звіт'!BW83+'[1]побудинковий звіт'!BW83</f>
        <v>16678.356914151344</v>
      </c>
      <c r="BX83" s="41">
        <f>'[2]побудинковий звіт'!BX83+'[1]побудинковий звіт'!BX83</f>
        <v>20863.706934310601</v>
      </c>
      <c r="BY83" s="55">
        <f t="shared" si="91"/>
        <v>4185.3500201592578</v>
      </c>
      <c r="BZ83" s="41">
        <f>'[2]побудинковий звіт'!BZ83+'[1]побудинковий звіт'!BZ83</f>
        <v>9601.318139405721</v>
      </c>
      <c r="CA83" s="41">
        <f>'[2]побудинковий звіт'!CA83+'[1]побудинковий звіт'!CA83</f>
        <v>2984.5291387760612</v>
      </c>
      <c r="CB83" s="55">
        <f t="shared" si="92"/>
        <v>-6616.7890006296602</v>
      </c>
      <c r="CC83" s="41">
        <f>'[2]побудинковий звіт'!CC83+'[1]побудинковий звіт'!CC83</f>
        <v>0</v>
      </c>
      <c r="CD83" s="41">
        <f>'[2]побудинковий звіт'!CD83+'[1]побудинковий звіт'!CD83</f>
        <v>0</v>
      </c>
      <c r="CE83" s="55">
        <f t="shared" si="93"/>
        <v>0</v>
      </c>
      <c r="CF83" s="41">
        <f>'[2]побудинковий звіт'!CF83+'[1]побудинковий звіт'!CF83</f>
        <v>0</v>
      </c>
      <c r="CG83" s="41">
        <f>'[2]побудинковий звіт'!CG83+'[1]побудинковий звіт'!CG83</f>
        <v>0</v>
      </c>
      <c r="CH83" s="55">
        <f t="shared" si="94"/>
        <v>0</v>
      </c>
      <c r="CI83" s="41">
        <f>'[2]побудинковий звіт'!CI83+'[1]побудинковий звіт'!CI83</f>
        <v>3320.3172468369421</v>
      </c>
      <c r="CJ83" s="41">
        <f>'[2]побудинковий звіт'!CJ83+'[1]побудинковий звіт'!CJ83</f>
        <v>5619.029856177388</v>
      </c>
      <c r="CK83" s="55">
        <f t="shared" si="95"/>
        <v>2298.7126093404459</v>
      </c>
      <c r="CL83" s="41">
        <f>'[2]побудинковий звіт'!CL83+'[1]побудинковий звіт'!CL83</f>
        <v>0</v>
      </c>
      <c r="CM83" s="41">
        <f>'[2]побудинковий звіт'!CM83+'[1]побудинковий звіт'!CM83</f>
        <v>0</v>
      </c>
      <c r="CN83" s="55">
        <f t="shared" si="96"/>
        <v>0</v>
      </c>
      <c r="CO83" s="41">
        <f t="shared" si="97"/>
        <v>3320.3172468369421</v>
      </c>
      <c r="CP83" s="42">
        <f t="shared" si="98"/>
        <v>5619.029856177388</v>
      </c>
      <c r="CQ83" s="55">
        <f t="shared" si="99"/>
        <v>2298.7126093404459</v>
      </c>
      <c r="CR83" s="76">
        <f t="shared" si="100"/>
        <v>141589.77711996817</v>
      </c>
      <c r="CS83" s="5">
        <f t="shared" si="101"/>
        <v>140597.08201960602</v>
      </c>
      <c r="CT83" s="55">
        <f t="shared" si="102"/>
        <v>-992.6951003621507</v>
      </c>
      <c r="CU83" s="84">
        <f t="shared" si="103"/>
        <v>169907.73254396181</v>
      </c>
      <c r="CV83" s="68">
        <f t="shared" si="104"/>
        <v>168716.49842352723</v>
      </c>
      <c r="CW83" s="36">
        <f t="shared" si="105"/>
        <v>-1191.2341204345867</v>
      </c>
      <c r="CX83" s="41">
        <f>'[2]побудинковий звіт'!CX83+'[1]побудинковий звіт'!CX83</f>
        <v>5117.4307400433008</v>
      </c>
      <c r="CY83" s="41">
        <f>'[2]побудинковий звіт'!CY83+'[1]побудинковий звіт'!CY83</f>
        <v>6308.6648604779293</v>
      </c>
      <c r="CZ83" s="55">
        <f t="shared" si="106"/>
        <v>1191.2341204346285</v>
      </c>
      <c r="DA83" s="254">
        <f>'[1]побудинковий звіт'!DA83</f>
        <v>-23763.210565815833</v>
      </c>
      <c r="DB83" s="2">
        <v>2</v>
      </c>
      <c r="DC83" s="702">
        <f>'[1]побудинковий звіт'!DC83</f>
        <v>59922.73</v>
      </c>
      <c r="DD83" s="702">
        <f>'[1]побудинковий звіт'!DD83</f>
        <v>9063.2899999999991</v>
      </c>
      <c r="DE83" s="702">
        <f>'[1]побудинковий звіт'!DE83</f>
        <v>47662.560000000005</v>
      </c>
      <c r="DF83" s="702">
        <f>'[1]побудинковий звіт'!DF83</f>
        <v>2131.9699999999993</v>
      </c>
      <c r="DG83" s="772">
        <v>-14731.985914494726</v>
      </c>
      <c r="DH83" s="746">
        <f t="shared" si="107"/>
        <v>2100301.9594080611</v>
      </c>
      <c r="DI83" s="769"/>
      <c r="DJ83" s="5"/>
      <c r="DK83" s="307">
        <f>VLOOKUP($A83,ціни!$A$4:$G$401,5)</f>
        <v>4.0880641528656323</v>
      </c>
      <c r="DL83" s="307"/>
      <c r="DM83" s="307">
        <f>VLOOKUP($A83,ціни!$A$4:$G$401,7)</f>
        <v>3.3317503467073935</v>
      </c>
      <c r="DN83" s="29">
        <f t="shared" si="116"/>
        <v>8781.1618003553776</v>
      </c>
      <c r="DO83" s="29">
        <f t="shared" si="117"/>
        <v>4937.6540138203572</v>
      </c>
      <c r="DP83" s="306">
        <f t="shared" si="108"/>
        <v>13718.815814175734</v>
      </c>
      <c r="DQ83" s="101"/>
      <c r="DR83" s="29">
        <f>VLOOKUP(A83,'ДЗ нас '!$A$1:$C$359,2)</f>
        <v>8781.25</v>
      </c>
      <c r="DS83" s="733">
        <f>VLOOKUP(A83,'ДЗ нежит'!$A$1:$D$153,4,0)</f>
        <v>4937.72</v>
      </c>
      <c r="DT83" s="29">
        <f t="shared" si="109"/>
        <v>13718.970000000001</v>
      </c>
      <c r="DU83" s="247">
        <f>VLOOKUP(A83,'новий кошторис с 01.06'!$A$4:$AI$399,35)*1.2</f>
        <v>13785.736866927813</v>
      </c>
      <c r="DV83" s="29">
        <f t="shared" si="110"/>
        <v>-66.766866927811861</v>
      </c>
      <c r="DW83" s="1016">
        <f>'[2]побудинковий звіт'!$DW$9+'[1]побудинковий звіт'!DW83</f>
        <v>918</v>
      </c>
      <c r="DX83" s="101">
        <f>'[1]побудинковий звіт'!DX83</f>
        <v>0</v>
      </c>
      <c r="DY83" s="5">
        <f t="shared" si="111"/>
        <v>70625.009846490968</v>
      </c>
      <c r="DZ83" s="5">
        <f t="shared" si="112"/>
        <v>53742.708162271301</v>
      </c>
      <c r="EA83" s="737">
        <f t="shared" si="113"/>
        <v>49794.530000000006</v>
      </c>
      <c r="EC83" s="577">
        <f t="shared" si="114"/>
        <v>604583.42091705254</v>
      </c>
      <c r="EE83" s="743">
        <v>-50391</v>
      </c>
      <c r="EF83" s="723">
        <f t="shared" si="115"/>
        <v>-65122.985914494726</v>
      </c>
      <c r="EH83" s="798">
        <v>-53568.822705524748</v>
      </c>
      <c r="EI83" s="101">
        <f>VLOOKUP(A83,'кошти 01.01.24'!$A$9:$D$352,4,FALSE)</f>
        <v>-22571.97644538122</v>
      </c>
    </row>
    <row r="84" spans="1:139" ht="14.4" hidden="1" customHeight="1" x14ac:dyDescent="0.3">
      <c r="A84" s="318">
        <v>150000538</v>
      </c>
      <c r="B84" s="43" t="s">
        <v>505</v>
      </c>
      <c r="C84" s="44" t="s">
        <v>207</v>
      </c>
      <c r="D84" s="44" t="s">
        <v>207</v>
      </c>
      <c r="E84" s="39">
        <f t="shared" si="64"/>
        <v>1469</v>
      </c>
      <c r="F84" s="205">
        <f>'[1]побудинковий звіт'!F84</f>
        <v>1469</v>
      </c>
      <c r="G84" s="29">
        <f>'[1]побудинковий звіт'!G84</f>
        <v>0</v>
      </c>
      <c r="H84" s="148">
        <f>'[1]побудинковий звіт'!H84</f>
        <v>0</v>
      </c>
      <c r="I84" s="41">
        <f>'[2]побудинковий звіт'!I84+'[1]побудинковий звіт'!I84</f>
        <v>4854.92536220683</v>
      </c>
      <c r="J84" s="41">
        <f>'[2]побудинковий звіт'!J84+'[1]побудинковий звіт'!J84</f>
        <v>4988.2990192163834</v>
      </c>
      <c r="K84" s="55">
        <f t="shared" si="65"/>
        <v>133.37365700955343</v>
      </c>
      <c r="L84" s="41">
        <f>'[2]побудинковий звіт'!L84+'[1]побудинковий звіт'!L84</f>
        <v>745.21963871180048</v>
      </c>
      <c r="M84" s="41">
        <f>'[2]побудинковий звіт'!M84+'[1]побудинковий звіт'!M84</f>
        <v>781.82797602717847</v>
      </c>
      <c r="N84" s="55">
        <f t="shared" si="66"/>
        <v>36.60833731537798</v>
      </c>
      <c r="O84" s="41">
        <f>'[2]побудинковий звіт'!O84+'[1]побудинковий звіт'!O84</f>
        <v>2131.6536376021645</v>
      </c>
      <c r="P84" s="41">
        <f>'[2]побудинковий звіт'!P84+'[1]побудинковий звіт'!P84</f>
        <v>2137.7176887040332</v>
      </c>
      <c r="Q84" s="55">
        <f t="shared" si="67"/>
        <v>6.0640511018686993</v>
      </c>
      <c r="R84" s="41">
        <f>'[2]побудинковий звіт'!R84+'[1]побудинковий звіт'!R84</f>
        <v>0</v>
      </c>
      <c r="S84" s="41">
        <f>'[2]побудинковий звіт'!S84+'[1]побудинковий звіт'!S84</f>
        <v>0</v>
      </c>
      <c r="T84" s="55">
        <f t="shared" si="68"/>
        <v>0</v>
      </c>
      <c r="U84" s="41">
        <f>'[2]побудинковий звіт'!U84+'[1]побудинковий звіт'!U84</f>
        <v>112.26117935125026</v>
      </c>
      <c r="V84" s="41">
        <f>'[2]побудинковий звіт'!V84+'[1]побудинковий звіт'!V84</f>
        <v>64.766754518396098</v>
      </c>
      <c r="W84" s="55">
        <f t="shared" si="69"/>
        <v>-47.494424832854165</v>
      </c>
      <c r="X84" s="41">
        <f>'[2]побудинковий звіт'!X84+'[1]побудинковий звіт'!X84</f>
        <v>3118.1665066016762</v>
      </c>
      <c r="Y84" s="41">
        <f>'[2]побудинковий звіт'!Y84+'[1]побудинковий звіт'!Y84</f>
        <v>2869.6360286202944</v>
      </c>
      <c r="Z84" s="55">
        <f t="shared" si="70"/>
        <v>-248.53047798138186</v>
      </c>
      <c r="AA84" s="41">
        <f>'[2]побудинковий звіт'!AA84+'[1]побудинковий звіт'!AA84</f>
        <v>0</v>
      </c>
      <c r="AB84" s="41">
        <f>'[2]побудинковий звіт'!AB84+'[1]побудинковий звіт'!AB84</f>
        <v>0</v>
      </c>
      <c r="AC84" s="55">
        <f t="shared" si="71"/>
        <v>0</v>
      </c>
      <c r="AD84" s="41">
        <f>'[2]побудинковий звіт'!AD84+'[1]побудинковий звіт'!AD84</f>
        <v>6372.5912163760258</v>
      </c>
      <c r="AE84" s="41">
        <f>'[2]побудинковий звіт'!AE84+'[1]побудинковий звіт'!AE84</f>
        <v>6347.7654882250299</v>
      </c>
      <c r="AF84" s="36">
        <f t="shared" si="72"/>
        <v>-24.825728150995928</v>
      </c>
      <c r="AG84" s="84">
        <f t="shared" si="73"/>
        <v>17334.817540849748</v>
      </c>
      <c r="AH84" s="56">
        <f t="shared" si="74"/>
        <v>17190.012955311315</v>
      </c>
      <c r="AI84" s="55">
        <f t="shared" si="75"/>
        <v>-144.80458553843346</v>
      </c>
      <c r="AJ84" s="41">
        <f>'[2]побудинковий звіт'!AJ84+'[1]побудинковий звіт'!AJ84</f>
        <v>0</v>
      </c>
      <c r="AK84" s="41">
        <f>'[2]побудинковий звіт'!AK84+'[1]побудинковий звіт'!AK84</f>
        <v>0</v>
      </c>
      <c r="AL84" s="55">
        <f t="shared" si="76"/>
        <v>0</v>
      </c>
      <c r="AM84" s="41">
        <f>'[2]побудинковий звіт'!AM84+'[1]побудинковий звіт'!AM84</f>
        <v>0</v>
      </c>
      <c r="AN84" s="41">
        <f>'[2]побудинковий звіт'!AN84+'[1]побудинковий звіт'!AN84</f>
        <v>0</v>
      </c>
      <c r="AO84" s="55">
        <f t="shared" si="77"/>
        <v>0</v>
      </c>
      <c r="AP84" s="41">
        <f>'[2]побудинковий звіт'!AP84+'[1]побудинковий звіт'!AP84</f>
        <v>6339.8268345933066</v>
      </c>
      <c r="AQ84" s="41">
        <f>'[2]побудинковий звіт'!AQ84+'[1]побудинковий звіт'!AQ84</f>
        <v>4522.1464070994734</v>
      </c>
      <c r="AR84" s="55">
        <f t="shared" si="78"/>
        <v>-1817.6804274938331</v>
      </c>
      <c r="AS84" s="41">
        <f>'[2]побудинковий звіт'!AS84+'[1]побудинковий звіт'!AS84</f>
        <v>16176.465743980829</v>
      </c>
      <c r="AT84" s="41">
        <f>'[2]побудинковий звіт'!AT84+'[1]побудинковий звіт'!AT84</f>
        <v>0</v>
      </c>
      <c r="AU84" s="57">
        <f t="shared" si="79"/>
        <v>-16176.465743980829</v>
      </c>
      <c r="AV84" s="41">
        <f>'[2]побудинковий звіт'!AV84+'[1]побудинковий звіт'!AV84</f>
        <v>772.76579124497778</v>
      </c>
      <c r="AW84" s="41">
        <f>'[2]побудинковий звіт'!AW84+'[1]побудинковий звіт'!AW84</f>
        <v>0</v>
      </c>
      <c r="AX84" s="58">
        <f t="shared" si="80"/>
        <v>-772.76579124497778</v>
      </c>
      <c r="AY84" s="41">
        <f>'[2]побудинковий звіт'!AY84+'[1]побудинковий звіт'!AY84</f>
        <v>894.01307699847462</v>
      </c>
      <c r="AZ84" s="41">
        <f>'[2]побудинковий звіт'!AZ84+'[1]побудинковий звіт'!AZ84</f>
        <v>0</v>
      </c>
      <c r="BA84" s="36">
        <f t="shared" si="81"/>
        <v>-894.01307699847462</v>
      </c>
      <c r="BB84" s="41">
        <f>'[2]побудинковий звіт'!BB84+'[1]побудинковий звіт'!BB84</f>
        <v>1072.1771810193156</v>
      </c>
      <c r="BC84" s="41">
        <f>'[2]побудинковий звіт'!BC84+'[1]побудинковий звіт'!BC84</f>
        <v>0</v>
      </c>
      <c r="BD84" s="58">
        <f t="shared" si="82"/>
        <v>-1072.1771810193156</v>
      </c>
      <c r="BE84" s="41">
        <f>'[2]побудинковий звіт'!BE84+'[1]побудинковий звіт'!BE84</f>
        <v>0</v>
      </c>
      <c r="BF84" s="41">
        <f>'[2]побудинковий звіт'!BF84+'[1]побудинковий звіт'!BF84</f>
        <v>0</v>
      </c>
      <c r="BG84" s="38">
        <f t="shared" si="83"/>
        <v>0</v>
      </c>
      <c r="BH84" s="41">
        <f>'[2]побудинковий звіт'!BH84+'[1]побудинковий звіт'!BH84</f>
        <v>66.163852782859806</v>
      </c>
      <c r="BI84" s="41">
        <f>'[2]побудинковий звіт'!BI84+'[1]побудинковий звіт'!BI84</f>
        <v>0</v>
      </c>
      <c r="BJ84" s="58">
        <f t="shared" si="84"/>
        <v>-66.163852782859806</v>
      </c>
      <c r="BK84" s="41">
        <f>'[2]побудинковий звіт'!BK84+'[1]побудинковий звіт'!BK84</f>
        <v>473.6254414042063</v>
      </c>
      <c r="BL84" s="41">
        <f>'[2]побудинковий звіт'!BL84+'[1]побудинковий звіт'!BL84</f>
        <v>0</v>
      </c>
      <c r="BM84" s="38">
        <f t="shared" si="85"/>
        <v>-473.6254414042063</v>
      </c>
      <c r="BN84" s="41">
        <f>'[2]побудинковий звіт'!BN84+'[1]побудинковий звіт'!BN84</f>
        <v>53.989264928896702</v>
      </c>
      <c r="BO84" s="41">
        <f>'[2]побудинковий звіт'!BO84+'[1]побудинковий звіт'!BO84</f>
        <v>0</v>
      </c>
      <c r="BP84" s="58">
        <f t="shared" si="86"/>
        <v>-53.989264928896702</v>
      </c>
      <c r="BQ84" s="84">
        <f t="shared" si="87"/>
        <v>3332.7346083787311</v>
      </c>
      <c r="BR84" s="42">
        <f t="shared" si="88"/>
        <v>0</v>
      </c>
      <c r="BS84" s="58">
        <f t="shared" si="89"/>
        <v>-3332.7346083787311</v>
      </c>
      <c r="BT84" s="41">
        <f>'[2]побудинковий звіт'!BT84+'[1]побудинковий звіт'!BT84</f>
        <v>23080.670716006018</v>
      </c>
      <c r="BU84" s="41">
        <f>'[2]побудинковий звіт'!BU84+'[1]побудинковий звіт'!BU84</f>
        <v>36417.901441471899</v>
      </c>
      <c r="BV84" s="55">
        <f t="shared" si="90"/>
        <v>13337.230725465881</v>
      </c>
      <c r="BW84" s="41">
        <f>'[2]побудинковий звіт'!BW84+'[1]побудинковий звіт'!BW84</f>
        <v>7735.7989936889226</v>
      </c>
      <c r="BX84" s="41">
        <f>'[2]побудинковий звіт'!BX84+'[1]побудинковий звіт'!BX84</f>
        <v>10170.121541086814</v>
      </c>
      <c r="BY84" s="55">
        <f t="shared" si="91"/>
        <v>2434.322547397891</v>
      </c>
      <c r="BZ84" s="41">
        <f>'[2]побудинковий звіт'!BZ84+'[1]побудинковий звіт'!BZ84</f>
        <v>6465.1291090962031</v>
      </c>
      <c r="CA84" s="41">
        <f>'[2]побудинковий звіт'!CA84+'[1]побудинковий звіт'!CA84</f>
        <v>3479.3199109026764</v>
      </c>
      <c r="CB84" s="55">
        <f t="shared" si="92"/>
        <v>-2985.8091981935268</v>
      </c>
      <c r="CC84" s="41">
        <f>'[2]побудинковий звіт'!CC84+'[1]побудинковий звіт'!CC84</f>
        <v>1015.0042680156446</v>
      </c>
      <c r="CD84" s="41">
        <f>'[2]побудинковий звіт'!CD84+'[1]побудинковий звіт'!CD84</f>
        <v>1018.446034271185</v>
      </c>
      <c r="CE84" s="55">
        <f t="shared" si="93"/>
        <v>3.4417662555404149</v>
      </c>
      <c r="CF84" s="41">
        <f>'[2]побудинковий звіт'!CF84+'[1]побудинковий звіт'!CF84</f>
        <v>125.75363387148471</v>
      </c>
      <c r="CG84" s="41">
        <f>'[2]побудинковий звіт'!CG84+'[1]побудинковий звіт'!CG84</f>
        <v>2728.4925814367971</v>
      </c>
      <c r="CH84" s="55">
        <f t="shared" si="94"/>
        <v>2602.7389475653122</v>
      </c>
      <c r="CI84" s="41">
        <f>'[2]побудинковий звіт'!CI84+'[1]побудинковий звіт'!CI84</f>
        <v>4228.2458335694782</v>
      </c>
      <c r="CJ84" s="41">
        <f>'[2]побудинковий звіт'!CJ84+'[1]побудинковий звіт'!CJ84</f>
        <v>3650.7268704639091</v>
      </c>
      <c r="CK84" s="55">
        <f t="shared" si="95"/>
        <v>-577.51896310556913</v>
      </c>
      <c r="CL84" s="41">
        <f>'[2]побудинковий звіт'!CL84+'[1]побудинковий звіт'!CL84</f>
        <v>0</v>
      </c>
      <c r="CM84" s="41">
        <f>'[2]побудинковий звіт'!CM84+'[1]побудинковий звіт'!CM84</f>
        <v>0</v>
      </c>
      <c r="CN84" s="55">
        <f t="shared" si="96"/>
        <v>0</v>
      </c>
      <c r="CO84" s="41">
        <f t="shared" si="97"/>
        <v>4228.2458335694782</v>
      </c>
      <c r="CP84" s="42">
        <f t="shared" si="98"/>
        <v>3650.7268704639091</v>
      </c>
      <c r="CQ84" s="55">
        <f t="shared" si="99"/>
        <v>-577.51896310556913</v>
      </c>
      <c r="CR84" s="76">
        <f t="shared" si="100"/>
        <v>85834.447282050372</v>
      </c>
      <c r="CS84" s="5">
        <f t="shared" si="101"/>
        <v>79177.167742044083</v>
      </c>
      <c r="CT84" s="55">
        <f t="shared" si="102"/>
        <v>-6657.2795400062896</v>
      </c>
      <c r="CU84" s="84">
        <f t="shared" si="103"/>
        <v>103001.33673846045</v>
      </c>
      <c r="CV84" s="68">
        <f t="shared" si="104"/>
        <v>95012.601290452891</v>
      </c>
      <c r="CW84" s="36">
        <f t="shared" si="105"/>
        <v>-7988.7354480075592</v>
      </c>
      <c r="CX84" s="41">
        <f>'[2]побудинковий звіт'!CX84+'[1]побудинковий звіт'!CX84</f>
        <v>1043.4519938986357</v>
      </c>
      <c r="CY84" s="41">
        <f>'[2]побудинковий звіт'!CY84+'[1]побудинковий звіт'!CY84</f>
        <v>9032.187441906186</v>
      </c>
      <c r="CZ84" s="55">
        <f t="shared" si="106"/>
        <v>7988.7354480075501</v>
      </c>
      <c r="DA84" s="254">
        <f>'[1]побудинковий звіт'!DA84</f>
        <v>65225.486072233922</v>
      </c>
      <c r="DB84" s="2">
        <v>2</v>
      </c>
      <c r="DC84" s="702">
        <f>'[1]побудинковий звіт'!DC84</f>
        <v>15077.3</v>
      </c>
      <c r="DD84" s="702">
        <f>'[1]побудинковий звіт'!DD84</f>
        <v>0</v>
      </c>
      <c r="DE84" s="702">
        <f>'[1]побудинковий звіт'!DE84</f>
        <v>3688.8899999999994</v>
      </c>
      <c r="DF84" s="702">
        <f>'[1]побудинковий звіт'!DF84</f>
        <v>0</v>
      </c>
      <c r="DG84" s="772">
        <v>72921.001461084612</v>
      </c>
      <c r="DH84" s="746">
        <f t="shared" si="107"/>
        <v>1248537.4647883091</v>
      </c>
      <c r="DI84" s="769"/>
      <c r="DJ84" s="5"/>
      <c r="DK84" s="307">
        <f>VLOOKUP($A84,ціни!$A$4:$G$401,5)</f>
        <v>5.5532017714898343</v>
      </c>
      <c r="DL84" s="307"/>
      <c r="DM84" s="307">
        <f>VLOOKUP($A84,ціни!$A$4:$G$401,7)</f>
        <v>5.0544500086809743</v>
      </c>
      <c r="DN84" s="29">
        <f t="shared" si="116"/>
        <v>8157.6534023185668</v>
      </c>
      <c r="DO84" s="29">
        <f t="shared" si="117"/>
        <v>0</v>
      </c>
      <c r="DP84" s="306">
        <f t="shared" si="108"/>
        <v>8157.6534023185668</v>
      </c>
      <c r="DQ84" s="101"/>
      <c r="DR84" s="29">
        <f>VLOOKUP(A84,'ДЗ нас '!$A$1:$C$359,2)</f>
        <v>8157.67</v>
      </c>
      <c r="DS84" s="733"/>
      <c r="DT84" s="29">
        <f t="shared" si="109"/>
        <v>8157.67</v>
      </c>
      <c r="DU84" s="247">
        <f>VLOOKUP(A84,'новий кошторис с 01.06'!$A$4:$AI$399,35)*1.2</f>
        <v>8159.319362850013</v>
      </c>
      <c r="DV84" s="29">
        <f t="shared" si="110"/>
        <v>-1.6493628500129489</v>
      </c>
      <c r="DW84" s="1016">
        <f>'[2]побудинковий звіт'!$DW$9+'[1]побудинковий звіт'!DW84</f>
        <v>1062</v>
      </c>
      <c r="DX84" s="101">
        <f>'[1]побудинковий звіт'!DX84</f>
        <v>0</v>
      </c>
      <c r="DY84" s="5">
        <f t="shared" si="111"/>
        <v>23411.040422831469</v>
      </c>
      <c r="DZ84" s="5">
        <f t="shared" si="112"/>
        <v>0</v>
      </c>
      <c r="EA84" s="737">
        <f t="shared" si="113"/>
        <v>3688.8899999999994</v>
      </c>
      <c r="EC84" s="577">
        <f t="shared" si="114"/>
        <v>194117.58892776995</v>
      </c>
      <c r="EE84" s="743">
        <v>21048</v>
      </c>
      <c r="EF84" s="723">
        <f t="shared" si="115"/>
        <v>93969.001461084612</v>
      </c>
      <c r="EH84" s="798">
        <v>77579.730073287559</v>
      </c>
      <c r="EI84" s="101">
        <f>VLOOKUP(A84,'кошти 01.01.24'!$A$9:$D$352,4,FALSE)</f>
        <v>73214.221520241452</v>
      </c>
    </row>
    <row r="85" spans="1:139" hidden="1" x14ac:dyDescent="0.3">
      <c r="A85" s="318">
        <v>150000514</v>
      </c>
      <c r="B85" s="43" t="s">
        <v>506</v>
      </c>
      <c r="C85" s="44" t="s">
        <v>151</v>
      </c>
      <c r="D85" s="44" t="s">
        <v>151</v>
      </c>
      <c r="E85" s="39">
        <f t="shared" si="64"/>
        <v>253.5</v>
      </c>
      <c r="F85" s="205">
        <f>'[1]побудинковий звіт'!F85</f>
        <v>253.5</v>
      </c>
      <c r="G85" s="29">
        <f>'[1]побудинковий звіт'!G85</f>
        <v>0</v>
      </c>
      <c r="H85" s="148">
        <f>'[1]побудинковий звіт'!H85</f>
        <v>0</v>
      </c>
      <c r="I85" s="41">
        <f>'[2]побудинковий звіт'!I85+'[1]побудинковий звіт'!I85</f>
        <v>1516.9993315249849</v>
      </c>
      <c r="J85" s="41">
        <f>'[2]побудинковий звіт'!J85+'[1]побудинковий звіт'!J85</f>
        <v>1553.026760207714</v>
      </c>
      <c r="K85" s="55">
        <f t="shared" si="65"/>
        <v>36.027428682729123</v>
      </c>
      <c r="L85" s="41">
        <f>'[2]побудинковий звіт'!L85+'[1]побудинковий звіт'!L85</f>
        <v>299.72337721943626</v>
      </c>
      <c r="M85" s="41">
        <f>'[2]побудинковий звіт'!M85+'[1]побудинковий звіт'!M85</f>
        <v>313.15543565353516</v>
      </c>
      <c r="N85" s="55">
        <f t="shared" si="66"/>
        <v>13.432058434098906</v>
      </c>
      <c r="O85" s="41">
        <f>'[2]побудинковий звіт'!O85+'[1]побудинковий звіт'!O85</f>
        <v>407.44317113746069</v>
      </c>
      <c r="P85" s="41">
        <f>'[2]побудинковий звіт'!P85+'[1]побудинковий звіт'!P85</f>
        <v>408.58509242539725</v>
      </c>
      <c r="Q85" s="55">
        <f t="shared" si="67"/>
        <v>1.1419212879365546</v>
      </c>
      <c r="R85" s="41">
        <f>'[2]побудинковий звіт'!R85+'[1]побудинковий звіт'!R85</f>
        <v>0</v>
      </c>
      <c r="S85" s="41">
        <f>'[2]побудинковий звіт'!S85+'[1]побудинковий звіт'!S85</f>
        <v>0</v>
      </c>
      <c r="T85" s="55">
        <f t="shared" si="68"/>
        <v>0</v>
      </c>
      <c r="U85" s="41">
        <f>'[2]побудинковий звіт'!U85+'[1]побудинковий звіт'!U85</f>
        <v>0</v>
      </c>
      <c r="V85" s="41">
        <f>'[2]побудинковий звіт'!V85+'[1]побудинковий звіт'!V85</f>
        <v>0</v>
      </c>
      <c r="W85" s="55">
        <f t="shared" si="69"/>
        <v>0</v>
      </c>
      <c r="X85" s="41">
        <f>'[2]побудинковий звіт'!X85+'[1]побудинковий звіт'!X85</f>
        <v>906.76925293565091</v>
      </c>
      <c r="Y85" s="41">
        <f>'[2]побудинковий звіт'!Y85+'[1]побудинковий звіт'!Y85</f>
        <v>829.69958184265977</v>
      </c>
      <c r="Z85" s="55">
        <f t="shared" si="70"/>
        <v>-77.069671092991143</v>
      </c>
      <c r="AA85" s="41">
        <f>'[2]побудинковий звіт'!AA85+'[1]побудинковий звіт'!AA85</f>
        <v>0</v>
      </c>
      <c r="AB85" s="41">
        <f>'[2]побудинковий звіт'!AB85+'[1]побудинковий звіт'!AB85</f>
        <v>0</v>
      </c>
      <c r="AC85" s="55">
        <f t="shared" si="71"/>
        <v>0</v>
      </c>
      <c r="AD85" s="41">
        <f>'[2]побудинковий звіт'!AD85+'[1]побудинковий звіт'!AD85</f>
        <v>1099.5086335736362</v>
      </c>
      <c r="AE85" s="41">
        <f>'[2]побудинковий звіт'!AE85+'[1]побудинковий звіт'!AE85</f>
        <v>1095.2323472472126</v>
      </c>
      <c r="AF85" s="36">
        <f t="shared" si="72"/>
        <v>-4.2762863264235875</v>
      </c>
      <c r="AG85" s="84">
        <f t="shared" si="73"/>
        <v>4230.4437663911685</v>
      </c>
      <c r="AH85" s="56">
        <f t="shared" si="74"/>
        <v>4199.6992173765193</v>
      </c>
      <c r="AI85" s="55">
        <f t="shared" si="75"/>
        <v>-30.744549014649238</v>
      </c>
      <c r="AJ85" s="41">
        <f>'[2]побудинковий звіт'!AJ85+'[1]побудинковий звіт'!AJ85</f>
        <v>0</v>
      </c>
      <c r="AK85" s="41">
        <f>'[2]побудинковий звіт'!AK85+'[1]побудинковий звіт'!AK85</f>
        <v>0</v>
      </c>
      <c r="AL85" s="55">
        <f t="shared" si="76"/>
        <v>0</v>
      </c>
      <c r="AM85" s="41">
        <f>'[2]побудинковий звіт'!AM85+'[1]побудинковий звіт'!AM85</f>
        <v>0</v>
      </c>
      <c r="AN85" s="41">
        <f>'[2]побудинковий звіт'!AN85+'[1]побудинковий звіт'!AN85</f>
        <v>0</v>
      </c>
      <c r="AO85" s="55">
        <f t="shared" si="77"/>
        <v>0</v>
      </c>
      <c r="AP85" s="41">
        <f>'[2]побудинковий звіт'!AP85+'[1]побудинковий звіт'!AP85</f>
        <v>594.35876574312238</v>
      </c>
      <c r="AQ85" s="41">
        <f>'[2]побудинковий звіт'!AQ85+'[1]побудинковий звіт'!AQ85</f>
        <v>565.80674088153967</v>
      </c>
      <c r="AR85" s="55">
        <f t="shared" si="78"/>
        <v>-28.552024861582709</v>
      </c>
      <c r="AS85" s="41">
        <f>'[2]побудинковий звіт'!AS85+'[1]побудинковий звіт'!AS85</f>
        <v>5396.0464718889862</v>
      </c>
      <c r="AT85" s="41">
        <f>'[2]побудинковий звіт'!AT85+'[1]побудинковий звіт'!AT85</f>
        <v>0</v>
      </c>
      <c r="AU85" s="57">
        <f t="shared" si="79"/>
        <v>-5396.0464718889862</v>
      </c>
      <c r="AV85" s="41">
        <f>'[2]побудинковий звіт'!AV85+'[1]побудинковий звіт'!AV85</f>
        <v>313.46260571746529</v>
      </c>
      <c r="AW85" s="41">
        <f>'[2]побудинковий звіт'!AW85+'[1]побудинковий звіт'!AW85</f>
        <v>0</v>
      </c>
      <c r="AX85" s="58">
        <f t="shared" si="80"/>
        <v>-313.46260571746529</v>
      </c>
      <c r="AY85" s="41">
        <f>'[2]побудинковий звіт'!AY85+'[1]побудинковий звіт'!AY85</f>
        <v>429.08986402191289</v>
      </c>
      <c r="AZ85" s="41">
        <f>'[2]побудинковий звіт'!AZ85+'[1]побудинковий звіт'!AZ85</f>
        <v>0</v>
      </c>
      <c r="BA85" s="36">
        <f t="shared" si="81"/>
        <v>-429.08986402191289</v>
      </c>
      <c r="BB85" s="41">
        <f>'[2]побудинковий звіт'!BB85+'[1]побудинковий звіт'!BB85</f>
        <v>91.003255736855593</v>
      </c>
      <c r="BC85" s="41">
        <f>'[2]побудинковий звіт'!BC85+'[1]побудинковий звіт'!BC85</f>
        <v>0</v>
      </c>
      <c r="BD85" s="58">
        <f t="shared" si="82"/>
        <v>-91.003255736855593</v>
      </c>
      <c r="BE85" s="41">
        <f>'[2]побудинковий звіт'!BE85+'[1]побудинковий звіт'!BE85</f>
        <v>0</v>
      </c>
      <c r="BF85" s="41">
        <f>'[2]побудинковий звіт'!BF85+'[1]побудинковий звіт'!BF85</f>
        <v>0</v>
      </c>
      <c r="BG85" s="38">
        <f t="shared" si="83"/>
        <v>0</v>
      </c>
      <c r="BH85" s="41">
        <f>'[2]побудинковий звіт'!BH85+'[1]побудинковий звіт'!BH85</f>
        <v>0</v>
      </c>
      <c r="BI85" s="41">
        <f>'[2]побудинковий звіт'!BI85+'[1]побудинковий звіт'!BI85</f>
        <v>0</v>
      </c>
      <c r="BJ85" s="58">
        <f t="shared" si="84"/>
        <v>0</v>
      </c>
      <c r="BK85" s="41">
        <f>'[2]побудинковий звіт'!BK85+'[1]побудинковий звіт'!BK85</f>
        <v>104.99797752135547</v>
      </c>
      <c r="BL85" s="41">
        <f>'[2]побудинковий звіт'!BL85+'[1]побудинковий звіт'!BL85</f>
        <v>0</v>
      </c>
      <c r="BM85" s="38">
        <f t="shared" si="85"/>
        <v>-104.99797752135547</v>
      </c>
      <c r="BN85" s="41">
        <f>'[2]побудинковий звіт'!BN85+'[1]побудинковий звіт'!BN85</f>
        <v>11.042545761168878</v>
      </c>
      <c r="BO85" s="41">
        <f>'[2]побудинковий звіт'!BO85+'[1]побудинковий звіт'!BO85</f>
        <v>0</v>
      </c>
      <c r="BP85" s="58">
        <f t="shared" si="86"/>
        <v>-11.042545761168878</v>
      </c>
      <c r="BQ85" s="84">
        <f t="shared" si="87"/>
        <v>949.59624875875818</v>
      </c>
      <c r="BR85" s="42">
        <f t="shared" si="88"/>
        <v>0</v>
      </c>
      <c r="BS85" s="58">
        <f t="shared" si="89"/>
        <v>-949.59624875875818</v>
      </c>
      <c r="BT85" s="41">
        <f>'[2]побудинковий звіт'!BT85+'[1]побудинковий звіт'!BT85</f>
        <v>0</v>
      </c>
      <c r="BU85" s="41">
        <f>'[2]побудинковий звіт'!BU85+'[1]побудинковий звіт'!BU85</f>
        <v>0</v>
      </c>
      <c r="BV85" s="55">
        <f t="shared" si="90"/>
        <v>0</v>
      </c>
      <c r="BW85" s="41">
        <f>'[2]побудинковий звіт'!BW85+'[1]побудинковий звіт'!BW85</f>
        <v>279.48529913753038</v>
      </c>
      <c r="BX85" s="41">
        <f>'[2]побудинковий звіт'!BX85+'[1]побудинковий звіт'!BX85</f>
        <v>770.90718965377437</v>
      </c>
      <c r="BY85" s="55">
        <f t="shared" si="91"/>
        <v>491.42189051624399</v>
      </c>
      <c r="BZ85" s="41">
        <f>'[2]побудинковий звіт'!BZ85+'[1]побудинковий звіт'!BZ85</f>
        <v>0</v>
      </c>
      <c r="CA85" s="41">
        <f>'[2]побудинковий звіт'!CA85+'[1]побудинковий звіт'!CA85</f>
        <v>0</v>
      </c>
      <c r="CB85" s="55">
        <f t="shared" si="92"/>
        <v>0</v>
      </c>
      <c r="CC85" s="41">
        <f>'[2]побудинковий звіт'!CC85+'[1]побудинковий звіт'!CC85</f>
        <v>0</v>
      </c>
      <c r="CD85" s="41">
        <f>'[2]побудинковий звіт'!CD85+'[1]побудинковий звіт'!CD85</f>
        <v>0</v>
      </c>
      <c r="CE85" s="55">
        <f t="shared" si="93"/>
        <v>0</v>
      </c>
      <c r="CF85" s="41">
        <f>'[2]побудинковий звіт'!CF85+'[1]побудинковий звіт'!CF85</f>
        <v>0</v>
      </c>
      <c r="CG85" s="41">
        <f>'[2]побудинковий звіт'!CG85+'[1]побудинковий звіт'!CG85</f>
        <v>0</v>
      </c>
      <c r="CH85" s="55">
        <f t="shared" si="94"/>
        <v>0</v>
      </c>
      <c r="CI85" s="41">
        <f>'[2]побудинковий звіт'!CI85+'[1]побудинковий звіт'!CI85</f>
        <v>227.49848594153752</v>
      </c>
      <c r="CJ85" s="41">
        <f>'[2]побудинковий звіт'!CJ85+'[1]побудинковий звіт'!CJ85</f>
        <v>122.10114265952781</v>
      </c>
      <c r="CK85" s="55">
        <f t="shared" si="95"/>
        <v>-105.39734328200971</v>
      </c>
      <c r="CL85" s="41">
        <f>'[2]побудинковий звіт'!CL85+'[1]побудинковий звіт'!CL85</f>
        <v>0</v>
      </c>
      <c r="CM85" s="41">
        <f>'[2]побудинковий звіт'!CM85+'[1]побудинковий звіт'!CM85</f>
        <v>0</v>
      </c>
      <c r="CN85" s="55">
        <f t="shared" si="96"/>
        <v>0</v>
      </c>
      <c r="CO85" s="41">
        <f t="shared" si="97"/>
        <v>227.49848594153752</v>
      </c>
      <c r="CP85" s="42">
        <f t="shared" si="98"/>
        <v>122.10114265952781</v>
      </c>
      <c r="CQ85" s="55">
        <f t="shared" si="99"/>
        <v>-105.39734328200971</v>
      </c>
      <c r="CR85" s="76">
        <f t="shared" si="100"/>
        <v>11677.429037861104</v>
      </c>
      <c r="CS85" s="5">
        <f t="shared" si="101"/>
        <v>5658.514290571361</v>
      </c>
      <c r="CT85" s="55">
        <f t="shared" si="102"/>
        <v>-6018.914747289743</v>
      </c>
      <c r="CU85" s="84">
        <f t="shared" si="103"/>
        <v>14012.914845433324</v>
      </c>
      <c r="CV85" s="68">
        <f t="shared" si="104"/>
        <v>6790.2171486856332</v>
      </c>
      <c r="CW85" s="36">
        <f t="shared" si="105"/>
        <v>-7222.6976967476912</v>
      </c>
      <c r="CX85" s="41">
        <f>'[2]побудинковий звіт'!CX85+'[1]побудинковий звіт'!CX85</f>
        <v>309.86758756078194</v>
      </c>
      <c r="CY85" s="41">
        <f>'[2]побудинковий звіт'!CY85+'[1]побудинковий звіт'!CY85</f>
        <v>7532.5652843084717</v>
      </c>
      <c r="CZ85" s="55">
        <f t="shared" si="106"/>
        <v>7222.6976967476894</v>
      </c>
      <c r="DA85" s="254">
        <f>'[1]побудинковий звіт'!DA85</f>
        <v>-31429.503293554953</v>
      </c>
      <c r="DB85" s="2">
        <v>2</v>
      </c>
      <c r="DC85" s="702">
        <f>'[1]побудинковий звіт'!DC85</f>
        <v>5351.08</v>
      </c>
      <c r="DD85" s="702">
        <f>'[1]побудинковий звіт'!DD85</f>
        <v>0</v>
      </c>
      <c r="DE85" s="702">
        <f>'[1]побудинковий звіт'!DE85</f>
        <v>3775.55</v>
      </c>
      <c r="DF85" s="702">
        <f>'[1]побудинковий звіт'!DF85</f>
        <v>0</v>
      </c>
      <c r="DG85" s="772">
        <v>-12884.651592976301</v>
      </c>
      <c r="DH85" s="746">
        <f t="shared" si="107"/>
        <v>171873.38919592928</v>
      </c>
      <c r="DI85" s="769"/>
      <c r="DJ85" s="5"/>
      <c r="DK85" s="307">
        <f>VLOOKUP($A85,ціни!$A$4:$G$401,5)</f>
        <v>4.4249344228538501</v>
      </c>
      <c r="DL85" s="307"/>
      <c r="DM85" s="307">
        <f>VLOOKUP($A85,ціни!$A$4:$G$401,7)</f>
        <v>4.3493583605973685</v>
      </c>
      <c r="DN85" s="29">
        <f t="shared" si="116"/>
        <v>1121.720876193451</v>
      </c>
      <c r="DO85" s="29">
        <f t="shared" si="117"/>
        <v>0</v>
      </c>
      <c r="DP85" s="306">
        <f t="shared" si="108"/>
        <v>1121.720876193451</v>
      </c>
      <c r="DQ85" s="101"/>
      <c r="DR85" s="29">
        <f>VLOOKUP(A85,'ДЗ нас '!$A$1:$C$359,2)</f>
        <v>1121.71</v>
      </c>
      <c r="DS85" s="733"/>
      <c r="DT85" s="29">
        <f t="shared" si="109"/>
        <v>1121.71</v>
      </c>
      <c r="DU85" s="247">
        <f>VLOOKUP(A85,'новий кошторис с 01.06'!$A$4:$AI$399,35)*1.2</f>
        <v>1125.0363073546139</v>
      </c>
      <c r="DV85" s="29">
        <f t="shared" si="110"/>
        <v>-3.3263073546138457</v>
      </c>
      <c r="DW85" s="1016">
        <f>'[2]побудинковий звіт'!$DW$9+'[1]побудинковий звіт'!DW85</f>
        <v>918</v>
      </c>
      <c r="DX85" s="101">
        <f>'[1]побудинковий звіт'!DX85</f>
        <v>0</v>
      </c>
      <c r="DY85" s="5">
        <f t="shared" si="111"/>
        <v>7614.7712647772933</v>
      </c>
      <c r="DZ85" s="5">
        <f t="shared" si="112"/>
        <v>0</v>
      </c>
      <c r="EA85" s="737">
        <f t="shared" si="113"/>
        <v>3775.55</v>
      </c>
      <c r="EC85" s="577">
        <f t="shared" si="114"/>
        <v>64752.557662667838</v>
      </c>
      <c r="EE85" s="743">
        <v>-7056</v>
      </c>
      <c r="EF85" s="723">
        <f t="shared" si="115"/>
        <v>-19940.651592976301</v>
      </c>
      <c r="EH85" s="798">
        <v>-17348.500523365801</v>
      </c>
      <c r="EI85" s="101">
        <f>VLOOKUP(A85,'кошти 01.01.24'!$A$9:$D$352,4,FALSE)</f>
        <v>-24206.805596807259</v>
      </c>
    </row>
    <row r="86" spans="1:139" hidden="1" x14ac:dyDescent="0.3">
      <c r="A86" s="318">
        <v>150000515</v>
      </c>
      <c r="B86" s="43" t="s">
        <v>507</v>
      </c>
      <c r="C86" s="44" t="s">
        <v>53</v>
      </c>
      <c r="D86" s="44" t="s">
        <v>53</v>
      </c>
      <c r="E86" s="39">
        <f t="shared" si="64"/>
        <v>200.6</v>
      </c>
      <c r="F86" s="205">
        <f>'[1]побудинковий звіт'!F86</f>
        <v>200.6</v>
      </c>
      <c r="G86" s="29">
        <f>'[1]побудинковий звіт'!G86</f>
        <v>0</v>
      </c>
      <c r="H86" s="148">
        <f>'[1]побудинковий звіт'!H86</f>
        <v>0</v>
      </c>
      <c r="I86" s="41">
        <f>'[2]побудинковий звіт'!I86+'[1]побудинковий звіт'!I86</f>
        <v>0</v>
      </c>
      <c r="J86" s="41">
        <f>'[2]побудинковий звіт'!J86+'[1]побудинковий звіт'!J86</f>
        <v>0</v>
      </c>
      <c r="K86" s="55">
        <f t="shared" si="65"/>
        <v>0</v>
      </c>
      <c r="L86" s="41">
        <f>'[2]побудинковий звіт'!L86+'[1]побудинковий звіт'!L86</f>
        <v>0</v>
      </c>
      <c r="M86" s="41">
        <f>'[2]побудинковий звіт'!M86+'[1]побудинковий звіт'!M86</f>
        <v>0</v>
      </c>
      <c r="N86" s="55">
        <f t="shared" si="66"/>
        <v>0</v>
      </c>
      <c r="O86" s="41">
        <f>'[2]побудинковий звіт'!O86+'[1]побудинковий звіт'!O86</f>
        <v>0</v>
      </c>
      <c r="P86" s="41">
        <f>'[2]побудинковий звіт'!P86+'[1]побудинковий звіт'!P86</f>
        <v>0</v>
      </c>
      <c r="Q86" s="55">
        <f t="shared" si="67"/>
        <v>0</v>
      </c>
      <c r="R86" s="41">
        <f>'[2]побудинковий звіт'!R86+'[1]побудинковий звіт'!R86</f>
        <v>0</v>
      </c>
      <c r="S86" s="41">
        <f>'[2]побудинковий звіт'!S86+'[1]побудинковий звіт'!S86</f>
        <v>0</v>
      </c>
      <c r="T86" s="55">
        <f t="shared" si="68"/>
        <v>0</v>
      </c>
      <c r="U86" s="41">
        <f>'[2]побудинковий звіт'!U86+'[1]побудинковий звіт'!U86</f>
        <v>0</v>
      </c>
      <c r="V86" s="41">
        <f>'[2]побудинковий звіт'!V86+'[1]побудинковий звіт'!V86</f>
        <v>0</v>
      </c>
      <c r="W86" s="55">
        <f t="shared" si="69"/>
        <v>0</v>
      </c>
      <c r="X86" s="41">
        <f>'[2]побудинковий звіт'!X86+'[1]побудинковий звіт'!X86</f>
        <v>0</v>
      </c>
      <c r="Y86" s="41">
        <f>'[2]побудинковий звіт'!Y86+'[1]побудинковий звіт'!Y86</f>
        <v>0</v>
      </c>
      <c r="Z86" s="55">
        <f t="shared" si="70"/>
        <v>0</v>
      </c>
      <c r="AA86" s="41">
        <f>'[2]побудинковий звіт'!AA86+'[1]побудинковий звіт'!AA86</f>
        <v>0</v>
      </c>
      <c r="AB86" s="41">
        <f>'[2]побудинковий звіт'!AB86+'[1]побудинковий звіт'!AB86</f>
        <v>0</v>
      </c>
      <c r="AC86" s="55">
        <f t="shared" si="71"/>
        <v>0</v>
      </c>
      <c r="AD86" s="41">
        <f>'[2]побудинковий звіт'!AD86+'[1]побудинковий звіт'!AD86</f>
        <v>0</v>
      </c>
      <c r="AE86" s="41">
        <f>'[2]побудинковий звіт'!AE86+'[1]побудинковий звіт'!AE86</f>
        <v>0</v>
      </c>
      <c r="AF86" s="36">
        <f t="shared" si="72"/>
        <v>0</v>
      </c>
      <c r="AG86" s="84">
        <f t="shared" si="73"/>
        <v>0</v>
      </c>
      <c r="AH86" s="56">
        <f t="shared" si="74"/>
        <v>0</v>
      </c>
      <c r="AI86" s="55">
        <f t="shared" si="75"/>
        <v>0</v>
      </c>
      <c r="AJ86" s="41">
        <f>'[2]побудинковий звіт'!AJ86+'[1]побудинковий звіт'!AJ86</f>
        <v>0</v>
      </c>
      <c r="AK86" s="41">
        <f>'[2]побудинковий звіт'!AK86+'[1]побудинковий звіт'!AK86</f>
        <v>0</v>
      </c>
      <c r="AL86" s="55">
        <f t="shared" si="76"/>
        <v>0</v>
      </c>
      <c r="AM86" s="41">
        <f>'[2]побудинковий звіт'!AM86+'[1]побудинковий звіт'!AM86</f>
        <v>0</v>
      </c>
      <c r="AN86" s="41">
        <f>'[2]побудинковий звіт'!AN86+'[1]побудинковий звіт'!AN86</f>
        <v>0</v>
      </c>
      <c r="AO86" s="55">
        <f t="shared" si="77"/>
        <v>0</v>
      </c>
      <c r="AP86" s="41">
        <f>'[2]побудинковий звіт'!AP86+'[1]побудинковий звіт'!AP86</f>
        <v>536.30133770220777</v>
      </c>
      <c r="AQ86" s="41">
        <f>'[2]побудинковий звіт'!AQ86+'[1]побудинковий звіт'!AQ86</f>
        <v>140.47538423161123</v>
      </c>
      <c r="AR86" s="55">
        <f t="shared" si="78"/>
        <v>-395.82595347059657</v>
      </c>
      <c r="AS86" s="41">
        <f>'[2]побудинковий звіт'!AS86+'[1]побудинковий звіт'!AS86</f>
        <v>2886.7560402730765</v>
      </c>
      <c r="AT86" s="41">
        <f>'[2]побудинковий звіт'!AT86+'[1]побудинковий звіт'!AT86</f>
        <v>3158.5233342702945</v>
      </c>
      <c r="AU86" s="57">
        <f t="shared" si="79"/>
        <v>271.76729399721808</v>
      </c>
      <c r="AV86" s="41">
        <f>'[2]побудинковий звіт'!AV86+'[1]побудинковий звіт'!AV86</f>
        <v>0</v>
      </c>
      <c r="AW86" s="41">
        <f>'[2]побудинковий звіт'!AW86+'[1]побудинковий звіт'!AW86</f>
        <v>0</v>
      </c>
      <c r="AX86" s="58">
        <f t="shared" si="80"/>
        <v>0</v>
      </c>
      <c r="AY86" s="41">
        <f>'[2]побудинковий звіт'!AY86+'[1]побудинковий звіт'!AY86</f>
        <v>0</v>
      </c>
      <c r="AZ86" s="41">
        <f>'[2]побудинковий звіт'!AZ86+'[1]побудинковий звіт'!AZ86</f>
        <v>0</v>
      </c>
      <c r="BA86" s="36">
        <f t="shared" si="81"/>
        <v>0</v>
      </c>
      <c r="BB86" s="41">
        <f>'[2]побудинковий звіт'!BB86+'[1]побудинковий звіт'!BB86</f>
        <v>0</v>
      </c>
      <c r="BC86" s="41">
        <f>'[2]побудинковий звіт'!BC86+'[1]побудинковий звіт'!BC86</f>
        <v>0</v>
      </c>
      <c r="BD86" s="58">
        <f t="shared" si="82"/>
        <v>0</v>
      </c>
      <c r="BE86" s="41">
        <f>'[2]побудинковий звіт'!BE86+'[1]побудинковий звіт'!BE86</f>
        <v>0</v>
      </c>
      <c r="BF86" s="41">
        <f>'[2]побудинковий звіт'!BF86+'[1]побудинковий звіт'!BF86</f>
        <v>0</v>
      </c>
      <c r="BG86" s="38">
        <f t="shared" si="83"/>
        <v>0</v>
      </c>
      <c r="BH86" s="41">
        <f>'[2]побудинковий звіт'!BH86+'[1]побудинковий звіт'!BH86</f>
        <v>0</v>
      </c>
      <c r="BI86" s="41">
        <f>'[2]побудинковий звіт'!BI86+'[1]побудинковий звіт'!BI86</f>
        <v>0</v>
      </c>
      <c r="BJ86" s="58">
        <f t="shared" si="84"/>
        <v>0</v>
      </c>
      <c r="BK86" s="41">
        <f>'[2]побудинковий звіт'!BK86+'[1]побудинковий звіт'!BK86</f>
        <v>0</v>
      </c>
      <c r="BL86" s="41">
        <f>'[2]побудинковий звіт'!BL86+'[1]побудинковий звіт'!BL86</f>
        <v>0</v>
      </c>
      <c r="BM86" s="38">
        <f t="shared" si="85"/>
        <v>0</v>
      </c>
      <c r="BN86" s="41">
        <f>'[2]побудинковий звіт'!BN86+'[1]побудинковий звіт'!BN86</f>
        <v>0</v>
      </c>
      <c r="BO86" s="41">
        <f>'[2]побудинковий звіт'!BO86+'[1]побудинковий звіт'!BO86</f>
        <v>1673.295126862</v>
      </c>
      <c r="BP86" s="58">
        <f t="shared" si="86"/>
        <v>1673.295126862</v>
      </c>
      <c r="BQ86" s="84">
        <f t="shared" si="87"/>
        <v>0</v>
      </c>
      <c r="BR86" s="42">
        <f t="shared" si="88"/>
        <v>1673.295126862</v>
      </c>
      <c r="BS86" s="58">
        <f t="shared" si="89"/>
        <v>1673.295126862</v>
      </c>
      <c r="BT86" s="41">
        <f>'[2]побудинковий звіт'!BT86+'[1]побудинковий звіт'!BT86</f>
        <v>170.02066619052121</v>
      </c>
      <c r="BU86" s="41">
        <f>'[2]побудинковий звіт'!BU86+'[1]побудинковий звіт'!BU86</f>
        <v>779.87588379638282</v>
      </c>
      <c r="BV86" s="55">
        <f t="shared" si="90"/>
        <v>609.85521760586164</v>
      </c>
      <c r="BW86" s="41">
        <f>'[2]побудинковий звіт'!BW86+'[1]побудинковий звіт'!BW86</f>
        <v>0</v>
      </c>
      <c r="BX86" s="41">
        <f>'[2]побудинковий звіт'!BX86+'[1]побудинковий звіт'!BX86</f>
        <v>0.81650061315087374</v>
      </c>
      <c r="BY86" s="55">
        <f t="shared" si="91"/>
        <v>0.81650061315087374</v>
      </c>
      <c r="BZ86" s="41">
        <f>'[2]побудинковий звіт'!BZ86+'[1]побудинковий звіт'!BZ86</f>
        <v>33.422400950479123</v>
      </c>
      <c r="CA86" s="41">
        <f>'[2]побудинковий звіт'!CA86+'[1]побудинковий звіт'!CA86</f>
        <v>70.505868788273418</v>
      </c>
      <c r="CB86" s="55">
        <f t="shared" si="92"/>
        <v>37.083467837794295</v>
      </c>
      <c r="CC86" s="41">
        <f>'[2]побудинковий звіт'!CC86+'[1]побудинковий звіт'!CC86</f>
        <v>0</v>
      </c>
      <c r="CD86" s="41">
        <f>'[2]побудинковий звіт'!CD86+'[1]побудинковий звіт'!CD86</f>
        <v>0</v>
      </c>
      <c r="CE86" s="55">
        <f t="shared" si="93"/>
        <v>0</v>
      </c>
      <c r="CF86" s="41">
        <f>'[2]побудинковий звіт'!CF86+'[1]побудинковий звіт'!CF86</f>
        <v>0</v>
      </c>
      <c r="CG86" s="41">
        <f>'[2]побудинковий звіт'!CG86+'[1]побудинковий звіт'!CG86</f>
        <v>0</v>
      </c>
      <c r="CH86" s="55">
        <f t="shared" si="94"/>
        <v>0</v>
      </c>
      <c r="CI86" s="41">
        <f>'[2]побудинковий звіт'!CI86+'[1]побудинковий звіт'!CI86</f>
        <v>0</v>
      </c>
      <c r="CJ86" s="41">
        <f>'[2]побудинковий звіт'!CJ86+'[1]побудинковий звіт'!CJ86</f>
        <v>0</v>
      </c>
      <c r="CK86" s="55">
        <f t="shared" si="95"/>
        <v>0</v>
      </c>
      <c r="CL86" s="41">
        <f>'[2]побудинковий звіт'!CL86+'[1]побудинковий звіт'!CL86</f>
        <v>0</v>
      </c>
      <c r="CM86" s="41">
        <f>'[2]побудинковий звіт'!CM86+'[1]побудинковий звіт'!CM86</f>
        <v>0</v>
      </c>
      <c r="CN86" s="55">
        <f t="shared" si="96"/>
        <v>0</v>
      </c>
      <c r="CO86" s="41">
        <f t="shared" si="97"/>
        <v>0</v>
      </c>
      <c r="CP86" s="42">
        <f t="shared" si="98"/>
        <v>0</v>
      </c>
      <c r="CQ86" s="55">
        <f t="shared" si="99"/>
        <v>0</v>
      </c>
      <c r="CR86" s="76">
        <f t="shared" si="100"/>
        <v>3626.5004451162845</v>
      </c>
      <c r="CS86" s="5">
        <f t="shared" si="101"/>
        <v>5823.4920985617136</v>
      </c>
      <c r="CT86" s="55">
        <f t="shared" si="102"/>
        <v>2196.9916534454292</v>
      </c>
      <c r="CU86" s="84">
        <f t="shared" si="103"/>
        <v>4351.800534139541</v>
      </c>
      <c r="CV86" s="68">
        <f t="shared" si="104"/>
        <v>6988.1905182740566</v>
      </c>
      <c r="CW86" s="36">
        <f t="shared" si="105"/>
        <v>2636.3899841345155</v>
      </c>
      <c r="CX86" s="41">
        <f>'[2]побудинковий звіт'!CX86+'[1]побудинковий звіт'!CX86</f>
        <v>130.95916109061477</v>
      </c>
      <c r="CY86" s="41">
        <f>'[2]побудинковий звіт'!CY86+'[1]побудинковий звіт'!CY86</f>
        <v>-2505.4308230439001</v>
      </c>
      <c r="CZ86" s="55">
        <f t="shared" si="106"/>
        <v>-2636.3899841345146</v>
      </c>
      <c r="DA86" s="254">
        <f>'[1]побудинковий звіт'!DA86</f>
        <v>-1562.350149632613</v>
      </c>
      <c r="DB86" s="2">
        <v>2</v>
      </c>
      <c r="DC86" s="702">
        <f>'[1]побудинковий звіт'!DC86</f>
        <v>593.41</v>
      </c>
      <c r="DD86" s="702">
        <f>'[1]побудинковий звіт'!DD86</f>
        <v>0</v>
      </c>
      <c r="DE86" s="702">
        <f>'[1]побудинковий звіт'!DE86</f>
        <v>105.07</v>
      </c>
      <c r="DF86" s="702">
        <f>'[1]побудинковий звіт'!DF86</f>
        <v>0</v>
      </c>
      <c r="DG86" s="772">
        <v>-1585.3536106207539</v>
      </c>
      <c r="DH86" s="746">
        <f t="shared" si="107"/>
        <v>53793.116342761867</v>
      </c>
      <c r="DI86" s="769"/>
      <c r="DJ86" s="5"/>
      <c r="DK86" s="307">
        <f>VLOOKUP($A86,ціни!$A$4:$G$401,5)</f>
        <v>1.7545506160710569</v>
      </c>
      <c r="DL86" s="307"/>
      <c r="DM86" s="307">
        <f>VLOOKUP($A86,ціни!$A$4:$G$401,7)</f>
        <v>1.7545506160710569</v>
      </c>
      <c r="DN86" s="29">
        <f t="shared" si="116"/>
        <v>351.96285358385398</v>
      </c>
      <c r="DO86" s="29">
        <f t="shared" si="117"/>
        <v>0</v>
      </c>
      <c r="DP86" s="306">
        <f t="shared" si="108"/>
        <v>351.96285358385398</v>
      </c>
      <c r="DQ86" s="101"/>
      <c r="DR86" s="29">
        <f>VLOOKUP(A86,'ДЗ нас '!$A$1:$C$359,2)</f>
        <v>351.97</v>
      </c>
      <c r="DS86" s="733"/>
      <c r="DT86" s="29">
        <f t="shared" si="109"/>
        <v>351.97</v>
      </c>
      <c r="DU86" s="247">
        <f>VLOOKUP(A86,'новий кошторис с 01.06'!$A$4:$AI$399,35)*1.2</f>
        <v>353.67974555255574</v>
      </c>
      <c r="DV86" s="29">
        <f t="shared" si="110"/>
        <v>-1.7097455525557166</v>
      </c>
      <c r="DW86" s="1016">
        <f>'[2]побудинковий звіт'!$DW$9+'[1]побудинковий звіт'!DW86</f>
        <v>0</v>
      </c>
      <c r="DX86" s="101">
        <f>'[1]побудинковий звіт'!DX86</f>
        <v>0</v>
      </c>
      <c r="DY86" s="5">
        <f t="shared" si="111"/>
        <v>3464.1072483276917</v>
      </c>
      <c r="DZ86" s="5">
        <f t="shared" si="112"/>
        <v>5798.1821533587527</v>
      </c>
      <c r="EA86" s="737">
        <f t="shared" si="113"/>
        <v>105.07</v>
      </c>
      <c r="EC86" s="577">
        <f t="shared" si="114"/>
        <v>34641.072483276919</v>
      </c>
      <c r="EE86" s="743">
        <v>-1061</v>
      </c>
      <c r="EF86" s="723">
        <f t="shared" si="115"/>
        <v>-2646.3536106207539</v>
      </c>
      <c r="EH86" s="798">
        <v>-3294.4808084891943</v>
      </c>
      <c r="EI86" s="101">
        <f>VLOOKUP(A86,'кошти 01.01.24'!$A$9:$D$352,4,FALSE)</f>
        <v>-4198.7401337671263</v>
      </c>
    </row>
    <row r="87" spans="1:139" ht="14.4" hidden="1" customHeight="1" x14ac:dyDescent="0.3">
      <c r="A87" s="318">
        <v>150000539</v>
      </c>
      <c r="B87" s="43" t="s">
        <v>508</v>
      </c>
      <c r="C87" s="44" t="s">
        <v>54</v>
      </c>
      <c r="D87" s="44" t="s">
        <v>54</v>
      </c>
      <c r="E87" s="39">
        <f t="shared" si="64"/>
        <v>83.8</v>
      </c>
      <c r="F87" s="205">
        <f>'[1]побудинковий звіт'!F87</f>
        <v>83.8</v>
      </c>
      <c r="G87" s="29">
        <f>'[1]побудинковий звіт'!G87</f>
        <v>0</v>
      </c>
      <c r="H87" s="148">
        <f>'[1]побудинковий звіт'!H87</f>
        <v>0</v>
      </c>
      <c r="I87" s="41">
        <f>'[2]побудинковий звіт'!I87+'[1]побудинковий звіт'!I87</f>
        <v>0</v>
      </c>
      <c r="J87" s="41">
        <f>'[2]побудинковий звіт'!J87+'[1]побудинковий звіт'!J87</f>
        <v>0</v>
      </c>
      <c r="K87" s="55">
        <f t="shared" si="65"/>
        <v>0</v>
      </c>
      <c r="L87" s="41">
        <f>'[2]побудинковий звіт'!L87+'[1]побудинковий звіт'!L87</f>
        <v>0</v>
      </c>
      <c r="M87" s="41">
        <f>'[2]побудинковий звіт'!M87+'[1]побудинковий звіт'!M87</f>
        <v>0</v>
      </c>
      <c r="N87" s="55">
        <f t="shared" si="66"/>
        <v>0</v>
      </c>
      <c r="O87" s="41">
        <f>'[2]побудинковий звіт'!O87+'[1]побудинковий звіт'!O87</f>
        <v>0</v>
      </c>
      <c r="P87" s="41">
        <f>'[2]побудинковий звіт'!P87+'[1]побудинковий звіт'!P87</f>
        <v>0</v>
      </c>
      <c r="Q87" s="55">
        <f t="shared" si="67"/>
        <v>0</v>
      </c>
      <c r="R87" s="41">
        <f>'[2]побудинковий звіт'!R87+'[1]побудинковий звіт'!R87</f>
        <v>0</v>
      </c>
      <c r="S87" s="41">
        <f>'[2]побудинковий звіт'!S87+'[1]побудинковий звіт'!S87</f>
        <v>0</v>
      </c>
      <c r="T87" s="55">
        <f t="shared" si="68"/>
        <v>0</v>
      </c>
      <c r="U87" s="41">
        <f>'[2]побудинковий звіт'!U87+'[1]побудинковий звіт'!U87</f>
        <v>0</v>
      </c>
      <c r="V87" s="41">
        <f>'[2]побудинковий звіт'!V87+'[1]побудинковий звіт'!V87</f>
        <v>0</v>
      </c>
      <c r="W87" s="55">
        <f t="shared" si="69"/>
        <v>0</v>
      </c>
      <c r="X87" s="41">
        <f>'[2]побудинковий звіт'!X87+'[1]побудинковий звіт'!X87</f>
        <v>0</v>
      </c>
      <c r="Y87" s="41">
        <f>'[2]побудинковий звіт'!Y87+'[1]побудинковий звіт'!Y87</f>
        <v>0</v>
      </c>
      <c r="Z87" s="55">
        <f t="shared" si="70"/>
        <v>0</v>
      </c>
      <c r="AA87" s="41">
        <f>'[2]побудинковий звіт'!AA87+'[1]побудинковий звіт'!AA87</f>
        <v>0</v>
      </c>
      <c r="AB87" s="41">
        <f>'[2]побудинковий звіт'!AB87+'[1]побудинковий звіт'!AB87</f>
        <v>0</v>
      </c>
      <c r="AC87" s="55">
        <f t="shared" si="71"/>
        <v>0</v>
      </c>
      <c r="AD87" s="41">
        <f>'[2]побудинковий звіт'!AD87+'[1]побудинковий звіт'!AD87</f>
        <v>0</v>
      </c>
      <c r="AE87" s="41">
        <f>'[2]побудинковий звіт'!AE87+'[1]побудинковий звіт'!AE87</f>
        <v>0</v>
      </c>
      <c r="AF87" s="36">
        <f t="shared" si="72"/>
        <v>0</v>
      </c>
      <c r="AG87" s="84">
        <f t="shared" si="73"/>
        <v>0</v>
      </c>
      <c r="AH87" s="56">
        <f t="shared" si="74"/>
        <v>0</v>
      </c>
      <c r="AI87" s="55">
        <f t="shared" si="75"/>
        <v>0</v>
      </c>
      <c r="AJ87" s="41">
        <f>'[2]побудинковий звіт'!AJ87+'[1]побудинковий звіт'!AJ87</f>
        <v>0</v>
      </c>
      <c r="AK87" s="41">
        <f>'[2]побудинковий звіт'!AK87+'[1]побудинковий звіт'!AK87</f>
        <v>0</v>
      </c>
      <c r="AL87" s="55">
        <f t="shared" si="76"/>
        <v>0</v>
      </c>
      <c r="AM87" s="41">
        <f>'[2]побудинковий звіт'!AM87+'[1]побудинковий звіт'!AM87</f>
        <v>0</v>
      </c>
      <c r="AN87" s="41">
        <f>'[2]побудинковий звіт'!AN87+'[1]побудинковий звіт'!AN87</f>
        <v>0</v>
      </c>
      <c r="AO87" s="55">
        <f t="shared" si="77"/>
        <v>0</v>
      </c>
      <c r="AP87" s="41">
        <f>'[2]побудинковий звіт'!AP87+'[1]побудинковий звіт'!AP87</f>
        <v>268.15066885110389</v>
      </c>
      <c r="AQ87" s="41">
        <f>'[2]побудинковий звіт'!AQ87+'[1]побудинковий звіт'!AQ87</f>
        <v>70.237692115805615</v>
      </c>
      <c r="AR87" s="55">
        <f t="shared" si="78"/>
        <v>-197.91297673529829</v>
      </c>
      <c r="AS87" s="41">
        <f>'[2]побудинковий звіт'!AS87+'[1]побудинковий звіт'!AS87</f>
        <v>1229.7977165310485</v>
      </c>
      <c r="AT87" s="41">
        <f>'[2]побудинковий звіт'!AT87+'[1]побудинковий звіт'!AT87</f>
        <v>0</v>
      </c>
      <c r="AU87" s="57">
        <f t="shared" si="79"/>
        <v>-1229.7977165310485</v>
      </c>
      <c r="AV87" s="41">
        <f>'[2]побудинковий звіт'!AV87+'[1]побудинковий звіт'!AV87</f>
        <v>0</v>
      </c>
      <c r="AW87" s="41">
        <f>'[2]побудинковий звіт'!AW87+'[1]побудинковий звіт'!AW87</f>
        <v>0</v>
      </c>
      <c r="AX87" s="58">
        <f t="shared" si="80"/>
        <v>0</v>
      </c>
      <c r="AY87" s="41">
        <f>'[2]побудинковий звіт'!AY87+'[1]побудинковий звіт'!AY87</f>
        <v>0</v>
      </c>
      <c r="AZ87" s="41">
        <f>'[2]побудинковий звіт'!AZ87+'[1]побудинковий звіт'!AZ87</f>
        <v>0</v>
      </c>
      <c r="BA87" s="36">
        <f t="shared" si="81"/>
        <v>0</v>
      </c>
      <c r="BB87" s="41">
        <f>'[2]побудинковий звіт'!BB87+'[1]побудинковий звіт'!BB87</f>
        <v>0</v>
      </c>
      <c r="BC87" s="41">
        <f>'[2]побудинковий звіт'!BC87+'[1]побудинковий звіт'!BC87</f>
        <v>0</v>
      </c>
      <c r="BD87" s="58">
        <f t="shared" si="82"/>
        <v>0</v>
      </c>
      <c r="BE87" s="41">
        <f>'[2]побудинковий звіт'!BE87+'[1]побудинковий звіт'!BE87</f>
        <v>0</v>
      </c>
      <c r="BF87" s="41">
        <f>'[2]побудинковий звіт'!BF87+'[1]побудинковий звіт'!BF87</f>
        <v>0</v>
      </c>
      <c r="BG87" s="38">
        <f t="shared" si="83"/>
        <v>0</v>
      </c>
      <c r="BH87" s="41">
        <f>'[2]побудинковий звіт'!BH87+'[1]побудинковий звіт'!BH87</f>
        <v>0</v>
      </c>
      <c r="BI87" s="41">
        <f>'[2]побудинковий звіт'!BI87+'[1]побудинковий звіт'!BI87</f>
        <v>0</v>
      </c>
      <c r="BJ87" s="58">
        <f t="shared" si="84"/>
        <v>0</v>
      </c>
      <c r="BK87" s="41">
        <f>'[2]побудинковий звіт'!BK87+'[1]побудинковий звіт'!BK87</f>
        <v>0</v>
      </c>
      <c r="BL87" s="41">
        <f>'[2]побудинковий звіт'!BL87+'[1]побудинковий звіт'!BL87</f>
        <v>0</v>
      </c>
      <c r="BM87" s="38">
        <f t="shared" si="85"/>
        <v>0</v>
      </c>
      <c r="BN87" s="41">
        <f>'[2]побудинковий звіт'!BN87+'[1]побудинковий звіт'!BN87</f>
        <v>0</v>
      </c>
      <c r="BO87" s="41">
        <f>'[2]побудинковий звіт'!BO87+'[1]побудинковий звіт'!BO87</f>
        <v>0</v>
      </c>
      <c r="BP87" s="58">
        <f t="shared" si="86"/>
        <v>0</v>
      </c>
      <c r="BQ87" s="84">
        <f t="shared" si="87"/>
        <v>0</v>
      </c>
      <c r="BR87" s="42">
        <f t="shared" si="88"/>
        <v>0</v>
      </c>
      <c r="BS87" s="58">
        <f t="shared" si="89"/>
        <v>0</v>
      </c>
      <c r="BT87" s="41">
        <f>'[2]побудинковий звіт'!BT87+'[1]побудинковий звіт'!BT87</f>
        <v>72.865999795937668</v>
      </c>
      <c r="BU87" s="41">
        <f>'[2]побудинковий звіт'!BU87+'[1]побудинковий звіт'!BU87</f>
        <v>389.86386164957037</v>
      </c>
      <c r="BV87" s="55">
        <f t="shared" si="90"/>
        <v>316.99786185363268</v>
      </c>
      <c r="BW87" s="41">
        <f>'[2]побудинковий звіт'!BW87+'[1]побудинковий звіт'!BW87</f>
        <v>0</v>
      </c>
      <c r="BX87" s="41">
        <f>'[2]побудинковий звіт'!BX87+'[1]побудинковий звіт'!BX87</f>
        <v>0.34109048545385451</v>
      </c>
      <c r="BY87" s="55">
        <f t="shared" si="91"/>
        <v>0.34109048545385451</v>
      </c>
      <c r="BZ87" s="41">
        <f>'[2]побудинковий звіт'!BZ87+'[1]побудинковий звіт'!BZ87</f>
        <v>14.323886121633908</v>
      </c>
      <c r="CA87" s="41">
        <f>'[2]побудинковий звіт'!CA87+'[1]побудинковий звіт'!CA87</f>
        <v>35.240665397634459</v>
      </c>
      <c r="CB87" s="55">
        <f t="shared" si="92"/>
        <v>20.91677927600055</v>
      </c>
      <c r="CC87" s="41">
        <f>'[2]побудинковий звіт'!CC87+'[1]побудинковий звіт'!CC87</f>
        <v>0</v>
      </c>
      <c r="CD87" s="41">
        <f>'[2]побудинковий звіт'!CD87+'[1]побудинковий звіт'!CD87</f>
        <v>0</v>
      </c>
      <c r="CE87" s="55">
        <f t="shared" si="93"/>
        <v>0</v>
      </c>
      <c r="CF87" s="41">
        <f>'[2]побудинковий звіт'!CF87+'[1]побудинковий звіт'!CF87</f>
        <v>0</v>
      </c>
      <c r="CG87" s="41">
        <f>'[2]побудинковий звіт'!CG87+'[1]побудинковий звіт'!CG87</f>
        <v>0</v>
      </c>
      <c r="CH87" s="55">
        <f t="shared" si="94"/>
        <v>0</v>
      </c>
      <c r="CI87" s="41">
        <f>'[2]побудинковий звіт'!CI87+'[1]побудинковий звіт'!CI87</f>
        <v>0</v>
      </c>
      <c r="CJ87" s="41">
        <f>'[2]побудинковий звіт'!CJ87+'[1]побудинковий звіт'!CJ87</f>
        <v>0</v>
      </c>
      <c r="CK87" s="55">
        <f t="shared" si="95"/>
        <v>0</v>
      </c>
      <c r="CL87" s="41">
        <f>'[2]побудинковий звіт'!CL87+'[1]побудинковий звіт'!CL87</f>
        <v>0</v>
      </c>
      <c r="CM87" s="41">
        <f>'[2]побудинковий звіт'!CM87+'[1]побудинковий звіт'!CM87</f>
        <v>0</v>
      </c>
      <c r="CN87" s="55">
        <f t="shared" si="96"/>
        <v>0</v>
      </c>
      <c r="CO87" s="41">
        <f t="shared" si="97"/>
        <v>0</v>
      </c>
      <c r="CP87" s="42">
        <f t="shared" si="98"/>
        <v>0</v>
      </c>
      <c r="CQ87" s="55">
        <f t="shared" si="99"/>
        <v>0</v>
      </c>
      <c r="CR87" s="76">
        <f t="shared" si="100"/>
        <v>1585.138271299724</v>
      </c>
      <c r="CS87" s="5">
        <f t="shared" si="101"/>
        <v>495.68330964846427</v>
      </c>
      <c r="CT87" s="55">
        <f t="shared" si="102"/>
        <v>-1089.4549616512597</v>
      </c>
      <c r="CU87" s="84">
        <f t="shared" si="103"/>
        <v>1902.1659255596687</v>
      </c>
      <c r="CV87" s="68">
        <f t="shared" si="104"/>
        <v>594.81997157815715</v>
      </c>
      <c r="CW87" s="36">
        <f t="shared" si="105"/>
        <v>-1307.3459539815117</v>
      </c>
      <c r="CX87" s="41">
        <f>'[2]побудинковий звіт'!CX87+'[1]побудинковий звіт'!CX87</f>
        <v>57.140971922801192</v>
      </c>
      <c r="CY87" s="41">
        <f>'[2]побудинковий звіт'!CY87+'[1]побудинковий звіт'!CY87</f>
        <v>1364.4869259043123</v>
      </c>
      <c r="CZ87" s="55">
        <f t="shared" si="106"/>
        <v>1307.3459539815112</v>
      </c>
      <c r="DA87" s="254">
        <f>'[1]побудинковий звіт'!DA87</f>
        <v>7392.2823026417118</v>
      </c>
      <c r="DB87" s="2">
        <v>2</v>
      </c>
      <c r="DC87" s="702">
        <f>'[1]побудинковий звіт'!DC87</f>
        <v>213.12</v>
      </c>
      <c r="DD87" s="702">
        <f>'[1]побудинковий звіт'!DD87</f>
        <v>0</v>
      </c>
      <c r="DE87" s="702">
        <f>'[1]побудинковий звіт'!DE87</f>
        <v>0</v>
      </c>
      <c r="DF87" s="702">
        <f>'[1]побудинковий звіт'!DF87</f>
        <v>0</v>
      </c>
      <c r="DG87" s="772">
        <v>10544.766356315591</v>
      </c>
      <c r="DH87" s="746">
        <f t="shared" si="107"/>
        <v>23511.682769789637</v>
      </c>
      <c r="DI87" s="769"/>
      <c r="DJ87" s="5"/>
      <c r="DK87" s="307">
        <f>VLOOKUP($A87,ціни!$A$4:$G$401,5)</f>
        <v>1.8365793789168912</v>
      </c>
      <c r="DL87" s="307"/>
      <c r="DM87" s="307">
        <f>VLOOKUP($A87,ціни!$A$4:$G$401,7)</f>
        <v>1.8365793789168912</v>
      </c>
      <c r="DN87" s="29">
        <f t="shared" si="116"/>
        <v>153.90535195323548</v>
      </c>
      <c r="DO87" s="29">
        <f t="shared" si="117"/>
        <v>0</v>
      </c>
      <c r="DP87" s="306">
        <f t="shared" si="108"/>
        <v>153.90535195323548</v>
      </c>
      <c r="DQ87" s="101"/>
      <c r="DR87" s="29">
        <f>VLOOKUP(A87,'ДЗ нас '!$A$1:$C$359,2)</f>
        <v>153.9</v>
      </c>
      <c r="DS87" s="733"/>
      <c r="DT87" s="29">
        <f t="shared" si="109"/>
        <v>153.9</v>
      </c>
      <c r="DU87" s="247">
        <f>VLOOKUP(A87,'новий кошторис с 01.06'!$A$4:$AI$399,35)*1.2</f>
        <v>154.65610976764148</v>
      </c>
      <c r="DV87" s="29">
        <f t="shared" si="110"/>
        <v>-0.75610976764147608</v>
      </c>
      <c r="DW87" s="1016">
        <f>'[2]побудинковий звіт'!$DW$9+'[1]побудинковий звіт'!DW87</f>
        <v>0</v>
      </c>
      <c r="DX87" s="101">
        <f>'[1]побудинковий звіт'!DX87</f>
        <v>0</v>
      </c>
      <c r="DY87" s="5">
        <f t="shared" si="111"/>
        <v>1475.7572598372583</v>
      </c>
      <c r="DZ87" s="5">
        <f t="shared" si="112"/>
        <v>0</v>
      </c>
      <c r="EA87" s="737">
        <f t="shared" si="113"/>
        <v>0</v>
      </c>
      <c r="EC87" s="577">
        <f t="shared" si="114"/>
        <v>14757.572598372582</v>
      </c>
      <c r="EE87" s="743">
        <v>-457</v>
      </c>
      <c r="EF87" s="723">
        <f t="shared" si="115"/>
        <v>10087.766356315591</v>
      </c>
      <c r="EH87" s="798">
        <v>9765.111312205112</v>
      </c>
      <c r="EI87" s="101">
        <f>VLOOKUP(A87,'кошти 01.01.24'!$A$9:$D$352,4,FALSE)</f>
        <v>8699.6282566232221</v>
      </c>
    </row>
    <row r="88" spans="1:139" hidden="1" x14ac:dyDescent="0.3">
      <c r="A88" s="318">
        <v>150000517</v>
      </c>
      <c r="B88" s="43" t="s">
        <v>509</v>
      </c>
      <c r="C88" s="44" t="s">
        <v>251</v>
      </c>
      <c r="D88" s="44" t="s">
        <v>251</v>
      </c>
      <c r="E88" s="39">
        <f t="shared" si="64"/>
        <v>1894.4</v>
      </c>
      <c r="F88" s="205">
        <f>'[1]побудинковий звіт'!F88</f>
        <v>1531.5</v>
      </c>
      <c r="G88" s="29">
        <f>'[1]побудинковий звіт'!G88</f>
        <v>0</v>
      </c>
      <c r="H88" s="148">
        <f>'[1]побудинковий звіт'!H88</f>
        <v>362.90000000000003</v>
      </c>
      <c r="I88" s="41">
        <f>'[2]побудинковий звіт'!I88+'[1]побудинковий звіт'!I88</f>
        <v>6694.7061018221139</v>
      </c>
      <c r="J88" s="41">
        <f>'[2]побудинковий звіт'!J88+'[1]побудинковий звіт'!J88</f>
        <v>6864.3074759809479</v>
      </c>
      <c r="K88" s="55">
        <f t="shared" si="65"/>
        <v>169.60137415883401</v>
      </c>
      <c r="L88" s="41">
        <f>'[2]побудинковий звіт'!L88+'[1]побудинковий звіт'!L88</f>
        <v>1190.4990803796891</v>
      </c>
      <c r="M88" s="41">
        <f>'[2]побудинковий звіт'!M88+'[1]побудинковий звіт'!M88</f>
        <v>1250.641721492696</v>
      </c>
      <c r="N88" s="55">
        <f t="shared" si="66"/>
        <v>60.142641113006903</v>
      </c>
      <c r="O88" s="41">
        <f>'[2]побудинковий звіт'!O88+'[1]побудинковий звіт'!O88</f>
        <v>2533.1748491740013</v>
      </c>
      <c r="P88" s="41">
        <f>'[2]побудинковий звіт'!P88+'[1]побудинковий звіт'!P88</f>
        <v>2540.5056307094756</v>
      </c>
      <c r="Q88" s="55">
        <f t="shared" si="67"/>
        <v>7.3307815354742161</v>
      </c>
      <c r="R88" s="41">
        <f>'[2]побудинковий звіт'!R88+'[1]побудинковий звіт'!R88</f>
        <v>0</v>
      </c>
      <c r="S88" s="41">
        <f>'[2]побудинковий звіт'!S88+'[1]побудинковий звіт'!S88</f>
        <v>0</v>
      </c>
      <c r="T88" s="55">
        <f t="shared" si="68"/>
        <v>0</v>
      </c>
      <c r="U88" s="41">
        <f>'[2]побудинковий звіт'!U88+'[1]побудинковий звіт'!U88</f>
        <v>0</v>
      </c>
      <c r="V88" s="41">
        <f>'[2]побудинковий звіт'!V88+'[1]побудинковий звіт'!V88</f>
        <v>0</v>
      </c>
      <c r="W88" s="55">
        <f t="shared" si="69"/>
        <v>0</v>
      </c>
      <c r="X88" s="41">
        <f>'[2]побудинковий звіт'!X88+'[1]побудинковий звіт'!X88</f>
        <v>3257.5764045087572</v>
      </c>
      <c r="Y88" s="41">
        <f>'[2]побудинковий звіт'!Y88+'[1]побудинковий звіт'!Y88</f>
        <v>3035.8412708290075</v>
      </c>
      <c r="Z88" s="55">
        <f t="shared" si="70"/>
        <v>-221.73513367974965</v>
      </c>
      <c r="AA88" s="41">
        <f>'[2]побудинковий звіт'!AA88+'[1]побудинковий звіт'!AA88</f>
        <v>0</v>
      </c>
      <c r="AB88" s="41">
        <f>'[2]побудинковий звіт'!AB88+'[1]побудинковий звіт'!AB88</f>
        <v>0</v>
      </c>
      <c r="AC88" s="55">
        <f t="shared" si="71"/>
        <v>0</v>
      </c>
      <c r="AD88" s="41">
        <f>'[2]побудинковий звіт'!AD88+'[1]побудинковий звіт'!AD88</f>
        <v>8218.0436934283935</v>
      </c>
      <c r="AE88" s="41">
        <f>'[2]побудинковий звіт'!AE88+'[1]побудинковий звіт'!AE88</f>
        <v>8186.0268356488077</v>
      </c>
      <c r="AF88" s="36">
        <f t="shared" si="72"/>
        <v>-32.016857779585735</v>
      </c>
      <c r="AG88" s="84">
        <f t="shared" si="73"/>
        <v>21894.000129312954</v>
      </c>
      <c r="AH88" s="56">
        <f t="shared" si="74"/>
        <v>21877.322934660933</v>
      </c>
      <c r="AI88" s="55">
        <f t="shared" si="75"/>
        <v>-16.677194652020262</v>
      </c>
      <c r="AJ88" s="41">
        <f>'[2]побудинковий звіт'!AJ88+'[1]побудинковий звіт'!AJ88</f>
        <v>0</v>
      </c>
      <c r="AK88" s="41">
        <f>'[2]побудинковий звіт'!AK88+'[1]побудинковий звіт'!AK88</f>
        <v>0</v>
      </c>
      <c r="AL88" s="55">
        <f t="shared" si="76"/>
        <v>0</v>
      </c>
      <c r="AM88" s="41">
        <f>'[2]побудинковий звіт'!AM88+'[1]побудинковий звіт'!AM88</f>
        <v>0</v>
      </c>
      <c r="AN88" s="41">
        <f>'[2]побудинковий звіт'!AN88+'[1]побудинковий звіт'!AN88</f>
        <v>0</v>
      </c>
      <c r="AO88" s="55">
        <f t="shared" si="77"/>
        <v>0</v>
      </c>
      <c r="AP88" s="41">
        <f>'[2]побудинковий звіт'!AP88+'[1]побудинковий звіт'!AP88</f>
        <v>4903.4598173807608</v>
      </c>
      <c r="AQ88" s="41">
        <f>'[2]побудинковий звіт'!AQ88+'[1]побудинковий звіт'!AQ88</f>
        <v>4083.6397129008119</v>
      </c>
      <c r="AR88" s="55">
        <f t="shared" si="78"/>
        <v>-819.8201044799489</v>
      </c>
      <c r="AS88" s="41">
        <f>'[2]побудинковий звіт'!AS88+'[1]побудинковий звіт'!AS88</f>
        <v>24154.965258270771</v>
      </c>
      <c r="AT88" s="41">
        <f>'[2]побудинковий звіт'!AT88+'[1]побудинковий звіт'!AT88</f>
        <v>2334.8346163493156</v>
      </c>
      <c r="AU88" s="57">
        <f t="shared" si="79"/>
        <v>-21820.130641921456</v>
      </c>
      <c r="AV88" s="41">
        <f>'[2]побудинковий звіт'!AV88+'[1]побудинковий звіт'!AV88</f>
        <v>1115.2736210971977</v>
      </c>
      <c r="AW88" s="41">
        <f>'[2]побудинковий звіт'!AW88+'[1]побудинковий звіт'!AW88</f>
        <v>0</v>
      </c>
      <c r="AX88" s="58">
        <f t="shared" si="80"/>
        <v>-1115.2736210971977</v>
      </c>
      <c r="AY88" s="41">
        <f>'[2]побудинковий звіт'!AY88+'[1]побудинковий звіт'!AY88</f>
        <v>1437.4569325026566</v>
      </c>
      <c r="AZ88" s="41">
        <f>'[2]побудинковий звіт'!AZ88+'[1]побудинковий звіт'!AZ88</f>
        <v>0</v>
      </c>
      <c r="BA88" s="36">
        <f t="shared" si="81"/>
        <v>-1437.4569325026566</v>
      </c>
      <c r="BB88" s="41">
        <f>'[2]побудинковий звіт'!BB88+'[1]побудинковий звіт'!BB88</f>
        <v>1476.9460170820989</v>
      </c>
      <c r="BC88" s="41">
        <f>'[2]побудинковий звіт'!BC88+'[1]побудинковий звіт'!BC88</f>
        <v>0</v>
      </c>
      <c r="BD88" s="58">
        <f t="shared" si="82"/>
        <v>-1476.9460170820989</v>
      </c>
      <c r="BE88" s="41">
        <f>'[2]побудинковий звіт'!BE88+'[1]побудинковий звіт'!BE88</f>
        <v>0</v>
      </c>
      <c r="BF88" s="41">
        <f>'[2]побудинковий звіт'!BF88+'[1]побудинковий звіт'!BF88</f>
        <v>0</v>
      </c>
      <c r="BG88" s="38">
        <f t="shared" si="83"/>
        <v>0</v>
      </c>
      <c r="BH88" s="41">
        <f>'[2]побудинковий звіт'!BH88+'[1]побудинковий звіт'!BH88</f>
        <v>0</v>
      </c>
      <c r="BI88" s="41">
        <f>'[2]побудинковий звіт'!BI88+'[1]побудинковий звіт'!BI88</f>
        <v>0</v>
      </c>
      <c r="BJ88" s="58">
        <f t="shared" si="84"/>
        <v>0</v>
      </c>
      <c r="BK88" s="41">
        <f>'[2]побудинковий звіт'!BK88+'[1]побудинковий звіт'!BK88</f>
        <v>515.51964632013164</v>
      </c>
      <c r="BL88" s="41">
        <f>'[2]побудинковий звіт'!BL88+'[1]побудинковий звіт'!BL88</f>
        <v>2103.7172245762877</v>
      </c>
      <c r="BM88" s="38">
        <f t="shared" si="85"/>
        <v>1588.197578256156</v>
      </c>
      <c r="BN88" s="41">
        <f>'[2]побудинковий звіт'!BN88+'[1]побудинковий звіт'!BN88</f>
        <v>39.997857515597488</v>
      </c>
      <c r="BO88" s="41">
        <f>'[2]побудинковий звіт'!BO88+'[1]побудинковий звіт'!BO88</f>
        <v>0</v>
      </c>
      <c r="BP88" s="58">
        <f t="shared" si="86"/>
        <v>-39.997857515597488</v>
      </c>
      <c r="BQ88" s="84">
        <f t="shared" si="87"/>
        <v>4585.1940745176826</v>
      </c>
      <c r="BR88" s="42">
        <f t="shared" si="88"/>
        <v>2103.7172245762877</v>
      </c>
      <c r="BS88" s="58">
        <f t="shared" si="89"/>
        <v>-2481.4768499413949</v>
      </c>
      <c r="BT88" s="41">
        <f>'[2]побудинковий звіт'!BT88+'[1]побудинковий звіт'!BT88</f>
        <v>9888.8186081837976</v>
      </c>
      <c r="BU88" s="41">
        <f>'[2]побудинковий звіт'!BU88+'[1]побудинковий звіт'!BU88</f>
        <v>18078.532425853304</v>
      </c>
      <c r="BV88" s="55">
        <f t="shared" si="90"/>
        <v>8189.7138176695062</v>
      </c>
      <c r="BW88" s="41">
        <f>'[2]побудинковий звіт'!BW88+'[1]побудинковий звіт'!BW88</f>
        <v>8236.6024526971705</v>
      </c>
      <c r="BX88" s="41">
        <f>'[2]побудинковий звіт'!BX88+'[1]побудинковий звіт'!BX88</f>
        <v>11132.372585846369</v>
      </c>
      <c r="BY88" s="55">
        <f t="shared" si="91"/>
        <v>2895.770133149199</v>
      </c>
      <c r="BZ88" s="41">
        <f>'[2]побудинковий звіт'!BZ88+'[1]побудинковий звіт'!BZ88</f>
        <v>5982.3042590177347</v>
      </c>
      <c r="CA88" s="41">
        <f>'[2]побудинковий звіт'!CA88+'[1]побудинковий звіт'!CA88</f>
        <v>2073.5221701363585</v>
      </c>
      <c r="CB88" s="55">
        <f t="shared" si="92"/>
        <v>-3908.7820888813762</v>
      </c>
      <c r="CC88" s="41">
        <f>'[2]побудинковий звіт'!CC88+'[1]побудинковий звіт'!CC88</f>
        <v>0</v>
      </c>
      <c r="CD88" s="41">
        <f>'[2]побудинковий звіт'!CD88+'[1]побудинковий звіт'!CD88</f>
        <v>0</v>
      </c>
      <c r="CE88" s="55">
        <f t="shared" si="93"/>
        <v>0</v>
      </c>
      <c r="CF88" s="41">
        <f>'[2]побудинковий звіт'!CF88+'[1]побудинковий звіт'!CF88</f>
        <v>0</v>
      </c>
      <c r="CG88" s="41">
        <f>'[2]побудинковий звіт'!CG88+'[1]побудинковий звіт'!CG88</f>
        <v>0</v>
      </c>
      <c r="CH88" s="55">
        <f t="shared" si="94"/>
        <v>0</v>
      </c>
      <c r="CI88" s="41">
        <f>'[2]побудинковий звіт'!CI88+'[1]побудинковий звіт'!CI88</f>
        <v>3259.5916726128576</v>
      </c>
      <c r="CJ88" s="41">
        <f>'[2]побудинковий звіт'!CJ88+'[1]побудинковий звіт'!CJ88</f>
        <v>4101.2925178517717</v>
      </c>
      <c r="CK88" s="55">
        <f t="shared" si="95"/>
        <v>841.7008452389141</v>
      </c>
      <c r="CL88" s="41">
        <f>'[2]побудинковий звіт'!CL88+'[1]побудинковий звіт'!CL88</f>
        <v>0</v>
      </c>
      <c r="CM88" s="41">
        <f>'[2]побудинковий звіт'!CM88+'[1]побудинковий звіт'!CM88</f>
        <v>0</v>
      </c>
      <c r="CN88" s="55">
        <f t="shared" si="96"/>
        <v>0</v>
      </c>
      <c r="CO88" s="41">
        <f t="shared" si="97"/>
        <v>3259.5916726128576</v>
      </c>
      <c r="CP88" s="42">
        <f t="shared" si="98"/>
        <v>4101.2925178517717</v>
      </c>
      <c r="CQ88" s="55">
        <f t="shared" si="99"/>
        <v>841.7008452389141</v>
      </c>
      <c r="CR88" s="76">
        <f t="shared" si="100"/>
        <v>82904.936271993734</v>
      </c>
      <c r="CS88" s="5">
        <f t="shared" si="101"/>
        <v>65785.234188175149</v>
      </c>
      <c r="CT88" s="55">
        <f t="shared" si="102"/>
        <v>-17119.702083818585</v>
      </c>
      <c r="CU88" s="84">
        <f t="shared" si="103"/>
        <v>99485.923526392478</v>
      </c>
      <c r="CV88" s="68">
        <f t="shared" si="104"/>
        <v>78942.281025810182</v>
      </c>
      <c r="CW88" s="36">
        <f t="shared" si="105"/>
        <v>-20543.642500582297</v>
      </c>
      <c r="CX88" s="41">
        <f>'[2]побудинковий звіт'!CX88+'[1]побудинковий звіт'!CX88</f>
        <v>3772.3881751420854</v>
      </c>
      <c r="CY88" s="41">
        <f>'[2]побудинковий звіт'!CY88+'[1]побудинковий звіт'!CY88</f>
        <v>24316.03067572436</v>
      </c>
      <c r="CZ88" s="55">
        <f t="shared" si="106"/>
        <v>20543.642500582275</v>
      </c>
      <c r="DA88" s="254">
        <f>'[1]побудинковий звіт'!DA88</f>
        <v>61951.742966385529</v>
      </c>
      <c r="DB88" s="2">
        <v>2</v>
      </c>
      <c r="DC88" s="702">
        <f>'[1]побудинковий звіт'!DC88</f>
        <v>16773.2</v>
      </c>
      <c r="DD88" s="702">
        <f>'[1]побудинковий звіт'!DD88</f>
        <v>2580.96</v>
      </c>
      <c r="DE88" s="702">
        <f>'[1]побудинковий звіт'!DE88</f>
        <v>7391.380000000001</v>
      </c>
      <c r="DF88" s="702">
        <f>'[1]побудинковий звіт'!DF88</f>
        <v>620.98999999999978</v>
      </c>
      <c r="DG88" s="772">
        <v>109962.09986739373</v>
      </c>
      <c r="DH88" s="746">
        <f t="shared" si="107"/>
        <v>1239099.7404184148</v>
      </c>
      <c r="DI88" s="769"/>
      <c r="DJ88" s="5"/>
      <c r="DK88" s="307">
        <f>VLOOKUP($A88,ціни!$A$4:$G$401,5)</f>
        <v>4.3713752884997348</v>
      </c>
      <c r="DL88" s="307"/>
      <c r="DM88" s="307">
        <f>VLOOKUP($A88,ціни!$A$4:$G$401,7)</f>
        <v>3.8446119887343126</v>
      </c>
      <c r="DN88" s="29">
        <f t="shared" si="116"/>
        <v>6694.7612543373434</v>
      </c>
      <c r="DO88" s="29">
        <f t="shared" si="117"/>
        <v>1395.2096907116822</v>
      </c>
      <c r="DP88" s="306">
        <f t="shared" si="108"/>
        <v>8089.9709450490254</v>
      </c>
      <c r="DQ88" s="101"/>
      <c r="DR88" s="29">
        <f>VLOOKUP(A88,'ДЗ нас '!$A$1:$C$359,2)</f>
        <v>6694.78</v>
      </c>
      <c r="DS88" s="733">
        <f>VLOOKUP(A88,'ДЗ нежит'!$A$1:$D$153,4,0)</f>
        <v>1395.21</v>
      </c>
      <c r="DT88" s="29">
        <f t="shared" si="109"/>
        <v>8089.99</v>
      </c>
      <c r="DU88" s="247">
        <f>VLOOKUP(A88,'новий кошторис с 01.06'!$A$4:$AI$399,35)*1.2</f>
        <v>8146.4461004457326</v>
      </c>
      <c r="DV88" s="29">
        <f t="shared" si="110"/>
        <v>-56.456100445732773</v>
      </c>
      <c r="DW88" s="1016">
        <f>'[2]побудинковий звіт'!$DW$9+'[1]побудинковий звіт'!DW88</f>
        <v>918</v>
      </c>
      <c r="DX88" s="101">
        <f>'[1]побудинковий звіт'!DX88</f>
        <v>0</v>
      </c>
      <c r="DY88" s="5">
        <f t="shared" si="111"/>
        <v>34488.191199346147</v>
      </c>
      <c r="DZ88" s="5">
        <f t="shared" si="112"/>
        <v>5326.2622091107241</v>
      </c>
      <c r="EA88" s="737">
        <f t="shared" si="113"/>
        <v>8012.3700000000008</v>
      </c>
      <c r="EC88" s="577">
        <f t="shared" si="114"/>
        <v>289859.58309924928</v>
      </c>
      <c r="EE88" s="743">
        <v>-16273</v>
      </c>
      <c r="EF88" s="723">
        <f t="shared" si="115"/>
        <v>93689.099867393728</v>
      </c>
      <c r="EH88" s="798">
        <v>104089.46308054702</v>
      </c>
      <c r="EI88" s="101">
        <f>VLOOKUP(A88,'кошти 01.01.24'!$A$9:$D$352,4,FALSE)</f>
        <v>82495.385466967826</v>
      </c>
    </row>
    <row r="89" spans="1:139" hidden="1" x14ac:dyDescent="0.3">
      <c r="A89" s="318">
        <v>150000518</v>
      </c>
      <c r="B89" s="43" t="s">
        <v>510</v>
      </c>
      <c r="C89" s="44" t="s">
        <v>194</v>
      </c>
      <c r="D89" s="44" t="s">
        <v>194</v>
      </c>
      <c r="E89" s="39">
        <f t="shared" si="64"/>
        <v>847.5</v>
      </c>
      <c r="F89" s="205">
        <f>'[1]побудинковий звіт'!F89</f>
        <v>783.2</v>
      </c>
      <c r="G89" s="29">
        <f>'[1]побудинковий звіт'!G89</f>
        <v>0</v>
      </c>
      <c r="H89" s="148">
        <f>'[1]побудинковий звіт'!H89</f>
        <v>64.3</v>
      </c>
      <c r="I89" s="41">
        <f>'[2]побудинковий звіт'!I89+'[1]побудинковий звіт'!I89</f>
        <v>3733.5564069663433</v>
      </c>
      <c r="J89" s="41">
        <f>'[2]побудинковий звіт'!J89+'[1]побудинковий звіт'!J89</f>
        <v>3820.6639265471581</v>
      </c>
      <c r="K89" s="55">
        <f t="shared" si="65"/>
        <v>87.107519580814824</v>
      </c>
      <c r="L89" s="41">
        <f>'[2]побудинковий звіт'!L89+'[1]побудинковий звіт'!L89</f>
        <v>833.46730233513085</v>
      </c>
      <c r="M89" s="41">
        <f>'[2]побудинковий звіт'!M89+'[1]побудинковий звіт'!M89</f>
        <v>874.30920344698848</v>
      </c>
      <c r="N89" s="55">
        <f t="shared" si="66"/>
        <v>40.841901111857624</v>
      </c>
      <c r="O89" s="41">
        <f>'[2]побудинковий звіт'!O89+'[1]побудинковий звіт'!O89</f>
        <v>1200.8029669449627</v>
      </c>
      <c r="P89" s="41">
        <f>'[2]побудинковий звіт'!P89+'[1]побудинковий звіт'!P89</f>
        <v>1204.0604915210135</v>
      </c>
      <c r="Q89" s="55">
        <f t="shared" si="67"/>
        <v>3.2575245760508551</v>
      </c>
      <c r="R89" s="41">
        <f>'[2]побудинковий звіт'!R89+'[1]побудинковий звіт'!R89</f>
        <v>0</v>
      </c>
      <c r="S89" s="41">
        <f>'[2]побудинковий звіт'!S89+'[1]побудинковий звіт'!S89</f>
        <v>0</v>
      </c>
      <c r="T89" s="55">
        <f t="shared" si="68"/>
        <v>0</v>
      </c>
      <c r="U89" s="41">
        <f>'[2]побудинковий звіт'!U89+'[1]побудинковий звіт'!U89</f>
        <v>84.195884513437704</v>
      </c>
      <c r="V89" s="41">
        <f>'[2]побудинковий звіт'!V89+'[1]побудинковий звіт'!V89</f>
        <v>48.575065888797084</v>
      </c>
      <c r="W89" s="55">
        <f t="shared" si="69"/>
        <v>-35.62081862464062</v>
      </c>
      <c r="X89" s="41">
        <f>'[2]побудинковий звіт'!X89+'[1]побудинковий звіт'!X89</f>
        <v>2501.4371358339304</v>
      </c>
      <c r="Y89" s="41">
        <f>'[2]побудинковий звіт'!Y89+'[1]побудинковий звіт'!Y89</f>
        <v>2193.2490265781967</v>
      </c>
      <c r="Z89" s="55">
        <f t="shared" si="70"/>
        <v>-308.18810925573371</v>
      </c>
      <c r="AA89" s="41">
        <f>'[2]побудинковий звіт'!AA89+'[1]побудинковий звіт'!AA89</f>
        <v>0</v>
      </c>
      <c r="AB89" s="41">
        <f>'[2]побудинковий звіт'!AB89+'[1]побудинковий звіт'!AB89</f>
        <v>0</v>
      </c>
      <c r="AC89" s="55">
        <f t="shared" si="71"/>
        <v>0</v>
      </c>
      <c r="AD89" s="41">
        <f>'[2]побудинковий звіт'!AD89+'[1]побудинковий звіт'!AD89</f>
        <v>3675.8720589887844</v>
      </c>
      <c r="AE89" s="41">
        <f>'[2]побудинковий звіт'!AE89+'[1]побудинковий звіт'!AE89</f>
        <v>3661.5755987850598</v>
      </c>
      <c r="AF89" s="36">
        <f t="shared" si="72"/>
        <v>-14.296460203724564</v>
      </c>
      <c r="AG89" s="84">
        <f t="shared" si="73"/>
        <v>12029.331755582589</v>
      </c>
      <c r="AH89" s="56">
        <f t="shared" si="74"/>
        <v>11802.433312767214</v>
      </c>
      <c r="AI89" s="55">
        <f t="shared" si="75"/>
        <v>-226.89844281537444</v>
      </c>
      <c r="AJ89" s="41">
        <f>'[2]побудинковий звіт'!AJ89+'[1]побудинковий звіт'!AJ89</f>
        <v>0</v>
      </c>
      <c r="AK89" s="41">
        <f>'[2]побудинковий звіт'!AK89+'[1]побудинковий звіт'!AK89</f>
        <v>0</v>
      </c>
      <c r="AL89" s="55">
        <f t="shared" si="76"/>
        <v>0</v>
      </c>
      <c r="AM89" s="41">
        <f>'[2]побудинковий звіт'!AM89+'[1]побудинковий звіт'!AM89</f>
        <v>0</v>
      </c>
      <c r="AN89" s="41">
        <f>'[2]побудинковий звіт'!AN89+'[1]побудинковий звіт'!AN89</f>
        <v>0</v>
      </c>
      <c r="AO89" s="55">
        <f t="shared" si="77"/>
        <v>0</v>
      </c>
      <c r="AP89" s="41">
        <f>'[2]побудинковий звіт'!AP89+'[1]побудинковий звіт'!AP89</f>
        <v>2526.0247544082695</v>
      </c>
      <c r="AQ89" s="41">
        <f>'[2]побудинковий звіт'!AQ89+'[1]побудинковий звіт'!AQ89</f>
        <v>2528.7769943130497</v>
      </c>
      <c r="AR89" s="55">
        <f t="shared" si="78"/>
        <v>2.7522399047802537</v>
      </c>
      <c r="AS89" s="41">
        <f>'[2]побудинковий звіт'!AS89+'[1]побудинковий звіт'!AS89</f>
        <v>10520.747859677258</v>
      </c>
      <c r="AT89" s="41">
        <f>'[2]побудинковий звіт'!AT89+'[1]побудинковий звіт'!AT89</f>
        <v>1201.3758952571091</v>
      </c>
      <c r="AU89" s="57">
        <f t="shared" si="79"/>
        <v>-9319.3719644201483</v>
      </c>
      <c r="AV89" s="41">
        <f>'[2]побудинковий звіт'!AV89+'[1]побудинковий звіт'!AV89</f>
        <v>624.79672455495665</v>
      </c>
      <c r="AW89" s="41">
        <f>'[2]побудинковий звіт'!AW89+'[1]побудинковий звіт'!AW89</f>
        <v>0</v>
      </c>
      <c r="AX89" s="58">
        <f t="shared" si="80"/>
        <v>-624.79672455495665</v>
      </c>
      <c r="AY89" s="41">
        <f>'[2]побудинковий звіт'!AY89+'[1]побудинковий звіт'!AY89</f>
        <v>999.15557715630223</v>
      </c>
      <c r="AZ89" s="41">
        <f>'[2]побудинковий звіт'!AZ89+'[1]побудинковий звіт'!AZ89</f>
        <v>0</v>
      </c>
      <c r="BA89" s="36">
        <f t="shared" si="81"/>
        <v>-999.15557715630223</v>
      </c>
      <c r="BB89" s="41">
        <f>'[2]побудинковий звіт'!BB89+'[1]побудинковий звіт'!BB89</f>
        <v>527.75312396294498</v>
      </c>
      <c r="BC89" s="41">
        <f>'[2]побудинковий звіт'!BC89+'[1]побудинковий звіт'!BC89</f>
        <v>0</v>
      </c>
      <c r="BD89" s="58">
        <f t="shared" si="82"/>
        <v>-527.75312396294498</v>
      </c>
      <c r="BE89" s="41">
        <f>'[2]побудинковий звіт'!BE89+'[1]побудинковий звіт'!BE89</f>
        <v>0</v>
      </c>
      <c r="BF89" s="41">
        <f>'[2]побудинковий звіт'!BF89+'[1]побудинковий звіт'!BF89</f>
        <v>0</v>
      </c>
      <c r="BG89" s="38">
        <f t="shared" si="83"/>
        <v>0</v>
      </c>
      <c r="BH89" s="41">
        <f>'[2]побудинковий звіт'!BH89+'[1]побудинковий звіт'!BH89</f>
        <v>49.622889587144876</v>
      </c>
      <c r="BI89" s="41">
        <f>'[2]побудинковий звіт'!BI89+'[1]побудинковий звіт'!BI89</f>
        <v>0</v>
      </c>
      <c r="BJ89" s="58">
        <f t="shared" si="84"/>
        <v>-49.622889587144876</v>
      </c>
      <c r="BK89" s="41">
        <f>'[2]побудинковий звіт'!BK89+'[1]побудинковий звіт'!BK89</f>
        <v>357.18843273398721</v>
      </c>
      <c r="BL89" s="41">
        <f>'[2]побудинковий звіт'!BL89+'[1]побудинковий звіт'!BL89</f>
        <v>0</v>
      </c>
      <c r="BM89" s="38">
        <f t="shared" si="85"/>
        <v>-357.18843273398721</v>
      </c>
      <c r="BN89" s="41">
        <f>'[2]побудинковий звіт'!BN89+'[1]побудинковий звіт'!BN89</f>
        <v>31.464981245603362</v>
      </c>
      <c r="BO89" s="41">
        <f>'[2]побудинковий звіт'!BO89+'[1]побудинковий звіт'!BO89</f>
        <v>0</v>
      </c>
      <c r="BP89" s="58">
        <f t="shared" si="86"/>
        <v>-31.464981245603362</v>
      </c>
      <c r="BQ89" s="84">
        <f t="shared" si="87"/>
        <v>2589.9817292409393</v>
      </c>
      <c r="BR89" s="42">
        <f t="shared" si="88"/>
        <v>0</v>
      </c>
      <c r="BS89" s="58">
        <f t="shared" si="89"/>
        <v>-2589.9817292409393</v>
      </c>
      <c r="BT89" s="41">
        <f>'[2]побудинковий звіт'!BT89+'[1]побудинковий звіт'!BT89</f>
        <v>13819.573424151637</v>
      </c>
      <c r="BU89" s="41">
        <f>'[2]побудинковий звіт'!BU89+'[1]побудинковий звіт'!BU89</f>
        <v>27455.471076735783</v>
      </c>
      <c r="BV89" s="55">
        <f t="shared" si="90"/>
        <v>13635.897652584146</v>
      </c>
      <c r="BW89" s="41">
        <f>'[2]побудинковий звіт'!BW89+'[1]побудинковий звіт'!BW89</f>
        <v>6773.2482039043325</v>
      </c>
      <c r="BX89" s="41">
        <f>'[2]побудинковий звіт'!BX89+'[1]побудинковий звіт'!BX89</f>
        <v>8579.065554775385</v>
      </c>
      <c r="BY89" s="55">
        <f t="shared" si="91"/>
        <v>1805.8173508710524</v>
      </c>
      <c r="BZ89" s="41">
        <f>'[2]побудинковий звіт'!BZ89+'[1]побудинковий звіт'!BZ89</f>
        <v>3677.0193098454383</v>
      </c>
      <c r="CA89" s="41">
        <f>'[2]побудинковий звіт'!CA89+'[1]побудинковий звіт'!CA89</f>
        <v>2028.3890307656111</v>
      </c>
      <c r="CB89" s="55">
        <f t="shared" si="92"/>
        <v>-1648.6302790798272</v>
      </c>
      <c r="CC89" s="41">
        <f>'[2]побудинковий звіт'!CC89+'[1]побудинковий звіт'!CC89</f>
        <v>848.89045279286779</v>
      </c>
      <c r="CD89" s="41">
        <f>'[2]побудинковий звіт'!CD89+'[1]побудинковий звіт'!CD89</f>
        <v>851.76894562993198</v>
      </c>
      <c r="CE89" s="55">
        <f t="shared" si="93"/>
        <v>2.8784928370641865</v>
      </c>
      <c r="CF89" s="41">
        <f>'[2]побудинковий звіт'!CF89+'[1]побудинковий звіт'!CF89</f>
        <v>105.17301509107327</v>
      </c>
      <c r="CG89" s="41">
        <f>'[2]побудинковий звіт'!CG89+'[1]побудинковий звіт'!CG89</f>
        <v>0</v>
      </c>
      <c r="CH89" s="55">
        <f t="shared" si="94"/>
        <v>-105.17301509107327</v>
      </c>
      <c r="CI89" s="41">
        <f>'[2]побудинковий звіт'!CI89+'[1]побудинковий звіт'!CI89</f>
        <v>1998.4573681929</v>
      </c>
      <c r="CJ89" s="41">
        <f>'[2]побудинковий звіт'!CJ89+'[1]побудинковий звіт'!CJ89</f>
        <v>2034.9035765873473</v>
      </c>
      <c r="CK89" s="55">
        <f t="shared" si="95"/>
        <v>36.44620839444724</v>
      </c>
      <c r="CL89" s="41">
        <f>'[2]побудинковий звіт'!CL89+'[1]побудинковий звіт'!CL89</f>
        <v>0</v>
      </c>
      <c r="CM89" s="41">
        <f>'[2]побудинковий звіт'!CM89+'[1]побудинковий звіт'!CM89</f>
        <v>0</v>
      </c>
      <c r="CN89" s="55">
        <f t="shared" si="96"/>
        <v>0</v>
      </c>
      <c r="CO89" s="41">
        <f t="shared" si="97"/>
        <v>1998.4573681929</v>
      </c>
      <c r="CP89" s="42">
        <f t="shared" si="98"/>
        <v>2034.9035765873473</v>
      </c>
      <c r="CQ89" s="55">
        <f t="shared" si="99"/>
        <v>36.44620839444724</v>
      </c>
      <c r="CR89" s="76">
        <f t="shared" si="100"/>
        <v>54888.447872887307</v>
      </c>
      <c r="CS89" s="5">
        <f t="shared" si="101"/>
        <v>56482.184386831432</v>
      </c>
      <c r="CT89" s="55">
        <f t="shared" si="102"/>
        <v>1593.7365139441245</v>
      </c>
      <c r="CU89" s="84">
        <f t="shared" si="103"/>
        <v>65866.13744746476</v>
      </c>
      <c r="CV89" s="68">
        <f t="shared" si="104"/>
        <v>67778.621264197718</v>
      </c>
      <c r="CW89" s="36">
        <f t="shared" si="105"/>
        <v>1912.4838167329581</v>
      </c>
      <c r="CX89" s="41">
        <f>'[2]побудинковий звіт'!CX89+'[1]побудинковий звіт'!CX89</f>
        <v>661.96610997690266</v>
      </c>
      <c r="CY89" s="41">
        <f>'[2]побудинковий звіт'!CY89+'[1]побудинковий звіт'!CY89</f>
        <v>-1250.5177067560444</v>
      </c>
      <c r="CZ89" s="55">
        <f t="shared" si="106"/>
        <v>-1912.4838167329472</v>
      </c>
      <c r="DA89" s="254">
        <f>'[1]побудинковий звіт'!DA89</f>
        <v>51439.786782953415</v>
      </c>
      <c r="DB89" s="2">
        <v>2</v>
      </c>
      <c r="DC89" s="702">
        <f>'[1]побудинковий звіт'!DC89</f>
        <v>6892.98</v>
      </c>
      <c r="DD89" s="702">
        <f>'[1]побудинковий звіт'!DD89</f>
        <v>1180.31</v>
      </c>
      <c r="DE89" s="702">
        <f>'[1]побудинковий звіт'!DE89</f>
        <v>70.069999999999709</v>
      </c>
      <c r="DF89" s="702">
        <f>'[1]побудинковий звіт'!DF89</f>
        <v>692.76</v>
      </c>
      <c r="DG89" s="772">
        <v>39156.494820756197</v>
      </c>
      <c r="DH89" s="746">
        <f t="shared" si="107"/>
        <v>798337.24268929986</v>
      </c>
      <c r="DI89" s="769"/>
      <c r="DJ89" s="5"/>
      <c r="DK89" s="307">
        <f>VLOOKUP($A89,ціни!$A$4:$G$401,5)</f>
        <v>6.2120546099631921</v>
      </c>
      <c r="DL89" s="307"/>
      <c r="DM89" s="307">
        <f>VLOOKUP($A89,ціни!$A$4:$G$401,7)</f>
        <v>5.3868556514365888</v>
      </c>
      <c r="DN89" s="29">
        <f t="shared" si="116"/>
        <v>4865.2811705231725</v>
      </c>
      <c r="DO89" s="29">
        <f t="shared" si="117"/>
        <v>346.37481838737267</v>
      </c>
      <c r="DP89" s="306">
        <f t="shared" si="108"/>
        <v>5211.6559889105447</v>
      </c>
      <c r="DQ89" s="101"/>
      <c r="DR89" s="29">
        <f>VLOOKUP(A89,'ДЗ нас '!$A$1:$C$359,2)</f>
        <v>4865.33</v>
      </c>
      <c r="DS89" s="733">
        <f>VLOOKUP(A89,'ДЗ нежит'!$A$1:$D$153,4,0)</f>
        <v>346.38</v>
      </c>
      <c r="DT89" s="29">
        <f t="shared" si="109"/>
        <v>5211.71</v>
      </c>
      <c r="DU89" s="247">
        <f>VLOOKUP(A89,'новий кошторис с 01.06'!$A$4:$AI$399,35)*1.2</f>
        <v>5211.6559889105447</v>
      </c>
      <c r="DV89" s="29">
        <f t="shared" si="110"/>
        <v>5.4011089455343608E-2</v>
      </c>
      <c r="DW89" s="1016">
        <f>'[2]побудинковий звіт'!$DW$9+'[1]побудинковий звіт'!DW89</f>
        <v>918</v>
      </c>
      <c r="DX89" s="101">
        <f>'[1]побудинковий звіт'!DX89</f>
        <v>0</v>
      </c>
      <c r="DY89" s="5">
        <f t="shared" si="111"/>
        <v>15732.875506701836</v>
      </c>
      <c r="DZ89" s="5">
        <f t="shared" si="112"/>
        <v>1441.6510743085307</v>
      </c>
      <c r="EA89" s="737">
        <f t="shared" si="113"/>
        <v>762.8299999999997</v>
      </c>
      <c r="EC89" s="577">
        <f t="shared" si="114"/>
        <v>126248.9743161271</v>
      </c>
      <c r="EE89" s="743">
        <v>-14697</v>
      </c>
      <c r="EF89" s="723">
        <f t="shared" si="115"/>
        <v>24459.494820756197</v>
      </c>
      <c r="EH89" s="798">
        <v>56577.020774244316</v>
      </c>
      <c r="EI89" s="101">
        <f>VLOOKUP(A89,'кошти 01.01.24'!$A$9:$D$352,4,FALSE)</f>
        <v>49527.302966220479</v>
      </c>
    </row>
    <row r="90" spans="1:139" ht="14.4" hidden="1" customHeight="1" x14ac:dyDescent="0.3">
      <c r="A90" s="318">
        <v>150000519</v>
      </c>
      <c r="B90" s="43" t="s">
        <v>511</v>
      </c>
      <c r="C90" s="44" t="s">
        <v>412</v>
      </c>
      <c r="D90" s="44" t="s">
        <v>412</v>
      </c>
      <c r="E90" s="39">
        <f t="shared" si="64"/>
        <v>2696.4</v>
      </c>
      <c r="F90" s="205">
        <f>'[1]побудинковий звіт'!F90</f>
        <v>2635.5</v>
      </c>
      <c r="G90" s="29">
        <f>'[1]побудинковий звіт'!G90</f>
        <v>208.7</v>
      </c>
      <c r="H90" s="148">
        <f>'[1]побудинковий звіт'!H90</f>
        <v>60.9</v>
      </c>
      <c r="I90" s="41">
        <f>'[2]побудинковий звіт'!I90+'[1]побудинковий звіт'!I90</f>
        <v>8392.5903507400526</v>
      </c>
      <c r="J90" s="41">
        <f>'[2]побудинковий звіт'!J90+'[1]побудинковий звіт'!J90</f>
        <v>8671.8291239584069</v>
      </c>
      <c r="K90" s="55">
        <f t="shared" si="65"/>
        <v>279.23877321835425</v>
      </c>
      <c r="L90" s="41">
        <f>'[2]побудинковий звіт'!L90+'[1]побудинковий звіт'!L90</f>
        <v>1357.1658108180777</v>
      </c>
      <c r="M90" s="41">
        <f>'[2]побудинковий звіт'!M90+'[1]побудинковий звіт'!M90</f>
        <v>1448.5902987554255</v>
      </c>
      <c r="N90" s="55">
        <f t="shared" si="66"/>
        <v>91.424487937347749</v>
      </c>
      <c r="O90" s="41">
        <f>'[2]побудинковий звіт'!O90+'[1]побудинковий звіт'!O90</f>
        <v>4259.7522774696909</v>
      </c>
      <c r="P90" s="41">
        <f>'[2]побудинковий звіт'!P90+'[1]побудинковий звіт'!P90</f>
        <v>4271.4320464593247</v>
      </c>
      <c r="Q90" s="55">
        <f t="shared" si="67"/>
        <v>11.679768989633885</v>
      </c>
      <c r="R90" s="41">
        <f>'[2]побудинковий звіт'!R90+'[1]побудинковий звіт'!R90</f>
        <v>922.25794670766948</v>
      </c>
      <c r="S90" s="41">
        <f>'[2]побудинковий звіт'!S90+'[1]побудинковий звіт'!S90</f>
        <v>924.72415442912586</v>
      </c>
      <c r="T90" s="55">
        <f t="shared" si="68"/>
        <v>2.4662077214563851</v>
      </c>
      <c r="U90" s="41">
        <f>'[2]побудинковий звіт'!U90+'[1]побудинковий звіт'!U90</f>
        <v>424.08599804617938</v>
      </c>
      <c r="V90" s="41">
        <f>'[2]побудинковий звіт'!V90+'[1]побудинковий звіт'!V90</f>
        <v>1000.3784377900897</v>
      </c>
      <c r="W90" s="55">
        <f t="shared" si="69"/>
        <v>576.29243974391034</v>
      </c>
      <c r="X90" s="41">
        <f>'[2]побудинковий звіт'!X90+'[1]побудинковий звіт'!X90</f>
        <v>3507.5472081712073</v>
      </c>
      <c r="Y90" s="41">
        <f>'[2]побудинковий звіт'!Y90+'[1]побудинковий звіт'!Y90</f>
        <v>3017.9579703930394</v>
      </c>
      <c r="Z90" s="55">
        <f t="shared" si="70"/>
        <v>-489.5892377781679</v>
      </c>
      <c r="AA90" s="41">
        <f>'[2]побудинковий звіт'!AA90+'[1]побудинковий звіт'!AA90</f>
        <v>0</v>
      </c>
      <c r="AB90" s="41">
        <f>'[2]побудинковий звіт'!AB90+'[1]побудинковий звіт'!AB90</f>
        <v>0</v>
      </c>
      <c r="AC90" s="55">
        <f t="shared" si="71"/>
        <v>0</v>
      </c>
      <c r="AD90" s="41">
        <f>'[2]побудинковий звіт'!AD90+'[1]побудинковий звіт'!AD90</f>
        <v>11695.12851900573</v>
      </c>
      <c r="AE90" s="41">
        <f>'[2]побудинковий звіт'!AE90+'[1]побудинковий звіт'!AE90</f>
        <v>11649.643002435441</v>
      </c>
      <c r="AF90" s="36">
        <f t="shared" si="72"/>
        <v>-45.485516570288382</v>
      </c>
      <c r="AG90" s="84">
        <f t="shared" si="73"/>
        <v>30558.528110958607</v>
      </c>
      <c r="AH90" s="56">
        <f t="shared" si="74"/>
        <v>30984.555034220855</v>
      </c>
      <c r="AI90" s="55">
        <f t="shared" si="75"/>
        <v>426.0269232622486</v>
      </c>
      <c r="AJ90" s="41">
        <f>'[2]побудинковий звіт'!AJ90+'[1]побудинковий звіт'!AJ90</f>
        <v>22335.963457389404</v>
      </c>
      <c r="AK90" s="41">
        <f>'[2]побудинковий звіт'!AK90+'[1]побудинковий звіт'!AK90</f>
        <v>21316.420409389873</v>
      </c>
      <c r="AL90" s="55">
        <f t="shared" si="76"/>
        <v>-1019.5430479995302</v>
      </c>
      <c r="AM90" s="41">
        <f>'[2]побудинковий звіт'!AM90+'[1]побудинковий звіт'!AM90</f>
        <v>0</v>
      </c>
      <c r="AN90" s="41">
        <f>'[2]побудинковий звіт'!AN90+'[1]побудинковий звіт'!AN90</f>
        <v>0</v>
      </c>
      <c r="AO90" s="55">
        <f t="shared" si="77"/>
        <v>0</v>
      </c>
      <c r="AP90" s="41">
        <f>'[2]побудинковий звіт'!AP90+'[1]побудинковий звіт'!AP90</f>
        <v>1931.6659886651478</v>
      </c>
      <c r="AQ90" s="41">
        <f>'[2]побудинковий звіт'!AQ90+'[1]побудинковий звіт'!AQ90</f>
        <v>1833.0800903825204</v>
      </c>
      <c r="AR90" s="55">
        <f t="shared" si="78"/>
        <v>-98.58589828262734</v>
      </c>
      <c r="AS90" s="41">
        <f>'[2]побудинковий звіт'!AS90+'[1]побудинковий звіт'!AS90</f>
        <v>40015.781183542786</v>
      </c>
      <c r="AT90" s="41">
        <f>'[2]побудинковий звіт'!AT90+'[1]побудинковий звіт'!AT90</f>
        <v>101930.92266971112</v>
      </c>
      <c r="AU90" s="57">
        <f t="shared" si="79"/>
        <v>61915.14148616833</v>
      </c>
      <c r="AV90" s="41">
        <f>'[2]побудинковий звіт'!AV90+'[1]побудинковий звіт'!AV90</f>
        <v>806.11748607304264</v>
      </c>
      <c r="AW90" s="41">
        <f>'[2]побудинковий звіт'!AW90+'[1]побудинковий звіт'!AW90</f>
        <v>356.5310496730479</v>
      </c>
      <c r="AX90" s="58">
        <f t="shared" si="80"/>
        <v>-449.58643639999474</v>
      </c>
      <c r="AY90" s="41">
        <f>'[2]побудинковий звіт'!AY90+'[1]побудинковий звіт'!AY90</f>
        <v>875.60948285038444</v>
      </c>
      <c r="AZ90" s="41">
        <f>'[2]побудинковий звіт'!AZ90+'[1]побудинковий звіт'!AZ90</f>
        <v>0</v>
      </c>
      <c r="BA90" s="36">
        <f t="shared" si="81"/>
        <v>-875.60948285038444</v>
      </c>
      <c r="BB90" s="41">
        <f>'[2]побудинковий звіт'!BB90+'[1]побудинковий звіт'!BB90</f>
        <v>1003.649297680429</v>
      </c>
      <c r="BC90" s="41">
        <f>'[2]побудинковий звіт'!BC90+'[1]побудинковий звіт'!BC90</f>
        <v>0</v>
      </c>
      <c r="BD90" s="58">
        <f t="shared" si="82"/>
        <v>-1003.649297680429</v>
      </c>
      <c r="BE90" s="41">
        <f>'[2]побудинковий звіт'!BE90+'[1]побудинковий звіт'!BE90</f>
        <v>520.69011419567187</v>
      </c>
      <c r="BF90" s="41">
        <f>'[2]побудинковий звіт'!BF90+'[1]побудинковий звіт'!BF90</f>
        <v>0</v>
      </c>
      <c r="BG90" s="38">
        <f t="shared" si="83"/>
        <v>-520.69011419567187</v>
      </c>
      <c r="BH90" s="41">
        <f>'[2]побудинковий звіт'!BH90+'[1]побудинковий звіт'!BH90</f>
        <v>221.05101469829924</v>
      </c>
      <c r="BI90" s="41">
        <f>'[2]побудинковий звіт'!BI90+'[1]побудинковий звіт'!BI90</f>
        <v>0</v>
      </c>
      <c r="BJ90" s="58">
        <f t="shared" si="84"/>
        <v>-221.05101469829924</v>
      </c>
      <c r="BK90" s="41">
        <f>'[2]побудинковий звіт'!BK90+'[1]побудинковий звіт'!BK90</f>
        <v>707.42121365668663</v>
      </c>
      <c r="BL90" s="41">
        <f>'[2]побудинковий звіт'!BL90+'[1]побудинковий звіт'!BL90</f>
        <v>0</v>
      </c>
      <c r="BM90" s="38">
        <f t="shared" si="85"/>
        <v>-707.42121365668663</v>
      </c>
      <c r="BN90" s="41">
        <f>'[2]побудинковий звіт'!BN90+'[1]побудинковий звіт'!BN90</f>
        <v>15.967772137599315</v>
      </c>
      <c r="BO90" s="41">
        <f>'[2]побудинковий звіт'!BO90+'[1]побудинковий звіт'!BO90</f>
        <v>2082.2614168294685</v>
      </c>
      <c r="BP90" s="58">
        <f t="shared" si="86"/>
        <v>2066.2936446918693</v>
      </c>
      <c r="BQ90" s="84">
        <f t="shared" si="87"/>
        <v>4150.5063812921126</v>
      </c>
      <c r="BR90" s="42">
        <f t="shared" si="88"/>
        <v>2438.7924665025166</v>
      </c>
      <c r="BS90" s="58">
        <f t="shared" si="89"/>
        <v>-1711.7139147895959</v>
      </c>
      <c r="BT90" s="41">
        <f>'[2]побудинковий звіт'!BT90+'[1]побудинковий звіт'!BT90</f>
        <v>36301.614486249127</v>
      </c>
      <c r="BU90" s="41">
        <f>'[2]побудинковий звіт'!BU90+'[1]побудинковий звіт'!BU90</f>
        <v>37002.767498471469</v>
      </c>
      <c r="BV90" s="55">
        <f t="shared" si="90"/>
        <v>701.1530122223412</v>
      </c>
      <c r="BW90" s="41">
        <f>'[2]побудинковий звіт'!BW90+'[1]побудинковий звіт'!BW90</f>
        <v>28164.223861053422</v>
      </c>
      <c r="BX90" s="41">
        <f>'[2]побудинковий звіт'!BX90+'[1]побудинковий звіт'!BX90</f>
        <v>26024.820243230781</v>
      </c>
      <c r="BY90" s="55">
        <f t="shared" si="91"/>
        <v>-2139.4036178226415</v>
      </c>
      <c r="BZ90" s="41">
        <f>'[2]побудинковий звіт'!BZ90+'[1]побудинковий звіт'!BZ90</f>
        <v>7461.5254445695837</v>
      </c>
      <c r="CA90" s="41">
        <f>'[2]побудинковий звіт'!CA90+'[1]побудинковий звіт'!CA90</f>
        <v>3419.6124002060155</v>
      </c>
      <c r="CB90" s="55">
        <f t="shared" si="92"/>
        <v>-4041.9130443635681</v>
      </c>
      <c r="CC90" s="41">
        <f>'[2]побудинковий звіт'!CC90+'[1]побудинковий звіт'!CC90</f>
        <v>876.37251781134182</v>
      </c>
      <c r="CD90" s="41">
        <f>'[2]побудинковий звіт'!CD90+'[1]побудинковий звіт'!CD90</f>
        <v>879.34419926543353</v>
      </c>
      <c r="CE90" s="55">
        <f t="shared" si="93"/>
        <v>2.9716814540917085</v>
      </c>
      <c r="CF90" s="41">
        <f>'[2]побудинковий звіт'!CF90+'[1]побудинковий звіт'!CF90</f>
        <v>108.57789687459723</v>
      </c>
      <c r="CG90" s="41">
        <f>'[2]побудинковий звіт'!CG90+'[1]побудинковий звіт'!CG90</f>
        <v>0</v>
      </c>
      <c r="CH90" s="55">
        <f t="shared" si="94"/>
        <v>-108.57789687459723</v>
      </c>
      <c r="CI90" s="41">
        <f>'[2]побудинковий звіт'!CI90+'[1]побудинковий звіт'!CI90</f>
        <v>9853.4138888920297</v>
      </c>
      <c r="CJ90" s="41">
        <f>'[2]побудинковий звіт'!CJ90+'[1]побудинковий звіт'!CJ90</f>
        <v>8835.9136872899035</v>
      </c>
      <c r="CK90" s="55">
        <f t="shared" si="95"/>
        <v>-1017.5002016021263</v>
      </c>
      <c r="CL90" s="41">
        <f>'[2]побудинковий звіт'!CL90+'[1]побудинковий звіт'!CL90</f>
        <v>6010.4518110862891</v>
      </c>
      <c r="CM90" s="41">
        <f>'[2]побудинковий звіт'!CM90+'[1]побудинковий звіт'!CM90</f>
        <v>16912.836106852519</v>
      </c>
      <c r="CN90" s="55">
        <f t="shared" si="96"/>
        <v>10902.384295766231</v>
      </c>
      <c r="CO90" s="41">
        <f t="shared" si="97"/>
        <v>15863.86569997832</v>
      </c>
      <c r="CP90" s="42">
        <f t="shared" si="98"/>
        <v>25748.749794142423</v>
      </c>
      <c r="CQ90" s="55">
        <f t="shared" si="99"/>
        <v>9884.8840941641029</v>
      </c>
      <c r="CR90" s="76">
        <f t="shared" si="100"/>
        <v>187768.62502838444</v>
      </c>
      <c r="CS90" s="5">
        <f t="shared" si="101"/>
        <v>251579.06480552303</v>
      </c>
      <c r="CT90" s="55">
        <f t="shared" si="102"/>
        <v>63810.439777138585</v>
      </c>
      <c r="CU90" s="84">
        <f t="shared" si="103"/>
        <v>225322.35003406132</v>
      </c>
      <c r="CV90" s="68">
        <f t="shared" si="104"/>
        <v>301894.87776662764</v>
      </c>
      <c r="CW90" s="36">
        <f t="shared" si="105"/>
        <v>76572.527732566319</v>
      </c>
      <c r="CX90" s="41">
        <f>'[2]побудинковий звіт'!CX90+'[1]побудинковий звіт'!CX90</f>
        <v>3174.6153093285557</v>
      </c>
      <c r="CY90" s="41">
        <f>'[2]побудинковий звіт'!CY90+'[1]побудинковий звіт'!CY90</f>
        <v>-73397.912423237722</v>
      </c>
      <c r="CZ90" s="55">
        <f t="shared" si="106"/>
        <v>-76572.527732566276</v>
      </c>
      <c r="DA90" s="254">
        <f>'[1]побудинковий звіт'!DA90</f>
        <v>65426.063142402098</v>
      </c>
      <c r="DB90" s="2">
        <v>2</v>
      </c>
      <c r="DC90" s="702">
        <f>'[1]побудинковий звіт'!DC90</f>
        <v>35799.980000000003</v>
      </c>
      <c r="DD90" s="702">
        <f>'[1]побудинковий звіт'!DD90</f>
        <v>1186</v>
      </c>
      <c r="DE90" s="702">
        <f>'[1]побудинковий звіт'!DE90</f>
        <v>11005.780000000002</v>
      </c>
      <c r="DF90" s="702">
        <f>'[1]побудинковий звіт'!DF90</f>
        <v>822.22</v>
      </c>
      <c r="DG90" s="772">
        <v>37031.884033127688</v>
      </c>
      <c r="DH90" s="746">
        <f t="shared" si="107"/>
        <v>2741963.5841206787</v>
      </c>
      <c r="DI90" s="769"/>
      <c r="DJ90" s="5"/>
      <c r="DK90" s="307">
        <f>VLOOKUP($A90,ціни!$A$4:$G$401,5)</f>
        <v>5.7581864649161858</v>
      </c>
      <c r="DL90" s="307">
        <f>VLOOKUP($A90,ціни!$A$4:$G$401,6)</f>
        <v>6.7581178773099033</v>
      </c>
      <c r="DM90" s="307">
        <f>VLOOKUP($A90,ціни!$A$4:$G$401,7)</f>
        <v>4.7370028337625154</v>
      </c>
      <c r="DN90" s="29">
        <f>DK90*G90+(F90-G90)*DL90</f>
        <v>17602.333979883682</v>
      </c>
      <c r="DO90" s="29">
        <f>DM90*H90</f>
        <v>288.48347257613716</v>
      </c>
      <c r="DP90" s="306">
        <f t="shared" si="108"/>
        <v>17890.817452459818</v>
      </c>
      <c r="DQ90" s="101"/>
      <c r="DR90" s="29">
        <f>VLOOKUP(A90,'ДЗ нас '!$A$1:$C$359,2)</f>
        <v>17602.28</v>
      </c>
      <c r="DS90" s="733">
        <f>VLOOKUP(A90,'ДЗ нежит'!$A$1:$D$153,4,0)</f>
        <v>288.48</v>
      </c>
      <c r="DT90" s="29">
        <f t="shared" si="109"/>
        <v>17890.759999999998</v>
      </c>
      <c r="DU90" s="247">
        <f>VLOOKUP(A90,'новий кошторис с 01.06'!$A$4:$AI$399,35)*1.2</f>
        <v>17908.619260870226</v>
      </c>
      <c r="DV90" s="29">
        <f t="shared" si="110"/>
        <v>-17.859260870227445</v>
      </c>
      <c r="DW90" s="1016">
        <f>'[2]побудинковий звіт'!$DW$9+'[1]побудинковий звіт'!DW90</f>
        <v>1062</v>
      </c>
      <c r="DX90" s="101">
        <f>'[1]побудинковий звіт'!DX90</f>
        <v>0</v>
      </c>
      <c r="DY90" s="5">
        <f t="shared" si="111"/>
        <v>52999.545077801879</v>
      </c>
      <c r="DZ90" s="5">
        <f t="shared" si="112"/>
        <v>125243.65816345636</v>
      </c>
      <c r="EA90" s="737">
        <f t="shared" si="113"/>
        <v>11828.000000000002</v>
      </c>
      <c r="EC90" s="577">
        <f t="shared" si="114"/>
        <v>480189.37420251343</v>
      </c>
      <c r="EE90" s="743">
        <v>-5097</v>
      </c>
      <c r="EF90" s="723">
        <f t="shared" si="115"/>
        <v>31934.884033127688</v>
      </c>
      <c r="EH90" s="798">
        <v>18242.231853711244</v>
      </c>
      <c r="EI90" s="101">
        <f>VLOOKUP(A90,'кошти 01.01.24'!$A$9:$D$352,4,FALSE)</f>
        <v>-11146.464590164247</v>
      </c>
    </row>
    <row r="91" spans="1:139" hidden="1" x14ac:dyDescent="0.3">
      <c r="A91" s="318">
        <v>150000521</v>
      </c>
      <c r="B91" s="43" t="s">
        <v>512</v>
      </c>
      <c r="C91" s="44" t="s">
        <v>252</v>
      </c>
      <c r="D91" s="44" t="s">
        <v>252</v>
      </c>
      <c r="E91" s="39">
        <f t="shared" si="64"/>
        <v>1940</v>
      </c>
      <c r="F91" s="205">
        <f>'[1]побудинковий звіт'!F91</f>
        <v>1556.6</v>
      </c>
      <c r="G91" s="29">
        <f>'[1]побудинковий звіт'!G91</f>
        <v>0</v>
      </c>
      <c r="H91" s="148">
        <f>'[1]побудинковий звіт'!H91</f>
        <v>383.40000000000003</v>
      </c>
      <c r="I91" s="41">
        <f>'[2]побудинковий звіт'!I91+'[1]побудинковий звіт'!I91</f>
        <v>5753.3213067680408</v>
      </c>
      <c r="J91" s="41">
        <f>'[2]побудинковий звіт'!J91+'[1]побудинковий звіт'!J91</f>
        <v>5933.1568779511144</v>
      </c>
      <c r="K91" s="55">
        <f t="shared" si="65"/>
        <v>179.83557118307363</v>
      </c>
      <c r="L91" s="41">
        <f>'[2]побудинковий звіт'!L91+'[1]побудинковий звіт'!L91</f>
        <v>1243.3891155027882</v>
      </c>
      <c r="M91" s="41">
        <f>'[2]побудинковий звіт'!M91+'[1]побудинковий звіт'!M91</f>
        <v>1307.4840498871181</v>
      </c>
      <c r="N91" s="55">
        <f t="shared" si="66"/>
        <v>64.094934384329918</v>
      </c>
      <c r="O91" s="41">
        <f>'[2]побудинковий звіт'!O91+'[1]побудинковий звіт'!O91</f>
        <v>2809.2308329301236</v>
      </c>
      <c r="P91" s="41">
        <f>'[2]побудинковий звіт'!P91+'[1]побудинковий звіт'!P91</f>
        <v>2817.2477188738148</v>
      </c>
      <c r="Q91" s="55">
        <f t="shared" si="67"/>
        <v>8.0168859436912498</v>
      </c>
      <c r="R91" s="41">
        <f>'[2]побудинковий звіт'!R91+'[1]побудинковий звіт'!R91</f>
        <v>0</v>
      </c>
      <c r="S91" s="41">
        <f>'[2]побудинковий звіт'!S91+'[1]побудинковий звіт'!S91</f>
        <v>0</v>
      </c>
      <c r="T91" s="55">
        <f t="shared" si="68"/>
        <v>0</v>
      </c>
      <c r="U91" s="41">
        <f>'[2]побудинковий звіт'!U91+'[1]побудинковий звіт'!U91</f>
        <v>140.32647418906288</v>
      </c>
      <c r="V91" s="41">
        <f>'[2]побудинковий звіт'!V91+'[1]побудинковий звіт'!V91</f>
        <v>80.958443147995155</v>
      </c>
      <c r="W91" s="55">
        <f t="shared" si="69"/>
        <v>-59.368031041067724</v>
      </c>
      <c r="X91" s="41">
        <f>'[2]побудинковий звіт'!X91+'[1]побудинковий звіт'!X91</f>
        <v>3504.4135547679903</v>
      </c>
      <c r="Y91" s="41">
        <f>'[2]побудинковий звіт'!Y91+'[1]побудинковий звіт'!Y91</f>
        <v>3244.0894386522532</v>
      </c>
      <c r="Z91" s="55">
        <f t="shared" si="70"/>
        <v>-260.32411611573707</v>
      </c>
      <c r="AA91" s="41">
        <f>'[2]побудинковий звіт'!AA91+'[1]побудинковий звіт'!AA91</f>
        <v>0</v>
      </c>
      <c r="AB91" s="41">
        <f>'[2]побудинковий звіт'!AB91+'[1]побудинковий звіт'!AB91</f>
        <v>0</v>
      </c>
      <c r="AC91" s="55">
        <f t="shared" si="71"/>
        <v>0</v>
      </c>
      <c r="AD91" s="41">
        <f>'[2]побудинковий звіт'!AD91+'[1]побудинковий звіт'!AD91</f>
        <v>8130.7981981033472</v>
      </c>
      <c r="AE91" s="41">
        <f>'[2]побудинковий звіт'!AE91+'[1]побудинковий звіт'!AE91</f>
        <v>8381.6597777498719</v>
      </c>
      <c r="AF91" s="36">
        <f t="shared" si="72"/>
        <v>250.86157964652466</v>
      </c>
      <c r="AG91" s="84">
        <f t="shared" si="73"/>
        <v>21581.479482261355</v>
      </c>
      <c r="AH91" s="56">
        <f t="shared" si="74"/>
        <v>21764.596306262167</v>
      </c>
      <c r="AI91" s="55">
        <f t="shared" si="75"/>
        <v>183.1168240008119</v>
      </c>
      <c r="AJ91" s="41">
        <f>'[2]побудинковий звіт'!AJ91+'[1]побудинковий звіт'!AJ91</f>
        <v>0</v>
      </c>
      <c r="AK91" s="41">
        <f>'[2]побудинковий звіт'!AK91+'[1]побудинковий звіт'!AK91</f>
        <v>0</v>
      </c>
      <c r="AL91" s="55">
        <f t="shared" si="76"/>
        <v>0</v>
      </c>
      <c r="AM91" s="41">
        <f>'[2]побудинковий звіт'!AM91+'[1]побудинковий звіт'!AM91</f>
        <v>0</v>
      </c>
      <c r="AN91" s="41">
        <f>'[2]побудинковий звіт'!AN91+'[1]побудинковий звіт'!AN91</f>
        <v>0</v>
      </c>
      <c r="AO91" s="55">
        <f t="shared" si="77"/>
        <v>0</v>
      </c>
      <c r="AP91" s="41">
        <f>'[2]побудинковий звіт'!AP91+'[1]побудинковий звіт'!AP91</f>
        <v>3697.0250981095433</v>
      </c>
      <c r="AQ91" s="41">
        <f>'[2]побудинковий звіт'!AQ91+'[1]побудинковий звіт'!AQ91</f>
        <v>5265.9850474665127</v>
      </c>
      <c r="AR91" s="55">
        <f t="shared" si="78"/>
        <v>1568.9599493569694</v>
      </c>
      <c r="AS91" s="41">
        <f>'[2]побудинковий звіт'!AS91+'[1]побудинковий звіт'!AS91</f>
        <v>24044.684396513847</v>
      </c>
      <c r="AT91" s="41">
        <f>'[2]побудинковий звіт'!AT91+'[1]побудинковий звіт'!AT91</f>
        <v>13278.231661375376</v>
      </c>
      <c r="AU91" s="57">
        <f t="shared" si="79"/>
        <v>-10766.452735138471</v>
      </c>
      <c r="AV91" s="41">
        <f>'[2]побудинковий звіт'!AV91+'[1]побудинковий звіт'!AV91</f>
        <v>930.89462008434214</v>
      </c>
      <c r="AW91" s="41">
        <f>'[2]побудинковий звіт'!AW91+'[1]побудинковий звіт'!AW91</f>
        <v>0</v>
      </c>
      <c r="AX91" s="58">
        <f t="shared" si="80"/>
        <v>-930.89462008434214</v>
      </c>
      <c r="AY91" s="41">
        <f>'[2]побудинковий звіт'!AY91+'[1]побудинковий звіт'!AY91</f>
        <v>1552.1316067770283</v>
      </c>
      <c r="AZ91" s="41">
        <f>'[2]побудинковий звіт'!AZ91+'[1]побудинковий звіт'!AZ91</f>
        <v>0</v>
      </c>
      <c r="BA91" s="36">
        <f t="shared" si="81"/>
        <v>-1552.1316067770283</v>
      </c>
      <c r="BB91" s="41">
        <f>'[2]побудинковий звіт'!BB91+'[1]побудинковий звіт'!BB91</f>
        <v>1232.5769630755547</v>
      </c>
      <c r="BC91" s="41">
        <f>'[2]побудинковий звіт'!BC91+'[1]побудинковий звіт'!BC91</f>
        <v>0</v>
      </c>
      <c r="BD91" s="58">
        <f t="shared" si="82"/>
        <v>-1232.5769630755547</v>
      </c>
      <c r="BE91" s="41">
        <f>'[2]побудинковий звіт'!BE91+'[1]побудинковий звіт'!BE91</f>
        <v>0</v>
      </c>
      <c r="BF91" s="41">
        <f>'[2]побудинковий звіт'!BF91+'[1]побудинковий звіт'!BF91</f>
        <v>0</v>
      </c>
      <c r="BG91" s="38">
        <f t="shared" si="83"/>
        <v>0</v>
      </c>
      <c r="BH91" s="41">
        <f>'[2]побудинковий звіт'!BH91+'[1]побудинковий звіт'!BH91</f>
        <v>82.704815978574771</v>
      </c>
      <c r="BI91" s="41">
        <f>'[2]побудинковий звіт'!BI91+'[1]побудинковий звіт'!BI91</f>
        <v>148.16961909976442</v>
      </c>
      <c r="BJ91" s="58">
        <f t="shared" si="84"/>
        <v>65.464803121189647</v>
      </c>
      <c r="BK91" s="41">
        <f>'[2]побудинковий звіт'!BK91+'[1]побудинковий звіт'!BK91</f>
        <v>534.72548735569819</v>
      </c>
      <c r="BL91" s="41">
        <f>'[2]побудинковий звіт'!BL91+'[1]побудинковий звіт'!BL91</f>
        <v>0</v>
      </c>
      <c r="BM91" s="38">
        <f t="shared" si="85"/>
        <v>-534.72548735569819</v>
      </c>
      <c r="BN91" s="41">
        <f>'[2]побудинковий звіт'!BN91+'[1]побудинковий звіт'!BN91</f>
        <v>38.805764507289481</v>
      </c>
      <c r="BO91" s="41">
        <f>'[2]побудинковий звіт'!BO91+'[1]побудинковий звіт'!BO91</f>
        <v>0</v>
      </c>
      <c r="BP91" s="58">
        <f t="shared" si="86"/>
        <v>-38.805764507289481</v>
      </c>
      <c r="BQ91" s="84">
        <f t="shared" si="87"/>
        <v>4371.839257778488</v>
      </c>
      <c r="BR91" s="42">
        <f t="shared" si="88"/>
        <v>148.16961909976442</v>
      </c>
      <c r="BS91" s="58">
        <f t="shared" si="89"/>
        <v>-4223.6696386787235</v>
      </c>
      <c r="BT91" s="41">
        <f>'[2]побудинковий звіт'!BT91+'[1]побудинковий звіт'!BT91</f>
        <v>26935.866897699256</v>
      </c>
      <c r="BU91" s="41">
        <f>'[2]побудинковий звіт'!BU91+'[1]побудинковий звіт'!BU91</f>
        <v>38215.068546212191</v>
      </c>
      <c r="BV91" s="55">
        <f t="shared" si="90"/>
        <v>11279.201648512935</v>
      </c>
      <c r="BW91" s="41">
        <f>'[2]побудинковий звіт'!BW91+'[1]побудинковий звіт'!BW91</f>
        <v>8133.3814753189718</v>
      </c>
      <c r="BX91" s="41">
        <f>'[2]побудинковий звіт'!BX91+'[1]побудинковий звіт'!BX91</f>
        <v>9954.411407398864</v>
      </c>
      <c r="BY91" s="55">
        <f t="shared" si="91"/>
        <v>1821.0299320798922</v>
      </c>
      <c r="BZ91" s="41">
        <f>'[2]побудинковий звіт'!BZ91+'[1]побудинковий звіт'!BZ91</f>
        <v>7231.906111376331</v>
      </c>
      <c r="CA91" s="41">
        <f>'[2]побудинковий звіт'!CA91+'[1]побудинковий звіт'!CA91</f>
        <v>3921.0675650992844</v>
      </c>
      <c r="CB91" s="55">
        <f t="shared" si="92"/>
        <v>-3310.8385462770466</v>
      </c>
      <c r="CC91" s="41">
        <f>'[2]побудинковий звіт'!CC91+'[1]побудинковий звіт'!CC91</f>
        <v>821.4083877743933</v>
      </c>
      <c r="CD91" s="41">
        <f>'[2]побудинковий звіт'!CD91+'[1]побудинковий звіт'!CD91</f>
        <v>824.19369199443065</v>
      </c>
      <c r="CE91" s="55">
        <f t="shared" si="93"/>
        <v>2.7853042200373466</v>
      </c>
      <c r="CF91" s="41">
        <f>'[2]побудинковий звіт'!CF91+'[1]побудинковий звіт'!CF91</f>
        <v>101.76813330754931</v>
      </c>
      <c r="CG91" s="41">
        <f>'[2]побудинковий звіт'!CG91+'[1]побудинковий звіт'!CG91</f>
        <v>0</v>
      </c>
      <c r="CH91" s="55">
        <f t="shared" si="94"/>
        <v>-101.76813330754931</v>
      </c>
      <c r="CI91" s="41">
        <f>'[2]побудинковий звіт'!CI91+'[1]побудинковий звіт'!CI91</f>
        <v>4597.4302051198847</v>
      </c>
      <c r="CJ91" s="41">
        <f>'[2]побудинковий звіт'!CJ91+'[1]побудинковий звіт'!CJ91</f>
        <v>2847.8956020736468</v>
      </c>
      <c r="CK91" s="55">
        <f t="shared" si="95"/>
        <v>-1749.5346030462379</v>
      </c>
      <c r="CL91" s="41">
        <f>'[2]побудинковий звіт'!CL91+'[1]побудинковий звіт'!CL91</f>
        <v>0</v>
      </c>
      <c r="CM91" s="41">
        <f>'[2]побудинковий звіт'!CM91+'[1]побудинковий звіт'!CM91</f>
        <v>0</v>
      </c>
      <c r="CN91" s="55">
        <f t="shared" si="96"/>
        <v>0</v>
      </c>
      <c r="CO91" s="41">
        <f t="shared" si="97"/>
        <v>4597.4302051198847</v>
      </c>
      <c r="CP91" s="42">
        <f t="shared" si="98"/>
        <v>2847.8956020736468</v>
      </c>
      <c r="CQ91" s="55">
        <f t="shared" si="99"/>
        <v>-1749.5346030462379</v>
      </c>
      <c r="CR91" s="76">
        <f t="shared" si="100"/>
        <v>101516.78944525962</v>
      </c>
      <c r="CS91" s="5">
        <f t="shared" si="101"/>
        <v>96219.619446982222</v>
      </c>
      <c r="CT91" s="55">
        <f t="shared" si="102"/>
        <v>-5297.1699982774007</v>
      </c>
      <c r="CU91" s="84">
        <f t="shared" si="103"/>
        <v>121820.14733431154</v>
      </c>
      <c r="CV91" s="68">
        <f t="shared" si="104"/>
        <v>115463.54333637866</v>
      </c>
      <c r="CW91" s="36">
        <f t="shared" si="105"/>
        <v>-6356.603997932878</v>
      </c>
      <c r="CX91" s="41">
        <f>'[2]побудинковий звіт'!CX91+'[1]побудинковий звіт'!CX91</f>
        <v>7026.9219249458956</v>
      </c>
      <c r="CY91" s="41">
        <f>'[2]побудинковий звіт'!CY91+'[1]побудинковий звіт'!CY91</f>
        <v>13383.525922878753</v>
      </c>
      <c r="CZ91" s="55">
        <f t="shared" si="106"/>
        <v>6356.6039979328571</v>
      </c>
      <c r="DA91" s="254">
        <f>'[1]побудинковий звіт'!DA91</f>
        <v>-22480.318142040931</v>
      </c>
      <c r="DB91" s="2">
        <v>2</v>
      </c>
      <c r="DC91" s="702">
        <f>'[1]побудинковий звіт'!DC91</f>
        <v>10604.4</v>
      </c>
      <c r="DD91" s="702">
        <f>'[1]побудинковий звіт'!DD91</f>
        <v>16200.519999999999</v>
      </c>
      <c r="DE91" s="702">
        <f>'[1]побудинковий звіт'!DE91</f>
        <v>-922.51000000000022</v>
      </c>
      <c r="DF91" s="702">
        <f>'[1]побудинковий звіт'!DF91</f>
        <v>13636.489999999998</v>
      </c>
      <c r="DG91" s="772">
        <v>12081.177317802503</v>
      </c>
      <c r="DH91" s="746">
        <f t="shared" si="107"/>
        <v>1546164.8311110893</v>
      </c>
      <c r="DI91" s="769"/>
      <c r="DJ91" s="5"/>
      <c r="DK91" s="307">
        <f>VLOOKUP($A91,ціни!$A$4:$G$401,5)</f>
        <v>5.3086850710747431</v>
      </c>
      <c r="DL91" s="307"/>
      <c r="DM91" s="307">
        <f>VLOOKUP($A91,ціни!$A$4:$G$401,7)</f>
        <v>4.8066002419498535</v>
      </c>
      <c r="DN91" s="29">
        <f>F91*DK91</f>
        <v>8263.4991816349448</v>
      </c>
      <c r="DO91" s="29">
        <f>H91*DM91</f>
        <v>1842.8505327635739</v>
      </c>
      <c r="DP91" s="306">
        <f t="shared" si="108"/>
        <v>10106.349714398519</v>
      </c>
      <c r="DQ91" s="101"/>
      <c r="DR91" s="29">
        <f>VLOOKUP(A91,'ДЗ нас '!$A$1:$C$359,2)</f>
        <v>8263.52</v>
      </c>
      <c r="DS91" s="733">
        <f>VLOOKUP(A91,'ДЗ нежит'!$A$1:$D$153,4,0)</f>
        <v>1842.8400000000001</v>
      </c>
      <c r="DT91" s="29">
        <f t="shared" si="109"/>
        <v>10106.36</v>
      </c>
      <c r="DU91" s="247">
        <f>VLOOKUP(A91,'новий кошторис с 01.06'!$A$4:$AI$399,35)*1.2</f>
        <v>9765.7370255890783</v>
      </c>
      <c r="DV91" s="29">
        <f t="shared" si="110"/>
        <v>340.62297441092232</v>
      </c>
      <c r="DW91" s="1016">
        <f>'[2]побудинковий звіт'!$DW$9+'[1]побудинковий звіт'!DW91</f>
        <v>1062</v>
      </c>
      <c r="DX91" s="101">
        <f>'[1]побудинковий звіт'!DX91</f>
        <v>0</v>
      </c>
      <c r="DY91" s="5">
        <f t="shared" si="111"/>
        <v>34099.828385150802</v>
      </c>
      <c r="DZ91" s="5">
        <f t="shared" si="112"/>
        <v>16111.681536570168</v>
      </c>
      <c r="EA91" s="737">
        <f t="shared" si="113"/>
        <v>12713.979999999998</v>
      </c>
      <c r="EC91" s="577">
        <f t="shared" si="114"/>
        <v>288536.21275816613</v>
      </c>
      <c r="EE91" s="743">
        <v>12158</v>
      </c>
      <c r="EF91" s="723">
        <f t="shared" si="115"/>
        <v>24239.177317802503</v>
      </c>
      <c r="EH91" s="798">
        <v>-163.0506232688258</v>
      </c>
      <c r="EI91" s="101">
        <f>VLOOKUP(A91,'кошти 01.01.24'!$A$9:$D$352,4,FALSE)</f>
        <v>-16123.714144108086</v>
      </c>
    </row>
    <row r="92" spans="1:139" hidden="1" x14ac:dyDescent="0.3">
      <c r="A92" s="318">
        <v>150000523</v>
      </c>
      <c r="B92" s="43" t="s">
        <v>514</v>
      </c>
      <c r="C92" s="44" t="s">
        <v>57</v>
      </c>
      <c r="D92" s="44" t="s">
        <v>57</v>
      </c>
      <c r="E92" s="39">
        <f t="shared" si="64"/>
        <v>300.7</v>
      </c>
      <c r="F92" s="205">
        <f>'[1]побудинковий звіт'!F92</f>
        <v>300.7</v>
      </c>
      <c r="G92" s="29">
        <f>'[1]побудинковий звіт'!G92</f>
        <v>0</v>
      </c>
      <c r="H92" s="148">
        <f>'[1]побудинковий звіт'!H92</f>
        <v>0</v>
      </c>
      <c r="I92" s="41">
        <f>'[2]побудинковий звіт'!I92+'[1]побудинковий звіт'!I92</f>
        <v>0</v>
      </c>
      <c r="J92" s="41">
        <f>'[2]побудинковий звіт'!J92+'[1]побудинковий звіт'!J92</f>
        <v>0</v>
      </c>
      <c r="K92" s="55">
        <f t="shared" si="65"/>
        <v>0</v>
      </c>
      <c r="L92" s="41">
        <f>'[2]побудинковий звіт'!L92+'[1]побудинковий звіт'!L92</f>
        <v>0</v>
      </c>
      <c r="M92" s="41">
        <f>'[2]побудинковий звіт'!M92+'[1]побудинковий звіт'!M92</f>
        <v>0</v>
      </c>
      <c r="N92" s="55">
        <f t="shared" si="66"/>
        <v>0</v>
      </c>
      <c r="O92" s="41">
        <f>'[2]побудинковий звіт'!O92+'[1]побудинковий звіт'!O92</f>
        <v>0</v>
      </c>
      <c r="P92" s="41">
        <f>'[2]побудинковий звіт'!P92+'[1]побудинковий звіт'!P92</f>
        <v>0</v>
      </c>
      <c r="Q92" s="55">
        <f t="shared" si="67"/>
        <v>0</v>
      </c>
      <c r="R92" s="41">
        <f>'[2]побудинковий звіт'!R92+'[1]побудинковий звіт'!R92</f>
        <v>0</v>
      </c>
      <c r="S92" s="41">
        <f>'[2]побудинковий звіт'!S92+'[1]побудинковий звіт'!S92</f>
        <v>0</v>
      </c>
      <c r="T92" s="55">
        <f t="shared" si="68"/>
        <v>0</v>
      </c>
      <c r="U92" s="41">
        <f>'[2]побудинковий звіт'!U92+'[1]побудинковий звіт'!U92</f>
        <v>0</v>
      </c>
      <c r="V92" s="41">
        <f>'[2]побудинковий звіт'!V92+'[1]побудинковий звіт'!V92</f>
        <v>0</v>
      </c>
      <c r="W92" s="55">
        <f t="shared" si="69"/>
        <v>0</v>
      </c>
      <c r="X92" s="41">
        <f>'[2]побудинковий звіт'!X92+'[1]побудинковий звіт'!X92</f>
        <v>0</v>
      </c>
      <c r="Y92" s="41">
        <f>'[2]побудинковий звіт'!Y92+'[1]побудинковий звіт'!Y92</f>
        <v>0</v>
      </c>
      <c r="Z92" s="55">
        <f t="shared" si="70"/>
        <v>0</v>
      </c>
      <c r="AA92" s="41">
        <f>'[2]побудинковий звіт'!AA92+'[1]побудинковий звіт'!AA92</f>
        <v>0</v>
      </c>
      <c r="AB92" s="41">
        <f>'[2]побудинковий звіт'!AB92+'[1]побудинковий звіт'!AB92</f>
        <v>0</v>
      </c>
      <c r="AC92" s="55">
        <f t="shared" si="71"/>
        <v>0</v>
      </c>
      <c r="AD92" s="41">
        <f>'[2]побудинковий звіт'!AD92+'[1]побудинковий звіт'!AD92</f>
        <v>0</v>
      </c>
      <c r="AE92" s="41">
        <f>'[2]побудинковий звіт'!AE92+'[1]побудинковий звіт'!AE92</f>
        <v>0</v>
      </c>
      <c r="AF92" s="36">
        <f t="shared" si="72"/>
        <v>0</v>
      </c>
      <c r="AG92" s="84">
        <f t="shared" si="73"/>
        <v>0</v>
      </c>
      <c r="AH92" s="56">
        <f t="shared" si="74"/>
        <v>0</v>
      </c>
      <c r="AI92" s="55">
        <f t="shared" si="75"/>
        <v>0</v>
      </c>
      <c r="AJ92" s="41">
        <f>'[2]побудинковий звіт'!AJ92+'[1]побудинковий звіт'!AJ92</f>
        <v>0</v>
      </c>
      <c r="AK92" s="41">
        <f>'[2]побудинковий звіт'!AK92+'[1]побудинковий звіт'!AK92</f>
        <v>0</v>
      </c>
      <c r="AL92" s="55">
        <f t="shared" si="76"/>
        <v>0</v>
      </c>
      <c r="AM92" s="41">
        <f>'[2]побудинковий звіт'!AM92+'[1]побудинковий звіт'!AM92</f>
        <v>0</v>
      </c>
      <c r="AN92" s="41">
        <f>'[2]побудинковий звіт'!AN92+'[1]побудинковий звіт'!AN92</f>
        <v>0</v>
      </c>
      <c r="AO92" s="55">
        <f t="shared" si="77"/>
        <v>0</v>
      </c>
      <c r="AP92" s="41">
        <f>'[2]побудинковий звіт'!AP92+'[1]побудинковий звіт'!AP92</f>
        <v>357.57749965849302</v>
      </c>
      <c r="AQ92" s="41">
        <f>'[2]побудинковий звіт'!AQ92+'[1]побудинковий звіт'!AQ92</f>
        <v>138.99248402169556</v>
      </c>
      <c r="AR92" s="55">
        <f t="shared" si="78"/>
        <v>-218.58501563679746</v>
      </c>
      <c r="AS92" s="41">
        <f>'[2]побудинковий звіт'!AS92+'[1]побудинковий звіт'!AS92</f>
        <v>4324.8993794132557</v>
      </c>
      <c r="AT92" s="41">
        <f>'[2]побудинковий звіт'!AT92+'[1]побудинковий звіт'!AT92</f>
        <v>0</v>
      </c>
      <c r="AU92" s="57">
        <f t="shared" si="79"/>
        <v>-4324.8993794132557</v>
      </c>
      <c r="AV92" s="41">
        <f>'[2]побудинковий звіт'!AV92+'[1]побудинковий звіт'!AV92</f>
        <v>0</v>
      </c>
      <c r="AW92" s="41">
        <f>'[2]побудинковий звіт'!AW92+'[1]побудинковий звіт'!AW92</f>
        <v>0</v>
      </c>
      <c r="AX92" s="58">
        <f t="shared" si="80"/>
        <v>0</v>
      </c>
      <c r="AY92" s="41">
        <f>'[2]побудинковий звіт'!AY92+'[1]побудинковий звіт'!AY92</f>
        <v>0</v>
      </c>
      <c r="AZ92" s="41">
        <f>'[2]побудинковий звіт'!AZ92+'[1]побудинковий звіт'!AZ92</f>
        <v>0</v>
      </c>
      <c r="BA92" s="36">
        <f t="shared" si="81"/>
        <v>0</v>
      </c>
      <c r="BB92" s="41">
        <f>'[2]побудинковий звіт'!BB92+'[1]побудинковий звіт'!BB92</f>
        <v>0</v>
      </c>
      <c r="BC92" s="41">
        <f>'[2]побудинковий звіт'!BC92+'[1]побудинковий звіт'!BC92</f>
        <v>0</v>
      </c>
      <c r="BD92" s="58">
        <f t="shared" si="82"/>
        <v>0</v>
      </c>
      <c r="BE92" s="41">
        <f>'[2]побудинковий звіт'!BE92+'[1]побудинковий звіт'!BE92</f>
        <v>0</v>
      </c>
      <c r="BF92" s="41">
        <f>'[2]побудинковий звіт'!BF92+'[1]побудинковий звіт'!BF92</f>
        <v>0</v>
      </c>
      <c r="BG92" s="38">
        <f t="shared" si="83"/>
        <v>0</v>
      </c>
      <c r="BH92" s="41">
        <f>'[2]побудинковий звіт'!BH92+'[1]побудинковий звіт'!BH92</f>
        <v>0</v>
      </c>
      <c r="BI92" s="41">
        <f>'[2]побудинковий звіт'!BI92+'[1]побудинковий звіт'!BI92</f>
        <v>0</v>
      </c>
      <c r="BJ92" s="58">
        <f t="shared" si="84"/>
        <v>0</v>
      </c>
      <c r="BK92" s="41">
        <f>'[2]побудинковий звіт'!BK92+'[1]побудинковий звіт'!BK92</f>
        <v>0</v>
      </c>
      <c r="BL92" s="41">
        <f>'[2]побудинковий звіт'!BL92+'[1]побудинковий звіт'!BL92</f>
        <v>0</v>
      </c>
      <c r="BM92" s="38">
        <f t="shared" si="85"/>
        <v>0</v>
      </c>
      <c r="BN92" s="41">
        <f>'[2]побудинковий звіт'!BN92+'[1]побудинковий звіт'!BN92</f>
        <v>0</v>
      </c>
      <c r="BO92" s="41">
        <f>'[2]побудинковий звіт'!BO92+'[1]побудинковий звіт'!BO92</f>
        <v>0</v>
      </c>
      <c r="BP92" s="58">
        <f t="shared" si="86"/>
        <v>0</v>
      </c>
      <c r="BQ92" s="84">
        <f t="shared" si="87"/>
        <v>0</v>
      </c>
      <c r="BR92" s="42">
        <f t="shared" si="88"/>
        <v>0</v>
      </c>
      <c r="BS92" s="58">
        <f t="shared" si="89"/>
        <v>0</v>
      </c>
      <c r="BT92" s="41">
        <f>'[2]побудинковий звіт'!BT92+'[1]побудинковий звіт'!BT92</f>
        <v>0</v>
      </c>
      <c r="BU92" s="41">
        <f>'[2]побудинковий звіт'!BU92+'[1]побудинковий звіт'!BU92</f>
        <v>0</v>
      </c>
      <c r="BV92" s="55">
        <f t="shared" si="90"/>
        <v>0</v>
      </c>
      <c r="BW92" s="41">
        <f>'[2]побудинковий звіт'!BW92+'[1]побудинковий звіт'!BW92</f>
        <v>0</v>
      </c>
      <c r="BX92" s="41">
        <f>'[2]побудинковий звіт'!BX92+'[1]побудинковий звіт'!BX92</f>
        <v>1.2239368612884731</v>
      </c>
      <c r="BY92" s="55">
        <f t="shared" si="91"/>
        <v>1.2239368612884731</v>
      </c>
      <c r="BZ92" s="41">
        <f>'[2]побудинковий звіт'!BZ92+'[1]побудинковий звіт'!BZ92</f>
        <v>0</v>
      </c>
      <c r="CA92" s="41">
        <f>'[2]побудинковий звіт'!CA92+'[1]побудинковий звіт'!CA92</f>
        <v>0</v>
      </c>
      <c r="CB92" s="55">
        <f t="shared" si="92"/>
        <v>0</v>
      </c>
      <c r="CC92" s="41">
        <f>'[2]побудинковий звіт'!CC92+'[1]побудинковий звіт'!CC92</f>
        <v>0</v>
      </c>
      <c r="CD92" s="41">
        <f>'[2]побудинковий звіт'!CD92+'[1]побудинковий звіт'!CD92</f>
        <v>0</v>
      </c>
      <c r="CE92" s="55">
        <f t="shared" si="93"/>
        <v>0</v>
      </c>
      <c r="CF92" s="41">
        <f>'[2]побудинковий звіт'!CF92+'[1]побудинковий звіт'!CF92</f>
        <v>0</v>
      </c>
      <c r="CG92" s="41">
        <f>'[2]побудинковий звіт'!CG92+'[1]побудинковий звіт'!CG92</f>
        <v>0</v>
      </c>
      <c r="CH92" s="55">
        <f t="shared" si="94"/>
        <v>0</v>
      </c>
      <c r="CI92" s="41">
        <f>'[2]побудинковий звіт'!CI92+'[1]побудинковий звіт'!CI92</f>
        <v>0</v>
      </c>
      <c r="CJ92" s="41">
        <f>'[2]побудинковий звіт'!CJ92+'[1]побудинковий звіт'!CJ92</f>
        <v>0</v>
      </c>
      <c r="CK92" s="55">
        <f t="shared" si="95"/>
        <v>0</v>
      </c>
      <c r="CL92" s="41">
        <f>'[2]побудинковий звіт'!CL92+'[1]побудинковий звіт'!CL92</f>
        <v>0</v>
      </c>
      <c r="CM92" s="41">
        <f>'[2]побудинковий звіт'!CM92+'[1]побудинковий звіт'!CM92</f>
        <v>0</v>
      </c>
      <c r="CN92" s="55">
        <f t="shared" si="96"/>
        <v>0</v>
      </c>
      <c r="CO92" s="41">
        <f t="shared" si="97"/>
        <v>0</v>
      </c>
      <c r="CP92" s="42">
        <f t="shared" si="98"/>
        <v>0</v>
      </c>
      <c r="CQ92" s="55">
        <f t="shared" si="99"/>
        <v>0</v>
      </c>
      <c r="CR92" s="76">
        <f t="shared" si="100"/>
        <v>4682.476879071749</v>
      </c>
      <c r="CS92" s="5">
        <f t="shared" si="101"/>
        <v>140.21642088298404</v>
      </c>
      <c r="CT92" s="55">
        <f t="shared" si="102"/>
        <v>-4542.2604581887645</v>
      </c>
      <c r="CU92" s="84">
        <f t="shared" si="103"/>
        <v>5618.9722548860982</v>
      </c>
      <c r="CV92" s="68">
        <f t="shared" si="104"/>
        <v>168.25970505958085</v>
      </c>
      <c r="CW92" s="36">
        <f t="shared" si="105"/>
        <v>-5450.7125498265177</v>
      </c>
      <c r="CX92" s="41">
        <f>'[2]побудинковий звіт'!CX92+'[1]побудинковий звіт'!CX92</f>
        <v>169.14184277685317</v>
      </c>
      <c r="CY92" s="41">
        <f>'[2]побудинковий звіт'!CY92+'[1]побудинковий звіт'!CY92</f>
        <v>5619.854392603369</v>
      </c>
      <c r="CZ92" s="55">
        <f t="shared" si="106"/>
        <v>5450.7125498265159</v>
      </c>
      <c r="DA92" s="254">
        <f>'[1]побудинковий звіт'!DA92</f>
        <v>14774.726388359903</v>
      </c>
      <c r="DB92" s="2">
        <v>1</v>
      </c>
      <c r="DC92" s="702">
        <f>'[1]побудинковий звіт'!DC92</f>
        <v>3766.4</v>
      </c>
      <c r="DD92" s="702">
        <f>'[1]побудинковий звіт'!DD92</f>
        <v>0</v>
      </c>
      <c r="DE92" s="702">
        <f>'[1]побудинковий звіт'!DE92</f>
        <v>3132.48</v>
      </c>
      <c r="DF92" s="702">
        <f>'[1]побудинковий звіт'!DF92</f>
        <v>0</v>
      </c>
      <c r="DG92" s="772">
        <v>25997.689681430144</v>
      </c>
      <c r="DH92" s="746">
        <f t="shared" si="107"/>
        <v>69457.369171955419</v>
      </c>
      <c r="DI92" s="769"/>
      <c r="DJ92" s="5"/>
      <c r="DK92" s="307">
        <f>VLOOKUP($A92,ціни!$A$4:$G$401,5)</f>
        <v>1.5092530569042515</v>
      </c>
      <c r="DL92" s="307"/>
      <c r="DM92" s="307">
        <f>VLOOKUP($A92,ціни!$A$4:$G$401,7)</f>
        <v>1.5092530569042515</v>
      </c>
      <c r="DN92" s="29">
        <f>F92*DK92</f>
        <v>453.83239421110841</v>
      </c>
      <c r="DO92" s="29">
        <f>H92*DM92</f>
        <v>0</v>
      </c>
      <c r="DP92" s="306">
        <f t="shared" si="108"/>
        <v>453.83239421110841</v>
      </c>
      <c r="DQ92" s="101"/>
      <c r="DR92" s="29">
        <f>VLOOKUP(A92,'ДЗ нас '!$A$1:$C$359,2)</f>
        <v>453.85</v>
      </c>
      <c r="DS92" s="733"/>
      <c r="DT92" s="29">
        <f t="shared" si="109"/>
        <v>453.85</v>
      </c>
      <c r="DU92" s="247">
        <f>VLOOKUP(A92,'новий кошторис с 01.06'!$A$4:$AI$399,35)*1.2</f>
        <v>456.04621076823577</v>
      </c>
      <c r="DV92" s="29">
        <f t="shared" si="110"/>
        <v>-2.1962107682357441</v>
      </c>
      <c r="DW92" s="1016">
        <f>'[2]побудинковий звіт'!$DW$9+'[1]побудинковий звіт'!DW92</f>
        <v>0</v>
      </c>
      <c r="DX92" s="101">
        <f>'[1]побудинковий звіт'!DX92</f>
        <v>0</v>
      </c>
      <c r="DY92" s="5">
        <f t="shared" si="111"/>
        <v>5189.8792552959067</v>
      </c>
      <c r="DZ92" s="5">
        <f t="shared" si="112"/>
        <v>0</v>
      </c>
      <c r="EA92" s="737">
        <f t="shared" si="113"/>
        <v>3132.48</v>
      </c>
      <c r="EC92" s="577">
        <f t="shared" si="114"/>
        <v>51898.792552959072</v>
      </c>
      <c r="EE92" s="743">
        <v>-152</v>
      </c>
      <c r="EF92" s="723">
        <f t="shared" si="115"/>
        <v>25845.689681430144</v>
      </c>
      <c r="EH92" s="798">
        <v>24475.217521473234</v>
      </c>
      <c r="EI92" s="101">
        <f>VLOOKUP(A92,'кошти 01.01.24'!$A$9:$D$352,4,FALSE)</f>
        <v>20225.43893818642</v>
      </c>
    </row>
    <row r="93" spans="1:139" ht="14.4" hidden="1" customHeight="1" x14ac:dyDescent="0.3">
      <c r="A93" s="318">
        <v>150000529</v>
      </c>
      <c r="B93" s="43" t="s">
        <v>516</v>
      </c>
      <c r="C93" s="44" t="s">
        <v>347</v>
      </c>
      <c r="D93" s="44" t="s">
        <v>347</v>
      </c>
      <c r="E93" s="39">
        <f t="shared" si="64"/>
        <v>8439.9</v>
      </c>
      <c r="F93" s="205">
        <f>'[1]побудинковий звіт'!F93</f>
        <v>8439.9</v>
      </c>
      <c r="G93" s="29">
        <f>'[1]побудинковий звіт'!G93</f>
        <v>979.2</v>
      </c>
      <c r="H93" s="148">
        <f>'[1]побудинковий звіт'!H93</f>
        <v>0</v>
      </c>
      <c r="I93" s="41">
        <f>'[2]побудинковий звіт'!I93+'[1]побудинковий звіт'!I93</f>
        <v>14419.097899356771</v>
      </c>
      <c r="J93" s="41">
        <f>'[2]побудинковий звіт'!J93+'[1]побудинковий звіт'!J93</f>
        <v>11501.899658449332</v>
      </c>
      <c r="K93" s="55">
        <f t="shared" si="65"/>
        <v>-2917.198240907439</v>
      </c>
      <c r="L93" s="41">
        <f>'[2]побудинковий звіт'!L93+'[1]побудинковий звіт'!L93</f>
        <v>2451.2082131146713</v>
      </c>
      <c r="M93" s="41">
        <f>'[2]побудинковий звіт'!M93+'[1]побудинковий звіт'!M93</f>
        <v>2149.2076514827409</v>
      </c>
      <c r="N93" s="55">
        <f t="shared" si="66"/>
        <v>-302.0005616319304</v>
      </c>
      <c r="O93" s="41">
        <f>'[2]побудинковий звіт'!O93+'[1]побудинковий звіт'!O93</f>
        <v>13465.035969534343</v>
      </c>
      <c r="P93" s="41">
        <f>'[2]побудинковий звіт'!P93+'[1]побудинковий звіт'!P93</f>
        <v>13502.78137143966</v>
      </c>
      <c r="Q93" s="55">
        <f t="shared" si="67"/>
        <v>37.745401905316612</v>
      </c>
      <c r="R93" s="41">
        <f>'[2]побудинковий звіт'!R93+'[1]побудинковий звіт'!R93</f>
        <v>2925.1688225119196</v>
      </c>
      <c r="S93" s="41">
        <f>'[2]побудинковий звіт'!S93+'[1]побудинковий звіт'!S93</f>
        <v>2933.3652517669334</v>
      </c>
      <c r="T93" s="55">
        <f t="shared" si="68"/>
        <v>8.1964292550137543</v>
      </c>
      <c r="U93" s="41">
        <f>'[2]побудинковий звіт'!U93+'[1]побудинковий звіт'!U93</f>
        <v>2239.377407736476</v>
      </c>
      <c r="V93" s="41">
        <f>'[2]побудинковий звіт'!V93+'[1]побудинковий звіт'!V93</f>
        <v>988.52891007335529</v>
      </c>
      <c r="W93" s="55">
        <f t="shared" si="69"/>
        <v>-1250.8484976631207</v>
      </c>
      <c r="X93" s="41">
        <f>'[2]побудинковий звіт'!X93+'[1]побудинковий звіт'!X93</f>
        <v>19404.884129620597</v>
      </c>
      <c r="Y93" s="41">
        <f>'[2]побудинковий звіт'!Y93+'[1]побудинковий звіт'!Y93</f>
        <v>14166.954322180323</v>
      </c>
      <c r="Z93" s="55">
        <f t="shared" si="70"/>
        <v>-5237.9298074402741</v>
      </c>
      <c r="AA93" s="41">
        <f>'[2]побудинковий звіт'!AA93+'[1]побудинковий звіт'!AA93</f>
        <v>0</v>
      </c>
      <c r="AB93" s="41">
        <f>'[2]побудинковий звіт'!AB93+'[1]побудинковий звіт'!AB93</f>
        <v>0</v>
      </c>
      <c r="AC93" s="55">
        <f t="shared" si="71"/>
        <v>0</v>
      </c>
      <c r="AD93" s="41">
        <f>'[2]побудинковий звіт'!AD93+'[1]побудинковий звіт'!AD93</f>
        <v>36617.817231283894</v>
      </c>
      <c r="AE93" s="41">
        <f>'[2]побудинковий звіт'!AE93+'[1]побудинковий звіт'!AE93</f>
        <v>36474.970160552628</v>
      </c>
      <c r="AF93" s="36">
        <f t="shared" si="72"/>
        <v>-142.84707073126629</v>
      </c>
      <c r="AG93" s="84">
        <f t="shared" si="73"/>
        <v>91522.589673158684</v>
      </c>
      <c r="AH93" s="56">
        <f t="shared" si="74"/>
        <v>81717.707325944968</v>
      </c>
      <c r="AI93" s="55">
        <f t="shared" si="75"/>
        <v>-9804.8823472137155</v>
      </c>
      <c r="AJ93" s="41">
        <f>'[2]побудинковий звіт'!AJ93+'[1]побудинковий звіт'!AJ93</f>
        <v>111914.37273222825</v>
      </c>
      <c r="AK93" s="41">
        <f>'[2]побудинковий звіт'!AK93+'[1]побудинковий звіт'!AK93</f>
        <v>105030.45886545346</v>
      </c>
      <c r="AL93" s="55">
        <f t="shared" si="76"/>
        <v>-6883.9138667747902</v>
      </c>
      <c r="AM93" s="41">
        <f>'[2]побудинковий звіт'!AM93+'[1]побудинковий звіт'!AM93</f>
        <v>1328.5053170497004</v>
      </c>
      <c r="AN93" s="41">
        <f>'[2]побудинковий звіт'!AN93+'[1]побудинковий звіт'!AN93</f>
        <v>0</v>
      </c>
      <c r="AO93" s="55">
        <f t="shared" si="77"/>
        <v>-1328.5053170497004</v>
      </c>
      <c r="AP93" s="41">
        <f>'[2]побудинковий звіт'!AP93+'[1]побудинковий звіт'!AP93</f>
        <v>6934.1856003364301</v>
      </c>
      <c r="AQ93" s="41">
        <f>'[2]побудинковий звіт'!AQ93+'[1]побудинковий звіт'!AQ93</f>
        <v>6661.1914186588019</v>
      </c>
      <c r="AR93" s="55">
        <f t="shared" si="78"/>
        <v>-272.99418167762815</v>
      </c>
      <c r="AS93" s="41">
        <f>'[2]побудинковий звіт'!AS93+'[1]побудинковий звіт'!AS93</f>
        <v>173649.39269449894</v>
      </c>
      <c r="AT93" s="41">
        <f>'[2]побудинковий звіт'!AT93+'[1]побудинковий звіт'!AT93</f>
        <v>262033.22299150089</v>
      </c>
      <c r="AU93" s="57">
        <f t="shared" si="79"/>
        <v>88383.830297001958</v>
      </c>
      <c r="AV93" s="41">
        <f>'[2]побудинковий звіт'!AV93+'[1]побудинковий звіт'!AV93</f>
        <v>859.61147773293624</v>
      </c>
      <c r="AW93" s="41">
        <f>'[2]побудинковий звіт'!AW93+'[1]побудинковий звіт'!AW93</f>
        <v>1208.1729645920855</v>
      </c>
      <c r="AX93" s="58">
        <f t="shared" si="80"/>
        <v>348.56148685914923</v>
      </c>
      <c r="AY93" s="41">
        <f>'[2]побудинковий звіт'!AY93+'[1]побудинковий звіт'!AY93</f>
        <v>674.69587373347122</v>
      </c>
      <c r="AZ93" s="41">
        <f>'[2]побудинковий звіт'!AZ93+'[1]побудинковий звіт'!AZ93</f>
        <v>0</v>
      </c>
      <c r="BA93" s="36">
        <f t="shared" si="81"/>
        <v>-674.69587373347122</v>
      </c>
      <c r="BB93" s="41">
        <f>'[2]побудинковий звіт'!BB93+'[1]побудинковий звіт'!BB93</f>
        <v>1309.6787148919341</v>
      </c>
      <c r="BC93" s="41">
        <f>'[2]побудинковий звіт'!BC93+'[1]побудинковий звіт'!BC93</f>
        <v>4662.2944534681219</v>
      </c>
      <c r="BD93" s="58">
        <f t="shared" si="82"/>
        <v>3352.6157385761881</v>
      </c>
      <c r="BE93" s="41">
        <f>'[2]побудинковий звіт'!BE93+'[1]побудинковий звіт'!BE93</f>
        <v>605.4211966909819</v>
      </c>
      <c r="BF93" s="41">
        <f>'[2]побудинковий звіт'!BF93+'[1]побудинковий звіт'!BF93</f>
        <v>858.1913451964266</v>
      </c>
      <c r="BG93" s="38">
        <f t="shared" si="83"/>
        <v>252.77014850544469</v>
      </c>
      <c r="BH93" s="41">
        <f>'[2]побудинковий звіт'!BH93+'[1]побудинковий звіт'!BH93</f>
        <v>570.11440240998616</v>
      </c>
      <c r="BI93" s="41">
        <f>'[2]побудинковий звіт'!BI93+'[1]побудинковий звіт'!BI93</f>
        <v>0</v>
      </c>
      <c r="BJ93" s="58">
        <f t="shared" si="84"/>
        <v>-570.11440240998616</v>
      </c>
      <c r="BK93" s="41">
        <f>'[2]побудинковий звіт'!BK93+'[1]побудинковий звіт'!BK93</f>
        <v>2000.8774018470165</v>
      </c>
      <c r="BL93" s="41">
        <f>'[2]побудинковий звіт'!BL93+'[1]побудинковий звіт'!BL93</f>
        <v>17005.371001367155</v>
      </c>
      <c r="BM93" s="38">
        <f t="shared" si="85"/>
        <v>15004.493599520139</v>
      </c>
      <c r="BN93" s="41">
        <f>'[2]побудинковий звіт'!BN93+'[1]побудинковий звіт'!BN93</f>
        <v>1271.8763932628176</v>
      </c>
      <c r="BO93" s="41">
        <f>'[2]побудинковий звіт'!BO93+'[1]побудинковий звіт'!BO93</f>
        <v>0</v>
      </c>
      <c r="BP93" s="58">
        <f t="shared" si="86"/>
        <v>-1271.8763932628176</v>
      </c>
      <c r="BQ93" s="84">
        <f t="shared" si="87"/>
        <v>7292.2754605691443</v>
      </c>
      <c r="BR93" s="42">
        <f t="shared" si="88"/>
        <v>23734.029764623789</v>
      </c>
      <c r="BS93" s="58">
        <f t="shared" si="89"/>
        <v>16441.754304054644</v>
      </c>
      <c r="BT93" s="41">
        <f>'[2]побудинковий звіт'!BT93+'[1]побудинковий звіт'!BT93</f>
        <v>110605.65763020929</v>
      </c>
      <c r="BU93" s="41">
        <f>'[2]побудинковий звіт'!BU93+'[1]побудинковий звіт'!BU93</f>
        <v>51298.15575859214</v>
      </c>
      <c r="BV93" s="55">
        <f t="shared" si="90"/>
        <v>-59307.501871617147</v>
      </c>
      <c r="BW93" s="41">
        <f>'[2]побудинковий звіт'!BW93+'[1]побудинковий звіт'!BW93</f>
        <v>89728.289029571548</v>
      </c>
      <c r="BX93" s="41">
        <f>'[2]побудинковий звіт'!BX93+'[1]побудинковий звіт'!BX93</f>
        <v>32570.145447838215</v>
      </c>
      <c r="BY93" s="55">
        <f t="shared" si="91"/>
        <v>-57158.143581733333</v>
      </c>
      <c r="BZ93" s="41">
        <f>'[2]побудинковий звіт'!BZ93+'[1]побудинковий звіт'!BZ93</f>
        <v>4894.7850754563942</v>
      </c>
      <c r="CA93" s="41">
        <f>'[2]побудинковий звіт'!CA93+'[1]побудинковий звіт'!CA93</f>
        <v>4163.8748157012024</v>
      </c>
      <c r="CB93" s="55">
        <f t="shared" si="92"/>
        <v>-730.91025975519187</v>
      </c>
      <c r="CC93" s="41">
        <f>'[2]побудинковий звіт'!CC93+'[1]побудинковий звіт'!CC93</f>
        <v>4413.9249982449282</v>
      </c>
      <c r="CD93" s="41">
        <f>'[2]побудинковий звіт'!CD93+'[1]побудинковий звіт'!CD93</f>
        <v>4428.8921255685864</v>
      </c>
      <c r="CE93" s="55">
        <f t="shared" si="93"/>
        <v>14.967127323658133</v>
      </c>
      <c r="CF93" s="41">
        <f>'[2]побудинковий звіт'!CF93+'[1]побудинковий звіт'!CF93</f>
        <v>546.86184645376397</v>
      </c>
      <c r="CG93" s="41">
        <f>'[2]побудинковий звіт'!CG93+'[1]побудинковий звіт'!CG93</f>
        <v>0</v>
      </c>
      <c r="CH93" s="55">
        <f t="shared" si="94"/>
        <v>-546.86184645376397</v>
      </c>
      <c r="CI93" s="41">
        <f>'[2]побудинковий звіт'!CI93+'[1]побудинковий звіт'!CI93</f>
        <v>16854.150383492848</v>
      </c>
      <c r="CJ93" s="41">
        <f>'[2]побудинковий звіт'!CJ93+'[1]побудинковий звіт'!CJ93</f>
        <v>10409.054964579926</v>
      </c>
      <c r="CK93" s="55">
        <f t="shared" si="95"/>
        <v>-6445.0954189129225</v>
      </c>
      <c r="CL93" s="41">
        <f>'[2]побудинковий звіт'!CL93+'[1]побудинковий звіт'!CL93</f>
        <v>19636.249572706416</v>
      </c>
      <c r="CM93" s="41">
        <f>'[2]побудинковий звіт'!CM93+'[1]побудинковий звіт'!CM93</f>
        <v>21873.967517202957</v>
      </c>
      <c r="CN93" s="55">
        <f t="shared" si="96"/>
        <v>2237.7179444965404</v>
      </c>
      <c r="CO93" s="41">
        <f t="shared" si="97"/>
        <v>36490.399956199268</v>
      </c>
      <c r="CP93" s="42">
        <f t="shared" si="98"/>
        <v>32283.022481782882</v>
      </c>
      <c r="CQ93" s="55">
        <f t="shared" si="99"/>
        <v>-4207.3774744163857</v>
      </c>
      <c r="CR93" s="76">
        <f t="shared" si="100"/>
        <v>639321.24001397635</v>
      </c>
      <c r="CS93" s="5">
        <f t="shared" si="101"/>
        <v>603920.70099566481</v>
      </c>
      <c r="CT93" s="55">
        <f t="shared" si="102"/>
        <v>-35400.539018311538</v>
      </c>
      <c r="CU93" s="84">
        <f t="shared" si="103"/>
        <v>767185.48801677162</v>
      </c>
      <c r="CV93" s="68">
        <f t="shared" si="104"/>
        <v>724704.84119479777</v>
      </c>
      <c r="CW93" s="36">
        <f t="shared" si="105"/>
        <v>-42480.646821973845</v>
      </c>
      <c r="CX93" s="41">
        <f>'[2]побудинковий звіт'!CX93+'[1]побудинковий звіт'!CX93</f>
        <v>19157.67411222939</v>
      </c>
      <c r="CY93" s="41">
        <f>'[2]побудинковий звіт'!CY93+'[1]побудинковий звіт'!CY93</f>
        <v>61638.320934202864</v>
      </c>
      <c r="CZ93" s="55">
        <f t="shared" si="106"/>
        <v>42480.646821973474</v>
      </c>
      <c r="DA93" s="254">
        <f>'[1]побудинковий звіт'!DA93</f>
        <v>14054.125361207582</v>
      </c>
      <c r="DB93" s="2">
        <v>1</v>
      </c>
      <c r="DC93" s="702">
        <f>'[1]побудинковий звіт'!DC93</f>
        <v>161594.76999999999</v>
      </c>
      <c r="DD93" s="702">
        <f>'[1]побудинковий звіт'!DD93</f>
        <v>0</v>
      </c>
      <c r="DE93" s="702">
        <f>'[1]побудинковий звіт'!DE93</f>
        <v>75127.389999999985</v>
      </c>
      <c r="DF93" s="702">
        <f>'[1]побудинковий звіт'!DF93</f>
        <v>0</v>
      </c>
      <c r="DG93" s="772">
        <v>167310.53698260244</v>
      </c>
      <c r="DH93" s="746">
        <f t="shared" si="107"/>
        <v>9436117.9455480129</v>
      </c>
      <c r="DI93" s="769"/>
      <c r="DJ93" s="5"/>
      <c r="DK93" s="307">
        <f>VLOOKUP($A93,ціни!$A$4:$G$401,5)</f>
        <v>5.822074067045433</v>
      </c>
      <c r="DL93" s="307">
        <f>VLOOKUP($A93,ціни!$A$4:$G$401,6)</f>
        <v>7.4971048378928344</v>
      </c>
      <c r="DM93" s="307">
        <f>VLOOKUP($A93,ціни!$A$4:$G$401,7)</f>
        <v>4.760442269285809</v>
      </c>
      <c r="DN93" s="29">
        <f>DK93*G93+(F93-G93)*DL93</f>
        <v>61634.624990517957</v>
      </c>
      <c r="DO93" s="29">
        <f>DM93*H93</f>
        <v>0</v>
      </c>
      <c r="DP93" s="306">
        <f t="shared" si="108"/>
        <v>61634.624990517957</v>
      </c>
      <c r="DQ93" s="101"/>
      <c r="DR93" s="29">
        <f>VLOOKUP(A93,'ДЗ нас '!$A$1:$C$359,2)</f>
        <v>61570.57</v>
      </c>
      <c r="DS93" s="733"/>
      <c r="DT93" s="29">
        <f t="shared" si="109"/>
        <v>61570.57</v>
      </c>
      <c r="DU93" s="247">
        <f>VLOOKUP(A93,'новий кошторис с 01.06'!$A$4:$AI$399,35)*1.2</f>
        <v>61900.037893779896</v>
      </c>
      <c r="DV93" s="29">
        <f t="shared" si="110"/>
        <v>-329.46789377989626</v>
      </c>
      <c r="DW93" s="1016">
        <f>'[2]побудинковий звіт'!$DW$9+'[1]побудинковий звіт'!DW93</f>
        <v>1242</v>
      </c>
      <c r="DX93" s="101">
        <f>'[1]побудинковий звіт'!DX93</f>
        <v>0</v>
      </c>
      <c r="DY93" s="5">
        <f t="shared" si="111"/>
        <v>217130.00178608167</v>
      </c>
      <c r="DZ93" s="5">
        <f t="shared" si="112"/>
        <v>342920.70330734964</v>
      </c>
      <c r="EA93" s="737">
        <f t="shared" si="113"/>
        <v>75127.389999999985</v>
      </c>
      <c r="EC93" s="577">
        <f t="shared" si="114"/>
        <v>2083792.7123339872</v>
      </c>
      <c r="EE93" s="743">
        <v>-31000</v>
      </c>
      <c r="EF93" s="723">
        <f t="shared" si="115"/>
        <v>136310.53698260244</v>
      </c>
      <c r="EH93" s="798">
        <v>89419.298249325308</v>
      </c>
      <c r="EI93" s="101">
        <f>VLOOKUP(A93,'кошти 01.01.24'!$A$9:$D$352,4,FALSE)</f>
        <v>56534.772183181056</v>
      </c>
    </row>
    <row r="94" spans="1:139" hidden="1" x14ac:dyDescent="0.3">
      <c r="A94" s="318">
        <v>150000531</v>
      </c>
      <c r="B94" s="43" t="s">
        <v>519</v>
      </c>
      <c r="C94" s="44" t="s">
        <v>348</v>
      </c>
      <c r="D94" s="44" t="s">
        <v>348</v>
      </c>
      <c r="E94" s="39">
        <f t="shared" si="64"/>
        <v>7612.5</v>
      </c>
      <c r="F94" s="205">
        <f>'[1]побудинковий звіт'!F94</f>
        <v>7612.5</v>
      </c>
      <c r="G94" s="29">
        <f>'[1]побудинковий звіт'!G94</f>
        <v>765.25</v>
      </c>
      <c r="H94" s="148">
        <f>'[1]побудинковий звіт'!H94</f>
        <v>0</v>
      </c>
      <c r="I94" s="41">
        <f>'[2]побудинковий звіт'!I94+'[1]побудинковий звіт'!I94</f>
        <v>20245.858229902944</v>
      </c>
      <c r="J94" s="41">
        <f>'[2]побудинковий звіт'!J94+'[1]побудинковий звіт'!J94</f>
        <v>16074.14065529797</v>
      </c>
      <c r="K94" s="55">
        <f t="shared" si="65"/>
        <v>-4171.7175746049743</v>
      </c>
      <c r="L94" s="41">
        <f>'[2]побудинковий звіт'!L94+'[1]побудинковий звіт'!L94</f>
        <v>3363.0077399705865</v>
      </c>
      <c r="M94" s="41">
        <f>'[2]побудинковий звіт'!M94+'[1]побудинковий звіт'!M94</f>
        <v>2921.3427122666772</v>
      </c>
      <c r="N94" s="55">
        <f t="shared" si="66"/>
        <v>-441.66502770390935</v>
      </c>
      <c r="O94" s="41">
        <f>'[2]побудинковий звіт'!O94+'[1]побудинковий звіт'!O94</f>
        <v>12049.270367451561</v>
      </c>
      <c r="P94" s="41">
        <f>'[2]побудинковий звіт'!P94+'[1]побудинковий звіт'!P94</f>
        <v>12083.195649949013</v>
      </c>
      <c r="Q94" s="55">
        <f t="shared" si="67"/>
        <v>33.925282497451917</v>
      </c>
      <c r="R94" s="41">
        <f>'[2]побудинковий звіт'!R94+'[1]побудинковий звіт'!R94</f>
        <v>2603.2390656174175</v>
      </c>
      <c r="S94" s="41">
        <f>'[2]побудинковий звіт'!S94+'[1]побудинковий звіт'!S94</f>
        <v>2610.3156831060542</v>
      </c>
      <c r="T94" s="55">
        <f t="shared" si="68"/>
        <v>7.0766174886366571</v>
      </c>
      <c r="U94" s="41">
        <f>'[2]побудинковий звіт'!U94+'[1]побудинковий звіт'!U94</f>
        <v>3321.6457184876299</v>
      </c>
      <c r="V94" s="41">
        <f>'[2]побудинковий звіт'!V94+'[1]побудинковий звіт'!V94</f>
        <v>1382.8144367913094</v>
      </c>
      <c r="W94" s="55">
        <f t="shared" si="69"/>
        <v>-1938.8312816963205</v>
      </c>
      <c r="X94" s="41">
        <f>'[2]побудинковий звіт'!X94+'[1]побудинковий звіт'!X94</f>
        <v>15185.378218105265</v>
      </c>
      <c r="Y94" s="41">
        <f>'[2]побудинковий звіт'!Y94+'[1]побудинковий звіт'!Y94</f>
        <v>10574.450470960102</v>
      </c>
      <c r="Z94" s="55">
        <f t="shared" si="70"/>
        <v>-4610.9277471451624</v>
      </c>
      <c r="AA94" s="41">
        <f>'[2]побудинковий звіт'!AA94+'[1]побудинковий звіт'!AA94</f>
        <v>0</v>
      </c>
      <c r="AB94" s="41">
        <f>'[2]побудинковий звіт'!AB94+'[1]побудинковий звіт'!AB94</f>
        <v>0</v>
      </c>
      <c r="AC94" s="55">
        <f t="shared" si="71"/>
        <v>0</v>
      </c>
      <c r="AD94" s="41">
        <f>'[2]побудинковий звіт'!AD94+'[1]побудинковий звіт'!AD94</f>
        <v>33024.986498186634</v>
      </c>
      <c r="AE94" s="41">
        <f>'[2]побудинковий звіт'!AE94+'[1]побудинковий звіт'!AE94</f>
        <v>32896.270076838948</v>
      </c>
      <c r="AF94" s="36">
        <f t="shared" si="72"/>
        <v>-128.71642134768626</v>
      </c>
      <c r="AG94" s="84">
        <f t="shared" si="73"/>
        <v>89793.385837722046</v>
      </c>
      <c r="AH94" s="56">
        <f t="shared" si="74"/>
        <v>78542.529685210087</v>
      </c>
      <c r="AI94" s="55">
        <f t="shared" si="75"/>
        <v>-11250.856152511958</v>
      </c>
      <c r="AJ94" s="41">
        <f>'[2]побудинковий звіт'!AJ94+'[1]побудинковий звіт'!AJ94</f>
        <v>69257.98214146978</v>
      </c>
      <c r="AK94" s="41">
        <f>'[2]побудинковий звіт'!AK94+'[1]побудинковий звіт'!AK94</f>
        <v>65445.916485240145</v>
      </c>
      <c r="AL94" s="55">
        <f t="shared" si="76"/>
        <v>-3812.0656562296354</v>
      </c>
      <c r="AM94" s="41">
        <f>'[2]побудинковий звіт'!AM94+'[1]побудинковий звіт'!AM94</f>
        <v>3262.8674795522466</v>
      </c>
      <c r="AN94" s="41">
        <f>'[2]побудинковий звіт'!AN94+'[1]побудинковий звіт'!AN94</f>
        <v>2897.1357862381083</v>
      </c>
      <c r="AO94" s="55">
        <f t="shared" si="77"/>
        <v>-365.73169331413828</v>
      </c>
      <c r="AP94" s="41">
        <f>'[2]побудинковий звіт'!AP94+'[1]побудинковий звіт'!AP94</f>
        <v>5794.9979659954433</v>
      </c>
      <c r="AQ94" s="41">
        <f>'[2]побудинковий звіт'!AQ94+'[1]побудинковий звіт'!AQ94</f>
        <v>5555.3697532448678</v>
      </c>
      <c r="AR94" s="55">
        <f t="shared" si="78"/>
        <v>-239.62821275057559</v>
      </c>
      <c r="AS94" s="41">
        <f>'[2]побудинковий звіт'!AS94+'[1]побудинковий звіт'!AS94</f>
        <v>132690.40457643737</v>
      </c>
      <c r="AT94" s="41">
        <f>'[2]побудинковий звіт'!AT94+'[1]побудинковий звіт'!AT94</f>
        <v>158889.15732305142</v>
      </c>
      <c r="AU94" s="57">
        <f t="shared" si="79"/>
        <v>26198.752746614045</v>
      </c>
      <c r="AV94" s="41">
        <f>'[2]побудинковий звіт'!AV94+'[1]побудинковий звіт'!AV94</f>
        <v>1934.2134137628827</v>
      </c>
      <c r="AW94" s="41">
        <f>'[2]побудинковий звіт'!AW94+'[1]побудинковий звіт'!AW94</f>
        <v>1318.7578567516159</v>
      </c>
      <c r="AX94" s="58">
        <f t="shared" si="80"/>
        <v>-615.45555701126682</v>
      </c>
      <c r="AY94" s="41">
        <f>'[2]побудинковий звіт'!AY94+'[1]побудинковий звіт'!AY94</f>
        <v>2166.0330683761231</v>
      </c>
      <c r="AZ94" s="41">
        <f>'[2]побудинковий звіт'!AZ94+'[1]побудинковий звіт'!AZ94</f>
        <v>0</v>
      </c>
      <c r="BA94" s="36">
        <f t="shared" si="81"/>
        <v>-2166.0330683761231</v>
      </c>
      <c r="BB94" s="41">
        <f>'[2]побудинковий звіт'!BB94+'[1]побудинковий звіт'!BB94</f>
        <v>2772.7835946806158</v>
      </c>
      <c r="BC94" s="41">
        <f>'[2]побудинковий звіт'!BC94+'[1]побудинковий звіт'!BC94</f>
        <v>1142.8186032487322</v>
      </c>
      <c r="BD94" s="58">
        <f t="shared" si="82"/>
        <v>-1629.9649914318836</v>
      </c>
      <c r="BE94" s="41">
        <f>'[2]побудинковий звіт'!BE94+'[1]побудинковий звіт'!BE94</f>
        <v>1071.742998932358</v>
      </c>
      <c r="BF94" s="41">
        <f>'[2]побудинковий звіт'!BF94+'[1]побудинковий звіт'!BF94</f>
        <v>1287.2999011257489</v>
      </c>
      <c r="BG94" s="38">
        <f t="shared" si="83"/>
        <v>215.5569021933909</v>
      </c>
      <c r="BH94" s="41">
        <f>'[2]побудинковий звіт'!BH94+'[1]побудинковий звіт'!BH94</f>
        <v>1718.8300951579615</v>
      </c>
      <c r="BI94" s="41">
        <f>'[2]побудинковий звіт'!BI94+'[1]побудинковий звіт'!BI94</f>
        <v>0</v>
      </c>
      <c r="BJ94" s="58">
        <f t="shared" si="84"/>
        <v>-1718.8300951579615</v>
      </c>
      <c r="BK94" s="41">
        <f>'[2]побудинковий звіт'!BK94+'[1]побудинковий звіт'!BK94</f>
        <v>2174.0265374373121</v>
      </c>
      <c r="BL94" s="41">
        <f>'[2]побудинковий звіт'!BL94+'[1]побудинковий звіт'!BL94</f>
        <v>19489.093255930969</v>
      </c>
      <c r="BM94" s="38">
        <f t="shared" si="85"/>
        <v>17315.066718493657</v>
      </c>
      <c r="BN94" s="41">
        <f>'[2]побудинковий звіт'!BN94+'[1]побудинковий звіт'!BN94</f>
        <v>794.04287336510356</v>
      </c>
      <c r="BO94" s="41">
        <f>'[2]побудинковий звіт'!BO94+'[1]побудинковий звіт'!BO94</f>
        <v>0</v>
      </c>
      <c r="BP94" s="58">
        <f t="shared" si="86"/>
        <v>-794.04287336510356</v>
      </c>
      <c r="BQ94" s="84">
        <f t="shared" si="87"/>
        <v>12631.672581712357</v>
      </c>
      <c r="BR94" s="42">
        <f t="shared" si="88"/>
        <v>23237.969617057068</v>
      </c>
      <c r="BS94" s="58">
        <f t="shared" si="89"/>
        <v>10606.297035344711</v>
      </c>
      <c r="BT94" s="41">
        <f>'[2]побудинковий звіт'!BT94+'[1]побудинковий звіт'!BT94</f>
        <v>90909.636846315669</v>
      </c>
      <c r="BU94" s="41">
        <f>'[2]побудинковий звіт'!BU94+'[1]побудинковий звіт'!BU94</f>
        <v>109053.01493754568</v>
      </c>
      <c r="BV94" s="55">
        <f t="shared" si="90"/>
        <v>18143.378091230014</v>
      </c>
      <c r="BW94" s="41">
        <f>'[2]побудинковий звіт'!BW94+'[1]побудинковий звіт'!BW94</f>
        <v>64126.693344880572</v>
      </c>
      <c r="BX94" s="41">
        <f>'[2]побудинковий звіт'!BX94+'[1]побудинковий звіт'!BX94</f>
        <v>73263.140980165103</v>
      </c>
      <c r="BY94" s="55">
        <f t="shared" si="91"/>
        <v>9136.4476352845304</v>
      </c>
      <c r="BZ94" s="41">
        <f>'[2]побудинковий звіт'!BZ94+'[1]побудинковий звіт'!BZ94</f>
        <v>12577.629711257256</v>
      </c>
      <c r="CA94" s="41">
        <f>'[2]побудинковий звіт'!CA94+'[1]побудинковий звіт'!CA94</f>
        <v>7231.9085844335641</v>
      </c>
      <c r="CB94" s="55">
        <f t="shared" si="92"/>
        <v>-5345.7211268236915</v>
      </c>
      <c r="CC94" s="41">
        <f>'[2]побудинковий звіт'!CC94+'[1]побудинковий звіт'!CC94</f>
        <v>2847.7526484698869</v>
      </c>
      <c r="CD94" s="41">
        <f>'[2]побудинковий звіт'!CD94+'[1]побудинковий звіт'!CD94</f>
        <v>2857.4090600520672</v>
      </c>
      <c r="CE94" s="55">
        <f t="shared" si="93"/>
        <v>9.6564115821802261</v>
      </c>
      <c r="CF94" s="41">
        <f>'[2]побудинковий звіт'!CF94+'[1]побудинковий звіт'!CF94</f>
        <v>352.82141681271554</v>
      </c>
      <c r="CG94" s="41">
        <f>'[2]побудинковий звіт'!CG94+'[1]побудинковий звіт'!CG94</f>
        <v>1471.6851249356</v>
      </c>
      <c r="CH94" s="55">
        <f t="shared" si="94"/>
        <v>1118.8637081228844</v>
      </c>
      <c r="CI94" s="41">
        <f>'[2]побудинковий звіт'!CI94+'[1]побудинковий звіт'!CI94</f>
        <v>17660.261714407599</v>
      </c>
      <c r="CJ94" s="41">
        <f>'[2]побудинковий звіт'!CJ94+'[1]побудинковий звіт'!CJ94</f>
        <v>17361.119955164035</v>
      </c>
      <c r="CK94" s="55">
        <f t="shared" si="95"/>
        <v>-299.14175924356459</v>
      </c>
      <c r="CL94" s="41">
        <f>'[2]побудинковий звіт'!CL94+'[1]побудинковий звіт'!CL94</f>
        <v>26780.694423200457</v>
      </c>
      <c r="CM94" s="41">
        <f>'[2]побудинковий звіт'!CM94+'[1]побудинковий звіт'!CM94</f>
        <v>26050.475949761625</v>
      </c>
      <c r="CN94" s="55">
        <f t="shared" si="96"/>
        <v>-730.21847343883201</v>
      </c>
      <c r="CO94" s="41">
        <f t="shared" si="97"/>
        <v>44440.956137608053</v>
      </c>
      <c r="CP94" s="42">
        <f t="shared" si="98"/>
        <v>43411.595904925663</v>
      </c>
      <c r="CQ94" s="55">
        <f t="shared" si="99"/>
        <v>-1029.3602326823893</v>
      </c>
      <c r="CR94" s="76">
        <f t="shared" si="100"/>
        <v>528686.80068823346</v>
      </c>
      <c r="CS94" s="5">
        <f t="shared" si="101"/>
        <v>571856.83324209927</v>
      </c>
      <c r="CT94" s="55">
        <f t="shared" si="102"/>
        <v>43170.032553865807</v>
      </c>
      <c r="CU94" s="84">
        <f t="shared" si="103"/>
        <v>634424.16082588013</v>
      </c>
      <c r="CV94" s="68">
        <f t="shared" si="104"/>
        <v>686228.19989051914</v>
      </c>
      <c r="CW94" s="36">
        <f t="shared" si="105"/>
        <v>51804.039064639015</v>
      </c>
      <c r="CX94" s="41">
        <f>'[2]побудинковий звіт'!CX94+'[1]побудинковий звіт'!CX94</f>
        <v>15061.571056420706</v>
      </c>
      <c r="CY94" s="41">
        <f>'[2]побудинковий звіт'!CY94+'[1]побудинковий звіт'!CY94</f>
        <v>-36742.468008218595</v>
      </c>
      <c r="CZ94" s="55">
        <f t="shared" si="106"/>
        <v>-51804.039064639299</v>
      </c>
      <c r="DA94" s="254">
        <f>'[1]побудинковий звіт'!DA94</f>
        <v>77807.641180369726</v>
      </c>
      <c r="DB94" s="2">
        <v>1</v>
      </c>
      <c r="DC94" s="702">
        <f>'[1]побудинковий звіт'!DC94</f>
        <v>116026.23</v>
      </c>
      <c r="DD94" s="702">
        <f>'[1]побудинковий звіт'!DD94</f>
        <v>0</v>
      </c>
      <c r="DE94" s="702">
        <f>'[1]побудинковий звіт'!DE94</f>
        <v>44809.78</v>
      </c>
      <c r="DF94" s="702">
        <f>'[1]побудинковий звіт'!DF94</f>
        <v>0</v>
      </c>
      <c r="DG94" s="772">
        <v>28812.349541599629</v>
      </c>
      <c r="DH94" s="746">
        <f t="shared" si="107"/>
        <v>7793828.7825876102</v>
      </c>
      <c r="DI94" s="769"/>
      <c r="DJ94" s="5"/>
      <c r="DK94" s="307">
        <f>VLOOKUP($A94,ціни!$A$4:$G$401,5)</f>
        <v>5.4491718287396145</v>
      </c>
      <c r="DL94" s="307">
        <f>VLOOKUP($A94,ціни!$A$4:$G$401,6)</f>
        <v>6.84085517130515</v>
      </c>
      <c r="DM94" s="307">
        <f>VLOOKUP($A94,ціни!$A$4:$G$401,7)</f>
        <v>4.6050019566650464</v>
      </c>
      <c r="DN94" s="29">
        <f>DK94*G94+(F94-G94)*DL94</f>
        <v>51011.024313662179</v>
      </c>
      <c r="DO94" s="29">
        <f>DM94*H94</f>
        <v>0</v>
      </c>
      <c r="DP94" s="306">
        <f t="shared" si="108"/>
        <v>51011.024313662179</v>
      </c>
      <c r="DQ94" s="101"/>
      <c r="DR94" s="29">
        <f>VLOOKUP(A94,'ДЗ нас '!$A$1:$C$359,2)</f>
        <v>50895.33</v>
      </c>
      <c r="DS94" s="733"/>
      <c r="DT94" s="29">
        <f t="shared" si="109"/>
        <v>50895.33</v>
      </c>
      <c r="DU94" s="247">
        <f>VLOOKUP(A94,'новий кошторис с 01.06'!$A$4:$AI$399,35)*1.2</f>
        <v>51224.80291037343</v>
      </c>
      <c r="DV94" s="29">
        <f t="shared" si="110"/>
        <v>-329.47291037342802</v>
      </c>
      <c r="DW94" s="1016">
        <f>'[2]побудинковий звіт'!$DW$9+'[1]побудинковий звіт'!DW94</f>
        <v>1341</v>
      </c>
      <c r="DX94" s="101">
        <f>'[1]побудинковий звіт'!DX94</f>
        <v>0</v>
      </c>
      <c r="DY94" s="5">
        <f t="shared" si="111"/>
        <v>174386.49258977969</v>
      </c>
      <c r="DZ94" s="5">
        <f t="shared" si="112"/>
        <v>218552.55232813017</v>
      </c>
      <c r="EA94" s="737">
        <f t="shared" si="113"/>
        <v>44809.78</v>
      </c>
      <c r="EC94" s="577">
        <f t="shared" si="114"/>
        <v>1592284.8549172485</v>
      </c>
      <c r="EE94" s="743">
        <v>-31571</v>
      </c>
      <c r="EF94" s="723">
        <f t="shared" si="115"/>
        <v>-2758.6504584003706</v>
      </c>
      <c r="EH94" s="798">
        <v>-33630.698934741944</v>
      </c>
      <c r="EI94" s="101">
        <f>VLOOKUP(A94,'кошти 01.01.24'!$A$9:$D$352,4,FALSE)</f>
        <v>26003.602115730471</v>
      </c>
    </row>
    <row r="95" spans="1:139" hidden="1" x14ac:dyDescent="0.3">
      <c r="A95" s="318">
        <v>150000532</v>
      </c>
      <c r="B95" s="43" t="s">
        <v>520</v>
      </c>
      <c r="C95" s="44" t="s">
        <v>253</v>
      </c>
      <c r="D95" s="44" t="s">
        <v>253</v>
      </c>
      <c r="E95" s="39">
        <f t="shared" si="64"/>
        <v>2492.3200000000002</v>
      </c>
      <c r="F95" s="205">
        <f>'[1]побудинковий звіт'!F95</f>
        <v>2492.3200000000002</v>
      </c>
      <c r="G95" s="29">
        <f>'[1]побудинковий звіт'!G95</f>
        <v>0</v>
      </c>
      <c r="H95" s="148">
        <f>'[1]побудинковий звіт'!H95</f>
        <v>0</v>
      </c>
      <c r="I95" s="41">
        <f>'[2]побудинковий звіт'!I95+'[1]побудинковий звіт'!I95</f>
        <v>8390.1815248081821</v>
      </c>
      <c r="J95" s="41">
        <f>'[2]побудинковий звіт'!J95+'[1]побудинковий звіт'!J95</f>
        <v>6598.9857101827183</v>
      </c>
      <c r="K95" s="55">
        <f t="shared" si="65"/>
        <v>-1791.1958146254638</v>
      </c>
      <c r="L95" s="41">
        <f>'[2]побудинковий звіт'!L95+'[1]побудинковий звіт'!L95</f>
        <v>1805.5432110473944</v>
      </c>
      <c r="M95" s="41">
        <f>'[2]побудинковий звіт'!M95+'[1]побудинковий звіт'!M95</f>
        <v>1580.9379570219721</v>
      </c>
      <c r="N95" s="55">
        <f t="shared" si="66"/>
        <v>-224.60525402542225</v>
      </c>
      <c r="O95" s="41">
        <f>'[2]побудинковий звіт'!O95+'[1]побудинковий звіт'!O95</f>
        <v>4048.3494113829424</v>
      </c>
      <c r="P95" s="41">
        <f>'[2]побудинковий звіт'!P95+'[1]побудинковий звіт'!P95</f>
        <v>4059.8032400522206</v>
      </c>
      <c r="Q95" s="55">
        <f t="shared" si="67"/>
        <v>11.453828669278209</v>
      </c>
      <c r="R95" s="41">
        <f>'[2]побудинковий звіт'!R95+'[1]побудинковий звіт'!R95</f>
        <v>845.1648199503968</v>
      </c>
      <c r="S95" s="41">
        <f>'[2]побудинковий звіт'!S95+'[1]побудинковий звіт'!S95</f>
        <v>847.59840696533001</v>
      </c>
      <c r="T95" s="55">
        <f t="shared" si="68"/>
        <v>2.4335870149332095</v>
      </c>
      <c r="U95" s="41">
        <f>'[2]побудинковий звіт'!U95+'[1]побудинковий звіт'!U95</f>
        <v>566.15573473312088</v>
      </c>
      <c r="V95" s="41">
        <f>'[2]побудинковий звіт'!V95+'[1]побудинковий звіт'!V95</f>
        <v>308.36358140374927</v>
      </c>
      <c r="W95" s="55">
        <f t="shared" si="69"/>
        <v>-257.79215332937162</v>
      </c>
      <c r="X95" s="41">
        <f>'[2]побудинковий звіт'!X95+'[1]побудинковий звіт'!X95</f>
        <v>5610.8359149963089</v>
      </c>
      <c r="Y95" s="41">
        <f>'[2]побудинковий звіт'!Y95+'[1]побудинковий звіт'!Y95</f>
        <v>6116.3657922993007</v>
      </c>
      <c r="Z95" s="55">
        <f t="shared" si="70"/>
        <v>505.52987730299174</v>
      </c>
      <c r="AA95" s="41">
        <f>'[2]побудинковий звіт'!AA95+'[1]побудинковий звіт'!AA95</f>
        <v>0</v>
      </c>
      <c r="AB95" s="41">
        <f>'[2]побудинковий звіт'!AB95+'[1]побудинковий звіт'!AB95</f>
        <v>0</v>
      </c>
      <c r="AC95" s="55">
        <f t="shared" si="71"/>
        <v>0</v>
      </c>
      <c r="AD95" s="41">
        <f>'[2]побудинковий звіт'!AD95+'[1]побудинковий звіт'!AD95</f>
        <v>10801.152731636144</v>
      </c>
      <c r="AE95" s="41">
        <f>'[2]побудинковий звіт'!AE95+'[1]побудинковий звіт'!AE95</f>
        <v>10759.478946325733</v>
      </c>
      <c r="AF95" s="36">
        <f t="shared" si="72"/>
        <v>-41.673785310411404</v>
      </c>
      <c r="AG95" s="84">
        <f t="shared" si="73"/>
        <v>32067.383348554489</v>
      </c>
      <c r="AH95" s="56">
        <f t="shared" si="74"/>
        <v>30271.533634251024</v>
      </c>
      <c r="AI95" s="55">
        <f t="shared" si="75"/>
        <v>-1795.8497143034656</v>
      </c>
      <c r="AJ95" s="41">
        <f>'[2]побудинковий звіт'!AJ95+'[1]побудинковий звіт'!AJ95</f>
        <v>0</v>
      </c>
      <c r="AK95" s="41">
        <f>'[2]побудинковий звіт'!AK95+'[1]побудинковий звіт'!AK95</f>
        <v>0</v>
      </c>
      <c r="AL95" s="55">
        <f t="shared" si="76"/>
        <v>0</v>
      </c>
      <c r="AM95" s="41">
        <f>'[2]побудинковий звіт'!AM95+'[1]побудинковий звіт'!AM95</f>
        <v>0</v>
      </c>
      <c r="AN95" s="41">
        <f>'[2]побудинковий звіт'!AN95+'[1]побудинковий звіт'!AN95</f>
        <v>0</v>
      </c>
      <c r="AO95" s="55">
        <f t="shared" si="77"/>
        <v>0</v>
      </c>
      <c r="AP95" s="41">
        <f>'[2]побудинковий звіт'!AP95+'[1]побудинковий звіт'!AP95</f>
        <v>2228.8453715367091</v>
      </c>
      <c r="AQ95" s="41">
        <f>'[2]побудинковий звіт'!AQ95+'[1]побудинковий звіт'!AQ95</f>
        <v>2083.8471719410554</v>
      </c>
      <c r="AR95" s="55">
        <f t="shared" si="78"/>
        <v>-144.99819959565366</v>
      </c>
      <c r="AS95" s="41">
        <f>'[2]побудинковий звіт'!AS95+'[1]побудинковий звіт'!AS95</f>
        <v>25342.725276278405</v>
      </c>
      <c r="AT95" s="41">
        <f>'[2]побудинковий звіт'!AT95+'[1]побудинковий звіт'!AT95</f>
        <v>20147.457799496944</v>
      </c>
      <c r="AU95" s="57">
        <f t="shared" si="79"/>
        <v>-5195.2674767814606</v>
      </c>
      <c r="AV95" s="41">
        <f>'[2]побудинковий звіт'!AV95+'[1]побудинковий звіт'!AV95</f>
        <v>1481.3518736905023</v>
      </c>
      <c r="AW95" s="41">
        <f>'[2]побудинковий звіт'!AW95+'[1]побудинковий звіт'!AW95</f>
        <v>1489.9095250946195</v>
      </c>
      <c r="AX95" s="58">
        <f t="shared" si="80"/>
        <v>8.5576514041172231</v>
      </c>
      <c r="AY95" s="41">
        <f>'[2]побудинковий звіт'!AY95+'[1]побудинковий звіт'!AY95</f>
        <v>2147.7333613624146</v>
      </c>
      <c r="AZ95" s="41">
        <f>'[2]побудинковий звіт'!AZ95+'[1]побудинковий звіт'!AZ95</f>
        <v>2370.3930450573271</v>
      </c>
      <c r="BA95" s="36">
        <f t="shared" si="81"/>
        <v>222.65968369491247</v>
      </c>
      <c r="BB95" s="41">
        <f>'[2]побудинковий звіт'!BB95+'[1]побудинковий звіт'!BB95</f>
        <v>701.74615545264874</v>
      </c>
      <c r="BC95" s="41">
        <f>'[2]побудинковий звіт'!BC95+'[1]побудинковий звіт'!BC95</f>
        <v>0</v>
      </c>
      <c r="BD95" s="58">
        <f t="shared" si="82"/>
        <v>-701.74615545264874</v>
      </c>
      <c r="BE95" s="41">
        <f>'[2]побудинковий звіт'!BE95+'[1]побудинковий звіт'!BE95</f>
        <v>615.21260834171096</v>
      </c>
      <c r="BF95" s="41">
        <f>'[2]побудинковий звіт'!BF95+'[1]побудинковий звіт'!BF95</f>
        <v>0</v>
      </c>
      <c r="BG95" s="38">
        <f t="shared" si="83"/>
        <v>-615.21260834171096</v>
      </c>
      <c r="BH95" s="41">
        <f>'[2]побудинковий звіт'!BH95+'[1]побудинковий звіт'!BH95</f>
        <v>524.13941603615615</v>
      </c>
      <c r="BI95" s="41">
        <f>'[2]побудинковий звіт'!BI95+'[1]побудинковий звіт'!BI95</f>
        <v>0</v>
      </c>
      <c r="BJ95" s="58">
        <f t="shared" si="84"/>
        <v>-524.13941603615615</v>
      </c>
      <c r="BK95" s="41">
        <f>'[2]побудинковий звіт'!BK95+'[1]побудинковий звіт'!BK95</f>
        <v>1094.9826479016895</v>
      </c>
      <c r="BL95" s="41">
        <f>'[2]побудинковий звіт'!BL95+'[1]побудинковий звіт'!BL95</f>
        <v>6060.7122425584621</v>
      </c>
      <c r="BM95" s="38">
        <f t="shared" si="85"/>
        <v>4965.7295946567729</v>
      </c>
      <c r="BN95" s="41">
        <f>'[2]побудинковий звіт'!BN95+'[1]побудинковий звіт'!BN95</f>
        <v>646.14710559356263</v>
      </c>
      <c r="BO95" s="41">
        <f>'[2]побудинковий звіт'!BO95+'[1]побудинковий звіт'!BO95</f>
        <v>0</v>
      </c>
      <c r="BP95" s="58">
        <f t="shared" si="86"/>
        <v>-646.14710559356263</v>
      </c>
      <c r="BQ95" s="84">
        <f t="shared" si="87"/>
        <v>7211.3131683786842</v>
      </c>
      <c r="BR95" s="42">
        <f t="shared" si="88"/>
        <v>9921.0148127104076</v>
      </c>
      <c r="BS95" s="58">
        <f t="shared" si="89"/>
        <v>2709.7016443317234</v>
      </c>
      <c r="BT95" s="41">
        <f>'[2]побудинковий звіт'!BT95+'[1]побудинковий звіт'!BT95</f>
        <v>56401.338281233795</v>
      </c>
      <c r="BU95" s="41">
        <f>'[2]побудинковий звіт'!BU95+'[1]побудинковий звіт'!BU95</f>
        <v>73630.988697670808</v>
      </c>
      <c r="BV95" s="55">
        <f t="shared" si="90"/>
        <v>17229.650416437013</v>
      </c>
      <c r="BW95" s="41">
        <f>'[2]побудинковий звіт'!BW95+'[1]побудинковий звіт'!BW95</f>
        <v>23697.197977537238</v>
      </c>
      <c r="BX95" s="41">
        <f>'[2]побудинковий звіт'!BX95+'[1]побудинковий звіт'!BX95</f>
        <v>26732.964036032507</v>
      </c>
      <c r="BY95" s="55">
        <f t="shared" si="91"/>
        <v>3035.7660584952682</v>
      </c>
      <c r="BZ95" s="41">
        <f>'[2]побудинковий звіт'!BZ95+'[1]побудинковий звіт'!BZ95</f>
        <v>13559.102053638495</v>
      </c>
      <c r="CA95" s="41">
        <f>'[2]побудинковий звіт'!CA95+'[1]побудинковий звіт'!CA95</f>
        <v>4377.8736895735228</v>
      </c>
      <c r="CB95" s="55">
        <f t="shared" si="92"/>
        <v>-9181.228364064973</v>
      </c>
      <c r="CC95" s="41">
        <f>'[2]побудинковий звіт'!CC95+'[1]побудинковий звіт'!CC95</f>
        <v>1543.8813414822805</v>
      </c>
      <c r="CD95" s="41">
        <f>'[2]побудинковий звіт'!CD95+'[1]побудинковий звіт'!CD95</f>
        <v>1549.1164709010566</v>
      </c>
      <c r="CE95" s="55">
        <f t="shared" si="93"/>
        <v>5.2351294187760686</v>
      </c>
      <c r="CF95" s="41">
        <f>'[2]побудинковий звіт'!CF95+'[1]побудинковий звіт'!CF95</f>
        <v>191.27869219441234</v>
      </c>
      <c r="CG95" s="41">
        <f>'[2]побудинковий звіт'!CG95+'[1]побудинковий звіт'!CG95</f>
        <v>0</v>
      </c>
      <c r="CH95" s="55">
        <f t="shared" si="94"/>
        <v>-191.27869219441234</v>
      </c>
      <c r="CI95" s="41">
        <f>'[2]побудинковий звіт'!CI95+'[1]побудинковий звіт'!CI95</f>
        <v>4948.4711981653309</v>
      </c>
      <c r="CJ95" s="41">
        <f>'[2]побудинковий звіт'!CJ95+'[1]побудинковий звіт'!CJ95</f>
        <v>4064.6519917349096</v>
      </c>
      <c r="CK95" s="55">
        <f t="shared" si="95"/>
        <v>-883.81920643042122</v>
      </c>
      <c r="CL95" s="41">
        <f>'[2]побудинковий звіт'!CL95+'[1]побудинковий звіт'!CL95</f>
        <v>0</v>
      </c>
      <c r="CM95" s="41">
        <f>'[2]побудинковий звіт'!CM95+'[1]побудинковий звіт'!CM95</f>
        <v>0</v>
      </c>
      <c r="CN95" s="55">
        <f t="shared" si="96"/>
        <v>0</v>
      </c>
      <c r="CO95" s="41">
        <f t="shared" si="97"/>
        <v>4948.4711981653309</v>
      </c>
      <c r="CP95" s="42">
        <f t="shared" si="98"/>
        <v>4064.6519917349096</v>
      </c>
      <c r="CQ95" s="55">
        <f t="shared" si="99"/>
        <v>-883.81920643042122</v>
      </c>
      <c r="CR95" s="76">
        <f t="shared" si="100"/>
        <v>167191.5367089998</v>
      </c>
      <c r="CS95" s="5">
        <f t="shared" si="101"/>
        <v>172779.44830431225</v>
      </c>
      <c r="CT95" s="55">
        <f t="shared" si="102"/>
        <v>5587.9115953124419</v>
      </c>
      <c r="CU95" s="84">
        <f t="shared" si="103"/>
        <v>200629.84405079976</v>
      </c>
      <c r="CV95" s="68">
        <f t="shared" si="104"/>
        <v>207335.33796517469</v>
      </c>
      <c r="CW95" s="36">
        <f t="shared" si="105"/>
        <v>6705.4939143749361</v>
      </c>
      <c r="CX95" s="41">
        <f>'[2]побудинковий звіт'!CX95+'[1]побудинковий звіт'!CX95</f>
        <v>2168.1889960444246</v>
      </c>
      <c r="CY95" s="41">
        <f>'[2]побудинковий звіт'!CY95+'[1]побудинковий звіт'!CY95</f>
        <v>-4537.3049183304429</v>
      </c>
      <c r="CZ95" s="55">
        <f t="shared" si="106"/>
        <v>-6705.493914374867</v>
      </c>
      <c r="DA95" s="254">
        <f>'[1]побудинковий звіт'!DA95</f>
        <v>-26207.05754719126</v>
      </c>
      <c r="DB95" s="2">
        <v>1</v>
      </c>
      <c r="DC95" s="702">
        <f>'[1]побудинковий звіт'!DC95</f>
        <v>50834.97</v>
      </c>
      <c r="DD95" s="702">
        <f>'[1]побудинковий звіт'!DD95</f>
        <v>0</v>
      </c>
      <c r="DE95" s="702">
        <f>'[1]побудинковий звіт'!DE95</f>
        <v>28629.39</v>
      </c>
      <c r="DF95" s="702">
        <f>'[1]побудинковий звіт'!DF95</f>
        <v>0</v>
      </c>
      <c r="DG95" s="772">
        <v>-5956.4994266013382</v>
      </c>
      <c r="DH95" s="746">
        <f t="shared" si="107"/>
        <v>2433576.3965621302</v>
      </c>
      <c r="DI95" s="769"/>
      <c r="DJ95" s="5"/>
      <c r="DK95" s="307">
        <f>VLOOKUP($A95,ціни!$A$4:$G$401,5)</f>
        <v>6.3802508227835402</v>
      </c>
      <c r="DL95" s="307"/>
      <c r="DM95" s="307">
        <f>VLOOKUP($A95,ціни!$A$4:$G$401,7)</f>
        <v>5.4732005689174654</v>
      </c>
      <c r="DN95" s="29">
        <f>F95*DK95</f>
        <v>15901.626730639873</v>
      </c>
      <c r="DO95" s="29">
        <f>H95*DM95</f>
        <v>0</v>
      </c>
      <c r="DP95" s="306">
        <f t="shared" si="108"/>
        <v>15901.626730639873</v>
      </c>
      <c r="DQ95" s="101"/>
      <c r="DR95" s="29">
        <f>VLOOKUP(A95,'ДЗ нас '!$A$1:$C$359,2)</f>
        <v>15901.75</v>
      </c>
      <c r="DS95" s="733"/>
      <c r="DT95" s="29">
        <f t="shared" si="109"/>
        <v>15901.75</v>
      </c>
      <c r="DU95" s="247">
        <f>VLOOKUP(A95,'новий кошторис с 01.06'!$A$4:$AI$399,35)*1.2</f>
        <v>15885.995116124051</v>
      </c>
      <c r="DV95" s="29">
        <f t="shared" si="110"/>
        <v>15.754883875948508</v>
      </c>
      <c r="DW95" s="1016">
        <f>'[2]побудинковий звіт'!$DW$9+'[1]побудинковий звіт'!DW95</f>
        <v>918</v>
      </c>
      <c r="DX95" s="101">
        <f>'[1]побудинковий звіт'!DX95</f>
        <v>0</v>
      </c>
      <c r="DY95" s="5">
        <f t="shared" si="111"/>
        <v>39064.846133588508</v>
      </c>
      <c r="DZ95" s="5">
        <f t="shared" si="112"/>
        <v>36082.167134648822</v>
      </c>
      <c r="EA95" s="737">
        <f t="shared" si="113"/>
        <v>28629.39</v>
      </c>
      <c r="EC95" s="577">
        <f t="shared" si="114"/>
        <v>304112.70331534086</v>
      </c>
      <c r="EE95" s="743">
        <v>14871</v>
      </c>
      <c r="EF95" s="723">
        <f t="shared" si="115"/>
        <v>8914.5005733986618</v>
      </c>
      <c r="EH95" s="798">
        <v>-21422.192217958873</v>
      </c>
      <c r="EI95" s="101">
        <f>VLOOKUP(A95,'кошти 01.01.24'!$A$9:$D$352,4,FALSE)</f>
        <v>-32912.551461566123</v>
      </c>
    </row>
    <row r="96" spans="1:139" ht="14.4" hidden="1" customHeight="1" x14ac:dyDescent="0.3">
      <c r="A96" s="318">
        <v>150000533</v>
      </c>
      <c r="B96" s="43" t="s">
        <v>521</v>
      </c>
      <c r="C96" s="44" t="s">
        <v>349</v>
      </c>
      <c r="D96" s="44" t="s">
        <v>349</v>
      </c>
      <c r="E96" s="39">
        <f t="shared" si="64"/>
        <v>11379.7</v>
      </c>
      <c r="F96" s="205">
        <f>'[1]побудинковий звіт'!F96</f>
        <v>11379.7</v>
      </c>
      <c r="G96" s="29">
        <f>'[1]побудинковий звіт'!G96</f>
        <v>1296.7</v>
      </c>
      <c r="H96" s="148">
        <f>'[1]побудинковий звіт'!H96</f>
        <v>0</v>
      </c>
      <c r="I96" s="41">
        <f>'[2]побудинковий звіт'!I96+'[1]побудинковий звіт'!I96</f>
        <v>32423.956304185242</v>
      </c>
      <c r="J96" s="41">
        <f>'[2]побудинковий звіт'!J96+'[1]побудинковий звіт'!J96</f>
        <v>25614.609591133969</v>
      </c>
      <c r="K96" s="55">
        <f t="shared" si="65"/>
        <v>-6809.3467130512727</v>
      </c>
      <c r="L96" s="41">
        <f>'[2]побудинковий звіт'!L96+'[1]побудинковий звіт'!L96</f>
        <v>5533.0132630306689</v>
      </c>
      <c r="M96" s="41">
        <f>'[2]побудинковий звіт'!M96+'[1]побудинковий звіт'!M96</f>
        <v>4730.8541742986499</v>
      </c>
      <c r="N96" s="55">
        <f t="shared" si="66"/>
        <v>-802.15908873201897</v>
      </c>
      <c r="O96" s="41">
        <f>'[2]побудинковий звіт'!O96+'[1]побудинковий звіт'!O96</f>
        <v>18248.956943537203</v>
      </c>
      <c r="P96" s="41">
        <f>'[2]побудинковий звіт'!P96+'[1]побудинковий звіт'!P96</f>
        <v>18300.477133547938</v>
      </c>
      <c r="Q96" s="55">
        <f t="shared" si="67"/>
        <v>51.52019001073495</v>
      </c>
      <c r="R96" s="41">
        <f>'[2]побудинковий звіт'!R96+'[1]побудинковий звіт'!R96</f>
        <v>3955.8746691968272</v>
      </c>
      <c r="S96" s="41">
        <f>'[2]побудинковий звіт'!S96+'[1]побудинковий звіт'!S96</f>
        <v>3966.8049149440285</v>
      </c>
      <c r="T96" s="55">
        <f t="shared" si="68"/>
        <v>10.930245747201297</v>
      </c>
      <c r="U96" s="41">
        <f>'[2]побудинковий звіт'!U96+'[1]побудинковий звіт'!U96</f>
        <v>5361.4472837285466</v>
      </c>
      <c r="V96" s="41">
        <f>'[2]побудинковий звіт'!V96+'[1]побудинковий звіт'!V96</f>
        <v>2098.7074169365173</v>
      </c>
      <c r="W96" s="55">
        <f t="shared" si="69"/>
        <v>-3262.7398667920293</v>
      </c>
      <c r="X96" s="41">
        <f>'[2]побудинковий звіт'!X96+'[1]побудинковий звіт'!X96</f>
        <v>27361.604159289538</v>
      </c>
      <c r="Y96" s="41">
        <f>'[2]побудинковий звіт'!Y96+'[1]побудинковий звіт'!Y96</f>
        <v>20016.039167204228</v>
      </c>
      <c r="Z96" s="55">
        <f t="shared" si="70"/>
        <v>-7345.5649920853102</v>
      </c>
      <c r="AA96" s="41">
        <f>'[2]побудинковий звіт'!AA96+'[1]побудинковий звіт'!AA96</f>
        <v>0</v>
      </c>
      <c r="AB96" s="41">
        <f>'[2]побудинковий звіт'!AB96+'[1]побудинковий звіт'!AB96</f>
        <v>0</v>
      </c>
      <c r="AC96" s="55">
        <f t="shared" si="71"/>
        <v>0</v>
      </c>
      <c r="AD96" s="41">
        <f>'[2]побудинковий звіт'!AD96+'[1]побудинковий звіт'!AD96</f>
        <v>49349.573759175852</v>
      </c>
      <c r="AE96" s="41">
        <f>'[2]побудинковий звіт'!AE96+'[1]побудинковий звіт'!AE96</f>
        <v>49157.933744893075</v>
      </c>
      <c r="AF96" s="36">
        <f t="shared" si="72"/>
        <v>-191.64001428277697</v>
      </c>
      <c r="AG96" s="84">
        <f t="shared" si="73"/>
        <v>142234.42638214387</v>
      </c>
      <c r="AH96" s="56">
        <f t="shared" si="74"/>
        <v>123885.4261429584</v>
      </c>
      <c r="AI96" s="55">
        <f t="shared" si="75"/>
        <v>-18349.000239185465</v>
      </c>
      <c r="AJ96" s="41">
        <f>'[2]побудинковий звіт'!AJ96+'[1]побудинковий звіт'!AJ96</f>
        <v>136122.19556994861</v>
      </c>
      <c r="AK96" s="41">
        <f>'[2]побудинковий звіт'!AK96+'[1]побудинковий звіт'!AK96</f>
        <v>126738.59480159194</v>
      </c>
      <c r="AL96" s="55">
        <f t="shared" si="76"/>
        <v>-9383.6007683566713</v>
      </c>
      <c r="AM96" s="41">
        <f>'[2]побудинковий звіт'!AM96+'[1]побудинковий звіт'!AM96</f>
        <v>1328.5053170497004</v>
      </c>
      <c r="AN96" s="41">
        <f>'[2]побудинковий звіт'!AN96+'[1]побудинковий звіт'!AN96</f>
        <v>0</v>
      </c>
      <c r="AO96" s="55">
        <f t="shared" si="77"/>
        <v>-1328.5053170497004</v>
      </c>
      <c r="AP96" s="41">
        <f>'[2]побудинковий звіт'!AP96+'[1]побудинковий звіт'!AP96</f>
        <v>9014.4412804373587</v>
      </c>
      <c r="AQ96" s="41">
        <f>'[2]побудинковий звіт'!AQ96+'[1]побудинковий звіт'!AQ96</f>
        <v>8554.4073206704106</v>
      </c>
      <c r="AR96" s="55">
        <f t="shared" si="78"/>
        <v>-460.0339597669481</v>
      </c>
      <c r="AS96" s="41">
        <f>'[2]побудинковий звіт'!AS96+'[1]побудинковий звіт'!AS96</f>
        <v>204972.64041675886</v>
      </c>
      <c r="AT96" s="41">
        <f>'[2]побудинковий звіт'!AT96+'[1]побудинковий звіт'!AT96</f>
        <v>81000.219081355317</v>
      </c>
      <c r="AU96" s="57">
        <f t="shared" si="79"/>
        <v>-123972.42133540355</v>
      </c>
      <c r="AV96" s="41">
        <f>'[2]побудинковий звіт'!AV96+'[1]побудинковий звіт'!AV96</f>
        <v>1051.1190025807823</v>
      </c>
      <c r="AW96" s="41">
        <f>'[2]побудинковий звіт'!AW96+'[1]побудинковий звіт'!AW96</f>
        <v>2529.6937279996509</v>
      </c>
      <c r="AX96" s="58">
        <f t="shared" si="80"/>
        <v>1478.5747254188686</v>
      </c>
      <c r="AY96" s="41">
        <f>'[2]побудинковий звіт'!AY96+'[1]побудинковий звіт'!AY96</f>
        <v>1510.1350495973563</v>
      </c>
      <c r="AZ96" s="41">
        <f>'[2]побудинковий звіт'!AZ96+'[1]побудинковий звіт'!AZ96</f>
        <v>7245.668937201659</v>
      </c>
      <c r="BA96" s="36">
        <f t="shared" si="81"/>
        <v>5735.5338876043024</v>
      </c>
      <c r="BB96" s="41">
        <f>'[2]побудинковий звіт'!BB96+'[1]побудинковий звіт'!BB96</f>
        <v>1155.0590136988073</v>
      </c>
      <c r="BC96" s="41">
        <f>'[2]побудинковий звіт'!BC96+'[1]побудинковий звіт'!BC96</f>
        <v>0</v>
      </c>
      <c r="BD96" s="58">
        <f t="shared" si="82"/>
        <v>-1155.0590136988073</v>
      </c>
      <c r="BE96" s="41">
        <f>'[2]побудинковий звіт'!BE96+'[1]побудинковий звіт'!BE96</f>
        <v>730.68882044495854</v>
      </c>
      <c r="BF96" s="41">
        <f>'[2]побудинковий звіт'!BF96+'[1]побудинковий звіт'!BF96</f>
        <v>3476.2876682233041</v>
      </c>
      <c r="BG96" s="38">
        <f t="shared" si="83"/>
        <v>2745.5988477783458</v>
      </c>
      <c r="BH96" s="41">
        <f>'[2]побудинковий звіт'!BH96+'[1]побудинковий звіт'!BH96</f>
        <v>1285.5332632479463</v>
      </c>
      <c r="BI96" s="41">
        <f>'[2]побудинковий звіт'!BI96+'[1]побудинковий звіт'!BI96</f>
        <v>1065.6453268944231</v>
      </c>
      <c r="BJ96" s="58">
        <f t="shared" si="84"/>
        <v>-219.88793635352317</v>
      </c>
      <c r="BK96" s="41">
        <f>'[2]побудинковий звіт'!BK96+'[1]побудинковий звіт'!BK96</f>
        <v>1576.0640192087901</v>
      </c>
      <c r="BL96" s="41">
        <f>'[2]побудинковий звіт'!BL96+'[1]побудинковий звіт'!BL96</f>
        <v>6556.1410798053876</v>
      </c>
      <c r="BM96" s="38">
        <f t="shared" si="85"/>
        <v>4980.0770605965972</v>
      </c>
      <c r="BN96" s="41">
        <f>'[2]побудинковий звіт'!BN96+'[1]побудинковий звіт'!BN96</f>
        <v>1229.5422001266131</v>
      </c>
      <c r="BO96" s="41">
        <f>'[2]побудинковий звіт'!BO96+'[1]побудинковий звіт'!BO96</f>
        <v>23204.609039609684</v>
      </c>
      <c r="BP96" s="58">
        <f t="shared" si="86"/>
        <v>21975.066839483072</v>
      </c>
      <c r="BQ96" s="84">
        <f t="shared" si="87"/>
        <v>8538.1413689052533</v>
      </c>
      <c r="BR96" s="42">
        <f t="shared" si="88"/>
        <v>44078.045779734108</v>
      </c>
      <c r="BS96" s="58">
        <f t="shared" si="89"/>
        <v>35539.904410828851</v>
      </c>
      <c r="BT96" s="41">
        <f>'[2]побудинковий звіт'!BT96+'[1]побудинковий звіт'!BT96</f>
        <v>187558.44915270727</v>
      </c>
      <c r="BU96" s="41">
        <f>'[2]побудинковий звіт'!BU96+'[1]побудинковий звіт'!BU96</f>
        <v>254096.07461966717</v>
      </c>
      <c r="BV96" s="55">
        <f t="shared" si="90"/>
        <v>66537.6254669599</v>
      </c>
      <c r="BW96" s="41">
        <f>'[2]побудинковий звіт'!BW96+'[1]побудинковий звіт'!BW96</f>
        <v>109570.08439110748</v>
      </c>
      <c r="BX96" s="41">
        <f>'[2]побудинковий звіт'!BX96+'[1]побудинковий звіт'!BX96</f>
        <v>143816.35023553969</v>
      </c>
      <c r="BY96" s="55">
        <f t="shared" si="91"/>
        <v>34246.265844432215</v>
      </c>
      <c r="BZ96" s="41">
        <f>'[2]побудинковий звіт'!BZ96+'[1]побудинковий звіт'!BZ96</f>
        <v>21186.096958810154</v>
      </c>
      <c r="CA96" s="41">
        <f>'[2]побудинковий звіт'!CA96+'[1]побудинковий звіт'!CA96</f>
        <v>23490.302769879163</v>
      </c>
      <c r="CB96" s="55">
        <f t="shared" si="92"/>
        <v>2304.2058110690086</v>
      </c>
      <c r="CC96" s="41">
        <f>'[2]побудинковий звіт'!CC96+'[1]побудинковий звіт'!CC96</f>
        <v>3290.5192515453027</v>
      </c>
      <c r="CD96" s="41">
        <f>'[2]побудинковий звіт'!CD96+'[1]побудинковий звіт'!CD96</f>
        <v>3301.6770352907001</v>
      </c>
      <c r="CE96" s="55">
        <f t="shared" si="93"/>
        <v>11.15778374539741</v>
      </c>
      <c r="CF96" s="41">
        <f>'[2]побудинковий звіт'!CF96+'[1]побудинковий звіт'!CF96</f>
        <v>407.67784554726819</v>
      </c>
      <c r="CG96" s="41">
        <f>'[2]побудинковий звіт'!CG96+'[1]побудинковий звіт'!CG96</f>
        <v>0</v>
      </c>
      <c r="CH96" s="55">
        <f t="shared" si="94"/>
        <v>-407.67784554726819</v>
      </c>
      <c r="CI96" s="41">
        <f>'[2]побудинковий звіт'!CI96+'[1]побудинковий звіт'!CI96</f>
        <v>33770.616222943558</v>
      </c>
      <c r="CJ96" s="41">
        <f>'[2]побудинковий звіт'!CJ96+'[1]побудинковий звіт'!CJ96</f>
        <v>36578.52695078004</v>
      </c>
      <c r="CK96" s="55">
        <f t="shared" si="95"/>
        <v>2807.9107278364827</v>
      </c>
      <c r="CL96" s="41">
        <f>'[2]побудинковий звіт'!CL96+'[1]побудинковий звіт'!CL96</f>
        <v>22826.998682370679</v>
      </c>
      <c r="CM96" s="41">
        <f>'[2]побудинковий звіт'!CM96+'[1]побудинковий звіт'!CM96</f>
        <v>42889.395736199782</v>
      </c>
      <c r="CN96" s="55">
        <f t="shared" si="96"/>
        <v>20062.397053829103</v>
      </c>
      <c r="CO96" s="41">
        <f t="shared" si="97"/>
        <v>56597.614905314236</v>
      </c>
      <c r="CP96" s="42">
        <f t="shared" si="98"/>
        <v>79467.922686979815</v>
      </c>
      <c r="CQ96" s="55">
        <f t="shared" si="99"/>
        <v>22870.307781665579</v>
      </c>
      <c r="CR96" s="76">
        <f t="shared" si="100"/>
        <v>880820.79284027545</v>
      </c>
      <c r="CS96" s="5">
        <f t="shared" si="101"/>
        <v>888429.02047366672</v>
      </c>
      <c r="CT96" s="55">
        <f t="shared" si="102"/>
        <v>7608.2276333912741</v>
      </c>
      <c r="CU96" s="84">
        <f t="shared" si="103"/>
        <v>1056984.9514083306</v>
      </c>
      <c r="CV96" s="68">
        <f t="shared" si="104"/>
        <v>1066114.8245683999</v>
      </c>
      <c r="CW96" s="36">
        <f t="shared" si="105"/>
        <v>9129.8731600693427</v>
      </c>
      <c r="CX96" s="41">
        <f>'[2]побудинковий звіт'!CX96+'[1]побудинковий звіт'!CX96</f>
        <v>27858.513866347566</v>
      </c>
      <c r="CY96" s="41">
        <f>'[2]побудинковий звіт'!CY96+'[1]побудинковий звіт'!CY96</f>
        <v>18728.640706277802</v>
      </c>
      <c r="CZ96" s="55">
        <f t="shared" si="106"/>
        <v>-9129.8731600697647</v>
      </c>
      <c r="DA96" s="254">
        <f>'[1]побудинковий звіт'!DA96</f>
        <v>-13873.084965451824</v>
      </c>
      <c r="DB96" s="2">
        <v>1</v>
      </c>
      <c r="DC96" s="702">
        <f>'[1]побудинковий звіт'!DC96</f>
        <v>304201.03999999998</v>
      </c>
      <c r="DD96" s="702">
        <f>'[1]побудинковий звіт'!DD96</f>
        <v>0</v>
      </c>
      <c r="DE96" s="702">
        <f>'[1]побудинковий звіт'!DE96</f>
        <v>184480.14999999997</v>
      </c>
      <c r="DF96" s="702">
        <f>'[1]побудинковий звіт'!DF96</f>
        <v>0</v>
      </c>
      <c r="DG96" s="772">
        <v>90189.119465993717</v>
      </c>
      <c r="DH96" s="746">
        <f t="shared" si="107"/>
        <v>13018121.583296137</v>
      </c>
      <c r="DI96" s="769"/>
      <c r="DJ96" s="5"/>
      <c r="DK96" s="307">
        <f>VLOOKUP($A96,ціни!$A$4:$G$401,5)</f>
        <v>6.1644153124520153</v>
      </c>
      <c r="DL96" s="307">
        <f>VLOOKUP($A96,ціни!$A$4:$G$401,6)</f>
        <v>7.62598673902089</v>
      </c>
      <c r="DM96" s="307">
        <f>VLOOKUP($A96,ціни!$A$4:$G$401,7)</f>
        <v>5.2331751037908516</v>
      </c>
      <c r="DN96" s="29">
        <f>DK96*G96+(F96-G96)*DL96</f>
        <v>84886.221625204154</v>
      </c>
      <c r="DO96" s="29">
        <f>DM96*H96</f>
        <v>0</v>
      </c>
      <c r="DP96" s="306">
        <f t="shared" si="108"/>
        <v>84886.221625204154</v>
      </c>
      <c r="DQ96" s="101"/>
      <c r="DR96" s="29">
        <f>VLOOKUP(A96,'ДЗ нас '!$A$1:$C$359,2)</f>
        <v>84891.31</v>
      </c>
      <c r="DS96" s="733"/>
      <c r="DT96" s="29">
        <f t="shared" si="109"/>
        <v>84891.31</v>
      </c>
      <c r="DU96" s="247">
        <f>VLOOKUP(A96,'новий кошторис с 01.06'!$A$4:$AI$399,35)*1.2</f>
        <v>85202.648599808264</v>
      </c>
      <c r="DV96" s="29">
        <f t="shared" si="110"/>
        <v>-311.33859980826674</v>
      </c>
      <c r="DW96" s="1016">
        <f>'[2]побудинковий звіт'!$DW$9+'[1]побудинковий звіт'!DW96</f>
        <v>1469.97</v>
      </c>
      <c r="DX96" s="101">
        <f>'[1]побудинковий звіт'!DX96</f>
        <v>0</v>
      </c>
      <c r="DY96" s="5">
        <f t="shared" si="111"/>
        <v>256212.93814279692</v>
      </c>
      <c r="DZ96" s="5">
        <f t="shared" si="112"/>
        <v>150093.91783330729</v>
      </c>
      <c r="EA96" s="737">
        <f t="shared" si="113"/>
        <v>184480.14999999997</v>
      </c>
      <c r="EC96" s="577">
        <f t="shared" si="114"/>
        <v>2459671.6850011065</v>
      </c>
      <c r="EE96" s="743">
        <v>42030</v>
      </c>
      <c r="EF96" s="723">
        <f t="shared" si="115"/>
        <v>132219.11946599372</v>
      </c>
      <c r="EH96" s="798">
        <v>88239.159654294868</v>
      </c>
      <c r="EI96" s="101">
        <f>VLOOKUP(A96,'кошти 01.01.24'!$A$9:$D$352,4,FALSE)</f>
        <v>-23002.958125521458</v>
      </c>
    </row>
    <row r="97" spans="1:139" hidden="1" x14ac:dyDescent="0.3">
      <c r="A97" s="318">
        <v>150000534</v>
      </c>
      <c r="B97" s="43" t="s">
        <v>522</v>
      </c>
      <c r="C97" s="44" t="s">
        <v>254</v>
      </c>
      <c r="D97" s="44" t="s">
        <v>254</v>
      </c>
      <c r="E97" s="39">
        <f t="shared" si="64"/>
        <v>2481.34</v>
      </c>
      <c r="F97" s="205">
        <f>'[1]побудинковий звіт'!F97</f>
        <v>2481.34</v>
      </c>
      <c r="G97" s="29">
        <f>'[1]побудинковий звіт'!G97</f>
        <v>0</v>
      </c>
      <c r="H97" s="148">
        <f>'[1]побудинковий звіт'!H97</f>
        <v>0</v>
      </c>
      <c r="I97" s="41">
        <f>'[2]побудинковий звіт'!I97+'[1]побудинковий звіт'!I97</f>
        <v>8481.1035630217539</v>
      </c>
      <c r="J97" s="41">
        <f>'[2]побудинковий звіт'!J97+'[1]побудинковий звіт'!J97</f>
        <v>6681.7861484605255</v>
      </c>
      <c r="K97" s="55">
        <f t="shared" si="65"/>
        <v>-1799.3174145612284</v>
      </c>
      <c r="L97" s="41">
        <f>'[2]побудинковий звіт'!L97+'[1]побудинковий звіт'!L97</f>
        <v>1835.4043534994985</v>
      </c>
      <c r="M97" s="41">
        <f>'[2]побудинковий звіт'!M97+'[1]побудинковий звіт'!M97</f>
        <v>1635.1355565599265</v>
      </c>
      <c r="N97" s="55">
        <f t="shared" si="66"/>
        <v>-200.26879693957198</v>
      </c>
      <c r="O97" s="41">
        <f>'[2]побудинковий звіт'!O97+'[1]побудинковий звіт'!O97</f>
        <v>4056.7625572217057</v>
      </c>
      <c r="P97" s="41">
        <f>'[2]побудинковий звіт'!P97+'[1]побудинковий звіт'!P97</f>
        <v>4068.217077777234</v>
      </c>
      <c r="Q97" s="55">
        <f t="shared" si="67"/>
        <v>11.454520555528234</v>
      </c>
      <c r="R97" s="41">
        <f>'[2]побудинковий звіт'!R97+'[1]побудинковий звіт'!R97</f>
        <v>864.97361925014445</v>
      </c>
      <c r="S97" s="41">
        <f>'[2]побудинковий звіт'!S97+'[1]побудинковий звіт'!S97</f>
        <v>867.70047640366079</v>
      </c>
      <c r="T97" s="55">
        <f t="shared" si="68"/>
        <v>2.7268571535163346</v>
      </c>
      <c r="U97" s="41">
        <f>'[2]побудинковий звіт'!U97+'[1]побудинковий звіт'!U97</f>
        <v>566.15573473312088</v>
      </c>
      <c r="V97" s="41">
        <f>'[2]побудинковий звіт'!V97+'[1]побудинковий звіт'!V97</f>
        <v>308.36358140374927</v>
      </c>
      <c r="W97" s="55">
        <f t="shared" si="69"/>
        <v>-257.79215332937162</v>
      </c>
      <c r="X97" s="41">
        <f>'[2]побудинковий звіт'!X97+'[1]побудинковий звіт'!X97</f>
        <v>5636.9746026447383</v>
      </c>
      <c r="Y97" s="41">
        <f>'[2]побудинковий звіт'!Y97+'[1]побудинковий звіт'!Y97</f>
        <v>4077.2304996011171</v>
      </c>
      <c r="Z97" s="55">
        <f t="shared" si="70"/>
        <v>-1559.7441030436212</v>
      </c>
      <c r="AA97" s="41">
        <f>'[2]побудинковий звіт'!AA97+'[1]побудинковий звіт'!AA97</f>
        <v>0</v>
      </c>
      <c r="AB97" s="41">
        <f>'[2]побудинковий звіт'!AB97+'[1]побудинковий звіт'!AB97</f>
        <v>0</v>
      </c>
      <c r="AC97" s="55">
        <f t="shared" si="71"/>
        <v>0</v>
      </c>
      <c r="AD97" s="41">
        <f>'[2]побудинковий звіт'!AD97+'[1]побудинковий звіт'!AD97</f>
        <v>10762.562094508625</v>
      </c>
      <c r="AE97" s="41">
        <f>'[2]побудинковий звіт'!AE97+'[1]побудинковий звіт'!AE97</f>
        <v>10720.695381263025</v>
      </c>
      <c r="AF97" s="36">
        <f t="shared" si="72"/>
        <v>-41.866713245599385</v>
      </c>
      <c r="AG97" s="84">
        <f t="shared" si="73"/>
        <v>32203.936524879588</v>
      </c>
      <c r="AH97" s="56">
        <f t="shared" si="74"/>
        <v>28359.128721469235</v>
      </c>
      <c r="AI97" s="55">
        <f t="shared" si="75"/>
        <v>-3844.8078034103528</v>
      </c>
      <c r="AJ97" s="41">
        <f>'[2]побудинковий звіт'!AJ97+'[1]побудинковий звіт'!AJ97</f>
        <v>0</v>
      </c>
      <c r="AK97" s="41">
        <f>'[2]побудинковий звіт'!AK97+'[1]побудинковий звіт'!AK97</f>
        <v>0</v>
      </c>
      <c r="AL97" s="55">
        <f t="shared" si="76"/>
        <v>0</v>
      </c>
      <c r="AM97" s="41">
        <f>'[2]побудинковий звіт'!AM97+'[1]побудинковий звіт'!AM97</f>
        <v>0</v>
      </c>
      <c r="AN97" s="41">
        <f>'[2]побудинковий звіт'!AN97+'[1]побудинковий звіт'!AN97</f>
        <v>0</v>
      </c>
      <c r="AO97" s="55">
        <f t="shared" si="77"/>
        <v>0</v>
      </c>
      <c r="AP97" s="41">
        <f>'[2]побудинковий звіт'!AP97+'[1]побудинковий звіт'!AP97</f>
        <v>2228.8453715367091</v>
      </c>
      <c r="AQ97" s="41">
        <f>'[2]побудинковий звіт'!AQ97+'[1]побудинковий звіт'!AQ97</f>
        <v>2112.0765452875107</v>
      </c>
      <c r="AR97" s="55">
        <f t="shared" si="78"/>
        <v>-116.76882624919836</v>
      </c>
      <c r="AS97" s="41">
        <f>'[2]побудинковий звіт'!AS97+'[1]побудинковий звіт'!AS97</f>
        <v>46934.956575439028</v>
      </c>
      <c r="AT97" s="41">
        <f>'[2]побудинковий звіт'!AT97+'[1]побудинковий звіт'!AT97</f>
        <v>818.56495711009256</v>
      </c>
      <c r="AU97" s="57">
        <f t="shared" si="79"/>
        <v>-46116.391618328933</v>
      </c>
      <c r="AV97" s="41">
        <f>'[2]побудинковий звіт'!AV97+'[1]побудинковий звіт'!AV97</f>
        <v>1631.8467451098004</v>
      </c>
      <c r="AW97" s="41">
        <f>'[2]побудинковий звіт'!AW97+'[1]побудинковий звіт'!AW97</f>
        <v>874.56975125450276</v>
      </c>
      <c r="AX97" s="58">
        <f t="shared" si="80"/>
        <v>-757.27699385529763</v>
      </c>
      <c r="AY97" s="41">
        <f>'[2]побудинковий звіт'!AY97+'[1]побудинковий звіт'!AY97</f>
        <v>2083.2288570830806</v>
      </c>
      <c r="AZ97" s="41">
        <f>'[2]побудинковий звіт'!AZ97+'[1]побудинковий звіт'!AZ97</f>
        <v>3946.9223552812609</v>
      </c>
      <c r="BA97" s="36">
        <f t="shared" si="81"/>
        <v>1863.6934981981804</v>
      </c>
      <c r="BB97" s="41">
        <f>'[2]побудинковий звіт'!BB97+'[1]побудинковий звіт'!BB97</f>
        <v>1465.8842339931318</v>
      </c>
      <c r="BC97" s="41">
        <f>'[2]побудинковий звіт'!BC97+'[1]побудинковий звіт'!BC97</f>
        <v>0</v>
      </c>
      <c r="BD97" s="58">
        <f t="shared" si="82"/>
        <v>-1465.8842339931318</v>
      </c>
      <c r="BE97" s="41">
        <f>'[2]побудинковий звіт'!BE97+'[1]побудинковий звіт'!BE97</f>
        <v>742.38895326115244</v>
      </c>
      <c r="BF97" s="41">
        <f>'[2]побудинковий звіт'!BF97+'[1]побудинковий звіт'!BF97</f>
        <v>0</v>
      </c>
      <c r="BG97" s="38">
        <f t="shared" si="83"/>
        <v>-742.38895326115244</v>
      </c>
      <c r="BH97" s="41">
        <f>'[2]побудинковий звіт'!BH97+'[1]побудинковий звіт'!BH97</f>
        <v>524.13941603615615</v>
      </c>
      <c r="BI97" s="41">
        <f>'[2]побудинковий звіт'!BI97+'[1]побудинковий звіт'!BI97</f>
        <v>0</v>
      </c>
      <c r="BJ97" s="58">
        <f t="shared" si="84"/>
        <v>-524.13941603615615</v>
      </c>
      <c r="BK97" s="41">
        <f>'[2]побудинковий звіт'!BK97+'[1]побудинковий звіт'!BK97</f>
        <v>1147.308522566462</v>
      </c>
      <c r="BL97" s="41">
        <f>'[2]побудинковий звіт'!BL97+'[1]побудинковий звіт'!BL97</f>
        <v>3451.8002312702101</v>
      </c>
      <c r="BM97" s="38">
        <f t="shared" si="85"/>
        <v>2304.4917087037484</v>
      </c>
      <c r="BN97" s="41">
        <f>'[2]побудинковий звіт'!BN97+'[1]побудинковий звіт'!BN97</f>
        <v>730.50337136567373</v>
      </c>
      <c r="BO97" s="41">
        <f>'[2]побудинковий звіт'!BO97+'[1]побудинковий звіт'!BO97</f>
        <v>0</v>
      </c>
      <c r="BP97" s="58">
        <f t="shared" si="86"/>
        <v>-730.50337136567373</v>
      </c>
      <c r="BQ97" s="84">
        <f t="shared" si="87"/>
        <v>8325.3000994154572</v>
      </c>
      <c r="BR97" s="42">
        <f t="shared" si="88"/>
        <v>8273.292337805975</v>
      </c>
      <c r="BS97" s="58">
        <f t="shared" si="89"/>
        <v>-52.007761609482259</v>
      </c>
      <c r="BT97" s="41">
        <f>'[2]побудинковий звіт'!BT97+'[1]побудинковий звіт'!BT97</f>
        <v>46571.141160379761</v>
      </c>
      <c r="BU97" s="41">
        <f>'[2]побудинковий звіт'!BU97+'[1]побудинковий звіт'!BU97</f>
        <v>60302.424973669222</v>
      </c>
      <c r="BV97" s="55">
        <f t="shared" si="90"/>
        <v>13731.283813289461</v>
      </c>
      <c r="BW97" s="41">
        <f>'[2]побудинковий звіт'!BW97+'[1]побудинковий звіт'!BW97</f>
        <v>21917.799032917661</v>
      </c>
      <c r="BX97" s="41">
        <f>'[2]побудинковий звіт'!BX97+'[1]побудинковий звіт'!BX97</f>
        <v>29412.784321664891</v>
      </c>
      <c r="BY97" s="55">
        <f t="shared" si="91"/>
        <v>7494.9852887472298</v>
      </c>
      <c r="BZ97" s="41">
        <f>'[2]побудинковий звіт'!BZ97+'[1]побудинковий звіт'!BZ97</f>
        <v>2029.5349209229266</v>
      </c>
      <c r="CA97" s="41">
        <f>'[2]побудинковий звіт'!CA97+'[1]побудинковий звіт'!CA97</f>
        <v>5471.8767574567191</v>
      </c>
      <c r="CB97" s="55">
        <f t="shared" si="92"/>
        <v>3442.3418365337925</v>
      </c>
      <c r="CC97" s="41">
        <f>'[2]побудинковий звіт'!CC97+'[1]побудинковий звіт'!CC97</f>
        <v>1649.8399699423971</v>
      </c>
      <c r="CD97" s="41">
        <f>'[2]побудинковий звіт'!CD97+'[1]побудинковий звіт'!CD97</f>
        <v>1655.4343932512672</v>
      </c>
      <c r="CE97" s="55">
        <f t="shared" si="93"/>
        <v>5.5944233088700912</v>
      </c>
      <c r="CF97" s="41">
        <f>'[2]побудинковий звіт'!CF97+'[1]побудинковий звіт'!CF97</f>
        <v>204.40640307088802</v>
      </c>
      <c r="CG97" s="41">
        <f>'[2]побудинковий звіт'!CG97+'[1]побудинковий звіт'!CG97</f>
        <v>981.12341662373331</v>
      </c>
      <c r="CH97" s="55">
        <f t="shared" si="94"/>
        <v>776.71701355284529</v>
      </c>
      <c r="CI97" s="41">
        <f>'[2]побудинковий звіт'!CI97+'[1]побудинковий звіт'!CI97</f>
        <v>4762.4358626288104</v>
      </c>
      <c r="CJ97" s="41">
        <f>'[2]побудинковий звіт'!CJ97+'[1]побудинковий звіт'!CJ97</f>
        <v>2604.3134325810429</v>
      </c>
      <c r="CK97" s="55">
        <f t="shared" si="95"/>
        <v>-2158.1224300477675</v>
      </c>
      <c r="CL97" s="41">
        <f>'[2]побудинковий звіт'!CL97+'[1]побудинковий звіт'!CL97</f>
        <v>0</v>
      </c>
      <c r="CM97" s="41">
        <f>'[2]побудинковий звіт'!CM97+'[1]побудинковий звіт'!CM97</f>
        <v>0</v>
      </c>
      <c r="CN97" s="55">
        <f t="shared" si="96"/>
        <v>0</v>
      </c>
      <c r="CO97" s="41">
        <f t="shared" si="97"/>
        <v>4762.4358626288104</v>
      </c>
      <c r="CP97" s="42">
        <f t="shared" si="98"/>
        <v>2604.3134325810429</v>
      </c>
      <c r="CQ97" s="55">
        <f t="shared" si="99"/>
        <v>-2158.1224300477675</v>
      </c>
      <c r="CR97" s="76">
        <f t="shared" si="100"/>
        <v>166828.19592113321</v>
      </c>
      <c r="CS97" s="5">
        <f t="shared" si="101"/>
        <v>139991.01985691968</v>
      </c>
      <c r="CT97" s="55">
        <f t="shared" si="102"/>
        <v>-26837.176064213534</v>
      </c>
      <c r="CU97" s="84">
        <f t="shared" si="103"/>
        <v>200193.83510535985</v>
      </c>
      <c r="CV97" s="68">
        <f t="shared" si="104"/>
        <v>167989.2238283036</v>
      </c>
      <c r="CW97" s="36">
        <f t="shared" si="105"/>
        <v>-32204.611277056247</v>
      </c>
      <c r="CX97" s="41">
        <f>'[2]побудинковий звіт'!CX97+'[1]побудинковий звіт'!CX97</f>
        <v>5280.9641574762281</v>
      </c>
      <c r="CY97" s="41">
        <f>'[2]побудинковий звіт'!CY97+'[1]побудинковий звіт'!CY97</f>
        <v>37485.575434532453</v>
      </c>
      <c r="CZ97" s="55">
        <f t="shared" si="106"/>
        <v>32204.611277056225</v>
      </c>
      <c r="DA97" s="254">
        <f>'[1]побудинковий звіт'!DA97</f>
        <v>62615.323474049481</v>
      </c>
      <c r="DB97" s="2">
        <v>1</v>
      </c>
      <c r="DC97" s="702">
        <f>'[1]побудинковий звіт'!DC97</f>
        <v>31079.63</v>
      </c>
      <c r="DD97" s="702">
        <f>'[1]побудинковий звіт'!DD97</f>
        <v>0</v>
      </c>
      <c r="DE97" s="702">
        <f>'[1]побудинковий звіт'!DE97</f>
        <v>8539.66</v>
      </c>
      <c r="DF97" s="702">
        <f>'[1]побудинковий звіт'!DF97</f>
        <v>0</v>
      </c>
      <c r="DG97" s="772">
        <v>3518.6642652638257</v>
      </c>
      <c r="DH97" s="746">
        <f t="shared" si="107"/>
        <v>2465697.5911540329</v>
      </c>
      <c r="DI97" s="769"/>
      <c r="DJ97" s="5"/>
      <c r="DK97" s="307">
        <f>VLOOKUP($A97,ціни!$A$4:$G$401,5)</f>
        <v>6.4897474247438218</v>
      </c>
      <c r="DL97" s="307"/>
      <c r="DM97" s="307">
        <f>VLOOKUP($A97,ціни!$A$4:$G$401,7)</f>
        <v>5.6341950364621942</v>
      </c>
      <c r="DN97" s="29">
        <f>F97*DK97</f>
        <v>16103.269874913836</v>
      </c>
      <c r="DO97" s="29">
        <f>H97*DM97</f>
        <v>0</v>
      </c>
      <c r="DP97" s="306">
        <f t="shared" si="108"/>
        <v>16103.269874913836</v>
      </c>
      <c r="DQ97" s="101"/>
      <c r="DR97" s="29">
        <f>VLOOKUP(A97,'ДЗ нас '!$A$1:$C$359,2)</f>
        <v>16103.15</v>
      </c>
      <c r="DS97" s="733"/>
      <c r="DT97" s="29">
        <f t="shared" si="109"/>
        <v>16103.15</v>
      </c>
      <c r="DU97" s="247">
        <f>VLOOKUP(A97,'новий кошторис с 01.06'!$A$4:$AI$399,35)*1.2</f>
        <v>16166.810864699553</v>
      </c>
      <c r="DV97" s="29">
        <f t="shared" si="110"/>
        <v>-63.660864699553713</v>
      </c>
      <c r="DW97" s="1016">
        <f>'[2]побудинковий звіт'!$DW$9+'[1]побудинковий звіт'!DW97</f>
        <v>1062</v>
      </c>
      <c r="DX97" s="101">
        <f>'[1]побудинковий звіт'!DX97</f>
        <v>0</v>
      </c>
      <c r="DY97" s="5">
        <f t="shared" si="111"/>
        <v>66312.308009825385</v>
      </c>
      <c r="DZ97" s="5">
        <f t="shared" si="112"/>
        <v>10910.22875389928</v>
      </c>
      <c r="EA97" s="737">
        <f t="shared" si="113"/>
        <v>8539.66</v>
      </c>
      <c r="EC97" s="577">
        <f t="shared" si="114"/>
        <v>563219.47890526836</v>
      </c>
      <c r="EE97" s="743">
        <v>-35108</v>
      </c>
      <c r="EF97" s="723">
        <f t="shared" si="115"/>
        <v>-31589.335734736174</v>
      </c>
      <c r="EH97" s="798">
        <v>-8748.278023400635</v>
      </c>
      <c r="EI97" s="101">
        <f>VLOOKUP(A97,'кошти 01.01.24'!$A$9:$D$352,4,FALSE)</f>
        <v>94819.934751105786</v>
      </c>
    </row>
    <row r="98" spans="1:139" hidden="1" x14ac:dyDescent="0.3">
      <c r="A98" s="318">
        <v>150000535</v>
      </c>
      <c r="B98" s="43" t="s">
        <v>523</v>
      </c>
      <c r="C98" s="44" t="s">
        <v>350</v>
      </c>
      <c r="D98" s="44" t="s">
        <v>350</v>
      </c>
      <c r="E98" s="39">
        <f t="shared" si="64"/>
        <v>11464.41</v>
      </c>
      <c r="F98" s="205">
        <f>'[1]побудинковий звіт'!F98</f>
        <v>11369.21</v>
      </c>
      <c r="G98" s="29">
        <f>'[1]побудинковий звіт'!G98</f>
        <v>1267.95</v>
      </c>
      <c r="H98" s="148">
        <f>'[1]побудинковий звіт'!H98</f>
        <v>95.2</v>
      </c>
      <c r="I98" s="41">
        <f>'[2]побудинковий звіт'!I98+'[1]побудинковий звіт'!I98</f>
        <v>33008.020111525359</v>
      </c>
      <c r="J98" s="41">
        <f>'[2]побудинковий звіт'!J98+'[1]побудинковий звіт'!J98</f>
        <v>26137.450788929273</v>
      </c>
      <c r="K98" s="55">
        <f t="shared" si="65"/>
        <v>-6870.5693225960858</v>
      </c>
      <c r="L98" s="41">
        <f>'[2]побудинковий звіт'!L98+'[1]побудинковий звіт'!L98</f>
        <v>5562.682456849604</v>
      </c>
      <c r="M98" s="41">
        <f>'[2]побудинковий звіт'!M98+'[1]побудинковий звіт'!M98</f>
        <v>4776.0238509888113</v>
      </c>
      <c r="N98" s="55">
        <f t="shared" si="66"/>
        <v>-786.6586058607927</v>
      </c>
      <c r="O98" s="41">
        <f>'[2]побудинковий звіт'!O98+'[1]побудинковий звіт'!O98</f>
        <v>17559.372209924295</v>
      </c>
      <c r="P98" s="41">
        <f>'[2]побудинковий звіт'!P98+'[1]побудинковий звіт'!P98</f>
        <v>17609.131449043121</v>
      </c>
      <c r="Q98" s="55">
        <f t="shared" si="67"/>
        <v>49.759239118826372</v>
      </c>
      <c r="R98" s="41">
        <f>'[2]побудинковий звіт'!R98+'[1]побудинковий звіт'!R98</f>
        <v>3965.4500443039969</v>
      </c>
      <c r="S98" s="41">
        <f>'[2]побудинковий звіт'!S98+'[1]побудинковий звіт'!S98</f>
        <v>3976.4163624252596</v>
      </c>
      <c r="T98" s="55">
        <f t="shared" si="68"/>
        <v>10.966318121262702</v>
      </c>
      <c r="U98" s="41">
        <f>'[2]побудинковий звіт'!U98+'[1]побудинковий звіт'!U98</f>
        <v>5361.4472837285466</v>
      </c>
      <c r="V98" s="41">
        <f>'[2]побудинковий звіт'!V98+'[1]побудинковий звіт'!V98</f>
        <v>2098.8008135103355</v>
      </c>
      <c r="W98" s="55">
        <f t="shared" si="69"/>
        <v>-3262.6464702182111</v>
      </c>
      <c r="X98" s="41">
        <f>'[2]побудинковий звіт'!X98+'[1]побудинковий звіт'!X98</f>
        <v>27497.097676652818</v>
      </c>
      <c r="Y98" s="41">
        <f>'[2]побудинковий звіт'!Y98+'[1]побудинковий звіт'!Y98</f>
        <v>19970.110489389062</v>
      </c>
      <c r="Z98" s="55">
        <f t="shared" si="70"/>
        <v>-7526.9871872637559</v>
      </c>
      <c r="AA98" s="41">
        <f>'[2]побудинковий звіт'!AA98+'[1]побудинковий звіт'!AA98</f>
        <v>0</v>
      </c>
      <c r="AB98" s="41">
        <f>'[2]побудинковий звіт'!AB98+'[1]побудинковий звіт'!AB98</f>
        <v>0</v>
      </c>
      <c r="AC98" s="55">
        <f t="shared" si="71"/>
        <v>0</v>
      </c>
      <c r="AD98" s="41">
        <f>'[2]побудинковий звіт'!AD98+'[1]побудинковий звіт'!AD98</f>
        <v>49696.078300071516</v>
      </c>
      <c r="AE98" s="41">
        <f>'[2]побудинковий звіт'!AE98+'[1]побудинковий звіт'!AE98</f>
        <v>49510.470632742174</v>
      </c>
      <c r="AF98" s="36">
        <f t="shared" si="72"/>
        <v>-185.6076673293428</v>
      </c>
      <c r="AG98" s="84">
        <f t="shared" si="73"/>
        <v>142650.14808305615</v>
      </c>
      <c r="AH98" s="56">
        <f t="shared" si="74"/>
        <v>124078.40438702804</v>
      </c>
      <c r="AI98" s="55">
        <f t="shared" si="75"/>
        <v>-18571.743696028105</v>
      </c>
      <c r="AJ98" s="41">
        <f>'[2]побудинковий звіт'!AJ98+'[1]побудинковий звіт'!AJ98</f>
        <v>150291.66955386812</v>
      </c>
      <c r="AK98" s="41">
        <f>'[2]побудинковий звіт'!AK98+'[1]побудинковий звіт'!AK98</f>
        <v>143431.20727263653</v>
      </c>
      <c r="AL98" s="55">
        <f t="shared" si="76"/>
        <v>-6860.4622812315938</v>
      </c>
      <c r="AM98" s="41">
        <f>'[2]побудинковий звіт'!AM98+'[1]побудинковий звіт'!AM98</f>
        <v>0</v>
      </c>
      <c r="AN98" s="41">
        <f>'[2]побудинковий звіт'!AN98+'[1]побудинковий звіт'!AN98</f>
        <v>0</v>
      </c>
      <c r="AO98" s="55">
        <f t="shared" si="77"/>
        <v>0</v>
      </c>
      <c r="AP98" s="41">
        <f>'[2]побудинковий звіт'!AP98+'[1]побудинковий звіт'!AP98</f>
        <v>9113.5010747278739</v>
      </c>
      <c r="AQ98" s="41">
        <f>'[2]побудинковий звіт'!AQ98+'[1]побудинковий звіт'!AQ98</f>
        <v>8832.1410308353188</v>
      </c>
      <c r="AR98" s="55">
        <f t="shared" si="78"/>
        <v>-281.36004389255504</v>
      </c>
      <c r="AS98" s="41">
        <f>'[2]побудинковий звіт'!AS98+'[1]побудинковий звіт'!AS98</f>
        <v>209429.06272667303</v>
      </c>
      <c r="AT98" s="41">
        <f>'[2]побудинковий звіт'!AT98+'[1]побудинковий звіт'!AT98</f>
        <v>270453.86448502657</v>
      </c>
      <c r="AU98" s="57">
        <f t="shared" si="79"/>
        <v>61024.80175835354</v>
      </c>
      <c r="AV98" s="41">
        <f>'[2]побудинковий звіт'!AV98+'[1]побудинковий звіт'!AV98</f>
        <v>3164.3199319999117</v>
      </c>
      <c r="AW98" s="41">
        <f>'[2]побудинковий звіт'!AW98+'[1]побудинковий звіт'!AW98</f>
        <v>2932.8689434617359</v>
      </c>
      <c r="AX98" s="58">
        <f t="shared" si="80"/>
        <v>-231.45098853817581</v>
      </c>
      <c r="AY98" s="41">
        <f>'[2]побудинковий звіт'!AY98+'[1]побудинковий звіт'!AY98</f>
        <v>3603.9717380453035</v>
      </c>
      <c r="AZ98" s="41">
        <f>'[2]побудинковий звіт'!AZ98+'[1]побудинковий звіт'!AZ98</f>
        <v>8106.5454623041142</v>
      </c>
      <c r="BA98" s="36">
        <f t="shared" si="81"/>
        <v>4502.5737242588111</v>
      </c>
      <c r="BB98" s="41">
        <f>'[2]побудинковий звіт'!BB98+'[1]побудинковий звіт'!BB98</f>
        <v>4244.2283847029412</v>
      </c>
      <c r="BC98" s="41">
        <f>'[2]побудинковий звіт'!BC98+'[1]побудинковий звіт'!BC98</f>
        <v>380.93953441624404</v>
      </c>
      <c r="BD98" s="58">
        <f t="shared" si="82"/>
        <v>-3863.2888502866972</v>
      </c>
      <c r="BE98" s="41">
        <f>'[2]побудинковий звіт'!BE98+'[1]побудинковий звіт'!BE98</f>
        <v>1657.6510199771806</v>
      </c>
      <c r="BF98" s="41">
        <f>'[2]побудинковий звіт'!BF98+'[1]побудинковий звіт'!BF98</f>
        <v>438.45034351095308</v>
      </c>
      <c r="BG98" s="38">
        <f t="shared" si="83"/>
        <v>-1219.2006764662274</v>
      </c>
      <c r="BH98" s="41">
        <f>'[2]побудинковий звіт'!BH98+'[1]побудинковий звіт'!BH98</f>
        <v>2761.7134974369892</v>
      </c>
      <c r="BI98" s="41">
        <f>'[2]побудинковий звіт'!BI98+'[1]побудинковий звіт'!BI98</f>
        <v>0</v>
      </c>
      <c r="BJ98" s="58">
        <f t="shared" si="84"/>
        <v>-2761.7134974369892</v>
      </c>
      <c r="BK98" s="41">
        <f>'[2]побудинковий звіт'!BK98+'[1]побудинковий звіт'!BK98</f>
        <v>4473.6472370738356</v>
      </c>
      <c r="BL98" s="41">
        <f>'[2]побудинковий звіт'!BL98+'[1]побудинковий звіт'!BL98</f>
        <v>7900.0737895957591</v>
      </c>
      <c r="BM98" s="38">
        <f t="shared" si="85"/>
        <v>3426.4265525219234</v>
      </c>
      <c r="BN98" s="41">
        <f>'[2]побудинковий звіт'!BN98+'[1]побудинковий звіт'!BN98</f>
        <v>1288.628437116409</v>
      </c>
      <c r="BO98" s="41">
        <f>'[2]побудинковий звіт'!BO98+'[1]побудинковий звіт'!BO98</f>
        <v>0</v>
      </c>
      <c r="BP98" s="58">
        <f t="shared" si="86"/>
        <v>-1288.628437116409</v>
      </c>
      <c r="BQ98" s="84">
        <f t="shared" si="87"/>
        <v>21194.160246352571</v>
      </c>
      <c r="BR98" s="42">
        <f t="shared" si="88"/>
        <v>19758.878073288804</v>
      </c>
      <c r="BS98" s="58">
        <f t="shared" si="89"/>
        <v>-1435.2821730637661</v>
      </c>
      <c r="BT98" s="41">
        <f>'[2]побудинковий звіт'!BT98+'[1]побудинковий звіт'!BT98</f>
        <v>155190.91815216441</v>
      </c>
      <c r="BU98" s="41">
        <f>'[2]побудинковий звіт'!BU98+'[1]побудинковий звіт'!BU98</f>
        <v>67586.040945434186</v>
      </c>
      <c r="BV98" s="55">
        <f t="shared" si="90"/>
        <v>-87604.87720673022</v>
      </c>
      <c r="BW98" s="41">
        <f>'[2]побудинковий звіт'!BW98+'[1]побудинковий звіт'!BW98</f>
        <v>106015.50616692645</v>
      </c>
      <c r="BX98" s="41">
        <f>'[2]побудинковий звіт'!BX98+'[1]побудинковий звіт'!BX98</f>
        <v>39997.490558446436</v>
      </c>
      <c r="BY98" s="55">
        <f t="shared" si="91"/>
        <v>-66018.015608480026</v>
      </c>
      <c r="BZ98" s="41">
        <f>'[2]побудинковий звіт'!BZ98+'[1]побудинковий звіт'!BZ98</f>
        <v>31338.406867192258</v>
      </c>
      <c r="CA98" s="41">
        <f>'[2]побудинковий звіт'!CA98+'[1]побудинковий звіт'!CA98</f>
        <v>5990.5720843316894</v>
      </c>
      <c r="CB98" s="55">
        <f t="shared" si="92"/>
        <v>-25347.834782860569</v>
      </c>
      <c r="CC98" s="41">
        <f>'[2]побудинковий звіт'!CC98+'[1]побудинковий звіт'!CC98</f>
        <v>2359.1826036970133</v>
      </c>
      <c r="CD98" s="41">
        <f>'[2]побудинковий звіт'!CD98+'[1]побудинковий звіт'!CD98</f>
        <v>2367.1823287542643</v>
      </c>
      <c r="CE98" s="55">
        <f t="shared" si="93"/>
        <v>7.9997250572509984</v>
      </c>
      <c r="CF98" s="41">
        <f>'[2]побудинковий звіт'!CF98+'[1]побудинковий звіт'!CF98</f>
        <v>292.29018510562304</v>
      </c>
      <c r="CG98" s="41">
        <f>'[2]побудинковий звіт'!CG98+'[1]побудинковий звіт'!CG98</f>
        <v>848.41187233731262</v>
      </c>
      <c r="CH98" s="55">
        <f t="shared" si="94"/>
        <v>556.12168723168952</v>
      </c>
      <c r="CI98" s="41">
        <f>'[2]побудинковий звіт'!CI98+'[1]побудинковий звіт'!CI98</f>
        <v>31944.25953071583</v>
      </c>
      <c r="CJ98" s="41">
        <f>'[2]побудинковий звіт'!CJ98+'[1]побудинковий звіт'!CJ98</f>
        <v>27421.476328505738</v>
      </c>
      <c r="CK98" s="55">
        <f t="shared" si="95"/>
        <v>-4522.783202210092</v>
      </c>
      <c r="CL98" s="41">
        <f>'[2]побудинковий звіт'!CL98+'[1]побудинковий звіт'!CL98</f>
        <v>18764.464302028606</v>
      </c>
      <c r="CM98" s="41">
        <f>'[2]побудинковий звіт'!CM98+'[1]побудинковий звіт'!CM98</f>
        <v>31462.458205401766</v>
      </c>
      <c r="CN98" s="55">
        <f t="shared" si="96"/>
        <v>12697.993903373161</v>
      </c>
      <c r="CO98" s="41">
        <f t="shared" si="97"/>
        <v>50708.723832744436</v>
      </c>
      <c r="CP98" s="42">
        <f t="shared" si="98"/>
        <v>58883.934533907508</v>
      </c>
      <c r="CQ98" s="55">
        <f t="shared" si="99"/>
        <v>8175.2107011630724</v>
      </c>
      <c r="CR98" s="76">
        <f t="shared" si="100"/>
        <v>878583.56949250796</v>
      </c>
      <c r="CS98" s="5">
        <f t="shared" si="101"/>
        <v>742228.12757202657</v>
      </c>
      <c r="CT98" s="55">
        <f t="shared" si="102"/>
        <v>-136355.44192048139</v>
      </c>
      <c r="CU98" s="84">
        <f t="shared" si="103"/>
        <v>1054300.2833910096</v>
      </c>
      <c r="CV98" s="68">
        <f t="shared" si="104"/>
        <v>890673.75308643188</v>
      </c>
      <c r="CW98" s="36">
        <f t="shared" si="105"/>
        <v>-163626.53030457767</v>
      </c>
      <c r="CX98" s="41">
        <f>'[2]побудинковий звіт'!CX98+'[1]побудинковий звіт'!CX98</f>
        <v>15354.937120748698</v>
      </c>
      <c r="CY98" s="41">
        <f>'[2]побудинковий звіт'!CY98+'[1]побудинковий звіт'!CY98</f>
        <v>178981.46742532612</v>
      </c>
      <c r="CZ98" s="55">
        <f t="shared" si="106"/>
        <v>163626.53030457743</v>
      </c>
      <c r="DA98" s="254">
        <f>'[1]побудинковий звіт'!DA98</f>
        <v>-116939.86501679533</v>
      </c>
      <c r="DB98" s="2">
        <v>1</v>
      </c>
      <c r="DC98" s="702">
        <f>'[1]побудинковий звіт'!DC98</f>
        <v>350862.8</v>
      </c>
      <c r="DD98" s="702">
        <f>'[1]побудинковий звіт'!DD98</f>
        <v>1440.47</v>
      </c>
      <c r="DE98" s="702">
        <f>'[1]побудинковий звіт'!DE98</f>
        <v>234507.13999999998</v>
      </c>
      <c r="DF98" s="702">
        <f>'[1]побудинковий звіт'!DF98</f>
        <v>780.22</v>
      </c>
      <c r="DG98" s="772">
        <v>19496.407577923033</v>
      </c>
      <c r="DH98" s="746">
        <f t="shared" si="107"/>
        <v>12835862.646141099</v>
      </c>
      <c r="DI98" s="769"/>
      <c r="DJ98" s="5"/>
      <c r="DK98" s="307">
        <f>VLOOKUP($A98,ціни!$A$4:$G$401,5)</f>
        <v>5.9455573650150901</v>
      </c>
      <c r="DL98" s="307">
        <f>VLOOKUP($A98,ціни!$A$4:$G$401,6)</f>
        <v>7.5119009751263075</v>
      </c>
      <c r="DM98" s="307">
        <f>VLOOKUP($A98,ціни!$A$4:$G$401,7)</f>
        <v>5.0405269584626557</v>
      </c>
      <c r="DN98" s="29">
        <f>DK98*G98+(F98-G98)*DL98</f>
        <v>83418.334304975229</v>
      </c>
      <c r="DO98" s="29">
        <f>DM98*H98</f>
        <v>479.85816644564483</v>
      </c>
      <c r="DP98" s="306">
        <f t="shared" si="108"/>
        <v>83898.192471420873</v>
      </c>
      <c r="DQ98" s="101"/>
      <c r="DR98" s="29">
        <f>VLOOKUP(A98,'ДЗ нас '!$A$1:$C$359,2)</f>
        <v>83418.41</v>
      </c>
      <c r="DS98" s="733">
        <f>VLOOKUP(A98,'ДЗ нежит'!$A$1:$D$153,4,0)</f>
        <v>479.86</v>
      </c>
      <c r="DT98" s="29">
        <f t="shared" si="109"/>
        <v>83898.27</v>
      </c>
      <c r="DU98" s="247">
        <f>VLOOKUP(A98,'новий кошторис с 01.06'!$A$4:$AI$399,35)*1.2</f>
        <v>83926.544052154131</v>
      </c>
      <c r="DV98" s="29">
        <f t="shared" si="110"/>
        <v>-28.274052154127276</v>
      </c>
      <c r="DW98" s="1016">
        <f>'[2]побудинковий звіт'!$DW$9+'[1]побудинковий звіт'!DW98</f>
        <v>1665</v>
      </c>
      <c r="DX98" s="101">
        <f>'[1]побудинковий звіт'!DX98</f>
        <v>0</v>
      </c>
      <c r="DY98" s="5">
        <f t="shared" si="111"/>
        <v>276747.86756763072</v>
      </c>
      <c r="DZ98" s="5">
        <f t="shared" si="112"/>
        <v>348255.29106997844</v>
      </c>
      <c r="EA98" s="737">
        <f t="shared" si="113"/>
        <v>235287.36</v>
      </c>
      <c r="EC98" s="577">
        <f t="shared" si="114"/>
        <v>2513148.7527200766</v>
      </c>
      <c r="EE98" s="743">
        <v>-94785</v>
      </c>
      <c r="EF98" s="723">
        <f t="shared" si="115"/>
        <v>-75288.592422076967</v>
      </c>
      <c r="EH98" s="798">
        <v>-1925.399047979954</v>
      </c>
      <c r="EI98" s="101">
        <f>VLOOKUP(A98,'кошти 01.01.24'!$A$9:$D$352,4,FALSE)</f>
        <v>46686.665287782103</v>
      </c>
    </row>
    <row r="99" spans="1:139" ht="14.4" hidden="1" customHeight="1" x14ac:dyDescent="0.3">
      <c r="A99" s="318">
        <v>150000645</v>
      </c>
      <c r="B99" s="43" t="s">
        <v>524</v>
      </c>
      <c r="C99" s="44" t="s">
        <v>65</v>
      </c>
      <c r="D99" s="44" t="s">
        <v>65</v>
      </c>
      <c r="E99" s="39">
        <f t="shared" si="64"/>
        <v>216</v>
      </c>
      <c r="F99" s="205">
        <f>'[1]побудинковий звіт'!F99</f>
        <v>216</v>
      </c>
      <c r="G99" s="29">
        <f>'[1]побудинковий звіт'!G99</f>
        <v>0</v>
      </c>
      <c r="H99" s="148">
        <f>'[1]побудинковий звіт'!H99</f>
        <v>0</v>
      </c>
      <c r="I99" s="41">
        <f>'[2]побудинковий звіт'!I99+'[1]побудинковий звіт'!I99</f>
        <v>0</v>
      </c>
      <c r="J99" s="41">
        <f>'[2]побудинковий звіт'!J99+'[1]побудинковий звіт'!J99</f>
        <v>0</v>
      </c>
      <c r="K99" s="55">
        <f t="shared" si="65"/>
        <v>0</v>
      </c>
      <c r="L99" s="41">
        <f>'[2]побудинковий звіт'!L99+'[1]побудинковий звіт'!L99</f>
        <v>0</v>
      </c>
      <c r="M99" s="41">
        <f>'[2]побудинковий звіт'!M99+'[1]побудинковий звіт'!M99</f>
        <v>0</v>
      </c>
      <c r="N99" s="55">
        <f t="shared" si="66"/>
        <v>0</v>
      </c>
      <c r="O99" s="41">
        <f>'[2]побудинковий звіт'!O99+'[1]побудинковий звіт'!O99</f>
        <v>0</v>
      </c>
      <c r="P99" s="41">
        <f>'[2]побудинковий звіт'!P99+'[1]побудинковий звіт'!P99</f>
        <v>0</v>
      </c>
      <c r="Q99" s="55">
        <f t="shared" si="67"/>
        <v>0</v>
      </c>
      <c r="R99" s="41">
        <f>'[2]побудинковий звіт'!R99+'[1]побудинковий звіт'!R99</f>
        <v>0</v>
      </c>
      <c r="S99" s="41">
        <f>'[2]побудинковий звіт'!S99+'[1]побудинковий звіт'!S99</f>
        <v>0</v>
      </c>
      <c r="T99" s="55">
        <f t="shared" si="68"/>
        <v>0</v>
      </c>
      <c r="U99" s="41">
        <f>'[2]побудинковий звіт'!U99+'[1]побудинковий звіт'!U99</f>
        <v>0</v>
      </c>
      <c r="V99" s="41">
        <f>'[2]побудинковий звіт'!V99+'[1]побудинковий звіт'!V99</f>
        <v>0</v>
      </c>
      <c r="W99" s="55">
        <f t="shared" si="69"/>
        <v>0</v>
      </c>
      <c r="X99" s="41">
        <f>'[2]побудинковий звіт'!X99+'[1]побудинковий звіт'!X99</f>
        <v>0</v>
      </c>
      <c r="Y99" s="41">
        <f>'[2]побудинковий звіт'!Y99+'[1]побудинковий звіт'!Y99</f>
        <v>0</v>
      </c>
      <c r="Z99" s="55">
        <f t="shared" si="70"/>
        <v>0</v>
      </c>
      <c r="AA99" s="41">
        <f>'[2]побудинковий звіт'!AA99+'[1]побудинковий звіт'!AA99</f>
        <v>0</v>
      </c>
      <c r="AB99" s="41">
        <f>'[2]побудинковий звіт'!AB99+'[1]побудинковий звіт'!AB99</f>
        <v>0</v>
      </c>
      <c r="AC99" s="55">
        <f t="shared" si="71"/>
        <v>0</v>
      </c>
      <c r="AD99" s="41">
        <f>'[2]побудинковий звіт'!AD99+'[1]побудинковий звіт'!AD99</f>
        <v>0</v>
      </c>
      <c r="AE99" s="41">
        <f>'[2]побудинковий звіт'!AE99+'[1]побудинковий звіт'!AE99</f>
        <v>0</v>
      </c>
      <c r="AF99" s="36">
        <f t="shared" si="72"/>
        <v>0</v>
      </c>
      <c r="AG99" s="84">
        <f t="shared" si="73"/>
        <v>0</v>
      </c>
      <c r="AH99" s="56">
        <f t="shared" si="74"/>
        <v>0</v>
      </c>
      <c r="AI99" s="55">
        <f t="shared" si="75"/>
        <v>0</v>
      </c>
      <c r="AJ99" s="41">
        <f>'[2]побудинковий звіт'!AJ99+'[1]побудинковий звіт'!AJ99</f>
        <v>0</v>
      </c>
      <c r="AK99" s="41">
        <f>'[2]побудинковий звіт'!AK99+'[1]побудинковий звіт'!AK99</f>
        <v>0</v>
      </c>
      <c r="AL99" s="55">
        <f t="shared" si="76"/>
        <v>0</v>
      </c>
      <c r="AM99" s="41">
        <f>'[2]побудинковий звіт'!AM99+'[1]побудинковий звіт'!AM99</f>
        <v>0</v>
      </c>
      <c r="AN99" s="41">
        <f>'[2]побудинковий звіт'!AN99+'[1]побудинковий звіт'!AN99</f>
        <v>0</v>
      </c>
      <c r="AO99" s="55">
        <f t="shared" si="77"/>
        <v>0</v>
      </c>
      <c r="AP99" s="41">
        <f>'[2]побудинковий звіт'!AP99+'[1]побудинковий звіт'!AP99</f>
        <v>446.91778141850642</v>
      </c>
      <c r="AQ99" s="41">
        <f>'[2]побудинковий звіт'!AQ99+'[1]побудинковий звіт'!AQ99</f>
        <v>140.47538423161123</v>
      </c>
      <c r="AR99" s="55">
        <f t="shared" si="78"/>
        <v>-306.44239718689516</v>
      </c>
      <c r="AS99" s="41">
        <f>'[2]побудинковий звіт'!AS99+'[1]побудинковий звіт'!AS99</f>
        <v>3647.2843499020664</v>
      </c>
      <c r="AT99" s="41">
        <f>'[2]побудинковий звіт'!AT99+'[1]побудинковий звіт'!AT99</f>
        <v>0</v>
      </c>
      <c r="AU99" s="57">
        <f t="shared" si="79"/>
        <v>-3647.2843499020664</v>
      </c>
      <c r="AV99" s="41">
        <f>'[2]побудинковий звіт'!AV99+'[1]побудинковий звіт'!AV99</f>
        <v>0</v>
      </c>
      <c r="AW99" s="41">
        <f>'[2]побудинковий звіт'!AW99+'[1]побудинковий звіт'!AW99</f>
        <v>0</v>
      </c>
      <c r="AX99" s="58">
        <f t="shared" si="80"/>
        <v>0</v>
      </c>
      <c r="AY99" s="41">
        <f>'[2]побудинковий звіт'!AY99+'[1]побудинковий звіт'!AY99</f>
        <v>0</v>
      </c>
      <c r="AZ99" s="41">
        <f>'[2]побудинковий звіт'!AZ99+'[1]побудинковий звіт'!AZ99</f>
        <v>0</v>
      </c>
      <c r="BA99" s="36">
        <f t="shared" si="81"/>
        <v>0</v>
      </c>
      <c r="BB99" s="41">
        <f>'[2]побудинковий звіт'!BB99+'[1]побудинковий звіт'!BB99</f>
        <v>0</v>
      </c>
      <c r="BC99" s="41">
        <f>'[2]побудинковий звіт'!BC99+'[1]побудинковий звіт'!BC99</f>
        <v>0</v>
      </c>
      <c r="BD99" s="58">
        <f t="shared" si="82"/>
        <v>0</v>
      </c>
      <c r="BE99" s="41">
        <f>'[2]побудинковий звіт'!BE99+'[1]побудинковий звіт'!BE99</f>
        <v>0</v>
      </c>
      <c r="BF99" s="41">
        <f>'[2]побудинковий звіт'!BF99+'[1]побудинковий звіт'!BF99</f>
        <v>0</v>
      </c>
      <c r="BG99" s="38">
        <f t="shared" si="83"/>
        <v>0</v>
      </c>
      <c r="BH99" s="41">
        <f>'[2]побудинковий звіт'!BH99+'[1]побудинковий звіт'!BH99</f>
        <v>0</v>
      </c>
      <c r="BI99" s="41">
        <f>'[2]побудинковий звіт'!BI99+'[1]побудинковий звіт'!BI99</f>
        <v>0</v>
      </c>
      <c r="BJ99" s="58">
        <f t="shared" si="84"/>
        <v>0</v>
      </c>
      <c r="BK99" s="41">
        <f>'[2]побудинковий звіт'!BK99+'[1]побудинковий звіт'!BK99</f>
        <v>0</v>
      </c>
      <c r="BL99" s="41">
        <f>'[2]побудинковий звіт'!BL99+'[1]побудинковий звіт'!BL99</f>
        <v>0</v>
      </c>
      <c r="BM99" s="38">
        <f t="shared" si="85"/>
        <v>0</v>
      </c>
      <c r="BN99" s="41">
        <f>'[2]побудинковий звіт'!BN99+'[1]побудинковий звіт'!BN99</f>
        <v>0</v>
      </c>
      <c r="BO99" s="41">
        <f>'[2]побудинковий звіт'!BO99+'[1]побудинковий звіт'!BO99</f>
        <v>0</v>
      </c>
      <c r="BP99" s="58">
        <f t="shared" si="86"/>
        <v>0</v>
      </c>
      <c r="BQ99" s="84">
        <f t="shared" si="87"/>
        <v>0</v>
      </c>
      <c r="BR99" s="42">
        <f t="shared" si="88"/>
        <v>0</v>
      </c>
      <c r="BS99" s="58">
        <f t="shared" si="89"/>
        <v>0</v>
      </c>
      <c r="BT99" s="41">
        <f>'[2]побудинковий звіт'!BT99+'[1]побудинковий звіт'!BT99</f>
        <v>0</v>
      </c>
      <c r="BU99" s="41">
        <f>'[2]побудинковий звіт'!BU99+'[1]побудинковий звіт'!BU99</f>
        <v>0</v>
      </c>
      <c r="BV99" s="55">
        <f t="shared" si="90"/>
        <v>0</v>
      </c>
      <c r="BW99" s="41">
        <f>'[2]побудинковий звіт'!BW99+'[1]побудинковий звіт'!BW99</f>
        <v>0</v>
      </c>
      <c r="BX99" s="41">
        <f>'[2]побудинковий звіт'!BX99+'[1]побудинковий звіт'!BX99</f>
        <v>0.87918311286435058</v>
      </c>
      <c r="BY99" s="55">
        <f t="shared" si="91"/>
        <v>0.87918311286435058</v>
      </c>
      <c r="BZ99" s="41">
        <f>'[2]побудинковий звіт'!BZ99+'[1]побудинковий звіт'!BZ99</f>
        <v>0</v>
      </c>
      <c r="CA99" s="41">
        <f>'[2]побудинковий звіт'!CA99+'[1]побудинковий звіт'!CA99</f>
        <v>0</v>
      </c>
      <c r="CB99" s="55">
        <f t="shared" si="92"/>
        <v>0</v>
      </c>
      <c r="CC99" s="41">
        <f>'[2]побудинковий звіт'!CC99+'[1]побудинковий звіт'!CC99</f>
        <v>0</v>
      </c>
      <c r="CD99" s="41">
        <f>'[2]побудинковий звіт'!CD99+'[1]побудинковий звіт'!CD99</f>
        <v>0</v>
      </c>
      <c r="CE99" s="55">
        <f t="shared" si="93"/>
        <v>0</v>
      </c>
      <c r="CF99" s="41">
        <f>'[2]побудинковий звіт'!CF99+'[1]побудинковий звіт'!CF99</f>
        <v>0</v>
      </c>
      <c r="CG99" s="41">
        <f>'[2]побудинковий звіт'!CG99+'[1]побудинковий звіт'!CG99</f>
        <v>0</v>
      </c>
      <c r="CH99" s="55">
        <f t="shared" si="94"/>
        <v>0</v>
      </c>
      <c r="CI99" s="41">
        <f>'[2]побудинковий звіт'!CI99+'[1]побудинковий звіт'!CI99</f>
        <v>0</v>
      </c>
      <c r="CJ99" s="41">
        <f>'[2]побудинковий звіт'!CJ99+'[1]побудинковий звіт'!CJ99</f>
        <v>0</v>
      </c>
      <c r="CK99" s="55">
        <f t="shared" si="95"/>
        <v>0</v>
      </c>
      <c r="CL99" s="41">
        <f>'[2]побудинковий звіт'!CL99+'[1]побудинковий звіт'!CL99</f>
        <v>0</v>
      </c>
      <c r="CM99" s="41">
        <f>'[2]побудинковий звіт'!CM99+'[1]побудинковий звіт'!CM99</f>
        <v>0</v>
      </c>
      <c r="CN99" s="55">
        <f t="shared" si="96"/>
        <v>0</v>
      </c>
      <c r="CO99" s="41">
        <f t="shared" si="97"/>
        <v>0</v>
      </c>
      <c r="CP99" s="42">
        <f t="shared" si="98"/>
        <v>0</v>
      </c>
      <c r="CQ99" s="55">
        <f t="shared" si="99"/>
        <v>0</v>
      </c>
      <c r="CR99" s="76">
        <f t="shared" si="100"/>
        <v>4094.2021313205728</v>
      </c>
      <c r="CS99" s="5">
        <f t="shared" si="101"/>
        <v>141.35456734447558</v>
      </c>
      <c r="CT99" s="55">
        <f t="shared" si="102"/>
        <v>-3952.8475639760973</v>
      </c>
      <c r="CU99" s="84">
        <f t="shared" si="103"/>
        <v>4913.0425575846875</v>
      </c>
      <c r="CV99" s="68">
        <f t="shared" si="104"/>
        <v>169.6254808133707</v>
      </c>
      <c r="CW99" s="36">
        <f t="shared" si="105"/>
        <v>-4743.4170767713167</v>
      </c>
      <c r="CX99" s="41">
        <f>'[2]побудинковий звіт'!CX99+'[1]побудинковий звіт'!CX99</f>
        <v>108.12285458269402</v>
      </c>
      <c r="CY99" s="41">
        <f>'[2]побудинковий звіт'!CY99+'[1]побудинковий звіт'!CY99</f>
        <v>4851.5399313540111</v>
      </c>
      <c r="CZ99" s="55">
        <f t="shared" si="106"/>
        <v>4743.4170767713167</v>
      </c>
      <c r="DA99" s="254">
        <f>'[1]побудинковий звіт'!DA99</f>
        <v>-4617.3389085280814</v>
      </c>
      <c r="DB99" s="2">
        <v>3</v>
      </c>
      <c r="DC99" s="702">
        <f>'[1]побудинковий звіт'!DC99</f>
        <v>506.94</v>
      </c>
      <c r="DD99" s="702">
        <f>'[1]побудинковий звіт'!DD99</f>
        <v>0</v>
      </c>
      <c r="DE99" s="702">
        <f>'[1]побудинковий звіт'!DE99</f>
        <v>-38.599999999999966</v>
      </c>
      <c r="DF99" s="702">
        <f>'[1]побудинковий звіт'!DF99</f>
        <v>0</v>
      </c>
      <c r="DG99" s="772">
        <v>77.20646698510609</v>
      </c>
      <c r="DH99" s="746">
        <f t="shared" si="107"/>
        <v>60253.984946008582</v>
      </c>
      <c r="DI99" s="769"/>
      <c r="DJ99" s="5"/>
      <c r="DK99" s="307">
        <f>VLOOKUP($A99,ціни!$A$4:$G$401,5)</f>
        <v>1.8265379679378997</v>
      </c>
      <c r="DL99" s="307"/>
      <c r="DM99" s="307">
        <f>VLOOKUP($A99,ціни!$A$4:$G$401,7)</f>
        <v>1.8265379679378997</v>
      </c>
      <c r="DN99" s="29">
        <f t="shared" ref="DN99:DN105" si="118">F99*DK99</f>
        <v>394.53220107458634</v>
      </c>
      <c r="DO99" s="29">
        <f t="shared" ref="DO99:DO105" si="119">H99*DM99</f>
        <v>0</v>
      </c>
      <c r="DP99" s="306">
        <f t="shared" si="108"/>
        <v>394.53220107458634</v>
      </c>
      <c r="DQ99" s="101"/>
      <c r="DR99" s="29">
        <f>VLOOKUP(A99,'ДЗ нас '!$A$1:$C$359,2)</f>
        <v>394.52</v>
      </c>
      <c r="DS99" s="733"/>
      <c r="DT99" s="29">
        <f t="shared" si="109"/>
        <v>394.52</v>
      </c>
      <c r="DU99" s="247">
        <f>VLOOKUP(A99,'новий кошторис с 01.06'!$A$4:$AI$399,35)*1.2</f>
        <v>395.69830610239302</v>
      </c>
      <c r="DV99" s="29">
        <f t="shared" si="110"/>
        <v>-1.1783061023930372</v>
      </c>
      <c r="DW99" s="1016">
        <f>'[2]побудинковий звіт'!$DW$9+'[1]побудинковий звіт'!DW99</f>
        <v>0</v>
      </c>
      <c r="DX99" s="101">
        <f>'[1]побудинковий звіт'!DX99</f>
        <v>0</v>
      </c>
      <c r="DY99" s="5">
        <f t="shared" si="111"/>
        <v>4376.7412198824795</v>
      </c>
      <c r="DZ99" s="5">
        <f t="shared" si="112"/>
        <v>0</v>
      </c>
      <c r="EA99" s="737">
        <f t="shared" si="113"/>
        <v>-38.599999999999966</v>
      </c>
      <c r="EC99" s="577">
        <f t="shared" si="114"/>
        <v>43767.412198824793</v>
      </c>
      <c r="EE99" s="743">
        <v>-2781</v>
      </c>
      <c r="EF99" s="723">
        <f t="shared" si="115"/>
        <v>-2703.7935330148939</v>
      </c>
      <c r="EH99" s="798">
        <v>-2234.8171269990689</v>
      </c>
      <c r="EI99" s="101">
        <f>VLOOKUP(A99,'кошти 01.01.24'!$A$9:$D$352,4,FALSE)</f>
        <v>126.07816824323436</v>
      </c>
    </row>
    <row r="100" spans="1:139" hidden="1" x14ac:dyDescent="0.3">
      <c r="A100" s="318">
        <v>150000643</v>
      </c>
      <c r="B100" s="43" t="s">
        <v>525</v>
      </c>
      <c r="C100" s="44" t="s">
        <v>66</v>
      </c>
      <c r="D100" s="44" t="s">
        <v>66</v>
      </c>
      <c r="E100" s="39">
        <f t="shared" si="64"/>
        <v>216.8</v>
      </c>
      <c r="F100" s="205">
        <f>'[1]побудинковий звіт'!F100</f>
        <v>216.8</v>
      </c>
      <c r="G100" s="29">
        <f>'[1]побудинковий звіт'!G100</f>
        <v>0</v>
      </c>
      <c r="H100" s="148">
        <f>'[1]побудинковий звіт'!H100</f>
        <v>0</v>
      </c>
      <c r="I100" s="41">
        <f>'[2]побудинковий звіт'!I100+'[1]побудинковий звіт'!I100</f>
        <v>0</v>
      </c>
      <c r="J100" s="41">
        <f>'[2]побудинковий звіт'!J100+'[1]побудинковий звіт'!J100</f>
        <v>0</v>
      </c>
      <c r="K100" s="55">
        <f t="shared" si="65"/>
        <v>0</v>
      </c>
      <c r="L100" s="41">
        <f>'[2]побудинковий звіт'!L100+'[1]побудинковий звіт'!L100</f>
        <v>0</v>
      </c>
      <c r="M100" s="41">
        <f>'[2]побудинковий звіт'!M100+'[1]побудинковий звіт'!M100</f>
        <v>0</v>
      </c>
      <c r="N100" s="55">
        <f t="shared" si="66"/>
        <v>0</v>
      </c>
      <c r="O100" s="41">
        <f>'[2]побудинковий звіт'!O100+'[1]побудинковий звіт'!O100</f>
        <v>0</v>
      </c>
      <c r="P100" s="41">
        <f>'[2]побудинковий звіт'!P100+'[1]побудинковий звіт'!P100</f>
        <v>0</v>
      </c>
      <c r="Q100" s="55">
        <f t="shared" si="67"/>
        <v>0</v>
      </c>
      <c r="R100" s="41">
        <f>'[2]побудинковий звіт'!R100+'[1]побудинковий звіт'!R100</f>
        <v>0</v>
      </c>
      <c r="S100" s="41">
        <f>'[2]побудинковий звіт'!S100+'[1]побудинковий звіт'!S100</f>
        <v>0</v>
      </c>
      <c r="T100" s="55">
        <f t="shared" si="68"/>
        <v>0</v>
      </c>
      <c r="U100" s="41">
        <f>'[2]побудинковий звіт'!U100+'[1]побудинковий звіт'!U100</f>
        <v>0</v>
      </c>
      <c r="V100" s="41">
        <f>'[2]побудинковий звіт'!V100+'[1]побудинковий звіт'!V100</f>
        <v>0</v>
      </c>
      <c r="W100" s="55">
        <f t="shared" si="69"/>
        <v>0</v>
      </c>
      <c r="X100" s="41">
        <f>'[2]побудинковий звіт'!X100+'[1]побудинковий звіт'!X100</f>
        <v>0</v>
      </c>
      <c r="Y100" s="41">
        <f>'[2]побудинковий звіт'!Y100+'[1]побудинковий звіт'!Y100</f>
        <v>0</v>
      </c>
      <c r="Z100" s="55">
        <f t="shared" si="70"/>
        <v>0</v>
      </c>
      <c r="AA100" s="41">
        <f>'[2]побудинковий звіт'!AA100+'[1]побудинковий звіт'!AA100</f>
        <v>0</v>
      </c>
      <c r="AB100" s="41">
        <f>'[2]побудинковий звіт'!AB100+'[1]побудинковий звіт'!AB100</f>
        <v>0</v>
      </c>
      <c r="AC100" s="55">
        <f t="shared" si="71"/>
        <v>0</v>
      </c>
      <c r="AD100" s="41">
        <f>'[2]побудинковий звіт'!AD100+'[1]побудинковий звіт'!AD100</f>
        <v>0</v>
      </c>
      <c r="AE100" s="41">
        <f>'[2]побудинковий звіт'!AE100+'[1]побудинковий звіт'!AE100</f>
        <v>0</v>
      </c>
      <c r="AF100" s="36">
        <f t="shared" si="72"/>
        <v>0</v>
      </c>
      <c r="AG100" s="84">
        <f t="shared" si="73"/>
        <v>0</v>
      </c>
      <c r="AH100" s="56">
        <f t="shared" si="74"/>
        <v>0</v>
      </c>
      <c r="AI100" s="55">
        <f t="shared" si="75"/>
        <v>0</v>
      </c>
      <c r="AJ100" s="41">
        <f>'[2]побудинковий звіт'!AJ100+'[1]побудинковий звіт'!AJ100</f>
        <v>0</v>
      </c>
      <c r="AK100" s="41">
        <f>'[2]побудинковий звіт'!AK100+'[1]побудинковий звіт'!AK100</f>
        <v>0</v>
      </c>
      <c r="AL100" s="55">
        <f t="shared" si="76"/>
        <v>0</v>
      </c>
      <c r="AM100" s="41">
        <f>'[2]побудинковий звіт'!AM100+'[1]побудинковий звіт'!AM100</f>
        <v>0</v>
      </c>
      <c r="AN100" s="41">
        <f>'[2]побудинковий звіт'!AN100+'[1]побудинковий звіт'!AN100</f>
        <v>0</v>
      </c>
      <c r="AO100" s="55">
        <f t="shared" si="77"/>
        <v>0</v>
      </c>
      <c r="AP100" s="41">
        <f>'[2]побудинковий звіт'!AP100+'[1]побудинковий звіт'!AP100</f>
        <v>357.53422513480518</v>
      </c>
      <c r="AQ100" s="41">
        <f>'[2]побудинковий звіт'!AQ100+'[1]побудинковий звіт'!AQ100</f>
        <v>187.30051230881497</v>
      </c>
      <c r="AR100" s="55">
        <f t="shared" si="78"/>
        <v>-170.23371282599021</v>
      </c>
      <c r="AS100" s="41">
        <f>'[2]побудинковий звіт'!AS100+'[1]побудинковий звіт'!AS100</f>
        <v>3130.2679352551518</v>
      </c>
      <c r="AT100" s="41">
        <f>'[2]побудинковий звіт'!AT100+'[1]побудинковий звіт'!AT100</f>
        <v>5406.1248042904917</v>
      </c>
      <c r="AU100" s="57">
        <f t="shared" si="79"/>
        <v>2275.85686903534</v>
      </c>
      <c r="AV100" s="41">
        <f>'[2]побудинковий звіт'!AV100+'[1]побудинковий звіт'!AV100</f>
        <v>0</v>
      </c>
      <c r="AW100" s="41">
        <f>'[2]побудинковий звіт'!AW100+'[1]побудинковий звіт'!AW100</f>
        <v>0</v>
      </c>
      <c r="AX100" s="58">
        <f t="shared" si="80"/>
        <v>0</v>
      </c>
      <c r="AY100" s="41">
        <f>'[2]побудинковий звіт'!AY100+'[1]побудинковий звіт'!AY100</f>
        <v>0</v>
      </c>
      <c r="AZ100" s="41">
        <f>'[2]побудинковий звіт'!AZ100+'[1]побудинковий звіт'!AZ100</f>
        <v>0</v>
      </c>
      <c r="BA100" s="36">
        <f t="shared" si="81"/>
        <v>0</v>
      </c>
      <c r="BB100" s="41">
        <f>'[2]побудинковий звіт'!BB100+'[1]побудинковий звіт'!BB100</f>
        <v>0</v>
      </c>
      <c r="BC100" s="41">
        <f>'[2]побудинковий звіт'!BC100+'[1]побудинковий звіт'!BC100</f>
        <v>0</v>
      </c>
      <c r="BD100" s="58">
        <f t="shared" si="82"/>
        <v>0</v>
      </c>
      <c r="BE100" s="41">
        <f>'[2]побудинковий звіт'!BE100+'[1]побудинковий звіт'!BE100</f>
        <v>0</v>
      </c>
      <c r="BF100" s="41">
        <f>'[2]побудинковий звіт'!BF100+'[1]побудинковий звіт'!BF100</f>
        <v>0</v>
      </c>
      <c r="BG100" s="38">
        <f t="shared" si="83"/>
        <v>0</v>
      </c>
      <c r="BH100" s="41">
        <f>'[2]побудинковий звіт'!BH100+'[1]побудинковий звіт'!BH100</f>
        <v>0</v>
      </c>
      <c r="BI100" s="41">
        <f>'[2]побудинковий звіт'!BI100+'[1]побудинковий звіт'!BI100</f>
        <v>0</v>
      </c>
      <c r="BJ100" s="58">
        <f t="shared" si="84"/>
        <v>0</v>
      </c>
      <c r="BK100" s="41">
        <f>'[2]побудинковий звіт'!BK100+'[1]побудинковий звіт'!BK100</f>
        <v>0</v>
      </c>
      <c r="BL100" s="41">
        <f>'[2]побудинковий звіт'!BL100+'[1]побудинковий звіт'!BL100</f>
        <v>0</v>
      </c>
      <c r="BM100" s="38">
        <f t="shared" si="85"/>
        <v>0</v>
      </c>
      <c r="BN100" s="41">
        <f>'[2]побудинковий звіт'!BN100+'[1]побудинковий звіт'!BN100</f>
        <v>0</v>
      </c>
      <c r="BO100" s="41">
        <f>'[2]побудинковий звіт'!BO100+'[1]побудинковий звіт'!BO100</f>
        <v>0</v>
      </c>
      <c r="BP100" s="58">
        <f t="shared" si="86"/>
        <v>0</v>
      </c>
      <c r="BQ100" s="84">
        <f t="shared" si="87"/>
        <v>0</v>
      </c>
      <c r="BR100" s="42">
        <f t="shared" si="88"/>
        <v>0</v>
      </c>
      <c r="BS100" s="58">
        <f t="shared" si="89"/>
        <v>0</v>
      </c>
      <c r="BT100" s="41">
        <f>'[2]побудинковий звіт'!BT100+'[1]побудинковий звіт'!BT100</f>
        <v>0</v>
      </c>
      <c r="BU100" s="41">
        <f>'[2]побудинковий звіт'!BU100+'[1]побудинковий звіт'!BU100</f>
        <v>0</v>
      </c>
      <c r="BV100" s="55">
        <f t="shared" si="90"/>
        <v>0</v>
      </c>
      <c r="BW100" s="41">
        <f>'[2]побудинковий звіт'!BW100+'[1]побудинковий звіт'!BW100</f>
        <v>0</v>
      </c>
      <c r="BX100" s="41">
        <f>'[2]побудинковий звіт'!BX100+'[1]побудинковий звіт'!BX100</f>
        <v>0.88243934661570012</v>
      </c>
      <c r="BY100" s="55">
        <f t="shared" si="91"/>
        <v>0.88243934661570012</v>
      </c>
      <c r="BZ100" s="41">
        <f>'[2]побудинковий звіт'!BZ100+'[1]побудинковий звіт'!BZ100</f>
        <v>0</v>
      </c>
      <c r="CA100" s="41">
        <f>'[2]побудинковий звіт'!CA100+'[1]побудинковий звіт'!CA100</f>
        <v>0</v>
      </c>
      <c r="CB100" s="55">
        <f t="shared" si="92"/>
        <v>0</v>
      </c>
      <c r="CC100" s="41">
        <f>'[2]побудинковий звіт'!CC100+'[1]побудинковий звіт'!CC100</f>
        <v>0</v>
      </c>
      <c r="CD100" s="41">
        <f>'[2]побудинковий звіт'!CD100+'[1]побудинковий звіт'!CD100</f>
        <v>0</v>
      </c>
      <c r="CE100" s="55">
        <f t="shared" si="93"/>
        <v>0</v>
      </c>
      <c r="CF100" s="41">
        <f>'[2]побудинковий звіт'!CF100+'[1]побудинковий звіт'!CF100</f>
        <v>0</v>
      </c>
      <c r="CG100" s="41">
        <f>'[2]побудинковий звіт'!CG100+'[1]побудинковий звіт'!CG100</f>
        <v>0</v>
      </c>
      <c r="CH100" s="55">
        <f t="shared" si="94"/>
        <v>0</v>
      </c>
      <c r="CI100" s="41">
        <f>'[2]побудинковий звіт'!CI100+'[1]побудинковий звіт'!CI100</f>
        <v>0</v>
      </c>
      <c r="CJ100" s="41">
        <f>'[2]побудинковий звіт'!CJ100+'[1]побудинковий звіт'!CJ100</f>
        <v>0</v>
      </c>
      <c r="CK100" s="55">
        <f t="shared" si="95"/>
        <v>0</v>
      </c>
      <c r="CL100" s="41">
        <f>'[2]побудинковий звіт'!CL100+'[1]побудинковий звіт'!CL100</f>
        <v>0</v>
      </c>
      <c r="CM100" s="41">
        <f>'[2]побудинковий звіт'!CM100+'[1]побудинковий звіт'!CM100</f>
        <v>0</v>
      </c>
      <c r="CN100" s="55">
        <f t="shared" si="96"/>
        <v>0</v>
      </c>
      <c r="CO100" s="41">
        <f t="shared" si="97"/>
        <v>0</v>
      </c>
      <c r="CP100" s="42">
        <f t="shared" si="98"/>
        <v>0</v>
      </c>
      <c r="CQ100" s="55">
        <f t="shared" si="99"/>
        <v>0</v>
      </c>
      <c r="CR100" s="76">
        <f t="shared" si="100"/>
        <v>3487.802160389957</v>
      </c>
      <c r="CS100" s="5">
        <f t="shared" si="101"/>
        <v>5594.3077559459225</v>
      </c>
      <c r="CT100" s="55">
        <f t="shared" si="102"/>
        <v>2106.5055955559656</v>
      </c>
      <c r="CU100" s="84">
        <f t="shared" si="103"/>
        <v>4185.3625924679482</v>
      </c>
      <c r="CV100" s="68">
        <f t="shared" si="104"/>
        <v>6713.1693071351065</v>
      </c>
      <c r="CW100" s="36">
        <f t="shared" si="105"/>
        <v>2527.8067146671583</v>
      </c>
      <c r="CX100" s="41">
        <f>'[2]побудинковий звіт'!CX100+'[1]побудинковий звіт'!CX100</f>
        <v>192.57186564095485</v>
      </c>
      <c r="CY100" s="41">
        <f>'[2]побудинковий звіт'!CY100+'[1]побудинковий звіт'!CY100</f>
        <v>-2335.2348490262029</v>
      </c>
      <c r="CZ100" s="55">
        <f t="shared" si="106"/>
        <v>-2527.8067146671578</v>
      </c>
      <c r="DA100" s="254">
        <f>'[1]побудинковий звіт'!DA100</f>
        <v>-7446.1174435079038</v>
      </c>
      <c r="DB100" s="2">
        <v>3</v>
      </c>
      <c r="DC100" s="702">
        <f>'[1]побудинковий звіт'!DC100</f>
        <v>1078.6300000000001</v>
      </c>
      <c r="DD100" s="702">
        <f>'[1]побудинковий звіт'!DD100</f>
        <v>0</v>
      </c>
      <c r="DE100" s="702">
        <f>'[1]побудинковий звіт'!DE100</f>
        <v>596.0100000000001</v>
      </c>
      <c r="DF100" s="702">
        <f>'[1]побудинковий звіт'!DF100</f>
        <v>0</v>
      </c>
      <c r="DG100" s="772">
        <v>-5114.2343649282502</v>
      </c>
      <c r="DH100" s="746">
        <f t="shared" si="107"/>
        <v>52535.213497306831</v>
      </c>
      <c r="DI100" s="769"/>
      <c r="DJ100" s="5"/>
      <c r="DK100" s="307">
        <f>VLOOKUP($A100,ціни!$A$4:$G$401,5)</f>
        <v>1.5806432733209343</v>
      </c>
      <c r="DL100" s="307"/>
      <c r="DM100" s="307">
        <f>VLOOKUP($A100,ціни!$A$4:$G$401,7)</f>
        <v>1.5806432733209343</v>
      </c>
      <c r="DN100" s="29">
        <f t="shared" si="118"/>
        <v>342.68346165597859</v>
      </c>
      <c r="DO100" s="29">
        <f t="shared" si="119"/>
        <v>0</v>
      </c>
      <c r="DP100" s="306">
        <f t="shared" si="108"/>
        <v>342.68346165597859</v>
      </c>
      <c r="DQ100" s="101"/>
      <c r="DR100" s="29">
        <f>VLOOKUP(A100,'ДЗ нас '!$A$1:$C$359,2)</f>
        <v>342.67</v>
      </c>
      <c r="DS100" s="733"/>
      <c r="DT100" s="29">
        <f t="shared" si="109"/>
        <v>342.67</v>
      </c>
      <c r="DU100" s="247">
        <f>VLOOKUP(A100,'новий кошторис с 01.06'!$A$4:$AI$399,35)*1.2</f>
        <v>345.63480247406835</v>
      </c>
      <c r="DV100" s="29">
        <f t="shared" si="110"/>
        <v>-2.9648024740683354</v>
      </c>
      <c r="DW100" s="1016">
        <f>'[2]побудинковий звіт'!$DW$9+'[1]побудинковий звіт'!DW100</f>
        <v>0</v>
      </c>
      <c r="DX100" s="101">
        <f>'[1]побудинковий звіт'!DX100</f>
        <v>0</v>
      </c>
      <c r="DY100" s="5">
        <f t="shared" si="111"/>
        <v>3756.321522306182</v>
      </c>
      <c r="DZ100" s="5">
        <f t="shared" si="112"/>
        <v>6487.3497651485895</v>
      </c>
      <c r="EA100" s="737">
        <f t="shared" si="113"/>
        <v>596.0100000000001</v>
      </c>
      <c r="EC100" s="577">
        <f t="shared" si="114"/>
        <v>37563.215223061823</v>
      </c>
      <c r="EE100" s="743">
        <v>-2215</v>
      </c>
      <c r="EF100" s="723">
        <f t="shared" si="115"/>
        <v>-7329.2343649282502</v>
      </c>
      <c r="EH100" s="798">
        <v>-6926.2244523711861</v>
      </c>
      <c r="EI100" s="101">
        <f>VLOOKUP(A100,'кошти 01.01.24'!$A$9:$D$352,4,FALSE)</f>
        <v>-9973.924158175063</v>
      </c>
    </row>
    <row r="101" spans="1:139" hidden="1" x14ac:dyDescent="0.3">
      <c r="A101" s="318">
        <v>150000644</v>
      </c>
      <c r="B101" s="43" t="s">
        <v>526</v>
      </c>
      <c r="C101" s="44" t="s">
        <v>67</v>
      </c>
      <c r="D101" s="44" t="s">
        <v>67</v>
      </c>
      <c r="E101" s="39">
        <f t="shared" si="64"/>
        <v>214.7</v>
      </c>
      <c r="F101" s="205">
        <f>'[1]побудинковий звіт'!F101</f>
        <v>214.7</v>
      </c>
      <c r="G101" s="29">
        <f>'[1]побудинковий звіт'!G101</f>
        <v>0</v>
      </c>
      <c r="H101" s="148">
        <f>'[1]побудинковий звіт'!H101</f>
        <v>0</v>
      </c>
      <c r="I101" s="41">
        <f>'[2]побудинковий звіт'!I101+'[1]побудинковий звіт'!I101</f>
        <v>0</v>
      </c>
      <c r="J101" s="41">
        <f>'[2]побудинковий звіт'!J101+'[1]побудинковий звіт'!J101</f>
        <v>0</v>
      </c>
      <c r="K101" s="55">
        <f t="shared" si="65"/>
        <v>0</v>
      </c>
      <c r="L101" s="41">
        <f>'[2]побудинковий звіт'!L101+'[1]побудинковий звіт'!L101</f>
        <v>0</v>
      </c>
      <c r="M101" s="41">
        <f>'[2]побудинковий звіт'!M101+'[1]побудинковий звіт'!M101</f>
        <v>0</v>
      </c>
      <c r="N101" s="55">
        <f t="shared" si="66"/>
        <v>0</v>
      </c>
      <c r="O101" s="41">
        <f>'[2]побудинковий звіт'!O101+'[1]побудинковий звіт'!O101</f>
        <v>289.80779182891234</v>
      </c>
      <c r="P101" s="41">
        <f>'[2]побудинковий звіт'!P101+'[1]побудинковий звіт'!P101</f>
        <v>290.88188613569719</v>
      </c>
      <c r="Q101" s="55">
        <f t="shared" si="67"/>
        <v>1.0740943067848434</v>
      </c>
      <c r="R101" s="41">
        <f>'[2]побудинковий звіт'!R101+'[1]побудинковий звіт'!R101</f>
        <v>0</v>
      </c>
      <c r="S101" s="41">
        <f>'[2]побудинковий звіт'!S101+'[1]побудинковий звіт'!S101</f>
        <v>0</v>
      </c>
      <c r="T101" s="55">
        <f t="shared" si="68"/>
        <v>0</v>
      </c>
      <c r="U101" s="41">
        <f>'[2]побудинковий звіт'!U101+'[1]побудинковий звіт'!U101</f>
        <v>0</v>
      </c>
      <c r="V101" s="41">
        <f>'[2]побудинковий звіт'!V101+'[1]побудинковий звіт'!V101</f>
        <v>0</v>
      </c>
      <c r="W101" s="55">
        <f t="shared" si="69"/>
        <v>0</v>
      </c>
      <c r="X101" s="41">
        <f>'[2]побудинковий звіт'!X101+'[1]побудинковий звіт'!X101</f>
        <v>0</v>
      </c>
      <c r="Y101" s="41">
        <f>'[2]побудинковий звіт'!Y101+'[1]побудинковий звіт'!Y101</f>
        <v>0</v>
      </c>
      <c r="Z101" s="55">
        <f t="shared" si="70"/>
        <v>0</v>
      </c>
      <c r="AA101" s="41">
        <f>'[2]побудинковий звіт'!AA101+'[1]побудинковий звіт'!AA101</f>
        <v>0</v>
      </c>
      <c r="AB101" s="41">
        <f>'[2]побудинковий звіт'!AB101+'[1]побудинковий звіт'!AB101</f>
        <v>0</v>
      </c>
      <c r="AC101" s="55">
        <f t="shared" si="71"/>
        <v>0</v>
      </c>
      <c r="AD101" s="41">
        <f>'[2]побудинковий звіт'!AD101+'[1]побудинковий звіт'!AD101</f>
        <v>0</v>
      </c>
      <c r="AE101" s="41">
        <f>'[2]побудинковий звіт'!AE101+'[1]побудинковий звіт'!AE101</f>
        <v>0</v>
      </c>
      <c r="AF101" s="36">
        <f t="shared" si="72"/>
        <v>0</v>
      </c>
      <c r="AG101" s="84">
        <f t="shared" si="73"/>
        <v>289.80779182891234</v>
      </c>
      <c r="AH101" s="56">
        <f t="shared" si="74"/>
        <v>290.88188613569719</v>
      </c>
      <c r="AI101" s="55">
        <f t="shared" si="75"/>
        <v>1.0740943067848434</v>
      </c>
      <c r="AJ101" s="41">
        <f>'[2]побудинковий звіт'!AJ101+'[1]побудинковий звіт'!AJ101</f>
        <v>0</v>
      </c>
      <c r="AK101" s="41">
        <f>'[2]побудинковий звіт'!AK101+'[1]побудинковий звіт'!AK101</f>
        <v>0</v>
      </c>
      <c r="AL101" s="55">
        <f t="shared" si="76"/>
        <v>0</v>
      </c>
      <c r="AM101" s="41">
        <f>'[2]побудинковий звіт'!AM101+'[1]побудинковий звіт'!AM101</f>
        <v>0</v>
      </c>
      <c r="AN101" s="41">
        <f>'[2]побудинковий звіт'!AN101+'[1]побудинковий звіт'!AN101</f>
        <v>0</v>
      </c>
      <c r="AO101" s="55">
        <f t="shared" si="77"/>
        <v>0</v>
      </c>
      <c r="AP101" s="41">
        <f>'[2]побудинковий звіт'!AP101+'[1]побудинковий звіт'!AP101</f>
        <v>396.23917716208166</v>
      </c>
      <c r="AQ101" s="41">
        <f>'[2]побудинковий звіт'!AQ101+'[1]побудинковий звіт'!AQ101</f>
        <v>375.84186815509452</v>
      </c>
      <c r="AR101" s="55">
        <f t="shared" si="78"/>
        <v>-20.397309006987143</v>
      </c>
      <c r="AS101" s="41">
        <f>'[2]побудинковий звіт'!AS101+'[1]побудинковий звіт'!AS101</f>
        <v>3121.5454364709653</v>
      </c>
      <c r="AT101" s="41">
        <f>'[2]побудинковий звіт'!AT101+'[1]побудинковий звіт'!AT101</f>
        <v>0</v>
      </c>
      <c r="AU101" s="57">
        <f t="shared" si="79"/>
        <v>-3121.5454364709653</v>
      </c>
      <c r="AV101" s="41">
        <f>'[2]побудинковий звіт'!AV101+'[1]побудинковий звіт'!AV101</f>
        <v>0</v>
      </c>
      <c r="AW101" s="41">
        <f>'[2]побудинковий звіт'!AW101+'[1]побудинковий звіт'!AW101</f>
        <v>0</v>
      </c>
      <c r="AX101" s="58">
        <f t="shared" si="80"/>
        <v>0</v>
      </c>
      <c r="AY101" s="41">
        <f>'[2]побудинковий звіт'!AY101+'[1]побудинковий звіт'!AY101</f>
        <v>0</v>
      </c>
      <c r="AZ101" s="41">
        <f>'[2]побудинковий звіт'!AZ101+'[1]побудинковий звіт'!AZ101</f>
        <v>0</v>
      </c>
      <c r="BA101" s="36">
        <f t="shared" si="81"/>
        <v>0</v>
      </c>
      <c r="BB101" s="41">
        <f>'[2]побудинковий звіт'!BB101+'[1]побудинковий звіт'!BB101</f>
        <v>116.74514330291768</v>
      </c>
      <c r="BC101" s="41">
        <f>'[2]побудинковий звіт'!BC101+'[1]побудинковий звіт'!BC101</f>
        <v>0</v>
      </c>
      <c r="BD101" s="58">
        <f t="shared" si="82"/>
        <v>-116.74514330291768</v>
      </c>
      <c r="BE101" s="41">
        <f>'[2]побудинковий звіт'!BE101+'[1]побудинковий звіт'!BE101</f>
        <v>0</v>
      </c>
      <c r="BF101" s="41">
        <f>'[2]побудинковий звіт'!BF101+'[1]побудинковий звіт'!BF101</f>
        <v>0</v>
      </c>
      <c r="BG101" s="38">
        <f t="shared" si="83"/>
        <v>0</v>
      </c>
      <c r="BH101" s="41">
        <f>'[2]побудинковий звіт'!BH101+'[1]побудинковий звіт'!BH101</f>
        <v>0</v>
      </c>
      <c r="BI101" s="41">
        <f>'[2]побудинковий звіт'!BI101+'[1]побудинковий звіт'!BI101</f>
        <v>0</v>
      </c>
      <c r="BJ101" s="58">
        <f t="shared" si="84"/>
        <v>0</v>
      </c>
      <c r="BK101" s="41">
        <f>'[2]побудинковий звіт'!BK101+'[1]побудинковий звіт'!BK101</f>
        <v>0</v>
      </c>
      <c r="BL101" s="41">
        <f>'[2]побудинковий звіт'!BL101+'[1]побудинковий звіт'!BL101</f>
        <v>0</v>
      </c>
      <c r="BM101" s="38">
        <f t="shared" si="85"/>
        <v>0</v>
      </c>
      <c r="BN101" s="41">
        <f>'[2]побудинковий звіт'!BN101+'[1]побудинковий звіт'!BN101</f>
        <v>0</v>
      </c>
      <c r="BO101" s="41">
        <f>'[2]побудинковий звіт'!BO101+'[1]побудинковий звіт'!BO101</f>
        <v>0</v>
      </c>
      <c r="BP101" s="58">
        <f t="shared" si="86"/>
        <v>0</v>
      </c>
      <c r="BQ101" s="84">
        <f t="shared" si="87"/>
        <v>116.74514330291768</v>
      </c>
      <c r="BR101" s="42">
        <f t="shared" si="88"/>
        <v>0</v>
      </c>
      <c r="BS101" s="58">
        <f t="shared" si="89"/>
        <v>-116.74514330291768</v>
      </c>
      <c r="BT101" s="41">
        <f>'[2]побудинковий звіт'!BT101+'[1]побудинковий звіт'!BT101</f>
        <v>0</v>
      </c>
      <c r="BU101" s="41">
        <f>'[2]побудинковий звіт'!BU101+'[1]побудинковий звіт'!BU101</f>
        <v>0</v>
      </c>
      <c r="BV101" s="55">
        <f t="shared" si="90"/>
        <v>0</v>
      </c>
      <c r="BW101" s="41">
        <f>'[2]побудинковий звіт'!BW101+'[1]побудинковий звіт'!BW101</f>
        <v>0</v>
      </c>
      <c r="BX101" s="41">
        <f>'[2]побудинковий звіт'!BX101+'[1]побудинковий звіт'!BX101</f>
        <v>0.87389173301840772</v>
      </c>
      <c r="BY101" s="55">
        <f t="shared" si="91"/>
        <v>0.87389173301840772</v>
      </c>
      <c r="BZ101" s="41">
        <f>'[2]побудинковий звіт'!BZ101+'[1]побудинковий звіт'!BZ101</f>
        <v>0</v>
      </c>
      <c r="CA101" s="41">
        <f>'[2]побудинковий звіт'!CA101+'[1]побудинковий звіт'!CA101</f>
        <v>0</v>
      </c>
      <c r="CB101" s="55">
        <f t="shared" si="92"/>
        <v>0</v>
      </c>
      <c r="CC101" s="41">
        <f>'[2]побудинковий звіт'!CC101+'[1]побудинковий звіт'!CC101</f>
        <v>0</v>
      </c>
      <c r="CD101" s="41">
        <f>'[2]побудинковий звіт'!CD101+'[1]побудинковий звіт'!CD101</f>
        <v>0</v>
      </c>
      <c r="CE101" s="55">
        <f t="shared" si="93"/>
        <v>0</v>
      </c>
      <c r="CF101" s="41">
        <f>'[2]побудинковий звіт'!CF101+'[1]побудинковий звіт'!CF101</f>
        <v>0</v>
      </c>
      <c r="CG101" s="41">
        <f>'[2]побудинковий звіт'!CG101+'[1]побудинковий звіт'!CG101</f>
        <v>0</v>
      </c>
      <c r="CH101" s="55">
        <f t="shared" si="94"/>
        <v>0</v>
      </c>
      <c r="CI101" s="41">
        <f>'[2]побудинковий звіт'!CI101+'[1]побудинковий звіт'!CI101</f>
        <v>0</v>
      </c>
      <c r="CJ101" s="41">
        <f>'[2]побудинковий звіт'!CJ101+'[1]побудинковий звіт'!CJ101</f>
        <v>0</v>
      </c>
      <c r="CK101" s="55">
        <f t="shared" si="95"/>
        <v>0</v>
      </c>
      <c r="CL101" s="41">
        <f>'[2]побудинковий звіт'!CL101+'[1]побудинковий звіт'!CL101</f>
        <v>0</v>
      </c>
      <c r="CM101" s="41">
        <f>'[2]побудинковий звіт'!CM101+'[1]побудинковий звіт'!CM101</f>
        <v>0</v>
      </c>
      <c r="CN101" s="55">
        <f t="shared" si="96"/>
        <v>0</v>
      </c>
      <c r="CO101" s="41">
        <f t="shared" si="97"/>
        <v>0</v>
      </c>
      <c r="CP101" s="42">
        <f t="shared" si="98"/>
        <v>0</v>
      </c>
      <c r="CQ101" s="55">
        <f t="shared" si="99"/>
        <v>0</v>
      </c>
      <c r="CR101" s="76">
        <f t="shared" si="100"/>
        <v>3924.3375487648768</v>
      </c>
      <c r="CS101" s="5">
        <f t="shared" si="101"/>
        <v>667.59764602381006</v>
      </c>
      <c r="CT101" s="55">
        <f t="shared" si="102"/>
        <v>-3256.7399027410665</v>
      </c>
      <c r="CU101" s="84">
        <f t="shared" si="103"/>
        <v>4709.2050585178522</v>
      </c>
      <c r="CV101" s="68">
        <f t="shared" si="104"/>
        <v>801.11717522857202</v>
      </c>
      <c r="CW101" s="36">
        <f t="shared" si="105"/>
        <v>-3908.0878832892804</v>
      </c>
      <c r="CX101" s="41">
        <f>'[2]побудинковий звіт'!CX101+'[1]побудинковий звіт'!CX101</f>
        <v>141.66747285123992</v>
      </c>
      <c r="CY101" s="41">
        <f>'[2]побудинковий звіт'!CY101+'[1]побудинковий звіт'!CY101</f>
        <v>4049.7553561405193</v>
      </c>
      <c r="CZ101" s="55">
        <f t="shared" si="106"/>
        <v>3908.0878832892795</v>
      </c>
      <c r="DA101" s="254">
        <f>'[1]побудинковий звіт'!DA101</f>
        <v>-11303.94526815754</v>
      </c>
      <c r="DB101" s="2">
        <v>3</v>
      </c>
      <c r="DC101" s="702">
        <f>'[1]побудинковий звіт'!DC101</f>
        <v>529.36</v>
      </c>
      <c r="DD101" s="702">
        <f>'[1]побудинковий звіт'!DD101</f>
        <v>0</v>
      </c>
      <c r="DE101" s="702">
        <f>'[1]побудинковий звіт'!DE101</f>
        <v>0</v>
      </c>
      <c r="DF101" s="702">
        <f>'[1]побудинковий звіт'!DF101</f>
        <v>0</v>
      </c>
      <c r="DG101" s="772">
        <v>-3314.7915409909883</v>
      </c>
      <c r="DH101" s="746">
        <f t="shared" si="107"/>
        <v>58210.470376429104</v>
      </c>
      <c r="DI101" s="769"/>
      <c r="DJ101" s="5"/>
      <c r="DK101" s="307">
        <f>VLOOKUP($A101,ціни!$A$4:$G$401,5)</f>
        <v>1.7731766328010157</v>
      </c>
      <c r="DL101" s="307"/>
      <c r="DM101" s="307">
        <f>VLOOKUP($A101,ціни!$A$4:$G$401,7)</f>
        <v>1.7731766328010157</v>
      </c>
      <c r="DN101" s="29">
        <f t="shared" si="118"/>
        <v>380.70102306237806</v>
      </c>
      <c r="DO101" s="29">
        <f t="shared" si="119"/>
        <v>0</v>
      </c>
      <c r="DP101" s="306">
        <f t="shared" si="108"/>
        <v>380.70102306237806</v>
      </c>
      <c r="DQ101" s="101"/>
      <c r="DR101" s="29">
        <f>VLOOKUP(A101,'ДЗ нас '!$A$1:$C$359,2)</f>
        <v>380.7</v>
      </c>
      <c r="DS101" s="733"/>
      <c r="DT101" s="29">
        <f t="shared" si="109"/>
        <v>380.7</v>
      </c>
      <c r="DU101" s="247">
        <f>VLOOKUP(A101,'новий кошторис с 01.06'!$A$4:$AI$399,35)*1.2</f>
        <v>382.5581012236579</v>
      </c>
      <c r="DV101" s="29">
        <f t="shared" si="110"/>
        <v>-1.8581012236579113</v>
      </c>
      <c r="DW101" s="1016">
        <f>'[2]побудинковий звіт'!$DW$9+'[1]побудинковий звіт'!DW101</f>
        <v>0</v>
      </c>
      <c r="DX101" s="101">
        <f>'[1]побудинковий звіт'!DX101</f>
        <v>0</v>
      </c>
      <c r="DY101" s="5">
        <f t="shared" si="111"/>
        <v>3885.9486957286595</v>
      </c>
      <c r="DZ101" s="5">
        <f t="shared" si="112"/>
        <v>0</v>
      </c>
      <c r="EA101" s="737">
        <f t="shared" si="113"/>
        <v>0</v>
      </c>
      <c r="EC101" s="577">
        <f t="shared" si="114"/>
        <v>37458.545237651582</v>
      </c>
      <c r="EE101" s="743">
        <v>-1605</v>
      </c>
      <c r="EF101" s="723">
        <f t="shared" si="115"/>
        <v>-4919.7915409909883</v>
      </c>
      <c r="EH101" s="798">
        <v>-4412.7073573950893</v>
      </c>
      <c r="EI101" s="101">
        <f>VLOOKUP(A101,'кошти 01.01.24'!$A$9:$D$352,4,FALSE)</f>
        <v>-7395.8573848682599</v>
      </c>
    </row>
    <row r="102" spans="1:139" ht="14.4" hidden="1" customHeight="1" x14ac:dyDescent="0.3">
      <c r="A102" s="318">
        <v>150000566</v>
      </c>
      <c r="B102" s="43" t="s">
        <v>527</v>
      </c>
      <c r="C102" s="44" t="s">
        <v>68</v>
      </c>
      <c r="D102" s="44" t="s">
        <v>68</v>
      </c>
      <c r="E102" s="39">
        <f t="shared" si="64"/>
        <v>397.8</v>
      </c>
      <c r="F102" s="205">
        <f>'[1]побудинковий звіт'!F102</f>
        <v>397.8</v>
      </c>
      <c r="G102" s="29">
        <f>'[1]побудинковий звіт'!G102</f>
        <v>0</v>
      </c>
      <c r="H102" s="148">
        <f>'[1]побудинковий звіт'!H102</f>
        <v>0</v>
      </c>
      <c r="I102" s="41">
        <f>'[2]побудинковий звіт'!I102+'[1]побудинковий звіт'!I102</f>
        <v>0</v>
      </c>
      <c r="J102" s="41">
        <f>'[2]побудинковий звіт'!J102+'[1]побудинковий звіт'!J102</f>
        <v>0</v>
      </c>
      <c r="K102" s="55">
        <f t="shared" si="65"/>
        <v>0</v>
      </c>
      <c r="L102" s="41">
        <f>'[2]побудинковий звіт'!L102+'[1]побудинковий звіт'!L102</f>
        <v>0</v>
      </c>
      <c r="M102" s="41">
        <f>'[2]побудинковий звіт'!M102+'[1]побудинковий звіт'!M102</f>
        <v>0</v>
      </c>
      <c r="N102" s="55">
        <f t="shared" si="66"/>
        <v>0</v>
      </c>
      <c r="O102" s="41">
        <f>'[2]побудинковий звіт'!O102+'[1]побудинковий звіт'!O102</f>
        <v>0</v>
      </c>
      <c r="P102" s="41">
        <f>'[2]побудинковий звіт'!P102+'[1]побудинковий звіт'!P102</f>
        <v>0</v>
      </c>
      <c r="Q102" s="55">
        <f t="shared" si="67"/>
        <v>0</v>
      </c>
      <c r="R102" s="41">
        <f>'[2]побудинковий звіт'!R102+'[1]побудинковий звіт'!R102</f>
        <v>0</v>
      </c>
      <c r="S102" s="41">
        <f>'[2]побудинковий звіт'!S102+'[1]побудинковий звіт'!S102</f>
        <v>0</v>
      </c>
      <c r="T102" s="55">
        <f t="shared" si="68"/>
        <v>0</v>
      </c>
      <c r="U102" s="41">
        <f>'[2]побудинковий звіт'!U102+'[1]побудинковий звіт'!U102</f>
        <v>0</v>
      </c>
      <c r="V102" s="41">
        <f>'[2]побудинковий звіт'!V102+'[1]побудинковий звіт'!V102</f>
        <v>0</v>
      </c>
      <c r="W102" s="55">
        <f t="shared" si="69"/>
        <v>0</v>
      </c>
      <c r="X102" s="41">
        <f>'[2]побудинковий звіт'!X102+'[1]побудинковий звіт'!X102</f>
        <v>0</v>
      </c>
      <c r="Y102" s="41">
        <f>'[2]побудинковий звіт'!Y102+'[1]побудинковий звіт'!Y102</f>
        <v>0</v>
      </c>
      <c r="Z102" s="55">
        <f t="shared" si="70"/>
        <v>0</v>
      </c>
      <c r="AA102" s="41">
        <f>'[2]побудинковий звіт'!AA102+'[1]побудинковий звіт'!AA102</f>
        <v>0</v>
      </c>
      <c r="AB102" s="41">
        <f>'[2]побудинковий звіт'!AB102+'[1]побудинковий звіт'!AB102</f>
        <v>0</v>
      </c>
      <c r="AC102" s="55">
        <f t="shared" si="71"/>
        <v>0</v>
      </c>
      <c r="AD102" s="41">
        <f>'[2]побудинковий звіт'!AD102+'[1]побудинковий звіт'!AD102</f>
        <v>0</v>
      </c>
      <c r="AE102" s="41">
        <f>'[2]побудинковий звіт'!AE102+'[1]побудинковий звіт'!AE102</f>
        <v>0</v>
      </c>
      <c r="AF102" s="36">
        <f t="shared" si="72"/>
        <v>0</v>
      </c>
      <c r="AG102" s="84">
        <f t="shared" si="73"/>
        <v>0</v>
      </c>
      <c r="AH102" s="56">
        <f t="shared" si="74"/>
        <v>0</v>
      </c>
      <c r="AI102" s="55">
        <f t="shared" si="75"/>
        <v>0</v>
      </c>
      <c r="AJ102" s="41">
        <f>'[2]побудинковий звіт'!AJ102+'[1]побудинковий звіт'!AJ102</f>
        <v>0</v>
      </c>
      <c r="AK102" s="41">
        <f>'[2]побудинковий звіт'!AK102+'[1]побудинковий звіт'!AK102</f>
        <v>0</v>
      </c>
      <c r="AL102" s="55">
        <f t="shared" si="76"/>
        <v>0</v>
      </c>
      <c r="AM102" s="41">
        <f>'[2]побудинковий звіт'!AM102+'[1]побудинковий звіт'!AM102</f>
        <v>0</v>
      </c>
      <c r="AN102" s="41">
        <f>'[2]побудинковий звіт'!AN102+'[1]побудинковий звіт'!AN102</f>
        <v>0</v>
      </c>
      <c r="AO102" s="55">
        <f t="shared" si="77"/>
        <v>0</v>
      </c>
      <c r="AP102" s="41">
        <f>'[2]побудинковий звіт'!AP102+'[1]побудинковий звіт'!AP102</f>
        <v>625.68489398590896</v>
      </c>
      <c r="AQ102" s="41">
        <f>'[2]побудинковий звіт'!AQ102+'[1]побудинковий звіт'!AQ102</f>
        <v>280.95076846322246</v>
      </c>
      <c r="AR102" s="55">
        <f t="shared" si="78"/>
        <v>-344.7341255226865</v>
      </c>
      <c r="AS102" s="41">
        <f>'[2]побудинковий звіт'!AS102+'[1]побудинковий звіт'!AS102</f>
        <v>6558.8182974823894</v>
      </c>
      <c r="AT102" s="41">
        <f>'[2]побудинковий звіт'!AT102+'[1]побудинковий звіт'!AT102</f>
        <v>0</v>
      </c>
      <c r="AU102" s="57">
        <f t="shared" si="79"/>
        <v>-6558.8182974823894</v>
      </c>
      <c r="AV102" s="41">
        <f>'[2]побудинковий звіт'!AV102+'[1]побудинковий звіт'!AV102</f>
        <v>0</v>
      </c>
      <c r="AW102" s="41">
        <f>'[2]побудинковий звіт'!AW102+'[1]побудинковий звіт'!AW102</f>
        <v>0</v>
      </c>
      <c r="AX102" s="58">
        <f t="shared" si="80"/>
        <v>0</v>
      </c>
      <c r="AY102" s="41">
        <f>'[2]побудинковий звіт'!AY102+'[1]побудинковий звіт'!AY102</f>
        <v>0</v>
      </c>
      <c r="AZ102" s="41">
        <f>'[2]побудинковий звіт'!AZ102+'[1]побудинковий звіт'!AZ102</f>
        <v>0</v>
      </c>
      <c r="BA102" s="36">
        <f t="shared" si="81"/>
        <v>0</v>
      </c>
      <c r="BB102" s="41">
        <f>'[2]побудинковий звіт'!BB102+'[1]побудинковий звіт'!BB102</f>
        <v>0</v>
      </c>
      <c r="BC102" s="41">
        <f>'[2]побудинковий звіт'!BC102+'[1]побудинковий звіт'!BC102</f>
        <v>0</v>
      </c>
      <c r="BD102" s="58">
        <f t="shared" si="82"/>
        <v>0</v>
      </c>
      <c r="BE102" s="41">
        <f>'[2]побудинковий звіт'!BE102+'[1]побудинковий звіт'!BE102</f>
        <v>0</v>
      </c>
      <c r="BF102" s="41">
        <f>'[2]побудинковий звіт'!BF102+'[1]побудинковий звіт'!BF102</f>
        <v>0</v>
      </c>
      <c r="BG102" s="38">
        <f t="shared" si="83"/>
        <v>0</v>
      </c>
      <c r="BH102" s="41">
        <f>'[2]побудинковий звіт'!BH102+'[1]побудинковий звіт'!BH102</f>
        <v>0</v>
      </c>
      <c r="BI102" s="41">
        <f>'[2]побудинковий звіт'!BI102+'[1]побудинковий звіт'!BI102</f>
        <v>0</v>
      </c>
      <c r="BJ102" s="58">
        <f t="shared" si="84"/>
        <v>0</v>
      </c>
      <c r="BK102" s="41">
        <f>'[2]побудинковий звіт'!BK102+'[1]побудинковий звіт'!BK102</f>
        <v>0</v>
      </c>
      <c r="BL102" s="41">
        <f>'[2]побудинковий звіт'!BL102+'[1]побудинковий звіт'!BL102</f>
        <v>0</v>
      </c>
      <c r="BM102" s="38">
        <f t="shared" si="85"/>
        <v>0</v>
      </c>
      <c r="BN102" s="41">
        <f>'[2]побудинковий звіт'!BN102+'[1]побудинковий звіт'!BN102</f>
        <v>0</v>
      </c>
      <c r="BO102" s="41">
        <f>'[2]побудинковий звіт'!BO102+'[1]побудинковий звіт'!BO102</f>
        <v>0</v>
      </c>
      <c r="BP102" s="58">
        <f t="shared" si="86"/>
        <v>0</v>
      </c>
      <c r="BQ102" s="84">
        <f t="shared" si="87"/>
        <v>0</v>
      </c>
      <c r="BR102" s="42">
        <f t="shared" si="88"/>
        <v>0</v>
      </c>
      <c r="BS102" s="58">
        <f t="shared" si="89"/>
        <v>0</v>
      </c>
      <c r="BT102" s="41">
        <f>'[2]побудинковий звіт'!BT102+'[1]побудинковий звіт'!BT102</f>
        <v>149.40357169906758</v>
      </c>
      <c r="BU102" s="41">
        <f>'[2]побудинковий звіт'!BU102+'[1]побудинковий звіт'!BU102</f>
        <v>0</v>
      </c>
      <c r="BV102" s="55">
        <f t="shared" si="90"/>
        <v>-149.40357169906758</v>
      </c>
      <c r="BW102" s="41">
        <f>'[2]побудинковий звіт'!BW102+'[1]побудинковий звіт'!BW102</f>
        <v>0</v>
      </c>
      <c r="BX102" s="41">
        <f>'[2]побудинковий звіт'!BX102+'[1]побудинковий звіт'!BX102</f>
        <v>1.6191622328585125</v>
      </c>
      <c r="BY102" s="55">
        <f t="shared" si="91"/>
        <v>1.6191622328585125</v>
      </c>
      <c r="BZ102" s="41">
        <f>'[2]побудинковий звіт'!BZ102+'[1]побудинковий звіт'!BZ102</f>
        <v>171.88663345960686</v>
      </c>
      <c r="CA102" s="41">
        <f>'[2]побудинковий звіт'!CA102+'[1]побудинковий звіт'!CA102</f>
        <v>0</v>
      </c>
      <c r="CB102" s="55">
        <f t="shared" si="92"/>
        <v>-171.88663345960686</v>
      </c>
      <c r="CC102" s="41">
        <f>'[2]побудинковий звіт'!CC102+'[1]побудинковий звіт'!CC102</f>
        <v>0</v>
      </c>
      <c r="CD102" s="41">
        <f>'[2]побудинковий звіт'!CD102+'[1]побудинковий звіт'!CD102</f>
        <v>0</v>
      </c>
      <c r="CE102" s="55">
        <f t="shared" si="93"/>
        <v>0</v>
      </c>
      <c r="CF102" s="41">
        <f>'[2]побудинковий звіт'!CF102+'[1]побудинковий звіт'!CF102</f>
        <v>0</v>
      </c>
      <c r="CG102" s="41">
        <f>'[2]побудинковий звіт'!CG102+'[1]побудинковий звіт'!CG102</f>
        <v>0</v>
      </c>
      <c r="CH102" s="55">
        <f t="shared" si="94"/>
        <v>0</v>
      </c>
      <c r="CI102" s="41">
        <f>'[2]побудинковий звіт'!CI102+'[1]побудинковий звіт'!CI102</f>
        <v>0</v>
      </c>
      <c r="CJ102" s="41">
        <f>'[2]побудинковий звіт'!CJ102+'[1]побудинковий звіт'!CJ102</f>
        <v>0</v>
      </c>
      <c r="CK102" s="55">
        <f t="shared" si="95"/>
        <v>0</v>
      </c>
      <c r="CL102" s="41">
        <f>'[2]побудинковий звіт'!CL102+'[1]побудинковий звіт'!CL102</f>
        <v>0</v>
      </c>
      <c r="CM102" s="41">
        <f>'[2]побудинковий звіт'!CM102+'[1]побудинковий звіт'!CM102</f>
        <v>0</v>
      </c>
      <c r="CN102" s="55">
        <f t="shared" si="96"/>
        <v>0</v>
      </c>
      <c r="CO102" s="41">
        <f t="shared" si="97"/>
        <v>0</v>
      </c>
      <c r="CP102" s="42">
        <f t="shared" si="98"/>
        <v>0</v>
      </c>
      <c r="CQ102" s="55">
        <f t="shared" si="99"/>
        <v>0</v>
      </c>
      <c r="CR102" s="76">
        <f t="shared" si="100"/>
        <v>7505.7933966269729</v>
      </c>
      <c r="CS102" s="5">
        <f t="shared" si="101"/>
        <v>282.56993069608097</v>
      </c>
      <c r="CT102" s="55">
        <f t="shared" si="102"/>
        <v>-7223.2234659308924</v>
      </c>
      <c r="CU102" s="84">
        <f t="shared" si="103"/>
        <v>9006.9520759523675</v>
      </c>
      <c r="CV102" s="68">
        <f t="shared" si="104"/>
        <v>339.08391683529715</v>
      </c>
      <c r="CW102" s="36">
        <f t="shared" si="105"/>
        <v>-8667.8681591170698</v>
      </c>
      <c r="CX102" s="41">
        <f>'[2]побудинковий звіт'!CX102+'[1]побудинковий звіт'!CX102</f>
        <v>637.72199506532127</v>
      </c>
      <c r="CY102" s="41">
        <f>'[2]побудинковий звіт'!CY102+'[1]побудинковий звіт'!CY102</f>
        <v>9305.5901541823932</v>
      </c>
      <c r="CZ102" s="55">
        <f t="shared" si="106"/>
        <v>8667.8681591170716</v>
      </c>
      <c r="DA102" s="254">
        <f>'[1]побудинковий звіт'!DA102</f>
        <v>-30987.795853199048</v>
      </c>
      <c r="DB102" s="2">
        <v>1</v>
      </c>
      <c r="DC102" s="702">
        <f>'[1]побудинковий звіт'!DC102</f>
        <v>2759.07</v>
      </c>
      <c r="DD102" s="702">
        <f>'[1]побудинковий звіт'!DD102</f>
        <v>0</v>
      </c>
      <c r="DE102" s="702">
        <f>'[1]побудинковий звіт'!DE102</f>
        <v>1679.9700000000003</v>
      </c>
      <c r="DF102" s="702">
        <f>'[1]побудинковий звіт'!DF102</f>
        <v>0</v>
      </c>
      <c r="DG102" s="772">
        <v>-10836.685942204278</v>
      </c>
      <c r="DH102" s="746">
        <f t="shared" si="107"/>
        <v>115736.08885221227</v>
      </c>
      <c r="DI102" s="769"/>
      <c r="DJ102" s="5"/>
      <c r="DK102" s="307">
        <f>VLOOKUP($A102,ціни!$A$4:$G$401,5)</f>
        <v>1.8330828798819481</v>
      </c>
      <c r="DL102" s="307"/>
      <c r="DM102" s="307">
        <f>VLOOKUP($A102,ціни!$A$4:$G$401,7)</f>
        <v>1.8330828798819481</v>
      </c>
      <c r="DN102" s="29">
        <f t="shared" si="118"/>
        <v>729.20036961703897</v>
      </c>
      <c r="DO102" s="29">
        <f t="shared" si="119"/>
        <v>0</v>
      </c>
      <c r="DP102" s="306">
        <f t="shared" si="108"/>
        <v>729.20036961703897</v>
      </c>
      <c r="DQ102" s="101"/>
      <c r="DR102" s="29">
        <f>VLOOKUP(A102,'ДЗ нас '!$A$1:$C$359,2)</f>
        <v>729.2</v>
      </c>
      <c r="DS102" s="733"/>
      <c r="DT102" s="29">
        <f t="shared" si="109"/>
        <v>729.2</v>
      </c>
      <c r="DU102" s="247">
        <f>VLOOKUP(A102,'новий кошторис с 01.06'!$A$4:$AI$399,35)*1.2</f>
        <v>732.75740587566975</v>
      </c>
      <c r="DV102" s="29">
        <f t="shared" si="110"/>
        <v>-3.5574058756697013</v>
      </c>
      <c r="DW102" s="1016">
        <f>'[2]побудинковий звіт'!$DW$9+'[1]побудинковий звіт'!DW102</f>
        <v>0</v>
      </c>
      <c r="DX102" s="101">
        <f>'[1]побудинковий звіт'!DX102</f>
        <v>0</v>
      </c>
      <c r="DY102" s="5">
        <f t="shared" si="111"/>
        <v>7870.5819569788673</v>
      </c>
      <c r="DZ102" s="5">
        <f t="shared" si="112"/>
        <v>0</v>
      </c>
      <c r="EA102" s="737">
        <f t="shared" si="113"/>
        <v>1679.9700000000003</v>
      </c>
      <c r="EC102" s="579">
        <f t="shared" si="114"/>
        <v>78705.819569788669</v>
      </c>
      <c r="EE102" s="743">
        <v>-4734</v>
      </c>
      <c r="EF102" s="723">
        <f t="shared" si="115"/>
        <v>-15570.685942204278</v>
      </c>
      <c r="EH102" s="798">
        <v>-15558.385993095904</v>
      </c>
      <c r="EI102" s="101">
        <f>VLOOKUP(A102,'кошти 01.01.24'!$A$9:$D$352,4,FALSE)</f>
        <v>-22319.92769408198</v>
      </c>
    </row>
    <row r="103" spans="1:139" hidden="1" x14ac:dyDescent="0.3">
      <c r="A103" s="318">
        <v>150000569</v>
      </c>
      <c r="B103" s="43" t="s">
        <v>529</v>
      </c>
      <c r="C103" s="44" t="s">
        <v>72</v>
      </c>
      <c r="D103" s="44" t="s">
        <v>72</v>
      </c>
      <c r="E103" s="39">
        <f t="shared" si="64"/>
        <v>245.6</v>
      </c>
      <c r="F103" s="205">
        <f>'[1]побудинковий звіт'!F103</f>
        <v>245.6</v>
      </c>
      <c r="G103" s="29">
        <f>'[1]побудинковий звіт'!G103</f>
        <v>0</v>
      </c>
      <c r="H103" s="148">
        <f>'[1]побудинковий звіт'!H103</f>
        <v>0</v>
      </c>
      <c r="I103" s="41">
        <f>'[2]побудинковий звіт'!I103+'[1]побудинковий звіт'!I103</f>
        <v>0</v>
      </c>
      <c r="J103" s="41">
        <f>'[2]побудинковий звіт'!J103+'[1]побудинковий звіт'!J103</f>
        <v>0</v>
      </c>
      <c r="K103" s="55">
        <f t="shared" si="65"/>
        <v>0</v>
      </c>
      <c r="L103" s="41">
        <f>'[2]побудинковий звіт'!L103+'[1]побудинковий звіт'!L103</f>
        <v>0</v>
      </c>
      <c r="M103" s="41">
        <f>'[2]побудинковий звіт'!M103+'[1]побудинковий звіт'!M103</f>
        <v>0</v>
      </c>
      <c r="N103" s="55">
        <f t="shared" si="66"/>
        <v>0</v>
      </c>
      <c r="O103" s="41">
        <f>'[2]побудинковий звіт'!O103+'[1]побудинковий звіт'!O103</f>
        <v>0</v>
      </c>
      <c r="P103" s="41">
        <f>'[2]побудинковий звіт'!P103+'[1]побудинковий звіт'!P103</f>
        <v>0</v>
      </c>
      <c r="Q103" s="55">
        <f t="shared" si="67"/>
        <v>0</v>
      </c>
      <c r="R103" s="41">
        <f>'[2]побудинковий звіт'!R103+'[1]побудинковий звіт'!R103</f>
        <v>0</v>
      </c>
      <c r="S103" s="41">
        <f>'[2]побудинковий звіт'!S103+'[1]побудинковий звіт'!S103</f>
        <v>0</v>
      </c>
      <c r="T103" s="55">
        <f t="shared" si="68"/>
        <v>0</v>
      </c>
      <c r="U103" s="41">
        <f>'[2]побудинковий звіт'!U103+'[1]побудинковий звіт'!U103</f>
        <v>0</v>
      </c>
      <c r="V103" s="41">
        <f>'[2]побудинковий звіт'!V103+'[1]побудинковий звіт'!V103</f>
        <v>0</v>
      </c>
      <c r="W103" s="55">
        <f t="shared" si="69"/>
        <v>0</v>
      </c>
      <c r="X103" s="41">
        <f>'[2]побудинковий звіт'!X103+'[1]побудинковий звіт'!X103</f>
        <v>0</v>
      </c>
      <c r="Y103" s="41">
        <f>'[2]побудинковий звіт'!Y103+'[1]побудинковий звіт'!Y103</f>
        <v>0</v>
      </c>
      <c r="Z103" s="55">
        <f t="shared" si="70"/>
        <v>0</v>
      </c>
      <c r="AA103" s="41">
        <f>'[2]побудинковий звіт'!AA103+'[1]побудинковий звіт'!AA103</f>
        <v>0</v>
      </c>
      <c r="AB103" s="41">
        <f>'[2]побудинковий звіт'!AB103+'[1]побудинковий звіт'!AB103</f>
        <v>0</v>
      </c>
      <c r="AC103" s="55">
        <f t="shared" si="71"/>
        <v>0</v>
      </c>
      <c r="AD103" s="41">
        <f>'[2]побудинковий звіт'!AD103+'[1]побудинковий звіт'!AD103</f>
        <v>0</v>
      </c>
      <c r="AE103" s="41">
        <f>'[2]побудинковий звіт'!AE103+'[1]побудинковий звіт'!AE103</f>
        <v>0</v>
      </c>
      <c r="AF103" s="36">
        <f t="shared" si="72"/>
        <v>0</v>
      </c>
      <c r="AG103" s="84">
        <f t="shared" si="73"/>
        <v>0</v>
      </c>
      <c r="AH103" s="56">
        <f t="shared" si="74"/>
        <v>0</v>
      </c>
      <c r="AI103" s="55">
        <f t="shared" si="75"/>
        <v>0</v>
      </c>
      <c r="AJ103" s="41">
        <f>'[2]побудинковий звіт'!AJ103+'[1]побудинковий звіт'!AJ103</f>
        <v>0</v>
      </c>
      <c r="AK103" s="41">
        <f>'[2]побудинковий звіт'!AK103+'[1]побудинковий звіт'!AK103</f>
        <v>0</v>
      </c>
      <c r="AL103" s="55">
        <f t="shared" si="76"/>
        <v>0</v>
      </c>
      <c r="AM103" s="41">
        <f>'[2]побудинковий звіт'!AM103+'[1]побудинковий звіт'!AM103</f>
        <v>0</v>
      </c>
      <c r="AN103" s="41">
        <f>'[2]побудинковий звіт'!AN103+'[1]побудинковий звіт'!AN103</f>
        <v>0</v>
      </c>
      <c r="AO103" s="55">
        <f t="shared" si="77"/>
        <v>0</v>
      </c>
      <c r="AP103" s="41">
        <f>'[2]побудинковий звіт'!AP103+'[1]побудинковий звіт'!AP103</f>
        <v>580.99311584405837</v>
      </c>
      <c r="AQ103" s="41">
        <f>'[2]побудинковий звіт'!AQ103+'[1]побудинковий звіт'!AQ103</f>
        <v>234.12564038601874</v>
      </c>
      <c r="AR103" s="55">
        <f t="shared" si="78"/>
        <v>-346.86747545803962</v>
      </c>
      <c r="AS103" s="41">
        <f>'[2]побудинковий звіт'!AS103+'[1]побудинковий звіт'!AS103</f>
        <v>3984.6948022519191</v>
      </c>
      <c r="AT103" s="41">
        <f>'[2]побудинковий звіт'!AT103+'[1]побудинковий звіт'!AT103</f>
        <v>0</v>
      </c>
      <c r="AU103" s="57">
        <f t="shared" si="79"/>
        <v>-3984.6948022519191</v>
      </c>
      <c r="AV103" s="41">
        <f>'[2]побудинковий звіт'!AV103+'[1]побудинковий звіт'!AV103</f>
        <v>0</v>
      </c>
      <c r="AW103" s="41">
        <f>'[2]побудинковий звіт'!AW103+'[1]побудинковий звіт'!AW103</f>
        <v>0</v>
      </c>
      <c r="AX103" s="58">
        <f t="shared" si="80"/>
        <v>0</v>
      </c>
      <c r="AY103" s="41">
        <f>'[2]побудинковий звіт'!AY103+'[1]побудинковий звіт'!AY103</f>
        <v>0</v>
      </c>
      <c r="AZ103" s="41">
        <f>'[2]побудинковий звіт'!AZ103+'[1]побудинковий звіт'!AZ103</f>
        <v>0</v>
      </c>
      <c r="BA103" s="36">
        <f t="shared" si="81"/>
        <v>0</v>
      </c>
      <c r="BB103" s="41">
        <f>'[2]побудинковий звіт'!BB103+'[1]побудинковий звіт'!BB103</f>
        <v>0</v>
      </c>
      <c r="BC103" s="41">
        <f>'[2]побудинковий звіт'!BC103+'[1]побудинковий звіт'!BC103</f>
        <v>0</v>
      </c>
      <c r="BD103" s="58">
        <f t="shared" si="82"/>
        <v>0</v>
      </c>
      <c r="BE103" s="41">
        <f>'[2]побудинковий звіт'!BE103+'[1]побудинковий звіт'!BE103</f>
        <v>0</v>
      </c>
      <c r="BF103" s="41">
        <f>'[2]побудинковий звіт'!BF103+'[1]побудинковий звіт'!BF103</f>
        <v>0</v>
      </c>
      <c r="BG103" s="38">
        <f t="shared" si="83"/>
        <v>0</v>
      </c>
      <c r="BH103" s="41">
        <f>'[2]побудинковий звіт'!BH103+'[1]побудинковий звіт'!BH103</f>
        <v>0</v>
      </c>
      <c r="BI103" s="41">
        <f>'[2]побудинковий звіт'!BI103+'[1]побудинковий звіт'!BI103</f>
        <v>0</v>
      </c>
      <c r="BJ103" s="58">
        <f t="shared" si="84"/>
        <v>0</v>
      </c>
      <c r="BK103" s="41">
        <f>'[2]побудинковий звіт'!BK103+'[1]побудинковий звіт'!BK103</f>
        <v>0</v>
      </c>
      <c r="BL103" s="41">
        <f>'[2]побудинковий звіт'!BL103+'[1]побудинковий звіт'!BL103</f>
        <v>0</v>
      </c>
      <c r="BM103" s="38">
        <f t="shared" si="85"/>
        <v>0</v>
      </c>
      <c r="BN103" s="41">
        <f>'[2]побудинковий звіт'!BN103+'[1]побудинковий звіт'!BN103</f>
        <v>0</v>
      </c>
      <c r="BO103" s="41">
        <f>'[2]побудинковий звіт'!BO103+'[1]побудинковий звіт'!BO103</f>
        <v>0</v>
      </c>
      <c r="BP103" s="58">
        <f t="shared" si="86"/>
        <v>0</v>
      </c>
      <c r="BQ103" s="84">
        <f t="shared" si="87"/>
        <v>0</v>
      </c>
      <c r="BR103" s="42">
        <f t="shared" si="88"/>
        <v>0</v>
      </c>
      <c r="BS103" s="58">
        <f t="shared" si="89"/>
        <v>0</v>
      </c>
      <c r="BT103" s="41">
        <f>'[2]побудинковий звіт'!BT103+'[1]побудинковий звіт'!BT103</f>
        <v>315.7526657823966</v>
      </c>
      <c r="BU103" s="41">
        <f>'[2]побудинковий звіт'!BU103+'[1]побудинковий звіт'!BU103</f>
        <v>1538.1842501346018</v>
      </c>
      <c r="BV103" s="55">
        <f t="shared" si="90"/>
        <v>1222.4315843522052</v>
      </c>
      <c r="BW103" s="41">
        <f>'[2]побудинковий звіт'!BW103+'[1]побудинковий звіт'!BW103</f>
        <v>0</v>
      </c>
      <c r="BX103" s="41">
        <f>'[2]побудинковий звіт'!BX103+'[1]побудинковий звіт'!BX103</f>
        <v>0.99966376166428006</v>
      </c>
      <c r="BY103" s="55">
        <f t="shared" si="91"/>
        <v>0.99966376166428006</v>
      </c>
      <c r="BZ103" s="41">
        <f>'[2]побудинковий звіт'!BZ103+'[1]побудинковий звіт'!BZ103</f>
        <v>62.070173193746939</v>
      </c>
      <c r="CA103" s="41">
        <f>'[2]побудинковий звіт'!CA103+'[1]побудинковий звіт'!CA103</f>
        <v>128.55508282766189</v>
      </c>
      <c r="CB103" s="55">
        <f t="shared" si="92"/>
        <v>66.484909633914953</v>
      </c>
      <c r="CC103" s="41">
        <f>'[2]побудинковий звіт'!CC103+'[1]побудинковий звіт'!CC103</f>
        <v>0</v>
      </c>
      <c r="CD103" s="41">
        <f>'[2]побудинковий звіт'!CD103+'[1]побудинковий звіт'!CD103</f>
        <v>0</v>
      </c>
      <c r="CE103" s="55">
        <f t="shared" si="93"/>
        <v>0</v>
      </c>
      <c r="CF103" s="41">
        <f>'[2]побудинковий звіт'!CF103+'[1]побудинковий звіт'!CF103</f>
        <v>0</v>
      </c>
      <c r="CG103" s="41">
        <f>'[2]побудинковий звіт'!CG103+'[1]побудинковий звіт'!CG103</f>
        <v>0</v>
      </c>
      <c r="CH103" s="55">
        <f t="shared" si="94"/>
        <v>0</v>
      </c>
      <c r="CI103" s="41">
        <f>'[2]побудинковий звіт'!CI103+'[1]побудинковий звіт'!CI103</f>
        <v>0</v>
      </c>
      <c r="CJ103" s="41">
        <f>'[2]побудинковий звіт'!CJ103+'[1]побудинковий звіт'!CJ103</f>
        <v>0</v>
      </c>
      <c r="CK103" s="55">
        <f t="shared" si="95"/>
        <v>0</v>
      </c>
      <c r="CL103" s="41">
        <f>'[2]побудинковий звіт'!CL103+'[1]побудинковий звіт'!CL103</f>
        <v>0</v>
      </c>
      <c r="CM103" s="41">
        <f>'[2]побудинковий звіт'!CM103+'[1]побудинковий звіт'!CM103</f>
        <v>0</v>
      </c>
      <c r="CN103" s="55">
        <f t="shared" si="96"/>
        <v>0</v>
      </c>
      <c r="CO103" s="41">
        <f t="shared" si="97"/>
        <v>0</v>
      </c>
      <c r="CP103" s="42">
        <f t="shared" si="98"/>
        <v>0</v>
      </c>
      <c r="CQ103" s="55">
        <f t="shared" si="99"/>
        <v>0</v>
      </c>
      <c r="CR103" s="76">
        <f t="shared" si="100"/>
        <v>4943.5107570721211</v>
      </c>
      <c r="CS103" s="5">
        <f t="shared" si="101"/>
        <v>1901.8646371099469</v>
      </c>
      <c r="CT103" s="55">
        <f t="shared" si="102"/>
        <v>-3041.6461199621745</v>
      </c>
      <c r="CU103" s="84">
        <f t="shared" si="103"/>
        <v>5932.2129084865455</v>
      </c>
      <c r="CV103" s="68">
        <f t="shared" si="104"/>
        <v>2282.2375645319362</v>
      </c>
      <c r="CW103" s="36">
        <f t="shared" si="105"/>
        <v>-3649.9753439546093</v>
      </c>
      <c r="CX103" s="41">
        <f>'[2]побудинковий звіт'!CX103+'[1]побудинковий звіт'!CX103</f>
        <v>130.97408929335083</v>
      </c>
      <c r="CY103" s="41">
        <f>'[2]побудинковий звіт'!CY103+'[1]побудинковий звіт'!CY103</f>
        <v>3780.9494332479608</v>
      </c>
      <c r="CZ103" s="55">
        <f t="shared" si="106"/>
        <v>3649.9753439546098</v>
      </c>
      <c r="DA103" s="254">
        <f>'[1]побудинковий звіт'!DA103</f>
        <v>7265.6624885832534</v>
      </c>
      <c r="DB103" s="2">
        <v>1</v>
      </c>
      <c r="DC103" s="702">
        <f>'[1]побудинковий звіт'!DC103</f>
        <v>806.85</v>
      </c>
      <c r="DD103" s="702">
        <f>'[1]побудинковий звіт'!DD103</f>
        <v>0</v>
      </c>
      <c r="DE103" s="702">
        <f>'[1]побудинковий звіт'!DE103</f>
        <v>141.40999999999997</v>
      </c>
      <c r="DF103" s="702">
        <f>'[1]побудинковий звіт'!DF103</f>
        <v>0</v>
      </c>
      <c r="DG103" s="772">
        <v>16402.167443471913</v>
      </c>
      <c r="DH103" s="746">
        <f t="shared" si="107"/>
        <v>72758.243973358753</v>
      </c>
      <c r="DI103" s="769"/>
      <c r="DJ103" s="5"/>
      <c r="DK103" s="307">
        <f>VLOOKUP($A103,ціни!$A$4:$G$401,5)</f>
        <v>1.9346308512029315</v>
      </c>
      <c r="DL103" s="307"/>
      <c r="DM103" s="307">
        <f>VLOOKUP($A103,ціни!$A$4:$G$401,7)</f>
        <v>1.9346308512029315</v>
      </c>
      <c r="DN103" s="29">
        <f t="shared" si="118"/>
        <v>475.14533705544</v>
      </c>
      <c r="DO103" s="29">
        <f t="shared" si="119"/>
        <v>0</v>
      </c>
      <c r="DP103" s="306">
        <f t="shared" si="108"/>
        <v>475.14533705544</v>
      </c>
      <c r="DQ103" s="101"/>
      <c r="DR103" s="29">
        <f>VLOOKUP(A103,'ДЗ нас '!$A$1:$C$359,2)</f>
        <v>475.13</v>
      </c>
      <c r="DS103" s="733"/>
      <c r="DT103" s="29">
        <f t="shared" si="109"/>
        <v>475.13</v>
      </c>
      <c r="DU103" s="247">
        <f>VLOOKUP(A103,'новий кошторис с 01.06'!$A$4:$AI$399,35)*1.2</f>
        <v>476.54970750979101</v>
      </c>
      <c r="DV103" s="29">
        <f t="shared" si="110"/>
        <v>-1.4197075097910101</v>
      </c>
      <c r="DW103" s="1016">
        <f>'[2]побудинковий звіт'!$DW$9+'[1]побудинковий звіт'!DW103</f>
        <v>0</v>
      </c>
      <c r="DX103" s="101">
        <f>'[1]побудинковий звіт'!DX103</f>
        <v>0</v>
      </c>
      <c r="DY103" s="5">
        <f t="shared" si="111"/>
        <v>4781.6337627023031</v>
      </c>
      <c r="DZ103" s="5">
        <f t="shared" si="112"/>
        <v>0</v>
      </c>
      <c r="EA103" s="737">
        <f t="shared" si="113"/>
        <v>141.40999999999997</v>
      </c>
      <c r="EC103" s="577">
        <f t="shared" si="114"/>
        <v>47816.337627023029</v>
      </c>
      <c r="EE103" s="743">
        <v>-1792</v>
      </c>
      <c r="EF103" s="723">
        <f t="shared" si="115"/>
        <v>14610.167443471913</v>
      </c>
      <c r="EH103" s="798">
        <v>14076.917170407869</v>
      </c>
      <c r="EI103" s="101">
        <f>VLOOKUP(A103,'кошти 01.01.24'!$A$9:$D$352,4,FALSE)</f>
        <v>10915.637832537861</v>
      </c>
    </row>
    <row r="104" spans="1:139" hidden="1" x14ac:dyDescent="0.3">
      <c r="A104" s="318">
        <v>150000570</v>
      </c>
      <c r="B104" s="43" t="s">
        <v>530</v>
      </c>
      <c r="C104" s="44" t="s">
        <v>74</v>
      </c>
      <c r="D104" s="44" t="s">
        <v>74</v>
      </c>
      <c r="E104" s="39">
        <f t="shared" si="64"/>
        <v>325.60000000000002</v>
      </c>
      <c r="F104" s="205">
        <f>'[1]побудинковий звіт'!F104</f>
        <v>325.60000000000002</v>
      </c>
      <c r="G104" s="29">
        <f>'[1]побудинковий звіт'!G104</f>
        <v>0</v>
      </c>
      <c r="H104" s="148">
        <f>'[1]побудинковий звіт'!H104</f>
        <v>0</v>
      </c>
      <c r="I104" s="41">
        <f>'[2]побудинковий звіт'!I104+'[1]побудинковий звіт'!I104</f>
        <v>0</v>
      </c>
      <c r="J104" s="41">
        <f>'[2]побудинковий звіт'!J104+'[1]побудинковий звіт'!J104</f>
        <v>0</v>
      </c>
      <c r="K104" s="55">
        <f t="shared" si="65"/>
        <v>0</v>
      </c>
      <c r="L104" s="41">
        <f>'[2]побудинковий звіт'!L104+'[1]побудинковий звіт'!L104</f>
        <v>0</v>
      </c>
      <c r="M104" s="41">
        <f>'[2]побудинковий звіт'!M104+'[1]побудинковий звіт'!M104</f>
        <v>0</v>
      </c>
      <c r="N104" s="55">
        <f t="shared" si="66"/>
        <v>0</v>
      </c>
      <c r="O104" s="41">
        <f>'[2]побудинковий звіт'!O104+'[1]побудинковий звіт'!O104</f>
        <v>0</v>
      </c>
      <c r="P104" s="41">
        <f>'[2]побудинковий звіт'!P104+'[1]побудинковий звіт'!P104</f>
        <v>0</v>
      </c>
      <c r="Q104" s="55">
        <f t="shared" si="67"/>
        <v>0</v>
      </c>
      <c r="R104" s="41">
        <f>'[2]побудинковий звіт'!R104+'[1]побудинковий звіт'!R104</f>
        <v>0</v>
      </c>
      <c r="S104" s="41">
        <f>'[2]побудинковий звіт'!S104+'[1]побудинковий звіт'!S104</f>
        <v>0</v>
      </c>
      <c r="T104" s="55">
        <f t="shared" si="68"/>
        <v>0</v>
      </c>
      <c r="U104" s="41">
        <f>'[2]побудинковий звіт'!U104+'[1]побудинковий звіт'!U104</f>
        <v>0</v>
      </c>
      <c r="V104" s="41">
        <f>'[2]побудинковий звіт'!V104+'[1]побудинковий звіт'!V104</f>
        <v>0</v>
      </c>
      <c r="W104" s="55">
        <f t="shared" si="69"/>
        <v>0</v>
      </c>
      <c r="X104" s="41">
        <f>'[2]побудинковий звіт'!X104+'[1]побудинковий звіт'!X104</f>
        <v>0</v>
      </c>
      <c r="Y104" s="41">
        <f>'[2]побудинковий звіт'!Y104+'[1]побудинковий звіт'!Y104</f>
        <v>0</v>
      </c>
      <c r="Z104" s="55">
        <f t="shared" si="70"/>
        <v>0</v>
      </c>
      <c r="AA104" s="41">
        <f>'[2]побудинковий звіт'!AA104+'[1]побудинковий звіт'!AA104</f>
        <v>0</v>
      </c>
      <c r="AB104" s="41">
        <f>'[2]побудинковий звіт'!AB104+'[1]побудинковий звіт'!AB104</f>
        <v>0</v>
      </c>
      <c r="AC104" s="55">
        <f t="shared" si="71"/>
        <v>0</v>
      </c>
      <c r="AD104" s="41">
        <f>'[2]побудинковий звіт'!AD104+'[1]побудинковий звіт'!AD104</f>
        <v>0</v>
      </c>
      <c r="AE104" s="41">
        <f>'[2]побудинковий звіт'!AE104+'[1]побудинковий звіт'!AE104</f>
        <v>0</v>
      </c>
      <c r="AF104" s="36">
        <f t="shared" si="72"/>
        <v>0</v>
      </c>
      <c r="AG104" s="84">
        <f t="shared" si="73"/>
        <v>0</v>
      </c>
      <c r="AH104" s="56">
        <f t="shared" si="74"/>
        <v>0</v>
      </c>
      <c r="AI104" s="55">
        <f t="shared" si="75"/>
        <v>0</v>
      </c>
      <c r="AJ104" s="41">
        <f>'[2]побудинковий звіт'!AJ104+'[1]побудинковий звіт'!AJ104</f>
        <v>0</v>
      </c>
      <c r="AK104" s="41">
        <f>'[2]побудинковий звіт'!AK104+'[1]побудинковий звіт'!AK104</f>
        <v>0</v>
      </c>
      <c r="AL104" s="55">
        <f t="shared" si="76"/>
        <v>0</v>
      </c>
      <c r="AM104" s="41">
        <f>'[2]побудинковий звіт'!AM104+'[1]побудинковий звіт'!AM104</f>
        <v>0</v>
      </c>
      <c r="AN104" s="41">
        <f>'[2]побудинковий звіт'!AN104+'[1]побудинковий звіт'!AN104</f>
        <v>0</v>
      </c>
      <c r="AO104" s="55">
        <f t="shared" si="77"/>
        <v>0</v>
      </c>
      <c r="AP104" s="41">
        <f>'[2]побудинковий звіт'!AP104+'[1]побудинковий звіт'!AP104</f>
        <v>446.91778141850642</v>
      </c>
      <c r="AQ104" s="41">
        <f>'[2]побудинковий звіт'!AQ104+'[1]побудинковий звіт'!AQ104</f>
        <v>187.30051230881497</v>
      </c>
      <c r="AR104" s="55">
        <f t="shared" si="78"/>
        <v>-259.61726910969145</v>
      </c>
      <c r="AS104" s="41">
        <f>'[2]побудинковий звіт'!AS104+'[1]побудинковий звіт'!AS104</f>
        <v>3014.67748620569</v>
      </c>
      <c r="AT104" s="41">
        <f>'[2]побудинковий звіт'!AT104+'[1]побудинковий звіт'!AT104</f>
        <v>0</v>
      </c>
      <c r="AU104" s="57">
        <f t="shared" si="79"/>
        <v>-3014.67748620569</v>
      </c>
      <c r="AV104" s="41">
        <f>'[2]побудинковий звіт'!AV104+'[1]побудинковий звіт'!AV104</f>
        <v>0</v>
      </c>
      <c r="AW104" s="41">
        <f>'[2]побудинковий звіт'!AW104+'[1]побудинковий звіт'!AW104</f>
        <v>0</v>
      </c>
      <c r="AX104" s="58">
        <f t="shared" si="80"/>
        <v>0</v>
      </c>
      <c r="AY104" s="41">
        <f>'[2]побудинковий звіт'!AY104+'[1]побудинковий звіт'!AY104</f>
        <v>0</v>
      </c>
      <c r="AZ104" s="41">
        <f>'[2]побудинковий звіт'!AZ104+'[1]побудинковий звіт'!AZ104</f>
        <v>0</v>
      </c>
      <c r="BA104" s="36">
        <f t="shared" si="81"/>
        <v>0</v>
      </c>
      <c r="BB104" s="41">
        <f>'[2]побудинковий звіт'!BB104+'[1]побудинковий звіт'!BB104</f>
        <v>0</v>
      </c>
      <c r="BC104" s="41">
        <f>'[2]побудинковий звіт'!BC104+'[1]побудинковий звіт'!BC104</f>
        <v>0</v>
      </c>
      <c r="BD104" s="58">
        <f t="shared" si="82"/>
        <v>0</v>
      </c>
      <c r="BE104" s="41">
        <f>'[2]побудинковий звіт'!BE104+'[1]побудинковий звіт'!BE104</f>
        <v>0</v>
      </c>
      <c r="BF104" s="41">
        <f>'[2]побудинковий звіт'!BF104+'[1]побудинковий звіт'!BF104</f>
        <v>0</v>
      </c>
      <c r="BG104" s="38">
        <f t="shared" si="83"/>
        <v>0</v>
      </c>
      <c r="BH104" s="41">
        <f>'[2]побудинковий звіт'!BH104+'[1]побудинковий звіт'!BH104</f>
        <v>0</v>
      </c>
      <c r="BI104" s="41">
        <f>'[2]побудинковий звіт'!BI104+'[1]побудинковий звіт'!BI104</f>
        <v>0</v>
      </c>
      <c r="BJ104" s="58">
        <f t="shared" si="84"/>
        <v>0</v>
      </c>
      <c r="BK104" s="41">
        <f>'[2]побудинковий звіт'!BK104+'[1]побудинковий звіт'!BK104</f>
        <v>0</v>
      </c>
      <c r="BL104" s="41">
        <f>'[2]побудинковий звіт'!BL104+'[1]побудинковий звіт'!BL104</f>
        <v>0</v>
      </c>
      <c r="BM104" s="38">
        <f t="shared" si="85"/>
        <v>0</v>
      </c>
      <c r="BN104" s="41">
        <f>'[2]побудинковий звіт'!BN104+'[1]побудинковий звіт'!BN104</f>
        <v>0</v>
      </c>
      <c r="BO104" s="41">
        <f>'[2]побудинковий звіт'!BO104+'[1]побудинковий звіт'!BO104</f>
        <v>0</v>
      </c>
      <c r="BP104" s="58">
        <f t="shared" si="86"/>
        <v>0</v>
      </c>
      <c r="BQ104" s="84">
        <f t="shared" si="87"/>
        <v>0</v>
      </c>
      <c r="BR104" s="42">
        <f t="shared" si="88"/>
        <v>0</v>
      </c>
      <c r="BS104" s="58">
        <f t="shared" si="89"/>
        <v>0</v>
      </c>
      <c r="BT104" s="41">
        <f>'[2]побудинковий звіт'!BT104+'[1]побудинковий звіт'!BT104</f>
        <v>1263.0106631295864</v>
      </c>
      <c r="BU104" s="41">
        <f>'[2]побудинковий звіт'!BU104+'[1]побудинковий звіт'!BU104</f>
        <v>3515.9002567474213</v>
      </c>
      <c r="BV104" s="55">
        <f t="shared" si="90"/>
        <v>2252.8895936178351</v>
      </c>
      <c r="BW104" s="41">
        <f>'[2]побудинковий звіт'!BW104+'[1]побудинковий звіт'!BW104</f>
        <v>0</v>
      </c>
      <c r="BX104" s="41">
        <f>'[2]побудинковий звіт'!BX104+'[1]побудинковий звіт'!BX104</f>
        <v>1.1510786311020293</v>
      </c>
      <c r="BY104" s="55">
        <f t="shared" si="91"/>
        <v>1.1510786311020293</v>
      </c>
      <c r="BZ104" s="41">
        <f>'[2]побудинковий звіт'!BZ104+'[1]побудинковий звіт'!BZ104</f>
        <v>248.28069277498776</v>
      </c>
      <c r="CA104" s="41">
        <f>'[2]побудинковий звіт'!CA104+'[1]побудинковий звіт'!CA104</f>
        <v>293.85754488747813</v>
      </c>
      <c r="CB104" s="55">
        <f t="shared" si="92"/>
        <v>45.576852112490371</v>
      </c>
      <c r="CC104" s="41">
        <f>'[2]побудинковий звіт'!CC104+'[1]побудинковий звіт'!CC104</f>
        <v>0</v>
      </c>
      <c r="CD104" s="41">
        <f>'[2]побудинковий звіт'!CD104+'[1]побудинковий звіт'!CD104</f>
        <v>0</v>
      </c>
      <c r="CE104" s="55">
        <f t="shared" si="93"/>
        <v>0</v>
      </c>
      <c r="CF104" s="41">
        <f>'[2]побудинковий звіт'!CF104+'[1]побудинковий звіт'!CF104</f>
        <v>0</v>
      </c>
      <c r="CG104" s="41">
        <f>'[2]побудинковий звіт'!CG104+'[1]побудинковий звіт'!CG104</f>
        <v>0</v>
      </c>
      <c r="CH104" s="55">
        <f t="shared" si="94"/>
        <v>0</v>
      </c>
      <c r="CI104" s="41">
        <f>'[2]побудинковий звіт'!CI104+'[1]побудинковий звіт'!CI104</f>
        <v>0</v>
      </c>
      <c r="CJ104" s="41">
        <f>'[2]побудинковий звіт'!CJ104+'[1]побудинковий звіт'!CJ104</f>
        <v>0</v>
      </c>
      <c r="CK104" s="55">
        <f t="shared" si="95"/>
        <v>0</v>
      </c>
      <c r="CL104" s="41">
        <f>'[2]побудинковий звіт'!CL104+'[1]побудинковий звіт'!CL104</f>
        <v>0</v>
      </c>
      <c r="CM104" s="41">
        <f>'[2]побудинковий звіт'!CM104+'[1]побудинковий звіт'!CM104</f>
        <v>0</v>
      </c>
      <c r="CN104" s="55">
        <f t="shared" si="96"/>
        <v>0</v>
      </c>
      <c r="CO104" s="41">
        <f t="shared" si="97"/>
        <v>0</v>
      </c>
      <c r="CP104" s="42">
        <f t="shared" si="98"/>
        <v>0</v>
      </c>
      <c r="CQ104" s="55">
        <f t="shared" si="99"/>
        <v>0</v>
      </c>
      <c r="CR104" s="76">
        <f t="shared" si="100"/>
        <v>4972.8866235287705</v>
      </c>
      <c r="CS104" s="5">
        <f t="shared" si="101"/>
        <v>3998.2093925748163</v>
      </c>
      <c r="CT104" s="55">
        <f t="shared" si="102"/>
        <v>-974.67723095395422</v>
      </c>
      <c r="CU104" s="84">
        <f t="shared" si="103"/>
        <v>5967.4639482345247</v>
      </c>
      <c r="CV104" s="68">
        <f t="shared" si="104"/>
        <v>4797.8512710897794</v>
      </c>
      <c r="CW104" s="36">
        <f t="shared" si="105"/>
        <v>-1169.6126771447452</v>
      </c>
      <c r="CX104" s="41">
        <f>'[2]побудинковий звіт'!CX104+'[1]побудинковий звіт'!CX104</f>
        <v>899.25759690438167</v>
      </c>
      <c r="CY104" s="41">
        <f>'[2]побудинковий звіт'!CY104+'[1]побудинковий звіт'!CY104</f>
        <v>2068.8702740491267</v>
      </c>
      <c r="CZ104" s="55">
        <f t="shared" si="106"/>
        <v>1169.612677144745</v>
      </c>
      <c r="DA104" s="254">
        <f>'[1]побудинковий звіт'!DA104</f>
        <v>-6134.7184034321999</v>
      </c>
      <c r="DB104" s="2">
        <v>1</v>
      </c>
      <c r="DC104" s="702">
        <f>'[1]побудинковий звіт'!DC104</f>
        <v>857.52</v>
      </c>
      <c r="DD104" s="702">
        <f>'[1]побудинковий звіт'!DD104</f>
        <v>0</v>
      </c>
      <c r="DE104" s="702">
        <f>'[1]побудинковий звіт'!DE104</f>
        <v>111.53999999999996</v>
      </c>
      <c r="DF104" s="702">
        <f>'[1]побудинковий звіт'!DF104</f>
        <v>0</v>
      </c>
      <c r="DG104" s="772">
        <v>-4430.5090791715511</v>
      </c>
      <c r="DH104" s="746">
        <f t="shared" si="107"/>
        <v>82400.658541666882</v>
      </c>
      <c r="DI104" s="769"/>
      <c r="DJ104" s="5"/>
      <c r="DK104" s="307">
        <f>VLOOKUP($A104,ціни!$A$4:$G$401,5)</f>
        <v>1.6570608792255355</v>
      </c>
      <c r="DL104" s="307"/>
      <c r="DM104" s="307">
        <f>VLOOKUP($A104,ціни!$A$4:$G$401,7)</f>
        <v>1.6570608792255355</v>
      </c>
      <c r="DN104" s="29">
        <f t="shared" si="118"/>
        <v>539.53902227583444</v>
      </c>
      <c r="DO104" s="29">
        <f t="shared" si="119"/>
        <v>0</v>
      </c>
      <c r="DP104" s="306">
        <f t="shared" si="108"/>
        <v>539.53902227583444</v>
      </c>
      <c r="DQ104" s="101"/>
      <c r="DR104" s="29">
        <f>VLOOKUP(A104,'ДЗ нас '!$A$1:$C$359,2)</f>
        <v>539.54</v>
      </c>
      <c r="DS104" s="733"/>
      <c r="DT104" s="29">
        <f t="shared" si="109"/>
        <v>539.54</v>
      </c>
      <c r="DU104" s="247">
        <f>VLOOKUP(A104,'новий кошторис с 01.06'!$A$4:$AI$399,35)*1.2</f>
        <v>470.90275233593252</v>
      </c>
      <c r="DV104" s="29">
        <f t="shared" si="110"/>
        <v>68.637247664067445</v>
      </c>
      <c r="DW104" s="1016">
        <f>'[2]побудинковий звіт'!$DW$9+'[1]побудинковий звіт'!DW104</f>
        <v>0</v>
      </c>
      <c r="DX104" s="101">
        <f>'[1]побудинковий звіт'!DX104</f>
        <v>0</v>
      </c>
      <c r="DY104" s="5">
        <f t="shared" si="111"/>
        <v>3617.6129834468279</v>
      </c>
      <c r="DZ104" s="5">
        <f t="shared" si="112"/>
        <v>0</v>
      </c>
      <c r="EA104" s="737">
        <f t="shared" si="113"/>
        <v>111.53999999999996</v>
      </c>
      <c r="EC104" s="577">
        <f t="shared" si="114"/>
        <v>36176.12983446828</v>
      </c>
      <c r="EE104" s="743">
        <v>-2947</v>
      </c>
      <c r="EF104" s="723">
        <f t="shared" si="115"/>
        <v>-7377.5090791715511</v>
      </c>
      <c r="EH104" s="798">
        <v>-4316.1104757087942</v>
      </c>
      <c r="EI104" s="101">
        <f>VLOOKUP(A104,'кошти 01.01.24'!$A$9:$D$352,4,FALSE)</f>
        <v>-4965.1057262874556</v>
      </c>
    </row>
    <row r="105" spans="1:139" ht="14.4" hidden="1" customHeight="1" x14ac:dyDescent="0.3">
      <c r="A105" s="318">
        <v>150000573</v>
      </c>
      <c r="B105" s="43" t="s">
        <v>532</v>
      </c>
      <c r="C105" s="44" t="s">
        <v>75</v>
      </c>
      <c r="D105" s="44" t="s">
        <v>75</v>
      </c>
      <c r="E105" s="39">
        <f t="shared" si="64"/>
        <v>151.6</v>
      </c>
      <c r="F105" s="205">
        <f>'[1]побудинковий звіт'!F105</f>
        <v>151.6</v>
      </c>
      <c r="G105" s="29">
        <f>'[1]побудинковий звіт'!G105</f>
        <v>0</v>
      </c>
      <c r="H105" s="148">
        <f>'[1]побудинковий звіт'!H105</f>
        <v>0</v>
      </c>
      <c r="I105" s="41">
        <f>'[2]побудинковий звіт'!I105+'[1]побудинковий звіт'!I105</f>
        <v>0</v>
      </c>
      <c r="J105" s="41">
        <f>'[2]побудинковий звіт'!J105+'[1]побудинковий звіт'!J105</f>
        <v>0</v>
      </c>
      <c r="K105" s="55">
        <f t="shared" si="65"/>
        <v>0</v>
      </c>
      <c r="L105" s="41">
        <f>'[2]побудинковий звіт'!L105+'[1]побудинковий звіт'!L105</f>
        <v>0</v>
      </c>
      <c r="M105" s="41">
        <f>'[2]побудинковий звіт'!M105+'[1]побудинковий звіт'!M105</f>
        <v>0</v>
      </c>
      <c r="N105" s="55">
        <f t="shared" si="66"/>
        <v>0</v>
      </c>
      <c r="O105" s="41">
        <f>'[2]побудинковий звіт'!O105+'[1]побудинковий звіт'!O105</f>
        <v>0</v>
      </c>
      <c r="P105" s="41">
        <f>'[2]побудинковий звіт'!P105+'[1]побудинковий звіт'!P105</f>
        <v>0</v>
      </c>
      <c r="Q105" s="55">
        <f t="shared" si="67"/>
        <v>0</v>
      </c>
      <c r="R105" s="41">
        <f>'[2]побудинковий звіт'!R105+'[1]побудинковий звіт'!R105</f>
        <v>0</v>
      </c>
      <c r="S105" s="41">
        <f>'[2]побудинковий звіт'!S105+'[1]побудинковий звіт'!S105</f>
        <v>0</v>
      </c>
      <c r="T105" s="55">
        <f t="shared" si="68"/>
        <v>0</v>
      </c>
      <c r="U105" s="41">
        <f>'[2]побудинковий звіт'!U105+'[1]побудинковий звіт'!U105</f>
        <v>0</v>
      </c>
      <c r="V105" s="41">
        <f>'[2]побудинковий звіт'!V105+'[1]побудинковий звіт'!V105</f>
        <v>0</v>
      </c>
      <c r="W105" s="55">
        <f t="shared" si="69"/>
        <v>0</v>
      </c>
      <c r="X105" s="41">
        <f>'[2]побудинковий звіт'!X105+'[1]побудинковий звіт'!X105</f>
        <v>0</v>
      </c>
      <c r="Y105" s="41">
        <f>'[2]побудинковий звіт'!Y105+'[1]побудинковий звіт'!Y105</f>
        <v>0</v>
      </c>
      <c r="Z105" s="55">
        <f t="shared" si="70"/>
        <v>0</v>
      </c>
      <c r="AA105" s="41">
        <f>'[2]побудинковий звіт'!AA105+'[1]побудинковий звіт'!AA105</f>
        <v>0</v>
      </c>
      <c r="AB105" s="41">
        <f>'[2]побудинковий звіт'!AB105+'[1]побудинковий звіт'!AB105</f>
        <v>0</v>
      </c>
      <c r="AC105" s="55">
        <f t="shared" si="71"/>
        <v>0</v>
      </c>
      <c r="AD105" s="41">
        <f>'[2]побудинковий звіт'!AD105+'[1]побудинковий звіт'!AD105</f>
        <v>0</v>
      </c>
      <c r="AE105" s="41">
        <f>'[2]побудинковий звіт'!AE105+'[1]побудинковий звіт'!AE105</f>
        <v>0</v>
      </c>
      <c r="AF105" s="36">
        <f t="shared" si="72"/>
        <v>0</v>
      </c>
      <c r="AG105" s="84">
        <f t="shared" si="73"/>
        <v>0</v>
      </c>
      <c r="AH105" s="56">
        <f t="shared" si="74"/>
        <v>0</v>
      </c>
      <c r="AI105" s="55">
        <f t="shared" si="75"/>
        <v>0</v>
      </c>
      <c r="AJ105" s="41">
        <f>'[2]побудинковий звіт'!AJ105+'[1]побудинковий звіт'!AJ105</f>
        <v>0</v>
      </c>
      <c r="AK105" s="41">
        <f>'[2]побудинковий звіт'!AK105+'[1]побудинковий звіт'!AK105</f>
        <v>0</v>
      </c>
      <c r="AL105" s="55">
        <f t="shared" si="76"/>
        <v>0</v>
      </c>
      <c r="AM105" s="41">
        <f>'[2]побудинковий звіт'!AM105+'[1]побудинковий звіт'!AM105</f>
        <v>0</v>
      </c>
      <c r="AN105" s="41">
        <f>'[2]побудинковий звіт'!AN105+'[1]побудинковий звіт'!AN105</f>
        <v>0</v>
      </c>
      <c r="AO105" s="55">
        <f t="shared" si="77"/>
        <v>0</v>
      </c>
      <c r="AP105" s="41">
        <f>'[2]побудинковий звіт'!AP105+'[1]побудинковий звіт'!AP105</f>
        <v>268.15066885110389</v>
      </c>
      <c r="AQ105" s="41">
        <f>'[2]побудинковий звіт'!AQ105+'[1]побудинковий звіт'!AQ105</f>
        <v>93.650256154407487</v>
      </c>
      <c r="AR105" s="55">
        <f t="shared" si="78"/>
        <v>-174.5004126966964</v>
      </c>
      <c r="AS105" s="41">
        <f>'[2]побудинковий звіт'!AS105+'[1]побудинковий звіт'!AS105</f>
        <v>1592.8130162680709</v>
      </c>
      <c r="AT105" s="41">
        <f>'[2]побудинковий звіт'!AT105+'[1]побудинковий звіт'!AT105</f>
        <v>0</v>
      </c>
      <c r="AU105" s="57">
        <f t="shared" si="79"/>
        <v>-1592.8130162680709</v>
      </c>
      <c r="AV105" s="41">
        <f>'[2]побудинковий звіт'!AV105+'[1]побудинковий звіт'!AV105</f>
        <v>0</v>
      </c>
      <c r="AW105" s="41">
        <f>'[2]побудинковий звіт'!AW105+'[1]побудинковий звіт'!AW105</f>
        <v>0</v>
      </c>
      <c r="AX105" s="58">
        <f t="shared" si="80"/>
        <v>0</v>
      </c>
      <c r="AY105" s="41">
        <f>'[2]побудинковий звіт'!AY105+'[1]побудинковий звіт'!AY105</f>
        <v>0</v>
      </c>
      <c r="AZ105" s="41">
        <f>'[2]побудинковий звіт'!AZ105+'[1]побудинковий звіт'!AZ105</f>
        <v>0</v>
      </c>
      <c r="BA105" s="36">
        <f t="shared" si="81"/>
        <v>0</v>
      </c>
      <c r="BB105" s="41">
        <f>'[2]побудинковий звіт'!BB105+'[1]побудинковий звіт'!BB105</f>
        <v>0</v>
      </c>
      <c r="BC105" s="41">
        <f>'[2]побудинковий звіт'!BC105+'[1]побудинковий звіт'!BC105</f>
        <v>0</v>
      </c>
      <c r="BD105" s="58">
        <f t="shared" si="82"/>
        <v>0</v>
      </c>
      <c r="BE105" s="41">
        <f>'[2]побудинковий звіт'!BE105+'[1]побудинковий звіт'!BE105</f>
        <v>0</v>
      </c>
      <c r="BF105" s="41">
        <f>'[2]побудинковий звіт'!BF105+'[1]побудинковий звіт'!BF105</f>
        <v>0</v>
      </c>
      <c r="BG105" s="38">
        <f t="shared" si="83"/>
        <v>0</v>
      </c>
      <c r="BH105" s="41">
        <f>'[2]побудинковий звіт'!BH105+'[1]побудинковий звіт'!BH105</f>
        <v>0</v>
      </c>
      <c r="BI105" s="41">
        <f>'[2]побудинковий звіт'!BI105+'[1]побудинковий звіт'!BI105</f>
        <v>0</v>
      </c>
      <c r="BJ105" s="58">
        <f t="shared" si="84"/>
        <v>0</v>
      </c>
      <c r="BK105" s="41">
        <f>'[2]побудинковий звіт'!BK105+'[1]побудинковий звіт'!BK105</f>
        <v>0</v>
      </c>
      <c r="BL105" s="41">
        <f>'[2]побудинковий звіт'!BL105+'[1]побудинковий звіт'!BL105</f>
        <v>0</v>
      </c>
      <c r="BM105" s="38">
        <f t="shared" si="85"/>
        <v>0</v>
      </c>
      <c r="BN105" s="41">
        <f>'[2]побудинковий звіт'!BN105+'[1]побудинковий звіт'!BN105</f>
        <v>0</v>
      </c>
      <c r="BO105" s="41">
        <f>'[2]побудинковий звіт'!BO105+'[1]побудинковий звіт'!BO105</f>
        <v>0</v>
      </c>
      <c r="BP105" s="58">
        <f t="shared" si="86"/>
        <v>0</v>
      </c>
      <c r="BQ105" s="84">
        <f t="shared" si="87"/>
        <v>0</v>
      </c>
      <c r="BR105" s="42">
        <f t="shared" si="88"/>
        <v>0</v>
      </c>
      <c r="BS105" s="58">
        <f t="shared" si="89"/>
        <v>0</v>
      </c>
      <c r="BT105" s="41">
        <f>'[2]побудинковий звіт'!BT105+'[1]побудинковий звіт'!BT105</f>
        <v>558.63933176885553</v>
      </c>
      <c r="BU105" s="41">
        <f>'[2]побудинковий звіт'!BU105+'[1]побудинковий звіт'!BU105</f>
        <v>2856.7078063684748</v>
      </c>
      <c r="BV105" s="55">
        <f t="shared" si="90"/>
        <v>2298.0684745996195</v>
      </c>
      <c r="BW105" s="41">
        <f>'[2]побудинковий звіт'!BW105+'[1]побудинковий звіт'!BW105</f>
        <v>0</v>
      </c>
      <c r="BX105" s="41">
        <f>'[2]побудинковий звіт'!BX105+'[1]побудинковий звіт'!BX105</f>
        <v>0.6170562958807202</v>
      </c>
      <c r="BY105" s="55">
        <f t="shared" si="91"/>
        <v>0.6170562958807202</v>
      </c>
      <c r="BZ105" s="41">
        <f>'[2]побудинковий звіт'!BZ105+'[1]побудинковий звіт'!BZ105</f>
        <v>109.81646026585993</v>
      </c>
      <c r="CA105" s="41">
        <f>'[2]побудинковий звіт'!CA105+'[1]побудинковий звіт'!CA105</f>
        <v>238.76699840609402</v>
      </c>
      <c r="CB105" s="55">
        <f t="shared" si="92"/>
        <v>128.95053814023407</v>
      </c>
      <c r="CC105" s="41">
        <f>'[2]побудинковий звіт'!CC105+'[1]побудинковий звіт'!CC105</f>
        <v>0</v>
      </c>
      <c r="CD105" s="41">
        <f>'[2]побудинковий звіт'!CD105+'[1]побудинковий звіт'!CD105</f>
        <v>0</v>
      </c>
      <c r="CE105" s="55">
        <f t="shared" si="93"/>
        <v>0</v>
      </c>
      <c r="CF105" s="41">
        <f>'[2]побудинковий звіт'!CF105+'[1]побудинковий звіт'!CF105</f>
        <v>0</v>
      </c>
      <c r="CG105" s="41">
        <f>'[2]побудинковий звіт'!CG105+'[1]побудинковий звіт'!CG105</f>
        <v>0</v>
      </c>
      <c r="CH105" s="55">
        <f t="shared" si="94"/>
        <v>0</v>
      </c>
      <c r="CI105" s="41">
        <f>'[2]побудинковий звіт'!CI105+'[1]побудинковий звіт'!CI105</f>
        <v>0</v>
      </c>
      <c r="CJ105" s="41">
        <f>'[2]побудинковий звіт'!CJ105+'[1]побудинковий звіт'!CJ105</f>
        <v>0</v>
      </c>
      <c r="CK105" s="55">
        <f t="shared" si="95"/>
        <v>0</v>
      </c>
      <c r="CL105" s="41">
        <f>'[2]побудинковий звіт'!CL105+'[1]побудинковий звіт'!CL105</f>
        <v>0</v>
      </c>
      <c r="CM105" s="41">
        <f>'[2]побудинковий звіт'!CM105+'[1]побудинковий звіт'!CM105</f>
        <v>0</v>
      </c>
      <c r="CN105" s="55">
        <f t="shared" si="96"/>
        <v>0</v>
      </c>
      <c r="CO105" s="41">
        <f t="shared" si="97"/>
        <v>0</v>
      </c>
      <c r="CP105" s="42">
        <f t="shared" si="98"/>
        <v>0</v>
      </c>
      <c r="CQ105" s="55">
        <f t="shared" si="99"/>
        <v>0</v>
      </c>
      <c r="CR105" s="76">
        <f t="shared" si="100"/>
        <v>2529.4194771538905</v>
      </c>
      <c r="CS105" s="5">
        <f t="shared" si="101"/>
        <v>3189.7421172248569</v>
      </c>
      <c r="CT105" s="55">
        <f t="shared" si="102"/>
        <v>660.32264007096637</v>
      </c>
      <c r="CU105" s="84">
        <f t="shared" si="103"/>
        <v>3035.3033725846685</v>
      </c>
      <c r="CV105" s="68">
        <f t="shared" si="104"/>
        <v>3827.6905406698279</v>
      </c>
      <c r="CW105" s="36">
        <f t="shared" si="105"/>
        <v>792.38716808515937</v>
      </c>
      <c r="CX105" s="41">
        <f>'[2]побудинковий звіт'!CX105+'[1]побудинковий звіт'!CX105</f>
        <v>91.25439291453921</v>
      </c>
      <c r="CY105" s="41">
        <f>'[2]побудинковий звіт'!CY105+'[1]побудинковий звіт'!CY105</f>
        <v>-701.13277517062124</v>
      </c>
      <c r="CZ105" s="55">
        <f t="shared" si="106"/>
        <v>-792.38716808516051</v>
      </c>
      <c r="DA105" s="254">
        <f>'[1]побудинковий звіт'!DA105</f>
        <v>-1428.0676552552586</v>
      </c>
      <c r="DB105" s="2">
        <v>1</v>
      </c>
      <c r="DC105" s="702">
        <f>'[1]побудинковий звіт'!DC105</f>
        <v>371.35</v>
      </c>
      <c r="DD105" s="702">
        <f>'[1]побудинковий звіт'!DD105</f>
        <v>0</v>
      </c>
      <c r="DE105" s="702">
        <f>'[1]побудинковий звіт'!DE105</f>
        <v>30.230000000000018</v>
      </c>
      <c r="DF105" s="702">
        <f>'[1]побудинковий звіт'!DF105</f>
        <v>0</v>
      </c>
      <c r="DG105" s="772">
        <v>-2587.7716251840175</v>
      </c>
      <c r="DH105" s="746">
        <f t="shared" si="107"/>
        <v>37518.693185990487</v>
      </c>
      <c r="DI105" s="769"/>
      <c r="DJ105" s="5"/>
      <c r="DK105" s="307">
        <f>VLOOKUP($A105,ціни!$A$4:$G$401,5)</f>
        <v>1.6187064647578502</v>
      </c>
      <c r="DL105" s="307"/>
      <c r="DM105" s="307">
        <f>VLOOKUP($A105,ціни!$A$4:$G$401,7)</f>
        <v>1.6187064647578502</v>
      </c>
      <c r="DN105" s="29">
        <f t="shared" si="118"/>
        <v>245.39590005729008</v>
      </c>
      <c r="DO105" s="29">
        <f t="shared" si="119"/>
        <v>0</v>
      </c>
      <c r="DP105" s="306">
        <f t="shared" si="108"/>
        <v>245.39590005729008</v>
      </c>
      <c r="DQ105" s="101"/>
      <c r="DR105" s="29">
        <f>VLOOKUP(A105,'ДЗ нас '!$A$1:$C$359,2)</f>
        <v>245.39</v>
      </c>
      <c r="DS105" s="733"/>
      <c r="DT105" s="29">
        <f t="shared" si="109"/>
        <v>245.39</v>
      </c>
      <c r="DU105" s="247">
        <f>VLOOKUP(A105,'новий кошторис с 01.06'!$A$4:$AI$399,35)*1.2</f>
        <v>246.59295322830124</v>
      </c>
      <c r="DV105" s="29">
        <f t="shared" si="110"/>
        <v>-1.2029532283012543</v>
      </c>
      <c r="DW105" s="1016">
        <f>'[2]побудинковий звіт'!$DW$9+'[1]побудинковий звіт'!DW105</f>
        <v>0</v>
      </c>
      <c r="DX105" s="101">
        <f>'[1]побудинковий звіт'!DX105</f>
        <v>0</v>
      </c>
      <c r="DY105" s="5">
        <f t="shared" si="111"/>
        <v>1911.3756195216849</v>
      </c>
      <c r="DZ105" s="5">
        <f t="shared" si="112"/>
        <v>0</v>
      </c>
      <c r="EA105" s="737">
        <f t="shared" si="113"/>
        <v>30.230000000000018</v>
      </c>
      <c r="EC105" s="577">
        <f t="shared" si="114"/>
        <v>19113.756195216851</v>
      </c>
      <c r="EE105" s="743">
        <v>-1534</v>
      </c>
      <c r="EF105" s="723">
        <f t="shared" si="115"/>
        <v>-4121.7716251840175</v>
      </c>
      <c r="EH105" s="798">
        <v>-2393.2409372522193</v>
      </c>
      <c r="EI105" s="101">
        <f>VLOOKUP(A105,'кошти 01.01.24'!$A$9:$D$352,4,FALSE)</f>
        <v>-2220.4548233404189</v>
      </c>
    </row>
    <row r="106" spans="1:139" hidden="1" x14ac:dyDescent="0.3">
      <c r="A106" s="318">
        <v>150000658</v>
      </c>
      <c r="B106" s="43" t="s">
        <v>533</v>
      </c>
      <c r="C106" s="44" t="s">
        <v>351</v>
      </c>
      <c r="D106" s="44" t="s">
        <v>351</v>
      </c>
      <c r="E106" s="39">
        <f t="shared" si="64"/>
        <v>5046.8999999999996</v>
      </c>
      <c r="F106" s="205">
        <f>'[1]побудинковий звіт'!F106</f>
        <v>5046.8999999999996</v>
      </c>
      <c r="G106" s="29">
        <f>'[1]побудинковий звіт'!G106</f>
        <v>552.1</v>
      </c>
      <c r="H106" s="148">
        <f>'[1]побудинковий звіт'!H106</f>
        <v>0</v>
      </c>
      <c r="I106" s="41">
        <f>'[2]побудинковий звіт'!I106+'[1]побудинковий звіт'!I106</f>
        <v>16702.806175722442</v>
      </c>
      <c r="J106" s="41">
        <f>'[2]побудинковий звіт'!J106+'[1]побудинковий звіт'!J106</f>
        <v>17377.820716719169</v>
      </c>
      <c r="K106" s="55">
        <f t="shared" si="65"/>
        <v>675.01454099672628</v>
      </c>
      <c r="L106" s="41">
        <f>'[2]побудинковий звіт'!L106+'[1]побудинковий звіт'!L106</f>
        <v>3003.7741488787515</v>
      </c>
      <c r="M106" s="41">
        <f>'[2]побудинковий звіт'!M106+'[1]побудинковий звіт'!M106</f>
        <v>3267.9460514832163</v>
      </c>
      <c r="N106" s="55">
        <f t="shared" si="66"/>
        <v>264.17190260446478</v>
      </c>
      <c r="O106" s="41">
        <f>'[2]побудинковий звіт'!O106+'[1]побудинковий звіт'!O106</f>
        <v>6848.1335217592095</v>
      </c>
      <c r="P106" s="41">
        <f>'[2]побудинковий звіт'!P106+'[1]побудинковий звіт'!P106</f>
        <v>6867.1731807991682</v>
      </c>
      <c r="Q106" s="55">
        <f t="shared" si="67"/>
        <v>19.039659039958678</v>
      </c>
      <c r="R106" s="41">
        <f>'[2]побудинковий звіт'!R106+'[1]побудинковий звіт'!R106</f>
        <v>1631.3936425508668</v>
      </c>
      <c r="S106" s="41">
        <f>'[2]побудинковий звіт'!S106+'[1]побудинковий звіт'!S106</f>
        <v>1636.9164658430179</v>
      </c>
      <c r="T106" s="55">
        <f t="shared" si="68"/>
        <v>5.522823292151088</v>
      </c>
      <c r="U106" s="41">
        <f>'[2]побудинковий звіт'!U106+'[1]побудинковий звіт'!U106</f>
        <v>803.11189168974329</v>
      </c>
      <c r="V106" s="41">
        <f>'[2]побудинковий звіт'!V106+'[1]побудинковий звіт'!V106</f>
        <v>554.99587677406043</v>
      </c>
      <c r="W106" s="55">
        <f t="shared" si="69"/>
        <v>-248.11601491568285</v>
      </c>
      <c r="X106" s="41">
        <f>'[2]побудинковий звіт'!X106+'[1]побудинковий звіт'!X106</f>
        <v>9769.4567454719672</v>
      </c>
      <c r="Y106" s="41">
        <f>'[2]побудинковий звіт'!Y106+'[1]побудинковий звіт'!Y106</f>
        <v>13199.1210278292</v>
      </c>
      <c r="Z106" s="55">
        <f t="shared" si="70"/>
        <v>3429.6642823572329</v>
      </c>
      <c r="AA106" s="41">
        <f>'[2]побудинковий звіт'!AA106+'[1]побудинковий звіт'!AA106</f>
        <v>0</v>
      </c>
      <c r="AB106" s="41">
        <f>'[2]побудинковий звіт'!AB106+'[1]побудинковий звіт'!AB106</f>
        <v>0</v>
      </c>
      <c r="AC106" s="55">
        <f t="shared" si="71"/>
        <v>0</v>
      </c>
      <c r="AD106" s="41">
        <f>'[2]побудинковий звіт'!AD106+'[1]побудинковий звіт'!AD106</f>
        <v>21893.21970287076</v>
      </c>
      <c r="AE106" s="41">
        <f>'[2]побудинковий звіт'!AE106+'[1]побудинковий звіт'!AE106</f>
        <v>21807.948058377227</v>
      </c>
      <c r="AF106" s="36">
        <f t="shared" si="72"/>
        <v>-85.271644493532222</v>
      </c>
      <c r="AG106" s="84">
        <f t="shared" si="73"/>
        <v>60651.895828943736</v>
      </c>
      <c r="AH106" s="56">
        <f t="shared" si="74"/>
        <v>64711.921377825056</v>
      </c>
      <c r="AI106" s="55">
        <f t="shared" si="75"/>
        <v>4060.02554888132</v>
      </c>
      <c r="AJ106" s="41">
        <f>'[2]побудинковий звіт'!AJ106+'[1]побудинковий звіт'!AJ106</f>
        <v>40724.396863842238</v>
      </c>
      <c r="AK106" s="41">
        <f>'[2]побудинковий звіт'!AK106+'[1]побудинковий звіт'!AK106</f>
        <v>41472.929982993068</v>
      </c>
      <c r="AL106" s="55">
        <f t="shared" si="76"/>
        <v>748.53311915083032</v>
      </c>
      <c r="AM106" s="41">
        <f>'[2]побудинковий звіт'!AM106+'[1]побудинковий звіт'!AM106</f>
        <v>605.85684545284585</v>
      </c>
      <c r="AN106" s="41">
        <f>'[2]побудинковий звіт'!AN106+'[1]побудинковий звіт'!AN106</f>
        <v>532.00510021686796</v>
      </c>
      <c r="AO106" s="55">
        <f t="shared" si="77"/>
        <v>-73.851745235977887</v>
      </c>
      <c r="AP106" s="41">
        <f>'[2]побудинковий звіт'!AP106+'[1]побудинковий звіт'!AP106</f>
        <v>4011.921668766076</v>
      </c>
      <c r="AQ106" s="41">
        <f>'[2]побудинковий звіт'!AQ106+'[1]побудинковий звіт'!AQ106</f>
        <v>3472.9222383046199</v>
      </c>
      <c r="AR106" s="55">
        <f t="shared" si="78"/>
        <v>-538.99943046145609</v>
      </c>
      <c r="AS106" s="41">
        <f>'[2]побудинковий звіт'!AS106+'[1]побудинковий звіт'!AS106</f>
        <v>120477.60366673392</v>
      </c>
      <c r="AT106" s="41">
        <f>'[2]побудинковий звіт'!AT106+'[1]побудинковий звіт'!AT106</f>
        <v>59689.158793534058</v>
      </c>
      <c r="AU106" s="57">
        <f t="shared" si="79"/>
        <v>-60788.444873199864</v>
      </c>
      <c r="AV106" s="41">
        <f>'[2]побудинковий звіт'!AV106+'[1]побудинковий звіт'!AV106</f>
        <v>1565.4538480648202</v>
      </c>
      <c r="AW106" s="41">
        <f>'[2]побудинковий звіт'!AW106+'[1]побудинковий звіт'!AW106</f>
        <v>0</v>
      </c>
      <c r="AX106" s="58">
        <f t="shared" si="80"/>
        <v>-1565.4538480648202</v>
      </c>
      <c r="AY106" s="41">
        <f>'[2]побудинковий звіт'!AY106+'[1]побудинковий звіт'!AY106</f>
        <v>1776.7126494292424</v>
      </c>
      <c r="AZ106" s="41">
        <f>'[2]побудинковий звіт'!AZ106+'[1]побудинковий звіт'!AZ106</f>
        <v>675.61308906772877</v>
      </c>
      <c r="BA106" s="36">
        <f t="shared" si="81"/>
        <v>-1101.0995603615138</v>
      </c>
      <c r="BB106" s="41">
        <f>'[2]побудинковий звіт'!BB106+'[1]побудинковий звіт'!BB106</f>
        <v>1370.4034105377643</v>
      </c>
      <c r="BC106" s="41">
        <f>'[2]побудинковий звіт'!BC106+'[1]побудинковий звіт'!BC106</f>
        <v>858.89868450435006</v>
      </c>
      <c r="BD106" s="58">
        <f t="shared" si="82"/>
        <v>-511.50472603341427</v>
      </c>
      <c r="BE106" s="41">
        <f>'[2]побудинковий звіт'!BE106+'[1]побудинковий звіт'!BE106</f>
        <v>685.91494410618566</v>
      </c>
      <c r="BF106" s="41">
        <f>'[2]побудинковий звіт'!BF106+'[1]побудинковий звіт'!BF106</f>
        <v>546.58312943999999</v>
      </c>
      <c r="BG106" s="38">
        <f t="shared" si="83"/>
        <v>-139.33181466618566</v>
      </c>
      <c r="BH106" s="41">
        <f>'[2]побудинковий звіт'!BH106+'[1]побудинковий звіт'!BH106</f>
        <v>352.86397625176909</v>
      </c>
      <c r="BI106" s="41">
        <f>'[2]побудинковий звіт'!BI106+'[1]побудинковий звіт'!BI106</f>
        <v>0</v>
      </c>
      <c r="BJ106" s="58">
        <f t="shared" si="84"/>
        <v>-352.86397625176909</v>
      </c>
      <c r="BK106" s="41">
        <f>'[2]побудинковий звіт'!BK106+'[1]побудинковий звіт'!BK106</f>
        <v>1126.2803813138553</v>
      </c>
      <c r="BL106" s="41">
        <f>'[2]побудинковий звіт'!BL106+'[1]побудинковий звіт'!BL106</f>
        <v>0</v>
      </c>
      <c r="BM106" s="38">
        <f t="shared" si="85"/>
        <v>-1126.2803813138553</v>
      </c>
      <c r="BN106" s="41">
        <f>'[2]побудинковий звіт'!BN106+'[1]побудинковий звіт'!BN106</f>
        <v>81.564258463179186</v>
      </c>
      <c r="BO106" s="41">
        <f>'[2]побудинковий звіт'!BO106+'[1]побудинковий звіт'!BO106</f>
        <v>0</v>
      </c>
      <c r="BP106" s="58">
        <f t="shared" si="86"/>
        <v>-81.564258463179186</v>
      </c>
      <c r="BQ106" s="84">
        <f t="shared" si="87"/>
        <v>6959.1934681668163</v>
      </c>
      <c r="BR106" s="42">
        <f t="shared" si="88"/>
        <v>2081.0949030120787</v>
      </c>
      <c r="BS106" s="58">
        <f t="shared" si="89"/>
        <v>-4878.098565154738</v>
      </c>
      <c r="BT106" s="41">
        <f>'[2]побудинковий звіт'!BT106+'[1]побудинковий звіт'!BT106</f>
        <v>39528.118321726193</v>
      </c>
      <c r="BU106" s="41">
        <f>'[2]побудинковий звіт'!BU106+'[1]побудинковий звіт'!BU106</f>
        <v>36158.529427629132</v>
      </c>
      <c r="BV106" s="55">
        <f t="shared" si="90"/>
        <v>-3369.5888940970617</v>
      </c>
      <c r="BW106" s="41">
        <f>'[2]побудинковий звіт'!BW106+'[1]побудинковий звіт'!BW106</f>
        <v>45022.730312573331</v>
      </c>
      <c r="BX106" s="41">
        <f>'[2]побудинковий звіт'!BX106+'[1]побудинковий звіт'!BX106</f>
        <v>45680.982816263582</v>
      </c>
      <c r="BY106" s="55">
        <f t="shared" si="91"/>
        <v>658.25250369025161</v>
      </c>
      <c r="BZ106" s="41">
        <f>'[2]побудинковий звіт'!BZ106+'[1]побудинковий звіт'!BZ106</f>
        <v>6957.9386024515588</v>
      </c>
      <c r="CA106" s="41">
        <f>'[2]побудинковий звіт'!CA106+'[1]побудинковий звіт'!CA106</f>
        <v>3812.1658259040532</v>
      </c>
      <c r="CB106" s="55">
        <f t="shared" si="92"/>
        <v>-3145.7727765475056</v>
      </c>
      <c r="CC106" s="41">
        <f>'[2]побудинковий звіт'!CC106+'[1]побудинковий звіт'!CC106</f>
        <v>1980.5408189980362</v>
      </c>
      <c r="CD106" s="41">
        <f>'[2]побудинковий звіт'!CD106+'[1]побудинковий звіт'!CD106</f>
        <v>1987.2566119984674</v>
      </c>
      <c r="CE106" s="55">
        <f t="shared" si="93"/>
        <v>6.7157930004311766</v>
      </c>
      <c r="CF106" s="41">
        <f>'[2]побудинковий звіт'!CF106+'[1]побудинковий звіт'!CF106</f>
        <v>245.37848053262633</v>
      </c>
      <c r="CG106" s="41">
        <f>'[2]побудинковий звіт'!CG106+'[1]побудинковий звіт'!CG106</f>
        <v>0</v>
      </c>
      <c r="CH106" s="55">
        <f t="shared" si="94"/>
        <v>-245.37848053262633</v>
      </c>
      <c r="CI106" s="41">
        <f>'[2]побудинковий звіт'!CI106+'[1]побудинковий звіт'!CI106</f>
        <v>16978.388463855288</v>
      </c>
      <c r="CJ106" s="41">
        <f>'[2]побудинковий звіт'!CJ106+'[1]побудинковий звіт'!CJ106</f>
        <v>18436.996692427809</v>
      </c>
      <c r="CK106" s="55">
        <f t="shared" si="95"/>
        <v>1458.6082285725206</v>
      </c>
      <c r="CL106" s="41">
        <f>'[2]побудинковий звіт'!CL106+'[1]побудинковий звіт'!CL106</f>
        <v>7944.7327119617712</v>
      </c>
      <c r="CM106" s="41">
        <f>'[2]побудинковий звіт'!CM106+'[1]побудинковий звіт'!CM106</f>
        <v>10308.841744727428</v>
      </c>
      <c r="CN106" s="55">
        <f t="shared" si="96"/>
        <v>2364.1090327656566</v>
      </c>
      <c r="CO106" s="41">
        <f t="shared" si="97"/>
        <v>24923.121175817061</v>
      </c>
      <c r="CP106" s="42">
        <f t="shared" si="98"/>
        <v>28745.838437155238</v>
      </c>
      <c r="CQ106" s="55">
        <f t="shared" si="99"/>
        <v>3822.7172613381772</v>
      </c>
      <c r="CR106" s="76">
        <f t="shared" si="100"/>
        <v>352088.69605400437</v>
      </c>
      <c r="CS106" s="5">
        <f t="shared" si="101"/>
        <v>288344.80551483622</v>
      </c>
      <c r="CT106" s="55">
        <f t="shared" si="102"/>
        <v>-63743.890539168147</v>
      </c>
      <c r="CU106" s="84">
        <f t="shared" si="103"/>
        <v>422506.43526480522</v>
      </c>
      <c r="CV106" s="68">
        <f t="shared" si="104"/>
        <v>346013.76661780343</v>
      </c>
      <c r="CW106" s="36">
        <f t="shared" si="105"/>
        <v>-76492.668647001788</v>
      </c>
      <c r="CX106" s="41">
        <f>'[2]побудинковий звіт'!CX106+'[1]побудинковий звіт'!CX106</f>
        <v>7550.3522153671893</v>
      </c>
      <c r="CY106" s="41">
        <f>'[2]побудинковий звіт'!CY106+'[1]побудинковий звіт'!CY106</f>
        <v>84043.020862369071</v>
      </c>
      <c r="CZ106" s="55">
        <f t="shared" si="106"/>
        <v>76492.668647001876</v>
      </c>
      <c r="DA106" s="254">
        <f>'[1]побудинковий звіт'!DA106</f>
        <v>-1844.9140307367488</v>
      </c>
      <c r="DB106" s="2">
        <v>3</v>
      </c>
      <c r="DC106" s="702">
        <f>'[1]побудинковий звіт'!DC106</f>
        <v>101971.46</v>
      </c>
      <c r="DD106" s="702">
        <f>'[1]побудинковий звіт'!DD106</f>
        <v>0</v>
      </c>
      <c r="DE106" s="702">
        <f>'[1]побудинковий звіт'!DE106</f>
        <v>55499.12000000001</v>
      </c>
      <c r="DF106" s="702">
        <f>'[1]побудинковий звіт'!DF106</f>
        <v>0</v>
      </c>
      <c r="DG106" s="772">
        <v>-56841.335450958461</v>
      </c>
      <c r="DH106" s="746">
        <f t="shared" si="107"/>
        <v>5160681.4497620687</v>
      </c>
      <c r="DI106" s="769"/>
      <c r="DJ106" s="5"/>
      <c r="DK106" s="307">
        <f>VLOOKUP($A106,ціни!$A$4:$G$401,5)</f>
        <v>5.7342707965241306</v>
      </c>
      <c r="DL106" s="307">
        <f>VLOOKUP($A106,ціни!$A$4:$G$401,6)</f>
        <v>6.8233940530873998</v>
      </c>
      <c r="DM106" s="307">
        <f>VLOOKUP($A106,ціни!$A$4:$G$401,7)</f>
        <v>4.7961368545514738</v>
      </c>
      <c r="DN106" s="29">
        <f>DK106*G106+(F106-G106)*DL106</f>
        <v>33835.682496578214</v>
      </c>
      <c r="DO106" s="29">
        <f>DM106*H106</f>
        <v>0</v>
      </c>
      <c r="DP106" s="306">
        <f t="shared" si="108"/>
        <v>33835.682496578214</v>
      </c>
      <c r="DQ106" s="101"/>
      <c r="DR106" s="29">
        <f>VLOOKUP(A106,'ДЗ нас '!$A$1:$C$359,2)</f>
        <v>33838.050000000003</v>
      </c>
      <c r="DS106" s="733"/>
      <c r="DT106" s="29">
        <f t="shared" si="109"/>
        <v>33838.050000000003</v>
      </c>
      <c r="DU106" s="247">
        <f>VLOOKUP(A106,'новий кошторис с 01.06'!$A$4:$AI$399,35)*1.2</f>
        <v>33908.837063208637</v>
      </c>
      <c r="DV106" s="29">
        <f t="shared" si="110"/>
        <v>-70.787063208634208</v>
      </c>
      <c r="DW106" s="1016">
        <f>'[2]побудинковий звіт'!$DW$9+'[1]побудинковий звіт'!DW106</f>
        <v>909</v>
      </c>
      <c r="DX106" s="101">
        <f>'[1]побудинковий звіт'!DX106</f>
        <v>0</v>
      </c>
      <c r="DY106" s="5">
        <f t="shared" si="111"/>
        <v>152924.1565618809</v>
      </c>
      <c r="DZ106" s="5">
        <f t="shared" si="112"/>
        <v>74124.30443585536</v>
      </c>
      <c r="EA106" s="737">
        <f t="shared" si="113"/>
        <v>55499.12000000001</v>
      </c>
      <c r="EC106" s="577">
        <f t="shared" si="114"/>
        <v>1445731.2440008069</v>
      </c>
      <c r="EE106" s="743">
        <v>-59954</v>
      </c>
      <c r="EF106" s="723">
        <f t="shared" si="115"/>
        <v>-116795.33545095846</v>
      </c>
      <c r="EH106" s="798">
        <v>92591.417672147421</v>
      </c>
      <c r="EI106" s="101">
        <f>VLOOKUP(A106,'кошти 01.01.24'!$A$9:$D$352,4,FALSE)</f>
        <v>74647.754616265156</v>
      </c>
    </row>
    <row r="107" spans="1:139" hidden="1" x14ac:dyDescent="0.3">
      <c r="A107" s="318">
        <v>150000659</v>
      </c>
      <c r="B107" s="43" t="s">
        <v>534</v>
      </c>
      <c r="C107" s="44" t="s">
        <v>413</v>
      </c>
      <c r="D107" s="44" t="s">
        <v>413</v>
      </c>
      <c r="E107" s="39">
        <f t="shared" si="64"/>
        <v>2605.5</v>
      </c>
      <c r="F107" s="205">
        <f>'[1]побудинковий звіт'!F107</f>
        <v>2605.5</v>
      </c>
      <c r="G107" s="29">
        <f>'[1]побудинковий звіт'!G107</f>
        <v>490.3</v>
      </c>
      <c r="H107" s="148">
        <f>'[1]побудинковий звіт'!H107</f>
        <v>0</v>
      </c>
      <c r="I107" s="41">
        <f>'[2]побудинковий звіт'!I107+'[1]побудинковий звіт'!I107</f>
        <v>9066.0169408407892</v>
      </c>
      <c r="J107" s="41">
        <f>'[2]побудинковий звіт'!J107+'[1]побудинковий звіт'!J107</f>
        <v>9440.7227645148978</v>
      </c>
      <c r="K107" s="55">
        <f t="shared" si="65"/>
        <v>374.70582367410861</v>
      </c>
      <c r="L107" s="41">
        <f>'[2]побудинковий звіт'!L107+'[1]побудинковий звіт'!L107</f>
        <v>1577.0844974528022</v>
      </c>
      <c r="M107" s="41">
        <f>'[2]побудинковий звіт'!M107+'[1]побудинковий звіт'!M107</f>
        <v>1729.1587163717959</v>
      </c>
      <c r="N107" s="55">
        <f t="shared" si="66"/>
        <v>152.07421891899367</v>
      </c>
      <c r="O107" s="41">
        <f>'[2]побудинковий звіт'!O107+'[1]побудинковий звіт'!O107</f>
        <v>3631.6430740058713</v>
      </c>
      <c r="P107" s="41">
        <f>'[2]побудинковий звіт'!P107+'[1]побудинковий звіт'!P107</f>
        <v>3642.7169200061817</v>
      </c>
      <c r="Q107" s="55">
        <f t="shared" si="67"/>
        <v>11.073846000310368</v>
      </c>
      <c r="R107" s="41">
        <f>'[2]побудинковий звіт'!R107+'[1]побудинковий звіт'!R107</f>
        <v>879.19160202918033</v>
      </c>
      <c r="S107" s="41">
        <f>'[2]побудинковий звіт'!S107+'[1]побудинковий звіт'!S107</f>
        <v>881.31642318861088</v>
      </c>
      <c r="T107" s="55">
        <f t="shared" si="68"/>
        <v>2.1248211594305531</v>
      </c>
      <c r="U107" s="41">
        <f>'[2]побудинковий звіт'!U107+'[1]побудинковий звіт'!U107</f>
        <v>272.16399857852639</v>
      </c>
      <c r="V107" s="41">
        <f>'[2]побудинковий звіт'!V107+'[1]побудинковий звіт'!V107</f>
        <v>223.39795496067225</v>
      </c>
      <c r="W107" s="55">
        <f t="shared" si="69"/>
        <v>-48.766043617854137</v>
      </c>
      <c r="X107" s="41">
        <f>'[2]побудинковий звіт'!X107+'[1]побудинковий звіт'!X107</f>
        <v>3484.3312936400353</v>
      </c>
      <c r="Y107" s="41">
        <f>'[2]побудинковий звіт'!Y107+'[1]побудинковий звіт'!Y107</f>
        <v>3724.424227292202</v>
      </c>
      <c r="Z107" s="55">
        <f t="shared" si="70"/>
        <v>240.09293365216672</v>
      </c>
      <c r="AA107" s="41">
        <f>'[2]побудинковий звіт'!AA107+'[1]побудинковий звіт'!AA107</f>
        <v>0</v>
      </c>
      <c r="AB107" s="41">
        <f>'[2]побудинковий звіт'!AB107+'[1]побудинковий звіт'!AB107</f>
        <v>0</v>
      </c>
      <c r="AC107" s="55">
        <f t="shared" si="71"/>
        <v>0</v>
      </c>
      <c r="AD107" s="41">
        <f>'[2]побудинковий звіт'!AD107+'[1]побудинковий звіт'!AD107</f>
        <v>11300.866843298261</v>
      </c>
      <c r="AE107" s="41">
        <f>'[2]побудинковий звіт'!AE107+'[1]побудинковий звіт'!AE107</f>
        <v>11256.914716972831</v>
      </c>
      <c r="AF107" s="36">
        <f t="shared" si="72"/>
        <v>-43.952126325430072</v>
      </c>
      <c r="AG107" s="84">
        <f t="shared" si="73"/>
        <v>30211.298249845466</v>
      </c>
      <c r="AH107" s="56">
        <f t="shared" si="74"/>
        <v>30898.651723307194</v>
      </c>
      <c r="AI107" s="55">
        <f t="shared" si="75"/>
        <v>687.35347346172784</v>
      </c>
      <c r="AJ107" s="41">
        <f>'[2]побудинковий звіт'!AJ107+'[1]побудинковий звіт'!AJ107</f>
        <v>21728.339627349756</v>
      </c>
      <c r="AK107" s="41">
        <f>'[2]побудинковий звіт'!AK107+'[1]побудинковий звіт'!AK107</f>
        <v>20736.501747947099</v>
      </c>
      <c r="AL107" s="55">
        <f t="shared" si="76"/>
        <v>-991.83787940265756</v>
      </c>
      <c r="AM107" s="41">
        <f>'[2]побудинковий звіт'!AM107+'[1]побудинковий звіт'!AM107</f>
        <v>0</v>
      </c>
      <c r="AN107" s="41">
        <f>'[2]побудинковий звіт'!AN107+'[1]побудинковий звіт'!AN107</f>
        <v>0</v>
      </c>
      <c r="AO107" s="55">
        <f t="shared" si="77"/>
        <v>0</v>
      </c>
      <c r="AP107" s="41">
        <f>'[2]побудинковий звіт'!AP107+'[1]побудинковий звіт'!AP107</f>
        <v>1981.1958858104076</v>
      </c>
      <c r="AQ107" s="41">
        <f>'[2]побудинковий звіт'!AQ107+'[1]побудинковий звіт'!AQ107</f>
        <v>1713.8024700772403</v>
      </c>
      <c r="AR107" s="55">
        <f t="shared" si="78"/>
        <v>-267.39341573316733</v>
      </c>
      <c r="AS107" s="41">
        <f>'[2]побудинковий звіт'!AS107+'[1]побудинковий звіт'!AS107</f>
        <v>49822.15819194998</v>
      </c>
      <c r="AT107" s="41">
        <f>'[2]побудинковий звіт'!AT107+'[1]побудинковий звіт'!AT107</f>
        <v>132.05404403729605</v>
      </c>
      <c r="AU107" s="57">
        <f t="shared" si="79"/>
        <v>-49690.104147912687</v>
      </c>
      <c r="AV107" s="41">
        <f>'[2]побудинковий звіт'!AV107+'[1]побудинковий звіт'!AV107</f>
        <v>871.57296884058258</v>
      </c>
      <c r="AW107" s="41">
        <f>'[2]побудинковий звіт'!AW107+'[1]побудинковий звіт'!AW107</f>
        <v>0</v>
      </c>
      <c r="AX107" s="58">
        <f t="shared" si="80"/>
        <v>-871.57296884058258</v>
      </c>
      <c r="AY107" s="41">
        <f>'[2]побудинковий звіт'!AY107+'[1]побудинковий звіт'!AY107</f>
        <v>1089.144304790088</v>
      </c>
      <c r="AZ107" s="41">
        <f>'[2]побудинковий звіт'!AZ107+'[1]побудинковий звіт'!AZ107</f>
        <v>0</v>
      </c>
      <c r="BA107" s="36">
        <f t="shared" si="81"/>
        <v>-1089.144304790088</v>
      </c>
      <c r="BB107" s="41">
        <f>'[2]побудинковий звіт'!BB107+'[1]побудинковий звіт'!BB107</f>
        <v>1387.7015055919437</v>
      </c>
      <c r="BC107" s="41">
        <f>'[2]побудинковий звіт'!BC107+'[1]побудинковий звіт'!BC107</f>
        <v>0</v>
      </c>
      <c r="BD107" s="58">
        <f t="shared" si="82"/>
        <v>-1387.7015055919437</v>
      </c>
      <c r="BE107" s="41">
        <f>'[2]побудинковий звіт'!BE107+'[1]побудинковий звіт'!BE107</f>
        <v>444.16290880172562</v>
      </c>
      <c r="BF107" s="41">
        <f>'[2]побудинковий звіт'!BF107+'[1]побудинковий звіт'!BF107</f>
        <v>0</v>
      </c>
      <c r="BG107" s="38">
        <f t="shared" si="83"/>
        <v>-444.16290880172562</v>
      </c>
      <c r="BH107" s="41">
        <f>'[2]побудинковий звіт'!BH107+'[1]побудинковий звіт'!BH107</f>
        <v>142.06205967173688</v>
      </c>
      <c r="BI107" s="41">
        <f>'[2]побудинковий звіт'!BI107+'[1]побудинковий звіт'!BI107</f>
        <v>0</v>
      </c>
      <c r="BJ107" s="58">
        <f t="shared" si="84"/>
        <v>-142.06205967173688</v>
      </c>
      <c r="BK107" s="41">
        <f>'[2]побудинковий звіт'!BK107+'[1]побудинковий звіт'!BK107</f>
        <v>539.00017695197062</v>
      </c>
      <c r="BL107" s="41">
        <f>'[2]побудинковий звіт'!BL107+'[1]побудинковий звіт'!BL107</f>
        <v>1268.7893401217375</v>
      </c>
      <c r="BM107" s="38">
        <f t="shared" si="85"/>
        <v>729.78916316976688</v>
      </c>
      <c r="BN107" s="41">
        <f>'[2]побудинковий звіт'!BN107+'[1]побудинковий звіт'!BN107</f>
        <v>43.919216095558028</v>
      </c>
      <c r="BO107" s="41">
        <f>'[2]побудинковий звіт'!BO107+'[1]побудинковий звіт'!BO107</f>
        <v>0</v>
      </c>
      <c r="BP107" s="58">
        <f t="shared" si="86"/>
        <v>-43.919216095558028</v>
      </c>
      <c r="BQ107" s="84">
        <f t="shared" si="87"/>
        <v>4517.5631407436058</v>
      </c>
      <c r="BR107" s="42">
        <f t="shared" si="88"/>
        <v>1268.7893401217375</v>
      </c>
      <c r="BS107" s="58">
        <f t="shared" si="89"/>
        <v>-3248.7738006218683</v>
      </c>
      <c r="BT107" s="41">
        <f>'[2]побудинковий звіт'!BT107+'[1]побудинковий звіт'!BT107</f>
        <v>18928.090340070459</v>
      </c>
      <c r="BU107" s="41">
        <f>'[2]побудинковий звіт'!BU107+'[1]побудинковий звіт'!BU107</f>
        <v>18783.478567927941</v>
      </c>
      <c r="BV107" s="55">
        <f t="shared" si="90"/>
        <v>-144.61177214251802</v>
      </c>
      <c r="BW107" s="41">
        <f>'[2]побудинковий звіт'!BW107+'[1]побудинковий звіт'!BW107</f>
        <v>20505.22141681912</v>
      </c>
      <c r="BX107" s="41">
        <f>'[2]побудинковий звіт'!BX107+'[1]побудинковий звіт'!BX107</f>
        <v>23716.942147461399</v>
      </c>
      <c r="BY107" s="55">
        <f t="shared" si="91"/>
        <v>3211.7207306422788</v>
      </c>
      <c r="BZ107" s="41">
        <f>'[2]побудинковий звіт'!BZ107+'[1]побудинковий звіт'!BZ107</f>
        <v>3796.002883704527</v>
      </c>
      <c r="CA107" s="41">
        <f>'[2]побудинковий звіт'!CA107+'[1]побудинковий звіт'!CA107</f>
        <v>1812.9720954969416</v>
      </c>
      <c r="CB107" s="55">
        <f t="shared" si="92"/>
        <v>-1983.0307882075854</v>
      </c>
      <c r="CC107" s="41">
        <f>'[2]побудинковий звіт'!CC107+'[1]побудинковий звіт'!CC107</f>
        <v>933.47414179417137</v>
      </c>
      <c r="CD107" s="41">
        <f>'[2]побудинковий звіт'!CD107+'[1]побудинковий звіт'!CD107</f>
        <v>936.63944848586425</v>
      </c>
      <c r="CE107" s="55">
        <f t="shared" si="93"/>
        <v>3.1653066916928765</v>
      </c>
      <c r="CF107" s="41">
        <f>'[2]побудинковий звіт'!CF107+'[1]побудинковий звіт'!CF107</f>
        <v>115.65248458036366</v>
      </c>
      <c r="CG107" s="41">
        <f>'[2]побудинковий звіт'!CG107+'[1]побудинковий звіт'!CG107</f>
        <v>0</v>
      </c>
      <c r="CH107" s="55">
        <f t="shared" si="94"/>
        <v>-115.65248458036366</v>
      </c>
      <c r="CI107" s="41">
        <f>'[2]побудинковий звіт'!CI107+'[1]побудинковий звіт'!CI107</f>
        <v>3782.3572339320017</v>
      </c>
      <c r="CJ107" s="41">
        <f>'[2]побудинковий звіт'!CJ107+'[1]побудинковий звіт'!CJ107</f>
        <v>8016.2358147381528</v>
      </c>
      <c r="CK107" s="55">
        <f t="shared" si="95"/>
        <v>4233.8785808061511</v>
      </c>
      <c r="CL107" s="41">
        <f>'[2]побудинковий звіт'!CL107+'[1]побудинковий звіт'!CL107</f>
        <v>4808.1776456711104</v>
      </c>
      <c r="CM107" s="41">
        <f>'[2]побудинковий звіт'!CM107+'[1]побудинковий звіт'!CM107</f>
        <v>7313.7175102375923</v>
      </c>
      <c r="CN107" s="55">
        <f t="shared" si="96"/>
        <v>2505.5398645664818</v>
      </c>
      <c r="CO107" s="41">
        <f t="shared" si="97"/>
        <v>8590.5348796031121</v>
      </c>
      <c r="CP107" s="42">
        <f t="shared" si="98"/>
        <v>15329.953324975744</v>
      </c>
      <c r="CQ107" s="55">
        <f t="shared" si="99"/>
        <v>6739.418445372632</v>
      </c>
      <c r="CR107" s="76">
        <f t="shared" si="100"/>
        <v>161129.53124227092</v>
      </c>
      <c r="CS107" s="5">
        <f t="shared" si="101"/>
        <v>115329.78490983846</v>
      </c>
      <c r="CT107" s="55">
        <f t="shared" si="102"/>
        <v>-45799.746332432464</v>
      </c>
      <c r="CU107" s="84">
        <f t="shared" si="103"/>
        <v>193355.4374907251</v>
      </c>
      <c r="CV107" s="68">
        <f t="shared" si="104"/>
        <v>138395.74189180616</v>
      </c>
      <c r="CW107" s="36">
        <f t="shared" si="105"/>
        <v>-54959.695598918945</v>
      </c>
      <c r="CX107" s="41">
        <f>'[2]побудинковий звіт'!CX107+'[1]побудинковий звіт'!CX107</f>
        <v>1928.1612060712921</v>
      </c>
      <c r="CY107" s="41">
        <f>'[2]побудинковий звіт'!CY107+'[1]побудинковий звіт'!CY107</f>
        <v>56887.856804990297</v>
      </c>
      <c r="CZ107" s="55">
        <f t="shared" si="106"/>
        <v>54959.695598919003</v>
      </c>
      <c r="DA107" s="254">
        <f>'[1]побудинковий звіт'!DA107</f>
        <v>47149.280769168719</v>
      </c>
      <c r="DB107" s="2">
        <v>3</v>
      </c>
      <c r="DC107" s="702">
        <f>'[1]побудинковий звіт'!DC107</f>
        <v>82433.009999999995</v>
      </c>
      <c r="DD107" s="702">
        <f>'[1]побудинковий звіт'!DD107</f>
        <v>0</v>
      </c>
      <c r="DE107" s="702">
        <f>'[1]побудинковий звіт'!DE107</f>
        <v>61046.75</v>
      </c>
      <c r="DF107" s="702">
        <f>'[1]побудинковий звіт'!DF107</f>
        <v>0</v>
      </c>
      <c r="DG107" s="772">
        <v>22213.759617035044</v>
      </c>
      <c r="DH107" s="746">
        <f t="shared" si="107"/>
        <v>2343403.1843615565</v>
      </c>
      <c r="DI107" s="769"/>
      <c r="DJ107" s="5"/>
      <c r="DK107" s="307">
        <f>VLOOKUP($A107,ціни!$A$4:$G$401,5)</f>
        <v>4.9300761577349173</v>
      </c>
      <c r="DL107" s="307">
        <f>VLOOKUP($A107,ціни!$A$4:$G$401,6)</f>
        <v>6.0963945000550783</v>
      </c>
      <c r="DM107" s="307">
        <f>VLOOKUP($A107,ціни!$A$4:$G$401,7)</f>
        <v>4.1099550521118413</v>
      </c>
      <c r="DN107" s="29">
        <f>DK107*G107+(F107-G107)*DL107</f>
        <v>15312.309986653931</v>
      </c>
      <c r="DO107" s="29">
        <f>DM107*H107</f>
        <v>0</v>
      </c>
      <c r="DP107" s="306">
        <f t="shared" si="108"/>
        <v>15312.309986653931</v>
      </c>
      <c r="DQ107" s="101"/>
      <c r="DR107" s="29">
        <f>VLOOKUP(A107,'ДЗ нас '!$A$1:$C$359,2)</f>
        <v>15311.64</v>
      </c>
      <c r="DS107" s="733"/>
      <c r="DT107" s="29">
        <f t="shared" si="109"/>
        <v>15311.64</v>
      </c>
      <c r="DU107" s="247">
        <f>VLOOKUP(A107,'новий кошторис с 01.06'!$A$4:$AI$399,35)*1.2</f>
        <v>15312.309986653934</v>
      </c>
      <c r="DV107" s="29">
        <f t="shared" si="110"/>
        <v>-0.66998665393475676</v>
      </c>
      <c r="DW107" s="1016">
        <f>'[2]побудинковий звіт'!$DW$9+'[1]побудинковий звіт'!DW107</f>
        <v>909</v>
      </c>
      <c r="DX107" s="101">
        <f>'[1]побудинковий звіт'!DX107</f>
        <v>0</v>
      </c>
      <c r="DY107" s="5">
        <f t="shared" si="111"/>
        <v>65207.665599232307</v>
      </c>
      <c r="DZ107" s="5">
        <f t="shared" si="112"/>
        <v>1681.0120609908402</v>
      </c>
      <c r="EA107" s="737">
        <f t="shared" si="113"/>
        <v>61046.75</v>
      </c>
      <c r="EC107" s="577">
        <f t="shared" si="114"/>
        <v>597865.89830339979</v>
      </c>
      <c r="EE107" s="743">
        <v>-9874</v>
      </c>
      <c r="EF107" s="723">
        <f t="shared" si="115"/>
        <v>12339.759617035044</v>
      </c>
      <c r="EH107" s="798">
        <v>4329.7809940488441</v>
      </c>
      <c r="EI107" s="101">
        <f>VLOOKUP(A107,'кошти 01.01.24'!$A$9:$D$352,4,FALSE)</f>
        <v>102108.97636808777</v>
      </c>
    </row>
    <row r="108" spans="1:139" ht="14.4" hidden="1" customHeight="1" x14ac:dyDescent="0.3">
      <c r="A108" s="318">
        <v>150000660</v>
      </c>
      <c r="B108" s="43" t="s">
        <v>535</v>
      </c>
      <c r="C108" s="44" t="s">
        <v>414</v>
      </c>
      <c r="D108" s="44" t="s">
        <v>414</v>
      </c>
      <c r="E108" s="39">
        <f t="shared" si="64"/>
        <v>4661.7</v>
      </c>
      <c r="F108" s="205">
        <f>'[1]побудинковий звіт'!F108</f>
        <v>4661.7</v>
      </c>
      <c r="G108" s="29">
        <f>'[1]побудинковий звіт'!G108</f>
        <v>410</v>
      </c>
      <c r="H108" s="148">
        <f>'[1]побудинковий звіт'!H108</f>
        <v>0</v>
      </c>
      <c r="I108" s="41">
        <f>'[2]побудинковий звіт'!I108+'[1]побудинковий звіт'!I108</f>
        <v>16028.200413988037</v>
      </c>
      <c r="J108" s="41">
        <f>'[2]побудинковий звіт'!J108+'[1]побудинковий звіт'!J108</f>
        <v>16714.455695967965</v>
      </c>
      <c r="K108" s="55">
        <f t="shared" si="65"/>
        <v>686.25528197992753</v>
      </c>
      <c r="L108" s="41">
        <f>'[2]побудинковий звіт'!L108+'[1]побудинковий звіт'!L108</f>
        <v>3102.6133761809574</v>
      </c>
      <c r="M108" s="41">
        <f>'[2]побудинковий звіт'!M108+'[1]побудинковий звіт'!M108</f>
        <v>3380.5139406239323</v>
      </c>
      <c r="N108" s="55">
        <f t="shared" si="66"/>
        <v>277.90056444297488</v>
      </c>
      <c r="O108" s="41">
        <f>'[2]побудинковий звіт'!O108+'[1]побудинковий звіт'!O108</f>
        <v>6331.0132973377504</v>
      </c>
      <c r="P108" s="41">
        <f>'[2]побудинковий звіт'!P108+'[1]побудинковий звіт'!P108</f>
        <v>6347.7045235134219</v>
      </c>
      <c r="Q108" s="55">
        <f t="shared" si="67"/>
        <v>16.691226175671545</v>
      </c>
      <c r="R108" s="41">
        <f>'[2]побудинковий звіт'!R108+'[1]побудинковий звіт'!R108</f>
        <v>1601.1330077063553</v>
      </c>
      <c r="S108" s="41">
        <f>'[2]побудинковий звіт'!S108+'[1]побудинковий звіт'!S108</f>
        <v>1604.736850217216</v>
      </c>
      <c r="T108" s="55">
        <f t="shared" si="68"/>
        <v>3.6038425108606589</v>
      </c>
      <c r="U108" s="41">
        <f>'[2]побудинковий звіт'!U108+'[1]побудинковий звіт'!U108</f>
        <v>851.04481875772206</v>
      </c>
      <c r="V108" s="41">
        <f>'[2]побудинковий звіт'!V108+'[1]побудинковий звіт'!V108</f>
        <v>624.03803655373713</v>
      </c>
      <c r="W108" s="55">
        <f t="shared" si="69"/>
        <v>-227.00678220398493</v>
      </c>
      <c r="X108" s="41">
        <f>'[2]побудинковий звіт'!X108+'[1]побудинковий звіт'!X108</f>
        <v>6921.7694272117633</v>
      </c>
      <c r="Y108" s="41">
        <f>'[2]побудинковий звіт'!Y108+'[1]побудинковий звіт'!Y108</f>
        <v>6749.0355672567393</v>
      </c>
      <c r="Z108" s="55">
        <f t="shared" si="70"/>
        <v>-172.73385995502395</v>
      </c>
      <c r="AA108" s="41">
        <f>'[2]побудинковий звіт'!AA108+'[1]побудинковий звіт'!AA108</f>
        <v>0</v>
      </c>
      <c r="AB108" s="41">
        <f>'[2]побудинковий звіт'!AB108+'[1]побудинковий звіт'!AB108</f>
        <v>0</v>
      </c>
      <c r="AC108" s="55">
        <f t="shared" si="71"/>
        <v>0</v>
      </c>
      <c r="AD108" s="41">
        <f>'[2]побудинковий звіт'!AD108+'[1]побудинковий звіт'!AD108</f>
        <v>20219.248114912109</v>
      </c>
      <c r="AE108" s="41">
        <f>'[2]побудинковий звіт'!AE108+'[1]побудинковий звіт'!AE108</f>
        <v>20140.609992750811</v>
      </c>
      <c r="AF108" s="36">
        <f t="shared" si="72"/>
        <v>-78.63812216129736</v>
      </c>
      <c r="AG108" s="84">
        <f t="shared" si="73"/>
        <v>55055.022456094695</v>
      </c>
      <c r="AH108" s="56">
        <f t="shared" si="74"/>
        <v>55561.094606883824</v>
      </c>
      <c r="AI108" s="55">
        <f t="shared" si="75"/>
        <v>506.0721507891285</v>
      </c>
      <c r="AJ108" s="41">
        <f>'[2]побудинковий звіт'!AJ108+'[1]побудинковий звіт'!AJ108</f>
        <v>37429.325097985289</v>
      </c>
      <c r="AK108" s="41">
        <f>'[2]побудинковий звіт'!AK108+'[1]побудинковий звіт'!AK108</f>
        <v>35720.731499260182</v>
      </c>
      <c r="AL108" s="55">
        <f t="shared" si="76"/>
        <v>-1708.5935987251069</v>
      </c>
      <c r="AM108" s="41">
        <f>'[2]побудинковий звіт'!AM108+'[1]побудинковий звіт'!AM108</f>
        <v>0</v>
      </c>
      <c r="AN108" s="41">
        <f>'[2]побудинковий звіт'!AN108+'[1]побудинковий звіт'!AN108</f>
        <v>0</v>
      </c>
      <c r="AO108" s="55">
        <f t="shared" si="77"/>
        <v>0</v>
      </c>
      <c r="AP108" s="41">
        <f>'[2]побудинковий звіт'!AP108+'[1]побудинковий звіт'!AP108</f>
        <v>3962.3917716208152</v>
      </c>
      <c r="AQ108" s="41">
        <f>'[2]побудинковий звіт'!AQ108+'[1]побудинковий звіт'!AQ108</f>
        <v>3334.624619897108</v>
      </c>
      <c r="AR108" s="55">
        <f t="shared" si="78"/>
        <v>-627.76715172370723</v>
      </c>
      <c r="AS108" s="41">
        <f>'[2]побудинковий звіт'!AS108+'[1]побудинковий звіт'!AS108</f>
        <v>95421.960247968003</v>
      </c>
      <c r="AT108" s="41">
        <f>'[2]побудинковий звіт'!AT108+'[1]побудинковий звіт'!AT108</f>
        <v>3530.76242986744</v>
      </c>
      <c r="AU108" s="57">
        <f t="shared" si="79"/>
        <v>-91891.197818100569</v>
      </c>
      <c r="AV108" s="41">
        <f>'[2]побудинковий звіт'!AV108+'[1]побудинковий звіт'!AV108</f>
        <v>1604.6318134490316</v>
      </c>
      <c r="AW108" s="41">
        <f>'[2]побудинковий звіт'!AW108+'[1]побудинковий звіт'!AW108</f>
        <v>0</v>
      </c>
      <c r="AX108" s="58">
        <f t="shared" si="80"/>
        <v>-1604.6318134490316</v>
      </c>
      <c r="AY108" s="41">
        <f>'[2]побудинковий звіт'!AY108+'[1]побудинковий звіт'!AY108</f>
        <v>2144.9639219338637</v>
      </c>
      <c r="AZ108" s="41">
        <f>'[2]побудинковий звіт'!AZ108+'[1]побудинковий звіт'!AZ108</f>
        <v>1678.8759548064568</v>
      </c>
      <c r="BA108" s="36">
        <f t="shared" si="81"/>
        <v>-466.08796712740696</v>
      </c>
      <c r="BB108" s="41">
        <f>'[2]побудинковий звіт'!BB108+'[1]побудинковий звіт'!BB108</f>
        <v>2574.2028620289448</v>
      </c>
      <c r="BC108" s="41">
        <f>'[2]побудинковий звіт'!BC108+'[1]побудинковий звіт'!BC108</f>
        <v>1045.5776340554444</v>
      </c>
      <c r="BD108" s="58">
        <f t="shared" si="82"/>
        <v>-1528.6252279735004</v>
      </c>
      <c r="BE108" s="41">
        <f>'[2]побудинковий звіт'!BE108+'[1]побудинковий звіт'!BE108</f>
        <v>792.65509784953952</v>
      </c>
      <c r="BF108" s="41">
        <f>'[2]побудинковий звіт'!BF108+'[1]побудинковий звіт'!BF108</f>
        <v>1837.8578088519419</v>
      </c>
      <c r="BG108" s="38">
        <f t="shared" si="83"/>
        <v>1045.2027110024023</v>
      </c>
      <c r="BH108" s="41">
        <f>'[2]побудинковий звіт'!BH108+'[1]побудинковий звіт'!BH108</f>
        <v>444.06206710331281</v>
      </c>
      <c r="BI108" s="41">
        <f>'[2]побудинковий звіт'!BI108+'[1]побудинковий звіт'!BI108</f>
        <v>0</v>
      </c>
      <c r="BJ108" s="58">
        <f t="shared" si="84"/>
        <v>-444.06206710331281</v>
      </c>
      <c r="BK108" s="41">
        <f>'[2]побудинковий звіт'!BK108+'[1]побудинковий звіт'!BK108</f>
        <v>1161.4468724389276</v>
      </c>
      <c r="BL108" s="41">
        <f>'[2]побудинковий звіт'!BL108+'[1]побудинковий звіт'!BL108</f>
        <v>3431.9152114880726</v>
      </c>
      <c r="BM108" s="38">
        <f t="shared" si="85"/>
        <v>2270.468339049145</v>
      </c>
      <c r="BN108" s="41">
        <f>'[2]побудинковий звіт'!BN108+'[1]побудинковий звіт'!BN108</f>
        <v>81.564258463179186</v>
      </c>
      <c r="BO108" s="41">
        <f>'[2]побудинковий звіт'!BO108+'[1]побудинковий звіт'!BO108</f>
        <v>0</v>
      </c>
      <c r="BP108" s="58">
        <f t="shared" si="86"/>
        <v>-81.564258463179186</v>
      </c>
      <c r="BQ108" s="84">
        <f t="shared" si="87"/>
        <v>8803.5268932667987</v>
      </c>
      <c r="BR108" s="42">
        <f t="shared" si="88"/>
        <v>7994.2266092019154</v>
      </c>
      <c r="BS108" s="58">
        <f t="shared" si="89"/>
        <v>-809.30028406488327</v>
      </c>
      <c r="BT108" s="41">
        <f>'[2]побудинковий звіт'!BT108+'[1]побудинковий звіт'!BT108</f>
        <v>37452.590055928245</v>
      </c>
      <c r="BU108" s="41">
        <f>'[2]побудинковий звіт'!BU108+'[1]побудинковий звіт'!BU108</f>
        <v>37521.587248338001</v>
      </c>
      <c r="BV108" s="55">
        <f t="shared" si="90"/>
        <v>68.997192409755371</v>
      </c>
      <c r="BW108" s="41">
        <f>'[2]побудинковий звіт'!BW108+'[1]побудинковий звіт'!BW108</f>
        <v>42813.75288914211</v>
      </c>
      <c r="BX108" s="41">
        <f>'[2]побудинковий звіт'!BX108+'[1]побудинковий звіт'!BX108</f>
        <v>48969.123479724673</v>
      </c>
      <c r="BY108" s="55">
        <f t="shared" si="91"/>
        <v>6155.3705905825627</v>
      </c>
      <c r="BZ108" s="41">
        <f>'[2]побудинковий звіт'!BZ108+'[1]побудинковий звіт'!BZ108</f>
        <v>7894.7324411448817</v>
      </c>
      <c r="CA108" s="41">
        <f>'[2]побудинковий звіт'!CA108+'[1]побудинковий звіт'!CA108</f>
        <v>3767.2362415096954</v>
      </c>
      <c r="CB108" s="55">
        <f t="shared" si="92"/>
        <v>-4127.4961996351867</v>
      </c>
      <c r="CC108" s="41">
        <f>'[2]побудинковий звіт'!CC108+'[1]побудинковий звіт'!CC108</f>
        <v>1618.9989858661097</v>
      </c>
      <c r="CD108" s="41">
        <f>'[2]побудинковий звіт'!CD108+'[1]побудинковий звіт'!CD108</f>
        <v>1624.4888308380935</v>
      </c>
      <c r="CE108" s="55">
        <f t="shared" si="93"/>
        <v>5.4898449719837572</v>
      </c>
      <c r="CF108" s="41">
        <f>'[2]побудинковий звіт'!CF108+'[1]побудинковий звіт'!CF108</f>
        <v>200.58536906937783</v>
      </c>
      <c r="CG108" s="41">
        <f>'[2]побудинковий звіт'!CG108+'[1]побудинковий звіт'!CG108</f>
        <v>0</v>
      </c>
      <c r="CH108" s="55">
        <f t="shared" si="94"/>
        <v>-200.58536906937783</v>
      </c>
      <c r="CI108" s="41">
        <f>'[2]побудинковий звіт'!CI108+'[1]побудинковий звіт'!CI108</f>
        <v>6824.3063693517051</v>
      </c>
      <c r="CJ108" s="41">
        <f>'[2]побудинковий звіт'!CJ108+'[1]побудинковий звіт'!CJ108</f>
        <v>8619.0037309182899</v>
      </c>
      <c r="CK108" s="55">
        <f t="shared" si="95"/>
        <v>1794.6973615665847</v>
      </c>
      <c r="CL108" s="41">
        <f>'[2]побудинковий звіт'!CL108+'[1]побудинковий звіт'!CL108</f>
        <v>9074.5644236775825</v>
      </c>
      <c r="CM108" s="41">
        <f>'[2]побудинковий звіт'!CM108+'[1]побудинковий звіт'!CM108</f>
        <v>12597.64623908338</v>
      </c>
      <c r="CN108" s="55">
        <f t="shared" si="96"/>
        <v>3523.0818154057979</v>
      </c>
      <c r="CO108" s="41">
        <f t="shared" si="97"/>
        <v>15898.870793029288</v>
      </c>
      <c r="CP108" s="42">
        <f t="shared" si="98"/>
        <v>21216.649970001672</v>
      </c>
      <c r="CQ108" s="55">
        <f t="shared" si="99"/>
        <v>5317.7791769723844</v>
      </c>
      <c r="CR108" s="76">
        <f t="shared" si="100"/>
        <v>306551.75700111559</v>
      </c>
      <c r="CS108" s="5">
        <f t="shared" si="101"/>
        <v>219240.52553552255</v>
      </c>
      <c r="CT108" s="55">
        <f t="shared" si="102"/>
        <v>-87311.231465593039</v>
      </c>
      <c r="CU108" s="84">
        <f t="shared" si="103"/>
        <v>367862.10840133869</v>
      </c>
      <c r="CV108" s="68">
        <f t="shared" si="104"/>
        <v>263088.63064262707</v>
      </c>
      <c r="CW108" s="36">
        <f t="shared" si="105"/>
        <v>-104773.47775871161</v>
      </c>
      <c r="CX108" s="41">
        <f>'[2]побудинковий звіт'!CX108+'[1]побудинковий звіт'!CX108</f>
        <v>3660.7517773328746</v>
      </c>
      <c r="CY108" s="41">
        <f>'[2]побудинковий звіт'!CY108+'[1]побудинковий звіт'!CY108</f>
        <v>108434.2295360445</v>
      </c>
      <c r="CZ108" s="55">
        <f t="shared" si="106"/>
        <v>104773.47775871163</v>
      </c>
      <c r="DA108" s="254">
        <f>'[1]побудинковий звіт'!DA108</f>
        <v>17181.547216136969</v>
      </c>
      <c r="DB108" s="2">
        <v>3</v>
      </c>
      <c r="DC108" s="702">
        <f>'[1]побудинковий звіт'!DC108</f>
        <v>84402.16</v>
      </c>
      <c r="DD108" s="702">
        <f>'[1]побудинковий звіт'!DD108</f>
        <v>0</v>
      </c>
      <c r="DE108" s="702">
        <f>'[1]побудинковий звіт'!DE108</f>
        <v>43779.61</v>
      </c>
      <c r="DF108" s="702">
        <f>'[1]побудинковий звіт'!DF108</f>
        <v>0</v>
      </c>
      <c r="DG108" s="772">
        <v>222859.33091402287</v>
      </c>
      <c r="DH108" s="746">
        <f t="shared" si="107"/>
        <v>4458274.3221440585</v>
      </c>
      <c r="DI108" s="769"/>
      <c r="DJ108" s="5"/>
      <c r="DK108" s="307">
        <f>VLOOKUP($A108,ціни!$A$4:$G$401,5)</f>
        <v>5.3167171664701067</v>
      </c>
      <c r="DL108" s="307">
        <f>VLOOKUP($A108,ціни!$A$4:$G$401,6)</f>
        <v>6.3418827730202789</v>
      </c>
      <c r="DM108" s="307">
        <f>VLOOKUP($A108,ціни!$A$4:$G$401,7)</f>
        <v>4.3583262556390219</v>
      </c>
      <c r="DN108" s="29">
        <f>DK108*G108+(F108-G108)*DL108</f>
        <v>29143.637024303061</v>
      </c>
      <c r="DO108" s="29">
        <f>DM108*H108</f>
        <v>0</v>
      </c>
      <c r="DP108" s="306">
        <f t="shared" si="108"/>
        <v>29143.637024303061</v>
      </c>
      <c r="DQ108" s="101"/>
      <c r="DR108" s="29">
        <f>VLOOKUP(A108,'ДЗ нас '!$A$1:$C$359,2)</f>
        <v>29142.17</v>
      </c>
      <c r="DS108" s="733"/>
      <c r="DT108" s="29">
        <f t="shared" si="109"/>
        <v>29142.17</v>
      </c>
      <c r="DU108" s="247">
        <f>VLOOKUP(A108,'новий кошторис с 01.06'!$A$4:$AI$399,35)*1.2</f>
        <v>29143.637024303069</v>
      </c>
      <c r="DV108" s="29">
        <f t="shared" si="110"/>
        <v>-1.4670243030705024</v>
      </c>
      <c r="DW108" s="1016">
        <f>'[2]побудинковий звіт'!$DW$9+'[1]побудинковий звіт'!DW108</f>
        <v>918</v>
      </c>
      <c r="DX108" s="101">
        <f>'[1]побудинковий звіт'!DX108</f>
        <v>0</v>
      </c>
      <c r="DY108" s="5">
        <f t="shared" si="111"/>
        <v>125070.58456948175</v>
      </c>
      <c r="DZ108" s="5">
        <f t="shared" si="112"/>
        <v>13829.986846883225</v>
      </c>
      <c r="EA108" s="737">
        <f t="shared" si="113"/>
        <v>43779.61</v>
      </c>
      <c r="EC108" s="577">
        <f t="shared" si="114"/>
        <v>1145063.5229756162</v>
      </c>
      <c r="EE108" s="743">
        <v>-23524</v>
      </c>
      <c r="EF108" s="723">
        <f t="shared" si="115"/>
        <v>199335.33091402287</v>
      </c>
      <c r="EH108" s="798">
        <v>156233.94945008977</v>
      </c>
      <c r="EI108" s="101">
        <f>VLOOKUP(A108,'кошти 01.01.24'!$A$9:$D$352,4,FALSE)</f>
        <v>121955.02497484858</v>
      </c>
    </row>
    <row r="109" spans="1:139" hidden="1" x14ac:dyDescent="0.3">
      <c r="A109" s="318">
        <v>150000597</v>
      </c>
      <c r="B109" s="43" t="s">
        <v>536</v>
      </c>
      <c r="C109" s="44" t="s">
        <v>352</v>
      </c>
      <c r="D109" s="44" t="s">
        <v>352</v>
      </c>
      <c r="E109" s="39">
        <f t="shared" si="64"/>
        <v>4714.6499999999996</v>
      </c>
      <c r="F109" s="205">
        <f>'[1]побудинковий звіт'!F109</f>
        <v>4714.6499999999996</v>
      </c>
      <c r="G109" s="29">
        <f>'[1]побудинковий звіт'!G109</f>
        <v>571.65</v>
      </c>
      <c r="H109" s="148">
        <f>'[1]побудинковий звіт'!H109</f>
        <v>0</v>
      </c>
      <c r="I109" s="41">
        <f>'[2]побудинковий звіт'!I109+'[1]побудинковий звіт'!I109</f>
        <v>13409.068079799377</v>
      </c>
      <c r="J109" s="41">
        <f>'[2]побудинковий звіт'!J109+'[1]побудинковий звіт'!J109</f>
        <v>10582.431439087833</v>
      </c>
      <c r="K109" s="55">
        <f t="shared" si="65"/>
        <v>-2826.6366407115438</v>
      </c>
      <c r="L109" s="41">
        <f>'[2]побудинковий звіт'!L109+'[1]побудинковий звіт'!L109</f>
        <v>2262.7619751429338</v>
      </c>
      <c r="M109" s="41">
        <f>'[2]побудинковий звіт'!M109+'[1]побудинковий звіт'!M109</f>
        <v>2071.7763940339864</v>
      </c>
      <c r="N109" s="55">
        <f t="shared" si="66"/>
        <v>-190.98558110894737</v>
      </c>
      <c r="O109" s="41">
        <f>'[2]побудинковий звіт'!O109+'[1]побудинковий звіт'!O109</f>
        <v>7616.0073936779772</v>
      </c>
      <c r="P109" s="41">
        <f>'[2]побудинковий звіт'!P109+'[1]побудинковий звіт'!P109</f>
        <v>7637.7216424680455</v>
      </c>
      <c r="Q109" s="55">
        <f t="shared" si="67"/>
        <v>21.714248790068268</v>
      </c>
      <c r="R109" s="41">
        <f>'[2]побудинковий звіт'!R109+'[1]побудинковий звіт'!R109</f>
        <v>1649.6782522004426</v>
      </c>
      <c r="S109" s="41">
        <f>'[2]побудинковий звіт'!S109+'[1]побудинковий звіт'!S109</f>
        <v>1654.0909672285361</v>
      </c>
      <c r="T109" s="55">
        <f t="shared" si="68"/>
        <v>4.4127150280935439</v>
      </c>
      <c r="U109" s="41">
        <f>'[2]побудинковий звіт'!U109+'[1]побудинковий звіт'!U109</f>
        <v>888.86695924972605</v>
      </c>
      <c r="V109" s="41">
        <f>'[2]побудинковий звіт'!V109+'[1]побудинковий звіт'!V109</f>
        <v>486.25267921635259</v>
      </c>
      <c r="W109" s="55">
        <f t="shared" si="69"/>
        <v>-402.61428003337346</v>
      </c>
      <c r="X109" s="41">
        <f>'[2]побудинковий звіт'!X109+'[1]побудинковий звіт'!X109</f>
        <v>9975.7975901077116</v>
      </c>
      <c r="Y109" s="41">
        <f>'[2]побудинковий звіт'!Y109+'[1]побудинковий звіт'!Y109</f>
        <v>6599.9676109683624</v>
      </c>
      <c r="Z109" s="55">
        <f t="shared" si="70"/>
        <v>-3375.8299791393492</v>
      </c>
      <c r="AA109" s="41">
        <f>'[2]побудинковий звіт'!AA109+'[1]побудинковий звіт'!AA109</f>
        <v>0</v>
      </c>
      <c r="AB109" s="41">
        <f>'[2]побудинковий звіт'!AB109+'[1]побудинковий звіт'!AB109</f>
        <v>0</v>
      </c>
      <c r="AC109" s="55">
        <f t="shared" si="71"/>
        <v>0</v>
      </c>
      <c r="AD109" s="41">
        <f>'[2]побудинковий звіт'!AD109+'[1]побудинковий звіт'!AD109</f>
        <v>20451.068088920103</v>
      </c>
      <c r="AE109" s="41">
        <f>'[2]побудинковий звіт'!AE109+'[1]побудинковий звіт'!AE109</f>
        <v>20371.446360027025</v>
      </c>
      <c r="AF109" s="36">
        <f t="shared" si="72"/>
        <v>-79.621728893078398</v>
      </c>
      <c r="AG109" s="84">
        <f t="shared" si="73"/>
        <v>56253.248339098267</v>
      </c>
      <c r="AH109" s="56">
        <f t="shared" si="74"/>
        <v>49403.687093030137</v>
      </c>
      <c r="AI109" s="55">
        <f t="shared" si="75"/>
        <v>-6849.5612460681295</v>
      </c>
      <c r="AJ109" s="41">
        <f>'[2]побудинковий звіт'!AJ109+'[1]побудинковий звіт'!AJ109</f>
        <v>55999.407295683108</v>
      </c>
      <c r="AK109" s="41">
        <f>'[2]побудинковий звіт'!AK109+'[1]побудинковий звіт'!AK109</f>
        <v>57029.258174735194</v>
      </c>
      <c r="AL109" s="55">
        <f t="shared" si="76"/>
        <v>1029.8508790520864</v>
      </c>
      <c r="AM109" s="41">
        <f>'[2]побудинковий звіт'!AM109+'[1]побудинковий звіт'!AM109</f>
        <v>605.85684545284585</v>
      </c>
      <c r="AN109" s="41">
        <f>'[2]побудинковий звіт'!AN109+'[1]побудинковий звіт'!AN109</f>
        <v>3156.8190874986021</v>
      </c>
      <c r="AO109" s="55">
        <f t="shared" si="77"/>
        <v>2550.9622420457563</v>
      </c>
      <c r="AP109" s="41">
        <f>'[2]побудинковий звіт'!AP109+'[1]побудинковий звіт'!AP109</f>
        <v>3665.2123887492544</v>
      </c>
      <c r="AQ109" s="41">
        <f>'[2]побудинковий звіт'!AQ109+'[1]побудинковий звіт'!AQ109</f>
        <v>3449.2995258263909</v>
      </c>
      <c r="AR109" s="55">
        <f t="shared" si="78"/>
        <v>-215.9128629228635</v>
      </c>
      <c r="AS109" s="41">
        <f>'[2]побудинковий звіт'!AS109+'[1]побудинковий звіт'!AS109</f>
        <v>98206.326588025608</v>
      </c>
      <c r="AT109" s="41">
        <f>'[2]побудинковий звіт'!AT109+'[1]побудинковий звіт'!AT109</f>
        <v>40040.531894384432</v>
      </c>
      <c r="AU109" s="57">
        <f t="shared" si="79"/>
        <v>-58165.794693641175</v>
      </c>
      <c r="AV109" s="41">
        <f>'[2]побудинковий звіт'!AV109+'[1]побудинковий звіт'!AV109</f>
        <v>874.87607068992986</v>
      </c>
      <c r="AW109" s="41">
        <f>'[2]побудинковий звіт'!AW109+'[1]побудинковий звіт'!AW109</f>
        <v>879.8909979625663</v>
      </c>
      <c r="AX109" s="58">
        <f t="shared" si="80"/>
        <v>5.0149272726364416</v>
      </c>
      <c r="AY109" s="41">
        <f>'[2]побудинковий звіт'!AY109+'[1]побудинковий звіт'!AY109</f>
        <v>552.5952013575743</v>
      </c>
      <c r="AZ109" s="41">
        <f>'[2]побудинковий звіт'!AZ109+'[1]побудинковий звіт'!AZ109</f>
        <v>2376.414288087331</v>
      </c>
      <c r="BA109" s="36">
        <f t="shared" si="81"/>
        <v>1823.8190867297567</v>
      </c>
      <c r="BB109" s="41">
        <f>'[2]побудинковий звіт'!BB109+'[1]побудинковий звіт'!BB109</f>
        <v>530.20552197527013</v>
      </c>
      <c r="BC109" s="41">
        <f>'[2]побудинковий звіт'!BC109+'[1]побудинковий звіт'!BC109</f>
        <v>0</v>
      </c>
      <c r="BD109" s="58">
        <f t="shared" si="82"/>
        <v>-530.20552197527013</v>
      </c>
      <c r="BE109" s="41">
        <f>'[2]побудинковий звіт'!BE109+'[1]побудинковий звіт'!BE109</f>
        <v>365.50636531497474</v>
      </c>
      <c r="BF109" s="41">
        <f>'[2]побудинковий звіт'!BF109+'[1]побудинковий звіт'!BF109</f>
        <v>0</v>
      </c>
      <c r="BG109" s="38">
        <f t="shared" si="83"/>
        <v>-365.50636531497474</v>
      </c>
      <c r="BH109" s="41">
        <f>'[2]побудинковий звіт'!BH109+'[1]побудинковий звіт'!BH109</f>
        <v>270.16411290160261</v>
      </c>
      <c r="BI109" s="41">
        <f>'[2]побудинковий звіт'!BI109+'[1]побудинковий звіт'!BI109</f>
        <v>0</v>
      </c>
      <c r="BJ109" s="58">
        <f t="shared" si="84"/>
        <v>-270.16411290160261</v>
      </c>
      <c r="BK109" s="41">
        <f>'[2]побудинковий звіт'!BK109+'[1]побудинковий звіт'!BK109</f>
        <v>1020.3649960398951</v>
      </c>
      <c r="BL109" s="41">
        <f>'[2]побудинковий звіт'!BL109+'[1]побудинковий звіт'!BL109</f>
        <v>6144.6952894282495</v>
      </c>
      <c r="BM109" s="38">
        <f t="shared" si="85"/>
        <v>5124.3302933883542</v>
      </c>
      <c r="BN109" s="41">
        <f>'[2]побудинковий звіт'!BN109+'[1]побудинковий звіт'!BN109</f>
        <v>552.75054513352541</v>
      </c>
      <c r="BO109" s="41">
        <f>'[2]побудинковий звіт'!BO109+'[1]побудинковий звіт'!BO109</f>
        <v>0</v>
      </c>
      <c r="BP109" s="58">
        <f t="shared" si="86"/>
        <v>-552.75054513352541</v>
      </c>
      <c r="BQ109" s="84">
        <f t="shared" si="87"/>
        <v>4166.4628134127715</v>
      </c>
      <c r="BR109" s="42">
        <f t="shared" si="88"/>
        <v>9401.0005754781469</v>
      </c>
      <c r="BS109" s="58">
        <f t="shared" si="89"/>
        <v>5234.5377620653753</v>
      </c>
      <c r="BT109" s="41">
        <f>'[2]побудинковий звіт'!BT109+'[1]побудинковий звіт'!BT109</f>
        <v>75375.294633516372</v>
      </c>
      <c r="BU109" s="41">
        <f>'[2]побудинковий звіт'!BU109+'[1]побудинковий звіт'!BU109</f>
        <v>71436.439587615285</v>
      </c>
      <c r="BV109" s="55">
        <f t="shared" si="90"/>
        <v>-3938.8550459010876</v>
      </c>
      <c r="BW109" s="41">
        <f>'[2]побудинковий звіт'!BW109+'[1]побудинковий звіт'!BW109</f>
        <v>42165.807515768633</v>
      </c>
      <c r="BX109" s="41">
        <f>'[2]побудинковий звіт'!BX109+'[1]побудинковий звіт'!BX109</f>
        <v>36791.45177117292</v>
      </c>
      <c r="BY109" s="55">
        <f t="shared" si="91"/>
        <v>-5374.3557445957122</v>
      </c>
      <c r="BZ109" s="41">
        <f>'[2]побудинковий звіт'!BZ109+'[1]побудинковий звіт'!BZ109</f>
        <v>19825.228066804757</v>
      </c>
      <c r="CA109" s="41">
        <f>'[2]побудинковий звіт'!CA109+'[1]побудинковий звіт'!CA109</f>
        <v>7497.791351452378</v>
      </c>
      <c r="CB109" s="55">
        <f t="shared" si="92"/>
        <v>-12327.436715352378</v>
      </c>
      <c r="CC109" s="41">
        <f>'[2]побудинковий звіт'!CC109+'[1]побудинковий звіт'!CC109</f>
        <v>2055.6584633818657</v>
      </c>
      <c r="CD109" s="41">
        <f>'[2]побудинковий звіт'!CD109+'[1]побудинковий звіт'!CD109</f>
        <v>2062.6289719355045</v>
      </c>
      <c r="CE109" s="55">
        <f t="shared" si="93"/>
        <v>6.9705085536388651</v>
      </c>
      <c r="CF109" s="41">
        <f>'[2]побудинковий звіт'!CF109+'[1]побудинковий звіт'!CF109</f>
        <v>254.68515740759182</v>
      </c>
      <c r="CG109" s="41">
        <f>'[2]побудинковий звіт'!CG109+'[1]побудинковий звіт'!CG109</f>
        <v>0</v>
      </c>
      <c r="CH109" s="55">
        <f t="shared" si="94"/>
        <v>-254.68515740759182</v>
      </c>
      <c r="CI109" s="41">
        <f>'[2]побудинковий звіт'!CI109+'[1]побудинковий звіт'!CI109</f>
        <v>24599.650427512035</v>
      </c>
      <c r="CJ109" s="41">
        <f>'[2]побудинковий звіт'!CJ109+'[1]побудинковий звіт'!CJ109</f>
        <v>17980.07407478421</v>
      </c>
      <c r="CK109" s="55">
        <f t="shared" si="95"/>
        <v>-6619.576352727825</v>
      </c>
      <c r="CL109" s="41">
        <f>'[2]побудинковий звіт'!CL109+'[1]побудинковий звіт'!CL109</f>
        <v>8929.3943824103117</v>
      </c>
      <c r="CM109" s="41">
        <f>'[2]побудинковий звіт'!CM109+'[1]побудинковий звіт'!CM109</f>
        <v>16129.265993970239</v>
      </c>
      <c r="CN109" s="55">
        <f t="shared" si="96"/>
        <v>7199.8716115599273</v>
      </c>
      <c r="CO109" s="41">
        <f t="shared" si="97"/>
        <v>33529.044809922343</v>
      </c>
      <c r="CP109" s="42">
        <f t="shared" si="98"/>
        <v>34109.340068754449</v>
      </c>
      <c r="CQ109" s="55">
        <f t="shared" si="99"/>
        <v>580.2952588321059</v>
      </c>
      <c r="CR109" s="76">
        <f t="shared" si="100"/>
        <v>392102.23291722342</v>
      </c>
      <c r="CS109" s="5">
        <f t="shared" si="101"/>
        <v>314378.24810188339</v>
      </c>
      <c r="CT109" s="55">
        <f t="shared" si="102"/>
        <v>-77723.984815340023</v>
      </c>
      <c r="CU109" s="84">
        <f t="shared" si="103"/>
        <v>470522.67950066808</v>
      </c>
      <c r="CV109" s="68">
        <f t="shared" si="104"/>
        <v>377253.89772226004</v>
      </c>
      <c r="CW109" s="36">
        <f t="shared" si="105"/>
        <v>-93268.78177840804</v>
      </c>
      <c r="CX109" s="41">
        <f>'[2]побудинковий звіт'!CX109+'[1]побудинковий звіт'!CX109</f>
        <v>8453.7490014465293</v>
      </c>
      <c r="CY109" s="41">
        <f>'[2]побудинковий звіт'!CY109+'[1]побудинковий звіт'!CY109</f>
        <v>101722.53077985453</v>
      </c>
      <c r="CZ109" s="55">
        <f t="shared" si="106"/>
        <v>93268.781778407996</v>
      </c>
      <c r="DA109" s="254">
        <f>'[1]побудинковий звіт'!DA109</f>
        <v>-193999.82229306642</v>
      </c>
      <c r="DB109" s="2">
        <v>1</v>
      </c>
      <c r="DC109" s="702">
        <f>'[1]побудинковий звіт'!DC109</f>
        <v>120891.17</v>
      </c>
      <c r="DD109" s="702">
        <f>'[1]побудинковий звіт'!DD109</f>
        <v>0</v>
      </c>
      <c r="DE109" s="702">
        <f>'[1]побудинковий звіт'!DE109</f>
        <v>69015.360000000001</v>
      </c>
      <c r="DF109" s="702">
        <f>'[1]побудинковий звіт'!DF109</f>
        <v>0</v>
      </c>
      <c r="DG109" s="772">
        <v>-216572.48045122484</v>
      </c>
      <c r="DH109" s="746">
        <f t="shared" si="107"/>
        <v>5747717.1420253757</v>
      </c>
      <c r="DI109" s="769"/>
      <c r="DJ109" s="5"/>
      <c r="DK109" s="307">
        <f>VLOOKUP($A109,ціни!$A$4:$G$401,5)</f>
        <v>6.6294862560427266</v>
      </c>
      <c r="DL109" s="307">
        <f>VLOOKUP($A109,ціни!$A$4:$G$401,6)</f>
        <v>8.175610255673357</v>
      </c>
      <c r="DM109" s="307">
        <f>VLOOKUP($A109,ціни!$A$4:$G$401,7)</f>
        <v>5.7403322039736526</v>
      </c>
      <c r="DN109" s="29">
        <f>DK109*G109+(F109-G109)*DL109</f>
        <v>37661.299107521547</v>
      </c>
      <c r="DO109" s="29">
        <f>DM109*H109</f>
        <v>0</v>
      </c>
      <c r="DP109" s="306">
        <f t="shared" si="108"/>
        <v>37661.299107521547</v>
      </c>
      <c r="DQ109" s="101"/>
      <c r="DR109" s="29">
        <f>VLOOKUP(A109,'ДЗ нас '!$A$1:$C$359,2)</f>
        <v>37665.620000000003</v>
      </c>
      <c r="DS109" s="733"/>
      <c r="DT109" s="29">
        <f t="shared" si="109"/>
        <v>37665.620000000003</v>
      </c>
      <c r="DU109" s="247">
        <f>VLOOKUP(A109,'новий кошторис с 01.06'!$A$4:$AI$399,35)*1.2</f>
        <v>37740.79101718717</v>
      </c>
      <c r="DV109" s="29">
        <f t="shared" si="110"/>
        <v>-75.171017187167308</v>
      </c>
      <c r="DW109" s="1016">
        <f>'[2]побудинковий звіт'!$DW$9+'[1]побудинковий звіт'!DW109</f>
        <v>1062</v>
      </c>
      <c r="DX109" s="101">
        <f>'[1]побудинковий звіт'!DX109</f>
        <v>0</v>
      </c>
      <c r="DY109" s="5">
        <f t="shared" si="111"/>
        <v>122847.34728172605</v>
      </c>
      <c r="DZ109" s="5">
        <f t="shared" si="112"/>
        <v>59329.838963835093</v>
      </c>
      <c r="EA109" s="737">
        <f t="shared" si="113"/>
        <v>69015.360000000001</v>
      </c>
      <c r="EC109" s="577">
        <f t="shared" si="114"/>
        <v>1178475.9190563073</v>
      </c>
      <c r="EE109" s="743">
        <v>188336</v>
      </c>
      <c r="EF109" s="723">
        <f t="shared" si="115"/>
        <v>-28236.480451224837</v>
      </c>
      <c r="EH109" s="798">
        <v>-184418.91511499078</v>
      </c>
      <c r="EI109" s="101">
        <f>VLOOKUP(A109,'кошти 01.01.24'!$A$9:$D$352,4,FALSE)</f>
        <v>-100731.0405146585</v>
      </c>
    </row>
    <row r="110" spans="1:139" hidden="1" x14ac:dyDescent="0.3">
      <c r="A110" s="318">
        <v>150000598</v>
      </c>
      <c r="B110" s="43" t="s">
        <v>537</v>
      </c>
      <c r="C110" s="44" t="s">
        <v>76</v>
      </c>
      <c r="D110" s="44" t="s">
        <v>76</v>
      </c>
      <c r="E110" s="39">
        <f t="shared" si="64"/>
        <v>259.3</v>
      </c>
      <c r="F110" s="205">
        <f>'[1]побудинковий звіт'!F110</f>
        <v>259.3</v>
      </c>
      <c r="G110" s="29">
        <f>'[1]побудинковий звіт'!G110</f>
        <v>0</v>
      </c>
      <c r="H110" s="148">
        <f>'[1]побудинковий звіт'!H110</f>
        <v>0</v>
      </c>
      <c r="I110" s="41">
        <f>'[2]побудинковий звіт'!I110+'[1]побудинковий звіт'!I110</f>
        <v>156.17333246266725</v>
      </c>
      <c r="J110" s="41">
        <f>'[2]побудинковий звіт'!J110+'[1]побудинковий звіт'!J110</f>
        <v>120.93025138141755</v>
      </c>
      <c r="K110" s="55">
        <f t="shared" si="65"/>
        <v>-35.243081081249699</v>
      </c>
      <c r="L110" s="41">
        <f>'[2]побудинковий звіт'!L110+'[1]побудинковий звіт'!L110</f>
        <v>0</v>
      </c>
      <c r="M110" s="41">
        <f>'[2]побудинковий звіт'!M110+'[1]побудинковий звіт'!M110</f>
        <v>0</v>
      </c>
      <c r="N110" s="55">
        <f t="shared" si="66"/>
        <v>0</v>
      </c>
      <c r="O110" s="41">
        <f>'[2]побудинковий звіт'!O110+'[1]побудинковий звіт'!O110</f>
        <v>0</v>
      </c>
      <c r="P110" s="41">
        <f>'[2]побудинковий звіт'!P110+'[1]побудинковий звіт'!P110</f>
        <v>0</v>
      </c>
      <c r="Q110" s="55">
        <f t="shared" si="67"/>
        <v>0</v>
      </c>
      <c r="R110" s="41">
        <f>'[2]побудинковий звіт'!R110+'[1]побудинковий звіт'!R110</f>
        <v>0</v>
      </c>
      <c r="S110" s="41">
        <f>'[2]побудинковий звіт'!S110+'[1]побудинковий звіт'!S110</f>
        <v>0</v>
      </c>
      <c r="T110" s="55">
        <f t="shared" si="68"/>
        <v>0</v>
      </c>
      <c r="U110" s="41">
        <f>'[2]побудинковий звіт'!U110+'[1]побудинковий звіт'!U110</f>
        <v>0</v>
      </c>
      <c r="V110" s="41">
        <f>'[2]побудинковий звіт'!V110+'[1]побудинковий звіт'!V110</f>
        <v>0</v>
      </c>
      <c r="W110" s="55">
        <f t="shared" si="69"/>
        <v>0</v>
      </c>
      <c r="X110" s="41">
        <f>'[2]побудинковий звіт'!X110+'[1]побудинковий звіт'!X110</f>
        <v>0</v>
      </c>
      <c r="Y110" s="41">
        <f>'[2]побудинковий звіт'!Y110+'[1]побудинковий звіт'!Y110</f>
        <v>0</v>
      </c>
      <c r="Z110" s="55">
        <f t="shared" si="70"/>
        <v>0</v>
      </c>
      <c r="AA110" s="41">
        <f>'[2]побудинковий звіт'!AA110+'[1]побудинковий звіт'!AA110</f>
        <v>0</v>
      </c>
      <c r="AB110" s="41">
        <f>'[2]побудинковий звіт'!AB110+'[1]побудинковий звіт'!AB110</f>
        <v>0</v>
      </c>
      <c r="AC110" s="55">
        <f t="shared" si="71"/>
        <v>0</v>
      </c>
      <c r="AD110" s="41">
        <f>'[2]побудинковий звіт'!AD110+'[1]побудинковий звіт'!AD110</f>
        <v>0</v>
      </c>
      <c r="AE110" s="41">
        <f>'[2]побудинковий звіт'!AE110+'[1]побудинковий звіт'!AE110</f>
        <v>0</v>
      </c>
      <c r="AF110" s="36">
        <f t="shared" si="72"/>
        <v>0</v>
      </c>
      <c r="AG110" s="84">
        <f t="shared" si="73"/>
        <v>156.17333246266725</v>
      </c>
      <c r="AH110" s="56">
        <f t="shared" si="74"/>
        <v>120.93025138141755</v>
      </c>
      <c r="AI110" s="55">
        <f t="shared" si="75"/>
        <v>-35.243081081249699</v>
      </c>
      <c r="AJ110" s="41">
        <f>'[2]побудинковий звіт'!AJ110+'[1]побудинковий звіт'!AJ110</f>
        <v>0</v>
      </c>
      <c r="AK110" s="41">
        <f>'[2]побудинковий звіт'!AK110+'[1]побудинковий звіт'!AK110</f>
        <v>0</v>
      </c>
      <c r="AL110" s="55">
        <f t="shared" si="76"/>
        <v>0</v>
      </c>
      <c r="AM110" s="41">
        <f>'[2]побудинковий звіт'!AM110+'[1]побудинковий звіт'!AM110</f>
        <v>0</v>
      </c>
      <c r="AN110" s="41">
        <f>'[2]побудинковий звіт'!AN110+'[1]побудинковий звіт'!AN110</f>
        <v>0</v>
      </c>
      <c r="AO110" s="55">
        <f t="shared" si="77"/>
        <v>0</v>
      </c>
      <c r="AP110" s="41">
        <f>'[2]побудинковий звіт'!AP110+'[1]побудинковий звіт'!AP110</f>
        <v>536.30133770220777</v>
      </c>
      <c r="AQ110" s="41">
        <f>'[2]побудинковий звіт'!AQ110+'[1]побудинковий звіт'!AQ110</f>
        <v>23.165414003615926</v>
      </c>
      <c r="AR110" s="55">
        <f t="shared" si="78"/>
        <v>-513.1359236985918</v>
      </c>
      <c r="AS110" s="41">
        <f>'[2]побудинковий звіт'!AS110+'[1]побудинковий звіт'!AS110</f>
        <v>2831.7816898420283</v>
      </c>
      <c r="AT110" s="41">
        <f>'[2]побудинковий звіт'!AT110+'[1]побудинковий звіт'!AT110</f>
        <v>0</v>
      </c>
      <c r="AU110" s="57">
        <f t="shared" si="79"/>
        <v>-2831.7816898420283</v>
      </c>
      <c r="AV110" s="41">
        <f>'[2]побудинковий звіт'!AV110+'[1]побудинковий звіт'!AV110</f>
        <v>29.317985858130616</v>
      </c>
      <c r="AW110" s="41">
        <f>'[2]побудинковий звіт'!AW110+'[1]побудинковий звіт'!AW110</f>
        <v>0</v>
      </c>
      <c r="AX110" s="58">
        <f t="shared" si="80"/>
        <v>-29.317985858130616</v>
      </c>
      <c r="AY110" s="41">
        <f>'[2]побудинковий звіт'!AY110+'[1]побудинковий звіт'!AY110</f>
        <v>0</v>
      </c>
      <c r="AZ110" s="41">
        <f>'[2]побудинковий звіт'!AZ110+'[1]побудинковий звіт'!AZ110</f>
        <v>0</v>
      </c>
      <c r="BA110" s="36">
        <f t="shared" si="81"/>
        <v>0</v>
      </c>
      <c r="BB110" s="41">
        <f>'[2]побудинковий звіт'!BB110+'[1]побудинковий звіт'!BB110</f>
        <v>0</v>
      </c>
      <c r="BC110" s="41">
        <f>'[2]побудинковий звіт'!BC110+'[1]побудинковий звіт'!BC110</f>
        <v>0</v>
      </c>
      <c r="BD110" s="58">
        <f t="shared" si="82"/>
        <v>0</v>
      </c>
      <c r="BE110" s="41">
        <f>'[2]побудинковий звіт'!BE110+'[1]побудинковий звіт'!BE110</f>
        <v>0</v>
      </c>
      <c r="BF110" s="41">
        <f>'[2]побудинковий звіт'!BF110+'[1]побудинковий звіт'!BF110</f>
        <v>0</v>
      </c>
      <c r="BG110" s="38">
        <f t="shared" si="83"/>
        <v>0</v>
      </c>
      <c r="BH110" s="41">
        <f>'[2]побудинковий звіт'!BH110+'[1]побудинковий звіт'!BH110</f>
        <v>0</v>
      </c>
      <c r="BI110" s="41">
        <f>'[2]побудинковий звіт'!BI110+'[1]побудинковий звіт'!BI110</f>
        <v>0</v>
      </c>
      <c r="BJ110" s="58">
        <f t="shared" si="84"/>
        <v>0</v>
      </c>
      <c r="BK110" s="41">
        <f>'[2]побудинковий звіт'!BK110+'[1]побудинковий звіт'!BK110</f>
        <v>0</v>
      </c>
      <c r="BL110" s="41">
        <f>'[2]побудинковий звіт'!BL110+'[1]побудинковий звіт'!BL110</f>
        <v>0</v>
      </c>
      <c r="BM110" s="38">
        <f t="shared" si="85"/>
        <v>0</v>
      </c>
      <c r="BN110" s="41">
        <f>'[2]побудинковий звіт'!BN110+'[1]побудинковий звіт'!BN110</f>
        <v>0</v>
      </c>
      <c r="BO110" s="41">
        <f>'[2]побудинковий звіт'!BO110+'[1]побудинковий звіт'!BO110</f>
        <v>0</v>
      </c>
      <c r="BP110" s="58">
        <f t="shared" si="86"/>
        <v>0</v>
      </c>
      <c r="BQ110" s="84">
        <f t="shared" si="87"/>
        <v>29.317985858130616</v>
      </c>
      <c r="BR110" s="42">
        <f t="shared" si="88"/>
        <v>0</v>
      </c>
      <c r="BS110" s="58">
        <f t="shared" si="89"/>
        <v>-29.317985858130616</v>
      </c>
      <c r="BT110" s="41">
        <f>'[2]побудинковий звіт'!BT110+'[1]побудинковий звіт'!BT110</f>
        <v>728.6599979593766</v>
      </c>
      <c r="BU110" s="41">
        <f>'[2]побудинковий звіт'!BU110+'[1]побудинковий звіт'!BU110</f>
        <v>1538.1842501346018</v>
      </c>
      <c r="BV110" s="55">
        <f t="shared" si="90"/>
        <v>809.52425217522523</v>
      </c>
      <c r="BW110" s="41">
        <f>'[2]побудинковий звіт'!BW110+'[1]побудинковий звіт'!BW110</f>
        <v>0</v>
      </c>
      <c r="BX110" s="41">
        <f>'[2]побудинковий звіт'!BX110+'[1]побудинковий звіт'!BX110</f>
        <v>1.05217053090479</v>
      </c>
      <c r="BY110" s="55">
        <f t="shared" si="91"/>
        <v>1.05217053090479</v>
      </c>
      <c r="BZ110" s="41">
        <f>'[2]побудинковий звіт'!BZ110+'[1]побудинковий звіт'!BZ110</f>
        <v>143.2388612163391</v>
      </c>
      <c r="CA110" s="41">
        <f>'[2]побудинковий звіт'!CA110+'[1]побудинковий звіт'!CA110</f>
        <v>128.55508282766189</v>
      </c>
      <c r="CB110" s="55">
        <f t="shared" si="92"/>
        <v>-14.683778388677212</v>
      </c>
      <c r="CC110" s="41">
        <f>'[2]побудинковий звіт'!CC110+'[1]побудинковий звіт'!CC110</f>
        <v>0</v>
      </c>
      <c r="CD110" s="41">
        <f>'[2]побудинковий звіт'!CD110+'[1]побудинковий звіт'!CD110</f>
        <v>0</v>
      </c>
      <c r="CE110" s="55">
        <f t="shared" si="93"/>
        <v>0</v>
      </c>
      <c r="CF110" s="41">
        <f>'[2]побудинковий звіт'!CF110+'[1]побудинковий звіт'!CF110</f>
        <v>0</v>
      </c>
      <c r="CG110" s="41">
        <f>'[2]побудинковий звіт'!CG110+'[1]побудинковий звіт'!CG110</f>
        <v>0</v>
      </c>
      <c r="CH110" s="55">
        <f t="shared" si="94"/>
        <v>0</v>
      </c>
      <c r="CI110" s="41">
        <f>'[2]побудинковий звіт'!CI110+'[1]побудинковий звіт'!CI110</f>
        <v>0</v>
      </c>
      <c r="CJ110" s="41">
        <f>'[2]побудинковий звіт'!CJ110+'[1]побудинковий звіт'!CJ110</f>
        <v>0</v>
      </c>
      <c r="CK110" s="55">
        <f t="shared" si="95"/>
        <v>0</v>
      </c>
      <c r="CL110" s="41">
        <f>'[2]побудинковий звіт'!CL110+'[1]побудинковий звіт'!CL110</f>
        <v>0</v>
      </c>
      <c r="CM110" s="41">
        <f>'[2]побудинковий звіт'!CM110+'[1]побудинковий звіт'!CM110</f>
        <v>0</v>
      </c>
      <c r="CN110" s="55">
        <f t="shared" si="96"/>
        <v>0</v>
      </c>
      <c r="CO110" s="41">
        <f t="shared" si="97"/>
        <v>0</v>
      </c>
      <c r="CP110" s="42">
        <f t="shared" si="98"/>
        <v>0</v>
      </c>
      <c r="CQ110" s="55">
        <f t="shared" si="99"/>
        <v>0</v>
      </c>
      <c r="CR110" s="76">
        <f t="shared" si="100"/>
        <v>4425.4732050407501</v>
      </c>
      <c r="CS110" s="5">
        <f t="shared" si="101"/>
        <v>1811.8871688782019</v>
      </c>
      <c r="CT110" s="55">
        <f t="shared" si="102"/>
        <v>-2613.5860361625482</v>
      </c>
      <c r="CU110" s="84">
        <f t="shared" si="103"/>
        <v>5310.5678460488998</v>
      </c>
      <c r="CV110" s="68">
        <f t="shared" si="104"/>
        <v>2174.2646026538423</v>
      </c>
      <c r="CW110" s="36">
        <f t="shared" si="105"/>
        <v>-3136.3032433950575</v>
      </c>
      <c r="CX110" s="41">
        <f>'[2]побудинковий звіт'!CX110+'[1]побудинковий звіт'!CX110</f>
        <v>252.54928493696892</v>
      </c>
      <c r="CY110" s="41">
        <f>'[2]побудинковий звіт'!CY110+'[1]побудинковий звіт'!CY110</f>
        <v>3388.8525283320268</v>
      </c>
      <c r="CZ110" s="55">
        <f t="shared" si="106"/>
        <v>3136.303243395058</v>
      </c>
      <c r="DA110" s="254">
        <f>'[1]побудинковий звіт'!DA110</f>
        <v>-1804.9200219755121</v>
      </c>
      <c r="DB110" s="2">
        <v>1</v>
      </c>
      <c r="DC110" s="702">
        <f>'[1]побудинковий звіт'!DC110</f>
        <v>2480.4</v>
      </c>
      <c r="DD110" s="702">
        <f>'[1]побудинковий звіт'!DD110</f>
        <v>0</v>
      </c>
      <c r="DE110" s="702">
        <f>'[1]побудинковий звіт'!DE110</f>
        <v>1871.56</v>
      </c>
      <c r="DF110" s="702">
        <f>'[1]побудинковий звіт'!DF110</f>
        <v>0</v>
      </c>
      <c r="DG110" s="772">
        <v>746.31076252680214</v>
      </c>
      <c r="DH110" s="746">
        <f t="shared" si="107"/>
        <v>66757.40557183043</v>
      </c>
      <c r="DI110" s="769"/>
      <c r="DJ110" s="5"/>
      <c r="DK110" s="307">
        <f>VLOOKUP($A110,ціни!$A$4:$G$401,5)</f>
        <v>1.684616771293028</v>
      </c>
      <c r="DL110" s="307"/>
      <c r="DM110" s="307">
        <f>VLOOKUP($A110,ціни!$A$4:$G$401,7)</f>
        <v>1.684616771293028</v>
      </c>
      <c r="DN110" s="29">
        <f>F110*DK110</f>
        <v>436.82112879628215</v>
      </c>
      <c r="DO110" s="29">
        <f>H110*DM110</f>
        <v>0</v>
      </c>
      <c r="DP110" s="306">
        <f t="shared" si="108"/>
        <v>436.82112879628215</v>
      </c>
      <c r="DQ110" s="101"/>
      <c r="DR110" s="29">
        <f>VLOOKUP(A110,'ДЗ нас '!$A$1:$C$359,2)</f>
        <v>435.47</v>
      </c>
      <c r="DS110" s="733"/>
      <c r="DT110" s="29">
        <f t="shared" si="109"/>
        <v>435.47</v>
      </c>
      <c r="DU110" s="247">
        <f>VLOOKUP(A110,'новий кошторис с 01.06'!$A$4:$AI$399,35)*1.2</f>
        <v>439.22392429638961</v>
      </c>
      <c r="DV110" s="29">
        <f t="shared" si="110"/>
        <v>-3.7539242963895845</v>
      </c>
      <c r="DW110" s="1016">
        <f>'[2]побудинковий звіт'!$DW$9+'[1]побудинковий звіт'!DW110</f>
        <v>0</v>
      </c>
      <c r="DX110" s="101">
        <f>'[1]побудинковий звіт'!DX110</f>
        <v>0</v>
      </c>
      <c r="DY110" s="5">
        <f t="shared" si="111"/>
        <v>3433.3196108401908</v>
      </c>
      <c r="DZ110" s="5">
        <f t="shared" si="112"/>
        <v>0</v>
      </c>
      <c r="EA110" s="737">
        <f t="shared" si="113"/>
        <v>1871.56</v>
      </c>
      <c r="EC110" s="577">
        <f t="shared" si="114"/>
        <v>33981.380278104341</v>
      </c>
      <c r="EE110" s="743">
        <v>15294</v>
      </c>
      <c r="EF110" s="723">
        <f t="shared" si="115"/>
        <v>16040.310762526802</v>
      </c>
      <c r="EH110" s="798">
        <v>3942.5010760458335</v>
      </c>
      <c r="EI110" s="101">
        <f>VLOOKUP(A110,'кошти 01.01.24'!$A$9:$D$352,4,FALSE)</f>
        <v>1331.3832214195454</v>
      </c>
    </row>
    <row r="111" spans="1:139" ht="14.4" hidden="1" customHeight="1" x14ac:dyDescent="0.3">
      <c r="A111" s="318">
        <v>150000592</v>
      </c>
      <c r="B111" s="43" t="s">
        <v>538</v>
      </c>
      <c r="C111" s="44" t="s">
        <v>353</v>
      </c>
      <c r="D111" s="44" t="s">
        <v>353</v>
      </c>
      <c r="E111" s="39">
        <f t="shared" si="64"/>
        <v>9737.6</v>
      </c>
      <c r="F111" s="205">
        <f>'[1]побудинковий звіт'!F111</f>
        <v>9698.2000000000007</v>
      </c>
      <c r="G111" s="29">
        <f>'[1]побудинковий звіт'!G111</f>
        <v>1110</v>
      </c>
      <c r="H111" s="148">
        <f>'[1]побудинковий звіт'!H111</f>
        <v>39.4</v>
      </c>
      <c r="I111" s="41">
        <f>'[2]побудинковий звіт'!I111+'[1]побудинковий звіт'!I111</f>
        <v>25693.923301846189</v>
      </c>
      <c r="J111" s="41">
        <f>'[2]побудинковий звіт'!J111+'[1]побудинковий звіт'!J111</f>
        <v>20337.154337458327</v>
      </c>
      <c r="K111" s="55">
        <f t="shared" si="65"/>
        <v>-5356.7689643878621</v>
      </c>
      <c r="L111" s="41">
        <f>'[2]побудинковий звіт'!L111+'[1]побудинковий звіт'!L111</f>
        <v>4311.3701678087536</v>
      </c>
      <c r="M111" s="41">
        <f>'[2]побудинковий звіт'!M111+'[1]побудинковий звіт'!M111</f>
        <v>3671.2121137327072</v>
      </c>
      <c r="N111" s="55">
        <f t="shared" si="66"/>
        <v>-640.15805407604648</v>
      </c>
      <c r="O111" s="41">
        <f>'[2]побудинковий звіт'!O111+'[1]побудинковий звіт'!O111</f>
        <v>15957.743228034551</v>
      </c>
      <c r="P111" s="41">
        <f>'[2]побудинковий звіт'!P111+'[1]побудинковий звіт'!P111</f>
        <v>16003.066555825846</v>
      </c>
      <c r="Q111" s="55">
        <f t="shared" si="67"/>
        <v>45.323327791295014</v>
      </c>
      <c r="R111" s="41">
        <f>'[2]побудинковий звіт'!R111+'[1]побудинковий звіт'!R111</f>
        <v>3316.8162688842735</v>
      </c>
      <c r="S111" s="41">
        <f>'[2]побудинковий звіт'!S111+'[1]побудинковий звіт'!S111</f>
        <v>3325.9290549659017</v>
      </c>
      <c r="T111" s="55">
        <f t="shared" si="68"/>
        <v>9.1127860816282009</v>
      </c>
      <c r="U111" s="41">
        <f>'[2]побудинковий звіт'!U111+'[1]побудинковий звіт'!U111</f>
        <v>4282.297339070481</v>
      </c>
      <c r="V111" s="41">
        <f>'[2]побудинковий звіт'!V111+'[1]побудинковий звіт'!V111</f>
        <v>1707.7405090710238</v>
      </c>
      <c r="W111" s="55">
        <f t="shared" si="69"/>
        <v>-2574.5568299994575</v>
      </c>
      <c r="X111" s="41">
        <f>'[2]побудинковий звіт'!X111+'[1]побудинковий звіт'!X111</f>
        <v>20850.590037758542</v>
      </c>
      <c r="Y111" s="41">
        <f>'[2]побудинковий звіт'!Y111+'[1]побудинковий звіт'!Y111</f>
        <v>14551.057067985093</v>
      </c>
      <c r="Z111" s="55">
        <f t="shared" si="70"/>
        <v>-6299.5329697734487</v>
      </c>
      <c r="AA111" s="41">
        <f>'[2]побудинковий звіт'!AA111+'[1]побудинковий звіт'!AA111</f>
        <v>0</v>
      </c>
      <c r="AB111" s="41">
        <f>'[2]побудинковий звіт'!AB111+'[1]побудинковий звіт'!AB111</f>
        <v>0</v>
      </c>
      <c r="AC111" s="55">
        <f t="shared" si="71"/>
        <v>0</v>
      </c>
      <c r="AD111" s="41">
        <f>'[2]побудинковий звіт'!AD111+'[1]побудинковий звіт'!AD111</f>
        <v>42235.730693127181</v>
      </c>
      <c r="AE111" s="41">
        <f>'[2]побудинковий звіт'!AE111+'[1]побудинковий звіт'!AE111</f>
        <v>42071.437186037016</v>
      </c>
      <c r="AF111" s="36">
        <f t="shared" si="72"/>
        <v>-164.2935070901658</v>
      </c>
      <c r="AG111" s="84">
        <f t="shared" si="73"/>
        <v>116648.47103652995</v>
      </c>
      <c r="AH111" s="56">
        <f t="shared" si="74"/>
        <v>101667.59682507592</v>
      </c>
      <c r="AI111" s="55">
        <f t="shared" si="75"/>
        <v>-14980.874211454036</v>
      </c>
      <c r="AJ111" s="41">
        <f>'[2]побудинковий звіт'!AJ111+'[1]побудинковий звіт'!AJ111</f>
        <v>79728.102770987127</v>
      </c>
      <c r="AK111" s="41">
        <f>'[2]побудинковий звіт'!AK111+'[1]побудинковий звіт'!AK111</f>
        <v>75465.899488226336</v>
      </c>
      <c r="AL111" s="55">
        <f t="shared" si="76"/>
        <v>-4262.2032827607909</v>
      </c>
      <c r="AM111" s="41">
        <f>'[2]побудинковий звіт'!AM111+'[1]побудинковий звіт'!AM111</f>
        <v>6525.755975368038</v>
      </c>
      <c r="AN111" s="41">
        <f>'[2]побудинковий звіт'!AN111+'[1]побудинковий звіт'!AN111</f>
        <v>5260.0625857783552</v>
      </c>
      <c r="AO111" s="55">
        <f t="shared" si="77"/>
        <v>-1265.6933895896827</v>
      </c>
      <c r="AP111" s="41">
        <f>'[2]побудинковий звіт'!AP111+'[1]побудинковий звіт'!AP111</f>
        <v>7429.4845717890294</v>
      </c>
      <c r="AQ111" s="41">
        <f>'[2]побудинковий звіт'!AQ111+'[1]побудинковий звіт'!AQ111</f>
        <v>6977.1454987499719</v>
      </c>
      <c r="AR111" s="55">
        <f t="shared" si="78"/>
        <v>-452.33907303905744</v>
      </c>
      <c r="AS111" s="41">
        <f>'[2]побудинковий звіт'!AS111+'[1]побудинковий звіт'!AS111</f>
        <v>187535.79148370313</v>
      </c>
      <c r="AT111" s="41">
        <f>'[2]побудинковий звіт'!AT111+'[1]побудинковий звіт'!AT111</f>
        <v>145671.96310130201</v>
      </c>
      <c r="AU111" s="57">
        <f t="shared" si="79"/>
        <v>-41863.828382401116</v>
      </c>
      <c r="AV111" s="41">
        <f>'[2]побудинковий звіт'!AV111+'[1]побудинковий звіт'!AV111</f>
        <v>1270.2628201844773</v>
      </c>
      <c r="AW111" s="41">
        <f>'[2]побудинковий звіт'!AW111+'[1]побудинковий звіт'!AW111</f>
        <v>273.9376929885193</v>
      </c>
      <c r="AX111" s="58">
        <f t="shared" si="80"/>
        <v>-996.32512719595798</v>
      </c>
      <c r="AY111" s="41">
        <f>'[2]побудинковий звіт'!AY111+'[1]побудинковий звіт'!AY111</f>
        <v>1756.5756109032052</v>
      </c>
      <c r="AZ111" s="41">
        <f>'[2]побудинковий звіт'!AZ111+'[1]побудинковий звіт'!AZ111</f>
        <v>946.36313919312875</v>
      </c>
      <c r="BA111" s="36">
        <f t="shared" si="81"/>
        <v>-810.21247171007644</v>
      </c>
      <c r="BB111" s="41">
        <f>'[2]побудинковий звіт'!BB111+'[1]побудинковий звіт'!BB111</f>
        <v>2529.1382458057942</v>
      </c>
      <c r="BC111" s="41">
        <f>'[2]побудинковий звіт'!BC111+'[1]побудинковий звіт'!BC111</f>
        <v>5448.9572363782754</v>
      </c>
      <c r="BD111" s="58">
        <f t="shared" si="82"/>
        <v>2919.8189905724812</v>
      </c>
      <c r="BE111" s="41">
        <f>'[2]побудинковий звіт'!BE111+'[1]побудинковий звіт'!BE111</f>
        <v>895.3799612847065</v>
      </c>
      <c r="BF111" s="41">
        <f>'[2]побудинковий звіт'!BF111+'[1]побудинковий звіт'!BF111</f>
        <v>0</v>
      </c>
      <c r="BG111" s="38">
        <f t="shared" si="83"/>
        <v>-895.3799612847065</v>
      </c>
      <c r="BH111" s="41">
        <f>'[2]побудинковий звіт'!BH111+'[1]побудинковий звіт'!BH111</f>
        <v>1418.045984838679</v>
      </c>
      <c r="BI111" s="41">
        <f>'[2]побудинковий звіт'!BI111+'[1]побудинковий звіт'!BI111</f>
        <v>0</v>
      </c>
      <c r="BJ111" s="58">
        <f t="shared" si="84"/>
        <v>-1418.045984838679</v>
      </c>
      <c r="BK111" s="41">
        <f>'[2]побудинковий звіт'!BK111+'[1]побудинковий звіт'!BK111</f>
        <v>2469.5767825886114</v>
      </c>
      <c r="BL111" s="41">
        <f>'[2]побудинковий звіт'!BL111+'[1]побудинковий звіт'!BL111</f>
        <v>4508.5081936278448</v>
      </c>
      <c r="BM111" s="38">
        <f t="shared" si="85"/>
        <v>2038.9314110392334</v>
      </c>
      <c r="BN111" s="41">
        <f>'[2]побудинковий звіт'!BN111+'[1]побудинковий звіт'!BN111</f>
        <v>1009.3373692282782</v>
      </c>
      <c r="BO111" s="41">
        <f>'[2]побудинковий звіт'!BO111+'[1]побудинковий звіт'!BO111</f>
        <v>13771.414254505135</v>
      </c>
      <c r="BP111" s="58">
        <f t="shared" si="86"/>
        <v>12762.076885276856</v>
      </c>
      <c r="BQ111" s="84">
        <f t="shared" si="87"/>
        <v>11348.316774833753</v>
      </c>
      <c r="BR111" s="42">
        <f t="shared" si="88"/>
        <v>24949.180516692904</v>
      </c>
      <c r="BS111" s="58">
        <f t="shared" si="89"/>
        <v>13600.863741859152</v>
      </c>
      <c r="BT111" s="41">
        <f>'[2]побудинковий звіт'!BT111+'[1]побудинковий звіт'!BT111</f>
        <v>139269.43152728264</v>
      </c>
      <c r="BU111" s="41">
        <f>'[2]побудинковий звіт'!BU111+'[1]побудинковий звіт'!BU111</f>
        <v>205457.84299808645</v>
      </c>
      <c r="BV111" s="55">
        <f t="shared" si="90"/>
        <v>66188.411470803811</v>
      </c>
      <c r="BW111" s="41">
        <f>'[2]побудинковий звіт'!BW111+'[1]побудинковий звіт'!BW111</f>
        <v>90678.716210147119</v>
      </c>
      <c r="BX111" s="41">
        <f>'[2]побудинковий звіт'!BX111+'[1]побудинковий звіт'!BX111</f>
        <v>110070.6838002368</v>
      </c>
      <c r="BY111" s="55">
        <f t="shared" si="91"/>
        <v>19391.967590089684</v>
      </c>
      <c r="BZ111" s="41">
        <f>'[2]побудинковий звіт'!BZ111+'[1]побудинковий звіт'!BZ111</f>
        <v>35815.322133933994</v>
      </c>
      <c r="CA111" s="41">
        <f>'[2]побудинковий звіт'!CA111+'[1]побудинковий звіт'!CA111</f>
        <v>19684.222113176424</v>
      </c>
      <c r="CB111" s="55">
        <f t="shared" si="92"/>
        <v>-16131.100020757571</v>
      </c>
      <c r="CC111" s="41">
        <f>'[2]побудинковий звіт'!CC111+'[1]побудинковий звіт'!CC111</f>
        <v>3096.3126587480861</v>
      </c>
      <c r="CD111" s="41">
        <f>'[2]побудинковий звіт'!CD111+'[1]побудинковий звіт'!CD111</f>
        <v>3106.8119095998245</v>
      </c>
      <c r="CE111" s="55">
        <f t="shared" si="93"/>
        <v>10.499250851738452</v>
      </c>
      <c r="CF111" s="41">
        <f>'[2]побудинковий звіт'!CF111+'[1]побудинковий звіт'!CF111</f>
        <v>383.61668094369884</v>
      </c>
      <c r="CG111" s="41">
        <f>'[2]побудинковий звіт'!CG111+'[1]побудинковий звіт'!CG111</f>
        <v>0</v>
      </c>
      <c r="CH111" s="55">
        <f t="shared" si="94"/>
        <v>-383.61668094369884</v>
      </c>
      <c r="CI111" s="41">
        <f>'[2]побудинковий звіт'!CI111+'[1]побудинковий звіт'!CI111</f>
        <v>24803.902507539751</v>
      </c>
      <c r="CJ111" s="41">
        <f>'[2]побудинковий звіт'!CJ111+'[1]побудинковий звіт'!CJ111</f>
        <v>24510.814640334491</v>
      </c>
      <c r="CK111" s="55">
        <f t="shared" si="95"/>
        <v>-293.08786720526041</v>
      </c>
      <c r="CL111" s="41">
        <f>'[2]побудинковий звіт'!CL111+'[1]побудинковий звіт'!CL111</f>
        <v>37591.233000365668</v>
      </c>
      <c r="CM111" s="41">
        <f>'[2]побудинковий звіт'!CM111+'[1]побудинковий звіт'!CM111</f>
        <v>36776.963660607027</v>
      </c>
      <c r="CN111" s="55">
        <f t="shared" si="96"/>
        <v>-814.26933975864085</v>
      </c>
      <c r="CO111" s="41">
        <f t="shared" si="97"/>
        <v>62395.135507905419</v>
      </c>
      <c r="CP111" s="42">
        <f t="shared" si="98"/>
        <v>61287.778300941514</v>
      </c>
      <c r="CQ111" s="55">
        <f t="shared" si="99"/>
        <v>-1107.3572069639049</v>
      </c>
      <c r="CR111" s="76">
        <f t="shared" si="100"/>
        <v>740854.45733217208</v>
      </c>
      <c r="CS111" s="5">
        <f t="shared" si="101"/>
        <v>759599.18713786663</v>
      </c>
      <c r="CT111" s="55">
        <f t="shared" si="102"/>
        <v>18744.729805694544</v>
      </c>
      <c r="CU111" s="84">
        <f t="shared" si="103"/>
        <v>889025.34879860643</v>
      </c>
      <c r="CV111" s="68">
        <f t="shared" si="104"/>
        <v>911519.0245654399</v>
      </c>
      <c r="CW111" s="36">
        <f t="shared" si="105"/>
        <v>22493.675766833476</v>
      </c>
      <c r="CX111" s="41">
        <f>'[2]побудинковий звіт'!CX111+'[1]побудинковий звіт'!CX111</f>
        <v>26470.685048291045</v>
      </c>
      <c r="CY111" s="41">
        <f>'[2]побудинковий звіт'!CY111+'[1]побудинковий звіт'!CY111</f>
        <v>3977.0092814575837</v>
      </c>
      <c r="CZ111" s="55">
        <f t="shared" si="106"/>
        <v>-22493.675766833461</v>
      </c>
      <c r="DA111" s="254">
        <f>'[1]побудинковий звіт'!DA111</f>
        <v>-33765.586656907166</v>
      </c>
      <c r="DB111" s="2">
        <v>1</v>
      </c>
      <c r="DC111" s="702">
        <f>'[1]побудинковий звіт'!DC111</f>
        <v>198701.54</v>
      </c>
      <c r="DD111" s="702">
        <f>'[1]побудинковий звіт'!DD111</f>
        <v>10024.92</v>
      </c>
      <c r="DE111" s="702">
        <f>'[1]побудинковий звіт'!DE111</f>
        <v>98522.340000000011</v>
      </c>
      <c r="DF111" s="702">
        <f>'[1]побудинковий звіт'!DF111</f>
        <v>9736.3700000000008</v>
      </c>
      <c r="DG111" s="772">
        <v>-1954.0002201744355</v>
      </c>
      <c r="DH111" s="746">
        <f t="shared" si="107"/>
        <v>10985952.406162769</v>
      </c>
      <c r="DI111" s="769"/>
      <c r="DJ111" s="5"/>
      <c r="DK111" s="307">
        <f>VLOOKUP($A111,ціни!$A$4:$G$401,5)</f>
        <v>6.1471917140243795</v>
      </c>
      <c r="DL111" s="307">
        <f>VLOOKUP($A111,ціни!$A$4:$G$401,6)</f>
        <v>7.5380650430600795</v>
      </c>
      <c r="DM111" s="307">
        <f>VLOOKUP($A111,ціни!$A$4:$G$401,7)</f>
        <v>5.2374602260338383</v>
      </c>
      <c r="DN111" s="29">
        <f>DK111*G111+(F111-G111)*DL111</f>
        <v>71561.793005375643</v>
      </c>
      <c r="DO111" s="29">
        <f>DM111*H111</f>
        <v>206.35593290573323</v>
      </c>
      <c r="DP111" s="306">
        <f t="shared" si="108"/>
        <v>71768.148938281374</v>
      </c>
      <c r="DQ111" s="101"/>
      <c r="DR111" s="29">
        <f>VLOOKUP(A111,'ДЗ нас '!$A$1:$C$359,2)</f>
        <v>71546.45</v>
      </c>
      <c r="DS111" s="733">
        <f>VLOOKUP(A111,'ДЗ нежит'!$A$1:$D$153,4,0)</f>
        <v>206.36</v>
      </c>
      <c r="DT111" s="29">
        <f t="shared" si="109"/>
        <v>71752.81</v>
      </c>
      <c r="DU111" s="247">
        <f>VLOOKUP(A111,'новий кошторис с 01.06'!$A$4:$AI$399,35)*1.2</f>
        <v>72119.752436906041</v>
      </c>
      <c r="DV111" s="29">
        <f t="shared" si="110"/>
        <v>-366.94243690604344</v>
      </c>
      <c r="DW111" s="1016">
        <f>'[2]побудинковий звіт'!$DW$9+'[1]побудинковий звіт'!DW111</f>
        <v>1242</v>
      </c>
      <c r="DX111" s="101">
        <f>'[1]побудинковий звіт'!DX111</f>
        <v>0</v>
      </c>
      <c r="DY111" s="5">
        <f t="shared" si="111"/>
        <v>238660.92991024425</v>
      </c>
      <c r="DZ111" s="5">
        <f t="shared" si="112"/>
        <v>204745.37234159387</v>
      </c>
      <c r="EA111" s="737">
        <f t="shared" si="113"/>
        <v>108258.71</v>
      </c>
      <c r="EC111" s="577">
        <f t="shared" si="114"/>
        <v>2250429.4978044378</v>
      </c>
      <c r="EE111" s="743">
        <v>-3364</v>
      </c>
      <c r="EF111" s="723">
        <f t="shared" si="115"/>
        <v>-5318.0002201744355</v>
      </c>
      <c r="EH111" s="798">
        <v>-26935.152216281342</v>
      </c>
      <c r="EI111" s="101">
        <f>VLOOKUP(A111,'кошти 01.01.24'!$A$9:$D$352,4,FALSE)</f>
        <v>-56259.262423740489</v>
      </c>
    </row>
    <row r="112" spans="1:139" hidden="1" x14ac:dyDescent="0.3">
      <c r="A112" s="318">
        <v>150000599</v>
      </c>
      <c r="B112" s="43" t="s">
        <v>539</v>
      </c>
      <c r="C112" s="44" t="s">
        <v>77</v>
      </c>
      <c r="D112" s="44" t="s">
        <v>77</v>
      </c>
      <c r="E112" s="39">
        <f t="shared" si="64"/>
        <v>249.9</v>
      </c>
      <c r="F112" s="205">
        <f>'[1]побудинковий звіт'!F112</f>
        <v>249.9</v>
      </c>
      <c r="G112" s="29">
        <f>'[1]побудинковий звіт'!G112</f>
        <v>0</v>
      </c>
      <c r="H112" s="148">
        <f>'[1]побудинковий звіт'!H112</f>
        <v>0</v>
      </c>
      <c r="I112" s="41">
        <f>'[2]побудинковий звіт'!I112+'[1]побудинковий звіт'!I112</f>
        <v>0</v>
      </c>
      <c r="J112" s="41">
        <f>'[2]побудинковий звіт'!J112+'[1]побудинковий звіт'!J112</f>
        <v>0</v>
      </c>
      <c r="K112" s="55">
        <f t="shared" si="65"/>
        <v>0</v>
      </c>
      <c r="L112" s="41">
        <f>'[2]побудинковий звіт'!L112+'[1]побудинковий звіт'!L112</f>
        <v>0</v>
      </c>
      <c r="M112" s="41">
        <f>'[2]побудинковий звіт'!M112+'[1]побудинковий звіт'!M112</f>
        <v>0</v>
      </c>
      <c r="N112" s="55">
        <f t="shared" si="66"/>
        <v>0</v>
      </c>
      <c r="O112" s="41">
        <f>'[2]побудинковий звіт'!O112+'[1]побудинковий звіт'!O112</f>
        <v>0</v>
      </c>
      <c r="P112" s="41">
        <f>'[2]побудинковий звіт'!P112+'[1]побудинковий звіт'!P112</f>
        <v>0</v>
      </c>
      <c r="Q112" s="55">
        <f t="shared" si="67"/>
        <v>0</v>
      </c>
      <c r="R112" s="41">
        <f>'[2]побудинковий звіт'!R112+'[1]побудинковий звіт'!R112</f>
        <v>0</v>
      </c>
      <c r="S112" s="41">
        <f>'[2]побудинковий звіт'!S112+'[1]побудинковий звіт'!S112</f>
        <v>0</v>
      </c>
      <c r="T112" s="55">
        <f t="shared" si="68"/>
        <v>0</v>
      </c>
      <c r="U112" s="41">
        <f>'[2]побудинковий звіт'!U112+'[1]побудинковий звіт'!U112</f>
        <v>0</v>
      </c>
      <c r="V112" s="41">
        <f>'[2]побудинковий звіт'!V112+'[1]побудинковий звіт'!V112</f>
        <v>0</v>
      </c>
      <c r="W112" s="55">
        <f t="shared" si="69"/>
        <v>0</v>
      </c>
      <c r="X112" s="41">
        <f>'[2]побудинковий звіт'!X112+'[1]побудинковий звіт'!X112</f>
        <v>0</v>
      </c>
      <c r="Y112" s="41">
        <f>'[2]побудинковий звіт'!Y112+'[1]побудинковий звіт'!Y112</f>
        <v>0</v>
      </c>
      <c r="Z112" s="55">
        <f t="shared" si="70"/>
        <v>0</v>
      </c>
      <c r="AA112" s="41">
        <f>'[2]побудинковий звіт'!AA112+'[1]побудинковий звіт'!AA112</f>
        <v>0</v>
      </c>
      <c r="AB112" s="41">
        <f>'[2]побудинковий звіт'!AB112+'[1]побудинковий звіт'!AB112</f>
        <v>0</v>
      </c>
      <c r="AC112" s="55">
        <f t="shared" si="71"/>
        <v>0</v>
      </c>
      <c r="AD112" s="41">
        <f>'[2]побудинковий звіт'!AD112+'[1]побудинковий звіт'!AD112</f>
        <v>0</v>
      </c>
      <c r="AE112" s="41">
        <f>'[2]побудинковий звіт'!AE112+'[1]побудинковий звіт'!AE112</f>
        <v>0</v>
      </c>
      <c r="AF112" s="36">
        <f t="shared" si="72"/>
        <v>0</v>
      </c>
      <c r="AG112" s="84">
        <f t="shared" si="73"/>
        <v>0</v>
      </c>
      <c r="AH112" s="56">
        <f t="shared" si="74"/>
        <v>0</v>
      </c>
      <c r="AI112" s="55">
        <f t="shared" si="75"/>
        <v>0</v>
      </c>
      <c r="AJ112" s="41">
        <f>'[2]побудинковий звіт'!AJ112+'[1]побудинковий звіт'!AJ112</f>
        <v>0</v>
      </c>
      <c r="AK112" s="41">
        <f>'[2]побудинковий звіт'!AK112+'[1]побудинковий звіт'!AK112</f>
        <v>0</v>
      </c>
      <c r="AL112" s="55">
        <f t="shared" si="76"/>
        <v>0</v>
      </c>
      <c r="AM112" s="41">
        <f>'[2]побудинковий звіт'!AM112+'[1]побудинковий звіт'!AM112</f>
        <v>0</v>
      </c>
      <c r="AN112" s="41">
        <f>'[2]побудинковий звіт'!AN112+'[1]побудинковий звіт'!AN112</f>
        <v>0</v>
      </c>
      <c r="AO112" s="55">
        <f t="shared" si="77"/>
        <v>0</v>
      </c>
      <c r="AP112" s="41">
        <f>'[2]побудинковий звіт'!AP112+'[1]побудинковий звіт'!AP112</f>
        <v>670.37667212775978</v>
      </c>
      <c r="AQ112" s="41">
        <f>'[2]побудинковий звіт'!AQ112+'[1]побудинковий звіт'!AQ112</f>
        <v>92.661656014463702</v>
      </c>
      <c r="AR112" s="55">
        <f t="shared" si="78"/>
        <v>-577.71501611329609</v>
      </c>
      <c r="AS112" s="41">
        <f>'[2]побудинковий звіт'!AS112+'[1]побудинковий звіт'!AS112</f>
        <v>2981.0773061027567</v>
      </c>
      <c r="AT112" s="41">
        <f>'[2]побудинковий звіт'!AT112+'[1]побудинковий звіт'!AT112</f>
        <v>0</v>
      </c>
      <c r="AU112" s="57">
        <f t="shared" si="79"/>
        <v>-2981.0773061027567</v>
      </c>
      <c r="AV112" s="41">
        <f>'[2]побудинковий звіт'!AV112+'[1]побудинковий звіт'!AV112</f>
        <v>0</v>
      </c>
      <c r="AW112" s="41">
        <f>'[2]побудинковий звіт'!AW112+'[1]побудинковий звіт'!AW112</f>
        <v>0</v>
      </c>
      <c r="AX112" s="58">
        <f t="shared" si="80"/>
        <v>0</v>
      </c>
      <c r="AY112" s="41">
        <f>'[2]побудинковий звіт'!AY112+'[1]побудинковий звіт'!AY112</f>
        <v>0</v>
      </c>
      <c r="AZ112" s="41">
        <f>'[2]побудинковий звіт'!AZ112+'[1]побудинковий звіт'!AZ112</f>
        <v>0</v>
      </c>
      <c r="BA112" s="36">
        <f t="shared" si="81"/>
        <v>0</v>
      </c>
      <c r="BB112" s="41">
        <f>'[2]побудинковий звіт'!BB112+'[1]побудинковий звіт'!BB112</f>
        <v>0</v>
      </c>
      <c r="BC112" s="41">
        <f>'[2]побудинковий звіт'!BC112+'[1]побудинковий звіт'!BC112</f>
        <v>0</v>
      </c>
      <c r="BD112" s="58">
        <f t="shared" si="82"/>
        <v>0</v>
      </c>
      <c r="BE112" s="41">
        <f>'[2]побудинковий звіт'!BE112+'[1]побудинковий звіт'!BE112</f>
        <v>0</v>
      </c>
      <c r="BF112" s="41">
        <f>'[2]побудинковий звіт'!BF112+'[1]побудинковий звіт'!BF112</f>
        <v>0</v>
      </c>
      <c r="BG112" s="38">
        <f t="shared" si="83"/>
        <v>0</v>
      </c>
      <c r="BH112" s="41">
        <f>'[2]побудинковий звіт'!BH112+'[1]побудинковий звіт'!BH112</f>
        <v>0</v>
      </c>
      <c r="BI112" s="41">
        <f>'[2]побудинковий звіт'!BI112+'[1]побудинковий звіт'!BI112</f>
        <v>0</v>
      </c>
      <c r="BJ112" s="58">
        <f t="shared" si="84"/>
        <v>0</v>
      </c>
      <c r="BK112" s="41">
        <f>'[2]побудинковий звіт'!BK112+'[1]побудинковий звіт'!BK112</f>
        <v>0</v>
      </c>
      <c r="BL112" s="41">
        <f>'[2]побудинковий звіт'!BL112+'[1]побудинковий звіт'!BL112</f>
        <v>0</v>
      </c>
      <c r="BM112" s="38">
        <f t="shared" si="85"/>
        <v>0</v>
      </c>
      <c r="BN112" s="41">
        <f>'[2]побудинковий звіт'!BN112+'[1]побудинковий звіт'!BN112</f>
        <v>0</v>
      </c>
      <c r="BO112" s="41">
        <f>'[2]побудинковий звіт'!BO112+'[1]побудинковий звіт'!BO112</f>
        <v>0</v>
      </c>
      <c r="BP112" s="58">
        <f t="shared" si="86"/>
        <v>0</v>
      </c>
      <c r="BQ112" s="84">
        <f t="shared" si="87"/>
        <v>0</v>
      </c>
      <c r="BR112" s="42">
        <f t="shared" si="88"/>
        <v>0</v>
      </c>
      <c r="BS112" s="58">
        <f t="shared" si="89"/>
        <v>0</v>
      </c>
      <c r="BT112" s="41">
        <f>'[2]побудинковий звіт'!BT112+'[1]побудинковий звіт'!BT112</f>
        <v>1505.8973291160448</v>
      </c>
      <c r="BU112" s="41">
        <f>'[2]побудинковий звіт'!BU112+'[1]побудинковий звіт'!BU112</f>
        <v>4834.2290900505441</v>
      </c>
      <c r="BV112" s="55">
        <f t="shared" si="90"/>
        <v>3328.3317609344995</v>
      </c>
      <c r="BW112" s="41">
        <f>'[2]побудинковий звіт'!BW112+'[1]побудинковий звіт'!BW112</f>
        <v>0</v>
      </c>
      <c r="BX112" s="41">
        <f>'[2]побудинковий звіт'!BX112+'[1]побудинковий звіт'!BX112</f>
        <v>1.0192011641723768</v>
      </c>
      <c r="BY112" s="55">
        <f t="shared" si="91"/>
        <v>1.0192011641723768</v>
      </c>
      <c r="BZ112" s="41">
        <f>'[2]побудинковий звіт'!BZ112+'[1]побудинковий звіт'!BZ112</f>
        <v>296.02697984710079</v>
      </c>
      <c r="CA112" s="41">
        <f>'[2]побудинковий звіт'!CA112+'[1]побудинковий звіт'!CA112</f>
        <v>404.04492247290585</v>
      </c>
      <c r="CB112" s="55">
        <f t="shared" si="92"/>
        <v>108.01794262580506</v>
      </c>
      <c r="CC112" s="41">
        <f>'[2]побудинковий звіт'!CC112+'[1]побудинковий звіт'!CC112</f>
        <v>0</v>
      </c>
      <c r="CD112" s="41">
        <f>'[2]побудинковий звіт'!CD112+'[1]побудинковий звіт'!CD112</f>
        <v>0</v>
      </c>
      <c r="CE112" s="55">
        <f t="shared" si="93"/>
        <v>0</v>
      </c>
      <c r="CF112" s="41">
        <f>'[2]побудинковий звіт'!CF112+'[1]побудинковий звіт'!CF112</f>
        <v>0</v>
      </c>
      <c r="CG112" s="41">
        <f>'[2]побудинковий звіт'!CG112+'[1]побудинковий звіт'!CG112</f>
        <v>0</v>
      </c>
      <c r="CH112" s="55">
        <f t="shared" si="94"/>
        <v>0</v>
      </c>
      <c r="CI112" s="41">
        <f>'[2]побудинковий звіт'!CI112+'[1]побудинковий звіт'!CI112</f>
        <v>0</v>
      </c>
      <c r="CJ112" s="41">
        <f>'[2]побудинковий звіт'!CJ112+'[1]побудинковий звіт'!CJ112</f>
        <v>0</v>
      </c>
      <c r="CK112" s="55">
        <f t="shared" si="95"/>
        <v>0</v>
      </c>
      <c r="CL112" s="41">
        <f>'[2]побудинковий звіт'!CL112+'[1]побудинковий звіт'!CL112</f>
        <v>0</v>
      </c>
      <c r="CM112" s="41">
        <f>'[2]побудинковий звіт'!CM112+'[1]побудинковий звіт'!CM112</f>
        <v>0</v>
      </c>
      <c r="CN112" s="55">
        <f t="shared" si="96"/>
        <v>0</v>
      </c>
      <c r="CO112" s="41">
        <f t="shared" si="97"/>
        <v>0</v>
      </c>
      <c r="CP112" s="42">
        <f t="shared" si="98"/>
        <v>0</v>
      </c>
      <c r="CQ112" s="55">
        <f t="shared" si="99"/>
        <v>0</v>
      </c>
      <c r="CR112" s="76">
        <f t="shared" si="100"/>
        <v>5453.3782871936619</v>
      </c>
      <c r="CS112" s="5">
        <f t="shared" si="101"/>
        <v>5331.9548697020855</v>
      </c>
      <c r="CT112" s="55">
        <f t="shared" si="102"/>
        <v>-121.4234174915764</v>
      </c>
      <c r="CU112" s="84">
        <f t="shared" si="103"/>
        <v>6544.0539446323937</v>
      </c>
      <c r="CV112" s="68">
        <f t="shared" si="104"/>
        <v>6398.3458436425026</v>
      </c>
      <c r="CW112" s="36">
        <f t="shared" si="105"/>
        <v>-145.70810098989114</v>
      </c>
      <c r="CX112" s="41">
        <f>'[2]побудинковий звіт'!CX112+'[1]побудинковий звіт'!CX112</f>
        <v>185.88777932329236</v>
      </c>
      <c r="CY112" s="41">
        <f>'[2]побудинковий звіт'!CY112+'[1]побудинковий звіт'!CY112</f>
        <v>331.59588031318447</v>
      </c>
      <c r="CZ112" s="55">
        <f t="shared" si="106"/>
        <v>145.7081009898921</v>
      </c>
      <c r="DA112" s="254">
        <f>'[1]побудинковий звіт'!DA112</f>
        <v>-2030.1138304491183</v>
      </c>
      <c r="DB112" s="2">
        <v>1</v>
      </c>
      <c r="DC112" s="702">
        <f>'[1]побудинковий звіт'!DC112</f>
        <v>949.56</v>
      </c>
      <c r="DD112" s="702">
        <f>'[1]побудинковий звіт'!DD112</f>
        <v>0</v>
      </c>
      <c r="DE112" s="702">
        <f>'[1]побудинковий звіт'!DE112</f>
        <v>219.76</v>
      </c>
      <c r="DF112" s="702">
        <f>'[1]побудинковий звіт'!DF112</f>
        <v>0</v>
      </c>
      <c r="DG112" s="772">
        <v>-2030.148702833525</v>
      </c>
      <c r="DH112" s="746">
        <f t="shared" si="107"/>
        <v>80759.300687468232</v>
      </c>
      <c r="DI112" s="769"/>
      <c r="DJ112" s="5"/>
      <c r="DK112" s="307">
        <f>VLOOKUP($A112,ціни!$A$4:$G$401,5)</f>
        <v>2.1170217763247021</v>
      </c>
      <c r="DL112" s="307"/>
      <c r="DM112" s="307">
        <f>VLOOKUP($A112,ціни!$A$4:$G$401,7)</f>
        <v>2.1170217763247021</v>
      </c>
      <c r="DN112" s="29">
        <f>F112*DK112</f>
        <v>529.04374190354304</v>
      </c>
      <c r="DO112" s="29">
        <f>H112*DM112</f>
        <v>0</v>
      </c>
      <c r="DP112" s="306">
        <f t="shared" si="108"/>
        <v>529.04374190354304</v>
      </c>
      <c r="DQ112" s="101"/>
      <c r="DR112" s="29">
        <f>VLOOKUP(A112,'ДЗ нас '!$A$1:$C$359,2)</f>
        <v>529.04</v>
      </c>
      <c r="DS112" s="733"/>
      <c r="DT112" s="29">
        <f t="shared" si="109"/>
        <v>529.04</v>
      </c>
      <c r="DU112" s="247">
        <f>VLOOKUP(A112,'новий кошторис с 01.06'!$A$4:$AI$399,35)*1.2</f>
        <v>532.68811743946969</v>
      </c>
      <c r="DV112" s="29">
        <f t="shared" si="110"/>
        <v>-3.6481174394697291</v>
      </c>
      <c r="DW112" s="1016">
        <f>'[2]побудинковий звіт'!$DW$9+'[1]побудинковий звіт'!DW112</f>
        <v>0</v>
      </c>
      <c r="DX112" s="101">
        <f>'[1]побудинковий звіт'!DX112</f>
        <v>0</v>
      </c>
      <c r="DY112" s="5">
        <f t="shared" si="111"/>
        <v>3577.292767323308</v>
      </c>
      <c r="DZ112" s="5">
        <f t="shared" si="112"/>
        <v>0</v>
      </c>
      <c r="EA112" s="737">
        <f t="shared" si="113"/>
        <v>219.76</v>
      </c>
      <c r="EC112" s="577">
        <f t="shared" si="114"/>
        <v>35772.927673233076</v>
      </c>
      <c r="EE112" s="743">
        <v>13916</v>
      </c>
      <c r="EF112" s="723">
        <f t="shared" si="115"/>
        <v>11885.851297166475</v>
      </c>
      <c r="EH112" s="798">
        <v>-934.82382388140786</v>
      </c>
      <c r="EI112" s="101">
        <f>VLOOKUP(A112,'кошти 01.01.24'!$A$9:$D$352,4,FALSE)</f>
        <v>-1884.4057294592276</v>
      </c>
    </row>
    <row r="113" spans="1:139" hidden="1" x14ac:dyDescent="0.3">
      <c r="A113" s="318">
        <v>150000593</v>
      </c>
      <c r="B113" s="43" t="s">
        <v>540</v>
      </c>
      <c r="C113" s="44" t="s">
        <v>255</v>
      </c>
      <c r="D113" s="44" t="s">
        <v>255</v>
      </c>
      <c r="E113" s="39">
        <f t="shared" si="64"/>
        <v>1899.23</v>
      </c>
      <c r="F113" s="205">
        <f>'[1]побудинковий звіт'!F113</f>
        <v>1780.73</v>
      </c>
      <c r="G113" s="29">
        <f>'[1]побудинковий звіт'!G113</f>
        <v>0</v>
      </c>
      <c r="H113" s="148">
        <f>'[1]побудинковий звіт'!H113</f>
        <v>118.5</v>
      </c>
      <c r="I113" s="41">
        <f>'[2]побудинковий звіт'!I113+'[1]побудинковий звіт'!I113</f>
        <v>6358.6069119038239</v>
      </c>
      <c r="J113" s="41">
        <f>'[2]побудинковий звіт'!J113+'[1]побудинковий звіт'!J113</f>
        <v>4982.406339829191</v>
      </c>
      <c r="K113" s="55">
        <f t="shared" si="65"/>
        <v>-1376.2005720746329</v>
      </c>
      <c r="L113" s="41">
        <f>'[2]побудинковий звіт'!L113+'[1]побудинковий звіт'!L113</f>
        <v>1243.817106330981</v>
      </c>
      <c r="M113" s="41">
        <f>'[2]побудинковий звіт'!M113+'[1]побудинковий звіт'!M113</f>
        <v>1066.4443634672668</v>
      </c>
      <c r="N113" s="55">
        <f t="shared" si="66"/>
        <v>-177.37274286371417</v>
      </c>
      <c r="O113" s="41">
        <f>'[2]побудинковий звіт'!O113+'[1]побудинковий звіт'!O113</f>
        <v>2969.0615128109885</v>
      </c>
      <c r="P113" s="41">
        <f>'[2]побудинковий звіт'!P113+'[1]побудинковий звіт'!P113</f>
        <v>2977.4035222571802</v>
      </c>
      <c r="Q113" s="55">
        <f t="shared" si="67"/>
        <v>8.342009446191696</v>
      </c>
      <c r="R113" s="41">
        <f>'[2]побудинковий звіт'!R113+'[1]побудинковий звіт'!R113</f>
        <v>0</v>
      </c>
      <c r="S113" s="41">
        <f>'[2]побудинковий звіт'!S113+'[1]побудинковий звіт'!S113</f>
        <v>0</v>
      </c>
      <c r="T113" s="55">
        <f t="shared" si="68"/>
        <v>0</v>
      </c>
      <c r="U113" s="41">
        <f>'[2]побудинковий звіт'!U113+'[1]побудинковий звіт'!U113</f>
        <v>140.32647418906288</v>
      </c>
      <c r="V113" s="41">
        <f>'[2]побудинковий звіт'!V113+'[1]побудинковий звіт'!V113</f>
        <v>80.958443147995155</v>
      </c>
      <c r="W113" s="55">
        <f t="shared" si="69"/>
        <v>-59.368031041067724</v>
      </c>
      <c r="X113" s="41">
        <f>'[2]побудинковий звіт'!X113+'[1]побудинковий звіт'!X113</f>
        <v>3334.7449320415767</v>
      </c>
      <c r="Y113" s="41">
        <f>'[2]побудинковий звіт'!Y113+'[1]побудинковий звіт'!Y113</f>
        <v>2400.3820774124438</v>
      </c>
      <c r="Z113" s="55">
        <f t="shared" si="70"/>
        <v>-934.36285462913293</v>
      </c>
      <c r="AA113" s="41">
        <f>'[2]побудинковий звіт'!AA113+'[1]побудинковий звіт'!AA113</f>
        <v>0</v>
      </c>
      <c r="AB113" s="41">
        <f>'[2]побудинковий звіт'!AB113+'[1]побудинковий звіт'!AB113</f>
        <v>0</v>
      </c>
      <c r="AC113" s="55">
        <f t="shared" si="71"/>
        <v>0</v>
      </c>
      <c r="AD113" s="41">
        <f>'[2]побудинковий звіт'!AD113+'[1]побудинковий звіт'!AD113</f>
        <v>8236.9775692511885</v>
      </c>
      <c r="AE113" s="41">
        <f>'[2]побудинковий звіт'!AE113+'[1]побудинковий звіт'!AE113</f>
        <v>8204.9636022784325</v>
      </c>
      <c r="AF113" s="36">
        <f t="shared" si="72"/>
        <v>-32.013966972755952</v>
      </c>
      <c r="AG113" s="84">
        <f t="shared" si="73"/>
        <v>22283.53450652762</v>
      </c>
      <c r="AH113" s="56">
        <f t="shared" si="74"/>
        <v>19712.558348392507</v>
      </c>
      <c r="AI113" s="55">
        <f t="shared" si="75"/>
        <v>-2570.9761581351122</v>
      </c>
      <c r="AJ113" s="41">
        <f>'[2]побудинковий звіт'!AJ113+'[1]побудинковий звіт'!AJ113</f>
        <v>0</v>
      </c>
      <c r="AK113" s="41">
        <f>'[2]побудинковий звіт'!AK113+'[1]побудинковий звіт'!AK113</f>
        <v>0</v>
      </c>
      <c r="AL113" s="55">
        <f t="shared" si="76"/>
        <v>0</v>
      </c>
      <c r="AM113" s="41">
        <f>'[2]побудинковий звіт'!AM113+'[1]побудинковий звіт'!AM113</f>
        <v>0</v>
      </c>
      <c r="AN113" s="41">
        <f>'[2]побудинковий звіт'!AN113+'[1]побудинковий звіт'!AN113</f>
        <v>0</v>
      </c>
      <c r="AO113" s="55">
        <f t="shared" si="77"/>
        <v>0</v>
      </c>
      <c r="AP113" s="41">
        <f>'[2]побудинковий звіт'!AP113+'[1]побудинковий звіт'!AP113</f>
        <v>5646.4082745596625</v>
      </c>
      <c r="AQ113" s="41">
        <f>'[2]побудинковий звіт'!AQ113+'[1]побудинковий звіт'!AQ113</f>
        <v>5162.2178408301716</v>
      </c>
      <c r="AR113" s="55">
        <f t="shared" si="78"/>
        <v>-484.19043372949091</v>
      </c>
      <c r="AS113" s="41">
        <f>'[2]побудинковий звіт'!AS113+'[1]побудинковий звіт'!AS113</f>
        <v>17099.95655346091</v>
      </c>
      <c r="AT113" s="41">
        <f>'[2]побудинковий звіт'!AT113+'[1]побудинковий звіт'!AT113</f>
        <v>11294.690281706296</v>
      </c>
      <c r="AU113" s="57">
        <f t="shared" si="79"/>
        <v>-5805.2662717546136</v>
      </c>
      <c r="AV113" s="41">
        <f>'[2]побудинковий звіт'!AV113+'[1]побудинковий звіт'!AV113</f>
        <v>1154.9100590826222</v>
      </c>
      <c r="AW113" s="41">
        <f>'[2]побудинковий звіт'!AW113+'[1]побудинковий звіт'!AW113</f>
        <v>0</v>
      </c>
      <c r="AX113" s="58">
        <f t="shared" si="80"/>
        <v>-1154.9100590826222</v>
      </c>
      <c r="AY113" s="41">
        <f>'[2]побудинковий звіт'!AY113+'[1]побудинковий звіт'!AY113</f>
        <v>1483.0671408008038</v>
      </c>
      <c r="AZ113" s="41">
        <f>'[2]побудинковий звіт'!AZ113+'[1]побудинковий звіт'!AZ113</f>
        <v>0</v>
      </c>
      <c r="BA113" s="36">
        <f t="shared" si="81"/>
        <v>-1483.0671408008038</v>
      </c>
      <c r="BB113" s="41">
        <f>'[2]побудинковий звіт'!BB113+'[1]побудинковий звіт'!BB113</f>
        <v>470.4749811713279</v>
      </c>
      <c r="BC113" s="41">
        <f>'[2]побудинковий звіт'!BC113+'[1]побудинковий звіт'!BC113</f>
        <v>0</v>
      </c>
      <c r="BD113" s="58">
        <f t="shared" si="82"/>
        <v>-470.4749811713279</v>
      </c>
      <c r="BE113" s="41">
        <f>'[2]побудинковий звіт'!BE113+'[1]побудинковий звіт'!BE113</f>
        <v>0</v>
      </c>
      <c r="BF113" s="41">
        <f>'[2]побудинковий звіт'!BF113+'[1]побудинковий звіт'!BF113</f>
        <v>0</v>
      </c>
      <c r="BG113" s="38">
        <f t="shared" si="83"/>
        <v>0</v>
      </c>
      <c r="BH113" s="41">
        <f>'[2]побудинковий звіт'!BH113+'[1]побудинковий звіт'!BH113</f>
        <v>82.704815978574771</v>
      </c>
      <c r="BI113" s="41">
        <f>'[2]побудинковий звіт'!BI113+'[1]побудинковий звіт'!BI113</f>
        <v>0</v>
      </c>
      <c r="BJ113" s="58">
        <f t="shared" si="84"/>
        <v>-82.704815978574771</v>
      </c>
      <c r="BK113" s="41">
        <f>'[2]побудинковий звіт'!BK113+'[1]побудинковий звіт'!BK113</f>
        <v>593.77796364692449</v>
      </c>
      <c r="BL113" s="41">
        <f>'[2]побудинковий звіт'!BL113+'[1]побудинковий звіт'!BL113</f>
        <v>0</v>
      </c>
      <c r="BM113" s="38">
        <f t="shared" si="85"/>
        <v>-593.77796364692449</v>
      </c>
      <c r="BN113" s="41">
        <f>'[2]побудинковий звіт'!BN113+'[1]побудинковий звіт'!BN113</f>
        <v>461.39980229064673</v>
      </c>
      <c r="BO113" s="41">
        <f>'[2]побудинковий звіт'!BO113+'[1]побудинковий звіт'!BO113</f>
        <v>0</v>
      </c>
      <c r="BP113" s="58">
        <f t="shared" si="86"/>
        <v>-461.39980229064673</v>
      </c>
      <c r="BQ113" s="84">
        <f t="shared" si="87"/>
        <v>4246.3347629708996</v>
      </c>
      <c r="BR113" s="42">
        <f t="shared" si="88"/>
        <v>0</v>
      </c>
      <c r="BS113" s="58">
        <f t="shared" si="89"/>
        <v>-4246.3347629708996</v>
      </c>
      <c r="BT113" s="41">
        <f>'[2]побудинковий звіт'!BT113+'[1]побудинковий звіт'!BT113</f>
        <v>18177.831069210715</v>
      </c>
      <c r="BU113" s="41">
        <f>'[2]побудинковий звіт'!BU113+'[1]побудинковий звіт'!BU113</f>
        <v>33930.698048208898</v>
      </c>
      <c r="BV113" s="55">
        <f t="shared" si="90"/>
        <v>15752.866978998183</v>
      </c>
      <c r="BW113" s="41">
        <f>'[2]побудинковий звіт'!BW113+'[1]побудинковий звіт'!BW113</f>
        <v>8610.404941573941</v>
      </c>
      <c r="BX113" s="41">
        <f>'[2]побудинковий звіт'!BX113+'[1]побудинковий звіт'!BX113</f>
        <v>10744.176143062276</v>
      </c>
      <c r="BY113" s="55">
        <f t="shared" si="91"/>
        <v>2133.7712014883346</v>
      </c>
      <c r="BZ113" s="41">
        <f>'[2]побудинковий звіт'!BZ113+'[1]побудинковий звіт'!BZ113</f>
        <v>10023.751007417757</v>
      </c>
      <c r="CA113" s="41">
        <f>'[2]побудинковий звіт'!CA113+'[1]побудинковий звіт'!CA113</f>
        <v>2850.4439654895887</v>
      </c>
      <c r="CB113" s="55">
        <f t="shared" si="92"/>
        <v>-7173.3070419281685</v>
      </c>
      <c r="CC113" s="41">
        <f>'[2]побудинковий звіт'!CC113+'[1]побудинковий звіт'!CC113</f>
        <v>726.74794159964927</v>
      </c>
      <c r="CD113" s="41">
        <f>'[2]побудинковий звіт'!CD113+'[1]побудинковий звіт'!CD113</f>
        <v>729.2122628054816</v>
      </c>
      <c r="CE113" s="55">
        <f t="shared" si="93"/>
        <v>2.4643212058323343</v>
      </c>
      <c r="CF113" s="41">
        <f>'[2]побудинковий звіт'!CF113+'[1]побудинковий звіт'!CF113</f>
        <v>90.040207164300114</v>
      </c>
      <c r="CG113" s="41">
        <f>'[2]побудинковий звіт'!CG113+'[1]побудинковий звіт'!CG113</f>
        <v>0</v>
      </c>
      <c r="CH113" s="55">
        <f t="shared" si="94"/>
        <v>-90.040207164300114</v>
      </c>
      <c r="CI113" s="41">
        <f>'[2]побудинковий звіт'!CI113+'[1]побудинковий звіт'!CI113</f>
        <v>1751.3723539850848</v>
      </c>
      <c r="CJ113" s="41">
        <f>'[2]побудинковий звіт'!CJ113+'[1]побудинковий звіт'!CJ113</f>
        <v>1631.1979548291692</v>
      </c>
      <c r="CK113" s="55">
        <f t="shared" si="95"/>
        <v>-120.17439915591558</v>
      </c>
      <c r="CL113" s="41">
        <f>'[2]побудинковий звіт'!CL113+'[1]побудинковий звіт'!CL113</f>
        <v>0</v>
      </c>
      <c r="CM113" s="41">
        <f>'[2]побудинковий звіт'!CM113+'[1]побудинковий звіт'!CM113</f>
        <v>0</v>
      </c>
      <c r="CN113" s="55">
        <f t="shared" si="96"/>
        <v>0</v>
      </c>
      <c r="CO113" s="41">
        <f t="shared" si="97"/>
        <v>1751.3723539850848</v>
      </c>
      <c r="CP113" s="42">
        <f t="shared" si="98"/>
        <v>1631.1979548291692</v>
      </c>
      <c r="CQ113" s="55">
        <f t="shared" si="99"/>
        <v>-120.17439915591558</v>
      </c>
      <c r="CR113" s="76">
        <f t="shared" si="100"/>
        <v>88656.38161847055</v>
      </c>
      <c r="CS113" s="5">
        <f t="shared" si="101"/>
        <v>86055.194845324382</v>
      </c>
      <c r="CT113" s="55">
        <f t="shared" si="102"/>
        <v>-2601.186773146168</v>
      </c>
      <c r="CU113" s="84">
        <f t="shared" si="103"/>
        <v>106387.65794216466</v>
      </c>
      <c r="CV113" s="68">
        <f t="shared" si="104"/>
        <v>103266.23381438926</v>
      </c>
      <c r="CW113" s="36">
        <f t="shared" si="105"/>
        <v>-3121.4241277754045</v>
      </c>
      <c r="CX113" s="41">
        <f>'[2]побудинковий звіт'!CX113+'[1]побудинковий звіт'!CX113</f>
        <v>2769.1327520320178</v>
      </c>
      <c r="CY113" s="41">
        <f>'[2]побудинковий звіт'!CY113+'[1]побудинковий звіт'!CY113</f>
        <v>5890.5568798074019</v>
      </c>
      <c r="CZ113" s="55">
        <f t="shared" si="106"/>
        <v>3121.424127775384</v>
      </c>
      <c r="DA113" s="254">
        <f>'[1]побудинковий звіт'!DA113</f>
        <v>42622.046559757051</v>
      </c>
      <c r="DB113" s="2">
        <v>1</v>
      </c>
      <c r="DC113" s="702">
        <f>'[1]побудинковий звіт'!DC113</f>
        <v>24131.62</v>
      </c>
      <c r="DD113" s="702">
        <f>'[1]побудинковий звіт'!DD113</f>
        <v>673.51</v>
      </c>
      <c r="DE113" s="702">
        <f>'[1]побудинковий звіт'!DE113</f>
        <v>12845.779999999999</v>
      </c>
      <c r="DF113" s="702">
        <f>'[1]побудинковий звіт'!DF113</f>
        <v>0</v>
      </c>
      <c r="DG113" s="772">
        <v>67402.160588333238</v>
      </c>
      <c r="DH113" s="746">
        <f t="shared" si="107"/>
        <v>1309881.48833036</v>
      </c>
      <c r="DI113" s="769"/>
      <c r="DJ113" s="5"/>
      <c r="DK113" s="307">
        <f>VLOOKUP($A113,ціни!$A$4:$G$401,5)</f>
        <v>4.5347119380148131</v>
      </c>
      <c r="DL113" s="307"/>
      <c r="DM113" s="307">
        <f>VLOOKUP($A113,ціни!$A$4:$G$401,7)</f>
        <v>4.0693585040154279</v>
      </c>
      <c r="DN113" s="29">
        <f>F113*DK113</f>
        <v>8075.0975893811183</v>
      </c>
      <c r="DO113" s="29">
        <f>H113*DM113</f>
        <v>482.2189827258282</v>
      </c>
      <c r="DP113" s="306">
        <f t="shared" si="108"/>
        <v>8557.3165721069472</v>
      </c>
      <c r="DQ113" s="101"/>
      <c r="DR113" s="29">
        <f>VLOOKUP(A113,'ДЗ нас '!$A$1:$C$359,2)</f>
        <v>8075.08</v>
      </c>
      <c r="DS113" s="733">
        <f>VLOOKUP(A113,'ДЗ нежит'!$A$1:$D$153,4,0)</f>
        <v>482.22</v>
      </c>
      <c r="DT113" s="29">
        <f t="shared" si="109"/>
        <v>8557.2999999999993</v>
      </c>
      <c r="DU113" s="247">
        <f>VLOOKUP(A113,'новий кошторис с 01.06'!$A$4:$AI$399,35)*1.2</f>
        <v>8590.1462770917533</v>
      </c>
      <c r="DV113" s="29">
        <f t="shared" si="110"/>
        <v>-32.846277091754018</v>
      </c>
      <c r="DW113" s="1016">
        <f>'[2]побудинковий звіт'!$DW$9+'[1]побудинковий звіт'!DW113</f>
        <v>918</v>
      </c>
      <c r="DX113" s="101">
        <f>'[1]побудинковий звіт'!DX113</f>
        <v>0</v>
      </c>
      <c r="DY113" s="5">
        <f t="shared" si="111"/>
        <v>25615.549579718168</v>
      </c>
      <c r="DZ113" s="5">
        <f t="shared" si="112"/>
        <v>13553.628338047556</v>
      </c>
      <c r="EA113" s="737">
        <f t="shared" si="113"/>
        <v>12845.779999999999</v>
      </c>
      <c r="EC113" s="577">
        <f t="shared" si="114"/>
        <v>205199.47864153091</v>
      </c>
      <c r="EE113" s="743">
        <v>-16830</v>
      </c>
      <c r="EF113" s="723">
        <f t="shared" si="115"/>
        <v>50572.160588333238</v>
      </c>
      <c r="EH113" s="798">
        <v>59070.330779422286</v>
      </c>
      <c r="EI113" s="101">
        <f>VLOOKUP(A113,'кошти 01.01.24'!$A$9:$D$352,4,FALSE)</f>
        <v>45743.470687532419</v>
      </c>
    </row>
    <row r="114" spans="1:139" ht="14.4" hidden="1" customHeight="1" x14ac:dyDescent="0.3">
      <c r="A114" s="318">
        <v>150000594</v>
      </c>
      <c r="B114" s="43" t="s">
        <v>541</v>
      </c>
      <c r="C114" s="44" t="s">
        <v>354</v>
      </c>
      <c r="D114" s="44" t="s">
        <v>354</v>
      </c>
      <c r="E114" s="39">
        <f t="shared" si="64"/>
        <v>9312.1</v>
      </c>
      <c r="F114" s="205">
        <f>'[1]побудинковий звіт'!F114</f>
        <v>9163.1</v>
      </c>
      <c r="G114" s="29">
        <f>'[1]побудинковий звіт'!G114</f>
        <v>1004.05</v>
      </c>
      <c r="H114" s="148">
        <f>'[1]побудинковий звіт'!H114</f>
        <v>149</v>
      </c>
      <c r="I114" s="41">
        <f>'[2]побудинковий звіт'!I114+'[1]побудинковий звіт'!I114</f>
        <v>25455.187462625025</v>
      </c>
      <c r="J114" s="41">
        <f>'[2]побудинковий звіт'!J114+'[1]побудинковий звіт'!J114</f>
        <v>20141.765910866558</v>
      </c>
      <c r="K114" s="55">
        <f t="shared" si="65"/>
        <v>-5313.4215517584671</v>
      </c>
      <c r="L114" s="41">
        <f>'[2]побудинковий звіт'!L114+'[1]побудинковий звіт'!L114</f>
        <v>4204.2176815339508</v>
      </c>
      <c r="M114" s="41">
        <f>'[2]побудинковий звіт'!M114+'[1]побудинковий звіт'!M114</f>
        <v>3545.1724513240542</v>
      </c>
      <c r="N114" s="55">
        <f t="shared" si="66"/>
        <v>-659.04523020989654</v>
      </c>
      <c r="O114" s="41">
        <f>'[2]побудинковий звіт'!O114+'[1]побудинковий звіт'!O114</f>
        <v>14853.620619130083</v>
      </c>
      <c r="P114" s="41">
        <f>'[2]побудинковий звіт'!P114+'[1]побудинковий звіт'!P114</f>
        <v>14895.478195575528</v>
      </c>
      <c r="Q114" s="55">
        <f t="shared" si="67"/>
        <v>41.857576445445375</v>
      </c>
      <c r="R114" s="41">
        <f>'[2]побудинковий звіт'!R114+'[1]побудинковий звіт'!R114</f>
        <v>3169.234985942458</v>
      </c>
      <c r="S114" s="41">
        <f>'[2]побудинковий звіт'!S114+'[1]побудинковий звіт'!S114</f>
        <v>3178.2855992376763</v>
      </c>
      <c r="T114" s="55">
        <f t="shared" si="68"/>
        <v>9.050613295218227</v>
      </c>
      <c r="U114" s="41">
        <f>'[2]побудинковий звіт'!U114+'[1]побудинковий звіт'!U114</f>
        <v>4282.297339070481</v>
      </c>
      <c r="V114" s="41">
        <f>'[2]побудинковий звіт'!V114+'[1]побудинковий звіт'!V114</f>
        <v>2682.7537398560116</v>
      </c>
      <c r="W114" s="55">
        <f t="shared" si="69"/>
        <v>-1599.5435992144694</v>
      </c>
      <c r="X114" s="41">
        <f>'[2]побудинковий звіт'!X114+'[1]побудинковий звіт'!X114</f>
        <v>20882.585269244984</v>
      </c>
      <c r="Y114" s="41">
        <f>'[2]побудинковий звіт'!Y114+'[1]побудинковий звіт'!Y114</f>
        <v>16917.992803826492</v>
      </c>
      <c r="Z114" s="55">
        <f t="shared" si="70"/>
        <v>-3964.5924654184928</v>
      </c>
      <c r="AA114" s="41">
        <f>'[2]побудинковий звіт'!AA114+'[1]побудинковий звіт'!AA114</f>
        <v>0</v>
      </c>
      <c r="AB114" s="41">
        <f>'[2]побудинковий звіт'!AB114+'[1]побудинковий звіт'!AB114</f>
        <v>0</v>
      </c>
      <c r="AC114" s="55">
        <f t="shared" si="71"/>
        <v>0</v>
      </c>
      <c r="AD114" s="41">
        <f>'[2]побудинковий звіт'!AD114+'[1]побудинковий звіт'!AD114</f>
        <v>40265.505085469318</v>
      </c>
      <c r="AE114" s="41">
        <f>'[2]побудинковий звіт'!AE114+'[1]побудинковий звіт'!AE114</f>
        <v>40230.502485244455</v>
      </c>
      <c r="AF114" s="36">
        <f t="shared" si="72"/>
        <v>-35.002600224863272</v>
      </c>
      <c r="AG114" s="84">
        <f t="shared" si="73"/>
        <v>113112.64844301628</v>
      </c>
      <c r="AH114" s="56">
        <f t="shared" si="74"/>
        <v>101591.95118593078</v>
      </c>
      <c r="AI114" s="55">
        <f t="shared" si="75"/>
        <v>-11520.6972570855</v>
      </c>
      <c r="AJ114" s="41">
        <f>'[2]побудинковий звіт'!AJ114+'[1]побудинковий звіт'!AJ114</f>
        <v>97046.474850756509</v>
      </c>
      <c r="AK114" s="41">
        <f>'[2]побудинковий звіт'!AK114+'[1]побудинковий звіт'!AK114</f>
        <v>90904.944242324171</v>
      </c>
      <c r="AL114" s="55">
        <f t="shared" si="76"/>
        <v>-6141.5306084323383</v>
      </c>
      <c r="AM114" s="41">
        <f>'[2]побудинковий звіт'!AM114+'[1]побудинковий звіт'!AM114</f>
        <v>605.85684545284585</v>
      </c>
      <c r="AN114" s="41">
        <f>'[2]побудинковий звіт'!AN114+'[1]побудинковий звіт'!AN114</f>
        <v>2760.0432643379222</v>
      </c>
      <c r="AO114" s="55">
        <f t="shared" si="77"/>
        <v>2154.1864188850764</v>
      </c>
      <c r="AP114" s="41">
        <f>'[2]побудинковий звіт'!AP114+'[1]побудинковий звіт'!AP114</f>
        <v>7172.1588480559085</v>
      </c>
      <c r="AQ114" s="41">
        <f>'[2]побудинковий звіт'!AQ114+'[1]побудинковий звіт'!AQ114</f>
        <v>6647.1981260189823</v>
      </c>
      <c r="AR114" s="55">
        <f t="shared" si="78"/>
        <v>-524.9607220369262</v>
      </c>
      <c r="AS114" s="41">
        <f>'[2]побудинковий звіт'!AS114+'[1]побудинковий звіт'!AS114</f>
        <v>172638.38486239582</v>
      </c>
      <c r="AT114" s="41">
        <f>'[2]побудинковий звіт'!AT114+'[1]побудинковий звіт'!AT114</f>
        <v>118078.69292835366</v>
      </c>
      <c r="AU114" s="57">
        <f t="shared" si="79"/>
        <v>-54559.691934042159</v>
      </c>
      <c r="AV114" s="41">
        <f>'[2]побудинковий звіт'!AV114+'[1]побудинковий звіт'!AV114</f>
        <v>912.8878763804712</v>
      </c>
      <c r="AW114" s="41">
        <f>'[2]побудинковий звіт'!AW114+'[1]побудинковий звіт'!AW114</f>
        <v>591.28868768881694</v>
      </c>
      <c r="AX114" s="58">
        <f t="shared" si="80"/>
        <v>-321.59918869165426</v>
      </c>
      <c r="AY114" s="41">
        <f>'[2]побудинковий звіт'!AY114+'[1]побудинковий звіт'!AY114</f>
        <v>1145.8913575815427</v>
      </c>
      <c r="AZ114" s="41">
        <f>'[2]побудинковий звіт'!AZ114+'[1]побудинковий звіт'!AZ114</f>
        <v>4042.1656489151546</v>
      </c>
      <c r="BA114" s="36">
        <f t="shared" si="81"/>
        <v>2896.2742913336119</v>
      </c>
      <c r="BB114" s="41">
        <f>'[2]побудинковий звіт'!BB114+'[1]побудинковий звіт'!BB114</f>
        <v>1390.1597803203374</v>
      </c>
      <c r="BC114" s="41">
        <f>'[2]побудинковий звіт'!BC114+'[1]побудинковий звіт'!BC114</f>
        <v>0</v>
      </c>
      <c r="BD114" s="58">
        <f t="shared" si="82"/>
        <v>-1390.1597803203374</v>
      </c>
      <c r="BE114" s="41">
        <f>'[2]побудинковий звіт'!BE114+'[1]побудинковий звіт'!BE114</f>
        <v>622.82222563750838</v>
      </c>
      <c r="BF114" s="41">
        <f>'[2]побудинковий звіт'!BF114+'[1]побудинковий звіт'!BF114</f>
        <v>429.10855592932234</v>
      </c>
      <c r="BG114" s="38">
        <f t="shared" si="83"/>
        <v>-193.71366970818605</v>
      </c>
      <c r="BH114" s="41">
        <f>'[2]побудинковий звіт'!BH114+'[1]побудинковий звіт'!BH114</f>
        <v>1024.3930362719796</v>
      </c>
      <c r="BI114" s="41">
        <f>'[2]побудинковий звіт'!BI114+'[1]побудинковий звіт'!BI114</f>
        <v>1437.5564717240734</v>
      </c>
      <c r="BJ114" s="58">
        <f t="shared" si="84"/>
        <v>413.16343545209384</v>
      </c>
      <c r="BK114" s="41">
        <f>'[2]побудинковий звіт'!BK114+'[1]побудинковий звіт'!BK114</f>
        <v>2307.883910854805</v>
      </c>
      <c r="BL114" s="41">
        <f>'[2]побудинковий звіт'!BL114+'[1]побудинковий звіт'!BL114</f>
        <v>8278.3467130710269</v>
      </c>
      <c r="BM114" s="38">
        <f t="shared" si="85"/>
        <v>5970.4628022162215</v>
      </c>
      <c r="BN114" s="41">
        <f>'[2]побудинковий звіт'!BN114+'[1]побудинковий звіт'!BN114</f>
        <v>1009.3373692282782</v>
      </c>
      <c r="BO114" s="41">
        <f>'[2]побудинковий звіт'!BO114+'[1]побудинковий звіт'!BO114</f>
        <v>14227.048163898313</v>
      </c>
      <c r="BP114" s="58">
        <f t="shared" si="86"/>
        <v>13217.710794670034</v>
      </c>
      <c r="BQ114" s="84">
        <f t="shared" si="87"/>
        <v>8413.3755562749229</v>
      </c>
      <c r="BR114" s="42">
        <f t="shared" si="88"/>
        <v>29005.514241226709</v>
      </c>
      <c r="BS114" s="58">
        <f t="shared" si="89"/>
        <v>20592.138684951788</v>
      </c>
      <c r="BT114" s="41">
        <f>'[2]побудинковий звіт'!BT114+'[1]побудинковий звіт'!BT114</f>
        <v>135980.46404975772</v>
      </c>
      <c r="BU114" s="41">
        <f>'[2]побудинковий звіт'!BU114+'[1]побудинковий звіт'!BU114</f>
        <v>122220.59637365828</v>
      </c>
      <c r="BV114" s="55">
        <f t="shared" si="90"/>
        <v>-13759.867676099442</v>
      </c>
      <c r="BW114" s="41">
        <f>'[2]побудинковий звіт'!BW114+'[1]побудинковий звіт'!BW114</f>
        <v>79689.49746698438</v>
      </c>
      <c r="BX114" s="41">
        <f>'[2]побудинковий звіт'!BX114+'[1]побудинковий звіт'!BX114</f>
        <v>62206.004275090098</v>
      </c>
      <c r="BY114" s="55">
        <f t="shared" si="91"/>
        <v>-17483.493191894282</v>
      </c>
      <c r="BZ114" s="41">
        <f>'[2]побудинковий звіт'!BZ114+'[1]побудинковий звіт'!BZ114</f>
        <v>19825.228066804757</v>
      </c>
      <c r="CA114" s="41">
        <f>'[2]побудинковий звіт'!CA114+'[1]побудинковий звіт'!CA114</f>
        <v>5906.3786466584988</v>
      </c>
      <c r="CB114" s="55">
        <f t="shared" si="92"/>
        <v>-13918.849420146258</v>
      </c>
      <c r="CC114" s="41">
        <f>'[2]побудинковий звіт'!CC114+'[1]побудинковий звіт'!CC114</f>
        <v>2689.5780964746677</v>
      </c>
      <c r="CD114" s="41">
        <f>'[2]побудинковий звіт'!CD114+'[1]побудинковий звіт'!CD114</f>
        <v>2698.6981557944027</v>
      </c>
      <c r="CE114" s="55">
        <f t="shared" si="93"/>
        <v>9.1200593197349917</v>
      </c>
      <c r="CF114" s="41">
        <f>'[2]побудинковий звіт'!CF114+'[1]побудинковий звіт'!CF114</f>
        <v>333.22443054754427</v>
      </c>
      <c r="CG114" s="41">
        <f>'[2]побудинковий звіт'!CG114+'[1]побудинковий звіт'!CG114</f>
        <v>0</v>
      </c>
      <c r="CH114" s="55">
        <f t="shared" si="94"/>
        <v>-333.22443054754427</v>
      </c>
      <c r="CI114" s="41">
        <f>'[2]побудинковий звіт'!CI114+'[1]побудинковий звіт'!CI114</f>
        <v>37667.13549053092</v>
      </c>
      <c r="CJ114" s="41">
        <f>'[2]побудинковий звіт'!CJ114+'[1]побудинковий звіт'!CJ114</f>
        <v>32198.223538779668</v>
      </c>
      <c r="CK114" s="55">
        <f t="shared" si="95"/>
        <v>-5468.9119517512518</v>
      </c>
      <c r="CL114" s="41">
        <f>'[2]побудинковий звіт'!CL114+'[1]побудинковий звіт'!CL114</f>
        <v>17930.526431210194</v>
      </c>
      <c r="CM114" s="41">
        <f>'[2]побудинковий звіт'!CM114+'[1]побудинковий звіт'!CM114</f>
        <v>25445.586096892785</v>
      </c>
      <c r="CN114" s="55">
        <f t="shared" si="96"/>
        <v>7515.059665682591</v>
      </c>
      <c r="CO114" s="41">
        <f t="shared" si="97"/>
        <v>55597.661921741113</v>
      </c>
      <c r="CP114" s="42">
        <f t="shared" si="98"/>
        <v>57643.809635672456</v>
      </c>
      <c r="CQ114" s="55">
        <f t="shared" si="99"/>
        <v>2046.1477139313429</v>
      </c>
      <c r="CR114" s="76">
        <f t="shared" si="100"/>
        <v>693104.55343826243</v>
      </c>
      <c r="CS114" s="5">
        <f t="shared" si="101"/>
        <v>599663.831075066</v>
      </c>
      <c r="CT114" s="55">
        <f t="shared" si="102"/>
        <v>-93440.72236319643</v>
      </c>
      <c r="CU114" s="84">
        <f t="shared" si="103"/>
        <v>831725.46412591485</v>
      </c>
      <c r="CV114" s="68">
        <f t="shared" si="104"/>
        <v>719596.59729007923</v>
      </c>
      <c r="CW114" s="36">
        <f t="shared" si="105"/>
        <v>-112128.86683583562</v>
      </c>
      <c r="CX114" s="41">
        <f>'[2]побудинковий звіт'!CX114+'[1]побудинковий звіт'!CX114</f>
        <v>27039.03934582392</v>
      </c>
      <c r="CY114" s="41">
        <f>'[2]побудинковий звіт'!CY114+'[1]побудинковий звіт'!CY114</f>
        <v>139167.90618165972</v>
      </c>
      <c r="CZ114" s="55">
        <f t="shared" si="106"/>
        <v>112128.8668358358</v>
      </c>
      <c r="DA114" s="254">
        <f>'[1]побудинковий звіт'!DA114</f>
        <v>-149599.6852154496</v>
      </c>
      <c r="DB114" s="2">
        <v>1</v>
      </c>
      <c r="DC114" s="702">
        <f>'[1]побудинковий звіт'!DC114</f>
        <v>132962.48000000001</v>
      </c>
      <c r="DD114" s="702">
        <f>'[1]побудинковий звіт'!DD114</f>
        <v>19945.55</v>
      </c>
      <c r="DE114" s="702">
        <f>'[1]побудинковий звіт'!DE114</f>
        <v>39035.460000000006</v>
      </c>
      <c r="DF114" s="702">
        <f>'[1]побудинковий звіт'!DF114</f>
        <v>18872.89</v>
      </c>
      <c r="DG114" s="772">
        <v>-45685.936096366029</v>
      </c>
      <c r="DH114" s="746">
        <f t="shared" si="107"/>
        <v>10305174.041660866</v>
      </c>
      <c r="DI114" s="769"/>
      <c r="DJ114" s="5"/>
      <c r="DK114" s="307">
        <f>VLOOKUP($A114,ціни!$A$4:$G$401,5)</f>
        <v>6.0576674010013409</v>
      </c>
      <c r="DL114" s="307">
        <f>VLOOKUP($A114,ціни!$A$4:$G$401,6)</f>
        <v>7.3922848837902277</v>
      </c>
      <c r="DM114" s="307">
        <f>VLOOKUP($A114,ціни!$A$4:$G$401,7)</f>
        <v>5.2078051804044563</v>
      </c>
      <c r="DN114" s="29">
        <f t="shared" ref="DN114:DN119" si="120">DK114*G114+(F114-G114)*DL114</f>
        <v>66396.222935064055</v>
      </c>
      <c r="DO114" s="29">
        <f t="shared" ref="DO114:DO119" si="121">DM114*H114</f>
        <v>775.96297188026404</v>
      </c>
      <c r="DP114" s="306">
        <f t="shared" si="108"/>
        <v>67172.185906944316</v>
      </c>
      <c r="DQ114" s="101"/>
      <c r="DR114" s="29">
        <f>VLOOKUP(A114,'ДЗ нас '!$A$1:$C$359,2)</f>
        <v>66492.460000000006</v>
      </c>
      <c r="DS114" s="733">
        <f>VLOOKUP(A114,'ДЗ нежит'!$A$1:$D$153,4,0)</f>
        <v>775.96</v>
      </c>
      <c r="DT114" s="29">
        <f t="shared" si="109"/>
        <v>67268.420000000013</v>
      </c>
      <c r="DU114" s="247">
        <f>VLOOKUP(A114,'новий кошторис с 01.06'!$A$4:$AI$399,35)*1.2</f>
        <v>67318.36372807977</v>
      </c>
      <c r="DV114" s="29">
        <f t="shared" si="110"/>
        <v>-49.94372807975742</v>
      </c>
      <c r="DW114" s="1016">
        <f>'[2]побудинковий звіт'!$DW$9+'[1]побудинковий звіт'!DW114</f>
        <v>1242</v>
      </c>
      <c r="DX114" s="101">
        <f>'[1]побудинковий звіт'!DX114</f>
        <v>0</v>
      </c>
      <c r="DY114" s="5">
        <f t="shared" si="111"/>
        <v>217262.1125024049</v>
      </c>
      <c r="DZ114" s="5">
        <f t="shared" si="112"/>
        <v>176501.04860349643</v>
      </c>
      <c r="EA114" s="737">
        <f t="shared" si="113"/>
        <v>57908.350000000006</v>
      </c>
      <c r="EC114" s="577">
        <f t="shared" si="114"/>
        <v>2071660.6183487498</v>
      </c>
      <c r="EE114" s="743">
        <v>49447</v>
      </c>
      <c r="EF114" s="723">
        <f t="shared" si="115"/>
        <v>3761.0639036339708</v>
      </c>
      <c r="EH114" s="798">
        <v>138868.19945364766</v>
      </c>
      <c r="EI114" s="101">
        <f>VLOOKUP(A114,'кошти 01.01.24'!$A$9:$D$352,4,FALSE)</f>
        <v>-37470.818379613673</v>
      </c>
    </row>
    <row r="115" spans="1:139" hidden="1" x14ac:dyDescent="0.3">
      <c r="A115" s="318">
        <v>150000627</v>
      </c>
      <c r="B115" s="43" t="s">
        <v>542</v>
      </c>
      <c r="C115" s="44" t="s">
        <v>355</v>
      </c>
      <c r="D115" s="44" t="s">
        <v>355</v>
      </c>
      <c r="E115" s="39">
        <f t="shared" si="64"/>
        <v>3777.4</v>
      </c>
      <c r="F115" s="205">
        <f>'[1]побудинковий звіт'!F115</f>
        <v>3714.1</v>
      </c>
      <c r="G115" s="29">
        <f>'[1]побудинковий звіт'!G115</f>
        <v>340.25</v>
      </c>
      <c r="H115" s="148">
        <f>'[1]побудинковий звіт'!H115</f>
        <v>63.3</v>
      </c>
      <c r="I115" s="41">
        <f>'[2]побудинковий звіт'!I115+'[1]побудинковий звіт'!I115</f>
        <v>10222.243947461377</v>
      </c>
      <c r="J115" s="41">
        <f>'[2]побудинковий звіт'!J115+'[1]побудинковий звіт'!J115</f>
        <v>8067.6517380359492</v>
      </c>
      <c r="K115" s="55">
        <f t="shared" si="65"/>
        <v>-2154.5922094254274</v>
      </c>
      <c r="L115" s="41">
        <f>'[2]побудинковий звіт'!L115+'[1]побудинковий звіт'!L115</f>
        <v>2135.9330200943941</v>
      </c>
      <c r="M115" s="41">
        <f>'[2]побудинковий звіт'!M115+'[1]побудинковий звіт'!M115</f>
        <v>1851.4990275839211</v>
      </c>
      <c r="N115" s="55">
        <f t="shared" si="66"/>
        <v>-284.43399251047299</v>
      </c>
      <c r="O115" s="41">
        <f>'[2]побудинковий звіт'!O115+'[1]побудинковий звіт'!O115</f>
        <v>6663.0436375925337</v>
      </c>
      <c r="P115" s="41">
        <f>'[2]побудинковий звіт'!P115+'[1]побудинковий звіт'!P115</f>
        <v>6738.4808465886326</v>
      </c>
      <c r="Q115" s="55">
        <f t="shared" si="67"/>
        <v>75.437208996098889</v>
      </c>
      <c r="R115" s="41">
        <f>'[2]побудинковий звіт'!R115+'[1]побудинковий звіт'!R115</f>
        <v>1216.4273611054473</v>
      </c>
      <c r="S115" s="41">
        <f>'[2]побудинковий звіт'!S115+'[1]побудинковий звіт'!S115</f>
        <v>1219.6689766022253</v>
      </c>
      <c r="T115" s="55">
        <f t="shared" si="68"/>
        <v>3.2416154967779676</v>
      </c>
      <c r="U115" s="41">
        <f>'[2]побудинковий звіт'!U115+'[1]побудинковий звіт'!U115</f>
        <v>780.75904249621226</v>
      </c>
      <c r="V115" s="41">
        <f>'[2]побудинковий звіт'!V115+'[1]побудинковий звіт'!V115</f>
        <v>352.96694971279248</v>
      </c>
      <c r="W115" s="55">
        <f t="shared" si="69"/>
        <v>-427.79209278341978</v>
      </c>
      <c r="X115" s="41">
        <f>'[2]побудинковий звіт'!X115+'[1]побудинковий звіт'!X115</f>
        <v>8175.7124996602925</v>
      </c>
      <c r="Y115" s="41">
        <f>'[2]побудинковий звіт'!Y115+'[1]побудинковий звіт'!Y115</f>
        <v>5853.8537785797398</v>
      </c>
      <c r="Z115" s="55">
        <f t="shared" si="70"/>
        <v>-2321.8587210805526</v>
      </c>
      <c r="AA115" s="41">
        <f>'[2]побудинковий звіт'!AA115+'[1]побудинковий звіт'!AA115</f>
        <v>0</v>
      </c>
      <c r="AB115" s="41">
        <f>'[2]побудинковий звіт'!AB115+'[1]побудинковий звіт'!AB115</f>
        <v>0</v>
      </c>
      <c r="AC115" s="55">
        <f t="shared" si="71"/>
        <v>0</v>
      </c>
      <c r="AD115" s="41">
        <f>'[2]побудинковий звіт'!AD115+'[1]побудинковий звіт'!AD115</f>
        <v>16383.583027044491</v>
      </c>
      <c r="AE115" s="41">
        <f>'[2]побудинковий звіт'!AE115+'[1]побудинковий звіт'!AE115</f>
        <v>16319.869676391085</v>
      </c>
      <c r="AF115" s="36">
        <f t="shared" si="72"/>
        <v>-63.713350653406451</v>
      </c>
      <c r="AG115" s="84">
        <f t="shared" si="73"/>
        <v>45577.702535454751</v>
      </c>
      <c r="AH115" s="56">
        <f t="shared" si="74"/>
        <v>40403.990993494343</v>
      </c>
      <c r="AI115" s="55">
        <f t="shared" si="75"/>
        <v>-5173.7115419604088</v>
      </c>
      <c r="AJ115" s="41">
        <f>'[2]побудинковий звіт'!AJ115+'[1]побудинковий звіт'!AJ115</f>
        <v>60356.418595600298</v>
      </c>
      <c r="AK115" s="41">
        <f>'[2]побудинковий звіт'!AK115+'[1]побудинковий звіт'!AK115</f>
        <v>57601.276576215751</v>
      </c>
      <c r="AL115" s="55">
        <f t="shared" si="76"/>
        <v>-2755.1420193845479</v>
      </c>
      <c r="AM115" s="41">
        <f>'[2]побудинковий звіт'!AM115+'[1]побудинковий звіт'!AM115</f>
        <v>0</v>
      </c>
      <c r="AN115" s="41">
        <f>'[2]побудинковий звіт'!AN115+'[1]побудинковий звіт'!AN115</f>
        <v>0</v>
      </c>
      <c r="AO115" s="55">
        <f t="shared" si="77"/>
        <v>0</v>
      </c>
      <c r="AP115" s="41">
        <f>'[2]побудинковий звіт'!AP115+'[1]побудинковий звіт'!AP115</f>
        <v>3516.622697313474</v>
      </c>
      <c r="AQ115" s="41">
        <f>'[2]побудинковий звіт'!AQ115+'[1]побудинковий звіт'!AQ115</f>
        <v>2622.2071723234098</v>
      </c>
      <c r="AR115" s="55">
        <f t="shared" si="78"/>
        <v>-894.41552499006411</v>
      </c>
      <c r="AS115" s="41">
        <f>'[2]побудинковий звіт'!AS115+'[1]побудинковий звіт'!AS115</f>
        <v>65316.526207827003</v>
      </c>
      <c r="AT115" s="41">
        <f>'[2]побудинковий звіт'!AT115+'[1]побудинковий звіт'!AT115</f>
        <v>98845.099691158859</v>
      </c>
      <c r="AU115" s="57">
        <f t="shared" si="79"/>
        <v>33528.573483331857</v>
      </c>
      <c r="AV115" s="41">
        <f>'[2]побудинковий звіт'!AV115+'[1]побудинковий звіт'!AV115</f>
        <v>1003.2518378827403</v>
      </c>
      <c r="AW115" s="41">
        <f>'[2]побудинковий звіт'!AW115+'[1]побудинковий звіт'!AW115</f>
        <v>527.72371755561187</v>
      </c>
      <c r="AX115" s="58">
        <f t="shared" si="80"/>
        <v>-475.52812032712848</v>
      </c>
      <c r="AY115" s="41">
        <f>'[2]побудинковий звіт'!AY115+'[1]побудинковий звіт'!AY115</f>
        <v>1232.2018275760624</v>
      </c>
      <c r="AZ115" s="41">
        <f>'[2]побудинковий звіт'!AZ115+'[1]побудинковий звіт'!AZ115</f>
        <v>0</v>
      </c>
      <c r="BA115" s="36">
        <f t="shared" si="81"/>
        <v>-1232.2018275760624</v>
      </c>
      <c r="BB115" s="41">
        <f>'[2]побудинковий звіт'!BB115+'[1]побудинковий звіт'!BB115</f>
        <v>1531.5909118628931</v>
      </c>
      <c r="BC115" s="41">
        <f>'[2]побудинковий звіт'!BC115+'[1]побудинковий звіт'!BC115</f>
        <v>14861.681466427579</v>
      </c>
      <c r="BD115" s="58">
        <f t="shared" si="82"/>
        <v>13330.090554564686</v>
      </c>
      <c r="BE115" s="41">
        <f>'[2]побудинковий звіт'!BE115+'[1]побудинковий звіт'!BE115</f>
        <v>530.78309602894069</v>
      </c>
      <c r="BF115" s="41">
        <f>'[2]побудинковий звіт'!BF115+'[1]побудинковий звіт'!BF115</f>
        <v>12458.673079920201</v>
      </c>
      <c r="BG115" s="38">
        <f t="shared" si="83"/>
        <v>11927.88998389126</v>
      </c>
      <c r="BH115" s="41">
        <f>'[2]побудинковий звіт'!BH115+'[1]побудинковий звіт'!BH115</f>
        <v>396.51126392625707</v>
      </c>
      <c r="BI115" s="41">
        <f>'[2]побудинковий звіт'!BI115+'[1]побудинковий звіт'!BI115</f>
        <v>0</v>
      </c>
      <c r="BJ115" s="58">
        <f t="shared" si="84"/>
        <v>-396.51126392625707</v>
      </c>
      <c r="BK115" s="41">
        <f>'[2]побудинковий звіт'!BK115+'[1]побудинковий звіт'!BK115</f>
        <v>1304.1431350708287</v>
      </c>
      <c r="BL115" s="41">
        <f>'[2]побудинковий звіт'!BL115+'[1]побудинковий звіт'!BL115</f>
        <v>3136.3490224332895</v>
      </c>
      <c r="BM115" s="38">
        <f t="shared" si="85"/>
        <v>1832.2058873624608</v>
      </c>
      <c r="BN115" s="41">
        <f>'[2]побудинковий звіт'!BN115+'[1]побудинковий звіт'!BN115</f>
        <v>406.23660902073925</v>
      </c>
      <c r="BO115" s="41">
        <f>'[2]побудинковий звіт'!BO115+'[1]побудинковий звіт'!BO115</f>
        <v>0</v>
      </c>
      <c r="BP115" s="58">
        <f t="shared" si="86"/>
        <v>-406.23660902073925</v>
      </c>
      <c r="BQ115" s="84">
        <f t="shared" si="87"/>
        <v>6404.7186813684621</v>
      </c>
      <c r="BR115" s="42">
        <f t="shared" si="88"/>
        <v>30984.427286336682</v>
      </c>
      <c r="BS115" s="58">
        <f t="shared" si="89"/>
        <v>24579.708604968218</v>
      </c>
      <c r="BT115" s="41">
        <f>'[2]побудинковий звіт'!BT115+'[1]побудинковий звіт'!BT115</f>
        <v>46189.766737381731</v>
      </c>
      <c r="BU115" s="41">
        <f>'[2]побудинковий звіт'!BU115+'[1]побудинковий звіт'!BU115</f>
        <v>53637.254459950564</v>
      </c>
      <c r="BV115" s="55">
        <f t="shared" si="90"/>
        <v>7447.4877225688324</v>
      </c>
      <c r="BW115" s="41">
        <f>'[2]побудинковий звіт'!BW115+'[1]побудинковий звіт'!BW115</f>
        <v>42804.943240395689</v>
      </c>
      <c r="BX115" s="41">
        <f>'[2]побудинковий звіт'!BX115+'[1]побудинковий звіт'!BX115</f>
        <v>43816.940779070581</v>
      </c>
      <c r="BY115" s="55">
        <f t="shared" si="91"/>
        <v>1011.997538674892</v>
      </c>
      <c r="BZ115" s="41">
        <f>'[2]побудинковий звіт'!BZ115+'[1]побудинковий звіт'!BZ115</f>
        <v>8655.3695157007151</v>
      </c>
      <c r="CA115" s="41">
        <f>'[2]побудинковий звіт'!CA115+'[1]побудинковий звіт'!CA115</f>
        <v>2889.0733674031753</v>
      </c>
      <c r="CB115" s="55">
        <f t="shared" si="92"/>
        <v>-5766.2961482975397</v>
      </c>
      <c r="CC115" s="41">
        <f>'[2]побудинковий звіт'!CC115+'[1]побудинковий звіт'!CC115</f>
        <v>1260.5107155140136</v>
      </c>
      <c r="CD115" s="41">
        <f>'[2]побудинковий звіт'!CD115+'[1]побудинковий звіт'!CD115</f>
        <v>1264.784966748331</v>
      </c>
      <c r="CE115" s="55">
        <f t="shared" si="93"/>
        <v>4.2742512343174894</v>
      </c>
      <c r="CF115" s="41">
        <f>'[2]побудинковий звіт'!CF115+'[1]побудинковий звіт'!CF115</f>
        <v>156.17057780429874</v>
      </c>
      <c r="CG115" s="41">
        <f>'[2]побудинковий звіт'!CG115+'[1]побудинковий звіт'!CG115</f>
        <v>0</v>
      </c>
      <c r="CH115" s="55">
        <f t="shared" si="94"/>
        <v>-156.17057780429874</v>
      </c>
      <c r="CI115" s="41">
        <f>'[2]побудинковий звіт'!CI115+'[1]побудинковий звіт'!CI115</f>
        <v>13899.383632180894</v>
      </c>
      <c r="CJ115" s="41">
        <f>'[2]побудинковий звіт'!CJ115+'[1]побудинковий звіт'!CJ115</f>
        <v>5955.9500766352648</v>
      </c>
      <c r="CK115" s="55">
        <f t="shared" si="95"/>
        <v>-7943.4335555456291</v>
      </c>
      <c r="CL115" s="41">
        <f>'[2]побудинковий звіт'!CL115+'[1]побудинковий звіт'!CL115</f>
        <v>9179.9646851190155</v>
      </c>
      <c r="CM115" s="41">
        <f>'[2]побудинковий звіт'!CM115+'[1]побудинковий звіт'!CM115</f>
        <v>13615.770124712104</v>
      </c>
      <c r="CN115" s="55">
        <f t="shared" si="96"/>
        <v>4435.8054395930885</v>
      </c>
      <c r="CO115" s="41">
        <f t="shared" si="97"/>
        <v>23079.348317299911</v>
      </c>
      <c r="CP115" s="42">
        <f t="shared" si="98"/>
        <v>19571.720201347369</v>
      </c>
      <c r="CQ115" s="55">
        <f t="shared" si="99"/>
        <v>-3507.6281159525424</v>
      </c>
      <c r="CR115" s="76">
        <f t="shared" si="100"/>
        <v>303318.09782166034</v>
      </c>
      <c r="CS115" s="5">
        <f t="shared" si="101"/>
        <v>351636.77549404913</v>
      </c>
      <c r="CT115" s="55">
        <f t="shared" si="102"/>
        <v>48318.677672388789</v>
      </c>
      <c r="CU115" s="84">
        <f t="shared" si="103"/>
        <v>363981.71738599241</v>
      </c>
      <c r="CV115" s="68">
        <f t="shared" si="104"/>
        <v>421964.13059285894</v>
      </c>
      <c r="CW115" s="36">
        <f t="shared" si="105"/>
        <v>57982.413206866535</v>
      </c>
      <c r="CX115" s="41">
        <f>'[2]побудинковий звіт'!CX115+'[1]побудинковий звіт'!CX115</f>
        <v>10953.853203995144</v>
      </c>
      <c r="CY115" s="41">
        <f>'[2]побудинковий звіт'!CY115+'[1]побудинковий звіт'!CY115</f>
        <v>-47028.560002871338</v>
      </c>
      <c r="CZ115" s="55">
        <f t="shared" si="106"/>
        <v>-57982.413206866484</v>
      </c>
      <c r="DA115" s="254">
        <f>'[1]побудинковий звіт'!DA115</f>
        <v>-13032.591699360826</v>
      </c>
      <c r="DB115" s="2">
        <v>1</v>
      </c>
      <c r="DC115" s="702">
        <f>'[1]побудинковий звіт'!DC115</f>
        <v>113862.3</v>
      </c>
      <c r="DD115" s="702">
        <f>'[1]побудинковий звіт'!DD115</f>
        <v>177.76</v>
      </c>
      <c r="DE115" s="702">
        <f>'[1]побудинковий звіт'!DE115</f>
        <v>73206.63</v>
      </c>
      <c r="DF115" s="702">
        <f>'[1]побудинковий звіт'!DF115</f>
        <v>-254.51999999999998</v>
      </c>
      <c r="DG115" s="772">
        <v>29388.189969475032</v>
      </c>
      <c r="DH115" s="746">
        <f t="shared" si="107"/>
        <v>4499226.8470798507</v>
      </c>
      <c r="DI115" s="769"/>
      <c r="DJ115" s="5"/>
      <c r="DK115" s="307">
        <f>VLOOKUP($A115,ціни!$A$4:$G$401,5)</f>
        <v>6.0277309476763064</v>
      </c>
      <c r="DL115" s="307">
        <f>VLOOKUP($A115,ціни!$A$4:$G$401,6)</f>
        <v>8.0145246455458583</v>
      </c>
      <c r="DM115" s="307">
        <f>VLOOKUP($A115,ціни!$A$4:$G$401,7)</f>
        <v>4.9030147260832395</v>
      </c>
      <c r="DN115" s="29">
        <f t="shared" si="120"/>
        <v>29090.739430321755</v>
      </c>
      <c r="DO115" s="29">
        <f t="shared" si="121"/>
        <v>310.36083216106903</v>
      </c>
      <c r="DP115" s="306">
        <f t="shared" si="108"/>
        <v>29401.100262482825</v>
      </c>
      <c r="DQ115" s="101"/>
      <c r="DR115" s="29">
        <f>VLOOKUP(A115,'ДЗ нас '!$A$1:$C$359,2)</f>
        <v>29090.080000000002</v>
      </c>
      <c r="DS115" s="733">
        <f>VLOOKUP(A115,'ДЗ нежит'!$A$1:$D$153,4,0)</f>
        <v>310.36</v>
      </c>
      <c r="DT115" s="29">
        <f t="shared" si="109"/>
        <v>29400.440000000002</v>
      </c>
      <c r="DU115" s="247">
        <f>VLOOKUP(A115,'новий кошторис с 01.06'!$A$4:$AI$399,35)*1.2</f>
        <v>29544.117582768846</v>
      </c>
      <c r="DV115" s="29">
        <f t="shared" si="110"/>
        <v>-143.67758276884342</v>
      </c>
      <c r="DW115" s="1016">
        <f>'[2]побудинковий звіт'!$DW$9+'[1]побудинковий звіт'!DW115</f>
        <v>909</v>
      </c>
      <c r="DX115" s="101">
        <f>'[1]побудинковий звіт'!DX115</f>
        <v>0</v>
      </c>
      <c r="DY115" s="5">
        <f t="shared" si="111"/>
        <v>86065.493867034558</v>
      </c>
      <c r="DZ115" s="5">
        <f t="shared" si="112"/>
        <v>155795.43237299463</v>
      </c>
      <c r="EA115" s="737">
        <f t="shared" si="113"/>
        <v>72952.11</v>
      </c>
      <c r="EC115" s="577">
        <f t="shared" si="114"/>
        <v>783798.31449392403</v>
      </c>
      <c r="EE115" s="743">
        <v>19779</v>
      </c>
      <c r="EF115" s="723">
        <f t="shared" si="115"/>
        <v>49167.189969475032</v>
      </c>
      <c r="EH115" s="798">
        <v>-19406.631425826417</v>
      </c>
      <c r="EI115" s="101">
        <f>VLOOKUP(A115,'кошти 01.01.24'!$A$9:$D$352,4,FALSE)</f>
        <v>-71015.004906227332</v>
      </c>
    </row>
    <row r="116" spans="1:139" hidden="1" x14ac:dyDescent="0.3">
      <c r="A116" s="318">
        <v>150000628</v>
      </c>
      <c r="B116" s="43" t="s">
        <v>543</v>
      </c>
      <c r="C116" s="44" t="s">
        <v>356</v>
      </c>
      <c r="D116" s="44" t="s">
        <v>356</v>
      </c>
      <c r="E116" s="39">
        <f t="shared" si="64"/>
        <v>4656.33</v>
      </c>
      <c r="F116" s="205">
        <f>'[1]побудинковий звіт'!F116</f>
        <v>4512.63</v>
      </c>
      <c r="G116" s="29">
        <f>'[1]побудинковий звіт'!G116</f>
        <v>368.4</v>
      </c>
      <c r="H116" s="148">
        <f>'[1]побудинковий звіт'!H116</f>
        <v>143.69999999999999</v>
      </c>
      <c r="I116" s="41">
        <f>'[2]побудинковий звіт'!I116+'[1]побудинковий звіт'!I116</f>
        <v>16540.413121487189</v>
      </c>
      <c r="J116" s="41">
        <f>'[2]побудинковий звіт'!J116+'[1]побудинковий звіт'!J116</f>
        <v>13057.199608440387</v>
      </c>
      <c r="K116" s="55">
        <f t="shared" si="65"/>
        <v>-3483.2135130468014</v>
      </c>
      <c r="L116" s="41">
        <f>'[2]побудинковий звіт'!L116+'[1]побудинковий звіт'!L116</f>
        <v>2570.2454861133629</v>
      </c>
      <c r="M116" s="41">
        <f>'[2]побудинковий звіт'!M116+'[1]побудинковий звіт'!M116</f>
        <v>2224.4765715567678</v>
      </c>
      <c r="N116" s="55">
        <f t="shared" si="66"/>
        <v>-345.76891455659506</v>
      </c>
      <c r="O116" s="41">
        <f>'[2]побудинковий звіт'!O116+'[1]побудинковий звіт'!O116</f>
        <v>7718.718727925554</v>
      </c>
      <c r="P116" s="41">
        <f>'[2]побудинковий звіт'!P116+'[1]побудинковий звіт'!P116</f>
        <v>7797.262345184794</v>
      </c>
      <c r="Q116" s="55">
        <f t="shared" si="67"/>
        <v>78.543617259239909</v>
      </c>
      <c r="R116" s="41">
        <f>'[2]побудинковий звіт'!R116+'[1]побудинковий звіт'!R116</f>
        <v>1491.6293471076083</v>
      </c>
      <c r="S116" s="41">
        <f>'[2]побудинковий звіт'!S116+'[1]побудинковий звіт'!S116</f>
        <v>1495.744751341342</v>
      </c>
      <c r="T116" s="55">
        <f t="shared" si="68"/>
        <v>4.1154042337336705</v>
      </c>
      <c r="U116" s="41">
        <f>'[2]побудинковий звіт'!U116+'[1]побудинковий звіт'!U116</f>
        <v>764.13231552611455</v>
      </c>
      <c r="V116" s="41">
        <f>'[2]побудинковий звіт'!V116+'[1]побудинковий звіт'!V116</f>
        <v>343.2688028773556</v>
      </c>
      <c r="W116" s="55">
        <f t="shared" si="69"/>
        <v>-420.86351264875896</v>
      </c>
      <c r="X116" s="41">
        <f>'[2]побудинковий звіт'!X116+'[1]побудинковий звіт'!X116</f>
        <v>6642.8373049599104</v>
      </c>
      <c r="Y116" s="41">
        <f>'[2]побудинковий звіт'!Y116+'[1]побудинковий звіт'!Y116</f>
        <v>4461.8767744185343</v>
      </c>
      <c r="Z116" s="55">
        <f t="shared" si="70"/>
        <v>-2180.9605305413761</v>
      </c>
      <c r="AA116" s="41">
        <f>'[2]побудинковий звіт'!AA116+'[1]побудинковий звіт'!AA116</f>
        <v>0</v>
      </c>
      <c r="AB116" s="41">
        <f>'[2]побудинковий звіт'!AB116+'[1]побудинковий звіт'!AB116</f>
        <v>0</v>
      </c>
      <c r="AC116" s="55">
        <f t="shared" si="71"/>
        <v>0</v>
      </c>
      <c r="AD116" s="41">
        <f>'[2]побудинковий звіт'!AD116+'[1]побудинковий звіт'!AD116</f>
        <v>20183.8287087668</v>
      </c>
      <c r="AE116" s="41">
        <f>'[2]побудинковий звіт'!AE116+'[1]побудинковий звіт'!AE116</f>
        <v>20105.788887466479</v>
      </c>
      <c r="AF116" s="36">
        <f t="shared" si="72"/>
        <v>-78.039821300320909</v>
      </c>
      <c r="AG116" s="84">
        <f t="shared" si="73"/>
        <v>55911.805011886543</v>
      </c>
      <c r="AH116" s="56">
        <f t="shared" si="74"/>
        <v>49485.617741285663</v>
      </c>
      <c r="AI116" s="55">
        <f t="shared" si="75"/>
        <v>-6426.1872706008799</v>
      </c>
      <c r="AJ116" s="41">
        <f>'[2]побудинковий звіт'!AJ116+'[1]побудинковий звіт'!AJ116</f>
        <v>42985.158365821335</v>
      </c>
      <c r="AK116" s="41">
        <f>'[2]побудинковий звіт'!AK116+'[1]побудинковий звіт'!AK116</f>
        <v>41472.929982993068</v>
      </c>
      <c r="AL116" s="55">
        <f t="shared" si="76"/>
        <v>-1512.2283828282671</v>
      </c>
      <c r="AM116" s="41">
        <f>'[2]побудинковий звіт'!AM116+'[1]побудинковий звіт'!AM116</f>
        <v>605.85684545284585</v>
      </c>
      <c r="AN116" s="41">
        <f>'[2]побудинковий звіт'!AN116+'[1]побудинковий звіт'!AN116</f>
        <v>0</v>
      </c>
      <c r="AO116" s="55">
        <f t="shared" si="77"/>
        <v>-605.85684545284585</v>
      </c>
      <c r="AP116" s="41">
        <f>'[2]побудинковий звіт'!AP116+'[1]побудинковий звіт'!AP116</f>
        <v>3467.092800168215</v>
      </c>
      <c r="AQ116" s="41">
        <f>'[2]побудинковий звіт'!AQ116+'[1]побудинковий звіт'!AQ116</f>
        <v>3934.23332311278</v>
      </c>
      <c r="AR116" s="55">
        <f t="shared" si="78"/>
        <v>467.14052294456496</v>
      </c>
      <c r="AS116" s="41">
        <f>'[2]побудинковий звіт'!AS116+'[1]побудинковий звіт'!AS116</f>
        <v>74166.515858661762</v>
      </c>
      <c r="AT116" s="41">
        <f>'[2]побудинковий звіт'!AT116+'[1]побудинковий звіт'!AT116</f>
        <v>56771.733659736055</v>
      </c>
      <c r="AU116" s="57">
        <f t="shared" si="79"/>
        <v>-17394.782198925706</v>
      </c>
      <c r="AV116" s="41">
        <f>'[2]побудинковий звіт'!AV116+'[1]побудинковий звіт'!AV116</f>
        <v>1506.0433560996357</v>
      </c>
      <c r="AW116" s="41">
        <f>'[2]побудинковий звіт'!AW116+'[1]побудинковий звіт'!AW116</f>
        <v>1305.8791734196134</v>
      </c>
      <c r="AX116" s="58">
        <f t="shared" si="80"/>
        <v>-200.16418268002235</v>
      </c>
      <c r="AY116" s="41">
        <f>'[2]побудинковий звіт'!AY116+'[1]побудинковий звіт'!AY116</f>
        <v>1551.6991855588378</v>
      </c>
      <c r="AZ116" s="41">
        <f>'[2]побудинковий звіт'!AZ116+'[1]побудинковий звіт'!AZ116</f>
        <v>0</v>
      </c>
      <c r="BA116" s="36">
        <f t="shared" si="81"/>
        <v>-1551.6991855588378</v>
      </c>
      <c r="BB116" s="41">
        <f>'[2]побудинковий звіт'!BB116+'[1]побудинковий звіт'!BB116</f>
        <v>1555.9920028177539</v>
      </c>
      <c r="BC116" s="41">
        <f>'[2]побудинковий звіт'!BC116+'[1]побудинковий звіт'!BC116</f>
        <v>1095.8237984348568</v>
      </c>
      <c r="BD116" s="58">
        <f t="shared" si="82"/>
        <v>-460.1682043828971</v>
      </c>
      <c r="BE116" s="41">
        <f>'[2]побудинковий звіт'!BE116+'[1]побудинковий звіт'!BE116</f>
        <v>644.95955600189745</v>
      </c>
      <c r="BF116" s="41">
        <f>'[2]побудинковий звіт'!BF116+'[1]побудинковий звіт'!BF116</f>
        <v>2364.6819563445451</v>
      </c>
      <c r="BG116" s="38">
        <f t="shared" si="83"/>
        <v>1719.7224003426477</v>
      </c>
      <c r="BH116" s="41">
        <f>'[2]побудинковий звіт'!BH116+'[1]побудинковий звіт'!BH116</f>
        <v>396.51126392625707</v>
      </c>
      <c r="BI116" s="41">
        <f>'[2]побудинковий звіт'!BI116+'[1]побудинковий звіт'!BI116</f>
        <v>1307.0381522802945</v>
      </c>
      <c r="BJ116" s="58">
        <f t="shared" si="84"/>
        <v>910.52688835403751</v>
      </c>
      <c r="BK116" s="41">
        <f>'[2]побудинковий звіт'!BK116+'[1]побудинковий звіт'!BK116</f>
        <v>1220.1158949910266</v>
      </c>
      <c r="BL116" s="41">
        <f>'[2]побудинковий звіт'!BL116+'[1]побудинковий звіт'!BL116</f>
        <v>0</v>
      </c>
      <c r="BM116" s="38">
        <f t="shared" si="85"/>
        <v>-1220.1158949910266</v>
      </c>
      <c r="BN116" s="41">
        <f>'[2]побудинковий звіт'!BN116+'[1]побудинковий звіт'!BN116</f>
        <v>410.3880066668292</v>
      </c>
      <c r="BO116" s="41">
        <f>'[2]побудинковий звіт'!BO116+'[1]побудинковий звіт'!BO116</f>
        <v>0</v>
      </c>
      <c r="BP116" s="58">
        <f t="shared" si="86"/>
        <v>-410.3880066668292</v>
      </c>
      <c r="BQ116" s="84">
        <f t="shared" si="87"/>
        <v>7285.7092660622384</v>
      </c>
      <c r="BR116" s="42">
        <f t="shared" si="88"/>
        <v>6073.4230804793096</v>
      </c>
      <c r="BS116" s="58">
        <f t="shared" si="89"/>
        <v>-1212.2861855829287</v>
      </c>
      <c r="BT116" s="41">
        <f>'[2]побудинковий звіт'!BT116+'[1]побудинковий звіт'!BT116</f>
        <v>57809.84304275419</v>
      </c>
      <c r="BU116" s="41">
        <f>'[2]побудинковий звіт'!BU116+'[1]побудинковий звіт'!BU116</f>
        <v>24702.809577024062</v>
      </c>
      <c r="BV116" s="55">
        <f t="shared" si="90"/>
        <v>-33107.033465730128</v>
      </c>
      <c r="BW116" s="41">
        <f>'[2]побудинковий звіт'!BW116+'[1]побудинковий звіт'!BW116</f>
        <v>43353.658532218396</v>
      </c>
      <c r="BX116" s="41">
        <f>'[2]побудинковий звіт'!BX116+'[1]побудинковий звіт'!BX116</f>
        <v>17140.713667757344</v>
      </c>
      <c r="BY116" s="55">
        <f t="shared" si="91"/>
        <v>-26212.944864461053</v>
      </c>
      <c r="BZ116" s="41">
        <f>'[2]побудинковий звіт'!BZ116+'[1]побудинковий звіт'!BZ116</f>
        <v>6864.6034090040175</v>
      </c>
      <c r="CA116" s="41">
        <f>'[2]побудинковий звіт'!CA116+'[1]побудинковий звіт'!CA116</f>
        <v>2173.8827286304872</v>
      </c>
      <c r="CB116" s="55">
        <f t="shared" si="92"/>
        <v>-4690.7206803735298</v>
      </c>
      <c r="CC116" s="41">
        <f>'[2]побудинковий звіт'!CC116+'[1]побудинковий звіт'!CC116</f>
        <v>1089.2058435655249</v>
      </c>
      <c r="CD116" s="41">
        <f>'[2]побудинковий звіт'!CD116+'[1]побудинковий звіт'!CD116</f>
        <v>1092.8992190870385</v>
      </c>
      <c r="CE116" s="55">
        <f t="shared" si="93"/>
        <v>3.6933755215136443</v>
      </c>
      <c r="CF116" s="41">
        <f>'[2]побудинковий звіт'!CF116+'[1]побудинковий звіт'!CF116</f>
        <v>134.9468146869994</v>
      </c>
      <c r="CG116" s="41">
        <f>'[2]побудинковий звіт'!CG116+'[1]побудинковий звіт'!CG116</f>
        <v>0</v>
      </c>
      <c r="CH116" s="55">
        <f t="shared" si="94"/>
        <v>-134.9468146869994</v>
      </c>
      <c r="CI116" s="41">
        <f>'[2]побудинковий звіт'!CI116+'[1]побудинковий звіт'!CI116</f>
        <v>9578.2301798225089</v>
      </c>
      <c r="CJ116" s="41">
        <f>'[2]побудинковий звіт'!CJ116+'[1]побудинковий звіт'!CJ116</f>
        <v>9912.272919244926</v>
      </c>
      <c r="CK116" s="55">
        <f t="shared" si="95"/>
        <v>334.04273942241707</v>
      </c>
      <c r="CL116" s="41">
        <f>'[2]побудинковий звіт'!CL116+'[1]побудинковий звіт'!CL116</f>
        <v>14505.934792178396</v>
      </c>
      <c r="CM116" s="41">
        <f>'[2]побудинковий звіт'!CM116+'[1]побудинковий звіт'!CM116</f>
        <v>14858.202420341066</v>
      </c>
      <c r="CN116" s="55">
        <f t="shared" si="96"/>
        <v>352.26762816267001</v>
      </c>
      <c r="CO116" s="41">
        <f t="shared" si="97"/>
        <v>24084.164972000905</v>
      </c>
      <c r="CP116" s="42">
        <f t="shared" si="98"/>
        <v>24770.475339585992</v>
      </c>
      <c r="CQ116" s="55">
        <f t="shared" si="99"/>
        <v>686.31036758508708</v>
      </c>
      <c r="CR116" s="76">
        <f t="shared" si="100"/>
        <v>317758.56076228293</v>
      </c>
      <c r="CS116" s="5">
        <f t="shared" si="101"/>
        <v>227618.71831969183</v>
      </c>
      <c r="CT116" s="55">
        <f t="shared" si="102"/>
        <v>-90139.842442591093</v>
      </c>
      <c r="CU116" s="84">
        <f t="shared" si="103"/>
        <v>381310.2729147395</v>
      </c>
      <c r="CV116" s="68">
        <f t="shared" si="104"/>
        <v>273142.4619836302</v>
      </c>
      <c r="CW116" s="36">
        <f t="shared" si="105"/>
        <v>-108167.8109311093</v>
      </c>
      <c r="CX116" s="41">
        <f>'[2]побудинковий звіт'!CX116+'[1]побудинковий звіт'!CX116</f>
        <v>8651.4865163495815</v>
      </c>
      <c r="CY116" s="41">
        <f>'[2]побудинковий звіт'!CY116+'[1]побудинковий звіт'!CY116</f>
        <v>116819.29744745896</v>
      </c>
      <c r="CZ116" s="55">
        <f t="shared" si="106"/>
        <v>108167.81093110937</v>
      </c>
      <c r="DA116" s="254">
        <f>'[1]побудинковий звіт'!DA116</f>
        <v>-13931.434431721951</v>
      </c>
      <c r="DB116" s="2">
        <v>1</v>
      </c>
      <c r="DC116" s="702">
        <f>'[1]побудинковий звіт'!DC116</f>
        <v>68985.179999999993</v>
      </c>
      <c r="DD116" s="702">
        <f>'[1]побудинковий звіт'!DD116</f>
        <v>975.91</v>
      </c>
      <c r="DE116" s="702">
        <f>'[1]побудинковий звіт'!DE116</f>
        <v>27231.919999999991</v>
      </c>
      <c r="DF116" s="702">
        <f>'[1]побудинковий звіт'!DF116</f>
        <v>83.050000000000068</v>
      </c>
      <c r="DG116" s="772">
        <v>-36834.627525631571</v>
      </c>
      <c r="DH116" s="746">
        <f t="shared" si="107"/>
        <v>4679541.1131730694</v>
      </c>
      <c r="DI116" s="769"/>
      <c r="DJ116" s="5"/>
      <c r="DK116" s="307">
        <f>VLOOKUP($A116,ціни!$A$4:$G$401,5)</f>
        <v>5.4027984175394712</v>
      </c>
      <c r="DL116" s="307">
        <f>VLOOKUP($A116,ціни!$A$4:$G$401,6)</f>
        <v>6.7452619071701587</v>
      </c>
      <c r="DM116" s="307">
        <f>VLOOKUP($A116,ціни!$A$4:$G$401,7)</f>
        <v>4.4755062204342035</v>
      </c>
      <c r="DN116" s="29">
        <f t="shared" si="120"/>
        <v>29944.307690573332</v>
      </c>
      <c r="DO116" s="29">
        <f t="shared" si="121"/>
        <v>643.13024387639496</v>
      </c>
      <c r="DP116" s="306">
        <f t="shared" si="108"/>
        <v>30587.437934449728</v>
      </c>
      <c r="DQ116" s="101"/>
      <c r="DR116" s="29">
        <f>VLOOKUP(A116,'ДЗ нас '!$A$1:$C$359,2)</f>
        <v>29944.44</v>
      </c>
      <c r="DS116" s="733">
        <f>VLOOKUP(A116,'ДЗ нежит'!$A$1:$D$153,4,0)</f>
        <v>643.13</v>
      </c>
      <c r="DT116" s="29">
        <f t="shared" si="109"/>
        <v>30587.57</v>
      </c>
      <c r="DU116" s="247">
        <f>VLOOKUP(A116,'новий кошторис с 01.06'!$A$4:$AI$399,35)*1.2</f>
        <v>30655.045435522527</v>
      </c>
      <c r="DV116" s="29">
        <f t="shared" si="110"/>
        <v>-67.475435522526823</v>
      </c>
      <c r="DW116" s="1016">
        <f>'[2]побудинковий звіт'!$DW$9+'[1]побудинковий звіт'!DW116</f>
        <v>909</v>
      </c>
      <c r="DX116" s="101">
        <f>'[1]побудинковий звіт'!DX116</f>
        <v>0</v>
      </c>
      <c r="DY116" s="5">
        <f t="shared" si="111"/>
        <v>97742.670149668804</v>
      </c>
      <c r="DZ116" s="5">
        <f t="shared" si="112"/>
        <v>75414.188088258437</v>
      </c>
      <c r="EA116" s="737">
        <f t="shared" si="113"/>
        <v>27314.96999999999</v>
      </c>
      <c r="EC116" s="577">
        <f t="shared" si="114"/>
        <v>889998.19030394114</v>
      </c>
      <c r="EE116" s="743">
        <v>28537</v>
      </c>
      <c r="EF116" s="723">
        <f t="shared" si="115"/>
        <v>-8297.6275256315712</v>
      </c>
      <c r="EH116" s="798">
        <v>-50802.643548856555</v>
      </c>
      <c r="EI116" s="101">
        <f>VLOOKUP(A116,'кошти 01.01.24'!$A$9:$D$352,4,FALSE)</f>
        <v>94236.376499387479</v>
      </c>
    </row>
    <row r="117" spans="1:139" ht="14.4" hidden="1" customHeight="1" x14ac:dyDescent="0.3">
      <c r="A117" s="318">
        <v>150000625</v>
      </c>
      <c r="B117" s="43" t="s">
        <v>544</v>
      </c>
      <c r="C117" s="44" t="s">
        <v>415</v>
      </c>
      <c r="D117" s="44" t="s">
        <v>415</v>
      </c>
      <c r="E117" s="39">
        <f t="shared" si="64"/>
        <v>4850.6500000000005</v>
      </c>
      <c r="F117" s="205">
        <f>'[1]побудинковий звіт'!F117</f>
        <v>4786.05</v>
      </c>
      <c r="G117" s="29">
        <f>'[1]побудинковий звіт'!G117</f>
        <v>340.9</v>
      </c>
      <c r="H117" s="148">
        <f>'[1]побудинковий звіт'!H117</f>
        <v>64.599999999999994</v>
      </c>
      <c r="I117" s="41">
        <f>'[2]побудинковий звіт'!I117+'[1]побудинковий звіт'!I117</f>
        <v>17826.441769414501</v>
      </c>
      <c r="J117" s="41">
        <f>'[2]побудинковий звіт'!J117+'[1]побудинковий звіт'!J117</f>
        <v>14023.714588650299</v>
      </c>
      <c r="K117" s="55">
        <f t="shared" si="65"/>
        <v>-3802.7271807642028</v>
      </c>
      <c r="L117" s="41">
        <f>'[2]побудинковий звіт'!L117+'[1]побудинковий звіт'!L117</f>
        <v>2742.6112079220152</v>
      </c>
      <c r="M117" s="41">
        <f>'[2]побудинковий звіт'!M117+'[1]побудинковий звіт'!M117</f>
        <v>2336.8116557444291</v>
      </c>
      <c r="N117" s="55">
        <f t="shared" si="66"/>
        <v>-405.79955217758607</v>
      </c>
      <c r="O117" s="41">
        <f>'[2]побудинковий звіт'!O117+'[1]побудинковий звіт'!O117</f>
        <v>8321.4769211193379</v>
      </c>
      <c r="P117" s="41">
        <f>'[2]побудинковий звіт'!P117+'[1]побудинковий звіт'!P117</f>
        <v>8401.7158818800017</v>
      </c>
      <c r="Q117" s="55">
        <f t="shared" si="67"/>
        <v>80.238960760663758</v>
      </c>
      <c r="R117" s="41">
        <f>'[2]побудинковий звіт'!R117+'[1]побудинковий звіт'!R117</f>
        <v>1596.4217700626791</v>
      </c>
      <c r="S117" s="41">
        <f>'[2]побудинковий звіт'!S117+'[1]побудинковий звіт'!S117</f>
        <v>1600.8104597151012</v>
      </c>
      <c r="T117" s="55">
        <f t="shared" si="68"/>
        <v>4.3886896524220447</v>
      </c>
      <c r="U117" s="41">
        <f>'[2]побудинковий звіт'!U117+'[1]побудинковий звіт'!U117</f>
        <v>822.97952391990952</v>
      </c>
      <c r="V117" s="41">
        <f>'[2]побудинковий звіт'!V117+'[1]побудинковий звіт'!V117</f>
        <v>367.07095183313947</v>
      </c>
      <c r="W117" s="55">
        <f t="shared" si="69"/>
        <v>-455.90857208677005</v>
      </c>
      <c r="X117" s="41">
        <f>'[2]побудинковий звіт'!X117+'[1]побудинковий звіт'!X117</f>
        <v>7254.2717511704459</v>
      </c>
      <c r="Y117" s="41">
        <f>'[2]побудинковий звіт'!Y117+'[1]побудинковий звіт'!Y117</f>
        <v>5175.3751766715841</v>
      </c>
      <c r="Z117" s="55">
        <f t="shared" si="70"/>
        <v>-2078.8965744988618</v>
      </c>
      <c r="AA117" s="41">
        <f>'[2]побудинковий звіт'!AA117+'[1]побудинковий звіт'!AA117</f>
        <v>0</v>
      </c>
      <c r="AB117" s="41">
        <f>'[2]побудинковий звіт'!AB117+'[1]побудинковий звіт'!AB117</f>
        <v>0</v>
      </c>
      <c r="AC117" s="55">
        <f t="shared" si="71"/>
        <v>0</v>
      </c>
      <c r="AD117" s="41">
        <f>'[2]побудинковий звіт'!AD117+'[1]побудинковий звіт'!AD117</f>
        <v>21038.783248299645</v>
      </c>
      <c r="AE117" s="41">
        <f>'[2]побудинковий звіт'!AE117+'[1]побудинковий звіт'!AE117</f>
        <v>20956.957732444549</v>
      </c>
      <c r="AF117" s="36">
        <f t="shared" si="72"/>
        <v>-81.825515855096455</v>
      </c>
      <c r="AG117" s="84">
        <f t="shared" si="73"/>
        <v>59602.986191908531</v>
      </c>
      <c r="AH117" s="56">
        <f t="shared" si="74"/>
        <v>52862.456446939104</v>
      </c>
      <c r="AI117" s="55">
        <f t="shared" si="75"/>
        <v>-6740.5297449694262</v>
      </c>
      <c r="AJ117" s="41">
        <f>'[2]побудинковий звіт'!AJ117+'[1]побудинковий звіт'!AJ117</f>
        <v>46059.063357488129</v>
      </c>
      <c r="AK117" s="41">
        <f>'[2]побудинковий звіт'!AK117+'[1]побудинковий звіт'!AK117</f>
        <v>35616.90636201766</v>
      </c>
      <c r="AL117" s="55">
        <f t="shared" si="76"/>
        <v>-10442.156995470468</v>
      </c>
      <c r="AM117" s="41">
        <f>'[2]побудинковий звіт'!AM117+'[1]побудинковий звіт'!AM117</f>
        <v>302.92842272642292</v>
      </c>
      <c r="AN117" s="41">
        <f>'[2]побудинковий звіт'!AN117+'[1]побудинковий звіт'!AN117</f>
        <v>1445.5217195522291</v>
      </c>
      <c r="AO117" s="55">
        <f t="shared" si="77"/>
        <v>1142.5932968258062</v>
      </c>
      <c r="AP117" s="41">
        <f>'[2]побудинковий звіт'!AP117+'[1]побудинковий звіт'!AP117</f>
        <v>3912.8618744755563</v>
      </c>
      <c r="AQ117" s="41">
        <f>'[2]побудинковий звіт'!AQ117+'[1]побудинковий звіт'!AQ117</f>
        <v>4560</v>
      </c>
      <c r="AR117" s="55">
        <f t="shared" si="78"/>
        <v>647.13812552444369</v>
      </c>
      <c r="AS117" s="41">
        <f>'[2]побудинковий звіт'!AS117+'[1]побудинковий звіт'!AS117</f>
        <v>73284.734867613835</v>
      </c>
      <c r="AT117" s="41">
        <f>'[2]побудинковий звіт'!AT117+'[1]побудинковий звіт'!AT117</f>
        <v>103906.26426801117</v>
      </c>
      <c r="AU117" s="57">
        <f t="shared" si="79"/>
        <v>30621.529400397339</v>
      </c>
      <c r="AV117" s="41">
        <f>'[2]побудинковий звіт'!AV117+'[1]побудинковий звіт'!AV117</f>
        <v>1711.4115534692971</v>
      </c>
      <c r="AW117" s="41">
        <f>'[2]побудинковий звіт'!AW117+'[1]побудинковий звіт'!AW117</f>
        <v>1781.8600666715056</v>
      </c>
      <c r="AX117" s="58">
        <f t="shared" si="80"/>
        <v>70.44851320220846</v>
      </c>
      <c r="AY117" s="41">
        <f>'[2]побудинковий звіт'!AY117+'[1]побудинковий звіт'!AY117</f>
        <v>1631.4432739070901</v>
      </c>
      <c r="AZ117" s="41">
        <f>'[2]побудинковий звіт'!AZ117+'[1]побудинковий звіт'!AZ117</f>
        <v>12550.256093164056</v>
      </c>
      <c r="BA117" s="36">
        <f t="shared" si="81"/>
        <v>10918.812819256966</v>
      </c>
      <c r="BB117" s="41">
        <f>'[2]побудинковий звіт'!BB117+'[1]побудинковий звіт'!BB117</f>
        <v>1713.0980832908244</v>
      </c>
      <c r="BC117" s="41">
        <f>'[2]побудинковий звіт'!BC117+'[1]побудинковий звіт'!BC117</f>
        <v>2661.5714154231418</v>
      </c>
      <c r="BD117" s="58">
        <f t="shared" si="82"/>
        <v>948.47333213231741</v>
      </c>
      <c r="BE117" s="41">
        <f>'[2]побудинковий звіт'!BE117+'[1]побудинковий звіт'!BE117</f>
        <v>668.44130368859112</v>
      </c>
      <c r="BF117" s="41">
        <f>'[2]побудинковий звіт'!BF117+'[1]побудинковий звіт'!BF117</f>
        <v>532.08207401446475</v>
      </c>
      <c r="BG117" s="38">
        <f t="shared" si="83"/>
        <v>-136.35922967412637</v>
      </c>
      <c r="BH117" s="41">
        <f>'[2]побудинковий звіт'!BH117+'[1]побудинковий звіт'!BH117</f>
        <v>427.52110390759782</v>
      </c>
      <c r="BI117" s="41">
        <f>'[2]побудинковий звіт'!BI117+'[1]побудинковий звіт'!BI117</f>
        <v>0</v>
      </c>
      <c r="BJ117" s="58">
        <f t="shared" si="84"/>
        <v>-427.52110390759782</v>
      </c>
      <c r="BK117" s="41">
        <f>'[2]побудинковий звіт'!BK117+'[1]побудинковий звіт'!BK117</f>
        <v>1290.9848684275985</v>
      </c>
      <c r="BL117" s="41">
        <f>'[2]побудинковий звіт'!BL117+'[1]побудинковий звіт'!BL117</f>
        <v>4878.569249700744</v>
      </c>
      <c r="BM117" s="38">
        <f t="shared" si="85"/>
        <v>3587.5843812731455</v>
      </c>
      <c r="BN117" s="41">
        <f>'[2]побудинковий звіт'!BN117+'[1]побудинковий звіт'!BN117</f>
        <v>335.84441311431328</v>
      </c>
      <c r="BO117" s="41">
        <f>'[2]побудинковий звіт'!BO117+'[1]побудинковий звіт'!BO117</f>
        <v>0</v>
      </c>
      <c r="BP117" s="58">
        <f t="shared" si="86"/>
        <v>-335.84441311431328</v>
      </c>
      <c r="BQ117" s="84">
        <f t="shared" si="87"/>
        <v>7778.7445998053117</v>
      </c>
      <c r="BR117" s="42">
        <f t="shared" si="88"/>
        <v>22404.338898973914</v>
      </c>
      <c r="BS117" s="58">
        <f t="shared" si="89"/>
        <v>14625.594299168602</v>
      </c>
      <c r="BT117" s="41">
        <f>'[2]побудинковий звіт'!BT117+'[1]побудинковий звіт'!BT117</f>
        <v>78586.377457928931</v>
      </c>
      <c r="BU117" s="41">
        <f>'[2]побудинковий звіт'!BU117+'[1]побудинковий звіт'!BU117</f>
        <v>32424.055766080193</v>
      </c>
      <c r="BV117" s="55">
        <f t="shared" si="90"/>
        <v>-46162.321691848738</v>
      </c>
      <c r="BW117" s="41">
        <f>'[2]побудинковий звіт'!BW117+'[1]побудинковий звіт'!BW117</f>
        <v>47329.089475339679</v>
      </c>
      <c r="BX117" s="41">
        <f>'[2]побудинковий звіт'!BX117+'[1]побудинковий звіт'!BX117</f>
        <v>16872.659718513383</v>
      </c>
      <c r="BY117" s="55">
        <f t="shared" si="91"/>
        <v>-30456.429756826295</v>
      </c>
      <c r="BZ117" s="41">
        <f>'[2]побудинковий звіт'!BZ117+'[1]побудинковий звіт'!BZ117</f>
        <v>11938.440711311334</v>
      </c>
      <c r="CA117" s="41">
        <f>'[2]побудинковий звіт'!CA117+'[1]побудинковий звіт'!CA117</f>
        <v>3050.2926332360639</v>
      </c>
      <c r="CB117" s="55">
        <f t="shared" si="92"/>
        <v>-8888.14807807527</v>
      </c>
      <c r="CC117" s="41">
        <f>'[2]побудинковий звіт'!CC117+'[1]побудинковий звіт'!CC117</f>
        <v>802.47629853944477</v>
      </c>
      <c r="CD117" s="41">
        <f>'[2]побудинковий звіт'!CD117+'[1]побудинковий звіт'!CD117</f>
        <v>805.1974061566408</v>
      </c>
      <c r="CE117" s="55">
        <f t="shared" si="93"/>
        <v>2.7211076171960258</v>
      </c>
      <c r="CF117" s="41">
        <f>'[2]побудинковий звіт'!CF117+'[1]побудинковий звіт'!CF117</f>
        <v>99.422548078899482</v>
      </c>
      <c r="CG117" s="41">
        <f>'[2]побудинковий звіт'!CG117+'[1]побудинковий звіт'!CG117</f>
        <v>0</v>
      </c>
      <c r="CH117" s="55">
        <f t="shared" si="94"/>
        <v>-99.422548078899482</v>
      </c>
      <c r="CI117" s="41">
        <f>'[2]побудинковий звіт'!CI117+'[1]побудинковий звіт'!CI117</f>
        <v>19148.047560657953</v>
      </c>
      <c r="CJ117" s="41">
        <f>'[2]побудинковий звіт'!CJ117+'[1]побудинковий звіт'!CJ117</f>
        <v>20513.954199497515</v>
      </c>
      <c r="CK117" s="55">
        <f t="shared" si="95"/>
        <v>1365.9066388395622</v>
      </c>
      <c r="CL117" s="41">
        <f>'[2]побудинковий звіт'!CL117+'[1]побудинковий звіт'!CL117</f>
        <v>14012.804752000649</v>
      </c>
      <c r="CM117" s="41">
        <f>'[2]побудинковий звіт'!CM117+'[1]побудинковий звіт'!CM117</f>
        <v>22283.538902455846</v>
      </c>
      <c r="CN117" s="55">
        <f t="shared" si="96"/>
        <v>8270.7341504551969</v>
      </c>
      <c r="CO117" s="41">
        <f t="shared" si="97"/>
        <v>33160.852312658601</v>
      </c>
      <c r="CP117" s="42">
        <f t="shared" si="98"/>
        <v>42797.493101953361</v>
      </c>
      <c r="CQ117" s="55">
        <f t="shared" si="99"/>
        <v>9636.6407892947609</v>
      </c>
      <c r="CR117" s="76">
        <f t="shared" si="100"/>
        <v>362857.97811787471</v>
      </c>
      <c r="CS117" s="5">
        <f t="shared" si="101"/>
        <v>316745.18632143369</v>
      </c>
      <c r="CT117" s="55">
        <f t="shared" si="102"/>
        <v>-46112.791796441015</v>
      </c>
      <c r="CU117" s="84">
        <f t="shared" si="103"/>
        <v>435429.57374144963</v>
      </c>
      <c r="CV117" s="68">
        <f t="shared" si="104"/>
        <v>380094.22358572041</v>
      </c>
      <c r="CW117" s="36">
        <f t="shared" si="105"/>
        <v>-55335.350155729218</v>
      </c>
      <c r="CX117" s="41">
        <f>'[2]побудинковий звіт'!CX117+'[1]побудинковий звіт'!CX117</f>
        <v>9408.3328528932343</v>
      </c>
      <c r="CY117" s="41">
        <f>'[2]побудинковий звіт'!CY117+'[1]побудинковий звіт'!CY117</f>
        <v>64743.683008622414</v>
      </c>
      <c r="CZ117" s="55">
        <f t="shared" si="106"/>
        <v>55335.350155729182</v>
      </c>
      <c r="DA117" s="254">
        <f>'[1]побудинковий звіт'!DA117</f>
        <v>-140136.26848019188</v>
      </c>
      <c r="DB117" s="2">
        <v>1</v>
      </c>
      <c r="DC117" s="702">
        <f>'[1]побудинковий звіт'!DC117</f>
        <v>96543.73</v>
      </c>
      <c r="DD117" s="702">
        <f>'[1]побудинковий звіт'!DD117</f>
        <v>11.04</v>
      </c>
      <c r="DE117" s="702">
        <f>'[1]побудинковий звіт'!DE117</f>
        <v>48265.63</v>
      </c>
      <c r="DF117" s="702">
        <f>'[1]побудинковий звіт'!DF117</f>
        <v>-429.13</v>
      </c>
      <c r="DG117" s="772">
        <v>-43351.862585682655</v>
      </c>
      <c r="DH117" s="746">
        <f t="shared" si="107"/>
        <v>5338054.8791321144</v>
      </c>
      <c r="DI117" s="769"/>
      <c r="DJ117" s="5"/>
      <c r="DK117" s="307">
        <f>VLOOKUP($A117,ціни!$A$4:$G$401,5)</f>
        <v>6.0773222204467352</v>
      </c>
      <c r="DL117" s="307">
        <f>VLOOKUP($A117,ціни!$A$4:$G$401,6)</f>
        <v>7.3107802438272094</v>
      </c>
      <c r="DM117" s="307">
        <f>VLOOKUP($A117,ціни!$A$4:$G$401,7)</f>
        <v>5.1044215029353008</v>
      </c>
      <c r="DN117" s="29">
        <f t="shared" si="120"/>
        <v>34569.273945798814</v>
      </c>
      <c r="DO117" s="29">
        <f t="shared" si="121"/>
        <v>329.74562908962042</v>
      </c>
      <c r="DP117" s="306">
        <f t="shared" si="108"/>
        <v>34899.019574888436</v>
      </c>
      <c r="DQ117" s="101"/>
      <c r="DR117" s="29">
        <f>VLOOKUP(A117,'ДЗ нас '!$A$1:$C$359,2)</f>
        <v>34569.339999999997</v>
      </c>
      <c r="DS117" s="733">
        <f>VLOOKUP(A117,'ДЗ нежит'!$A$1:$D$153,4,0)</f>
        <v>329.74</v>
      </c>
      <c r="DT117" s="29">
        <f t="shared" si="109"/>
        <v>34899.079999999994</v>
      </c>
      <c r="DU117" s="247">
        <f>VLOOKUP(A117,'новий кошторис с 01.06'!$A$4:$AI$399,35)*1.2</f>
        <v>35002.169386439826</v>
      </c>
      <c r="DV117" s="29">
        <f t="shared" si="110"/>
        <v>-103.08938643983129</v>
      </c>
      <c r="DW117" s="1016">
        <f>'[2]побудинковий звіт'!$DW$9+'[1]побудинковий звіт'!DW117</f>
        <v>909</v>
      </c>
      <c r="DX117" s="101">
        <f>'[1]побудинковий звіт'!DX117</f>
        <v>0</v>
      </c>
      <c r="DY117" s="5">
        <f t="shared" si="111"/>
        <v>97276.175360902984</v>
      </c>
      <c r="DZ117" s="5">
        <f t="shared" si="112"/>
        <v>151572.72380038211</v>
      </c>
      <c r="EA117" s="737">
        <f t="shared" si="113"/>
        <v>47836.5</v>
      </c>
      <c r="EC117" s="577">
        <f t="shared" si="114"/>
        <v>879416.81841136608</v>
      </c>
      <c r="EE117" s="743">
        <v>37957</v>
      </c>
      <c r="EF117" s="723">
        <f t="shared" si="115"/>
        <v>-5394.8625856826548</v>
      </c>
      <c r="EH117" s="798">
        <v>-16130.659757711877</v>
      </c>
      <c r="EI117" s="101">
        <f>VLOOKUP(A117,'кошти 01.01.24'!$A$9:$D$352,4,FALSE)</f>
        <v>-84800.918324462924</v>
      </c>
    </row>
    <row r="118" spans="1:139" hidden="1" x14ac:dyDescent="0.3">
      <c r="A118" s="318">
        <v>150000629</v>
      </c>
      <c r="B118" s="43" t="s">
        <v>545</v>
      </c>
      <c r="C118" s="44" t="s">
        <v>357</v>
      </c>
      <c r="D118" s="44" t="s">
        <v>357</v>
      </c>
      <c r="E118" s="39">
        <f t="shared" si="64"/>
        <v>9562.94</v>
      </c>
      <c r="F118" s="205">
        <f>'[1]побудинковий звіт'!F118</f>
        <v>9562.94</v>
      </c>
      <c r="G118" s="29">
        <f>'[1]побудинковий звіт'!G118</f>
        <v>1060.24</v>
      </c>
      <c r="H118" s="148">
        <f>'[1]побудинковий звіт'!H118</f>
        <v>0</v>
      </c>
      <c r="I118" s="41">
        <f>'[2]побудинковий звіт'!I118+'[1]побудинковий звіт'!I118</f>
        <v>25268.498473546559</v>
      </c>
      <c r="J118" s="41">
        <f>'[2]побудинковий звіт'!J118+'[1]побудинковий звіт'!J118</f>
        <v>20118.986650704319</v>
      </c>
      <c r="K118" s="55">
        <f t="shared" si="65"/>
        <v>-5149.5118228422398</v>
      </c>
      <c r="L118" s="41">
        <f>'[2]побудинковий звіт'!L118+'[1]побудинковий звіт'!L118</f>
        <v>4185.7871510640816</v>
      </c>
      <c r="M118" s="41">
        <f>'[2]побудинковий звіт'!M118+'[1]побудинковий звіт'!M118</f>
        <v>3599.6950407230934</v>
      </c>
      <c r="N118" s="55">
        <f t="shared" si="66"/>
        <v>-586.09211034098826</v>
      </c>
      <c r="O118" s="41">
        <f>'[2]побудинковий звіт'!O118+'[1]побудинковий звіт'!O118</f>
        <v>14359.61082836774</v>
      </c>
      <c r="P118" s="41">
        <f>'[2]побудинковий звіт'!P118+'[1]побудинковий звіт'!P118</f>
        <v>14400.326310562536</v>
      </c>
      <c r="Q118" s="55">
        <f t="shared" si="67"/>
        <v>40.715482194795186</v>
      </c>
      <c r="R118" s="41">
        <f>'[2]побудинковий звіт'!R118+'[1]побудинковий звіт'!R118</f>
        <v>3123.5589028445393</v>
      </c>
      <c r="S118" s="41">
        <f>'[2]побудинковий звіт'!S118+'[1]побудинковий звіт'!S118</f>
        <v>3132.2983187837253</v>
      </c>
      <c r="T118" s="55">
        <f t="shared" si="68"/>
        <v>8.739415939186074</v>
      </c>
      <c r="U118" s="41">
        <f>'[2]побудинковий звіт'!U118+'[1]побудинковий звіт'!U118</f>
        <v>4423.9875561298604</v>
      </c>
      <c r="V118" s="41">
        <f>'[2]побудинковий звіт'!V118+'[1]побудинковий звіт'!V118</f>
        <v>1893.2282352319476</v>
      </c>
      <c r="W118" s="55">
        <f t="shared" si="69"/>
        <v>-2530.7593208979129</v>
      </c>
      <c r="X118" s="41">
        <f>'[2]побудинковий звіт'!X118+'[1]побудинковий звіт'!X118</f>
        <v>19952.597586516451</v>
      </c>
      <c r="Y118" s="41">
        <f>'[2]побудинковий звіт'!Y118+'[1]побудинковий звіт'!Y118</f>
        <v>14902.963163733595</v>
      </c>
      <c r="Z118" s="55">
        <f t="shared" si="70"/>
        <v>-5049.6344227828558</v>
      </c>
      <c r="AA118" s="41">
        <f>'[2]побудинковий звіт'!AA118+'[1]побудинковий звіт'!AA118</f>
        <v>0</v>
      </c>
      <c r="AB118" s="41">
        <f>'[2]побудинковий звіт'!AB118+'[1]побудинковий звіт'!AB118</f>
        <v>0</v>
      </c>
      <c r="AC118" s="55">
        <f t="shared" si="71"/>
        <v>0</v>
      </c>
      <c r="AD118" s="41">
        <f>'[2]побудинковий звіт'!AD118+'[1]побудинковий звіт'!AD118</f>
        <v>41444.346796749669</v>
      </c>
      <c r="AE118" s="41">
        <f>'[2]побудинковий звіт'!AE118+'[1]побудинковий звіт'!AE118</f>
        <v>41284.415802412776</v>
      </c>
      <c r="AF118" s="36">
        <f t="shared" si="72"/>
        <v>-159.93099433689349</v>
      </c>
      <c r="AG118" s="84">
        <f t="shared" si="73"/>
        <v>112758.3872952189</v>
      </c>
      <c r="AH118" s="56">
        <f t="shared" si="74"/>
        <v>99331.913522151997</v>
      </c>
      <c r="AI118" s="55">
        <f t="shared" si="75"/>
        <v>-13426.4737730669</v>
      </c>
      <c r="AJ118" s="41">
        <f>'[2]побудинковий звіт'!AJ118+'[1]побудинковий звіт'!AJ118</f>
        <v>93559.856936577111</v>
      </c>
      <c r="AK118" s="41">
        <f>'[2]побудинковий звіт'!AK118+'[1]побудинковий звіт'!AK118</f>
        <v>82945.928798910158</v>
      </c>
      <c r="AL118" s="55">
        <f t="shared" si="76"/>
        <v>-10613.928137666953</v>
      </c>
      <c r="AM118" s="41">
        <f>'[2]побудинковий звіт'!AM118+'[1]побудинковий звіт'!AM118</f>
        <v>0</v>
      </c>
      <c r="AN118" s="41">
        <f>'[2]побудинковий звіт'!AN118+'[1]побудинковий звіт'!AN118</f>
        <v>0</v>
      </c>
      <c r="AO118" s="55">
        <f t="shared" si="77"/>
        <v>0</v>
      </c>
      <c r="AP118" s="41">
        <f>'[2]побудинковий звіт'!AP118+'[1]побудинковий звіт'!AP118</f>
        <v>7578.0742632248093</v>
      </c>
      <c r="AQ118" s="41">
        <f>'[2]побудинковий звіт'!AQ118+'[1]побудинковий звіт'!AQ118</f>
        <v>7216.2942570282867</v>
      </c>
      <c r="AR118" s="55">
        <f t="shared" si="78"/>
        <v>-361.78000619652266</v>
      </c>
      <c r="AS118" s="41">
        <f>'[2]побудинковий звіт'!AS118+'[1]побудинковий звіт'!AS118</f>
        <v>187056.0111686103</v>
      </c>
      <c r="AT118" s="41">
        <f>'[2]побудинковий звіт'!AT118+'[1]побудинковий звіт'!AT118</f>
        <v>125473.14484314648</v>
      </c>
      <c r="AU118" s="57">
        <f t="shared" si="79"/>
        <v>-61582.866325463823</v>
      </c>
      <c r="AV118" s="41">
        <f>'[2]побудинковий звіт'!AV118+'[1]побудинковий звіт'!AV118</f>
        <v>2376.6586987790015</v>
      </c>
      <c r="AW118" s="41">
        <f>'[2]побудинковий звіт'!AW118+'[1]побудинковий звіт'!AW118</f>
        <v>785.69544137118487</v>
      </c>
      <c r="AX118" s="58">
        <f t="shared" si="80"/>
        <v>-1590.9632574078166</v>
      </c>
      <c r="AY118" s="41">
        <f>'[2]побудинковий звіт'!AY118+'[1]побудинковий звіт'!AY118</f>
        <v>2722.6175266051305</v>
      </c>
      <c r="AZ118" s="41">
        <f>'[2]побудинковий звіт'!AZ118+'[1]побудинковий звіт'!AZ118</f>
        <v>3309.3753905172575</v>
      </c>
      <c r="BA118" s="36">
        <f t="shared" si="81"/>
        <v>586.75786391212705</v>
      </c>
      <c r="BB118" s="41">
        <f>'[2]побудинковий звіт'!BB118+'[1]побудинковий звіт'!BB118</f>
        <v>4471.3485365387032</v>
      </c>
      <c r="BC118" s="41">
        <f>'[2]побудинковий звіт'!BC118+'[1]побудинковий звіт'!BC118</f>
        <v>51.992053775999999</v>
      </c>
      <c r="BD118" s="58">
        <f t="shared" si="82"/>
        <v>-4419.3564827627033</v>
      </c>
      <c r="BE118" s="41">
        <f>'[2]побудинковий звіт'!BE118+'[1]побудинковий звіт'!BE118</f>
        <v>1455.2260902603496</v>
      </c>
      <c r="BF118" s="41">
        <f>'[2]побудинковий звіт'!BF118+'[1]побудинковий звіт'!BF118</f>
        <v>0</v>
      </c>
      <c r="BG118" s="38">
        <f t="shared" si="83"/>
        <v>-1455.2260902603496</v>
      </c>
      <c r="BH118" s="41">
        <f>'[2]побудинковий звіт'!BH118+'[1]побудинковий звіт'!BH118</f>
        <v>2111.6197571963594</v>
      </c>
      <c r="BI118" s="41">
        <f>'[2]побудинковий звіт'!BI118+'[1]побудинковий звіт'!BI118</f>
        <v>0</v>
      </c>
      <c r="BJ118" s="58">
        <f t="shared" si="84"/>
        <v>-2111.6197571963594</v>
      </c>
      <c r="BK118" s="41">
        <f>'[2]побудинковий звіт'!BK118+'[1]побудинковий звіт'!BK118</f>
        <v>3056.4214977086749</v>
      </c>
      <c r="BL118" s="41">
        <f>'[2]побудинковий звіт'!BL118+'[1]побудинковий звіт'!BL118</f>
        <v>631.08057496383105</v>
      </c>
      <c r="BM118" s="38">
        <f t="shared" si="85"/>
        <v>-2425.3409227448437</v>
      </c>
      <c r="BN118" s="41">
        <f>'[2]побудинковий звіт'!BN118+'[1]побудинковий звіт'!BN118</f>
        <v>1090.4319571107819</v>
      </c>
      <c r="BO118" s="41">
        <f>'[2]побудинковий звіт'!BO118+'[1]побудинковий звіт'!BO118</f>
        <v>12840.309038746444</v>
      </c>
      <c r="BP118" s="58">
        <f t="shared" si="86"/>
        <v>11749.877081635661</v>
      </c>
      <c r="BQ118" s="84">
        <f t="shared" si="87"/>
        <v>17284.324064198998</v>
      </c>
      <c r="BR118" s="42">
        <f t="shared" si="88"/>
        <v>17618.452499374718</v>
      </c>
      <c r="BS118" s="58">
        <f t="shared" si="89"/>
        <v>334.12843517572037</v>
      </c>
      <c r="BT118" s="41">
        <f>'[2]побудинковий звіт'!BT118+'[1]побудинковий звіт'!BT118</f>
        <v>143690.06356889164</v>
      </c>
      <c r="BU118" s="41">
        <f>'[2]побудинковий звіт'!BU118+'[1]побудинковий звіт'!BU118</f>
        <v>204241.24728992832</v>
      </c>
      <c r="BV118" s="55">
        <f t="shared" si="90"/>
        <v>60551.183721036679</v>
      </c>
      <c r="BW118" s="41">
        <f>'[2]побудинковий звіт'!BW118+'[1]побудинковий звіт'!BW118</f>
        <v>100213.70450882558</v>
      </c>
      <c r="BX118" s="41">
        <f>'[2]побудинковий звіт'!BX118+'[1]побудинковий звіт'!BX118</f>
        <v>126722.63613236391</v>
      </c>
      <c r="BY118" s="55">
        <f t="shared" si="91"/>
        <v>26508.93162353833</v>
      </c>
      <c r="BZ118" s="41">
        <f>'[2]побудинковий звіт'!BZ118+'[1]побудинковий звіт'!BZ118</f>
        <v>35815.322133933994</v>
      </c>
      <c r="CA118" s="41">
        <f>'[2]побудинковий звіт'!CA118+'[1]побудинковий звіт'!CA118</f>
        <v>18698.850000997994</v>
      </c>
      <c r="CB118" s="55">
        <f t="shared" si="92"/>
        <v>-17116.472132936</v>
      </c>
      <c r="CC118" s="41">
        <f>'[2]побудинковий звіт'!CC118+'[1]побудинковий звіт'!CC118</f>
        <v>2009.2443091284422</v>
      </c>
      <c r="CD118" s="41">
        <f>'[2]побудинковий звіт'!CD118+'[1]побудинковий звіт'!CD118</f>
        <v>2016.0574324622132</v>
      </c>
      <c r="CE118" s="55">
        <f t="shared" si="93"/>
        <v>6.8131233337710455</v>
      </c>
      <c r="CF118" s="41">
        <f>'[2]побудинковий звіт'!CF118+'[1]побудинковий звіт'!CF118</f>
        <v>248.93469039541799</v>
      </c>
      <c r="CG118" s="41">
        <f>'[2]побудинковий звіт'!CG118+'[1]побудинковий звіт'!CG118</f>
        <v>0</v>
      </c>
      <c r="CH118" s="55">
        <f t="shared" si="94"/>
        <v>-248.93469039541799</v>
      </c>
      <c r="CI118" s="41">
        <f>'[2]побудинковий звіт'!CI118+'[1]побудинковий звіт'!CI118</f>
        <v>19636.743092853405</v>
      </c>
      <c r="CJ118" s="41">
        <f>'[2]побудинковий звіт'!CJ118+'[1]побудинковий звіт'!CJ118</f>
        <v>21614.546707961777</v>
      </c>
      <c r="CK118" s="55">
        <f t="shared" si="95"/>
        <v>1977.8036151083725</v>
      </c>
      <c r="CL118" s="41">
        <f>'[2]побудинковий звіт'!CL118+'[1]побудинковий звіт'!CL118</f>
        <v>29765.978677249437</v>
      </c>
      <c r="CM118" s="41">
        <f>'[2]побудинковий звіт'!CM118+'[1]побудинковий звіт'!CM118</f>
        <v>32414.206874206262</v>
      </c>
      <c r="CN118" s="55">
        <f t="shared" si="96"/>
        <v>2648.2281969568248</v>
      </c>
      <c r="CO118" s="41">
        <f t="shared" si="97"/>
        <v>49402.721770102842</v>
      </c>
      <c r="CP118" s="42">
        <f t="shared" si="98"/>
        <v>54028.753582168036</v>
      </c>
      <c r="CQ118" s="55">
        <f t="shared" si="99"/>
        <v>4626.0318120651937</v>
      </c>
      <c r="CR118" s="76">
        <f t="shared" si="100"/>
        <v>749616.64470910805</v>
      </c>
      <c r="CS118" s="5">
        <f t="shared" si="101"/>
        <v>738293.27835853223</v>
      </c>
      <c r="CT118" s="55">
        <f t="shared" si="102"/>
        <v>-11323.366350575816</v>
      </c>
      <c r="CU118" s="84">
        <f t="shared" si="103"/>
        <v>899539.97365092963</v>
      </c>
      <c r="CV118" s="68">
        <f t="shared" si="104"/>
        <v>885951.93403023866</v>
      </c>
      <c r="CW118" s="36">
        <f t="shared" si="105"/>
        <v>-13588.039620690979</v>
      </c>
      <c r="CX118" s="41">
        <f>'[2]побудинковий звіт'!CX118+'[1]побудинковий звіт'!CX118</f>
        <v>20565.556426606872</v>
      </c>
      <c r="CY118" s="41">
        <f>'[2]побудинковий звіт'!CY118+'[1]побудинковий звіт'!CY118</f>
        <v>34153.596047297899</v>
      </c>
      <c r="CZ118" s="55">
        <f t="shared" si="106"/>
        <v>13588.039620691026</v>
      </c>
      <c r="DA118" s="254">
        <f>'[1]побудинковий звіт'!DA118</f>
        <v>-63131.719361958647</v>
      </c>
      <c r="DB118" s="2">
        <v>1</v>
      </c>
      <c r="DC118" s="702">
        <f>'[1]побудинковий звіт'!DC118</f>
        <v>250299.3</v>
      </c>
      <c r="DD118" s="702">
        <f>'[1]побудинковий звіт'!DD118</f>
        <v>0</v>
      </c>
      <c r="DE118" s="702">
        <f>'[1]побудинковий звіт'!DE118</f>
        <v>149794.37</v>
      </c>
      <c r="DF118" s="702">
        <f>'[1]побудинковий звіт'!DF118</f>
        <v>0</v>
      </c>
      <c r="DG118" s="772">
        <v>-87349.783142400673</v>
      </c>
      <c r="DH118" s="746">
        <f t="shared" si="107"/>
        <v>11041266.360930437</v>
      </c>
      <c r="DI118" s="769"/>
      <c r="DJ118" s="5"/>
      <c r="DK118" s="307">
        <f>VLOOKUP($A118,ціни!$A$4:$G$401,5)</f>
        <v>6.3798267896686252</v>
      </c>
      <c r="DL118" s="307">
        <f>VLOOKUP($A118,ціни!$A$4:$G$401,6)</f>
        <v>7.6950798582384534</v>
      </c>
      <c r="DM118" s="307">
        <f>VLOOKUP($A118,ціни!$A$4:$G$401,7)</f>
        <v>5.3385458810754143</v>
      </c>
      <c r="DN118" s="29">
        <f t="shared" si="120"/>
        <v>72193.103066122363</v>
      </c>
      <c r="DO118" s="29">
        <f t="shared" si="121"/>
        <v>0</v>
      </c>
      <c r="DP118" s="306">
        <f t="shared" si="108"/>
        <v>72193.103066122363</v>
      </c>
      <c r="DQ118" s="101"/>
      <c r="DR118" s="29">
        <f>VLOOKUP(A118,'ДЗ нас '!$A$1:$C$359,2)</f>
        <v>72192.31</v>
      </c>
      <c r="DS118" s="733"/>
      <c r="DT118" s="29">
        <f t="shared" si="109"/>
        <v>72192.31</v>
      </c>
      <c r="DU118" s="247">
        <f>VLOOKUP(A118,'новий кошторис с 01.06'!$A$4:$AI$399,35)*1.2</f>
        <v>72335.477715657384</v>
      </c>
      <c r="DV118" s="29">
        <f t="shared" si="110"/>
        <v>-143.167715657386</v>
      </c>
      <c r="DW118" s="1016">
        <f>'[2]побудинковий звіт'!$DW$9+'[1]побудинковий звіт'!DW118</f>
        <v>1494</v>
      </c>
      <c r="DX118" s="101">
        <f>'[1]побудинковий звіт'!DX118</f>
        <v>0</v>
      </c>
      <c r="DY118" s="5">
        <f t="shared" si="111"/>
        <v>245208.40227937116</v>
      </c>
      <c r="DZ118" s="5">
        <f t="shared" si="112"/>
        <v>171709.91681102541</v>
      </c>
      <c r="EA118" s="737">
        <f t="shared" si="113"/>
        <v>149794.37</v>
      </c>
      <c r="EC118" s="577">
        <f t="shared" si="114"/>
        <v>2244672.1340233237</v>
      </c>
      <c r="EE118" s="743">
        <v>64676</v>
      </c>
      <c r="EF118" s="723">
        <f t="shared" si="115"/>
        <v>-22673.783142400673</v>
      </c>
      <c r="EH118" s="798">
        <v>1053.2901068170613</v>
      </c>
      <c r="EI118" s="101">
        <f>VLOOKUP(A118,'кошти 01.01.24'!$A$9:$D$352,4,FALSE)</f>
        <v>-49543.679741267486</v>
      </c>
    </row>
    <row r="119" spans="1:139" hidden="1" x14ac:dyDescent="0.3">
      <c r="A119" s="318">
        <v>150000626</v>
      </c>
      <c r="B119" s="43" t="s">
        <v>546</v>
      </c>
      <c r="C119" s="44" t="s">
        <v>358</v>
      </c>
      <c r="D119" s="44" t="s">
        <v>358</v>
      </c>
      <c r="E119" s="39">
        <f t="shared" si="64"/>
        <v>7508.96</v>
      </c>
      <c r="F119" s="205">
        <f>'[1]побудинковий звіт'!F119</f>
        <v>7508.96</v>
      </c>
      <c r="G119" s="29">
        <f>'[1]побудинковий звіт'!G119</f>
        <v>772.75</v>
      </c>
      <c r="H119" s="148">
        <f>'[1]побудинковий звіт'!H119</f>
        <v>0</v>
      </c>
      <c r="I119" s="41">
        <f>'[2]побудинковий звіт'!I119+'[1]побудинковий звіт'!I119</f>
        <v>20632.193965848644</v>
      </c>
      <c r="J119" s="41">
        <f>'[2]побудинковий звіт'!J119+'[1]побудинковий звіт'!J119</f>
        <v>16355.968580705643</v>
      </c>
      <c r="K119" s="55">
        <f t="shared" si="65"/>
        <v>-4276.2253851430014</v>
      </c>
      <c r="L119" s="41">
        <f>'[2]побудинковий звіт'!L119+'[1]побудинковий звіт'!L119</f>
        <v>4117.0271663524245</v>
      </c>
      <c r="M119" s="41">
        <f>'[2]побудинковий звіт'!M119+'[1]побудинковий звіт'!M119</f>
        <v>3491.2846027556011</v>
      </c>
      <c r="N119" s="55">
        <f t="shared" si="66"/>
        <v>-625.7425635968234</v>
      </c>
      <c r="O119" s="41">
        <f>'[2]побудинковий звіт'!O119+'[1]побудинковий звіт'!O119</f>
        <v>13204.440578778494</v>
      </c>
      <c r="P119" s="41">
        <f>'[2]побудинковий звіт'!P119+'[1]побудинковий звіт'!P119</f>
        <v>13298.166574152798</v>
      </c>
      <c r="Q119" s="55">
        <f t="shared" si="67"/>
        <v>93.725995374303238</v>
      </c>
      <c r="R119" s="41">
        <f>'[2]побудинковий звіт'!R119+'[1]побудинковий звіт'!R119</f>
        <v>2460.6194229308394</v>
      </c>
      <c r="S119" s="41">
        <f>'[2]побудинковий звіт'!S119+'[1]побудинковий звіт'!S119</f>
        <v>2467.8290416815853</v>
      </c>
      <c r="T119" s="55">
        <f t="shared" si="68"/>
        <v>7.2096187507459035</v>
      </c>
      <c r="U119" s="41">
        <f>'[2]побудинковий звіт'!U119+'[1]побудинковий звіт'!U119</f>
        <v>2185.0141814044878</v>
      </c>
      <c r="V119" s="41">
        <f>'[2]побудинковий звіт'!V119+'[1]побудинковий звіт'!V119</f>
        <v>871.33974472194313</v>
      </c>
      <c r="W119" s="55">
        <f t="shared" si="69"/>
        <v>-1313.6744366825446</v>
      </c>
      <c r="X119" s="41">
        <f>'[2]побудинковий звіт'!X119+'[1]побудинковий звіт'!X119</f>
        <v>16924.975314959538</v>
      </c>
      <c r="Y119" s="41">
        <f>'[2]побудинковий звіт'!Y119+'[1]побудинковий звіт'!Y119</f>
        <v>14904.895874584472</v>
      </c>
      <c r="Z119" s="55">
        <f t="shared" si="70"/>
        <v>-2020.079440375066</v>
      </c>
      <c r="AA119" s="41">
        <f>'[2]побудинковий звіт'!AA119+'[1]побудинковий звіт'!AA119</f>
        <v>0</v>
      </c>
      <c r="AB119" s="41">
        <f>'[2]побудинковий звіт'!AB119+'[1]побудинковий звіт'!AB119</f>
        <v>0</v>
      </c>
      <c r="AC119" s="55">
        <f t="shared" si="71"/>
        <v>0</v>
      </c>
      <c r="AD119" s="41">
        <f>'[2]побудинковий звіт'!AD119+'[1]побудинковий звіт'!AD119</f>
        <v>32563.197344921784</v>
      </c>
      <c r="AE119" s="41">
        <f>'[2]побудинковий звіт'!AE119+'[1]побудинковий звіт'!AE119</f>
        <v>32436.759357298193</v>
      </c>
      <c r="AF119" s="36">
        <f t="shared" si="72"/>
        <v>-126.43798762359074</v>
      </c>
      <c r="AG119" s="84">
        <f t="shared" si="73"/>
        <v>92087.467975196225</v>
      </c>
      <c r="AH119" s="56">
        <f t="shared" si="74"/>
        <v>83826.24377590025</v>
      </c>
      <c r="AI119" s="55">
        <f t="shared" si="75"/>
        <v>-8261.2241992959753</v>
      </c>
      <c r="AJ119" s="41">
        <f>'[2]побудинковий звіт'!AJ119+'[1]побудинковий звіт'!AJ119</f>
        <v>63851.607053798769</v>
      </c>
      <c r="AK119" s="41">
        <f>'[2]побудинковий звіт'!AK119+'[1]побудинковий звіт'!AK119</f>
        <v>59560.586438001119</v>
      </c>
      <c r="AL119" s="55">
        <f t="shared" si="76"/>
        <v>-4291.02061579765</v>
      </c>
      <c r="AM119" s="41">
        <f>'[2]побудинковий звіт'!AM119+'[1]побудинковий звіт'!AM119</f>
        <v>6222.8275526416146</v>
      </c>
      <c r="AN119" s="41">
        <f>'[2]побудинковий звіт'!AN119+'[1]побудинковий звіт'!AN119</f>
        <v>3938.3966227700412</v>
      </c>
      <c r="AO119" s="55">
        <f t="shared" si="77"/>
        <v>-2284.4309298715734</v>
      </c>
      <c r="AP119" s="41">
        <f>'[2]побудинковий звіт'!AP119+'[1]побудинковий звіт'!AP119</f>
        <v>7082.7752917722082</v>
      </c>
      <c r="AQ119" s="41">
        <f>'[2]побудинковий звіт'!AQ119+'[1]побудинковий звіт'!AQ119</f>
        <v>6755.4561683946067</v>
      </c>
      <c r="AR119" s="55">
        <f t="shared" si="78"/>
        <v>-327.3191233776015</v>
      </c>
      <c r="AS119" s="41">
        <f>'[2]побудинковий звіт'!AS119+'[1]побудинковий звіт'!AS119</f>
        <v>133133.3957487469</v>
      </c>
      <c r="AT119" s="41">
        <f>'[2]побудинковий звіт'!AT119+'[1]побудинковий звіт'!AT119</f>
        <v>48849.19191454033</v>
      </c>
      <c r="AU119" s="57">
        <f t="shared" si="79"/>
        <v>-84284.203834206564</v>
      </c>
      <c r="AV119" s="41">
        <f>'[2]побудинковий звіт'!AV119+'[1]побудинковий звіт'!AV119</f>
        <v>1710.4895738887776</v>
      </c>
      <c r="AW119" s="41">
        <f>'[2]побудинковий звіт'!AW119+'[1]побудинковий звіт'!AW119</f>
        <v>4158.7804158993649</v>
      </c>
      <c r="AX119" s="58">
        <f t="shared" si="80"/>
        <v>2448.2908420105873</v>
      </c>
      <c r="AY119" s="41">
        <f>'[2]побудинковий звіт'!AY119+'[1]побудинковий звіт'!AY119</f>
        <v>2537.3700001360689</v>
      </c>
      <c r="AZ119" s="41">
        <f>'[2]побудинковий звіт'!AZ119+'[1]побудинковий звіт'!AZ119</f>
        <v>0</v>
      </c>
      <c r="BA119" s="36">
        <f t="shared" si="81"/>
        <v>-2537.3700001360689</v>
      </c>
      <c r="BB119" s="41">
        <f>'[2]побудинковий звіт'!BB119+'[1]побудинковий звіт'!BB119</f>
        <v>2916.4728069719381</v>
      </c>
      <c r="BC119" s="41">
        <f>'[2]побудинковий звіт'!BC119+'[1]побудинковий звіт'!BC119</f>
        <v>4732.4747414387084</v>
      </c>
      <c r="BD119" s="58">
        <f t="shared" si="82"/>
        <v>1816.0019344667703</v>
      </c>
      <c r="BE119" s="41">
        <f>'[2]побудинковий звіт'!BE119+'[1]побудинковий звіт'!BE119</f>
        <v>1159.599766054132</v>
      </c>
      <c r="BF119" s="41">
        <f>'[2]побудинковий звіт'!BF119+'[1]побудинковий звіт'!BF119</f>
        <v>14082.981954027804</v>
      </c>
      <c r="BG119" s="38">
        <f t="shared" si="83"/>
        <v>12923.382187973672</v>
      </c>
      <c r="BH119" s="41">
        <f>'[2]побудинковий звіт'!BH119+'[1]побудинковий звіт'!BH119</f>
        <v>1223.1186780773378</v>
      </c>
      <c r="BI119" s="41">
        <f>'[2]побудинковий звіт'!BI119+'[1]побудинковий звіт'!BI119</f>
        <v>19.323966600000002</v>
      </c>
      <c r="BJ119" s="58">
        <f t="shared" si="84"/>
        <v>-1203.7947114773378</v>
      </c>
      <c r="BK119" s="41">
        <f>'[2]побудинковий звіт'!BK119+'[1]побудинковий звіт'!BK119</f>
        <v>2154.1403995466612</v>
      </c>
      <c r="BL119" s="41">
        <f>'[2]побудинковий звіт'!BL119+'[1]побудинковий звіт'!BL119</f>
        <v>8721.1802635600779</v>
      </c>
      <c r="BM119" s="38">
        <f t="shared" si="85"/>
        <v>6567.0398640134172</v>
      </c>
      <c r="BN119" s="41">
        <f>'[2]побудинковий звіт'!BN119+'[1]побудинковий звіт'!BN119</f>
        <v>791.92916475677021</v>
      </c>
      <c r="BO119" s="41">
        <f>'[2]побудинковий звіт'!BO119+'[1]побудинковий звіт'!BO119</f>
        <v>0</v>
      </c>
      <c r="BP119" s="58">
        <f t="shared" si="86"/>
        <v>-791.92916475677021</v>
      </c>
      <c r="BQ119" s="84">
        <f t="shared" si="87"/>
        <v>12493.120389431686</v>
      </c>
      <c r="BR119" s="42">
        <f t="shared" si="88"/>
        <v>31714.741341525958</v>
      </c>
      <c r="BS119" s="58">
        <f t="shared" si="89"/>
        <v>19221.620952094272</v>
      </c>
      <c r="BT119" s="41">
        <f>'[2]побудинковий звіт'!BT119+'[1]побудинковий звіт'!BT119</f>
        <v>114913.57279362038</v>
      </c>
      <c r="BU119" s="41">
        <f>'[2]побудинковий звіт'!BU119+'[1]побудинковий звіт'!BU119</f>
        <v>138568.92582412742</v>
      </c>
      <c r="BV119" s="55">
        <f t="shared" si="90"/>
        <v>23655.353030507045</v>
      </c>
      <c r="BW119" s="41">
        <f>'[2]побудинковий звіт'!BW119+'[1]побудинковий звіт'!BW119</f>
        <v>72101.612324685455</v>
      </c>
      <c r="BX119" s="41">
        <f>'[2]побудинковий звіт'!BX119+'[1]побудинковий звіт'!BX119</f>
        <v>83433.645638491522</v>
      </c>
      <c r="BY119" s="55">
        <f t="shared" si="91"/>
        <v>11332.033313806067</v>
      </c>
      <c r="BZ119" s="41">
        <f>'[2]побудинковий звіт'!BZ119+'[1]побудинковий звіт'!BZ119</f>
        <v>14124.064639206767</v>
      </c>
      <c r="CA119" s="41">
        <f>'[2]побудинковий звіт'!CA119+'[1]побудинковий звіт'!CA119</f>
        <v>8091.7650665323927</v>
      </c>
      <c r="CB119" s="55">
        <f t="shared" si="92"/>
        <v>-6032.2995726743738</v>
      </c>
      <c r="CC119" s="41">
        <f>'[2]побудинковий звіт'!CC119+'[1]побудинковий звіт'!CC119</f>
        <v>2064.2084391653902</v>
      </c>
      <c r="CD119" s="41">
        <f>'[2]побудинковий звіт'!CD119+'[1]побудинковий звіт'!CD119</f>
        <v>2071.2079397332159</v>
      </c>
      <c r="CE119" s="55">
        <f t="shared" si="93"/>
        <v>6.9995005678256348</v>
      </c>
      <c r="CF119" s="41">
        <f>'[2]побудинковий звіт'!CF119+'[1]побудинковий звіт'!CF119</f>
        <v>255.74445396246591</v>
      </c>
      <c r="CG119" s="41">
        <f>'[2]побудинковий звіт'!CG119+'[1]побудинковий звіт'!CG119</f>
        <v>0</v>
      </c>
      <c r="CH119" s="55">
        <f t="shared" si="94"/>
        <v>-255.74445396246591</v>
      </c>
      <c r="CI119" s="41">
        <f>'[2]побудинковий звіт'!CI119+'[1]побудинковий звіт'!CI119</f>
        <v>12089.126324166486</v>
      </c>
      <c r="CJ119" s="41">
        <f>'[2]побудинковий звіт'!CJ119+'[1]побудинковий звіт'!CJ119</f>
        <v>6750.2737823157131</v>
      </c>
      <c r="CK119" s="55">
        <f t="shared" si="95"/>
        <v>-5338.8525418507725</v>
      </c>
      <c r="CL119" s="41">
        <f>'[2]побудинковий звіт'!CL119+'[1]побудинковий звіт'!CL119</f>
        <v>16950.266033056432</v>
      </c>
      <c r="CM119" s="41">
        <f>'[2]побудинковий звіт'!CM119+'[1]побудинковий звіт'!CM119</f>
        <v>26933.399326585837</v>
      </c>
      <c r="CN119" s="55">
        <f t="shared" si="96"/>
        <v>9983.1332935294049</v>
      </c>
      <c r="CO119" s="41">
        <f t="shared" si="97"/>
        <v>29039.392357222918</v>
      </c>
      <c r="CP119" s="42">
        <f t="shared" si="98"/>
        <v>33683.673108901552</v>
      </c>
      <c r="CQ119" s="55">
        <f t="shared" si="99"/>
        <v>4644.2807516786343</v>
      </c>
      <c r="CR119" s="76">
        <f t="shared" si="100"/>
        <v>547369.78901945078</v>
      </c>
      <c r="CS119" s="5">
        <f t="shared" si="101"/>
        <v>500493.83383891836</v>
      </c>
      <c r="CT119" s="55">
        <f t="shared" si="102"/>
        <v>-46875.955180532415</v>
      </c>
      <c r="CU119" s="84">
        <f t="shared" si="103"/>
        <v>656843.74682334089</v>
      </c>
      <c r="CV119" s="68">
        <f t="shared" si="104"/>
        <v>600592.60060670204</v>
      </c>
      <c r="CW119" s="36">
        <f t="shared" si="105"/>
        <v>-56251.146216638852</v>
      </c>
      <c r="CX119" s="41">
        <f>'[2]побудинковий звіт'!CX119+'[1]побудинковий звіт'!CX119</f>
        <v>14623.467989663959</v>
      </c>
      <c r="CY119" s="41">
        <f>'[2]побудинковий звіт'!CY119+'[1]побудинковий звіт'!CY119</f>
        <v>70874.614206302707</v>
      </c>
      <c r="CZ119" s="55">
        <f t="shared" si="106"/>
        <v>56251.14621663875</v>
      </c>
      <c r="DA119" s="254">
        <f>'[1]побудинковий звіт'!DA119</f>
        <v>-154595.3752539978</v>
      </c>
      <c r="DB119" s="2">
        <v>1</v>
      </c>
      <c r="DC119" s="702">
        <f>'[1]побудинковий звіт'!DC119</f>
        <v>176087.9</v>
      </c>
      <c r="DD119" s="702">
        <f>'[1]побудинковий звіт'!DD119</f>
        <v>0</v>
      </c>
      <c r="DE119" s="702">
        <f>'[1]побудинковий звіт'!DE119</f>
        <v>102291.29999999999</v>
      </c>
      <c r="DF119" s="702">
        <f>'[1]побудинковий звіт'!DF119</f>
        <v>0</v>
      </c>
      <c r="DG119" s="772">
        <v>-29692.426604774315</v>
      </c>
      <c r="DH119" s="746">
        <f t="shared" si="107"/>
        <v>8057606.5777560584</v>
      </c>
      <c r="DI119" s="769"/>
      <c r="DJ119" s="5"/>
      <c r="DK119" s="307">
        <f>VLOOKUP($A119,ціни!$A$4:$G$401,5)</f>
        <v>5.9239491863961771</v>
      </c>
      <c r="DL119" s="307">
        <f>VLOOKUP($A119,ціни!$A$4:$G$401,6)</f>
        <v>7.1290165351185877</v>
      </c>
      <c r="DM119" s="307">
        <f>VLOOKUP($A119,ціни!$A$4:$G$401,7)</f>
        <v>4.9645502632445</v>
      </c>
      <c r="DN119" s="29">
        <f t="shared" si="120"/>
        <v>52600.284207818826</v>
      </c>
      <c r="DO119" s="29">
        <f t="shared" si="121"/>
        <v>0</v>
      </c>
      <c r="DP119" s="306">
        <f t="shared" si="108"/>
        <v>52600.284207818826</v>
      </c>
      <c r="DQ119" s="101"/>
      <c r="DR119" s="29">
        <f>VLOOKUP(A119,'ДЗ нас '!$A$1:$C$359,2)</f>
        <v>52598.97</v>
      </c>
      <c r="DS119" s="733"/>
      <c r="DT119" s="29">
        <f t="shared" si="109"/>
        <v>52598.97</v>
      </c>
      <c r="DU119" s="247">
        <f>VLOOKUP(A119,'новий кошторис с 01.06'!$A$4:$AI$399,35)*1.2</f>
        <v>52744.813394231969</v>
      </c>
      <c r="DV119" s="29">
        <f t="shared" si="110"/>
        <v>-145.84339423196798</v>
      </c>
      <c r="DW119" s="1016">
        <f>'[2]побудинковий звіт'!$DW$9+'[1]побудинковий звіт'!DW119</f>
        <v>1242</v>
      </c>
      <c r="DX119" s="101">
        <f>'[1]побудинковий звіт'!DX119</f>
        <v>0</v>
      </c>
      <c r="DY119" s="5">
        <f t="shared" si="111"/>
        <v>174751.8193658143</v>
      </c>
      <c r="DZ119" s="5">
        <f t="shared" si="112"/>
        <v>96676.719907279548</v>
      </c>
      <c r="EA119" s="737">
        <f t="shared" si="113"/>
        <v>102291.29999999999</v>
      </c>
      <c r="EC119" s="577">
        <f t="shared" si="114"/>
        <v>1597600.7489849627</v>
      </c>
      <c r="EE119" s="743">
        <v>94416</v>
      </c>
      <c r="EF119" s="723">
        <f t="shared" si="115"/>
        <v>64723.573395225685</v>
      </c>
      <c r="EH119" s="798">
        <v>-45404.089658116383</v>
      </c>
      <c r="EI119" s="101">
        <f>VLOOKUP(A119,'кошти 01.01.24'!$A$9:$D$352,4,FALSE)</f>
        <v>-98344.229037358964</v>
      </c>
    </row>
    <row r="120" spans="1:139" ht="14.4" hidden="1" customHeight="1" x14ac:dyDescent="0.3">
      <c r="A120" s="318">
        <v>150000603</v>
      </c>
      <c r="B120" s="43" t="s">
        <v>547</v>
      </c>
      <c r="C120" s="44" t="s">
        <v>153</v>
      </c>
      <c r="D120" s="44" t="s">
        <v>153</v>
      </c>
      <c r="E120" s="39">
        <f t="shared" si="64"/>
        <v>507.5</v>
      </c>
      <c r="F120" s="205">
        <f>'[1]побудинковий звіт'!F120</f>
        <v>311.60000000000002</v>
      </c>
      <c r="G120" s="29">
        <f>'[1]побудинковий звіт'!G120</f>
        <v>0</v>
      </c>
      <c r="H120" s="148">
        <f>'[1]побудинковий звіт'!H120</f>
        <v>195.9</v>
      </c>
      <c r="I120" s="41">
        <f>'[2]побудинковий звіт'!I120+'[1]побудинковий звіт'!I120</f>
        <v>2061.2406967586562</v>
      </c>
      <c r="J120" s="41">
        <f>'[2]побудинковий звіт'!J120+'[1]побудинковий звіт'!J120</f>
        <v>2099.3950784999615</v>
      </c>
      <c r="K120" s="55">
        <f t="shared" si="65"/>
        <v>38.154381741305315</v>
      </c>
      <c r="L120" s="41">
        <f>'[2]побудинковий звіт'!L120+'[1]побудинковий звіт'!L120</f>
        <v>375.8052523769606</v>
      </c>
      <c r="M120" s="41">
        <f>'[2]побудинковий звіт'!M120+'[1]побудинковий звіт'!M120</f>
        <v>393.27173443546104</v>
      </c>
      <c r="N120" s="55">
        <f t="shared" si="66"/>
        <v>17.466482058500446</v>
      </c>
      <c r="O120" s="41">
        <f>'[2]побудинковий звіт'!O120+'[1]побудинковий звіт'!O120</f>
        <v>752.42581982310094</v>
      </c>
      <c r="P120" s="41">
        <f>'[2]побудинковий звіт'!P120+'[1]побудинковий звіт'!P120</f>
        <v>754.22138928747472</v>
      </c>
      <c r="Q120" s="55">
        <f t="shared" si="67"/>
        <v>1.7955694643737843</v>
      </c>
      <c r="R120" s="41">
        <f>'[2]побудинковий звіт'!R120+'[1]побудинковий звіт'!R120</f>
        <v>0</v>
      </c>
      <c r="S120" s="41">
        <f>'[2]побудинковий звіт'!S120+'[1]побудинковий звіт'!S120</f>
        <v>0</v>
      </c>
      <c r="T120" s="55">
        <f t="shared" si="68"/>
        <v>0</v>
      </c>
      <c r="U120" s="41">
        <f>'[2]побудинковий звіт'!U120+'[1]побудинковий звіт'!U120</f>
        <v>0</v>
      </c>
      <c r="V120" s="41">
        <f>'[2]побудинковий звіт'!V120+'[1]побудинковий звіт'!V120</f>
        <v>0</v>
      </c>
      <c r="W120" s="55">
        <f t="shared" si="69"/>
        <v>0</v>
      </c>
      <c r="X120" s="41">
        <f>'[2]побудинковий звіт'!X120+'[1]побудинковий звіт'!X120</f>
        <v>957.19832378849287</v>
      </c>
      <c r="Y120" s="41">
        <f>'[2]побудинковий звіт'!Y120+'[1]побудинковий звіт'!Y120</f>
        <v>1532.4099198664862</v>
      </c>
      <c r="Z120" s="55">
        <f t="shared" si="70"/>
        <v>575.21159607799336</v>
      </c>
      <c r="AA120" s="41">
        <f>'[2]побудинковий звіт'!AA120+'[1]побудинковий звіт'!AA120</f>
        <v>0</v>
      </c>
      <c r="AB120" s="41">
        <f>'[2]побудинковий звіт'!AB120+'[1]побудинковий звіт'!AB120</f>
        <v>0</v>
      </c>
      <c r="AC120" s="55">
        <f t="shared" si="71"/>
        <v>0</v>
      </c>
      <c r="AD120" s="41">
        <f>'[2]побудинковий звіт'!AD120+'[1]побудинковий звіт'!AD120</f>
        <v>2199.0266283050041</v>
      </c>
      <c r="AE120" s="41">
        <f>'[2]побудинковий звіт'!AE120+'[1]побудинковий звіт'!AE120</f>
        <v>2192.6249160866287</v>
      </c>
      <c r="AF120" s="36">
        <f t="shared" si="72"/>
        <v>-6.4017122183754509</v>
      </c>
      <c r="AG120" s="84">
        <f t="shared" si="73"/>
        <v>6345.6967210522143</v>
      </c>
      <c r="AH120" s="56">
        <f t="shared" si="74"/>
        <v>6971.9230381760117</v>
      </c>
      <c r="AI120" s="55">
        <f t="shared" si="75"/>
        <v>626.22631712379734</v>
      </c>
      <c r="AJ120" s="41">
        <f>'[2]побудинковий звіт'!AJ120+'[1]побудинковий звіт'!AJ120</f>
        <v>0</v>
      </c>
      <c r="AK120" s="41">
        <f>'[2]побудинковий звіт'!AK120+'[1]побудинковий звіт'!AK120</f>
        <v>0</v>
      </c>
      <c r="AL120" s="55">
        <f t="shared" si="76"/>
        <v>0</v>
      </c>
      <c r="AM120" s="41">
        <f>'[2]побудинковий звіт'!AM120+'[1]побудинковий звіт'!AM120</f>
        <v>0</v>
      </c>
      <c r="AN120" s="41">
        <f>'[2]побудинковий звіт'!AN120+'[1]побудинковий звіт'!AN120</f>
        <v>0</v>
      </c>
      <c r="AO120" s="55">
        <f t="shared" si="77"/>
        <v>0</v>
      </c>
      <c r="AP120" s="41">
        <f>'[2]побудинковий звіт'!AP120+'[1]побудинковий звіт'!AP120</f>
        <v>742.94845717890303</v>
      </c>
      <c r="AQ120" s="41">
        <f>'[2]побудинковий звіт'!AQ120+'[1]побудинковий звіт'!AQ120</f>
        <v>646.86829962542993</v>
      </c>
      <c r="AR120" s="55">
        <f t="shared" si="78"/>
        <v>-96.0801575534731</v>
      </c>
      <c r="AS120" s="41">
        <f>'[2]побудинковий звіт'!AS120+'[1]побудинковий звіт'!AS120</f>
        <v>7766.1802283599054</v>
      </c>
      <c r="AT120" s="41">
        <f>'[2]побудинковий звіт'!AT120+'[1]побудинковий звіт'!AT120</f>
        <v>0</v>
      </c>
      <c r="AU120" s="57">
        <f t="shared" si="79"/>
        <v>-7766.1802283599054</v>
      </c>
      <c r="AV120" s="41">
        <f>'[2]побудинковий звіт'!AV120+'[1]побудинковий звіт'!AV120</f>
        <v>447.87624073476388</v>
      </c>
      <c r="AW120" s="41">
        <f>'[2]побудинковий звіт'!AW120+'[1]побудинковий звіт'!AW120</f>
        <v>0</v>
      </c>
      <c r="AX120" s="58">
        <f t="shared" si="80"/>
        <v>-447.87624073476388</v>
      </c>
      <c r="AY120" s="41">
        <f>'[2]побудинковий звіт'!AY120+'[1]побудинковий звіт'!AY120</f>
        <v>462.90784997040299</v>
      </c>
      <c r="AZ120" s="41">
        <f>'[2]побудинковий звіт'!AZ120+'[1]побудинковий звіт'!AZ120</f>
        <v>0</v>
      </c>
      <c r="BA120" s="36">
        <f t="shared" si="81"/>
        <v>-462.90784997040299</v>
      </c>
      <c r="BB120" s="41">
        <f>'[2]побудинковий звіт'!BB120+'[1]побудинковий звіт'!BB120</f>
        <v>281.71468016829658</v>
      </c>
      <c r="BC120" s="41">
        <f>'[2]побудинковий звіт'!BC120+'[1]побудинковий звіт'!BC120</f>
        <v>1370.1486166811239</v>
      </c>
      <c r="BD120" s="58">
        <f t="shared" si="82"/>
        <v>1088.4339365128274</v>
      </c>
      <c r="BE120" s="41">
        <f>'[2]побудинковий звіт'!BE120+'[1]побудинковий звіт'!BE120</f>
        <v>0</v>
      </c>
      <c r="BF120" s="41">
        <f>'[2]побудинковий звіт'!BF120+'[1]побудинковий звіт'!BF120</f>
        <v>0</v>
      </c>
      <c r="BG120" s="38">
        <f t="shared" si="83"/>
        <v>0</v>
      </c>
      <c r="BH120" s="41">
        <f>'[2]побудинковий звіт'!BH120+'[1]побудинковий звіт'!BH120</f>
        <v>0</v>
      </c>
      <c r="BI120" s="41">
        <f>'[2]побудинковий звіт'!BI120+'[1]побудинковий звіт'!BI120</f>
        <v>0</v>
      </c>
      <c r="BJ120" s="58">
        <f t="shared" si="84"/>
        <v>0</v>
      </c>
      <c r="BK120" s="41">
        <f>'[2]побудинковий звіт'!BK120+'[1]побудинковий звіт'!BK120</f>
        <v>114.03534042706106</v>
      </c>
      <c r="BL120" s="41">
        <f>'[2]побудинковий звіт'!BL120+'[1]побудинковий звіт'!BL120</f>
        <v>0</v>
      </c>
      <c r="BM120" s="38">
        <f t="shared" si="85"/>
        <v>-114.03534042706106</v>
      </c>
      <c r="BN120" s="41">
        <f>'[2]побудинковий звіт'!BN120+'[1]побудинковий звіт'!BN120</f>
        <v>38.805764507289481</v>
      </c>
      <c r="BO120" s="41">
        <f>'[2]побудинковий звіт'!BO120+'[1]побудинковий звіт'!BO120</f>
        <v>0</v>
      </c>
      <c r="BP120" s="58">
        <f t="shared" si="86"/>
        <v>-38.805764507289481</v>
      </c>
      <c r="BQ120" s="84">
        <f t="shared" si="87"/>
        <v>1345.339875807814</v>
      </c>
      <c r="BR120" s="42">
        <f t="shared" si="88"/>
        <v>1370.1486166811239</v>
      </c>
      <c r="BS120" s="58">
        <f t="shared" si="89"/>
        <v>24.808740873309944</v>
      </c>
      <c r="BT120" s="41">
        <f>'[2]побудинковий звіт'!BT120+'[1]побудинковий звіт'!BT120</f>
        <v>9128.2442322007846</v>
      </c>
      <c r="BU120" s="41">
        <f>'[2]побудинковий звіт'!BU120+'[1]побудинковий звіт'!BU120</f>
        <v>9228.2829219674859</v>
      </c>
      <c r="BV120" s="55">
        <f t="shared" si="90"/>
        <v>100.03868976670128</v>
      </c>
      <c r="BW120" s="41">
        <f>'[2]побудинковий звіт'!BW120+'[1]побудинковий звіт'!BW120</f>
        <v>3869.0492571322811</v>
      </c>
      <c r="BX120" s="41">
        <f>'[2]побудинковий звіт'!BX120+'[1]побудинковий звіт'!BX120</f>
        <v>3374.0451659425903</v>
      </c>
      <c r="BY120" s="55">
        <f t="shared" si="91"/>
        <v>-495.00409118969083</v>
      </c>
      <c r="BZ120" s="41">
        <f>'[2]побудинковий звіт'!BZ120+'[1]побудинковий звіт'!BZ120</f>
        <v>1041.1238832030713</v>
      </c>
      <c r="CA120" s="41">
        <f>'[2]побудинковий звіт'!CA120+'[1]побудинковий звіт'!CA120</f>
        <v>1020.9606532174408</v>
      </c>
      <c r="CB120" s="55">
        <f t="shared" si="92"/>
        <v>-20.163229985630437</v>
      </c>
      <c r="CC120" s="41">
        <f>'[2]побудинковий звіт'!CC120+'[1]побудинковий звіт'!CC120</f>
        <v>0</v>
      </c>
      <c r="CD120" s="41">
        <f>'[2]побудинковий звіт'!CD120+'[1]побудинковий звіт'!CD120</f>
        <v>0</v>
      </c>
      <c r="CE120" s="55">
        <f t="shared" si="93"/>
        <v>0</v>
      </c>
      <c r="CF120" s="41">
        <f>'[2]побудинковий звіт'!CF120+'[1]побудинковий звіт'!CF120</f>
        <v>0</v>
      </c>
      <c r="CG120" s="41">
        <f>'[2]побудинковий звіт'!CG120+'[1]побудинковий звіт'!CG120</f>
        <v>0</v>
      </c>
      <c r="CH120" s="55">
        <f t="shared" si="94"/>
        <v>0</v>
      </c>
      <c r="CI120" s="41">
        <f>'[2]побудинковий звіт'!CI120+'[1]побудинковий звіт'!CI120</f>
        <v>539.46579006278921</v>
      </c>
      <c r="CJ120" s="41">
        <f>'[2]побудинковий звіт'!CJ120+'[1]побудинковий звіт'!CJ120</f>
        <v>350.76612229944772</v>
      </c>
      <c r="CK120" s="55">
        <f t="shared" si="95"/>
        <v>-188.69966776334149</v>
      </c>
      <c r="CL120" s="41">
        <f>'[2]побудинковий звіт'!CL120+'[1]побудинковий звіт'!CL120</f>
        <v>0</v>
      </c>
      <c r="CM120" s="41">
        <f>'[2]побудинковий звіт'!CM120+'[1]побудинковий звіт'!CM120</f>
        <v>0</v>
      </c>
      <c r="CN120" s="55">
        <f t="shared" si="96"/>
        <v>0</v>
      </c>
      <c r="CO120" s="41">
        <f t="shared" si="97"/>
        <v>539.46579006278921</v>
      </c>
      <c r="CP120" s="42">
        <f t="shared" si="98"/>
        <v>350.76612229944772</v>
      </c>
      <c r="CQ120" s="55">
        <f t="shared" si="99"/>
        <v>-188.69966776334149</v>
      </c>
      <c r="CR120" s="76">
        <f t="shared" si="100"/>
        <v>30778.048444997763</v>
      </c>
      <c r="CS120" s="5">
        <f t="shared" si="101"/>
        <v>22962.99481790953</v>
      </c>
      <c r="CT120" s="55">
        <f t="shared" si="102"/>
        <v>-7815.053627088233</v>
      </c>
      <c r="CU120" s="84">
        <f t="shared" si="103"/>
        <v>36933.658133997313</v>
      </c>
      <c r="CV120" s="68">
        <f t="shared" si="104"/>
        <v>27555.593781491436</v>
      </c>
      <c r="CW120" s="36">
        <f t="shared" si="105"/>
        <v>-9378.0643525058767</v>
      </c>
      <c r="CX120" s="41">
        <f>'[2]побудинковий звіт'!CX120+'[1]побудинковий звіт'!CX120</f>
        <v>1143.161684409487</v>
      </c>
      <c r="CY120" s="41">
        <f>'[2]побудинковий звіт'!CY120+'[1]побудинковий звіт'!CY120</f>
        <v>10521.22603691537</v>
      </c>
      <c r="CZ120" s="55">
        <f t="shared" si="106"/>
        <v>9378.064352505884</v>
      </c>
      <c r="DA120" s="254">
        <f>'[1]побудинковий звіт'!DA120</f>
        <v>16135.117619323173</v>
      </c>
      <c r="DB120" s="2">
        <v>2</v>
      </c>
      <c r="DC120" s="702">
        <f>'[1]побудинковий звіт'!DC120</f>
        <v>28163.25</v>
      </c>
      <c r="DD120" s="702">
        <f>'[1]побудинковий звіт'!DD120</f>
        <v>-98.63</v>
      </c>
      <c r="DE120" s="702">
        <f>'[1]побудинковий звіт'!DE120</f>
        <v>25397.8</v>
      </c>
      <c r="DF120" s="702">
        <f>'[1]побудинковий звіт'!DF120</f>
        <v>-1497.96</v>
      </c>
      <c r="DG120" s="772">
        <v>9296.0066260351159</v>
      </c>
      <c r="DH120" s="746">
        <f t="shared" si="107"/>
        <v>456921.83782088163</v>
      </c>
      <c r="DI120" s="769"/>
      <c r="DJ120" s="5"/>
      <c r="DK120" s="307">
        <f>VLOOKUP($A120,ціни!$A$4:$G$401,5)</f>
        <v>6.3456408334079217</v>
      </c>
      <c r="DL120" s="307"/>
      <c r="DM120" s="307">
        <f>VLOOKUP($A120,ціни!$A$4:$G$401,7)</f>
        <v>5.1515516438840621</v>
      </c>
      <c r="DN120" s="29">
        <f t="shared" ref="DN120:DN135" si="122">F120*DK120</f>
        <v>1977.3016836899085</v>
      </c>
      <c r="DO120" s="29">
        <f t="shared" ref="DO120:DO128" si="123">H120*DM120</f>
        <v>1009.1889670368878</v>
      </c>
      <c r="DP120" s="306">
        <f t="shared" si="108"/>
        <v>2986.490650726796</v>
      </c>
      <c r="DQ120" s="101"/>
      <c r="DR120" s="29">
        <f>VLOOKUP(A120,'ДЗ нас '!$A$1:$C$359,2)</f>
        <v>1977.29</v>
      </c>
      <c r="DS120" s="733">
        <f>VLOOKUP(A120,'ДЗ нежит'!$A$1:$D$153,4,0)</f>
        <v>1009.22</v>
      </c>
      <c r="DT120" s="29">
        <f t="shared" si="109"/>
        <v>2986.51</v>
      </c>
      <c r="DU120" s="247">
        <f>VLOOKUP(A120,'новий кошторис с 01.06'!$A$4:$AI$399,35)*1.2</f>
        <v>2997.9528891050536</v>
      </c>
      <c r="DV120" s="29">
        <f t="shared" si="110"/>
        <v>-11.442889105053382</v>
      </c>
      <c r="DW120" s="1016">
        <f>'[2]побудинковий звіт'!$DW$9+'[1]побудинковий звіт'!DW120</f>
        <v>918</v>
      </c>
      <c r="DX120" s="101">
        <f>'[1]побудинковий звіт'!DX120</f>
        <v>0</v>
      </c>
      <c r="DY120" s="5">
        <f t="shared" si="111"/>
        <v>10933.824125001263</v>
      </c>
      <c r="DZ120" s="5">
        <f t="shared" si="112"/>
        <v>1644.1783400173488</v>
      </c>
      <c r="EA120" s="737">
        <f t="shared" si="113"/>
        <v>23899.84</v>
      </c>
      <c r="EC120" s="577">
        <f t="shared" si="114"/>
        <v>93194.162740318861</v>
      </c>
      <c r="EE120" s="743">
        <v>-12791</v>
      </c>
      <c r="EF120" s="723">
        <f t="shared" si="115"/>
        <v>-3494.9933739648841</v>
      </c>
      <c r="EH120" s="798">
        <v>4449.4203253172427</v>
      </c>
      <c r="EI120" s="101">
        <f>VLOOKUP(A120,'кошти 01.01.24'!$A$9:$D$352,4,FALSE)</f>
        <v>25513.181971829054</v>
      </c>
    </row>
    <row r="121" spans="1:139" hidden="1" x14ac:dyDescent="0.3">
      <c r="A121" s="318">
        <v>150001562</v>
      </c>
      <c r="B121" s="43" t="s">
        <v>548</v>
      </c>
      <c r="C121" s="44" t="s">
        <v>208</v>
      </c>
      <c r="D121" s="44" t="s">
        <v>208</v>
      </c>
      <c r="E121" s="39">
        <f t="shared" si="64"/>
        <v>2425.9</v>
      </c>
      <c r="F121" s="205">
        <f>'[1]побудинковий звіт'!F121</f>
        <v>2425.9</v>
      </c>
      <c r="G121" s="29">
        <f>'[1]побудинковий звіт'!G121</f>
        <v>0</v>
      </c>
      <c r="H121" s="148">
        <f>'[1]побудинковий звіт'!H121</f>
        <v>0</v>
      </c>
      <c r="I121" s="41">
        <f>'[2]побудинковий звіт'!I121+'[1]побудинковий звіт'!I121</f>
        <v>9361.4909257603176</v>
      </c>
      <c r="J121" s="41">
        <f>'[2]побудинковий звіт'!J121+'[1]побудинковий звіт'!J121</f>
        <v>9525.9392855149308</v>
      </c>
      <c r="K121" s="55">
        <f t="shared" si="65"/>
        <v>164.44835975461319</v>
      </c>
      <c r="L121" s="41">
        <f>'[2]побудинковий звіт'!L121+'[1]побудинковий звіт'!L121</f>
        <v>989.37528896913136</v>
      </c>
      <c r="M121" s="41">
        <f>'[2]побудинковий звіт'!M121+'[1]побудинковий звіт'!M121</f>
        <v>1036.8175687257469</v>
      </c>
      <c r="N121" s="55">
        <f t="shared" si="66"/>
        <v>47.442279756615562</v>
      </c>
      <c r="O121" s="41">
        <f>'[2]побудинковий звіт'!O121+'[1]побудинковий звіт'!O121</f>
        <v>0</v>
      </c>
      <c r="P121" s="41">
        <f>'[2]побудинковий звіт'!P121+'[1]побудинковий звіт'!P121</f>
        <v>0</v>
      </c>
      <c r="Q121" s="55">
        <f t="shared" si="67"/>
        <v>0</v>
      </c>
      <c r="R121" s="41">
        <f>'[2]побудинковий звіт'!R121+'[1]побудинковий звіт'!R121</f>
        <v>0</v>
      </c>
      <c r="S121" s="41">
        <f>'[2]побудинковий звіт'!S121+'[1]побудинковий звіт'!S121</f>
        <v>0</v>
      </c>
      <c r="T121" s="55">
        <f t="shared" si="68"/>
        <v>0</v>
      </c>
      <c r="U121" s="41">
        <f>'[2]побудинковий звіт'!U121+'[1]побудинковий звіт'!U121</f>
        <v>0</v>
      </c>
      <c r="V121" s="41">
        <f>'[2]побудинковий звіт'!V121+'[1]побудинковий звіт'!V121</f>
        <v>0</v>
      </c>
      <c r="W121" s="55">
        <f t="shared" si="69"/>
        <v>0</v>
      </c>
      <c r="X121" s="41">
        <f>'[2]побудинковий звіт'!X121+'[1]побудинковий звіт'!X121</f>
        <v>2548.336841079989</v>
      </c>
      <c r="Y121" s="41">
        <f>'[2]побудинковий звіт'!Y121+'[1]побудинковий звіт'!Y121</f>
        <v>2769.4137058676988</v>
      </c>
      <c r="Z121" s="55">
        <f t="shared" si="70"/>
        <v>221.07686478770984</v>
      </c>
      <c r="AA121" s="41">
        <f>'[2]побудинковий звіт'!AA121+'[1]побудинковий звіт'!AA121</f>
        <v>0</v>
      </c>
      <c r="AB121" s="41">
        <f>'[2]побудинковий звіт'!AB121+'[1]побудинковий звіт'!AB121</f>
        <v>0</v>
      </c>
      <c r="AC121" s="55">
        <f t="shared" si="71"/>
        <v>0</v>
      </c>
      <c r="AD121" s="41">
        <f>'[2]побудинковий звіт'!AD121+'[1]побудинковий звіт'!AD121</f>
        <v>10521.88557864412</v>
      </c>
      <c r="AE121" s="41">
        <f>'[2]побудинковий звіт'!AE121+'[1]побудинковий звіт'!AE121</f>
        <v>10480.963121053306</v>
      </c>
      <c r="AF121" s="36">
        <f t="shared" si="72"/>
        <v>-40.922457590813792</v>
      </c>
      <c r="AG121" s="84">
        <f t="shared" si="73"/>
        <v>23421.088634453557</v>
      </c>
      <c r="AH121" s="56">
        <f t="shared" si="74"/>
        <v>23813.133681161682</v>
      </c>
      <c r="AI121" s="55">
        <f t="shared" si="75"/>
        <v>392.04504670812457</v>
      </c>
      <c r="AJ121" s="41">
        <f>'[2]побудинковий звіт'!AJ121+'[1]побудинковий звіт'!AJ121</f>
        <v>0</v>
      </c>
      <c r="AK121" s="41">
        <f>'[2]побудинковий звіт'!AK121+'[1]побудинковий звіт'!AK121</f>
        <v>0</v>
      </c>
      <c r="AL121" s="55">
        <f t="shared" si="76"/>
        <v>0</v>
      </c>
      <c r="AM121" s="41">
        <f>'[2]побудинковий звіт'!AM121+'[1]побудинковий звіт'!AM121</f>
        <v>0</v>
      </c>
      <c r="AN121" s="41">
        <f>'[2]побудинковий звіт'!AN121+'[1]побудинковий звіт'!AN121</f>
        <v>0</v>
      </c>
      <c r="AO121" s="55">
        <f t="shared" si="77"/>
        <v>0</v>
      </c>
      <c r="AP121" s="41">
        <f>'[2]побудинковий звіт'!AP121+'[1]побудинковий звіт'!AP121</f>
        <v>1040.1278400504639</v>
      </c>
      <c r="AQ121" s="41">
        <f>'[2]побудинковий звіт'!AQ121+'[1]побудинковий звіт'!AQ121</f>
        <v>842.85230538966744</v>
      </c>
      <c r="AR121" s="55">
        <f t="shared" si="78"/>
        <v>-197.27553466079644</v>
      </c>
      <c r="AS121" s="41">
        <f>'[2]побудинковий звіт'!AS121+'[1]побудинковий звіт'!AS121</f>
        <v>51212.587186320663</v>
      </c>
      <c r="AT121" s="41">
        <f>'[2]побудинковий звіт'!AT121+'[1]побудинковий звіт'!AT121</f>
        <v>134423.24756411678</v>
      </c>
      <c r="AU121" s="57">
        <f t="shared" si="79"/>
        <v>83210.660377796128</v>
      </c>
      <c r="AV121" s="41">
        <f>'[2]побудинковий звіт'!AV121+'[1]побудинковий звіт'!AV121</f>
        <v>1708.1601940441888</v>
      </c>
      <c r="AW121" s="41">
        <f>'[2]побудинковий звіт'!AW121+'[1]побудинковий звіт'!AW121</f>
        <v>0</v>
      </c>
      <c r="AX121" s="58">
        <f t="shared" si="80"/>
        <v>-1708.1601940441888</v>
      </c>
      <c r="AY121" s="41">
        <f>'[2]побудинковий звіт'!AY121+'[1]побудинковий звіт'!AY121</f>
        <v>1223.37828310704</v>
      </c>
      <c r="AZ121" s="41">
        <f>'[2]побудинковий звіт'!AZ121+'[1]побудинковий звіт'!AZ121</f>
        <v>0</v>
      </c>
      <c r="BA121" s="36">
        <f t="shared" si="81"/>
        <v>-1223.37828310704</v>
      </c>
      <c r="BB121" s="41">
        <f>'[2]побудинковий звіт'!BB121+'[1]побудинковий звіт'!BB121</f>
        <v>0</v>
      </c>
      <c r="BC121" s="41">
        <f>'[2]побудинковий звіт'!BC121+'[1]побудинковий звіт'!BC121</f>
        <v>0</v>
      </c>
      <c r="BD121" s="58">
        <f t="shared" si="82"/>
        <v>0</v>
      </c>
      <c r="BE121" s="41">
        <f>'[2]побудинковий звіт'!BE121+'[1]побудинковий звіт'!BE121</f>
        <v>0</v>
      </c>
      <c r="BF121" s="41">
        <f>'[2]побудинковий звіт'!BF121+'[1]побудинковий звіт'!BF121</f>
        <v>0</v>
      </c>
      <c r="BG121" s="38">
        <f t="shared" si="83"/>
        <v>0</v>
      </c>
      <c r="BH121" s="41">
        <f>'[2]побудинковий звіт'!BH121+'[1]побудинковий звіт'!BH121</f>
        <v>0</v>
      </c>
      <c r="BI121" s="41">
        <f>'[2]побудинковий звіт'!BI121+'[1]побудинковий звіт'!BI121</f>
        <v>0</v>
      </c>
      <c r="BJ121" s="58">
        <f t="shared" si="84"/>
        <v>0</v>
      </c>
      <c r="BK121" s="41">
        <f>'[2]побудинковий звіт'!BK121+'[1]побудинковий звіт'!BK121</f>
        <v>801.48768283257755</v>
      </c>
      <c r="BL121" s="41">
        <f>'[2]побудинковий звіт'!BL121+'[1]побудинковий звіт'!BL121</f>
        <v>0</v>
      </c>
      <c r="BM121" s="38">
        <f t="shared" si="85"/>
        <v>-801.48768283257755</v>
      </c>
      <c r="BN121" s="41">
        <f>'[2]побудинковий звіт'!BN121+'[1]побудинковий звіт'!BN121</f>
        <v>0</v>
      </c>
      <c r="BO121" s="41">
        <f>'[2]побудинковий звіт'!BO121+'[1]побудинковий звіт'!BO121</f>
        <v>0</v>
      </c>
      <c r="BP121" s="58">
        <f t="shared" si="86"/>
        <v>0</v>
      </c>
      <c r="BQ121" s="84">
        <f t="shared" si="87"/>
        <v>3733.0261599838068</v>
      </c>
      <c r="BR121" s="42">
        <f t="shared" si="88"/>
        <v>0</v>
      </c>
      <c r="BS121" s="58">
        <f t="shared" si="89"/>
        <v>-3733.0261599838068</v>
      </c>
      <c r="BT121" s="41">
        <f>'[2]побудинковий звіт'!BT121+'[1]побудинковий звіт'!BT121</f>
        <v>20571.141122493984</v>
      </c>
      <c r="BU121" s="41">
        <f>'[2]побудинковий звіт'!BU121+'[1]побудинковий звіт'!BU121</f>
        <v>41660.710207361954</v>
      </c>
      <c r="BV121" s="55">
        <f t="shared" si="90"/>
        <v>21089.56908486797</v>
      </c>
      <c r="BW121" s="41">
        <f>'[2]побудинковий звіт'!BW121+'[1]побудинковий звіт'!BW121</f>
        <v>10375.352237174659</v>
      </c>
      <c r="BX121" s="41">
        <f>'[2]побудинковий звіт'!BX121+'[1]побудинковий звіт'!BX121</f>
        <v>12725.016034525095</v>
      </c>
      <c r="BY121" s="55">
        <f t="shared" si="91"/>
        <v>2349.6637973504367</v>
      </c>
      <c r="BZ121" s="41">
        <f>'[2]побудинковий звіт'!BZ121+'[1]побудинковий звіт'!BZ121</f>
        <v>12113.150954083387</v>
      </c>
      <c r="CA121" s="41">
        <f>'[2]побудинковий звіт'!CA121+'[1]побудинковий звіт'!CA121</f>
        <v>4295.3292327419149</v>
      </c>
      <c r="CB121" s="55">
        <f t="shared" si="92"/>
        <v>-7817.8217213414719</v>
      </c>
      <c r="CC121" s="41">
        <f>'[2]побудинковий звіт'!CC121+'[1]побудинковий звіт'!CC121</f>
        <v>91.912239672896831</v>
      </c>
      <c r="CD121" s="41">
        <f>'[2]побудинковий звіт'!CD121+'[1]побудинковий звіт'!CD121</f>
        <v>92.223903825399134</v>
      </c>
      <c r="CE121" s="55">
        <f t="shared" si="93"/>
        <v>0.31166415250230273</v>
      </c>
      <c r="CF121" s="41">
        <f>'[2]побудинковий звіт'!CF121+'[1]побудинковий звіт'!CF121</f>
        <v>11.387437964896781</v>
      </c>
      <c r="CG121" s="41">
        <f>'[2]побудинковий звіт'!CG121+'[1]побудинковий звіт'!CG121</f>
        <v>0</v>
      </c>
      <c r="CH121" s="55">
        <f t="shared" si="94"/>
        <v>-11.387437964896781</v>
      </c>
      <c r="CI121" s="41">
        <f>'[2]побудинковий звіт'!CI121+'[1]побудинковий звіт'!CI121</f>
        <v>8019.5387061524816</v>
      </c>
      <c r="CJ121" s="41">
        <f>'[2]побудинковий звіт'!CJ121+'[1]побудинковий звіт'!CJ121</f>
        <v>6092.3468713018829</v>
      </c>
      <c r="CK121" s="55">
        <f t="shared" si="95"/>
        <v>-1927.1918348505988</v>
      </c>
      <c r="CL121" s="41">
        <f>'[2]побудинковий звіт'!CL121+'[1]побудинковий звіт'!CL121</f>
        <v>0</v>
      </c>
      <c r="CM121" s="41">
        <f>'[2]побудинковий звіт'!CM121+'[1]побудинковий звіт'!CM121</f>
        <v>0</v>
      </c>
      <c r="CN121" s="55">
        <f t="shared" si="96"/>
        <v>0</v>
      </c>
      <c r="CO121" s="41">
        <f t="shared" si="97"/>
        <v>8019.5387061524816</v>
      </c>
      <c r="CP121" s="42">
        <f t="shared" si="98"/>
        <v>6092.3468713018829</v>
      </c>
      <c r="CQ121" s="55">
        <f t="shared" si="99"/>
        <v>-1927.1918348505988</v>
      </c>
      <c r="CR121" s="76">
        <f t="shared" si="100"/>
        <v>130589.31251835079</v>
      </c>
      <c r="CS121" s="5">
        <f t="shared" si="101"/>
        <v>223944.85980042437</v>
      </c>
      <c r="CT121" s="55">
        <f t="shared" si="102"/>
        <v>93355.547282073574</v>
      </c>
      <c r="CU121" s="84">
        <f t="shared" si="103"/>
        <v>156707.17502202094</v>
      </c>
      <c r="CV121" s="68">
        <f t="shared" si="104"/>
        <v>268733.83176050923</v>
      </c>
      <c r="CW121" s="36">
        <f t="shared" si="105"/>
        <v>112026.65673848829</v>
      </c>
      <c r="CX121" s="41">
        <f>'[2]побудинковий звіт'!CX121+'[1]побудинковий звіт'!CX121</f>
        <v>3463.0574854172191</v>
      </c>
      <c r="CY121" s="41">
        <f>'[2]побудинковий звіт'!CY121+'[1]побудинковий звіт'!CY121</f>
        <v>-108563.59925307111</v>
      </c>
      <c r="CZ121" s="55">
        <f t="shared" si="106"/>
        <v>-112026.65673848832</v>
      </c>
      <c r="DA121" s="254">
        <f>'[1]побудинковий звіт'!DA121</f>
        <v>4078.6022059752431</v>
      </c>
      <c r="DB121" s="2">
        <v>2</v>
      </c>
      <c r="DC121" s="702">
        <f>'[1]побудинковий звіт'!DC121</f>
        <v>18357.29</v>
      </c>
      <c r="DD121" s="702">
        <f>'[1]побудинковий звіт'!DD121</f>
        <v>0</v>
      </c>
      <c r="DE121" s="702">
        <f>'[1]побудинковий звіт'!DE121</f>
        <v>794.26000000000204</v>
      </c>
      <c r="DF121" s="702">
        <f>'[1]побудинковий звіт'!DF121</f>
        <v>0</v>
      </c>
      <c r="DG121" s="772">
        <v>-117720.0117494716</v>
      </c>
      <c r="DH121" s="746">
        <f t="shared" si="107"/>
        <v>1922042.790089258</v>
      </c>
      <c r="DI121" s="769"/>
      <c r="DJ121" s="5"/>
      <c r="DK121" s="307">
        <f>VLOOKUP($A121,ціни!$A$4:$G$401,5)</f>
        <v>5.1751876602087608</v>
      </c>
      <c r="DL121" s="307"/>
      <c r="DM121" s="307">
        <f>VLOOKUP($A121,ціни!$A$4:$G$401,7)</f>
        <v>4.7652041874748914</v>
      </c>
      <c r="DN121" s="29">
        <f t="shared" si="122"/>
        <v>12554.487744900433</v>
      </c>
      <c r="DO121" s="29">
        <f t="shared" si="123"/>
        <v>0</v>
      </c>
      <c r="DP121" s="306">
        <f t="shared" si="108"/>
        <v>12554.487744900433</v>
      </c>
      <c r="DQ121" s="101"/>
      <c r="DR121" s="29">
        <f>VLOOKUP(A121,'ДЗ нас '!$A$1:$C$359,2)</f>
        <v>12554.5</v>
      </c>
      <c r="DS121" s="733"/>
      <c r="DT121" s="29">
        <f t="shared" si="109"/>
        <v>12554.5</v>
      </c>
      <c r="DU121" s="247">
        <f>VLOOKUP(A121,'новий кошторис с 01.06'!$A$4:$AI$399,35)*1.2</f>
        <v>12591.594605230188</v>
      </c>
      <c r="DV121" s="29">
        <f t="shared" si="110"/>
        <v>-37.094605230187881</v>
      </c>
      <c r="DW121" s="1016">
        <f>'[2]побудинковий звіт'!$DW$9+'[1]побудинковий звіт'!DW121</f>
        <v>0</v>
      </c>
      <c r="DX121" s="101">
        <f>'[1]побудинковий звіт'!DX121</f>
        <v>0</v>
      </c>
      <c r="DY121" s="5">
        <f t="shared" si="111"/>
        <v>65934.736015565359</v>
      </c>
      <c r="DZ121" s="5">
        <f t="shared" si="112"/>
        <v>161307.89707694013</v>
      </c>
      <c r="EA121" s="737">
        <f t="shared" si="113"/>
        <v>794.26000000000204</v>
      </c>
      <c r="EC121" s="577">
        <f t="shared" si="114"/>
        <v>614551.04623584799</v>
      </c>
      <c r="EE121" s="743">
        <v>12244</v>
      </c>
      <c r="EF121" s="723">
        <f t="shared" si="115"/>
        <v>-105476.0117494716</v>
      </c>
      <c r="EH121" s="798">
        <v>-160068.12155505898</v>
      </c>
      <c r="EI121" s="101">
        <f>VLOOKUP(A121,'кошти 01.01.24'!$A$9:$D$352,4,FALSE)</f>
        <v>-107948.05453251308</v>
      </c>
    </row>
    <row r="122" spans="1:139" hidden="1" x14ac:dyDescent="0.3">
      <c r="A122" s="318">
        <v>150000604</v>
      </c>
      <c r="B122" s="43" t="s">
        <v>549</v>
      </c>
      <c r="C122" s="44" t="s">
        <v>154</v>
      </c>
      <c r="D122" s="44" t="s">
        <v>154</v>
      </c>
      <c r="E122" s="39">
        <f t="shared" si="64"/>
        <v>452.07000000000005</v>
      </c>
      <c r="F122" s="205">
        <f>'[1]побудинковий звіт'!F122</f>
        <v>387.47</v>
      </c>
      <c r="G122" s="29">
        <f>'[1]побудинковий звіт'!G122</f>
        <v>0</v>
      </c>
      <c r="H122" s="148">
        <f>'[1]побудинковий звіт'!H122</f>
        <v>64.599999999999994</v>
      </c>
      <c r="I122" s="41">
        <f>'[2]побудинковий звіт'!I122+'[1]побудинковий звіт'!I122</f>
        <v>2045.5658750687144</v>
      </c>
      <c r="J122" s="41">
        <f>'[2]побудинковий звіт'!J122+'[1]побудинковий звіт'!J122</f>
        <v>2082.2964780998473</v>
      </c>
      <c r="K122" s="55">
        <f t="shared" si="65"/>
        <v>36.730603031132887</v>
      </c>
      <c r="L122" s="41">
        <f>'[2]побудинковий звіт'!L122+'[1]побудинковий звіт'!L122</f>
        <v>371.53262338867904</v>
      </c>
      <c r="M122" s="41">
        <f>'[2]побудинковий звіт'!M122+'[1]побудинковий звіт'!M122</f>
        <v>389.02928200882337</v>
      </c>
      <c r="N122" s="55">
        <f t="shared" si="66"/>
        <v>17.496658620144331</v>
      </c>
      <c r="O122" s="41">
        <f>'[2]побудинковий звіт'!O122+'[1]побудинковий звіт'!O122</f>
        <v>688.25412463829616</v>
      </c>
      <c r="P122" s="41">
        <f>'[2]побудинковий звіт'!P122+'[1]побудинковий звіт'!P122</f>
        <v>690.49048207539931</v>
      </c>
      <c r="Q122" s="55">
        <f t="shared" si="67"/>
        <v>2.2363574371031518</v>
      </c>
      <c r="R122" s="41">
        <f>'[2]побудинковий звіт'!R122+'[1]побудинковий звіт'!R122</f>
        <v>0</v>
      </c>
      <c r="S122" s="41">
        <f>'[2]побудинковий звіт'!S122+'[1]побудинковий звіт'!S122</f>
        <v>0</v>
      </c>
      <c r="T122" s="55">
        <f t="shared" si="68"/>
        <v>0</v>
      </c>
      <c r="U122" s="41">
        <f>'[2]побудинковий звіт'!U122+'[1]побудинковий звіт'!U122</f>
        <v>0</v>
      </c>
      <c r="V122" s="41">
        <f>'[2]побудинковий звіт'!V122+'[1]побудинковий звіт'!V122</f>
        <v>0</v>
      </c>
      <c r="W122" s="55">
        <f t="shared" si="69"/>
        <v>0</v>
      </c>
      <c r="X122" s="41">
        <f>'[2]побудинковий звіт'!X122+'[1]побудинковий звіт'!X122</f>
        <v>965.80582520728626</v>
      </c>
      <c r="Y122" s="41">
        <f>'[2]побудинковий звіт'!Y122+'[1]побудинковий звіт'!Y122</f>
        <v>878.42230955901925</v>
      </c>
      <c r="Z122" s="55">
        <f t="shared" si="70"/>
        <v>-87.383515648267007</v>
      </c>
      <c r="AA122" s="41">
        <f>'[2]побудинковий звіт'!AA122+'[1]побудинковий звіт'!AA122</f>
        <v>0</v>
      </c>
      <c r="AB122" s="41">
        <f>'[2]побудинковий звіт'!AB122+'[1]побудинковий звіт'!AB122</f>
        <v>0</v>
      </c>
      <c r="AC122" s="55">
        <f t="shared" si="71"/>
        <v>0</v>
      </c>
      <c r="AD122" s="41">
        <f>'[2]побудинковий звіт'!AD122+'[1]побудинковий звіт'!AD122</f>
        <v>1960.8766747250447</v>
      </c>
      <c r="AE122" s="41">
        <f>'[2]побудинковий звіт'!AE122+'[1]побудинковий звіт'!AE122</f>
        <v>1953.2461954080331</v>
      </c>
      <c r="AF122" s="36">
        <f t="shared" si="72"/>
        <v>-7.6304793170115772</v>
      </c>
      <c r="AG122" s="84">
        <f t="shared" si="73"/>
        <v>6032.0351230280203</v>
      </c>
      <c r="AH122" s="56">
        <f t="shared" si="74"/>
        <v>5993.4847471511221</v>
      </c>
      <c r="AI122" s="55">
        <f t="shared" si="75"/>
        <v>-38.550375876898215</v>
      </c>
      <c r="AJ122" s="41">
        <f>'[2]побудинковий звіт'!AJ122+'[1]побудинковий звіт'!AJ122</f>
        <v>0</v>
      </c>
      <c r="AK122" s="41">
        <f>'[2]побудинковий звіт'!AK122+'[1]побудинковий звіт'!AK122</f>
        <v>0</v>
      </c>
      <c r="AL122" s="55">
        <f t="shared" si="76"/>
        <v>0</v>
      </c>
      <c r="AM122" s="41">
        <f>'[2]побудинковий звіт'!AM122+'[1]побудинковий звіт'!AM122</f>
        <v>0</v>
      </c>
      <c r="AN122" s="41">
        <f>'[2]побудинковий звіт'!AN122+'[1]побудинковий звіт'!AN122</f>
        <v>0</v>
      </c>
      <c r="AO122" s="55">
        <f t="shared" si="77"/>
        <v>0</v>
      </c>
      <c r="AP122" s="41">
        <f>'[2]побудинковий звіт'!AP122+'[1]побудинковий звіт'!AP122</f>
        <v>1040.1278400504639</v>
      </c>
      <c r="AQ122" s="41">
        <f>'[2]побудинковий звіт'!AQ122+'[1]побудинковий звіт'!AQ122</f>
        <v>1008.0801347383259</v>
      </c>
      <c r="AR122" s="55">
        <f t="shared" si="78"/>
        <v>-32.047705312137964</v>
      </c>
      <c r="AS122" s="41">
        <f>'[2]побудинковий звіт'!AS122+'[1]побудинковий звіт'!AS122</f>
        <v>5089.1107133553805</v>
      </c>
      <c r="AT122" s="41">
        <f>'[2]побудинковий звіт'!AT122+'[1]побудинковий звіт'!AT122</f>
        <v>109.74192315099162</v>
      </c>
      <c r="AU122" s="57">
        <f t="shared" si="79"/>
        <v>-4979.3687902043894</v>
      </c>
      <c r="AV122" s="41">
        <f>'[2]побудинковий звіт'!AV122+'[1]побудинковий звіт'!AV122</f>
        <v>370.66605220554902</v>
      </c>
      <c r="AW122" s="41">
        <f>'[2]побудинковий звіт'!AW122+'[1]побудинковий звіт'!AW122</f>
        <v>0</v>
      </c>
      <c r="AX122" s="58">
        <f t="shared" si="80"/>
        <v>-370.66605220554902</v>
      </c>
      <c r="AY122" s="41">
        <f>'[2]побудинковий звіт'!AY122+'[1]побудинковий звіт'!AY122</f>
        <v>441.48683077700599</v>
      </c>
      <c r="AZ122" s="41">
        <f>'[2]побудинковий звіт'!AZ122+'[1]побудинковий звіт'!AZ122</f>
        <v>0</v>
      </c>
      <c r="BA122" s="36">
        <f t="shared" si="81"/>
        <v>-441.48683077700599</v>
      </c>
      <c r="BB122" s="41">
        <f>'[2]побудинковий звіт'!BB122+'[1]побудинковий звіт'!BB122</f>
        <v>230.68632555026869</v>
      </c>
      <c r="BC122" s="41">
        <f>'[2]побудинковий звіт'!BC122+'[1]побудинковий звіт'!BC122</f>
        <v>1825.0324797898315</v>
      </c>
      <c r="BD122" s="58">
        <f t="shared" si="82"/>
        <v>1594.3461542395628</v>
      </c>
      <c r="BE122" s="41">
        <f>'[2]побудинковий звіт'!BE122+'[1]побудинковий звіт'!BE122</f>
        <v>0</v>
      </c>
      <c r="BF122" s="41">
        <f>'[2]побудинковий звіт'!BF122+'[1]побудинковий звіт'!BF122</f>
        <v>0</v>
      </c>
      <c r="BG122" s="38">
        <f t="shared" si="83"/>
        <v>0</v>
      </c>
      <c r="BH122" s="41">
        <f>'[2]побудинковий звіт'!BH122+'[1]побудинковий звіт'!BH122</f>
        <v>0</v>
      </c>
      <c r="BI122" s="41">
        <f>'[2]побудинковий звіт'!BI122+'[1]побудинковий звіт'!BI122</f>
        <v>0</v>
      </c>
      <c r="BJ122" s="58">
        <f t="shared" si="84"/>
        <v>0</v>
      </c>
      <c r="BK122" s="41">
        <f>'[2]побудинковий звіт'!BK122+'[1]побудинковий звіт'!BK122</f>
        <v>110.10525454596835</v>
      </c>
      <c r="BL122" s="41">
        <f>'[2]побудинковий звіт'!BL122+'[1]побудинковий звіт'!BL122</f>
        <v>0</v>
      </c>
      <c r="BM122" s="38">
        <f t="shared" si="85"/>
        <v>-110.10525454596835</v>
      </c>
      <c r="BN122" s="41">
        <f>'[2]побудинковий звіт'!BN122+'[1]побудинковий звіт'!BN122</f>
        <v>38.805764507289481</v>
      </c>
      <c r="BO122" s="41">
        <f>'[2]побудинковий звіт'!BO122+'[1]побудинковий звіт'!BO122</f>
        <v>0</v>
      </c>
      <c r="BP122" s="58">
        <f t="shared" si="86"/>
        <v>-38.805764507289481</v>
      </c>
      <c r="BQ122" s="84">
        <f t="shared" si="87"/>
        <v>1191.7502275860816</v>
      </c>
      <c r="BR122" s="42">
        <f t="shared" si="88"/>
        <v>1825.0324797898315</v>
      </c>
      <c r="BS122" s="58">
        <f t="shared" si="89"/>
        <v>633.28225220374998</v>
      </c>
      <c r="BT122" s="41">
        <f>'[2]побудинковий звіт'!BT122+'[1]побудинковий звіт'!BT122</f>
        <v>9039.9719930363899</v>
      </c>
      <c r="BU122" s="41">
        <f>'[2]побудинковий звіт'!BU122+'[1]побудинковий звіт'!BU122</f>
        <v>9325.5415872591147</v>
      </c>
      <c r="BV122" s="55">
        <f t="shared" si="90"/>
        <v>285.56959422272485</v>
      </c>
      <c r="BW122" s="41">
        <f>'[2]побудинковий звіт'!BW122+'[1]побудинковий звіт'!BW122</f>
        <v>4454.9066658837273</v>
      </c>
      <c r="BX122" s="41">
        <f>'[2]побудинковий звіт'!BX122+'[1]побудинковий звіт'!BX122</f>
        <v>3815.9017623315763</v>
      </c>
      <c r="BY122" s="55">
        <f t="shared" si="91"/>
        <v>-639.00490355215106</v>
      </c>
      <c r="BZ122" s="41">
        <f>'[2]побудинковий звіт'!BZ122+'[1]побудинковий звіт'!BZ122</f>
        <v>1070.3149697892406</v>
      </c>
      <c r="CA122" s="41">
        <f>'[2]побудинковий звіт'!CA122+'[1]побудинковий звіт'!CA122</f>
        <v>1087.4392948090106</v>
      </c>
      <c r="CB122" s="55">
        <f t="shared" si="92"/>
        <v>17.124325019769913</v>
      </c>
      <c r="CC122" s="41">
        <f>'[2]побудинковий звіт'!CC122+'[1]побудинковий звіт'!CC122</f>
        <v>0</v>
      </c>
      <c r="CD122" s="41">
        <f>'[2]побудинковий звіт'!CD122+'[1]побудинковий звіт'!CD122</f>
        <v>0</v>
      </c>
      <c r="CE122" s="55">
        <f t="shared" si="93"/>
        <v>0</v>
      </c>
      <c r="CF122" s="41">
        <f>'[2]побудинковий звіт'!CF122+'[1]побудинковий звіт'!CF122</f>
        <v>0</v>
      </c>
      <c r="CG122" s="41">
        <f>'[2]побудинковий звіт'!CG122+'[1]побудинковий звіт'!CG122</f>
        <v>0</v>
      </c>
      <c r="CH122" s="55">
        <f t="shared" si="94"/>
        <v>0</v>
      </c>
      <c r="CI122" s="41">
        <f>'[2]побудинковий звіт'!CI122+'[1]побудинковий звіт'!CI122</f>
        <v>47.261751072410135</v>
      </c>
      <c r="CJ122" s="41">
        <f>'[2]побудинковий звіт'!CJ122+'[1]побудинковий звіт'!CJ122</f>
        <v>76.87889555661684</v>
      </c>
      <c r="CK122" s="55">
        <f t="shared" si="95"/>
        <v>29.617144484206705</v>
      </c>
      <c r="CL122" s="41">
        <f>'[2]побудинковий звіт'!CL122+'[1]побудинковий звіт'!CL122</f>
        <v>0</v>
      </c>
      <c r="CM122" s="41">
        <f>'[2]побудинковий звіт'!CM122+'[1]побудинковий звіт'!CM122</f>
        <v>0</v>
      </c>
      <c r="CN122" s="55">
        <f t="shared" si="96"/>
        <v>0</v>
      </c>
      <c r="CO122" s="41">
        <f t="shared" si="97"/>
        <v>47.261751072410135</v>
      </c>
      <c r="CP122" s="42">
        <f t="shared" si="98"/>
        <v>76.87889555661684</v>
      </c>
      <c r="CQ122" s="55">
        <f t="shared" si="99"/>
        <v>29.617144484206705</v>
      </c>
      <c r="CR122" s="76">
        <f t="shared" si="100"/>
        <v>27965.479283801713</v>
      </c>
      <c r="CS122" s="5">
        <f t="shared" si="101"/>
        <v>23242.10082478659</v>
      </c>
      <c r="CT122" s="55">
        <f t="shared" si="102"/>
        <v>-4723.3784590151226</v>
      </c>
      <c r="CU122" s="84">
        <f t="shared" si="103"/>
        <v>33558.575140562054</v>
      </c>
      <c r="CV122" s="68">
        <f t="shared" si="104"/>
        <v>27890.520989743909</v>
      </c>
      <c r="CW122" s="36">
        <f t="shared" si="105"/>
        <v>-5668.054150818145</v>
      </c>
      <c r="CX122" s="41">
        <f>'[2]побудинковий звіт'!CX122+'[1]побудинковий звіт'!CX122</f>
        <v>335.02423633426883</v>
      </c>
      <c r="CY122" s="41">
        <f>'[2]побудинковий звіт'!CY122+'[1]побудинковий звіт'!CY122</f>
        <v>6003.07838715242</v>
      </c>
      <c r="CZ122" s="55">
        <f t="shared" si="106"/>
        <v>5668.0541508181514</v>
      </c>
      <c r="DA122" s="254">
        <f>'[1]побудинковий звіт'!DA122</f>
        <v>60816.304711872799</v>
      </c>
      <c r="DB122" s="2">
        <v>2</v>
      </c>
      <c r="DC122" s="702">
        <f>'[1]побудинковий звіт'!DC122</f>
        <v>24245.21</v>
      </c>
      <c r="DD122" s="702">
        <f>'[1]побудинковий звіт'!DD122</f>
        <v>637.9</v>
      </c>
      <c r="DE122" s="702">
        <f>'[1]побудинковий звіт'!DE122</f>
        <v>20970.149999999998</v>
      </c>
      <c r="DF122" s="702">
        <f>'[1]побудинковий звіт'!DF122</f>
        <v>191.35999999999996</v>
      </c>
      <c r="DG122" s="772">
        <v>51461.161832085098</v>
      </c>
      <c r="DH122" s="746">
        <f t="shared" si="107"/>
        <v>406723.19252275588</v>
      </c>
      <c r="DI122" s="769"/>
      <c r="DJ122" s="5"/>
      <c r="DK122" s="307">
        <f>VLOOKUP($A122,ціни!$A$4:$G$401,5)</f>
        <v>6.0302660374661228</v>
      </c>
      <c r="DL122" s="307"/>
      <c r="DM122" s="307">
        <f>VLOOKUP($A122,ціни!$A$4:$G$401,7)</f>
        <v>4.940238089916317</v>
      </c>
      <c r="DN122" s="29">
        <f t="shared" si="122"/>
        <v>2336.5471815369988</v>
      </c>
      <c r="DO122" s="29">
        <f t="shared" si="123"/>
        <v>319.13938060859402</v>
      </c>
      <c r="DP122" s="306">
        <f t="shared" si="108"/>
        <v>2655.6865621455927</v>
      </c>
      <c r="DQ122" s="101"/>
      <c r="DR122" s="29">
        <f>VLOOKUP(A122,'ДЗ нас '!$A$1:$C$359,2)</f>
        <v>2336.56</v>
      </c>
      <c r="DS122" s="733">
        <f>VLOOKUP(A122,'ДЗ нежит'!$A$1:$D$153,4,0)</f>
        <v>319.14</v>
      </c>
      <c r="DT122" s="29">
        <f t="shared" si="109"/>
        <v>2655.7</v>
      </c>
      <c r="DU122" s="247">
        <f>VLOOKUP(A122,'новий кошторис с 01.06'!$A$4:$AI$399,35)*1.2</f>
        <v>2655.8674701267169</v>
      </c>
      <c r="DV122" s="29">
        <f t="shared" si="110"/>
        <v>-0.16747012671703487</v>
      </c>
      <c r="DW122" s="1016">
        <f>'[2]побудинковий звіт'!$DW$9+'[1]побудинковий звіт'!DW122</f>
        <v>918</v>
      </c>
      <c r="DX122" s="101">
        <f>'[1]побудинковий звіт'!DX122</f>
        <v>0</v>
      </c>
      <c r="DY122" s="5">
        <f t="shared" si="111"/>
        <v>7537.0331291297543</v>
      </c>
      <c r="DZ122" s="5">
        <f t="shared" si="112"/>
        <v>2321.7292835289877</v>
      </c>
      <c r="EA122" s="737">
        <f t="shared" si="113"/>
        <v>21161.51</v>
      </c>
      <c r="EC122" s="577">
        <f t="shared" si="114"/>
        <v>61069.328560264563</v>
      </c>
      <c r="EE122" s="743">
        <v>-5565</v>
      </c>
      <c r="EF122" s="723">
        <f t="shared" si="115"/>
        <v>45896.161832085098</v>
      </c>
      <c r="EH122" s="798">
        <v>49034.005248332302</v>
      </c>
      <c r="EI122" s="101">
        <f>VLOOKUP(A122,'кошти 01.01.24'!$A$9:$D$352,4,FALSE)</f>
        <v>66484.358862690948</v>
      </c>
    </row>
    <row r="123" spans="1:139" ht="14.4" hidden="1" customHeight="1" x14ac:dyDescent="0.3">
      <c r="A123" s="318">
        <v>150000605</v>
      </c>
      <c r="B123" s="43" t="s">
        <v>550</v>
      </c>
      <c r="C123" s="44" t="s">
        <v>155</v>
      </c>
      <c r="D123" s="44" t="s">
        <v>155</v>
      </c>
      <c r="E123" s="39">
        <f t="shared" si="64"/>
        <v>378.8</v>
      </c>
      <c r="F123" s="205">
        <f>'[1]побудинковий звіт'!F123</f>
        <v>321.10000000000002</v>
      </c>
      <c r="G123" s="29">
        <f>'[1]побудинковий звіт'!G123</f>
        <v>0</v>
      </c>
      <c r="H123" s="148">
        <f>'[1]побудинковий звіт'!H123</f>
        <v>57.7</v>
      </c>
      <c r="I123" s="41">
        <f>'[2]побудинковий звіт'!I123+'[1]побудинковий звіт'!I123</f>
        <v>1059.6314840070049</v>
      </c>
      <c r="J123" s="41">
        <f>'[2]побудинковий звіт'!J123+'[1]побудинковий звіт'!J123</f>
        <v>1089.9988927494437</v>
      </c>
      <c r="K123" s="55">
        <f t="shared" si="65"/>
        <v>30.367408742438784</v>
      </c>
      <c r="L123" s="41">
        <f>'[2]побудинковий звіт'!L123+'[1]побудинковий звіт'!L123</f>
        <v>425.0748665753685</v>
      </c>
      <c r="M123" s="41">
        <f>'[2]побудинковий звіт'!M123+'[1]побудинковий звіт'!M123</f>
        <v>446.03723649176692</v>
      </c>
      <c r="N123" s="55">
        <f t="shared" si="66"/>
        <v>20.962369916398416</v>
      </c>
      <c r="O123" s="41">
        <f>'[2]побудинковий звіт'!O123+'[1]побудинковий звіт'!O123</f>
        <v>553.78930049905387</v>
      </c>
      <c r="P123" s="41">
        <f>'[2]побудинковий звіт'!P123+'[1]побудинковий звіт'!P123</f>
        <v>555.06628122707423</v>
      </c>
      <c r="Q123" s="55">
        <f t="shared" si="67"/>
        <v>1.2769807280203622</v>
      </c>
      <c r="R123" s="41">
        <f>'[2]побудинковий звіт'!R123+'[1]побудинковий звіт'!R123</f>
        <v>0</v>
      </c>
      <c r="S123" s="41">
        <f>'[2]побудинковий звіт'!S123+'[1]побудинковий звіт'!S123</f>
        <v>0</v>
      </c>
      <c r="T123" s="55">
        <f t="shared" si="68"/>
        <v>0</v>
      </c>
      <c r="U123" s="41">
        <f>'[2]побудинковий звіт'!U123+'[1]побудинковий звіт'!U123</f>
        <v>0</v>
      </c>
      <c r="V123" s="41">
        <f>'[2]побудинковий звіт'!V123+'[1]побудинковий звіт'!V123</f>
        <v>0</v>
      </c>
      <c r="W123" s="55">
        <f t="shared" si="69"/>
        <v>0</v>
      </c>
      <c r="X123" s="41">
        <f>'[2]побудинковий звіт'!X123+'[1]побудинковий звіт'!X123</f>
        <v>496.41766861042265</v>
      </c>
      <c r="Y123" s="41">
        <f>'[2]побудинковий звіт'!Y123+'[1]побудинковий звіт'!Y123</f>
        <v>465.90419107686779</v>
      </c>
      <c r="Z123" s="55">
        <f t="shared" si="70"/>
        <v>-30.513477533554862</v>
      </c>
      <c r="AA123" s="41">
        <f>'[2]побудинковий звіт'!AA123+'[1]побудинковий звіт'!AA123</f>
        <v>0</v>
      </c>
      <c r="AB123" s="41">
        <f>'[2]побудинковий звіт'!AB123+'[1]побудинковий звіт'!AB123</f>
        <v>0</v>
      </c>
      <c r="AC123" s="55">
        <f t="shared" si="71"/>
        <v>0</v>
      </c>
      <c r="AD123" s="41">
        <f>'[2]побудинковий звіт'!AD123+'[1]побудинковий звіт'!AD123</f>
        <v>1643.6936126974124</v>
      </c>
      <c r="AE123" s="41">
        <f>'[2]побудинковий звіт'!AE123+'[1]побудинковий звіт'!AE123</f>
        <v>1636.5838782534286</v>
      </c>
      <c r="AF123" s="36">
        <f t="shared" si="72"/>
        <v>-7.1097344439838253</v>
      </c>
      <c r="AG123" s="84">
        <f t="shared" si="73"/>
        <v>4178.6069323892625</v>
      </c>
      <c r="AH123" s="56">
        <f t="shared" si="74"/>
        <v>4193.5904797985813</v>
      </c>
      <c r="AI123" s="55">
        <f t="shared" si="75"/>
        <v>14.983547409318817</v>
      </c>
      <c r="AJ123" s="41">
        <f>'[2]побудинковий звіт'!AJ123+'[1]побудинковий звіт'!AJ123</f>
        <v>0</v>
      </c>
      <c r="AK123" s="41">
        <f>'[2]побудинковий звіт'!AK123+'[1]побудинковий звіт'!AK123</f>
        <v>0</v>
      </c>
      <c r="AL123" s="55">
        <f t="shared" si="76"/>
        <v>0</v>
      </c>
      <c r="AM123" s="41">
        <f>'[2]побудинковий звіт'!AM123+'[1]побудинковий звіт'!AM123</f>
        <v>0</v>
      </c>
      <c r="AN123" s="41">
        <f>'[2]побудинковий звіт'!AN123+'[1]побудинковий звіт'!AN123</f>
        <v>0</v>
      </c>
      <c r="AO123" s="55">
        <f t="shared" si="77"/>
        <v>0</v>
      </c>
      <c r="AP123" s="41">
        <f>'[2]побудинковий звіт'!AP123+'[1]побудинковий звіт'!AP123</f>
        <v>1188.7175314862448</v>
      </c>
      <c r="AQ123" s="41">
        <f>'[2]побудинковий звіт'!AQ123+'[1]побудинковий звіт'!AQ123</f>
        <v>934.89119526495165</v>
      </c>
      <c r="AR123" s="55">
        <f t="shared" si="78"/>
        <v>-253.8263362212931</v>
      </c>
      <c r="AS123" s="41">
        <f>'[2]побудинковий звіт'!AS123+'[1]побудинковий звіт'!AS123</f>
        <v>6200.1374381722599</v>
      </c>
      <c r="AT123" s="41">
        <f>'[2]побудинковий звіт'!AT123+'[1]побудинковий звіт'!AT123</f>
        <v>0</v>
      </c>
      <c r="AU123" s="57">
        <f t="shared" si="79"/>
        <v>-6200.1374381722599</v>
      </c>
      <c r="AV123" s="41">
        <f>'[2]побудинковий звіт'!AV123+'[1]побудинковий звіт'!AV123</f>
        <v>342.49820521732323</v>
      </c>
      <c r="AW123" s="41">
        <f>'[2]побудинковий звіт'!AW123+'[1]побудинковий звіт'!AW123</f>
        <v>0</v>
      </c>
      <c r="AX123" s="58">
        <f t="shared" si="80"/>
        <v>-342.49820521732323</v>
      </c>
      <c r="AY123" s="41">
        <f>'[2]побудинковий звіт'!AY123+'[1]побудинковий звіт'!AY123</f>
        <v>510.24434400568691</v>
      </c>
      <c r="AZ123" s="41">
        <f>'[2]побудинковий звіт'!AZ123+'[1]побудинковий звіт'!AZ123</f>
        <v>0</v>
      </c>
      <c r="BA123" s="36">
        <f t="shared" si="81"/>
        <v>-510.24434400568691</v>
      </c>
      <c r="BB123" s="41">
        <f>'[2]побудинковий звіт'!BB123+'[1]побудинковий звіт'!BB123</f>
        <v>176.56613121223887</v>
      </c>
      <c r="BC123" s="41">
        <f>'[2]побудинковий звіт'!BC123+'[1]побудинковий звіт'!BC123</f>
        <v>0</v>
      </c>
      <c r="BD123" s="58">
        <f t="shared" si="82"/>
        <v>-176.56613121223887</v>
      </c>
      <c r="BE123" s="41">
        <f>'[2]побудинковий звіт'!BE123+'[1]побудинковий звіт'!BE123</f>
        <v>0</v>
      </c>
      <c r="BF123" s="41">
        <f>'[2]побудинковий звіт'!BF123+'[1]побудинковий звіт'!BF123</f>
        <v>0</v>
      </c>
      <c r="BG123" s="38">
        <f t="shared" si="83"/>
        <v>0</v>
      </c>
      <c r="BH123" s="41">
        <f>'[2]побудинковий звіт'!BH123+'[1]побудинковий звіт'!BH123</f>
        <v>0</v>
      </c>
      <c r="BI123" s="41">
        <f>'[2]побудинковий звіт'!BI123+'[1]побудинковий звіт'!BI123</f>
        <v>0</v>
      </c>
      <c r="BJ123" s="58">
        <f t="shared" si="84"/>
        <v>0</v>
      </c>
      <c r="BK123" s="41">
        <f>'[2]побудинковий звіт'!BK123+'[1]побудинковий звіт'!BK123</f>
        <v>105.00909122675914</v>
      </c>
      <c r="BL123" s="41">
        <f>'[2]побудинковий звіт'!BL123+'[1]побудинковий звіт'!BL123</f>
        <v>0</v>
      </c>
      <c r="BM123" s="38">
        <f t="shared" si="85"/>
        <v>-105.00909122675914</v>
      </c>
      <c r="BN123" s="41">
        <f>'[2]побудинковий звіт'!BN123+'[1]побудинковий звіт'!BN123</f>
        <v>38.805764507289481</v>
      </c>
      <c r="BO123" s="41">
        <f>'[2]побудинковий звіт'!BO123+'[1]побудинковий звіт'!BO123</f>
        <v>0</v>
      </c>
      <c r="BP123" s="58">
        <f t="shared" si="86"/>
        <v>-38.805764507289481</v>
      </c>
      <c r="BQ123" s="84">
        <f t="shared" si="87"/>
        <v>1173.1235361692977</v>
      </c>
      <c r="BR123" s="42">
        <f t="shared" si="88"/>
        <v>0</v>
      </c>
      <c r="BS123" s="58">
        <f t="shared" si="89"/>
        <v>-1173.1235361692977</v>
      </c>
      <c r="BT123" s="41">
        <f>'[2]побудинковий звіт'!BT123+'[1]побудинковий звіт'!BT123</f>
        <v>7074.8761626565883</v>
      </c>
      <c r="BU123" s="41">
        <f>'[2]побудинковий звіт'!BU123+'[1]побудинковий звіт'!BU123</f>
        <v>7808.08818972274</v>
      </c>
      <c r="BV123" s="55">
        <f t="shared" si="90"/>
        <v>733.21202706615168</v>
      </c>
      <c r="BW123" s="41">
        <f>'[2]побудинковий звіт'!BW123+'[1]побудинковий звіт'!BW123</f>
        <v>3595.7388647802659</v>
      </c>
      <c r="BX123" s="41">
        <f>'[2]побудинковий звіт'!BX123+'[1]побудинковий звіт'!BX123</f>
        <v>3101.5268564679341</v>
      </c>
      <c r="BY123" s="55">
        <f t="shared" si="91"/>
        <v>-494.21200831233182</v>
      </c>
      <c r="BZ123" s="41">
        <f>'[2]побудинковий звіт'!BZ123+'[1]побудинковий звіт'!BZ123</f>
        <v>1055.7194264961556</v>
      </c>
      <c r="CA123" s="41">
        <f>'[2]побудинковий звіт'!CA123+'[1]побудинковий звіт'!CA123</f>
        <v>895.18851972613936</v>
      </c>
      <c r="CB123" s="55">
        <f t="shared" si="92"/>
        <v>-160.53090677001626</v>
      </c>
      <c r="CC123" s="41">
        <f>'[2]побудинковий звіт'!CC123+'[1]побудинковий звіт'!CC123</f>
        <v>317.57052910236769</v>
      </c>
      <c r="CD123" s="41">
        <f>'[2]побудинковий звіт'!CD123+'[1]побудинковий звіт'!CD123</f>
        <v>318.64737534357164</v>
      </c>
      <c r="CE123" s="55">
        <f t="shared" si="93"/>
        <v>1.0768462412039526</v>
      </c>
      <c r="CF123" s="41">
        <f>'[2]побудинковий звіт'!CF123+'[1]побудинковий звіт'!CF123</f>
        <v>39.345300609610135</v>
      </c>
      <c r="CG123" s="41">
        <f>'[2]побудинковий звіт'!CG123+'[1]побудинковий звіт'!CG123</f>
        <v>0</v>
      </c>
      <c r="CH123" s="55">
        <f t="shared" si="94"/>
        <v>-39.345300609610135</v>
      </c>
      <c r="CI123" s="41">
        <f>'[2]побудинковий звіт'!CI123+'[1]побудинковий звіт'!CI123</f>
        <v>438.62084758664184</v>
      </c>
      <c r="CJ123" s="41">
        <f>'[2]побудинковий звіт'!CJ123+'[1]побудинковий звіт'!CJ123</f>
        <v>517.91583594510212</v>
      </c>
      <c r="CK123" s="55">
        <f t="shared" si="95"/>
        <v>79.294988358460273</v>
      </c>
      <c r="CL123" s="41">
        <f>'[2]побудинковий звіт'!CL123+'[1]побудинковий звіт'!CL123</f>
        <v>0</v>
      </c>
      <c r="CM123" s="41">
        <f>'[2]побудинковий звіт'!CM123+'[1]побудинковий звіт'!CM123</f>
        <v>0</v>
      </c>
      <c r="CN123" s="55">
        <f t="shared" si="96"/>
        <v>0</v>
      </c>
      <c r="CO123" s="41">
        <f t="shared" si="97"/>
        <v>438.62084758664184</v>
      </c>
      <c r="CP123" s="42">
        <f t="shared" si="98"/>
        <v>517.91583594510212</v>
      </c>
      <c r="CQ123" s="55">
        <f t="shared" si="99"/>
        <v>79.294988358460273</v>
      </c>
      <c r="CR123" s="76">
        <f t="shared" si="100"/>
        <v>25262.456569448692</v>
      </c>
      <c r="CS123" s="5">
        <f t="shared" si="101"/>
        <v>17769.84845226902</v>
      </c>
      <c r="CT123" s="55">
        <f t="shared" si="102"/>
        <v>-7492.6081171796723</v>
      </c>
      <c r="CU123" s="84">
        <f t="shared" si="103"/>
        <v>30314.947883338427</v>
      </c>
      <c r="CV123" s="68">
        <f t="shared" si="104"/>
        <v>21323.818142722823</v>
      </c>
      <c r="CW123" s="36">
        <f t="shared" si="105"/>
        <v>-8991.1297406156045</v>
      </c>
      <c r="CX123" s="41">
        <f>'[2]побудинковий звіт'!CX123+'[1]побудинковий звіт'!CX123</f>
        <v>901.68538659861088</v>
      </c>
      <c r="CY123" s="41">
        <f>'[2]побудинковий звіт'!CY123+'[1]побудинковий звіт'!CY123</f>
        <v>9892.8151272142204</v>
      </c>
      <c r="CZ123" s="55">
        <f t="shared" si="106"/>
        <v>8991.12974061561</v>
      </c>
      <c r="DA123" s="254">
        <f>'[1]побудинковий звіт'!DA123</f>
        <v>25602.553459618535</v>
      </c>
      <c r="DB123" s="2">
        <v>2</v>
      </c>
      <c r="DC123" s="702">
        <f>'[1]побудинковий звіт'!DC123</f>
        <v>35180.07</v>
      </c>
      <c r="DD123" s="702">
        <f>'[1]побудинковий звіт'!DD123</f>
        <v>23944.37</v>
      </c>
      <c r="DE123" s="702">
        <f>'[1]побудинковий звіт'!DE123</f>
        <v>32200.720000000001</v>
      </c>
      <c r="DF123" s="702">
        <f>'[1]побудинковий звіт'!DF123</f>
        <v>23496.03</v>
      </c>
      <c r="DG123" s="772">
        <v>18565.740423995754</v>
      </c>
      <c r="DH123" s="746">
        <f t="shared" si="107"/>
        <v>374599.59923924448</v>
      </c>
      <c r="DI123" s="769"/>
      <c r="DJ123" s="5"/>
      <c r="DK123" s="307">
        <f>VLOOKUP($A123,ціни!$A$4:$G$401,5)</f>
        <v>6.6226300973245644</v>
      </c>
      <c r="DL123" s="307"/>
      <c r="DM123" s="307">
        <f>VLOOKUP($A123,ціни!$A$4:$G$401,7)</f>
        <v>5.535879983089635</v>
      </c>
      <c r="DN123" s="29">
        <f t="shared" si="122"/>
        <v>2126.5265242509176</v>
      </c>
      <c r="DO123" s="29">
        <f t="shared" si="123"/>
        <v>319.42027502427197</v>
      </c>
      <c r="DP123" s="306">
        <f t="shared" si="108"/>
        <v>2445.9467992751897</v>
      </c>
      <c r="DQ123" s="101"/>
      <c r="DR123" s="29">
        <f>VLOOKUP(A123,'ДЗ нас '!$A$1:$C$359,2)</f>
        <v>2126.52</v>
      </c>
      <c r="DS123" s="733">
        <f>VLOOKUP(A123,'ДЗ нежит'!$A$1:$D$153,4,0)</f>
        <v>319.42</v>
      </c>
      <c r="DT123" s="29">
        <f t="shared" si="109"/>
        <v>2445.94</v>
      </c>
      <c r="DU123" s="247">
        <f>VLOOKUP(A123,'новий кошторис с 01.06'!$A$4:$AI$399,35)*1.2</f>
        <v>2458.9908239316701</v>
      </c>
      <c r="DV123" s="29">
        <f t="shared" si="110"/>
        <v>-13.050823931670038</v>
      </c>
      <c r="DW123" s="1016">
        <f>'[2]побудинковий звіт'!$DW$9+'[1]побудинковий звіт'!DW123</f>
        <v>918</v>
      </c>
      <c r="DX123" s="101">
        <f>'[1]побудинковий звіт'!DX123</f>
        <v>0</v>
      </c>
      <c r="DY123" s="5">
        <f t="shared" si="111"/>
        <v>8847.913169209869</v>
      </c>
      <c r="DZ123" s="5">
        <f t="shared" si="112"/>
        <v>0</v>
      </c>
      <c r="EA123" s="737">
        <f t="shared" si="113"/>
        <v>55696.75</v>
      </c>
      <c r="EC123" s="577">
        <f t="shared" si="114"/>
        <v>74401.649258067118</v>
      </c>
      <c r="EE123" s="743">
        <v>-6502</v>
      </c>
      <c r="EF123" s="723">
        <f t="shared" si="115"/>
        <v>12063.740423995754</v>
      </c>
      <c r="EH123" s="798">
        <v>16057.38191785299</v>
      </c>
      <c r="EI123" s="101">
        <f>VLOOKUP(A123,'кошти 01.01.24'!$A$9:$D$352,4,FALSE)</f>
        <v>34593.683200234154</v>
      </c>
    </row>
    <row r="124" spans="1:139" hidden="1" x14ac:dyDescent="0.3">
      <c r="A124" s="318">
        <v>150000606</v>
      </c>
      <c r="B124" s="43" t="s">
        <v>551</v>
      </c>
      <c r="C124" s="44" t="s">
        <v>156</v>
      </c>
      <c r="D124" s="44" t="s">
        <v>156</v>
      </c>
      <c r="E124" s="39">
        <f t="shared" si="64"/>
        <v>766.3</v>
      </c>
      <c r="F124" s="205">
        <f>'[1]побудинковий звіт'!F124</f>
        <v>685.8</v>
      </c>
      <c r="G124" s="29">
        <f>'[1]побудинковий звіт'!G124</f>
        <v>0</v>
      </c>
      <c r="H124" s="148">
        <f>'[1]побудинковий звіт'!H124</f>
        <v>80.5</v>
      </c>
      <c r="I124" s="41">
        <f>'[2]побудинковий звіт'!I124+'[1]побудинковий звіт'!I124</f>
        <v>2160.6489907860978</v>
      </c>
      <c r="J124" s="41">
        <f>'[2]побудинковий звіт'!J124+'[1]побудинковий звіт'!J124</f>
        <v>2216.3197986354412</v>
      </c>
      <c r="K124" s="55">
        <f t="shared" si="65"/>
        <v>55.670807849343419</v>
      </c>
      <c r="L124" s="41">
        <f>'[2]побудинковий звіт'!L124+'[1]побудинковий звіт'!L124</f>
        <v>764.20549263243959</v>
      </c>
      <c r="M124" s="41">
        <f>'[2]побудинковий звіт'!M124+'[1]побудинковий звіт'!M124</f>
        <v>801.93765557588222</v>
      </c>
      <c r="N124" s="55">
        <f t="shared" si="66"/>
        <v>37.732162943442631</v>
      </c>
      <c r="O124" s="41">
        <f>'[2]побудинковий звіт'!O124+'[1]побудинковий звіт'!O124</f>
        <v>1094.217734937856</v>
      </c>
      <c r="P124" s="41">
        <f>'[2]побудинковий звіт'!P124+'[1]побудинковий звіт'!P124</f>
        <v>1097.4981420398487</v>
      </c>
      <c r="Q124" s="55">
        <f t="shared" si="67"/>
        <v>3.2804071019927505</v>
      </c>
      <c r="R124" s="41">
        <f>'[2]побудинковий звіт'!R124+'[1]побудинковий звіт'!R124</f>
        <v>0</v>
      </c>
      <c r="S124" s="41">
        <f>'[2]побудинковий звіт'!S124+'[1]побудинковий звіт'!S124</f>
        <v>0</v>
      </c>
      <c r="T124" s="55">
        <f t="shared" si="68"/>
        <v>0</v>
      </c>
      <c r="U124" s="41">
        <f>'[2]побудинковий звіт'!U124+'[1]побудинковий звіт'!U124</f>
        <v>0</v>
      </c>
      <c r="V124" s="41">
        <f>'[2]побудинковий звіт'!V124+'[1]побудинковий звіт'!V124</f>
        <v>0</v>
      </c>
      <c r="W124" s="55">
        <f t="shared" si="69"/>
        <v>0</v>
      </c>
      <c r="X124" s="41">
        <f>'[2]побудинковий звіт'!X124+'[1]побудинковий звіт'!X124</f>
        <v>1280.6196000232526</v>
      </c>
      <c r="Y124" s="41">
        <f>'[2]побудинковий звіт'!Y124+'[1]побудинковий звіт'!Y124</f>
        <v>1253.5979055145892</v>
      </c>
      <c r="Z124" s="55">
        <f t="shared" si="70"/>
        <v>-27.021694508663359</v>
      </c>
      <c r="AA124" s="41">
        <f>'[2]побудинковий звіт'!AA124+'[1]побудинковий звіт'!AA124</f>
        <v>0</v>
      </c>
      <c r="AB124" s="41">
        <f>'[2]побудинковий звіт'!AB124+'[1]побудинковий звіт'!AB124</f>
        <v>0</v>
      </c>
      <c r="AC124" s="55">
        <f t="shared" si="71"/>
        <v>0</v>
      </c>
      <c r="AD124" s="41">
        <f>'[2]побудинковий звіт'!AD124+'[1]побудинковий звіт'!AD124</f>
        <v>3323.6823112721004</v>
      </c>
      <c r="AE124" s="41">
        <f>'[2]побудинковий звіт'!AE124+'[1]побудинковий звіт'!AE124</f>
        <v>3310.7556122111996</v>
      </c>
      <c r="AF124" s="36">
        <f t="shared" si="72"/>
        <v>-12.926699060900773</v>
      </c>
      <c r="AG124" s="84">
        <f t="shared" si="73"/>
        <v>8623.3741296517474</v>
      </c>
      <c r="AH124" s="56">
        <f t="shared" si="74"/>
        <v>8680.1091139769615</v>
      </c>
      <c r="AI124" s="55">
        <f t="shared" si="75"/>
        <v>56.7349843252141</v>
      </c>
      <c r="AJ124" s="41">
        <f>'[2]побудинковий звіт'!AJ124+'[1]побудинковий звіт'!AJ124</f>
        <v>0</v>
      </c>
      <c r="AK124" s="41">
        <f>'[2]побудинковий звіт'!AK124+'[1]побудинковий звіт'!AK124</f>
        <v>0</v>
      </c>
      <c r="AL124" s="55">
        <f t="shared" si="76"/>
        <v>0</v>
      </c>
      <c r="AM124" s="41">
        <f>'[2]побудинковий звіт'!AM124+'[1]побудинковий звіт'!AM124</f>
        <v>0</v>
      </c>
      <c r="AN124" s="41">
        <f>'[2]побудинковий звіт'!AN124+'[1]побудинковий звіт'!AN124</f>
        <v>0</v>
      </c>
      <c r="AO124" s="55">
        <f t="shared" si="77"/>
        <v>0</v>
      </c>
      <c r="AP124" s="41">
        <f>'[2]побудинковий звіт'!AP124+'[1]побудинковий звіт'!AP124</f>
        <v>2080.2556801009277</v>
      </c>
      <c r="AQ124" s="41">
        <f>'[2]побудинковий звіт'!AQ124+'[1]побудинковий звіт'!AQ124</f>
        <v>1909.5749163073588</v>
      </c>
      <c r="AR124" s="55">
        <f t="shared" si="78"/>
        <v>-170.68076379356899</v>
      </c>
      <c r="AS124" s="41">
        <f>'[2]побудинковий звіт'!AS124+'[1]побудинковий звіт'!AS124</f>
        <v>13683.317676131011</v>
      </c>
      <c r="AT124" s="41">
        <f>'[2]побудинковий звіт'!AT124+'[1]побудинковий звіт'!AT124</f>
        <v>3027.1912537052463</v>
      </c>
      <c r="AU124" s="57">
        <f t="shared" si="79"/>
        <v>-10656.126422425765</v>
      </c>
      <c r="AV124" s="41">
        <f>'[2]побудинковий звіт'!AV124+'[1]побудинковий звіт'!AV124</f>
        <v>703.46786092472928</v>
      </c>
      <c r="AW124" s="41">
        <f>'[2]побудинковий звіт'!AW124+'[1]побудинковий звіт'!AW124</f>
        <v>0</v>
      </c>
      <c r="AX124" s="58">
        <f t="shared" si="80"/>
        <v>-703.46786092472928</v>
      </c>
      <c r="AY124" s="41">
        <f>'[2]побудинковий звіт'!AY124+'[1]побудинковий звіт'!AY124</f>
        <v>917.74607801967932</v>
      </c>
      <c r="AZ124" s="41">
        <f>'[2]побудинковий звіт'!AZ124+'[1]побудинковий звіт'!AZ124</f>
        <v>0</v>
      </c>
      <c r="BA124" s="36">
        <f t="shared" si="81"/>
        <v>-917.74607801967932</v>
      </c>
      <c r="BB124" s="41">
        <f>'[2]побудинковий звіт'!BB124+'[1]побудинковий звіт'!BB124</f>
        <v>385.26608683117615</v>
      </c>
      <c r="BC124" s="41">
        <f>'[2]побудинковий звіт'!BC124+'[1]побудинковий звіт'!BC124</f>
        <v>663.8087342452958</v>
      </c>
      <c r="BD124" s="58">
        <f t="shared" si="82"/>
        <v>278.54264741411964</v>
      </c>
      <c r="BE124" s="41">
        <f>'[2]побудинковий звіт'!BE124+'[1]побудинковий звіт'!BE124</f>
        <v>0</v>
      </c>
      <c r="BF124" s="41">
        <f>'[2]побудинковий звіт'!BF124+'[1]побудинковий звіт'!BF124</f>
        <v>0</v>
      </c>
      <c r="BG124" s="38">
        <f t="shared" si="83"/>
        <v>0</v>
      </c>
      <c r="BH124" s="41">
        <f>'[2]побудинковий звіт'!BH124+'[1]побудинковий звіт'!BH124</f>
        <v>0</v>
      </c>
      <c r="BI124" s="41">
        <f>'[2]побудинковий звіт'!BI124+'[1]побудинковий звіт'!BI124</f>
        <v>0</v>
      </c>
      <c r="BJ124" s="58">
        <f t="shared" si="84"/>
        <v>0</v>
      </c>
      <c r="BK124" s="41">
        <f>'[2]побудинковий звіт'!BK124+'[1]побудинковий звіт'!BK124</f>
        <v>390.88034090253365</v>
      </c>
      <c r="BL124" s="41">
        <f>'[2]побудинковий звіт'!BL124+'[1]побудинковий звіт'!BL124</f>
        <v>0</v>
      </c>
      <c r="BM124" s="38">
        <f t="shared" si="85"/>
        <v>-390.88034090253365</v>
      </c>
      <c r="BN124" s="41">
        <f>'[2]побудинковий звіт'!BN124+'[1]побудинковий звіт'!BN124</f>
        <v>73.031382193185095</v>
      </c>
      <c r="BO124" s="41">
        <f>'[2]побудинковий звіт'!BO124+'[1]побудинковий звіт'!BO124</f>
        <v>2694.642809421</v>
      </c>
      <c r="BP124" s="58">
        <f t="shared" si="86"/>
        <v>2621.6114272278151</v>
      </c>
      <c r="BQ124" s="84">
        <f t="shared" si="87"/>
        <v>2470.3917488713037</v>
      </c>
      <c r="BR124" s="42">
        <f t="shared" si="88"/>
        <v>3358.4515436662959</v>
      </c>
      <c r="BS124" s="58">
        <f t="shared" si="89"/>
        <v>888.05979479499229</v>
      </c>
      <c r="BT124" s="41">
        <f>'[2]побудинковий звіт'!BT124+'[1]побудинковий звіт'!BT124</f>
        <v>12302.176056312064</v>
      </c>
      <c r="BU124" s="41">
        <f>'[2]побудинковий звіт'!BU124+'[1]побудинковий звіт'!BU124</f>
        <v>17195.899504916157</v>
      </c>
      <c r="BV124" s="55">
        <f t="shared" si="90"/>
        <v>4893.7234486040925</v>
      </c>
      <c r="BW124" s="41">
        <f>'[2]побудинковий звіт'!BW124+'[1]побудинковий звіт'!BW124</f>
        <v>7626.8654882125757</v>
      </c>
      <c r="BX124" s="41">
        <f>'[2]побудинковий звіт'!BX124+'[1]побудинковий звіт'!BX124</f>
        <v>8212.9277427039997</v>
      </c>
      <c r="BY124" s="55">
        <f t="shared" si="91"/>
        <v>586.06225449142403</v>
      </c>
      <c r="BZ124" s="41">
        <f>'[2]побудинковий звіт'!BZ124+'[1]побудинковий звіт'!BZ124</f>
        <v>3792.9244830879406</v>
      </c>
      <c r="CA124" s="41">
        <f>'[2]побудинковий звіт'!CA124+'[1]побудинковий звіт'!CA124</f>
        <v>1999.6011707091589</v>
      </c>
      <c r="CB124" s="55">
        <f t="shared" si="92"/>
        <v>-1793.3233123787818</v>
      </c>
      <c r="CC124" s="41">
        <f>'[2]побудинковий звіт'!CC124+'[1]побудинковий звіт'!CC124</f>
        <v>0</v>
      </c>
      <c r="CD124" s="41">
        <f>'[2]побудинковий звіт'!CD124+'[1]побудинковий звіт'!CD124</f>
        <v>0</v>
      </c>
      <c r="CE124" s="55">
        <f t="shared" si="93"/>
        <v>0</v>
      </c>
      <c r="CF124" s="41">
        <f>'[2]побудинковий звіт'!CF124+'[1]побудинковий звіт'!CF124</f>
        <v>0</v>
      </c>
      <c r="CG124" s="41">
        <f>'[2]побудинковий звіт'!CG124+'[1]побудинковий звіт'!CG124</f>
        <v>0</v>
      </c>
      <c r="CH124" s="55">
        <f t="shared" si="94"/>
        <v>0</v>
      </c>
      <c r="CI124" s="41">
        <f>'[2]побудинковий звіт'!CI124+'[1]побудинковий звіт'!CI124</f>
        <v>1209.9405744970445</v>
      </c>
      <c r="CJ124" s="41">
        <f>'[2]побудинковий звіт'!CJ124+'[1]побудинковий звіт'!CJ124</f>
        <v>431.96808167870233</v>
      </c>
      <c r="CK124" s="55">
        <f t="shared" si="95"/>
        <v>-777.97249281834218</v>
      </c>
      <c r="CL124" s="41">
        <f>'[2]побудинковий звіт'!CL124+'[1]побудинковий звіт'!CL124</f>
        <v>0</v>
      </c>
      <c r="CM124" s="41">
        <f>'[2]побудинковий звіт'!CM124+'[1]побудинковий звіт'!CM124</f>
        <v>0</v>
      </c>
      <c r="CN124" s="55">
        <f t="shared" si="96"/>
        <v>0</v>
      </c>
      <c r="CO124" s="41">
        <f t="shared" si="97"/>
        <v>1209.9405744970445</v>
      </c>
      <c r="CP124" s="42">
        <f t="shared" si="98"/>
        <v>431.96808167870233</v>
      </c>
      <c r="CQ124" s="55">
        <f t="shared" si="99"/>
        <v>-777.97249281834218</v>
      </c>
      <c r="CR124" s="76">
        <f t="shared" si="100"/>
        <v>51789.245836864611</v>
      </c>
      <c r="CS124" s="5">
        <f t="shared" si="101"/>
        <v>44815.72332766388</v>
      </c>
      <c r="CT124" s="55">
        <f t="shared" si="102"/>
        <v>-6973.5225092007313</v>
      </c>
      <c r="CU124" s="84">
        <f t="shared" si="103"/>
        <v>62147.095004237533</v>
      </c>
      <c r="CV124" s="68">
        <f t="shared" si="104"/>
        <v>53778.867993196654</v>
      </c>
      <c r="CW124" s="36">
        <f t="shared" si="105"/>
        <v>-8368.227011040879</v>
      </c>
      <c r="CX124" s="41">
        <f>'[2]побудинковий звіт'!CX124+'[1]побудинковий звіт'!CX124</f>
        <v>1374.3770920428506</v>
      </c>
      <c r="CY124" s="41">
        <f>'[2]побудинковий звіт'!CY124+'[1]побудинковий звіт'!CY124</f>
        <v>9742.6041030837405</v>
      </c>
      <c r="CZ124" s="55">
        <f t="shared" si="106"/>
        <v>8368.2270110408899</v>
      </c>
      <c r="DA124" s="254">
        <f>'[1]побудинковий звіт'!DA124</f>
        <v>-16485.088997129536</v>
      </c>
      <c r="DB124" s="2">
        <v>2</v>
      </c>
      <c r="DC124" s="702">
        <f>'[1]побудинковий звіт'!DC124</f>
        <v>27585.33</v>
      </c>
      <c r="DD124" s="702">
        <f>'[1]побудинковий звіт'!DD124</f>
        <v>3595.61</v>
      </c>
      <c r="DE124" s="702">
        <f>'[1]побудинковий звіт'!DE124</f>
        <v>21229.68</v>
      </c>
      <c r="DF124" s="702">
        <f>'[1]побудинковий звіт'!DF124</f>
        <v>2970.1400000000003</v>
      </c>
      <c r="DG124" s="772">
        <v>569.15406880961382</v>
      </c>
      <c r="DH124" s="746">
        <f t="shared" si="107"/>
        <v>762257.66515536467</v>
      </c>
      <c r="DI124" s="769"/>
      <c r="DJ124" s="5"/>
      <c r="DK124" s="307">
        <f>VLOOKUP($A124,ціни!$A$4:$G$401,5)</f>
        <v>6.6057754514453189</v>
      </c>
      <c r="DL124" s="307"/>
      <c r="DM124" s="307">
        <f>VLOOKUP($A124,ціни!$A$4:$G$401,7)</f>
        <v>5.5369698990524654</v>
      </c>
      <c r="DN124" s="29">
        <f t="shared" si="122"/>
        <v>4530.2408046011997</v>
      </c>
      <c r="DO124" s="29">
        <f t="shared" si="123"/>
        <v>445.72607687372346</v>
      </c>
      <c r="DP124" s="306">
        <f t="shared" si="108"/>
        <v>4975.966881474923</v>
      </c>
      <c r="DQ124" s="101"/>
      <c r="DR124" s="29">
        <f>VLOOKUP(A124,'ДЗ нас '!$A$1:$C$359,2)</f>
        <v>4530.24</v>
      </c>
      <c r="DS124" s="733">
        <f>VLOOKUP(A124,'ДЗ нежит'!$A$1:$D$153,4,0)</f>
        <v>445.73</v>
      </c>
      <c r="DT124" s="29">
        <f t="shared" si="109"/>
        <v>4975.9699999999993</v>
      </c>
      <c r="DU124" s="247">
        <f>VLOOKUP(A124,'новий кошторис с 01.06'!$A$4:$AI$399,35)*1.2</f>
        <v>4990.6741727502185</v>
      </c>
      <c r="DV124" s="29">
        <f t="shared" si="110"/>
        <v>-14.704172750219186</v>
      </c>
      <c r="DW124" s="1016">
        <f>'[2]побудинковий звіт'!$DW$9+'[1]побудинковий звіт'!DW124</f>
        <v>918</v>
      </c>
      <c r="DX124" s="101">
        <f>'[1]побудинковий звіт'!DX124</f>
        <v>0</v>
      </c>
      <c r="DY124" s="5">
        <f t="shared" si="111"/>
        <v>19384.451310002776</v>
      </c>
      <c r="DZ124" s="5">
        <f t="shared" si="112"/>
        <v>7662.7713568458494</v>
      </c>
      <c r="EA124" s="737">
        <f t="shared" si="113"/>
        <v>24199.82</v>
      </c>
      <c r="EC124" s="577">
        <f t="shared" si="114"/>
        <v>164199.81211357214</v>
      </c>
      <c r="EE124" s="743">
        <v>4964</v>
      </c>
      <c r="EF124" s="723">
        <f t="shared" si="115"/>
        <v>5533.1540688096138</v>
      </c>
      <c r="EH124" s="798">
        <v>-11780.454996097218</v>
      </c>
      <c r="EI124" s="101">
        <f>VLOOKUP(A124,'кошти 01.01.24'!$A$9:$D$352,4,FALSE)</f>
        <v>-8116.8619860886474</v>
      </c>
    </row>
    <row r="125" spans="1:139" hidden="1" x14ac:dyDescent="0.3">
      <c r="A125" s="318">
        <v>150000607</v>
      </c>
      <c r="B125" s="43" t="s">
        <v>552</v>
      </c>
      <c r="C125" s="44" t="s">
        <v>157</v>
      </c>
      <c r="D125" s="44" t="s">
        <v>157</v>
      </c>
      <c r="E125" s="39">
        <f t="shared" si="64"/>
        <v>994.80000000000007</v>
      </c>
      <c r="F125" s="205">
        <f>'[1]побудинковий звіт'!F125</f>
        <v>760.1</v>
      </c>
      <c r="G125" s="29">
        <f>'[1]побудинковий звіт'!G125</f>
        <v>0</v>
      </c>
      <c r="H125" s="148">
        <f>'[1]побудинковий звіт'!H125</f>
        <v>234.70000000000002</v>
      </c>
      <c r="I125" s="41">
        <f>'[2]побудинковий звіт'!I125+'[1]побудинковий звіт'!I125</f>
        <v>4544.6690635590112</v>
      </c>
      <c r="J125" s="41">
        <f>'[2]побудинковий звіт'!J125+'[1]побудинковий звіт'!J125</f>
        <v>4614.4847445156784</v>
      </c>
      <c r="K125" s="55">
        <f t="shared" si="65"/>
        <v>69.815680956667165</v>
      </c>
      <c r="L125" s="41">
        <f>'[2]побудинковий звіт'!L125+'[1]побудинковий звіт'!L125</f>
        <v>915.62797223347854</v>
      </c>
      <c r="M125" s="41">
        <f>'[2]побудинковий звіт'!M125+'[1]побудинковий звіт'!M125</f>
        <v>960.94372237045877</v>
      </c>
      <c r="N125" s="55">
        <f t="shared" si="66"/>
        <v>45.315750136980228</v>
      </c>
      <c r="O125" s="41">
        <f>'[2]побудинковий звіт'!O125+'[1]побудинковий звіт'!O125</f>
        <v>1434.1326419364366</v>
      </c>
      <c r="P125" s="41">
        <f>'[2]побудинковий звіт'!P125+'[1]побудинковий звіт'!P125</f>
        <v>1438.3999739681788</v>
      </c>
      <c r="Q125" s="55">
        <f t="shared" si="67"/>
        <v>4.2673320317421712</v>
      </c>
      <c r="R125" s="41">
        <f>'[2]побудинковий звіт'!R125+'[1]побудинковий звіт'!R125</f>
        <v>0</v>
      </c>
      <c r="S125" s="41">
        <f>'[2]побудинковий звіт'!S125+'[1]побудинковий звіт'!S125</f>
        <v>0</v>
      </c>
      <c r="T125" s="55">
        <f t="shared" si="68"/>
        <v>0</v>
      </c>
      <c r="U125" s="41">
        <f>'[2]побудинковий звіт'!U125+'[1]побудинковий звіт'!U125</f>
        <v>0</v>
      </c>
      <c r="V125" s="41">
        <f>'[2]побудинковий звіт'!V125+'[1]побудинковий звіт'!V125</f>
        <v>0</v>
      </c>
      <c r="W125" s="55">
        <f t="shared" si="69"/>
        <v>0</v>
      </c>
      <c r="X125" s="41">
        <f>'[2]побудинковий звіт'!X125+'[1]побудинковий звіт'!X125</f>
        <v>1984.9613520122605</v>
      </c>
      <c r="Y125" s="41">
        <f>'[2]побудинковий звіт'!Y125+'[1]побудинковий звіт'!Y125</f>
        <v>2509.1250450309039</v>
      </c>
      <c r="Z125" s="55">
        <f t="shared" si="70"/>
        <v>524.16369301864347</v>
      </c>
      <c r="AA125" s="41">
        <f>'[2]побудинковий звіт'!AA125+'[1]побудинковий звіт'!AA125</f>
        <v>0</v>
      </c>
      <c r="AB125" s="41">
        <f>'[2]побудинковий звіт'!AB125+'[1]побудинковий звіт'!AB125</f>
        <v>0</v>
      </c>
      <c r="AC125" s="55">
        <f t="shared" si="71"/>
        <v>0</v>
      </c>
      <c r="AD125" s="41">
        <f>'[2]побудинковий звіт'!AD125+'[1]побудинковий звіт'!AD125</f>
        <v>4314.7581407457719</v>
      </c>
      <c r="AE125" s="41">
        <f>'[2]побудинковий звіт'!AE125+'[1]побудинковий звіт'!AE125</f>
        <v>4297.9768798482337</v>
      </c>
      <c r="AF125" s="36">
        <f t="shared" si="72"/>
        <v>-16.781260897538232</v>
      </c>
      <c r="AG125" s="84">
        <f t="shared" si="73"/>
        <v>13194.149170486959</v>
      </c>
      <c r="AH125" s="56">
        <f t="shared" si="74"/>
        <v>13820.930365733453</v>
      </c>
      <c r="AI125" s="55">
        <f t="shared" si="75"/>
        <v>626.78119524649446</v>
      </c>
      <c r="AJ125" s="41">
        <f>'[2]побудинковий звіт'!AJ125+'[1]побудинковий звіт'!AJ125</f>
        <v>0</v>
      </c>
      <c r="AK125" s="41">
        <f>'[2]побудинковий звіт'!AK125+'[1]побудинковий звіт'!AK125</f>
        <v>0</v>
      </c>
      <c r="AL125" s="55">
        <f t="shared" si="76"/>
        <v>0</v>
      </c>
      <c r="AM125" s="41">
        <f>'[2]побудинковий звіт'!AM125+'[1]побудинковий звіт'!AM125</f>
        <v>0</v>
      </c>
      <c r="AN125" s="41">
        <f>'[2]побудинковий звіт'!AN125+'[1]побудинковий звіт'!AN125</f>
        <v>0</v>
      </c>
      <c r="AO125" s="55">
        <f t="shared" si="77"/>
        <v>0</v>
      </c>
      <c r="AP125" s="41">
        <f>'[2]побудинковий звіт'!AP125+'[1]побудинковий звіт'!AP125</f>
        <v>1931.6659886651478</v>
      </c>
      <c r="AQ125" s="41">
        <f>'[2]побудинковий звіт'!AQ125+'[1]побудинковий звіт'!AQ125</f>
        <v>1757.8140484293226</v>
      </c>
      <c r="AR125" s="55">
        <f t="shared" si="78"/>
        <v>-173.85194023582517</v>
      </c>
      <c r="AS125" s="41">
        <f>'[2]побудинковий звіт'!AS125+'[1]побудинковий звіт'!AS125</f>
        <v>11836.992986557631</v>
      </c>
      <c r="AT125" s="41">
        <f>'[2]побудинковий звіт'!AT125+'[1]побудинковий звіт'!AT125</f>
        <v>4146.265511210212</v>
      </c>
      <c r="AU125" s="57">
        <f t="shared" si="79"/>
        <v>-7690.7274753474185</v>
      </c>
      <c r="AV125" s="41">
        <f>'[2]побудинковий звіт'!AV125+'[1]побудинковий звіт'!AV125</f>
        <v>819.202632456836</v>
      </c>
      <c r="AW125" s="41">
        <f>'[2]побудинковий звіт'!AW125+'[1]побудинковий звіт'!AW125</f>
        <v>0</v>
      </c>
      <c r="AX125" s="58">
        <f t="shared" si="80"/>
        <v>-819.202632456836</v>
      </c>
      <c r="AY125" s="41">
        <f>'[2]побудинковий звіт'!AY125+'[1]побудинковий звіт'!AY125</f>
        <v>1099.9561773600401</v>
      </c>
      <c r="AZ125" s="41">
        <f>'[2]побудинковий звіт'!AZ125+'[1]побудинковий звіт'!AZ125</f>
        <v>0</v>
      </c>
      <c r="BA125" s="36">
        <f t="shared" si="81"/>
        <v>-1099.9561773600401</v>
      </c>
      <c r="BB125" s="41">
        <f>'[2]побудинковий звіт'!BB125+'[1]побудинковий звіт'!BB125</f>
        <v>601.7393475355143</v>
      </c>
      <c r="BC125" s="41">
        <f>'[2]побудинковий звіт'!BC125+'[1]побудинковий звіт'!BC125</f>
        <v>0</v>
      </c>
      <c r="BD125" s="58">
        <f t="shared" si="82"/>
        <v>-601.7393475355143</v>
      </c>
      <c r="BE125" s="41">
        <f>'[2]побудинковий звіт'!BE125+'[1]побудинковий звіт'!BE125</f>
        <v>0</v>
      </c>
      <c r="BF125" s="41">
        <f>'[2]побудинковий звіт'!BF125+'[1]побудинковий звіт'!BF125</f>
        <v>0</v>
      </c>
      <c r="BG125" s="38">
        <f t="shared" si="83"/>
        <v>0</v>
      </c>
      <c r="BH125" s="41">
        <f>'[2]побудинковий звіт'!BH125+'[1]побудинковий звіт'!BH125</f>
        <v>0</v>
      </c>
      <c r="BI125" s="41">
        <f>'[2]побудинковий звіт'!BI125+'[1]побудинковий звіт'!BI125</f>
        <v>0</v>
      </c>
      <c r="BJ125" s="58">
        <f t="shared" si="84"/>
        <v>0</v>
      </c>
      <c r="BK125" s="41">
        <f>'[2]побудинковий звіт'!BK125+'[1]побудинковий звіт'!BK125</f>
        <v>254.55701535764396</v>
      </c>
      <c r="BL125" s="41">
        <f>'[2]побудинковий звіт'!BL125+'[1]побудинковий звіт'!BL125</f>
        <v>0</v>
      </c>
      <c r="BM125" s="38">
        <f t="shared" si="85"/>
        <v>-254.55701535764396</v>
      </c>
      <c r="BN125" s="41">
        <f>'[2]побудинковий звіт'!BN125+'[1]побудинковий звіт'!BN125</f>
        <v>73.031382193185095</v>
      </c>
      <c r="BO125" s="41">
        <f>'[2]побудинковий звіт'!BO125+'[1]побудинковий звіт'!BO125</f>
        <v>5378.2915641319996</v>
      </c>
      <c r="BP125" s="58">
        <f t="shared" si="86"/>
        <v>5305.2601819388146</v>
      </c>
      <c r="BQ125" s="84">
        <f t="shared" si="87"/>
        <v>2848.4865549032197</v>
      </c>
      <c r="BR125" s="42">
        <f t="shared" si="88"/>
        <v>5378.2915641319996</v>
      </c>
      <c r="BS125" s="58">
        <f t="shared" si="89"/>
        <v>2529.8050092287799</v>
      </c>
      <c r="BT125" s="41">
        <f>'[2]побудинковий звіт'!BT125+'[1]побудинковий звіт'!BT125</f>
        <v>19125.484692584781</v>
      </c>
      <c r="BU125" s="41">
        <f>'[2]побудинковий звіт'!BU125+'[1]побудинковий звіт'!BU125</f>
        <v>20481.452387454199</v>
      </c>
      <c r="BV125" s="55">
        <f t="shared" si="90"/>
        <v>1355.9676948694178</v>
      </c>
      <c r="BW125" s="41">
        <f>'[2]побудинковий звіт'!BW125+'[1]побудинковий звіт'!BW125</f>
        <v>8017.9579789288528</v>
      </c>
      <c r="BX125" s="41">
        <f>'[2]побудинковий звіт'!BX125+'[1]побудинковий звіт'!BX125</f>
        <v>6958.0591673176659</v>
      </c>
      <c r="BY125" s="55">
        <f t="shared" si="91"/>
        <v>-1059.8988116111868</v>
      </c>
      <c r="BZ125" s="41">
        <f>'[2]побудинковий звіт'!BZ125+'[1]побудинковий звіт'!BZ125</f>
        <v>2804.4303176326416</v>
      </c>
      <c r="CA125" s="41">
        <f>'[2]побудинковий звіт'!CA125+'[1]побудинковий звіт'!CA125</f>
        <v>1911.0259840341073</v>
      </c>
      <c r="CB125" s="55">
        <f t="shared" si="92"/>
        <v>-893.40433359853432</v>
      </c>
      <c r="CC125" s="41">
        <f>'[2]побудинковий звіт'!CC125+'[1]побудинковий звіт'!CC125</f>
        <v>595.44474206693951</v>
      </c>
      <c r="CD125" s="41">
        <f>'[2]побудинковий звіт'!CD125+'[1]побудинковий звіт'!CD125</f>
        <v>597.46382876919699</v>
      </c>
      <c r="CE125" s="55">
        <f t="shared" si="93"/>
        <v>2.0190867022574821</v>
      </c>
      <c r="CF125" s="41">
        <f>'[2]побудинковий звіт'!CF125+'[1]побудинковий звіт'!CF125</f>
        <v>73.772438643019015</v>
      </c>
      <c r="CG125" s="41">
        <f>'[2]побудинковий звіт'!CG125+'[1]побудинковий звіт'!CG125</f>
        <v>0</v>
      </c>
      <c r="CH125" s="55">
        <f t="shared" si="94"/>
        <v>-73.772438643019015</v>
      </c>
      <c r="CI125" s="41">
        <f>'[2]побудинковий звіт'!CI125+'[1]побудинковий звіт'!CI125</f>
        <v>855.16633781782002</v>
      </c>
      <c r="CJ125" s="41">
        <f>'[2]побудинковий звіт'!CJ125+'[1]побудинковий звіт'!CJ125</f>
        <v>500.55592069339093</v>
      </c>
      <c r="CK125" s="55">
        <f t="shared" si="95"/>
        <v>-354.61041712442909</v>
      </c>
      <c r="CL125" s="41">
        <f>'[2]побудинковий звіт'!CL125+'[1]побудинковий звіт'!CL125</f>
        <v>0</v>
      </c>
      <c r="CM125" s="41">
        <f>'[2]побудинковий звіт'!CM125+'[1]побудинковий звіт'!CM125</f>
        <v>0</v>
      </c>
      <c r="CN125" s="55">
        <f t="shared" si="96"/>
        <v>0</v>
      </c>
      <c r="CO125" s="41">
        <f t="shared" si="97"/>
        <v>855.16633781782002</v>
      </c>
      <c r="CP125" s="42">
        <f t="shared" si="98"/>
        <v>500.55592069339093</v>
      </c>
      <c r="CQ125" s="55">
        <f t="shared" si="99"/>
        <v>-354.61041712442909</v>
      </c>
      <c r="CR125" s="76">
        <f t="shared" si="100"/>
        <v>61283.551208287012</v>
      </c>
      <c r="CS125" s="5">
        <f t="shared" si="101"/>
        <v>55551.858777773552</v>
      </c>
      <c r="CT125" s="55">
        <f t="shared" si="102"/>
        <v>-5731.6924305134598</v>
      </c>
      <c r="CU125" s="84">
        <f t="shared" si="103"/>
        <v>73540.261449944417</v>
      </c>
      <c r="CV125" s="68">
        <f t="shared" si="104"/>
        <v>66662.230533328257</v>
      </c>
      <c r="CW125" s="36">
        <f t="shared" si="105"/>
        <v>-6878.0309166161605</v>
      </c>
      <c r="CX125" s="41">
        <f>'[2]побудинковий звіт'!CX125+'[1]побудинковий звіт'!CX125</f>
        <v>2691.6267673288539</v>
      </c>
      <c r="CY125" s="41">
        <f>'[2]побудинковий звіт'!CY125+'[1]побудинковий звіт'!CY125</f>
        <v>9569.6576839450063</v>
      </c>
      <c r="CZ125" s="55">
        <f t="shared" si="106"/>
        <v>6878.0309166161524</v>
      </c>
      <c r="DA125" s="254">
        <f>'[1]побудинковий звіт'!DA125</f>
        <v>-18264.27757100551</v>
      </c>
      <c r="DB125" s="2">
        <v>2</v>
      </c>
      <c r="DC125" s="702">
        <f>'[1]побудинковий звіт'!DC125</f>
        <v>6648.14</v>
      </c>
      <c r="DD125" s="702">
        <f>'[1]побудинковий звіт'!DD125</f>
        <v>1618.48</v>
      </c>
      <c r="DE125" s="702">
        <f>'[1]побудинковий звіт'!DE125</f>
        <v>-39.069999999999709</v>
      </c>
      <c r="DF125" s="702">
        <f>'[1]побудинковий звіт'!DF125</f>
        <v>-102.93000000000029</v>
      </c>
      <c r="DG125" s="772">
        <v>-12260.880725784169</v>
      </c>
      <c r="DH125" s="746">
        <f t="shared" si="107"/>
        <v>914782.65860727918</v>
      </c>
      <c r="DI125" s="769"/>
      <c r="DJ125" s="5"/>
      <c r="DK125" s="307">
        <f>VLOOKUP($A125,ціни!$A$4:$G$401,5)</f>
        <v>6.2785072280668155</v>
      </c>
      <c r="DL125" s="307"/>
      <c r="DM125" s="307">
        <f>VLOOKUP($A125,ціни!$A$4:$G$401,7)</f>
        <v>5.1737788490054317</v>
      </c>
      <c r="DN125" s="29">
        <f t="shared" si="122"/>
        <v>4772.2933440535862</v>
      </c>
      <c r="DO125" s="29">
        <f t="shared" si="123"/>
        <v>1214.285895861575</v>
      </c>
      <c r="DP125" s="306">
        <f t="shared" si="108"/>
        <v>5986.5792399151615</v>
      </c>
      <c r="DQ125" s="101"/>
      <c r="DR125" s="29">
        <f>VLOOKUP(A125,'ДЗ нас '!$A$1:$C$359,2)</f>
        <v>4388.68</v>
      </c>
      <c r="DS125" s="733">
        <f>VLOOKUP(A125,'ДЗ нежит'!$A$1:$D$153,4,0)</f>
        <v>1530.4199999999998</v>
      </c>
      <c r="DT125" s="29">
        <f t="shared" si="109"/>
        <v>5919.1</v>
      </c>
      <c r="DU125" s="247">
        <f>VLOOKUP(A125,'новий кошторис с 01.06'!$A$4:$AI$399,35)*1.2</f>
        <v>5947.9538985689205</v>
      </c>
      <c r="DV125" s="29">
        <f t="shared" si="110"/>
        <v>-28.853898568920158</v>
      </c>
      <c r="DW125" s="1016">
        <f>'[2]побудинковий звіт'!$DW$9+'[1]побудинковий звіт'!DW125</f>
        <v>918</v>
      </c>
      <c r="DX125" s="101">
        <f>'[1]побудинковий звіт'!DX125</f>
        <v>0</v>
      </c>
      <c r="DY125" s="5">
        <f t="shared" si="111"/>
        <v>17622.575449753022</v>
      </c>
      <c r="DZ125" s="5">
        <f t="shared" si="112"/>
        <v>11429.468490410653</v>
      </c>
      <c r="EA125" s="737">
        <f t="shared" si="113"/>
        <v>-142</v>
      </c>
      <c r="EC125" s="577">
        <f t="shared" si="114"/>
        <v>142043.91583869158</v>
      </c>
      <c r="EE125" s="743">
        <v>-12107</v>
      </c>
      <c r="EF125" s="723">
        <f t="shared" si="115"/>
        <v>-24367.880725784169</v>
      </c>
      <c r="EH125" s="798">
        <v>-2113.2242656163107</v>
      </c>
      <c r="EI125" s="101">
        <f>VLOOKUP(A125,'кошти 01.01.24'!$A$9:$D$352,4,FALSE)</f>
        <v>-11386.246654389359</v>
      </c>
    </row>
    <row r="126" spans="1:139" ht="14.4" hidden="1" customHeight="1" x14ac:dyDescent="0.3">
      <c r="A126" s="318">
        <v>150000608</v>
      </c>
      <c r="B126" s="43" t="s">
        <v>553</v>
      </c>
      <c r="C126" s="44" t="s">
        <v>158</v>
      </c>
      <c r="D126" s="44" t="s">
        <v>158</v>
      </c>
      <c r="E126" s="39">
        <f t="shared" si="64"/>
        <v>598.30999999999995</v>
      </c>
      <c r="F126" s="205">
        <f>'[1]побудинковий звіт'!F126</f>
        <v>468.01</v>
      </c>
      <c r="G126" s="29">
        <f>'[1]побудинковий звіт'!G126</f>
        <v>0</v>
      </c>
      <c r="H126" s="148">
        <f>'[1]побудинковий звіт'!H126</f>
        <v>130.30000000000001</v>
      </c>
      <c r="I126" s="41">
        <f>'[2]побудинковий звіт'!I126+'[1]побудинковий звіт'!I126</f>
        <v>3350.5429015956806</v>
      </c>
      <c r="J126" s="41">
        <f>'[2]побудинковий звіт'!J126+'[1]побудинковий звіт'!J126</f>
        <v>3397.3898737593063</v>
      </c>
      <c r="K126" s="55">
        <f t="shared" si="65"/>
        <v>46.846972163625651</v>
      </c>
      <c r="L126" s="41">
        <f>'[2]побудинковий звіт'!L126+'[1]побудинковий звіт'!L126</f>
        <v>760.42150947470839</v>
      </c>
      <c r="M126" s="41">
        <f>'[2]побудинковий звіт'!M126+'[1]побудинковий звіт'!M126</f>
        <v>798.43535709170055</v>
      </c>
      <c r="N126" s="55">
        <f t="shared" si="66"/>
        <v>38.013847616992166</v>
      </c>
      <c r="O126" s="41">
        <f>'[2]побудинковий звіт'!O126+'[1]побудинковий звіт'!O126</f>
        <v>875.05972444328972</v>
      </c>
      <c r="P126" s="41">
        <f>'[2]побудинковий звіт'!P126+'[1]побудинковий звіт'!P126</f>
        <v>877.68585029118208</v>
      </c>
      <c r="Q126" s="55">
        <f t="shared" si="67"/>
        <v>2.6261258478923537</v>
      </c>
      <c r="R126" s="41">
        <f>'[2]побудинковий звіт'!R126+'[1]побудинковий звіт'!R126</f>
        <v>0</v>
      </c>
      <c r="S126" s="41">
        <f>'[2]побудинковий звіт'!S126+'[1]побудинковий звіт'!S126</f>
        <v>0</v>
      </c>
      <c r="T126" s="55">
        <f t="shared" si="68"/>
        <v>0</v>
      </c>
      <c r="U126" s="41">
        <f>'[2]побудинковий звіт'!U126+'[1]побудинковий звіт'!U126</f>
        <v>0</v>
      </c>
      <c r="V126" s="41">
        <f>'[2]побудинковий звіт'!V126+'[1]побудинковий звіт'!V126</f>
        <v>0</v>
      </c>
      <c r="W126" s="55">
        <f t="shared" si="69"/>
        <v>0</v>
      </c>
      <c r="X126" s="41">
        <f>'[2]побудинковий звіт'!X126+'[1]побудинковий звіт'!X126</f>
        <v>1338.5567194242769</v>
      </c>
      <c r="Y126" s="41">
        <f>'[2]побудинковий звіт'!Y126+'[1]побудинковий звіт'!Y126</f>
        <v>1290.1244925380033</v>
      </c>
      <c r="Z126" s="55">
        <f t="shared" si="70"/>
        <v>-48.432226886273611</v>
      </c>
      <c r="AA126" s="41">
        <f>'[2]побудинковий звіт'!AA126+'[1]побудинковий звіт'!AA126</f>
        <v>0</v>
      </c>
      <c r="AB126" s="41">
        <f>'[2]побудинковий звіт'!AB126+'[1]побудинковий звіт'!AB126</f>
        <v>0</v>
      </c>
      <c r="AC126" s="55">
        <f t="shared" si="71"/>
        <v>0</v>
      </c>
      <c r="AD126" s="41">
        <f>'[2]побудинковий звіт'!AD126+'[1]побудинковий звіт'!AD126</f>
        <v>2595.0572408419812</v>
      </c>
      <c r="AE126" s="41">
        <f>'[2]побудинковий звіт'!AE126+'[1]побудинковий звіт'!AE126</f>
        <v>2584.9643616626422</v>
      </c>
      <c r="AF126" s="36">
        <f t="shared" si="72"/>
        <v>-10.092879179338979</v>
      </c>
      <c r="AG126" s="84">
        <f t="shared" si="73"/>
        <v>8919.6380957799374</v>
      </c>
      <c r="AH126" s="56">
        <f t="shared" si="74"/>
        <v>8948.5999353428342</v>
      </c>
      <c r="AI126" s="55">
        <f t="shared" si="75"/>
        <v>28.961839562896785</v>
      </c>
      <c r="AJ126" s="41">
        <f>'[2]побудинковий звіт'!AJ126+'[1]побудинковий звіт'!AJ126</f>
        <v>0</v>
      </c>
      <c r="AK126" s="41">
        <f>'[2]побудинковий звіт'!AK126+'[1]побудинковий звіт'!AK126</f>
        <v>0</v>
      </c>
      <c r="AL126" s="55">
        <f t="shared" si="76"/>
        <v>0</v>
      </c>
      <c r="AM126" s="41">
        <f>'[2]побудинковий звіт'!AM126+'[1]побудинковий звіт'!AM126</f>
        <v>0</v>
      </c>
      <c r="AN126" s="41">
        <f>'[2]побудинковий звіт'!AN126+'[1]побудинковий звіт'!AN126</f>
        <v>0</v>
      </c>
      <c r="AO126" s="55">
        <f t="shared" si="77"/>
        <v>0</v>
      </c>
      <c r="AP126" s="41">
        <f>'[2]побудинковий звіт'!AP126+'[1]побудинковий звіт'!AP126</f>
        <v>1287.7773257767651</v>
      </c>
      <c r="AQ126" s="41">
        <f>'[2]побудинковий звіт'!AQ126+'[1]побудинковий звіт'!AQ126</f>
        <v>1082.1963785917669</v>
      </c>
      <c r="AR126" s="55">
        <f t="shared" si="78"/>
        <v>-205.58094718499819</v>
      </c>
      <c r="AS126" s="41">
        <f>'[2]побудинковий звіт'!AS126+'[1]побудинковий звіт'!AS126</f>
        <v>8849.7602256286627</v>
      </c>
      <c r="AT126" s="41">
        <f>'[2]побудинковий звіт'!AT126+'[1]побудинковий звіт'!AT126</f>
        <v>4253.4214024014063</v>
      </c>
      <c r="AU126" s="57">
        <f t="shared" si="79"/>
        <v>-4596.3388232272564</v>
      </c>
      <c r="AV126" s="41">
        <f>'[2]побудинковий звіт'!AV126+'[1]побудинковий звіт'!AV126</f>
        <v>623.19917306647301</v>
      </c>
      <c r="AW126" s="41">
        <f>'[2]побудинковий звіт'!AW126+'[1]побудинковий звіт'!AW126</f>
        <v>0</v>
      </c>
      <c r="AX126" s="58">
        <f t="shared" si="80"/>
        <v>-623.19917306647301</v>
      </c>
      <c r="AY126" s="41">
        <f>'[2]побудинковий звіт'!AY126+'[1]побудинковий звіт'!AY126</f>
        <v>915.80365569394144</v>
      </c>
      <c r="AZ126" s="41">
        <f>'[2]побудинковий звіт'!AZ126+'[1]побудинковий звіт'!AZ126</f>
        <v>0</v>
      </c>
      <c r="BA126" s="36">
        <f t="shared" si="81"/>
        <v>-915.80365569394144</v>
      </c>
      <c r="BB126" s="41">
        <f>'[2]побудинковий звіт'!BB126+'[1]побудинковий звіт'!BB126</f>
        <v>245.10777746199739</v>
      </c>
      <c r="BC126" s="41">
        <f>'[2]побудинковий звіт'!BC126+'[1]побудинковий звіт'!BC126</f>
        <v>0</v>
      </c>
      <c r="BD126" s="58">
        <f t="shared" si="82"/>
        <v>-245.10777746199739</v>
      </c>
      <c r="BE126" s="41">
        <f>'[2]побудинковий звіт'!BE126+'[1]побудинковий звіт'!BE126</f>
        <v>0</v>
      </c>
      <c r="BF126" s="41">
        <f>'[2]побудинковий звіт'!BF126+'[1]побудинковий звіт'!BF126</f>
        <v>0</v>
      </c>
      <c r="BG126" s="38">
        <f t="shared" si="83"/>
        <v>0</v>
      </c>
      <c r="BH126" s="41">
        <f>'[2]побудинковий звіт'!BH126+'[1]побудинковий звіт'!BH126</f>
        <v>0</v>
      </c>
      <c r="BI126" s="41">
        <f>'[2]побудинковий звіт'!BI126+'[1]побудинковий звіт'!BI126</f>
        <v>0</v>
      </c>
      <c r="BJ126" s="58">
        <f t="shared" si="84"/>
        <v>0</v>
      </c>
      <c r="BK126" s="41">
        <f>'[2]побудинковий звіт'!BK126+'[1]побудинковий звіт'!BK126</f>
        <v>167.26607307307998</v>
      </c>
      <c r="BL126" s="41">
        <f>'[2]побудинковий звіт'!BL126+'[1]побудинковий звіт'!BL126</f>
        <v>2663.3659014179279</v>
      </c>
      <c r="BM126" s="38">
        <f t="shared" si="85"/>
        <v>2496.099828344848</v>
      </c>
      <c r="BN126" s="41">
        <f>'[2]побудинковий звіт'!BN126+'[1]побудинковий звіт'!BN126</f>
        <v>73.031382193185095</v>
      </c>
      <c r="BO126" s="41">
        <f>'[2]побудинковий звіт'!BO126+'[1]побудинковий звіт'!BO126</f>
        <v>1572.14982353</v>
      </c>
      <c r="BP126" s="58">
        <f t="shared" si="86"/>
        <v>1499.1184413368151</v>
      </c>
      <c r="BQ126" s="84">
        <f t="shared" si="87"/>
        <v>2024.408061488677</v>
      </c>
      <c r="BR126" s="42">
        <f t="shared" si="88"/>
        <v>4235.515724947928</v>
      </c>
      <c r="BS126" s="58">
        <f t="shared" si="89"/>
        <v>2211.1076634592509</v>
      </c>
      <c r="BT126" s="41">
        <f>'[2]побудинковий звіт'!BT126+'[1]побудинковий звіт'!BT126</f>
        <v>8979.0197328574159</v>
      </c>
      <c r="BU126" s="41">
        <f>'[2]побудинковий звіт'!BU126+'[1]побудинковий звіт'!BU126</f>
        <v>14645.62551014883</v>
      </c>
      <c r="BV126" s="55">
        <f t="shared" si="90"/>
        <v>5666.6057772914137</v>
      </c>
      <c r="BW126" s="41">
        <f>'[2]побудинковий звіт'!BW126+'[1]побудинковий звіт'!BW126</f>
        <v>5570.6805042989427</v>
      </c>
      <c r="BX126" s="41">
        <f>'[2]побудинковий звіт'!BX126+'[1]побудинковий звіт'!BX126</f>
        <v>6448.8514692006702</v>
      </c>
      <c r="BY126" s="55">
        <f t="shared" si="91"/>
        <v>878.17096490172753</v>
      </c>
      <c r="BZ126" s="41">
        <f>'[2]побудинковий звіт'!BZ126+'[1]побудинковий звіт'!BZ126</f>
        <v>2985.6142728291388</v>
      </c>
      <c r="CA126" s="41">
        <f>'[2]побудинковий звіт'!CA126+'[1]побудинковий звіт'!CA126</f>
        <v>1645.3682627507671</v>
      </c>
      <c r="CB126" s="55">
        <f t="shared" si="92"/>
        <v>-1340.2460100783717</v>
      </c>
      <c r="CC126" s="41">
        <f>'[2]побудинковий звіт'!CC126+'[1]побудинковий звіт'!CC126</f>
        <v>488.57004477287347</v>
      </c>
      <c r="CD126" s="41">
        <f>'[2]побудинковий звіт'!CD126+'[1]побудинковий звіт'!CD126</f>
        <v>490.22673129780264</v>
      </c>
      <c r="CE126" s="55">
        <f t="shared" si="93"/>
        <v>1.6566865249291709</v>
      </c>
      <c r="CF126" s="41">
        <f>'[2]побудинковий звіт'!CF126+'[1]побудинковий звіт'!CF126</f>
        <v>60.531231707092523</v>
      </c>
      <c r="CG126" s="41">
        <f>'[2]побудинковий звіт'!CG126+'[1]побудинковий звіт'!CG126</f>
        <v>0</v>
      </c>
      <c r="CH126" s="55">
        <f t="shared" si="94"/>
        <v>-60.531231707092523</v>
      </c>
      <c r="CI126" s="41">
        <f>'[2]побудинковий звіт'!CI126+'[1]побудинковий звіт'!CI126</f>
        <v>1907.2436376262863</v>
      </c>
      <c r="CJ126" s="41">
        <f>'[2]побудинковий звіт'!CJ126+'[1]побудинковий звіт'!CJ126</f>
        <v>4350.9231674707053</v>
      </c>
      <c r="CK126" s="55">
        <f t="shared" si="95"/>
        <v>2443.679529844419</v>
      </c>
      <c r="CL126" s="41">
        <f>'[2]побудинковий звіт'!CL126+'[1]побудинковий звіт'!CL126</f>
        <v>0</v>
      </c>
      <c r="CM126" s="41">
        <f>'[2]побудинковий звіт'!CM126+'[1]побудинковий звіт'!CM126</f>
        <v>0</v>
      </c>
      <c r="CN126" s="55">
        <f t="shared" si="96"/>
        <v>0</v>
      </c>
      <c r="CO126" s="41">
        <f t="shared" si="97"/>
        <v>1907.2436376262863</v>
      </c>
      <c r="CP126" s="42">
        <f t="shared" si="98"/>
        <v>4350.9231674707053</v>
      </c>
      <c r="CQ126" s="55">
        <f t="shared" si="99"/>
        <v>2443.679529844419</v>
      </c>
      <c r="CR126" s="76">
        <f t="shared" si="100"/>
        <v>41073.243132765791</v>
      </c>
      <c r="CS126" s="5">
        <f t="shared" si="101"/>
        <v>46100.728582152704</v>
      </c>
      <c r="CT126" s="55">
        <f t="shared" si="102"/>
        <v>5027.4854493869134</v>
      </c>
      <c r="CU126" s="84">
        <f t="shared" si="103"/>
        <v>49287.891759318947</v>
      </c>
      <c r="CV126" s="68">
        <f t="shared" si="104"/>
        <v>55320.874298583243</v>
      </c>
      <c r="CW126" s="36">
        <f t="shared" si="105"/>
        <v>6032.9825392642961</v>
      </c>
      <c r="CX126" s="41">
        <f>'[2]побудинковий звіт'!CX126+'[1]побудинковий звіт'!CX126</f>
        <v>494.62964022740846</v>
      </c>
      <c r="CY126" s="41">
        <f>'[2]побудинковий звіт'!CY126+'[1]побудинковий звіт'!CY126</f>
        <v>-5538.3528990369005</v>
      </c>
      <c r="CZ126" s="55">
        <f t="shared" si="106"/>
        <v>-6032.9825392643088</v>
      </c>
      <c r="DA126" s="254">
        <f>'[1]побудинковий звіт'!DA126</f>
        <v>-36085.075690107398</v>
      </c>
      <c r="DB126" s="2">
        <v>2</v>
      </c>
      <c r="DC126" s="702">
        <f>'[1]побудинковий звіт'!DC126</f>
        <v>28980.81</v>
      </c>
      <c r="DD126" s="702">
        <f>'[1]побудинковий звіт'!DD126</f>
        <v>1555.81</v>
      </c>
      <c r="DE126" s="702">
        <f>'[1]побудинковий звіт'!DE126</f>
        <v>24540.86</v>
      </c>
      <c r="DF126" s="702">
        <f>'[1]побудинковий звіт'!DF126</f>
        <v>528.27</v>
      </c>
      <c r="DG126" s="772">
        <v>-32510.810433004575</v>
      </c>
      <c r="DH126" s="746">
        <f t="shared" si="107"/>
        <v>597390.25679455628</v>
      </c>
      <c r="DI126" s="769"/>
      <c r="DJ126" s="5"/>
      <c r="DK126" s="307">
        <f>VLOOKUP($A126,ціни!$A$4:$G$401,5)</f>
        <v>6.7645870028965929</v>
      </c>
      <c r="DL126" s="307"/>
      <c r="DM126" s="307">
        <f>VLOOKUP($A126,ціни!$A$4:$G$401,7)</f>
        <v>5.6372265545623286</v>
      </c>
      <c r="DN126" s="29">
        <f t="shared" si="122"/>
        <v>3165.8943632256342</v>
      </c>
      <c r="DO126" s="29">
        <f t="shared" si="123"/>
        <v>734.53062005947152</v>
      </c>
      <c r="DP126" s="306">
        <f t="shared" si="108"/>
        <v>3900.4249832851056</v>
      </c>
      <c r="DQ126" s="101"/>
      <c r="DR126" s="29">
        <f>VLOOKUP(A126,'ДЗ нас '!$A$1:$C$359,2)</f>
        <v>3165.89</v>
      </c>
      <c r="DS126" s="733">
        <f>VLOOKUP(A126,'ДЗ нежит'!$A$1:$D$153,4,0)</f>
        <v>734.53</v>
      </c>
      <c r="DT126" s="29">
        <f t="shared" si="109"/>
        <v>3900.42</v>
      </c>
      <c r="DU126" s="247">
        <f>VLOOKUP(A126,'новий кошторис с 01.06'!$A$4:$AI$399,35)*1.2</f>
        <v>3900.4249832851051</v>
      </c>
      <c r="DV126" s="29">
        <f t="shared" si="110"/>
        <v>-4.98328510502688E-3</v>
      </c>
      <c r="DW126" s="1016">
        <f>'[2]побудинковий звіт'!$DW$9+'[1]побудинковий звіт'!DW126</f>
        <v>918</v>
      </c>
      <c r="DX126" s="101">
        <f>'[1]побудинковий звіт'!DX126</f>
        <v>0</v>
      </c>
      <c r="DY126" s="5">
        <f t="shared" si="111"/>
        <v>13049.001944540807</v>
      </c>
      <c r="DZ126" s="5">
        <f t="shared" si="112"/>
        <v>10186.724552819202</v>
      </c>
      <c r="EA126" s="737">
        <f t="shared" si="113"/>
        <v>25069.13</v>
      </c>
      <c r="EC126" s="577">
        <f t="shared" si="114"/>
        <v>106197.12270754395</v>
      </c>
      <c r="EE126" s="743">
        <v>20229</v>
      </c>
      <c r="EF126" s="723">
        <f t="shared" si="115"/>
        <v>-12281.810433004575</v>
      </c>
      <c r="EH126" s="798">
        <v>-35413.187518995961</v>
      </c>
      <c r="EI126" s="101">
        <f>VLOOKUP(A126,'кошти 01.01.24'!$A$9:$D$352,4,FALSE)</f>
        <v>-42118.058229371694</v>
      </c>
    </row>
    <row r="127" spans="1:139" hidden="1" x14ac:dyDescent="0.3">
      <c r="A127" s="318">
        <v>150000609</v>
      </c>
      <c r="B127" s="43" t="s">
        <v>554</v>
      </c>
      <c r="C127" s="44" t="s">
        <v>159</v>
      </c>
      <c r="D127" s="44" t="s">
        <v>159</v>
      </c>
      <c r="E127" s="39">
        <f t="shared" si="64"/>
        <v>465.59999999999997</v>
      </c>
      <c r="F127" s="205">
        <f>'[1]побудинковий звіт'!F127</f>
        <v>349.9</v>
      </c>
      <c r="G127" s="29">
        <f>'[1]побудинковий звіт'!G127</f>
        <v>0</v>
      </c>
      <c r="H127" s="148">
        <f>'[1]побудинковий звіт'!H127</f>
        <v>115.7</v>
      </c>
      <c r="I127" s="41">
        <f>'[2]побудинковий звіт'!I127+'[1]побудинковий звіт'!I127</f>
        <v>2117.4038818253853</v>
      </c>
      <c r="J127" s="41">
        <f>'[2]побудинковий звіт'!J127+'[1]побудинковий звіт'!J127</f>
        <v>2151.498991513944</v>
      </c>
      <c r="K127" s="55">
        <f t="shared" si="65"/>
        <v>34.09510968855875</v>
      </c>
      <c r="L127" s="41">
        <f>'[2]побудинковий звіт'!L127+'[1]побудинковий звіт'!L127</f>
        <v>735.76411570397909</v>
      </c>
      <c r="M127" s="41">
        <f>'[2]побудинковий звіт'!M127+'[1]побудинковий звіт'!M127</f>
        <v>772.18518270187997</v>
      </c>
      <c r="N127" s="55">
        <f t="shared" si="66"/>
        <v>36.42106699790088</v>
      </c>
      <c r="O127" s="41">
        <f>'[2]побудинковий звіт'!O127+'[1]побудинковий звіт'!O127</f>
        <v>704.43803374095569</v>
      </c>
      <c r="P127" s="41">
        <f>'[2]побудинковий звіт'!P127+'[1]побудинковий звіт'!P127</f>
        <v>706.13670218346215</v>
      </c>
      <c r="Q127" s="55">
        <f t="shared" si="67"/>
        <v>1.6986684425064595</v>
      </c>
      <c r="R127" s="41">
        <f>'[2]побудинковий звіт'!R127+'[1]побудинковий звіт'!R127</f>
        <v>0</v>
      </c>
      <c r="S127" s="41">
        <f>'[2]побудинковий звіт'!S127+'[1]побудинковий звіт'!S127</f>
        <v>0</v>
      </c>
      <c r="T127" s="55">
        <f t="shared" si="68"/>
        <v>0</v>
      </c>
      <c r="U127" s="41">
        <f>'[2]побудинковий звіт'!U127+'[1]побудинковий звіт'!U127</f>
        <v>0</v>
      </c>
      <c r="V127" s="41">
        <f>'[2]побудинковий звіт'!V127+'[1]побудинковий звіт'!V127</f>
        <v>0</v>
      </c>
      <c r="W127" s="55">
        <f t="shared" si="69"/>
        <v>0</v>
      </c>
      <c r="X127" s="41">
        <f>'[2]побудинковий звіт'!X127+'[1]побудинковий звіт'!X127</f>
        <v>1334.7530601192823</v>
      </c>
      <c r="Y127" s="41">
        <f>'[2]побудинковий звіт'!Y127+'[1]побудинковий звіт'!Y127</f>
        <v>1280.7919862852677</v>
      </c>
      <c r="Z127" s="55">
        <f t="shared" si="70"/>
        <v>-53.961073834014542</v>
      </c>
      <c r="AA127" s="41">
        <f>'[2]побудинковий звіт'!AA127+'[1]побудинковий звіт'!AA127</f>
        <v>0</v>
      </c>
      <c r="AB127" s="41">
        <f>'[2]побудинковий звіт'!AB127+'[1]побудинковий звіт'!AB127</f>
        <v>0</v>
      </c>
      <c r="AC127" s="55">
        <f t="shared" si="71"/>
        <v>0</v>
      </c>
      <c r="AD127" s="41">
        <f>'[2]побудинковий звіт'!AD127+'[1]побудинковий звіт'!AD127</f>
        <v>2019.4525435577318</v>
      </c>
      <c r="AE127" s="41">
        <f>'[2]побудинковий звіт'!AE127+'[1]побудинковий звіт'!AE127</f>
        <v>2011.5983466599689</v>
      </c>
      <c r="AF127" s="36">
        <f t="shared" si="72"/>
        <v>-7.854196897762904</v>
      </c>
      <c r="AG127" s="84">
        <f t="shared" si="73"/>
        <v>6911.8116349473339</v>
      </c>
      <c r="AH127" s="56">
        <f t="shared" si="74"/>
        <v>6922.211209344523</v>
      </c>
      <c r="AI127" s="55">
        <f t="shared" si="75"/>
        <v>10.399574397189099</v>
      </c>
      <c r="AJ127" s="41">
        <f>'[2]побудинковий звіт'!AJ127+'[1]побудинковий звіт'!AJ127</f>
        <v>0</v>
      </c>
      <c r="AK127" s="41">
        <f>'[2]побудинковий звіт'!AK127+'[1]побудинковий звіт'!AK127</f>
        <v>0</v>
      </c>
      <c r="AL127" s="55">
        <f t="shared" si="76"/>
        <v>0</v>
      </c>
      <c r="AM127" s="41">
        <f>'[2]побудинковий звіт'!AM127+'[1]побудинковий звіт'!AM127</f>
        <v>0</v>
      </c>
      <c r="AN127" s="41">
        <f>'[2]побудинковий звіт'!AN127+'[1]побудинковий звіт'!AN127</f>
        <v>0</v>
      </c>
      <c r="AO127" s="55">
        <f t="shared" si="77"/>
        <v>0</v>
      </c>
      <c r="AP127" s="41">
        <f>'[2]побудинковий звіт'!AP127+'[1]побудинковий звіт'!AP127</f>
        <v>891.53814861468356</v>
      </c>
      <c r="AQ127" s="41">
        <f>'[2]побудинковий звіт'!AQ127+'[1]побудинковий звіт'!AQ127</f>
        <v>848.42959210281833</v>
      </c>
      <c r="AR127" s="55">
        <f t="shared" si="78"/>
        <v>-43.108556511865231</v>
      </c>
      <c r="AS127" s="41">
        <f>'[2]побудинковий звіт'!AS127+'[1]побудинковий звіт'!AS127</f>
        <v>7615.8572870253365</v>
      </c>
      <c r="AT127" s="41">
        <f>'[2]побудинковий звіт'!AT127+'[1]побудинковий звіт'!AT127</f>
        <v>0</v>
      </c>
      <c r="AU127" s="57">
        <f t="shared" si="79"/>
        <v>-7615.8572870253365</v>
      </c>
      <c r="AV127" s="41">
        <f>'[2]побудинковий звіт'!AV127+'[1]побудинковий звіт'!AV127</f>
        <v>434.15732244098905</v>
      </c>
      <c r="AW127" s="41">
        <f>'[2]побудинковий звіт'!AW127+'[1]побудинковий звіт'!AW127</f>
        <v>0</v>
      </c>
      <c r="AX127" s="58">
        <f t="shared" si="80"/>
        <v>-434.15732244098905</v>
      </c>
      <c r="AY127" s="41">
        <f>'[2]побудинковий звіт'!AY127+'[1]побудинковий звіт'!AY127</f>
        <v>883.92614231852451</v>
      </c>
      <c r="AZ127" s="41">
        <f>'[2]побудинковий звіт'!AZ127+'[1]побудинковий звіт'!AZ127</f>
        <v>0</v>
      </c>
      <c r="BA127" s="36">
        <f t="shared" si="81"/>
        <v>-883.92614231852451</v>
      </c>
      <c r="BB127" s="41">
        <f>'[2]побудинковий звіт'!BB127+'[1]побудинковий звіт'!BB127</f>
        <v>228.20677869284555</v>
      </c>
      <c r="BC127" s="41">
        <f>'[2]побудинковий звіт'!BC127+'[1]побудинковий звіт'!BC127</f>
        <v>0</v>
      </c>
      <c r="BD127" s="58">
        <f t="shared" si="82"/>
        <v>-228.20677869284555</v>
      </c>
      <c r="BE127" s="41">
        <f>'[2]побудинковий звіт'!BE127+'[1]побудинковий звіт'!BE127</f>
        <v>0</v>
      </c>
      <c r="BF127" s="41">
        <f>'[2]побудинковий звіт'!BF127+'[1]побудинковий звіт'!BF127</f>
        <v>0</v>
      </c>
      <c r="BG127" s="38">
        <f t="shared" si="83"/>
        <v>0</v>
      </c>
      <c r="BH127" s="41">
        <f>'[2]побудинковий звіт'!BH127+'[1]побудинковий звіт'!BH127</f>
        <v>0</v>
      </c>
      <c r="BI127" s="41">
        <f>'[2]побудинковий звіт'!BI127+'[1]побудинковий звіт'!BI127</f>
        <v>0</v>
      </c>
      <c r="BJ127" s="58">
        <f t="shared" si="84"/>
        <v>0</v>
      </c>
      <c r="BK127" s="41">
        <f>'[2]побудинковий звіт'!BK127+'[1]побудинковий звіт'!BK127</f>
        <v>223.55702359488615</v>
      </c>
      <c r="BL127" s="41">
        <f>'[2]побудинковий звіт'!BL127+'[1]побудинковий звіт'!BL127</f>
        <v>0</v>
      </c>
      <c r="BM127" s="38">
        <f t="shared" si="85"/>
        <v>-223.55702359488615</v>
      </c>
      <c r="BN127" s="41">
        <f>'[2]побудинковий звіт'!BN127+'[1]побудинковий звіт'!BN127</f>
        <v>31.214014296485885</v>
      </c>
      <c r="BO127" s="41">
        <f>'[2]побудинковий звіт'!BO127+'[1]побудинковий звіт'!BO127</f>
        <v>0</v>
      </c>
      <c r="BP127" s="58">
        <f t="shared" si="86"/>
        <v>-31.214014296485885</v>
      </c>
      <c r="BQ127" s="84">
        <f t="shared" si="87"/>
        <v>1801.0612813437313</v>
      </c>
      <c r="BR127" s="42">
        <f t="shared" si="88"/>
        <v>0</v>
      </c>
      <c r="BS127" s="58">
        <f t="shared" si="89"/>
        <v>-1801.0612813437313</v>
      </c>
      <c r="BT127" s="41">
        <f>'[2]побудинковий звіт'!BT127+'[1]побудинковий звіт'!BT127</f>
        <v>8452.427197865085</v>
      </c>
      <c r="BU127" s="41">
        <f>'[2]побудинковий звіт'!BU127+'[1]побудинковий звіт'!BU127</f>
        <v>11206.102153448239</v>
      </c>
      <c r="BV127" s="55">
        <f t="shared" si="90"/>
        <v>2753.6749555831539</v>
      </c>
      <c r="BW127" s="41">
        <f>'[2]побудинковий звіт'!BW127+'[1]побудинковий звіт'!BW127</f>
        <v>2390.2473546755823</v>
      </c>
      <c r="BX127" s="41">
        <f>'[2]побудинковий звіт'!BX127+'[1]побудинковий звіт'!BX127</f>
        <v>2447.8828573934998</v>
      </c>
      <c r="BY127" s="55">
        <f t="shared" si="91"/>
        <v>57.635502717917461</v>
      </c>
      <c r="BZ127" s="41">
        <f>'[2]побудинковий звіт'!BZ127+'[1]побудинковий звіт'!BZ127</f>
        <v>1787.4252533969225</v>
      </c>
      <c r="CA127" s="41">
        <f>'[2]побудинковий звіт'!CA127+'[1]побудинковий звіт'!CA127</f>
        <v>1374.5178428075426</v>
      </c>
      <c r="CB127" s="55">
        <f t="shared" si="92"/>
        <v>-412.90741058937988</v>
      </c>
      <c r="CC127" s="41">
        <f>'[2]побудинковий звіт'!CC127+'[1]побудинковий звіт'!CC127</f>
        <v>189.32089234948845</v>
      </c>
      <c r="CD127" s="41">
        <f>'[2]побудинковий звіт'!CD127+'[1]побудинковий звіт'!CD127</f>
        <v>189.96285837789853</v>
      </c>
      <c r="CE127" s="55">
        <f t="shared" si="93"/>
        <v>0.64196602841008144</v>
      </c>
      <c r="CF127" s="41">
        <f>'[2]побудинковий звіт'!CF127+'[1]побудинковий звіт'!CF127</f>
        <v>23.455852286498356</v>
      </c>
      <c r="CG127" s="41">
        <f>'[2]побудинковий звіт'!CG127+'[1]побудинковий звіт'!CG127</f>
        <v>0</v>
      </c>
      <c r="CH127" s="55">
        <f t="shared" si="94"/>
        <v>-23.455852286498356</v>
      </c>
      <c r="CI127" s="41">
        <f>'[2]побудинковий звіт'!CI127+'[1]побудинковий звіт'!CI127</f>
        <v>701.45977881859392</v>
      </c>
      <c r="CJ127" s="41">
        <f>'[2]побудинковий звіт'!CJ127+'[1]побудинковий звіт'!CJ127</f>
        <v>867.59262817103843</v>
      </c>
      <c r="CK127" s="55">
        <f t="shared" si="95"/>
        <v>166.13284935244451</v>
      </c>
      <c r="CL127" s="41">
        <f>'[2]побудинковий звіт'!CL127+'[1]побудинковий звіт'!CL127</f>
        <v>0</v>
      </c>
      <c r="CM127" s="41">
        <f>'[2]побудинковий звіт'!CM127+'[1]побудинковий звіт'!CM127</f>
        <v>0</v>
      </c>
      <c r="CN127" s="55">
        <f t="shared" si="96"/>
        <v>0</v>
      </c>
      <c r="CO127" s="41">
        <f t="shared" si="97"/>
        <v>701.45977881859392</v>
      </c>
      <c r="CP127" s="42">
        <f t="shared" si="98"/>
        <v>867.59262817103843</v>
      </c>
      <c r="CQ127" s="55">
        <f t="shared" si="99"/>
        <v>166.13284935244451</v>
      </c>
      <c r="CR127" s="76">
        <f t="shared" si="100"/>
        <v>30764.604681323253</v>
      </c>
      <c r="CS127" s="5">
        <f t="shared" si="101"/>
        <v>23856.699141645557</v>
      </c>
      <c r="CT127" s="55">
        <f t="shared" si="102"/>
        <v>-6907.9055396776967</v>
      </c>
      <c r="CU127" s="84">
        <f t="shared" si="103"/>
        <v>36917.525617587904</v>
      </c>
      <c r="CV127" s="68">
        <f t="shared" si="104"/>
        <v>28628.038969974667</v>
      </c>
      <c r="CW127" s="36">
        <f t="shared" si="105"/>
        <v>-8289.4866476132374</v>
      </c>
      <c r="CX127" s="41">
        <f>'[2]побудинковий звіт'!CX127+'[1]побудинковий звіт'!CX127</f>
        <v>1111.7782938357716</v>
      </c>
      <c r="CY127" s="41">
        <f>'[2]побудинковий звіт'!CY127+'[1]побудинковий звіт'!CY127</f>
        <v>9401.2649414489988</v>
      </c>
      <c r="CZ127" s="55">
        <f t="shared" si="106"/>
        <v>8289.4866476132265</v>
      </c>
      <c r="DA127" s="254">
        <f>'[1]побудинковий звіт'!DA127</f>
        <v>4893.2862520067793</v>
      </c>
      <c r="DB127" s="2">
        <v>2</v>
      </c>
      <c r="DC127" s="702">
        <f>'[1]побудинковий звіт'!DC127</f>
        <v>14880.3</v>
      </c>
      <c r="DD127" s="702">
        <f>'[1]побудинковий звіт'!DD127</f>
        <v>4797.9799999999996</v>
      </c>
      <c r="DE127" s="702">
        <f>'[1]побудинковий звіт'!DE127</f>
        <v>11659.43</v>
      </c>
      <c r="DF127" s="702">
        <f>'[1]побудинковий звіт'!DF127</f>
        <v>3849.1499999999996</v>
      </c>
      <c r="DG127" s="772">
        <v>10741.802702107801</v>
      </c>
      <c r="DH127" s="746">
        <f t="shared" si="107"/>
        <v>456351.64693708409</v>
      </c>
      <c r="DI127" s="769"/>
      <c r="DJ127" s="5"/>
      <c r="DK127" s="307">
        <f>VLOOKUP($A127,ціни!$A$4:$G$401,5)</f>
        <v>6.5630854893787074</v>
      </c>
      <c r="DL127" s="307"/>
      <c r="DM127" s="307">
        <f>VLOOKUP($A127,ціни!$A$4:$G$401,7)</f>
        <v>5.9156048061018733</v>
      </c>
      <c r="DN127" s="29">
        <f t="shared" si="122"/>
        <v>2296.4236127336094</v>
      </c>
      <c r="DO127" s="29">
        <f t="shared" si="123"/>
        <v>684.43547606598679</v>
      </c>
      <c r="DP127" s="306">
        <f t="shared" si="108"/>
        <v>2980.8590887995961</v>
      </c>
      <c r="DQ127" s="101"/>
      <c r="DR127" s="29">
        <f>VLOOKUP(A127,'ДЗ нас '!$A$1:$C$359,2)</f>
        <v>2296.4299999999998</v>
      </c>
      <c r="DS127" s="733">
        <f>VLOOKUP(A127,'ДЗ нежит'!$A$1:$D$153,4,0)</f>
        <v>684.45</v>
      </c>
      <c r="DT127" s="29">
        <f t="shared" si="109"/>
        <v>2980.88</v>
      </c>
      <c r="DU127" s="247">
        <f>VLOOKUP(A127,'новий кошторис с 01.06'!$A$4:$AI$399,35)*1.2</f>
        <v>2995.3998648425209</v>
      </c>
      <c r="DV127" s="29">
        <f t="shared" si="110"/>
        <v>-14.519864842520747</v>
      </c>
      <c r="DW127" s="1016">
        <f>'[2]побудинковий звіт'!$DW$9+'[1]побудинковий звіт'!DW127</f>
        <v>918</v>
      </c>
      <c r="DX127" s="101">
        <f>'[1]побудинковий звіт'!DX127</f>
        <v>0</v>
      </c>
      <c r="DY127" s="5">
        <f t="shared" si="111"/>
        <v>11300.302282042881</v>
      </c>
      <c r="DZ127" s="5">
        <f t="shared" si="112"/>
        <v>0</v>
      </c>
      <c r="EA127" s="737">
        <f t="shared" si="113"/>
        <v>15508.58</v>
      </c>
      <c r="EC127" s="577">
        <f t="shared" si="114"/>
        <v>91390.287444304035</v>
      </c>
      <c r="EE127" s="743">
        <v>-8389</v>
      </c>
      <c r="EF127" s="723">
        <f t="shared" si="115"/>
        <v>2352.8027021078015</v>
      </c>
      <c r="EH127" s="798">
        <v>10431.900106350848</v>
      </c>
      <c r="EI127" s="101">
        <f>VLOOKUP(A127,'кошти 01.01.24'!$A$9:$D$352,4,FALSE)</f>
        <v>13182.772899620013</v>
      </c>
    </row>
    <row r="128" spans="1:139" hidden="1" x14ac:dyDescent="0.3">
      <c r="A128" s="318">
        <v>150000610</v>
      </c>
      <c r="B128" s="43" t="s">
        <v>555</v>
      </c>
      <c r="C128" s="44" t="s">
        <v>160</v>
      </c>
      <c r="D128" s="44" t="s">
        <v>160</v>
      </c>
      <c r="E128" s="39">
        <f t="shared" si="64"/>
        <v>475.2</v>
      </c>
      <c r="F128" s="205">
        <f>'[1]побудинковий звіт'!F128</f>
        <v>475.2</v>
      </c>
      <c r="G128" s="29">
        <f>'[1]побудинковий звіт'!G128</f>
        <v>0</v>
      </c>
      <c r="H128" s="148">
        <f>'[1]побудинковий звіт'!H128</f>
        <v>0</v>
      </c>
      <c r="I128" s="41">
        <f>'[2]побудинковий звіт'!I128+'[1]побудинковий звіт'!I128</f>
        <v>979.89143955397333</v>
      </c>
      <c r="J128" s="41">
        <f>'[2]побудинковий звіт'!J128+'[1]побудинковий звіт'!J128</f>
        <v>1014.8441652296538</v>
      </c>
      <c r="K128" s="55">
        <f t="shared" si="65"/>
        <v>34.952725675680426</v>
      </c>
      <c r="L128" s="41">
        <f>'[2]побудинковий звіт'!L128+'[1]побудинковий звіт'!L128</f>
        <v>636.64345376560948</v>
      </c>
      <c r="M128" s="41">
        <f>'[2]побудинковий звіт'!M128+'[1]побудинковий звіт'!M128</f>
        <v>666.65417858926821</v>
      </c>
      <c r="N128" s="55">
        <f t="shared" si="66"/>
        <v>30.010724823658734</v>
      </c>
      <c r="O128" s="41">
        <f>'[2]побудинковий звіт'!O128+'[1]побудинковий звіт'!O128</f>
        <v>701.53332824591553</v>
      </c>
      <c r="P128" s="41">
        <f>'[2]побудинковий звіт'!P128+'[1]побудинковий звіт'!P128</f>
        <v>703.35473148692859</v>
      </c>
      <c r="Q128" s="55">
        <f t="shared" si="67"/>
        <v>1.8214032410130585</v>
      </c>
      <c r="R128" s="41">
        <f>'[2]побудинковий звіт'!R128+'[1]побудинковий звіт'!R128</f>
        <v>0</v>
      </c>
      <c r="S128" s="41">
        <f>'[2]побудинковий звіт'!S128+'[1]побудинковий звіт'!S128</f>
        <v>0</v>
      </c>
      <c r="T128" s="55">
        <f t="shared" si="68"/>
        <v>0</v>
      </c>
      <c r="U128" s="41">
        <f>'[2]побудинковий звіт'!U128+'[1]побудинковий звіт'!U128</f>
        <v>0</v>
      </c>
      <c r="V128" s="41">
        <f>'[2]побудинковий звіт'!V128+'[1]побудинковий звіт'!V128</f>
        <v>0</v>
      </c>
      <c r="W128" s="55">
        <f t="shared" si="69"/>
        <v>0</v>
      </c>
      <c r="X128" s="41">
        <f>'[2]побудинковий звіт'!X128+'[1]побудинковий звіт'!X128</f>
        <v>755.73190920204422</v>
      </c>
      <c r="Y128" s="41">
        <f>'[2]побудинковий звіт'!Y128+'[1]побудинковий звіт'!Y128</f>
        <v>732.84644207398071</v>
      </c>
      <c r="Z128" s="55">
        <f t="shared" si="70"/>
        <v>-22.88546712806351</v>
      </c>
      <c r="AA128" s="41">
        <f>'[2]побудинковий звіт'!AA128+'[1]побудинковий звіт'!AA128</f>
        <v>0</v>
      </c>
      <c r="AB128" s="41">
        <f>'[2]побудинковий звіт'!AB128+'[1]побудинковий звіт'!AB128</f>
        <v>0</v>
      </c>
      <c r="AC128" s="55">
        <f t="shared" si="71"/>
        <v>0</v>
      </c>
      <c r="AD128" s="41">
        <f>'[2]побудинковий звіт'!AD128+'[1]побудинковий звіт'!AD128</f>
        <v>2061.090740332118</v>
      </c>
      <c r="AE128" s="41">
        <f>'[2]побудинковий звіт'!AE128+'[1]побудинковий звіт'!AE128</f>
        <v>2053.0746012302775</v>
      </c>
      <c r="AF128" s="36">
        <f t="shared" si="72"/>
        <v>-8.0161391018405084</v>
      </c>
      <c r="AG128" s="84">
        <f t="shared" si="73"/>
        <v>5134.8908710996602</v>
      </c>
      <c r="AH128" s="56">
        <f t="shared" si="74"/>
        <v>5170.7741186101084</v>
      </c>
      <c r="AI128" s="55">
        <f t="shared" si="75"/>
        <v>35.8832475104482</v>
      </c>
      <c r="AJ128" s="41">
        <f>'[2]побудинковий звіт'!AJ128+'[1]побудинковий звіт'!AJ128</f>
        <v>0</v>
      </c>
      <c r="AK128" s="41">
        <f>'[2]побудинковий звіт'!AK128+'[1]побудинковий звіт'!AK128</f>
        <v>0</v>
      </c>
      <c r="AL128" s="55">
        <f t="shared" si="76"/>
        <v>0</v>
      </c>
      <c r="AM128" s="41">
        <f>'[2]побудинковий звіт'!AM128+'[1]побудинковий звіт'!AM128</f>
        <v>0</v>
      </c>
      <c r="AN128" s="41">
        <f>'[2]побудинковий звіт'!AN128+'[1]побудинковий звіт'!AN128</f>
        <v>0</v>
      </c>
      <c r="AO128" s="55">
        <f t="shared" si="77"/>
        <v>0</v>
      </c>
      <c r="AP128" s="41">
        <f>'[2]побудинковий звіт'!AP128+'[1]побудинковий звіт'!AP128</f>
        <v>1188.7175314862448</v>
      </c>
      <c r="AQ128" s="41">
        <f>'[2]побудинковий звіт'!AQ128+'[1]побудинковий звіт'!AQ128</f>
        <v>1008.0801347383259</v>
      </c>
      <c r="AR128" s="55">
        <f t="shared" si="78"/>
        <v>-180.63739674791884</v>
      </c>
      <c r="AS128" s="41">
        <f>'[2]побудинковий звіт'!AS128+'[1]побудинковий звіт'!AS128</f>
        <v>7290.7411145222713</v>
      </c>
      <c r="AT128" s="41">
        <f>'[2]побудинковий звіт'!AT128+'[1]побудинковий звіт'!AT128</f>
        <v>0</v>
      </c>
      <c r="AU128" s="57">
        <f t="shared" si="79"/>
        <v>-7290.7411145222713</v>
      </c>
      <c r="AV128" s="41">
        <f>'[2]побудинковий звіт'!AV128+'[1]побудинковий звіт'!AV128</f>
        <v>546.00978128662439</v>
      </c>
      <c r="AW128" s="41">
        <f>'[2]побудинковий звіт'!AW128+'[1]побудинковий звіт'!AW128</f>
        <v>0</v>
      </c>
      <c r="AX128" s="58">
        <f t="shared" si="80"/>
        <v>-546.00978128662439</v>
      </c>
      <c r="AY128" s="41">
        <f>'[2]побудинковий звіт'!AY128+'[1]побудинковий звіт'!AY128</f>
        <v>756.17013285134806</v>
      </c>
      <c r="AZ128" s="41">
        <f>'[2]побудинковий звіт'!AZ128+'[1]побудинковий звіт'!AZ128</f>
        <v>0</v>
      </c>
      <c r="BA128" s="36">
        <f t="shared" si="81"/>
        <v>-756.17013285134806</v>
      </c>
      <c r="BB128" s="41">
        <f>'[2]побудинковий звіт'!BB128+'[1]побудинковий звіт'!BB128</f>
        <v>250.71291304919617</v>
      </c>
      <c r="BC128" s="41">
        <f>'[2]побудинковий звіт'!BC128+'[1]побудинковий звіт'!BC128</f>
        <v>0</v>
      </c>
      <c r="BD128" s="58">
        <f t="shared" si="82"/>
        <v>-250.71291304919617</v>
      </c>
      <c r="BE128" s="41">
        <f>'[2]побудинковий звіт'!BE128+'[1]побудинковий звіт'!BE128</f>
        <v>0</v>
      </c>
      <c r="BF128" s="41">
        <f>'[2]побудинковий звіт'!BF128+'[1]побудинковий звіт'!BF128</f>
        <v>0</v>
      </c>
      <c r="BG128" s="38">
        <f t="shared" si="83"/>
        <v>0</v>
      </c>
      <c r="BH128" s="41">
        <f>'[2]побудинковий звіт'!BH128+'[1]побудинковий звіт'!BH128</f>
        <v>0</v>
      </c>
      <c r="BI128" s="41">
        <f>'[2]побудинковий звіт'!BI128+'[1]побудинковий звіт'!BI128</f>
        <v>0</v>
      </c>
      <c r="BJ128" s="58">
        <f t="shared" si="84"/>
        <v>0</v>
      </c>
      <c r="BK128" s="41">
        <f>'[2]побудинковий звіт'!BK128+'[1]побудинковий звіт'!BK128</f>
        <v>228.46145773091354</v>
      </c>
      <c r="BL128" s="41">
        <f>'[2]побудинковий звіт'!BL128+'[1]побудинковий звіт'!BL128</f>
        <v>0</v>
      </c>
      <c r="BM128" s="38">
        <f t="shared" si="85"/>
        <v>-228.46145773091354</v>
      </c>
      <c r="BN128" s="41">
        <f>'[2]побудинковий звіт'!BN128+'[1]побудинковий звіт'!BN128</f>
        <v>31.214014296485885</v>
      </c>
      <c r="BO128" s="41">
        <f>'[2]побудинковий звіт'!BO128+'[1]побудинковий звіт'!BO128</f>
        <v>585.74381097000003</v>
      </c>
      <c r="BP128" s="58">
        <f t="shared" si="86"/>
        <v>554.52979667351417</v>
      </c>
      <c r="BQ128" s="84">
        <f t="shared" si="87"/>
        <v>1812.568299214568</v>
      </c>
      <c r="BR128" s="42">
        <f t="shared" si="88"/>
        <v>585.74381097000003</v>
      </c>
      <c r="BS128" s="58">
        <f t="shared" si="89"/>
        <v>-1226.8244882445679</v>
      </c>
      <c r="BT128" s="41">
        <f>'[2]побудинковий звіт'!BT128+'[1]побудинковий звіт'!BT128</f>
        <v>7992.3746438387798</v>
      </c>
      <c r="BU128" s="41">
        <f>'[2]побудинковий звіт'!BU128+'[1]побудинковий звіт'!BU128</f>
        <v>12329.88547880546</v>
      </c>
      <c r="BV128" s="55">
        <f t="shared" si="90"/>
        <v>4337.5108349666798</v>
      </c>
      <c r="BW128" s="41">
        <f>'[2]побудинковий звіт'!BW128+'[1]побудинковий звіт'!BW128</f>
        <v>3214.4817992405583</v>
      </c>
      <c r="BX128" s="41">
        <f>'[2]побудинковий звіт'!BX128+'[1]побудинковий звіт'!BX128</f>
        <v>3652.0794345526238</v>
      </c>
      <c r="BY128" s="55">
        <f t="shared" si="91"/>
        <v>437.59763531206545</v>
      </c>
      <c r="BZ128" s="41">
        <f>'[2]побудинковий звіт'!BZ128+'[1]побудинковий звіт'!BZ128</f>
        <v>2859.2170774439387</v>
      </c>
      <c r="CA128" s="41">
        <f>'[2]побудинковий звіт'!CA128+'[1]побудинковий звіт'!CA128</f>
        <v>1461.6392515135697</v>
      </c>
      <c r="CB128" s="55">
        <f t="shared" si="92"/>
        <v>-1397.577825930369</v>
      </c>
      <c r="CC128" s="41">
        <f>'[2]побудинковий звіт'!CC128+'[1]побудинковий звіт'!CC128</f>
        <v>0</v>
      </c>
      <c r="CD128" s="41">
        <f>'[2]побудинковий звіт'!CD128+'[1]побудинковий звіт'!CD128</f>
        <v>0</v>
      </c>
      <c r="CE128" s="55">
        <f t="shared" si="93"/>
        <v>0</v>
      </c>
      <c r="CF128" s="41">
        <f>'[2]побудинковий звіт'!CF128+'[1]побудинковий звіт'!CF128</f>
        <v>0</v>
      </c>
      <c r="CG128" s="41">
        <f>'[2]побудинковий звіт'!CG128+'[1]побудинковий звіт'!CG128</f>
        <v>0</v>
      </c>
      <c r="CH128" s="55">
        <f t="shared" si="94"/>
        <v>0</v>
      </c>
      <c r="CI128" s="41">
        <f>'[2]побудинковий звіт'!CI128+'[1]побудинковий звіт'!CI128</f>
        <v>289.89194676578791</v>
      </c>
      <c r="CJ128" s="41">
        <f>'[2]побудинковий звіт'!CJ128+'[1]побудинковий звіт'!CJ128</f>
        <v>289.78582222516081</v>
      </c>
      <c r="CK128" s="55">
        <f t="shared" si="95"/>
        <v>-0.10612454062709276</v>
      </c>
      <c r="CL128" s="41">
        <f>'[2]побудинковий звіт'!CL128+'[1]побудинковий звіт'!CL128</f>
        <v>0</v>
      </c>
      <c r="CM128" s="41">
        <f>'[2]побудинковий звіт'!CM128+'[1]побудинковий звіт'!CM128</f>
        <v>0</v>
      </c>
      <c r="CN128" s="55">
        <f t="shared" si="96"/>
        <v>0</v>
      </c>
      <c r="CO128" s="41">
        <f t="shared" si="97"/>
        <v>289.89194676578791</v>
      </c>
      <c r="CP128" s="42">
        <f t="shared" si="98"/>
        <v>289.78582222516081</v>
      </c>
      <c r="CQ128" s="55">
        <f t="shared" si="99"/>
        <v>-0.10612454062709276</v>
      </c>
      <c r="CR128" s="76">
        <f t="shared" si="100"/>
        <v>29782.883283611813</v>
      </c>
      <c r="CS128" s="5">
        <f t="shared" si="101"/>
        <v>24497.988051415246</v>
      </c>
      <c r="CT128" s="55">
        <f t="shared" si="102"/>
        <v>-5284.8952321965662</v>
      </c>
      <c r="CU128" s="84">
        <f t="shared" si="103"/>
        <v>35739.459940334171</v>
      </c>
      <c r="CV128" s="68">
        <f t="shared" si="104"/>
        <v>29397.585661698296</v>
      </c>
      <c r="CW128" s="36">
        <f t="shared" si="105"/>
        <v>-6341.8742786358744</v>
      </c>
      <c r="CX128" s="41">
        <f>'[2]побудинковий звіт'!CX128+'[1]побудинковий звіт'!CX128</f>
        <v>1075.5286956367484</v>
      </c>
      <c r="CY128" s="41">
        <f>'[2]побудинковий звіт'!CY128+'[1]побудинковий звіт'!CY128</f>
        <v>7417.4029742726143</v>
      </c>
      <c r="CZ128" s="55">
        <f t="shared" si="106"/>
        <v>6341.8742786358662</v>
      </c>
      <c r="DA128" s="254">
        <f>'[1]побудинковий звіт'!DA128</f>
        <v>26663.708146184737</v>
      </c>
      <c r="DB128" s="2">
        <v>2</v>
      </c>
      <c r="DC128" s="702">
        <f>'[1]побудинковий звіт'!DC128</f>
        <v>8695.77</v>
      </c>
      <c r="DD128" s="702">
        <f>'[1]побудинковий звіт'!DD128</f>
        <v>0</v>
      </c>
      <c r="DE128" s="702">
        <f>'[1]побудинковий звіт'!DE128</f>
        <v>4665.51</v>
      </c>
      <c r="DF128" s="702">
        <f>'[1]побудинковий звіт'!DF128</f>
        <v>0</v>
      </c>
      <c r="DG128" s="772">
        <v>10847.607058327092</v>
      </c>
      <c r="DH128" s="746">
        <f t="shared" si="107"/>
        <v>441779.86363165104</v>
      </c>
      <c r="DI128" s="769"/>
      <c r="DJ128" s="5"/>
      <c r="DK128" s="307">
        <f>VLOOKUP($A128,ціни!$A$4:$G$401,5)</f>
        <v>6.0751423572743111</v>
      </c>
      <c r="DL128" s="307"/>
      <c r="DM128" s="307">
        <f>VLOOKUP($A128,ціни!$A$4:$G$401,7)</f>
        <v>5.435399494773046</v>
      </c>
      <c r="DN128" s="29">
        <f t="shared" si="122"/>
        <v>2886.9076481767524</v>
      </c>
      <c r="DO128" s="29">
        <f t="shared" si="123"/>
        <v>0</v>
      </c>
      <c r="DP128" s="306">
        <f t="shared" si="108"/>
        <v>2886.9076481767524</v>
      </c>
      <c r="DQ128" s="101"/>
      <c r="DR128" s="29">
        <f>VLOOKUP(A128,'ДЗ нас '!$A$1:$C$359,2)</f>
        <v>2886.88</v>
      </c>
      <c r="DS128" s="733"/>
      <c r="DT128" s="29">
        <f t="shared" si="109"/>
        <v>2886.88</v>
      </c>
      <c r="DU128" s="247">
        <f>VLOOKUP(A128,'новий кошторис с 01.06'!$A$4:$AI$399,35)*1.2</f>
        <v>2900.990124509322</v>
      </c>
      <c r="DV128" s="29">
        <f t="shared" si="110"/>
        <v>-14.110124509321849</v>
      </c>
      <c r="DW128" s="1016">
        <f>'[2]побудинковий звіт'!$DW$9+'[1]побудинковий звіт'!DW128</f>
        <v>918</v>
      </c>
      <c r="DX128" s="101">
        <f>'[1]побудинковий звіт'!DX128</f>
        <v>0</v>
      </c>
      <c r="DY128" s="5">
        <f t="shared" si="111"/>
        <v>10923.971296484206</v>
      </c>
      <c r="DZ128" s="5">
        <f t="shared" si="112"/>
        <v>702.89257316400005</v>
      </c>
      <c r="EA128" s="737">
        <f t="shared" si="113"/>
        <v>4665.51</v>
      </c>
      <c r="EC128" s="577">
        <f t="shared" si="114"/>
        <v>87488.893374267253</v>
      </c>
      <c r="EE128" s="743">
        <v>-14830</v>
      </c>
      <c r="EF128" s="723">
        <f t="shared" si="115"/>
        <v>-3982.3929416729079</v>
      </c>
      <c r="EH128" s="798">
        <v>8419.851781016996</v>
      </c>
      <c r="EI128" s="101">
        <f>VLOOKUP(A128,'кошти 01.01.24'!$A$9:$D$352,4,FALSE)</f>
        <v>33005.582424820612</v>
      </c>
    </row>
    <row r="129" spans="1:139" ht="14.4" hidden="1" customHeight="1" x14ac:dyDescent="0.3">
      <c r="A129" s="1015">
        <v>150000611</v>
      </c>
      <c r="B129" s="43" t="s">
        <v>556</v>
      </c>
      <c r="C129" s="44" t="s">
        <v>195</v>
      </c>
      <c r="D129" s="44" t="s">
        <v>195</v>
      </c>
      <c r="E129" s="39">
        <f t="shared" si="64"/>
        <v>1107.8</v>
      </c>
      <c r="F129" s="205">
        <f>'[1]побудинковий звіт'!F129</f>
        <v>1053.3</v>
      </c>
      <c r="G129" s="29">
        <f>'[1]побудинковий звіт'!G129</f>
        <v>0</v>
      </c>
      <c r="H129" s="148">
        <f>'[1]побудинковий звіт'!H129</f>
        <v>54.5</v>
      </c>
      <c r="I129" s="41">
        <f>'[2]побудинковий звіт'!I129+'[1]побудинковий звіт'!I129</f>
        <v>4715.5411153656978</v>
      </c>
      <c r="J129" s="41">
        <f>'[2]побудинковий звіт'!J129+'[1]побудинковий звіт'!J129</f>
        <v>4834.2057974972349</v>
      </c>
      <c r="K129" s="55">
        <f t="shared" si="65"/>
        <v>118.66468213153712</v>
      </c>
      <c r="L129" s="41">
        <f>'[2]побудинковий звіт'!L129+'[1]побудинковий звіт'!L129</f>
        <v>1007.3744256304557</v>
      </c>
      <c r="M129" s="41">
        <f>'[2]побудинковий звіт'!M129+'[1]побудинковий звіт'!M129</f>
        <v>1057.5701268515427</v>
      </c>
      <c r="N129" s="55">
        <f t="shared" si="66"/>
        <v>50.195701221087006</v>
      </c>
      <c r="O129" s="41">
        <f>'[2]побудинковий звіт'!O129+'[1]побудинковий звіт'!O129</f>
        <v>1414.4326790069269</v>
      </c>
      <c r="P129" s="41">
        <f>'[2]побудинковий звіт'!P129+'[1]побудинковий звіт'!P129</f>
        <v>1418.4956270248354</v>
      </c>
      <c r="Q129" s="55">
        <f t="shared" si="67"/>
        <v>4.0629480179084112</v>
      </c>
      <c r="R129" s="41">
        <f>'[2]побудинковий звіт'!R129+'[1]побудинковий звіт'!R129</f>
        <v>0</v>
      </c>
      <c r="S129" s="41">
        <f>'[2]побудинковий звіт'!S129+'[1]побудинковий звіт'!S129</f>
        <v>0</v>
      </c>
      <c r="T129" s="55">
        <f t="shared" si="68"/>
        <v>0</v>
      </c>
      <c r="U129" s="41">
        <f>'[2]побудинковий звіт'!U129+'[1]побудинковий звіт'!U129</f>
        <v>84.195884513437704</v>
      </c>
      <c r="V129" s="41">
        <f>'[2]побудинковий звіт'!V129+'[1]побудинковий звіт'!V129</f>
        <v>48.575065888797084</v>
      </c>
      <c r="W129" s="55">
        <f t="shared" si="69"/>
        <v>-35.62081862464062</v>
      </c>
      <c r="X129" s="41">
        <f>'[2]побудинковий звіт'!X129+'[1]побудинковий звіт'!X129</f>
        <v>2236.2066400660806</v>
      </c>
      <c r="Y129" s="41">
        <f>'[2]побудинковий звіт'!Y129+'[1]побудинковий звіт'!Y129</f>
        <v>1914.3728846904908</v>
      </c>
      <c r="Z129" s="55">
        <f t="shared" si="70"/>
        <v>-321.83375537558982</v>
      </c>
      <c r="AA129" s="41">
        <f>'[2]побудинковий звіт'!AA129+'[1]побудинковий звіт'!AA129</f>
        <v>0</v>
      </c>
      <c r="AB129" s="41">
        <f>'[2]побудинковий звіт'!AB129+'[1]побудинковий звіт'!AB129</f>
        <v>0</v>
      </c>
      <c r="AC129" s="55">
        <f t="shared" si="71"/>
        <v>0</v>
      </c>
      <c r="AD129" s="41">
        <f>'[2]побудинковий звіт'!AD129+'[1]побудинковий звіт'!AD129</f>
        <v>4805.5941802523666</v>
      </c>
      <c r="AE129" s="41">
        <f>'[2]побудинковий звіт'!AE129+'[1]побудинковий звіт'!AE129</f>
        <v>4786.8765932401921</v>
      </c>
      <c r="AF129" s="36">
        <f t="shared" si="72"/>
        <v>-18.71758701217459</v>
      </c>
      <c r="AG129" s="84">
        <f t="shared" si="73"/>
        <v>14263.344924834964</v>
      </c>
      <c r="AH129" s="56">
        <f t="shared" si="74"/>
        <v>14060.096095193094</v>
      </c>
      <c r="AI129" s="55">
        <f t="shared" si="75"/>
        <v>-203.24882964187054</v>
      </c>
      <c r="AJ129" s="41">
        <f>'[2]побудинковий звіт'!AJ129+'[1]побудинковий звіт'!AJ129</f>
        <v>0</v>
      </c>
      <c r="AK129" s="41">
        <f>'[2]побудинковий звіт'!AK129+'[1]побудинковий звіт'!AK129</f>
        <v>0</v>
      </c>
      <c r="AL129" s="55">
        <f t="shared" si="76"/>
        <v>0</v>
      </c>
      <c r="AM129" s="41">
        <f>'[2]побудинковий звіт'!AM129+'[1]побудинковий звіт'!AM129</f>
        <v>0</v>
      </c>
      <c r="AN129" s="41">
        <f>'[2]побудинковий звіт'!AN129+'[1]побудинковий звіт'!AN129</f>
        <v>0</v>
      </c>
      <c r="AO129" s="55">
        <f t="shared" si="77"/>
        <v>0</v>
      </c>
      <c r="AP129" s="41">
        <f>'[2]побудинковий звіт'!AP129+'[1]побудинковий звіт'!AP129</f>
        <v>3537.123880438277</v>
      </c>
      <c r="AQ129" s="41">
        <f>'[2]побудинковий звіт'!AQ129+'[1]побудинковий звіт'!AQ129</f>
        <v>3185.6893411831788</v>
      </c>
      <c r="AR129" s="55">
        <f t="shared" si="78"/>
        <v>-351.43453925509812</v>
      </c>
      <c r="AS129" s="41">
        <f>'[2]побудинковий звіт'!AS129+'[1]побудинковий звіт'!AS129</f>
        <v>12018.20673179251</v>
      </c>
      <c r="AT129" s="41">
        <f>'[2]побудинковий звіт'!AT129+'[1]побудинковий звіт'!AT129</f>
        <v>0</v>
      </c>
      <c r="AU129" s="57">
        <f t="shared" si="79"/>
        <v>-12018.20673179251</v>
      </c>
      <c r="AV129" s="41">
        <f>'[2]побудинковий звіт'!AV129+'[1]побудинковий звіт'!AV129</f>
        <v>774.3198092969883</v>
      </c>
      <c r="AW129" s="41">
        <f>'[2]побудинковий звіт'!AW129+'[1]побудинковий звіт'!AW129</f>
        <v>0</v>
      </c>
      <c r="AX129" s="58">
        <f t="shared" si="80"/>
        <v>-774.3198092969883</v>
      </c>
      <c r="AY129" s="41">
        <f>'[2]побудинковий звіт'!AY129+'[1]побудинковий звіт'!AY129</f>
        <v>1212.1269276697378</v>
      </c>
      <c r="AZ129" s="41">
        <f>'[2]побудинковий звіт'!AZ129+'[1]побудинковий звіт'!AZ129</f>
        <v>0</v>
      </c>
      <c r="BA129" s="36">
        <f t="shared" si="81"/>
        <v>-1212.1269276697378</v>
      </c>
      <c r="BB129" s="41">
        <f>'[2]побудинковий звіт'!BB129+'[1]побудинковий звіт'!BB129</f>
        <v>753.47323811125602</v>
      </c>
      <c r="BC129" s="41">
        <f>'[2]побудинковий звіт'!BC129+'[1]побудинковий звіт'!BC129</f>
        <v>0</v>
      </c>
      <c r="BD129" s="58">
        <f t="shared" si="82"/>
        <v>-753.47323811125602</v>
      </c>
      <c r="BE129" s="41">
        <f>'[2]побудинковий звіт'!BE129+'[1]побудинковий звіт'!BE129</f>
        <v>0</v>
      </c>
      <c r="BF129" s="41">
        <f>'[2]побудинковий звіт'!BF129+'[1]побудинковий звіт'!BF129</f>
        <v>0</v>
      </c>
      <c r="BG129" s="38">
        <f t="shared" si="83"/>
        <v>0</v>
      </c>
      <c r="BH129" s="41">
        <f>'[2]побудинковий звіт'!BH129+'[1]побудинковий звіт'!BH129</f>
        <v>49.622889587144876</v>
      </c>
      <c r="BI129" s="41">
        <f>'[2]побудинковий звіт'!BI129+'[1]побудинковий звіт'!BI129</f>
        <v>0</v>
      </c>
      <c r="BJ129" s="58">
        <f t="shared" si="84"/>
        <v>-49.622889587144876</v>
      </c>
      <c r="BK129" s="41">
        <f>'[2]побудинковий звіт'!BK129+'[1]побудинковий звіт'!BK129</f>
        <v>339.50483895786778</v>
      </c>
      <c r="BL129" s="41">
        <f>'[2]побудинковий звіт'!BL129+'[1]побудинковий звіт'!BL129</f>
        <v>0</v>
      </c>
      <c r="BM129" s="38">
        <f t="shared" si="85"/>
        <v>-339.50483895786778</v>
      </c>
      <c r="BN129" s="41">
        <f>'[2]побудинковий звіт'!BN129+'[1]побудинковий звіт'!BN129</f>
        <v>81.940708886855418</v>
      </c>
      <c r="BO129" s="41">
        <f>'[2]побудинковий звіт'!BO129+'[1]побудинковий звіт'!BO129</f>
        <v>0</v>
      </c>
      <c r="BP129" s="58">
        <f t="shared" si="86"/>
        <v>-81.940708886855418</v>
      </c>
      <c r="BQ129" s="84">
        <f t="shared" si="87"/>
        <v>3210.9884125098506</v>
      </c>
      <c r="BR129" s="42">
        <f t="shared" si="88"/>
        <v>0</v>
      </c>
      <c r="BS129" s="58">
        <f t="shared" si="89"/>
        <v>-3210.9884125098506</v>
      </c>
      <c r="BT129" s="41">
        <f>'[2]побудинковий звіт'!BT129+'[1]побудинковий звіт'!BT129</f>
        <v>17195.167031355777</v>
      </c>
      <c r="BU129" s="41">
        <f>'[2]побудинковий звіт'!BU129+'[1]побудинковий звіт'!BU129</f>
        <v>29989.067723736476</v>
      </c>
      <c r="BV129" s="55">
        <f t="shared" si="90"/>
        <v>12793.900692380699</v>
      </c>
      <c r="BW129" s="41">
        <f>'[2]побудинковий звіт'!BW129+'[1]побудинковий звіт'!BW129</f>
        <v>7863.9230591694331</v>
      </c>
      <c r="BX129" s="41">
        <f>'[2]побудинковий звіт'!BX129+'[1]побудинковий звіт'!BX129</f>
        <v>8890.8595373529461</v>
      </c>
      <c r="BY129" s="55">
        <f t="shared" si="91"/>
        <v>1026.9364781835129</v>
      </c>
      <c r="BZ129" s="41">
        <f>'[2]побудинковий звіт'!BZ129+'[1]побудинковий звіт'!BZ129</f>
        <v>5970.8340168971718</v>
      </c>
      <c r="CA129" s="41">
        <f>'[2]побудинковий звіт'!CA129+'[1]побудинковий звіт'!CA129</f>
        <v>2347.4640136698049</v>
      </c>
      <c r="CB129" s="55">
        <f t="shared" si="92"/>
        <v>-3623.3700032273669</v>
      </c>
      <c r="CC129" s="41">
        <f>'[2]побудинковий звіт'!CC129+'[1]побудинковий звіт'!CC129</f>
        <v>268.71352462508042</v>
      </c>
      <c r="CD129" s="41">
        <f>'[2]побудинковий звіт'!CD129+'[1]побудинковий звіт'!CD129</f>
        <v>269.62470221379147</v>
      </c>
      <c r="CE129" s="55">
        <f t="shared" si="93"/>
        <v>0.91117758871104115</v>
      </c>
      <c r="CF129" s="41">
        <f>'[2]побудинковий звіт'!CF129+'[1]побудинковий звіт'!CF129</f>
        <v>33.292177438900886</v>
      </c>
      <c r="CG129" s="41">
        <f>'[2]побудинковий звіт'!CG129+'[1]побудинковий звіт'!CG129</f>
        <v>0</v>
      </c>
      <c r="CH129" s="55">
        <f t="shared" si="94"/>
        <v>-33.292177438900886</v>
      </c>
      <c r="CI129" s="41">
        <f>'[2]побудинковий звіт'!CI129+'[1]побудинковий звіт'!CI129</f>
        <v>2027.3770055436257</v>
      </c>
      <c r="CJ129" s="41">
        <f>'[2]побудинковий звіт'!CJ129+'[1]побудинковий звіт'!CJ129</f>
        <v>1452.9928216596197</v>
      </c>
      <c r="CK129" s="55">
        <f t="shared" si="95"/>
        <v>-574.38418388400601</v>
      </c>
      <c r="CL129" s="41">
        <f>'[2]побудинковий звіт'!CL129+'[1]побудинковий звіт'!CL129</f>
        <v>0</v>
      </c>
      <c r="CM129" s="41">
        <f>'[2]побудинковий звіт'!CM129+'[1]побудинковий звіт'!CM129</f>
        <v>0</v>
      </c>
      <c r="CN129" s="55">
        <f t="shared" si="96"/>
        <v>0</v>
      </c>
      <c r="CO129" s="41">
        <f t="shared" si="97"/>
        <v>2027.3770055436257</v>
      </c>
      <c r="CP129" s="42">
        <f t="shared" si="98"/>
        <v>1452.9928216596197</v>
      </c>
      <c r="CQ129" s="55">
        <f t="shared" si="99"/>
        <v>-574.38418388400601</v>
      </c>
      <c r="CR129" s="76">
        <f t="shared" si="100"/>
        <v>66388.970764605605</v>
      </c>
      <c r="CS129" s="5">
        <f t="shared" si="101"/>
        <v>60195.794235008907</v>
      </c>
      <c r="CT129" s="55">
        <f t="shared" si="102"/>
        <v>-6193.1765295966979</v>
      </c>
      <c r="CU129" s="84">
        <f t="shared" si="103"/>
        <v>79666.764917526729</v>
      </c>
      <c r="CV129" s="68">
        <f t="shared" si="104"/>
        <v>72234.953082010688</v>
      </c>
      <c r="CW129" s="36">
        <f t="shared" si="105"/>
        <v>-7431.8118355160404</v>
      </c>
      <c r="CX129" s="41">
        <f>'[2]побудинковий звіт'!CX129+'[1]побудинковий звіт'!CX129</f>
        <v>783.94841583036009</v>
      </c>
      <c r="CY129" s="41">
        <f>'[2]побудинковий звіт'!CY129+'[1]побудинковий звіт'!CY129</f>
        <v>8215.760251346388</v>
      </c>
      <c r="CZ129" s="55">
        <f t="shared" si="106"/>
        <v>7431.8118355160277</v>
      </c>
      <c r="DA129" s="254">
        <f>'[1]побудинковий звіт'!DA129</f>
        <v>8334.0251634000815</v>
      </c>
      <c r="DB129" s="2">
        <v>2</v>
      </c>
      <c r="DC129" s="702">
        <f>'[1]побудинковий звіт'!DC129</f>
        <v>12647.25</v>
      </c>
      <c r="DD129" s="702">
        <f>'[1]побудинковий звіт'!DD129</f>
        <v>-533.72</v>
      </c>
      <c r="DE129" s="702">
        <f>'[1]побудинковий звіт'!DE129</f>
        <v>4230.2299999999996</v>
      </c>
      <c r="DF129" s="702">
        <f>'[1]побудинковий звіт'!DF129</f>
        <v>-915.54</v>
      </c>
      <c r="DG129" s="772">
        <v>19152.891586491838</v>
      </c>
      <c r="DH129" s="746">
        <f t="shared" si="107"/>
        <v>965408.56000028504</v>
      </c>
      <c r="DI129" s="769"/>
      <c r="DJ129" s="5"/>
      <c r="DK129" s="307">
        <f>VLOOKUP($A129,ціни!$A$4:$G$401,5)</f>
        <v>5.7311449339674434</v>
      </c>
      <c r="DL129" s="307"/>
      <c r="DM129" s="307">
        <f>VLOOKUP($A129,ціни!$A$4:$G$401,7)</f>
        <v>5.0207430837945832</v>
      </c>
      <c r="DN129" s="29">
        <f t="shared" si="122"/>
        <v>6036.6149589479082</v>
      </c>
      <c r="DO129" s="29">
        <v>225.48</v>
      </c>
      <c r="DP129" s="306">
        <f t="shared" si="108"/>
        <v>6262.0949589479078</v>
      </c>
      <c r="DQ129" s="101"/>
      <c r="DR129" s="29">
        <f>VLOOKUP(A129,'ДЗ нас '!$A$1:$C$359,2)</f>
        <v>6036.57</v>
      </c>
      <c r="DS129" s="733">
        <f>VLOOKUP(A129,'ДЗ нежит'!$A$1:$D$153,4,0)</f>
        <v>273.62</v>
      </c>
      <c r="DT129" s="29">
        <f t="shared" si="109"/>
        <v>6310.19</v>
      </c>
      <c r="DU129" s="247">
        <f>VLOOKUP(A129,'новий кошторис с 01.06'!$A$4:$AI$399,35)*1.2</f>
        <v>6311.3916860015061</v>
      </c>
      <c r="DV129" s="29">
        <f t="shared" si="110"/>
        <v>-1.2016860015064594</v>
      </c>
      <c r="DW129" s="1016">
        <f>'[2]побудинковий звіт'!$DW$9+'[1]побудинковий звіт'!DW129</f>
        <v>918</v>
      </c>
      <c r="DX129" s="101">
        <f>'[1]побудинковий звіт'!DX129</f>
        <v>0</v>
      </c>
      <c r="DY129" s="5">
        <f t="shared" si="111"/>
        <v>18275.034173162832</v>
      </c>
      <c r="DZ129" s="5">
        <f t="shared" si="112"/>
        <v>0</v>
      </c>
      <c r="EA129" s="737">
        <f t="shared" si="113"/>
        <v>3314.6899999999996</v>
      </c>
      <c r="EC129" s="577">
        <f t="shared" si="114"/>
        <v>144218.48078151012</v>
      </c>
      <c r="EE129" s="743">
        <v>25176</v>
      </c>
      <c r="EF129" s="723">
        <f t="shared" si="115"/>
        <v>44328.891586491838</v>
      </c>
      <c r="EH129" s="798">
        <v>17329.111975629457</v>
      </c>
      <c r="EI129" s="101">
        <f>VLOOKUP(A129,'кошти 01.01.24'!$A$9:$D$352,4,FALSE)</f>
        <v>15765.83699891612</v>
      </c>
    </row>
    <row r="130" spans="1:139" hidden="1" x14ac:dyDescent="0.3">
      <c r="A130" s="318">
        <v>150000623</v>
      </c>
      <c r="B130" s="43" t="s">
        <v>557</v>
      </c>
      <c r="C130" s="44" t="s">
        <v>209</v>
      </c>
      <c r="D130" s="44" t="s">
        <v>209</v>
      </c>
      <c r="E130" s="39">
        <f t="shared" si="64"/>
        <v>1472.6</v>
      </c>
      <c r="F130" s="205">
        <f>'[1]побудинковий звіт'!F130</f>
        <v>1379.8</v>
      </c>
      <c r="G130" s="29">
        <f>'[1]побудинковий звіт'!G130</f>
        <v>0</v>
      </c>
      <c r="H130" s="148">
        <f>'[1]побудинковий звіт'!H130</f>
        <v>92.8</v>
      </c>
      <c r="I130" s="41">
        <f>'[2]побудинковий звіт'!I130+'[1]побудинковий звіт'!I130</f>
        <v>5536.5265513962313</v>
      </c>
      <c r="J130" s="41">
        <f>'[2]побудинковий звіт'!J130+'[1]побудинковий звіт'!J130</f>
        <v>5677.8553628306408</v>
      </c>
      <c r="K130" s="55">
        <f t="shared" si="65"/>
        <v>141.32881143440954</v>
      </c>
      <c r="L130" s="41">
        <f>'[2]побудинковий звіт'!L130+'[1]побудинковий звіт'!L130</f>
        <v>974.52889788723849</v>
      </c>
      <c r="M130" s="41">
        <f>'[2]побудинковий звіт'!M130+'[1]побудинковий звіт'!M130</f>
        <v>1020.7138213951279</v>
      </c>
      <c r="N130" s="55">
        <f t="shared" si="66"/>
        <v>46.18492350788938</v>
      </c>
      <c r="O130" s="41">
        <f>'[2]побудинковий звіт'!O130+'[1]побудинковий звіт'!O130</f>
        <v>2253.6852684290807</v>
      </c>
      <c r="P130" s="41">
        <f>'[2]побудинковий звіт'!P130+'[1]побудинковий звіт'!P130</f>
        <v>2260.2265983464004</v>
      </c>
      <c r="Q130" s="55">
        <f t="shared" si="67"/>
        <v>6.5413299173196719</v>
      </c>
      <c r="R130" s="41">
        <f>'[2]побудинковий звіт'!R130+'[1]побудинковий звіт'!R130</f>
        <v>0</v>
      </c>
      <c r="S130" s="41">
        <f>'[2]побудинковий звіт'!S130+'[1]побудинковий звіт'!S130</f>
        <v>0</v>
      </c>
      <c r="T130" s="55">
        <f t="shared" si="68"/>
        <v>0</v>
      </c>
      <c r="U130" s="41">
        <f>'[2]побудинковий звіт'!U130+'[1]побудинковий звіт'!U130</f>
        <v>112.26117935125026</v>
      </c>
      <c r="V130" s="41">
        <f>'[2]побудинковий звіт'!V130+'[1]побудинковий звіт'!V130</f>
        <v>64.766754518396098</v>
      </c>
      <c r="W130" s="55">
        <f t="shared" si="69"/>
        <v>-47.494424832854165</v>
      </c>
      <c r="X130" s="41">
        <f>'[2]побудинковий звіт'!X130+'[1]побудинковий звіт'!X130</f>
        <v>3089.209234848181</v>
      </c>
      <c r="Y130" s="41">
        <f>'[2]побудинковий звіт'!Y130+'[1]побудинковий звіт'!Y130</f>
        <v>2870.5381400708834</v>
      </c>
      <c r="Z130" s="55">
        <f t="shared" si="70"/>
        <v>-218.67109477729764</v>
      </c>
      <c r="AA130" s="41">
        <f>'[2]побудинковий звіт'!AA130+'[1]побудинковий звіт'!AA130</f>
        <v>0</v>
      </c>
      <c r="AB130" s="41">
        <f>'[2]побудинковий звіт'!AB130+'[1]побудинковий звіт'!AB130</f>
        <v>0</v>
      </c>
      <c r="AC130" s="55">
        <f t="shared" si="71"/>
        <v>0</v>
      </c>
      <c r="AD130" s="41">
        <f>'[2]побудинковий звіт'!AD130+'[1]побудинковий звіт'!AD130</f>
        <v>6387.1258927042863</v>
      </c>
      <c r="AE130" s="41">
        <f>'[2]побудинковий звіт'!AE130+'[1]побудинковий звіт'!AE130</f>
        <v>6362.2846333579691</v>
      </c>
      <c r="AF130" s="36">
        <f t="shared" si="72"/>
        <v>-24.841259346317202</v>
      </c>
      <c r="AG130" s="84">
        <f t="shared" si="73"/>
        <v>18353.337024616267</v>
      </c>
      <c r="AH130" s="56">
        <f t="shared" si="74"/>
        <v>18256.385310519414</v>
      </c>
      <c r="AI130" s="55">
        <f t="shared" si="75"/>
        <v>-96.951714096852811</v>
      </c>
      <c r="AJ130" s="41">
        <f>'[2]побудинковий звіт'!AJ130+'[1]побудинковий звіт'!AJ130</f>
        <v>0</v>
      </c>
      <c r="AK130" s="41">
        <f>'[2]побудинковий звіт'!AK130+'[1]побудинковий звіт'!AK130</f>
        <v>0</v>
      </c>
      <c r="AL130" s="55">
        <f t="shared" si="76"/>
        <v>0</v>
      </c>
      <c r="AM130" s="41">
        <f>'[2]побудинковий звіт'!AM130+'[1]побудинковий звіт'!AM130</f>
        <v>0</v>
      </c>
      <c r="AN130" s="41">
        <f>'[2]побудинковий звіт'!AN130+'[1]побудинковий звіт'!AN130</f>
        <v>0</v>
      </c>
      <c r="AO130" s="55">
        <f t="shared" si="77"/>
        <v>0</v>
      </c>
      <c r="AP130" s="41">
        <f>'[2]побудинковий звіт'!AP130+'[1]побудинковий звіт'!AP130</f>
        <v>4428.6620290529609</v>
      </c>
      <c r="AQ130" s="41">
        <f>'[2]побудинковий звіт'!AQ130+'[1]побудинковий звіт'!AQ130</f>
        <v>4025.9090494331308</v>
      </c>
      <c r="AR130" s="55">
        <f t="shared" si="78"/>
        <v>-402.75297961983006</v>
      </c>
      <c r="AS130" s="41">
        <f>'[2]побудинковий звіт'!AS130+'[1]побудинковий звіт'!AS130</f>
        <v>19866.641455506073</v>
      </c>
      <c r="AT130" s="41">
        <f>'[2]побудинковий звіт'!AT130+'[1]побудинковий звіт'!AT130</f>
        <v>0</v>
      </c>
      <c r="AU130" s="57">
        <f t="shared" si="79"/>
        <v>-19866.641455506073</v>
      </c>
      <c r="AV130" s="41">
        <f>'[2]побудинковий звіт'!AV130+'[1]побудинковий звіт'!AV130</f>
        <v>944.6206696723757</v>
      </c>
      <c r="AW130" s="41">
        <f>'[2]побудинковий звіт'!AW130+'[1]побудинковий звіт'!AW130</f>
        <v>0</v>
      </c>
      <c r="AX130" s="58">
        <f t="shared" si="80"/>
        <v>-944.6206696723757</v>
      </c>
      <c r="AY130" s="41">
        <f>'[2]побудинковий звіт'!AY130+'[1]побудинковий звіт'!AY130</f>
        <v>1269.3698221808559</v>
      </c>
      <c r="AZ130" s="41">
        <f>'[2]побудинковий звіт'!AZ130+'[1]побудинковий звіт'!AZ130</f>
        <v>0</v>
      </c>
      <c r="BA130" s="36">
        <f t="shared" si="81"/>
        <v>-1269.3698221808559</v>
      </c>
      <c r="BB130" s="41">
        <f>'[2]побудинковий звіт'!BB130+'[1]побудинковий звіт'!BB130</f>
        <v>1036.885692392148</v>
      </c>
      <c r="BC130" s="41">
        <f>'[2]побудинковий звіт'!BC130+'[1]побудинковий звіт'!BC130</f>
        <v>0</v>
      </c>
      <c r="BD130" s="58">
        <f t="shared" si="82"/>
        <v>-1036.885692392148</v>
      </c>
      <c r="BE130" s="41">
        <f>'[2]побудинковий звіт'!BE130+'[1]побудинковий звіт'!BE130</f>
        <v>0</v>
      </c>
      <c r="BF130" s="41">
        <f>'[2]побудинковий звіт'!BF130+'[1]побудинковий звіт'!BF130</f>
        <v>0</v>
      </c>
      <c r="BG130" s="38">
        <f t="shared" si="83"/>
        <v>0</v>
      </c>
      <c r="BH130" s="41">
        <f>'[2]побудинковий звіт'!BH130+'[1]побудинковий звіт'!BH130</f>
        <v>66.163852782859806</v>
      </c>
      <c r="BI130" s="41">
        <f>'[2]побудинковий звіт'!BI130+'[1]побудинковий звіт'!BI130</f>
        <v>0</v>
      </c>
      <c r="BJ130" s="58">
        <f t="shared" si="84"/>
        <v>-66.163852782859806</v>
      </c>
      <c r="BK130" s="41">
        <f>'[2]побудинковий звіт'!BK130+'[1]побудинковий звіт'!BK130</f>
        <v>476.49333561030858</v>
      </c>
      <c r="BL130" s="41">
        <f>'[2]побудинковий звіт'!BL130+'[1]побудинковий звіт'!BL130</f>
        <v>591.10217486236036</v>
      </c>
      <c r="BM130" s="38">
        <f t="shared" si="85"/>
        <v>114.60883925205178</v>
      </c>
      <c r="BN130" s="41">
        <f>'[2]побудинковий звіт'!BN130+'[1]побудинковий звіт'!BN130</f>
        <v>81.940708886855418</v>
      </c>
      <c r="BO130" s="41">
        <f>'[2]побудинковий звіт'!BO130+'[1]побудинковий звіт'!BO130</f>
        <v>0</v>
      </c>
      <c r="BP130" s="58">
        <f t="shared" si="86"/>
        <v>-81.940708886855418</v>
      </c>
      <c r="BQ130" s="84">
        <f t="shared" si="87"/>
        <v>3875.4740815254036</v>
      </c>
      <c r="BR130" s="42">
        <f t="shared" si="88"/>
        <v>591.10217486236036</v>
      </c>
      <c r="BS130" s="58">
        <f t="shared" si="89"/>
        <v>-3284.3719066630433</v>
      </c>
      <c r="BT130" s="41">
        <f>'[2]побудинковий звіт'!BT130+'[1]побудинковий звіт'!BT130</f>
        <v>18688.244498010568</v>
      </c>
      <c r="BU130" s="41">
        <f>'[2]побудинковий звіт'!BU130+'[1]побудинковий звіт'!BU130</f>
        <v>34300.568846651564</v>
      </c>
      <c r="BV130" s="55">
        <f t="shared" si="90"/>
        <v>15612.324348640996</v>
      </c>
      <c r="BW130" s="41">
        <f>'[2]побудинковий звіт'!BW130+'[1]побудинковий звіт'!BW130</f>
        <v>9188.063364280415</v>
      </c>
      <c r="BX130" s="41">
        <f>'[2]побудинковий звіт'!BX130+'[1]побудинковий звіт'!BX130</f>
        <v>10330.487705272653</v>
      </c>
      <c r="BY130" s="55">
        <f t="shared" si="91"/>
        <v>1142.4243409922383</v>
      </c>
      <c r="BZ130" s="41">
        <f>'[2]побудинковий звіт'!BZ130+'[1]побудинковий звіт'!BZ130</f>
        <v>8860.1593120468351</v>
      </c>
      <c r="CA130" s="41">
        <f>'[2]побудинковий звіт'!CA130+'[1]побудинковий звіт'!CA130</f>
        <v>2665.9092179361073</v>
      </c>
      <c r="CB130" s="55">
        <f t="shared" si="92"/>
        <v>-6194.2500941107282</v>
      </c>
      <c r="CC130" s="41">
        <f>'[2]побудинковий звіт'!CC130+'[1]побудинковий звіт'!CC130</f>
        <v>381.69534747880743</v>
      </c>
      <c r="CD130" s="41">
        <f>'[2]побудинковий звіт'!CD130+'[1]побудинковий звіт'!CD130</f>
        <v>382.98963382640829</v>
      </c>
      <c r="CE130" s="55">
        <f t="shared" si="93"/>
        <v>1.2942863476008597</v>
      </c>
      <c r="CF130" s="41">
        <f>'[2]побудинковий звіт'!CF130+'[1]побудинковий звіт'!CF130</f>
        <v>47.290024771166024</v>
      </c>
      <c r="CG130" s="41">
        <f>'[2]побудинковий звіт'!CG130+'[1]побудинковий звіт'!CG130</f>
        <v>0</v>
      </c>
      <c r="CH130" s="55">
        <f t="shared" si="94"/>
        <v>-47.290024771166024</v>
      </c>
      <c r="CI130" s="41">
        <f>'[2]побудинковий звіт'!CI130+'[1]побудинковий звіт'!CI130</f>
        <v>2998.5199955894332</v>
      </c>
      <c r="CJ130" s="41">
        <f>'[2]побудинковий звіт'!CJ130+'[1]побудинковий звіт'!CJ130</f>
        <v>1428.8623050507495</v>
      </c>
      <c r="CK130" s="55">
        <f t="shared" si="95"/>
        <v>-1569.6576905386837</v>
      </c>
      <c r="CL130" s="41">
        <f>'[2]побудинковий звіт'!CL130+'[1]побудинковий звіт'!CL130</f>
        <v>0</v>
      </c>
      <c r="CM130" s="41">
        <f>'[2]побудинковий звіт'!CM130+'[1]побудинковий звіт'!CM130</f>
        <v>0</v>
      </c>
      <c r="CN130" s="55">
        <f t="shared" si="96"/>
        <v>0</v>
      </c>
      <c r="CO130" s="41">
        <f t="shared" si="97"/>
        <v>2998.5199955894332</v>
      </c>
      <c r="CP130" s="42">
        <f t="shared" si="98"/>
        <v>1428.8623050507495</v>
      </c>
      <c r="CQ130" s="55">
        <f t="shared" si="99"/>
        <v>-1569.6576905386837</v>
      </c>
      <c r="CR130" s="76">
        <f t="shared" si="100"/>
        <v>86688.087132877918</v>
      </c>
      <c r="CS130" s="5">
        <f t="shared" si="101"/>
        <v>71982.214243552386</v>
      </c>
      <c r="CT130" s="55">
        <f t="shared" si="102"/>
        <v>-14705.872889325532</v>
      </c>
      <c r="CU130" s="84">
        <f t="shared" si="103"/>
        <v>104025.7045594535</v>
      </c>
      <c r="CV130" s="68">
        <f t="shared" si="104"/>
        <v>86378.65709226286</v>
      </c>
      <c r="CW130" s="36">
        <f t="shared" si="105"/>
        <v>-17647.047467190641</v>
      </c>
      <c r="CX130" s="41">
        <f>'[2]побудинковий звіт'!CX130+'[1]побудинковий звіт'!CX130</f>
        <v>2297.1188966990767</v>
      </c>
      <c r="CY130" s="41">
        <f>'[2]побудинковий звіт'!CY130+'[1]побудинковий звіт'!CY130</f>
        <v>19944.166363889708</v>
      </c>
      <c r="CZ130" s="55">
        <f t="shared" si="106"/>
        <v>17647.04746719063</v>
      </c>
      <c r="DA130" s="254">
        <f>'[1]побудинковий звіт'!DA130</f>
        <v>41409.585255173646</v>
      </c>
      <c r="DB130" s="2">
        <v>2</v>
      </c>
      <c r="DC130" s="702">
        <f>'[1]побудинковий звіт'!DC130</f>
        <v>18536.740000000002</v>
      </c>
      <c r="DD130" s="702">
        <f>'[1]побудинковий звіт'!DD130</f>
        <v>1550.56</v>
      </c>
      <c r="DE130" s="702">
        <f>'[1]побудинковий звіт'!DE130</f>
        <v>7558.6500000000015</v>
      </c>
      <c r="DF130" s="702">
        <f>'[1]побудинковий звіт'!DF130</f>
        <v>891.3599999999999</v>
      </c>
      <c r="DG130" s="772">
        <v>-5249.2785709879536</v>
      </c>
      <c r="DH130" s="746">
        <f t="shared" si="107"/>
        <v>1275873.8814738309</v>
      </c>
      <c r="DI130" s="769"/>
      <c r="DJ130" s="5"/>
      <c r="DK130" s="307">
        <f>VLOOKUP($A130,ціни!$A$4:$G$401,5)</f>
        <v>5.7028305415081881</v>
      </c>
      <c r="DL130" s="307"/>
      <c r="DM130" s="307">
        <f>VLOOKUP($A130,ціни!$A$4:$G$401,7)</f>
        <v>5.0548843288208483</v>
      </c>
      <c r="DN130" s="29">
        <f t="shared" si="122"/>
        <v>7868.7655811729974</v>
      </c>
      <c r="DO130" s="29">
        <f t="shared" ref="DO130:DO135" si="124">H130*DM130</f>
        <v>469.09326571457473</v>
      </c>
      <c r="DP130" s="306">
        <f t="shared" si="108"/>
        <v>8337.8588468875714</v>
      </c>
      <c r="DQ130" s="101"/>
      <c r="DR130" s="29">
        <f>VLOOKUP(A130,'ДЗ нас '!$A$1:$C$359,2)</f>
        <v>7868.73</v>
      </c>
      <c r="DS130" s="733">
        <f>VLOOKUP(A130,'ДЗ нежит'!$A$1:$D$153,4,0)</f>
        <v>469.1</v>
      </c>
      <c r="DT130" s="29">
        <f t="shared" si="109"/>
        <v>8337.83</v>
      </c>
      <c r="DU130" s="247">
        <f>VLOOKUP(A130,'новий кошторис с 01.06'!$A$4:$AI$399,35)*1.2</f>
        <v>8362.5027646616254</v>
      </c>
      <c r="DV130" s="29">
        <f t="shared" si="110"/>
        <v>-24.672764661625479</v>
      </c>
      <c r="DW130" s="1016">
        <f>'[2]побудинковий звіт'!$DW$9+'[1]побудинковий звіт'!DW130</f>
        <v>918</v>
      </c>
      <c r="DX130" s="101">
        <f>'[1]побудинковий звіт'!DX130</f>
        <v>0</v>
      </c>
      <c r="DY130" s="5">
        <f t="shared" si="111"/>
        <v>28490.538644437773</v>
      </c>
      <c r="DZ130" s="5">
        <f t="shared" si="112"/>
        <v>709.32260983483241</v>
      </c>
      <c r="EA130" s="737">
        <f t="shared" si="113"/>
        <v>8450.010000000002</v>
      </c>
      <c r="EC130" s="577">
        <f t="shared" si="114"/>
        <v>238399.69746607286</v>
      </c>
      <c r="EE130" s="743">
        <v>-18217</v>
      </c>
      <c r="EF130" s="723">
        <f t="shared" si="115"/>
        <v>-23466.278570987954</v>
      </c>
      <c r="EH130" s="798">
        <v>60382.837450871448</v>
      </c>
      <c r="EI130" s="101">
        <f>VLOOKUP(A130,'кошти 01.01.24'!$A$9:$D$352,4,FALSE)</f>
        <v>59056.632722364302</v>
      </c>
    </row>
    <row r="131" spans="1:139" hidden="1" x14ac:dyDescent="0.3">
      <c r="A131" s="318">
        <v>150000612</v>
      </c>
      <c r="B131" s="43" t="s">
        <v>558</v>
      </c>
      <c r="C131" s="44" t="s">
        <v>161</v>
      </c>
      <c r="D131" s="44" t="s">
        <v>161</v>
      </c>
      <c r="E131" s="39">
        <f t="shared" si="64"/>
        <v>498.78</v>
      </c>
      <c r="F131" s="205">
        <f>'[1]побудинковий звіт'!F131</f>
        <v>498.78</v>
      </c>
      <c r="G131" s="29">
        <f>'[1]побудинковий звіт'!G131</f>
        <v>0</v>
      </c>
      <c r="H131" s="148">
        <f>'[1]побудинковий звіт'!H131</f>
        <v>0</v>
      </c>
      <c r="I131" s="41">
        <f>'[2]побудинковий звіт'!I131+'[1]побудинковий звіт'!I131</f>
        <v>1887.6751336001435</v>
      </c>
      <c r="J131" s="41">
        <f>'[2]побудинковий звіт'!J131+'[1]побудинковий звіт'!J131</f>
        <v>1920.3145510316476</v>
      </c>
      <c r="K131" s="55">
        <f t="shared" si="65"/>
        <v>32.639417431504171</v>
      </c>
      <c r="L131" s="41">
        <f>'[2]побудинковий звіт'!L131+'[1]побудинковий звіт'!L131</f>
        <v>719.08044727502693</v>
      </c>
      <c r="M131" s="41">
        <f>'[2]побудинковий звіт'!M131+'[1]побудинковий звіт'!M131</f>
        <v>754.41991316533472</v>
      </c>
      <c r="N131" s="55">
        <f t="shared" si="66"/>
        <v>35.339465890307793</v>
      </c>
      <c r="O131" s="41">
        <f>'[2]побудинковий звіт'!O131+'[1]побудинковий звіт'!O131</f>
        <v>723.10027572989463</v>
      </c>
      <c r="P131" s="41">
        <f>'[2]побудинковий звіт'!P131+'[1]побудинковий звіт'!P131</f>
        <v>725.29309725953829</v>
      </c>
      <c r="Q131" s="55">
        <f t="shared" si="67"/>
        <v>2.192821529643652</v>
      </c>
      <c r="R131" s="41">
        <f>'[2]побудинковий звіт'!R131+'[1]побудинковий звіт'!R131</f>
        <v>0</v>
      </c>
      <c r="S131" s="41">
        <f>'[2]побудинковий звіт'!S131+'[1]побудинковий звіт'!S131</f>
        <v>0</v>
      </c>
      <c r="T131" s="55">
        <f t="shared" si="68"/>
        <v>0</v>
      </c>
      <c r="U131" s="41">
        <f>'[2]побудинковий звіт'!U131+'[1]побудинковий звіт'!U131</f>
        <v>0</v>
      </c>
      <c r="V131" s="41">
        <f>'[2]побудинковий звіт'!V131+'[1]побудинковий звіт'!V131</f>
        <v>0</v>
      </c>
      <c r="W131" s="55">
        <f t="shared" si="69"/>
        <v>0</v>
      </c>
      <c r="X131" s="41">
        <f>'[2]побудинковий звіт'!X131+'[1]побудинковий звіт'!X131</f>
        <v>1267.4707460156492</v>
      </c>
      <c r="Y131" s="41">
        <f>'[2]побудинковий звіт'!Y131+'[1]побудинковий звіт'!Y131</f>
        <v>1209.1955881317635</v>
      </c>
      <c r="Z131" s="55">
        <f t="shared" si="70"/>
        <v>-58.27515788388564</v>
      </c>
      <c r="AA131" s="41">
        <f>'[2]побудинковий звіт'!AA131+'[1]побудинковий звіт'!AA131</f>
        <v>0</v>
      </c>
      <c r="AB131" s="41">
        <f>'[2]побудинковий звіт'!AB131+'[1]побудинковий звіт'!AB131</f>
        <v>0</v>
      </c>
      <c r="AC131" s="55">
        <f t="shared" si="71"/>
        <v>0</v>
      </c>
      <c r="AD131" s="41">
        <f>'[2]побудинковий звіт'!AD131+'[1]побудинковий звіт'!AD131</f>
        <v>2163.3645611592042</v>
      </c>
      <c r="AE131" s="41">
        <f>'[2]побудинковий звіт'!AE131+'[1]побудинковий звіт'!AE131</f>
        <v>2154.9506515185985</v>
      </c>
      <c r="AF131" s="36">
        <f t="shared" si="72"/>
        <v>-8.4139096406056524</v>
      </c>
      <c r="AG131" s="84">
        <f t="shared" si="73"/>
        <v>6760.6911637799185</v>
      </c>
      <c r="AH131" s="56">
        <f t="shared" si="74"/>
        <v>6764.1738011068828</v>
      </c>
      <c r="AI131" s="55">
        <f t="shared" si="75"/>
        <v>3.4826373269643227</v>
      </c>
      <c r="AJ131" s="41">
        <f>'[2]побудинковий звіт'!AJ131+'[1]побудинковий звіт'!AJ131</f>
        <v>0</v>
      </c>
      <c r="AK131" s="41">
        <f>'[2]побудинковий звіт'!AK131+'[1]побудинковий звіт'!AK131</f>
        <v>0</v>
      </c>
      <c r="AL131" s="55">
        <f t="shared" si="76"/>
        <v>0</v>
      </c>
      <c r="AM131" s="41">
        <f>'[2]побудинковий звіт'!AM131+'[1]побудинковий звіт'!AM131</f>
        <v>0</v>
      </c>
      <c r="AN131" s="41">
        <f>'[2]побудинковий звіт'!AN131+'[1]побудинковий звіт'!AN131</f>
        <v>0</v>
      </c>
      <c r="AO131" s="55">
        <f t="shared" si="77"/>
        <v>0</v>
      </c>
      <c r="AP131" s="41">
        <f>'[2]побудинковий звіт'!AP131+'[1]побудинковий звіт'!AP131</f>
        <v>1188.7175314862448</v>
      </c>
      <c r="AQ131" s="41">
        <f>'[2]побудинковий звіт'!AQ131+'[1]побудинковий звіт'!AQ131</f>
        <v>1078.9026430847125</v>
      </c>
      <c r="AR131" s="55">
        <f t="shared" si="78"/>
        <v>-109.81488840153224</v>
      </c>
      <c r="AS131" s="41">
        <f>'[2]побудинковий звіт'!AS131+'[1]побудинковий звіт'!AS131</f>
        <v>10139.896660573346</v>
      </c>
      <c r="AT131" s="41">
        <f>'[2]побудинковий звіт'!AT131+'[1]побудинковий звіт'!AT131</f>
        <v>0</v>
      </c>
      <c r="AU131" s="57">
        <f t="shared" si="79"/>
        <v>-10139.896660573346</v>
      </c>
      <c r="AV131" s="41">
        <f>'[2]побудинковий звіт'!AV131+'[1]побудинковий звіт'!AV131</f>
        <v>387.02722355991682</v>
      </c>
      <c r="AW131" s="41">
        <f>'[2]побудинковий звіт'!AW131+'[1]побудинковий звіт'!AW131</f>
        <v>0</v>
      </c>
      <c r="AX131" s="58">
        <f t="shared" si="80"/>
        <v>-387.02722355991682</v>
      </c>
      <c r="AY131" s="41">
        <f>'[2]побудинковий звіт'!AY131+'[1]побудинковий звіт'!AY131</f>
        <v>862.5926189256711</v>
      </c>
      <c r="AZ131" s="41">
        <f>'[2]побудинковий звіт'!AZ131+'[1]побудинковий звіт'!AZ131</f>
        <v>0</v>
      </c>
      <c r="BA131" s="36">
        <f t="shared" si="81"/>
        <v>-862.5926189256711</v>
      </c>
      <c r="BB131" s="41">
        <f>'[2]побудинковий звіт'!BB131+'[1]побудинковий звіт'!BB131</f>
        <v>201.84956272075212</v>
      </c>
      <c r="BC131" s="41">
        <f>'[2]побудинковий звіт'!BC131+'[1]побудинковий звіт'!BC131</f>
        <v>0</v>
      </c>
      <c r="BD131" s="58">
        <f t="shared" si="82"/>
        <v>-201.84956272075212</v>
      </c>
      <c r="BE131" s="41">
        <f>'[2]побудинковий звіт'!BE131+'[1]побудинковий звіт'!BE131</f>
        <v>0</v>
      </c>
      <c r="BF131" s="41">
        <f>'[2]побудинковий звіт'!BF131+'[1]побудинковий звіт'!BF131</f>
        <v>0</v>
      </c>
      <c r="BG131" s="38">
        <f t="shared" si="83"/>
        <v>0</v>
      </c>
      <c r="BH131" s="41">
        <f>'[2]побудинковий звіт'!BH131+'[1]побудинковий звіт'!BH131</f>
        <v>0</v>
      </c>
      <c r="BI131" s="41">
        <f>'[2]побудинковий звіт'!BI131+'[1]побудинковий звіт'!BI131</f>
        <v>0</v>
      </c>
      <c r="BJ131" s="58">
        <f t="shared" si="84"/>
        <v>0</v>
      </c>
      <c r="BK131" s="41">
        <f>'[2]побудинковий звіт'!BK131+'[1]побудинковий звіт'!BK131</f>
        <v>225.66079584192843</v>
      </c>
      <c r="BL131" s="41">
        <f>'[2]побудинковий звіт'!BL131+'[1]побудинковий звіт'!BL131</f>
        <v>0</v>
      </c>
      <c r="BM131" s="38">
        <f t="shared" si="85"/>
        <v>-225.66079584192843</v>
      </c>
      <c r="BN131" s="41">
        <f>'[2]побудинковий звіт'!BN131+'[1]побудинковий звіт'!BN131</f>
        <v>31.214014296485885</v>
      </c>
      <c r="BO131" s="41">
        <f>'[2]побудинковий звіт'!BO131+'[1]побудинковий звіт'!BO131</f>
        <v>0</v>
      </c>
      <c r="BP131" s="58">
        <f t="shared" si="86"/>
        <v>-31.214014296485885</v>
      </c>
      <c r="BQ131" s="84">
        <f t="shared" si="87"/>
        <v>1708.3442153447543</v>
      </c>
      <c r="BR131" s="42">
        <f t="shared" si="88"/>
        <v>0</v>
      </c>
      <c r="BS131" s="58">
        <f t="shared" si="89"/>
        <v>-1708.3442153447543</v>
      </c>
      <c r="BT131" s="41">
        <f>'[2]побудинковий звіт'!BT131+'[1]побудинковий звіт'!BT131</f>
        <v>7839.4854847643664</v>
      </c>
      <c r="BU131" s="41">
        <f>'[2]побудинковий звіт'!BU131+'[1]побудинковий звіт'!BU131</f>
        <v>10032.070570948988</v>
      </c>
      <c r="BV131" s="55">
        <f t="shared" si="90"/>
        <v>2192.585086184622</v>
      </c>
      <c r="BW131" s="41">
        <f>'[2]побудинковий звіт'!BW131+'[1]побудинковий звіт'!BW131</f>
        <v>3184.2153319686636</v>
      </c>
      <c r="BX131" s="41">
        <f>'[2]побудинковий звіт'!BX131+'[1]побудинковий звіт'!BX131</f>
        <v>3106.6819096010172</v>
      </c>
      <c r="BY131" s="55">
        <f t="shared" si="91"/>
        <v>-77.533422367646381</v>
      </c>
      <c r="BZ131" s="41">
        <f>'[2]побудинковий звіт'!BZ131+'[1]побудинковий звіт'!BZ131</f>
        <v>2423.3207387360171</v>
      </c>
      <c r="CA131" s="41">
        <f>'[2]побудинковий звіт'!CA131+'[1]побудинковий звіт'!CA131</f>
        <v>1134.2063391304553</v>
      </c>
      <c r="CB131" s="55">
        <f t="shared" si="92"/>
        <v>-1289.1143996055619</v>
      </c>
      <c r="CC131" s="41">
        <f>'[2]побудинковий звіт'!CC131+'[1]побудинковий звіт'!CC131</f>
        <v>387.80247303846841</v>
      </c>
      <c r="CD131" s="41">
        <f>'[2]побудинковий звіт'!CD131+'[1]побудинковий звіт'!CD131</f>
        <v>389.11746796763089</v>
      </c>
      <c r="CE131" s="55">
        <f t="shared" si="93"/>
        <v>1.3149949291624807</v>
      </c>
      <c r="CF131" s="41">
        <f>'[2]побудинковий звіт'!CF131+'[1]побудинковий звіт'!CF131</f>
        <v>48.046665167504692</v>
      </c>
      <c r="CG131" s="41">
        <f>'[2]побудинковий звіт'!CG131+'[1]побудинковий звіт'!CG131</f>
        <v>0</v>
      </c>
      <c r="CH131" s="55">
        <f t="shared" si="94"/>
        <v>-48.046665167504692</v>
      </c>
      <c r="CI131" s="41">
        <f>'[2]побудинковий звіт'!CI131+'[1]побудинковий звіт'!CI131</f>
        <v>354.15202940692791</v>
      </c>
      <c r="CJ131" s="41">
        <f>'[2]побудинковий звіт'!CJ131+'[1]побудинковий звіт'!CJ131</f>
        <v>25.912668871653448</v>
      </c>
      <c r="CK131" s="55">
        <f t="shared" si="95"/>
        <v>-328.23936053527444</v>
      </c>
      <c r="CL131" s="41">
        <f>'[2]побудинковий звіт'!CL131+'[1]побудинковий звіт'!CL131</f>
        <v>0</v>
      </c>
      <c r="CM131" s="41">
        <f>'[2]побудинковий звіт'!CM131+'[1]побудинковий звіт'!CM131</f>
        <v>0</v>
      </c>
      <c r="CN131" s="55">
        <f t="shared" si="96"/>
        <v>0</v>
      </c>
      <c r="CO131" s="41">
        <f t="shared" si="97"/>
        <v>354.15202940692791</v>
      </c>
      <c r="CP131" s="42">
        <f t="shared" si="98"/>
        <v>25.912668871653448</v>
      </c>
      <c r="CQ131" s="55">
        <f t="shared" si="99"/>
        <v>-328.23936053527444</v>
      </c>
      <c r="CR131" s="76">
        <f t="shared" si="100"/>
        <v>34034.672294266209</v>
      </c>
      <c r="CS131" s="5">
        <f t="shared" si="101"/>
        <v>22531.065400711341</v>
      </c>
      <c r="CT131" s="55">
        <f t="shared" si="102"/>
        <v>-11503.606893554868</v>
      </c>
      <c r="CU131" s="84">
        <f t="shared" si="103"/>
        <v>40841.606753119449</v>
      </c>
      <c r="CV131" s="68">
        <f t="shared" si="104"/>
        <v>27037.278480853609</v>
      </c>
      <c r="CW131" s="36">
        <f t="shared" si="105"/>
        <v>-13804.32827226584</v>
      </c>
      <c r="CX131" s="41">
        <f>'[2]побудинковий звіт'!CX131+'[1]побудинковий звіт'!CX131</f>
        <v>409.68806322775242</v>
      </c>
      <c r="CY131" s="41">
        <f>'[2]побудинковий звіт'!CY131+'[1]побудинковий звіт'!CY131</f>
        <v>14214.016335493594</v>
      </c>
      <c r="CZ131" s="55">
        <f t="shared" si="106"/>
        <v>13804.328272265842</v>
      </c>
      <c r="DA131" s="254">
        <f>'[1]побудинковий звіт'!DA131</f>
        <v>887.6208502963018</v>
      </c>
      <c r="DB131" s="2">
        <v>2</v>
      </c>
      <c r="DC131" s="702">
        <f>'[1]побудинковий звіт'!DC131</f>
        <v>5070.0200000000004</v>
      </c>
      <c r="DD131" s="702">
        <f>'[1]побудинковий звіт'!DD131</f>
        <v>0</v>
      </c>
      <c r="DE131" s="702">
        <f>'[1]побудинковий звіт'!DE131</f>
        <v>543.09000000000015</v>
      </c>
      <c r="DF131" s="702">
        <f>'[1]побудинковий звіт'!DF131</f>
        <v>0</v>
      </c>
      <c r="DG131" s="772">
        <v>-13845.167035258055</v>
      </c>
      <c r="DH131" s="746">
        <f t="shared" si="107"/>
        <v>495015.53779616643</v>
      </c>
      <c r="DI131" s="769"/>
      <c r="DJ131" s="5"/>
      <c r="DK131" s="307">
        <f>VLOOKUP($A131,ціни!$A$4:$G$401,5)</f>
        <v>6.4811721504626352</v>
      </c>
      <c r="DL131" s="307"/>
      <c r="DM131" s="307">
        <f>VLOOKUP($A131,ціни!$A$4:$G$401,7)</f>
        <v>5.8829514606088829</v>
      </c>
      <c r="DN131" s="29">
        <f t="shared" si="122"/>
        <v>3232.679045207753</v>
      </c>
      <c r="DO131" s="29">
        <f t="shared" si="124"/>
        <v>0</v>
      </c>
      <c r="DP131" s="306">
        <f t="shared" si="108"/>
        <v>3232.679045207753</v>
      </c>
      <c r="DQ131" s="101"/>
      <c r="DR131" s="29">
        <f>VLOOKUP(A131,'ДЗ нас '!$A$1:$C$359,2)</f>
        <v>3232.69</v>
      </c>
      <c r="DS131" s="733"/>
      <c r="DT131" s="29">
        <f t="shared" si="109"/>
        <v>3232.69</v>
      </c>
      <c r="DU131" s="247">
        <f>VLOOKUP(A131,'новий кошторис с 01.06'!$A$4:$AI$399,35)*1.2</f>
        <v>3232.679045207753</v>
      </c>
      <c r="DV131" s="29">
        <f t="shared" si="110"/>
        <v>1.0954792247048317E-2</v>
      </c>
      <c r="DW131" s="1016">
        <f>'[2]побудинковий звіт'!$DW$9+'[1]побудинковий звіт'!DW131</f>
        <v>918</v>
      </c>
      <c r="DX131" s="101">
        <f>'[1]побудинковий звіт'!DX131</f>
        <v>0</v>
      </c>
      <c r="DY131" s="5">
        <f t="shared" si="111"/>
        <v>14217.88905110172</v>
      </c>
      <c r="DZ131" s="5">
        <f t="shared" si="112"/>
        <v>0</v>
      </c>
      <c r="EA131" s="737">
        <f t="shared" si="113"/>
        <v>543.09000000000015</v>
      </c>
      <c r="EC131" s="577">
        <f t="shared" si="114"/>
        <v>121678.75992688016</v>
      </c>
      <c r="EE131" s="743">
        <v>-239</v>
      </c>
      <c r="EF131" s="723">
        <f t="shared" si="115"/>
        <v>-14084.167035258055</v>
      </c>
      <c r="EH131" s="798">
        <v>24656.537874926078</v>
      </c>
      <c r="EI131" s="101">
        <f>VLOOKUP(A131,'кошти 01.01.24'!$A$9:$D$352,4,FALSE)</f>
        <v>14691.949122562155</v>
      </c>
    </row>
    <row r="132" spans="1:139" ht="14.4" hidden="1" customHeight="1" x14ac:dyDescent="0.3">
      <c r="A132" s="318">
        <v>150000613</v>
      </c>
      <c r="B132" s="43" t="s">
        <v>559</v>
      </c>
      <c r="C132" s="44" t="s">
        <v>210</v>
      </c>
      <c r="D132" s="44" t="s">
        <v>210</v>
      </c>
      <c r="E132" s="39">
        <f t="shared" si="64"/>
        <v>1482.7</v>
      </c>
      <c r="F132" s="205">
        <f>'[1]побудинковий звіт'!F132</f>
        <v>1270.2</v>
      </c>
      <c r="G132" s="29">
        <f>'[1]побудинковий звіт'!G132</f>
        <v>0</v>
      </c>
      <c r="H132" s="148">
        <f>'[1]побудинковий звіт'!H132</f>
        <v>212.5</v>
      </c>
      <c r="I132" s="41">
        <f>'[2]побудинковий звіт'!I132+'[1]побудинковий звіт'!I132</f>
        <v>5362.4218748040794</v>
      </c>
      <c r="J132" s="41">
        <f>'[2]побудинковий звіт'!J132+'[1]побудинковий звіт'!J132</f>
        <v>5498.1325685078109</v>
      </c>
      <c r="K132" s="55">
        <f t="shared" si="65"/>
        <v>135.71069370373152</v>
      </c>
      <c r="L132" s="41">
        <f>'[2]побудинковий звіт'!L132+'[1]побудинковий звіт'!L132</f>
        <v>970.54616059416981</v>
      </c>
      <c r="M132" s="41">
        <f>'[2]побудинковий звіт'!M132+'[1]побудинковий звіт'!M132</f>
        <v>1016.4713689684902</v>
      </c>
      <c r="N132" s="55">
        <f t="shared" si="66"/>
        <v>45.925208374320391</v>
      </c>
      <c r="O132" s="41">
        <f>'[2]побудинковий звіт'!O132+'[1]побудинковий звіт'!O132</f>
        <v>2290.5087319680442</v>
      </c>
      <c r="P132" s="41">
        <f>'[2]побудинковий звіт'!P132+'[1]побудинковий звіт'!P132</f>
        <v>2297.1421740014503</v>
      </c>
      <c r="Q132" s="55">
        <f t="shared" si="67"/>
        <v>6.6334420334060269</v>
      </c>
      <c r="R132" s="41">
        <f>'[2]побудинковий звіт'!R132+'[1]побудинковий звіт'!R132</f>
        <v>0</v>
      </c>
      <c r="S132" s="41">
        <f>'[2]побудинковий звіт'!S132+'[1]побудинковий звіт'!S132</f>
        <v>0</v>
      </c>
      <c r="T132" s="55">
        <f t="shared" si="68"/>
        <v>0</v>
      </c>
      <c r="U132" s="41">
        <f>'[2]побудинковий звіт'!U132+'[1]побудинковий звіт'!U132</f>
        <v>112.26117935125026</v>
      </c>
      <c r="V132" s="41">
        <f>'[2]побудинковий звіт'!V132+'[1]побудинковий звіт'!V132</f>
        <v>64.766754518396098</v>
      </c>
      <c r="W132" s="55">
        <f t="shared" si="69"/>
        <v>-47.494424832854165</v>
      </c>
      <c r="X132" s="41">
        <f>'[2]побудинковий звіт'!X132+'[1]побудинковий звіт'!X132</f>
        <v>3017.1700822098451</v>
      </c>
      <c r="Y132" s="41">
        <f>'[2]побудинковий звіт'!Y132+'[1]побудинковий звіт'!Y132</f>
        <v>3869.3444335854219</v>
      </c>
      <c r="Z132" s="55">
        <f t="shared" si="70"/>
        <v>852.17435137557686</v>
      </c>
      <c r="AA132" s="41">
        <f>'[2]побудинковий звіт'!AA132+'[1]побудинковий звіт'!AA132</f>
        <v>0</v>
      </c>
      <c r="AB132" s="41">
        <f>'[2]побудинковий звіт'!AB132+'[1]побудинковий звіт'!AB132</f>
        <v>0</v>
      </c>
      <c r="AC132" s="55">
        <f t="shared" si="71"/>
        <v>0</v>
      </c>
      <c r="AD132" s="41">
        <f>'[2]побудинковий звіт'!AD132+'[1]побудинковий звіт'!AD132</f>
        <v>6429.2053096212576</v>
      </c>
      <c r="AE132" s="41">
        <f>'[2]побудинковий звіт'!AE132+'[1]побудинковий звіт'!AE132</f>
        <v>6404.1970256356053</v>
      </c>
      <c r="AF132" s="36">
        <f t="shared" si="72"/>
        <v>-25.00828398565227</v>
      </c>
      <c r="AG132" s="84">
        <f t="shared" si="73"/>
        <v>18182.113338548646</v>
      </c>
      <c r="AH132" s="56">
        <f t="shared" si="74"/>
        <v>19150.054325217174</v>
      </c>
      <c r="AI132" s="55">
        <f t="shared" si="75"/>
        <v>967.94098666852733</v>
      </c>
      <c r="AJ132" s="41">
        <f>'[2]побудинковий звіт'!AJ132+'[1]побудинковий звіт'!AJ132</f>
        <v>0</v>
      </c>
      <c r="AK132" s="41">
        <f>'[2]побудинковий звіт'!AK132+'[1]побудинковий звіт'!AK132</f>
        <v>0</v>
      </c>
      <c r="AL132" s="55">
        <f t="shared" si="76"/>
        <v>0</v>
      </c>
      <c r="AM132" s="41">
        <f>'[2]побудинковий звіт'!AM132+'[1]побудинковий звіт'!AM132</f>
        <v>0</v>
      </c>
      <c r="AN132" s="41">
        <f>'[2]побудинковий звіт'!AN132+'[1]побудинковий звіт'!AN132</f>
        <v>0</v>
      </c>
      <c r="AO132" s="55">
        <f t="shared" si="77"/>
        <v>0</v>
      </c>
      <c r="AP132" s="41">
        <f>'[2]побудинковий звіт'!AP132+'[1]побудинковий звіт'!AP132</f>
        <v>4160.5113602018555</v>
      </c>
      <c r="AQ132" s="41">
        <f>'[2]побудинковий звіт'!AQ132+'[1]побудинковий звіт'!AQ132</f>
        <v>3810.802771419405</v>
      </c>
      <c r="AR132" s="55">
        <f t="shared" si="78"/>
        <v>-349.70858878245053</v>
      </c>
      <c r="AS132" s="41">
        <f>'[2]побудинковий звіт'!AS132+'[1]побудинковий звіт'!AS132</f>
        <v>16749.632848116828</v>
      </c>
      <c r="AT132" s="41">
        <f>'[2]побудинковий звіт'!AT132+'[1]побудинковий звіт'!AT132</f>
        <v>8161.6750204002765</v>
      </c>
      <c r="AU132" s="57">
        <f t="shared" si="79"/>
        <v>-8587.957827716551</v>
      </c>
      <c r="AV132" s="41">
        <f>'[2]побудинковий звіт'!AV132+'[1]побудинковий звіт'!AV132</f>
        <v>940.73439944733229</v>
      </c>
      <c r="AW132" s="41">
        <f>'[2]побудинковий звіт'!AW132+'[1]побудинковий звіт'!AW132</f>
        <v>0</v>
      </c>
      <c r="AX132" s="58">
        <f t="shared" si="80"/>
        <v>-940.73439944733229</v>
      </c>
      <c r="AY132" s="41">
        <f>'[2]побудинковий звіт'!AY132+'[1]побудинковий звіт'!AY132</f>
        <v>1264.3677482407907</v>
      </c>
      <c r="AZ132" s="41">
        <f>'[2]побудинковий звіт'!AZ132+'[1]побудинковий звіт'!AZ132</f>
        <v>0</v>
      </c>
      <c r="BA132" s="36">
        <f t="shared" si="81"/>
        <v>-1264.3677482407907</v>
      </c>
      <c r="BB132" s="41">
        <f>'[2]побудинковий звіт'!BB132+'[1]побудинковий звіт'!BB132</f>
        <v>1030.8544340286969</v>
      </c>
      <c r="BC132" s="41">
        <f>'[2]побудинковий звіт'!BC132+'[1]побудинковий звіт'!BC132</f>
        <v>0</v>
      </c>
      <c r="BD132" s="58">
        <f t="shared" si="82"/>
        <v>-1030.8544340286969</v>
      </c>
      <c r="BE132" s="41">
        <f>'[2]побудинковий звіт'!BE132+'[1]побудинковий звіт'!BE132</f>
        <v>0</v>
      </c>
      <c r="BF132" s="41">
        <f>'[2]побудинковий звіт'!BF132+'[1]побудинковий звіт'!BF132</f>
        <v>0</v>
      </c>
      <c r="BG132" s="38">
        <f t="shared" si="83"/>
        <v>0</v>
      </c>
      <c r="BH132" s="41">
        <f>'[2]побудинковий звіт'!BH132+'[1]побудинковий звіт'!BH132</f>
        <v>66.163852782859806</v>
      </c>
      <c r="BI132" s="41">
        <f>'[2]побудинковий звіт'!BI132+'[1]побудинковий звіт'!BI132</f>
        <v>0</v>
      </c>
      <c r="BJ132" s="58">
        <f t="shared" si="84"/>
        <v>-66.163852782859806</v>
      </c>
      <c r="BK132" s="41">
        <f>'[2]побудинковий звіт'!BK132+'[1]побудинковий звіт'!BK132</f>
        <v>472.30288732705696</v>
      </c>
      <c r="BL132" s="41">
        <f>'[2]побудинковий звіт'!BL132+'[1]побудинковий звіт'!BL132</f>
        <v>0</v>
      </c>
      <c r="BM132" s="38">
        <f t="shared" si="85"/>
        <v>-472.30288732705696</v>
      </c>
      <c r="BN132" s="41">
        <f>'[2]побудинковий звіт'!BN132+'[1]побудинковий звіт'!BN132</f>
        <v>66.035678486535474</v>
      </c>
      <c r="BO132" s="41">
        <f>'[2]побудинковий звіт'!BO132+'[1]побудинковий звіт'!BO132</f>
        <v>0</v>
      </c>
      <c r="BP132" s="58">
        <f t="shared" si="86"/>
        <v>-66.035678486535474</v>
      </c>
      <c r="BQ132" s="84">
        <f t="shared" si="87"/>
        <v>3840.4590003132716</v>
      </c>
      <c r="BR132" s="42">
        <f t="shared" si="88"/>
        <v>0</v>
      </c>
      <c r="BS132" s="58">
        <f t="shared" si="89"/>
        <v>-3840.4590003132716</v>
      </c>
      <c r="BT132" s="41">
        <f>'[2]побудинковий звіт'!BT132+'[1]побудинковий звіт'!BT132</f>
        <v>26326.059875476247</v>
      </c>
      <c r="BU132" s="41">
        <f>'[2]побудинковий звіт'!BU132+'[1]побудинковий звіт'!BU132</f>
        <v>43638.879029684547</v>
      </c>
      <c r="BV132" s="55">
        <f t="shared" si="90"/>
        <v>17312.8191542083</v>
      </c>
      <c r="BW132" s="41">
        <f>'[2]побудинковий звіт'!BW132+'[1]побудинковий звіт'!BW132</f>
        <v>9878.6229427414837</v>
      </c>
      <c r="BX132" s="41">
        <f>'[2]побудинковий звіт'!BX132+'[1]побудинковий звіт'!BX132</f>
        <v>11061.255085869641</v>
      </c>
      <c r="BY132" s="55">
        <f t="shared" si="91"/>
        <v>1182.6321431281576</v>
      </c>
      <c r="BZ132" s="41">
        <f>'[2]побудинковий звіт'!BZ132+'[1]побудинковий звіт'!BZ132</f>
        <v>6298.3191931947213</v>
      </c>
      <c r="CA132" s="41">
        <f>'[2]побудинковий звіт'!CA132+'[1]побудинковий звіт'!CA132</f>
        <v>3150.5917049642972</v>
      </c>
      <c r="CB132" s="55">
        <f t="shared" si="92"/>
        <v>-3147.7274882304241</v>
      </c>
      <c r="CC132" s="41">
        <f>'[2]побудинковий звіт'!CC132+'[1]побудинковий звіт'!CC132</f>
        <v>345.05259412084183</v>
      </c>
      <c r="CD132" s="41">
        <f>'[2]побудинковий звіт'!CD132+'[1]побудинковий звіт'!CD132</f>
        <v>346.22262897907308</v>
      </c>
      <c r="CE132" s="55">
        <f t="shared" si="93"/>
        <v>1.1700348582312472</v>
      </c>
      <c r="CF132" s="41">
        <f>'[2]побудинковий звіт'!CF132+'[1]побудинковий звіт'!CF132</f>
        <v>42.750182393134089</v>
      </c>
      <c r="CG132" s="41">
        <f>'[2]побудинковий звіт'!CG132+'[1]побудинковий звіт'!CG132</f>
        <v>0</v>
      </c>
      <c r="CH132" s="55">
        <f t="shared" si="94"/>
        <v>-42.750182393134089</v>
      </c>
      <c r="CI132" s="41">
        <f>'[2]побудинковий звіт'!CI132+'[1]побудинковий звіт'!CI132</f>
        <v>2205.0255437152055</v>
      </c>
      <c r="CJ132" s="41">
        <f>'[2]побудинковий звіт'!CJ132+'[1]побудинковий звіт'!CJ132</f>
        <v>1218.3886768652246</v>
      </c>
      <c r="CK132" s="55">
        <f t="shared" si="95"/>
        <v>-986.63686684998083</v>
      </c>
      <c r="CL132" s="41">
        <f>'[2]побудинковий звіт'!CL132+'[1]побудинковий звіт'!CL132</f>
        <v>0</v>
      </c>
      <c r="CM132" s="41">
        <f>'[2]побудинковий звіт'!CM132+'[1]побудинковий звіт'!CM132</f>
        <v>0</v>
      </c>
      <c r="CN132" s="55">
        <f t="shared" si="96"/>
        <v>0</v>
      </c>
      <c r="CO132" s="41">
        <f t="shared" si="97"/>
        <v>2205.0255437152055</v>
      </c>
      <c r="CP132" s="42">
        <f t="shared" si="98"/>
        <v>1218.3886768652246</v>
      </c>
      <c r="CQ132" s="55">
        <f t="shared" si="99"/>
        <v>-986.63686684998083</v>
      </c>
      <c r="CR132" s="76">
        <f t="shared" si="100"/>
        <v>88028.546878822235</v>
      </c>
      <c r="CS132" s="5">
        <f t="shared" si="101"/>
        <v>90537.869243399633</v>
      </c>
      <c r="CT132" s="55">
        <f t="shared" si="102"/>
        <v>2509.3223645773978</v>
      </c>
      <c r="CU132" s="84">
        <f t="shared" si="103"/>
        <v>105634.25625458668</v>
      </c>
      <c r="CV132" s="68">
        <f t="shared" si="104"/>
        <v>108645.44309207956</v>
      </c>
      <c r="CW132" s="36">
        <f t="shared" si="105"/>
        <v>3011.1868374928745</v>
      </c>
      <c r="CX132" s="41">
        <f>'[2]побудинковий звіт'!CX132+'[1]побудинковий звіт'!CX132</f>
        <v>3208.3823236762182</v>
      </c>
      <c r="CY132" s="41">
        <f>'[2]побудинковий звіт'!CY132+'[1]побудинковий звіт'!CY132</f>
        <v>197.1954861833392</v>
      </c>
      <c r="CZ132" s="55">
        <f t="shared" si="106"/>
        <v>-3011.186837492879</v>
      </c>
      <c r="DA132" s="254">
        <f>'[1]побудинковий звіт'!DA132</f>
        <v>22233.575600079301</v>
      </c>
      <c r="DB132" s="2">
        <v>2</v>
      </c>
      <c r="DC132" s="702">
        <f>'[1]побудинковий звіт'!DC132</f>
        <v>29703.86</v>
      </c>
      <c r="DD132" s="702">
        <f>'[1]побудинковий звіт'!DD132</f>
        <v>9907.1500000000015</v>
      </c>
      <c r="DE132" s="702">
        <f>'[1]побудинковий звіт'!DE132</f>
        <v>19317.690000000002</v>
      </c>
      <c r="DF132" s="702">
        <f>'[1]побудинковий звіт'!DF132</f>
        <v>8393.9900000000016</v>
      </c>
      <c r="DG132" s="772">
        <v>35757.248769338737</v>
      </c>
      <c r="DH132" s="746">
        <f t="shared" si="107"/>
        <v>1306111.662939155</v>
      </c>
      <c r="DI132" s="769"/>
      <c r="DJ132" s="5"/>
      <c r="DK132" s="307">
        <f>VLOOKUP($A132,ціни!$A$4:$G$401,5)</f>
        <v>5.866371037291259</v>
      </c>
      <c r="DL132" s="307"/>
      <c r="DM132" s="307">
        <f>VLOOKUP($A132,ціни!$A$4:$G$401,7)</f>
        <v>5.1035829961136523</v>
      </c>
      <c r="DN132" s="29">
        <f t="shared" si="122"/>
        <v>7451.4644915673571</v>
      </c>
      <c r="DO132" s="29">
        <f t="shared" si="124"/>
        <v>1084.511386674151</v>
      </c>
      <c r="DP132" s="306">
        <f t="shared" si="108"/>
        <v>8535.9758782415083</v>
      </c>
      <c r="DQ132" s="101"/>
      <c r="DR132" s="29">
        <f>VLOOKUP(A132,'ДЗ нас '!$A$1:$C$359,2)</f>
        <v>7451.48</v>
      </c>
      <c r="DS132" s="733">
        <f>VLOOKUP(A132,'ДЗ нежит'!$A$1:$D$153,4,0)</f>
        <v>1084.51</v>
      </c>
      <c r="DT132" s="29">
        <f t="shared" si="109"/>
        <v>8535.99</v>
      </c>
      <c r="DU132" s="247">
        <f>VLOOKUP(A132,'новий кошторис с 01.06'!$A$4:$AI$399,35)*1.2</f>
        <v>8574.7698607944094</v>
      </c>
      <c r="DV132" s="29">
        <f t="shared" si="110"/>
        <v>-38.779860794409615</v>
      </c>
      <c r="DW132" s="1016">
        <f>'[2]побудинковий звіт'!$DW$9+'[1]побудинковий звіт'!DW132</f>
        <v>918</v>
      </c>
      <c r="DX132" s="101">
        <f>'[1]побудинковий звіт'!DX132</f>
        <v>0</v>
      </c>
      <c r="DY132" s="5">
        <f t="shared" si="111"/>
        <v>24708.110218116119</v>
      </c>
      <c r="DZ132" s="5">
        <f t="shared" si="112"/>
        <v>9794.0100244803307</v>
      </c>
      <c r="EA132" s="737">
        <f t="shared" si="113"/>
        <v>27711.680000000004</v>
      </c>
      <c r="EC132" s="577">
        <f t="shared" si="114"/>
        <v>200995.59417740192</v>
      </c>
      <c r="EE132" s="743">
        <v>17770</v>
      </c>
      <c r="EF132" s="723">
        <f t="shared" si="115"/>
        <v>53527.248769338737</v>
      </c>
      <c r="EH132" s="798">
        <v>31582.182229924565</v>
      </c>
      <c r="EI132" s="101">
        <f>VLOOKUP(A132,'кошти 01.01.24'!$A$9:$D$352,4,FALSE)</f>
        <v>19222.38876258643</v>
      </c>
    </row>
    <row r="133" spans="1:139" hidden="1" x14ac:dyDescent="0.3">
      <c r="A133" s="318">
        <v>150000614</v>
      </c>
      <c r="B133" s="43" t="s">
        <v>560</v>
      </c>
      <c r="C133" s="44" t="s">
        <v>162</v>
      </c>
      <c r="D133" s="44" t="s">
        <v>162</v>
      </c>
      <c r="E133" s="39">
        <f t="shared" si="64"/>
        <v>626.29999999999995</v>
      </c>
      <c r="F133" s="205">
        <f>'[1]побудинковий звіт'!F133</f>
        <v>626.29999999999995</v>
      </c>
      <c r="G133" s="29">
        <f>'[1]побудинковий звіт'!G133</f>
        <v>0</v>
      </c>
      <c r="H133" s="148">
        <f>'[1]побудинковий звіт'!H133</f>
        <v>0</v>
      </c>
      <c r="I133" s="41">
        <f>'[2]побудинковий звіт'!I133+'[1]побудинковий звіт'!I133</f>
        <v>1655.6896469946892</v>
      </c>
      <c r="J133" s="41">
        <f>'[2]побудинковий звіт'!J133+'[1]побудинковий звіт'!J133</f>
        <v>1702.8008799480936</v>
      </c>
      <c r="K133" s="55">
        <f t="shared" si="65"/>
        <v>47.111232953404397</v>
      </c>
      <c r="L133" s="41">
        <f>'[2]побудинковий звіт'!L133+'[1]побудинковий звіт'!L133</f>
        <v>578.90850034454536</v>
      </c>
      <c r="M133" s="41">
        <f>'[2]побудинковий звіт'!M133+'[1]побудинковий звіт'!M133</f>
        <v>606.87074315488553</v>
      </c>
      <c r="N133" s="55">
        <f t="shared" si="66"/>
        <v>27.962242810340172</v>
      </c>
      <c r="O133" s="41">
        <f>'[2]побудинковий звіт'!O133+'[1]побудинковий звіт'!O133</f>
        <v>896.32952827068289</v>
      </c>
      <c r="P133" s="41">
        <f>'[2]побудинковий звіт'!P133+'[1]побудинковий звіт'!P133</f>
        <v>899.05599467089417</v>
      </c>
      <c r="Q133" s="55">
        <f t="shared" si="67"/>
        <v>2.7264664002112795</v>
      </c>
      <c r="R133" s="41">
        <f>'[2]побудинковий звіт'!R133+'[1]побудинковий звіт'!R133</f>
        <v>0</v>
      </c>
      <c r="S133" s="41">
        <f>'[2]побудинковий звіт'!S133+'[1]побудинковий звіт'!S133</f>
        <v>0</v>
      </c>
      <c r="T133" s="55">
        <f t="shared" si="68"/>
        <v>0</v>
      </c>
      <c r="U133" s="41">
        <f>'[2]побудинковий звіт'!U133+'[1]побудинковий звіт'!U133</f>
        <v>0</v>
      </c>
      <c r="V133" s="41">
        <f>'[2]побудинковий звіт'!V133+'[1]побудинковий звіт'!V133</f>
        <v>0</v>
      </c>
      <c r="W133" s="55">
        <f t="shared" si="69"/>
        <v>0</v>
      </c>
      <c r="X133" s="41">
        <f>'[2]побудинковий звіт'!X133+'[1]побудинковий звіт'!X133</f>
        <v>1006.9347351373435</v>
      </c>
      <c r="Y133" s="41">
        <f>'[2]побудинковий звіт'!Y133+'[1]побудинковий звіт'!Y133</f>
        <v>1000.4651746512253</v>
      </c>
      <c r="Z133" s="55">
        <f t="shared" si="70"/>
        <v>-6.4695604861182119</v>
      </c>
      <c r="AA133" s="41">
        <f>'[2]побудинковий звіт'!AA133+'[1]побудинковий звіт'!AA133</f>
        <v>0</v>
      </c>
      <c r="AB133" s="41">
        <f>'[2]побудинковий звіт'!AB133+'[1]побудинковий звіт'!AB133</f>
        <v>0</v>
      </c>
      <c r="AC133" s="55">
        <f t="shared" si="71"/>
        <v>0</v>
      </c>
      <c r="AD133" s="41">
        <f>'[2]побудинковий звіт'!AD133+'[1]побудинковий звіт'!AD133</f>
        <v>2716.4586083123008</v>
      </c>
      <c r="AE133" s="41">
        <f>'[2]побудинковий звіт'!AE133+'[1]побудинковий звіт'!AE133</f>
        <v>2705.8935663941979</v>
      </c>
      <c r="AF133" s="36">
        <f t="shared" si="72"/>
        <v>-10.565041918102906</v>
      </c>
      <c r="AG133" s="84">
        <f t="shared" si="73"/>
        <v>6854.3210190595619</v>
      </c>
      <c r="AH133" s="56">
        <f t="shared" si="74"/>
        <v>6915.0863588192969</v>
      </c>
      <c r="AI133" s="55">
        <f t="shared" si="75"/>
        <v>60.76533975973507</v>
      </c>
      <c r="AJ133" s="41">
        <f>'[2]побудинковий звіт'!AJ133+'[1]побудинковий звіт'!AJ133</f>
        <v>0</v>
      </c>
      <c r="AK133" s="41">
        <f>'[2]побудинковий звіт'!AK133+'[1]побудинковий звіт'!AK133</f>
        <v>0</v>
      </c>
      <c r="AL133" s="55">
        <f t="shared" si="76"/>
        <v>0</v>
      </c>
      <c r="AM133" s="41">
        <f>'[2]побудинковий звіт'!AM133+'[1]побудинковий звіт'!AM133</f>
        <v>0</v>
      </c>
      <c r="AN133" s="41">
        <f>'[2]побудинковий звіт'!AN133+'[1]побудинковий звіт'!AN133</f>
        <v>0</v>
      </c>
      <c r="AO133" s="55">
        <f t="shared" si="77"/>
        <v>0</v>
      </c>
      <c r="AP133" s="41">
        <f>'[2]побудинковий звіт'!AP133+'[1]побудинковий звіт'!AP133</f>
        <v>1783.0762972293671</v>
      </c>
      <c r="AQ133" s="41">
        <f>'[2]побудинковий звіт'!AQ133+'[1]побудинковий звіт'!AQ133</f>
        <v>1550.8130224663141</v>
      </c>
      <c r="AR133" s="55">
        <f t="shared" si="78"/>
        <v>-232.263274763053</v>
      </c>
      <c r="AS133" s="41">
        <f>'[2]побудинковий звіт'!AS133+'[1]побудинковий звіт'!AS133</f>
        <v>9941.5368700087274</v>
      </c>
      <c r="AT133" s="41">
        <f>'[2]побудинковий звіт'!AT133+'[1]побудинковий звіт'!AT133</f>
        <v>0</v>
      </c>
      <c r="AU133" s="57">
        <f t="shared" si="79"/>
        <v>-9941.5368700087274</v>
      </c>
      <c r="AV133" s="41">
        <f>'[2]побудинковий звіт'!AV133+'[1]побудинковий звіт'!AV133</f>
        <v>541.39374260747468</v>
      </c>
      <c r="AW133" s="41">
        <f>'[2]побудинковий звіт'!AW133+'[1]побудинковий звіт'!AW133</f>
        <v>0</v>
      </c>
      <c r="AX133" s="58">
        <f t="shared" si="80"/>
        <v>-541.39374260747468</v>
      </c>
      <c r="AY133" s="41">
        <f>'[2]побудинковий звіт'!AY133+'[1]побудинковий звіт'!AY133</f>
        <v>691.54452933658274</v>
      </c>
      <c r="AZ133" s="41">
        <f>'[2]побудинковий звіт'!AZ133+'[1]побудинковий звіт'!AZ133</f>
        <v>0</v>
      </c>
      <c r="BA133" s="36">
        <f t="shared" si="81"/>
        <v>-691.54452933658274</v>
      </c>
      <c r="BB133" s="41">
        <f>'[2]побудинковий звіт'!BB133+'[1]побудинковий звіт'!BB133</f>
        <v>332.13910029943304</v>
      </c>
      <c r="BC133" s="41">
        <f>'[2]побудинковий звіт'!BC133+'[1]побудинковий звіт'!BC133</f>
        <v>518.61230642048793</v>
      </c>
      <c r="BD133" s="58">
        <f t="shared" si="82"/>
        <v>186.47320612105489</v>
      </c>
      <c r="BE133" s="41">
        <f>'[2]побудинковий звіт'!BE133+'[1]побудинковий звіт'!BE133</f>
        <v>0</v>
      </c>
      <c r="BF133" s="41">
        <f>'[2]побудинковий звіт'!BF133+'[1]побудинковий звіт'!BF133</f>
        <v>0</v>
      </c>
      <c r="BG133" s="38">
        <f t="shared" si="83"/>
        <v>0</v>
      </c>
      <c r="BH133" s="41">
        <f>'[2]побудинковий звіт'!BH133+'[1]побудинковий звіт'!BH133</f>
        <v>0</v>
      </c>
      <c r="BI133" s="41">
        <f>'[2]побудинковий звіт'!BI133+'[1]побудинковий звіт'!BI133</f>
        <v>0</v>
      </c>
      <c r="BJ133" s="58">
        <f t="shared" si="84"/>
        <v>0</v>
      </c>
      <c r="BK133" s="41">
        <f>'[2]побудинковий звіт'!BK133+'[1]побудинковий звіт'!BK133</f>
        <v>297.76267170840629</v>
      </c>
      <c r="BL133" s="41">
        <f>'[2]побудинковий звіт'!BL133+'[1]побудинковий звіт'!BL133</f>
        <v>69.538740391940053</v>
      </c>
      <c r="BM133" s="38">
        <f t="shared" si="85"/>
        <v>-228.22393131646623</v>
      </c>
      <c r="BN133" s="41">
        <f>'[2]побудинковий звіт'!BN133+'[1]побудинковий звіт'!BN133</f>
        <v>31.214014296485885</v>
      </c>
      <c r="BO133" s="41">
        <f>'[2]побудинковий звіт'!BO133+'[1]побудинковий звіт'!BO133</f>
        <v>0</v>
      </c>
      <c r="BP133" s="58">
        <f t="shared" si="86"/>
        <v>-31.214014296485885</v>
      </c>
      <c r="BQ133" s="84">
        <f t="shared" si="87"/>
        <v>1894.0540582483825</v>
      </c>
      <c r="BR133" s="42">
        <f t="shared" si="88"/>
        <v>588.15104681242792</v>
      </c>
      <c r="BS133" s="58">
        <f t="shared" si="89"/>
        <v>-1305.9030114359546</v>
      </c>
      <c r="BT133" s="41">
        <f>'[2]побудинковий звіт'!BT133+'[1]побудинковий звіт'!BT133</f>
        <v>8991.2500644295924</v>
      </c>
      <c r="BU133" s="41">
        <f>'[2]побудинковий звіт'!BU133+'[1]побудинковий звіт'!BU133</f>
        <v>13802.644696516893</v>
      </c>
      <c r="BV133" s="55">
        <f t="shared" si="90"/>
        <v>4811.3946320873001</v>
      </c>
      <c r="BW133" s="41">
        <f>'[2]побудинковий звіт'!BW133+'[1]побудинковий звіт'!BW133</f>
        <v>4653.8013397606974</v>
      </c>
      <c r="BX133" s="41">
        <f>'[2]побудинковий звіт'!BX133+'[1]побудинковий звіт'!BX133</f>
        <v>5274.5852616432876</v>
      </c>
      <c r="BY133" s="55">
        <f t="shared" si="91"/>
        <v>620.78392188259022</v>
      </c>
      <c r="BZ133" s="41">
        <f>'[2]побудинковий звіт'!BZ133+'[1]побудинковий звіт'!BZ133</f>
        <v>2042.9121445823389</v>
      </c>
      <c r="CA133" s="41">
        <f>'[2]побудинковий звіт'!CA133+'[1]побудинковий звіт'!CA133</f>
        <v>1445.8907264632442</v>
      </c>
      <c r="CB133" s="55">
        <f t="shared" si="92"/>
        <v>-597.02141811909473</v>
      </c>
      <c r="CC133" s="41">
        <f>'[2]побудинковий звіт'!CC133+'[1]побудинковий звіт'!CC133</f>
        <v>0</v>
      </c>
      <c r="CD133" s="41">
        <f>'[2]побудинковий звіт'!CD133+'[1]побудинковий звіт'!CD133</f>
        <v>0</v>
      </c>
      <c r="CE133" s="55">
        <f t="shared" si="93"/>
        <v>0</v>
      </c>
      <c r="CF133" s="41">
        <f>'[2]побудинковий звіт'!CF133+'[1]побудинковий звіт'!CF133</f>
        <v>0</v>
      </c>
      <c r="CG133" s="41">
        <f>'[2]побудинковий звіт'!CG133+'[1]побудинковий звіт'!CG133</f>
        <v>0</v>
      </c>
      <c r="CH133" s="55">
        <f t="shared" si="94"/>
        <v>0</v>
      </c>
      <c r="CI133" s="41">
        <f>'[2]побудинковий звіт'!CI133+'[1]побудинковий звіт'!CI133</f>
        <v>1612.7975047376995</v>
      </c>
      <c r="CJ133" s="41">
        <f>'[2]побудинковий звіт'!CJ133+'[1]побудинковий звіт'!CJ133</f>
        <v>1434.5231533059912</v>
      </c>
      <c r="CK133" s="55">
        <f t="shared" si="95"/>
        <v>-178.27435143170828</v>
      </c>
      <c r="CL133" s="41">
        <f>'[2]побудинковий звіт'!CL133+'[1]побудинковий звіт'!CL133</f>
        <v>0</v>
      </c>
      <c r="CM133" s="41">
        <f>'[2]побудинковий звіт'!CM133+'[1]побудинковий звіт'!CM133</f>
        <v>0</v>
      </c>
      <c r="CN133" s="55">
        <f t="shared" si="96"/>
        <v>0</v>
      </c>
      <c r="CO133" s="41">
        <f t="shared" si="97"/>
        <v>1612.7975047376995</v>
      </c>
      <c r="CP133" s="42">
        <f t="shared" si="98"/>
        <v>1434.5231533059912</v>
      </c>
      <c r="CQ133" s="55">
        <f t="shared" si="99"/>
        <v>-178.27435143170828</v>
      </c>
      <c r="CR133" s="76">
        <f t="shared" si="100"/>
        <v>37773.749298056369</v>
      </c>
      <c r="CS133" s="5">
        <f t="shared" si="101"/>
        <v>31011.694266027458</v>
      </c>
      <c r="CT133" s="55">
        <f t="shared" si="102"/>
        <v>-6762.0550320289112</v>
      </c>
      <c r="CU133" s="84">
        <f t="shared" si="103"/>
        <v>45328.49915766764</v>
      </c>
      <c r="CV133" s="68">
        <f t="shared" si="104"/>
        <v>37214.033119232947</v>
      </c>
      <c r="CW133" s="36">
        <f t="shared" si="105"/>
        <v>-8114.4660384346935</v>
      </c>
      <c r="CX133" s="41">
        <f>'[2]побудинковий звіт'!CX133+'[1]побудинковий звіт'!CX133</f>
        <v>1364.2979853320176</v>
      </c>
      <c r="CY133" s="41">
        <f>'[2]побудинковий звіт'!CY133+'[1]побудинковий звіт'!CY133</f>
        <v>9478.7640237667129</v>
      </c>
      <c r="CZ133" s="55">
        <f t="shared" si="106"/>
        <v>8114.4660384346953</v>
      </c>
      <c r="DA133" s="254">
        <f>'[1]побудинковий звіт'!DA133</f>
        <v>10540.461919132915</v>
      </c>
      <c r="DB133" s="2">
        <v>2</v>
      </c>
      <c r="DC133" s="702">
        <f>'[1]побудинковий звіт'!DC133</f>
        <v>6318.41</v>
      </c>
      <c r="DD133" s="702">
        <f>'[1]побудинковий звіт'!DD133</f>
        <v>0</v>
      </c>
      <c r="DE133" s="702">
        <f>'[1]побудинковий звіт'!DE133</f>
        <v>1209.8599999999997</v>
      </c>
      <c r="DF133" s="702">
        <f>'[1]побудинковий звіт'!DF133</f>
        <v>0</v>
      </c>
      <c r="DG133" s="772">
        <v>-20077.324995686606</v>
      </c>
      <c r="DH133" s="746">
        <f t="shared" si="107"/>
        <v>560313.56571599585</v>
      </c>
      <c r="DI133" s="769"/>
      <c r="DJ133" s="5"/>
      <c r="DK133" s="307">
        <f>VLOOKUP($A133,ціни!$A$4:$G$401,5)</f>
        <v>5.8471042932241941</v>
      </c>
      <c r="DL133" s="307"/>
      <c r="DM133" s="307">
        <f>VLOOKUP($A133,ціни!$A$4:$G$401,7)</f>
        <v>5.1320407658629588</v>
      </c>
      <c r="DN133" s="29">
        <f t="shared" si="122"/>
        <v>3662.0414188463124</v>
      </c>
      <c r="DO133" s="29">
        <f t="shared" si="124"/>
        <v>0</v>
      </c>
      <c r="DP133" s="306">
        <f t="shared" si="108"/>
        <v>3662.0414188463124</v>
      </c>
      <c r="DQ133" s="101"/>
      <c r="DR133" s="29">
        <f>VLOOKUP(A133,'ДЗ нас '!$A$1:$C$359,2)</f>
        <v>3662.04</v>
      </c>
      <c r="DS133" s="733"/>
      <c r="DT133" s="29">
        <f t="shared" si="109"/>
        <v>3662.04</v>
      </c>
      <c r="DU133" s="247">
        <f>VLOOKUP(A133,'новий кошторис с 01.06'!$A$4:$AI$399,35)*1.2</f>
        <v>3679.9050355236118</v>
      </c>
      <c r="DV133" s="29">
        <f t="shared" si="110"/>
        <v>-17.865035523611823</v>
      </c>
      <c r="DW133" s="1016">
        <f>'[2]побудинковий звіт'!$DW$9+'[1]побудинковий звіт'!DW133</f>
        <v>918</v>
      </c>
      <c r="DX133" s="101">
        <f>'[1]побудинковий звіт'!DX133</f>
        <v>0</v>
      </c>
      <c r="DY133" s="5">
        <f t="shared" si="111"/>
        <v>14202.709113908531</v>
      </c>
      <c r="DZ133" s="5">
        <f t="shared" si="112"/>
        <v>705.78125617491344</v>
      </c>
      <c r="EA133" s="737">
        <f t="shared" si="113"/>
        <v>1209.8599999999997</v>
      </c>
      <c r="EC133" s="577">
        <f t="shared" si="114"/>
        <v>119298.44244010473</v>
      </c>
      <c r="EE133" s="743">
        <v>6758</v>
      </c>
      <c r="EF133" s="723">
        <f t="shared" si="115"/>
        <v>-13319.324995686606</v>
      </c>
      <c r="EH133" s="798">
        <v>27967.395433550068</v>
      </c>
      <c r="EI133" s="101">
        <f>VLOOKUP(A133,'кошти 01.01.24'!$A$9:$D$352,4,FALSE)</f>
        <v>18654.927957567612</v>
      </c>
    </row>
    <row r="134" spans="1:139" ht="15.6" hidden="1" customHeight="1" x14ac:dyDescent="0.3">
      <c r="A134" s="318">
        <v>150000615</v>
      </c>
      <c r="B134" s="43" t="s">
        <v>561</v>
      </c>
      <c r="C134" s="44" t="s">
        <v>256</v>
      </c>
      <c r="D134" s="44" t="s">
        <v>256</v>
      </c>
      <c r="E134" s="39">
        <f t="shared" si="64"/>
        <v>2638.46</v>
      </c>
      <c r="F134" s="205">
        <f>'[1]побудинковий звіт'!F134</f>
        <v>2506.16</v>
      </c>
      <c r="G134" s="29">
        <f>'[1]побудинковий звіт'!G134</f>
        <v>0</v>
      </c>
      <c r="H134" s="148">
        <f>'[1]побудинковий звіт'!H134</f>
        <v>132.30000000000001</v>
      </c>
      <c r="I134" s="41">
        <f>'[2]побудинковий звіт'!I134+'[1]побудинковий звіт'!I134</f>
        <v>9440.1708698336697</v>
      </c>
      <c r="J134" s="41">
        <f>'[2]побудинковий звіт'!J134+'[1]побудинковий звіт'!J134</f>
        <v>9709.4491365217291</v>
      </c>
      <c r="K134" s="55">
        <f t="shared" si="65"/>
        <v>269.27826668805938</v>
      </c>
      <c r="L134" s="41">
        <f>'[2]побудинковий звіт'!L134+'[1]побудинковий звіт'!L134</f>
        <v>1844.6564975669683</v>
      </c>
      <c r="M134" s="41">
        <f>'[2]побудинковий звіт'!M134+'[1]побудинковий звіт'!M134</f>
        <v>1941.0744258041482</v>
      </c>
      <c r="N134" s="55">
        <f t="shared" si="66"/>
        <v>96.417928237179922</v>
      </c>
      <c r="O134" s="41">
        <f>'[2]побудинковий звіт'!O134+'[1]побудинковий звіт'!O134</f>
        <v>3894.3625184466719</v>
      </c>
      <c r="P134" s="41">
        <f>'[2]побудинковий звіт'!P134+'[1]побудинковий звіт'!P134</f>
        <v>3905.5347562596544</v>
      </c>
      <c r="Q134" s="55">
        <f t="shared" si="67"/>
        <v>11.17223781298253</v>
      </c>
      <c r="R134" s="41">
        <f>'[2]побудинковий звіт'!R134+'[1]побудинковий звіт'!R134</f>
        <v>0</v>
      </c>
      <c r="S134" s="41">
        <f>'[2]побудинковий звіт'!S134+'[1]побудинковий звіт'!S134</f>
        <v>0</v>
      </c>
      <c r="T134" s="55">
        <f t="shared" si="68"/>
        <v>0</v>
      </c>
      <c r="U134" s="41">
        <f>'[2]побудинковий звіт'!U134+'[1]побудинковий звіт'!U134</f>
        <v>187.10196558541708</v>
      </c>
      <c r="V134" s="41">
        <f>'[2]побудинковий звіт'!V134+'[1]побудинковий звіт'!V134</f>
        <v>107.9445908639935</v>
      </c>
      <c r="W134" s="55">
        <f t="shared" si="69"/>
        <v>-79.157374721423579</v>
      </c>
      <c r="X134" s="41">
        <f>'[2]побудинковий звіт'!X134+'[1]побудинковий звіт'!X134</f>
        <v>5276.483894785968</v>
      </c>
      <c r="Y134" s="41">
        <f>'[2]побудинковий звіт'!Y134+'[1]побудинковий звіт'!Y134</f>
        <v>5217.3782985841563</v>
      </c>
      <c r="Z134" s="55">
        <f t="shared" si="70"/>
        <v>-59.10559620181175</v>
      </c>
      <c r="AA134" s="41">
        <f>'[2]побудинковий звіт'!AA134+'[1]побудинковий звіт'!AA134</f>
        <v>0</v>
      </c>
      <c r="AB134" s="41">
        <f>'[2]побудинковий звіт'!AB134+'[1]побудинковий звіт'!AB134</f>
        <v>0</v>
      </c>
      <c r="AC134" s="55">
        <f t="shared" si="71"/>
        <v>0</v>
      </c>
      <c r="AD134" s="41">
        <f>'[2]побудинковий звіт'!AD134+'[1]побудинковий звіт'!AD134</f>
        <v>11438.246473669298</v>
      </c>
      <c r="AE134" s="41">
        <f>'[2]побудинковий звіт'!AE134+'[1]побудинковий звіт'!AE134</f>
        <v>11393.971864287774</v>
      </c>
      <c r="AF134" s="36">
        <f t="shared" si="72"/>
        <v>-44.274609381523987</v>
      </c>
      <c r="AG134" s="84">
        <f t="shared" si="73"/>
        <v>32081.022219887993</v>
      </c>
      <c r="AH134" s="56">
        <f t="shared" si="74"/>
        <v>32275.353072321457</v>
      </c>
      <c r="AI134" s="55">
        <f t="shared" si="75"/>
        <v>194.33085243346432</v>
      </c>
      <c r="AJ134" s="41">
        <f>'[2]побудинковий звіт'!AJ134+'[1]побудинковий звіт'!AJ134</f>
        <v>0</v>
      </c>
      <c r="AK134" s="41">
        <f>'[2]побудинковий звіт'!AK134+'[1]побудинковий звіт'!AK134</f>
        <v>0</v>
      </c>
      <c r="AL134" s="55">
        <f t="shared" si="76"/>
        <v>0</v>
      </c>
      <c r="AM134" s="41">
        <f>'[2]побудинковий звіт'!AM134+'[1]побудинковий звіт'!AM134</f>
        <v>0</v>
      </c>
      <c r="AN134" s="41">
        <f>'[2]побудинковий звіт'!AN134+'[1]побудинковий звіт'!AN134</f>
        <v>0</v>
      </c>
      <c r="AO134" s="55">
        <f t="shared" si="77"/>
        <v>0</v>
      </c>
      <c r="AP134" s="41">
        <f>'[2]побудинковий звіт'!AP134+'[1]побудинковий звіт'!AP134</f>
        <v>8766.7917947110527</v>
      </c>
      <c r="AQ134" s="41">
        <f>'[2]побудинковий звіт'!AQ134+'[1]побудинковий звіт'!AQ134</f>
        <v>7964.8838731638152</v>
      </c>
      <c r="AR134" s="55">
        <f t="shared" si="78"/>
        <v>-801.90792154723749</v>
      </c>
      <c r="AS134" s="41">
        <f>'[2]побудинковий звіт'!AS134+'[1]побудинковий звіт'!AS134</f>
        <v>21833.99707563996</v>
      </c>
      <c r="AT134" s="41">
        <f>'[2]побудинковий звіт'!AT134+'[1]побудинковий звіт'!AT134</f>
        <v>3571.1522528744817</v>
      </c>
      <c r="AU134" s="57">
        <f t="shared" si="79"/>
        <v>-18262.844822765477</v>
      </c>
      <c r="AV134" s="41">
        <f>'[2]побудинковий звіт'!AV134+'[1]побудинковий звіт'!AV134</f>
        <v>1468.3163935772839</v>
      </c>
      <c r="AW134" s="41">
        <f>'[2]побудинковий звіт'!AW134+'[1]побудинковий звіт'!AW134</f>
        <v>948.1245720560587</v>
      </c>
      <c r="AX134" s="58">
        <f t="shared" si="80"/>
        <v>-520.19182152122517</v>
      </c>
      <c r="AY134" s="41">
        <f>'[2]побудинковий звіт'!AY134+'[1]побудинковий звіт'!AY134</f>
        <v>2217.4499244662002</v>
      </c>
      <c r="AZ134" s="41">
        <f>'[2]побудинковий звіт'!AZ134+'[1]побудинковий звіт'!AZ134</f>
        <v>0</v>
      </c>
      <c r="BA134" s="36">
        <f t="shared" si="81"/>
        <v>-2217.4499244662002</v>
      </c>
      <c r="BB134" s="41">
        <f>'[2]побудинковий звіт'!BB134+'[1]побудинковий звіт'!BB134</f>
        <v>1868.5479026920134</v>
      </c>
      <c r="BC134" s="41">
        <f>'[2]побудинковий звіт'!BC134+'[1]побудинковий звіт'!BC134</f>
        <v>0</v>
      </c>
      <c r="BD134" s="58">
        <f t="shared" si="82"/>
        <v>-1868.5479026920134</v>
      </c>
      <c r="BE134" s="41">
        <f>'[2]побудинковий звіт'!BE134+'[1]побудинковий звіт'!BE134</f>
        <v>0</v>
      </c>
      <c r="BF134" s="41">
        <f>'[2]побудинковий звіт'!BF134+'[1]побудинковий звіт'!BF134</f>
        <v>0</v>
      </c>
      <c r="BG134" s="38">
        <f t="shared" si="83"/>
        <v>0</v>
      </c>
      <c r="BH134" s="41">
        <f>'[2]побудинковий звіт'!BH134+'[1]побудинковий звіт'!BH134</f>
        <v>110.27308797143304</v>
      </c>
      <c r="BI134" s="41">
        <f>'[2]побудинковий звіт'!BI134+'[1]побудинковий звіт'!BI134</f>
        <v>0</v>
      </c>
      <c r="BJ134" s="58">
        <f t="shared" si="84"/>
        <v>-110.27308797143304</v>
      </c>
      <c r="BK134" s="41">
        <f>'[2]побудинковий звіт'!BK134+'[1]побудинковий звіт'!BK134</f>
        <v>874.77368051675387</v>
      </c>
      <c r="BL134" s="41">
        <f>'[2]побудинковий звіт'!BL134+'[1]побудинковий звіт'!BL134</f>
        <v>0</v>
      </c>
      <c r="BM134" s="38">
        <f t="shared" si="85"/>
        <v>-874.77368051675387</v>
      </c>
      <c r="BN134" s="41">
        <f>'[2]побудинковий звіт'!BN134+'[1]побудинковий звіт'!BN134</f>
        <v>66.035678486535474</v>
      </c>
      <c r="BO134" s="41">
        <f>'[2]побудинковий звіт'!BO134+'[1]побудинковий звіт'!BO134</f>
        <v>0</v>
      </c>
      <c r="BP134" s="58">
        <f t="shared" si="86"/>
        <v>-66.035678486535474</v>
      </c>
      <c r="BQ134" s="84">
        <f t="shared" si="87"/>
        <v>6605.3966677102198</v>
      </c>
      <c r="BR134" s="42">
        <f t="shared" si="88"/>
        <v>948.1245720560587</v>
      </c>
      <c r="BS134" s="58">
        <f t="shared" si="89"/>
        <v>-5657.2720956541616</v>
      </c>
      <c r="BT134" s="41">
        <f>'[2]побудинковий звіт'!BT134+'[1]побудинковий звіт'!BT134</f>
        <v>61017.141022867661</v>
      </c>
      <c r="BU134" s="41">
        <f>'[2]побудинковий звіт'!BU134+'[1]побудинковий звіт'!BU134</f>
        <v>102540.7455166772</v>
      </c>
      <c r="BV134" s="55">
        <f t="shared" si="90"/>
        <v>41523.604493809537</v>
      </c>
      <c r="BW134" s="41">
        <f>'[2]побудинковий звіт'!BW134+'[1]побудинковий звіт'!BW134</f>
        <v>13229.34640134369</v>
      </c>
      <c r="BX134" s="41">
        <f>'[2]побудинковий звіт'!BX134+'[1]побудинковий звіт'!BX134</f>
        <v>15502.517571437013</v>
      </c>
      <c r="BY134" s="55">
        <f t="shared" si="91"/>
        <v>2273.1711700933229</v>
      </c>
      <c r="BZ134" s="41">
        <f>'[2]побудинковий звіт'!BZ134+'[1]побудинковий звіт'!BZ134</f>
        <v>23804.89386448927</v>
      </c>
      <c r="CA134" s="41">
        <f>'[2]побудинковий звіт'!CA134+'[1]побудинковий звіт'!CA134</f>
        <v>9964.4975259202383</v>
      </c>
      <c r="CB134" s="55">
        <f t="shared" si="92"/>
        <v>-13840.396338569031</v>
      </c>
      <c r="CC134" s="41">
        <f>'[2]побудинковий звіт'!CC134+'[1]побудинковий звіт'!CC134</f>
        <v>796.97988553574999</v>
      </c>
      <c r="CD134" s="41">
        <f>'[2]побудинковий звіт'!CD134+'[1]побудинковий звіт'!CD134</f>
        <v>799.68235542954039</v>
      </c>
      <c r="CE134" s="55">
        <f t="shared" si="93"/>
        <v>2.7024698937904077</v>
      </c>
      <c r="CF134" s="41">
        <f>'[2]побудинковий звіт'!CF134+'[1]побудинковий звіт'!CF134</f>
        <v>98.741571722194678</v>
      </c>
      <c r="CG134" s="41">
        <f>'[2]побудинковий звіт'!CG134+'[1]побудинковий звіт'!CG134</f>
        <v>0</v>
      </c>
      <c r="CH134" s="55">
        <f t="shared" si="94"/>
        <v>-98.741571722194678</v>
      </c>
      <c r="CI134" s="41">
        <f>'[2]побудинковий звіт'!CI134+'[1]побудинковий звіт'!CI134</f>
        <v>2761.5890329550862</v>
      </c>
      <c r="CJ134" s="41">
        <f>'[2]побудинковий звіт'!CJ134+'[1]побудинковий звіт'!CJ134</f>
        <v>1773.8399557253372</v>
      </c>
      <c r="CK134" s="55">
        <f t="shared" si="95"/>
        <v>-987.74907722974899</v>
      </c>
      <c r="CL134" s="41">
        <f>'[2]побудинковий звіт'!CL134+'[1]побудинковий звіт'!CL134</f>
        <v>0</v>
      </c>
      <c r="CM134" s="41">
        <f>'[2]побудинковий звіт'!CM134+'[1]побудинковий звіт'!CM134</f>
        <v>0</v>
      </c>
      <c r="CN134" s="55">
        <f t="shared" si="96"/>
        <v>0</v>
      </c>
      <c r="CO134" s="41">
        <f t="shared" si="97"/>
        <v>2761.5890329550862</v>
      </c>
      <c r="CP134" s="42">
        <f t="shared" si="98"/>
        <v>1773.8399557253372</v>
      </c>
      <c r="CQ134" s="55">
        <f t="shared" si="99"/>
        <v>-987.74907722974899</v>
      </c>
      <c r="CR134" s="76">
        <f t="shared" si="100"/>
        <v>170995.89953686291</v>
      </c>
      <c r="CS134" s="5">
        <f t="shared" si="101"/>
        <v>175340.79669560512</v>
      </c>
      <c r="CT134" s="55">
        <f t="shared" si="102"/>
        <v>4344.8971587422129</v>
      </c>
      <c r="CU134" s="84">
        <f t="shared" si="103"/>
        <v>205195.07944423548</v>
      </c>
      <c r="CV134" s="68">
        <f t="shared" si="104"/>
        <v>210408.95603472614</v>
      </c>
      <c r="CW134" s="36">
        <f t="shared" si="105"/>
        <v>5213.8765904906613</v>
      </c>
      <c r="CX134" s="41">
        <f>'[2]побудинковий звіт'!CX134+'[1]побудинковий звіт'!CX134</f>
        <v>2153.9396460115636</v>
      </c>
      <c r="CY134" s="41">
        <f>'[2]побудинковий звіт'!CY134+'[1]побудинковий звіт'!CY134</f>
        <v>-3059.9369444792046</v>
      </c>
      <c r="CZ134" s="55">
        <f t="shared" si="106"/>
        <v>-5213.8765904907686</v>
      </c>
      <c r="DA134" s="254">
        <f>'[1]побудинковий звіт'!DA134</f>
        <v>-5788.1110562497488</v>
      </c>
      <c r="DB134" s="2">
        <v>2</v>
      </c>
      <c r="DC134" s="702">
        <f>'[1]побудинковий звіт'!DC134</f>
        <v>82087.06</v>
      </c>
      <c r="DD134" s="702">
        <f>'[1]побудинковий звіт'!DD134</f>
        <v>461.68</v>
      </c>
      <c r="DE134" s="702">
        <f>'[1]побудинковий звіт'!DE134</f>
        <v>60397.479999999996</v>
      </c>
      <c r="DF134" s="702">
        <f>'[1]побудинковий звіт'!DF134</f>
        <v>-593.43999999999983</v>
      </c>
      <c r="DG134" s="772">
        <v>-67024.416049397201</v>
      </c>
      <c r="DH134" s="746">
        <f t="shared" si="107"/>
        <v>2488188.2290829644</v>
      </c>
      <c r="DI134" s="769"/>
      <c r="DJ134" s="5"/>
      <c r="DK134" s="307">
        <f>VLOOKUP($A134,ціни!$A$4:$G$401,5)</f>
        <v>6.184618749980368</v>
      </c>
      <c r="DL134" s="307"/>
      <c r="DM134" s="307">
        <f>VLOOKUP($A134,ціни!$A$4:$G$401,7)</f>
        <v>5.6788324379905797</v>
      </c>
      <c r="DN134" s="29">
        <f t="shared" si="122"/>
        <v>15499.644126450798</v>
      </c>
      <c r="DO134" s="29">
        <f t="shared" si="124"/>
        <v>751.30953154615372</v>
      </c>
      <c r="DP134" s="306">
        <f t="shared" si="108"/>
        <v>16250.953657996952</v>
      </c>
      <c r="DQ134" s="101"/>
      <c r="DR134" s="29">
        <f>VLOOKUP(A134,'ДЗ нас '!$A$1:$C$359,2)</f>
        <v>15499.57</v>
      </c>
      <c r="DS134" s="733">
        <f>VLOOKUP(A134,'ДЗ нежит'!$A$1:$D$153,4,0)</f>
        <v>751.31</v>
      </c>
      <c r="DT134" s="29">
        <f t="shared" si="109"/>
        <v>16250.88</v>
      </c>
      <c r="DU134" s="247">
        <f>VLOOKUP(A134,'новий кошторис с 01.06'!$A$4:$AI$399,35)*1.2</f>
        <v>16241.367498934484</v>
      </c>
      <c r="DV134" s="29">
        <f t="shared" si="110"/>
        <v>9.5125010655156075</v>
      </c>
      <c r="DW134" s="1016">
        <f>'[2]побудинковий звіт'!$DW$9+'[1]побудинковий звіт'!DW134</f>
        <v>1062</v>
      </c>
      <c r="DX134" s="101">
        <f>'[1]побудинковий звіт'!DX134</f>
        <v>0</v>
      </c>
      <c r="DY134" s="5">
        <f t="shared" si="111"/>
        <v>34127.272492020209</v>
      </c>
      <c r="DZ134" s="5">
        <f t="shared" si="112"/>
        <v>5423.1321899166487</v>
      </c>
      <c r="EA134" s="737">
        <f t="shared" si="113"/>
        <v>59804.039999999994</v>
      </c>
      <c r="EC134" s="577">
        <f t="shared" si="114"/>
        <v>262007.96490767953</v>
      </c>
      <c r="EE134" s="743">
        <v>59782</v>
      </c>
      <c r="EF134" s="723">
        <f t="shared" si="115"/>
        <v>-7242.4160493972013</v>
      </c>
      <c r="EH134" s="798">
        <v>-3843.9994717056252</v>
      </c>
      <c r="EI134" s="101">
        <f>VLOOKUP(A134,'кошти 01.01.24'!$A$9:$D$352,4,FALSE)</f>
        <v>-11001.987646740454</v>
      </c>
    </row>
    <row r="135" spans="1:139" ht="14.4" hidden="1" customHeight="1" x14ac:dyDescent="0.3">
      <c r="A135" s="318">
        <v>150000616</v>
      </c>
      <c r="B135" s="43" t="s">
        <v>562</v>
      </c>
      <c r="C135" s="44" t="s">
        <v>257</v>
      </c>
      <c r="D135" s="44" t="s">
        <v>257</v>
      </c>
      <c r="E135" s="39">
        <f t="shared" si="64"/>
        <v>1892.8</v>
      </c>
      <c r="F135" s="205">
        <f>'[1]побудинковий звіт'!F135</f>
        <v>1804.3</v>
      </c>
      <c r="G135" s="29">
        <f>'[1]побудинковий звіт'!G135</f>
        <v>0</v>
      </c>
      <c r="H135" s="148">
        <f>'[1]побудинковий звіт'!H135</f>
        <v>88.5</v>
      </c>
      <c r="I135" s="41">
        <f>'[2]побудинковий звіт'!I135+'[1]побудинковий звіт'!I135</f>
        <v>6365.2936626906321</v>
      </c>
      <c r="J135" s="41">
        <f>'[2]побудинковий звіт'!J135+'[1]побудинковий звіт'!J135</f>
        <v>6549.7626963711245</v>
      </c>
      <c r="K135" s="55">
        <f t="shared" si="65"/>
        <v>184.46903368049243</v>
      </c>
      <c r="L135" s="41">
        <f>'[2]побудинковий звіт'!L135+'[1]побудинковий звіт'!L135</f>
        <v>1242.1404951458208</v>
      </c>
      <c r="M135" s="41">
        <f>'[2]побудинковий звіт'!M135+'[1]побудинковий звіт'!M135</f>
        <v>1329.3021067837844</v>
      </c>
      <c r="N135" s="55">
        <f t="shared" si="66"/>
        <v>87.161611637963688</v>
      </c>
      <c r="O135" s="41">
        <f>'[2]побудинковий звіт'!O135+'[1]побудинковий звіт'!O135</f>
        <v>2605.8401968321823</v>
      </c>
      <c r="P135" s="41">
        <f>'[2]побудинковий звіт'!P135+'[1]побудинковий звіт'!P135</f>
        <v>2613.2921370163322</v>
      </c>
      <c r="Q135" s="55">
        <f t="shared" si="67"/>
        <v>7.451940184149862</v>
      </c>
      <c r="R135" s="41">
        <f>'[2]побудинковий звіт'!R135+'[1]побудинковий звіт'!R135</f>
        <v>0</v>
      </c>
      <c r="S135" s="41">
        <f>'[2]побудинковий звіт'!S135+'[1]побудинковий звіт'!S135</f>
        <v>0</v>
      </c>
      <c r="T135" s="55">
        <f t="shared" si="68"/>
        <v>0</v>
      </c>
      <c r="U135" s="41">
        <f>'[2]побудинковий звіт'!U135+'[1]побудинковий звіт'!U135</f>
        <v>140.32647418906288</v>
      </c>
      <c r="V135" s="41">
        <f>'[2]побудинковий звіт'!V135+'[1]побудинковий звіт'!V135</f>
        <v>80.958443147995155</v>
      </c>
      <c r="W135" s="55">
        <f t="shared" si="69"/>
        <v>-59.368031041067724</v>
      </c>
      <c r="X135" s="41">
        <f>'[2]побудинковий звіт'!X135+'[1]побудинковий звіт'!X135</f>
        <v>3432.8545417258892</v>
      </c>
      <c r="Y135" s="41">
        <f>'[2]побудинковий звіт'!Y135+'[1]побудинковий звіт'!Y135</f>
        <v>3204.531171955904</v>
      </c>
      <c r="Z135" s="55">
        <f t="shared" si="70"/>
        <v>-228.32336976998522</v>
      </c>
      <c r="AA135" s="41">
        <f>'[2]побудинковий звіт'!AA135+'[1]побудинковий звіт'!AA135</f>
        <v>0</v>
      </c>
      <c r="AB135" s="41">
        <f>'[2]побудинковий звіт'!AB135+'[1]побудинковий звіт'!AB135</f>
        <v>0</v>
      </c>
      <c r="AC135" s="55">
        <f t="shared" si="71"/>
        <v>0</v>
      </c>
      <c r="AD135" s="41">
        <f>'[2]побудинковий звіт'!AD135+'[1]побудинковий звіт'!AD135</f>
        <v>7891.1684626869483</v>
      </c>
      <c r="AE135" s="41">
        <f>'[2]побудинковий звіт'!AE135+'[1]побудинковий звіт'!AE135</f>
        <v>8177.7348594458545</v>
      </c>
      <c r="AF135" s="36">
        <f t="shared" si="72"/>
        <v>286.56639675890619</v>
      </c>
      <c r="AG135" s="84">
        <f t="shared" si="73"/>
        <v>21677.62383327054</v>
      </c>
      <c r="AH135" s="56">
        <f t="shared" si="74"/>
        <v>21955.581414720997</v>
      </c>
      <c r="AI135" s="55">
        <f t="shared" si="75"/>
        <v>277.95758145045693</v>
      </c>
      <c r="AJ135" s="41">
        <f>'[2]побудинковий звіт'!AJ135+'[1]побудинковий звіт'!AJ135</f>
        <v>0</v>
      </c>
      <c r="AK135" s="41">
        <f>'[2]побудинковий звіт'!AK135+'[1]побудинковий звіт'!AK135</f>
        <v>0</v>
      </c>
      <c r="AL135" s="55">
        <f t="shared" si="76"/>
        <v>0</v>
      </c>
      <c r="AM135" s="41">
        <f>'[2]побудинковий звіт'!AM135+'[1]побудинковий звіт'!AM135</f>
        <v>0</v>
      </c>
      <c r="AN135" s="41">
        <f>'[2]побудинковий звіт'!AN135+'[1]побудинковий звіт'!AN135</f>
        <v>0</v>
      </c>
      <c r="AO135" s="55">
        <f t="shared" si="77"/>
        <v>0</v>
      </c>
      <c r="AP135" s="41">
        <f>'[2]побудинковий звіт'!AP135+'[1]побудинковий звіт'!AP135</f>
        <v>5497.8185831238825</v>
      </c>
      <c r="AQ135" s="41">
        <f>'[2]побудинковий звіт'!AQ135+'[1]побудинковий звіт'!AQ135</f>
        <v>5260.2769185155357</v>
      </c>
      <c r="AR135" s="55">
        <f t="shared" si="78"/>
        <v>-237.54166460834676</v>
      </c>
      <c r="AS135" s="41">
        <f>'[2]побудинковий звіт'!AS135+'[1]побудинковий звіт'!AS135</f>
        <v>21859.668201058576</v>
      </c>
      <c r="AT135" s="41">
        <f>'[2]побудинковий звіт'!AT135+'[1]побудинковий звіт'!AT135</f>
        <v>2510.9764815886006</v>
      </c>
      <c r="AU135" s="57">
        <f t="shared" si="79"/>
        <v>-19348.691719469974</v>
      </c>
      <c r="AV135" s="41">
        <f>'[2]побудинковий звіт'!AV135+'[1]побудинковий звіт'!AV135</f>
        <v>1047.8957446211036</v>
      </c>
      <c r="AW135" s="41">
        <f>'[2]побудинковий звіт'!AW135+'[1]побудинковий звіт'!AW135</f>
        <v>489.07359764550097</v>
      </c>
      <c r="AX135" s="58">
        <f t="shared" si="80"/>
        <v>-558.82214697560266</v>
      </c>
      <c r="AY135" s="41">
        <f>'[2]побудинковий звіт'!AY135+'[1]побудинковий звіт'!AY135</f>
        <v>1480.4599353555459</v>
      </c>
      <c r="AZ135" s="41">
        <f>'[2]побудинковий звіт'!AZ135+'[1]побудинковий звіт'!AZ135</f>
        <v>0</v>
      </c>
      <c r="BA135" s="36">
        <f t="shared" si="81"/>
        <v>-1480.4599353555459</v>
      </c>
      <c r="BB135" s="41">
        <f>'[2]побудинковий звіт'!BB135+'[1]побудинковий звіт'!BB135</f>
        <v>1432.9067009988851</v>
      </c>
      <c r="BC135" s="41">
        <f>'[2]побудинковий звіт'!BC135+'[1]побудинковий звіт'!BC135</f>
        <v>0</v>
      </c>
      <c r="BD135" s="58">
        <f t="shared" si="82"/>
        <v>-1432.9067009988851</v>
      </c>
      <c r="BE135" s="41">
        <f>'[2]побудинковий звіт'!BE135+'[1]побудинковий звіт'!BE135</f>
        <v>0</v>
      </c>
      <c r="BF135" s="41">
        <f>'[2]побудинковий звіт'!BF135+'[1]побудинковий звіт'!BF135</f>
        <v>0</v>
      </c>
      <c r="BG135" s="38">
        <f t="shared" si="83"/>
        <v>0</v>
      </c>
      <c r="BH135" s="41">
        <f>'[2]побудинковий звіт'!BH135+'[1]побудинковий звіт'!BH135</f>
        <v>82.704815978574771</v>
      </c>
      <c r="BI135" s="41">
        <f>'[2]побудинковий звіт'!BI135+'[1]побудинковий звіт'!BI135</f>
        <v>0</v>
      </c>
      <c r="BJ135" s="58">
        <f t="shared" si="84"/>
        <v>-82.704815978574771</v>
      </c>
      <c r="BK135" s="41">
        <f>'[2]побудинковий звіт'!BK135+'[1]побудинковий звіт'!BK135</f>
        <v>536.72890244138466</v>
      </c>
      <c r="BL135" s="41">
        <f>'[2]побудинковий звіт'!BL135+'[1]побудинковий звіт'!BL135</f>
        <v>0</v>
      </c>
      <c r="BM135" s="38">
        <f t="shared" si="85"/>
        <v>-536.72890244138466</v>
      </c>
      <c r="BN135" s="41">
        <f>'[2]побудинковий звіт'!BN135+'[1]побудинковий звіт'!BN135</f>
        <v>66.035678486535474</v>
      </c>
      <c r="BO135" s="41">
        <f>'[2]побудинковий звіт'!BO135+'[1]побудинковий звіт'!BO135</f>
        <v>0</v>
      </c>
      <c r="BP135" s="58">
        <f t="shared" si="86"/>
        <v>-66.035678486535474</v>
      </c>
      <c r="BQ135" s="84">
        <f t="shared" si="87"/>
        <v>4646.7317778820288</v>
      </c>
      <c r="BR135" s="42">
        <f t="shared" si="88"/>
        <v>489.07359764550097</v>
      </c>
      <c r="BS135" s="58">
        <f t="shared" si="89"/>
        <v>-4157.6581802365281</v>
      </c>
      <c r="BT135" s="41">
        <f>'[2]побудинковий звіт'!BT135+'[1]побудинковий звіт'!BT135</f>
        <v>22060.495730189457</v>
      </c>
      <c r="BU135" s="41">
        <f>'[2]побудинковий звіт'!BU135+'[1]побудинковий звіт'!BU135</f>
        <v>29047.276086939513</v>
      </c>
      <c r="BV135" s="55">
        <f t="shared" si="90"/>
        <v>6986.7803567500559</v>
      </c>
      <c r="BW135" s="41">
        <f>'[2]побудинковий звіт'!BW135+'[1]побудинковий звіт'!BW135</f>
        <v>8571.8320567450664</v>
      </c>
      <c r="BX135" s="41">
        <f>'[2]побудинковий звіт'!BX135+'[1]побудинковий звіт'!BX135</f>
        <v>8344.4624316819918</v>
      </c>
      <c r="BY135" s="55">
        <f t="shared" si="91"/>
        <v>-227.36962506307464</v>
      </c>
      <c r="BZ135" s="41">
        <f>'[2]побудинковий звіт'!BZ135+'[1]побудинковий звіт'!BZ135</f>
        <v>7743.7365184860682</v>
      </c>
      <c r="CA135" s="41">
        <f>'[2]побудинковий звіт'!CA135+'[1]побудинковий звіт'!CA135</f>
        <v>2425.9626779577015</v>
      </c>
      <c r="CB135" s="55">
        <f t="shared" si="92"/>
        <v>-5317.7738405283671</v>
      </c>
      <c r="CC135" s="41">
        <f>'[2]побудинковий звіт'!CC135+'[1]побудинковий звіт'!CC135</f>
        <v>641.24818376439657</v>
      </c>
      <c r="CD135" s="41">
        <f>'[2]побудинковий звіт'!CD135+'[1]побудинковий звіт'!CD135</f>
        <v>643.42258482836587</v>
      </c>
      <c r="CE135" s="55">
        <f t="shared" si="93"/>
        <v>2.1744010639692988</v>
      </c>
      <c r="CF135" s="41">
        <f>'[2]побудинковий звіт'!CF135+'[1]побудинковий звіт'!CF135</f>
        <v>79.447241615558937</v>
      </c>
      <c r="CG135" s="41">
        <f>'[2]побудинковий звіт'!CG135+'[1]побудинковий звіт'!CG135</f>
        <v>0</v>
      </c>
      <c r="CH135" s="55">
        <f t="shared" si="94"/>
        <v>-79.447241615558937</v>
      </c>
      <c r="CI135" s="41">
        <f>'[2]побудинковий звіт'!CI135+'[1]побудинковий звіт'!CI135</f>
        <v>1006.4834353362219</v>
      </c>
      <c r="CJ135" s="41">
        <f>'[2]побудинковий звіт'!CJ135+'[1]побудинковий звіт'!CJ135</f>
        <v>786.05225256419317</v>
      </c>
      <c r="CK135" s="55">
        <f t="shared" si="95"/>
        <v>-220.43118277202871</v>
      </c>
      <c r="CL135" s="41">
        <f>'[2]побудинковий звіт'!CL135+'[1]побудинковий звіт'!CL135</f>
        <v>0</v>
      </c>
      <c r="CM135" s="41">
        <f>'[2]побудинковий звіт'!CM135+'[1]побудинковий звіт'!CM135</f>
        <v>0</v>
      </c>
      <c r="CN135" s="55">
        <f t="shared" si="96"/>
        <v>0</v>
      </c>
      <c r="CO135" s="41">
        <f t="shared" si="97"/>
        <v>1006.4834353362219</v>
      </c>
      <c r="CP135" s="42">
        <f t="shared" si="98"/>
        <v>786.05225256419317</v>
      </c>
      <c r="CQ135" s="55">
        <f t="shared" si="99"/>
        <v>-220.43118277202871</v>
      </c>
      <c r="CR135" s="76">
        <f t="shared" si="100"/>
        <v>93785.085561471817</v>
      </c>
      <c r="CS135" s="5">
        <f t="shared" si="101"/>
        <v>71463.084446442401</v>
      </c>
      <c r="CT135" s="55">
        <f t="shared" si="102"/>
        <v>-22322.001115029416</v>
      </c>
      <c r="CU135" s="84">
        <f t="shared" si="103"/>
        <v>112542.10267376617</v>
      </c>
      <c r="CV135" s="68">
        <f t="shared" si="104"/>
        <v>85755.701335730875</v>
      </c>
      <c r="CW135" s="36">
        <f t="shared" si="105"/>
        <v>-26786.401338035299</v>
      </c>
      <c r="CX135" s="41">
        <f>'[2]побудинковий звіт'!CX135+'[1]побудинковий звіт'!CX135</f>
        <v>7012.657574716146</v>
      </c>
      <c r="CY135" s="41">
        <f>'[2]побудинковий звіт'!CY135+'[1]побудинковий звіт'!CY135</f>
        <v>33799.058912751425</v>
      </c>
      <c r="CZ135" s="55">
        <f t="shared" si="106"/>
        <v>26786.401338035277</v>
      </c>
      <c r="DA135" s="254">
        <f>'[1]побудинковий звіт'!DA135</f>
        <v>-32025.401198298485</v>
      </c>
      <c r="DB135" s="2">
        <v>2</v>
      </c>
      <c r="DC135" s="702">
        <f>'[1]побудинковий звіт'!DC135</f>
        <v>37353.69</v>
      </c>
      <c r="DD135" s="702">
        <f>'[1]побудинковий звіт'!DD135</f>
        <v>563.76</v>
      </c>
      <c r="DE135" s="702">
        <f>'[1]побудинковий звіт'!DE135</f>
        <v>24727.880000000005</v>
      </c>
      <c r="DF135" s="702">
        <f>'[1]побудинковий звіт'!DF135</f>
        <v>0</v>
      </c>
      <c r="DG135" s="772">
        <v>21990.530605615175</v>
      </c>
      <c r="DH135" s="746">
        <f t="shared" si="107"/>
        <v>1434657.1229817877</v>
      </c>
      <c r="DI135" s="769"/>
      <c r="DJ135" s="5"/>
      <c r="DK135" s="307">
        <f>VLOOKUP($A135,ціни!$A$4:$G$401,5)</f>
        <v>4.9648754143195308</v>
      </c>
      <c r="DL135" s="307"/>
      <c r="DM135" s="307">
        <f>VLOOKUP($A135,ціни!$A$4:$G$401,7)</f>
        <v>4.5022507776612253</v>
      </c>
      <c r="DN135" s="29">
        <f t="shared" si="122"/>
        <v>8958.1247100567289</v>
      </c>
      <c r="DO135" s="29">
        <f t="shared" si="124"/>
        <v>398.44919382301845</v>
      </c>
      <c r="DP135" s="306">
        <f t="shared" si="108"/>
        <v>9356.5739038797474</v>
      </c>
      <c r="DQ135" s="101"/>
      <c r="DR135" s="29">
        <f>VLOOKUP(A135,'ДЗ нас '!$A$1:$C$359,2)</f>
        <v>8958.17</v>
      </c>
      <c r="DS135" s="733">
        <f>VLOOKUP(A135,'ДЗ нежит'!$A$1:$D$153,4,0)</f>
        <v>398.45</v>
      </c>
      <c r="DT135" s="29">
        <f t="shared" si="109"/>
        <v>9356.6200000000008</v>
      </c>
      <c r="DU135" s="247">
        <f>VLOOKUP(A135,'новий кошторис с 01.06'!$A$4:$AI$399,35)*1.2</f>
        <v>8993.25461088048</v>
      </c>
      <c r="DV135" s="29">
        <f t="shared" si="110"/>
        <v>363.36538911952084</v>
      </c>
      <c r="DW135" s="1016">
        <f>'[2]побудинковий звіт'!$DW$9+'[1]побудинковий звіт'!DW135</f>
        <v>1062</v>
      </c>
      <c r="DX135" s="101">
        <f>'[1]побудинковий звіт'!DX135</f>
        <v>0</v>
      </c>
      <c r="DY135" s="5">
        <f t="shared" si="111"/>
        <v>31807.679974728722</v>
      </c>
      <c r="DZ135" s="5">
        <f t="shared" si="112"/>
        <v>3600.0600950809221</v>
      </c>
      <c r="EA135" s="737">
        <f t="shared" si="113"/>
        <v>24727.880000000005</v>
      </c>
      <c r="EC135" s="577">
        <f t="shared" si="114"/>
        <v>262316.01841270289</v>
      </c>
      <c r="EE135" s="743">
        <v>11223</v>
      </c>
      <c r="EF135" s="723">
        <f t="shared" si="115"/>
        <v>33213.530605615175</v>
      </c>
      <c r="EH135" s="798">
        <v>11981.466081724222</v>
      </c>
      <c r="EI135" s="101">
        <f>VLOOKUP(A135,'кошти 01.01.24'!$A$9:$D$352,4,FALSE)</f>
        <v>-5238.9998602632222</v>
      </c>
    </row>
    <row r="136" spans="1:139" hidden="1" x14ac:dyDescent="0.3">
      <c r="A136" s="318">
        <v>150000618</v>
      </c>
      <c r="B136" s="43" t="s">
        <v>563</v>
      </c>
      <c r="C136" s="44" t="s">
        <v>416</v>
      </c>
      <c r="D136" s="44" t="s">
        <v>416</v>
      </c>
      <c r="E136" s="39">
        <f t="shared" si="64"/>
        <v>2858</v>
      </c>
      <c r="F136" s="205">
        <f>'[1]побудинковий звіт'!F136</f>
        <v>2858</v>
      </c>
      <c r="G136" s="29">
        <f>'[1]побудинковий звіт'!G136</f>
        <v>271.5</v>
      </c>
      <c r="H136" s="148">
        <f>'[1]побудинковий звіт'!H136</f>
        <v>0</v>
      </c>
      <c r="I136" s="41">
        <f>'[2]побудинковий звіт'!I136+'[1]побудинковий звіт'!I136</f>
        <v>8522.5533616245375</v>
      </c>
      <c r="J136" s="41">
        <f>'[2]побудинковий звіт'!J136+'[1]побудинковий звіт'!J136</f>
        <v>8801.7809531806288</v>
      </c>
      <c r="K136" s="55">
        <f t="shared" si="65"/>
        <v>279.22759155609128</v>
      </c>
      <c r="L136" s="41">
        <f>'[2]побудинковий звіт'!L136+'[1]побудинковий звіт'!L136</f>
        <v>1328.4612115341054</v>
      </c>
      <c r="M136" s="41">
        <f>'[2]побудинковий звіт'!M136+'[1]побудинковий звіт'!M136</f>
        <v>1393.6813255511574</v>
      </c>
      <c r="N136" s="55">
        <f t="shared" si="66"/>
        <v>65.220114017052083</v>
      </c>
      <c r="O136" s="41">
        <f>'[2]побудинковий звіт'!O136+'[1]побудинковий звіт'!O136</f>
        <v>4309.5410234433639</v>
      </c>
      <c r="P136" s="41">
        <f>'[2]побудинковий звіт'!P136+'[1]побудинковий звіт'!P136</f>
        <v>4321.513007133367</v>
      </c>
      <c r="Q136" s="55">
        <f t="shared" si="67"/>
        <v>11.971983690003071</v>
      </c>
      <c r="R136" s="41">
        <f>'[2]побудинковий звіт'!R136+'[1]побудинковий звіт'!R136</f>
        <v>884.68370609825183</v>
      </c>
      <c r="S136" s="41">
        <f>'[2]побудинковий звіт'!S136+'[1]побудинковий звіт'!S136</f>
        <v>887.03548010342297</v>
      </c>
      <c r="T136" s="55">
        <f t="shared" si="68"/>
        <v>2.3517740051711371</v>
      </c>
      <c r="U136" s="41">
        <f>'[2]побудинковий звіт'!U136+'[1]побудинковий звіт'!U136</f>
        <v>424.08599804617938</v>
      </c>
      <c r="V136" s="41">
        <f>'[2]побудинковий звіт'!V136+'[1]побудинковий звіт'!V136</f>
        <v>1030.5052233566123</v>
      </c>
      <c r="W136" s="55">
        <f t="shared" si="69"/>
        <v>606.41922531043292</v>
      </c>
      <c r="X136" s="41">
        <f>'[2]побудинковий звіт'!X136+'[1]побудинковий звіт'!X136</f>
        <v>3814.300491444928</v>
      </c>
      <c r="Y136" s="41">
        <f>'[2]побудинковий звіт'!Y136+'[1]побудинковий звіт'!Y136</f>
        <v>3275.501468134195</v>
      </c>
      <c r="Z136" s="55">
        <f t="shared" si="70"/>
        <v>-538.79902331073299</v>
      </c>
      <c r="AA136" s="41">
        <f>'[2]побудинковий звіт'!AA136+'[1]побудинковий звіт'!AA136</f>
        <v>0</v>
      </c>
      <c r="AB136" s="41">
        <f>'[2]побудинковий звіт'!AB136+'[1]побудинковий звіт'!AB136</f>
        <v>0</v>
      </c>
      <c r="AC136" s="55">
        <f t="shared" si="71"/>
        <v>0</v>
      </c>
      <c r="AD136" s="41">
        <f>'[2]побудинковий звіт'!AD136+'[1]побудинковий звіт'!AD136</f>
        <v>11986.491894071725</v>
      </c>
      <c r="AE136" s="41">
        <f>'[2]побудинковий звіт'!AE136+'[1]побудинковий звіт'!AE136</f>
        <v>11955.425128837662</v>
      </c>
      <c r="AF136" s="36">
        <f t="shared" si="72"/>
        <v>-31.066765234063496</v>
      </c>
      <c r="AG136" s="84">
        <f t="shared" si="73"/>
        <v>31270.117686263093</v>
      </c>
      <c r="AH136" s="56">
        <f t="shared" si="74"/>
        <v>31665.442586297046</v>
      </c>
      <c r="AI136" s="55">
        <f t="shared" si="75"/>
        <v>395.32490003395287</v>
      </c>
      <c r="AJ136" s="41">
        <f>'[2]побудинковий звіт'!AJ136+'[1]побудинковий звіт'!AJ136</f>
        <v>18714.662548992645</v>
      </c>
      <c r="AK136" s="41">
        <f>'[2]побудинковий звіт'!AK136+'[1]побудинковий звіт'!AK136</f>
        <v>17860.402506080656</v>
      </c>
      <c r="AL136" s="55">
        <f t="shared" si="76"/>
        <v>-854.26004291198842</v>
      </c>
      <c r="AM136" s="41">
        <f>'[2]побудинковий звіт'!AM136+'[1]побудинковий звіт'!AM136</f>
        <v>0</v>
      </c>
      <c r="AN136" s="41">
        <f>'[2]побудинковий звіт'!AN136+'[1]побудинковий звіт'!AN136</f>
        <v>0</v>
      </c>
      <c r="AO136" s="55">
        <f t="shared" si="77"/>
        <v>0</v>
      </c>
      <c r="AP136" s="41">
        <f>'[2]побудинковий звіт'!AP136+'[1]побудинковий звіт'!AP136</f>
        <v>1981.1958858104076</v>
      </c>
      <c r="AQ136" s="41">
        <f>'[2]побудинковий звіт'!AQ136+'[1]побудинковий звіт'!AQ136</f>
        <v>1838.517219309289</v>
      </c>
      <c r="AR136" s="55">
        <f t="shared" si="78"/>
        <v>-142.67866650111864</v>
      </c>
      <c r="AS136" s="41">
        <f>'[2]побудинковий звіт'!AS136+'[1]побудинковий звіт'!AS136</f>
        <v>41775.936839970665</v>
      </c>
      <c r="AT136" s="41">
        <f>'[2]побудинковий звіт'!AT136+'[1]побудинковий звіт'!AT136</f>
        <v>13708.834179402862</v>
      </c>
      <c r="AU136" s="57">
        <f t="shared" si="79"/>
        <v>-28067.102660567805</v>
      </c>
      <c r="AV136" s="41">
        <f>'[2]побудинковий звіт'!AV136+'[1]побудинковий звіт'!AV136</f>
        <v>812.66865997568584</v>
      </c>
      <c r="AW136" s="41">
        <f>'[2]побудинковий звіт'!AW136+'[1]побудинковий звіт'!AW136</f>
        <v>0</v>
      </c>
      <c r="AX136" s="58">
        <f t="shared" si="80"/>
        <v>-812.66865997568584</v>
      </c>
      <c r="AY136" s="41">
        <f>'[2]побудинковий звіт'!AY136+'[1]побудинковий звіт'!AY136</f>
        <v>954.7949662211995</v>
      </c>
      <c r="AZ136" s="41">
        <f>'[2]побудинковий звіт'!AZ136+'[1]побудинковий звіт'!AZ136</f>
        <v>0</v>
      </c>
      <c r="BA136" s="36">
        <f t="shared" si="81"/>
        <v>-954.7949662211995</v>
      </c>
      <c r="BB136" s="41">
        <f>'[2]побудинковий звіт'!BB136+'[1]побудинковий звіт'!BB136</f>
        <v>1137.0911323304081</v>
      </c>
      <c r="BC136" s="41">
        <f>'[2]побудинковий звіт'!BC136+'[1]побудинковий звіт'!BC136</f>
        <v>0</v>
      </c>
      <c r="BD136" s="58">
        <f t="shared" si="82"/>
        <v>-1137.0911323304081</v>
      </c>
      <c r="BE136" s="41">
        <f>'[2]побудинковий звіт'!BE136+'[1]побудинковий звіт'!BE136</f>
        <v>367.14335114521191</v>
      </c>
      <c r="BF136" s="41">
        <f>'[2]побудинковий звіт'!BF136+'[1]побудинковий звіт'!BF136</f>
        <v>0</v>
      </c>
      <c r="BG136" s="38">
        <f t="shared" si="83"/>
        <v>-367.14335114521191</v>
      </c>
      <c r="BH136" s="41">
        <f>'[2]побудинковий звіт'!BH136+'[1]побудинковий звіт'!BH136</f>
        <v>221.05101469829924</v>
      </c>
      <c r="BI136" s="41">
        <f>'[2]побудинковий звіт'!BI136+'[1]побудинковий звіт'!BI136</f>
        <v>0</v>
      </c>
      <c r="BJ136" s="58">
        <f t="shared" si="84"/>
        <v>-221.05101469829924</v>
      </c>
      <c r="BK136" s="41">
        <f>'[2]побудинковий звіт'!BK136+'[1]побудинковий звіт'!BK136</f>
        <v>628.21847694989401</v>
      </c>
      <c r="BL136" s="41">
        <f>'[2]побудинковий звіт'!BL136+'[1]побудинковий звіт'!BL136</f>
        <v>0</v>
      </c>
      <c r="BM136" s="38">
        <f t="shared" si="85"/>
        <v>-628.21847694989401</v>
      </c>
      <c r="BN136" s="41">
        <f>'[2]побудинковий звіт'!BN136+'[1]побудинковий звіт'!BN136</f>
        <v>6.0545776474590696</v>
      </c>
      <c r="BO136" s="41">
        <f>'[2]побудинковий звіт'!BO136+'[1]побудинковий звіт'!BO136</f>
        <v>0</v>
      </c>
      <c r="BP136" s="58">
        <f t="shared" si="86"/>
        <v>-6.0545776474590696</v>
      </c>
      <c r="BQ136" s="84">
        <f t="shared" si="87"/>
        <v>4127.0221789681582</v>
      </c>
      <c r="BR136" s="42">
        <f t="shared" si="88"/>
        <v>0</v>
      </c>
      <c r="BS136" s="58">
        <f t="shared" si="89"/>
        <v>-4127.0221789681582</v>
      </c>
      <c r="BT136" s="41">
        <f>'[2]побудинковий звіт'!BT136+'[1]побудинковий звіт'!BT136</f>
        <v>40627.861748301526</v>
      </c>
      <c r="BU136" s="41">
        <f>'[2]побудинковий звіт'!BU136+'[1]побудинковий звіт'!BU136</f>
        <v>55057.91982726194</v>
      </c>
      <c r="BV136" s="55">
        <f t="shared" si="90"/>
        <v>14430.058078960414</v>
      </c>
      <c r="BW136" s="41">
        <f>'[2]побудинковий звіт'!BW136+'[1]побудинковий звіт'!BW136</f>
        <v>31705.575155952174</v>
      </c>
      <c r="BX136" s="41">
        <f>'[2]побудинковий звіт'!BX136+'[1]побудинковий звіт'!BX136</f>
        <v>38809.677129098556</v>
      </c>
      <c r="BY136" s="55">
        <f t="shared" si="91"/>
        <v>7104.1019731463821</v>
      </c>
      <c r="BZ136" s="41">
        <f>'[2]побудинковий звіт'!BZ136+'[1]побудинковий звіт'!BZ136</f>
        <v>5599.7227130851479</v>
      </c>
      <c r="CA136" s="41">
        <f>'[2]побудинковий звіт'!CA136+'[1]побудинковий звіт'!CA136</f>
        <v>5206.6859782647434</v>
      </c>
      <c r="CB136" s="55">
        <f t="shared" si="92"/>
        <v>-393.03673482040449</v>
      </c>
      <c r="CC136" s="41">
        <f>'[2]побудинковий звіт'!CC136+'[1]побудинковий звіт'!CC136</f>
        <v>659.56956044337926</v>
      </c>
      <c r="CD136" s="41">
        <f>'[2]побудинковий звіт'!CD136+'[1]побудинковий звіт'!CD136</f>
        <v>661.80608725203365</v>
      </c>
      <c r="CE136" s="55">
        <f t="shared" si="93"/>
        <v>2.2365268086543892</v>
      </c>
      <c r="CF136" s="41">
        <f>'[2]побудинковий звіт'!CF136+'[1]побудинковий звіт'!CF136</f>
        <v>81.717162804574912</v>
      </c>
      <c r="CG136" s="41">
        <f>'[2]побудинковий звіт'!CG136+'[1]побудинковий звіт'!CG136</f>
        <v>0</v>
      </c>
      <c r="CH136" s="55">
        <f t="shared" si="94"/>
        <v>-81.717162804574912</v>
      </c>
      <c r="CI136" s="41">
        <f>'[2]побудинковий звіт'!CI136+'[1]побудинковий звіт'!CI136</f>
        <v>6542.9265891813438</v>
      </c>
      <c r="CJ136" s="41">
        <f>'[2]побудинковий звіт'!CJ136+'[1]побудинковий звіт'!CJ136</f>
        <v>6309.5631523098327</v>
      </c>
      <c r="CK136" s="55">
        <f t="shared" si="95"/>
        <v>-233.36343687151111</v>
      </c>
      <c r="CL136" s="41">
        <f>'[2]побудинковий звіт'!CL136+'[1]побудинковий звіт'!CL136</f>
        <v>5883.6097279865671</v>
      </c>
      <c r="CM136" s="41">
        <f>'[2]побудинковий звіт'!CM136+'[1]побудинковий звіт'!CM136</f>
        <v>9858.8260813989491</v>
      </c>
      <c r="CN136" s="55">
        <f t="shared" si="96"/>
        <v>3975.216353412382</v>
      </c>
      <c r="CO136" s="41">
        <f t="shared" si="97"/>
        <v>12426.536317167911</v>
      </c>
      <c r="CP136" s="42">
        <f t="shared" si="98"/>
        <v>16168.389233708782</v>
      </c>
      <c r="CQ136" s="55">
        <f t="shared" si="99"/>
        <v>3741.8529165408709</v>
      </c>
      <c r="CR136" s="76">
        <f t="shared" si="100"/>
        <v>188969.9177977597</v>
      </c>
      <c r="CS136" s="5">
        <f t="shared" si="101"/>
        <v>180977.67474667594</v>
      </c>
      <c r="CT136" s="55">
        <f t="shared" si="102"/>
        <v>-7992.2430510837585</v>
      </c>
      <c r="CU136" s="84">
        <f t="shared" si="103"/>
        <v>226763.90135731164</v>
      </c>
      <c r="CV136" s="68">
        <f t="shared" si="104"/>
        <v>217173.20969601112</v>
      </c>
      <c r="CW136" s="36">
        <f t="shared" si="105"/>
        <v>-9590.691661300516</v>
      </c>
      <c r="CX136" s="41">
        <f>'[2]побудинковий звіт'!CX136+'[1]побудинковий звіт'!CX136</f>
        <v>12714.588127203346</v>
      </c>
      <c r="CY136" s="41">
        <f>'[2]побудинковий звіт'!CY136+'[1]побудинковий звіт'!CY136</f>
        <v>22305.279788503871</v>
      </c>
      <c r="CZ136" s="55">
        <f t="shared" si="106"/>
        <v>9590.6916613005251</v>
      </c>
      <c r="DA136" s="254">
        <f>'[1]побудинковий звіт'!DA136</f>
        <v>-12716.277835787652</v>
      </c>
      <c r="DB136" s="2">
        <v>2</v>
      </c>
      <c r="DC136" s="702">
        <f>'[1]побудинковий звіт'!DC136</f>
        <v>33570.26</v>
      </c>
      <c r="DD136" s="702">
        <f>'[1]побудинковий звіт'!DD136</f>
        <v>0</v>
      </c>
      <c r="DE136" s="702">
        <f>'[1]побудинковий звіт'!DE136</f>
        <v>7382.02</v>
      </c>
      <c r="DF136" s="702">
        <f>'[1]побудинковий звіт'!DF136</f>
        <v>0</v>
      </c>
      <c r="DG136" s="772">
        <v>-81706.40244168049</v>
      </c>
      <c r="DH136" s="746">
        <f t="shared" si="107"/>
        <v>2873741.8738141796</v>
      </c>
      <c r="DI136" s="769"/>
      <c r="DJ136" s="5"/>
      <c r="DK136" s="307">
        <f>VLOOKUP($A136,ціни!$A$4:$G$401,5)</f>
        <v>5.7372100487444637</v>
      </c>
      <c r="DL136" s="307">
        <f>VLOOKUP($A136,ціни!$A$4:$G$401,6)</f>
        <v>6.6602222196741758</v>
      </c>
      <c r="DM136" s="307">
        <f>VLOOKUP($A136,ціни!$A$4:$G$401,7)</f>
        <v>4.6225127097030141</v>
      </c>
      <c r="DN136" s="29">
        <f>DK136*G136+(F136-G136)*DL136</f>
        <v>18784.317299421378</v>
      </c>
      <c r="DO136" s="29">
        <f>DM136*H136</f>
        <v>0</v>
      </c>
      <c r="DP136" s="306">
        <f t="shared" si="108"/>
        <v>18784.317299421378</v>
      </c>
      <c r="DQ136" s="101"/>
      <c r="DR136" s="29">
        <f>VLOOKUP(A136,'ДЗ нас '!$A$1:$C$359,2)</f>
        <v>18784.259999999998</v>
      </c>
      <c r="DS136" s="733"/>
      <c r="DT136" s="29">
        <f t="shared" si="109"/>
        <v>18784.259999999998</v>
      </c>
      <c r="DU136" s="247">
        <f>VLOOKUP(A136,'новий кошторис с 01.06'!$A$4:$AI$399,35)*1.2</f>
        <v>18079.663963563802</v>
      </c>
      <c r="DV136" s="29">
        <f t="shared" si="110"/>
        <v>704.5960364361963</v>
      </c>
      <c r="DW136" s="1016">
        <f>'[2]побудинковий звіт'!$DW$9+'[1]побудинковий звіт'!DW136</f>
        <v>1062</v>
      </c>
      <c r="DX136" s="101">
        <f>'[1]побудинковий звіт'!DX136</f>
        <v>0</v>
      </c>
      <c r="DY136" s="5">
        <f t="shared" si="111"/>
        <v>55083.550822726589</v>
      </c>
      <c r="DZ136" s="5">
        <f t="shared" si="112"/>
        <v>16450.601015283435</v>
      </c>
      <c r="EA136" s="737">
        <f t="shared" si="113"/>
        <v>7382.02</v>
      </c>
      <c r="EC136" s="577">
        <f t="shared" si="114"/>
        <v>501311.24207964796</v>
      </c>
      <c r="EE136" s="743">
        <v>72621</v>
      </c>
      <c r="EF136" s="723">
        <f t="shared" si="115"/>
        <v>-9085.4024416804896</v>
      </c>
      <c r="EH136" s="798">
        <v>-104802.96638740896</v>
      </c>
      <c r="EI136" s="101">
        <f>VLOOKUP(A136,'кошти 01.01.24'!$A$9:$D$352,4,FALSE)</f>
        <v>-3125.586174487129</v>
      </c>
    </row>
    <row r="137" spans="1:139" hidden="1" x14ac:dyDescent="0.3">
      <c r="A137" s="318">
        <v>150000619</v>
      </c>
      <c r="B137" s="43" t="s">
        <v>564</v>
      </c>
      <c r="C137" s="44" t="s">
        <v>359</v>
      </c>
      <c r="D137" s="44" t="s">
        <v>359</v>
      </c>
      <c r="E137" s="39">
        <f t="shared" ref="E137:E200" si="125">F137+H137</f>
        <v>4254.1000000000004</v>
      </c>
      <c r="F137" s="205">
        <f>'[1]побудинковий звіт'!F137</f>
        <v>4254.1000000000004</v>
      </c>
      <c r="G137" s="29">
        <f>'[1]побудинковий звіт'!G137</f>
        <v>465</v>
      </c>
      <c r="H137" s="148">
        <f>'[1]побудинковий звіт'!H137</f>
        <v>0</v>
      </c>
      <c r="I137" s="41">
        <f>'[2]побудинковий звіт'!I137+'[1]побудинковий звіт'!I137</f>
        <v>16561.330723028299</v>
      </c>
      <c r="J137" s="41">
        <f>'[2]побудинковий звіт'!J137+'[1]побудинковий звіт'!J137</f>
        <v>17007.451223244872</v>
      </c>
      <c r="K137" s="55">
        <f t="shared" ref="K137:K200" si="126">J137-I137</f>
        <v>446.12050021657342</v>
      </c>
      <c r="L137" s="41">
        <f>'[2]побудинковий звіт'!L137+'[1]побудинковий звіт'!L137</f>
        <v>2502.323441521421</v>
      </c>
      <c r="M137" s="41">
        <f>'[2]побудинковий звіт'!M137+'[1]побудинковий звіт'!M137</f>
        <v>2624.8676222332706</v>
      </c>
      <c r="N137" s="55">
        <f t="shared" ref="N137:N200" si="127">M137-L137</f>
        <v>122.54418071184955</v>
      </c>
      <c r="O137" s="41">
        <f>'[2]побудинковий звіт'!O137+'[1]побудинковий звіт'!O137</f>
        <v>6574.5002903227187</v>
      </c>
      <c r="P137" s="41">
        <f>'[2]побудинковий звіт'!P137+'[1]побудинковий звіт'!P137</f>
        <v>6593.4232880590016</v>
      </c>
      <c r="Q137" s="55">
        <f t="shared" ref="Q137:Q200" si="128">P137-O137</f>
        <v>18.922997736282923</v>
      </c>
      <c r="R137" s="41">
        <f>'[2]побудинковий звіт'!R137+'[1]побудинковий звіт'!R137</f>
        <v>1463.4594043745383</v>
      </c>
      <c r="S137" s="41">
        <f>'[2]побудинковий звіт'!S137+'[1]побудинковий звіт'!S137</f>
        <v>1467.4328817977598</v>
      </c>
      <c r="T137" s="55">
        <f t="shared" ref="T137:T200" si="129">S137-R137</f>
        <v>3.9734774232215386</v>
      </c>
      <c r="U137" s="41">
        <f>'[2]побудинковий звіт'!U137+'[1]побудинковий звіт'!U137</f>
        <v>793.75679341047226</v>
      </c>
      <c r="V137" s="41">
        <f>'[2]побудинковий звіт'!V137+'[1]побудинковий звіт'!V137</f>
        <v>1880.0223650498081</v>
      </c>
      <c r="W137" s="55">
        <f t="shared" ref="W137:W200" si="130">V137-U137</f>
        <v>1086.2655716393358</v>
      </c>
      <c r="X137" s="41">
        <f>'[2]побудинковий звіт'!X137+'[1]побудинковий звіт'!X137</f>
        <v>7091.5788621836882</v>
      </c>
      <c r="Y137" s="41">
        <f>'[2]побудинковий звіт'!Y137+'[1]побудинковий звіт'!Y137</f>
        <v>8669.0478717563037</v>
      </c>
      <c r="Z137" s="55">
        <f t="shared" ref="Z137:Z200" si="131">Y137-X137</f>
        <v>1577.4690095726155</v>
      </c>
      <c r="AA137" s="41">
        <f>'[2]побудинковий звіт'!AA137+'[1]побудинковий звіт'!AA137</f>
        <v>0</v>
      </c>
      <c r="AB137" s="41">
        <f>'[2]побудинковий звіт'!AB137+'[1]побудинковий звіт'!AB137</f>
        <v>0</v>
      </c>
      <c r="AC137" s="55">
        <f t="shared" ref="AC137:AC200" si="132">AB137-AA137</f>
        <v>0</v>
      </c>
      <c r="AD137" s="41">
        <f>'[2]побудинковий звіт'!AD137+'[1]побудинковий звіт'!AD137</f>
        <v>18451.359676866297</v>
      </c>
      <c r="AE137" s="41">
        <f>'[2]побудинковий звіт'!AE137+'[1]побудинковий звіт'!AE137</f>
        <v>18379.597350786462</v>
      </c>
      <c r="AF137" s="36">
        <f t="shared" ref="AF137:AF200" si="133">AE137-AD137</f>
        <v>-71.762326079835475</v>
      </c>
      <c r="AG137" s="84">
        <f t="shared" ref="AG137:AG200" si="134">I137+L137+O137+R137+U137+X137+AA137+AD137</f>
        <v>53438.309191707434</v>
      </c>
      <c r="AH137" s="56">
        <f t="shared" ref="AH137:AH200" si="135">J137+M137+P137+S137+V137+Y137+AB137+AE137</f>
        <v>56621.842602927478</v>
      </c>
      <c r="AI137" s="55">
        <f t="shared" ref="AI137:AI200" si="136">AH137-AG137</f>
        <v>3183.5334112200435</v>
      </c>
      <c r="AJ137" s="41">
        <f>'[2]побудинковий звіт'!AJ137+'[1]побудинковий звіт'!AJ137</f>
        <v>40977.152640837347</v>
      </c>
      <c r="AK137" s="41">
        <f>'[2]побудинковий звіт'!AK137+'[1]побудинковий звіт'!AK137</f>
        <v>36725.89253800096</v>
      </c>
      <c r="AL137" s="55">
        <f t="shared" ref="AL137:AL200" si="137">AK137-AJ137</f>
        <v>-4251.2601028363861</v>
      </c>
      <c r="AM137" s="41">
        <f>'[2]побудинковий звіт'!AM137+'[1]побудинковий звіт'!AM137</f>
        <v>302.92842272642292</v>
      </c>
      <c r="AN137" s="41">
        <f>'[2]побудинковий звіт'!AN137+'[1]побудинковий звіт'!AN137</f>
        <v>1578.4235201181791</v>
      </c>
      <c r="AO137" s="55">
        <f t="shared" ref="AO137:AO200" si="138">AN137-AM137</f>
        <v>1275.4950973917562</v>
      </c>
      <c r="AP137" s="41">
        <f>'[2]побудинковий звіт'!AP137+'[1]побудинковий звіт'!AP137</f>
        <v>3566.1525944587343</v>
      </c>
      <c r="AQ137" s="41">
        <f>'[2]побудинковий звіт'!AQ137+'[1]побудинковий звіт'!AQ137</f>
        <v>3290.6591220288274</v>
      </c>
      <c r="AR137" s="55">
        <f t="shared" ref="AR137:AR200" si="139">AQ137-AP137</f>
        <v>-275.49347242990689</v>
      </c>
      <c r="AS137" s="41">
        <f>'[2]побудинковий звіт'!AS137+'[1]побудинковий звіт'!AS137</f>
        <v>67862.557659249054</v>
      </c>
      <c r="AT137" s="41">
        <f>'[2]побудинковий звіт'!AT137+'[1]побудинковий звіт'!AT137</f>
        <v>24754.278670043823</v>
      </c>
      <c r="AU137" s="57">
        <f t="shared" ref="AU137:AU200" si="140">AT137-AS137</f>
        <v>-43108.278989205231</v>
      </c>
      <c r="AV137" s="41">
        <f>'[2]побудинковий звіт'!AV137+'[1]побудинковий звіт'!AV137</f>
        <v>1733.6390502023528</v>
      </c>
      <c r="AW137" s="41">
        <f>'[2]побудинковий звіт'!AW137+'[1]побудинковий звіт'!AW137</f>
        <v>2520.8461648616899</v>
      </c>
      <c r="AX137" s="58">
        <f t="shared" ref="AX137:AX200" si="141">AW137-AV137</f>
        <v>787.20711465933709</v>
      </c>
      <c r="AY137" s="41">
        <f>'[2]побудинковий звіт'!AY137+'[1]побудинковий звіт'!AY137</f>
        <v>1805.5002990356261</v>
      </c>
      <c r="AZ137" s="41">
        <f>'[2]побудинковий звіт'!AZ137+'[1]побудинковий звіт'!AZ137</f>
        <v>0</v>
      </c>
      <c r="BA137" s="36">
        <f t="shared" ref="BA137:BA200" si="142">AZ137-AY137</f>
        <v>-1805.5002990356261</v>
      </c>
      <c r="BB137" s="41">
        <f>'[2]побудинковий звіт'!BB137+'[1]побудинковий звіт'!BB137</f>
        <v>1802.342121595713</v>
      </c>
      <c r="BC137" s="41">
        <f>'[2]побудинковий звіт'!BC137+'[1]побудинковий звіт'!BC137</f>
        <v>0</v>
      </c>
      <c r="BD137" s="58">
        <f t="shared" ref="BD137:BD200" si="143">BC137-BB137</f>
        <v>-1802.342121595713</v>
      </c>
      <c r="BE137" s="41">
        <f>'[2]побудинковий звіт'!BE137+'[1]побудинковий звіт'!BE137</f>
        <v>664.40241920785138</v>
      </c>
      <c r="BF137" s="41">
        <f>'[2]побудинковий звіт'!BF137+'[1]побудинковий звіт'!BF137</f>
        <v>0</v>
      </c>
      <c r="BG137" s="38">
        <f t="shared" ref="BG137:BG200" si="144">BF137-BE137</f>
        <v>-664.40241920785138</v>
      </c>
      <c r="BH137" s="41">
        <f>'[2]побудинковий звіт'!BH137+'[1]побудинковий звіт'!BH137</f>
        <v>413.971169521734</v>
      </c>
      <c r="BI137" s="41">
        <f>'[2]побудинковий звіт'!BI137+'[1]побудинковий звіт'!BI137</f>
        <v>0</v>
      </c>
      <c r="BJ137" s="58">
        <f t="shared" ref="BJ137:BJ200" si="145">BI137-BH137</f>
        <v>-413.971169521734</v>
      </c>
      <c r="BK137" s="41">
        <f>'[2]побудинковий звіт'!BK137+'[1]побудинковий звіт'!BK137</f>
        <v>1305.7095903051052</v>
      </c>
      <c r="BL137" s="41">
        <f>'[2]побудинковий звіт'!BL137+'[1]побудинковий звіт'!BL137</f>
        <v>0</v>
      </c>
      <c r="BM137" s="38">
        <f t="shared" ref="BM137:BM200" si="146">BL137-BK137</f>
        <v>-1305.7095903051052</v>
      </c>
      <c r="BN137" s="41">
        <f>'[2]побудинковий звіт'!BN137+'[1]побудинковий звіт'!BN137</f>
        <v>53.487331030661736</v>
      </c>
      <c r="BO137" s="41">
        <f>'[2]побудинковий звіт'!BO137+'[1]побудинковий звіт'!BO137</f>
        <v>5492.6297331160004</v>
      </c>
      <c r="BP137" s="58">
        <f t="shared" ref="BP137:BP200" si="147">BO137-BN137</f>
        <v>5439.1424020853383</v>
      </c>
      <c r="BQ137" s="84">
        <f t="shared" ref="BQ137:BQ200" si="148">AV137+AY137+BB137+BE137+BH137+BK137+BN137</f>
        <v>7779.0519808990439</v>
      </c>
      <c r="BR137" s="42">
        <f t="shared" ref="BR137:BR200" si="149">AW137+AZ137+BC137+BF137+BI137+BL137+BO137</f>
        <v>8013.4758979776907</v>
      </c>
      <c r="BS137" s="58">
        <f t="shared" ref="BS137:BS200" si="150">BR137-BQ137</f>
        <v>234.42391707864681</v>
      </c>
      <c r="BT137" s="41">
        <f>'[2]побудинковий звіт'!BT137+'[1]побудинковий звіт'!BT137</f>
        <v>52877.048368755088</v>
      </c>
      <c r="BU137" s="41">
        <f>'[2]побудинковий звіт'!BU137+'[1]побудинковий звіт'!BU137</f>
        <v>70336.790648866852</v>
      </c>
      <c r="BV137" s="55">
        <f t="shared" ref="BV137:BV200" si="151">BU137-BT137</f>
        <v>17459.742280111765</v>
      </c>
      <c r="BW137" s="41">
        <f>'[2]побудинковий звіт'!BW137+'[1]побудинковий звіт'!BW137</f>
        <v>39682.0702615064</v>
      </c>
      <c r="BX137" s="41">
        <f>'[2]побудинковий звіт'!BX137+'[1]побудинковий звіт'!BX137</f>
        <v>49025.64261868492</v>
      </c>
      <c r="BY137" s="55">
        <f t="shared" ref="BY137:BY200" si="152">BX137-BW137</f>
        <v>9343.5723571785202</v>
      </c>
      <c r="BZ137" s="41">
        <f>'[2]побудинковий звіт'!BZ137+'[1]побудинковий звіт'!BZ137</f>
        <v>10296.905113506025</v>
      </c>
      <c r="CA137" s="41">
        <f>'[2]побудинковий звіт'!CA137+'[1]побудинковий звіт'!CA137</f>
        <v>7182.0422901621059</v>
      </c>
      <c r="CB137" s="55">
        <f t="shared" ref="CB137:CB200" si="153">CA137-BZ137</f>
        <v>-3114.8628233439194</v>
      </c>
      <c r="CC137" s="41">
        <f>'[2]побудинковий звіт'!CC137+'[1]побудинковий звіт'!CC137</f>
        <v>854.99757835252865</v>
      </c>
      <c r="CD137" s="41">
        <f>'[2]побудинковий звіт'!CD137+'[1]побудинковий звіт'!CD137</f>
        <v>857.89677977115468</v>
      </c>
      <c r="CE137" s="55">
        <f t="shared" ref="CE137:CE200" si="154">CD137-CC137</f>
        <v>2.8992014186260349</v>
      </c>
      <c r="CF137" s="41">
        <f>'[2]побудинковий звіт'!CF137+'[1]побудинковий звіт'!CF137</f>
        <v>105.92965548741191</v>
      </c>
      <c r="CG137" s="41">
        <f>'[2]побудинковий звіт'!CG137+'[1]побудинковий звіт'!CG137</f>
        <v>0</v>
      </c>
      <c r="CH137" s="55">
        <f t="shared" ref="CH137:CH200" si="155">CG137-CF137</f>
        <v>-105.92965548741191</v>
      </c>
      <c r="CI137" s="41">
        <f>'[2]побудинковий звіт'!CI137+'[1]побудинковий звіт'!CI137</f>
        <v>12176.50744349096</v>
      </c>
      <c r="CJ137" s="41">
        <f>'[2]побудинковий звіт'!CJ137+'[1]побудинковий звіт'!CJ137</f>
        <v>6022.2530087187752</v>
      </c>
      <c r="CK137" s="55">
        <f t="shared" ref="CK137:CK200" si="156">CJ137-CI137</f>
        <v>-6154.254434772185</v>
      </c>
      <c r="CL137" s="41">
        <f>'[2]побудинковий звіт'!CL137+'[1]побудинковий звіт'!CL137</f>
        <v>8277.3830134462896</v>
      </c>
      <c r="CM137" s="41">
        <f>'[2]побудинковий звіт'!CM137+'[1]побудинковий звіт'!CM137</f>
        <v>14032.414006871393</v>
      </c>
      <c r="CN137" s="55">
        <f t="shared" ref="CN137:CN200" si="157">CM137-CL137</f>
        <v>5755.0309934251036</v>
      </c>
      <c r="CO137" s="41">
        <f t="shared" ref="CO137:CO200" si="158">CI137+CL137</f>
        <v>20453.89045693725</v>
      </c>
      <c r="CP137" s="42">
        <f t="shared" ref="CP137:CP200" si="159">CJ137+CM137</f>
        <v>20054.667015590167</v>
      </c>
      <c r="CQ137" s="55">
        <f t="shared" ref="CQ137:CQ200" si="160">CP137-CO137</f>
        <v>-399.22344134708328</v>
      </c>
      <c r="CR137" s="76">
        <f t="shared" ref="CR137:CR200" si="161">AG137+AJ137+AM137+AP137+AS137+BQ137+BT137+BW137+BZ137+CC137+CF137+CO137</f>
        <v>298196.99392442271</v>
      </c>
      <c r="CS137" s="5">
        <f t="shared" ref="CS137:CS200" si="162">AH137+AK137+AN137+AQ137+AT137+BR137+BU137+BX137+CA137+CD137+CG137+CP137</f>
        <v>278441.61170417216</v>
      </c>
      <c r="CT137" s="55">
        <f t="shared" ref="CT137:CT200" si="163">CS137-CR137</f>
        <v>-19755.382220250554</v>
      </c>
      <c r="CU137" s="84">
        <f t="shared" ref="CU137:CU200" si="164">CR137*1.2</f>
        <v>357836.39270930726</v>
      </c>
      <c r="CV137" s="68">
        <f t="shared" ref="CV137:CV200" si="165">CS137*1.2</f>
        <v>334129.93404500658</v>
      </c>
      <c r="CW137" s="36">
        <f t="shared" ref="CW137:CW200" si="166">CV137-CU137</f>
        <v>-23706.458664300677</v>
      </c>
      <c r="CX137" s="41">
        <f>'[2]побудинковий звіт'!CX137+'[1]побудинковий звіт'!CX137</f>
        <v>7783.5999584511765</v>
      </c>
      <c r="CY137" s="41">
        <f>'[2]побудинковий звіт'!CY137+'[1]побудинковий звіт'!CY137</f>
        <v>31490.058622751829</v>
      </c>
      <c r="CZ137" s="55">
        <f t="shared" ref="CZ137:CZ200" si="167">CY137-CX137</f>
        <v>23706.458664300651</v>
      </c>
      <c r="DA137" s="254">
        <f>'[1]побудинковий звіт'!DA137</f>
        <v>-139935.00196786225</v>
      </c>
      <c r="DB137" s="2">
        <v>2</v>
      </c>
      <c r="DC137" s="702">
        <f>'[1]побудинковий звіт'!DC137</f>
        <v>80027.399999999994</v>
      </c>
      <c r="DD137" s="702">
        <f>'[1]побудинковий звіт'!DD137</f>
        <v>0</v>
      </c>
      <c r="DE137" s="702">
        <f>'[1]побудинковий звіт'!DE137</f>
        <v>40129.81</v>
      </c>
      <c r="DF137" s="702">
        <f>'[1]побудинковий звіт'!DF137</f>
        <v>0</v>
      </c>
      <c r="DG137" s="772">
        <v>-39500.062097643968</v>
      </c>
      <c r="DH137" s="746">
        <f t="shared" ref="DH137:DH200" si="168">(CU137+CX137)*12</f>
        <v>4387439.9120131014</v>
      </c>
      <c r="DI137" s="769"/>
      <c r="DJ137" s="5"/>
      <c r="DK137" s="307">
        <f>VLOOKUP($A137,ціни!$A$4:$G$401,5)</f>
        <v>5.7142649342403882</v>
      </c>
      <c r="DL137" s="307">
        <f>VLOOKUP($A137,ціни!$A$4:$G$401,6)</f>
        <v>6.8745531608894224</v>
      </c>
      <c r="DM137" s="307">
        <f>VLOOKUP($A137,ціни!$A$4:$G$401,7)</f>
        <v>4.8120846614703217</v>
      </c>
      <c r="DN137" s="29">
        <f>DK137*G137+(F137-G137)*DL137</f>
        <v>28705.502576347895</v>
      </c>
      <c r="DO137" s="29">
        <f>DM137*H137</f>
        <v>0</v>
      </c>
      <c r="DP137" s="306">
        <f t="shared" ref="DP137:DP200" si="169">DN137+DO137</f>
        <v>28705.502576347895</v>
      </c>
      <c r="DQ137" s="101"/>
      <c r="DR137" s="29">
        <f>VLOOKUP(A137,'ДЗ нас '!$A$1:$C$359,2)</f>
        <v>28705.8</v>
      </c>
      <c r="DS137" s="733"/>
      <c r="DT137" s="29">
        <f t="shared" ref="DT137:DT200" si="170">DR137+DS137</f>
        <v>28705.8</v>
      </c>
      <c r="DU137" s="247">
        <f>VLOOKUP(A137,'новий кошторис с 01.06'!$A$4:$AI$399,35)*1.2</f>
        <v>28790.346426327244</v>
      </c>
      <c r="DV137" s="29">
        <f t="shared" ref="DV137:DV200" si="171">DT137-DU137</f>
        <v>-84.546426327244262</v>
      </c>
      <c r="DW137" s="1016">
        <f>'[2]побудинковий звіт'!$DW$9+'[1]побудинковий звіт'!DW137</f>
        <v>1062</v>
      </c>
      <c r="DX137" s="101">
        <f>'[1]побудинковий звіт'!DX137</f>
        <v>0</v>
      </c>
      <c r="DY137" s="5">
        <f t="shared" ref="DY137:DY200" si="172">(AS137+BQ137)*1.2</f>
        <v>90769.931568177723</v>
      </c>
      <c r="DZ137" s="5">
        <f t="shared" ref="DZ137:DZ200" si="173">(AT137+BR137)*1.2</f>
        <v>39321.305481625815</v>
      </c>
      <c r="EA137" s="737">
        <f t="shared" ref="EA137:EA200" si="174">DE137+DF137</f>
        <v>40129.81</v>
      </c>
      <c r="EC137" s="577">
        <f t="shared" ref="EC137:EC200" si="175">AS137*12</f>
        <v>814350.69191098865</v>
      </c>
      <c r="EE137" s="743">
        <v>112852</v>
      </c>
      <c r="EF137" s="723">
        <f t="shared" ref="EF137:EF200" si="176">EE137+DG137</f>
        <v>73351.937902356032</v>
      </c>
      <c r="EH137" s="798">
        <v>-73090.770979412002</v>
      </c>
      <c r="EI137" s="101">
        <f>VLOOKUP(A137,'кошти 01.01.24'!$A$9:$D$352,4,FALSE)</f>
        <v>-116228.54330356156</v>
      </c>
    </row>
    <row r="138" spans="1:139" ht="18.75" hidden="1" customHeight="1" x14ac:dyDescent="0.3">
      <c r="A138" s="318">
        <v>150000621</v>
      </c>
      <c r="B138" s="43" t="s">
        <v>565</v>
      </c>
      <c r="C138" s="44" t="s">
        <v>80</v>
      </c>
      <c r="D138" s="44" t="s">
        <v>80</v>
      </c>
      <c r="E138" s="39">
        <f t="shared" si="125"/>
        <v>130.1</v>
      </c>
      <c r="F138" s="205">
        <f>'[1]побудинковий звіт'!F138</f>
        <v>130.1</v>
      </c>
      <c r="G138" s="29">
        <f>'[1]побудинковий звіт'!G138</f>
        <v>0</v>
      </c>
      <c r="H138" s="148">
        <f>'[1]побудинковий звіт'!H138</f>
        <v>0</v>
      </c>
      <c r="I138" s="41">
        <f>'[2]побудинковий звіт'!I138+'[1]побудинковий звіт'!I138</f>
        <v>0</v>
      </c>
      <c r="J138" s="41">
        <f>'[2]побудинковий звіт'!J138+'[1]побудинковий звіт'!J138</f>
        <v>0</v>
      </c>
      <c r="K138" s="55">
        <f t="shared" si="126"/>
        <v>0</v>
      </c>
      <c r="L138" s="41">
        <f>'[2]побудинковий звіт'!L138+'[1]побудинковий звіт'!L138</f>
        <v>0</v>
      </c>
      <c r="M138" s="41">
        <f>'[2]побудинковий звіт'!M138+'[1]побудинковий звіт'!M138</f>
        <v>0</v>
      </c>
      <c r="N138" s="55">
        <f t="shared" si="127"/>
        <v>0</v>
      </c>
      <c r="O138" s="41">
        <f>'[2]побудинковий звіт'!O138+'[1]побудинковий звіт'!O138</f>
        <v>0</v>
      </c>
      <c r="P138" s="41">
        <f>'[2]побудинковий звіт'!P138+'[1]побудинковий звіт'!P138</f>
        <v>0</v>
      </c>
      <c r="Q138" s="55">
        <f t="shared" si="128"/>
        <v>0</v>
      </c>
      <c r="R138" s="41">
        <f>'[2]побудинковий звіт'!R138+'[1]побудинковий звіт'!R138</f>
        <v>0</v>
      </c>
      <c r="S138" s="41">
        <f>'[2]побудинковий звіт'!S138+'[1]побудинковий звіт'!S138</f>
        <v>0</v>
      </c>
      <c r="T138" s="55">
        <f t="shared" si="129"/>
        <v>0</v>
      </c>
      <c r="U138" s="41">
        <f>'[2]побудинковий звіт'!U138+'[1]побудинковий звіт'!U138</f>
        <v>0</v>
      </c>
      <c r="V138" s="41">
        <f>'[2]побудинковий звіт'!V138+'[1]побудинковий звіт'!V138</f>
        <v>0</v>
      </c>
      <c r="W138" s="55">
        <f t="shared" si="130"/>
        <v>0</v>
      </c>
      <c r="X138" s="41">
        <f>'[2]побудинковий звіт'!X138+'[1]побудинковий звіт'!X138</f>
        <v>0</v>
      </c>
      <c r="Y138" s="41">
        <f>'[2]побудинковий звіт'!Y138+'[1]побудинковий звіт'!Y138</f>
        <v>0</v>
      </c>
      <c r="Z138" s="55">
        <f t="shared" si="131"/>
        <v>0</v>
      </c>
      <c r="AA138" s="41">
        <f>'[2]побудинковий звіт'!AA138+'[1]побудинковий звіт'!AA138</f>
        <v>0</v>
      </c>
      <c r="AB138" s="41">
        <f>'[2]побудинковий звіт'!AB138+'[1]побудинковий звіт'!AB138</f>
        <v>0</v>
      </c>
      <c r="AC138" s="55">
        <f t="shared" si="132"/>
        <v>0</v>
      </c>
      <c r="AD138" s="41">
        <f>'[2]побудинковий звіт'!AD138+'[1]побудинковий звіт'!AD138</f>
        <v>0</v>
      </c>
      <c r="AE138" s="41">
        <f>'[2]побудинковий звіт'!AE138+'[1]побудинковий звіт'!AE138</f>
        <v>0</v>
      </c>
      <c r="AF138" s="36">
        <f t="shared" si="133"/>
        <v>0</v>
      </c>
      <c r="AG138" s="84">
        <f t="shared" si="134"/>
        <v>0</v>
      </c>
      <c r="AH138" s="56">
        <f t="shared" si="135"/>
        <v>0</v>
      </c>
      <c r="AI138" s="55">
        <f t="shared" si="136"/>
        <v>0</v>
      </c>
      <c r="AJ138" s="41">
        <f>'[2]побудинковий звіт'!AJ138+'[1]побудинковий звіт'!AJ138</f>
        <v>0</v>
      </c>
      <c r="AK138" s="41">
        <f>'[2]побудинковий звіт'!AK138+'[1]побудинковий звіт'!AK138</f>
        <v>0</v>
      </c>
      <c r="AL138" s="55">
        <f t="shared" si="137"/>
        <v>0</v>
      </c>
      <c r="AM138" s="41">
        <f>'[2]побудинковий звіт'!AM138+'[1]побудинковий звіт'!AM138</f>
        <v>0</v>
      </c>
      <c r="AN138" s="41">
        <f>'[2]побудинковий звіт'!AN138+'[1]побудинковий звіт'!AN138</f>
        <v>0</v>
      </c>
      <c r="AO138" s="55">
        <f t="shared" si="138"/>
        <v>0</v>
      </c>
      <c r="AP138" s="41">
        <f>'[2]побудинковий звіт'!AP138+'[1]побудинковий звіт'!AP138</f>
        <v>268.15066885110389</v>
      </c>
      <c r="AQ138" s="41">
        <f>'[2]побудинковий звіт'!AQ138+'[1]побудинковий звіт'!AQ138</f>
        <v>140.47538423161123</v>
      </c>
      <c r="AR138" s="55">
        <f t="shared" si="139"/>
        <v>-127.67528461949266</v>
      </c>
      <c r="AS138" s="41">
        <f>'[2]побудинковий звіт'!AS138+'[1]побудинковий звіт'!AS138</f>
        <v>1859.971960567595</v>
      </c>
      <c r="AT138" s="41">
        <f>'[2]побудинковий звіт'!AT138+'[1]побудинковий звіт'!AT138</f>
        <v>7236</v>
      </c>
      <c r="AU138" s="57">
        <f t="shared" si="140"/>
        <v>5376.0280394324054</v>
      </c>
      <c r="AV138" s="41">
        <f>'[2]побудинковий звіт'!AV138+'[1]побудинковий звіт'!AV138</f>
        <v>0</v>
      </c>
      <c r="AW138" s="41">
        <f>'[2]побудинковий звіт'!AW138+'[1]побудинковий звіт'!AW138</f>
        <v>0</v>
      </c>
      <c r="AX138" s="58">
        <f t="shared" si="141"/>
        <v>0</v>
      </c>
      <c r="AY138" s="41">
        <f>'[2]побудинковий звіт'!AY138+'[1]побудинковий звіт'!AY138</f>
        <v>0</v>
      </c>
      <c r="AZ138" s="41">
        <f>'[2]побудинковий звіт'!AZ138+'[1]побудинковий звіт'!AZ138</f>
        <v>0</v>
      </c>
      <c r="BA138" s="36">
        <f t="shared" si="142"/>
        <v>0</v>
      </c>
      <c r="BB138" s="41">
        <f>'[2]побудинковий звіт'!BB138+'[1]побудинковий звіт'!BB138</f>
        <v>0</v>
      </c>
      <c r="BC138" s="41">
        <f>'[2]побудинковий звіт'!BC138+'[1]побудинковий звіт'!BC138</f>
        <v>0</v>
      </c>
      <c r="BD138" s="58">
        <f t="shared" si="143"/>
        <v>0</v>
      </c>
      <c r="BE138" s="41">
        <f>'[2]побудинковий звіт'!BE138+'[1]побудинковий звіт'!BE138</f>
        <v>0</v>
      </c>
      <c r="BF138" s="41">
        <f>'[2]побудинковий звіт'!BF138+'[1]побудинковий звіт'!BF138</f>
        <v>0</v>
      </c>
      <c r="BG138" s="38">
        <f t="shared" si="144"/>
        <v>0</v>
      </c>
      <c r="BH138" s="41">
        <f>'[2]побудинковий звіт'!BH138+'[1]побудинковий звіт'!BH138</f>
        <v>0</v>
      </c>
      <c r="BI138" s="41">
        <f>'[2]побудинковий звіт'!BI138+'[1]побудинковий звіт'!BI138</f>
        <v>0</v>
      </c>
      <c r="BJ138" s="58">
        <f t="shared" si="145"/>
        <v>0</v>
      </c>
      <c r="BK138" s="41">
        <f>'[2]побудинковий звіт'!BK138+'[1]побудинковий звіт'!BK138</f>
        <v>0</v>
      </c>
      <c r="BL138" s="41">
        <f>'[2]побудинковий звіт'!BL138+'[1]побудинковий звіт'!BL138</f>
        <v>0</v>
      </c>
      <c r="BM138" s="38">
        <f t="shared" si="146"/>
        <v>0</v>
      </c>
      <c r="BN138" s="41">
        <f>'[2]побудинковий звіт'!BN138+'[1]побудинковий звіт'!BN138</f>
        <v>0</v>
      </c>
      <c r="BO138" s="41">
        <f>'[2]побудинковий звіт'!BO138+'[1]побудинковий звіт'!BO138</f>
        <v>0</v>
      </c>
      <c r="BP138" s="58">
        <f t="shared" si="147"/>
        <v>0</v>
      </c>
      <c r="BQ138" s="84">
        <f t="shared" si="148"/>
        <v>0</v>
      </c>
      <c r="BR138" s="42">
        <f t="shared" si="149"/>
        <v>0</v>
      </c>
      <c r="BS138" s="58">
        <f t="shared" si="150"/>
        <v>0</v>
      </c>
      <c r="BT138" s="41">
        <f>'[2]побудинковий звіт'!BT138+'[1]побудинковий звіт'!BT138</f>
        <v>194.30933278916712</v>
      </c>
      <c r="BU138" s="41">
        <f>'[2]побудинковий звіт'!BU138+'[1]побудинковий звіт'!BU138</f>
        <v>418.1734095197487</v>
      </c>
      <c r="BV138" s="55">
        <f t="shared" si="151"/>
        <v>223.86407673058159</v>
      </c>
      <c r="BW138" s="41">
        <f>'[2]побудинковий звіт'!BW138+'[1]побудинковий звіт'!BW138</f>
        <v>0</v>
      </c>
      <c r="BX138" s="41">
        <f>'[2]побудинковий звіт'!BX138+'[1]побудинковий звіт'!BX138</f>
        <v>0.52954501381320374</v>
      </c>
      <c r="BY138" s="55">
        <f t="shared" si="152"/>
        <v>0.52954501381320374</v>
      </c>
      <c r="BZ138" s="41">
        <f>'[2]побудинковий звіт'!BZ138+'[1]побудинковий звіт'!BZ138</f>
        <v>38.197029657690422</v>
      </c>
      <c r="CA138" s="41">
        <f>'[2]побудинковий звіт'!CA138+'[1]побудинковий звіт'!CA138</f>
        <v>37.736432216027374</v>
      </c>
      <c r="CB138" s="55">
        <f t="shared" si="153"/>
        <v>-0.46059744166304739</v>
      </c>
      <c r="CC138" s="41">
        <f>'[2]побудинковий звіт'!CC138+'[1]побудинковий звіт'!CC138</f>
        <v>0</v>
      </c>
      <c r="CD138" s="41">
        <f>'[2]побудинковий звіт'!CD138+'[1]побудинковий звіт'!CD138</f>
        <v>0</v>
      </c>
      <c r="CE138" s="55">
        <f t="shared" si="154"/>
        <v>0</v>
      </c>
      <c r="CF138" s="41">
        <f>'[2]побудинковий звіт'!CF138+'[1]побудинковий звіт'!CF138</f>
        <v>0</v>
      </c>
      <c r="CG138" s="41">
        <f>'[2]побудинковий звіт'!CG138+'[1]побудинковий звіт'!CG138</f>
        <v>0</v>
      </c>
      <c r="CH138" s="55">
        <f t="shared" si="155"/>
        <v>0</v>
      </c>
      <c r="CI138" s="41">
        <f>'[2]побудинковий звіт'!CI138+'[1]побудинковий звіт'!CI138</f>
        <v>0</v>
      </c>
      <c r="CJ138" s="41">
        <f>'[2]побудинковий звіт'!CJ138+'[1]побудинковий звіт'!CJ138</f>
        <v>0</v>
      </c>
      <c r="CK138" s="55">
        <f t="shared" si="156"/>
        <v>0</v>
      </c>
      <c r="CL138" s="41">
        <f>'[2]побудинковий звіт'!CL138+'[1]побудинковий звіт'!CL138</f>
        <v>0</v>
      </c>
      <c r="CM138" s="41">
        <f>'[2]побудинковий звіт'!CM138+'[1]побудинковий звіт'!CM138</f>
        <v>0</v>
      </c>
      <c r="CN138" s="55">
        <f t="shared" si="157"/>
        <v>0</v>
      </c>
      <c r="CO138" s="41">
        <f t="shared" si="158"/>
        <v>0</v>
      </c>
      <c r="CP138" s="42">
        <f t="shared" si="159"/>
        <v>0</v>
      </c>
      <c r="CQ138" s="55">
        <f t="shared" si="160"/>
        <v>0</v>
      </c>
      <c r="CR138" s="76">
        <f t="shared" si="161"/>
        <v>2360.6289918655566</v>
      </c>
      <c r="CS138" s="5">
        <f t="shared" si="162"/>
        <v>7832.9147709812005</v>
      </c>
      <c r="CT138" s="55">
        <f t="shared" si="163"/>
        <v>5472.2857791156439</v>
      </c>
      <c r="CU138" s="84">
        <f t="shared" si="164"/>
        <v>2832.7547902386677</v>
      </c>
      <c r="CV138" s="68">
        <f t="shared" si="165"/>
        <v>9399.4977251774399</v>
      </c>
      <c r="CW138" s="36">
        <f t="shared" si="166"/>
        <v>6566.7429349387721</v>
      </c>
      <c r="CX138" s="41">
        <f>'[2]побудинковий звіт'!CX138+'[1]побудинковий звіт'!CX138</f>
        <v>85.133090976318499</v>
      </c>
      <c r="CY138" s="41">
        <f>'[2]побудинковий звіт'!CY138+'[1]побудинковий звіт'!CY138</f>
        <v>-6481.6098439624539</v>
      </c>
      <c r="CZ138" s="55">
        <f t="shared" si="167"/>
        <v>-6566.7429349387721</v>
      </c>
      <c r="DA138" s="254">
        <f>'[1]побудинковий звіт'!DA138</f>
        <v>416.57922079164109</v>
      </c>
      <c r="DB138" s="2">
        <v>2</v>
      </c>
      <c r="DC138" s="702">
        <f>'[1]побудинковий звіт'!DC138</f>
        <v>600.1</v>
      </c>
      <c r="DD138" s="702">
        <f>'[1]побудинковий звіт'!DD138</f>
        <v>0</v>
      </c>
      <c r="DE138" s="702">
        <f>'[1]побудинковий звіт'!DE138</f>
        <v>280.68</v>
      </c>
      <c r="DF138" s="702">
        <f>'[1]побудинковий звіт'!DF138</f>
        <v>0</v>
      </c>
      <c r="DG138" s="772">
        <v>-3380.8960699694157</v>
      </c>
      <c r="DH138" s="746">
        <f t="shared" si="168"/>
        <v>35014.654574579836</v>
      </c>
      <c r="DI138" s="769"/>
      <c r="DJ138" s="5"/>
      <c r="DK138" s="307">
        <f>VLOOKUP($A138,ціни!$A$4:$G$401,5)</f>
        <v>1.7588275147206651</v>
      </c>
      <c r="DL138" s="307"/>
      <c r="DM138" s="307">
        <f>VLOOKUP($A138,ціни!$A$4:$G$401,7)</f>
        <v>1.7588275147206651</v>
      </c>
      <c r="DN138" s="29">
        <f t="shared" ref="DN138:DN145" si="177">F138*DK138</f>
        <v>228.82345966515851</v>
      </c>
      <c r="DO138" s="29">
        <f t="shared" ref="DO138:DO145" si="178">H138*DM138</f>
        <v>0</v>
      </c>
      <c r="DP138" s="306">
        <f t="shared" si="169"/>
        <v>228.82345966515851</v>
      </c>
      <c r="DQ138" s="101"/>
      <c r="DR138" s="29">
        <f>VLOOKUP(A138,'ДЗ нас '!$A$1:$C$359,2)</f>
        <v>228.81</v>
      </c>
      <c r="DS138" s="733"/>
      <c r="DT138" s="29">
        <f t="shared" si="170"/>
        <v>228.81</v>
      </c>
      <c r="DU138" s="247">
        <f>VLOOKUP(A138,'новий кошторис с 01.06'!$A$4:$AI$399,35)*1.2</f>
        <v>229.9396716635251</v>
      </c>
      <c r="DV138" s="29">
        <f t="shared" si="171"/>
        <v>-1.1296716635251016</v>
      </c>
      <c r="DW138" s="1016">
        <f>'[2]побудинковий звіт'!$DW$9+'[1]побудинковий звіт'!DW138</f>
        <v>0</v>
      </c>
      <c r="DX138" s="101">
        <f>'[1]побудинковий звіт'!DX138</f>
        <v>0</v>
      </c>
      <c r="DY138" s="5">
        <f t="shared" si="172"/>
        <v>2231.9663526811141</v>
      </c>
      <c r="DZ138" s="5">
        <f t="shared" si="173"/>
        <v>8683.1999999999989</v>
      </c>
      <c r="EA138" s="737">
        <f t="shared" si="174"/>
        <v>280.68</v>
      </c>
      <c r="EC138" s="577">
        <f t="shared" si="175"/>
        <v>22319.663526811142</v>
      </c>
      <c r="EE138" s="743">
        <v>-2148</v>
      </c>
      <c r="EF138" s="723">
        <f t="shared" si="176"/>
        <v>-5528.8960699694162</v>
      </c>
      <c r="EH138" s="798">
        <v>-4296.0701049633144</v>
      </c>
      <c r="EI138" s="101">
        <f>VLOOKUP(A138,'кошти 01.01.24'!$A$9:$D$352,4,FALSE)</f>
        <v>-6150.163714147131</v>
      </c>
    </row>
    <row r="139" spans="1:139" hidden="1" x14ac:dyDescent="0.3">
      <c r="A139" s="318">
        <v>150000590</v>
      </c>
      <c r="B139" s="43" t="s">
        <v>566</v>
      </c>
      <c r="C139" s="44" t="s">
        <v>163</v>
      </c>
      <c r="D139" s="44" t="s">
        <v>163</v>
      </c>
      <c r="E139" s="39">
        <f t="shared" si="125"/>
        <v>373.5</v>
      </c>
      <c r="F139" s="205">
        <f>'[1]побудинковий звіт'!F139</f>
        <v>373.5</v>
      </c>
      <c r="G139" s="29">
        <f>'[1]побудинковий звіт'!G139</f>
        <v>0</v>
      </c>
      <c r="H139" s="148">
        <f>'[1]побудинковий звіт'!H139</f>
        <v>0</v>
      </c>
      <c r="I139" s="41">
        <f>'[2]побудинковий звіт'!I139+'[1]побудинковий звіт'!I139</f>
        <v>2188.0762707610384</v>
      </c>
      <c r="J139" s="41">
        <f>'[2]побудинковий звіт'!J139+'[1]побудинковий звіт'!J139</f>
        <v>2245.2136055773617</v>
      </c>
      <c r="K139" s="55">
        <f t="shared" si="126"/>
        <v>57.137334816323346</v>
      </c>
      <c r="L139" s="41">
        <f>'[2]побудинковий звіт'!L139+'[1]побудинковий звіт'!L139</f>
        <v>436.9014812571877</v>
      </c>
      <c r="M139" s="41">
        <f>'[2]побудинковий звіт'!M139+'[1]побудинковий звіт'!M139</f>
        <v>473.14326615471009</v>
      </c>
      <c r="N139" s="55">
        <f t="shared" si="127"/>
        <v>36.241784897522393</v>
      </c>
      <c r="O139" s="41">
        <f>'[2]побудинковий звіт'!O139+'[1]побудинковий звіт'!O139</f>
        <v>0</v>
      </c>
      <c r="P139" s="41">
        <f>'[2]побудинковий звіт'!P139+'[1]побудинковий звіт'!P139</f>
        <v>0</v>
      </c>
      <c r="Q139" s="55">
        <f t="shared" si="128"/>
        <v>0</v>
      </c>
      <c r="R139" s="41">
        <f>'[2]побудинковий звіт'!R139+'[1]побудинковий звіт'!R139</f>
        <v>0</v>
      </c>
      <c r="S139" s="41">
        <f>'[2]побудинковий звіт'!S139+'[1]побудинковий звіт'!S139</f>
        <v>0</v>
      </c>
      <c r="T139" s="55">
        <f t="shared" si="129"/>
        <v>0</v>
      </c>
      <c r="U139" s="41">
        <f>'[2]побудинковий звіт'!U139+'[1]побудинковий звіт'!U139</f>
        <v>0</v>
      </c>
      <c r="V139" s="41">
        <f>'[2]побудинковий звіт'!V139+'[1]побудинковий звіт'!V139</f>
        <v>0</v>
      </c>
      <c r="W139" s="55">
        <f t="shared" si="130"/>
        <v>0</v>
      </c>
      <c r="X139" s="41">
        <f>'[2]побудинковий звіт'!X139+'[1]побудинковий звіт'!X139</f>
        <v>696.55034018816821</v>
      </c>
      <c r="Y139" s="41">
        <f>'[2]побудинковий звіт'!Y139+'[1]побудинковий звіт'!Y139</f>
        <v>716.88675332815228</v>
      </c>
      <c r="Z139" s="55">
        <f t="shared" si="131"/>
        <v>20.336413139984074</v>
      </c>
      <c r="AA139" s="41">
        <f>'[2]побудинковий звіт'!AA139+'[1]побудинковий звіт'!AA139</f>
        <v>0</v>
      </c>
      <c r="AB139" s="41">
        <f>'[2]побудинковий звіт'!AB139+'[1]побудинковий звіт'!AB139</f>
        <v>0</v>
      </c>
      <c r="AC139" s="55">
        <f t="shared" si="132"/>
        <v>0</v>
      </c>
      <c r="AD139" s="41">
        <f>'[2]побудинковий звіт'!AD139+'[1]побудинковий звіт'!AD139</f>
        <v>1619.9860932534643</v>
      </c>
      <c r="AE139" s="41">
        <f>'[2]побудинковий звіт'!AE139+'[1]побудинковий звіт'!AE139</f>
        <v>1613.6855293760707</v>
      </c>
      <c r="AF139" s="36">
        <f t="shared" si="133"/>
        <v>-6.3005638773936425</v>
      </c>
      <c r="AG139" s="84">
        <f t="shared" si="134"/>
        <v>4941.5141854598587</v>
      </c>
      <c r="AH139" s="56">
        <f t="shared" si="135"/>
        <v>5048.929154436295</v>
      </c>
      <c r="AI139" s="55">
        <f t="shared" si="136"/>
        <v>107.41496897643628</v>
      </c>
      <c r="AJ139" s="41">
        <f>'[2]побудинковий звіт'!AJ139+'[1]побудинковий звіт'!AJ139</f>
        <v>0</v>
      </c>
      <c r="AK139" s="41">
        <f>'[2]побудинковий звіт'!AK139+'[1]побудинковий звіт'!AK139</f>
        <v>0</v>
      </c>
      <c r="AL139" s="55">
        <f t="shared" si="137"/>
        <v>0</v>
      </c>
      <c r="AM139" s="41">
        <f>'[2]побудинковий звіт'!AM139+'[1]побудинковий звіт'!AM139</f>
        <v>0</v>
      </c>
      <c r="AN139" s="41">
        <f>'[2]побудинковий звіт'!AN139+'[1]побудинковий звіт'!AN139</f>
        <v>0</v>
      </c>
      <c r="AO139" s="55">
        <f t="shared" si="138"/>
        <v>0</v>
      </c>
      <c r="AP139" s="41">
        <f>'[2]побудинковий звіт'!AP139+'[1]побудинковий звіт'!AP139</f>
        <v>1430.1369005392207</v>
      </c>
      <c r="AQ139" s="41">
        <f>'[2]побудинковий звіт'!AQ139+'[1]побудинковий звіт'!AQ139</f>
        <v>374.60102461762995</v>
      </c>
      <c r="AR139" s="55">
        <f t="shared" si="139"/>
        <v>-1055.5358759215908</v>
      </c>
      <c r="AS139" s="41">
        <f>'[2]побудинковий звіт'!AS139+'[1]побудинковий звіт'!AS139</f>
        <v>5257.8053002074885</v>
      </c>
      <c r="AT139" s="41">
        <f>'[2]побудинковий звіт'!AT139+'[1]побудинковий звіт'!AT139</f>
        <v>0</v>
      </c>
      <c r="AU139" s="57">
        <f t="shared" si="140"/>
        <v>-5257.8053002074885</v>
      </c>
      <c r="AV139" s="41">
        <f>'[2]побудинковий звіт'!AV139+'[1]побудинковий звіт'!AV139</f>
        <v>384.55481042610012</v>
      </c>
      <c r="AW139" s="41">
        <f>'[2]побудинковий звіт'!AW139+'[1]побудинковий звіт'!AW139</f>
        <v>0</v>
      </c>
      <c r="AX139" s="58">
        <f t="shared" si="141"/>
        <v>-384.55481042610012</v>
      </c>
      <c r="AY139" s="41">
        <f>'[2]побудинковий звіт'!AY139+'[1]побудинковий звіт'!AY139</f>
        <v>524.50801757786883</v>
      </c>
      <c r="AZ139" s="41">
        <f>'[2]побудинковий звіт'!AZ139+'[1]побудинковий звіт'!AZ139</f>
        <v>0</v>
      </c>
      <c r="BA139" s="36">
        <f t="shared" si="142"/>
        <v>-524.50801757786883</v>
      </c>
      <c r="BB139" s="41">
        <f>'[2]побудинковий звіт'!BB139+'[1]побудинковий звіт'!BB139</f>
        <v>0</v>
      </c>
      <c r="BC139" s="41">
        <f>'[2]побудинковий звіт'!BC139+'[1]побудинковий звіт'!BC139</f>
        <v>0</v>
      </c>
      <c r="BD139" s="58">
        <f t="shared" si="143"/>
        <v>0</v>
      </c>
      <c r="BE139" s="41">
        <f>'[2]побудинковий звіт'!BE139+'[1]побудинковий звіт'!BE139</f>
        <v>0</v>
      </c>
      <c r="BF139" s="41">
        <f>'[2]побудинковий звіт'!BF139+'[1]побудинковий звіт'!BF139</f>
        <v>0</v>
      </c>
      <c r="BG139" s="38">
        <f t="shared" si="144"/>
        <v>0</v>
      </c>
      <c r="BH139" s="41">
        <f>'[2]побудинковий звіт'!BH139+'[1]побудинковий звіт'!BH139</f>
        <v>0</v>
      </c>
      <c r="BI139" s="41">
        <f>'[2]побудинковий звіт'!BI139+'[1]побудинковий звіт'!BI139</f>
        <v>0</v>
      </c>
      <c r="BJ139" s="58">
        <f t="shared" si="145"/>
        <v>0</v>
      </c>
      <c r="BK139" s="41">
        <f>'[2]побудинковий звіт'!BK139+'[1]побудинковий звіт'!BK139</f>
        <v>130.29885782054578</v>
      </c>
      <c r="BL139" s="41">
        <f>'[2]побудинковий звіт'!BL139+'[1]побудинковий звіт'!BL139</f>
        <v>0</v>
      </c>
      <c r="BM139" s="38">
        <f t="shared" si="146"/>
        <v>-130.29885782054578</v>
      </c>
      <c r="BN139" s="41">
        <f>'[2]побудинковий звіт'!BN139+'[1]побудинковий звіт'!BN139</f>
        <v>25.096694911747448</v>
      </c>
      <c r="BO139" s="41">
        <f>'[2]побудинковий звіт'!BO139+'[1]побудинковий звіт'!BO139</f>
        <v>1147.6023835599999</v>
      </c>
      <c r="BP139" s="58">
        <f t="shared" si="147"/>
        <v>1122.5056886482525</v>
      </c>
      <c r="BQ139" s="84">
        <f t="shared" si="148"/>
        <v>1064.4583807362619</v>
      </c>
      <c r="BR139" s="42">
        <f t="shared" si="149"/>
        <v>1147.6023835599999</v>
      </c>
      <c r="BS139" s="58">
        <f t="shared" si="150"/>
        <v>83.144002823737992</v>
      </c>
      <c r="BT139" s="41">
        <f>'[2]побудинковий звіт'!BT139+'[1]побудинковий звіт'!BT139</f>
        <v>340.04133238104242</v>
      </c>
      <c r="BU139" s="41">
        <f>'[2]побудинковий звіт'!BU139+'[1]побудинковий звіт'!BU139</f>
        <v>1144.5744428322325</v>
      </c>
      <c r="BV139" s="55">
        <f t="shared" si="151"/>
        <v>804.53311045119017</v>
      </c>
      <c r="BW139" s="41">
        <f>'[2]побудинковий звіт'!BW139+'[1]побудинковий звіт'!BW139</f>
        <v>474.83390793868273</v>
      </c>
      <c r="BX139" s="41">
        <f>'[2]побудинковий звіт'!BX139+'[1]побудинковий звіт'!BX139</f>
        <v>1058.1052017087538</v>
      </c>
      <c r="BY139" s="55">
        <f t="shared" si="152"/>
        <v>583.27129377007111</v>
      </c>
      <c r="BZ139" s="41">
        <f>'[2]побудинковий звіт'!BZ139+'[1]побудинковий звіт'!BZ139</f>
        <v>298.71714505773934</v>
      </c>
      <c r="CA139" s="41">
        <f>'[2]побудинковий звіт'!CA139+'[1]побудинковий звіт'!CA139</f>
        <v>103.47528816235287</v>
      </c>
      <c r="CB139" s="55">
        <f t="shared" si="153"/>
        <v>-195.24185689538649</v>
      </c>
      <c r="CC139" s="41">
        <f>'[2]побудинковий звіт'!CC139+'[1]побудинковий звіт'!CC139</f>
        <v>316.0437477124525</v>
      </c>
      <c r="CD139" s="41">
        <f>'[2]побудинковий звіт'!CD139+'[1]побудинковий звіт'!CD139</f>
        <v>317.11541680826605</v>
      </c>
      <c r="CE139" s="55">
        <f t="shared" si="154"/>
        <v>1.0716690958135473</v>
      </c>
      <c r="CF139" s="41">
        <f>'[2]побудинковий звіт'!CF139+'[1]побудинковий звіт'!CF139</f>
        <v>39.156140510525475</v>
      </c>
      <c r="CG139" s="41">
        <f>'[2]побудинковий звіт'!CG139+'[1]побудинковий звіт'!CG139</f>
        <v>0</v>
      </c>
      <c r="CH139" s="55">
        <f t="shared" si="155"/>
        <v>-39.156140510525475</v>
      </c>
      <c r="CI139" s="41">
        <f>'[2]побудинковий звіт'!CI139+'[1]побудинковий звіт'!CI139</f>
        <v>15.753917024136715</v>
      </c>
      <c r="CJ139" s="41">
        <f>'[2]побудинковий звіт'!CJ139+'[1]побудинковий звіт'!CJ139</f>
        <v>0</v>
      </c>
      <c r="CK139" s="55">
        <f t="shared" si="156"/>
        <v>-15.753917024136715</v>
      </c>
      <c r="CL139" s="41">
        <f>'[2]побудинковий звіт'!CL139+'[1]побудинковий звіт'!CL139</f>
        <v>0</v>
      </c>
      <c r="CM139" s="41">
        <f>'[2]побудинковий звіт'!CM139+'[1]побудинковий звіт'!CM139</f>
        <v>0</v>
      </c>
      <c r="CN139" s="55">
        <f t="shared" si="157"/>
        <v>0</v>
      </c>
      <c r="CO139" s="41">
        <f t="shared" si="158"/>
        <v>15.753917024136715</v>
      </c>
      <c r="CP139" s="42">
        <f t="shared" si="159"/>
        <v>0</v>
      </c>
      <c r="CQ139" s="55">
        <f t="shared" si="160"/>
        <v>-15.753917024136715</v>
      </c>
      <c r="CR139" s="76">
        <f t="shared" si="161"/>
        <v>14178.460957567408</v>
      </c>
      <c r="CS139" s="5">
        <f t="shared" si="162"/>
        <v>9194.4029121255317</v>
      </c>
      <c r="CT139" s="55">
        <f t="shared" si="163"/>
        <v>-4984.0580454418759</v>
      </c>
      <c r="CU139" s="84">
        <f t="shared" si="164"/>
        <v>17014.153149080888</v>
      </c>
      <c r="CV139" s="68">
        <f t="shared" si="165"/>
        <v>11033.283494550638</v>
      </c>
      <c r="CW139" s="36">
        <f t="shared" si="166"/>
        <v>-5980.86965453025</v>
      </c>
      <c r="CX139" s="41">
        <f>'[2]побудинковий звіт'!CX139+'[1]побудинковий звіт'!CX139</f>
        <v>512.27811702850329</v>
      </c>
      <c r="CY139" s="41">
        <f>'[2]побудинковий звіт'!CY139+'[1]побудинковий звіт'!CY139</f>
        <v>6493.1477715587571</v>
      </c>
      <c r="CZ139" s="55">
        <f t="shared" si="167"/>
        <v>5980.8696545302537</v>
      </c>
      <c r="DA139" s="254">
        <f>'[1]побудинковий звіт'!DA139</f>
        <v>-22376.519728692947</v>
      </c>
      <c r="DB139" s="2">
        <v>3</v>
      </c>
      <c r="DC139" s="702">
        <f>'[1]побудинковий звіт'!DC139</f>
        <v>1659.97</v>
      </c>
      <c r="DD139" s="702">
        <f>'[1]побудинковий звіт'!DD139</f>
        <v>0</v>
      </c>
      <c r="DE139" s="702">
        <f>'[1]побудинковий звіт'!DE139</f>
        <v>-259.32999999999993</v>
      </c>
      <c r="DF139" s="702">
        <f>'[1]побудинковий звіт'!DF139</f>
        <v>0</v>
      </c>
      <c r="DG139" s="772">
        <v>-7629.2123192177714</v>
      </c>
      <c r="DH139" s="746">
        <f t="shared" si="168"/>
        <v>210317.17519331269</v>
      </c>
      <c r="DI139" s="769"/>
      <c r="DJ139" s="5"/>
      <c r="DK139" s="307">
        <f>VLOOKUP($A139,ціни!$A$4:$G$401,5)</f>
        <v>3.6793047036957969</v>
      </c>
      <c r="DL139" s="307"/>
      <c r="DM139" s="307">
        <f>VLOOKUP($A139,ціни!$A$4:$G$401,7)</f>
        <v>3.5831688454069908</v>
      </c>
      <c r="DN139" s="29">
        <f t="shared" si="177"/>
        <v>1374.2203068303802</v>
      </c>
      <c r="DO139" s="29">
        <f t="shared" si="178"/>
        <v>0</v>
      </c>
      <c r="DP139" s="306">
        <f t="shared" si="169"/>
        <v>1374.2203068303802</v>
      </c>
      <c r="DQ139" s="101"/>
      <c r="DR139" s="29">
        <f>VLOOKUP(A139,'ДЗ нас '!$A$1:$C$359,2)</f>
        <v>1374.23</v>
      </c>
      <c r="DS139" s="733"/>
      <c r="DT139" s="29">
        <f t="shared" si="170"/>
        <v>1374.23</v>
      </c>
      <c r="DU139" s="247">
        <f>VLOOKUP(A139,'новий кошторис с 01.06'!$A$4:$AI$399,35)*1.2</f>
        <v>1380.9238205222355</v>
      </c>
      <c r="DV139" s="29">
        <f t="shared" si="171"/>
        <v>-6.6938205222354554</v>
      </c>
      <c r="DW139" s="1016">
        <f>'[2]побудинковий звіт'!$DW$9+'[1]побудинковий звіт'!DW139</f>
        <v>0</v>
      </c>
      <c r="DX139" s="101">
        <f>'[1]побудинковий звіт'!DX139</f>
        <v>0</v>
      </c>
      <c r="DY139" s="5">
        <f t="shared" si="172"/>
        <v>7586.7164171324994</v>
      </c>
      <c r="DZ139" s="5">
        <f t="shared" si="173"/>
        <v>1377.1228602719998</v>
      </c>
      <c r="EA139" s="737">
        <f t="shared" si="174"/>
        <v>-259.32999999999993</v>
      </c>
      <c r="EC139" s="577">
        <f t="shared" si="175"/>
        <v>63093.663602489862</v>
      </c>
      <c r="EE139" s="743">
        <v>3304</v>
      </c>
      <c r="EF139" s="723">
        <f t="shared" si="176"/>
        <v>-4325.2123192177714</v>
      </c>
      <c r="EH139" s="798">
        <v>-12284.055693374004</v>
      </c>
      <c r="EI139" s="101">
        <f>VLOOKUP(A139,'кошти 01.01.24'!$A$9:$D$352,4,FALSE)</f>
        <v>-16395.650074162691</v>
      </c>
    </row>
    <row r="140" spans="1:139" hidden="1" x14ac:dyDescent="0.3">
      <c r="A140" s="318">
        <v>150000578</v>
      </c>
      <c r="B140" s="43" t="s">
        <v>567</v>
      </c>
      <c r="C140" s="44" t="s">
        <v>83</v>
      </c>
      <c r="D140" s="44" t="s">
        <v>83</v>
      </c>
      <c r="E140" s="39">
        <f t="shared" si="125"/>
        <v>173.75</v>
      </c>
      <c r="F140" s="205">
        <f>'[1]побудинковий звіт'!F140</f>
        <v>173.75</v>
      </c>
      <c r="G140" s="29">
        <f>'[1]побудинковий звіт'!G140</f>
        <v>0</v>
      </c>
      <c r="H140" s="148">
        <f>'[1]побудинковий звіт'!H140</f>
        <v>0</v>
      </c>
      <c r="I140" s="41">
        <f>'[2]побудинковий звіт'!I140+'[1]побудинковий звіт'!I140</f>
        <v>0</v>
      </c>
      <c r="J140" s="41">
        <f>'[2]побудинковий звіт'!J140+'[1]побудинковий звіт'!J140</f>
        <v>0</v>
      </c>
      <c r="K140" s="55">
        <f t="shared" si="126"/>
        <v>0</v>
      </c>
      <c r="L140" s="41">
        <f>'[2]побудинковий звіт'!L140+'[1]побудинковий звіт'!L140</f>
        <v>0</v>
      </c>
      <c r="M140" s="41">
        <f>'[2]побудинковий звіт'!M140+'[1]побудинковий звіт'!M140</f>
        <v>0</v>
      </c>
      <c r="N140" s="55">
        <f t="shared" si="127"/>
        <v>0</v>
      </c>
      <c r="O140" s="41">
        <f>'[2]побудинковий звіт'!O140+'[1]побудинковий звіт'!O140</f>
        <v>0</v>
      </c>
      <c r="P140" s="41">
        <f>'[2]побудинковий звіт'!P140+'[1]побудинковий звіт'!P140</f>
        <v>0</v>
      </c>
      <c r="Q140" s="55">
        <f t="shared" si="128"/>
        <v>0</v>
      </c>
      <c r="R140" s="41">
        <f>'[2]побудинковий звіт'!R140+'[1]побудинковий звіт'!R140</f>
        <v>0</v>
      </c>
      <c r="S140" s="41">
        <f>'[2]побудинковий звіт'!S140+'[1]побудинковий звіт'!S140</f>
        <v>0</v>
      </c>
      <c r="T140" s="55">
        <f t="shared" si="129"/>
        <v>0</v>
      </c>
      <c r="U140" s="41">
        <f>'[2]побудинковий звіт'!U140+'[1]побудинковий звіт'!U140</f>
        <v>0</v>
      </c>
      <c r="V140" s="41">
        <f>'[2]побудинковий звіт'!V140+'[1]побудинковий звіт'!V140</f>
        <v>0</v>
      </c>
      <c r="W140" s="55">
        <f t="shared" si="130"/>
        <v>0</v>
      </c>
      <c r="X140" s="41">
        <f>'[2]побудинковий звіт'!X140+'[1]побудинковий звіт'!X140</f>
        <v>0</v>
      </c>
      <c r="Y140" s="41">
        <f>'[2]побудинковий звіт'!Y140+'[1]побудинковий звіт'!Y140</f>
        <v>0</v>
      </c>
      <c r="Z140" s="55">
        <f t="shared" si="131"/>
        <v>0</v>
      </c>
      <c r="AA140" s="41">
        <f>'[2]побудинковий звіт'!AA140+'[1]побудинковий звіт'!AA140</f>
        <v>0</v>
      </c>
      <c r="AB140" s="41">
        <f>'[2]побудинковий звіт'!AB140+'[1]побудинковий звіт'!AB140</f>
        <v>0</v>
      </c>
      <c r="AC140" s="55">
        <f t="shared" si="132"/>
        <v>0</v>
      </c>
      <c r="AD140" s="41">
        <f>'[2]побудинковий звіт'!AD140+'[1]побудинковий звіт'!AD140</f>
        <v>0</v>
      </c>
      <c r="AE140" s="41">
        <f>'[2]побудинковий звіт'!AE140+'[1]побудинковий звіт'!AE140</f>
        <v>0</v>
      </c>
      <c r="AF140" s="36">
        <f t="shared" si="133"/>
        <v>0</v>
      </c>
      <c r="AG140" s="84">
        <f t="shared" si="134"/>
        <v>0</v>
      </c>
      <c r="AH140" s="56">
        <f t="shared" si="135"/>
        <v>0</v>
      </c>
      <c r="AI140" s="55">
        <f t="shared" si="136"/>
        <v>0</v>
      </c>
      <c r="AJ140" s="41">
        <f>'[2]побудинковий звіт'!AJ140+'[1]побудинковий звіт'!AJ140</f>
        <v>0</v>
      </c>
      <c r="AK140" s="41">
        <f>'[2]побудинковий звіт'!AK140+'[1]побудинковий звіт'!AK140</f>
        <v>0</v>
      </c>
      <c r="AL140" s="55">
        <f t="shared" si="137"/>
        <v>0</v>
      </c>
      <c r="AM140" s="41">
        <f>'[2]побудинковий звіт'!AM140+'[1]побудинковий звіт'!AM140</f>
        <v>0</v>
      </c>
      <c r="AN140" s="41">
        <f>'[2]побудинковий звіт'!AN140+'[1]побудинковий звіт'!AN140</f>
        <v>0</v>
      </c>
      <c r="AO140" s="55">
        <f t="shared" si="138"/>
        <v>0</v>
      </c>
      <c r="AP140" s="41">
        <f>'[2]побудинковий звіт'!AP140+'[1]побудинковий звіт'!AP140</f>
        <v>178.76711256740259</v>
      </c>
      <c r="AQ140" s="41">
        <f>'[2]побудинковий звіт'!AQ140+'[1]побудинковий звіт'!AQ140</f>
        <v>93.650256154407487</v>
      </c>
      <c r="AR140" s="55">
        <f t="shared" si="139"/>
        <v>-85.116856412995105</v>
      </c>
      <c r="AS140" s="41">
        <f>'[2]побудинковий звіт'!AS140+'[1]побудинковий звіт'!AS140</f>
        <v>2631.7224914284388</v>
      </c>
      <c r="AT140" s="41">
        <f>'[2]побудинковий звіт'!AT140+'[1]побудинковий звіт'!AT140</f>
        <v>0</v>
      </c>
      <c r="AU140" s="57">
        <f t="shared" si="140"/>
        <v>-2631.7224914284388</v>
      </c>
      <c r="AV140" s="41">
        <f>'[2]побудинковий звіт'!AV140+'[1]побудинковий звіт'!AV140</f>
        <v>0</v>
      </c>
      <c r="AW140" s="41">
        <f>'[2]побудинковий звіт'!AW140+'[1]побудинковий звіт'!AW140</f>
        <v>0</v>
      </c>
      <c r="AX140" s="58">
        <f t="shared" si="141"/>
        <v>0</v>
      </c>
      <c r="AY140" s="41">
        <f>'[2]побудинковий звіт'!AY140+'[1]побудинковий звіт'!AY140</f>
        <v>0</v>
      </c>
      <c r="AZ140" s="41">
        <f>'[2]побудинковий звіт'!AZ140+'[1]побудинковий звіт'!AZ140</f>
        <v>0</v>
      </c>
      <c r="BA140" s="36">
        <f t="shared" si="142"/>
        <v>0</v>
      </c>
      <c r="BB140" s="41">
        <f>'[2]побудинковий звіт'!BB140+'[1]побудинковий звіт'!BB140</f>
        <v>0</v>
      </c>
      <c r="BC140" s="41">
        <f>'[2]побудинковий звіт'!BC140+'[1]побудинковий звіт'!BC140</f>
        <v>0</v>
      </c>
      <c r="BD140" s="58">
        <f t="shared" si="143"/>
        <v>0</v>
      </c>
      <c r="BE140" s="41">
        <f>'[2]побудинковий звіт'!BE140+'[1]побудинковий звіт'!BE140</f>
        <v>0</v>
      </c>
      <c r="BF140" s="41">
        <f>'[2]побудинковий звіт'!BF140+'[1]побудинковий звіт'!BF140</f>
        <v>0</v>
      </c>
      <c r="BG140" s="38">
        <f t="shared" si="144"/>
        <v>0</v>
      </c>
      <c r="BH140" s="41">
        <f>'[2]побудинковий звіт'!BH140+'[1]побудинковий звіт'!BH140</f>
        <v>0</v>
      </c>
      <c r="BI140" s="41">
        <f>'[2]побудинковий звіт'!BI140+'[1]побудинковий звіт'!BI140</f>
        <v>0</v>
      </c>
      <c r="BJ140" s="58">
        <f t="shared" si="145"/>
        <v>0</v>
      </c>
      <c r="BK140" s="41">
        <f>'[2]побудинковий звіт'!BK140+'[1]побудинковий звіт'!BK140</f>
        <v>0</v>
      </c>
      <c r="BL140" s="41">
        <f>'[2]побудинковий звіт'!BL140+'[1]побудинковий звіт'!BL140</f>
        <v>0</v>
      </c>
      <c r="BM140" s="38">
        <f t="shared" si="146"/>
        <v>0</v>
      </c>
      <c r="BN140" s="41">
        <f>'[2]побудинковий звіт'!BN140+'[1]побудинковий звіт'!BN140</f>
        <v>0</v>
      </c>
      <c r="BO140" s="41">
        <f>'[2]побудинковий звіт'!BO140+'[1]побудинковий звіт'!BO140</f>
        <v>498.81265267999999</v>
      </c>
      <c r="BP140" s="58">
        <f t="shared" si="147"/>
        <v>498.81265267999999</v>
      </c>
      <c r="BQ140" s="84">
        <f t="shared" si="148"/>
        <v>0</v>
      </c>
      <c r="BR140" s="42">
        <f t="shared" si="149"/>
        <v>498.81265267999999</v>
      </c>
      <c r="BS140" s="58">
        <f t="shared" si="150"/>
        <v>498.81265267999999</v>
      </c>
      <c r="BT140" s="41">
        <f>'[2]побудинковий звіт'!BT140+'[1]побудинковий звіт'!BT140</f>
        <v>97.154666394583558</v>
      </c>
      <c r="BU140" s="41">
        <f>'[2]побудинковий звіт'!BU140+'[1]побудинковий звіт'!BU140</f>
        <v>572.28722141611627</v>
      </c>
      <c r="BV140" s="55">
        <f t="shared" si="151"/>
        <v>475.13255502153271</v>
      </c>
      <c r="BW140" s="41">
        <f>'[2]побудинковий звіт'!BW140+'[1]побудинковий звіт'!BW140</f>
        <v>0</v>
      </c>
      <c r="BX140" s="41">
        <f>'[2]побудинковий звіт'!BX140+'[1]побудинковий звіт'!BX140</f>
        <v>0.70721326787120797</v>
      </c>
      <c r="BY140" s="55">
        <f t="shared" si="152"/>
        <v>0.70721326787120797</v>
      </c>
      <c r="BZ140" s="41">
        <f>'[2]побудинковий звіт'!BZ140+'[1]побудинковий звіт'!BZ140</f>
        <v>19.098514828845211</v>
      </c>
      <c r="CA140" s="41">
        <f>'[2]побудинковий звіт'!CA140+'[1]побудинковий звіт'!CA140</f>
        <v>51.737644081176434</v>
      </c>
      <c r="CB140" s="55">
        <f t="shared" si="153"/>
        <v>32.639129252331223</v>
      </c>
      <c r="CC140" s="41">
        <f>'[2]побудинковий звіт'!CC140+'[1]побудинковий звіт'!CC140</f>
        <v>0</v>
      </c>
      <c r="CD140" s="41">
        <f>'[2]побудинковий звіт'!CD140+'[1]побудинковий звіт'!CD140</f>
        <v>0</v>
      </c>
      <c r="CE140" s="55">
        <f t="shared" si="154"/>
        <v>0</v>
      </c>
      <c r="CF140" s="41">
        <f>'[2]побудинковий звіт'!CF140+'[1]побудинковий звіт'!CF140</f>
        <v>0</v>
      </c>
      <c r="CG140" s="41">
        <f>'[2]побудинковий звіт'!CG140+'[1]побудинковий звіт'!CG140</f>
        <v>0</v>
      </c>
      <c r="CH140" s="55">
        <f t="shared" si="155"/>
        <v>0</v>
      </c>
      <c r="CI140" s="41">
        <f>'[2]побудинковий звіт'!CI140+'[1]побудинковий звіт'!CI140</f>
        <v>0</v>
      </c>
      <c r="CJ140" s="41">
        <f>'[2]побудинковий звіт'!CJ140+'[1]побудинковий звіт'!CJ140</f>
        <v>0</v>
      </c>
      <c r="CK140" s="55">
        <f t="shared" si="156"/>
        <v>0</v>
      </c>
      <c r="CL140" s="41">
        <f>'[2]побудинковий звіт'!CL140+'[1]побудинковий звіт'!CL140</f>
        <v>0</v>
      </c>
      <c r="CM140" s="41">
        <f>'[2]побудинковий звіт'!CM140+'[1]побудинковий звіт'!CM140</f>
        <v>0</v>
      </c>
      <c r="CN140" s="55">
        <f t="shared" si="157"/>
        <v>0</v>
      </c>
      <c r="CO140" s="41">
        <f t="shared" si="158"/>
        <v>0</v>
      </c>
      <c r="CP140" s="42">
        <f t="shared" si="159"/>
        <v>0</v>
      </c>
      <c r="CQ140" s="55">
        <f t="shared" si="160"/>
        <v>0</v>
      </c>
      <c r="CR140" s="76">
        <f t="shared" si="161"/>
        <v>2926.74278521927</v>
      </c>
      <c r="CS140" s="5">
        <f t="shared" si="162"/>
        <v>1217.1949875995715</v>
      </c>
      <c r="CT140" s="55">
        <f t="shared" si="163"/>
        <v>-1709.5477976196985</v>
      </c>
      <c r="CU140" s="84">
        <f t="shared" si="164"/>
        <v>3512.0913422631238</v>
      </c>
      <c r="CV140" s="68">
        <f t="shared" si="165"/>
        <v>1460.6339851194857</v>
      </c>
      <c r="CW140" s="36">
        <f t="shared" si="166"/>
        <v>-2051.4573571436381</v>
      </c>
      <c r="CX140" s="41">
        <f>'[2]побудинковий звіт'!CX140+'[1]побудинковий звіт'!CX140</f>
        <v>77.614841417069044</v>
      </c>
      <c r="CY140" s="41">
        <f>'[2]побудинковий звіт'!CY140+'[1]побудинковий звіт'!CY140</f>
        <v>2129.0721985607079</v>
      </c>
      <c r="CZ140" s="55">
        <f t="shared" si="167"/>
        <v>2051.457357143639</v>
      </c>
      <c r="DA140" s="254">
        <f>'[1]побудинковий звіт'!DA140</f>
        <v>-9637.504739822316</v>
      </c>
      <c r="DB140" s="2">
        <v>3</v>
      </c>
      <c r="DC140" s="702">
        <f>'[1]побудинковий звіт'!DC140</f>
        <v>392.39</v>
      </c>
      <c r="DD140" s="702">
        <f>'[1]побудинковий звіт'!DD140</f>
        <v>0</v>
      </c>
      <c r="DE140" s="702">
        <f>'[1]побудинковий звіт'!DE140</f>
        <v>0</v>
      </c>
      <c r="DF140" s="702">
        <f>'[1]побудинковий звіт'!DF140</f>
        <v>0</v>
      </c>
      <c r="DG140" s="772">
        <v>-4192.7715484406926</v>
      </c>
      <c r="DH140" s="746">
        <f t="shared" si="168"/>
        <v>43076.47420416231</v>
      </c>
      <c r="DI140" s="769"/>
      <c r="DJ140" s="5"/>
      <c r="DK140" s="307">
        <f>VLOOKUP($A140,ціни!$A$4:$G$401,5)</f>
        <v>1.6206727363332911</v>
      </c>
      <c r="DL140" s="307"/>
      <c r="DM140" s="307">
        <f>VLOOKUP($A140,ціни!$A$4:$G$401,7)</f>
        <v>1.6206727363332911</v>
      </c>
      <c r="DN140" s="29">
        <f t="shared" si="177"/>
        <v>281.59188793790935</v>
      </c>
      <c r="DO140" s="29">
        <f t="shared" si="178"/>
        <v>0</v>
      </c>
      <c r="DP140" s="306">
        <f t="shared" si="169"/>
        <v>281.59188793790935</v>
      </c>
      <c r="DQ140" s="101"/>
      <c r="DR140" s="29">
        <f>VLOOKUP(A140,'ДЗ нас '!$A$1:$C$359,2)</f>
        <v>281.60000000000002</v>
      </c>
      <c r="DS140" s="733"/>
      <c r="DT140" s="29">
        <f t="shared" si="170"/>
        <v>281.60000000000002</v>
      </c>
      <c r="DU140" s="247">
        <f>VLOOKUP(A140,'новий кошторис с 01.06'!$A$4:$AI$399,35)*1.2</f>
        <v>282.4241792323071</v>
      </c>
      <c r="DV140" s="29">
        <f t="shared" si="171"/>
        <v>-0.82417923230707402</v>
      </c>
      <c r="DW140" s="1016">
        <f>'[2]побудинковий звіт'!$DW$9+'[1]побудинковий звіт'!DW140</f>
        <v>918</v>
      </c>
      <c r="DX140" s="101">
        <f>'[1]побудинковий звіт'!DX140</f>
        <v>0</v>
      </c>
      <c r="DY140" s="5">
        <f t="shared" si="172"/>
        <v>3158.0669897141265</v>
      </c>
      <c r="DZ140" s="5">
        <f t="shared" si="173"/>
        <v>598.57518321599991</v>
      </c>
      <c r="EA140" s="737">
        <f t="shared" si="174"/>
        <v>0</v>
      </c>
      <c r="EC140" s="577">
        <f t="shared" si="175"/>
        <v>31580.669897141266</v>
      </c>
      <c r="EE140" s="743">
        <v>588</v>
      </c>
      <c r="EF140" s="723">
        <f t="shared" si="176"/>
        <v>-3604.7715484406926</v>
      </c>
      <c r="EH140" s="798">
        <v>-5442.2502190568721</v>
      </c>
      <c r="EI140" s="101">
        <f>VLOOKUP(A140,'кошти 01.01.24'!$A$9:$D$352,4,FALSE)</f>
        <v>-7586.0473826786774</v>
      </c>
    </row>
    <row r="141" spans="1:139" ht="14.4" hidden="1" customHeight="1" x14ac:dyDescent="0.3">
      <c r="A141" s="318">
        <v>150000580</v>
      </c>
      <c r="B141" s="43" t="s">
        <v>568</v>
      </c>
      <c r="C141" s="44" t="s">
        <v>84</v>
      </c>
      <c r="D141" s="44" t="s">
        <v>84</v>
      </c>
      <c r="E141" s="39">
        <f t="shared" si="125"/>
        <v>188.4</v>
      </c>
      <c r="F141" s="205">
        <f>'[1]побудинковий звіт'!F141</f>
        <v>188.4</v>
      </c>
      <c r="G141" s="29">
        <f>'[1]побудинковий звіт'!G141</f>
        <v>0</v>
      </c>
      <c r="H141" s="148">
        <f>'[1]побудинковий звіт'!H141</f>
        <v>0</v>
      </c>
      <c r="I141" s="41">
        <f>'[2]побудинковий звіт'!I141+'[1]побудинковий звіт'!I141</f>
        <v>0</v>
      </c>
      <c r="J141" s="41">
        <f>'[2]побудинковий звіт'!J141+'[1]побудинковий звіт'!J141</f>
        <v>0</v>
      </c>
      <c r="K141" s="55">
        <f t="shared" si="126"/>
        <v>0</v>
      </c>
      <c r="L141" s="41">
        <f>'[2]побудинковий звіт'!L141+'[1]побудинковий звіт'!L141</f>
        <v>0</v>
      </c>
      <c r="M141" s="41">
        <f>'[2]побудинковий звіт'!M141+'[1]побудинковий звіт'!M141</f>
        <v>0</v>
      </c>
      <c r="N141" s="55">
        <f t="shared" si="127"/>
        <v>0</v>
      </c>
      <c r="O141" s="41">
        <f>'[2]побудинковий звіт'!O141+'[1]побудинковий звіт'!O141</f>
        <v>0</v>
      </c>
      <c r="P141" s="41">
        <f>'[2]побудинковий звіт'!P141+'[1]побудинковий звіт'!P141</f>
        <v>0</v>
      </c>
      <c r="Q141" s="55">
        <f t="shared" si="128"/>
        <v>0</v>
      </c>
      <c r="R141" s="41">
        <f>'[2]побудинковий звіт'!R141+'[1]побудинковий звіт'!R141</f>
        <v>0</v>
      </c>
      <c r="S141" s="41">
        <f>'[2]побудинковий звіт'!S141+'[1]побудинковий звіт'!S141</f>
        <v>0</v>
      </c>
      <c r="T141" s="55">
        <f t="shared" si="129"/>
        <v>0</v>
      </c>
      <c r="U141" s="41">
        <f>'[2]побудинковий звіт'!U141+'[1]побудинковий звіт'!U141</f>
        <v>0</v>
      </c>
      <c r="V141" s="41">
        <f>'[2]побудинковий звіт'!V141+'[1]побудинковий звіт'!V141</f>
        <v>0</v>
      </c>
      <c r="W141" s="55">
        <f t="shared" si="130"/>
        <v>0</v>
      </c>
      <c r="X141" s="41">
        <f>'[2]побудинковий звіт'!X141+'[1]побудинковий звіт'!X141</f>
        <v>0</v>
      </c>
      <c r="Y141" s="41">
        <f>'[2]побудинковий звіт'!Y141+'[1]побудинковий звіт'!Y141</f>
        <v>0</v>
      </c>
      <c r="Z141" s="55">
        <f t="shared" si="131"/>
        <v>0</v>
      </c>
      <c r="AA141" s="41">
        <f>'[2]побудинковий звіт'!AA141+'[1]побудинковий звіт'!AA141</f>
        <v>0</v>
      </c>
      <c r="AB141" s="41">
        <f>'[2]побудинковий звіт'!AB141+'[1]побудинковий звіт'!AB141</f>
        <v>0</v>
      </c>
      <c r="AC141" s="55">
        <f t="shared" si="132"/>
        <v>0</v>
      </c>
      <c r="AD141" s="41">
        <f>'[2]побудинковий звіт'!AD141+'[1]побудинковий звіт'!AD141</f>
        <v>0</v>
      </c>
      <c r="AE141" s="41">
        <f>'[2]побудинковий звіт'!AE141+'[1]побудинковий звіт'!AE141</f>
        <v>0</v>
      </c>
      <c r="AF141" s="36">
        <f t="shared" si="133"/>
        <v>0</v>
      </c>
      <c r="AG141" s="84">
        <f t="shared" si="134"/>
        <v>0</v>
      </c>
      <c r="AH141" s="56">
        <f t="shared" si="135"/>
        <v>0</v>
      </c>
      <c r="AI141" s="55">
        <f t="shared" si="136"/>
        <v>0</v>
      </c>
      <c r="AJ141" s="41">
        <f>'[2]побудинковий звіт'!AJ141+'[1]побудинковий звіт'!AJ141</f>
        <v>0</v>
      </c>
      <c r="AK141" s="41">
        <f>'[2]побудинковий звіт'!AK141+'[1]побудинковий звіт'!AK141</f>
        <v>0</v>
      </c>
      <c r="AL141" s="55">
        <f t="shared" si="137"/>
        <v>0</v>
      </c>
      <c r="AM141" s="41">
        <f>'[2]побудинковий звіт'!AM141+'[1]побудинковий звіт'!AM141</f>
        <v>0</v>
      </c>
      <c r="AN141" s="41">
        <f>'[2]побудинковий звіт'!AN141+'[1]побудинковий звіт'!AN141</f>
        <v>0</v>
      </c>
      <c r="AO141" s="55">
        <f t="shared" si="138"/>
        <v>0</v>
      </c>
      <c r="AP141" s="41">
        <f>'[2]побудинковий звіт'!AP141+'[1]побудинковий звіт'!AP141</f>
        <v>134.07533442555194</v>
      </c>
      <c r="AQ141" s="41">
        <f>'[2]побудинковий звіт'!AQ141+'[1]побудинковий звіт'!AQ141</f>
        <v>70.237692115805615</v>
      </c>
      <c r="AR141" s="55">
        <f t="shared" si="139"/>
        <v>-63.837642309746329</v>
      </c>
      <c r="AS141" s="41">
        <f>'[2]побудинковий звіт'!AS141+'[1]побудинковий звіт'!AS141</f>
        <v>2212.6415531801345</v>
      </c>
      <c r="AT141" s="41">
        <f>'[2]побудинковий звіт'!AT141+'[1]побудинковий звіт'!AT141</f>
        <v>8085.071866928437</v>
      </c>
      <c r="AU141" s="57">
        <f t="shared" si="140"/>
        <v>5872.4303137483021</v>
      </c>
      <c r="AV141" s="41">
        <f>'[2]побудинковий звіт'!AV141+'[1]побудинковий звіт'!AV141</f>
        <v>0</v>
      </c>
      <c r="AW141" s="41">
        <f>'[2]побудинковий звіт'!AW141+'[1]побудинковий звіт'!AW141</f>
        <v>0</v>
      </c>
      <c r="AX141" s="58">
        <f t="shared" si="141"/>
        <v>0</v>
      </c>
      <c r="AY141" s="41">
        <f>'[2]побудинковий звіт'!AY141+'[1]побудинковий звіт'!AY141</f>
        <v>0</v>
      </c>
      <c r="AZ141" s="41">
        <f>'[2]побудинковий звіт'!AZ141+'[1]побудинковий звіт'!AZ141</f>
        <v>0</v>
      </c>
      <c r="BA141" s="36">
        <f t="shared" si="142"/>
        <v>0</v>
      </c>
      <c r="BB141" s="41">
        <f>'[2]побудинковий звіт'!BB141+'[1]побудинковий звіт'!BB141</f>
        <v>0</v>
      </c>
      <c r="BC141" s="41">
        <f>'[2]побудинковий звіт'!BC141+'[1]побудинковий звіт'!BC141</f>
        <v>0</v>
      </c>
      <c r="BD141" s="58">
        <f t="shared" si="143"/>
        <v>0</v>
      </c>
      <c r="BE141" s="41">
        <f>'[2]побудинковий звіт'!BE141+'[1]побудинковий звіт'!BE141</f>
        <v>0</v>
      </c>
      <c r="BF141" s="41">
        <f>'[2]побудинковий звіт'!BF141+'[1]побудинковий звіт'!BF141</f>
        <v>0</v>
      </c>
      <c r="BG141" s="38">
        <f t="shared" si="144"/>
        <v>0</v>
      </c>
      <c r="BH141" s="41">
        <f>'[2]побудинковий звіт'!BH141+'[1]побудинковий звіт'!BH141</f>
        <v>0</v>
      </c>
      <c r="BI141" s="41">
        <f>'[2]побудинковий звіт'!BI141+'[1]побудинковий звіт'!BI141</f>
        <v>0</v>
      </c>
      <c r="BJ141" s="58">
        <f t="shared" si="145"/>
        <v>0</v>
      </c>
      <c r="BK141" s="41">
        <f>'[2]побудинковий звіт'!BK141+'[1]побудинковий звіт'!BK141</f>
        <v>0</v>
      </c>
      <c r="BL141" s="41">
        <f>'[2]побудинковий звіт'!BL141+'[1]побудинковий звіт'!BL141</f>
        <v>0</v>
      </c>
      <c r="BM141" s="38">
        <f t="shared" si="146"/>
        <v>0</v>
      </c>
      <c r="BN141" s="41">
        <f>'[2]побудинковий звіт'!BN141+'[1]побудинковий звіт'!BN141</f>
        <v>0</v>
      </c>
      <c r="BO141" s="41">
        <f>'[2]побудинковий звіт'!BO141+'[1]побудинковий звіт'!BO141</f>
        <v>0</v>
      </c>
      <c r="BP141" s="58">
        <f t="shared" si="147"/>
        <v>0</v>
      </c>
      <c r="BQ141" s="84">
        <f t="shared" si="148"/>
        <v>0</v>
      </c>
      <c r="BR141" s="42">
        <f t="shared" si="149"/>
        <v>0</v>
      </c>
      <c r="BS141" s="58">
        <f t="shared" si="150"/>
        <v>0</v>
      </c>
      <c r="BT141" s="41">
        <f>'[2]побудинковий звіт'!BT141+'[1]побудинковий звіт'!BT141</f>
        <v>194.30933278916712</v>
      </c>
      <c r="BU141" s="41">
        <f>'[2]побудинковий звіт'!BU141+'[1]побудинковий звіт'!BU141</f>
        <v>508.76466001346483</v>
      </c>
      <c r="BV141" s="55">
        <f t="shared" si="151"/>
        <v>314.45532722429772</v>
      </c>
      <c r="BW141" s="41">
        <f>'[2]побудинковий звіт'!BW141+'[1]побудинковий звіт'!BW141</f>
        <v>0</v>
      </c>
      <c r="BX141" s="41">
        <f>'[2]побудинковий звіт'!BX141+'[1]побудинковий звіт'!BX141</f>
        <v>0.76684304844279472</v>
      </c>
      <c r="BY141" s="55">
        <f t="shared" si="152"/>
        <v>0.76684304844279472</v>
      </c>
      <c r="BZ141" s="41">
        <f>'[2]побудинковий звіт'!BZ141+'[1]побудинковий звіт'!BZ141</f>
        <v>38.197029657690422</v>
      </c>
      <c r="CA141" s="41">
        <f>'[2]побудинковий звіт'!CA141+'[1]побудинковий звіт'!CA141</f>
        <v>45.997196292047221</v>
      </c>
      <c r="CB141" s="55">
        <f t="shared" si="153"/>
        <v>7.800166634356799</v>
      </c>
      <c r="CC141" s="41">
        <f>'[2]побудинковий звіт'!CC141+'[1]побудинковий звіт'!CC141</f>
        <v>0</v>
      </c>
      <c r="CD141" s="41">
        <f>'[2]побудинковий звіт'!CD141+'[1]побудинковий звіт'!CD141</f>
        <v>0</v>
      </c>
      <c r="CE141" s="55">
        <f t="shared" si="154"/>
        <v>0</v>
      </c>
      <c r="CF141" s="41">
        <f>'[2]побудинковий звіт'!CF141+'[1]побудинковий звіт'!CF141</f>
        <v>0</v>
      </c>
      <c r="CG141" s="41">
        <f>'[2]побудинковий звіт'!CG141+'[1]побудинковий звіт'!CG141</f>
        <v>0</v>
      </c>
      <c r="CH141" s="55">
        <f t="shared" si="155"/>
        <v>0</v>
      </c>
      <c r="CI141" s="41">
        <f>'[2]побудинковий звіт'!CI141+'[1]побудинковий звіт'!CI141</f>
        <v>0</v>
      </c>
      <c r="CJ141" s="41">
        <f>'[2]побудинковий звіт'!CJ141+'[1]побудинковий звіт'!CJ141</f>
        <v>0</v>
      </c>
      <c r="CK141" s="55">
        <f t="shared" si="156"/>
        <v>0</v>
      </c>
      <c r="CL141" s="41">
        <f>'[2]побудинковий звіт'!CL141+'[1]побудинковий звіт'!CL141</f>
        <v>0</v>
      </c>
      <c r="CM141" s="41">
        <f>'[2]побудинковий звіт'!CM141+'[1]побудинковий звіт'!CM141</f>
        <v>0</v>
      </c>
      <c r="CN141" s="55">
        <f t="shared" si="157"/>
        <v>0</v>
      </c>
      <c r="CO141" s="41">
        <f t="shared" si="158"/>
        <v>0</v>
      </c>
      <c r="CP141" s="42">
        <f t="shared" si="159"/>
        <v>0</v>
      </c>
      <c r="CQ141" s="55">
        <f t="shared" si="160"/>
        <v>0</v>
      </c>
      <c r="CR141" s="76">
        <f t="shared" si="161"/>
        <v>2579.2232500525438</v>
      </c>
      <c r="CS141" s="5">
        <f t="shared" si="162"/>
        <v>8710.8382583981984</v>
      </c>
      <c r="CT141" s="55">
        <f t="shared" si="163"/>
        <v>6131.6150083456541</v>
      </c>
      <c r="CU141" s="84">
        <f t="shared" si="164"/>
        <v>3095.0679000630525</v>
      </c>
      <c r="CV141" s="68">
        <f t="shared" si="165"/>
        <v>10453.005910077838</v>
      </c>
      <c r="CW141" s="36">
        <f t="shared" si="166"/>
        <v>7357.9380100147855</v>
      </c>
      <c r="CX141" s="41">
        <f>'[2]побудинковий звіт'!CX141+'[1]побудинковий звіт'!CX141</f>
        <v>93.296480040769637</v>
      </c>
      <c r="CY141" s="41">
        <f>'[2]побудинковий звіт'!CY141+'[1]побудинковий звіт'!CY141</f>
        <v>-7264.6415299740156</v>
      </c>
      <c r="CZ141" s="55">
        <f t="shared" si="167"/>
        <v>-7357.9380100147855</v>
      </c>
      <c r="DA141" s="254">
        <f>'[1]побудинковий звіт'!DA141</f>
        <v>1449.7972545335006</v>
      </c>
      <c r="DB141" s="2">
        <v>3</v>
      </c>
      <c r="DC141" s="702">
        <f>'[1]побудинковий звіт'!DC141</f>
        <v>351.8</v>
      </c>
      <c r="DD141" s="702">
        <f>'[1]побудинковий звіт'!DD141</f>
        <v>0</v>
      </c>
      <c r="DE141" s="702">
        <f>'[1]побудинковий звіт'!DE141</f>
        <v>0</v>
      </c>
      <c r="DF141" s="702">
        <f>'[1]побудинковий звіт'!DF141</f>
        <v>0</v>
      </c>
      <c r="DG141" s="772">
        <v>-3264.7690640857741</v>
      </c>
      <c r="DH141" s="746">
        <f t="shared" si="168"/>
        <v>38260.372561245866</v>
      </c>
      <c r="DI141" s="769"/>
      <c r="DJ141" s="5"/>
      <c r="DK141" s="307">
        <f>VLOOKUP($A141,ціни!$A$4:$G$401,5)</f>
        <v>1.324307269953604</v>
      </c>
      <c r="DL141" s="307"/>
      <c r="DM141" s="307">
        <f>VLOOKUP($A141,ціни!$A$4:$G$401,7)</f>
        <v>1.324307269953604</v>
      </c>
      <c r="DN141" s="29">
        <f t="shared" si="177"/>
        <v>249.49948965925901</v>
      </c>
      <c r="DO141" s="29">
        <f t="shared" si="178"/>
        <v>0</v>
      </c>
      <c r="DP141" s="306">
        <f t="shared" si="169"/>
        <v>249.49948965925901</v>
      </c>
      <c r="DQ141" s="101"/>
      <c r="DR141" s="29">
        <f>VLOOKUP(A141,'ДЗ нас '!$A$1:$C$359,2)</f>
        <v>249.5</v>
      </c>
      <c r="DS141" s="733"/>
      <c r="DT141" s="29">
        <f t="shared" si="170"/>
        <v>249.5</v>
      </c>
      <c r="DU141" s="247">
        <f>VLOOKUP(A141,'новий кошторис с 01.06'!$A$4:$AI$399,35)*1.2</f>
        <v>250.71656034052373</v>
      </c>
      <c r="DV141" s="29">
        <f t="shared" si="171"/>
        <v>-1.2165603405237277</v>
      </c>
      <c r="DW141" s="1016">
        <f>'[2]побудинковий звіт'!$DW$9+'[1]побудинковий звіт'!DW141</f>
        <v>0</v>
      </c>
      <c r="DX141" s="101">
        <f>'[1]побудинковий звіт'!DX141</f>
        <v>0</v>
      </c>
      <c r="DY141" s="5">
        <f t="shared" si="172"/>
        <v>2655.1698638161611</v>
      </c>
      <c r="DZ141" s="5">
        <f t="shared" si="173"/>
        <v>9702.0862403141236</v>
      </c>
      <c r="EA141" s="737">
        <f t="shared" si="174"/>
        <v>0</v>
      </c>
      <c r="EC141" s="577">
        <f t="shared" si="175"/>
        <v>26551.698638161615</v>
      </c>
      <c r="EE141" s="743">
        <v>-1707</v>
      </c>
      <c r="EF141" s="723">
        <f t="shared" si="176"/>
        <v>-4971.7690640857745</v>
      </c>
      <c r="EH141" s="798">
        <v>-4019.8110796745459</v>
      </c>
      <c r="EI141" s="101">
        <f>VLOOKUP(A141,'кошти 01.01.24'!$A$9:$D$352,4,FALSE)</f>
        <v>-5908.1407554812822</v>
      </c>
    </row>
    <row r="142" spans="1:139" hidden="1" x14ac:dyDescent="0.3">
      <c r="A142" s="318">
        <v>150001054</v>
      </c>
      <c r="B142" s="43" t="s">
        <v>569</v>
      </c>
      <c r="C142" s="44" t="s">
        <v>85</v>
      </c>
      <c r="D142" s="44" t="s">
        <v>85</v>
      </c>
      <c r="E142" s="39">
        <f t="shared" si="125"/>
        <v>195.4</v>
      </c>
      <c r="F142" s="205">
        <f>'[1]побудинковий звіт'!F142</f>
        <v>195.4</v>
      </c>
      <c r="G142" s="29">
        <f>'[1]побудинковий звіт'!G142</f>
        <v>0</v>
      </c>
      <c r="H142" s="148">
        <f>'[1]побудинковий звіт'!H142</f>
        <v>0</v>
      </c>
      <c r="I142" s="41">
        <f>'[2]побудинковий звіт'!I142+'[1]побудинковий звіт'!I142</f>
        <v>0</v>
      </c>
      <c r="J142" s="41">
        <f>'[2]побудинковий звіт'!J142+'[1]побудинковий звіт'!J142</f>
        <v>0</v>
      </c>
      <c r="K142" s="55">
        <f t="shared" si="126"/>
        <v>0</v>
      </c>
      <c r="L142" s="41">
        <f>'[2]побудинковий звіт'!L142+'[1]побудинковий звіт'!L142</f>
        <v>0</v>
      </c>
      <c r="M142" s="41">
        <f>'[2]побудинковий звіт'!M142+'[1]побудинковий звіт'!M142</f>
        <v>0</v>
      </c>
      <c r="N142" s="55">
        <f t="shared" si="127"/>
        <v>0</v>
      </c>
      <c r="O142" s="41">
        <f>'[2]побудинковий звіт'!O142+'[1]побудинковий звіт'!O142</f>
        <v>0</v>
      </c>
      <c r="P142" s="41">
        <f>'[2]побудинковий звіт'!P142+'[1]побудинковий звіт'!P142</f>
        <v>0</v>
      </c>
      <c r="Q142" s="55">
        <f t="shared" si="128"/>
        <v>0</v>
      </c>
      <c r="R142" s="41">
        <f>'[2]побудинковий звіт'!R142+'[1]побудинковий звіт'!R142</f>
        <v>0</v>
      </c>
      <c r="S142" s="41">
        <f>'[2]побудинковий звіт'!S142+'[1]побудинковий звіт'!S142</f>
        <v>0</v>
      </c>
      <c r="T142" s="55">
        <f t="shared" si="129"/>
        <v>0</v>
      </c>
      <c r="U142" s="41">
        <f>'[2]побудинковий звіт'!U142+'[1]побудинковий звіт'!U142</f>
        <v>0</v>
      </c>
      <c r="V142" s="41">
        <f>'[2]побудинковий звіт'!V142+'[1]побудинковий звіт'!V142</f>
        <v>0</v>
      </c>
      <c r="W142" s="55">
        <f t="shared" si="130"/>
        <v>0</v>
      </c>
      <c r="X142" s="41">
        <f>'[2]побудинковий звіт'!X142+'[1]побудинковий звіт'!X142</f>
        <v>0</v>
      </c>
      <c r="Y142" s="41">
        <f>'[2]побудинковий звіт'!Y142+'[1]побудинковий звіт'!Y142</f>
        <v>0</v>
      </c>
      <c r="Z142" s="55">
        <f t="shared" si="131"/>
        <v>0</v>
      </c>
      <c r="AA142" s="41">
        <f>'[2]побудинковий звіт'!AA142+'[1]побудинковий звіт'!AA142</f>
        <v>0</v>
      </c>
      <c r="AB142" s="41">
        <f>'[2]побудинковий звіт'!AB142+'[1]побудинковий звіт'!AB142</f>
        <v>0</v>
      </c>
      <c r="AC142" s="55">
        <f t="shared" si="132"/>
        <v>0</v>
      </c>
      <c r="AD142" s="41">
        <f>'[2]побудинковий звіт'!AD142+'[1]побудинковий звіт'!AD142</f>
        <v>0</v>
      </c>
      <c r="AE142" s="41">
        <f>'[2]побудинковий звіт'!AE142+'[1]побудинковий звіт'!AE142</f>
        <v>0</v>
      </c>
      <c r="AF142" s="36">
        <f t="shared" si="133"/>
        <v>0</v>
      </c>
      <c r="AG142" s="84">
        <f t="shared" si="134"/>
        <v>0</v>
      </c>
      <c r="AH142" s="56">
        <f t="shared" si="135"/>
        <v>0</v>
      </c>
      <c r="AI142" s="55">
        <f t="shared" si="136"/>
        <v>0</v>
      </c>
      <c r="AJ142" s="41">
        <f>'[2]побудинковий звіт'!AJ142+'[1]побудинковий звіт'!AJ142</f>
        <v>0</v>
      </c>
      <c r="AK142" s="41">
        <f>'[2]побудинковий звіт'!AK142+'[1]побудинковий звіт'!AK142</f>
        <v>0</v>
      </c>
      <c r="AL142" s="55">
        <f t="shared" si="137"/>
        <v>0</v>
      </c>
      <c r="AM142" s="41">
        <f>'[2]побудинковий звіт'!AM142+'[1]побудинковий звіт'!AM142</f>
        <v>0</v>
      </c>
      <c r="AN142" s="41">
        <f>'[2]побудинковий звіт'!AN142+'[1]побудинковий звіт'!AN142</f>
        <v>0</v>
      </c>
      <c r="AO142" s="55">
        <f t="shared" si="138"/>
        <v>0</v>
      </c>
      <c r="AP142" s="41">
        <f>'[2]побудинковий звіт'!AP142+'[1]побудинковий звіт'!AP142</f>
        <v>268.15066885110389</v>
      </c>
      <c r="AQ142" s="41">
        <f>'[2]побудинковий звіт'!AQ142+'[1]побудинковий звіт'!AQ142</f>
        <v>97.58525263116573</v>
      </c>
      <c r="AR142" s="55">
        <f t="shared" si="139"/>
        <v>-170.56541621993816</v>
      </c>
      <c r="AS142" s="41">
        <f>'[2]побудинковий звіт'!AS142+'[1]побудинковий звіт'!AS142</f>
        <v>2401.7023545912816</v>
      </c>
      <c r="AT142" s="41">
        <f>'[2]побудинковий звіт'!AT142+'[1]побудинковий звіт'!AT142</f>
        <v>0</v>
      </c>
      <c r="AU142" s="57">
        <f t="shared" si="140"/>
        <v>-2401.7023545912816</v>
      </c>
      <c r="AV142" s="41">
        <f>'[2]побудинковий звіт'!AV142+'[1]побудинковий звіт'!AV142</f>
        <v>0</v>
      </c>
      <c r="AW142" s="41">
        <f>'[2]побудинковий звіт'!AW142+'[1]побудинковий звіт'!AW142</f>
        <v>0</v>
      </c>
      <c r="AX142" s="58">
        <f t="shared" si="141"/>
        <v>0</v>
      </c>
      <c r="AY142" s="41">
        <f>'[2]побудинковий звіт'!AY142+'[1]побудинковий звіт'!AY142</f>
        <v>0</v>
      </c>
      <c r="AZ142" s="41">
        <f>'[2]побудинковий звіт'!AZ142+'[1]побудинковий звіт'!AZ142</f>
        <v>0</v>
      </c>
      <c r="BA142" s="36">
        <f t="shared" si="142"/>
        <v>0</v>
      </c>
      <c r="BB142" s="41">
        <f>'[2]побудинковий звіт'!BB142+'[1]побудинковий звіт'!BB142</f>
        <v>0</v>
      </c>
      <c r="BC142" s="41">
        <f>'[2]побудинковий звіт'!BC142+'[1]побудинковий звіт'!BC142</f>
        <v>0</v>
      </c>
      <c r="BD142" s="58">
        <f t="shared" si="143"/>
        <v>0</v>
      </c>
      <c r="BE142" s="41">
        <f>'[2]побудинковий звіт'!BE142+'[1]побудинковий звіт'!BE142</f>
        <v>0</v>
      </c>
      <c r="BF142" s="41">
        <f>'[2]побудинковий звіт'!BF142+'[1]побудинковий звіт'!BF142</f>
        <v>0</v>
      </c>
      <c r="BG142" s="38">
        <f t="shared" si="144"/>
        <v>0</v>
      </c>
      <c r="BH142" s="41">
        <f>'[2]побудинковий звіт'!BH142+'[1]побудинковий звіт'!BH142</f>
        <v>0</v>
      </c>
      <c r="BI142" s="41">
        <f>'[2]побудинковий звіт'!BI142+'[1]побудинковий звіт'!BI142</f>
        <v>0</v>
      </c>
      <c r="BJ142" s="58">
        <f t="shared" si="145"/>
        <v>0</v>
      </c>
      <c r="BK142" s="41">
        <f>'[2]побудинковий звіт'!BK142+'[1]побудинковий звіт'!BK142</f>
        <v>0</v>
      </c>
      <c r="BL142" s="41">
        <f>'[2]побудинковий звіт'!BL142+'[1]побудинковий звіт'!BL142</f>
        <v>0</v>
      </c>
      <c r="BM142" s="38">
        <f t="shared" si="146"/>
        <v>0</v>
      </c>
      <c r="BN142" s="41">
        <f>'[2]побудинковий звіт'!BN142+'[1]побудинковий звіт'!BN142</f>
        <v>0</v>
      </c>
      <c r="BO142" s="41">
        <f>'[2]побудинковий звіт'!BO142+'[1]побудинковий звіт'!BO142</f>
        <v>1901.9714648300001</v>
      </c>
      <c r="BP142" s="58">
        <f t="shared" si="147"/>
        <v>1901.9714648300001</v>
      </c>
      <c r="BQ142" s="84">
        <f t="shared" si="148"/>
        <v>0</v>
      </c>
      <c r="BR142" s="42">
        <f t="shared" si="149"/>
        <v>1901.9714648300001</v>
      </c>
      <c r="BS142" s="58">
        <f t="shared" si="150"/>
        <v>1901.9714648300001</v>
      </c>
      <c r="BT142" s="41">
        <f>'[2]побудинковий звіт'!BT142+'[1]побудинковий звіт'!BT142</f>
        <v>218.59799938781305</v>
      </c>
      <c r="BU142" s="41">
        <f>'[2]побудинковий звіт'!BU142+'[1]побудинковий звіт'!BU142</f>
        <v>398.34874790129481</v>
      </c>
      <c r="BV142" s="55">
        <f t="shared" si="151"/>
        <v>179.75074851348177</v>
      </c>
      <c r="BW142" s="41">
        <f>'[2]побудинковий звіт'!BW142+'[1]побудинковий звіт'!BW142</f>
        <v>0</v>
      </c>
      <c r="BX142" s="41">
        <f>'[2]побудинковий звіт'!BX142+'[1]побудинковий звіт'!BX142</f>
        <v>0.79614915220493976</v>
      </c>
      <c r="BY142" s="55">
        <f t="shared" si="152"/>
        <v>0.79614915220493976</v>
      </c>
      <c r="BZ142" s="41">
        <f>'[2]побудинковий звіт'!BZ142+'[1]побудинковий звіт'!BZ142</f>
        <v>42.971658364901714</v>
      </c>
      <c r="CA142" s="41">
        <f>'[2]побудинковий звіт'!CA142+'[1]побудинковий звіт'!CA142</f>
        <v>36.014108762042234</v>
      </c>
      <c r="CB142" s="55">
        <f t="shared" si="153"/>
        <v>-6.9575496028594799</v>
      </c>
      <c r="CC142" s="41">
        <f>'[2]побудинковий звіт'!CC142+'[1]побудинковий звіт'!CC142</f>
        <v>0</v>
      </c>
      <c r="CD142" s="41">
        <f>'[2]побудинковий звіт'!CD142+'[1]побудинковий звіт'!CD142</f>
        <v>0</v>
      </c>
      <c r="CE142" s="55">
        <f t="shared" si="154"/>
        <v>0</v>
      </c>
      <c r="CF142" s="41">
        <f>'[2]побудинковий звіт'!CF142+'[1]побудинковий звіт'!CF142</f>
        <v>0</v>
      </c>
      <c r="CG142" s="41">
        <f>'[2]побудинковий звіт'!CG142+'[1]побудинковий звіт'!CG142</f>
        <v>0</v>
      </c>
      <c r="CH142" s="55">
        <f t="shared" si="155"/>
        <v>0</v>
      </c>
      <c r="CI142" s="41">
        <f>'[2]побудинковий звіт'!CI142+'[1]побудинковий звіт'!CI142</f>
        <v>0</v>
      </c>
      <c r="CJ142" s="41">
        <f>'[2]побудинковий звіт'!CJ142+'[1]побудинковий звіт'!CJ142</f>
        <v>0</v>
      </c>
      <c r="CK142" s="55">
        <f t="shared" si="156"/>
        <v>0</v>
      </c>
      <c r="CL142" s="41">
        <f>'[2]побудинковий звіт'!CL142+'[1]побудинковий звіт'!CL142</f>
        <v>0</v>
      </c>
      <c r="CM142" s="41">
        <f>'[2]побудинковий звіт'!CM142+'[1]побудинковий звіт'!CM142</f>
        <v>0</v>
      </c>
      <c r="CN142" s="55">
        <f t="shared" si="157"/>
        <v>0</v>
      </c>
      <c r="CO142" s="41">
        <f t="shared" si="158"/>
        <v>0</v>
      </c>
      <c r="CP142" s="42">
        <f t="shared" si="159"/>
        <v>0</v>
      </c>
      <c r="CQ142" s="55">
        <f t="shared" si="160"/>
        <v>0</v>
      </c>
      <c r="CR142" s="76">
        <f t="shared" si="161"/>
        <v>2931.4226811951003</v>
      </c>
      <c r="CS142" s="5">
        <f t="shared" si="162"/>
        <v>2434.7157232767081</v>
      </c>
      <c r="CT142" s="55">
        <f t="shared" si="163"/>
        <v>-496.70695791839216</v>
      </c>
      <c r="CU142" s="84">
        <f t="shared" si="164"/>
        <v>3517.7072174341201</v>
      </c>
      <c r="CV142" s="68">
        <f t="shared" si="165"/>
        <v>2921.6588679320498</v>
      </c>
      <c r="CW142" s="36">
        <f t="shared" si="166"/>
        <v>-596.04834950207032</v>
      </c>
      <c r="CX142" s="41">
        <f>'[2]побудинковий звіт'!CX142+'[1]побудинковий звіт'!CX142</f>
        <v>103.04683557418137</v>
      </c>
      <c r="CY142" s="41">
        <f>'[2]побудинковий звіт'!CY142+'[1]побудинковий звіт'!CY142</f>
        <v>699.09518507625216</v>
      </c>
      <c r="CZ142" s="55">
        <f t="shared" si="167"/>
        <v>596.04834950207078</v>
      </c>
      <c r="DA142" s="254">
        <f>'[1]побудинковий звіт'!DA142</f>
        <v>-7097.5923018704434</v>
      </c>
      <c r="DB142" s="2">
        <v>3</v>
      </c>
      <c r="DC142" s="702">
        <f>'[1]побудинковий звіт'!DC142</f>
        <v>296.29000000000002</v>
      </c>
      <c r="DD142" s="702">
        <f>'[1]побудинковий звіт'!DD142</f>
        <v>0</v>
      </c>
      <c r="DE142" s="702">
        <f>'[1]побудинковий звіт'!DE142</f>
        <v>-102.93</v>
      </c>
      <c r="DF142" s="702">
        <f>'[1]побудинковий звіт'!DF142</f>
        <v>0</v>
      </c>
      <c r="DG142" s="772">
        <v>-3094.9754854312205</v>
      </c>
      <c r="DH142" s="746">
        <f t="shared" si="168"/>
        <v>43449.048636099615</v>
      </c>
      <c r="DI142" s="769"/>
      <c r="DJ142" s="5"/>
      <c r="DK142" s="307">
        <f>VLOOKUP($A142,ціни!$A$4:$G$401,5)</f>
        <v>1.4503202773270134</v>
      </c>
      <c r="DL142" s="307"/>
      <c r="DM142" s="307">
        <f>VLOOKUP($A142,ціни!$A$4:$G$401,7)</f>
        <v>1.4503202773270134</v>
      </c>
      <c r="DN142" s="29">
        <f t="shared" si="177"/>
        <v>283.39258218969843</v>
      </c>
      <c r="DO142" s="29">
        <f t="shared" si="178"/>
        <v>0</v>
      </c>
      <c r="DP142" s="306">
        <f t="shared" si="169"/>
        <v>283.39258218969843</v>
      </c>
      <c r="DQ142" s="101"/>
      <c r="DR142" s="29">
        <f>VLOOKUP(A142,'ДЗ нас '!$A$1:$C$359,2)</f>
        <v>283.39</v>
      </c>
      <c r="DS142" s="733"/>
      <c r="DT142" s="29">
        <f t="shared" si="170"/>
        <v>283.39</v>
      </c>
      <c r="DU142" s="247">
        <f>VLOOKUP(A142,'новий кошторис с 01.06'!$A$4:$AI$399,35)*1.2</f>
        <v>285.06646403172562</v>
      </c>
      <c r="DV142" s="29">
        <f t="shared" si="171"/>
        <v>-1.6764640317256294</v>
      </c>
      <c r="DW142" s="1016">
        <f>'[2]побудинковий звіт'!$DW$9+'[1]побудинковий звіт'!DW142</f>
        <v>918</v>
      </c>
      <c r="DX142" s="101">
        <f>'[1]побудинковий звіт'!DX142</f>
        <v>0</v>
      </c>
      <c r="DY142" s="5">
        <f t="shared" si="172"/>
        <v>2882.042825509538</v>
      </c>
      <c r="DZ142" s="5">
        <f t="shared" si="173"/>
        <v>2282.3657577959998</v>
      </c>
      <c r="EA142" s="737">
        <f t="shared" si="174"/>
        <v>-102.93</v>
      </c>
      <c r="EC142" s="577">
        <f t="shared" si="175"/>
        <v>28820.428255095379</v>
      </c>
      <c r="EE142" s="743">
        <v>489</v>
      </c>
      <c r="EF142" s="723">
        <f t="shared" si="176"/>
        <v>-2605.9754854312205</v>
      </c>
      <c r="EH142" s="798">
        <v>-4212.081266114028</v>
      </c>
      <c r="EI142" s="101">
        <f>VLOOKUP(A142,'кошти 01.01.24'!$A$9:$D$352,4,FALSE)</f>
        <v>-6501.5439523683726</v>
      </c>
    </row>
    <row r="143" spans="1:139" hidden="1" x14ac:dyDescent="0.3">
      <c r="A143" s="318">
        <v>150000556</v>
      </c>
      <c r="B143" s="43" t="s">
        <v>573</v>
      </c>
      <c r="C143" s="44" t="s">
        <v>89</v>
      </c>
      <c r="D143" s="44" t="s">
        <v>89</v>
      </c>
      <c r="E143" s="39">
        <f t="shared" si="125"/>
        <v>181.9</v>
      </c>
      <c r="F143" s="205">
        <f>'[1]побудинковий звіт'!F143</f>
        <v>181.9</v>
      </c>
      <c r="G143" s="29">
        <f>'[1]побудинковий звіт'!G143</f>
        <v>0</v>
      </c>
      <c r="H143" s="148">
        <f>'[1]побудинковий звіт'!H143</f>
        <v>0</v>
      </c>
      <c r="I143" s="41">
        <f>'[2]побудинковий звіт'!I143+'[1]побудинковий звіт'!I143</f>
        <v>0</v>
      </c>
      <c r="J143" s="41">
        <f>'[2]побудинковий звіт'!J143+'[1]побудинковий звіт'!J143</f>
        <v>0</v>
      </c>
      <c r="K143" s="55">
        <f t="shared" si="126"/>
        <v>0</v>
      </c>
      <c r="L143" s="41">
        <f>'[2]побудинковий звіт'!L143+'[1]побудинковий звіт'!L143</f>
        <v>0</v>
      </c>
      <c r="M143" s="41">
        <f>'[2]побудинковий звіт'!M143+'[1]побудинковий звіт'!M143</f>
        <v>0</v>
      </c>
      <c r="N143" s="55">
        <f t="shared" si="127"/>
        <v>0</v>
      </c>
      <c r="O143" s="41">
        <f>'[2]побудинковий звіт'!O143+'[1]побудинковий звіт'!O143</f>
        <v>0</v>
      </c>
      <c r="P143" s="41">
        <f>'[2]побудинковий звіт'!P143+'[1]побудинковий звіт'!P143</f>
        <v>0</v>
      </c>
      <c r="Q143" s="55">
        <f t="shared" si="128"/>
        <v>0</v>
      </c>
      <c r="R143" s="41">
        <f>'[2]побудинковий звіт'!R143+'[1]побудинковий звіт'!R143</f>
        <v>0</v>
      </c>
      <c r="S143" s="41">
        <f>'[2]побудинковий звіт'!S143+'[1]побудинковий звіт'!S143</f>
        <v>0</v>
      </c>
      <c r="T143" s="55">
        <f t="shared" si="129"/>
        <v>0</v>
      </c>
      <c r="U143" s="41">
        <f>'[2]побудинковий звіт'!U143+'[1]побудинковий звіт'!U143</f>
        <v>0</v>
      </c>
      <c r="V143" s="41">
        <f>'[2]побудинковий звіт'!V143+'[1]побудинковий звіт'!V143</f>
        <v>0</v>
      </c>
      <c r="W143" s="55">
        <f t="shared" si="130"/>
        <v>0</v>
      </c>
      <c r="X143" s="41">
        <f>'[2]побудинковий звіт'!X143+'[1]побудинковий звіт'!X143</f>
        <v>0</v>
      </c>
      <c r="Y143" s="41">
        <f>'[2]побудинковий звіт'!Y143+'[1]побудинковий звіт'!Y143</f>
        <v>0</v>
      </c>
      <c r="Z143" s="55">
        <f t="shared" si="131"/>
        <v>0</v>
      </c>
      <c r="AA143" s="41">
        <f>'[2]побудинковий звіт'!AA143+'[1]побудинковий звіт'!AA143</f>
        <v>0</v>
      </c>
      <c r="AB143" s="41">
        <f>'[2]побудинковий звіт'!AB143+'[1]побудинковий звіт'!AB143</f>
        <v>0</v>
      </c>
      <c r="AC143" s="55">
        <f t="shared" si="132"/>
        <v>0</v>
      </c>
      <c r="AD143" s="41">
        <f>'[2]побудинковий звіт'!AD143+'[1]побудинковий звіт'!AD143</f>
        <v>0</v>
      </c>
      <c r="AE143" s="41">
        <f>'[2]побудинковий звіт'!AE143+'[1]побудинковий звіт'!AE143</f>
        <v>0</v>
      </c>
      <c r="AF143" s="36">
        <f t="shared" si="133"/>
        <v>0</v>
      </c>
      <c r="AG143" s="84">
        <f t="shared" si="134"/>
        <v>0</v>
      </c>
      <c r="AH143" s="56">
        <f t="shared" si="135"/>
        <v>0</v>
      </c>
      <c r="AI143" s="55">
        <f t="shared" si="136"/>
        <v>0</v>
      </c>
      <c r="AJ143" s="41">
        <f>'[2]побудинковий звіт'!AJ143+'[1]побудинковий звіт'!AJ143</f>
        <v>0</v>
      </c>
      <c r="AK143" s="41">
        <f>'[2]побудинковий звіт'!AK143+'[1]побудинковий звіт'!AK143</f>
        <v>0</v>
      </c>
      <c r="AL143" s="55">
        <f t="shared" si="137"/>
        <v>0</v>
      </c>
      <c r="AM143" s="41">
        <f>'[2]побудинковий звіт'!AM143+'[1]побудинковий звіт'!AM143</f>
        <v>0</v>
      </c>
      <c r="AN143" s="41">
        <f>'[2]побудинковий звіт'!AN143+'[1]побудинковий звіт'!AN143</f>
        <v>0</v>
      </c>
      <c r="AO143" s="55">
        <f t="shared" si="138"/>
        <v>0</v>
      </c>
      <c r="AP143" s="41">
        <f>'[2]побудинковий звіт'!AP143+'[1]побудинковий звіт'!AP143</f>
        <v>312.84244699295448</v>
      </c>
      <c r="AQ143" s="41">
        <f>'[2]побудинковий звіт'!AQ143+'[1]побудинковий звіт'!AQ143</f>
        <v>93.650256154407487</v>
      </c>
      <c r="AR143" s="55">
        <f t="shared" si="139"/>
        <v>-219.19219083854699</v>
      </c>
      <c r="AS143" s="41">
        <f>'[2]побудинковий звіт'!AS143+'[1]побудинковий звіт'!AS143</f>
        <v>2745.9363337031518</v>
      </c>
      <c r="AT143" s="41">
        <f>'[2]побудинковий звіт'!AT143+'[1]побудинковий звіт'!AT143</f>
        <v>0</v>
      </c>
      <c r="AU143" s="57">
        <f t="shared" si="140"/>
        <v>-2745.9363337031518</v>
      </c>
      <c r="AV143" s="41">
        <f>'[2]побудинковий звіт'!AV143+'[1]побудинковий звіт'!AV143</f>
        <v>0</v>
      </c>
      <c r="AW143" s="41">
        <f>'[2]побудинковий звіт'!AW143+'[1]побудинковий звіт'!AW143</f>
        <v>0</v>
      </c>
      <c r="AX143" s="58">
        <f t="shared" si="141"/>
        <v>0</v>
      </c>
      <c r="AY143" s="41">
        <f>'[2]побудинковий звіт'!AY143+'[1]побудинковий звіт'!AY143</f>
        <v>0</v>
      </c>
      <c r="AZ143" s="41">
        <f>'[2]побудинковий звіт'!AZ143+'[1]побудинковий звіт'!AZ143</f>
        <v>0</v>
      </c>
      <c r="BA143" s="36">
        <f t="shared" si="142"/>
        <v>0</v>
      </c>
      <c r="BB143" s="41">
        <f>'[2]побудинковий звіт'!BB143+'[1]побудинковий звіт'!BB143</f>
        <v>0</v>
      </c>
      <c r="BC143" s="41">
        <f>'[2]побудинковий звіт'!BC143+'[1]побудинковий звіт'!BC143</f>
        <v>0</v>
      </c>
      <c r="BD143" s="58">
        <f t="shared" si="143"/>
        <v>0</v>
      </c>
      <c r="BE143" s="41">
        <f>'[2]побудинковий звіт'!BE143+'[1]побудинковий звіт'!BE143</f>
        <v>0</v>
      </c>
      <c r="BF143" s="41">
        <f>'[2]побудинковий звіт'!BF143+'[1]побудинковий звіт'!BF143</f>
        <v>0</v>
      </c>
      <c r="BG143" s="38">
        <f t="shared" si="144"/>
        <v>0</v>
      </c>
      <c r="BH143" s="41">
        <f>'[2]побудинковий звіт'!BH143+'[1]побудинковий звіт'!BH143</f>
        <v>0</v>
      </c>
      <c r="BI143" s="41">
        <f>'[2]побудинковий звіт'!BI143+'[1]побудинковий звіт'!BI143</f>
        <v>0</v>
      </c>
      <c r="BJ143" s="58">
        <f t="shared" si="145"/>
        <v>0</v>
      </c>
      <c r="BK143" s="41">
        <f>'[2]побудинковий звіт'!BK143+'[1]побудинковий звіт'!BK143</f>
        <v>0</v>
      </c>
      <c r="BL143" s="41">
        <f>'[2]побудинковий звіт'!BL143+'[1]побудинковий звіт'!BL143</f>
        <v>0</v>
      </c>
      <c r="BM143" s="38">
        <f t="shared" si="146"/>
        <v>0</v>
      </c>
      <c r="BN143" s="41">
        <f>'[2]побудинковий звіт'!BN143+'[1]побудинковий звіт'!BN143</f>
        <v>0</v>
      </c>
      <c r="BO143" s="41">
        <f>'[2]побудинковий звіт'!BO143+'[1]побудинковий звіт'!BO143</f>
        <v>0</v>
      </c>
      <c r="BP143" s="58">
        <f t="shared" si="147"/>
        <v>0</v>
      </c>
      <c r="BQ143" s="84">
        <f t="shared" si="148"/>
        <v>0</v>
      </c>
      <c r="BR143" s="42">
        <f t="shared" si="149"/>
        <v>0</v>
      </c>
      <c r="BS143" s="58">
        <f t="shared" si="150"/>
        <v>0</v>
      </c>
      <c r="BT143" s="41">
        <f>'[2]побудинковий звіт'!BT143+'[1]побудинковий звіт'!BT143</f>
        <v>0</v>
      </c>
      <c r="BU143" s="41">
        <f>'[2]побудинковий звіт'!BU143+'[1]побудинковий звіт'!BU143</f>
        <v>0</v>
      </c>
      <c r="BV143" s="55">
        <f t="shared" si="151"/>
        <v>0</v>
      </c>
      <c r="BW143" s="41">
        <f>'[2]побудинковий звіт'!BW143+'[1]побудинковий звіт'!BW143</f>
        <v>0</v>
      </c>
      <c r="BX143" s="41">
        <f>'[2]побудинковий звіт'!BX143+'[1]побудинковий звіт'!BX143</f>
        <v>0.74038614921308044</v>
      </c>
      <c r="BY143" s="55">
        <f t="shared" si="152"/>
        <v>0.74038614921308044</v>
      </c>
      <c r="BZ143" s="41">
        <f>'[2]побудинковий звіт'!BZ143+'[1]побудинковий звіт'!BZ143</f>
        <v>0</v>
      </c>
      <c r="CA143" s="41">
        <f>'[2]побудинковий звіт'!CA143+'[1]побудинковий звіт'!CA143</f>
        <v>0</v>
      </c>
      <c r="CB143" s="55">
        <f t="shared" si="153"/>
        <v>0</v>
      </c>
      <c r="CC143" s="41">
        <f>'[2]побудинковий звіт'!CC143+'[1]побудинковий звіт'!CC143</f>
        <v>0</v>
      </c>
      <c r="CD143" s="41">
        <f>'[2]побудинковий звіт'!CD143+'[1]побудинковий звіт'!CD143</f>
        <v>0</v>
      </c>
      <c r="CE143" s="55">
        <f t="shared" si="154"/>
        <v>0</v>
      </c>
      <c r="CF143" s="41">
        <f>'[2]побудинковий звіт'!CF143+'[1]побудинковий звіт'!CF143</f>
        <v>0</v>
      </c>
      <c r="CG143" s="41">
        <f>'[2]побудинковий звіт'!CG143+'[1]побудинковий звіт'!CG143</f>
        <v>0</v>
      </c>
      <c r="CH143" s="55">
        <f t="shared" si="155"/>
        <v>0</v>
      </c>
      <c r="CI143" s="41">
        <f>'[2]побудинковий звіт'!CI143+'[1]побудинковий звіт'!CI143</f>
        <v>0</v>
      </c>
      <c r="CJ143" s="41">
        <f>'[2]побудинковий звіт'!CJ143+'[1]побудинковий звіт'!CJ143</f>
        <v>0</v>
      </c>
      <c r="CK143" s="55">
        <f t="shared" si="156"/>
        <v>0</v>
      </c>
      <c r="CL143" s="41">
        <f>'[2]побудинковий звіт'!CL143+'[1]побудинковий звіт'!CL143</f>
        <v>0</v>
      </c>
      <c r="CM143" s="41">
        <f>'[2]побудинковий звіт'!CM143+'[1]побудинковий звіт'!CM143</f>
        <v>0</v>
      </c>
      <c r="CN143" s="55">
        <f t="shared" si="157"/>
        <v>0</v>
      </c>
      <c r="CO143" s="41">
        <f t="shared" si="158"/>
        <v>0</v>
      </c>
      <c r="CP143" s="42">
        <f t="shared" si="159"/>
        <v>0</v>
      </c>
      <c r="CQ143" s="55">
        <f t="shared" si="160"/>
        <v>0</v>
      </c>
      <c r="CR143" s="76">
        <f t="shared" si="161"/>
        <v>3058.7787806961064</v>
      </c>
      <c r="CS143" s="5">
        <f t="shared" si="162"/>
        <v>94.390642303620567</v>
      </c>
      <c r="CT143" s="55">
        <f t="shared" si="163"/>
        <v>-2964.3881383924859</v>
      </c>
      <c r="CU143" s="84">
        <f t="shared" si="164"/>
        <v>3670.5345368353278</v>
      </c>
      <c r="CV143" s="68">
        <f t="shared" si="165"/>
        <v>113.26877076434468</v>
      </c>
      <c r="CW143" s="36">
        <f t="shared" si="166"/>
        <v>-3557.2657660709833</v>
      </c>
      <c r="CX143" s="41">
        <f>'[2]побудинковий звіт'!CX143+'[1]побудинковий звіт'!CX143</f>
        <v>110.5943965091365</v>
      </c>
      <c r="CY143" s="41">
        <f>'[2]побудинковий звіт'!CY143+'[1]побудинковий звіт'!CY143</f>
        <v>3667.8601625801198</v>
      </c>
      <c r="CZ143" s="55">
        <f t="shared" si="167"/>
        <v>3557.2657660709833</v>
      </c>
      <c r="DA143" s="254">
        <f>'[1]побудинковий звіт'!DA143</f>
        <v>-12720.568963075115</v>
      </c>
      <c r="DB143" s="2">
        <v>3</v>
      </c>
      <c r="DC143" s="702">
        <f>'[1]побудинковий звіт'!DC143</f>
        <v>473.61</v>
      </c>
      <c r="DD143" s="702">
        <f>'[1]побудинковий звіт'!DD143</f>
        <v>0</v>
      </c>
      <c r="DE143" s="702">
        <f>'[1]побудинковий звіт'!DE143</f>
        <v>56.639999999999986</v>
      </c>
      <c r="DF143" s="702">
        <f>'[1]побудинковий звіт'!DF143</f>
        <v>0</v>
      </c>
      <c r="DG143" s="772">
        <v>-4746.3821198804235</v>
      </c>
      <c r="DH143" s="746">
        <f t="shared" si="168"/>
        <v>45373.547200133573</v>
      </c>
      <c r="DI143" s="769"/>
      <c r="DJ143" s="5"/>
      <c r="DK143" s="307">
        <f>VLOOKUP($A143,ціни!$A$4:$G$401,5)</f>
        <v>1.6269001721267109</v>
      </c>
      <c r="DL143" s="307"/>
      <c r="DM143" s="307">
        <f>VLOOKUP($A143,ціни!$A$4:$G$401,7)</f>
        <v>1.6269001721267109</v>
      </c>
      <c r="DN143" s="29">
        <f t="shared" si="177"/>
        <v>295.93314130984874</v>
      </c>
      <c r="DO143" s="29">
        <f t="shared" si="178"/>
        <v>0</v>
      </c>
      <c r="DP143" s="306">
        <f t="shared" si="169"/>
        <v>295.93314130984874</v>
      </c>
      <c r="DQ143" s="101"/>
      <c r="DR143" s="29">
        <f>VLOOKUP(A143,'ДЗ нас '!$A$1:$C$359,2)</f>
        <v>295.93</v>
      </c>
      <c r="DS143" s="733"/>
      <c r="DT143" s="29">
        <f t="shared" si="170"/>
        <v>295.93</v>
      </c>
      <c r="DU143" s="247">
        <f>VLOOKUP(A143,'новий кошторис с 01.06'!$A$4:$AI$399,35)*1.2</f>
        <v>297.37671760892113</v>
      </c>
      <c r="DV143" s="29">
        <f t="shared" si="171"/>
        <v>-1.4467176089211193</v>
      </c>
      <c r="DW143" s="1016">
        <f>'[2]побудинковий звіт'!$DW$9+'[1]побудинковий звіт'!DW143</f>
        <v>0</v>
      </c>
      <c r="DX143" s="101">
        <f>'[1]побудинковий звіт'!DX143</f>
        <v>0</v>
      </c>
      <c r="DY143" s="5">
        <f t="shared" si="172"/>
        <v>3295.1236004437819</v>
      </c>
      <c r="DZ143" s="5">
        <f t="shared" si="173"/>
        <v>0</v>
      </c>
      <c r="EA143" s="737">
        <f t="shared" si="174"/>
        <v>56.639999999999986</v>
      </c>
      <c r="EC143" s="577">
        <f t="shared" si="175"/>
        <v>32951.236004437822</v>
      </c>
      <c r="EE143" s="743">
        <v>-2558</v>
      </c>
      <c r="EF143" s="723">
        <f t="shared" si="176"/>
        <v>-7304.3821198804235</v>
      </c>
      <c r="EH143" s="798">
        <v>-6422.4510048689426</v>
      </c>
      <c r="EI143" s="101">
        <f>VLOOKUP(A143,'кошти 01.01.24'!$A$9:$D$352,4,FALSE)</f>
        <v>-9163.3031970041302</v>
      </c>
    </row>
    <row r="144" spans="1:139" ht="14.4" hidden="1" customHeight="1" x14ac:dyDescent="0.3">
      <c r="A144" s="318">
        <v>150000557</v>
      </c>
      <c r="B144" s="43" t="s">
        <v>574</v>
      </c>
      <c r="C144" s="44" t="s">
        <v>90</v>
      </c>
      <c r="D144" s="44" t="s">
        <v>90</v>
      </c>
      <c r="E144" s="39">
        <f t="shared" si="125"/>
        <v>110.2</v>
      </c>
      <c r="F144" s="205">
        <f>'[1]побудинковий звіт'!F144</f>
        <v>110.2</v>
      </c>
      <c r="G144" s="29">
        <f>'[1]побудинковий звіт'!G144</f>
        <v>0</v>
      </c>
      <c r="H144" s="148">
        <f>'[1]побудинковий звіт'!H144</f>
        <v>0</v>
      </c>
      <c r="I144" s="41">
        <f>'[2]побудинковий звіт'!I144+'[1]побудинковий звіт'!I144</f>
        <v>0</v>
      </c>
      <c r="J144" s="41">
        <f>'[2]побудинковий звіт'!J144+'[1]побудинковий звіт'!J144</f>
        <v>0</v>
      </c>
      <c r="K144" s="55">
        <f t="shared" si="126"/>
        <v>0</v>
      </c>
      <c r="L144" s="41">
        <f>'[2]побудинковий звіт'!L144+'[1]побудинковий звіт'!L144</f>
        <v>0</v>
      </c>
      <c r="M144" s="41">
        <f>'[2]побудинковий звіт'!M144+'[1]побудинковий звіт'!M144</f>
        <v>0</v>
      </c>
      <c r="N144" s="55">
        <f t="shared" si="127"/>
        <v>0</v>
      </c>
      <c r="O144" s="41">
        <f>'[2]побудинковий звіт'!O144+'[1]побудинковий звіт'!O144</f>
        <v>0</v>
      </c>
      <c r="P144" s="41">
        <f>'[2]побудинковий звіт'!P144+'[1]побудинковий звіт'!P144</f>
        <v>0</v>
      </c>
      <c r="Q144" s="55">
        <f t="shared" si="128"/>
        <v>0</v>
      </c>
      <c r="R144" s="41">
        <f>'[2]побудинковий звіт'!R144+'[1]побудинковий звіт'!R144</f>
        <v>0</v>
      </c>
      <c r="S144" s="41">
        <f>'[2]побудинковий звіт'!S144+'[1]побудинковий звіт'!S144</f>
        <v>0</v>
      </c>
      <c r="T144" s="55">
        <f t="shared" si="129"/>
        <v>0</v>
      </c>
      <c r="U144" s="41">
        <f>'[2]побудинковий звіт'!U144+'[1]побудинковий звіт'!U144</f>
        <v>0</v>
      </c>
      <c r="V144" s="41">
        <f>'[2]побудинковий звіт'!V144+'[1]побудинковий звіт'!V144</f>
        <v>0</v>
      </c>
      <c r="W144" s="55">
        <f t="shared" si="130"/>
        <v>0</v>
      </c>
      <c r="X144" s="41">
        <f>'[2]побудинковий звіт'!X144+'[1]побудинковий звіт'!X144</f>
        <v>0</v>
      </c>
      <c r="Y144" s="41">
        <f>'[2]побудинковий звіт'!Y144+'[1]побудинковий звіт'!Y144</f>
        <v>0</v>
      </c>
      <c r="Z144" s="55">
        <f t="shared" si="131"/>
        <v>0</v>
      </c>
      <c r="AA144" s="41">
        <f>'[2]побудинковий звіт'!AA144+'[1]побудинковий звіт'!AA144</f>
        <v>0</v>
      </c>
      <c r="AB144" s="41">
        <f>'[2]побудинковий звіт'!AB144+'[1]побудинковий звіт'!AB144</f>
        <v>0</v>
      </c>
      <c r="AC144" s="55">
        <f t="shared" si="132"/>
        <v>0</v>
      </c>
      <c r="AD144" s="41">
        <f>'[2]побудинковий звіт'!AD144+'[1]побудинковий звіт'!AD144</f>
        <v>0</v>
      </c>
      <c r="AE144" s="41">
        <f>'[2]побудинковий звіт'!AE144+'[1]побудинковий звіт'!AE144</f>
        <v>0</v>
      </c>
      <c r="AF144" s="36">
        <f t="shared" si="133"/>
        <v>0</v>
      </c>
      <c r="AG144" s="84">
        <f t="shared" si="134"/>
        <v>0</v>
      </c>
      <c r="AH144" s="56">
        <f t="shared" si="135"/>
        <v>0</v>
      </c>
      <c r="AI144" s="55">
        <f t="shared" si="136"/>
        <v>0</v>
      </c>
      <c r="AJ144" s="41">
        <f>'[2]побудинковий звіт'!AJ144+'[1]побудинковий звіт'!AJ144</f>
        <v>0</v>
      </c>
      <c r="AK144" s="41">
        <f>'[2]побудинковий звіт'!AK144+'[1]побудинковий звіт'!AK144</f>
        <v>0</v>
      </c>
      <c r="AL144" s="55">
        <f t="shared" si="137"/>
        <v>0</v>
      </c>
      <c r="AM144" s="41">
        <f>'[2]побудинковий звіт'!AM144+'[1]побудинковий звіт'!AM144</f>
        <v>0</v>
      </c>
      <c r="AN144" s="41">
        <f>'[2]побудинковий звіт'!AN144+'[1]побудинковий звіт'!AN144</f>
        <v>0</v>
      </c>
      <c r="AO144" s="55">
        <f t="shared" si="138"/>
        <v>0</v>
      </c>
      <c r="AP144" s="41">
        <f>'[2]побудинковий звіт'!AP144+'[1]побудинковий звіт'!AP144</f>
        <v>134.07533442555194</v>
      </c>
      <c r="AQ144" s="41">
        <f>'[2]побудинковий звіт'!AQ144+'[1]побудинковий звіт'!AQ144</f>
        <v>70.237692115805615</v>
      </c>
      <c r="AR144" s="55">
        <f t="shared" si="139"/>
        <v>-63.837642309746329</v>
      </c>
      <c r="AS144" s="41">
        <f>'[2]побудинковий звіт'!AS144+'[1]побудинковий звіт'!AS144</f>
        <v>1767.1782952231304</v>
      </c>
      <c r="AT144" s="41">
        <f>'[2]побудинковий звіт'!AT144+'[1]побудинковий звіт'!AT144</f>
        <v>0</v>
      </c>
      <c r="AU144" s="57">
        <f t="shared" si="140"/>
        <v>-1767.1782952231304</v>
      </c>
      <c r="AV144" s="41">
        <f>'[2]побудинковий звіт'!AV144+'[1]побудинковий звіт'!AV144</f>
        <v>0</v>
      </c>
      <c r="AW144" s="41">
        <f>'[2]побудинковий звіт'!AW144+'[1]побудинковий звіт'!AW144</f>
        <v>0</v>
      </c>
      <c r="AX144" s="58">
        <f t="shared" si="141"/>
        <v>0</v>
      </c>
      <c r="AY144" s="41">
        <f>'[2]побудинковий звіт'!AY144+'[1]побудинковий звіт'!AY144</f>
        <v>0</v>
      </c>
      <c r="AZ144" s="41">
        <f>'[2]побудинковий звіт'!AZ144+'[1]побудинковий звіт'!AZ144</f>
        <v>0</v>
      </c>
      <c r="BA144" s="36">
        <f t="shared" si="142"/>
        <v>0</v>
      </c>
      <c r="BB144" s="41">
        <f>'[2]побудинковий звіт'!BB144+'[1]побудинковий звіт'!BB144</f>
        <v>0</v>
      </c>
      <c r="BC144" s="41">
        <f>'[2]побудинковий звіт'!BC144+'[1]побудинковий звіт'!BC144</f>
        <v>0</v>
      </c>
      <c r="BD144" s="58">
        <f t="shared" si="143"/>
        <v>0</v>
      </c>
      <c r="BE144" s="41">
        <f>'[2]побудинковий звіт'!BE144+'[1]побудинковий звіт'!BE144</f>
        <v>0</v>
      </c>
      <c r="BF144" s="41">
        <f>'[2]побудинковий звіт'!BF144+'[1]побудинковий звіт'!BF144</f>
        <v>0</v>
      </c>
      <c r="BG144" s="38">
        <f t="shared" si="144"/>
        <v>0</v>
      </c>
      <c r="BH144" s="41">
        <f>'[2]побудинковий звіт'!BH144+'[1]побудинковий звіт'!BH144</f>
        <v>0</v>
      </c>
      <c r="BI144" s="41">
        <f>'[2]побудинковий звіт'!BI144+'[1]побудинковий звіт'!BI144</f>
        <v>0</v>
      </c>
      <c r="BJ144" s="58">
        <f t="shared" si="145"/>
        <v>0</v>
      </c>
      <c r="BK144" s="41">
        <f>'[2]побудинковий звіт'!BK144+'[1]побудинковий звіт'!BK144</f>
        <v>0</v>
      </c>
      <c r="BL144" s="41">
        <f>'[2]побудинковий звіт'!BL144+'[1]побудинковий звіт'!BL144</f>
        <v>0</v>
      </c>
      <c r="BM144" s="38">
        <f t="shared" si="146"/>
        <v>0</v>
      </c>
      <c r="BN144" s="41">
        <f>'[2]побудинковий звіт'!BN144+'[1]побудинковий звіт'!BN144</f>
        <v>0</v>
      </c>
      <c r="BO144" s="41">
        <f>'[2]побудинковий звіт'!BO144+'[1]побудинковий звіт'!BO144</f>
        <v>0</v>
      </c>
      <c r="BP144" s="58">
        <f t="shared" si="147"/>
        <v>0</v>
      </c>
      <c r="BQ144" s="84">
        <f t="shared" si="148"/>
        <v>0</v>
      </c>
      <c r="BR144" s="42">
        <f t="shared" si="149"/>
        <v>0</v>
      </c>
      <c r="BS144" s="58">
        <f t="shared" si="150"/>
        <v>0</v>
      </c>
      <c r="BT144" s="41">
        <f>'[2]побудинковий звіт'!BT144+'[1]побудинковий звіт'!BT144</f>
        <v>0</v>
      </c>
      <c r="BU144" s="41">
        <f>'[2]побудинковий звіт'!BU144+'[1]побудинковий звіт'!BU144</f>
        <v>0</v>
      </c>
      <c r="BV144" s="55">
        <f t="shared" si="151"/>
        <v>0</v>
      </c>
      <c r="BW144" s="41">
        <f>'[2]побудинковий звіт'!BW144+'[1]побудинковий звіт'!BW144</f>
        <v>0</v>
      </c>
      <c r="BX144" s="41">
        <f>'[2]побудинковий звіт'!BX144+'[1]побудинковий звіт'!BX144</f>
        <v>0.44854619924838635</v>
      </c>
      <c r="BY144" s="55">
        <f t="shared" si="152"/>
        <v>0.44854619924838635</v>
      </c>
      <c r="BZ144" s="41">
        <f>'[2]побудинковий звіт'!BZ144+'[1]побудинковий звіт'!BZ144</f>
        <v>0</v>
      </c>
      <c r="CA144" s="41">
        <f>'[2]побудинковий звіт'!CA144+'[1]побудинковий звіт'!CA144</f>
        <v>0</v>
      </c>
      <c r="CB144" s="55">
        <f t="shared" si="153"/>
        <v>0</v>
      </c>
      <c r="CC144" s="41">
        <f>'[2]побудинковий звіт'!CC144+'[1]побудинковий звіт'!CC144</f>
        <v>0</v>
      </c>
      <c r="CD144" s="41">
        <f>'[2]побудинковий звіт'!CD144+'[1]побудинковий звіт'!CD144</f>
        <v>0</v>
      </c>
      <c r="CE144" s="55">
        <f t="shared" si="154"/>
        <v>0</v>
      </c>
      <c r="CF144" s="41">
        <f>'[2]побудинковий звіт'!CF144+'[1]побудинковий звіт'!CF144</f>
        <v>0</v>
      </c>
      <c r="CG144" s="41">
        <f>'[2]побудинковий звіт'!CG144+'[1]побудинковий звіт'!CG144</f>
        <v>0</v>
      </c>
      <c r="CH144" s="55">
        <f t="shared" si="155"/>
        <v>0</v>
      </c>
      <c r="CI144" s="41">
        <f>'[2]побудинковий звіт'!CI144+'[1]побудинковий звіт'!CI144</f>
        <v>0</v>
      </c>
      <c r="CJ144" s="41">
        <f>'[2]побудинковий звіт'!CJ144+'[1]побудинковий звіт'!CJ144</f>
        <v>0</v>
      </c>
      <c r="CK144" s="55">
        <f t="shared" si="156"/>
        <v>0</v>
      </c>
      <c r="CL144" s="41">
        <f>'[2]побудинковий звіт'!CL144+'[1]побудинковий звіт'!CL144</f>
        <v>0</v>
      </c>
      <c r="CM144" s="41">
        <f>'[2]побудинковий звіт'!CM144+'[1]побудинковий звіт'!CM144</f>
        <v>0</v>
      </c>
      <c r="CN144" s="55">
        <f t="shared" si="157"/>
        <v>0</v>
      </c>
      <c r="CO144" s="41">
        <f t="shared" si="158"/>
        <v>0</v>
      </c>
      <c r="CP144" s="42">
        <f t="shared" si="159"/>
        <v>0</v>
      </c>
      <c r="CQ144" s="55">
        <f t="shared" si="160"/>
        <v>0</v>
      </c>
      <c r="CR144" s="76">
        <f t="shared" si="161"/>
        <v>1901.2536296486824</v>
      </c>
      <c r="CS144" s="5">
        <f t="shared" si="162"/>
        <v>70.686238315053998</v>
      </c>
      <c r="CT144" s="55">
        <f t="shared" si="163"/>
        <v>-1830.5673913336284</v>
      </c>
      <c r="CU144" s="84">
        <f t="shared" si="164"/>
        <v>2281.5043555784187</v>
      </c>
      <c r="CV144" s="68">
        <f t="shared" si="165"/>
        <v>84.823485978064795</v>
      </c>
      <c r="CW144" s="36">
        <f t="shared" si="166"/>
        <v>-2196.6808696003541</v>
      </c>
      <c r="CX144" s="41">
        <f>'[2]побудинковий звіт'!CX144+'[1]побудинковий звіт'!CX144</f>
        <v>59.509242969792517</v>
      </c>
      <c r="CY144" s="41">
        <f>'[2]побудинковий звіт'!CY144+'[1]побудинковий звіт'!CY144</f>
        <v>2256.1901125701461</v>
      </c>
      <c r="CZ144" s="55">
        <f t="shared" si="167"/>
        <v>2196.6808696003536</v>
      </c>
      <c r="DA144" s="254">
        <f>'[1]побудинковий звіт'!DA144</f>
        <v>-8076.2307797776048</v>
      </c>
      <c r="DB144" s="2">
        <v>3</v>
      </c>
      <c r="DC144" s="702">
        <f>'[1]побудинковий звіт'!DC144</f>
        <v>254.23</v>
      </c>
      <c r="DD144" s="702">
        <f>'[1]побудинковий звіт'!DD144</f>
        <v>0</v>
      </c>
      <c r="DE144" s="702">
        <f>'[1]побудинковий звіт'!DE144</f>
        <v>0</v>
      </c>
      <c r="DF144" s="702">
        <f>'[1]побудинковий звіт'!DF144</f>
        <v>0</v>
      </c>
      <c r="DG144" s="772">
        <v>-3160.5666568355723</v>
      </c>
      <c r="DH144" s="746">
        <f t="shared" si="168"/>
        <v>28092.163182578533</v>
      </c>
      <c r="DI144" s="769"/>
      <c r="DJ144" s="5"/>
      <c r="DK144" s="307">
        <f>VLOOKUP($A144,ціни!$A$4:$G$401,5)</f>
        <v>1.6692578273143692</v>
      </c>
      <c r="DL144" s="307"/>
      <c r="DM144" s="307">
        <f>VLOOKUP($A144,ціни!$A$4:$G$401,7)</f>
        <v>1.6692578273143692</v>
      </c>
      <c r="DN144" s="29">
        <f t="shared" si="177"/>
        <v>183.95221257004349</v>
      </c>
      <c r="DO144" s="29">
        <f t="shared" si="178"/>
        <v>0</v>
      </c>
      <c r="DP144" s="306">
        <f t="shared" si="169"/>
        <v>183.95221257004349</v>
      </c>
      <c r="DQ144" s="101"/>
      <c r="DR144" s="29">
        <f>VLOOKUP(A144,'ДЗ нас '!$A$1:$C$359,2)</f>
        <v>183.96</v>
      </c>
      <c r="DS144" s="733"/>
      <c r="DT144" s="29">
        <f t="shared" si="170"/>
        <v>183.96</v>
      </c>
      <c r="DU144" s="247">
        <f>VLOOKUP(A144,'новий кошторис с 01.06'!$A$4:$AI$399,35)*1.2</f>
        <v>184.67359379580839</v>
      </c>
      <c r="DV144" s="29">
        <f t="shared" si="171"/>
        <v>-0.71359379580837867</v>
      </c>
      <c r="DW144" s="1016">
        <f>'[2]побудинковий звіт'!$DW$9+'[1]побудинковий звіт'!DW144</f>
        <v>0</v>
      </c>
      <c r="DX144" s="101">
        <f>'[1]побудинковий звіт'!DX144</f>
        <v>0</v>
      </c>
      <c r="DY144" s="5">
        <f t="shared" si="172"/>
        <v>2120.6139542677565</v>
      </c>
      <c r="DZ144" s="5">
        <f t="shared" si="173"/>
        <v>0</v>
      </c>
      <c r="EA144" s="737">
        <f t="shared" si="174"/>
        <v>0</v>
      </c>
      <c r="EC144" s="577">
        <f t="shared" si="175"/>
        <v>21206.139542677563</v>
      </c>
      <c r="EE144" s="743">
        <v>-1713</v>
      </c>
      <c r="EF144" s="723">
        <f t="shared" si="176"/>
        <v>-4873.5666568355718</v>
      </c>
      <c r="EH144" s="798">
        <v>-4163.9129668836622</v>
      </c>
      <c r="EI144" s="101">
        <f>VLOOKUP(A144,'кошти 01.01.24'!$A$9:$D$352,4,FALSE)</f>
        <v>-5879.5499101772502</v>
      </c>
    </row>
    <row r="145" spans="1:139" hidden="1" x14ac:dyDescent="0.3">
      <c r="A145" s="318">
        <v>150000553</v>
      </c>
      <c r="B145" s="43" t="s">
        <v>576</v>
      </c>
      <c r="C145" s="44" t="s">
        <v>259</v>
      </c>
      <c r="D145" s="44" t="s">
        <v>259</v>
      </c>
      <c r="E145" s="39">
        <f t="shared" si="125"/>
        <v>3173.2999999999997</v>
      </c>
      <c r="F145" s="205">
        <f>'[1]побудинковий звіт'!F145</f>
        <v>3083.2</v>
      </c>
      <c r="G145" s="29">
        <f>'[1]побудинковий звіт'!G145</f>
        <v>0</v>
      </c>
      <c r="H145" s="148">
        <f>'[1]побудинковий звіт'!H145</f>
        <v>90.1</v>
      </c>
      <c r="I145" s="41">
        <f>'[2]побудинковий звіт'!I145+'[1]побудинковий звіт'!I145</f>
        <v>11822.556163775602</v>
      </c>
      <c r="J145" s="41">
        <f>'[2]побудинковий звіт'!J145+'[1]побудинковий звіт'!J145</f>
        <v>12424.892690352528</v>
      </c>
      <c r="K145" s="55">
        <f t="shared" si="126"/>
        <v>602.33652657692619</v>
      </c>
      <c r="L145" s="41">
        <f>'[2]побудинковий звіт'!L145+'[1]побудинковий звіт'!L145</f>
        <v>2432.6010959780256</v>
      </c>
      <c r="M145" s="41">
        <f>'[2]побудинковий звіт'!M145+'[1]побудинковий звіт'!M145</f>
        <v>2628.7041713532121</v>
      </c>
      <c r="N145" s="55">
        <f t="shared" si="127"/>
        <v>196.10307537518656</v>
      </c>
      <c r="O145" s="41">
        <f>'[2]побудинковий звіт'!O145+'[1]побудинковий звіт'!O145</f>
        <v>4743.340485307388</v>
      </c>
      <c r="P145" s="41">
        <f>'[2]побудинковий звіт'!P145+'[1]побудинковий звіт'!P145</f>
        <v>4755.5173529551457</v>
      </c>
      <c r="Q145" s="55">
        <f t="shared" si="128"/>
        <v>12.176867647757717</v>
      </c>
      <c r="R145" s="41">
        <f>'[2]побудинковий звіт'!R145+'[1]побудинковий звіт'!R145</f>
        <v>0</v>
      </c>
      <c r="S145" s="41">
        <f>'[2]побудинковий звіт'!S145+'[1]побудинковий звіт'!S145</f>
        <v>0</v>
      </c>
      <c r="T145" s="55">
        <f t="shared" si="129"/>
        <v>0</v>
      </c>
      <c r="U145" s="41">
        <f>'[2]побудинковий звіт'!U145+'[1]побудинковий звіт'!U145</f>
        <v>168.39176902687541</v>
      </c>
      <c r="V145" s="41">
        <f>'[2]побудинковий звіт'!V145+'[1]побудинковий звіт'!V145</f>
        <v>97.150131777594169</v>
      </c>
      <c r="W145" s="55">
        <f t="shared" si="130"/>
        <v>-71.24163724928124</v>
      </c>
      <c r="X145" s="41">
        <f>'[2]побудинковий звіт'!X145+'[1]побудинковий звіт'!X145</f>
        <v>7844.3538962020857</v>
      </c>
      <c r="Y145" s="41">
        <f>'[2]побудинковий звіт'!Y145+'[1]побудинковий звіт'!Y145</f>
        <v>10150.456978985454</v>
      </c>
      <c r="Z145" s="55">
        <f t="shared" si="131"/>
        <v>2306.1030827833683</v>
      </c>
      <c r="AA145" s="41">
        <f>'[2]побудинковий звіт'!AA145+'[1]побудинковий звіт'!AA145</f>
        <v>0</v>
      </c>
      <c r="AB145" s="41">
        <f>'[2]побудинковий звіт'!AB145+'[1]побудинковий звіт'!AB145</f>
        <v>0</v>
      </c>
      <c r="AC145" s="55">
        <f t="shared" si="132"/>
        <v>0</v>
      </c>
      <c r="AD145" s="41">
        <f>'[2]побудинковий звіт'!AD145+'[1]побудинковий звіт'!AD145</f>
        <v>14507.649732670674</v>
      </c>
      <c r="AE145" s="41">
        <f>'[2]побудинковий звіт'!AE145+'[1]побудинковий звіт'!AE145</f>
        <v>13688.856125295224</v>
      </c>
      <c r="AF145" s="36">
        <f t="shared" si="133"/>
        <v>-818.79360737544994</v>
      </c>
      <c r="AG145" s="84">
        <f t="shared" si="134"/>
        <v>41518.893142960653</v>
      </c>
      <c r="AH145" s="56">
        <f t="shared" si="135"/>
        <v>43745.57745071916</v>
      </c>
      <c r="AI145" s="55">
        <f t="shared" si="136"/>
        <v>2226.6843077585072</v>
      </c>
      <c r="AJ145" s="41">
        <f>'[2]побудинковий звіт'!AJ145+'[1]побудинковий звіт'!AJ145</f>
        <v>0</v>
      </c>
      <c r="AK145" s="41">
        <f>'[2]побудинковий звіт'!AK145+'[1]побудинковий звіт'!AK145</f>
        <v>0</v>
      </c>
      <c r="AL145" s="55">
        <f t="shared" si="137"/>
        <v>0</v>
      </c>
      <c r="AM145" s="41">
        <f>'[2]побудинковий звіт'!AM145+'[1]побудинковий звіт'!AM145</f>
        <v>0</v>
      </c>
      <c r="AN145" s="41">
        <f>'[2]побудинковий звіт'!AN145+'[1]побудинковий звіт'!AN145</f>
        <v>0</v>
      </c>
      <c r="AO145" s="55">
        <f t="shared" si="138"/>
        <v>0</v>
      </c>
      <c r="AP145" s="41">
        <f>'[2]побудинковий звіт'!AP145+'[1]побудинковий звіт'!AP145</f>
        <v>10104.099017633078</v>
      </c>
      <c r="AQ145" s="41">
        <f>'[2]побудинковий звіт'!AQ145+'[1]побудинковий звіт'!AQ145</f>
        <v>9152.9033898898415</v>
      </c>
      <c r="AR145" s="55">
        <f t="shared" si="139"/>
        <v>-951.1956277432364</v>
      </c>
      <c r="AS145" s="41">
        <f>'[2]побудинковий звіт'!AS145+'[1]побудинковий звіт'!AS145</f>
        <v>43451.363678478119</v>
      </c>
      <c r="AT145" s="41">
        <f>'[2]побудинковий звіт'!AT145+'[1]побудинковий звіт'!AT145</f>
        <v>59489.92393625011</v>
      </c>
      <c r="AU145" s="57">
        <f t="shared" si="140"/>
        <v>16038.560257771991</v>
      </c>
      <c r="AV145" s="41">
        <f>'[2]побудинковий звіт'!AV145+'[1]побудинковий звіт'!AV145</f>
        <v>1849.6454786753723</v>
      </c>
      <c r="AW145" s="41">
        <f>'[2]побудинковий звіт'!AW145+'[1]побудинковий звіт'!AW145</f>
        <v>0</v>
      </c>
      <c r="AX145" s="58">
        <f t="shared" si="141"/>
        <v>-1849.6454786753723</v>
      </c>
      <c r="AY145" s="41">
        <f>'[2]побудинковий звіт'!AY145+'[1]побудинковий звіт'!AY145</f>
        <v>2897.5386999252687</v>
      </c>
      <c r="AZ145" s="41">
        <f>'[2]побудинковий звіт'!AZ145+'[1]побудинковий звіт'!AZ145</f>
        <v>4033.9967426271583</v>
      </c>
      <c r="BA145" s="36">
        <f t="shared" si="142"/>
        <v>1136.4580427018896</v>
      </c>
      <c r="BB145" s="41">
        <f>'[2]побудинковий звіт'!BB145+'[1]побудинковий звіт'!BB145</f>
        <v>1806.4194705034909</v>
      </c>
      <c r="BC145" s="41">
        <f>'[2]побудинковий звіт'!BC145+'[1]побудинковий звіт'!BC145</f>
        <v>0</v>
      </c>
      <c r="BD145" s="58">
        <f t="shared" si="143"/>
        <v>-1806.4194705034909</v>
      </c>
      <c r="BE145" s="41">
        <f>'[2]побудинковий звіт'!BE145+'[1]побудинковий звіт'!BE145</f>
        <v>0</v>
      </c>
      <c r="BF145" s="41">
        <f>'[2]побудинковий звіт'!BF145+'[1]побудинковий звіт'!BF145</f>
        <v>0</v>
      </c>
      <c r="BG145" s="38">
        <f t="shared" si="144"/>
        <v>0</v>
      </c>
      <c r="BH145" s="41">
        <f>'[2]побудинковий звіт'!BH145+'[1]побудинковий звіт'!BH145</f>
        <v>99.245779174289751</v>
      </c>
      <c r="BI145" s="41">
        <f>'[2]побудинковий звіт'!BI145+'[1]побудинковий звіт'!BI145</f>
        <v>0</v>
      </c>
      <c r="BJ145" s="58">
        <f t="shared" si="145"/>
        <v>-99.245779174289751</v>
      </c>
      <c r="BK145" s="41">
        <f>'[2]побудинковий звіт'!BK145+'[1]побудинковий звіт'!BK145</f>
        <v>1834.4766891688328</v>
      </c>
      <c r="BL145" s="41">
        <f>'[2]побудинковий звіт'!BL145+'[1]побудинковий звіт'!BL145</f>
        <v>0</v>
      </c>
      <c r="BM145" s="38">
        <f t="shared" si="146"/>
        <v>-1834.4766891688328</v>
      </c>
      <c r="BN145" s="41">
        <f>'[2]побудинковий звіт'!BN145+'[1]побудинковий звіт'!BN145</f>
        <v>100.38677964698979</v>
      </c>
      <c r="BO145" s="41">
        <f>'[2]побудинковий звіт'!BO145+'[1]побудинковий звіт'!BO145</f>
        <v>5016.3353894336842</v>
      </c>
      <c r="BP145" s="58">
        <f t="shared" si="147"/>
        <v>4915.9486097866948</v>
      </c>
      <c r="BQ145" s="84">
        <f t="shared" si="148"/>
        <v>8587.7128970942431</v>
      </c>
      <c r="BR145" s="42">
        <f t="shared" si="149"/>
        <v>9050.3321320608429</v>
      </c>
      <c r="BS145" s="58">
        <f t="shared" si="150"/>
        <v>462.61923496659983</v>
      </c>
      <c r="BT145" s="41">
        <f>'[2]побудинковий звіт'!BT145+'[1]побудинковий звіт'!BT145</f>
        <v>26513.320395542567</v>
      </c>
      <c r="BU145" s="41">
        <f>'[2]побудинковий звіт'!BU145+'[1]побудинковий звіт'!BU145</f>
        <v>41819.837288549767</v>
      </c>
      <c r="BV145" s="55">
        <f t="shared" si="151"/>
        <v>15306.5168930072</v>
      </c>
      <c r="BW145" s="41">
        <f>'[2]побудинковий звіт'!BW145+'[1]побудинковий звіт'!BW145</f>
        <v>18021.15125306206</v>
      </c>
      <c r="BX145" s="41">
        <f>'[2]побудинковий звіт'!BX145+'[1]побудинковий звіт'!BX145</f>
        <v>22741.931357721031</v>
      </c>
      <c r="BY145" s="55">
        <f t="shared" si="152"/>
        <v>4720.7801046589702</v>
      </c>
      <c r="BZ145" s="41">
        <f>'[2]побудинковий звіт'!BZ145+'[1]побудинковий звіт'!BZ145</f>
        <v>5927.5709868900985</v>
      </c>
      <c r="CA145" s="41">
        <f>'[2]побудинковий звіт'!CA145+'[1]побудинковий звіт'!CA145</f>
        <v>3890.4899133470781</v>
      </c>
      <c r="CB145" s="55">
        <f t="shared" si="153"/>
        <v>-2037.0810735430205</v>
      </c>
      <c r="CC145" s="41">
        <f>'[2]побудинковий звіт'!CC145+'[1]побудинковий звіт'!CC145</f>
        <v>1775.6467564714121</v>
      </c>
      <c r="CD145" s="41">
        <f>'[2]побудинковий звіт'!CD145+'[1]побудинковий звіт'!CD145</f>
        <v>1781.6677765604516</v>
      </c>
      <c r="CE145" s="55">
        <f t="shared" si="154"/>
        <v>6.021020089039439</v>
      </c>
      <c r="CF145" s="41">
        <f>'[2]побудинковий звіт'!CF145+'[1]побудинковий звіт'!CF145</f>
        <v>219.99319523546438</v>
      </c>
      <c r="CG145" s="41">
        <f>'[2]побудинковий звіт'!CG145+'[1]побудинковий звіт'!CG145</f>
        <v>1374.2568389528199</v>
      </c>
      <c r="CH145" s="55">
        <f t="shared" si="155"/>
        <v>1154.2636437173555</v>
      </c>
      <c r="CI145" s="41">
        <f>'[2]побудинковий звіт'!CI145+'[1]побудинковий звіт'!CI145</f>
        <v>4181.5069221610029</v>
      </c>
      <c r="CJ145" s="41">
        <f>'[2]побудинковий звіт'!CJ145+'[1]побудинковий звіт'!CJ145</f>
        <v>3381.8419511779143</v>
      </c>
      <c r="CK145" s="55">
        <f t="shared" si="156"/>
        <v>-799.66497098308855</v>
      </c>
      <c r="CL145" s="41">
        <f>'[2]побудинковий звіт'!CL145+'[1]побудинковий звіт'!CL145</f>
        <v>0</v>
      </c>
      <c r="CM145" s="41">
        <f>'[2]побудинковий звіт'!CM145+'[1]побудинковий звіт'!CM145</f>
        <v>0</v>
      </c>
      <c r="CN145" s="55">
        <f t="shared" si="157"/>
        <v>0</v>
      </c>
      <c r="CO145" s="41">
        <f t="shared" si="158"/>
        <v>4181.5069221610029</v>
      </c>
      <c r="CP145" s="42">
        <f t="shared" si="159"/>
        <v>3381.8419511779143</v>
      </c>
      <c r="CQ145" s="55">
        <f t="shared" si="160"/>
        <v>-799.66497098308855</v>
      </c>
      <c r="CR145" s="76">
        <f t="shared" si="161"/>
        <v>160301.2582455287</v>
      </c>
      <c r="CS145" s="5">
        <f t="shared" si="162"/>
        <v>196428.76203522904</v>
      </c>
      <c r="CT145" s="55">
        <f t="shared" si="163"/>
        <v>36127.503789700335</v>
      </c>
      <c r="CU145" s="84">
        <f t="shared" si="164"/>
        <v>192361.50989463445</v>
      </c>
      <c r="CV145" s="68">
        <f t="shared" si="165"/>
        <v>235714.51444227484</v>
      </c>
      <c r="CW145" s="36">
        <f t="shared" si="166"/>
        <v>43353.00454764039</v>
      </c>
      <c r="CX145" s="41">
        <f>'[2]побудинковий звіт'!CX145+'[1]побудинковий звіт'!CX145</f>
        <v>-3542.2308325636586</v>
      </c>
      <c r="CY145" s="41">
        <f>'[2]побудинковий звіт'!CY145+'[1]побудинковий звіт'!CY145</f>
        <v>-46895.235380204023</v>
      </c>
      <c r="CZ145" s="55">
        <f t="shared" si="167"/>
        <v>-43353.004547640361</v>
      </c>
      <c r="DA145" s="254">
        <f>'[1]побудинковий звіт'!DA145</f>
        <v>39104.904036211352</v>
      </c>
      <c r="DB145" s="2">
        <v>3</v>
      </c>
      <c r="DC145" s="702">
        <f>'[1]побудинковий звіт'!DC145</f>
        <v>47495.86</v>
      </c>
      <c r="DD145" s="702">
        <f>'[1]побудинковий звіт'!DD145</f>
        <v>0</v>
      </c>
      <c r="DE145" s="702">
        <f>'[1]побудинковий звіт'!DE145</f>
        <v>27153.170000000002</v>
      </c>
      <c r="DF145" s="702">
        <f>'[1]побудинковий звіт'!DF145</f>
        <v>-526.66999999999996</v>
      </c>
      <c r="DG145" s="772">
        <v>26796.911615364952</v>
      </c>
      <c r="DH145" s="746">
        <f t="shared" si="168"/>
        <v>2265831.3487448497</v>
      </c>
      <c r="DI145" s="769"/>
      <c r="DJ145" s="5"/>
      <c r="DK145" s="307">
        <f>VLOOKUP($A145,ціни!$A$4:$G$401,5)</f>
        <v>4.6703907097448614</v>
      </c>
      <c r="DL145" s="307"/>
      <c r="DM145" s="307">
        <f>VLOOKUP($A145,ціни!$A$4:$G$401,7)</f>
        <v>4.098427216415967</v>
      </c>
      <c r="DN145" s="29">
        <f t="shared" si="177"/>
        <v>14399.748636285356</v>
      </c>
      <c r="DO145" s="29">
        <f t="shared" si="178"/>
        <v>369.26829219907859</v>
      </c>
      <c r="DP145" s="306">
        <f t="shared" si="169"/>
        <v>14769.016928484434</v>
      </c>
      <c r="DQ145" s="101"/>
      <c r="DR145" s="29">
        <f>VLOOKUP(A145,'ДЗ нас '!$A$1:$C$359,2)</f>
        <v>14399.79</v>
      </c>
      <c r="DS145" s="733">
        <f>VLOOKUP(A145,'ДЗ нежит'!$A$1:$D$153,4,0)</f>
        <v>369.26</v>
      </c>
      <c r="DT145" s="29">
        <f t="shared" si="170"/>
        <v>14769.050000000001</v>
      </c>
      <c r="DU145" s="247">
        <f>VLOOKUP(A145,'новий кошторис с 01.06'!$A$4:$AI$399,35)*1.2</f>
        <v>15674.076039523854</v>
      </c>
      <c r="DV145" s="29">
        <f t="shared" si="171"/>
        <v>-905.02603952385289</v>
      </c>
      <c r="DW145" s="1016">
        <f>'[2]побудинковий звіт'!$DW$9+'[1]побудинковий звіт'!DW145</f>
        <v>918</v>
      </c>
      <c r="DX145" s="101">
        <f>'[1]побудинковий звіт'!DX145</f>
        <v>0</v>
      </c>
      <c r="DY145" s="5">
        <f t="shared" si="172"/>
        <v>62446.891890686835</v>
      </c>
      <c r="DZ145" s="5">
        <f t="shared" si="173"/>
        <v>82248.307281973131</v>
      </c>
      <c r="EA145" s="737">
        <f t="shared" si="174"/>
        <v>26626.500000000004</v>
      </c>
      <c r="EC145" s="577">
        <f t="shared" si="175"/>
        <v>521416.36414173746</v>
      </c>
      <c r="EE145" s="743">
        <v>-1714</v>
      </c>
      <c r="EF145" s="723">
        <f t="shared" si="176"/>
        <v>25082.911615364952</v>
      </c>
      <c r="EH145" s="798">
        <v>31103.437202029287</v>
      </c>
      <c r="EI145" s="101">
        <f>VLOOKUP(A145,'кошти 01.01.24'!$A$9:$D$352,4,FALSE)</f>
        <v>-4248.1005114290056</v>
      </c>
    </row>
    <row r="146" spans="1:139" hidden="1" x14ac:dyDescent="0.3">
      <c r="A146" s="318">
        <v>150000493</v>
      </c>
      <c r="B146" s="43" t="s">
        <v>577</v>
      </c>
      <c r="C146" s="44" t="s">
        <v>417</v>
      </c>
      <c r="D146" s="44" t="s">
        <v>417</v>
      </c>
      <c r="E146" s="39">
        <f t="shared" si="125"/>
        <v>7111.58</v>
      </c>
      <c r="F146" s="205">
        <f>'[1]побудинковий звіт'!F146</f>
        <v>7111.58</v>
      </c>
      <c r="G146" s="29">
        <f>'[1]побудинковий звіт'!G146</f>
        <v>625.84</v>
      </c>
      <c r="H146" s="148">
        <f>'[1]побудинковий звіт'!H146</f>
        <v>0</v>
      </c>
      <c r="I146" s="41">
        <f>'[2]побудинковий звіт'!I146+'[1]побудинковий звіт'!I146</f>
        <v>26399.977634159262</v>
      </c>
      <c r="J146" s="41">
        <f>'[2]побудинковий звіт'!J146+'[1]побудинковий звіт'!J146</f>
        <v>20775.761486852887</v>
      </c>
      <c r="K146" s="55">
        <f t="shared" si="126"/>
        <v>-5624.2161473063752</v>
      </c>
      <c r="L146" s="41">
        <f>'[2]побудинковий звіт'!L146+'[1]побудинковий звіт'!L146</f>
        <v>4062.8874825169723</v>
      </c>
      <c r="M146" s="41">
        <f>'[2]побудинковий звіт'!M146+'[1]побудинковий звіт'!M146</f>
        <v>3451.3103928708042</v>
      </c>
      <c r="N146" s="55">
        <f t="shared" si="127"/>
        <v>-611.57708964616813</v>
      </c>
      <c r="O146" s="41">
        <f>'[2]побудинковий звіт'!O146+'[1]побудинковий звіт'!O146</f>
        <v>11360.583876464258</v>
      </c>
      <c r="P146" s="41">
        <f>'[2]побудинковий звіт'!P146+'[1]побудинковий звіт'!P146</f>
        <v>11392.749343646585</v>
      </c>
      <c r="Q146" s="55">
        <f t="shared" si="128"/>
        <v>32.16546718232712</v>
      </c>
      <c r="R146" s="41">
        <f>'[2]побудинковий звіт'!R146+'[1]побудинковий звіт'!R146</f>
        <v>2326.3993912918058</v>
      </c>
      <c r="S146" s="41">
        <f>'[2]побудинковий звіт'!S146+'[1]побудинковий звіт'!S146</f>
        <v>2335.2593592545327</v>
      </c>
      <c r="T146" s="55">
        <f t="shared" si="129"/>
        <v>8.8599679627268415</v>
      </c>
      <c r="U146" s="41">
        <f>'[2]побудинковий звіт'!U146+'[1]побудинковий звіт'!U146</f>
        <v>1236.1512406402728</v>
      </c>
      <c r="V146" s="41">
        <f>'[2]побудинковий звіт'!V146+'[1]побудинковий звіт'!V146</f>
        <v>523.17962726593805</v>
      </c>
      <c r="W146" s="55">
        <f t="shared" si="130"/>
        <v>-712.97161337433477</v>
      </c>
      <c r="X146" s="41">
        <f>'[2]побудинковий звіт'!X146+'[1]побудинковий звіт'!X146</f>
        <v>11291.032278722629</v>
      </c>
      <c r="Y146" s="41">
        <f>'[2]побудинковий звіт'!Y146+'[1]побудинковий звіт'!Y146</f>
        <v>8142.1655920498724</v>
      </c>
      <c r="Z146" s="55">
        <f t="shared" si="131"/>
        <v>-3148.8666866727563</v>
      </c>
      <c r="AA146" s="41">
        <f>'[2]побудинковий звіт'!AA146+'[1]побудинковий звіт'!AA146</f>
        <v>0</v>
      </c>
      <c r="AB146" s="41">
        <f>'[2]побудинковий звіт'!AB146+'[1]побудинковий звіт'!AB146</f>
        <v>0</v>
      </c>
      <c r="AC146" s="55">
        <f t="shared" si="132"/>
        <v>0</v>
      </c>
      <c r="AD146" s="41">
        <f>'[2]побудинковий звіт'!AD146+'[1]побудинковий звіт'!AD146</f>
        <v>30844.638603766583</v>
      </c>
      <c r="AE146" s="41">
        <f>'[2]побудинковий звіт'!AE146+'[1]побудинковий звіт'!AE146</f>
        <v>30724.694597878442</v>
      </c>
      <c r="AF146" s="36">
        <f t="shared" si="133"/>
        <v>-119.94400588814096</v>
      </c>
      <c r="AG146" s="84">
        <f t="shared" si="134"/>
        <v>87521.670507561794</v>
      </c>
      <c r="AH146" s="56">
        <f t="shared" si="135"/>
        <v>77345.120399819076</v>
      </c>
      <c r="AI146" s="55">
        <f t="shared" si="136"/>
        <v>-10176.550107742718</v>
      </c>
      <c r="AJ146" s="41">
        <f>'[2]побудинковий звіт'!AJ146+'[1]побудинковий звіт'!AJ146</f>
        <v>66184.389101451423</v>
      </c>
      <c r="AK146" s="41">
        <f>'[2]побудинковий звіт'!AK146+'[1]побудинковий звіт'!AK146</f>
        <v>56537.570913357937</v>
      </c>
      <c r="AL146" s="55">
        <f t="shared" si="137"/>
        <v>-9646.8181880934862</v>
      </c>
      <c r="AM146" s="41">
        <f>'[2]побудинковий звіт'!AM146+'[1]побудинковий звіт'!AM146</f>
        <v>908.80628444281319</v>
      </c>
      <c r="AN146" s="41">
        <f>'[2]побудинковий звіт'!AN146+'[1]побудинковий звіт'!AN146</f>
        <v>133.27276795240937</v>
      </c>
      <c r="AO146" s="55">
        <f t="shared" si="138"/>
        <v>-775.53351649040383</v>
      </c>
      <c r="AP146" s="41">
        <f>'[2]побудинковий звіт'!AP146+'[1]побудинковий звіт'!AP146</f>
        <v>5943.5876574312242</v>
      </c>
      <c r="AQ146" s="41">
        <f>'[2]побудинковий звіт'!AQ146+'[1]побудинковий звіт'!AQ146</f>
        <v>5369.8704801480917</v>
      </c>
      <c r="AR146" s="55">
        <f t="shared" si="139"/>
        <v>-573.71717728313251</v>
      </c>
      <c r="AS146" s="41">
        <f>'[2]побудинковий звіт'!AS146+'[1]побудинковий звіт'!AS146</f>
        <v>110249.66790800124</v>
      </c>
      <c r="AT146" s="41">
        <f>'[2]побудинковий звіт'!AT146+'[1]побудинковий звіт'!AT146</f>
        <v>33630.925127120267</v>
      </c>
      <c r="AU146" s="57">
        <f t="shared" si="140"/>
        <v>-76618.742780880973</v>
      </c>
      <c r="AV146" s="41">
        <f>'[2]побудинковий звіт'!AV146+'[1]побудинковий звіт'!AV146</f>
        <v>2438.815863538447</v>
      </c>
      <c r="AW146" s="41">
        <f>'[2]побудинковий звіт'!AW146+'[1]побудинковий звіт'!AW146</f>
        <v>275.42523712368603</v>
      </c>
      <c r="AX146" s="58">
        <f t="shared" si="141"/>
        <v>-2163.3906264147608</v>
      </c>
      <c r="AY146" s="41">
        <f>'[2]побудинковий звіт'!AY146+'[1]побудинковий звіт'!AY146</f>
        <v>2711.0868497469464</v>
      </c>
      <c r="AZ146" s="41">
        <f>'[2]побудинковий звіт'!AZ146+'[1]побудинковий звіт'!AZ146</f>
        <v>2738.1815747602373</v>
      </c>
      <c r="BA146" s="36">
        <f t="shared" si="142"/>
        <v>27.094725013290827</v>
      </c>
      <c r="BB146" s="41">
        <f>'[2]побудинковий звіт'!BB146+'[1]побудинковий звіт'!BB146</f>
        <v>2662.521066166129</v>
      </c>
      <c r="BC146" s="41">
        <f>'[2]побудинковий звіт'!BC146+'[1]побудинковий звіт'!BC146</f>
        <v>0</v>
      </c>
      <c r="BD146" s="58">
        <f t="shared" si="143"/>
        <v>-2662.521066166129</v>
      </c>
      <c r="BE146" s="41">
        <f>'[2]побудинковий звіт'!BE146+'[1]побудинковий звіт'!BE146</f>
        <v>1056.4260918710331</v>
      </c>
      <c r="BF146" s="41">
        <f>'[2]побудинковий звіт'!BF146+'[1]побудинковий звіт'!BF146</f>
        <v>0</v>
      </c>
      <c r="BG146" s="38">
        <f t="shared" si="144"/>
        <v>-1056.4260918710331</v>
      </c>
      <c r="BH146" s="41">
        <f>'[2]побудинковий звіт'!BH146+'[1]побудинковий звіт'!BH146</f>
        <v>642.13952180756337</v>
      </c>
      <c r="BI146" s="41">
        <f>'[2]побудинковий звіт'!BI146+'[1]побудинковий звіт'!BI146</f>
        <v>5465.3785898137121</v>
      </c>
      <c r="BJ146" s="58">
        <f t="shared" si="145"/>
        <v>4823.239068006149</v>
      </c>
      <c r="BK146" s="41">
        <f>'[2]побудинковий звіт'!BK146+'[1]побудинковий звіт'!BK146</f>
        <v>2122.3952038589478</v>
      </c>
      <c r="BL146" s="41">
        <f>'[2]побудинковий звіт'!BL146+'[1]побудинковий звіт'!BL146</f>
        <v>2606.2652587325106</v>
      </c>
      <c r="BM146" s="38">
        <f t="shared" si="146"/>
        <v>483.87005487356282</v>
      </c>
      <c r="BN146" s="41">
        <f>'[2]побудинковий звіт'!BN146+'[1]побудинковий звіт'!BN146</f>
        <v>497.3857931576141</v>
      </c>
      <c r="BO146" s="41">
        <f>'[2]побудинковий звіт'!BO146+'[1]побудинковий звіт'!BO146</f>
        <v>7020.8606057243496</v>
      </c>
      <c r="BP146" s="58">
        <f t="shared" si="147"/>
        <v>6523.4748125667356</v>
      </c>
      <c r="BQ146" s="84">
        <f t="shared" si="148"/>
        <v>12130.770390146683</v>
      </c>
      <c r="BR146" s="42">
        <f t="shared" si="149"/>
        <v>18106.111266154494</v>
      </c>
      <c r="BS146" s="58">
        <f t="shared" si="150"/>
        <v>5975.3408760078109</v>
      </c>
      <c r="BT146" s="41">
        <f>'[2]побудинковий звіт'!BT146+'[1]побудинковий звіт'!BT146</f>
        <v>105791.93137130502</v>
      </c>
      <c r="BU146" s="41">
        <f>'[2]побудинковий звіт'!BU146+'[1]побудинковий звіт'!BU146</f>
        <v>146476.71603035141</v>
      </c>
      <c r="BV146" s="55">
        <f t="shared" si="151"/>
        <v>40684.784659046389</v>
      </c>
      <c r="BW146" s="41">
        <f>'[2]побудинковий звіт'!BW146+'[1]побудинковий звіт'!BW146</f>
        <v>79141.937367294784</v>
      </c>
      <c r="BX146" s="41">
        <f>'[2]побудинковий звіт'!BX146+'[1]побудинковий звіт'!BX146</f>
        <v>96957.399020131619</v>
      </c>
      <c r="BY146" s="55">
        <f t="shared" si="152"/>
        <v>17815.461652836835</v>
      </c>
      <c r="BZ146" s="41">
        <f>'[2]побудинковий звіт'!BZ146+'[1]побудинковий звіт'!BZ146</f>
        <v>20892.271244794832</v>
      </c>
      <c r="CA146" s="41">
        <f>'[2]побудинковий звіт'!CA146+'[1]побудинковий звіт'!CA146</f>
        <v>14654.301794525163</v>
      </c>
      <c r="CB146" s="55">
        <f t="shared" si="153"/>
        <v>-6237.9694502696693</v>
      </c>
      <c r="CC146" s="41">
        <f>'[2]побудинковий звіт'!CC146+'[1]побудинковий звіт'!CC146</f>
        <v>1848.016194353394</v>
      </c>
      <c r="CD146" s="41">
        <f>'[2]побудинковий звіт'!CD146+'[1]побудинковий звіт'!CD146</f>
        <v>1854.2826111339391</v>
      </c>
      <c r="CE146" s="55">
        <f t="shared" si="154"/>
        <v>6.2664167805451143</v>
      </c>
      <c r="CF146" s="41">
        <f>'[2]побудинковий звіт'!CF146+'[1]побудинковий звіт'!CF146</f>
        <v>228.95938393207746</v>
      </c>
      <c r="CG146" s="41">
        <f>'[2]побудинковий звіт'!CG146+'[1]побудинковий звіт'!CG146</f>
        <v>1696.8237446746252</v>
      </c>
      <c r="CH146" s="55">
        <f t="shared" si="155"/>
        <v>1467.8643607425479</v>
      </c>
      <c r="CI146" s="41">
        <f>'[2]побудинковий звіт'!CI146+'[1]побудинковий звіт'!CI146</f>
        <v>19087.64609088108</v>
      </c>
      <c r="CJ146" s="41">
        <f>'[2]побудинковий звіт'!CJ146+'[1]побудинковий звіт'!CJ146</f>
        <v>16107.324057930151</v>
      </c>
      <c r="CK146" s="55">
        <f t="shared" si="156"/>
        <v>-2980.3220329509295</v>
      </c>
      <c r="CL146" s="41">
        <f>'[2]побудинковий звіт'!CL146+'[1]побудинковий звіт'!CL146</f>
        <v>18524.045196886553</v>
      </c>
      <c r="CM146" s="41">
        <f>'[2]побудинковий звіт'!CM146+'[1]побудинковий звіт'!CM146</f>
        <v>24448.704698270478</v>
      </c>
      <c r="CN146" s="55">
        <f t="shared" si="157"/>
        <v>5924.6595013839251</v>
      </c>
      <c r="CO146" s="41">
        <f t="shared" si="158"/>
        <v>37611.691287767637</v>
      </c>
      <c r="CP146" s="42">
        <f t="shared" si="159"/>
        <v>40556.028756200627</v>
      </c>
      <c r="CQ146" s="55">
        <f t="shared" si="160"/>
        <v>2944.3374684329901</v>
      </c>
      <c r="CR146" s="76">
        <f t="shared" si="161"/>
        <v>528453.69869848294</v>
      </c>
      <c r="CS146" s="5">
        <f t="shared" si="162"/>
        <v>493318.42291156965</v>
      </c>
      <c r="CT146" s="55">
        <f t="shared" si="163"/>
        <v>-35135.275786913291</v>
      </c>
      <c r="CU146" s="84">
        <f t="shared" si="164"/>
        <v>634144.43843817955</v>
      </c>
      <c r="CV146" s="68">
        <f t="shared" si="165"/>
        <v>591982.10749388358</v>
      </c>
      <c r="CW146" s="36">
        <f t="shared" si="166"/>
        <v>-42162.330944295973</v>
      </c>
      <c r="CX146" s="41">
        <f>'[2]побудинковий звіт'!CX146+'[1]побудинковий звіт'!CX146</f>
        <v>18477.390087543816</v>
      </c>
      <c r="CY146" s="41">
        <f>'[2]побудинковий звіт'!CY146+'[1]побудинковий звіт'!CY146</f>
        <v>60639.721031839726</v>
      </c>
      <c r="CZ146" s="55">
        <f t="shared" si="167"/>
        <v>42162.330944295914</v>
      </c>
      <c r="DA146" s="254">
        <f>'[1]побудинковий звіт'!DA146</f>
        <v>52895.532465121738</v>
      </c>
      <c r="DB146" s="2">
        <v>1</v>
      </c>
      <c r="DC146" s="702">
        <f>'[1]побудинковий звіт'!DC146</f>
        <v>192863.98</v>
      </c>
      <c r="DD146" s="702">
        <f>'[1]побудинковий звіт'!DD146</f>
        <v>0</v>
      </c>
      <c r="DE146" s="702">
        <f>'[1]побудинковий звіт'!DE146</f>
        <v>121392.86000000002</v>
      </c>
      <c r="DF146" s="702">
        <f>'[1]побудинковий звіт'!DF146</f>
        <v>0</v>
      </c>
      <c r="DG146" s="772">
        <v>51714.639698005747</v>
      </c>
      <c r="DH146" s="746">
        <f t="shared" si="168"/>
        <v>7831461.9423086811</v>
      </c>
      <c r="DI146" s="769"/>
      <c r="DJ146" s="5"/>
      <c r="DK146" s="307">
        <f>VLOOKUP($A146,ціни!$A$4:$G$401,5)</f>
        <v>6.0491207709564545</v>
      </c>
      <c r="DL146" s="307">
        <f>VLOOKUP($A146,ціни!$A$4:$G$401,6)</f>
        <v>7.3155104406192235</v>
      </c>
      <c r="DM146" s="307">
        <f>VLOOKUP($A146,ціни!$A$4:$G$401,7)</f>
        <v>4.9652115560307077</v>
      </c>
      <c r="DN146" s="29">
        <f>DK146*G146+(F146-G146)*DL146</f>
        <v>51232.280428437109</v>
      </c>
      <c r="DO146" s="29">
        <f>DM146*H146</f>
        <v>0</v>
      </c>
      <c r="DP146" s="306">
        <f t="shared" si="169"/>
        <v>51232.280428437109</v>
      </c>
      <c r="DQ146" s="101"/>
      <c r="DR146" s="29">
        <f>VLOOKUP(A146,'ДЗ нас '!$A$1:$C$359,2)</f>
        <v>51232.19</v>
      </c>
      <c r="DS146" s="733"/>
      <c r="DT146" s="29">
        <f t="shared" si="170"/>
        <v>51232.19</v>
      </c>
      <c r="DU146" s="247">
        <f>VLOOKUP(A146,'новий кошторис с 01.06'!$A$4:$AI$399,35)*1.2</f>
        <v>51481.164824082625</v>
      </c>
      <c r="DV146" s="29">
        <f t="shared" si="171"/>
        <v>-248.97482408262294</v>
      </c>
      <c r="DW146" s="1016">
        <f>'[2]побудинковий звіт'!$DW$9+'[1]побудинковий звіт'!DW146</f>
        <v>1188</v>
      </c>
      <c r="DX146" s="101">
        <f>'[1]побудинковий звіт'!DX146</f>
        <v>0</v>
      </c>
      <c r="DY146" s="5">
        <f t="shared" si="172"/>
        <v>146856.52595777751</v>
      </c>
      <c r="DZ146" s="5">
        <f t="shared" si="173"/>
        <v>62084.443671929708</v>
      </c>
      <c r="EA146" s="737">
        <f t="shared" si="174"/>
        <v>121392.86000000002</v>
      </c>
      <c r="EC146" s="577">
        <f t="shared" si="175"/>
        <v>1322996.0148960149</v>
      </c>
      <c r="EE146" s="743">
        <v>-26945</v>
      </c>
      <c r="EF146" s="723">
        <f t="shared" si="176"/>
        <v>24769.639698005747</v>
      </c>
      <c r="EH146" s="798">
        <v>-3659.9594381983916</v>
      </c>
      <c r="EI146" s="101">
        <f>VLOOKUP(A146,'кошти 01.01.24'!$A$9:$D$352,4,FALSE)</f>
        <v>95057.863409417507</v>
      </c>
    </row>
    <row r="147" spans="1:139" ht="14.4" hidden="1" customHeight="1" x14ac:dyDescent="0.3">
      <c r="A147" s="318">
        <v>150000494</v>
      </c>
      <c r="B147" s="43" t="s">
        <v>578</v>
      </c>
      <c r="C147" s="44" t="s">
        <v>418</v>
      </c>
      <c r="D147" s="44" t="s">
        <v>418</v>
      </c>
      <c r="E147" s="39">
        <f t="shared" si="125"/>
        <v>9483.7999999999993</v>
      </c>
      <c r="F147" s="205">
        <f>'[1]побудинковий звіт'!F147</f>
        <v>9483.7999999999993</v>
      </c>
      <c r="G147" s="29">
        <f>'[1]побудинковий звіт'!G147</f>
        <v>988.9</v>
      </c>
      <c r="H147" s="148">
        <f>'[1]побудинковий звіт'!H147</f>
        <v>0</v>
      </c>
      <c r="I147" s="41">
        <f>'[2]побудинковий звіт'!I147+'[1]побудинковий звіт'!I147</f>
        <v>30074.114587329146</v>
      </c>
      <c r="J147" s="41">
        <f>'[2]побудинковий звіт'!J147+'[1]побудинковий звіт'!J147</f>
        <v>23782.739792536137</v>
      </c>
      <c r="K147" s="55">
        <f t="shared" si="126"/>
        <v>-6291.3747947930096</v>
      </c>
      <c r="L147" s="41">
        <f>'[2]побудинковий звіт'!L147+'[1]побудинковий звіт'!L147</f>
        <v>4482.3669010898811</v>
      </c>
      <c r="M147" s="41">
        <f>'[2]побудинковий звіт'!M147+'[1]побудинковий звіт'!M147</f>
        <v>3791.9005165757862</v>
      </c>
      <c r="N147" s="55">
        <f t="shared" si="127"/>
        <v>-690.4663845140949</v>
      </c>
      <c r="O147" s="41">
        <f>'[2]побудинковий звіт'!O147+'[1]побудинковий звіт'!O147</f>
        <v>15555.389279496523</v>
      </c>
      <c r="P147" s="41">
        <f>'[2]побудинковий звіт'!P147+'[1]побудинковий звіт'!P147</f>
        <v>15599.713978417391</v>
      </c>
      <c r="Q147" s="55">
        <f t="shared" si="128"/>
        <v>44.324698920867377</v>
      </c>
      <c r="R147" s="41">
        <f>'[2]побудинковий звіт'!R147+'[1]побудинковий звіт'!R147</f>
        <v>3177.1105727007671</v>
      </c>
      <c r="S147" s="41">
        <f>'[2]побудинковий звіт'!S147+'[1]побудинковий звіт'!S147</f>
        <v>3188.5721817902813</v>
      </c>
      <c r="T147" s="55">
        <f t="shared" si="129"/>
        <v>11.461609089514241</v>
      </c>
      <c r="U147" s="41">
        <f>'[2]побудинковий звіт'!U147+'[1]побудинковий звіт'!U147</f>
        <v>1236.1512406402728</v>
      </c>
      <c r="V147" s="41">
        <f>'[2]побудинковий звіт'!V147+'[1]побудинковий звіт'!V147</f>
        <v>504.66475622155394</v>
      </c>
      <c r="W147" s="55">
        <f t="shared" si="130"/>
        <v>-731.48648441871887</v>
      </c>
      <c r="X147" s="41">
        <f>'[2]побудинковий звіт'!X147+'[1]побудинковий звіт'!X147</f>
        <v>11861.319171888068</v>
      </c>
      <c r="Y147" s="41">
        <f>'[2]побудинковий звіт'!Y147+'[1]побудинковий звіт'!Y147</f>
        <v>8610.7891299353214</v>
      </c>
      <c r="Z147" s="55">
        <f t="shared" si="131"/>
        <v>-3250.5300419527466</v>
      </c>
      <c r="AA147" s="41">
        <f>'[2]побудинковий звіт'!AA147+'[1]побудинковий звіт'!AA147</f>
        <v>0</v>
      </c>
      <c r="AB147" s="41">
        <f>'[2]побудинковий звіт'!AB147+'[1]побудинковий звіт'!AB147</f>
        <v>0</v>
      </c>
      <c r="AC147" s="55">
        <f t="shared" si="132"/>
        <v>0</v>
      </c>
      <c r="AD147" s="41">
        <f>'[2]побудинковий звіт'!AD147+'[1]побудинковий звіт'!AD147</f>
        <v>41081.298375285027</v>
      </c>
      <c r="AE147" s="41">
        <f>'[2]побудинковий звіт'!AE147+'[1]побудинковий звіт'!AE147</f>
        <v>40923.531006065154</v>
      </c>
      <c r="AF147" s="36">
        <f t="shared" si="133"/>
        <v>-157.76736921987322</v>
      </c>
      <c r="AG147" s="84">
        <f t="shared" si="134"/>
        <v>107467.75012842969</v>
      </c>
      <c r="AH147" s="56">
        <f t="shared" si="135"/>
        <v>96401.911361541628</v>
      </c>
      <c r="AI147" s="55">
        <f t="shared" si="136"/>
        <v>-11065.83876688806</v>
      </c>
      <c r="AJ147" s="41">
        <f>'[2]побудинковий звіт'!AJ147+'[1]побудинковий звіт'!AJ147</f>
        <v>48109.099428229623</v>
      </c>
      <c r="AK147" s="41">
        <f>'[2]побудинковий звіт'!AK147+'[1]побудинковий звіт'!AK147</f>
        <v>47358.633470824279</v>
      </c>
      <c r="AL147" s="55">
        <f t="shared" si="137"/>
        <v>-750.46595740534394</v>
      </c>
      <c r="AM147" s="41">
        <f>'[2]побудинковий звіт'!AM147+'[1]побудинковий звіт'!AM147</f>
        <v>908.80628444281319</v>
      </c>
      <c r="AN147" s="41">
        <f>'[2]побудинковий звіт'!AN147+'[1]побудинковий звіт'!AN147</f>
        <v>1843.877539096233</v>
      </c>
      <c r="AO147" s="55">
        <f t="shared" si="138"/>
        <v>935.07125465341983</v>
      </c>
      <c r="AP147" s="41">
        <f>'[2]побудинковий звіт'!AP147+'[1]побудинковий звіт'!AP147</f>
        <v>6191.2371431575248</v>
      </c>
      <c r="AQ147" s="41">
        <f>'[2]побудинковий звіт'!AQ147+'[1]побудинковий звіт'!AQ147</f>
        <v>5740.8534715947453</v>
      </c>
      <c r="AR147" s="55">
        <f t="shared" si="139"/>
        <v>-450.38367156277945</v>
      </c>
      <c r="AS147" s="41">
        <f>'[2]побудинковий звіт'!AS147+'[1]побудинковий звіт'!AS147</f>
        <v>135047.77272272282</v>
      </c>
      <c r="AT147" s="41">
        <f>'[2]побудинковий звіт'!AT147+'[1]побудинковий звіт'!AT147</f>
        <v>148142.75658699835</v>
      </c>
      <c r="AU147" s="57">
        <f t="shared" si="140"/>
        <v>13094.983864275535</v>
      </c>
      <c r="AV147" s="41">
        <f>'[2]побудинковий звіт'!AV147+'[1]побудинковий звіт'!AV147</f>
        <v>2786.8083270045408</v>
      </c>
      <c r="AW147" s="41">
        <f>'[2]побудинковий звіт'!AW147+'[1]побудинковий звіт'!AW147</f>
        <v>662.93141411936881</v>
      </c>
      <c r="AX147" s="58">
        <f t="shared" si="141"/>
        <v>-2123.8769128851718</v>
      </c>
      <c r="AY147" s="41">
        <f>'[2]побудинковий звіт'!AY147+'[1]побудинковий звіт'!AY147</f>
        <v>3200.1728128035434</v>
      </c>
      <c r="AZ147" s="41">
        <f>'[2]побудинковий звіт'!AZ147+'[1]побудинковий звіт'!AZ147</f>
        <v>0</v>
      </c>
      <c r="BA147" s="36">
        <f t="shared" si="142"/>
        <v>-3200.1728128035434</v>
      </c>
      <c r="BB147" s="41">
        <f>'[2]побудинковий звіт'!BB147+'[1]побудинковий звіт'!BB147</f>
        <v>4239.6473237053224</v>
      </c>
      <c r="BC147" s="41">
        <f>'[2]побудинковий звіт'!BC147+'[1]побудинковий звіт'!BC147</f>
        <v>0</v>
      </c>
      <c r="BD147" s="58">
        <f t="shared" si="143"/>
        <v>-4239.6473237053224</v>
      </c>
      <c r="BE147" s="41">
        <f>'[2]побудинковий звіт'!BE147+'[1]побудинковий звіт'!BE147</f>
        <v>1369.9571182973518</v>
      </c>
      <c r="BF147" s="41">
        <f>'[2]побудинковий звіт'!BF147+'[1]побудинковий звіт'!BF147</f>
        <v>0</v>
      </c>
      <c r="BG147" s="38">
        <f t="shared" si="144"/>
        <v>-1369.9571182973518</v>
      </c>
      <c r="BH147" s="41">
        <f>'[2]побудинковий звіт'!BH147+'[1]побудинковий звіт'!BH147</f>
        <v>642.13952180756337</v>
      </c>
      <c r="BI147" s="41">
        <f>'[2]побудинковий звіт'!BI147+'[1]побудинковий звіт'!BI147</f>
        <v>294.13123099999996</v>
      </c>
      <c r="BJ147" s="58">
        <f t="shared" si="145"/>
        <v>-348.00829080756341</v>
      </c>
      <c r="BK147" s="41">
        <f>'[2]побудинковий звіт'!BK147+'[1]побудинковий звіт'!BK147</f>
        <v>2196.3552245915143</v>
      </c>
      <c r="BL147" s="41">
        <f>'[2]побудинковий звіт'!BL147+'[1]побудинковий звіт'!BL147</f>
        <v>904.12540647134904</v>
      </c>
      <c r="BM147" s="38">
        <f t="shared" si="146"/>
        <v>-1292.2298181201654</v>
      </c>
      <c r="BN147" s="41">
        <f>'[2]побудинковий звіт'!BN147+'[1]побудинковий звіт'!BN147</f>
        <v>507.48717094790749</v>
      </c>
      <c r="BO147" s="41">
        <f>'[2]побудинковий звіт'!BO147+'[1]побудинковий звіт'!BO147</f>
        <v>14635.695957452564</v>
      </c>
      <c r="BP147" s="58">
        <f t="shared" si="147"/>
        <v>14128.208786504658</v>
      </c>
      <c r="BQ147" s="84">
        <f t="shared" si="148"/>
        <v>14942.567499157743</v>
      </c>
      <c r="BR147" s="42">
        <f t="shared" si="149"/>
        <v>16496.884009043282</v>
      </c>
      <c r="BS147" s="58">
        <f t="shared" si="150"/>
        <v>1554.3165098855388</v>
      </c>
      <c r="BT147" s="41">
        <f>'[2]побудинковий звіт'!BT147+'[1]побудинковий звіт'!BT147</f>
        <v>109021.14809569874</v>
      </c>
      <c r="BU147" s="41">
        <f>'[2]побудинковий звіт'!BU147+'[1]побудинковий звіт'!BU147</f>
        <v>161337.58304209574</v>
      </c>
      <c r="BV147" s="55">
        <f t="shared" si="151"/>
        <v>52316.434946396999</v>
      </c>
      <c r="BW147" s="41">
        <f>'[2]побудинковий звіт'!BW147+'[1]побудинковий звіт'!BW147</f>
        <v>83770.710552249569</v>
      </c>
      <c r="BX147" s="41">
        <f>'[2]побудинковий звіт'!BX147+'[1]побудинковий звіт'!BX147</f>
        <v>103689.91414324853</v>
      </c>
      <c r="BY147" s="55">
        <f t="shared" si="152"/>
        <v>19919.203590998965</v>
      </c>
      <c r="BZ147" s="41">
        <f>'[2]побудинковий звіт'!BZ147+'[1]побудинковий звіт'!BZ147</f>
        <v>29846.101778278335</v>
      </c>
      <c r="CA147" s="41">
        <f>'[2]побудинковий звіт'!CA147+'[1]побудинковий звіт'!CA147</f>
        <v>16272.177376470832</v>
      </c>
      <c r="CB147" s="55">
        <f t="shared" si="153"/>
        <v>-13573.924401807502</v>
      </c>
      <c r="CC147" s="41">
        <f>'[2]побудинковий звіт'!CC147+'[1]побудинковий звіт'!CC147</f>
        <v>1333.7962222299445</v>
      </c>
      <c r="CD147" s="41">
        <f>'[2]побудинковий звіт'!CD147+'[1]побудинковий звіт'!CD147</f>
        <v>1338.3189764430012</v>
      </c>
      <c r="CE147" s="55">
        <f t="shared" si="154"/>
        <v>4.5227542130567144</v>
      </c>
      <c r="CF147" s="41">
        <f>'[2]побудинковий звіт'!CF147+'[1]побудинковий звіт'!CF147</f>
        <v>165.25026256036261</v>
      </c>
      <c r="CG147" s="41">
        <f>'[2]побудинковий звіт'!CG147+'[1]побудинковий звіт'!CG147</f>
        <v>0</v>
      </c>
      <c r="CH147" s="55">
        <f t="shared" si="155"/>
        <v>-165.25026256036261</v>
      </c>
      <c r="CI147" s="41">
        <f>'[2]побудинковий звіт'!CI147+'[1]побудинковий звіт'!CI147</f>
        <v>20202.864428016579</v>
      </c>
      <c r="CJ147" s="41">
        <f>'[2]побудинковий звіт'!CJ147+'[1]побудинковий звіт'!CJ147</f>
        <v>16438.448947959685</v>
      </c>
      <c r="CK147" s="55">
        <f t="shared" si="156"/>
        <v>-3764.415480056894</v>
      </c>
      <c r="CL147" s="41">
        <f>'[2]побудинковий звіт'!CL147+'[1]побудинковий звіт'!CL147</f>
        <v>23917.338951074264</v>
      </c>
      <c r="CM147" s="41">
        <f>'[2]побудинковий звіт'!CM147+'[1]побудинковий звіт'!CM147</f>
        <v>35973.424067563326</v>
      </c>
      <c r="CN147" s="55">
        <f t="shared" si="157"/>
        <v>12056.085116489063</v>
      </c>
      <c r="CO147" s="41">
        <f t="shared" si="158"/>
        <v>44120.203379090846</v>
      </c>
      <c r="CP147" s="42">
        <f t="shared" si="159"/>
        <v>52411.873015523015</v>
      </c>
      <c r="CQ147" s="55">
        <f t="shared" si="160"/>
        <v>8291.6696364321688</v>
      </c>
      <c r="CR147" s="76">
        <f t="shared" si="161"/>
        <v>580924.44349624799</v>
      </c>
      <c r="CS147" s="5">
        <f t="shared" si="162"/>
        <v>651034.78299287963</v>
      </c>
      <c r="CT147" s="55">
        <f t="shared" si="163"/>
        <v>70110.339496631641</v>
      </c>
      <c r="CU147" s="84">
        <f t="shared" si="164"/>
        <v>697109.33219549758</v>
      </c>
      <c r="CV147" s="68">
        <f t="shared" si="165"/>
        <v>781241.73959145555</v>
      </c>
      <c r="CW147" s="36">
        <f t="shared" si="166"/>
        <v>84132.407395957969</v>
      </c>
      <c r="CX147" s="41">
        <f>'[2]побудинковий звіт'!CX147+'[1]побудинковий звіт'!CX147</f>
        <v>7737.3425340232461</v>
      </c>
      <c r="CY147" s="41">
        <f>'[2]побудинковий звіт'!CY147+'[1]побудинковий звіт'!CY147</f>
        <v>-76395.064861934719</v>
      </c>
      <c r="CZ147" s="55">
        <f t="shared" si="167"/>
        <v>-84132.407395957969</v>
      </c>
      <c r="DA147" s="254">
        <f>'[1]побудинковий звіт'!DA147</f>
        <v>78660.738864487619</v>
      </c>
      <c r="DB147" s="2">
        <v>1</v>
      </c>
      <c r="DC147" s="702">
        <f>'[1]побудинковий звіт'!DC147</f>
        <v>160220.95000000001</v>
      </c>
      <c r="DD147" s="702">
        <f>'[1]побудинковий звіт'!DD147</f>
        <v>0</v>
      </c>
      <c r="DE147" s="702">
        <f>'[1]побудинковий звіт'!DE147</f>
        <v>83052.030000000013</v>
      </c>
      <c r="DF147" s="702">
        <f>'[1]побудинковий звіт'!DF147</f>
        <v>0</v>
      </c>
      <c r="DG147" s="772">
        <v>-125647.93569250987</v>
      </c>
      <c r="DH147" s="746">
        <f t="shared" si="168"/>
        <v>8458160.0967542492</v>
      </c>
      <c r="DI147" s="769"/>
      <c r="DJ147" s="5"/>
      <c r="DK147" s="307">
        <f>VLOOKUP($A147,ціни!$A$4:$G$401,5)</f>
        <v>5.1194379001858374</v>
      </c>
      <c r="DL147" s="307">
        <f>VLOOKUP($A147,ціни!$A$4:$G$401,6)</f>
        <v>5.9117166673935442</v>
      </c>
      <c r="DM147" s="307">
        <f>VLOOKUP($A147,ціни!$A$4:$G$401,7)</f>
        <v>4.2805997984186082</v>
      </c>
      <c r="DN147" s="29">
        <f>DK147*G147+(F147-G147)*DL147</f>
        <v>55282.05405733519</v>
      </c>
      <c r="DO147" s="29">
        <f>DM147*H147</f>
        <v>0</v>
      </c>
      <c r="DP147" s="306">
        <f t="shared" si="169"/>
        <v>55282.05405733519</v>
      </c>
      <c r="DQ147" s="101"/>
      <c r="DR147" s="29">
        <f>VLOOKUP(A147,'ДЗ нас '!$A$1:$C$359,2)</f>
        <v>55242.91</v>
      </c>
      <c r="DS147" s="733"/>
      <c r="DT147" s="29">
        <f t="shared" si="170"/>
        <v>55242.91</v>
      </c>
      <c r="DU147" s="247">
        <f>VLOOKUP(A147,'новий кошторис с 01.06'!$A$4:$AI$399,35)*1.2</f>
        <v>55195.151822324529</v>
      </c>
      <c r="DV147" s="29">
        <f t="shared" si="171"/>
        <v>47.758177675474144</v>
      </c>
      <c r="DW147" s="1016">
        <f>'[2]побудинковий звіт'!$DW$9+'[1]побудинковий звіт'!DW147</f>
        <v>1188</v>
      </c>
      <c r="DX147" s="101">
        <f>'[1]побудинковий звіт'!DX147</f>
        <v>0</v>
      </c>
      <c r="DY147" s="5">
        <f t="shared" si="172"/>
        <v>179988.40826625665</v>
      </c>
      <c r="DZ147" s="5">
        <f t="shared" si="173"/>
        <v>197567.56871524994</v>
      </c>
      <c r="EA147" s="737">
        <f t="shared" si="174"/>
        <v>83052.030000000013</v>
      </c>
      <c r="EC147" s="577">
        <f t="shared" si="175"/>
        <v>1620573.2726726737</v>
      </c>
      <c r="EE147" s="743">
        <v>-85009</v>
      </c>
      <c r="EF147" s="723">
        <f t="shared" si="176"/>
        <v>-210656.93569250987</v>
      </c>
      <c r="EH147" s="798">
        <v>-150662.97642728058</v>
      </c>
      <c r="EI147" s="101">
        <f>VLOOKUP(A147,'кошти 01.01.24'!$A$9:$D$352,4,FALSE)</f>
        <v>-5471.66853147027</v>
      </c>
    </row>
    <row r="148" spans="1:139" hidden="1" x14ac:dyDescent="0.3">
      <c r="A148" s="318">
        <v>150000688</v>
      </c>
      <c r="B148" s="43" t="s">
        <v>579</v>
      </c>
      <c r="C148" s="44" t="s">
        <v>92</v>
      </c>
      <c r="D148" s="44" t="s">
        <v>92</v>
      </c>
      <c r="E148" s="39">
        <f t="shared" si="125"/>
        <v>0</v>
      </c>
      <c r="F148" s="205">
        <f>'[1]побудинковий звіт'!F148</f>
        <v>0</v>
      </c>
      <c r="G148" s="29">
        <f>'[1]побудинковий звіт'!G148</f>
        <v>0</v>
      </c>
      <c r="H148" s="148">
        <f>'[1]побудинковий звіт'!H148</f>
        <v>0</v>
      </c>
      <c r="I148" s="41">
        <f>'[2]побудинковий звіт'!I148+'[1]побудинковий звіт'!I148</f>
        <v>0</v>
      </c>
      <c r="J148" s="41">
        <f>'[2]побудинковий звіт'!J148+'[1]побудинковий звіт'!J148</f>
        <v>0</v>
      </c>
      <c r="K148" s="55">
        <f t="shared" si="126"/>
        <v>0</v>
      </c>
      <c r="L148" s="41">
        <f>'[2]побудинковий звіт'!L148+'[1]побудинковий звіт'!L148</f>
        <v>0</v>
      </c>
      <c r="M148" s="41">
        <f>'[2]побудинковий звіт'!M148+'[1]побудинковий звіт'!M148</f>
        <v>0</v>
      </c>
      <c r="N148" s="55">
        <f t="shared" si="127"/>
        <v>0</v>
      </c>
      <c r="O148" s="41">
        <f>'[2]побудинковий звіт'!O148+'[1]побудинковий звіт'!O148</f>
        <v>0</v>
      </c>
      <c r="P148" s="41">
        <f>'[2]побудинковий звіт'!P148+'[1]побудинковий звіт'!P148</f>
        <v>0</v>
      </c>
      <c r="Q148" s="55">
        <f t="shared" si="128"/>
        <v>0</v>
      </c>
      <c r="R148" s="41">
        <f>'[2]побудинковий звіт'!R148+'[1]побудинковий звіт'!R148</f>
        <v>0</v>
      </c>
      <c r="S148" s="41">
        <f>'[2]побудинковий звіт'!S148+'[1]побудинковий звіт'!S148</f>
        <v>0</v>
      </c>
      <c r="T148" s="55">
        <f t="shared" si="129"/>
        <v>0</v>
      </c>
      <c r="U148" s="41">
        <f>'[2]побудинковий звіт'!U148+'[1]побудинковий звіт'!U148</f>
        <v>0</v>
      </c>
      <c r="V148" s="41">
        <f>'[2]побудинковий звіт'!V148+'[1]побудинковий звіт'!V148</f>
        <v>0</v>
      </c>
      <c r="W148" s="55">
        <f t="shared" si="130"/>
        <v>0</v>
      </c>
      <c r="X148" s="41">
        <f>'[2]побудинковий звіт'!X148+'[1]побудинковий звіт'!X148</f>
        <v>0</v>
      </c>
      <c r="Y148" s="41">
        <f>'[2]побудинковий звіт'!Y148+'[1]побудинковий звіт'!Y148</f>
        <v>0</v>
      </c>
      <c r="Z148" s="55">
        <f t="shared" si="131"/>
        <v>0</v>
      </c>
      <c r="AA148" s="41">
        <f>'[2]побудинковий звіт'!AA148+'[1]побудинковий звіт'!AA148</f>
        <v>0</v>
      </c>
      <c r="AB148" s="41">
        <f>'[2]побудинковий звіт'!AB148+'[1]побудинковий звіт'!AB148</f>
        <v>0</v>
      </c>
      <c r="AC148" s="55">
        <f t="shared" si="132"/>
        <v>0</v>
      </c>
      <c r="AD148" s="41">
        <f>'[2]побудинковий звіт'!AD148+'[1]побудинковий звіт'!AD148</f>
        <v>0</v>
      </c>
      <c r="AE148" s="41">
        <f>'[2]побудинковий звіт'!AE148+'[1]побудинковий звіт'!AE148</f>
        <v>0</v>
      </c>
      <c r="AF148" s="36">
        <f t="shared" si="133"/>
        <v>0</v>
      </c>
      <c r="AG148" s="84">
        <f t="shared" si="134"/>
        <v>0</v>
      </c>
      <c r="AH148" s="56">
        <f t="shared" si="135"/>
        <v>0</v>
      </c>
      <c r="AI148" s="55">
        <f t="shared" si="136"/>
        <v>0</v>
      </c>
      <c r="AJ148" s="41">
        <f>'[2]побудинковий звіт'!AJ148+'[1]побудинковий звіт'!AJ148</f>
        <v>0</v>
      </c>
      <c r="AK148" s="41">
        <f>'[2]побудинковий звіт'!AK148+'[1]побудинковий звіт'!AK148</f>
        <v>0</v>
      </c>
      <c r="AL148" s="55">
        <f t="shared" si="137"/>
        <v>0</v>
      </c>
      <c r="AM148" s="41">
        <f>'[2]побудинковий звіт'!AM148+'[1]побудинковий звіт'!AM148</f>
        <v>0</v>
      </c>
      <c r="AN148" s="41">
        <f>'[2]побудинковий звіт'!AN148+'[1]побудинковий звіт'!AN148</f>
        <v>0</v>
      </c>
      <c r="AO148" s="55">
        <f t="shared" si="138"/>
        <v>0</v>
      </c>
      <c r="AP148" s="41">
        <f>'[2]побудинковий звіт'!AP148+'[1]побудинковий звіт'!AP148</f>
        <v>220.97078334185159</v>
      </c>
      <c r="AQ148" s="41">
        <f>'[2]побудинковий звіт'!AQ148+'[1]побудинковий звіт'!AQ148</f>
        <v>141.40601688470966</v>
      </c>
      <c r="AR148" s="55">
        <f t="shared" si="139"/>
        <v>-79.564766457141928</v>
      </c>
      <c r="AS148" s="41">
        <f>'[2]побудинковий звіт'!AS148+'[1]побудинковий звіт'!AS148</f>
        <v>1992.4020978659726</v>
      </c>
      <c r="AT148" s="41">
        <f>'[2]побудинковий звіт'!AT148+'[1]побудинковий звіт'!AT148</f>
        <v>0</v>
      </c>
      <c r="AU148" s="57">
        <f t="shared" si="140"/>
        <v>-1992.4020978659726</v>
      </c>
      <c r="AV148" s="41">
        <f>'[2]побудинковий звіт'!AV148+'[1]побудинковий звіт'!AV148</f>
        <v>0</v>
      </c>
      <c r="AW148" s="41">
        <f>'[2]побудинковий звіт'!AW148+'[1]побудинковий звіт'!AW148</f>
        <v>0</v>
      </c>
      <c r="AX148" s="58">
        <f t="shared" si="141"/>
        <v>0</v>
      </c>
      <c r="AY148" s="41">
        <f>'[2]побудинковий звіт'!AY148+'[1]побудинковий звіт'!AY148</f>
        <v>0</v>
      </c>
      <c r="AZ148" s="41">
        <f>'[2]побудинковий звіт'!AZ148+'[1]побудинковий звіт'!AZ148</f>
        <v>0</v>
      </c>
      <c r="BA148" s="36">
        <f t="shared" si="142"/>
        <v>0</v>
      </c>
      <c r="BB148" s="41">
        <f>'[2]побудинковий звіт'!BB148+'[1]побудинковий звіт'!BB148</f>
        <v>0</v>
      </c>
      <c r="BC148" s="41">
        <f>'[2]побудинковий звіт'!BC148+'[1]побудинковий звіт'!BC148</f>
        <v>0</v>
      </c>
      <c r="BD148" s="58">
        <f t="shared" si="143"/>
        <v>0</v>
      </c>
      <c r="BE148" s="41">
        <f>'[2]побудинковий звіт'!BE148+'[1]побудинковий звіт'!BE148</f>
        <v>0</v>
      </c>
      <c r="BF148" s="41">
        <f>'[2]побудинковий звіт'!BF148+'[1]побудинковий звіт'!BF148</f>
        <v>0</v>
      </c>
      <c r="BG148" s="38">
        <f t="shared" si="144"/>
        <v>0</v>
      </c>
      <c r="BH148" s="41">
        <f>'[2]побудинковий звіт'!BH148+'[1]побудинковий звіт'!BH148</f>
        <v>0</v>
      </c>
      <c r="BI148" s="41">
        <f>'[2]побудинковий звіт'!BI148+'[1]побудинковий звіт'!BI148</f>
        <v>0</v>
      </c>
      <c r="BJ148" s="58">
        <f t="shared" si="145"/>
        <v>0</v>
      </c>
      <c r="BK148" s="41">
        <f>'[2]побудинковий звіт'!BK148+'[1]побудинковий звіт'!BK148</f>
        <v>0</v>
      </c>
      <c r="BL148" s="41">
        <f>'[2]побудинковий звіт'!BL148+'[1]побудинковий звіт'!BL148</f>
        <v>0</v>
      </c>
      <c r="BM148" s="38">
        <f t="shared" si="146"/>
        <v>0</v>
      </c>
      <c r="BN148" s="41">
        <f>'[2]побудинковий звіт'!BN148+'[1]побудинковий звіт'!BN148</f>
        <v>0</v>
      </c>
      <c r="BO148" s="41">
        <f>'[2]побудинковий звіт'!BO148+'[1]побудинковий звіт'!BO148</f>
        <v>1127.6054398000001</v>
      </c>
      <c r="BP148" s="58">
        <f t="shared" si="147"/>
        <v>1127.6054398000001</v>
      </c>
      <c r="BQ148" s="84">
        <f t="shared" si="148"/>
        <v>0</v>
      </c>
      <c r="BR148" s="42">
        <f t="shared" si="149"/>
        <v>1127.6054398000001</v>
      </c>
      <c r="BS148" s="58">
        <f t="shared" si="150"/>
        <v>1127.6054398000001</v>
      </c>
      <c r="BT148" s="41">
        <f>'[2]побудинковий звіт'!BT148+'[1]побудинковий звіт'!BT148</f>
        <v>111.65938351958836</v>
      </c>
      <c r="BU148" s="41">
        <f>'[2]побудинковий звіт'!BU148+'[1]побудинковий звіт'!BU148</f>
        <v>491.9698424195592</v>
      </c>
      <c r="BV148" s="55">
        <f t="shared" si="151"/>
        <v>380.31045889997085</v>
      </c>
      <c r="BW148" s="41">
        <f>'[2]побудинковий звіт'!BW148+'[1]побудинковий звіт'!BW148</f>
        <v>0</v>
      </c>
      <c r="BX148" s="41">
        <f>'[2]побудинковий звіт'!BX148+'[1]побудинковий звіт'!BX148</f>
        <v>0.98134744681293951</v>
      </c>
      <c r="BY148" s="55">
        <f t="shared" si="152"/>
        <v>0.98134744681293951</v>
      </c>
      <c r="BZ148" s="41">
        <f>'[2]побудинковий звіт'!BZ148+'[1]побудинковий звіт'!BZ148</f>
        <v>0</v>
      </c>
      <c r="CA148" s="41">
        <f>'[2]побудинковий звіт'!CA148+'[1]побудинковий звіт'!CA148</f>
        <v>82.177738572136064</v>
      </c>
      <c r="CB148" s="55">
        <f t="shared" si="153"/>
        <v>82.177738572136064</v>
      </c>
      <c r="CC148" s="41">
        <f>'[2]побудинковий звіт'!CC148+'[1]побудинковий звіт'!CC148</f>
        <v>0</v>
      </c>
      <c r="CD148" s="41">
        <f>'[2]побудинковий звіт'!CD148+'[1]побудинковий звіт'!CD148</f>
        <v>0</v>
      </c>
      <c r="CE148" s="55">
        <f t="shared" si="154"/>
        <v>0</v>
      </c>
      <c r="CF148" s="41">
        <f>'[2]побудинковий звіт'!CF148+'[1]побудинковий звіт'!CF148</f>
        <v>0</v>
      </c>
      <c r="CG148" s="41">
        <f>'[2]побудинковий звіт'!CG148+'[1]побудинковий звіт'!CG148</f>
        <v>0</v>
      </c>
      <c r="CH148" s="55">
        <f t="shared" si="155"/>
        <v>0</v>
      </c>
      <c r="CI148" s="41">
        <f>'[2]побудинковий звіт'!CI148+'[1]побудинковий звіт'!CI148</f>
        <v>0</v>
      </c>
      <c r="CJ148" s="41">
        <f>'[2]побудинковий звіт'!CJ148+'[1]побудинковий звіт'!CJ148</f>
        <v>0</v>
      </c>
      <c r="CK148" s="55">
        <f t="shared" si="156"/>
        <v>0</v>
      </c>
      <c r="CL148" s="41">
        <f>'[2]побудинковий звіт'!CL148+'[1]побудинковий звіт'!CL148</f>
        <v>0</v>
      </c>
      <c r="CM148" s="41">
        <f>'[2]побудинковий звіт'!CM148+'[1]побудинковий звіт'!CM148</f>
        <v>0</v>
      </c>
      <c r="CN148" s="55">
        <f t="shared" si="157"/>
        <v>0</v>
      </c>
      <c r="CO148" s="41">
        <f t="shared" si="158"/>
        <v>0</v>
      </c>
      <c r="CP148" s="42">
        <f t="shared" si="159"/>
        <v>0</v>
      </c>
      <c r="CQ148" s="55">
        <f t="shared" si="160"/>
        <v>0</v>
      </c>
      <c r="CR148" s="76">
        <f t="shared" si="161"/>
        <v>2325.0322647274129</v>
      </c>
      <c r="CS148" s="5">
        <f t="shared" si="162"/>
        <v>1844.140385123218</v>
      </c>
      <c r="CT148" s="55">
        <f t="shared" si="163"/>
        <v>-480.89187960419486</v>
      </c>
      <c r="CU148" s="84">
        <f t="shared" si="164"/>
        <v>2790.0387176728955</v>
      </c>
      <c r="CV148" s="68">
        <f t="shared" si="165"/>
        <v>2212.9684621478614</v>
      </c>
      <c r="CW148" s="36">
        <f t="shared" si="166"/>
        <v>-577.0702555250341</v>
      </c>
      <c r="CX148" s="41">
        <f>'[2]побудинковий звіт'!CX148+'[1]побудинковий звіт'!CX148</f>
        <v>32.571282327105166</v>
      </c>
      <c r="CY148" s="41">
        <f>'[2]побудинковий звіт'!CY148+'[1]побудинковий звіт'!CY148</f>
        <v>609.64153785213864</v>
      </c>
      <c r="CZ148" s="55">
        <f t="shared" si="167"/>
        <v>577.07025552503342</v>
      </c>
      <c r="DA148" s="254">
        <f>'[1]побудинковий звіт'!DA148</f>
        <v>-11456.932229278837</v>
      </c>
      <c r="DB148" s="2">
        <v>3</v>
      </c>
      <c r="DC148" s="702">
        <f>'[1]побудинковий звіт'!DC148</f>
        <v>0</v>
      </c>
      <c r="DD148" s="702">
        <f>'[1]побудинковий звіт'!DD148</f>
        <v>0</v>
      </c>
      <c r="DE148" s="702">
        <f>'[1]побудинковий звіт'!DE148</f>
        <v>0</v>
      </c>
      <c r="DF148" s="702">
        <f>'[1]побудинковий звіт'!DF148</f>
        <v>0</v>
      </c>
      <c r="DG148" s="772">
        <v>-6297.1860918920993</v>
      </c>
      <c r="DH148" s="746">
        <f t="shared" si="168"/>
        <v>33871.320000000007</v>
      </c>
      <c r="DI148" s="769"/>
      <c r="DJ148" s="5"/>
      <c r="DK148" s="307">
        <f>VLOOKUP($A148,ціни!$A$4:$G$401,5)</f>
        <v>1.6779577522296552</v>
      </c>
      <c r="DL148" s="307"/>
      <c r="DM148" s="307">
        <f>VLOOKUP($A148,ціни!$A$4:$G$401,7)</f>
        <v>1.6779577522296552</v>
      </c>
      <c r="DN148" s="29">
        <f>F148*DK148</f>
        <v>0</v>
      </c>
      <c r="DO148" s="29">
        <f>H148*DM148</f>
        <v>0</v>
      </c>
      <c r="DP148" s="306">
        <f t="shared" si="169"/>
        <v>0</v>
      </c>
      <c r="DQ148" s="101"/>
      <c r="DR148" s="29">
        <f>VLOOKUP(A148,'ДЗ нас '!$A$1:$C$359,2)</f>
        <v>403.23</v>
      </c>
      <c r="DS148" s="733"/>
      <c r="DT148" s="29">
        <f t="shared" si="170"/>
        <v>403.23</v>
      </c>
      <c r="DU148" s="247">
        <f>VLOOKUP(A148,'новий кошторис с 01.06'!$A$4:$AI$399,35)*1.2</f>
        <v>405.75134494157243</v>
      </c>
      <c r="DV148" s="29">
        <f t="shared" si="171"/>
        <v>-2.5213449415724085</v>
      </c>
      <c r="DW148" s="1016">
        <f>'[2]побудинковий звіт'!$DW$9+'[1]побудинковий звіт'!DW148</f>
        <v>0</v>
      </c>
      <c r="DX148" s="101">
        <f>'[1]побудинковий звіт'!DX148</f>
        <v>0</v>
      </c>
      <c r="DY148" s="5">
        <f t="shared" si="172"/>
        <v>2390.8825174391668</v>
      </c>
      <c r="DZ148" s="5">
        <f t="shared" si="173"/>
        <v>1353.12652776</v>
      </c>
      <c r="EA148" s="737">
        <f t="shared" si="174"/>
        <v>0</v>
      </c>
      <c r="EC148" s="577">
        <f t="shared" si="175"/>
        <v>23908.82517439167</v>
      </c>
      <c r="EE148" s="743">
        <v>-3597</v>
      </c>
      <c r="EF148" s="723">
        <f t="shared" si="176"/>
        <v>-9894.1860918920993</v>
      </c>
      <c r="EH148" s="798">
        <v>-8128.1373818215325</v>
      </c>
      <c r="EI148" s="101">
        <f>VLOOKUP(A148,'кошти 01.01.24'!$A$9:$D$352,4,FALSE)</f>
        <v>-10879.861973753803</v>
      </c>
    </row>
    <row r="149" spans="1:139" hidden="1" x14ac:dyDescent="0.3">
      <c r="A149" s="318">
        <v>150000689</v>
      </c>
      <c r="B149" s="43" t="s">
        <v>580</v>
      </c>
      <c r="C149" s="44" t="s">
        <v>93</v>
      </c>
      <c r="D149" s="44" t="s">
        <v>93</v>
      </c>
      <c r="E149" s="39">
        <f t="shared" si="125"/>
        <v>0</v>
      </c>
      <c r="F149" s="205">
        <f>'[1]побудинковий звіт'!F149</f>
        <v>0</v>
      </c>
      <c r="G149" s="29">
        <f>'[1]побудинковий звіт'!G149</f>
        <v>0</v>
      </c>
      <c r="H149" s="148">
        <f>'[1]побудинковий звіт'!H149</f>
        <v>0</v>
      </c>
      <c r="I149" s="41">
        <f>'[2]побудинковий звіт'!I149+'[1]побудинковий звіт'!I149</f>
        <v>0</v>
      </c>
      <c r="J149" s="41">
        <f>'[2]побудинковий звіт'!J149+'[1]побудинковий звіт'!J149</f>
        <v>0</v>
      </c>
      <c r="K149" s="55">
        <f t="shared" si="126"/>
        <v>0</v>
      </c>
      <c r="L149" s="41">
        <f>'[2]побудинковий звіт'!L149+'[1]побудинковий звіт'!L149</f>
        <v>0</v>
      </c>
      <c r="M149" s="41">
        <f>'[2]побудинковий звіт'!M149+'[1]побудинковий звіт'!M149</f>
        <v>0</v>
      </c>
      <c r="N149" s="55">
        <f t="shared" si="127"/>
        <v>0</v>
      </c>
      <c r="O149" s="41">
        <f>'[2]побудинковий звіт'!O149+'[1]побудинковий звіт'!O149</f>
        <v>0</v>
      </c>
      <c r="P149" s="41">
        <f>'[2]побудинковий звіт'!P149+'[1]побудинковий звіт'!P149</f>
        <v>0</v>
      </c>
      <c r="Q149" s="55">
        <f t="shared" si="128"/>
        <v>0</v>
      </c>
      <c r="R149" s="41">
        <f>'[2]побудинковий звіт'!R149+'[1]побудинковий звіт'!R149</f>
        <v>0</v>
      </c>
      <c r="S149" s="41">
        <f>'[2]побудинковий звіт'!S149+'[1]побудинковий звіт'!S149</f>
        <v>0</v>
      </c>
      <c r="T149" s="55">
        <f t="shared" si="129"/>
        <v>0</v>
      </c>
      <c r="U149" s="41">
        <f>'[2]побудинковий звіт'!U149+'[1]побудинковий звіт'!U149</f>
        <v>0</v>
      </c>
      <c r="V149" s="41">
        <f>'[2]побудинковий звіт'!V149+'[1]побудинковий звіт'!V149</f>
        <v>0</v>
      </c>
      <c r="W149" s="55">
        <f t="shared" si="130"/>
        <v>0</v>
      </c>
      <c r="X149" s="41">
        <f>'[2]побудинковий звіт'!X149+'[1]побудинковий звіт'!X149</f>
        <v>0</v>
      </c>
      <c r="Y149" s="41">
        <f>'[2]побудинковий звіт'!Y149+'[1]побудинковий звіт'!Y149</f>
        <v>0</v>
      </c>
      <c r="Z149" s="55">
        <f t="shared" si="131"/>
        <v>0</v>
      </c>
      <c r="AA149" s="41">
        <f>'[2]побудинковий звіт'!AA149+'[1]побудинковий звіт'!AA149</f>
        <v>0</v>
      </c>
      <c r="AB149" s="41">
        <f>'[2]побудинковий звіт'!AB149+'[1]побудинковий звіт'!AB149</f>
        <v>0</v>
      </c>
      <c r="AC149" s="55">
        <f t="shared" si="132"/>
        <v>0</v>
      </c>
      <c r="AD149" s="41">
        <f>'[2]побудинковий звіт'!AD149+'[1]побудинковий звіт'!AD149</f>
        <v>0</v>
      </c>
      <c r="AE149" s="41">
        <f>'[2]побудинковий звіт'!AE149+'[1]побудинковий звіт'!AE149</f>
        <v>0</v>
      </c>
      <c r="AF149" s="36">
        <f t="shared" si="133"/>
        <v>0</v>
      </c>
      <c r="AG149" s="84">
        <f t="shared" si="134"/>
        <v>0</v>
      </c>
      <c r="AH149" s="56">
        <f t="shared" si="135"/>
        <v>0</v>
      </c>
      <c r="AI149" s="55">
        <f t="shared" si="136"/>
        <v>0</v>
      </c>
      <c r="AJ149" s="41">
        <f>'[2]побудинковий звіт'!AJ149+'[1]побудинковий звіт'!AJ149</f>
        <v>0</v>
      </c>
      <c r="AK149" s="41">
        <f>'[2]побудинковий звіт'!AK149+'[1]побудинковий звіт'!AK149</f>
        <v>0</v>
      </c>
      <c r="AL149" s="55">
        <f t="shared" si="137"/>
        <v>0</v>
      </c>
      <c r="AM149" s="41">
        <f>'[2]побудинковий звіт'!AM149+'[1]побудинковий звіт'!AM149</f>
        <v>0</v>
      </c>
      <c r="AN149" s="41">
        <f>'[2]побудинковий звіт'!AN149+'[1]побудинковий звіт'!AN149</f>
        <v>0</v>
      </c>
      <c r="AO149" s="55">
        <f t="shared" si="138"/>
        <v>0</v>
      </c>
      <c r="AP149" s="41">
        <f>'[2]побудинковий звіт'!AP149+'[1]побудинковий звіт'!AP149</f>
        <v>220.97078334185159</v>
      </c>
      <c r="AQ149" s="41">
        <f>'[2]побудинковий звіт'!AQ149+'[1]побудинковий звіт'!AQ149</f>
        <v>188.54135584627954</v>
      </c>
      <c r="AR149" s="55">
        <f t="shared" si="139"/>
        <v>-32.429427495572043</v>
      </c>
      <c r="AS149" s="41">
        <f>'[2]побудинковий звіт'!AS149+'[1]побудинковий звіт'!AS149</f>
        <v>1335.8676510989476</v>
      </c>
      <c r="AT149" s="41">
        <f>'[2]побудинковий звіт'!AT149+'[1]побудинковий звіт'!AT149</f>
        <v>0</v>
      </c>
      <c r="AU149" s="57">
        <f t="shared" si="140"/>
        <v>-1335.8676510989476</v>
      </c>
      <c r="AV149" s="41">
        <f>'[2]побудинковий звіт'!AV149+'[1]побудинковий звіт'!AV149</f>
        <v>0</v>
      </c>
      <c r="AW149" s="41">
        <f>'[2]побудинковий звіт'!AW149+'[1]побудинковий звіт'!AW149</f>
        <v>0</v>
      </c>
      <c r="AX149" s="58">
        <f t="shared" si="141"/>
        <v>0</v>
      </c>
      <c r="AY149" s="41">
        <f>'[2]побудинковий звіт'!AY149+'[1]побудинковий звіт'!AY149</f>
        <v>0</v>
      </c>
      <c r="AZ149" s="41">
        <f>'[2]побудинковий звіт'!AZ149+'[1]побудинковий звіт'!AZ149</f>
        <v>0</v>
      </c>
      <c r="BA149" s="36">
        <f t="shared" si="142"/>
        <v>0</v>
      </c>
      <c r="BB149" s="41">
        <f>'[2]побудинковий звіт'!BB149+'[1]побудинковий звіт'!BB149</f>
        <v>0</v>
      </c>
      <c r="BC149" s="41">
        <f>'[2]побудинковий звіт'!BC149+'[1]побудинковий звіт'!BC149</f>
        <v>0</v>
      </c>
      <c r="BD149" s="58">
        <f t="shared" si="143"/>
        <v>0</v>
      </c>
      <c r="BE149" s="41">
        <f>'[2]побудинковий звіт'!BE149+'[1]побудинковий звіт'!BE149</f>
        <v>0</v>
      </c>
      <c r="BF149" s="41">
        <f>'[2]побудинковий звіт'!BF149+'[1]побудинковий звіт'!BF149</f>
        <v>0</v>
      </c>
      <c r="BG149" s="38">
        <f t="shared" si="144"/>
        <v>0</v>
      </c>
      <c r="BH149" s="41">
        <f>'[2]побудинковий звіт'!BH149+'[1]побудинковий звіт'!BH149</f>
        <v>0</v>
      </c>
      <c r="BI149" s="41">
        <f>'[2]побудинковий звіт'!BI149+'[1]побудинковий звіт'!BI149</f>
        <v>0</v>
      </c>
      <c r="BJ149" s="58">
        <f t="shared" si="145"/>
        <v>0</v>
      </c>
      <c r="BK149" s="41">
        <f>'[2]побудинковий звіт'!BK149+'[1]побудинковий звіт'!BK149</f>
        <v>0</v>
      </c>
      <c r="BL149" s="41">
        <f>'[2]побудинковий звіт'!BL149+'[1]побудинковий звіт'!BL149</f>
        <v>0</v>
      </c>
      <c r="BM149" s="38">
        <f t="shared" si="146"/>
        <v>0</v>
      </c>
      <c r="BN149" s="41">
        <f>'[2]побудинковий звіт'!BN149+'[1]побудинковий звіт'!BN149</f>
        <v>0</v>
      </c>
      <c r="BO149" s="41">
        <f>'[2]побудинковий звіт'!BO149+'[1]побудинковий звіт'!BO149</f>
        <v>1075.3911977600001</v>
      </c>
      <c r="BP149" s="58">
        <f t="shared" si="147"/>
        <v>1075.3911977600001</v>
      </c>
      <c r="BQ149" s="84">
        <f t="shared" si="148"/>
        <v>0</v>
      </c>
      <c r="BR149" s="42">
        <f t="shared" si="149"/>
        <v>1075.3911977600001</v>
      </c>
      <c r="BS149" s="58">
        <f t="shared" si="150"/>
        <v>1075.3911977600001</v>
      </c>
      <c r="BT149" s="41">
        <f>'[2]побудинковий звіт'!BT149+'[1]побудинковий звіт'!BT149</f>
        <v>55.82969175979418</v>
      </c>
      <c r="BU149" s="41">
        <f>'[2]побудинковий звіт'!BU149+'[1]побудинковий звіт'!BU149</f>
        <v>210.80224660258807</v>
      </c>
      <c r="BV149" s="55">
        <f t="shared" si="151"/>
        <v>154.9725548427939</v>
      </c>
      <c r="BW149" s="41">
        <f>'[2]побудинковий звіт'!BW149+'[1]побудинковий звіт'!BW149</f>
        <v>0</v>
      </c>
      <c r="BX149" s="41">
        <f>'[2]побудинковий звіт'!BX149+'[1]побудинковий звіт'!BX149</f>
        <v>0.76887819453738815</v>
      </c>
      <c r="BY149" s="55">
        <f t="shared" si="152"/>
        <v>0.76887819453738815</v>
      </c>
      <c r="BZ149" s="41">
        <f>'[2]побудинковий звіт'!BZ149+'[1]побудинковий звіт'!BZ149</f>
        <v>0</v>
      </c>
      <c r="CA149" s="41">
        <f>'[2]побудинковий звіт'!CA149+'[1]побудинковий звіт'!CA149</f>
        <v>35.212019961485588</v>
      </c>
      <c r="CB149" s="55">
        <f t="shared" si="153"/>
        <v>35.212019961485588</v>
      </c>
      <c r="CC149" s="41">
        <f>'[2]побудинковий звіт'!CC149+'[1]побудинковий звіт'!CC149</f>
        <v>0</v>
      </c>
      <c r="CD149" s="41">
        <f>'[2]побудинковий звіт'!CD149+'[1]побудинковий звіт'!CD149</f>
        <v>0</v>
      </c>
      <c r="CE149" s="55">
        <f t="shared" si="154"/>
        <v>0</v>
      </c>
      <c r="CF149" s="41">
        <f>'[2]побудинковий звіт'!CF149+'[1]побудинковий звіт'!CF149</f>
        <v>0</v>
      </c>
      <c r="CG149" s="41">
        <f>'[2]побудинковий звіт'!CG149+'[1]побудинковий звіт'!CG149</f>
        <v>0</v>
      </c>
      <c r="CH149" s="55">
        <f t="shared" si="155"/>
        <v>0</v>
      </c>
      <c r="CI149" s="41">
        <f>'[2]побудинковий звіт'!CI149+'[1]побудинковий звіт'!CI149</f>
        <v>0</v>
      </c>
      <c r="CJ149" s="41">
        <f>'[2]побудинковий звіт'!CJ149+'[1]побудинковий звіт'!CJ149</f>
        <v>0</v>
      </c>
      <c r="CK149" s="55">
        <f t="shared" si="156"/>
        <v>0</v>
      </c>
      <c r="CL149" s="41">
        <f>'[2]побудинковий звіт'!CL149+'[1]побудинковий звіт'!CL149</f>
        <v>0</v>
      </c>
      <c r="CM149" s="41">
        <f>'[2]побудинковий звіт'!CM149+'[1]побудинковий звіт'!CM149</f>
        <v>0</v>
      </c>
      <c r="CN149" s="55">
        <f t="shared" si="157"/>
        <v>0</v>
      </c>
      <c r="CO149" s="41">
        <f t="shared" si="158"/>
        <v>0</v>
      </c>
      <c r="CP149" s="42">
        <f t="shared" si="159"/>
        <v>0</v>
      </c>
      <c r="CQ149" s="55">
        <f t="shared" si="160"/>
        <v>0</v>
      </c>
      <c r="CR149" s="76">
        <f t="shared" si="161"/>
        <v>1612.6681262005934</v>
      </c>
      <c r="CS149" s="5">
        <f t="shared" si="162"/>
        <v>1510.7156983648908</v>
      </c>
      <c r="CT149" s="55">
        <f t="shared" si="163"/>
        <v>-101.95242783570257</v>
      </c>
      <c r="CU149" s="84">
        <f t="shared" si="164"/>
        <v>1935.2017514407121</v>
      </c>
      <c r="CV149" s="68">
        <f t="shared" si="165"/>
        <v>1812.858838037869</v>
      </c>
      <c r="CW149" s="36">
        <f t="shared" si="166"/>
        <v>-122.34291340284312</v>
      </c>
      <c r="CX149" s="41">
        <f>'[2]побудинковий звіт'!CX149+'[1]побудинковий звіт'!CX149</f>
        <v>48.248248559287958</v>
      </c>
      <c r="CY149" s="41">
        <f>'[2]побудинковий звіт'!CY149+'[1]побудинковий звіт'!CY149</f>
        <v>170.59116196213154</v>
      </c>
      <c r="CZ149" s="55">
        <f t="shared" si="167"/>
        <v>122.34291340284358</v>
      </c>
      <c r="DA149" s="254">
        <f>'[1]побудинковий звіт'!DA149</f>
        <v>-6972.8277680381125</v>
      </c>
      <c r="DB149" s="2">
        <v>3</v>
      </c>
      <c r="DC149" s="702">
        <f>'[1]побудинковий звіт'!DC149</f>
        <v>0</v>
      </c>
      <c r="DD149" s="702">
        <f>'[1]побудинковий звіт'!DD149</f>
        <v>0</v>
      </c>
      <c r="DE149" s="702">
        <f>'[1]побудинковий звіт'!DE149</f>
        <v>0</v>
      </c>
      <c r="DF149" s="702">
        <f>'[1]побудинковий звіт'!DF149</f>
        <v>0</v>
      </c>
      <c r="DG149" s="772">
        <v>-3699.9944347291812</v>
      </c>
      <c r="DH149" s="746">
        <f t="shared" si="168"/>
        <v>23801.4</v>
      </c>
      <c r="DI149" s="769"/>
      <c r="DJ149" s="5"/>
      <c r="DK149" s="307">
        <f>VLOOKUP($A149,ціни!$A$4:$G$401,5)</f>
        <v>1.5000996711992209</v>
      </c>
      <c r="DL149" s="307"/>
      <c r="DM149" s="307">
        <f>VLOOKUP($A149,ціни!$A$4:$G$401,7)</f>
        <v>1.5000996711992209</v>
      </c>
      <c r="DN149" s="29">
        <f>F149*DK149</f>
        <v>0</v>
      </c>
      <c r="DO149" s="29">
        <f>H149*DM149</f>
        <v>0</v>
      </c>
      <c r="DP149" s="306">
        <f t="shared" si="169"/>
        <v>0</v>
      </c>
      <c r="DQ149" s="101"/>
      <c r="DR149" s="29">
        <f>VLOOKUP(A149,'ДЗ нас '!$A$1:$C$359,2)</f>
        <v>283.35000000000002</v>
      </c>
      <c r="DS149" s="733"/>
      <c r="DT149" s="29">
        <f t="shared" si="170"/>
        <v>283.35000000000002</v>
      </c>
      <c r="DU149" s="247">
        <f>VLOOKUP(A149,'новий кошторис с 01.06'!$A$4:$AI$399,35)*1.2</f>
        <v>284.75111485484763</v>
      </c>
      <c r="DV149" s="29">
        <f t="shared" si="171"/>
        <v>-1.4011148548476058</v>
      </c>
      <c r="DW149" s="1016">
        <f>'[2]побудинковий звіт'!$DW$9+'[1]побудинковий звіт'!DW149</f>
        <v>0</v>
      </c>
      <c r="DX149" s="101">
        <f>'[1]побудинковий звіт'!DX149</f>
        <v>0</v>
      </c>
      <c r="DY149" s="5">
        <f t="shared" si="172"/>
        <v>1603.041181318737</v>
      </c>
      <c r="DZ149" s="5">
        <f t="shared" si="173"/>
        <v>1290.4694373120001</v>
      </c>
      <c r="EA149" s="737">
        <f t="shared" si="174"/>
        <v>0</v>
      </c>
      <c r="EC149" s="577">
        <f t="shared" si="175"/>
        <v>16030.411813187371</v>
      </c>
      <c r="EE149" s="743">
        <v>-1749</v>
      </c>
      <c r="EF149" s="723">
        <f t="shared" si="176"/>
        <v>-5448.9944347291812</v>
      </c>
      <c r="EH149" s="798">
        <v>-4901.330816374706</v>
      </c>
      <c r="EI149" s="101">
        <f>VLOOKUP(A149,'кошти 01.01.24'!$A$9:$D$352,4,FALSE)</f>
        <v>-6850.4848546352696</v>
      </c>
    </row>
    <row r="150" spans="1:139" ht="14.4" hidden="1" customHeight="1" x14ac:dyDescent="0.3">
      <c r="A150" s="318">
        <v>150000690</v>
      </c>
      <c r="B150" s="43" t="s">
        <v>581</v>
      </c>
      <c r="C150" s="44" t="s">
        <v>95</v>
      </c>
      <c r="D150" s="44" t="s">
        <v>95</v>
      </c>
      <c r="E150" s="39">
        <f t="shared" si="125"/>
        <v>142.1</v>
      </c>
      <c r="F150" s="205">
        <f>'[1]побудинковий звіт'!F150</f>
        <v>142.1</v>
      </c>
      <c r="G150" s="29">
        <f>'[1]побудинковий звіт'!G150</f>
        <v>0</v>
      </c>
      <c r="H150" s="148">
        <f>'[1]побудинковий звіт'!H150</f>
        <v>0</v>
      </c>
      <c r="I150" s="41">
        <f>'[2]побудинковий звіт'!I150+'[1]побудинковий звіт'!I150</f>
        <v>0</v>
      </c>
      <c r="J150" s="41">
        <f>'[2]побудинковий звіт'!J150+'[1]побудинковий звіт'!J150</f>
        <v>0</v>
      </c>
      <c r="K150" s="55">
        <f t="shared" si="126"/>
        <v>0</v>
      </c>
      <c r="L150" s="41">
        <f>'[2]побудинковий звіт'!L150+'[1]побудинковий звіт'!L150</f>
        <v>0</v>
      </c>
      <c r="M150" s="41">
        <f>'[2]побудинковий звіт'!M150+'[1]побудинковий звіт'!M150</f>
        <v>0</v>
      </c>
      <c r="N150" s="55">
        <f t="shared" si="127"/>
        <v>0</v>
      </c>
      <c r="O150" s="41">
        <f>'[2]побудинковий звіт'!O150+'[1]побудинковий звіт'!O150</f>
        <v>0</v>
      </c>
      <c r="P150" s="41">
        <f>'[2]побудинковий звіт'!P150+'[1]побудинковий звіт'!P150</f>
        <v>0</v>
      </c>
      <c r="Q150" s="55">
        <f t="shared" si="128"/>
        <v>0</v>
      </c>
      <c r="R150" s="41">
        <f>'[2]побудинковий звіт'!R150+'[1]побудинковий звіт'!R150</f>
        <v>0</v>
      </c>
      <c r="S150" s="41">
        <f>'[2]побудинковий звіт'!S150+'[1]побудинковий звіт'!S150</f>
        <v>0</v>
      </c>
      <c r="T150" s="55">
        <f t="shared" si="129"/>
        <v>0</v>
      </c>
      <c r="U150" s="41">
        <f>'[2]побудинковий звіт'!U150+'[1]побудинковий звіт'!U150</f>
        <v>0</v>
      </c>
      <c r="V150" s="41">
        <f>'[2]побудинковий звіт'!V150+'[1]побудинковий звіт'!V150</f>
        <v>0</v>
      </c>
      <c r="W150" s="55">
        <f t="shared" si="130"/>
        <v>0</v>
      </c>
      <c r="X150" s="41">
        <f>'[2]побудинковий звіт'!X150+'[1]побудинковий звіт'!X150</f>
        <v>0</v>
      </c>
      <c r="Y150" s="41">
        <f>'[2]побудинковий звіт'!Y150+'[1]побудинковий звіт'!Y150</f>
        <v>0</v>
      </c>
      <c r="Z150" s="55">
        <f t="shared" si="131"/>
        <v>0</v>
      </c>
      <c r="AA150" s="41">
        <f>'[2]побудинковий звіт'!AA150+'[1]побудинковий звіт'!AA150</f>
        <v>0</v>
      </c>
      <c r="AB150" s="41">
        <f>'[2]побудинковий звіт'!AB150+'[1]побудинковий звіт'!AB150</f>
        <v>0</v>
      </c>
      <c r="AC150" s="55">
        <f t="shared" si="132"/>
        <v>0</v>
      </c>
      <c r="AD150" s="41">
        <f>'[2]побудинковий звіт'!AD150+'[1]побудинковий звіт'!AD150</f>
        <v>0</v>
      </c>
      <c r="AE150" s="41">
        <f>'[2]побудинковий звіт'!AE150+'[1]побудинковий звіт'!AE150</f>
        <v>0</v>
      </c>
      <c r="AF150" s="36">
        <f t="shared" si="133"/>
        <v>0</v>
      </c>
      <c r="AG150" s="84">
        <f t="shared" si="134"/>
        <v>0</v>
      </c>
      <c r="AH150" s="56">
        <f t="shared" si="135"/>
        <v>0</v>
      </c>
      <c r="AI150" s="55">
        <f t="shared" si="136"/>
        <v>0</v>
      </c>
      <c r="AJ150" s="41">
        <f>'[2]побудинковий звіт'!AJ150+'[1]побудинковий звіт'!AJ150</f>
        <v>0</v>
      </c>
      <c r="AK150" s="41">
        <f>'[2]побудинковий звіт'!AK150+'[1]побудинковий звіт'!AK150</f>
        <v>0</v>
      </c>
      <c r="AL150" s="55">
        <f t="shared" si="137"/>
        <v>0</v>
      </c>
      <c r="AM150" s="41">
        <f>'[2]побудинковий звіт'!AM150+'[1]побудинковий звіт'!AM150</f>
        <v>0</v>
      </c>
      <c r="AN150" s="41">
        <f>'[2]побудинковий звіт'!AN150+'[1]побудинковий звіт'!AN150</f>
        <v>0</v>
      </c>
      <c r="AO150" s="55">
        <f t="shared" si="138"/>
        <v>0</v>
      </c>
      <c r="AP150" s="41">
        <f>'[2]побудинковий звіт'!AP150+'[1]побудинковий звіт'!AP150</f>
        <v>347.85798712798606</v>
      </c>
      <c r="AQ150" s="41">
        <f>'[2]побудинковий звіт'!AQ150+'[1]побудинковий звіт'!AQ150</f>
        <v>70.237692115805615</v>
      </c>
      <c r="AR150" s="55">
        <f t="shared" si="139"/>
        <v>-277.62029501218046</v>
      </c>
      <c r="AS150" s="41">
        <f>'[2]побудинковий звіт'!AS150+'[1]побудинковий звіт'!AS150</f>
        <v>2002.0892102801581</v>
      </c>
      <c r="AT150" s="41">
        <f>'[2]побудинковий звіт'!AT150+'[1]побудинковий звіт'!AT150</f>
        <v>0</v>
      </c>
      <c r="AU150" s="57">
        <f t="shared" si="140"/>
        <v>-2002.0892102801581</v>
      </c>
      <c r="AV150" s="41">
        <f>'[2]побудинковий звіт'!AV150+'[1]побудинковий звіт'!AV150</f>
        <v>0</v>
      </c>
      <c r="AW150" s="41">
        <f>'[2]побудинковий звіт'!AW150+'[1]побудинковий звіт'!AW150</f>
        <v>0</v>
      </c>
      <c r="AX150" s="58">
        <f t="shared" si="141"/>
        <v>0</v>
      </c>
      <c r="AY150" s="41">
        <f>'[2]побудинковий звіт'!AY150+'[1]побудинковий звіт'!AY150</f>
        <v>0</v>
      </c>
      <c r="AZ150" s="41">
        <f>'[2]побудинковий звіт'!AZ150+'[1]побудинковий звіт'!AZ150</f>
        <v>0</v>
      </c>
      <c r="BA150" s="36">
        <f t="shared" si="142"/>
        <v>0</v>
      </c>
      <c r="BB150" s="41">
        <f>'[2]побудинковий звіт'!BB150+'[1]побудинковий звіт'!BB150</f>
        <v>0</v>
      </c>
      <c r="BC150" s="41">
        <f>'[2]побудинковий звіт'!BC150+'[1]побудинковий звіт'!BC150</f>
        <v>0</v>
      </c>
      <c r="BD150" s="58">
        <f t="shared" si="143"/>
        <v>0</v>
      </c>
      <c r="BE150" s="41">
        <f>'[2]побудинковий звіт'!BE150+'[1]побудинковий звіт'!BE150</f>
        <v>0</v>
      </c>
      <c r="BF150" s="41">
        <f>'[2]побудинковий звіт'!BF150+'[1]побудинковий звіт'!BF150</f>
        <v>0</v>
      </c>
      <c r="BG150" s="38">
        <f t="shared" si="144"/>
        <v>0</v>
      </c>
      <c r="BH150" s="41">
        <f>'[2]побудинковий звіт'!BH150+'[1]побудинковий звіт'!BH150</f>
        <v>0</v>
      </c>
      <c r="BI150" s="41">
        <f>'[2]побудинковий звіт'!BI150+'[1]побудинковий звіт'!BI150</f>
        <v>0</v>
      </c>
      <c r="BJ150" s="58">
        <f t="shared" si="145"/>
        <v>0</v>
      </c>
      <c r="BK150" s="41">
        <f>'[2]побудинковий звіт'!BK150+'[1]побудинковий звіт'!BK150</f>
        <v>0</v>
      </c>
      <c r="BL150" s="41">
        <f>'[2]побудинковий звіт'!BL150+'[1]побудинковий звіт'!BL150</f>
        <v>0</v>
      </c>
      <c r="BM150" s="38">
        <f t="shared" si="146"/>
        <v>0</v>
      </c>
      <c r="BN150" s="41">
        <f>'[2]побудинковий звіт'!BN150+'[1]побудинковий звіт'!BN150</f>
        <v>0</v>
      </c>
      <c r="BO150" s="41">
        <f>'[2]побудинковий звіт'!BO150+'[1]побудинковий звіт'!BO150</f>
        <v>1678.6323345200001</v>
      </c>
      <c r="BP150" s="58">
        <f t="shared" si="147"/>
        <v>1678.6323345200001</v>
      </c>
      <c r="BQ150" s="84">
        <f t="shared" si="148"/>
        <v>0</v>
      </c>
      <c r="BR150" s="42">
        <f t="shared" si="149"/>
        <v>1678.6323345200001</v>
      </c>
      <c r="BS150" s="58">
        <f t="shared" si="150"/>
        <v>1678.6323345200001</v>
      </c>
      <c r="BT150" s="41">
        <f>'[2]побудинковий звіт'!BT150+'[1]побудинковий звіт'!BT150</f>
        <v>0</v>
      </c>
      <c r="BU150" s="41">
        <f>'[2]побудинковий звіт'!BU150+'[1]побудинковий звіт'!BU150</f>
        <v>0</v>
      </c>
      <c r="BV150" s="55">
        <f t="shared" si="151"/>
        <v>0</v>
      </c>
      <c r="BW150" s="41">
        <f>'[2]побудинковий звіт'!BW150+'[1]побудинковий звіт'!BW150</f>
        <v>0</v>
      </c>
      <c r="BX150" s="41">
        <f>'[2]побудинковий звіт'!BX150+'[1]побудинковий звіт'!BX150</f>
        <v>0.57838852008344543</v>
      </c>
      <c r="BY150" s="55">
        <f t="shared" si="152"/>
        <v>0.57838852008344543</v>
      </c>
      <c r="BZ150" s="41">
        <f>'[2]побудинковий звіт'!BZ150+'[1]побудинковий звіт'!BZ150</f>
        <v>0</v>
      </c>
      <c r="CA150" s="41">
        <f>'[2]побудинковий звіт'!CA150+'[1]побудинковий звіт'!CA150</f>
        <v>0</v>
      </c>
      <c r="CB150" s="55">
        <f t="shared" si="153"/>
        <v>0</v>
      </c>
      <c r="CC150" s="41">
        <f>'[2]побудинковий звіт'!CC150+'[1]побудинковий звіт'!CC150</f>
        <v>0</v>
      </c>
      <c r="CD150" s="41">
        <f>'[2]побудинковий звіт'!CD150+'[1]побудинковий звіт'!CD150</f>
        <v>0</v>
      </c>
      <c r="CE150" s="55">
        <f t="shared" si="154"/>
        <v>0</v>
      </c>
      <c r="CF150" s="41">
        <f>'[2]побудинковий звіт'!CF150+'[1]побудинковий звіт'!CF150</f>
        <v>0</v>
      </c>
      <c r="CG150" s="41">
        <f>'[2]побудинковий звіт'!CG150+'[1]побудинковий звіт'!CG150</f>
        <v>0</v>
      </c>
      <c r="CH150" s="55">
        <f t="shared" si="155"/>
        <v>0</v>
      </c>
      <c r="CI150" s="41">
        <f>'[2]побудинковий звіт'!CI150+'[1]побудинковий звіт'!CI150</f>
        <v>0</v>
      </c>
      <c r="CJ150" s="41">
        <f>'[2]побудинковий звіт'!CJ150+'[1]побудинковий звіт'!CJ150</f>
        <v>0</v>
      </c>
      <c r="CK150" s="55">
        <f t="shared" si="156"/>
        <v>0</v>
      </c>
      <c r="CL150" s="41">
        <f>'[2]побудинковий звіт'!CL150+'[1]побудинковий звіт'!CL150</f>
        <v>0</v>
      </c>
      <c r="CM150" s="41">
        <f>'[2]побудинковий звіт'!CM150+'[1]побудинковий звіт'!CM150</f>
        <v>0</v>
      </c>
      <c r="CN150" s="55">
        <f t="shared" si="157"/>
        <v>0</v>
      </c>
      <c r="CO150" s="41">
        <f t="shared" si="158"/>
        <v>0</v>
      </c>
      <c r="CP150" s="42">
        <f t="shared" si="159"/>
        <v>0</v>
      </c>
      <c r="CQ150" s="55">
        <f t="shared" si="160"/>
        <v>0</v>
      </c>
      <c r="CR150" s="76">
        <f t="shared" si="161"/>
        <v>2349.9471974081443</v>
      </c>
      <c r="CS150" s="5">
        <f t="shared" si="162"/>
        <v>1749.4484151558893</v>
      </c>
      <c r="CT150" s="55">
        <f t="shared" si="163"/>
        <v>-600.49878225225507</v>
      </c>
      <c r="CU150" s="84">
        <f t="shared" si="164"/>
        <v>2819.9366368897731</v>
      </c>
      <c r="CV150" s="68">
        <f t="shared" si="165"/>
        <v>2099.3380981870669</v>
      </c>
      <c r="CW150" s="36">
        <f t="shared" si="166"/>
        <v>-720.59853870270626</v>
      </c>
      <c r="CX150" s="41">
        <f>'[2]побудинковий звіт'!CX150+'[1]побудинковий звіт'!CX150</f>
        <v>28.218639614838938</v>
      </c>
      <c r="CY150" s="41">
        <f>'[2]побудинковий звіт'!CY150+'[1]побудинковий звіт'!CY150</f>
        <v>748.81717831754463</v>
      </c>
      <c r="CZ150" s="55">
        <f t="shared" si="167"/>
        <v>720.5985387027057</v>
      </c>
      <c r="DA150" s="254">
        <f>'[1]побудинковий звіт'!DA150</f>
        <v>-6754.0562198098432</v>
      </c>
      <c r="DB150" s="2">
        <v>3</v>
      </c>
      <c r="DC150" s="702">
        <f>'[1]побудинковий звіт'!DC150</f>
        <v>392.13</v>
      </c>
      <c r="DD150" s="702">
        <f>'[1]побудинковий звіт'!DD150</f>
        <v>0</v>
      </c>
      <c r="DE150" s="702">
        <f>'[1]побудинковий звіт'!DE150</f>
        <v>80.21999999999997</v>
      </c>
      <c r="DF150" s="702">
        <f>'[1]побудинковий звіт'!DF150</f>
        <v>0</v>
      </c>
      <c r="DG150" s="772">
        <v>-2638.9047531913716</v>
      </c>
      <c r="DH150" s="746">
        <f t="shared" si="168"/>
        <v>34177.863318055344</v>
      </c>
      <c r="DI150" s="769"/>
      <c r="DJ150" s="5"/>
      <c r="DK150" s="307">
        <f>VLOOKUP($A150,ціни!$A$4:$G$401,5)</f>
        <v>1.5715703739586471</v>
      </c>
      <c r="DL150" s="307"/>
      <c r="DM150" s="307">
        <f>VLOOKUP($A150,ціни!$A$4:$G$401,7)</f>
        <v>1.5715703739586471</v>
      </c>
      <c r="DN150" s="29">
        <f>F150*DK150</f>
        <v>223.32015013952375</v>
      </c>
      <c r="DO150" s="29">
        <f>H150*DM150</f>
        <v>0</v>
      </c>
      <c r="DP150" s="306">
        <f t="shared" si="169"/>
        <v>223.32015013952375</v>
      </c>
      <c r="DQ150" s="101"/>
      <c r="DR150" s="29">
        <f>VLOOKUP(A150,'ДЗ нас '!$A$1:$C$359,2)</f>
        <v>223.32</v>
      </c>
      <c r="DS150" s="733"/>
      <c r="DT150" s="29">
        <f t="shared" si="170"/>
        <v>223.32</v>
      </c>
      <c r="DU150" s="247">
        <f>VLOOKUP(A150,'новий кошторис с 01.06'!$A$4:$AI$399,35)*1.2</f>
        <v>223.32015013952378</v>
      </c>
      <c r="DV150" s="29">
        <f t="shared" si="171"/>
        <v>-1.5013952378239992E-4</v>
      </c>
      <c r="DW150" s="1016">
        <f>'[2]побудинковий звіт'!$DW$9+'[1]побудинковий звіт'!DW150</f>
        <v>0</v>
      </c>
      <c r="DX150" s="101">
        <f>'[1]побудинковий звіт'!DX150</f>
        <v>0</v>
      </c>
      <c r="DY150" s="5">
        <f t="shared" si="172"/>
        <v>2402.5070523361896</v>
      </c>
      <c r="DZ150" s="5">
        <f t="shared" si="173"/>
        <v>2014.3588014239999</v>
      </c>
      <c r="EA150" s="737">
        <f t="shared" si="174"/>
        <v>80.21999999999997</v>
      </c>
      <c r="EC150" s="577">
        <f t="shared" si="175"/>
        <v>24025.070523361897</v>
      </c>
      <c r="EE150" s="743">
        <v>-1938</v>
      </c>
      <c r="EF150" s="723">
        <f t="shared" si="176"/>
        <v>-4576.9047531913711</v>
      </c>
      <c r="EH150" s="798">
        <v>-3889.1520108853724</v>
      </c>
      <c r="EI150" s="101">
        <f>VLOOKUP(A150,'кошти 01.01.24'!$A$9:$D$352,4,FALSE)</f>
        <v>-6033.4576811071374</v>
      </c>
    </row>
    <row r="151" spans="1:139" hidden="1" x14ac:dyDescent="0.3">
      <c r="A151" s="318">
        <v>150000832</v>
      </c>
      <c r="B151" s="43" t="s">
        <v>722</v>
      </c>
      <c r="C151" s="44" t="s">
        <v>1765</v>
      </c>
      <c r="D151" s="44" t="s">
        <v>422</v>
      </c>
      <c r="E151" s="39">
        <f t="shared" si="125"/>
        <v>4513.3999999999996</v>
      </c>
      <c r="F151" s="205">
        <f>'[1]побудинковий звіт'!F151</f>
        <v>4399.2</v>
      </c>
      <c r="G151" s="29">
        <f>'[1]побудинковий звіт'!G151</f>
        <v>394.3</v>
      </c>
      <c r="H151" s="148">
        <f>'[1]побудинковий звіт'!H151</f>
        <v>114.2</v>
      </c>
      <c r="I151" s="41">
        <f>'[2]побудинковий звіт'!I151+'[1]побудинковий звіт'!I151</f>
        <v>17461.468022893667</v>
      </c>
      <c r="J151" s="41">
        <f>'[2]побудинковий звіт'!J151+'[1]побудинковий звіт'!J151</f>
        <v>13832.082893285233</v>
      </c>
      <c r="K151" s="55">
        <f t="shared" si="126"/>
        <v>-3629.385129608434</v>
      </c>
      <c r="L151" s="41">
        <f>'[2]побудинковий звіт'!L151+'[1]побудинковий звіт'!L151</f>
        <v>2659.033630478536</v>
      </c>
      <c r="M151" s="41">
        <f>'[2]побудинковий звіт'!M151+'[1]побудинковий звіт'!M151</f>
        <v>2297.121830411058</v>
      </c>
      <c r="N151" s="55">
        <f t="shared" si="127"/>
        <v>-361.911800067478</v>
      </c>
      <c r="O151" s="41">
        <f>'[2]побудинковий звіт'!O151+'[1]побудинковий звіт'!O151</f>
        <v>7101.8498779785205</v>
      </c>
      <c r="P151" s="41">
        <f>'[2]побудинковий звіт'!P151+'[1]побудинковий звіт'!P151</f>
        <v>7122.0419768194952</v>
      </c>
      <c r="Q151" s="55">
        <f t="shared" si="128"/>
        <v>20.192098840974722</v>
      </c>
      <c r="R151" s="41">
        <f>'[2]побудинковий звіт'!R151+'[1]побудинковий звіт'!R151</f>
        <v>1419.1019892894674</v>
      </c>
      <c r="S151" s="41">
        <f>'[2]побудинковий звіт'!S151+'[1]побудинковий звіт'!S151</f>
        <v>1422.9256027608435</v>
      </c>
      <c r="T151" s="55">
        <f t="shared" si="129"/>
        <v>3.8236134713761203</v>
      </c>
      <c r="U151" s="41">
        <f>'[2]побудинковий звіт'!U151+'[1]побудинковий звіт'!U151</f>
        <v>569.27410082621122</v>
      </c>
      <c r="V151" s="41">
        <f>'[2]побудинковий звіт'!V151+'[1]побудинковий звіт'!V151</f>
        <v>227.05251597542895</v>
      </c>
      <c r="W151" s="55">
        <f t="shared" si="130"/>
        <v>-342.22158485078228</v>
      </c>
      <c r="X151" s="41">
        <f>'[2]побудинковий звіт'!X151+'[1]побудинковий звіт'!X151</f>
        <v>7330.2427570652826</v>
      </c>
      <c r="Y151" s="41">
        <f>'[2]побудинковий звіт'!Y151+'[1]побудинковий звіт'!Y151</f>
        <v>6552.6860475117783</v>
      </c>
      <c r="Z151" s="55">
        <f t="shared" si="131"/>
        <v>-777.55670955350433</v>
      </c>
      <c r="AA151" s="41">
        <f>'[2]побудинковий звіт'!AA151+'[1]побудинковий звіт'!AA151</f>
        <v>0</v>
      </c>
      <c r="AB151" s="41">
        <f>'[2]побудинковий звіт'!AB151+'[1]побудинковий звіт'!AB151</f>
        <v>0</v>
      </c>
      <c r="AC151" s="55">
        <f t="shared" si="132"/>
        <v>0</v>
      </c>
      <c r="AD151" s="41">
        <f>'[2]побудинковий звіт'!AD151+'[1]побудинковий звіт'!AD151</f>
        <v>19156.401740708367</v>
      </c>
      <c r="AE151" s="41">
        <f>'[2]побудинковий звіт'!AE151+'[1]побудинковий звіт'!AE151</f>
        <v>19097.831906549949</v>
      </c>
      <c r="AF151" s="36">
        <f t="shared" si="133"/>
        <v>-58.569834158417507</v>
      </c>
      <c r="AG151" s="84">
        <f t="shared" si="134"/>
        <v>55697.372119240055</v>
      </c>
      <c r="AH151" s="56">
        <f t="shared" si="135"/>
        <v>50551.742773313788</v>
      </c>
      <c r="AI151" s="55">
        <f t="shared" si="136"/>
        <v>-5145.629345926267</v>
      </c>
      <c r="AJ151" s="41">
        <f>'[2]побудинковий звіт'!AJ151+'[1]побудинковий звіт'!AJ151</f>
        <v>44671.947931042356</v>
      </c>
      <c r="AK151" s="41">
        <f>'[2]побудинковий звіт'!AK151+'[1]побудинковий звіт'!AK151</f>
        <v>42632.840818779747</v>
      </c>
      <c r="AL151" s="55">
        <f t="shared" si="137"/>
        <v>-2039.107112262609</v>
      </c>
      <c r="AM151" s="41">
        <f>'[2]побудинковий звіт'!AM151+'[1]побудинковий звіт'!AM151</f>
        <v>0</v>
      </c>
      <c r="AN151" s="41">
        <f>'[2]побудинковий звіт'!AN151+'[1]побудинковий звіт'!AN151</f>
        <v>0</v>
      </c>
      <c r="AO151" s="55">
        <f t="shared" si="138"/>
        <v>0</v>
      </c>
      <c r="AP151" s="41">
        <f>'[2]побудинковий звіт'!AP151+'[1]побудинковий звіт'!AP151</f>
        <v>3962.3917716208152</v>
      </c>
      <c r="AQ151" s="41">
        <f>'[2]побудинковий звіт'!AQ151+'[1]побудинковий звіт'!AQ151</f>
        <v>3721.3506790948309</v>
      </c>
      <c r="AR151" s="55">
        <f t="shared" si="139"/>
        <v>-241.04109252598437</v>
      </c>
      <c r="AS151" s="41">
        <f>'[2]побудинковий звіт'!AS151+'[1]побудинковий звіт'!AS151</f>
        <v>63634.078263229429</v>
      </c>
      <c r="AT151" s="41">
        <f>'[2]побудинковий звіт'!AT151+'[1]побудинковий звіт'!AT151</f>
        <v>1951.5275975080433</v>
      </c>
      <c r="AU151" s="57">
        <f t="shared" si="140"/>
        <v>-61682.550665721385</v>
      </c>
      <c r="AV151" s="41">
        <f>'[2]побудинковий звіт'!AV151+'[1]побудинковий звіт'!AV151</f>
        <v>1732.2333757315989</v>
      </c>
      <c r="AW151" s="41">
        <f>'[2]побудинковий звіт'!AW151+'[1]побудинковий звіт'!AW151</f>
        <v>0</v>
      </c>
      <c r="AX151" s="58">
        <f t="shared" si="141"/>
        <v>-1732.2333757315989</v>
      </c>
      <c r="AY151" s="41">
        <f>'[2]побудинковий звіт'!AY151+'[1]побудинковий звіт'!AY151</f>
        <v>1535.1945282904392</v>
      </c>
      <c r="AZ151" s="41">
        <f>'[2]побудинковий звіт'!AZ151+'[1]побудинковий звіт'!AZ151</f>
        <v>0</v>
      </c>
      <c r="BA151" s="36">
        <f t="shared" si="142"/>
        <v>-1535.1945282904392</v>
      </c>
      <c r="BB151" s="41">
        <f>'[2]побудинковий звіт'!BB151+'[1]побудинковий звіт'!BB151</f>
        <v>1313.8675940731273</v>
      </c>
      <c r="BC151" s="41">
        <f>'[2]побудинковий звіт'!BC151+'[1]побудинковий звіт'!BC151</f>
        <v>761.87906883248809</v>
      </c>
      <c r="BD151" s="58">
        <f t="shared" si="143"/>
        <v>-551.98852524063921</v>
      </c>
      <c r="BE151" s="41">
        <f>'[2]побудинковий звіт'!BE151+'[1]побудинковий звіт'!BE151</f>
        <v>723.01519494988474</v>
      </c>
      <c r="BF151" s="41">
        <f>'[2]побудинковий звіт'!BF151+'[1]побудинковий звіт'!BF151</f>
        <v>0</v>
      </c>
      <c r="BG151" s="38">
        <f t="shared" si="144"/>
        <v>-723.01519494988474</v>
      </c>
      <c r="BH151" s="41">
        <f>'[2]побудинковий звіт'!BH151+'[1]побудинковий звіт'!BH151</f>
        <v>298.82740400855573</v>
      </c>
      <c r="BI151" s="41">
        <f>'[2]побудинковий звіт'!BI151+'[1]побудинковий звіт'!BI151</f>
        <v>0</v>
      </c>
      <c r="BJ151" s="58">
        <f t="shared" si="145"/>
        <v>-298.82740400855573</v>
      </c>
      <c r="BK151" s="41">
        <f>'[2]побудинковий звіт'!BK151+'[1]побудинковий звіт'!BK151</f>
        <v>1224.3544284837335</v>
      </c>
      <c r="BL151" s="41">
        <f>'[2]побудинковий звіт'!BL151+'[1]побудинковий звіт'!BL151</f>
        <v>8383.1163482500142</v>
      </c>
      <c r="BM151" s="38">
        <f t="shared" si="146"/>
        <v>7158.7619197662807</v>
      </c>
      <c r="BN151" s="41">
        <f>'[2]побудинковий звіт'!BN151+'[1]побудинковий звіт'!BN151</f>
        <v>432.93928338857921</v>
      </c>
      <c r="BO151" s="41">
        <f>'[2]побудинковий звіт'!BO151+'[1]побудинковий звіт'!BO151</f>
        <v>3844.8911001287815</v>
      </c>
      <c r="BP151" s="58">
        <f t="shared" si="147"/>
        <v>3411.9518167402025</v>
      </c>
      <c r="BQ151" s="84">
        <f t="shared" si="148"/>
        <v>7260.4318089259195</v>
      </c>
      <c r="BR151" s="42">
        <f t="shared" si="149"/>
        <v>12989.886517211284</v>
      </c>
      <c r="BS151" s="58">
        <f t="shared" si="150"/>
        <v>5729.4547082853642</v>
      </c>
      <c r="BT151" s="41">
        <f>'[2]побудинковий звіт'!BT151+'[1]побудинковий звіт'!BT151</f>
        <v>75227.588119569555</v>
      </c>
      <c r="BU151" s="41">
        <f>'[2]побудинковий звіт'!BU151+'[1]побудинковий звіт'!BU151</f>
        <v>93410.901762955633</v>
      </c>
      <c r="BV151" s="55">
        <f t="shared" si="151"/>
        <v>18183.313643386078</v>
      </c>
      <c r="BW151" s="41">
        <f>'[2]побудинковий звіт'!BW151+'[1]побудинковий звіт'!BW151</f>
        <v>49562.193851127711</v>
      </c>
      <c r="BX151" s="41">
        <f>'[2]побудинковий звіт'!BX151+'[1]побудинковий звіт'!BX151</f>
        <v>61265.401617079886</v>
      </c>
      <c r="BY151" s="55">
        <f t="shared" si="152"/>
        <v>11703.207765952175</v>
      </c>
      <c r="BZ151" s="41">
        <f>'[2]побудинковий звіт'!BZ151+'[1]побудинковий звіт'!BZ151</f>
        <v>5367.1445628985721</v>
      </c>
      <c r="CA151" s="41">
        <f>'[2]побудинковий звіт'!CA151+'[1]побудинковий звіт'!CA151</f>
        <v>8705.3366712992629</v>
      </c>
      <c r="CB151" s="55">
        <f t="shared" si="153"/>
        <v>3338.1921084006908</v>
      </c>
      <c r="CC151" s="41">
        <f>'[2]побудинковий звіт'!CC151+'[1]побудинковий звіт'!CC151</f>
        <v>1459.6030087589595</v>
      </c>
      <c r="CD151" s="41">
        <f>'[2]побудинковий звіт'!CD151+'[1]побудинковий звіт'!CD151</f>
        <v>1464.5523597521853</v>
      </c>
      <c r="CE151" s="55">
        <f t="shared" si="154"/>
        <v>4.9493509932258348</v>
      </c>
      <c r="CF151" s="41">
        <f>'[2]побудинковий звіт'!CF151+'[1]побудинковий звіт'!CF151</f>
        <v>180.83705472493892</v>
      </c>
      <c r="CG151" s="41">
        <f>'[2]побудинковий звіт'!CG151+'[1]побудинковий звіт'!CG151</f>
        <v>0</v>
      </c>
      <c r="CH151" s="55">
        <f t="shared" si="155"/>
        <v>-180.83705472493892</v>
      </c>
      <c r="CI151" s="41">
        <f>'[2]побудинковий звіт'!CI151+'[1]побудинковий звіт'!CI151</f>
        <v>21382.040106087992</v>
      </c>
      <c r="CJ151" s="41">
        <f>'[2]побудинковий звіт'!CJ151+'[1]побудинковий звіт'!CJ151</f>
        <v>56739.969095608001</v>
      </c>
      <c r="CK151" s="55">
        <f t="shared" si="156"/>
        <v>35357.928989520005</v>
      </c>
      <c r="CL151" s="41">
        <f>'[2]побудинковий звіт'!CL151+'[1]побудинковий звіт'!CL151</f>
        <v>7005.8530086093415</v>
      </c>
      <c r="CM151" s="41">
        <f>'[2]побудинковий звіт'!CM151+'[1]побудинковий звіт'!CM151</f>
        <v>10321.584084360029</v>
      </c>
      <c r="CN151" s="55">
        <f t="shared" si="157"/>
        <v>3315.7310757506875</v>
      </c>
      <c r="CO151" s="41">
        <f t="shared" si="158"/>
        <v>28387.893114697334</v>
      </c>
      <c r="CP151" s="42">
        <f t="shared" si="159"/>
        <v>67061.553179968032</v>
      </c>
      <c r="CQ151" s="55">
        <f t="shared" si="160"/>
        <v>38673.660065270698</v>
      </c>
      <c r="CR151" s="76">
        <f t="shared" si="161"/>
        <v>335411.48160583561</v>
      </c>
      <c r="CS151" s="5">
        <f t="shared" si="162"/>
        <v>343755.09397696267</v>
      </c>
      <c r="CT151" s="55">
        <f t="shared" si="163"/>
        <v>8343.6123711270629</v>
      </c>
      <c r="CU151" s="84">
        <f t="shared" si="164"/>
        <v>402493.77792700269</v>
      </c>
      <c r="CV151" s="68">
        <f t="shared" si="165"/>
        <v>412506.11277235521</v>
      </c>
      <c r="CW151" s="36">
        <f t="shared" si="166"/>
        <v>10012.33484535251</v>
      </c>
      <c r="CX151" s="41">
        <f>'[2]побудинковий звіт'!CX151+'[1]побудинковий звіт'!CX151</f>
        <v>12727.086249571419</v>
      </c>
      <c r="CY151" s="41">
        <f>'[2]побудинковий звіт'!CY151+'[1]побудинковий звіт'!CY151</f>
        <v>2714.7514042189723</v>
      </c>
      <c r="CZ151" s="55">
        <f t="shared" si="167"/>
        <v>-10012.334845352447</v>
      </c>
      <c r="DA151" s="254">
        <f>'[1]побудинковий звіт'!DA151</f>
        <v>-10988.630257583733</v>
      </c>
      <c r="DB151" s="2">
        <v>1</v>
      </c>
      <c r="DC151" s="702">
        <f>'[1]побудинковий звіт'!DC151</f>
        <v>91111.41</v>
      </c>
      <c r="DD151" s="702">
        <f>'[1]побудинковий звіт'!DD151</f>
        <v>578.94000000000005</v>
      </c>
      <c r="DE151" s="702">
        <f>'[1]побудинковий звіт'!DE151</f>
        <v>46318.740000000005</v>
      </c>
      <c r="DF151" s="702">
        <f>'[1]побудинковий звіт'!DF151</f>
        <v>-233.59999999999991</v>
      </c>
      <c r="DG151" s="772">
        <v>-90780.313776396331</v>
      </c>
      <c r="DH151" s="746">
        <f t="shared" si="168"/>
        <v>4982650.370118889</v>
      </c>
      <c r="DI151" s="769"/>
      <c r="DJ151" s="5"/>
      <c r="DK151" s="307">
        <f>VLOOKUP($A151,ціни!$A$4:$G$401,5)</f>
        <v>6.163043273014793</v>
      </c>
      <c r="DL151" s="307">
        <f>VLOOKUP($A151,ціни!$A$4:$G$401,6)</f>
        <v>7.3873026986706289</v>
      </c>
      <c r="DM151" s="307">
        <f>VLOOKUP($A151,ціни!$A$4:$G$401,7)</f>
        <v>5.0695039878876198</v>
      </c>
      <c r="DN151" s="29">
        <f>DK151*G151+(F151-G151)*DL151</f>
        <v>32015.496540455733</v>
      </c>
      <c r="DO151" s="29">
        <f>DM151*H151</f>
        <v>578.9373554167662</v>
      </c>
      <c r="DP151" s="306">
        <f t="shared" si="169"/>
        <v>32594.433895872498</v>
      </c>
      <c r="DQ151" s="101"/>
      <c r="DR151" s="29">
        <f>VLOOKUP(A151,'ДЗ нас '!$A$1:$C$359,2)</f>
        <v>32015.51</v>
      </c>
      <c r="DS151" s="733">
        <f>VLOOKUP(A151,'ДЗ нежит'!$A$1:$D$153,4,0)</f>
        <v>578.94000000000005</v>
      </c>
      <c r="DT151" s="29">
        <f t="shared" si="170"/>
        <v>32594.449999999997</v>
      </c>
      <c r="DU151" s="247">
        <f>VLOOKUP(A151,'новий кошторис с 01.06'!$A$4:$AI$399,35)*1.2</f>
        <v>32061.128928858088</v>
      </c>
      <c r="DV151" s="29">
        <f t="shared" si="171"/>
        <v>533.32107114190876</v>
      </c>
      <c r="DW151" s="1016">
        <f>'[2]побудинковий звіт'!$DW$9+'[1]побудинковий звіт'!DW151</f>
        <v>1062</v>
      </c>
      <c r="DX151" s="101">
        <f>'[1]побудинковий звіт'!DX151</f>
        <v>0</v>
      </c>
      <c r="DY151" s="5">
        <f t="shared" si="172"/>
        <v>85073.41208658641</v>
      </c>
      <c r="DZ151" s="5">
        <f t="shared" si="173"/>
        <v>17929.696937663193</v>
      </c>
      <c r="EA151" s="737">
        <f t="shared" si="174"/>
        <v>46085.140000000007</v>
      </c>
      <c r="EC151" s="577">
        <f t="shared" si="175"/>
        <v>763608.93915875314</v>
      </c>
      <c r="EE151" s="743">
        <v>40022</v>
      </c>
      <c r="EF151" s="723">
        <f t="shared" si="176"/>
        <v>-50758.313776396331</v>
      </c>
      <c r="EH151" s="798">
        <v>-1386.6120412153396</v>
      </c>
      <c r="EI151" s="101">
        <f>VLOOKUP(A151,'кошти 01.01.24'!$A$9:$D$352,4,FALSE)</f>
        <v>-21000.965102936203</v>
      </c>
    </row>
    <row r="152" spans="1:139" hidden="1" x14ac:dyDescent="0.3">
      <c r="A152" s="318">
        <v>150000833</v>
      </c>
      <c r="B152" s="43" t="s">
        <v>723</v>
      </c>
      <c r="C152" s="44" t="s">
        <v>1766</v>
      </c>
      <c r="D152" s="44" t="s">
        <v>392</v>
      </c>
      <c r="E152" s="39">
        <f t="shared" si="125"/>
        <v>4752.3</v>
      </c>
      <c r="F152" s="205">
        <f>'[1]побудинковий звіт'!F152</f>
        <v>4752.3</v>
      </c>
      <c r="G152" s="29">
        <f>'[1]побудинковий звіт'!G152</f>
        <v>455.3</v>
      </c>
      <c r="H152" s="148">
        <f>'[1]побудинковий звіт'!H152</f>
        <v>0</v>
      </c>
      <c r="I152" s="41">
        <f>'[2]побудинковий звіт'!I152+'[1]побудинковий звіт'!I152</f>
        <v>17096.351236273007</v>
      </c>
      <c r="J152" s="41">
        <f>'[2]побудинковий звіт'!J152+'[1]побудинковий звіт'!J152</f>
        <v>13495.349856989378</v>
      </c>
      <c r="K152" s="55">
        <f t="shared" si="126"/>
        <v>-3601.0013792836289</v>
      </c>
      <c r="L152" s="41">
        <f>'[2]побудинковий звіт'!L152+'[1]побудинковий звіт'!L152</f>
        <v>2491.3951360902383</v>
      </c>
      <c r="M152" s="41">
        <f>'[2]побудинковий звіт'!M152+'[1]побудинковий звіт'!M152</f>
        <v>2161.7729071390836</v>
      </c>
      <c r="N152" s="55">
        <f t="shared" si="127"/>
        <v>-329.62222895115474</v>
      </c>
      <c r="O152" s="41">
        <f>'[2]побудинковий звіт'!O152+'[1]побудинковий звіт'!O152</f>
        <v>7441.3384373351664</v>
      </c>
      <c r="P152" s="41">
        <f>'[2]побудинковий звіт'!P152+'[1]побудинковий звіт'!P152</f>
        <v>7462.1792322826332</v>
      </c>
      <c r="Q152" s="55">
        <f t="shared" si="128"/>
        <v>20.840794947466748</v>
      </c>
      <c r="R152" s="41">
        <f>'[2]побудинковий звіт'!R152+'[1]побудинковий звіт'!R152</f>
        <v>1540.3639167429578</v>
      </c>
      <c r="S152" s="41">
        <f>'[2]побудинковий звіт'!S152+'[1]побудинковий звіт'!S152</f>
        <v>1544.8625439399559</v>
      </c>
      <c r="T152" s="55">
        <f t="shared" si="129"/>
        <v>4.4986271969980862</v>
      </c>
      <c r="U152" s="41">
        <f>'[2]побудинковий звіт'!U152+'[1]побудинковий звіт'!U152</f>
        <v>822.97952391990952</v>
      </c>
      <c r="V152" s="41">
        <f>'[2]побудинковий звіт'!V152+'[1]побудинковий звіт'!V152</f>
        <v>315.96765169300181</v>
      </c>
      <c r="W152" s="55">
        <f t="shared" si="130"/>
        <v>-507.01187222690771</v>
      </c>
      <c r="X152" s="41">
        <f>'[2]побудинковий звіт'!X152+'[1]побудинковий звіт'!X152</f>
        <v>6988.1502016161858</v>
      </c>
      <c r="Y152" s="41">
        <f>'[2]побудинковий звіт'!Y152+'[1]побудинковий звіт'!Y152</f>
        <v>5098.8967560348319</v>
      </c>
      <c r="Z152" s="55">
        <f t="shared" si="131"/>
        <v>-1889.2534455813538</v>
      </c>
      <c r="AA152" s="41">
        <f>'[2]побудинковий звіт'!AA152+'[1]побудинковий звіт'!AA152</f>
        <v>0</v>
      </c>
      <c r="AB152" s="41">
        <f>'[2]побудинковий звіт'!AB152+'[1]побудинковий звіт'!AB152</f>
        <v>0</v>
      </c>
      <c r="AC152" s="55">
        <f t="shared" si="132"/>
        <v>0</v>
      </c>
      <c r="AD152" s="41">
        <f>'[2]побудинковий звіт'!AD152+'[1]побудинковий звіт'!AD152</f>
        <v>20611.488831995626</v>
      </c>
      <c r="AE152" s="41">
        <f>'[2]побудинковий звіт'!AE152+'[1]побудинковий звіт'!AE152</f>
        <v>20531.352511704154</v>
      </c>
      <c r="AF152" s="36">
        <f t="shared" si="133"/>
        <v>-80.136320291472657</v>
      </c>
      <c r="AG152" s="84">
        <f t="shared" si="134"/>
        <v>56992.067283973083</v>
      </c>
      <c r="AH152" s="56">
        <f t="shared" si="135"/>
        <v>50610.381459783035</v>
      </c>
      <c r="AI152" s="55">
        <f t="shared" si="136"/>
        <v>-6381.6858241900482</v>
      </c>
      <c r="AJ152" s="41">
        <f>'[2]побудинковий звіт'!AJ152+'[1]побудинковий звіт'!AJ152</f>
        <v>34692.62929178372</v>
      </c>
      <c r="AK152" s="41">
        <f>'[2]побудинковий звіт'!AK152+'[1]побудинковий звіт'!AK152</f>
        <v>29409.334567074959</v>
      </c>
      <c r="AL152" s="55">
        <f t="shared" si="137"/>
        <v>-5283.2947247087614</v>
      </c>
      <c r="AM152" s="41">
        <f>'[2]побудинковий звіт'!AM152+'[1]побудинковий звіт'!AM152</f>
        <v>611.57326913687439</v>
      </c>
      <c r="AN152" s="41">
        <f>'[2]побудинковий звіт'!AN152+'[1]побудинковий звіт'!AN152</f>
        <v>3893.7445287916657</v>
      </c>
      <c r="AO152" s="55">
        <f t="shared" si="138"/>
        <v>3282.1712596547914</v>
      </c>
      <c r="AP152" s="41">
        <f>'[2]побудинковий звіт'!AP152+'[1]побудинковий звіт'!AP152</f>
        <v>3962.3917716208152</v>
      </c>
      <c r="AQ152" s="41">
        <f>'[2]побудинковий звіт'!AQ152+'[1]побудинковий звіт'!AQ152</f>
        <v>3723.2695147573927</v>
      </c>
      <c r="AR152" s="55">
        <f t="shared" si="139"/>
        <v>-239.12225686342254</v>
      </c>
      <c r="AS152" s="41">
        <f>'[2]побудинковий звіт'!AS152+'[1]побудинковий звіт'!AS152</f>
        <v>71568.684972757721</v>
      </c>
      <c r="AT152" s="41">
        <f>'[2]побудинковий звіт'!AT152+'[1]побудинковий звіт'!AT152</f>
        <v>1059.4162047011591</v>
      </c>
      <c r="AU152" s="57">
        <f t="shared" si="140"/>
        <v>-70509.268768056558</v>
      </c>
      <c r="AV152" s="41">
        <f>'[2]побудинковий звіт'!AV152+'[1]побудинковий звіт'!AV152</f>
        <v>1552.9586405849318</v>
      </c>
      <c r="AW152" s="41">
        <f>'[2]побудинковий звіт'!AW152+'[1]побудинковий звіт'!AW152</f>
        <v>271.65398952433094</v>
      </c>
      <c r="AX152" s="58">
        <f t="shared" si="141"/>
        <v>-1281.3046510606009</v>
      </c>
      <c r="AY152" s="41">
        <f>'[2]побудинковий звіт'!AY152+'[1]побудинковий звіт'!AY152</f>
        <v>1282.723792616124</v>
      </c>
      <c r="AZ152" s="41">
        <f>'[2]побудинковий звіт'!AZ152+'[1]побудинковий звіт'!AZ152</f>
        <v>0</v>
      </c>
      <c r="BA152" s="36">
        <f t="shared" si="142"/>
        <v>-1282.723792616124</v>
      </c>
      <c r="BB152" s="41">
        <f>'[2]побудинковий звіт'!BB152+'[1]побудинковий звіт'!BB152</f>
        <v>1593.1155481570297</v>
      </c>
      <c r="BC152" s="41">
        <f>'[2]побудинковий звіт'!BC152+'[1]побудинковий звіт'!BC152</f>
        <v>0</v>
      </c>
      <c r="BD152" s="58">
        <f t="shared" si="143"/>
        <v>-1593.1155481570297</v>
      </c>
      <c r="BE152" s="41">
        <f>'[2]побудинковий звіт'!BE152+'[1]побудинковий звіт'!BE152</f>
        <v>663.56801651203375</v>
      </c>
      <c r="BF152" s="41">
        <f>'[2]побудинковий звіт'!BF152+'[1]побудинковий звіт'!BF152</f>
        <v>0</v>
      </c>
      <c r="BG152" s="38">
        <f t="shared" si="144"/>
        <v>-663.56801651203375</v>
      </c>
      <c r="BH152" s="41">
        <f>'[2]побудинковий звіт'!BH152+'[1]побудинковий звіт'!BH152</f>
        <v>356.35238456236465</v>
      </c>
      <c r="BI152" s="41">
        <f>'[2]побудинковий звіт'!BI152+'[1]побудинковий звіт'!BI152</f>
        <v>0</v>
      </c>
      <c r="BJ152" s="58">
        <f t="shared" si="145"/>
        <v>-356.35238456236465</v>
      </c>
      <c r="BK152" s="41">
        <f>'[2]побудинковий звіт'!BK152+'[1]побудинковий звіт'!BK152</f>
        <v>1188.9930738093171</v>
      </c>
      <c r="BL152" s="41">
        <f>'[2]побудинковий звіт'!BL152+'[1]побудинковий звіт'!BL152</f>
        <v>3134.0955390085919</v>
      </c>
      <c r="BM152" s="38">
        <f t="shared" si="146"/>
        <v>1945.1024651992748</v>
      </c>
      <c r="BN152" s="41">
        <f>'[2]побудинковий звіт'!BN152+'[1]побудинковий звіт'!BN152</f>
        <v>437.74616733632473</v>
      </c>
      <c r="BO152" s="41">
        <f>'[2]побудинковий звіт'!BO152+'[1]побудинковий звіт'!BO152</f>
        <v>0</v>
      </c>
      <c r="BP152" s="58">
        <f t="shared" si="147"/>
        <v>-437.74616733632473</v>
      </c>
      <c r="BQ152" s="84">
        <f t="shared" si="148"/>
        <v>7075.457623578126</v>
      </c>
      <c r="BR152" s="42">
        <f t="shared" si="149"/>
        <v>3405.7495285329228</v>
      </c>
      <c r="BS152" s="58">
        <f t="shared" si="150"/>
        <v>-3669.7080950452032</v>
      </c>
      <c r="BT152" s="41">
        <f>'[2]побудинковий звіт'!BT152+'[1]побудинковий звіт'!BT152</f>
        <v>69904.622303607481</v>
      </c>
      <c r="BU152" s="41">
        <f>'[2]побудинковий звіт'!BU152+'[1]побудинковий звіт'!BU152</f>
        <v>92775.09203673173</v>
      </c>
      <c r="BV152" s="55">
        <f t="shared" si="151"/>
        <v>22870.46973312425</v>
      </c>
      <c r="BW152" s="41">
        <f>'[2]побудинковий звіт'!BW152+'[1]побудинковий звіт'!BW152</f>
        <v>43262.959966638526</v>
      </c>
      <c r="BX152" s="41">
        <f>'[2]побудинковий звіт'!BX152+'[1]побудинковий звіт'!BX152</f>
        <v>53848.928107617816</v>
      </c>
      <c r="BY152" s="55">
        <f t="shared" si="152"/>
        <v>10585.96814097929</v>
      </c>
      <c r="BZ152" s="41">
        <f>'[2]побудинковий звіт'!BZ152+'[1]побудинковий звіт'!BZ152</f>
        <v>8655.3695157007151</v>
      </c>
      <c r="CA152" s="41">
        <f>'[2]побудинковий звіт'!CA152+'[1]побудинковий звіт'!CA152</f>
        <v>8953.3962041127052</v>
      </c>
      <c r="CB152" s="55">
        <f t="shared" si="153"/>
        <v>298.02668841199011</v>
      </c>
      <c r="CC152" s="41">
        <f>'[2]побудинковий звіт'!CC152+'[1]побудинковий звіт'!CC152</f>
        <v>1631.8239495413977</v>
      </c>
      <c r="CD152" s="41">
        <f>'[2]побудинковий звіт'!CD152+'[1]побудинковий звіт'!CD152</f>
        <v>1637.357282534661</v>
      </c>
      <c r="CE152" s="55">
        <f t="shared" si="154"/>
        <v>5.5333329932632296</v>
      </c>
      <c r="CF152" s="41">
        <f>'[2]побудинковий звіт'!CF152+'[1]побудинковий звіт'!CF152</f>
        <v>202.17431390168903</v>
      </c>
      <c r="CG152" s="41">
        <f>'[2]побудинковий звіт'!CG152+'[1]побудинковий звіт'!CG152</f>
        <v>0</v>
      </c>
      <c r="CH152" s="55">
        <f t="shared" si="155"/>
        <v>-202.17431390168903</v>
      </c>
      <c r="CI152" s="41">
        <f>'[2]побудинковий звіт'!CI152+'[1]побудинковий звіт'!CI152</f>
        <v>4219.2368289322412</v>
      </c>
      <c r="CJ152" s="41">
        <f>'[2]побудинковий звіт'!CJ152+'[1]побудинковий звіт'!CJ152</f>
        <v>2374.648699046114</v>
      </c>
      <c r="CK152" s="55">
        <f t="shared" si="156"/>
        <v>-1844.5881298861273</v>
      </c>
      <c r="CL152" s="41">
        <f>'[2]побудинковий звіт'!CL152+'[1]побудинковий звіт'!CL152</f>
        <v>25072.394386554024</v>
      </c>
      <c r="CM152" s="41">
        <f>'[2]побудинковий звіт'!CM152+'[1]побудинковий звіт'!CM152</f>
        <v>23155.579278152349</v>
      </c>
      <c r="CN152" s="55">
        <f t="shared" si="157"/>
        <v>-1916.8151084016754</v>
      </c>
      <c r="CO152" s="41">
        <f t="shared" si="158"/>
        <v>29291.631215486264</v>
      </c>
      <c r="CP152" s="42">
        <f t="shared" si="159"/>
        <v>25530.227977198461</v>
      </c>
      <c r="CQ152" s="55">
        <f t="shared" si="160"/>
        <v>-3761.4032382878031</v>
      </c>
      <c r="CR152" s="76">
        <f t="shared" si="161"/>
        <v>327851.38547772641</v>
      </c>
      <c r="CS152" s="5">
        <f t="shared" si="162"/>
        <v>274846.89741183649</v>
      </c>
      <c r="CT152" s="55">
        <f t="shared" si="163"/>
        <v>-53004.48806588992</v>
      </c>
      <c r="CU152" s="84">
        <f t="shared" si="164"/>
        <v>393421.66257327166</v>
      </c>
      <c r="CV152" s="68">
        <f t="shared" si="165"/>
        <v>329816.27689420379</v>
      </c>
      <c r="CW152" s="36">
        <f t="shared" si="166"/>
        <v>-63605.385679067869</v>
      </c>
      <c r="CX152" s="41">
        <f>'[2]побудинковий звіт'!CX152+'[1]побудинковий звіт'!CX152</f>
        <v>8427.1529507047799</v>
      </c>
      <c r="CY152" s="41">
        <f>'[2]побудинковий звіт'!CY152+'[1]побудинковий звіт'!CY152</f>
        <v>72032.538629772593</v>
      </c>
      <c r="CZ152" s="55">
        <f t="shared" si="167"/>
        <v>63605.385679067811</v>
      </c>
      <c r="DA152" s="254">
        <f>'[1]побудинковий звіт'!DA152</f>
        <v>396609.56458837766</v>
      </c>
      <c r="DB152" s="2">
        <v>1</v>
      </c>
      <c r="DC152" s="702">
        <f>'[1]побудинковий звіт'!DC152</f>
        <v>75067.8</v>
      </c>
      <c r="DD152" s="702">
        <f>'[1]побудинковий звіт'!DD152</f>
        <v>0</v>
      </c>
      <c r="DE152" s="702">
        <f>'[1]побудинковий звіт'!DE152</f>
        <v>31786.370000000003</v>
      </c>
      <c r="DF152" s="702">
        <f>'[1]побудинковий звіт'!DF152</f>
        <v>0</v>
      </c>
      <c r="DG152" s="772">
        <v>481851.43247082061</v>
      </c>
      <c r="DH152" s="746">
        <f t="shared" si="168"/>
        <v>4822185.7862877175</v>
      </c>
      <c r="DI152" s="769"/>
      <c r="DJ152" s="5"/>
      <c r="DK152" s="307">
        <f>VLOOKUP($A152,ціни!$A$4:$G$401,5)</f>
        <v>5.3920382333823982</v>
      </c>
      <c r="DL152" s="307">
        <f>VLOOKUP($A152,ціни!$A$4:$G$401,6)</f>
        <v>6.7983711324661655</v>
      </c>
      <c r="DM152" s="307">
        <f>VLOOKUP($A152,ціни!$A$4:$G$401,7)</f>
        <v>4.5123446787150341</v>
      </c>
      <c r="DN152" s="29">
        <f>DK152*G152+(F152-G152)*DL152</f>
        <v>31667.59576386612</v>
      </c>
      <c r="DO152" s="29">
        <f>DM152*H152</f>
        <v>0</v>
      </c>
      <c r="DP152" s="306">
        <f t="shared" si="169"/>
        <v>31667.59576386612</v>
      </c>
      <c r="DQ152" s="101"/>
      <c r="DR152" s="29">
        <f>VLOOKUP(A152,'ДЗ нас '!$A$1:$C$359,2)</f>
        <v>31667.65</v>
      </c>
      <c r="DS152" s="733"/>
      <c r="DT152" s="29">
        <f t="shared" si="170"/>
        <v>31667.65</v>
      </c>
      <c r="DU152" s="247">
        <f>VLOOKUP(A152,'новий кошторис с 01.06'!$A$4:$AI$399,35)*1.2</f>
        <v>31759.830876111468</v>
      </c>
      <c r="DV152" s="29">
        <f t="shared" si="171"/>
        <v>-92.180876111466205</v>
      </c>
      <c r="DW152" s="1016">
        <f>'[2]побудинковий звіт'!$DW$9+'[1]побудинковий звіт'!DW152</f>
        <v>1138.5</v>
      </c>
      <c r="DX152" s="101">
        <f>'[1]побудинковий звіт'!DX152</f>
        <v>0</v>
      </c>
      <c r="DY152" s="5">
        <f t="shared" si="172"/>
        <v>94372.97111560301</v>
      </c>
      <c r="DZ152" s="5">
        <f t="shared" si="173"/>
        <v>5358.1988798808979</v>
      </c>
      <c r="EA152" s="737">
        <f t="shared" si="174"/>
        <v>31786.370000000003</v>
      </c>
      <c r="EC152" s="577">
        <f t="shared" si="175"/>
        <v>858824.21967309271</v>
      </c>
      <c r="EE152" s="743">
        <v>10236</v>
      </c>
      <c r="EF152" s="723">
        <f t="shared" si="176"/>
        <v>492087.43247082061</v>
      </c>
      <c r="EH152" s="798">
        <v>500126.89658217254</v>
      </c>
      <c r="EI152" s="101">
        <f>VLOOKUP(A152,'кошти 01.01.24'!$A$9:$D$352,4,FALSE)</f>
        <v>460214.95026744559</v>
      </c>
    </row>
    <row r="153" spans="1:139" ht="14.4" hidden="1" customHeight="1" x14ac:dyDescent="0.3">
      <c r="A153" s="318">
        <v>150000686</v>
      </c>
      <c r="B153" s="43" t="s">
        <v>584</v>
      </c>
      <c r="C153" s="44" t="s">
        <v>97</v>
      </c>
      <c r="D153" s="44" t="s">
        <v>97</v>
      </c>
      <c r="E153" s="39">
        <f t="shared" si="125"/>
        <v>214.9</v>
      </c>
      <c r="F153" s="205">
        <f>'[1]побудинковий звіт'!F153</f>
        <v>214.9</v>
      </c>
      <c r="G153" s="29">
        <f>'[1]побудинковий звіт'!G153</f>
        <v>0</v>
      </c>
      <c r="H153" s="148">
        <f>'[1]побудинковий звіт'!H153</f>
        <v>0</v>
      </c>
      <c r="I153" s="41">
        <f>'[2]побудинковий звіт'!I153+'[1]побудинковий звіт'!I153</f>
        <v>0</v>
      </c>
      <c r="J153" s="41">
        <f>'[2]побудинковий звіт'!J153+'[1]побудинковий звіт'!J153</f>
        <v>0</v>
      </c>
      <c r="K153" s="55">
        <f t="shared" si="126"/>
        <v>0</v>
      </c>
      <c r="L153" s="41">
        <f>'[2]побудинковий звіт'!L153+'[1]побудинковий звіт'!L153</f>
        <v>0</v>
      </c>
      <c r="M153" s="41">
        <f>'[2]побудинковий звіт'!M153+'[1]побудинковий звіт'!M153</f>
        <v>0</v>
      </c>
      <c r="N153" s="55">
        <f t="shared" si="127"/>
        <v>0</v>
      </c>
      <c r="O153" s="41">
        <f>'[2]побудинковий звіт'!O153+'[1]побудинковий звіт'!O153</f>
        <v>0</v>
      </c>
      <c r="P153" s="41">
        <f>'[2]побудинковий звіт'!P153+'[1]побудинковий звіт'!P153</f>
        <v>0</v>
      </c>
      <c r="Q153" s="55">
        <f t="shared" si="128"/>
        <v>0</v>
      </c>
      <c r="R153" s="41">
        <f>'[2]побудинковий звіт'!R153+'[1]побудинковий звіт'!R153</f>
        <v>0</v>
      </c>
      <c r="S153" s="41">
        <f>'[2]побудинковий звіт'!S153+'[1]побудинковий звіт'!S153</f>
        <v>0</v>
      </c>
      <c r="T153" s="55">
        <f t="shared" si="129"/>
        <v>0</v>
      </c>
      <c r="U153" s="41">
        <f>'[2]побудинковий звіт'!U153+'[1]побудинковий звіт'!U153</f>
        <v>0</v>
      </c>
      <c r="V153" s="41">
        <f>'[2]побудинковий звіт'!V153+'[1]побудинковий звіт'!V153</f>
        <v>0</v>
      </c>
      <c r="W153" s="55">
        <f t="shared" si="130"/>
        <v>0</v>
      </c>
      <c r="X153" s="41">
        <f>'[2]побудинковий звіт'!X153+'[1]побудинковий звіт'!X153</f>
        <v>0</v>
      </c>
      <c r="Y153" s="41">
        <f>'[2]побудинковий звіт'!Y153+'[1]побудинковий звіт'!Y153</f>
        <v>0</v>
      </c>
      <c r="Z153" s="55">
        <f t="shared" si="131"/>
        <v>0</v>
      </c>
      <c r="AA153" s="41">
        <f>'[2]побудинковий звіт'!AA153+'[1]побудинковий звіт'!AA153</f>
        <v>0</v>
      </c>
      <c r="AB153" s="41">
        <f>'[2]побудинковий звіт'!AB153+'[1]побудинковий звіт'!AB153</f>
        <v>0</v>
      </c>
      <c r="AC153" s="55">
        <f t="shared" si="132"/>
        <v>0</v>
      </c>
      <c r="AD153" s="41">
        <f>'[2]побудинковий звіт'!AD153+'[1]побудинковий звіт'!AD153</f>
        <v>0</v>
      </c>
      <c r="AE153" s="41">
        <f>'[2]побудинковий звіт'!AE153+'[1]побудинковий звіт'!AE153</f>
        <v>0</v>
      </c>
      <c r="AF153" s="36">
        <f t="shared" si="133"/>
        <v>0</v>
      </c>
      <c r="AG153" s="84">
        <f t="shared" si="134"/>
        <v>0</v>
      </c>
      <c r="AH153" s="56">
        <f t="shared" si="135"/>
        <v>0</v>
      </c>
      <c r="AI153" s="55">
        <f t="shared" si="136"/>
        <v>0</v>
      </c>
      <c r="AJ153" s="41">
        <f>'[2]побудинковий звіт'!AJ153+'[1]побудинковий звіт'!AJ153</f>
        <v>0</v>
      </c>
      <c r="AK153" s="41">
        <f>'[2]побудинковий звіт'!AK153+'[1]побудинковий звіт'!AK153</f>
        <v>0</v>
      </c>
      <c r="AL153" s="55">
        <f t="shared" si="137"/>
        <v>0</v>
      </c>
      <c r="AM153" s="41">
        <f>'[2]побудинковий звіт'!AM153+'[1]побудинковий звіт'!AM153</f>
        <v>0</v>
      </c>
      <c r="AN153" s="41">
        <f>'[2]побудинковий звіт'!AN153+'[1]побудинковий звіт'!AN153</f>
        <v>0</v>
      </c>
      <c r="AO153" s="55">
        <f t="shared" si="138"/>
        <v>0</v>
      </c>
      <c r="AP153" s="41">
        <f>'[2]побудинковий звіт'!AP153+'[1]побудинковий звіт'!AP153</f>
        <v>297.17938287156119</v>
      </c>
      <c r="AQ153" s="41">
        <f>'[2]побудинковий звіт'!AQ153+'[1]побудинковий звіт'!AQ153</f>
        <v>192.01526375968112</v>
      </c>
      <c r="AR153" s="55">
        <f t="shared" si="139"/>
        <v>-105.16411911188007</v>
      </c>
      <c r="AS153" s="41">
        <f>'[2]побудинковий звіт'!AS153+'[1]побудинковий звіт'!AS153</f>
        <v>2310.3364361604217</v>
      </c>
      <c r="AT153" s="41">
        <f>'[2]побудинковий звіт'!AT153+'[1]побудинковий звіт'!AT153</f>
        <v>0</v>
      </c>
      <c r="AU153" s="57">
        <f t="shared" si="140"/>
        <v>-2310.3364361604217</v>
      </c>
      <c r="AV153" s="41">
        <f>'[2]побудинковий звіт'!AV153+'[1]побудинковий звіт'!AV153</f>
        <v>0</v>
      </c>
      <c r="AW153" s="41">
        <f>'[2]побудинковий звіт'!AW153+'[1]побудинковий звіт'!AW153</f>
        <v>0</v>
      </c>
      <c r="AX153" s="58">
        <f t="shared" si="141"/>
        <v>0</v>
      </c>
      <c r="AY153" s="41">
        <f>'[2]побудинковий звіт'!AY153+'[1]побудинковий звіт'!AY153</f>
        <v>0</v>
      </c>
      <c r="AZ153" s="41">
        <f>'[2]побудинковий звіт'!AZ153+'[1]побудинковий звіт'!AZ153</f>
        <v>0</v>
      </c>
      <c r="BA153" s="36">
        <f t="shared" si="142"/>
        <v>0</v>
      </c>
      <c r="BB153" s="41">
        <f>'[2]побудинковий звіт'!BB153+'[1]побудинковий звіт'!BB153</f>
        <v>0</v>
      </c>
      <c r="BC153" s="41">
        <f>'[2]побудинковий звіт'!BC153+'[1]побудинковий звіт'!BC153</f>
        <v>0</v>
      </c>
      <c r="BD153" s="58">
        <f t="shared" si="143"/>
        <v>0</v>
      </c>
      <c r="BE153" s="41">
        <f>'[2]побудинковий звіт'!BE153+'[1]побудинковий звіт'!BE153</f>
        <v>0</v>
      </c>
      <c r="BF153" s="41">
        <f>'[2]побудинковий звіт'!BF153+'[1]побудинковий звіт'!BF153</f>
        <v>0</v>
      </c>
      <c r="BG153" s="38">
        <f t="shared" si="144"/>
        <v>0</v>
      </c>
      <c r="BH153" s="41">
        <f>'[2]побудинковий звіт'!BH153+'[1]побудинковий звіт'!BH153</f>
        <v>0</v>
      </c>
      <c r="BI153" s="41">
        <f>'[2]побудинковий звіт'!BI153+'[1]побудинковий звіт'!BI153</f>
        <v>0</v>
      </c>
      <c r="BJ153" s="58">
        <f t="shared" si="145"/>
        <v>0</v>
      </c>
      <c r="BK153" s="41">
        <f>'[2]побудинковий звіт'!BK153+'[1]побудинковий звіт'!BK153</f>
        <v>0</v>
      </c>
      <c r="BL153" s="41">
        <f>'[2]побудинковий звіт'!BL153+'[1]побудинковий звіт'!BL153</f>
        <v>0</v>
      </c>
      <c r="BM153" s="38">
        <f t="shared" si="146"/>
        <v>0</v>
      </c>
      <c r="BN153" s="41">
        <f>'[2]побудинковий звіт'!BN153+'[1]побудинковий звіт'!BN153</f>
        <v>0</v>
      </c>
      <c r="BO153" s="41">
        <f>'[2]побудинковий звіт'!BO153+'[1]побудинковий звіт'!BO153</f>
        <v>2388.5238380000001</v>
      </c>
      <c r="BP153" s="58">
        <f t="shared" si="147"/>
        <v>2388.5238380000001</v>
      </c>
      <c r="BQ153" s="84">
        <f t="shared" si="148"/>
        <v>0</v>
      </c>
      <c r="BR153" s="42">
        <f t="shared" si="149"/>
        <v>2388.5238380000001</v>
      </c>
      <c r="BS153" s="58">
        <f t="shared" si="150"/>
        <v>2388.5238380000001</v>
      </c>
      <c r="BT153" s="41">
        <f>'[2]побудинковий звіт'!BT153+'[1]побудинковий звіт'!BT153</f>
        <v>0</v>
      </c>
      <c r="BU153" s="41">
        <f>'[2]побудинковий звіт'!BU153+'[1]побудинковий звіт'!BU153</f>
        <v>0</v>
      </c>
      <c r="BV153" s="55">
        <f t="shared" si="151"/>
        <v>0</v>
      </c>
      <c r="BW153" s="41">
        <f>'[2]побудинковий звіт'!BW153+'[1]побудинковий звіт'!BW153</f>
        <v>0</v>
      </c>
      <c r="BX153" s="41">
        <f>'[2]побудинковий звіт'!BX153+'[1]побудинковий звіт'!BX153</f>
        <v>18.833945318370297</v>
      </c>
      <c r="BY153" s="55">
        <f t="shared" si="152"/>
        <v>18.833945318370297</v>
      </c>
      <c r="BZ153" s="41">
        <f>'[2]побудинковий звіт'!BZ153+'[1]побудинковий звіт'!BZ153</f>
        <v>0</v>
      </c>
      <c r="CA153" s="41">
        <f>'[2]побудинковий звіт'!CA153+'[1]побудинковий звіт'!CA153</f>
        <v>0</v>
      </c>
      <c r="CB153" s="55">
        <f t="shared" si="153"/>
        <v>0</v>
      </c>
      <c r="CC153" s="41">
        <f>'[2]побудинковий звіт'!CC153+'[1]побудинковий звіт'!CC153</f>
        <v>0</v>
      </c>
      <c r="CD153" s="41">
        <f>'[2]побудинковий звіт'!CD153+'[1]побудинковий звіт'!CD153</f>
        <v>0</v>
      </c>
      <c r="CE153" s="55">
        <f t="shared" si="154"/>
        <v>0</v>
      </c>
      <c r="CF153" s="41">
        <f>'[2]побудинковий звіт'!CF153+'[1]побудинковий звіт'!CF153</f>
        <v>0</v>
      </c>
      <c r="CG153" s="41">
        <f>'[2]побудинковий звіт'!CG153+'[1]побудинковий звіт'!CG153</f>
        <v>0</v>
      </c>
      <c r="CH153" s="55">
        <f t="shared" si="155"/>
        <v>0</v>
      </c>
      <c r="CI153" s="41">
        <f>'[2]побудинковий звіт'!CI153+'[1]побудинковий звіт'!CI153</f>
        <v>0</v>
      </c>
      <c r="CJ153" s="41">
        <f>'[2]побудинковий звіт'!CJ153+'[1]побудинковий звіт'!CJ153</f>
        <v>0</v>
      </c>
      <c r="CK153" s="55">
        <f t="shared" si="156"/>
        <v>0</v>
      </c>
      <c r="CL153" s="41">
        <f>'[2]побудинковий звіт'!CL153+'[1]побудинковий звіт'!CL153</f>
        <v>0</v>
      </c>
      <c r="CM153" s="41">
        <f>'[2]побудинковий звіт'!CM153+'[1]побудинковий звіт'!CM153</f>
        <v>0</v>
      </c>
      <c r="CN153" s="55">
        <f t="shared" si="157"/>
        <v>0</v>
      </c>
      <c r="CO153" s="41">
        <f t="shared" si="158"/>
        <v>0</v>
      </c>
      <c r="CP153" s="42">
        <f t="shared" si="159"/>
        <v>0</v>
      </c>
      <c r="CQ153" s="55">
        <f t="shared" si="160"/>
        <v>0</v>
      </c>
      <c r="CR153" s="76">
        <f t="shared" si="161"/>
        <v>2607.515819031983</v>
      </c>
      <c r="CS153" s="5">
        <f t="shared" si="162"/>
        <v>2599.3730470780515</v>
      </c>
      <c r="CT153" s="55">
        <f t="shared" si="163"/>
        <v>-8.1427719539315149</v>
      </c>
      <c r="CU153" s="84">
        <f t="shared" si="164"/>
        <v>3129.0189828383795</v>
      </c>
      <c r="CV153" s="68">
        <f t="shared" si="165"/>
        <v>3119.2476564936619</v>
      </c>
      <c r="CW153" s="36">
        <f t="shared" si="166"/>
        <v>-9.7713263447176359</v>
      </c>
      <c r="CX153" s="41">
        <f>'[2]побудинковий звіт'!CX153+'[1]побудинковий звіт'!CX153</f>
        <v>81.649315223454579</v>
      </c>
      <c r="CY153" s="41">
        <f>'[2]побудинковий звіт'!CY153+'[1]побудинковий звіт'!CY153</f>
        <v>91.42064156817213</v>
      </c>
      <c r="CZ153" s="55">
        <f t="shared" si="167"/>
        <v>9.7713263447175507</v>
      </c>
      <c r="DA153" s="254">
        <f>'[1]побудинковий звіт'!DA153</f>
        <v>-5722.2102456117964</v>
      </c>
      <c r="DB153" s="2">
        <v>3</v>
      </c>
      <c r="DC153" s="702">
        <f>'[1]побудинковий звіт'!DC153</f>
        <v>354.34</v>
      </c>
      <c r="DD153" s="702">
        <f>'[1]побудинковий звіт'!DD153</f>
        <v>0</v>
      </c>
      <c r="DE153" s="702">
        <f>'[1]побудинковий звіт'!DE153</f>
        <v>0</v>
      </c>
      <c r="DF153" s="702">
        <f>'[1]побудинковий звіт'!DF153</f>
        <v>0</v>
      </c>
      <c r="DG153" s="772">
        <v>-2701.7622144670941</v>
      </c>
      <c r="DH153" s="746">
        <f t="shared" si="168"/>
        <v>38528.019576742008</v>
      </c>
      <c r="DI153" s="769"/>
      <c r="DJ153" s="5"/>
      <c r="DK153" s="307">
        <f>VLOOKUP($A153,ціни!$A$4:$G$401,5)</f>
        <v>1.1691321519002329</v>
      </c>
      <c r="DL153" s="307"/>
      <c r="DM153" s="307">
        <f>VLOOKUP($A153,ціни!$A$4:$G$401,7)</f>
        <v>1.1691321519002329</v>
      </c>
      <c r="DN153" s="29">
        <f>F153*DK153</f>
        <v>251.24649944336005</v>
      </c>
      <c r="DO153" s="29">
        <f>H153*DM153</f>
        <v>0</v>
      </c>
      <c r="DP153" s="306">
        <f t="shared" si="169"/>
        <v>251.24649944336005</v>
      </c>
      <c r="DQ153" s="101"/>
      <c r="DR153" s="29">
        <f>VLOOKUP(A153,'ДЗ нас '!$A$1:$C$359,2)</f>
        <v>251.23</v>
      </c>
      <c r="DS153" s="733"/>
      <c r="DT153" s="29">
        <f t="shared" si="170"/>
        <v>251.23</v>
      </c>
      <c r="DU153" s="247">
        <f>VLOOKUP(A153,'новий кошторис с 01.06'!$A$4:$AI$399,35)*1.2</f>
        <v>252.23177983333406</v>
      </c>
      <c r="DV153" s="29">
        <f t="shared" si="171"/>
        <v>-1.0017798333340693</v>
      </c>
      <c r="DW153" s="1016">
        <f>'[2]побудинковий звіт'!$DW$9+'[1]побудинковий звіт'!DW153</f>
        <v>0</v>
      </c>
      <c r="DX153" s="101">
        <f>'[1]побудинковий звіт'!DX153</f>
        <v>0</v>
      </c>
      <c r="DY153" s="5">
        <f t="shared" si="172"/>
        <v>2772.403723392506</v>
      </c>
      <c r="DZ153" s="5">
        <f t="shared" si="173"/>
        <v>2866.2286055999998</v>
      </c>
      <c r="EA153" s="737">
        <f t="shared" si="174"/>
        <v>0</v>
      </c>
      <c r="EC153" s="577">
        <f t="shared" si="175"/>
        <v>27724.037233925061</v>
      </c>
      <c r="EE153" s="743">
        <v>-767</v>
      </c>
      <c r="EF153" s="723">
        <f t="shared" si="176"/>
        <v>-3468.7622144670941</v>
      </c>
      <c r="EH153" s="798">
        <v>-3540.1888372886115</v>
      </c>
      <c r="EI153" s="101">
        <f>VLOOKUP(A153,'кошти 01.01.24'!$A$9:$D$352,4,FALSE)</f>
        <v>-5712.4389192670787</v>
      </c>
    </row>
    <row r="154" spans="1:139" hidden="1" x14ac:dyDescent="0.3">
      <c r="A154" s="318">
        <v>150000796</v>
      </c>
      <c r="B154" s="43" t="s">
        <v>585</v>
      </c>
      <c r="C154" s="44" t="s">
        <v>98</v>
      </c>
      <c r="D154" s="44" t="s">
        <v>98</v>
      </c>
      <c r="E154" s="39">
        <f t="shared" si="125"/>
        <v>194.48</v>
      </c>
      <c r="F154" s="205">
        <f>'[1]побудинковий звіт'!F154</f>
        <v>194.48</v>
      </c>
      <c r="G154" s="29">
        <f>'[1]побудинковий звіт'!G154</f>
        <v>0</v>
      </c>
      <c r="H154" s="148">
        <f>'[1]побудинковий звіт'!H154</f>
        <v>0</v>
      </c>
      <c r="I154" s="41">
        <f>'[2]побудинковий звіт'!I154+'[1]побудинковий звіт'!I154</f>
        <v>0</v>
      </c>
      <c r="J154" s="41">
        <f>'[2]побудинковий звіт'!J154+'[1]побудинковий звіт'!J154</f>
        <v>0</v>
      </c>
      <c r="K154" s="55">
        <f t="shared" si="126"/>
        <v>0</v>
      </c>
      <c r="L154" s="41">
        <f>'[2]побудинковий звіт'!L154+'[1]побудинковий звіт'!L154</f>
        <v>0</v>
      </c>
      <c r="M154" s="41">
        <f>'[2]побудинковий звіт'!M154+'[1]побудинковий звіт'!M154</f>
        <v>0</v>
      </c>
      <c r="N154" s="55">
        <f t="shared" si="127"/>
        <v>0</v>
      </c>
      <c r="O154" s="41">
        <f>'[2]побудинковий звіт'!O154+'[1]побудинковий звіт'!O154</f>
        <v>179.7183783339508</v>
      </c>
      <c r="P154" s="41">
        <f>'[2]побудинковий звіт'!P154+'[1]побудинковий звіт'!P154</f>
        <v>180.20355614100083</v>
      </c>
      <c r="Q154" s="55">
        <f t="shared" si="128"/>
        <v>0.48517780705003588</v>
      </c>
      <c r="R154" s="41">
        <f>'[2]побудинковий звіт'!R154+'[1]побудинковий звіт'!R154</f>
        <v>0</v>
      </c>
      <c r="S154" s="41">
        <f>'[2]побудинковий звіт'!S154+'[1]побудинковий звіт'!S154</f>
        <v>0</v>
      </c>
      <c r="T154" s="55">
        <f t="shared" si="129"/>
        <v>0</v>
      </c>
      <c r="U154" s="41">
        <f>'[2]побудинковий звіт'!U154+'[1]побудинковий звіт'!U154</f>
        <v>0</v>
      </c>
      <c r="V154" s="41">
        <f>'[2]побудинковий звіт'!V154+'[1]побудинковий звіт'!V154</f>
        <v>0</v>
      </c>
      <c r="W154" s="55">
        <f t="shared" si="130"/>
        <v>0</v>
      </c>
      <c r="X154" s="41">
        <f>'[2]побудинковий звіт'!X154+'[1]побудинковий звіт'!X154</f>
        <v>0</v>
      </c>
      <c r="Y154" s="41">
        <f>'[2]побудинковий звіт'!Y154+'[1]побудинковий звіт'!Y154</f>
        <v>0</v>
      </c>
      <c r="Z154" s="55">
        <f t="shared" si="131"/>
        <v>0</v>
      </c>
      <c r="AA154" s="41">
        <f>'[2]побудинковий звіт'!AA154+'[1]побудинковий звіт'!AA154</f>
        <v>0</v>
      </c>
      <c r="AB154" s="41">
        <f>'[2]побудинковий звіт'!AB154+'[1]побудинковий звіт'!AB154</f>
        <v>0</v>
      </c>
      <c r="AC154" s="55">
        <f t="shared" si="132"/>
        <v>0</v>
      </c>
      <c r="AD154" s="41">
        <f>'[2]побудинковий звіт'!AD154+'[1]побудинковий звіт'!AD154</f>
        <v>0</v>
      </c>
      <c r="AE154" s="41">
        <f>'[2]побудинковий звіт'!AE154+'[1]побудинковий звіт'!AE154</f>
        <v>0</v>
      </c>
      <c r="AF154" s="36">
        <f t="shared" si="133"/>
        <v>0</v>
      </c>
      <c r="AG154" s="84">
        <f t="shared" si="134"/>
        <v>179.7183783339508</v>
      </c>
      <c r="AH154" s="56">
        <f t="shared" si="135"/>
        <v>180.20355614100083</v>
      </c>
      <c r="AI154" s="55">
        <f t="shared" si="136"/>
        <v>0.48517780705003588</v>
      </c>
      <c r="AJ154" s="41">
        <f>'[2]побудинковий звіт'!AJ154+'[1]побудинковий звіт'!AJ154</f>
        <v>0</v>
      </c>
      <c r="AK154" s="41">
        <f>'[2]побудинковий звіт'!AK154+'[1]побудинковий звіт'!AK154</f>
        <v>0</v>
      </c>
      <c r="AL154" s="55">
        <f t="shared" si="137"/>
        <v>0</v>
      </c>
      <c r="AM154" s="41">
        <f>'[2]побудинковий звіт'!AM154+'[1]побудинковий звіт'!AM154</f>
        <v>0</v>
      </c>
      <c r="AN154" s="41">
        <f>'[2]побудинковий звіт'!AN154+'[1]побудинковий звіт'!AN154</f>
        <v>0</v>
      </c>
      <c r="AO154" s="55">
        <f t="shared" si="138"/>
        <v>0</v>
      </c>
      <c r="AP154" s="41">
        <f>'[2]побудинковий звіт'!AP154+'[1]побудинковий звіт'!AP154</f>
        <v>74.294845717890297</v>
      </c>
      <c r="AQ154" s="41">
        <f>'[2]побудинковий звіт'!AQ154+'[1]побудинковий звіт'!AQ154</f>
        <v>70.087098786593813</v>
      </c>
      <c r="AR154" s="55">
        <f t="shared" si="139"/>
        <v>-4.2077469312964837</v>
      </c>
      <c r="AS154" s="41">
        <f>'[2]побудинковий звіт'!AS154+'[1]побудинковий звіт'!AS154</f>
        <v>2394.0839673559976</v>
      </c>
      <c r="AT154" s="41">
        <f>'[2]побудинковий звіт'!AT154+'[1]побудинковий звіт'!AT154</f>
        <v>0</v>
      </c>
      <c r="AU154" s="57">
        <f t="shared" si="140"/>
        <v>-2394.0839673559976</v>
      </c>
      <c r="AV154" s="41">
        <f>'[2]побудинковий звіт'!AV154+'[1]побудинковий звіт'!AV154</f>
        <v>0</v>
      </c>
      <c r="AW154" s="41">
        <f>'[2]побудинковий звіт'!AW154+'[1]побудинковий звіт'!AW154</f>
        <v>0</v>
      </c>
      <c r="AX154" s="58">
        <f t="shared" si="141"/>
        <v>0</v>
      </c>
      <c r="AY154" s="41">
        <f>'[2]побудинковий звіт'!AY154+'[1]побудинковий звіт'!AY154</f>
        <v>0</v>
      </c>
      <c r="AZ154" s="41">
        <f>'[2]побудинковий звіт'!AZ154+'[1]побудинковий звіт'!AZ154</f>
        <v>0</v>
      </c>
      <c r="BA154" s="36">
        <f t="shared" si="142"/>
        <v>0</v>
      </c>
      <c r="BB154" s="41">
        <f>'[2]побудинковий звіт'!BB154+'[1]побудинковий звіт'!BB154</f>
        <v>91.780013363868434</v>
      </c>
      <c r="BC154" s="41">
        <f>'[2]побудинковий звіт'!BC154+'[1]побудинковий звіт'!BC154</f>
        <v>0</v>
      </c>
      <c r="BD154" s="58">
        <f t="shared" si="143"/>
        <v>-91.780013363868434</v>
      </c>
      <c r="BE154" s="41">
        <f>'[2]побудинковий звіт'!BE154+'[1]побудинковий звіт'!BE154</f>
        <v>0</v>
      </c>
      <c r="BF154" s="41">
        <f>'[2]побудинковий звіт'!BF154+'[1]побудинковий звіт'!BF154</f>
        <v>0</v>
      </c>
      <c r="BG154" s="38">
        <f t="shared" si="144"/>
        <v>0</v>
      </c>
      <c r="BH154" s="41">
        <f>'[2]побудинковий звіт'!BH154+'[1]побудинковий звіт'!BH154</f>
        <v>0</v>
      </c>
      <c r="BI154" s="41">
        <f>'[2]побудинковий звіт'!BI154+'[1]побудинковий звіт'!BI154</f>
        <v>0</v>
      </c>
      <c r="BJ154" s="58">
        <f t="shared" si="145"/>
        <v>0</v>
      </c>
      <c r="BK154" s="41">
        <f>'[2]побудинковий звіт'!BK154+'[1]побудинковий звіт'!BK154</f>
        <v>0</v>
      </c>
      <c r="BL154" s="41">
        <f>'[2]побудинковий звіт'!BL154+'[1]побудинковий звіт'!BL154</f>
        <v>0</v>
      </c>
      <c r="BM154" s="38">
        <f t="shared" si="146"/>
        <v>0</v>
      </c>
      <c r="BN154" s="41">
        <f>'[2]побудинковий звіт'!BN154+'[1]побудинковий звіт'!BN154</f>
        <v>0</v>
      </c>
      <c r="BO154" s="41">
        <f>'[2]побудинковий звіт'!BO154+'[1]побудинковий звіт'!BO154</f>
        <v>0</v>
      </c>
      <c r="BP154" s="58">
        <f t="shared" si="147"/>
        <v>0</v>
      </c>
      <c r="BQ154" s="84">
        <f t="shared" si="148"/>
        <v>91.780013363868434</v>
      </c>
      <c r="BR154" s="42">
        <f t="shared" si="149"/>
        <v>0</v>
      </c>
      <c r="BS154" s="58">
        <f t="shared" si="150"/>
        <v>-91.780013363868434</v>
      </c>
      <c r="BT154" s="41">
        <f>'[2]побудинковий звіт'!BT154+'[1]побудинковий звіт'!BT154</f>
        <v>0</v>
      </c>
      <c r="BU154" s="41">
        <f>'[2]побудинковий звіт'!BU154+'[1]побудинковий звіт'!BU154</f>
        <v>0</v>
      </c>
      <c r="BV154" s="55">
        <f t="shared" si="151"/>
        <v>0</v>
      </c>
      <c r="BW154" s="41">
        <f>'[2]побудинковий звіт'!BW154+'[1]побудинковий звіт'!BW154</f>
        <v>0</v>
      </c>
      <c r="BX154" s="41">
        <f>'[2]побудинковий звіт'!BX154+'[1]побудинковий звіт'!BX154</f>
        <v>0.73826959727470332</v>
      </c>
      <c r="BY154" s="55">
        <f t="shared" si="152"/>
        <v>0.73826959727470332</v>
      </c>
      <c r="BZ154" s="41">
        <f>'[2]побудинковий звіт'!BZ154+'[1]побудинковий звіт'!BZ154</f>
        <v>0</v>
      </c>
      <c r="CA154" s="41">
        <f>'[2]побудинковий звіт'!CA154+'[1]побудинковий звіт'!CA154</f>
        <v>0</v>
      </c>
      <c r="CB154" s="55">
        <f t="shared" si="153"/>
        <v>0</v>
      </c>
      <c r="CC154" s="41">
        <f>'[2]побудинковий звіт'!CC154+'[1]побудинковий звіт'!CC154</f>
        <v>0</v>
      </c>
      <c r="CD154" s="41">
        <f>'[2]побудинковий звіт'!CD154+'[1]побудинковий звіт'!CD154</f>
        <v>0</v>
      </c>
      <c r="CE154" s="55">
        <f t="shared" si="154"/>
        <v>0</v>
      </c>
      <c r="CF154" s="41">
        <f>'[2]побудинковий звіт'!CF154+'[1]побудинковий звіт'!CF154</f>
        <v>0</v>
      </c>
      <c r="CG154" s="41">
        <f>'[2]побудинковий звіт'!CG154+'[1]побудинковий звіт'!CG154</f>
        <v>0</v>
      </c>
      <c r="CH154" s="55">
        <f t="shared" si="155"/>
        <v>0</v>
      </c>
      <c r="CI154" s="41">
        <f>'[2]побудинковий звіт'!CI154+'[1]побудинковий звіт'!CI154</f>
        <v>0</v>
      </c>
      <c r="CJ154" s="41">
        <f>'[2]побудинковий звіт'!CJ154+'[1]побудинковий звіт'!CJ154</f>
        <v>0</v>
      </c>
      <c r="CK154" s="55">
        <f t="shared" si="156"/>
        <v>0</v>
      </c>
      <c r="CL154" s="41">
        <f>'[2]побудинковий звіт'!CL154+'[1]побудинковий звіт'!CL154</f>
        <v>0</v>
      </c>
      <c r="CM154" s="41">
        <f>'[2]побудинковий звіт'!CM154+'[1]побудинковий звіт'!CM154</f>
        <v>0</v>
      </c>
      <c r="CN154" s="55">
        <f t="shared" si="157"/>
        <v>0</v>
      </c>
      <c r="CO154" s="41">
        <f t="shared" si="158"/>
        <v>0</v>
      </c>
      <c r="CP154" s="42">
        <f t="shared" si="159"/>
        <v>0</v>
      </c>
      <c r="CQ154" s="55">
        <f t="shared" si="160"/>
        <v>0</v>
      </c>
      <c r="CR154" s="76">
        <f t="shared" si="161"/>
        <v>2739.8772047717071</v>
      </c>
      <c r="CS154" s="5">
        <f t="shared" si="162"/>
        <v>251.02892452486932</v>
      </c>
      <c r="CT154" s="55">
        <f t="shared" si="163"/>
        <v>-2488.8482802468379</v>
      </c>
      <c r="CU154" s="84">
        <f t="shared" si="164"/>
        <v>3287.8526457260482</v>
      </c>
      <c r="CV154" s="68">
        <f t="shared" si="165"/>
        <v>301.23470942984318</v>
      </c>
      <c r="CW154" s="36">
        <f t="shared" si="166"/>
        <v>-2986.6179362962048</v>
      </c>
      <c r="CX154" s="41">
        <f>'[2]побудинковий звіт'!CX154+'[1]побудинковий звіт'!CX154</f>
        <v>277.40514054870278</v>
      </c>
      <c r="CY154" s="41">
        <f>'[2]побудинковий звіт'!CY154+'[1]побудинковий звіт'!CY154</f>
        <v>3264.0230768449087</v>
      </c>
      <c r="CZ154" s="55">
        <f t="shared" si="167"/>
        <v>2986.6179362962057</v>
      </c>
      <c r="DA154" s="254">
        <f>'[1]побудинковий звіт'!DA154</f>
        <v>9221.9309508345432</v>
      </c>
      <c r="DB154" s="2">
        <v>3</v>
      </c>
      <c r="DC154" s="702">
        <f>'[1]побудинковий звіт'!DC154</f>
        <v>215.82</v>
      </c>
      <c r="DD154" s="702">
        <f>'[1]побудинковий звіт'!DD154</f>
        <v>0</v>
      </c>
      <c r="DE154" s="702">
        <f>'[1]побудинковий звіт'!DE154</f>
        <v>-171.75</v>
      </c>
      <c r="DF154" s="702">
        <f>'[1]побудинковий звіт'!DF154</f>
        <v>0</v>
      </c>
      <c r="DG154" s="772">
        <v>-1627.1660367646882</v>
      </c>
      <c r="DH154" s="746">
        <f t="shared" si="168"/>
        <v>42783.093435297014</v>
      </c>
      <c r="DI154" s="769"/>
      <c r="DJ154" s="5"/>
      <c r="DK154" s="307">
        <f>VLOOKUP($A154,ціни!$A$4:$G$401,5)</f>
        <v>1.440168815243601</v>
      </c>
      <c r="DL154" s="307"/>
      <c r="DM154" s="307">
        <f>VLOOKUP($A154,ціни!$A$4:$G$401,7)</f>
        <v>1.440168815243601</v>
      </c>
      <c r="DN154" s="29">
        <f>F154*DK154</f>
        <v>280.08403118857552</v>
      </c>
      <c r="DO154" s="29">
        <f>H154*DM154</f>
        <v>0</v>
      </c>
      <c r="DP154" s="306">
        <f t="shared" si="169"/>
        <v>280.08403118857552</v>
      </c>
      <c r="DQ154" s="101"/>
      <c r="DR154" s="29">
        <f>VLOOKUP(A154,'ДЗ нас '!$A$1:$C$359,2)</f>
        <v>280.08999999999997</v>
      </c>
      <c r="DS154" s="733"/>
      <c r="DT154" s="29">
        <f t="shared" si="170"/>
        <v>280.08999999999997</v>
      </c>
      <c r="DU154" s="247">
        <f>VLOOKUP(A154,'новий кошторис с 01.06'!$A$4:$AI$399,35)*1.2</f>
        <v>262.24220331558581</v>
      </c>
      <c r="DV154" s="29">
        <f t="shared" si="171"/>
        <v>17.847796684414163</v>
      </c>
      <c r="DW154" s="1016">
        <f>'[2]побудинковий звіт'!$DW$9+'[1]побудинковий звіт'!DW154</f>
        <v>0</v>
      </c>
      <c r="DX154" s="101">
        <f>'[1]побудинковий звіт'!DX154</f>
        <v>0</v>
      </c>
      <c r="DY154" s="5">
        <f t="shared" si="172"/>
        <v>2983.0367768638393</v>
      </c>
      <c r="DZ154" s="5">
        <f t="shared" si="173"/>
        <v>0</v>
      </c>
      <c r="EA154" s="737">
        <f t="shared" si="174"/>
        <v>-171.75</v>
      </c>
      <c r="EC154" s="577">
        <f t="shared" si="175"/>
        <v>28729.007608271972</v>
      </c>
      <c r="EE154" s="743">
        <v>-397</v>
      </c>
      <c r="EF154" s="723">
        <f t="shared" si="176"/>
        <v>-2024.1660367646882</v>
      </c>
      <c r="EH154" s="798">
        <v>-2806.1874389628451</v>
      </c>
      <c r="EI154" s="101">
        <f>VLOOKUP(A154,'кошти 01.01.24'!$A$9:$D$352,4,FALSE)</f>
        <v>12208.548887130748</v>
      </c>
    </row>
    <row r="155" spans="1:139" hidden="1" x14ac:dyDescent="0.3">
      <c r="A155" s="318">
        <v>150001008</v>
      </c>
      <c r="B155" s="43" t="s">
        <v>586</v>
      </c>
      <c r="C155" s="44" t="s">
        <v>211</v>
      </c>
      <c r="D155" s="44" t="s">
        <v>211</v>
      </c>
      <c r="E155" s="39">
        <f t="shared" si="125"/>
        <v>1487.5</v>
      </c>
      <c r="F155" s="205">
        <f>'[1]побудинковий звіт'!F155</f>
        <v>1442.5</v>
      </c>
      <c r="G155" s="29">
        <f>'[1]побудинковий звіт'!G155</f>
        <v>0</v>
      </c>
      <c r="H155" s="148">
        <f>'[1]побудинковий звіт'!H155</f>
        <v>45</v>
      </c>
      <c r="I155" s="41">
        <f>'[2]побудинковий звіт'!I155+'[1]побудинковий звіт'!I155</f>
        <v>5330.9452652078944</v>
      </c>
      <c r="J155" s="41">
        <f>'[2]побудинковий звіт'!J155+'[1]побудинковий звіт'!J155</f>
        <v>5477.3141504489213</v>
      </c>
      <c r="K155" s="55">
        <f t="shared" si="126"/>
        <v>146.36888524102687</v>
      </c>
      <c r="L155" s="41">
        <f>'[2]побудинковий звіт'!L155+'[1]побудинковий звіт'!L155</f>
        <v>952.33458214826851</v>
      </c>
      <c r="M155" s="41">
        <f>'[2]побудинковий звіт'!M155+'[1]побудинковий звіт'!M155</f>
        <v>998.97125270860977</v>
      </c>
      <c r="N155" s="55">
        <f t="shared" si="127"/>
        <v>46.636670560341258</v>
      </c>
      <c r="O155" s="41">
        <f>'[2]побудинковий звіт'!O155+'[1]побудинковий звіт'!O155</f>
        <v>2259.236334441694</v>
      </c>
      <c r="P155" s="41">
        <f>'[2]побудинковий звіт'!P155+'[1]побудинковий звіт'!P155</f>
        <v>2265.8545625702041</v>
      </c>
      <c r="Q155" s="55">
        <f t="shared" si="128"/>
        <v>6.6182281285100544</v>
      </c>
      <c r="R155" s="41">
        <f>'[2]побудинковий звіт'!R155+'[1]побудинковий звіт'!R155</f>
        <v>0</v>
      </c>
      <c r="S155" s="41">
        <f>'[2]побудинковий звіт'!S155+'[1]побудинковий звіт'!S155</f>
        <v>0</v>
      </c>
      <c r="T155" s="55">
        <f t="shared" si="129"/>
        <v>0</v>
      </c>
      <c r="U155" s="41">
        <f>'[2]побудинковий звіт'!U155+'[1]побудинковий звіт'!U155</f>
        <v>112.26117935125026</v>
      </c>
      <c r="V155" s="41">
        <f>'[2]побудинковий звіт'!V155+'[1]побудинковий звіт'!V155</f>
        <v>64.766754518396098</v>
      </c>
      <c r="W155" s="55">
        <f t="shared" si="130"/>
        <v>-47.494424832854165</v>
      </c>
      <c r="X155" s="41">
        <f>'[2]побудинковий звіт'!X155+'[1]побудинковий звіт'!X155</f>
        <v>3045.4558659882132</v>
      </c>
      <c r="Y155" s="41">
        <f>'[2]побудинковий звіт'!Y155+'[1]побудинковий звіт'!Y155</f>
        <v>2725.4689352315636</v>
      </c>
      <c r="Z155" s="55">
        <f t="shared" si="131"/>
        <v>-319.9869307566496</v>
      </c>
      <c r="AA155" s="41">
        <f>'[2]побудинковий звіт'!AA155+'[1]побудинковий звіт'!AA155</f>
        <v>0</v>
      </c>
      <c r="AB155" s="41">
        <f>'[2]побудинковий звіт'!AB155+'[1]побудинковий звіт'!AB155</f>
        <v>0</v>
      </c>
      <c r="AC155" s="55">
        <f t="shared" si="132"/>
        <v>0</v>
      </c>
      <c r="AD155" s="41">
        <f>'[2]побудинковий звіт'!AD155+'[1]побудинковий звіт'!AD155</f>
        <v>6444.9140766876826</v>
      </c>
      <c r="AE155" s="41">
        <f>'[2]побудинковий звіт'!AE155+'[1]побудинковий звіт'!AE155</f>
        <v>6418.3836341582264</v>
      </c>
      <c r="AF155" s="36">
        <f t="shared" si="133"/>
        <v>-26.530442529456195</v>
      </c>
      <c r="AG155" s="84">
        <f t="shared" si="134"/>
        <v>18145.147303825004</v>
      </c>
      <c r="AH155" s="56">
        <f t="shared" si="135"/>
        <v>17950.75928963592</v>
      </c>
      <c r="AI155" s="55">
        <f t="shared" si="136"/>
        <v>-194.38801418908406</v>
      </c>
      <c r="AJ155" s="41">
        <f>'[2]побудинковий звіт'!AJ155+'[1]побудинковий звіт'!AJ155</f>
        <v>0</v>
      </c>
      <c r="AK155" s="41">
        <f>'[2]побудинковий звіт'!AK155+'[1]побудинковий звіт'!AK155</f>
        <v>0</v>
      </c>
      <c r="AL155" s="55">
        <f t="shared" si="137"/>
        <v>0</v>
      </c>
      <c r="AM155" s="41">
        <f>'[2]побудинковий звіт'!AM155+'[1]побудинковий звіт'!AM155</f>
        <v>0</v>
      </c>
      <c r="AN155" s="41">
        <f>'[2]побудинковий звіт'!AN155+'[1]побудинковий звіт'!AN155</f>
        <v>0</v>
      </c>
      <c r="AO155" s="55">
        <f t="shared" si="138"/>
        <v>0</v>
      </c>
      <c r="AP155" s="41">
        <f>'[2]побудинковий звіт'!AP155+'[1]побудинковий звіт'!AP155</f>
        <v>4606.2804345091981</v>
      </c>
      <c r="AQ155" s="41">
        <f>'[2]побудинковий звіт'!AQ155+'[1]побудинковий звіт'!AQ155</f>
        <v>4302.0202140689689</v>
      </c>
      <c r="AR155" s="55">
        <f t="shared" si="139"/>
        <v>-304.2602204402292</v>
      </c>
      <c r="AS155" s="41">
        <f>'[2]побудинковий звіт'!AS155+'[1]побудинковий звіт'!AS155</f>
        <v>15268.078585636178</v>
      </c>
      <c r="AT155" s="41">
        <f>'[2]побудинковий звіт'!AT155+'[1]побудинковий звіт'!AT155</f>
        <v>6602.1892613360724</v>
      </c>
      <c r="AU155" s="57">
        <f t="shared" si="140"/>
        <v>-8665.8893243001057</v>
      </c>
      <c r="AV155" s="41">
        <f>'[2]побудинковий звіт'!AV155+'[1]побудинковий звіт'!AV155</f>
        <v>890.88829476481055</v>
      </c>
      <c r="AW155" s="41">
        <f>'[2]побудинковий звіт'!AW155+'[1]побудинковий звіт'!AW155</f>
        <v>0</v>
      </c>
      <c r="AX155" s="58">
        <f t="shared" si="141"/>
        <v>-890.88829476481055</v>
      </c>
      <c r="AY155" s="41">
        <f>'[2]побудинковий звіт'!AY155+'[1]побудинковий звіт'!AY155</f>
        <v>1141.2604514294317</v>
      </c>
      <c r="AZ155" s="41">
        <f>'[2]побудинковий звіт'!AZ155+'[1]побудинковий звіт'!AZ155</f>
        <v>0</v>
      </c>
      <c r="BA155" s="36">
        <f t="shared" si="142"/>
        <v>-1141.2604514294317</v>
      </c>
      <c r="BB155" s="41">
        <f>'[2]побудинковий звіт'!BB155+'[1]побудинковий звіт'!BB155</f>
        <v>1129.9862821108541</v>
      </c>
      <c r="BC155" s="41">
        <f>'[2]побудинковий звіт'!BC155+'[1]побудинковий звіт'!BC155</f>
        <v>0</v>
      </c>
      <c r="BD155" s="58">
        <f t="shared" si="143"/>
        <v>-1129.9862821108541</v>
      </c>
      <c r="BE155" s="41">
        <f>'[2]побудинковий звіт'!BE155+'[1]побудинковий звіт'!BE155</f>
        <v>0</v>
      </c>
      <c r="BF155" s="41">
        <f>'[2]побудинковий звіт'!BF155+'[1]побудинковий звіт'!BF155</f>
        <v>0</v>
      </c>
      <c r="BG155" s="38">
        <f t="shared" si="144"/>
        <v>0</v>
      </c>
      <c r="BH155" s="41">
        <f>'[2]побудинковий звіт'!BH155+'[1]побудинковий звіт'!BH155</f>
        <v>66.163852782859806</v>
      </c>
      <c r="BI155" s="41">
        <f>'[2]побудинковий звіт'!BI155+'[1]побудинковий звіт'!BI155</f>
        <v>0</v>
      </c>
      <c r="BJ155" s="58">
        <f t="shared" si="145"/>
        <v>-66.163852782859806</v>
      </c>
      <c r="BK155" s="41">
        <f>'[2]побудинковий звіт'!BK155+'[1]побудинковий звіт'!BK155</f>
        <v>379.57565502973534</v>
      </c>
      <c r="BL155" s="41">
        <f>'[2]побудинковий звіт'!BL155+'[1]побудинковий звіт'!BL155</f>
        <v>0</v>
      </c>
      <c r="BM155" s="38">
        <f t="shared" si="146"/>
        <v>-379.57565502973534</v>
      </c>
      <c r="BN155" s="41">
        <f>'[2]побудинковий звіт'!BN155+'[1]побудинковий звіт'!BN155</f>
        <v>77.611529014578963</v>
      </c>
      <c r="BO155" s="41">
        <f>'[2]побудинковий звіт'!BO155+'[1]побудинковий звіт'!BO155</f>
        <v>0</v>
      </c>
      <c r="BP155" s="58">
        <f t="shared" si="147"/>
        <v>-77.611529014578963</v>
      </c>
      <c r="BQ155" s="84">
        <f t="shared" si="148"/>
        <v>3685.4860651322706</v>
      </c>
      <c r="BR155" s="42">
        <f t="shared" si="149"/>
        <v>0</v>
      </c>
      <c r="BS155" s="58">
        <f t="shared" si="150"/>
        <v>-3685.4860651322706</v>
      </c>
      <c r="BT155" s="41">
        <f>'[2]побудинковий звіт'!BT155+'[1]побудинковий звіт'!BT155</f>
        <v>29367.378934623674</v>
      </c>
      <c r="BU155" s="41">
        <f>'[2]побудинковий звіт'!BU155+'[1]побудинковий звіт'!BU155</f>
        <v>49126.6441638377</v>
      </c>
      <c r="BV155" s="55">
        <f t="shared" si="151"/>
        <v>19759.265229214026</v>
      </c>
      <c r="BW155" s="41">
        <f>'[2]побудинковий звіт'!BW155+'[1]побудинковий звіт'!BW155</f>
        <v>9976.823519153053</v>
      </c>
      <c r="BX155" s="41">
        <f>'[2]побудинковий звіт'!BX155+'[1]побудинковий звіт'!BX155</f>
        <v>11817.299659205653</v>
      </c>
      <c r="BY155" s="55">
        <f t="shared" si="152"/>
        <v>1840.4761400526004</v>
      </c>
      <c r="BZ155" s="41">
        <f>'[2]побудинковий звіт'!BZ155+'[1]побудинковий звіт'!BZ155</f>
        <v>7443.9929907422311</v>
      </c>
      <c r="CA155" s="41">
        <f>'[2]побудинковий звіт'!CA155+'[1]побудинковий звіт'!CA155</f>
        <v>3563.1466688329829</v>
      </c>
      <c r="CB155" s="55">
        <f t="shared" si="153"/>
        <v>-3880.8463219092482</v>
      </c>
      <c r="CC155" s="41">
        <f>'[2]побудинковий звіт'!CC155+'[1]побудинковий звіт'!CC155</f>
        <v>613.76611874592231</v>
      </c>
      <c r="CD155" s="41">
        <f>'[2]побудинковий звіт'!CD155+'[1]побудинковий звіт'!CD155</f>
        <v>615.84733119286454</v>
      </c>
      <c r="CE155" s="55">
        <f t="shared" si="154"/>
        <v>2.0812124469422315</v>
      </c>
      <c r="CF155" s="41">
        <f>'[2]побудинковий звіт'!CF155+'[1]побудинковий звіт'!CF155</f>
        <v>76.042359832034975</v>
      </c>
      <c r="CG155" s="41">
        <f>'[2]побудинковий звіт'!CG155+'[1]побудинковий звіт'!CG155</f>
        <v>1129.7586742620404</v>
      </c>
      <c r="CH155" s="55">
        <f t="shared" si="155"/>
        <v>1053.7163144300055</v>
      </c>
      <c r="CI155" s="41">
        <f>'[2]побудинковий звіт'!CI155+'[1]побудинковий звіт'!CI155</f>
        <v>1839.6737834069399</v>
      </c>
      <c r="CJ155" s="41">
        <f>'[2]побудинковий звіт'!CJ155+'[1]побудинковий звіт'!CJ155</f>
        <v>1846.8224300245179</v>
      </c>
      <c r="CK155" s="55">
        <f t="shared" si="156"/>
        <v>7.1486466175779242</v>
      </c>
      <c r="CL155" s="41">
        <f>'[2]побудинковий звіт'!CL155+'[1]побудинковий звіт'!CL155</f>
        <v>0</v>
      </c>
      <c r="CM155" s="41">
        <f>'[2]побудинковий звіт'!CM155+'[1]побудинковий звіт'!CM155</f>
        <v>0</v>
      </c>
      <c r="CN155" s="55">
        <f t="shared" si="157"/>
        <v>0</v>
      </c>
      <c r="CO155" s="41">
        <f t="shared" si="158"/>
        <v>1839.6737834069399</v>
      </c>
      <c r="CP155" s="42">
        <f t="shared" si="159"/>
        <v>1846.8224300245179</v>
      </c>
      <c r="CQ155" s="55">
        <f t="shared" si="160"/>
        <v>7.1486466175779242</v>
      </c>
      <c r="CR155" s="76">
        <f t="shared" si="161"/>
        <v>91022.670095606503</v>
      </c>
      <c r="CS155" s="5">
        <f t="shared" si="162"/>
        <v>96954.487692396724</v>
      </c>
      <c r="CT155" s="55">
        <f t="shared" si="163"/>
        <v>5931.8175967902207</v>
      </c>
      <c r="CU155" s="84">
        <f t="shared" si="164"/>
        <v>109227.20411472781</v>
      </c>
      <c r="CV155" s="68">
        <f t="shared" si="165"/>
        <v>116345.38523087607</v>
      </c>
      <c r="CW155" s="36">
        <f t="shared" si="166"/>
        <v>7118.1811161482619</v>
      </c>
      <c r="CX155" s="41">
        <f>'[2]побудинковий звіт'!CX155+'[1]побудинковий звіт'!CX155</f>
        <v>2535.2308217852151</v>
      </c>
      <c r="CY155" s="41">
        <f>'[2]побудинковий звіт'!CY155+'[1]побудинковий звіт'!CY155</f>
        <v>-4582.9502943630478</v>
      </c>
      <c r="CZ155" s="55">
        <f t="shared" si="167"/>
        <v>-7118.1811161482628</v>
      </c>
      <c r="DA155" s="254">
        <f>'[1]побудинковий звіт'!DA155</f>
        <v>86294.103395689657</v>
      </c>
      <c r="DB155" s="2">
        <v>2</v>
      </c>
      <c r="DC155" s="702">
        <f>'[1]побудинковий звіт'!DC155</f>
        <v>34902.29</v>
      </c>
      <c r="DD155" s="702">
        <f>'[1]побудинковий звіт'!DD155</f>
        <v>18719.64</v>
      </c>
      <c r="DE155" s="702">
        <f>'[1]побудинковий звіт'!DE155</f>
        <v>22918.120000000003</v>
      </c>
      <c r="DF155" s="702">
        <f>'[1]побудинковий звіт'!DF155</f>
        <v>18385.989999999998</v>
      </c>
      <c r="DG155" s="772">
        <v>37140.997214403207</v>
      </c>
      <c r="DH155" s="746">
        <f t="shared" si="168"/>
        <v>1341149.2192381562</v>
      </c>
      <c r="DI155" s="769"/>
      <c r="DJ155" s="5"/>
      <c r="DK155" s="307">
        <f>VLOOKUP($A155,ціни!$A$4:$G$401,5)</f>
        <v>5.9016042392444232</v>
      </c>
      <c r="DL155" s="307"/>
      <c r="DM155" s="307">
        <f>VLOOKUP($A155,ціни!$A$4:$G$401,7)</f>
        <v>5.2289228490920916</v>
      </c>
      <c r="DN155" s="29">
        <f>F155*DK155</f>
        <v>8513.0641151100808</v>
      </c>
      <c r="DO155" s="29">
        <f>H155*DM155</f>
        <v>235.30152820914412</v>
      </c>
      <c r="DP155" s="306">
        <f t="shared" si="169"/>
        <v>8748.3656433192245</v>
      </c>
      <c r="DQ155" s="101"/>
      <c r="DR155" s="29">
        <f>VLOOKUP(A155,'ДЗ нас '!$A$1:$C$359,2)</f>
        <v>8513.07</v>
      </c>
      <c r="DS155" s="733">
        <f>VLOOKUP(A155,'ДЗ нежит'!$A$1:$D$153,4,0)</f>
        <v>235.3</v>
      </c>
      <c r="DT155" s="29">
        <f t="shared" si="170"/>
        <v>8748.369999999999</v>
      </c>
      <c r="DU155" s="247">
        <f>VLOOKUP(A155,'новий кошторис с 01.06'!$A$4:$AI$399,35)*1.2</f>
        <v>8762.6393567998366</v>
      </c>
      <c r="DV155" s="29">
        <f t="shared" si="171"/>
        <v>-14.269356799837624</v>
      </c>
      <c r="DW155" s="1016">
        <f>'[2]побудинковий звіт'!$DW$9+'[1]побудинковий звіт'!DW155</f>
        <v>1062</v>
      </c>
      <c r="DX155" s="101">
        <f>'[1]побудинковий звіт'!DX155</f>
        <v>0</v>
      </c>
      <c r="DY155" s="5">
        <f t="shared" si="172"/>
        <v>22744.277580922138</v>
      </c>
      <c r="DZ155" s="5">
        <f t="shared" si="173"/>
        <v>7922.6271136032865</v>
      </c>
      <c r="EA155" s="737">
        <f t="shared" si="174"/>
        <v>41304.11</v>
      </c>
      <c r="EC155" s="577">
        <f t="shared" si="175"/>
        <v>183216.94302763414</v>
      </c>
      <c r="EE155" s="743">
        <v>-6158</v>
      </c>
      <c r="EF155" s="723">
        <f t="shared" si="176"/>
        <v>30982.997214403207</v>
      </c>
      <c r="EH155" s="798">
        <v>51368.673397109975</v>
      </c>
      <c r="EI155" s="101">
        <f>VLOOKUP(A155,'кошти 01.01.24'!$A$9:$D$352,4,FALSE)</f>
        <v>79175.922279541395</v>
      </c>
    </row>
    <row r="156" spans="1:139" ht="14.4" hidden="1" customHeight="1" x14ac:dyDescent="0.3">
      <c r="A156" s="318">
        <v>150001033</v>
      </c>
      <c r="B156" s="43" t="s">
        <v>587</v>
      </c>
      <c r="C156" s="44" t="s">
        <v>362</v>
      </c>
      <c r="D156" s="44" t="s">
        <v>362</v>
      </c>
      <c r="E156" s="39">
        <f t="shared" si="125"/>
        <v>4024.2</v>
      </c>
      <c r="F156" s="205">
        <f>'[1]побудинковий звіт'!F156</f>
        <v>4024.2</v>
      </c>
      <c r="G156" s="29">
        <f>'[1]побудинковий звіт'!G156</f>
        <v>446.8</v>
      </c>
      <c r="H156" s="148">
        <f>'[1]побудинковий звіт'!H156</f>
        <v>0</v>
      </c>
      <c r="I156" s="41">
        <f>'[2]побудинковий звіт'!I156+'[1]побудинковий звіт'!I156</f>
        <v>11746.242897037497</v>
      </c>
      <c r="J156" s="41">
        <f>'[2]побудинковий звіт'!J156+'[1]побудинковий звіт'!J156</f>
        <v>9276.5190935966129</v>
      </c>
      <c r="K156" s="55">
        <f t="shared" si="126"/>
        <v>-2469.7238034408838</v>
      </c>
      <c r="L156" s="41">
        <f>'[2]побудинковий звіт'!L156+'[1]побудинковий звіт'!L156</f>
        <v>2029.320417475531</v>
      </c>
      <c r="M156" s="41">
        <f>'[2]побудинковий звіт'!M156+'[1]побудинковий звіт'!M156</f>
        <v>1833.5784551172392</v>
      </c>
      <c r="N156" s="55">
        <f t="shared" si="127"/>
        <v>-195.74196235829186</v>
      </c>
      <c r="O156" s="41">
        <f>'[2]побудинковий звіт'!O156+'[1]побудинковий звіт'!O156</f>
        <v>6290.461900724883</v>
      </c>
      <c r="P156" s="41">
        <f>'[2]побудинковий звіт'!P156+'[1]побудинковий звіт'!P156</f>
        <v>6308.4853340963673</v>
      </c>
      <c r="Q156" s="55">
        <f t="shared" si="128"/>
        <v>18.023433371484316</v>
      </c>
      <c r="R156" s="41">
        <f>'[2]побудинковий звіт'!R156+'[1]побудинковий звіт'!R156</f>
        <v>1259.3627064232646</v>
      </c>
      <c r="S156" s="41">
        <f>'[2]побудинковий звіт'!S156+'[1]побудинковий звіт'!S156</f>
        <v>1262.7568839543137</v>
      </c>
      <c r="T156" s="55">
        <f t="shared" si="129"/>
        <v>3.3941775310490812</v>
      </c>
      <c r="U156" s="41">
        <f>'[2]побудинковий звіт'!U156+'[1]побудинковий звіт'!U156</f>
        <v>871.7159457377295</v>
      </c>
      <c r="V156" s="41">
        <f>'[2]побудинковий звіт'!V156+'[1]побудинковий звіт'!V156</f>
        <v>456.03014396304934</v>
      </c>
      <c r="W156" s="55">
        <f t="shared" si="130"/>
        <v>-415.68580177468016</v>
      </c>
      <c r="X156" s="41">
        <f>'[2]побудинковий звіт'!X156+'[1]побудинковий звіт'!X156</f>
        <v>8805.3369608627472</v>
      </c>
      <c r="Y156" s="41">
        <f>'[2]побудинковий звіт'!Y156+'[1]побудинковий звіт'!Y156</f>
        <v>6898.7489297727725</v>
      </c>
      <c r="Z156" s="55">
        <f t="shared" si="131"/>
        <v>-1906.5880310899747</v>
      </c>
      <c r="AA156" s="41">
        <f>'[2]побудинковий звіт'!AA156+'[1]побудинковий звіт'!AA156</f>
        <v>0</v>
      </c>
      <c r="AB156" s="41">
        <f>'[2]побудинковий звіт'!AB156+'[1]побудинковий звіт'!AB156</f>
        <v>0</v>
      </c>
      <c r="AC156" s="55">
        <f t="shared" si="132"/>
        <v>0</v>
      </c>
      <c r="AD156" s="41">
        <f>'[2]побудинковий звіт'!AD156+'[1]побудинковий звіт'!AD156</f>
        <v>17454.211610363025</v>
      </c>
      <c r="AE156" s="41">
        <f>'[2]побудинковий звіт'!AE156+'[1]побудинковий звіт'!AE156</f>
        <v>17386.327462691253</v>
      </c>
      <c r="AF156" s="36">
        <f t="shared" si="133"/>
        <v>-67.884147671771643</v>
      </c>
      <c r="AG156" s="84">
        <f t="shared" si="134"/>
        <v>48456.652438624675</v>
      </c>
      <c r="AH156" s="56">
        <f t="shared" si="135"/>
        <v>43422.446303191609</v>
      </c>
      <c r="AI156" s="55">
        <f t="shared" si="136"/>
        <v>-5034.2061354330654</v>
      </c>
      <c r="AJ156" s="41">
        <f>'[2]побудинковий звіт'!AJ156+'[1]побудинковий звіт'!AJ156</f>
        <v>41431.299904415704</v>
      </c>
      <c r="AK156" s="41">
        <f>'[2]побудинковий звіт'!AK156+'[1]побудинковий звіт'!AK156</f>
        <v>39600.222560483082</v>
      </c>
      <c r="AL156" s="55">
        <f t="shared" si="137"/>
        <v>-1831.0773439326222</v>
      </c>
      <c r="AM156" s="41">
        <f>'[2]побудинковий звіт'!AM156+'[1]побудинковий звіт'!AM156</f>
        <v>447.64641349193897</v>
      </c>
      <c r="AN156" s="41">
        <f>'[2]побудинковий звіт'!AN156+'[1]побудинковий звіт'!AN156</f>
        <v>720.81915813943783</v>
      </c>
      <c r="AO156" s="55">
        <f t="shared" si="138"/>
        <v>273.17274464749886</v>
      </c>
      <c r="AP156" s="41">
        <f>'[2]побудинковий звіт'!AP156+'[1]побудинковий звіт'!AP156</f>
        <v>3467.092800168215</v>
      </c>
      <c r="AQ156" s="41">
        <f>'[2]побудинковий звіт'!AQ156+'[1]побудинковий звіт'!AQ156</f>
        <v>3300.1135828439506</v>
      </c>
      <c r="AR156" s="55">
        <f t="shared" si="139"/>
        <v>-166.97921732426448</v>
      </c>
      <c r="AS156" s="41">
        <f>'[2]побудинковий звіт'!AS156+'[1]побудинковий звіт'!AS156</f>
        <v>79079.376933459673</v>
      </c>
      <c r="AT156" s="41">
        <f>'[2]побудинковий звіт'!AT156+'[1]побудинковий звіт'!AT156</f>
        <v>166144.22364315705</v>
      </c>
      <c r="AU156" s="57">
        <f t="shared" si="140"/>
        <v>87064.846709697376</v>
      </c>
      <c r="AV156" s="41">
        <f>'[2]побудинковий звіт'!AV156+'[1]побудинковий звіт'!AV156</f>
        <v>1221.0183647528381</v>
      </c>
      <c r="AW156" s="41">
        <f>'[2]побудинковий звіт'!AW156+'[1]побудинковий звіт'!AW156</f>
        <v>527.72371755561187</v>
      </c>
      <c r="AX156" s="58">
        <f t="shared" si="141"/>
        <v>-693.29464719722625</v>
      </c>
      <c r="AY156" s="41">
        <f>'[2]побудинковий звіт'!AY156+'[1]побудинковий звіт'!AY156</f>
        <v>1377.8926922107009</v>
      </c>
      <c r="AZ156" s="41">
        <f>'[2]побудинковий звіт'!AZ156+'[1]побудинковий звіт'!AZ156</f>
        <v>0</v>
      </c>
      <c r="BA156" s="36">
        <f t="shared" si="142"/>
        <v>-1377.8926922107009</v>
      </c>
      <c r="BB156" s="41">
        <f>'[2]побудинковий звіт'!BB156+'[1]побудинковий звіт'!BB156</f>
        <v>1638.9737565494745</v>
      </c>
      <c r="BC156" s="41">
        <f>'[2]побудинковий звіт'!BC156+'[1]побудинковий звіт'!BC156</f>
        <v>380.93953441624404</v>
      </c>
      <c r="BD156" s="58">
        <f t="shared" si="143"/>
        <v>-1258.0342221332305</v>
      </c>
      <c r="BE156" s="41">
        <f>'[2]побудинковий звіт'!BE156+'[1]побудинковий звіт'!BE156</f>
        <v>555.61324460119158</v>
      </c>
      <c r="BF156" s="41">
        <f>'[2]побудинковий звіт'!BF156+'[1]побудинковий звіт'!BF156</f>
        <v>0</v>
      </c>
      <c r="BG156" s="38">
        <f t="shared" si="144"/>
        <v>-555.61324460119158</v>
      </c>
      <c r="BH156" s="41">
        <f>'[2]побудинковий звіт'!BH156+'[1]побудинковий звіт'!BH156</f>
        <v>459.91828950983103</v>
      </c>
      <c r="BI156" s="41">
        <f>'[2]побудинковий звіт'!BI156+'[1]побудинковий звіт'!BI156</f>
        <v>0</v>
      </c>
      <c r="BJ156" s="58">
        <f t="shared" si="145"/>
        <v>-459.91828950983103</v>
      </c>
      <c r="BK156" s="41">
        <f>'[2]побудинковий звіт'!BK156+'[1]побудинковий звіт'!BK156</f>
        <v>1204.1765611589346</v>
      </c>
      <c r="BL156" s="41">
        <f>'[2]побудинковий звіт'!BL156+'[1]побудинковий звіт'!BL156</f>
        <v>18338.64421050945</v>
      </c>
      <c r="BM156" s="38">
        <f t="shared" si="146"/>
        <v>17134.467649350514</v>
      </c>
      <c r="BN156" s="41">
        <f>'[2]побудинковий звіт'!BN156+'[1]побудинковий звіт'!BN156</f>
        <v>423.78336757597435</v>
      </c>
      <c r="BO156" s="41">
        <f>'[2]побудинковий звіт'!BO156+'[1]побудинковий звіт'!BO156</f>
        <v>0</v>
      </c>
      <c r="BP156" s="58">
        <f t="shared" si="147"/>
        <v>-423.78336757597435</v>
      </c>
      <c r="BQ156" s="84">
        <f t="shared" si="148"/>
        <v>6881.3762763589457</v>
      </c>
      <c r="BR156" s="42">
        <f t="shared" si="149"/>
        <v>19247.307462481305</v>
      </c>
      <c r="BS156" s="58">
        <f t="shared" si="150"/>
        <v>12365.93118612236</v>
      </c>
      <c r="BT156" s="41">
        <f>'[2]побудинковий звіт'!BT156+'[1]побудинковий звіт'!BT156</f>
        <v>52118.885685480127</v>
      </c>
      <c r="BU156" s="41">
        <f>'[2]побудинковий звіт'!BU156+'[1]побудинковий звіт'!BU156</f>
        <v>66116.01975004113</v>
      </c>
      <c r="BV156" s="55">
        <f t="shared" si="151"/>
        <v>13997.134064561003</v>
      </c>
      <c r="BW156" s="41">
        <f>'[2]побудинковий звіт'!BW156+'[1]побудинковий звіт'!BW156</f>
        <v>51210.452910697088</v>
      </c>
      <c r="BX156" s="41">
        <f>'[2]побудинковий звіт'!BX156+'[1]побудинковий звіт'!BX156</f>
        <v>60935.978592141269</v>
      </c>
      <c r="BY156" s="55">
        <f t="shared" si="152"/>
        <v>9725.5256814441818</v>
      </c>
      <c r="BZ156" s="41">
        <f>'[2]побудинковий звіт'!BZ156+'[1]побудинковий звіт'!BZ156</f>
        <v>7461.5254445695837</v>
      </c>
      <c r="CA156" s="41">
        <f>'[2]побудинковий звіт'!CA156+'[1]побудинковий звіт'!CA156</f>
        <v>6211.8031426932857</v>
      </c>
      <c r="CB156" s="55">
        <f t="shared" si="153"/>
        <v>-1249.7223018762979</v>
      </c>
      <c r="CC156" s="41">
        <f>'[2]побудинковий звіт'!CC156+'[1]побудинковий звіт'!CC156</f>
        <v>1170.4306135090153</v>
      </c>
      <c r="CD156" s="41">
        <f>'[2]побудинковий звіт'!CD156+'[1]побудинковий звіт'!CD156</f>
        <v>1174.3994131652985</v>
      </c>
      <c r="CE156" s="55">
        <f t="shared" si="154"/>
        <v>3.9687996562831813</v>
      </c>
      <c r="CF156" s="41">
        <f>'[2]побудинковий звіт'!CF156+'[1]побудинковий звіт'!CF156</f>
        <v>145.0101319583035</v>
      </c>
      <c r="CG156" s="41">
        <f>'[2]побудинковий звіт'!CG156+'[1]побудинковий звіт'!CG156</f>
        <v>0</v>
      </c>
      <c r="CH156" s="55">
        <f t="shared" si="155"/>
        <v>-145.0101319583035</v>
      </c>
      <c r="CI156" s="41">
        <f>'[2]побудинковий звіт'!CI156+'[1]побудинковий звіт'!CI156</f>
        <v>7860.6297521360339</v>
      </c>
      <c r="CJ156" s="41">
        <f>'[2]побудинковий звіт'!CJ156+'[1]побудинковий звіт'!CJ156</f>
        <v>12895.05582436023</v>
      </c>
      <c r="CK156" s="55">
        <f t="shared" si="156"/>
        <v>5034.4260722241961</v>
      </c>
      <c r="CL156" s="41">
        <f>'[2]побудинковий звіт'!CL156+'[1]побудинковий звіт'!CL156</f>
        <v>7288.4196433777943</v>
      </c>
      <c r="CM156" s="41">
        <f>'[2]побудинковий звіт'!CM156+'[1]побудинковий звіт'!CM156</f>
        <v>9527.001862409048</v>
      </c>
      <c r="CN156" s="55">
        <f t="shared" si="157"/>
        <v>2238.5822190312538</v>
      </c>
      <c r="CO156" s="41">
        <f t="shared" si="158"/>
        <v>15149.049395513828</v>
      </c>
      <c r="CP156" s="42">
        <f t="shared" si="159"/>
        <v>22422.05768676928</v>
      </c>
      <c r="CQ156" s="55">
        <f t="shared" si="160"/>
        <v>7273.0082912554517</v>
      </c>
      <c r="CR156" s="76">
        <f t="shared" si="161"/>
        <v>307018.7989482471</v>
      </c>
      <c r="CS156" s="5">
        <f t="shared" si="162"/>
        <v>429295.39129510667</v>
      </c>
      <c r="CT156" s="55">
        <f t="shared" si="163"/>
        <v>122276.59234685957</v>
      </c>
      <c r="CU156" s="84">
        <f t="shared" si="164"/>
        <v>368422.5587378965</v>
      </c>
      <c r="CV156" s="68">
        <f t="shared" si="165"/>
        <v>515154.46955412801</v>
      </c>
      <c r="CW156" s="36">
        <f t="shared" si="166"/>
        <v>146731.91081623151</v>
      </c>
      <c r="CX156" s="41">
        <f>'[2]побудинковий звіт'!CX156+'[1]побудинковий звіт'!CX156</f>
        <v>9017.1119163592066</v>
      </c>
      <c r="CY156" s="41">
        <f>'[2]побудинковий звіт'!CY156+'[1]побудинковий звіт'!CY156</f>
        <v>-137714.79889987234</v>
      </c>
      <c r="CZ156" s="55">
        <f t="shared" si="167"/>
        <v>-146731.91081623154</v>
      </c>
      <c r="DA156" s="254">
        <f>'[1]побудинковий звіт'!DA156</f>
        <v>27278.546802744357</v>
      </c>
      <c r="DB156" s="2">
        <v>1</v>
      </c>
      <c r="DC156" s="702">
        <f>'[1]побудинковий звіт'!DC156</f>
        <v>62972.94</v>
      </c>
      <c r="DD156" s="702">
        <f>'[1]побудинковий звіт'!DD156</f>
        <v>0</v>
      </c>
      <c r="DE156" s="702">
        <f>'[1]побудинковий звіт'!DE156</f>
        <v>22156.46</v>
      </c>
      <c r="DF156" s="702">
        <f>'[1]побудинковий звіт'!DF156</f>
        <v>0</v>
      </c>
      <c r="DG156" s="772">
        <v>-72774.780498107197</v>
      </c>
      <c r="DH156" s="746">
        <f t="shared" si="168"/>
        <v>4529276.0478510689</v>
      </c>
      <c r="DI156" s="769"/>
      <c r="DJ156" s="5"/>
      <c r="DK156" s="307">
        <f>VLOOKUP($A156,ціни!$A$4:$G$401,5)</f>
        <v>6.1951520626011511</v>
      </c>
      <c r="DL156" s="307">
        <f>VLOOKUP($A156,ціни!$A$4:$G$401,6)</f>
        <v>7.5825658751556722</v>
      </c>
      <c r="DM156" s="307">
        <f>VLOOKUP($A156,ціни!$A$4:$G$401,7)</f>
        <v>4.9562478843693736</v>
      </c>
      <c r="DN156" s="29">
        <f>DK156*G156+(F156-G156)*DL156</f>
        <v>29893.865103352095</v>
      </c>
      <c r="DO156" s="29">
        <f>DM156*H156</f>
        <v>0</v>
      </c>
      <c r="DP156" s="306">
        <f t="shared" si="169"/>
        <v>29893.865103352095</v>
      </c>
      <c r="DQ156" s="101"/>
      <c r="DR156" s="29">
        <f>VLOOKUP(A156,'ДЗ нас '!$A$1:$C$359,2)</f>
        <v>29894</v>
      </c>
      <c r="DS156" s="733"/>
      <c r="DT156" s="29">
        <f t="shared" si="170"/>
        <v>29894</v>
      </c>
      <c r="DU156" s="247">
        <f>VLOOKUP(A156,'новий кошторис с 01.06'!$A$4:$AI$399,35)*1.2</f>
        <v>30039.688835563571</v>
      </c>
      <c r="DV156" s="29">
        <f t="shared" si="171"/>
        <v>-145.68883556357105</v>
      </c>
      <c r="DW156" s="1016">
        <f>'[2]побудинковий звіт'!$DW$9+'[1]побудинковий звіт'!DW156</f>
        <v>1062</v>
      </c>
      <c r="DX156" s="101">
        <f>'[1]побудинковий звіт'!DX156</f>
        <v>0</v>
      </c>
      <c r="DY156" s="5">
        <f t="shared" si="172"/>
        <v>103152.90385178234</v>
      </c>
      <c r="DZ156" s="5">
        <f t="shared" si="173"/>
        <v>222469.83732676602</v>
      </c>
      <c r="EA156" s="737">
        <f t="shared" si="174"/>
        <v>22156.46</v>
      </c>
      <c r="EC156" s="577">
        <f t="shared" si="175"/>
        <v>948952.52320151613</v>
      </c>
      <c r="EE156" s="743">
        <v>16420</v>
      </c>
      <c r="EF156" s="723">
        <f t="shared" si="176"/>
        <v>-56354.780498107197</v>
      </c>
      <c r="EH156" s="798">
        <v>-75986.91240194792</v>
      </c>
      <c r="EI156" s="101">
        <f>VLOOKUP(A156,'кошти 01.01.24'!$A$9:$D$352,4,FALSE)</f>
        <v>-119453.36401348715</v>
      </c>
    </row>
    <row r="157" spans="1:139" hidden="1" x14ac:dyDescent="0.3">
      <c r="A157" s="318">
        <v>150001009</v>
      </c>
      <c r="B157" s="43" t="s">
        <v>588</v>
      </c>
      <c r="C157" s="44" t="s">
        <v>212</v>
      </c>
      <c r="D157" s="44" t="s">
        <v>212</v>
      </c>
      <c r="E157" s="39">
        <f t="shared" si="125"/>
        <v>1483.6999999999998</v>
      </c>
      <c r="F157" s="205">
        <f>'[1]побудинковий звіт'!F157</f>
        <v>1398.6</v>
      </c>
      <c r="G157" s="29">
        <f>'[1]побудинковий звіт'!G157</f>
        <v>0</v>
      </c>
      <c r="H157" s="148">
        <f>'[1]побудинковий звіт'!H157</f>
        <v>85.1</v>
      </c>
      <c r="I157" s="41">
        <f>'[2]побудинковий звіт'!I157+'[1]побудинковий звіт'!I157</f>
        <v>5324.3329334628315</v>
      </c>
      <c r="J157" s="41">
        <f>'[2]побудинковий звіт'!J157+'[1]побудинковий звіт'!J157</f>
        <v>5466.8817145046196</v>
      </c>
      <c r="K157" s="55">
        <f t="shared" si="126"/>
        <v>142.54878104178806</v>
      </c>
      <c r="L157" s="41">
        <f>'[2]побудинковий звіт'!L157+'[1]побудинковий звіт'!L157</f>
        <v>952.33458214826851</v>
      </c>
      <c r="M157" s="41">
        <f>'[2]побудинковий звіт'!M157+'[1]побудинковий звіт'!M157</f>
        <v>998.97125270860977</v>
      </c>
      <c r="N157" s="55">
        <f t="shared" si="127"/>
        <v>46.636670560341258</v>
      </c>
      <c r="O157" s="41">
        <f>'[2]побудинковий звіт'!O157+'[1]побудинковий звіт'!O157</f>
        <v>2261.5081496038065</v>
      </c>
      <c r="P157" s="41">
        <f>'[2]побудинковий звіт'!P157+'[1]побудинковий звіт'!P157</f>
        <v>2268.2459469513751</v>
      </c>
      <c r="Q157" s="55">
        <f t="shared" si="128"/>
        <v>6.7377973475686304</v>
      </c>
      <c r="R157" s="41">
        <f>'[2]побудинковий звіт'!R157+'[1]побудинковий звіт'!R157</f>
        <v>0</v>
      </c>
      <c r="S157" s="41">
        <f>'[2]побудинковий звіт'!S157+'[1]побудинковий звіт'!S157</f>
        <v>0</v>
      </c>
      <c r="T157" s="55">
        <f t="shared" si="129"/>
        <v>0</v>
      </c>
      <c r="U157" s="41">
        <f>'[2]побудинковий звіт'!U157+'[1]побудинковий звіт'!U157</f>
        <v>112.26117935125026</v>
      </c>
      <c r="V157" s="41">
        <f>'[2]побудинковий звіт'!V157+'[1]побудинковий звіт'!V157</f>
        <v>64.766754518396098</v>
      </c>
      <c r="W157" s="55">
        <f t="shared" si="130"/>
        <v>-47.494424832854165</v>
      </c>
      <c r="X157" s="41">
        <f>'[2]побудинковий звіт'!X157+'[1]побудинковий звіт'!X157</f>
        <v>3043.6564669893578</v>
      </c>
      <c r="Y157" s="41">
        <f>'[2]побудинковий звіт'!Y157+'[1]побудинковий звіт'!Y157</f>
        <v>2713.0550027837385</v>
      </c>
      <c r="Z157" s="55">
        <f t="shared" si="131"/>
        <v>-330.60146420561932</v>
      </c>
      <c r="AA157" s="41">
        <f>'[2]побудинковий звіт'!AA157+'[1]побудинковий звіт'!AA157</f>
        <v>0</v>
      </c>
      <c r="AB157" s="41">
        <f>'[2]побудинковий звіт'!AB157+'[1]побудинковий звіт'!AB157</f>
        <v>0</v>
      </c>
      <c r="AC157" s="55">
        <f t="shared" si="132"/>
        <v>0</v>
      </c>
      <c r="AD157" s="41">
        <f>'[2]побудинковий звіт'!AD157+'[1]побудинковий звіт'!AD157</f>
        <v>6439.9485300605847</v>
      </c>
      <c r="AE157" s="41">
        <f>'[2]побудинковий звіт'!AE157+'[1]побудинковий звіт'!AE157</f>
        <v>6414.724170805569</v>
      </c>
      <c r="AF157" s="36">
        <f t="shared" si="133"/>
        <v>-25.22435925501577</v>
      </c>
      <c r="AG157" s="84">
        <f t="shared" si="134"/>
        <v>18134.041841616097</v>
      </c>
      <c r="AH157" s="56">
        <f t="shared" si="135"/>
        <v>17926.644842272308</v>
      </c>
      <c r="AI157" s="55">
        <f t="shared" si="136"/>
        <v>-207.3969993437895</v>
      </c>
      <c r="AJ157" s="41">
        <f>'[2]побудинковий звіт'!AJ157+'[1]побудинковий звіт'!AJ157</f>
        <v>0</v>
      </c>
      <c r="AK157" s="41">
        <f>'[2]побудинковий звіт'!AK157+'[1]побудинковий звіт'!AK157</f>
        <v>0</v>
      </c>
      <c r="AL157" s="55">
        <f t="shared" si="137"/>
        <v>0</v>
      </c>
      <c r="AM157" s="41">
        <f>'[2]побудинковий звіт'!AM157+'[1]побудинковий звіт'!AM157</f>
        <v>0</v>
      </c>
      <c r="AN157" s="41">
        <f>'[2]побудинковий звіт'!AN157+'[1]побудинковий звіт'!AN157</f>
        <v>0</v>
      </c>
      <c r="AO157" s="55">
        <f t="shared" si="138"/>
        <v>0</v>
      </c>
      <c r="AP157" s="41">
        <f>'[2]побудинковий звіт'!AP157+'[1]побудинковий звіт'!AP157</f>
        <v>4457.6907430734182</v>
      </c>
      <c r="AQ157" s="41">
        <f>'[2]побудинковий звіт'!AQ157+'[1]побудинковий звіт'!AQ157</f>
        <v>3738.5131084469845</v>
      </c>
      <c r="AR157" s="55">
        <f t="shared" si="139"/>
        <v>-719.1776346264337</v>
      </c>
      <c r="AS157" s="41">
        <f>'[2]побудинковий звіт'!AS157+'[1]побудинковий звіт'!AS157</f>
        <v>20412.515123283898</v>
      </c>
      <c r="AT157" s="41">
        <f>'[2]побудинковий звіт'!AT157+'[1]побудинковий звіт'!AT157</f>
        <v>101165.30043347427</v>
      </c>
      <c r="AU157" s="57">
        <f t="shared" si="140"/>
        <v>80752.785310190375</v>
      </c>
      <c r="AV157" s="41">
        <f>'[2]побудинковий звіт'!AV157+'[1]побудинковий звіт'!AV157</f>
        <v>889.58170013839435</v>
      </c>
      <c r="AW157" s="41">
        <f>'[2]побудинковий звіт'!AW157+'[1]побудинковий звіт'!AW157</f>
        <v>825.81534884054884</v>
      </c>
      <c r="AX157" s="58">
        <f t="shared" si="141"/>
        <v>-63.766351297845517</v>
      </c>
      <c r="AY157" s="41">
        <f>'[2]побудинковий звіт'!AY157+'[1]побудинковий звіт'!AY157</f>
        <v>1141.2604514294317</v>
      </c>
      <c r="AZ157" s="41">
        <f>'[2]побудинковий звіт'!AZ157+'[1]побудинковий звіт'!AZ157</f>
        <v>0</v>
      </c>
      <c r="BA157" s="36">
        <f t="shared" si="142"/>
        <v>-1141.2604514294317</v>
      </c>
      <c r="BB157" s="41">
        <f>'[2]побудинковий звіт'!BB157+'[1]побудинковий звіт'!BB157</f>
        <v>1093.6145863780594</v>
      </c>
      <c r="BC157" s="41">
        <f>'[2]побудинковий звіт'!BC157+'[1]побудинковий звіт'!BC157</f>
        <v>0</v>
      </c>
      <c r="BD157" s="58">
        <f t="shared" si="143"/>
        <v>-1093.6145863780594</v>
      </c>
      <c r="BE157" s="41">
        <f>'[2]побудинковий звіт'!BE157+'[1]побудинковий звіт'!BE157</f>
        <v>0</v>
      </c>
      <c r="BF157" s="41">
        <f>'[2]побудинковий звіт'!BF157+'[1]побудинковий звіт'!BF157</f>
        <v>0</v>
      </c>
      <c r="BG157" s="38">
        <f t="shared" si="144"/>
        <v>0</v>
      </c>
      <c r="BH157" s="41">
        <f>'[2]побудинковий звіт'!BH157+'[1]побудинковий звіт'!BH157</f>
        <v>66.163852782859806</v>
      </c>
      <c r="BI157" s="41">
        <f>'[2]побудинковий звіт'!BI157+'[1]побудинковий звіт'!BI157</f>
        <v>0</v>
      </c>
      <c r="BJ157" s="58">
        <f t="shared" si="145"/>
        <v>-66.163852782859806</v>
      </c>
      <c r="BK157" s="41">
        <f>'[2]побудинковий звіт'!BK157+'[1]побудинковий звіт'!BK157</f>
        <v>462.79190853431851</v>
      </c>
      <c r="BL157" s="41">
        <f>'[2]побудинковий звіт'!BL157+'[1]побудинковий звіт'!BL157</f>
        <v>0</v>
      </c>
      <c r="BM157" s="38">
        <f t="shared" si="146"/>
        <v>-462.79190853431851</v>
      </c>
      <c r="BN157" s="41">
        <f>'[2]побудинковий звіт'!BN157+'[1]побудинковий звіт'!BN157</f>
        <v>77.611529014578963</v>
      </c>
      <c r="BO157" s="41">
        <f>'[2]побудинковий звіт'!BO157+'[1]побудинковий звіт'!BO157</f>
        <v>0</v>
      </c>
      <c r="BP157" s="58">
        <f t="shared" si="147"/>
        <v>-77.611529014578963</v>
      </c>
      <c r="BQ157" s="84">
        <f t="shared" si="148"/>
        <v>3731.0240282776431</v>
      </c>
      <c r="BR157" s="42">
        <f t="shared" si="149"/>
        <v>825.81534884054884</v>
      </c>
      <c r="BS157" s="58">
        <f t="shared" si="150"/>
        <v>-2905.2086794370944</v>
      </c>
      <c r="BT157" s="41">
        <f>'[2]побудинковий звіт'!BT157+'[1]побудинковий звіт'!BT157</f>
        <v>10914.872945576033</v>
      </c>
      <c r="BU157" s="41">
        <f>'[2]побудинковий звіт'!BU157+'[1]побудинковий звіт'!BU157</f>
        <v>21393.330946687012</v>
      </c>
      <c r="BV157" s="55">
        <f t="shared" si="151"/>
        <v>10478.458001110979</v>
      </c>
      <c r="BW157" s="41">
        <f>'[2]побудинковий звіт'!BW157+'[1]побудинковий звіт'!BW157</f>
        <v>8464.1363594083632</v>
      </c>
      <c r="BX157" s="41">
        <f>'[2]побудинковий звіт'!BX157+'[1]побудинковий звіт'!BX157</f>
        <v>10302.32718841568</v>
      </c>
      <c r="BY157" s="55">
        <f t="shared" si="152"/>
        <v>1838.190829007317</v>
      </c>
      <c r="BZ157" s="41">
        <f>'[2]побудинковий звіт'!BZ157+'[1]побудинковий звіт'!BZ157</f>
        <v>6690.3031251931498</v>
      </c>
      <c r="CA157" s="41">
        <f>'[2]побудинковий звіт'!CA157+'[1]побудинковий звіт'!CA157</f>
        <v>1866.3518965814997</v>
      </c>
      <c r="CB157" s="55">
        <f t="shared" si="153"/>
        <v>-4823.9512286116496</v>
      </c>
      <c r="CC157" s="41">
        <f>'[2]побудинковий звіт'!CC157+'[1]побудинковий звіт'!CC157</f>
        <v>641.24818376439657</v>
      </c>
      <c r="CD157" s="41">
        <f>'[2]побудинковий звіт'!CD157+'[1]побудинковий звіт'!CD157</f>
        <v>643.42258482836587</v>
      </c>
      <c r="CE157" s="55">
        <f t="shared" si="154"/>
        <v>2.1744010639692988</v>
      </c>
      <c r="CF157" s="41">
        <f>'[2]побудинковий звіт'!CF157+'[1]побудинковий звіт'!CF157</f>
        <v>79.447241615558937</v>
      </c>
      <c r="CG157" s="41">
        <f>'[2]побудинковий звіт'!CG157+'[1]побудинковий звіт'!CG157</f>
        <v>0</v>
      </c>
      <c r="CH157" s="55">
        <f t="shared" si="155"/>
        <v>-79.447241615558937</v>
      </c>
      <c r="CI157" s="41">
        <f>'[2]побудинковий звіт'!CI157+'[1]побудинковий звіт'!CI157</f>
        <v>2647.3796349356267</v>
      </c>
      <c r="CJ157" s="41">
        <f>'[2]побудинковий звіт'!CJ157+'[1]побудинковий звіт'!CJ157</f>
        <v>733.32517540931178</v>
      </c>
      <c r="CK157" s="55">
        <f t="shared" si="156"/>
        <v>-1914.054459526315</v>
      </c>
      <c r="CL157" s="41">
        <f>'[2]побудинковий звіт'!CL157+'[1]побудинковий звіт'!CL157</f>
        <v>0</v>
      </c>
      <c r="CM157" s="41">
        <f>'[2]побудинковий звіт'!CM157+'[1]побудинковий звіт'!CM157</f>
        <v>0</v>
      </c>
      <c r="CN157" s="55">
        <f t="shared" si="157"/>
        <v>0</v>
      </c>
      <c r="CO157" s="41">
        <f t="shared" si="158"/>
        <v>2647.3796349356267</v>
      </c>
      <c r="CP157" s="42">
        <f t="shared" si="159"/>
        <v>733.32517540931178</v>
      </c>
      <c r="CQ157" s="55">
        <f t="shared" si="160"/>
        <v>-1914.054459526315</v>
      </c>
      <c r="CR157" s="76">
        <f t="shared" si="161"/>
        <v>76172.659226744188</v>
      </c>
      <c r="CS157" s="5">
        <f t="shared" si="162"/>
        <v>158595.03152495599</v>
      </c>
      <c r="CT157" s="55">
        <f t="shared" si="163"/>
        <v>82422.372298211805</v>
      </c>
      <c r="CU157" s="84">
        <f t="shared" si="164"/>
        <v>91407.191072093017</v>
      </c>
      <c r="CV157" s="68">
        <f t="shared" si="165"/>
        <v>190314.03782994719</v>
      </c>
      <c r="CW157" s="36">
        <f t="shared" si="166"/>
        <v>98906.846757854175</v>
      </c>
      <c r="CX157" s="41">
        <f>'[2]побудинковий звіт'!CX157+'[1]побудинковий звіт'!CX157</f>
        <v>2678.1512312429472</v>
      </c>
      <c r="CY157" s="41">
        <f>'[2]побудинковий звіт'!CY157+'[1]побудинковий звіт'!CY157</f>
        <v>-96228.695526611205</v>
      </c>
      <c r="CZ157" s="55">
        <f t="shared" si="167"/>
        <v>-98906.846757854146</v>
      </c>
      <c r="DA157" s="254">
        <f>'[1]побудинковий звіт'!DA157</f>
        <v>34592.433790498559</v>
      </c>
      <c r="DB157" s="2">
        <v>2</v>
      </c>
      <c r="DC157" s="702">
        <f>'[1]побудинковий звіт'!DC157</f>
        <v>9996.16</v>
      </c>
      <c r="DD157" s="702">
        <f>'[1]побудинковий звіт'!DD157</f>
        <v>0</v>
      </c>
      <c r="DE157" s="702">
        <f>'[1]побудинковий звіт'!DE157</f>
        <v>183.47999999999956</v>
      </c>
      <c r="DF157" s="702">
        <f>'[1]побудинковий звіт'!DF157</f>
        <v>-530.14</v>
      </c>
      <c r="DG157" s="772">
        <v>-36887.382338355383</v>
      </c>
      <c r="DH157" s="746">
        <f t="shared" si="168"/>
        <v>1129024.1076400315</v>
      </c>
      <c r="DI157" s="769"/>
      <c r="DJ157" s="5"/>
      <c r="DK157" s="307">
        <f>VLOOKUP($A157,ціни!$A$4:$G$401,5)</f>
        <v>5.0007609672117503</v>
      </c>
      <c r="DL157" s="307"/>
      <c r="DM157" s="307">
        <f>VLOOKUP($A157,ціни!$A$4:$G$401,7)</f>
        <v>4.4096566451578711</v>
      </c>
      <c r="DN157" s="29">
        <f t="shared" ref="DN157:DN165" si="179">F157*DK157</f>
        <v>6994.0642887423537</v>
      </c>
      <c r="DO157" s="29">
        <f t="shared" ref="DO157:DO165" si="180">H157*DM157</f>
        <v>375.26178050293481</v>
      </c>
      <c r="DP157" s="306">
        <f t="shared" si="169"/>
        <v>7369.3260692452886</v>
      </c>
      <c r="DQ157" s="101"/>
      <c r="DR157" s="29">
        <f>VLOOKUP(A157,'ДЗ нас '!$A$1:$C$359,2)</f>
        <v>6994.11</v>
      </c>
      <c r="DS157" s="733">
        <f>VLOOKUP(A157,'ДЗ нежит'!$A$1:$D$153,4,0)</f>
        <v>375.26</v>
      </c>
      <c r="DT157" s="29">
        <f t="shared" si="170"/>
        <v>7369.37</v>
      </c>
      <c r="DU157" s="247">
        <f>VLOOKUP(A157,'новий кошторис с 01.06'!$A$4:$AI$399,35)*1.2</f>
        <v>7411.8067026904819</v>
      </c>
      <c r="DV157" s="29">
        <f t="shared" si="171"/>
        <v>-42.43670269048198</v>
      </c>
      <c r="DW157" s="1016">
        <f>'[2]побудинковий звіт'!$DW$9+'[1]побудинковий звіт'!DW157</f>
        <v>1138.5</v>
      </c>
      <c r="DX157" s="101">
        <f>'[1]побудинковий звіт'!DX157</f>
        <v>0</v>
      </c>
      <c r="DY157" s="5">
        <f t="shared" si="172"/>
        <v>28972.24698187385</v>
      </c>
      <c r="DZ157" s="5">
        <f t="shared" si="173"/>
        <v>122389.33893877779</v>
      </c>
      <c r="EA157" s="737">
        <f t="shared" si="174"/>
        <v>-346.66000000000042</v>
      </c>
      <c r="EC157" s="577">
        <f t="shared" si="175"/>
        <v>244950.18147940678</v>
      </c>
      <c r="EE157" s="743">
        <v>29583</v>
      </c>
      <c r="EF157" s="723">
        <f t="shared" si="176"/>
        <v>-7304.3823383553827</v>
      </c>
      <c r="EH157" s="798">
        <v>-47078.283169387214</v>
      </c>
      <c r="EI157" s="101">
        <f>VLOOKUP(A157,'кошти 01.01.24'!$A$9:$D$352,4,FALSE)</f>
        <v>-64314.412967355645</v>
      </c>
    </row>
    <row r="158" spans="1:139" hidden="1" x14ac:dyDescent="0.3">
      <c r="A158" s="318">
        <v>150001010</v>
      </c>
      <c r="B158" s="43" t="s">
        <v>589</v>
      </c>
      <c r="C158" s="44" t="s">
        <v>164</v>
      </c>
      <c r="D158" s="44" t="s">
        <v>164</v>
      </c>
      <c r="E158" s="39">
        <f t="shared" si="125"/>
        <v>744.59999999999991</v>
      </c>
      <c r="F158" s="205">
        <f>'[1]побудинковий звіт'!F158</f>
        <v>539.29999999999995</v>
      </c>
      <c r="G158" s="29">
        <f>'[1]побудинковий звіт'!G158</f>
        <v>0</v>
      </c>
      <c r="H158" s="148">
        <f>'[1]побудинковий звіт'!H158</f>
        <v>205.3</v>
      </c>
      <c r="I158" s="41">
        <f>'[2]побудинковий звіт'!I158+'[1]побудинковий звіт'!I158</f>
        <v>3366.2563838299011</v>
      </c>
      <c r="J158" s="41">
        <f>'[2]побудинковий звіт'!J158+'[1]побудинковий звіт'!J158</f>
        <v>3429.3932437390481</v>
      </c>
      <c r="K158" s="55">
        <f t="shared" si="126"/>
        <v>63.136859909147006</v>
      </c>
      <c r="L158" s="41">
        <f>'[2]побудинковий звіт'!L158+'[1]побудинковий звіт'!L158</f>
        <v>724.05843623330145</v>
      </c>
      <c r="M158" s="41">
        <f>'[2]побудинковий звіт'!M158+'[1]побудинковий звіт'!M158</f>
        <v>759.19267214530214</v>
      </c>
      <c r="N158" s="55">
        <f t="shared" si="127"/>
        <v>35.13423591200069</v>
      </c>
      <c r="O158" s="41">
        <f>'[2]побудинковий звіт'!O158+'[1]побудинковий звіт'!O158</f>
        <v>1076.8488102774868</v>
      </c>
      <c r="P158" s="41">
        <f>'[2]побудинковий звіт'!P158+'[1]побудинковий звіт'!P158</f>
        <v>1080.1394494148985</v>
      </c>
      <c r="Q158" s="55">
        <f t="shared" si="128"/>
        <v>3.2906391374117447</v>
      </c>
      <c r="R158" s="41">
        <f>'[2]побудинковий звіт'!R158+'[1]побудинковий звіт'!R158</f>
        <v>0</v>
      </c>
      <c r="S158" s="41">
        <f>'[2]побудинковий звіт'!S158+'[1]побудинковий звіт'!S158</f>
        <v>0</v>
      </c>
      <c r="T158" s="55">
        <f t="shared" si="129"/>
        <v>0</v>
      </c>
      <c r="U158" s="41">
        <f>'[2]побудинковий звіт'!U158+'[1]побудинковий звіт'!U158</f>
        <v>0</v>
      </c>
      <c r="V158" s="41">
        <f>'[2]побудинковий звіт'!V158+'[1]побудинковий звіт'!V158</f>
        <v>0</v>
      </c>
      <c r="W158" s="55">
        <f t="shared" si="130"/>
        <v>0</v>
      </c>
      <c r="X158" s="41">
        <f>'[2]побудинковий звіт'!X158+'[1]побудинковий звіт'!X158</f>
        <v>2055.2718915736605</v>
      </c>
      <c r="Y158" s="41">
        <f>'[2]побудинковий звіт'!Y158+'[1]побудинковий звіт'!Y158</f>
        <v>2048.2176663100586</v>
      </c>
      <c r="Z158" s="55">
        <f t="shared" si="131"/>
        <v>-7.0542252636018929</v>
      </c>
      <c r="AA158" s="41">
        <f>'[2]побудинковий звіт'!AA158+'[1]побудинковий звіт'!AA158</f>
        <v>0</v>
      </c>
      <c r="AB158" s="41">
        <f>'[2]побудинковий звіт'!AB158+'[1]побудинковий звіт'!AB158</f>
        <v>0</v>
      </c>
      <c r="AC158" s="55">
        <f t="shared" si="132"/>
        <v>0</v>
      </c>
      <c r="AD158" s="41">
        <f>'[2]побудинковий звіт'!AD158+'[1]побудинковий звіт'!AD158</f>
        <v>3229.5626373133309</v>
      </c>
      <c r="AE158" s="41">
        <f>'[2]побудинковий звіт'!AE158+'[1]побудинковий звіт'!AE158</f>
        <v>3217.0019951095642</v>
      </c>
      <c r="AF158" s="36">
        <f t="shared" si="133"/>
        <v>-12.560642203766747</v>
      </c>
      <c r="AG158" s="84">
        <f t="shared" si="134"/>
        <v>10451.998159227682</v>
      </c>
      <c r="AH158" s="56">
        <f t="shared" si="135"/>
        <v>10533.945026718871</v>
      </c>
      <c r="AI158" s="55">
        <f t="shared" si="136"/>
        <v>81.94686749118955</v>
      </c>
      <c r="AJ158" s="41">
        <f>'[2]побудинковий звіт'!AJ158+'[1]побудинковий звіт'!AJ158</f>
        <v>0</v>
      </c>
      <c r="AK158" s="41">
        <f>'[2]побудинковий звіт'!AK158+'[1]побудинковий звіт'!AK158</f>
        <v>0</v>
      </c>
      <c r="AL158" s="55">
        <f t="shared" si="137"/>
        <v>0</v>
      </c>
      <c r="AM158" s="41">
        <f>'[2]побудинковий звіт'!AM158+'[1]побудинковий звіт'!AM158</f>
        <v>0</v>
      </c>
      <c r="AN158" s="41">
        <f>'[2]побудинковий звіт'!AN158+'[1]побудинковий звіт'!AN158</f>
        <v>0</v>
      </c>
      <c r="AO158" s="55">
        <f t="shared" si="138"/>
        <v>0</v>
      </c>
      <c r="AP158" s="41">
        <f>'[2]побудинковий звіт'!AP158+'[1]побудинковий звіт'!AP158</f>
        <v>1634.4866057935865</v>
      </c>
      <c r="AQ158" s="41">
        <f>'[2]побудинковий звіт'!AQ158+'[1]побудинковий звіт'!AQ158</f>
        <v>1744.4642249348383</v>
      </c>
      <c r="AR158" s="55">
        <f t="shared" si="139"/>
        <v>109.97761914125181</v>
      </c>
      <c r="AS158" s="41">
        <f>'[2]побудинковий звіт'!AS158+'[1]побудинковий звіт'!AS158</f>
        <v>9654.2150239285129</v>
      </c>
      <c r="AT158" s="41">
        <f>'[2]побудинковий звіт'!AT158+'[1]побудинковий звіт'!AT158</f>
        <v>1374.367025578257</v>
      </c>
      <c r="AU158" s="57">
        <f t="shared" si="140"/>
        <v>-8279.8479983502566</v>
      </c>
      <c r="AV158" s="41">
        <f>'[2]побудинковий звіт'!AV158+'[1]побудинковий звіт'!AV158</f>
        <v>577.7670179409979</v>
      </c>
      <c r="AW158" s="41">
        <f>'[2]побудинковий звіт'!AW158+'[1]побудинковий звіт'!AW158</f>
        <v>0</v>
      </c>
      <c r="AX158" s="58">
        <f t="shared" si="141"/>
        <v>-577.7670179409979</v>
      </c>
      <c r="AY158" s="41">
        <f>'[2]побудинковий звіт'!AY158+'[1]побудинковий звіт'!AY158</f>
        <v>896.86874271037129</v>
      </c>
      <c r="AZ158" s="41">
        <f>'[2]побудинковий звіт'!AZ158+'[1]побудинковий звіт'!AZ158</f>
        <v>0</v>
      </c>
      <c r="BA158" s="36">
        <f t="shared" si="142"/>
        <v>-896.86874271037129</v>
      </c>
      <c r="BB158" s="41">
        <f>'[2]побудинковий звіт'!BB158+'[1]побудинковий звіт'!BB158</f>
        <v>484.29573479698519</v>
      </c>
      <c r="BC158" s="41">
        <f>'[2]побудинковий звіт'!BC158+'[1]побудинковий звіт'!BC158</f>
        <v>0</v>
      </c>
      <c r="BD158" s="58">
        <f t="shared" si="143"/>
        <v>-484.29573479698519</v>
      </c>
      <c r="BE158" s="41">
        <f>'[2]побудинковий звіт'!BE158+'[1]побудинковий звіт'!BE158</f>
        <v>0</v>
      </c>
      <c r="BF158" s="41">
        <f>'[2]побудинковий звіт'!BF158+'[1]побудинковий звіт'!BF158</f>
        <v>0</v>
      </c>
      <c r="BG158" s="38">
        <f t="shared" si="144"/>
        <v>0</v>
      </c>
      <c r="BH158" s="41">
        <f>'[2]побудинковий звіт'!BH158+'[1]побудинковий звіт'!BH158</f>
        <v>0</v>
      </c>
      <c r="BI158" s="41">
        <f>'[2]побудинковий звіт'!BI158+'[1]побудинковий звіт'!BI158</f>
        <v>0</v>
      </c>
      <c r="BJ158" s="58">
        <f t="shared" si="145"/>
        <v>0</v>
      </c>
      <c r="BK158" s="41">
        <f>'[2]побудинковий звіт'!BK158+'[1]побудинковий звіт'!BK158</f>
        <v>337.57456276373102</v>
      </c>
      <c r="BL158" s="41">
        <f>'[2]побудинковий звіт'!BL158+'[1]побудинковий звіт'!BL158</f>
        <v>0</v>
      </c>
      <c r="BM158" s="38">
        <f t="shared" si="146"/>
        <v>-337.57456276373102</v>
      </c>
      <c r="BN158" s="41">
        <f>'[2]побудинковий звіт'!BN158+'[1]побудинковий звіт'!BN158</f>
        <v>31.214014296485885</v>
      </c>
      <c r="BO158" s="41">
        <f>'[2]побудинковий звіт'!BO158+'[1]побудинковий звіт'!BO158</f>
        <v>569.49203397799999</v>
      </c>
      <c r="BP158" s="58">
        <f t="shared" si="147"/>
        <v>538.27801968151414</v>
      </c>
      <c r="BQ158" s="84">
        <f t="shared" si="148"/>
        <v>2327.7200725085713</v>
      </c>
      <c r="BR158" s="42">
        <f t="shared" si="149"/>
        <v>569.49203397799999</v>
      </c>
      <c r="BS158" s="58">
        <f t="shared" si="150"/>
        <v>-1758.2280385305712</v>
      </c>
      <c r="BT158" s="41">
        <f>'[2]побудинковий звіт'!BT158+'[1]побудинковий звіт'!BT158</f>
        <v>9440.0896213599062</v>
      </c>
      <c r="BU158" s="41">
        <f>'[2]побудинковий звіт'!BU158+'[1]побудинковий звіт'!BU158</f>
        <v>14340.750116488607</v>
      </c>
      <c r="BV158" s="55">
        <f t="shared" si="151"/>
        <v>4900.6604951287009</v>
      </c>
      <c r="BW158" s="41">
        <f>'[2]побудинковий звіт'!BW158+'[1]побудинковий звіт'!BW158</f>
        <v>5294.6694230934454</v>
      </c>
      <c r="BX158" s="41">
        <f>'[2]побудинковий звіт'!BX158+'[1]побудинковий звіт'!BX158</f>
        <v>5825.3519119840203</v>
      </c>
      <c r="BY158" s="55">
        <f t="shared" si="152"/>
        <v>530.68248889057486</v>
      </c>
      <c r="BZ158" s="41">
        <f>'[2]побудинковий звіт'!BZ158+'[1]побудинковий звіт'!BZ158</f>
        <v>5291.9611870475255</v>
      </c>
      <c r="CA158" s="41">
        <f>'[2]побудинковий звіт'!CA158+'[1]побудинковий звіт'!CA158</f>
        <v>1923.6103544652151</v>
      </c>
      <c r="CB158" s="55">
        <f t="shared" si="153"/>
        <v>-3368.3508325823104</v>
      </c>
      <c r="CC158" s="41">
        <f>'[2]побудинковий звіт'!CC158+'[1]побудинковий звіт'!CC158</f>
        <v>320.62409188219829</v>
      </c>
      <c r="CD158" s="41">
        <f>'[2]побудинковий звіт'!CD158+'[1]побудинковий звіт'!CD158</f>
        <v>321.71129241418294</v>
      </c>
      <c r="CE158" s="55">
        <f t="shared" si="154"/>
        <v>1.0872005319846494</v>
      </c>
      <c r="CF158" s="41">
        <f>'[2]побудинковий звіт'!CF158+'[1]побудинковий звіт'!CF158</f>
        <v>39.723620807779469</v>
      </c>
      <c r="CG158" s="41">
        <f>'[2]побудинковий звіт'!CG158+'[1]побудинковий звіт'!CG158</f>
        <v>0</v>
      </c>
      <c r="CH158" s="55">
        <f t="shared" si="155"/>
        <v>-39.723620807779469</v>
      </c>
      <c r="CI158" s="41">
        <f>'[2]побудинковий звіт'!CI158+'[1]побудинковий звіт'!CI158</f>
        <v>807.28237947311334</v>
      </c>
      <c r="CJ158" s="41">
        <f>'[2]побудинковий звіт'!CJ158+'[1]побудинковий звіт'!CJ158</f>
        <v>404.41181086773014</v>
      </c>
      <c r="CK158" s="55">
        <f t="shared" si="156"/>
        <v>-402.8705686053832</v>
      </c>
      <c r="CL158" s="41">
        <f>'[2]побудинковий звіт'!CL158+'[1]побудинковий звіт'!CL158</f>
        <v>0</v>
      </c>
      <c r="CM158" s="41">
        <f>'[2]побудинковий звіт'!CM158+'[1]побудинковий звіт'!CM158</f>
        <v>0</v>
      </c>
      <c r="CN158" s="55">
        <f t="shared" si="157"/>
        <v>0</v>
      </c>
      <c r="CO158" s="41">
        <f t="shared" si="158"/>
        <v>807.28237947311334</v>
      </c>
      <c r="CP158" s="42">
        <f t="shared" si="159"/>
        <v>404.41181086773014</v>
      </c>
      <c r="CQ158" s="55">
        <f t="shared" si="160"/>
        <v>-402.8705686053832</v>
      </c>
      <c r="CR158" s="76">
        <f t="shared" si="161"/>
        <v>45262.770185122325</v>
      </c>
      <c r="CS158" s="5">
        <f t="shared" si="162"/>
        <v>37038.103797429721</v>
      </c>
      <c r="CT158" s="55">
        <f t="shared" si="163"/>
        <v>-8224.6663876926032</v>
      </c>
      <c r="CU158" s="84">
        <f t="shared" si="164"/>
        <v>54315.324222146788</v>
      </c>
      <c r="CV158" s="68">
        <f t="shared" si="165"/>
        <v>44445.724556915666</v>
      </c>
      <c r="CW158" s="36">
        <f t="shared" si="166"/>
        <v>-9869.5996652311223</v>
      </c>
      <c r="CX158" s="41">
        <f>'[2]побудинковий звіт'!CX158+'[1]побудинковий звіт'!CX158</f>
        <v>543.24702956630836</v>
      </c>
      <c r="CY158" s="41">
        <f>'[2]побудинковий звіт'!CY158+'[1]побудинковий звіт'!CY158</f>
        <v>10412.84669479743</v>
      </c>
      <c r="CZ158" s="55">
        <f t="shared" si="167"/>
        <v>9869.5996652311223</v>
      </c>
      <c r="DA158" s="254">
        <f>'[1]побудинковий звіт'!DA158</f>
        <v>20691.435705125405</v>
      </c>
      <c r="DB158" s="2">
        <v>2</v>
      </c>
      <c r="DC158" s="702">
        <f>'[1]побудинковий звіт'!DC158</f>
        <v>5311.89</v>
      </c>
      <c r="DD158" s="702">
        <f>'[1]побудинковий звіт'!DD158</f>
        <v>1439.7900000000002</v>
      </c>
      <c r="DE158" s="702">
        <f>'[1]побудинковий звіт'!DE158</f>
        <v>766.42000000000007</v>
      </c>
      <c r="DF158" s="702">
        <f>'[1]побудинковий звіт'!DF158</f>
        <v>-20.279999999999973</v>
      </c>
      <c r="DG158" s="772">
        <v>34239.043765225186</v>
      </c>
      <c r="DH158" s="746">
        <f t="shared" si="168"/>
        <v>658302.85502055718</v>
      </c>
      <c r="DI158" s="769"/>
      <c r="DJ158" s="5"/>
      <c r="DK158" s="307">
        <f>VLOOKUP($A158,ціни!$A$4:$G$401,5)</f>
        <v>6.0338954791067447</v>
      </c>
      <c r="DL158" s="307"/>
      <c r="DM158" s="307">
        <f>VLOOKUP($A158,ціни!$A$4:$G$401,7)</f>
        <v>5.1033195815048291</v>
      </c>
      <c r="DN158" s="29">
        <f t="shared" si="179"/>
        <v>3254.0798318822672</v>
      </c>
      <c r="DO158" s="29">
        <f t="shared" si="180"/>
        <v>1047.7115100829415</v>
      </c>
      <c r="DP158" s="306">
        <f t="shared" si="169"/>
        <v>4301.7913419652086</v>
      </c>
      <c r="DQ158" s="101"/>
      <c r="DR158" s="29">
        <f>VLOOKUP(A158,'ДЗ нас '!$A$1:$C$359,2)</f>
        <v>3254.07</v>
      </c>
      <c r="DS158" s="733">
        <f>VLOOKUP(A158,'ДЗ нежит'!$A$1:$D$153,4,0)</f>
        <v>1047.71</v>
      </c>
      <c r="DT158" s="29">
        <f t="shared" si="170"/>
        <v>4301.7800000000007</v>
      </c>
      <c r="DU158" s="247">
        <f>VLOOKUP(A158,'новий кошторис с 01.06'!$A$4:$AI$399,35)*1.2</f>
        <v>4301.7913419652086</v>
      </c>
      <c r="DV158" s="29">
        <f t="shared" si="171"/>
        <v>-1.1341965207975591E-2</v>
      </c>
      <c r="DW158" s="1016">
        <f>'[2]побудинковий звіт'!$DW$9+'[1]побудинковий звіт'!DW158</f>
        <v>918</v>
      </c>
      <c r="DX158" s="101">
        <f>'[1]побудинковий звіт'!DX158</f>
        <v>0</v>
      </c>
      <c r="DY158" s="5">
        <f t="shared" si="172"/>
        <v>14378.322115724501</v>
      </c>
      <c r="DZ158" s="5">
        <f t="shared" si="173"/>
        <v>2332.6308714675083</v>
      </c>
      <c r="EA158" s="737">
        <f t="shared" si="174"/>
        <v>746.1400000000001</v>
      </c>
      <c r="EC158" s="577">
        <f t="shared" si="175"/>
        <v>115850.58028714216</v>
      </c>
      <c r="EE158" s="743">
        <v>-18436</v>
      </c>
      <c r="EF158" s="723">
        <f t="shared" si="176"/>
        <v>15803.043765225186</v>
      </c>
      <c r="EH158" s="798">
        <v>33923.249577028691</v>
      </c>
      <c r="EI158" s="101">
        <f>VLOOKUP(A158,'кошти 01.01.24'!$A$9:$D$352,4,FALSE)</f>
        <v>30561.035370356512</v>
      </c>
    </row>
    <row r="159" spans="1:139" ht="14.4" hidden="1" customHeight="1" x14ac:dyDescent="0.3">
      <c r="A159" s="318">
        <v>150001011</v>
      </c>
      <c r="B159" s="43" t="s">
        <v>590</v>
      </c>
      <c r="C159" s="44" t="s">
        <v>165</v>
      </c>
      <c r="D159" s="44" t="s">
        <v>165</v>
      </c>
      <c r="E159" s="39">
        <f t="shared" si="125"/>
        <v>422.9</v>
      </c>
      <c r="F159" s="205">
        <f>'[1]побудинковий звіт'!F159</f>
        <v>422.9</v>
      </c>
      <c r="G159" s="29">
        <f>'[1]побудинковий звіт'!G159</f>
        <v>0</v>
      </c>
      <c r="H159" s="148">
        <f>'[1]побудинковий звіт'!H159</f>
        <v>0</v>
      </c>
      <c r="I159" s="41">
        <f>'[2]побудинковий звіт'!I159+'[1]побудинковий звіт'!I159</f>
        <v>2181.0761110321146</v>
      </c>
      <c r="J159" s="41">
        <f>'[2]побудинковий звіт'!J159+'[1]побудинковий звіт'!J159</f>
        <v>2220.5068286243695</v>
      </c>
      <c r="K159" s="55">
        <f t="shared" si="126"/>
        <v>39.43071759225495</v>
      </c>
      <c r="L159" s="41">
        <f>'[2]побудинковий звіт'!L159+'[1]побудинковий звіт'!L159</f>
        <v>339.82789272793764</v>
      </c>
      <c r="M159" s="41">
        <f>'[2]побудинковий звіт'!M159+'[1]побудинковий звіт'!M159</f>
        <v>357.17087957990088</v>
      </c>
      <c r="N159" s="55">
        <f t="shared" si="127"/>
        <v>17.342986851963246</v>
      </c>
      <c r="O159" s="41">
        <f>'[2]побудинковий звіт'!O159+'[1]побудинковий звіт'!O159</f>
        <v>601.32264229370912</v>
      </c>
      <c r="P159" s="41">
        <f>'[2]побудинковий звіт'!P159+'[1]побудинковий звіт'!P159</f>
        <v>603.12629013372896</v>
      </c>
      <c r="Q159" s="55">
        <f t="shared" si="128"/>
        <v>1.8036478400198348</v>
      </c>
      <c r="R159" s="41">
        <f>'[2]побудинковий звіт'!R159+'[1]побудинковий звіт'!R159</f>
        <v>0</v>
      </c>
      <c r="S159" s="41">
        <f>'[2]побудинковий звіт'!S159+'[1]побудинковий звіт'!S159</f>
        <v>0</v>
      </c>
      <c r="T159" s="55">
        <f t="shared" si="129"/>
        <v>0</v>
      </c>
      <c r="U159" s="41">
        <f>'[2]побудинковий звіт'!U159+'[1]побудинковий звіт'!U159</f>
        <v>0</v>
      </c>
      <c r="V159" s="41">
        <f>'[2]побудинковий звіт'!V159+'[1]побудинковий звіт'!V159</f>
        <v>0</v>
      </c>
      <c r="W159" s="55">
        <f t="shared" si="130"/>
        <v>0</v>
      </c>
      <c r="X159" s="41">
        <f>'[2]побудинковий звіт'!X159+'[1]побудинковий звіт'!X159</f>
        <v>922.22104987121077</v>
      </c>
      <c r="Y159" s="41">
        <f>'[2]побудинковий звіт'!Y159+'[1]побудинковий звіт'!Y159</f>
        <v>1025.2352943588623</v>
      </c>
      <c r="Z159" s="55">
        <f t="shared" si="131"/>
        <v>103.01424448765158</v>
      </c>
      <c r="AA159" s="41">
        <f>'[2]побудинковий звіт'!AA159+'[1]побудинковий звіт'!AA159</f>
        <v>0</v>
      </c>
      <c r="AB159" s="41">
        <f>'[2]побудинковий звіт'!AB159+'[1]побудинковий звіт'!AB159</f>
        <v>0</v>
      </c>
      <c r="AC159" s="55">
        <f t="shared" si="132"/>
        <v>0</v>
      </c>
      <c r="AD159" s="41">
        <f>'[2]побудинковий звіт'!AD159+'[1]побудинковий звіт'!AD159</f>
        <v>1834.2493141549935</v>
      </c>
      <c r="AE159" s="41">
        <f>'[2]побудинковий звіт'!AE159+'[1]побудинковий звіт'!AE159</f>
        <v>1827.1154226857839</v>
      </c>
      <c r="AF159" s="36">
        <f t="shared" si="133"/>
        <v>-7.1338914692096296</v>
      </c>
      <c r="AG159" s="84">
        <f t="shared" si="134"/>
        <v>5878.6970100799654</v>
      </c>
      <c r="AH159" s="56">
        <f t="shared" si="135"/>
        <v>6033.154715382645</v>
      </c>
      <c r="AI159" s="55">
        <f t="shared" si="136"/>
        <v>154.45770530267964</v>
      </c>
      <c r="AJ159" s="41">
        <f>'[2]побудинковий звіт'!AJ159+'[1]побудинковий звіт'!AJ159</f>
        <v>0</v>
      </c>
      <c r="AK159" s="41">
        <f>'[2]побудинковий звіт'!AK159+'[1]побудинковий звіт'!AK159</f>
        <v>0</v>
      </c>
      <c r="AL159" s="55">
        <f t="shared" si="137"/>
        <v>0</v>
      </c>
      <c r="AM159" s="41">
        <f>'[2]побудинковий звіт'!AM159+'[1]побудинковий звіт'!AM159</f>
        <v>0</v>
      </c>
      <c r="AN159" s="41">
        <f>'[2]побудинковий звіт'!AN159+'[1]побудинковий звіт'!AN159</f>
        <v>0</v>
      </c>
      <c r="AO159" s="55">
        <f t="shared" si="138"/>
        <v>0</v>
      </c>
      <c r="AP159" s="41">
        <f>'[2]побудинковий звіт'!AP159+'[1]побудинковий звіт'!AP159</f>
        <v>1188.7175314862448</v>
      </c>
      <c r="AQ159" s="41">
        <f>'[2]побудинковий звіт'!AQ159+'[1]побудинковий звіт'!AQ159</f>
        <v>1131.3329625435881</v>
      </c>
      <c r="AR159" s="55">
        <f t="shared" si="139"/>
        <v>-57.384568942656642</v>
      </c>
      <c r="AS159" s="41">
        <f>'[2]побудинковий звіт'!AS159+'[1]побудинковий звіт'!AS159</f>
        <v>6275.74395426093</v>
      </c>
      <c r="AT159" s="41">
        <f>'[2]побудинковий звіт'!AT159+'[1]побудинковий звіт'!AT159</f>
        <v>2438.8533856994241</v>
      </c>
      <c r="AU159" s="57">
        <f t="shared" si="140"/>
        <v>-3836.8905685615059</v>
      </c>
      <c r="AV159" s="41">
        <f>'[2]побудинковий звіт'!AV159+'[1]побудинковий звіт'!AV159</f>
        <v>359.67310579571557</v>
      </c>
      <c r="AW159" s="41">
        <f>'[2]побудинковий звіт'!AW159+'[1]побудинковий звіт'!AW159</f>
        <v>0</v>
      </c>
      <c r="AX159" s="58">
        <f t="shared" si="141"/>
        <v>-359.67310579571557</v>
      </c>
      <c r="AY159" s="41">
        <f>'[2]побудинковий звіт'!AY159+'[1]побудинковий звіт'!AY159</f>
        <v>411.34635862069757</v>
      </c>
      <c r="AZ159" s="41">
        <f>'[2]побудинковий звіт'!AZ159+'[1]побудинковий звіт'!AZ159</f>
        <v>0</v>
      </c>
      <c r="BA159" s="36">
        <f t="shared" si="142"/>
        <v>-411.34635862069757</v>
      </c>
      <c r="BB159" s="41">
        <f>'[2]побудинковий звіт'!BB159+'[1]побудинковий звіт'!BB159</f>
        <v>286.08579313156599</v>
      </c>
      <c r="BC159" s="41">
        <f>'[2]побудинковий звіт'!BC159+'[1]побудинковий звіт'!BC159</f>
        <v>0</v>
      </c>
      <c r="BD159" s="58">
        <f t="shared" si="143"/>
        <v>-286.08579313156599</v>
      </c>
      <c r="BE159" s="41">
        <f>'[2]побудинковий звіт'!BE159+'[1]побудинковий звіт'!BE159</f>
        <v>0</v>
      </c>
      <c r="BF159" s="41">
        <f>'[2]побудинковий звіт'!BF159+'[1]побудинковий звіт'!BF159</f>
        <v>0</v>
      </c>
      <c r="BG159" s="38">
        <f t="shared" si="144"/>
        <v>0</v>
      </c>
      <c r="BH159" s="41">
        <f>'[2]побудинковий звіт'!BH159+'[1]побудинковий звіт'!BH159</f>
        <v>0</v>
      </c>
      <c r="BI159" s="41">
        <f>'[2]побудинковий звіт'!BI159+'[1]побудинковий звіт'!BI159</f>
        <v>0</v>
      </c>
      <c r="BJ159" s="58">
        <f t="shared" si="145"/>
        <v>0</v>
      </c>
      <c r="BK159" s="41">
        <f>'[2]побудинковий звіт'!BK159+'[1]побудинковий звіт'!BK159</f>
        <v>88.777454427691424</v>
      </c>
      <c r="BL159" s="41">
        <f>'[2]побудинковий звіт'!BL159+'[1]побудинковий звіт'!BL159</f>
        <v>0</v>
      </c>
      <c r="BM159" s="38">
        <f t="shared" si="146"/>
        <v>-88.777454427691424</v>
      </c>
      <c r="BN159" s="41">
        <f>'[2]побудинковий звіт'!BN159+'[1]побудинковий звіт'!BN159</f>
        <v>38.805764507289481</v>
      </c>
      <c r="BO159" s="41">
        <f>'[2]побудинковий звіт'!BO159+'[1]побудинковий звіт'!BO159</f>
        <v>2752.9112993839999</v>
      </c>
      <c r="BP159" s="58">
        <f t="shared" si="147"/>
        <v>2714.1055348767104</v>
      </c>
      <c r="BQ159" s="84">
        <f t="shared" si="148"/>
        <v>1184.6884764829601</v>
      </c>
      <c r="BR159" s="42">
        <f t="shared" si="149"/>
        <v>2752.9112993839999</v>
      </c>
      <c r="BS159" s="58">
        <f t="shared" si="150"/>
        <v>1568.2228229010398</v>
      </c>
      <c r="BT159" s="41">
        <f>'[2]побудинковий звіт'!BT159+'[1]побудинковий звіт'!BT159</f>
        <v>7166.8734745863931</v>
      </c>
      <c r="BU159" s="41">
        <f>'[2]побудинковий звіт'!BU159+'[1]побудинковий звіт'!BU159</f>
        <v>12416.043191733595</v>
      </c>
      <c r="BV159" s="55">
        <f t="shared" si="151"/>
        <v>5249.1697171472024</v>
      </c>
      <c r="BW159" s="41">
        <f>'[2]побудинковий звіт'!BW159+'[1]побудинковий звіт'!BW159</f>
        <v>3465.4385139911451</v>
      </c>
      <c r="BX159" s="41">
        <f>'[2]побудинковий звіт'!BX159+'[1]побудинковий звіт'!BX159</f>
        <v>3770.7096982868175</v>
      </c>
      <c r="BY159" s="55">
        <f t="shared" si="152"/>
        <v>305.27118429567236</v>
      </c>
      <c r="BZ159" s="41">
        <f>'[2]побудинковий звіт'!BZ159+'[1]побудинковий звіт'!BZ159</f>
        <v>984.96721405845813</v>
      </c>
      <c r="CA159" s="41">
        <f>'[2]побудинковий звіт'!CA159+'[1]побудинковий звіт'!CA159</f>
        <v>1178.7074146746349</v>
      </c>
      <c r="CB159" s="55">
        <f t="shared" si="153"/>
        <v>193.74020061617682</v>
      </c>
      <c r="CC159" s="41">
        <f>'[2]побудинковий звіт'!CC159+'[1]побудинковий звіт'!CC159</f>
        <v>0</v>
      </c>
      <c r="CD159" s="41">
        <f>'[2]побудинковий звіт'!CD159+'[1]побудинковий звіт'!CD159</f>
        <v>0</v>
      </c>
      <c r="CE159" s="55">
        <f t="shared" si="154"/>
        <v>0</v>
      </c>
      <c r="CF159" s="41">
        <f>'[2]побудинковий звіт'!CF159+'[1]побудинковий звіт'!CF159</f>
        <v>0</v>
      </c>
      <c r="CG159" s="41">
        <f>'[2]побудинковий звіт'!CG159+'[1]побудинковий звіт'!CG159</f>
        <v>0</v>
      </c>
      <c r="CH159" s="55">
        <f t="shared" si="155"/>
        <v>0</v>
      </c>
      <c r="CI159" s="41">
        <f>'[2]побудинковий звіт'!CI159+'[1]побудинковий звіт'!CI159</f>
        <v>872.26403699491175</v>
      </c>
      <c r="CJ159" s="41">
        <f>'[2]побудинковий звіт'!CJ159+'[1]побудинковий звіт'!CJ159</f>
        <v>1060.4738126158379</v>
      </c>
      <c r="CK159" s="55">
        <f t="shared" si="156"/>
        <v>188.20977562092617</v>
      </c>
      <c r="CL159" s="41">
        <f>'[2]побудинковий звіт'!CL159+'[1]побудинковий звіт'!CL159</f>
        <v>0</v>
      </c>
      <c r="CM159" s="41">
        <f>'[2]побудинковий звіт'!CM159+'[1]побудинковий звіт'!CM159</f>
        <v>0</v>
      </c>
      <c r="CN159" s="55">
        <f t="shared" si="157"/>
        <v>0</v>
      </c>
      <c r="CO159" s="41">
        <f t="shared" si="158"/>
        <v>872.26403699491175</v>
      </c>
      <c r="CP159" s="42">
        <f t="shared" si="159"/>
        <v>1060.4738126158379</v>
      </c>
      <c r="CQ159" s="55">
        <f t="shared" si="160"/>
        <v>188.20977562092617</v>
      </c>
      <c r="CR159" s="76">
        <f t="shared" si="161"/>
        <v>27017.390211941009</v>
      </c>
      <c r="CS159" s="5">
        <f t="shared" si="162"/>
        <v>30782.186480320543</v>
      </c>
      <c r="CT159" s="55">
        <f t="shared" si="163"/>
        <v>3764.796268379534</v>
      </c>
      <c r="CU159" s="84">
        <f t="shared" si="164"/>
        <v>32420.868254329209</v>
      </c>
      <c r="CV159" s="68">
        <f t="shared" si="165"/>
        <v>36938.623776384651</v>
      </c>
      <c r="CW159" s="36">
        <f t="shared" si="166"/>
        <v>4517.7555220554423</v>
      </c>
      <c r="CX159" s="41">
        <f>'[2]побудинковий звіт'!CX159+'[1]побудинковий звіт'!CX159</f>
        <v>323.82488175989238</v>
      </c>
      <c r="CY159" s="41">
        <f>'[2]побудинковий звіт'!CY159+'[1]побудинковий звіт'!CY159</f>
        <v>-4193.9306402955499</v>
      </c>
      <c r="CZ159" s="55">
        <f t="shared" si="167"/>
        <v>-4517.7555220554423</v>
      </c>
      <c r="DA159" s="254">
        <f>'[1]побудинковий звіт'!DA159</f>
        <v>9290.1613165538383</v>
      </c>
      <c r="DB159" s="2">
        <v>2</v>
      </c>
      <c r="DC159" s="702">
        <f>'[1]побудинковий звіт'!DC159</f>
        <v>5811.24</v>
      </c>
      <c r="DD159" s="702">
        <f>'[1]побудинковий звіт'!DD159</f>
        <v>0</v>
      </c>
      <c r="DE159" s="702">
        <f>'[1]побудинковий звіт'!DE159</f>
        <v>2230.6799999999998</v>
      </c>
      <c r="DF159" s="702">
        <f>'[1]побудинковий звіт'!DF159</f>
        <v>0</v>
      </c>
      <c r="DG159" s="772">
        <v>7483.9189637788513</v>
      </c>
      <c r="DH159" s="746">
        <f t="shared" si="168"/>
        <v>392936.31763306924</v>
      </c>
      <c r="DI159" s="769"/>
      <c r="DJ159" s="5"/>
      <c r="DK159" s="307">
        <f>VLOOKUP($A159,ціни!$A$4:$G$401,5)</f>
        <v>6.0735229049139887</v>
      </c>
      <c r="DL159" s="307"/>
      <c r="DM159" s="307">
        <f>VLOOKUP($A159,ціни!$A$4:$G$401,7)</f>
        <v>5.2974938384425112</v>
      </c>
      <c r="DN159" s="29">
        <f t="shared" si="179"/>
        <v>2568.4928364881257</v>
      </c>
      <c r="DO159" s="29">
        <f t="shared" si="180"/>
        <v>0</v>
      </c>
      <c r="DP159" s="306">
        <f t="shared" si="169"/>
        <v>2568.4928364881257</v>
      </c>
      <c r="DQ159" s="101"/>
      <c r="DR159" s="29">
        <f>VLOOKUP(A159,'ДЗ нас '!$A$1:$C$359,2)</f>
        <v>2568.48</v>
      </c>
      <c r="DS159" s="733"/>
      <c r="DT159" s="29">
        <f t="shared" si="170"/>
        <v>2568.48</v>
      </c>
      <c r="DU159" s="247">
        <f>VLOOKUP(A159,'новий кошторис с 01.06'!$A$4:$AI$399,35)*1.2</f>
        <v>2568.4928364881252</v>
      </c>
      <c r="DV159" s="29">
        <f t="shared" si="171"/>
        <v>-1.2836488125230971E-2</v>
      </c>
      <c r="DW159" s="1016">
        <f>'[2]побудинковий звіт'!$DW$9+'[1]побудинковий звіт'!DW159</f>
        <v>918</v>
      </c>
      <c r="DX159" s="101">
        <f>'[1]побудинковий звіт'!DX159</f>
        <v>0</v>
      </c>
      <c r="DY159" s="5">
        <f t="shared" si="172"/>
        <v>8952.5189168926681</v>
      </c>
      <c r="DZ159" s="5">
        <f t="shared" si="173"/>
        <v>6230.1176221001087</v>
      </c>
      <c r="EA159" s="737">
        <f t="shared" si="174"/>
        <v>2230.6799999999998</v>
      </c>
      <c r="EC159" s="577">
        <f t="shared" si="175"/>
        <v>75308.927451131167</v>
      </c>
      <c r="EE159" s="743">
        <v>724</v>
      </c>
      <c r="EF159" s="723">
        <f t="shared" si="176"/>
        <v>8207.9189637788513</v>
      </c>
      <c r="EH159" s="798">
        <v>4279.8154989399754</v>
      </c>
      <c r="EI159" s="101">
        <f>VLOOKUP(A159,'кошти 01.01.24'!$A$9:$D$352,4,FALSE)</f>
        <v>4772.4057944983888</v>
      </c>
    </row>
    <row r="160" spans="1:139" hidden="1" x14ac:dyDescent="0.3">
      <c r="A160" s="1014">
        <v>150001013</v>
      </c>
      <c r="B160" s="43" t="s">
        <v>591</v>
      </c>
      <c r="C160" s="44" t="s">
        <v>260</v>
      </c>
      <c r="D160" s="44" t="s">
        <v>260</v>
      </c>
      <c r="E160" s="39">
        <f t="shared" si="125"/>
        <v>3603</v>
      </c>
      <c r="F160" s="205">
        <f>'[1]побудинковий звіт'!F160</f>
        <v>2615.5</v>
      </c>
      <c r="G160" s="29">
        <f>'[1]побудинковий звіт'!G160</f>
        <v>0</v>
      </c>
      <c r="H160" s="148">
        <f>'[1]побудинковий звіт'!H160</f>
        <v>987.49999999999989</v>
      </c>
      <c r="I160" s="41">
        <f>'[2]побудинковий звіт'!I160+'[1]побудинковий звіт'!I160</f>
        <v>11628.290948158288</v>
      </c>
      <c r="J160" s="41">
        <f>'[2]побудинковий звіт'!J160+'[1]побудинковий звіт'!J160</f>
        <v>11967.410421750805</v>
      </c>
      <c r="K160" s="55">
        <f t="shared" si="126"/>
        <v>339.11947359251644</v>
      </c>
      <c r="L160" s="41">
        <f>'[2]побудинковий звіт'!L160+'[1]побудинковий звіт'!L160</f>
        <v>2343.1537586286818</v>
      </c>
      <c r="M160" s="41">
        <f>'[2]побудинковий звіт'!M160+'[1]побудинковий звіт'!M160</f>
        <v>2456.7376925056965</v>
      </c>
      <c r="N160" s="55">
        <f t="shared" si="127"/>
        <v>113.58393387701472</v>
      </c>
      <c r="O160" s="41">
        <f>'[2]побудинковий звіт'!O160+'[1]побудинковий звіт'!O160</f>
        <v>5199.3244498687836</v>
      </c>
      <c r="P160" s="41">
        <f>'[2]побудинковий звіт'!P160+'[1]побудинковий звіт'!P160</f>
        <v>5213.9281928443324</v>
      </c>
      <c r="Q160" s="55">
        <f t="shared" si="128"/>
        <v>14.603742975548812</v>
      </c>
      <c r="R160" s="41">
        <f>'[2]побудинковий звіт'!R160+'[1]побудинковий звіт'!R160</f>
        <v>0</v>
      </c>
      <c r="S160" s="41">
        <f>'[2]побудинковий звіт'!S160+'[1]побудинковий звіт'!S160</f>
        <v>0</v>
      </c>
      <c r="T160" s="55">
        <f t="shared" si="129"/>
        <v>0</v>
      </c>
      <c r="U160" s="41">
        <f>'[2]побудинковий звіт'!U160+'[1]побудинковий звіт'!U160</f>
        <v>240.11418916795205</v>
      </c>
      <c r="V160" s="41">
        <f>'[2]побудинковий звіт'!V160+'[1]побудинковий звіт'!V160</f>
        <v>138.5288916087917</v>
      </c>
      <c r="W160" s="55">
        <f t="shared" si="130"/>
        <v>-101.58529755916035</v>
      </c>
      <c r="X160" s="41">
        <f>'[2]побудинковий звіт'!X160+'[1]побудинковий звіт'!X160</f>
        <v>7807.5520496121881</v>
      </c>
      <c r="Y160" s="41">
        <f>'[2]побудинковий звіт'!Y160+'[1]побудинковий звіт'!Y160</f>
        <v>7682.7899684053191</v>
      </c>
      <c r="Z160" s="55">
        <f t="shared" si="131"/>
        <v>-124.76208120686897</v>
      </c>
      <c r="AA160" s="41">
        <f>'[2]побудинковий звіт'!AA160+'[1]побудинковий звіт'!AA160</f>
        <v>0</v>
      </c>
      <c r="AB160" s="41">
        <f>'[2]побудинковий звіт'!AB160+'[1]побудинковий звіт'!AB160</f>
        <v>0</v>
      </c>
      <c r="AC160" s="55">
        <f t="shared" si="132"/>
        <v>0</v>
      </c>
      <c r="AD160" s="41">
        <f>'[2]побудинковий звіт'!AD160+'[1]побудинковий звіт'!AD160</f>
        <v>15171.112697637733</v>
      </c>
      <c r="AE160" s="41">
        <f>'[2]побудинковий звіт'!AE160+'[1]побудинковий звіт'!AE160</f>
        <v>15549.764216380263</v>
      </c>
      <c r="AF160" s="36">
        <f t="shared" si="133"/>
        <v>378.65151874253024</v>
      </c>
      <c r="AG160" s="84">
        <f t="shared" si="134"/>
        <v>42389.54809307363</v>
      </c>
      <c r="AH160" s="56">
        <f t="shared" si="135"/>
        <v>43009.159383495207</v>
      </c>
      <c r="AI160" s="55">
        <f t="shared" si="136"/>
        <v>619.611290421577</v>
      </c>
      <c r="AJ160" s="41">
        <f>'[2]побудинковий звіт'!AJ160+'[1]побудинковий звіт'!AJ160</f>
        <v>0</v>
      </c>
      <c r="AK160" s="41">
        <f>'[2]побудинковий звіт'!AK160+'[1]побудинковий звіт'!AK160</f>
        <v>0</v>
      </c>
      <c r="AL160" s="55">
        <f t="shared" si="137"/>
        <v>0</v>
      </c>
      <c r="AM160" s="41">
        <f>'[2]побудинковий звіт'!AM160+'[1]побудинковий звіт'!AM160</f>
        <v>0</v>
      </c>
      <c r="AN160" s="41">
        <f>'[2]побудинковий звіт'!AN160+'[1]побудинковий звіт'!AN160</f>
        <v>0</v>
      </c>
      <c r="AO160" s="55">
        <f t="shared" si="138"/>
        <v>0</v>
      </c>
      <c r="AP160" s="41">
        <f>'[2]побудинковий звіт'!AP160+'[1]побудинковий звіт'!AP160</f>
        <v>9658.329943325738</v>
      </c>
      <c r="AQ160" s="41">
        <f>'[2]побудинковий звіт'!AQ160+'[1]побудинковий звіт'!AQ160</f>
        <v>9091.5053436847811</v>
      </c>
      <c r="AR160" s="55">
        <f t="shared" si="139"/>
        <v>-566.82459964095688</v>
      </c>
      <c r="AS160" s="41">
        <f>'[2]побудинковий звіт'!AS160+'[1]побудинковий звіт'!AS160</f>
        <v>36012.15569073768</v>
      </c>
      <c r="AT160" s="41">
        <f>'[2]побудинковий звіт'!AT160+'[1]побудинковий звіт'!AT160</f>
        <v>20176.184912791818</v>
      </c>
      <c r="AU160" s="57">
        <f t="shared" si="140"/>
        <v>-15835.970777945862</v>
      </c>
      <c r="AV160" s="41">
        <f>'[2]побудинковий звіт'!AV160+'[1]побудинковий звіт'!AV160</f>
        <v>1931.4085790879358</v>
      </c>
      <c r="AW160" s="41">
        <f>'[2]побудинковий звіт'!AW160+'[1]побудинковий звіт'!AW160</f>
        <v>0</v>
      </c>
      <c r="AX160" s="58">
        <f t="shared" si="141"/>
        <v>-1931.4085790879358</v>
      </c>
      <c r="AY160" s="41">
        <f>'[2]побудинковий звіт'!AY160+'[1]побудинковий звіт'!AY160</f>
        <v>3050.0224854412454</v>
      </c>
      <c r="AZ160" s="41">
        <f>'[2]побудинковий звіт'!AZ160+'[1]побудинковий звіт'!AZ160</f>
        <v>0</v>
      </c>
      <c r="BA160" s="36">
        <f t="shared" si="142"/>
        <v>-3050.0224854412454</v>
      </c>
      <c r="BB160" s="41">
        <f>'[2]побудинковий звіт'!BB160+'[1]побудинковий звіт'!BB160</f>
        <v>2654.3176524157175</v>
      </c>
      <c r="BC160" s="41">
        <f>'[2]побудинковий звіт'!BC160+'[1]побудинковий звіт'!BC160</f>
        <v>0</v>
      </c>
      <c r="BD160" s="58">
        <f t="shared" si="143"/>
        <v>-2654.3176524157175</v>
      </c>
      <c r="BE160" s="41">
        <f>'[2]побудинковий звіт'!BE160+'[1]побудинковий звіт'!BE160</f>
        <v>0</v>
      </c>
      <c r="BF160" s="41">
        <f>'[2]побудинковий звіт'!BF160+'[1]побудинковий звіт'!BF160</f>
        <v>0</v>
      </c>
      <c r="BG160" s="38">
        <f t="shared" si="144"/>
        <v>0</v>
      </c>
      <c r="BH160" s="41">
        <f>'[2]побудинковий звіт'!BH160+'[1]побудинковий звіт'!BH160</f>
        <v>141.5171295633391</v>
      </c>
      <c r="BI160" s="41">
        <f>'[2]побудинковий звіт'!BI160+'[1]побудинковий звіт'!BI160</f>
        <v>416.32736112493444</v>
      </c>
      <c r="BJ160" s="58">
        <f t="shared" si="145"/>
        <v>274.81023156159534</v>
      </c>
      <c r="BK160" s="41">
        <f>'[2]побудинковий звіт'!BK160+'[1]побудинковий звіт'!BK160</f>
        <v>1382.5014621691262</v>
      </c>
      <c r="BL160" s="41">
        <f>'[2]побудинковий звіт'!BL160+'[1]побудинковий звіт'!BL160</f>
        <v>757.11718909218871</v>
      </c>
      <c r="BM160" s="38">
        <f t="shared" si="146"/>
        <v>-625.38427307693746</v>
      </c>
      <c r="BN160" s="41">
        <f>'[2]побудинковий звіт'!BN160+'[1]побудинковий звіт'!BN160</f>
        <v>53.83241058569827</v>
      </c>
      <c r="BO160" s="41">
        <f>'[2]побудинковий звіт'!BO160+'[1]побудинковий звіт'!BO160</f>
        <v>0</v>
      </c>
      <c r="BP160" s="58">
        <f t="shared" si="147"/>
        <v>-53.83241058569827</v>
      </c>
      <c r="BQ160" s="84">
        <f t="shared" si="148"/>
        <v>9213.5997192630621</v>
      </c>
      <c r="BR160" s="42">
        <f t="shared" si="149"/>
        <v>1173.4445502171232</v>
      </c>
      <c r="BS160" s="58">
        <f t="shared" si="150"/>
        <v>-8040.1551690459391</v>
      </c>
      <c r="BT160" s="41">
        <f>'[2]побудинковий звіт'!BT160+'[1]побудинковий звіт'!BT160</f>
        <v>29132.763305622528</v>
      </c>
      <c r="BU160" s="41">
        <f>'[2]побудинковий звіт'!BU160+'[1]побудинковий звіт'!BU160</f>
        <v>45310.675022122916</v>
      </c>
      <c r="BV160" s="55">
        <f t="shared" si="151"/>
        <v>16177.911716500388</v>
      </c>
      <c r="BW160" s="41">
        <f>'[2]побудинковий звіт'!BW160+'[1]побудинковий звіт'!BW160</f>
        <v>21436.019947704724</v>
      </c>
      <c r="BX160" s="41">
        <f>'[2]побудинковий звіт'!BX160+'[1]побудинковий звіт'!BX160</f>
        <v>22575.885663831959</v>
      </c>
      <c r="BY160" s="55">
        <f t="shared" si="152"/>
        <v>1139.8657161272349</v>
      </c>
      <c r="BZ160" s="41">
        <f>'[2]побудинковий звіт'!BZ160+'[1]побудинковий звіт'!BZ160</f>
        <v>17337.419092675482</v>
      </c>
      <c r="CA160" s="41">
        <f>'[2]побудинковий звіт'!CA160+'[1]побудинковий звіт'!CA160</f>
        <v>5255.3309534889686</v>
      </c>
      <c r="CB160" s="55">
        <f t="shared" si="153"/>
        <v>-12082.088139186513</v>
      </c>
      <c r="CC160" s="41">
        <f>'[2]побудинковий звіт'!CC160+'[1]побудинковий звіт'!CC160</f>
        <v>913.0152711693072</v>
      </c>
      <c r="CD160" s="41">
        <f>'[2]побудинковий звіт'!CD160+'[1]побудинковий звіт'!CD160</f>
        <v>916.11120411276863</v>
      </c>
      <c r="CE160" s="55">
        <f t="shared" si="154"/>
        <v>3.0959329434614347</v>
      </c>
      <c r="CF160" s="41">
        <f>'[2]побудинковий звіт'!CF160+'[1]побудинковий звіт'!CF160</f>
        <v>113.11773925262915</v>
      </c>
      <c r="CG160" s="41">
        <f>'[2]побудинковий звіт'!CG160+'[1]побудинковий звіт'!CG160</f>
        <v>0</v>
      </c>
      <c r="CH160" s="55">
        <f t="shared" si="155"/>
        <v>-113.11773925262915</v>
      </c>
      <c r="CI160" s="41">
        <f>'[2]побудинковий звіт'!CI160+'[1]побудинковий звіт'!CI160</f>
        <v>4625.0060603176544</v>
      </c>
      <c r="CJ160" s="41">
        <f>'[2]побудинковий звіт'!CJ160+'[1]побудинковий звіт'!CJ160</f>
        <v>2223.2208598567913</v>
      </c>
      <c r="CK160" s="55">
        <f t="shared" si="156"/>
        <v>-2401.7852004608631</v>
      </c>
      <c r="CL160" s="41">
        <f>'[2]побудинковий звіт'!CL160+'[1]побудинковий звіт'!CL160</f>
        <v>0</v>
      </c>
      <c r="CM160" s="41">
        <f>'[2]побудинковий звіт'!CM160+'[1]побудинковий звіт'!CM160</f>
        <v>0</v>
      </c>
      <c r="CN160" s="55">
        <f t="shared" si="157"/>
        <v>0</v>
      </c>
      <c r="CO160" s="41">
        <f t="shared" si="158"/>
        <v>4625.0060603176544</v>
      </c>
      <c r="CP160" s="42">
        <f t="shared" si="159"/>
        <v>2223.2208598567913</v>
      </c>
      <c r="CQ160" s="55">
        <f t="shared" si="160"/>
        <v>-2401.7852004608631</v>
      </c>
      <c r="CR160" s="76">
        <f t="shared" si="161"/>
        <v>170830.97486314244</v>
      </c>
      <c r="CS160" s="5">
        <f t="shared" si="162"/>
        <v>149731.51789360231</v>
      </c>
      <c r="CT160" s="55">
        <f t="shared" si="163"/>
        <v>-21099.45696954013</v>
      </c>
      <c r="CU160" s="84">
        <f t="shared" si="164"/>
        <v>204997.16983577094</v>
      </c>
      <c r="CV160" s="68">
        <f t="shared" si="165"/>
        <v>179677.82147232277</v>
      </c>
      <c r="CW160" s="36">
        <f t="shared" si="166"/>
        <v>-25319.348363448167</v>
      </c>
      <c r="CX160" s="41">
        <f>'[2]побудинковий звіт'!CX160+'[1]побудинковий звіт'!CX160</f>
        <v>10170.050188109508</v>
      </c>
      <c r="CY160" s="41">
        <f>'[2]побудинковий звіт'!CY160+'[1]побудинковий звіт'!CY160</f>
        <v>35489.398551557613</v>
      </c>
      <c r="CZ160" s="55">
        <f t="shared" si="167"/>
        <v>25319.348363448105</v>
      </c>
      <c r="DA160" s="254">
        <f>'[1]побудинковий звіт'!DA160</f>
        <v>-83468.138506041505</v>
      </c>
      <c r="DB160" s="2">
        <v>2</v>
      </c>
      <c r="DC160" s="702">
        <f>'[1]побудинковий звіт'!DC160</f>
        <v>72141.05</v>
      </c>
      <c r="DD160" s="702">
        <f>'[1]побудинковий звіт'!DD160</f>
        <v>72318.569999999992</v>
      </c>
      <c r="DE160" s="702">
        <f>'[1]побудинковий звіт'!DE160</f>
        <v>54152.680000000008</v>
      </c>
      <c r="DF160" s="702">
        <f>'[1]побудинковий звіт'!DF160</f>
        <v>62663.239999999991</v>
      </c>
      <c r="DG160" s="772">
        <v>-59889.427017938928</v>
      </c>
      <c r="DH160" s="746">
        <f t="shared" si="168"/>
        <v>2582006.6402865653</v>
      </c>
      <c r="DI160" s="769"/>
      <c r="DJ160" s="5"/>
      <c r="DK160" s="307">
        <f>VLOOKUP($A160,ціни!$A$4:$G$401,5)</f>
        <v>4.9065532376532737</v>
      </c>
      <c r="DL160" s="307"/>
      <c r="DM160" s="307">
        <f>VLOOKUP($A160,ціни!$A$4:$G$401,7)</f>
        <v>4.1032899300370742</v>
      </c>
      <c r="DN160" s="29">
        <f t="shared" si="179"/>
        <v>12833.089993082138</v>
      </c>
      <c r="DO160" s="29">
        <f t="shared" si="180"/>
        <v>4051.9988059116104</v>
      </c>
      <c r="DP160" s="306">
        <f t="shared" si="169"/>
        <v>16885.088798993747</v>
      </c>
      <c r="DQ160" s="101"/>
      <c r="DR160" s="29">
        <f>VLOOKUP(A160,'ДЗ нас '!$A$1:$C$359,2)</f>
        <v>12833.21</v>
      </c>
      <c r="DS160" s="733">
        <f>VLOOKUP(A160,'ДЗ нежит'!$A$1:$D$153,4,0)</f>
        <v>4002.8499999999995</v>
      </c>
      <c r="DT160" s="29">
        <f t="shared" si="170"/>
        <v>16836.059999999998</v>
      </c>
      <c r="DU160" s="247">
        <f>VLOOKUP(A160,'новий кошторис с 01.06'!$A$4:$AI$399,35)*1.2</f>
        <v>16426.873234037466</v>
      </c>
      <c r="DV160" s="29">
        <f t="shared" si="171"/>
        <v>409.18676596253135</v>
      </c>
      <c r="DW160" s="1016">
        <f>'[2]побудинковий звіт'!$DW$9+'[1]побудинковий звіт'!DW160</f>
        <v>1138.5</v>
      </c>
      <c r="DX160" s="101">
        <f>'[1]побудинковий звіт'!DX160</f>
        <v>0</v>
      </c>
      <c r="DY160" s="5">
        <f t="shared" si="172"/>
        <v>54270.90649200089</v>
      </c>
      <c r="DZ160" s="5">
        <f t="shared" si="173"/>
        <v>25619.555355610726</v>
      </c>
      <c r="EA160" s="737">
        <f t="shared" si="174"/>
        <v>116815.92</v>
      </c>
      <c r="EC160" s="577">
        <f t="shared" si="175"/>
        <v>432145.86828885216</v>
      </c>
      <c r="EE160" s="743">
        <v>-3138</v>
      </c>
      <c r="EF160" s="723">
        <f t="shared" si="176"/>
        <v>-63027.427017938928</v>
      </c>
      <c r="EH160" s="798">
        <v>-38630.954899841236</v>
      </c>
      <c r="EI160" s="101">
        <f>VLOOKUP(A160,'кошти 01.01.24'!$A$9:$D$352,4,FALSE)</f>
        <v>-58148.790142593418</v>
      </c>
    </row>
    <row r="161" spans="1:139" hidden="1" x14ac:dyDescent="0.3">
      <c r="A161" s="318">
        <v>150001014</v>
      </c>
      <c r="B161" s="43" t="s">
        <v>592</v>
      </c>
      <c r="C161" s="44" t="s">
        <v>166</v>
      </c>
      <c r="D161" s="44" t="s">
        <v>166</v>
      </c>
      <c r="E161" s="39">
        <f t="shared" si="125"/>
        <v>324.7</v>
      </c>
      <c r="F161" s="205">
        <f>'[1]побудинковий звіт'!F161</f>
        <v>324.7</v>
      </c>
      <c r="G161" s="29">
        <f>'[1]побудинковий звіт'!G161</f>
        <v>0</v>
      </c>
      <c r="H161" s="148">
        <f>'[1]побудинковий звіт'!H161</f>
        <v>0</v>
      </c>
      <c r="I161" s="41">
        <f>'[2]побудинковий звіт'!I161+'[1]побудинковий звіт'!I161</f>
        <v>855.76760978796199</v>
      </c>
      <c r="J161" s="41">
        <f>'[2]побудинковий звіт'!J161+'[1]побудинковий звіт'!J161</f>
        <v>881.96431277214765</v>
      </c>
      <c r="K161" s="55">
        <f t="shared" si="126"/>
        <v>26.196702984185663</v>
      </c>
      <c r="L161" s="41">
        <f>'[2]побудинковий звіт'!L161+'[1]побудинковий звіт'!L161</f>
        <v>289.03130752043512</v>
      </c>
      <c r="M161" s="41">
        <f>'[2]побудинковий звіт'!M161+'[1]побудинковий звіт'!M161</f>
        <v>303.51264232823655</v>
      </c>
      <c r="N161" s="55">
        <f t="shared" si="127"/>
        <v>14.481334807801431</v>
      </c>
      <c r="O161" s="41">
        <f>'[2]побудинковий звіт'!O161+'[1]побудинковий звіт'!O161</f>
        <v>489.97713989513863</v>
      </c>
      <c r="P161" s="41">
        <f>'[2]побудинковий звіт'!P161+'[1]побудинковий звіт'!P161</f>
        <v>491.443831468567</v>
      </c>
      <c r="Q161" s="55">
        <f t="shared" si="128"/>
        <v>1.4666915734283634</v>
      </c>
      <c r="R161" s="41">
        <f>'[2]побудинковий звіт'!R161+'[1]побудинковий звіт'!R161</f>
        <v>0</v>
      </c>
      <c r="S161" s="41">
        <f>'[2]побудинковий звіт'!S161+'[1]побудинковий звіт'!S161</f>
        <v>0</v>
      </c>
      <c r="T161" s="55">
        <f t="shared" si="129"/>
        <v>0</v>
      </c>
      <c r="U161" s="41">
        <f>'[2]побудинковий звіт'!U161+'[1]побудинковий звіт'!U161</f>
        <v>0</v>
      </c>
      <c r="V161" s="41">
        <f>'[2]побудинковий звіт'!V161+'[1]побудинковий звіт'!V161</f>
        <v>0</v>
      </c>
      <c r="W161" s="55">
        <f t="shared" si="130"/>
        <v>0</v>
      </c>
      <c r="X161" s="41">
        <f>'[2]побудинковий звіт'!X161+'[1]побудинковий звіт'!X161</f>
        <v>547.98230874514604</v>
      </c>
      <c r="Y161" s="41">
        <f>'[2]побудинковий звіт'!Y161+'[1]побудинковий звіт'!Y161</f>
        <v>512.28462554356281</v>
      </c>
      <c r="Z161" s="55">
        <f t="shared" si="131"/>
        <v>-35.697683201583231</v>
      </c>
      <c r="AA161" s="41">
        <f>'[2]побудинковий звіт'!AA161+'[1]побудинковий звіт'!AA161</f>
        <v>0</v>
      </c>
      <c r="AB161" s="41">
        <f>'[2]побудинковий звіт'!AB161+'[1]побудинковий звіт'!AB161</f>
        <v>0</v>
      </c>
      <c r="AC161" s="55">
        <f t="shared" si="132"/>
        <v>0</v>
      </c>
      <c r="AD161" s="41">
        <f>'[2]побудинковий звіт'!AD161+'[1]побудинковий звіт'!AD161</f>
        <v>1460.868102807523</v>
      </c>
      <c r="AE161" s="41">
        <f>'[2]побудинковий звіт'!AE161+'[1]побудинковий звіт'!AE161</f>
        <v>1453.191151415406</v>
      </c>
      <c r="AF161" s="36">
        <f t="shared" si="133"/>
        <v>-7.6769513921169619</v>
      </c>
      <c r="AG161" s="84">
        <f t="shared" si="134"/>
        <v>3643.6264687562048</v>
      </c>
      <c r="AH161" s="56">
        <f t="shared" si="135"/>
        <v>3642.3965635279201</v>
      </c>
      <c r="AI161" s="55">
        <f t="shared" si="136"/>
        <v>-1.2299052282846787</v>
      </c>
      <c r="AJ161" s="41">
        <f>'[2]побудинковий звіт'!AJ161+'[1]побудинковий звіт'!AJ161</f>
        <v>0</v>
      </c>
      <c r="AK161" s="41">
        <f>'[2]побудинковий звіт'!AK161+'[1]побудинковий звіт'!AK161</f>
        <v>0</v>
      </c>
      <c r="AL161" s="55">
        <f t="shared" si="137"/>
        <v>0</v>
      </c>
      <c r="AM161" s="41">
        <f>'[2]побудинковий звіт'!AM161+'[1]побудинковий звіт'!AM161</f>
        <v>0</v>
      </c>
      <c r="AN161" s="41">
        <f>'[2]побудинковий звіт'!AN161+'[1]побудинковий звіт'!AN161</f>
        <v>0</v>
      </c>
      <c r="AO161" s="55">
        <f t="shared" si="138"/>
        <v>0</v>
      </c>
      <c r="AP161" s="41">
        <f>'[2]побудинковий звіт'!AP161+'[1]побудинковий звіт'!AP161</f>
        <v>594.35876574312238</v>
      </c>
      <c r="AQ161" s="41">
        <f>'[2]побудинковий звіт'!AQ161+'[1]побудинковий звіт'!AQ161</f>
        <v>522.92829099964831</v>
      </c>
      <c r="AR161" s="55">
        <f t="shared" si="139"/>
        <v>-71.430474743474065</v>
      </c>
      <c r="AS161" s="41">
        <f>'[2]побудинковий звіт'!AS161+'[1]побудинковий звіт'!AS161</f>
        <v>4646.7371430431158</v>
      </c>
      <c r="AT161" s="41">
        <f>'[2]побудинковий звіт'!AT161+'[1]побудинковий звіт'!AT161</f>
        <v>0</v>
      </c>
      <c r="AU161" s="57">
        <f t="shared" si="140"/>
        <v>-4646.7371430431158</v>
      </c>
      <c r="AV161" s="41">
        <f>'[2]побудинковий звіт'!AV161+'[1]побудинковий звіт'!AV161</f>
        <v>254.44015557475581</v>
      </c>
      <c r="AW161" s="41">
        <f>'[2]побудинковий звіт'!AW161+'[1]побудинковий звіт'!AW161</f>
        <v>0</v>
      </c>
      <c r="AX161" s="58">
        <f t="shared" si="141"/>
        <v>-254.44015557475581</v>
      </c>
      <c r="AY161" s="41">
        <f>'[2]побудинковий звіт'!AY161+'[1]побудинковий звіт'!AY161</f>
        <v>348.04797463469504</v>
      </c>
      <c r="AZ161" s="41">
        <f>'[2]побудинковий звіт'!AZ161+'[1]побудинковий звіт'!AZ161</f>
        <v>0</v>
      </c>
      <c r="BA161" s="36">
        <f t="shared" si="142"/>
        <v>-348.04797463469504</v>
      </c>
      <c r="BB161" s="41">
        <f>'[2]побудинковий звіт'!BB161+'[1]побудинковий звіт'!BB161</f>
        <v>205.43000649893943</v>
      </c>
      <c r="BC161" s="41">
        <f>'[2]побудинковий звіт'!BC161+'[1]побудинковий звіт'!BC161</f>
        <v>0</v>
      </c>
      <c r="BD161" s="58">
        <f t="shared" si="143"/>
        <v>-205.43000649893943</v>
      </c>
      <c r="BE161" s="41">
        <f>'[2]побудинковий звіт'!BE161+'[1]побудинковий звіт'!BE161</f>
        <v>0</v>
      </c>
      <c r="BF161" s="41">
        <f>'[2]побудинковий звіт'!BF161+'[1]побудинковий звіт'!BF161</f>
        <v>0</v>
      </c>
      <c r="BG161" s="38">
        <f t="shared" si="144"/>
        <v>0</v>
      </c>
      <c r="BH161" s="41">
        <f>'[2]побудинковий звіт'!BH161+'[1]побудинковий звіт'!BH161</f>
        <v>0</v>
      </c>
      <c r="BI161" s="41">
        <f>'[2]побудинковий звіт'!BI161+'[1]побудинковий звіт'!BI161</f>
        <v>0</v>
      </c>
      <c r="BJ161" s="58">
        <f t="shared" si="145"/>
        <v>0</v>
      </c>
      <c r="BK161" s="41">
        <f>'[2]побудинковий звіт'!BK161+'[1]побудинковий звіт'!BK161</f>
        <v>97.48030724707462</v>
      </c>
      <c r="BL161" s="41">
        <f>'[2]побудинковий звіт'!BL161+'[1]побудинковий звіт'!BL161</f>
        <v>0</v>
      </c>
      <c r="BM161" s="38">
        <f t="shared" si="146"/>
        <v>-97.48030724707462</v>
      </c>
      <c r="BN161" s="41">
        <f>'[2]побудинковий звіт'!BN161+'[1]побудинковий звіт'!BN161</f>
        <v>39.495923617362543</v>
      </c>
      <c r="BO161" s="41">
        <f>'[2]побудинковий звіт'!BO161+'[1]побудинковий звіт'!BO161</f>
        <v>0</v>
      </c>
      <c r="BP161" s="58">
        <f t="shared" si="147"/>
        <v>-39.495923617362543</v>
      </c>
      <c r="BQ161" s="84">
        <f t="shared" si="148"/>
        <v>944.89436757282749</v>
      </c>
      <c r="BR161" s="42">
        <f t="shared" si="149"/>
        <v>0</v>
      </c>
      <c r="BS161" s="58">
        <f t="shared" si="150"/>
        <v>-944.89436757282749</v>
      </c>
      <c r="BT161" s="41">
        <f>'[2]побудинковий звіт'!BT161+'[1]побудинковий звіт'!BT161</f>
        <v>3716.5463157436216</v>
      </c>
      <c r="BU161" s="41">
        <f>'[2]побудинковий звіт'!BU161+'[1]побудинковий звіт'!BU161</f>
        <v>5591.9672036051788</v>
      </c>
      <c r="BV161" s="55">
        <f t="shared" si="151"/>
        <v>1875.4208878615573</v>
      </c>
      <c r="BW161" s="41">
        <f>'[2]побудинковий звіт'!BW161+'[1]побудинковий звіт'!BW161</f>
        <v>2699.2621469281494</v>
      </c>
      <c r="BX161" s="41">
        <f>'[2]побудинковий звіт'!BX161+'[1]побудинковий звіт'!BX161</f>
        <v>3066.1348105751754</v>
      </c>
      <c r="BY161" s="55">
        <f t="shared" si="152"/>
        <v>366.872663647026</v>
      </c>
      <c r="BZ161" s="41">
        <f>'[2]побудинковий звіт'!BZ161+'[1]побудинковий звіт'!BZ161</f>
        <v>2342.845855344237</v>
      </c>
      <c r="CA161" s="41">
        <f>'[2]побудинковий звіт'!CA161+'[1]побудинковий звіт'!CA161</f>
        <v>938.49675488626133</v>
      </c>
      <c r="CB161" s="55">
        <f t="shared" si="153"/>
        <v>-1404.3491004579755</v>
      </c>
      <c r="CC161" s="41">
        <f>'[2]побудинковий звіт'!CC161+'[1]побудинковий звіт'!CC161</f>
        <v>0</v>
      </c>
      <c r="CD161" s="41">
        <f>'[2]побудинковий звіт'!CD161+'[1]побудинковий звіт'!CD161</f>
        <v>0</v>
      </c>
      <c r="CE161" s="55">
        <f t="shared" si="154"/>
        <v>0</v>
      </c>
      <c r="CF161" s="41">
        <f>'[2]побудинковий звіт'!CF161+'[1]побудинковий звіт'!CF161</f>
        <v>0</v>
      </c>
      <c r="CG161" s="41">
        <f>'[2]побудинковий звіт'!CG161+'[1]побудинковий звіт'!CG161</f>
        <v>0</v>
      </c>
      <c r="CH161" s="55">
        <f t="shared" si="155"/>
        <v>0</v>
      </c>
      <c r="CI161" s="41">
        <f>'[2]побудинковий звіт'!CI161+'[1]побудинковий звіт'!CI161</f>
        <v>46.017336527817093</v>
      </c>
      <c r="CJ161" s="41">
        <f>'[2]побудинковий звіт'!CJ161+'[1]побудинковий звіт'!CJ161</f>
        <v>0</v>
      </c>
      <c r="CK161" s="55">
        <f t="shared" si="156"/>
        <v>-46.017336527817093</v>
      </c>
      <c r="CL161" s="41">
        <f>'[2]побудинковий звіт'!CL161+'[1]побудинковий звіт'!CL161</f>
        <v>0</v>
      </c>
      <c r="CM161" s="41">
        <f>'[2]побудинковий звіт'!CM161+'[1]побудинковий звіт'!CM161</f>
        <v>0</v>
      </c>
      <c r="CN161" s="55">
        <f t="shared" si="157"/>
        <v>0</v>
      </c>
      <c r="CO161" s="41">
        <f t="shared" si="158"/>
        <v>46.017336527817093</v>
      </c>
      <c r="CP161" s="42">
        <f t="shared" si="159"/>
        <v>0</v>
      </c>
      <c r="CQ161" s="55">
        <f t="shared" si="160"/>
        <v>-46.017336527817093</v>
      </c>
      <c r="CR161" s="76">
        <f t="shared" si="161"/>
        <v>18634.288399659097</v>
      </c>
      <c r="CS161" s="5">
        <f t="shared" si="162"/>
        <v>13761.923623594183</v>
      </c>
      <c r="CT161" s="55">
        <f t="shared" si="163"/>
        <v>-4872.3647760649146</v>
      </c>
      <c r="CU161" s="84">
        <f t="shared" si="164"/>
        <v>22361.146079590915</v>
      </c>
      <c r="CV161" s="68">
        <f t="shared" si="165"/>
        <v>16514.308348313018</v>
      </c>
      <c r="CW161" s="36">
        <f t="shared" si="166"/>
        <v>-5846.8377312778975</v>
      </c>
      <c r="CX161" s="41">
        <f>'[2]побудинковий звіт'!CX161+'[1]побудинковий звіт'!CX161</f>
        <v>-122.87571446709342</v>
      </c>
      <c r="CY161" s="41">
        <f>'[2]побудинковий звіт'!CY161+'[1]побудинковий звіт'!CY161</f>
        <v>5723.9620168108004</v>
      </c>
      <c r="CZ161" s="55">
        <f t="shared" si="167"/>
        <v>5846.8377312778939</v>
      </c>
      <c r="DA161" s="254">
        <f>'[1]побудинковий звіт'!DA161</f>
        <v>-26096.099271283219</v>
      </c>
      <c r="DB161" s="2">
        <v>2</v>
      </c>
      <c r="DC161" s="702">
        <f>'[1]побудинковий звіт'!DC161</f>
        <v>3346</v>
      </c>
      <c r="DD161" s="702">
        <f>'[1]побудинковий звіт'!DD161</f>
        <v>0</v>
      </c>
      <c r="DE161" s="702">
        <f>'[1]побудинковий звіт'!DE161</f>
        <v>911.96</v>
      </c>
      <c r="DF161" s="702">
        <f>'[1]побудинковий звіт'!DF161</f>
        <v>0</v>
      </c>
      <c r="DG161" s="772">
        <v>-17866.147202010397</v>
      </c>
      <c r="DH161" s="746">
        <f t="shared" si="168"/>
        <v>266859.24438148586</v>
      </c>
      <c r="DI161" s="769"/>
      <c r="DJ161" s="5"/>
      <c r="DK161" s="307">
        <f>VLOOKUP($A161,ціни!$A$4:$G$401,5)</f>
        <v>5.3708735679172532</v>
      </c>
      <c r="DL161" s="307"/>
      <c r="DM161" s="307">
        <f>VLOOKUP($A161,ціни!$A$4:$G$401,7)</f>
        <v>4.6106554953044894</v>
      </c>
      <c r="DN161" s="29">
        <f t="shared" si="179"/>
        <v>1743.9226475027322</v>
      </c>
      <c r="DO161" s="29">
        <f t="shared" si="180"/>
        <v>0</v>
      </c>
      <c r="DP161" s="306">
        <f t="shared" si="169"/>
        <v>1743.9226475027322</v>
      </c>
      <c r="DQ161" s="101"/>
      <c r="DR161" s="29">
        <f>VLOOKUP(A161,'ДЗ нас '!$A$1:$C$359,2)</f>
        <v>1743.92</v>
      </c>
      <c r="DS161" s="733"/>
      <c r="DT161" s="29">
        <f t="shared" si="170"/>
        <v>1743.92</v>
      </c>
      <c r="DU161" s="247">
        <f>VLOOKUP(A161,'новий кошторис с 01.06'!$A$4:$AI$399,35)*1.2</f>
        <v>1831.2268523338087</v>
      </c>
      <c r="DV161" s="29">
        <f t="shared" si="171"/>
        <v>-87.306852333808592</v>
      </c>
      <c r="DW161" s="1016">
        <f>'[2]побудинковий звіт'!$DW$9+'[1]побудинковий звіт'!DW161</f>
        <v>0</v>
      </c>
      <c r="DX161" s="101">
        <f>'[1]побудинковий звіт'!DX161</f>
        <v>0</v>
      </c>
      <c r="DY161" s="5">
        <f t="shared" si="172"/>
        <v>6709.9578127391324</v>
      </c>
      <c r="DZ161" s="5">
        <f t="shared" si="173"/>
        <v>0</v>
      </c>
      <c r="EA161" s="737">
        <f t="shared" si="174"/>
        <v>911.96</v>
      </c>
      <c r="EC161" s="577">
        <f t="shared" si="175"/>
        <v>55760.84571651739</v>
      </c>
      <c r="EE161" s="743">
        <v>8869</v>
      </c>
      <c r="EF161" s="723">
        <f t="shared" si="176"/>
        <v>-8997.1472020103975</v>
      </c>
      <c r="EH161" s="798">
        <v>-20389.213747493493</v>
      </c>
      <c r="EI161" s="101">
        <f>VLOOKUP(A161,'кошти 01.01.24'!$A$9:$D$352,4,FALSE)</f>
        <v>-20249.261540005326</v>
      </c>
    </row>
    <row r="162" spans="1:139" ht="14.4" hidden="1" customHeight="1" x14ac:dyDescent="0.3">
      <c r="A162" s="318">
        <v>150001015</v>
      </c>
      <c r="B162" s="43" t="s">
        <v>593</v>
      </c>
      <c r="C162" s="44" t="s">
        <v>99</v>
      </c>
      <c r="D162" s="44" t="s">
        <v>99</v>
      </c>
      <c r="E162" s="39">
        <f t="shared" si="125"/>
        <v>398.70000000000005</v>
      </c>
      <c r="F162" s="205">
        <f>'[1]побудинковий звіт'!F162</f>
        <v>213.3</v>
      </c>
      <c r="G162" s="29">
        <f>'[1]побудинковий звіт'!G162</f>
        <v>0</v>
      </c>
      <c r="H162" s="148">
        <f>'[1]побудинковий звіт'!H162</f>
        <v>185.4</v>
      </c>
      <c r="I162" s="41">
        <f>'[2]побудинковий звіт'!I162+'[1]побудинковий звіт'!I162</f>
        <v>0</v>
      </c>
      <c r="J162" s="41">
        <f>'[2]побудинковий звіт'!J162+'[1]побудинковий звіт'!J162</f>
        <v>0</v>
      </c>
      <c r="K162" s="55">
        <f t="shared" si="126"/>
        <v>0</v>
      </c>
      <c r="L162" s="41">
        <f>'[2]побудинковий звіт'!L162+'[1]побудинковий звіт'!L162</f>
        <v>0</v>
      </c>
      <c r="M162" s="41">
        <f>'[2]побудинковий звіт'!M162+'[1]побудинковий звіт'!M162</f>
        <v>0</v>
      </c>
      <c r="N162" s="55">
        <f t="shared" si="127"/>
        <v>0</v>
      </c>
      <c r="O162" s="41">
        <f>'[2]побудинковий звіт'!O162+'[1]побудинковий звіт'!O162</f>
        <v>533.82707348861607</v>
      </c>
      <c r="P162" s="41">
        <f>'[2]побудинковий звіт'!P162+'[1]побудинковий звіт'!P162</f>
        <v>535.15867384766614</v>
      </c>
      <c r="Q162" s="55">
        <f t="shared" si="128"/>
        <v>1.3316003590500713</v>
      </c>
      <c r="R162" s="41">
        <f>'[2]побудинковий звіт'!R162+'[1]побудинковий звіт'!R162</f>
        <v>0</v>
      </c>
      <c r="S162" s="41">
        <f>'[2]побудинковий звіт'!S162+'[1]побудинковий звіт'!S162</f>
        <v>0</v>
      </c>
      <c r="T162" s="55">
        <f t="shared" si="129"/>
        <v>0</v>
      </c>
      <c r="U162" s="41">
        <f>'[2]побудинковий звіт'!U162+'[1]побудинковий звіт'!U162</f>
        <v>0</v>
      </c>
      <c r="V162" s="41">
        <f>'[2]побудинковий звіт'!V162+'[1]побудинковий звіт'!V162</f>
        <v>0</v>
      </c>
      <c r="W162" s="55">
        <f t="shared" si="130"/>
        <v>0</v>
      </c>
      <c r="X162" s="41">
        <f>'[2]побудинковий звіт'!X162+'[1]побудинковий звіт'!X162</f>
        <v>0</v>
      </c>
      <c r="Y162" s="41">
        <f>'[2]побудинковий звіт'!Y162+'[1]побудинковий звіт'!Y162</f>
        <v>0</v>
      </c>
      <c r="Z162" s="55">
        <f t="shared" si="131"/>
        <v>0</v>
      </c>
      <c r="AA162" s="41">
        <f>'[2]побудинковий звіт'!AA162+'[1]побудинковий звіт'!AA162</f>
        <v>0</v>
      </c>
      <c r="AB162" s="41">
        <f>'[2]побудинковий звіт'!AB162+'[1]побудинковий звіт'!AB162</f>
        <v>0</v>
      </c>
      <c r="AC162" s="55">
        <f t="shared" si="132"/>
        <v>0</v>
      </c>
      <c r="AD162" s="41">
        <f>'[2]побудинковий звіт'!AD162+'[1]побудинковий звіт'!AD162</f>
        <v>0</v>
      </c>
      <c r="AE162" s="41">
        <f>'[2]побудинковий звіт'!AE162+'[1]побудинковий звіт'!AE162</f>
        <v>0</v>
      </c>
      <c r="AF162" s="36">
        <f t="shared" si="133"/>
        <v>0</v>
      </c>
      <c r="AG162" s="84">
        <f t="shared" si="134"/>
        <v>533.82707348861607</v>
      </c>
      <c r="AH162" s="56">
        <f t="shared" si="135"/>
        <v>535.15867384766614</v>
      </c>
      <c r="AI162" s="55">
        <f t="shared" si="136"/>
        <v>1.3316003590500713</v>
      </c>
      <c r="AJ162" s="41">
        <f>'[2]побудинковий звіт'!AJ162+'[1]побудинковий звіт'!AJ162</f>
        <v>0</v>
      </c>
      <c r="AK162" s="41">
        <f>'[2]побудинковий звіт'!AK162+'[1]побудинковий звіт'!AK162</f>
        <v>0</v>
      </c>
      <c r="AL162" s="55">
        <f t="shared" si="137"/>
        <v>0</v>
      </c>
      <c r="AM162" s="41">
        <f>'[2]побудинковий звіт'!AM162+'[1]побудинковий звіт'!AM162</f>
        <v>0</v>
      </c>
      <c r="AN162" s="41">
        <f>'[2]побудинковий звіт'!AN162+'[1]побудинковий звіт'!AN162</f>
        <v>0</v>
      </c>
      <c r="AO162" s="55">
        <f t="shared" si="138"/>
        <v>0</v>
      </c>
      <c r="AP162" s="41">
        <f>'[2]побудинковий звіт'!AP162+'[1]побудинковий звіт'!AP162</f>
        <v>148.58969143578059</v>
      </c>
      <c r="AQ162" s="41">
        <f>'[2]побудинковий звіт'!AQ162+'[1]побудинковий звіт'!AQ162</f>
        <v>140.47538423161123</v>
      </c>
      <c r="AR162" s="55">
        <f t="shared" si="139"/>
        <v>-8.1143072041693642</v>
      </c>
      <c r="AS162" s="41">
        <f>'[2]побудинковий звіт'!AS162+'[1]побудинковий звіт'!AS162</f>
        <v>3413.2921977174537</v>
      </c>
      <c r="AT162" s="41">
        <f>'[2]побудинковий звіт'!AT162+'[1]побудинковий звіт'!AT162</f>
        <v>3483.9635226235359</v>
      </c>
      <c r="AU162" s="57">
        <f t="shared" si="140"/>
        <v>70.671324906082191</v>
      </c>
      <c r="AV162" s="41">
        <f>'[2]побудинковий звіт'!AV162+'[1]побудинковий звіт'!AV162</f>
        <v>0</v>
      </c>
      <c r="AW162" s="41">
        <f>'[2]побудинковий звіт'!AW162+'[1]побудинковий звіт'!AW162</f>
        <v>0</v>
      </c>
      <c r="AX162" s="58">
        <f t="shared" si="141"/>
        <v>0</v>
      </c>
      <c r="AY162" s="41">
        <f>'[2]побудинковий звіт'!AY162+'[1]побудинковий звіт'!AY162</f>
        <v>0</v>
      </c>
      <c r="AZ162" s="41">
        <f>'[2]побудинковий звіт'!AZ162+'[1]побудинковий звіт'!AZ162</f>
        <v>0</v>
      </c>
      <c r="BA162" s="36">
        <f t="shared" si="142"/>
        <v>0</v>
      </c>
      <c r="BB162" s="41">
        <f>'[2]побудинковий звіт'!BB162+'[1]побудинковий звіт'!BB162</f>
        <v>217.03034843653631</v>
      </c>
      <c r="BC162" s="41">
        <f>'[2]побудинковий звіт'!BC162+'[1]побудинковий звіт'!BC162</f>
        <v>0</v>
      </c>
      <c r="BD162" s="58">
        <f t="shared" si="143"/>
        <v>-217.03034843653631</v>
      </c>
      <c r="BE162" s="41">
        <f>'[2]побудинковий звіт'!BE162+'[1]побудинковий звіт'!BE162</f>
        <v>0</v>
      </c>
      <c r="BF162" s="41">
        <f>'[2]побудинковий звіт'!BF162+'[1]побудинковий звіт'!BF162</f>
        <v>0</v>
      </c>
      <c r="BG162" s="38">
        <f t="shared" si="144"/>
        <v>0</v>
      </c>
      <c r="BH162" s="41">
        <f>'[2]побудинковий звіт'!BH162+'[1]побудинковий звіт'!BH162</f>
        <v>0</v>
      </c>
      <c r="BI162" s="41">
        <f>'[2]побудинковий звіт'!BI162+'[1]побудинковий звіт'!BI162</f>
        <v>0</v>
      </c>
      <c r="BJ162" s="58">
        <f t="shared" si="145"/>
        <v>0</v>
      </c>
      <c r="BK162" s="41">
        <f>'[2]побудинковий звіт'!BK162+'[1]побудинковий звіт'!BK162</f>
        <v>0</v>
      </c>
      <c r="BL162" s="41">
        <f>'[2]побудинковий звіт'!BL162+'[1]побудинковий звіт'!BL162</f>
        <v>0</v>
      </c>
      <c r="BM162" s="38">
        <f t="shared" si="146"/>
        <v>0</v>
      </c>
      <c r="BN162" s="41">
        <f>'[2]побудинковий звіт'!BN162+'[1]побудинковий звіт'!BN162</f>
        <v>0</v>
      </c>
      <c r="BO162" s="41">
        <f>'[2]побудинковий звіт'!BO162+'[1]побудинковий звіт'!BO162</f>
        <v>0</v>
      </c>
      <c r="BP162" s="58">
        <f t="shared" si="147"/>
        <v>0</v>
      </c>
      <c r="BQ162" s="84">
        <f t="shared" si="148"/>
        <v>217.03034843653631</v>
      </c>
      <c r="BR162" s="42">
        <f t="shared" si="149"/>
        <v>0</v>
      </c>
      <c r="BS162" s="58">
        <f t="shared" si="150"/>
        <v>-217.03034843653631</v>
      </c>
      <c r="BT162" s="41">
        <f>'[2]побудинковий звіт'!BT162+'[1]побудинковий звіт'!BT162</f>
        <v>340.04133238104242</v>
      </c>
      <c r="BU162" s="41">
        <f>'[2]побудинковий звіт'!BU162+'[1]побудинковий звіт'!BU162</f>
        <v>832.28866151601403</v>
      </c>
      <c r="BV162" s="55">
        <f t="shared" si="151"/>
        <v>492.24732913497161</v>
      </c>
      <c r="BW162" s="41">
        <f>'[2]побудинковий звіт'!BW162+'[1]побудинковий звіт'!BW162</f>
        <v>0</v>
      </c>
      <c r="BX162" s="41">
        <f>'[2]побудинковий звіт'!BX162+'[1]побудинковий звіт'!BX162</f>
        <v>2.0347390653744855</v>
      </c>
      <c r="BY162" s="55">
        <f t="shared" si="152"/>
        <v>2.0347390653744855</v>
      </c>
      <c r="BZ162" s="41">
        <f>'[2]побудинковий звіт'!BZ162+'[1]побудинковий звіт'!BZ162</f>
        <v>66.844801900958245</v>
      </c>
      <c r="CA162" s="41">
        <f>'[2]побудинковий звіт'!CA162+'[1]побудинковий звіт'!CA162</f>
        <v>74.567278271474564</v>
      </c>
      <c r="CB162" s="55">
        <f t="shared" si="153"/>
        <v>7.7224763705163184</v>
      </c>
      <c r="CC162" s="41">
        <f>'[2]побудинковий звіт'!CC162+'[1]побудинковий звіт'!CC162</f>
        <v>0</v>
      </c>
      <c r="CD162" s="41">
        <f>'[2]побудинковий звіт'!CD162+'[1]побудинковий звіт'!CD162</f>
        <v>0</v>
      </c>
      <c r="CE162" s="55">
        <f t="shared" si="154"/>
        <v>0</v>
      </c>
      <c r="CF162" s="41">
        <f>'[2]побудинковий звіт'!CF162+'[1]побудинковий звіт'!CF162</f>
        <v>0</v>
      </c>
      <c r="CG162" s="41">
        <f>'[2]побудинковий звіт'!CG162+'[1]побудинковий звіт'!CG162</f>
        <v>0</v>
      </c>
      <c r="CH162" s="55">
        <f t="shared" si="155"/>
        <v>0</v>
      </c>
      <c r="CI162" s="41">
        <f>'[2]побудинковий звіт'!CI162+'[1]побудинковий звіт'!CI162</f>
        <v>0</v>
      </c>
      <c r="CJ162" s="41">
        <f>'[2]побудинковий звіт'!CJ162+'[1]побудинковий звіт'!CJ162</f>
        <v>0</v>
      </c>
      <c r="CK162" s="55">
        <f t="shared" si="156"/>
        <v>0</v>
      </c>
      <c r="CL162" s="41">
        <f>'[2]побудинковий звіт'!CL162+'[1]побудинковий звіт'!CL162</f>
        <v>0</v>
      </c>
      <c r="CM162" s="41">
        <f>'[2]побудинковий звіт'!CM162+'[1]побудинковий звіт'!CM162</f>
        <v>0</v>
      </c>
      <c r="CN162" s="55">
        <f t="shared" si="157"/>
        <v>0</v>
      </c>
      <c r="CO162" s="41">
        <f t="shared" si="158"/>
        <v>0</v>
      </c>
      <c r="CP162" s="42">
        <f t="shared" si="159"/>
        <v>0</v>
      </c>
      <c r="CQ162" s="55">
        <f t="shared" si="160"/>
        <v>0</v>
      </c>
      <c r="CR162" s="76">
        <f t="shared" si="161"/>
        <v>4719.6254453603879</v>
      </c>
      <c r="CS162" s="5">
        <f t="shared" si="162"/>
        <v>5068.4882595556764</v>
      </c>
      <c r="CT162" s="55">
        <f t="shared" si="163"/>
        <v>348.86281419528859</v>
      </c>
      <c r="CU162" s="84">
        <f t="shared" si="164"/>
        <v>5663.5505344324656</v>
      </c>
      <c r="CV162" s="68">
        <f t="shared" si="165"/>
        <v>6082.1859114668114</v>
      </c>
      <c r="CW162" s="36">
        <f t="shared" si="166"/>
        <v>418.63537703434577</v>
      </c>
      <c r="CX162" s="41">
        <f>'[2]побудинковий звіт'!CX162+'[1]побудинковий звіт'!CX162</f>
        <v>800.82780059586344</v>
      </c>
      <c r="CY162" s="41">
        <f>'[2]побудинковий звіт'!CY162+'[1]побудинковий звіт'!CY162</f>
        <v>382.19242356151653</v>
      </c>
      <c r="CZ162" s="55">
        <f t="shared" si="167"/>
        <v>-418.6353770343469</v>
      </c>
      <c r="DA162" s="254">
        <f>'[1]побудинковий звіт'!DA162</f>
        <v>-7098.538098314968</v>
      </c>
      <c r="DB162" s="2">
        <v>2</v>
      </c>
      <c r="DC162" s="702">
        <f>'[1]побудинковий звіт'!DC162</f>
        <v>559.15</v>
      </c>
      <c r="DD162" s="702">
        <f>'[1]побудинковий звіт'!DD162</f>
        <v>1504.21</v>
      </c>
      <c r="DE162" s="702">
        <f>'[1]побудинковий звіт'!DE162</f>
        <v>178.96999999999997</v>
      </c>
      <c r="DF162" s="702">
        <f>'[1]побудинковий звіт'!DF162</f>
        <v>1173.76</v>
      </c>
      <c r="DG162" s="772">
        <v>-4502.1559456387131</v>
      </c>
      <c r="DH162" s="746">
        <f t="shared" si="168"/>
        <v>77572.540020339948</v>
      </c>
      <c r="DI162" s="769"/>
      <c r="DJ162" s="5"/>
      <c r="DK162" s="307">
        <f>VLOOKUP($A162,ціни!$A$4:$G$401,5)</f>
        <v>1.2699987905552541</v>
      </c>
      <c r="DL162" s="307"/>
      <c r="DM162" s="307">
        <f>VLOOKUP($A162,ціни!$A$4:$G$401,7)</f>
        <v>1.2699987905552541</v>
      </c>
      <c r="DN162" s="29">
        <f t="shared" si="179"/>
        <v>270.89074202543571</v>
      </c>
      <c r="DO162" s="29">
        <f t="shared" si="180"/>
        <v>235.45777576894412</v>
      </c>
      <c r="DP162" s="306">
        <f t="shared" si="169"/>
        <v>506.34851779437986</v>
      </c>
      <c r="DQ162" s="101"/>
      <c r="DR162" s="29">
        <f>VLOOKUP(A162,'ДЗ нас '!$A$1:$C$359,2)</f>
        <v>270.89</v>
      </c>
      <c r="DS162" s="733">
        <f>VLOOKUP(A162,'ДЗ нежит'!$A$1:$D$153,4,0)</f>
        <v>235.45999999999998</v>
      </c>
      <c r="DT162" s="29">
        <f t="shared" si="170"/>
        <v>506.34999999999997</v>
      </c>
      <c r="DU162" s="247">
        <f>VLOOKUP(A162,'новий кошторис с 01.06'!$A$4:$AI$399,35)*1.2</f>
        <v>441.22785961301491</v>
      </c>
      <c r="DV162" s="29">
        <f t="shared" si="171"/>
        <v>65.122140386985052</v>
      </c>
      <c r="DW162" s="1016">
        <f>'[2]побудинковий звіт'!$DW$9+'[1]побудинковий звіт'!DW162</f>
        <v>0</v>
      </c>
      <c r="DX162" s="101">
        <f>'[1]побудинковий звіт'!DX162</f>
        <v>0</v>
      </c>
      <c r="DY162" s="5">
        <f t="shared" si="172"/>
        <v>4356.3870553847883</v>
      </c>
      <c r="DZ162" s="5">
        <f t="shared" si="173"/>
        <v>4180.7562271482429</v>
      </c>
      <c r="EA162" s="737">
        <f t="shared" si="174"/>
        <v>1352.73</v>
      </c>
      <c r="EC162" s="577">
        <f t="shared" si="175"/>
        <v>40959.506372609445</v>
      </c>
      <c r="EE162" s="743">
        <v>1818</v>
      </c>
      <c r="EF162" s="723">
        <f t="shared" si="176"/>
        <v>-2684.1559456387131</v>
      </c>
      <c r="EH162" s="798">
        <v>-4437.9374117335219</v>
      </c>
      <c r="EI162" s="101">
        <f>VLOOKUP(A162,'кошти 01.01.24'!$A$9:$D$352,4,FALSE)</f>
        <v>-7517.1734753493138</v>
      </c>
    </row>
    <row r="163" spans="1:139" hidden="1" x14ac:dyDescent="0.3">
      <c r="A163" s="318">
        <v>150001016</v>
      </c>
      <c r="B163" s="43" t="s">
        <v>594</v>
      </c>
      <c r="C163" s="44" t="s">
        <v>261</v>
      </c>
      <c r="D163" s="44" t="s">
        <v>261</v>
      </c>
      <c r="E163" s="39">
        <f t="shared" si="125"/>
        <v>3391.34</v>
      </c>
      <c r="F163" s="205">
        <f>'[1]побудинковий звіт'!F163</f>
        <v>2162.2399999999998</v>
      </c>
      <c r="G163" s="29">
        <f>'[1]побудинковий звіт'!G163</f>
        <v>0</v>
      </c>
      <c r="H163" s="148">
        <f>'[1]побудинковий звіт'!H163</f>
        <v>1229.1000000000001</v>
      </c>
      <c r="I163" s="41">
        <f>'[2]побудинковий звіт'!I163+'[1]побудинковий звіт'!I163</f>
        <v>6345.0503925427793</v>
      </c>
      <c r="J163" s="41">
        <f>'[2]побудинковий звіт'!J163+'[1]побудинковий звіт'!J163</f>
        <v>6594.4981941137576</v>
      </c>
      <c r="K163" s="55">
        <f t="shared" si="126"/>
        <v>249.4478015709783</v>
      </c>
      <c r="L163" s="41">
        <f>'[2]побудинковий звіт'!L163+'[1]побудинковий звіт'!L163</f>
        <v>1255.6750626685784</v>
      </c>
      <c r="M163" s="41">
        <f>'[2]побудинковий звіт'!M163+'[1]побудинковий звіт'!M163</f>
        <v>1316.3691407887832</v>
      </c>
      <c r="N163" s="55">
        <f t="shared" si="127"/>
        <v>60.694078120204722</v>
      </c>
      <c r="O163" s="41">
        <f>'[2]побудинковий звіт'!O163+'[1]побудинковий звіт'!O163</f>
        <v>4288.2878265067357</v>
      </c>
      <c r="P163" s="41">
        <f>'[2]побудинковий звіт'!P163+'[1]побудинковий звіт'!P163</f>
        <v>4300.5450805334076</v>
      </c>
      <c r="Q163" s="55">
        <f t="shared" si="128"/>
        <v>12.257254026671944</v>
      </c>
      <c r="R163" s="41">
        <f>'[2]побудинковий звіт'!R163+'[1]побудинковий звіт'!R163</f>
        <v>1255.6639544877037</v>
      </c>
      <c r="S163" s="41">
        <f>'[2]побудинковий звіт'!S163+'[1]побудинковий звіт'!S163</f>
        <v>1258.71995209232</v>
      </c>
      <c r="T163" s="55">
        <f t="shared" si="129"/>
        <v>3.0559976046163229</v>
      </c>
      <c r="U163" s="41">
        <f>'[2]побудинковий звіт'!U163+'[1]побудинковий звіт'!U163</f>
        <v>187.10196558541708</v>
      </c>
      <c r="V163" s="41">
        <f>'[2]побудинковий звіт'!V163+'[1]побудинковий звіт'!V163</f>
        <v>107.9445908639935</v>
      </c>
      <c r="W163" s="55">
        <f t="shared" si="130"/>
        <v>-79.157374721423579</v>
      </c>
      <c r="X163" s="41">
        <f>'[2]побудинковий звіт'!X163+'[1]побудинковий звіт'!X163</f>
        <v>5590.1880076892367</v>
      </c>
      <c r="Y163" s="41">
        <f>'[2]побудинковий звіт'!Y163+'[1]побудинковий звіт'!Y163</f>
        <v>5535.6941160791002</v>
      </c>
      <c r="Z163" s="55">
        <f t="shared" si="131"/>
        <v>-54.493891610136416</v>
      </c>
      <c r="AA163" s="41">
        <f>'[2]побудинковий звіт'!AA163+'[1]побудинковий звіт'!AA163</f>
        <v>0</v>
      </c>
      <c r="AB163" s="41">
        <f>'[2]побудинковий звіт'!AB163+'[1]побудинковий звіт'!AB163</f>
        <v>0</v>
      </c>
      <c r="AC163" s="55">
        <f t="shared" si="132"/>
        <v>0</v>
      </c>
      <c r="AD163" s="41">
        <f>'[2]побудинковий звіт'!AD163+'[1]побудинковий звіт'!AD163</f>
        <v>14374.393591500924</v>
      </c>
      <c r="AE163" s="41">
        <f>'[2]побудинковий звіт'!AE163+'[1]побудинковий звіт'!AE163</f>
        <v>14302.58550386511</v>
      </c>
      <c r="AF163" s="36">
        <f t="shared" si="133"/>
        <v>-71.808087635814445</v>
      </c>
      <c r="AG163" s="84">
        <f t="shared" si="134"/>
        <v>33296.360800981376</v>
      </c>
      <c r="AH163" s="56">
        <f t="shared" si="135"/>
        <v>33416.356578336476</v>
      </c>
      <c r="AI163" s="55">
        <f t="shared" si="136"/>
        <v>119.99577735509956</v>
      </c>
      <c r="AJ163" s="41">
        <f>'[2]побудинковий звіт'!AJ163+'[1]побудинковий звіт'!AJ163</f>
        <v>0</v>
      </c>
      <c r="AK163" s="41">
        <f>'[2]побудинковий звіт'!AK163+'[1]побудинковий звіт'!AK163</f>
        <v>0</v>
      </c>
      <c r="AL163" s="55">
        <f t="shared" si="137"/>
        <v>0</v>
      </c>
      <c r="AM163" s="41">
        <f>'[2]побудинковий звіт'!AM163+'[1]побудинковий звіт'!AM163</f>
        <v>0</v>
      </c>
      <c r="AN163" s="41">
        <f>'[2]побудинковий звіт'!AN163+'[1]побудинковий звіт'!AN163</f>
        <v>0</v>
      </c>
      <c r="AO163" s="55">
        <f t="shared" si="138"/>
        <v>0</v>
      </c>
      <c r="AP163" s="41">
        <f>'[2]побудинковий звіт'!AP163+'[1]побудинковий звіт'!AP163</f>
        <v>1666.9614411475377</v>
      </c>
      <c r="AQ163" s="41">
        <f>'[2]побудинковий звіт'!AQ163+'[1]побудинковий звіт'!AQ163</f>
        <v>1463.3275930033933</v>
      </c>
      <c r="AR163" s="55">
        <f t="shared" si="139"/>
        <v>-203.63384814414439</v>
      </c>
      <c r="AS163" s="41">
        <f>'[2]побудинковий звіт'!AS163+'[1]побудинковий звіт'!AS163</f>
        <v>41393.324952808354</v>
      </c>
      <c r="AT163" s="41">
        <f>'[2]побудинковий звіт'!AT163+'[1]побудинковий звіт'!AT163</f>
        <v>12261.735417630327</v>
      </c>
      <c r="AU163" s="57">
        <f t="shared" si="140"/>
        <v>-29131.589535178027</v>
      </c>
      <c r="AV163" s="41">
        <f>'[2]побудинковий звіт'!AV163+'[1]побудинковий звіт'!AV163</f>
        <v>1155.4940927395332</v>
      </c>
      <c r="AW163" s="41">
        <f>'[2]побудинковий звіт'!AW163+'[1]побудинковий звіт'!AW163</f>
        <v>0</v>
      </c>
      <c r="AX163" s="58">
        <f t="shared" si="141"/>
        <v>-1155.4940927395332</v>
      </c>
      <c r="AY163" s="41">
        <f>'[2]побудинковий звіт'!AY163+'[1]побудинковий звіт'!AY163</f>
        <v>1554.3888380384083</v>
      </c>
      <c r="AZ163" s="41">
        <f>'[2]побудинковий звіт'!AZ163+'[1]побудинковий звіт'!AZ163</f>
        <v>0</v>
      </c>
      <c r="BA163" s="36">
        <f t="shared" si="142"/>
        <v>-1554.3888380384083</v>
      </c>
      <c r="BB163" s="41">
        <f>'[2]побудинковий звіт'!BB163+'[1]побудинковий звіт'!BB163</f>
        <v>2598.4632400501673</v>
      </c>
      <c r="BC163" s="41">
        <f>'[2]побудинковий звіт'!BC163+'[1]побудинковий звіт'!BC163</f>
        <v>0</v>
      </c>
      <c r="BD163" s="58">
        <f t="shared" si="143"/>
        <v>-2598.4632400501673</v>
      </c>
      <c r="BE163" s="41">
        <f>'[2]побудинковий звіт'!BE163+'[1]побудинковий звіт'!BE163</f>
        <v>1258.2311066218699</v>
      </c>
      <c r="BF163" s="41">
        <f>'[2]побудинковий звіт'!BF163+'[1]побудинковий звіт'!BF163</f>
        <v>0</v>
      </c>
      <c r="BG163" s="38">
        <f t="shared" si="144"/>
        <v>-1258.2311066218699</v>
      </c>
      <c r="BH163" s="41">
        <f>'[2]побудинковий звіт'!BH163+'[1]побудинковий звіт'!BH163</f>
        <v>110.27308797143304</v>
      </c>
      <c r="BI163" s="41">
        <f>'[2]побудинковий звіт'!BI163+'[1]побудинковий звіт'!BI163</f>
        <v>892.23699869614256</v>
      </c>
      <c r="BJ163" s="58">
        <f t="shared" si="145"/>
        <v>781.96391072470954</v>
      </c>
      <c r="BK163" s="41">
        <f>'[2]побудинковий звіт'!BK163+'[1]побудинковий звіт'!BK163</f>
        <v>944.50211243406329</v>
      </c>
      <c r="BL163" s="41">
        <f>'[2]побудинковий звіт'!BL163+'[1]побудинковий звіт'!BL163</f>
        <v>938.16598089821059</v>
      </c>
      <c r="BM163" s="38">
        <f t="shared" si="146"/>
        <v>-6.3361315358527008</v>
      </c>
      <c r="BN163" s="41">
        <f>'[2]побудинковий звіт'!BN163+'[1]побудинковий звіт'!BN163</f>
        <v>74.286216938772441</v>
      </c>
      <c r="BO163" s="41">
        <f>'[2]побудинковий звіт'!BO163+'[1]побудинковий звіт'!BO163</f>
        <v>0</v>
      </c>
      <c r="BP163" s="58">
        <f t="shared" si="147"/>
        <v>-74.286216938772441</v>
      </c>
      <c r="BQ163" s="84">
        <f t="shared" si="148"/>
        <v>7695.6386947942474</v>
      </c>
      <c r="BR163" s="42">
        <f t="shared" si="149"/>
        <v>1830.4029795943532</v>
      </c>
      <c r="BS163" s="58">
        <f t="shared" si="150"/>
        <v>-5865.235715199894</v>
      </c>
      <c r="BT163" s="41">
        <f>'[2]побудинковий звіт'!BT163+'[1]побудинковий звіт'!BT163</f>
        <v>41738.109302846526</v>
      </c>
      <c r="BU163" s="41">
        <f>'[2]побудинковий звіт'!BU163+'[1]побудинковий звіт'!BU163</f>
        <v>61017.616550272549</v>
      </c>
      <c r="BV163" s="55">
        <f t="shared" si="151"/>
        <v>19279.507247426023</v>
      </c>
      <c r="BW163" s="41">
        <f>'[2]побудинковий звіт'!BW163+'[1]побудинковий звіт'!BW163</f>
        <v>16173.519330477624</v>
      </c>
      <c r="BX163" s="41">
        <f>'[2]побудинковий звіт'!BX163+'[1]побудинковий звіт'!BX163</f>
        <v>17793.35289430758</v>
      </c>
      <c r="BY163" s="55">
        <f t="shared" si="152"/>
        <v>1619.8335638299559</v>
      </c>
      <c r="BZ163" s="41">
        <f>'[2]побудинковий звіт'!BZ163+'[1]побудинковий звіт'!BZ163</f>
        <v>18348.786418866886</v>
      </c>
      <c r="CA163" s="41">
        <f>'[2]побудинковий звіт'!CA163+'[1]побудинковий звіт'!CA163</f>
        <v>6604.2898096729468</v>
      </c>
      <c r="CB163" s="55">
        <f t="shared" si="153"/>
        <v>-11744.496609193939</v>
      </c>
      <c r="CC163" s="41">
        <f>'[2]побудинковий звіт'!CC163+'[1]побудинковий звіт'!CC163</f>
        <v>0</v>
      </c>
      <c r="CD163" s="41">
        <f>'[2]побудинковий звіт'!CD163+'[1]побудинковий звіт'!CD163</f>
        <v>0</v>
      </c>
      <c r="CE163" s="55">
        <f t="shared" si="154"/>
        <v>0</v>
      </c>
      <c r="CF163" s="41">
        <f>'[2]побудинковий звіт'!CF163+'[1]побудинковий звіт'!CF163</f>
        <v>0</v>
      </c>
      <c r="CG163" s="41">
        <f>'[2]побудинковий звіт'!CG163+'[1]побудинковий звіт'!CG163</f>
        <v>0</v>
      </c>
      <c r="CH163" s="55">
        <f t="shared" si="155"/>
        <v>0</v>
      </c>
      <c r="CI163" s="41">
        <f>'[2]побудинковий звіт'!CI163+'[1]побудинковий звіт'!CI163</f>
        <v>3502.7447079701697</v>
      </c>
      <c r="CJ163" s="41">
        <f>'[2]побудинковий звіт'!CJ163+'[1]побудинковий звіт'!CJ163</f>
        <v>2746.1065516824669</v>
      </c>
      <c r="CK163" s="55">
        <f t="shared" si="156"/>
        <v>-756.63815628770271</v>
      </c>
      <c r="CL163" s="41">
        <f>'[2]побудинковий звіт'!CL163+'[1]побудинковий звіт'!CL163</f>
        <v>0</v>
      </c>
      <c r="CM163" s="41">
        <f>'[2]побудинковий звіт'!CM163+'[1]побудинковий звіт'!CM163</f>
        <v>0</v>
      </c>
      <c r="CN163" s="55">
        <f t="shared" si="157"/>
        <v>0</v>
      </c>
      <c r="CO163" s="41">
        <f t="shared" si="158"/>
        <v>3502.7447079701697</v>
      </c>
      <c r="CP163" s="42">
        <f t="shared" si="159"/>
        <v>2746.1065516824669</v>
      </c>
      <c r="CQ163" s="55">
        <f t="shared" si="160"/>
        <v>-756.63815628770271</v>
      </c>
      <c r="CR163" s="76">
        <f t="shared" si="161"/>
        <v>163815.44564989273</v>
      </c>
      <c r="CS163" s="5">
        <f t="shared" si="162"/>
        <v>137133.18837450008</v>
      </c>
      <c r="CT163" s="55">
        <f t="shared" si="163"/>
        <v>-26682.257275392651</v>
      </c>
      <c r="CU163" s="84">
        <f t="shared" si="164"/>
        <v>196578.53477987126</v>
      </c>
      <c r="CV163" s="68">
        <f t="shared" si="165"/>
        <v>164559.82604940009</v>
      </c>
      <c r="CW163" s="36">
        <f t="shared" si="166"/>
        <v>-32018.708730471175</v>
      </c>
      <c r="CX163" s="41">
        <f>'[2]побудинковий звіт'!CX163+'[1]побудинковий звіт'!CX163</f>
        <v>9194.5931721500601</v>
      </c>
      <c r="CY163" s="41">
        <f>'[2]побудинковий звіт'!CY163+'[1]побудинковий звіт'!CY163</f>
        <v>41213.301902621213</v>
      </c>
      <c r="CZ163" s="55">
        <f t="shared" si="167"/>
        <v>32018.708730471153</v>
      </c>
      <c r="DA163" s="254">
        <f>'[1]побудинковий звіт'!DA163</f>
        <v>-45490.555672989933</v>
      </c>
      <c r="DB163" s="2">
        <v>2</v>
      </c>
      <c r="DC163" s="702">
        <f>'[1]побудинковий звіт'!DC163</f>
        <v>55704.36</v>
      </c>
      <c r="DD163" s="702">
        <f>'[1]побудинковий звіт'!DD163</f>
        <v>32273.819999999996</v>
      </c>
      <c r="DE163" s="702">
        <f>'[1]побудинковий звіт'!DE163</f>
        <v>40567.020000000004</v>
      </c>
      <c r="DF163" s="702">
        <f>'[1]побудинковий звіт'!DF163</f>
        <v>24860.039999999997</v>
      </c>
      <c r="DG163" s="772">
        <v>-17910.825230468763</v>
      </c>
      <c r="DH163" s="746">
        <f t="shared" si="168"/>
        <v>2469277.5354242558</v>
      </c>
      <c r="DI163" s="769"/>
      <c r="DJ163" s="5"/>
      <c r="DK163" s="307">
        <f>VLOOKUP($A163,ціни!$A$4:$G$401,5)</f>
        <v>5.0208612816706939</v>
      </c>
      <c r="DL163" s="307"/>
      <c r="DM163" s="307">
        <f>VLOOKUP($A163,ціни!$A$4:$G$401,7)</f>
        <v>4.2913911110361864</v>
      </c>
      <c r="DN163" s="29">
        <f t="shared" si="179"/>
        <v>10856.307097679641</v>
      </c>
      <c r="DO163" s="29">
        <f t="shared" si="180"/>
        <v>5274.5488145745776</v>
      </c>
      <c r="DP163" s="306">
        <f t="shared" si="169"/>
        <v>16130.855912254217</v>
      </c>
      <c r="DQ163" s="101"/>
      <c r="DR163" s="29">
        <f>VLOOKUP(A163,'ДЗ нас '!$A$1:$C$359,2)</f>
        <v>10857.97</v>
      </c>
      <c r="DS163" s="733">
        <f>VLOOKUP(A163,'ДЗ нежит'!$A$1:$D$153,4,0)</f>
        <v>5274.5700000000006</v>
      </c>
      <c r="DT163" s="29">
        <f t="shared" si="170"/>
        <v>16132.54</v>
      </c>
      <c r="DU163" s="247">
        <f>VLOOKUP(A163,'новий кошторис с 01.06'!$A$4:$AI$399,35)*1.2</f>
        <v>15793.074035685786</v>
      </c>
      <c r="DV163" s="29">
        <f t="shared" si="171"/>
        <v>339.46596431421494</v>
      </c>
      <c r="DW163" s="1016">
        <f>'[2]побудинковий звіт'!$DW$9+'[1]побудинковий звіт'!DW163</f>
        <v>1062</v>
      </c>
      <c r="DX163" s="101">
        <f>'[1]побудинковий звіт'!DX163</f>
        <v>0</v>
      </c>
      <c r="DY163" s="5">
        <f t="shared" si="172"/>
        <v>58906.756377123114</v>
      </c>
      <c r="DZ163" s="5">
        <f t="shared" si="173"/>
        <v>16910.566076669616</v>
      </c>
      <c r="EA163" s="737">
        <f t="shared" si="174"/>
        <v>65427.06</v>
      </c>
      <c r="EC163" s="577">
        <f t="shared" si="175"/>
        <v>496719.89943370025</v>
      </c>
      <c r="EE163" s="743">
        <v>68920</v>
      </c>
      <c r="EF163" s="723">
        <f t="shared" si="176"/>
        <v>51009.174769531237</v>
      </c>
      <c r="EH163" s="798">
        <v>-6018.3055562854643</v>
      </c>
      <c r="EI163" s="101">
        <f>VLOOKUP(A163,'кошти 01.01.24'!$A$9:$D$352,4,FALSE)</f>
        <v>-13471.846942518758</v>
      </c>
    </row>
    <row r="164" spans="1:139" hidden="1" x14ac:dyDescent="0.3">
      <c r="A164" s="318">
        <v>150001007</v>
      </c>
      <c r="B164" s="43" t="s">
        <v>595</v>
      </c>
      <c r="C164" s="44" t="s">
        <v>213</v>
      </c>
      <c r="D164" s="44" t="s">
        <v>213</v>
      </c>
      <c r="E164" s="39">
        <f t="shared" si="125"/>
        <v>2046.6999999999998</v>
      </c>
      <c r="F164" s="205">
        <f>'[1]побудинковий звіт'!F164</f>
        <v>2000.6</v>
      </c>
      <c r="G164" s="29">
        <f>'[1]побудинковий звіт'!G164</f>
        <v>0</v>
      </c>
      <c r="H164" s="148">
        <f>'[1]побудинковий звіт'!H164</f>
        <v>46.1</v>
      </c>
      <c r="I164" s="41">
        <f>'[2]побудинковий звіт'!I164+'[1]побудинковий звіт'!I164</f>
        <v>8254.2553476917346</v>
      </c>
      <c r="J164" s="41">
        <f>'[2]побудинковий звіт'!J164+'[1]побудинковий звіт'!J164</f>
        <v>8456.6193242886875</v>
      </c>
      <c r="K164" s="55">
        <f t="shared" si="126"/>
        <v>202.36397659695285</v>
      </c>
      <c r="L164" s="41">
        <f>'[2]побудинковий звіт'!L164+'[1]побудинковий звіт'!L164</f>
        <v>1500.2297167802531</v>
      </c>
      <c r="M164" s="41">
        <f>'[2]побудинковий звіт'!M164+'[1]побудинковий звіт'!M164</f>
        <v>1574.8210227423924</v>
      </c>
      <c r="N164" s="55">
        <f t="shared" si="127"/>
        <v>74.591305962139359</v>
      </c>
      <c r="O164" s="41">
        <f>'[2]побудинковий звіт'!O164+'[1]побудинковий звіт'!O164</f>
        <v>3014.572356383846</v>
      </c>
      <c r="P164" s="41">
        <f>'[2]побудинковий звіт'!P164+'[1]побудинковий звіт'!P164</f>
        <v>3023.2542347900139</v>
      </c>
      <c r="Q164" s="55">
        <f t="shared" si="128"/>
        <v>8.6818784061679253</v>
      </c>
      <c r="R164" s="41">
        <f>'[2]побудинковий звіт'!R164+'[1]побудинковий звіт'!R164</f>
        <v>0</v>
      </c>
      <c r="S164" s="41">
        <f>'[2]побудинковий звіт'!S164+'[1]побудинковий звіт'!S164</f>
        <v>0</v>
      </c>
      <c r="T164" s="55">
        <f t="shared" si="129"/>
        <v>0</v>
      </c>
      <c r="U164" s="41">
        <f>'[2]побудинковий звіт'!U164+'[1]побудинковий звіт'!U164</f>
        <v>149.68157246833368</v>
      </c>
      <c r="V164" s="41">
        <f>'[2]побудинковий звіт'!V164+'[1]побудинковий звіт'!V164</f>
        <v>86.355672691194812</v>
      </c>
      <c r="W164" s="55">
        <f t="shared" si="130"/>
        <v>-63.325899777138872</v>
      </c>
      <c r="X164" s="41">
        <f>'[2]побудинковий звіт'!X164+'[1]побудинковий звіт'!X164</f>
        <v>4211.5314260685636</v>
      </c>
      <c r="Y164" s="41">
        <f>'[2]побудинковий звіт'!Y164+'[1]побудинковий звіт'!Y164</f>
        <v>5992.1562828595579</v>
      </c>
      <c r="Z164" s="55">
        <f t="shared" si="131"/>
        <v>1780.6248567909943</v>
      </c>
      <c r="AA164" s="41">
        <f>'[2]побудинковий звіт'!AA164+'[1]побудинковий звіт'!AA164</f>
        <v>0</v>
      </c>
      <c r="AB164" s="41">
        <f>'[2]побудинковий звіт'!AB164+'[1]побудинковий звіт'!AB164</f>
        <v>0</v>
      </c>
      <c r="AC164" s="55">
        <f t="shared" si="132"/>
        <v>0</v>
      </c>
      <c r="AD164" s="41">
        <f>'[2]побудинковий звіт'!AD164+'[1]побудинковий звіт'!AD164</f>
        <v>8875.3773936189718</v>
      </c>
      <c r="AE164" s="41">
        <f>'[2]побудинковий звіт'!AE164+'[1]побудинковий звіт'!AE164</f>
        <v>8840.9269816412379</v>
      </c>
      <c r="AF164" s="36">
        <f t="shared" si="133"/>
        <v>-34.450411977733893</v>
      </c>
      <c r="AG164" s="84">
        <f t="shared" si="134"/>
        <v>26005.647813011703</v>
      </c>
      <c r="AH164" s="56">
        <f t="shared" si="135"/>
        <v>27974.133519013085</v>
      </c>
      <c r="AI164" s="55">
        <f t="shared" si="136"/>
        <v>1968.4857060013819</v>
      </c>
      <c r="AJ164" s="41">
        <f>'[2]побудинковий звіт'!AJ164+'[1]побудинковий звіт'!AJ164</f>
        <v>0</v>
      </c>
      <c r="AK164" s="41">
        <f>'[2]побудинковий звіт'!AK164+'[1]побудинковий звіт'!AK164</f>
        <v>0</v>
      </c>
      <c r="AL164" s="55">
        <f t="shared" si="137"/>
        <v>0</v>
      </c>
      <c r="AM164" s="41">
        <f>'[2]побудинковий звіт'!AM164+'[1]побудинковий звіт'!AM164</f>
        <v>0</v>
      </c>
      <c r="AN164" s="41">
        <f>'[2]побудинковий звіт'!AN164+'[1]побудинковий звіт'!AN164</f>
        <v>0</v>
      </c>
      <c r="AO164" s="55">
        <f t="shared" si="138"/>
        <v>0</v>
      </c>
      <c r="AP164" s="41">
        <f>'[2]побудинковий звіт'!AP164+'[1]побудинковий звіт'!AP164</f>
        <v>6983.7154974816867</v>
      </c>
      <c r="AQ164" s="41">
        <f>'[2]побудинковий звіт'!AQ164+'[1]побудинковий звіт'!AQ164</f>
        <v>7917.3190047438784</v>
      </c>
      <c r="AR164" s="55">
        <f t="shared" si="139"/>
        <v>933.60350726219167</v>
      </c>
      <c r="AS164" s="41">
        <f>'[2]побудинковий звіт'!AS164+'[1]побудинковий звіт'!AS164</f>
        <v>27771.45627796137</v>
      </c>
      <c r="AT164" s="41">
        <f>'[2]побудинковий звіт'!AT164+'[1]побудинковий звіт'!AT164</f>
        <v>19291.888893497184</v>
      </c>
      <c r="AU164" s="57">
        <f t="shared" si="140"/>
        <v>-8479.567384464186</v>
      </c>
      <c r="AV164" s="41">
        <f>'[2]побудинковий звіт'!AV164+'[1]побудинковий звіт'!AV164</f>
        <v>1398.1583177659629</v>
      </c>
      <c r="AW164" s="41">
        <f>'[2]побудинковий звіт'!AW164+'[1]побудинковий звіт'!AW164</f>
        <v>0</v>
      </c>
      <c r="AX164" s="58">
        <f t="shared" si="141"/>
        <v>-1398.1583177659629</v>
      </c>
      <c r="AY164" s="41">
        <f>'[2]побудинковий звіт'!AY164+'[1]побудинковий звіт'!AY164</f>
        <v>1804.4829570046056</v>
      </c>
      <c r="AZ164" s="41">
        <f>'[2]побудинковий звіт'!AZ164+'[1]побудинковий звіт'!AZ164</f>
        <v>0</v>
      </c>
      <c r="BA164" s="36">
        <f t="shared" si="142"/>
        <v>-1804.4829570046056</v>
      </c>
      <c r="BB164" s="41">
        <f>'[2]побудинковий звіт'!BB164+'[1]побудинковий звіт'!BB164</f>
        <v>1405.8856543579054</v>
      </c>
      <c r="BC164" s="41">
        <f>'[2]побудинковий звіт'!BC164+'[1]побудинковий звіт'!BC164</f>
        <v>0</v>
      </c>
      <c r="BD164" s="58">
        <f t="shared" si="143"/>
        <v>-1405.8856543579054</v>
      </c>
      <c r="BE164" s="41">
        <f>'[2]побудинковий звіт'!BE164+'[1]побудинковий звіт'!BE164</f>
        <v>0</v>
      </c>
      <c r="BF164" s="41">
        <f>'[2]побудинковий звіт'!BF164+'[1]побудинковий звіт'!BF164</f>
        <v>0</v>
      </c>
      <c r="BG164" s="38">
        <f t="shared" si="144"/>
        <v>0</v>
      </c>
      <c r="BH164" s="41">
        <f>'[2]побудинковий звіт'!BH164+'[1]побудинковий звіт'!BH164</f>
        <v>88.218470377146446</v>
      </c>
      <c r="BI164" s="41">
        <f>'[2]побудинковий звіт'!BI164+'[1]побудинковий звіт'!BI164</f>
        <v>575.62394851667761</v>
      </c>
      <c r="BJ164" s="58">
        <f t="shared" si="145"/>
        <v>487.40547813953117</v>
      </c>
      <c r="BK164" s="41">
        <f>'[2]побудинковий звіт'!BK164+'[1]побудинковий звіт'!BK164</f>
        <v>743.98472809351313</v>
      </c>
      <c r="BL164" s="41">
        <f>'[2]побудинковий звіт'!BL164+'[1]побудинковий звіт'!BL164</f>
        <v>0</v>
      </c>
      <c r="BM164" s="38">
        <f t="shared" si="146"/>
        <v>-743.98472809351313</v>
      </c>
      <c r="BN164" s="41">
        <f>'[2]побудинковий звіт'!BN164+'[1]побудинковий звіт'!BN164</f>
        <v>45.299534315704136</v>
      </c>
      <c r="BO164" s="41">
        <f>'[2]побудинковий звіт'!BO164+'[1]побудинковий звіт'!BO164</f>
        <v>4080.4874683600001</v>
      </c>
      <c r="BP164" s="58">
        <f t="shared" si="147"/>
        <v>4035.1879340442961</v>
      </c>
      <c r="BQ164" s="84">
        <f t="shared" si="148"/>
        <v>5486.0296619148376</v>
      </c>
      <c r="BR164" s="42">
        <f t="shared" si="149"/>
        <v>4656.111416876678</v>
      </c>
      <c r="BS164" s="58">
        <f t="shared" si="150"/>
        <v>-829.91824503815951</v>
      </c>
      <c r="BT164" s="41">
        <f>'[2]побудинковий звіт'!BT164+'[1]побудинковий звіт'!BT164</f>
        <v>13454.412587474717</v>
      </c>
      <c r="BU164" s="41">
        <f>'[2]побудинковий звіт'!BU164+'[1]побудинковий звіт'!BU164</f>
        <v>24790.53475131403</v>
      </c>
      <c r="BV164" s="55">
        <f t="shared" si="151"/>
        <v>11336.122163839313</v>
      </c>
      <c r="BW164" s="41">
        <f>'[2]побудинковий звіт'!BW164+'[1]побудинковий звіт'!BW164</f>
        <v>11685.139640523048</v>
      </c>
      <c r="BX164" s="41">
        <f>'[2]побудинковий звіт'!BX164+'[1]побудинковий звіт'!BX164</f>
        <v>12100.955878113777</v>
      </c>
      <c r="BY164" s="55">
        <f t="shared" si="152"/>
        <v>415.81623759072863</v>
      </c>
      <c r="BZ164" s="41">
        <f>'[2]побудинковий звіт'!BZ164+'[1]побудинковий звіт'!BZ164</f>
        <v>7898.914030929066</v>
      </c>
      <c r="CA164" s="41">
        <f>'[2]побудинковий звіт'!CA164+'[1]побудинковий звіт'!CA164</f>
        <v>2625.825769810448</v>
      </c>
      <c r="CB164" s="55">
        <f t="shared" si="153"/>
        <v>-5273.088261118618</v>
      </c>
      <c r="CC164" s="41">
        <f>'[2]побудинковий звіт'!CC164+'[1]побудинковий звіт'!CC164</f>
        <v>2084.3619535122716</v>
      </c>
      <c r="CD164" s="41">
        <f>'[2]побудинковий звіт'!CD164+'[1]побудинковий звіт'!CD164</f>
        <v>2091.4297923992503</v>
      </c>
      <c r="CE164" s="55">
        <f t="shared" si="154"/>
        <v>7.0678388869787341</v>
      </c>
      <c r="CF164" s="41">
        <f>'[2]побудинковий звіт'!CF164+'[1]побудинковий звіт'!CF164</f>
        <v>258.24136727038348</v>
      </c>
      <c r="CG164" s="41">
        <f>'[2]побудинковий звіт'!CG164+'[1]побудинковий звіт'!CG164</f>
        <v>0</v>
      </c>
      <c r="CH164" s="55">
        <f t="shared" si="155"/>
        <v>-258.24136727038348</v>
      </c>
      <c r="CI164" s="41">
        <f>'[2]побудинковий звіт'!CI164+'[1]побудинковий звіт'!CI164</f>
        <v>3363.4482838421254</v>
      </c>
      <c r="CJ164" s="41">
        <f>'[2]побудинковий звіт'!CJ164+'[1]побудинковий звіт'!CJ164</f>
        <v>2797.1173893289524</v>
      </c>
      <c r="CK164" s="55">
        <f t="shared" si="156"/>
        <v>-566.33089451317301</v>
      </c>
      <c r="CL164" s="41">
        <f>'[2]побудинковий звіт'!CL164+'[1]побудинковий звіт'!CL164</f>
        <v>0</v>
      </c>
      <c r="CM164" s="41">
        <f>'[2]побудинковий звіт'!CM164+'[1]побудинковий звіт'!CM164</f>
        <v>0</v>
      </c>
      <c r="CN164" s="55">
        <f t="shared" si="157"/>
        <v>0</v>
      </c>
      <c r="CO164" s="41">
        <f t="shared" si="158"/>
        <v>3363.4482838421254</v>
      </c>
      <c r="CP164" s="42">
        <f t="shared" si="159"/>
        <v>2797.1173893289524</v>
      </c>
      <c r="CQ164" s="55">
        <f t="shared" si="160"/>
        <v>-566.33089451317301</v>
      </c>
      <c r="CR164" s="76">
        <f t="shared" si="161"/>
        <v>104991.36711392121</v>
      </c>
      <c r="CS164" s="5">
        <f t="shared" si="162"/>
        <v>104245.31641509727</v>
      </c>
      <c r="CT164" s="55">
        <f t="shared" si="163"/>
        <v>-746.05069882393582</v>
      </c>
      <c r="CU164" s="84">
        <f t="shared" si="164"/>
        <v>125989.64053670544</v>
      </c>
      <c r="CV164" s="68">
        <f t="shared" si="165"/>
        <v>125094.37969811673</v>
      </c>
      <c r="CW164" s="36">
        <f t="shared" si="166"/>
        <v>-895.26083858871425</v>
      </c>
      <c r="CX164" s="41">
        <f>'[2]побудинковий звіт'!CX164+'[1]побудинковий звіт'!CX164</f>
        <v>2834.159888786412</v>
      </c>
      <c r="CY164" s="41">
        <f>'[2]побудинковий звіт'!CY164+'[1]побудинковий звіт'!CY164</f>
        <v>3729.4207273751135</v>
      </c>
      <c r="CZ164" s="55">
        <f t="shared" si="167"/>
        <v>895.26083858870152</v>
      </c>
      <c r="DA164" s="254">
        <f>'[1]побудинковий звіт'!DA164</f>
        <v>-21966.425219912806</v>
      </c>
      <c r="DB164" s="2">
        <v>2</v>
      </c>
      <c r="DC164" s="702">
        <f>'[1]побудинковий звіт'!DC164</f>
        <v>21311.119999999999</v>
      </c>
      <c r="DD164" s="702">
        <f>'[1]побудинковий звіт'!DD164</f>
        <v>8.02</v>
      </c>
      <c r="DE164" s="702">
        <f>'[1]побудинковий звіт'!DE164</f>
        <v>7487.5199999999986</v>
      </c>
      <c r="DF164" s="702">
        <f>'[1]побудинковий звіт'!DF164</f>
        <v>-274.32</v>
      </c>
      <c r="DG164" s="772">
        <v>17690.53215082176</v>
      </c>
      <c r="DH164" s="746">
        <f t="shared" si="168"/>
        <v>1545885.6051059021</v>
      </c>
      <c r="DI164" s="769"/>
      <c r="DJ164" s="5"/>
      <c r="DK164" s="307">
        <f>VLOOKUP($A164,ціни!$A$4:$G$401,5)</f>
        <v>4.94877875343595</v>
      </c>
      <c r="DL164" s="307"/>
      <c r="DM164" s="307">
        <f>VLOOKUP($A164,ціни!$A$4:$G$401,7)</f>
        <v>4.385060273977655</v>
      </c>
      <c r="DN164" s="29">
        <f t="shared" si="179"/>
        <v>9900.5267741239604</v>
      </c>
      <c r="DO164" s="29">
        <f t="shared" si="180"/>
        <v>202.15127863036989</v>
      </c>
      <c r="DP164" s="306">
        <f t="shared" si="169"/>
        <v>10102.678052754331</v>
      </c>
      <c r="DQ164" s="101"/>
      <c r="DR164" s="29">
        <f>VLOOKUP(A164,'ДЗ нас '!$A$1:$C$359,2)</f>
        <v>9900.5300000000007</v>
      </c>
      <c r="DS164" s="733">
        <f>VLOOKUP(A164,'ДЗ нежит'!$A$1:$D$153,4,0)</f>
        <v>202.15</v>
      </c>
      <c r="DT164" s="29">
        <f t="shared" si="170"/>
        <v>10102.68</v>
      </c>
      <c r="DU164" s="247">
        <f>VLOOKUP(A164,'новий кошторис с 01.06'!$A$4:$AI$399,35)*1.2</f>
        <v>10130.056482087102</v>
      </c>
      <c r="DV164" s="29">
        <f t="shared" si="171"/>
        <v>-27.376482087101977</v>
      </c>
      <c r="DW164" s="1016">
        <f>'[2]побудинковий звіт'!$DW$9+'[1]побудинковий звіт'!DW164</f>
        <v>909</v>
      </c>
      <c r="DX164" s="101">
        <f>'[1]побудинковий звіт'!DX164</f>
        <v>0</v>
      </c>
      <c r="DY164" s="5">
        <f t="shared" si="172"/>
        <v>39908.983127851447</v>
      </c>
      <c r="DZ164" s="5">
        <f t="shared" si="173"/>
        <v>28737.600372448636</v>
      </c>
      <c r="EA164" s="737">
        <f t="shared" si="174"/>
        <v>7213.1999999999989</v>
      </c>
      <c r="EC164" s="577">
        <f t="shared" si="175"/>
        <v>333257.47533553641</v>
      </c>
      <c r="EE164" s="743">
        <v>12145</v>
      </c>
      <c r="EF164" s="723">
        <f t="shared" si="176"/>
        <v>29835.53215082176</v>
      </c>
      <c r="EH164" s="798">
        <v>3624.767792028917</v>
      </c>
      <c r="EI164" s="101">
        <f>VLOOKUP(A164,'кошти 01.01.24'!$A$9:$D$352,4,FALSE)</f>
        <v>-21071.164381324121</v>
      </c>
    </row>
    <row r="165" spans="1:139" ht="14.4" hidden="1" customHeight="1" x14ac:dyDescent="0.3">
      <c r="A165" s="318">
        <v>150001018</v>
      </c>
      <c r="B165" s="43" t="s">
        <v>823</v>
      </c>
      <c r="C165" s="46" t="s">
        <v>429</v>
      </c>
      <c r="D165" s="46" t="s">
        <v>429</v>
      </c>
      <c r="E165" s="39">
        <f t="shared" si="125"/>
        <v>2824.49</v>
      </c>
      <c r="F165" s="205">
        <f>'[1]побудинковий звіт'!F165</f>
        <v>2340.9899999999998</v>
      </c>
      <c r="G165" s="29">
        <f>'[1]побудинковий звіт'!G165</f>
        <v>0</v>
      </c>
      <c r="H165" s="148">
        <f>'[1]побудинковий звіт'!H165</f>
        <v>483.5</v>
      </c>
      <c r="I165" s="41">
        <f>'[2]побудинковий звіт'!I165+'[1]побудинковий звіт'!I165</f>
        <v>6760.2581977743648</v>
      </c>
      <c r="J165" s="41">
        <f>'[2]побудинковий звіт'!J165+'[1]побудинковий звіт'!J165</f>
        <v>6990.660319263161</v>
      </c>
      <c r="K165" s="55">
        <f t="shared" si="126"/>
        <v>230.40212148879618</v>
      </c>
      <c r="L165" s="41">
        <f>'[2]побудинковий звіт'!L165+'[1]побудинковий звіт'!L165</f>
        <v>1326.2824502788799</v>
      </c>
      <c r="M165" s="41">
        <f>'[2]побудинковий звіт'!M165+'[1]побудинковий звіт'!M165</f>
        <v>1390.612058254942</v>
      </c>
      <c r="N165" s="55">
        <f t="shared" si="127"/>
        <v>64.329607976062107</v>
      </c>
      <c r="O165" s="41">
        <f>'[2]побудинковий звіт'!O165+'[1]побудинковий звіт'!O165</f>
        <v>3805.5846874982049</v>
      </c>
      <c r="P165" s="41">
        <f>'[2]побудинковий звіт'!P165+'[1]побудинковий звіт'!P165</f>
        <v>3816.4107236823211</v>
      </c>
      <c r="Q165" s="55">
        <f t="shared" si="128"/>
        <v>10.826036184116219</v>
      </c>
      <c r="R165" s="41">
        <f>'[2]побудинковий звіт'!R165+'[1]побудинковий звіт'!R165</f>
        <v>1123.1613476989492</v>
      </c>
      <c r="S165" s="41">
        <f>'[2]побудинковий звіт'!S165+'[1]побудинковий звіт'!S165</f>
        <v>1126.2626467006482</v>
      </c>
      <c r="T165" s="55">
        <f t="shared" si="129"/>
        <v>3.1012990016990898</v>
      </c>
      <c r="U165" s="41">
        <f>'[2]побудинковий звіт'!U165+'[1]побудинковий звіт'!U165</f>
        <v>187.10196558541708</v>
      </c>
      <c r="V165" s="41">
        <f>'[2]побудинковий звіт'!V165+'[1]побудинковий звіт'!V165</f>
        <v>107.9445908639935</v>
      </c>
      <c r="W165" s="55">
        <f t="shared" si="130"/>
        <v>-79.157374721423579</v>
      </c>
      <c r="X165" s="41">
        <f>'[2]побудинковий звіт'!X165+'[1]побудинковий звіт'!X165</f>
        <v>5461.9972348584424</v>
      </c>
      <c r="Y165" s="41">
        <f>'[2]побудинковий звіт'!Y165+'[1]побудинковий звіт'!Y165</f>
        <v>5230.1398564753417</v>
      </c>
      <c r="Z165" s="55">
        <f t="shared" si="131"/>
        <v>-231.85737838310069</v>
      </c>
      <c r="AA165" s="41">
        <f>'[2]побудинковий звіт'!AA165+'[1]побудинковий звіт'!AA165</f>
        <v>0</v>
      </c>
      <c r="AB165" s="41">
        <f>'[2]побудинковий звіт'!AB165+'[1]побудинковий звіт'!AB165</f>
        <v>0</v>
      </c>
      <c r="AC165" s="55">
        <f t="shared" si="132"/>
        <v>0</v>
      </c>
      <c r="AD165" s="41">
        <f>'[2]побудинковий звіт'!AD165+'[1]побудинковий звіт'!AD165</f>
        <v>12220.392728655077</v>
      </c>
      <c r="AE165" s="41">
        <f>'[2]побудинковий звіт'!AE165+'[1]побудинковий звіт'!AE165</f>
        <v>12192.979920038473</v>
      </c>
      <c r="AF165" s="36">
        <f t="shared" si="133"/>
        <v>-27.412808616603797</v>
      </c>
      <c r="AG165" s="84">
        <f t="shared" si="134"/>
        <v>30884.778612349335</v>
      </c>
      <c r="AH165" s="56">
        <f t="shared" si="135"/>
        <v>30855.010115278885</v>
      </c>
      <c r="AI165" s="55">
        <f t="shared" si="136"/>
        <v>-29.768497070450394</v>
      </c>
      <c r="AJ165" s="41">
        <f>'[2]побудинковий звіт'!AJ165+'[1]побудинковий звіт'!AJ165</f>
        <v>0</v>
      </c>
      <c r="AK165" s="41">
        <f>'[2]побудинковий звіт'!AK165+'[1]побудинковий звіт'!AK165</f>
        <v>0</v>
      </c>
      <c r="AL165" s="55">
        <f t="shared" si="137"/>
        <v>0</v>
      </c>
      <c r="AM165" s="41">
        <f>'[2]побудинковий звіт'!AM165+'[1]побудинковий звіт'!AM165</f>
        <v>0</v>
      </c>
      <c r="AN165" s="41">
        <f>'[2]побудинковий звіт'!AN165+'[1]побудинковий звіт'!AN165</f>
        <v>0</v>
      </c>
      <c r="AO165" s="55">
        <f t="shared" si="138"/>
        <v>0</v>
      </c>
      <c r="AP165" s="41">
        <f>'[2]побудинковий звіт'!AP165+'[1]побудинковий звіт'!AP165</f>
        <v>1634.4866057935865</v>
      </c>
      <c r="AQ165" s="41">
        <f>'[2]побудинковий звіт'!AQ165+'[1]побудинковий звіт'!AQ165</f>
        <v>1435.3306540965411</v>
      </c>
      <c r="AR165" s="55">
        <f t="shared" si="139"/>
        <v>-199.15595169704534</v>
      </c>
      <c r="AS165" s="41">
        <f>'[2]побудинковий звіт'!AS165+'[1]побудинковий звіт'!AS165</f>
        <v>39664.996473227155</v>
      </c>
      <c r="AT165" s="41">
        <f>'[2]побудинковий звіт'!AT165+'[1]побудинковий звіт'!AT165</f>
        <v>3048.8257257788287</v>
      </c>
      <c r="AU165" s="57">
        <f t="shared" si="140"/>
        <v>-36616.170747448326</v>
      </c>
      <c r="AV165" s="41">
        <f>'[2]побудинковий звіт'!AV165+'[1]побудинковий звіт'!AV165</f>
        <v>1139.4212573523719</v>
      </c>
      <c r="AW165" s="41">
        <f>'[2]побудинковий звіт'!AW165+'[1]побудинковий звіт'!AW165</f>
        <v>664.49651020956799</v>
      </c>
      <c r="AX165" s="58">
        <f t="shared" si="141"/>
        <v>-474.92474714280388</v>
      </c>
      <c r="AY165" s="41">
        <f>'[2]побудинковий звіт'!AY165+'[1]побудинковий звіт'!AY165</f>
        <v>1694.4708654764263</v>
      </c>
      <c r="AZ165" s="41">
        <f>'[2]побудинковий звіт'!AZ165+'[1]побудинковий звіт'!AZ165</f>
        <v>0</v>
      </c>
      <c r="BA165" s="36">
        <f t="shared" si="142"/>
        <v>-1694.4708654764263</v>
      </c>
      <c r="BB165" s="41">
        <f>'[2]побудинковий звіт'!BB165+'[1]побудинковий звіт'!BB165</f>
        <v>2183.9747415873553</v>
      </c>
      <c r="BC165" s="41">
        <f>'[2]побудинковий звіт'!BC165+'[1]побудинковий звіт'!BC165</f>
        <v>0</v>
      </c>
      <c r="BD165" s="58">
        <f t="shared" si="143"/>
        <v>-2183.9747415873553</v>
      </c>
      <c r="BE165" s="41">
        <f>'[2]побудинковий звіт'!BE165+'[1]побудинковий звіт'!BE165</f>
        <v>1145.3614673512991</v>
      </c>
      <c r="BF165" s="41">
        <f>'[2]побудинковий звіт'!BF165+'[1]побудинковий звіт'!BF165</f>
        <v>0</v>
      </c>
      <c r="BG165" s="38">
        <f t="shared" si="144"/>
        <v>-1145.3614673512991</v>
      </c>
      <c r="BH165" s="41">
        <f>'[2]побудинковий звіт'!BH165+'[1]побудинковий звіт'!BH165</f>
        <v>110.27308797143304</v>
      </c>
      <c r="BI165" s="41">
        <f>'[2]побудинковий звіт'!BI165+'[1]побудинковий звіт'!BI165</f>
        <v>866.66979229146114</v>
      </c>
      <c r="BJ165" s="58">
        <f t="shared" si="145"/>
        <v>756.39670432002811</v>
      </c>
      <c r="BK165" s="41">
        <f>'[2]побудинковий звіт'!BK165+'[1]побудинковий звіт'!BK165</f>
        <v>914.66570294198959</v>
      </c>
      <c r="BL165" s="41">
        <f>'[2]побудинковий звіт'!BL165+'[1]побудинковий звіт'!BL165</f>
        <v>871.72892506646372</v>
      </c>
      <c r="BM165" s="38">
        <f t="shared" si="146"/>
        <v>-42.936777875525877</v>
      </c>
      <c r="BN165" s="41">
        <f>'[2]побудинковий звіт'!BN165+'[1]побудинковий звіт'!BN165</f>
        <v>39.307698405524434</v>
      </c>
      <c r="BO165" s="41">
        <f>'[2]побудинковий звіт'!BO165+'[1]побудинковий звіт'!BO165</f>
        <v>0</v>
      </c>
      <c r="BP165" s="58">
        <f t="shared" si="147"/>
        <v>-39.307698405524434</v>
      </c>
      <c r="BQ165" s="84">
        <f t="shared" si="148"/>
        <v>7227.4748210863991</v>
      </c>
      <c r="BR165" s="42">
        <f t="shared" si="149"/>
        <v>2402.8952275674928</v>
      </c>
      <c r="BS165" s="58">
        <f t="shared" si="150"/>
        <v>-4824.5795935189062</v>
      </c>
      <c r="BT165" s="41">
        <f>'[2]побудинковий звіт'!BT165+'[1]побудинковий звіт'!BT165</f>
        <v>32841.022205361398</v>
      </c>
      <c r="BU165" s="41">
        <f>'[2]побудинковий звіт'!BU165+'[1]побудинковий звіт'!BU165</f>
        <v>53840.873901894949</v>
      </c>
      <c r="BV165" s="55">
        <f t="shared" si="151"/>
        <v>20999.851696533551</v>
      </c>
      <c r="BW165" s="41">
        <f>'[2]побудинковий звіт'!BW165+'[1]побудинковий звіт'!BW165</f>
        <v>21731.07148018579</v>
      </c>
      <c r="BX165" s="41">
        <f>'[2]побудинковий звіт'!BX165+'[1]побудинковий звіт'!BX165</f>
        <v>25951.84159693143</v>
      </c>
      <c r="BY165" s="55">
        <f t="shared" si="152"/>
        <v>4220.7701167456398</v>
      </c>
      <c r="BZ165" s="41">
        <f>'[2]побудинковий звіт'!BZ165+'[1]побудинковий звіт'!BZ165</f>
        <v>13855.343047474758</v>
      </c>
      <c r="CA165" s="41">
        <f>'[2]побудинковий звіт'!CA165+'[1]побудинковий звіт'!CA165</f>
        <v>5168.71790384221</v>
      </c>
      <c r="CB165" s="55">
        <f t="shared" si="153"/>
        <v>-8686.6251436325474</v>
      </c>
      <c r="CC165" s="41">
        <f>'[2]побудинковий звіт'!CC165+'[1]побудинковий звіт'!CC165</f>
        <v>1783.280663420988</v>
      </c>
      <c r="CD165" s="41">
        <f>'[2]побудинковий звіт'!CD165+'[1]побудинковий звіт'!CD165</f>
        <v>1789.3275692369793</v>
      </c>
      <c r="CE165" s="55">
        <f t="shared" si="154"/>
        <v>6.0469058159912947</v>
      </c>
      <c r="CF165" s="41">
        <f>'[2]побудинковий звіт'!CF165+'[1]побудинковий звіт'!CF165</f>
        <v>220.93899573088774</v>
      </c>
      <c r="CG165" s="41">
        <f>'[2]побудинковий звіт'!CG165+'[1]побудинковий звіт'!CG165</f>
        <v>0</v>
      </c>
      <c r="CH165" s="55">
        <f t="shared" si="155"/>
        <v>-220.93899573088774</v>
      </c>
      <c r="CI165" s="41">
        <f>'[2]побудинковий звіт'!CI165+'[1]побудинковий звіт'!CI165</f>
        <v>586.72754113519932</v>
      </c>
      <c r="CJ165" s="41">
        <f>'[2]побудинковий звіт'!CJ165+'[1]побудинковий звіт'!CJ165</f>
        <v>525.46389453563017</v>
      </c>
      <c r="CK165" s="55">
        <f t="shared" si="156"/>
        <v>-61.263646599569142</v>
      </c>
      <c r="CL165" s="41">
        <f>'[2]побудинковий звіт'!CL165+'[1]побудинковий звіт'!CL165</f>
        <v>0</v>
      </c>
      <c r="CM165" s="41">
        <f>'[2]побудинковий звіт'!CM165+'[1]побудинковий звіт'!CM165</f>
        <v>0</v>
      </c>
      <c r="CN165" s="55">
        <f t="shared" si="157"/>
        <v>0</v>
      </c>
      <c r="CO165" s="41">
        <f t="shared" si="158"/>
        <v>586.72754113519932</v>
      </c>
      <c r="CP165" s="42">
        <f t="shared" si="159"/>
        <v>525.46389453563017</v>
      </c>
      <c r="CQ165" s="55">
        <f t="shared" si="160"/>
        <v>-61.263646599569142</v>
      </c>
      <c r="CR165" s="76">
        <f t="shared" si="161"/>
        <v>150430.1204457655</v>
      </c>
      <c r="CS165" s="5">
        <f t="shared" si="162"/>
        <v>125018.28658916292</v>
      </c>
      <c r="CT165" s="55">
        <f t="shared" si="163"/>
        <v>-25411.833856602578</v>
      </c>
      <c r="CU165" s="84">
        <f t="shared" si="164"/>
        <v>180516.1445349186</v>
      </c>
      <c r="CV165" s="68">
        <f t="shared" si="165"/>
        <v>150021.9439069955</v>
      </c>
      <c r="CW165" s="36">
        <f t="shared" si="166"/>
        <v>-30494.200627923099</v>
      </c>
      <c r="CX165" s="41">
        <f>'[2]побудинковий звіт'!CX165+'[1]побудинковий звіт'!CX165</f>
        <v>8002.3401520426005</v>
      </c>
      <c r="CY165" s="41">
        <f>'[2]побудинковий звіт'!CY165+'[1]побудинковий звіт'!CY165</f>
        <v>38496.540779965697</v>
      </c>
      <c r="CZ165" s="55">
        <f t="shared" si="167"/>
        <v>30494.200627923095</v>
      </c>
      <c r="DA165" s="254">
        <f>'[1]побудинковий звіт'!DA165</f>
        <v>121883.31882727031</v>
      </c>
      <c r="DB165" s="2">
        <v>2</v>
      </c>
      <c r="DC165" s="702">
        <f>'[1]побудинковий звіт'!DC165</f>
        <v>19408.54</v>
      </c>
      <c r="DD165" s="702">
        <f>'[1]побудинковий звіт'!DD165</f>
        <v>24730.219999999998</v>
      </c>
      <c r="DE165" s="702">
        <f>'[1]побудинковий звіт'!DE165</f>
        <v>1682.3300000000017</v>
      </c>
      <c r="DF165" s="702">
        <f>'[1]побудинковий звіт'!DF165</f>
        <v>21638.82</v>
      </c>
      <c r="DG165" s="772">
        <v>214186.51184811577</v>
      </c>
      <c r="DH165" s="746">
        <f t="shared" si="168"/>
        <v>2262221.8162435344</v>
      </c>
      <c r="DI165" s="769"/>
      <c r="DJ165" s="5"/>
      <c r="DK165" s="307">
        <v>5.3807999999999998</v>
      </c>
      <c r="DL165" s="307"/>
      <c r="DM165" s="307">
        <v>4.4522000000000004</v>
      </c>
      <c r="DN165" s="29">
        <f t="shared" si="179"/>
        <v>12596.398991999999</v>
      </c>
      <c r="DO165" s="29">
        <f t="shared" si="180"/>
        <v>2152.6387</v>
      </c>
      <c r="DP165" s="306">
        <f t="shared" si="169"/>
        <v>14749.037691999998</v>
      </c>
      <c r="DQ165" s="101"/>
      <c r="DR165" s="29">
        <f>VLOOKUP(A165,'ДЗ нас '!$A$1:$C$359,2)</f>
        <v>12596.37</v>
      </c>
      <c r="DS165" s="733">
        <f>VLOOKUP(A165,'ДЗ нежит'!$A$1:$D$153,4,0)</f>
        <v>2152.64</v>
      </c>
      <c r="DT165" s="29">
        <f t="shared" si="170"/>
        <v>14749.01</v>
      </c>
      <c r="DU165" s="247">
        <f>VLOOKUP(A165,'новий кошторис с 01.06'!$A$4:$AI$399,35)*1.2</f>
        <v>14822.057005402081</v>
      </c>
      <c r="DV165" s="29">
        <f t="shared" si="171"/>
        <v>-73.047005402080686</v>
      </c>
      <c r="DW165" s="1016">
        <f>'[2]побудинковий звіт'!$DW$9+'[1]побудинковий звіт'!DW165</f>
        <v>909</v>
      </c>
      <c r="DX165" s="101">
        <f>'[1]побудинковий звіт'!DX165</f>
        <v>0</v>
      </c>
      <c r="DY165" s="5">
        <f t="shared" si="172"/>
        <v>56270.965553176262</v>
      </c>
      <c r="DZ165" s="5">
        <f t="shared" si="173"/>
        <v>6542.0651440155852</v>
      </c>
      <c r="EA165" s="737">
        <f t="shared" si="174"/>
        <v>23321.15</v>
      </c>
      <c r="EC165" s="577">
        <f t="shared" si="175"/>
        <v>475979.95767872583</v>
      </c>
      <c r="EE165" s="743">
        <v>-68875</v>
      </c>
      <c r="EF165" s="723">
        <f t="shared" si="176"/>
        <v>145311.51184811577</v>
      </c>
      <c r="EH165" s="798">
        <v>191672.3138957551</v>
      </c>
      <c r="EI165" s="101">
        <f>VLOOKUP(A165,'кошти 01.01.24'!$A$9:$D$352,4,FALSE)</f>
        <v>152377.51945519343</v>
      </c>
    </row>
    <row r="166" spans="1:139" hidden="1" x14ac:dyDescent="0.3">
      <c r="A166" s="318">
        <v>150001019</v>
      </c>
      <c r="B166" s="43" t="s">
        <v>596</v>
      </c>
      <c r="C166" s="44" t="s">
        <v>419</v>
      </c>
      <c r="D166" s="44" t="s">
        <v>419</v>
      </c>
      <c r="E166" s="39">
        <f t="shared" si="125"/>
        <v>6924.5</v>
      </c>
      <c r="F166" s="205">
        <f>'[1]побудинковий звіт'!F166</f>
        <v>6924.5</v>
      </c>
      <c r="G166" s="29">
        <f>'[1]побудинковий звіт'!G166</f>
        <v>646.79999999999995</v>
      </c>
      <c r="H166" s="148">
        <f>'[1]побудинковий звіт'!H166</f>
        <v>0</v>
      </c>
      <c r="I166" s="41">
        <f>'[2]побудинковий звіт'!I166+'[1]побудинковий звіт'!I166</f>
        <v>26880.304261650181</v>
      </c>
      <c r="J166" s="41">
        <f>'[2]побудинковий звіт'!J166+'[1]побудинковий звіт'!J166</f>
        <v>21240.204969457089</v>
      </c>
      <c r="K166" s="55">
        <f t="shared" si="126"/>
        <v>-5640.099292193092</v>
      </c>
      <c r="L166" s="41">
        <f>'[2]побудинковий звіт'!L166+'[1]побудинковий звіт'!L166</f>
        <v>4245.725991327884</v>
      </c>
      <c r="M166" s="41">
        <f>'[2]побудинковий звіт'!M166+'[1]побудинковий звіт'!M166</f>
        <v>3775.5705750773795</v>
      </c>
      <c r="N166" s="55">
        <f t="shared" si="127"/>
        <v>-470.15541625050446</v>
      </c>
      <c r="O166" s="41">
        <f>'[2]побудинковий звіт'!O166+'[1]побудинковий звіт'!O166</f>
        <v>10990.609313292338</v>
      </c>
      <c r="P166" s="41">
        <f>'[2]побудинковий звіт'!P166+'[1]побудинковий звіт'!P166</f>
        <v>11021.595417500703</v>
      </c>
      <c r="Q166" s="55">
        <f t="shared" si="128"/>
        <v>30.98610420836485</v>
      </c>
      <c r="R166" s="41">
        <f>'[2]побудинковий звіт'!R166+'[1]побудинковий звіт'!R166</f>
        <v>2312.1277095750329</v>
      </c>
      <c r="S166" s="41">
        <f>'[2]побудинковий звіт'!S166+'[1]побудинковий звіт'!S166</f>
        <v>2318.7851328859997</v>
      </c>
      <c r="T166" s="55">
        <f t="shared" si="129"/>
        <v>6.6574233109668057</v>
      </c>
      <c r="U166" s="41">
        <f>'[2]побудинковий звіт'!U166+'[1]побудинковий звіт'!U166</f>
        <v>1233.0328745471827</v>
      </c>
      <c r="V166" s="41">
        <f>'[2]побудинковий звіт'!V166+'[1]побудинковий звіт'!V166</f>
        <v>615.62651291280645</v>
      </c>
      <c r="W166" s="55">
        <f t="shared" si="130"/>
        <v>-617.40636163437625</v>
      </c>
      <c r="X166" s="41">
        <f>'[2]побудинковий звіт'!X166+'[1]побудинковий звіт'!X166</f>
        <v>11404.885158158806</v>
      </c>
      <c r="Y166" s="41">
        <f>'[2]побудинковий звіт'!Y166+'[1]побудинковий звіт'!Y166</f>
        <v>9681.5452439374203</v>
      </c>
      <c r="Z166" s="55">
        <f t="shared" si="131"/>
        <v>-1723.3399142213857</v>
      </c>
      <c r="AA166" s="41">
        <f>'[2]побудинковий звіт'!AA166+'[1]побудинковий звіт'!AA166</f>
        <v>0</v>
      </c>
      <c r="AB166" s="41">
        <f>'[2]побудинковий звіт'!AB166+'[1]побудинковий звіт'!AB166</f>
        <v>0</v>
      </c>
      <c r="AC166" s="55">
        <f t="shared" si="132"/>
        <v>0</v>
      </c>
      <c r="AD166" s="41">
        <f>'[2]побудинковий звіт'!AD166+'[1]побудинковий звіт'!AD166</f>
        <v>30024.001252448863</v>
      </c>
      <c r="AE166" s="41">
        <f>'[2]побудинковий звіт'!AE166+'[1]побудинковий звіт'!AE166</f>
        <v>29907.59877744898</v>
      </c>
      <c r="AF166" s="36">
        <f t="shared" si="133"/>
        <v>-116.40247499988254</v>
      </c>
      <c r="AG166" s="84">
        <f t="shared" si="134"/>
        <v>87090.686561000301</v>
      </c>
      <c r="AH166" s="56">
        <f t="shared" si="135"/>
        <v>78560.926629220383</v>
      </c>
      <c r="AI166" s="55">
        <f t="shared" si="136"/>
        <v>-8529.7599317799177</v>
      </c>
      <c r="AJ166" s="41">
        <f>'[2]побудинковий звіт'!AJ166+'[1]побудинковий звіт'!AJ166</f>
        <v>55212.063472636473</v>
      </c>
      <c r="AK166" s="41">
        <f>'[2]побудинковий звіт'!AK166+'[1]побудинковий звіт'!AK166</f>
        <v>59839.22002352991</v>
      </c>
      <c r="AL166" s="55">
        <f t="shared" si="137"/>
        <v>4627.1565508934364</v>
      </c>
      <c r="AM166" s="41">
        <f>'[2]побудинковий звіт'!AM166+'[1]побудинковий звіт'!AM166</f>
        <v>0</v>
      </c>
      <c r="AN166" s="41">
        <f>'[2]побудинковий звіт'!AN166+'[1]побудинковий звіт'!AN166</f>
        <v>0</v>
      </c>
      <c r="AO166" s="55">
        <f t="shared" si="138"/>
        <v>0</v>
      </c>
      <c r="AP166" s="41">
        <f>'[2]побудинковий звіт'!AP166+'[1]побудинковий звіт'!AP166</f>
        <v>5844.5278631407045</v>
      </c>
      <c r="AQ166" s="41">
        <f>'[2]побудинковий звіт'!AQ166+'[1]побудинковий звіт'!AQ166</f>
        <v>6900</v>
      </c>
      <c r="AR166" s="55">
        <f t="shared" si="139"/>
        <v>1055.4721368592955</v>
      </c>
      <c r="AS166" s="41">
        <f>'[2]побудинковий звіт'!AS166+'[1]побудинковий звіт'!AS166</f>
        <v>108514.22626852941</v>
      </c>
      <c r="AT166" s="41">
        <f>'[2]побудинковий звіт'!AT166+'[1]побудинковий звіт'!AT166</f>
        <v>29547.693459721646</v>
      </c>
      <c r="AU166" s="57">
        <f t="shared" si="140"/>
        <v>-78966.532808807766</v>
      </c>
      <c r="AV166" s="41">
        <f>'[2]побудинковий звіт'!AV166+'[1]побудинковий звіт'!AV166</f>
        <v>2528.2181930878369</v>
      </c>
      <c r="AW166" s="41">
        <f>'[2]побудинковий звіт'!AW166+'[1]побудинковий звіт'!AW166</f>
        <v>1090.179175769382</v>
      </c>
      <c r="AX166" s="58">
        <f t="shared" si="141"/>
        <v>-1438.0390173184549</v>
      </c>
      <c r="AY166" s="41">
        <f>'[2]побудинковий звіт'!AY166+'[1]побудинковий звіт'!AY166</f>
        <v>2385.9917298882424</v>
      </c>
      <c r="AZ166" s="41">
        <f>'[2]побудинковий звіт'!AZ166+'[1]побудинковий звіт'!AZ166</f>
        <v>4124.2642766981162</v>
      </c>
      <c r="BA166" s="36">
        <f t="shared" si="142"/>
        <v>1738.2725468098738</v>
      </c>
      <c r="BB166" s="41">
        <f>'[2]побудинковий звіт'!BB166+'[1]побудинковий звіт'!BB166</f>
        <v>2798.5368051701275</v>
      </c>
      <c r="BC166" s="41">
        <f>'[2]побудинковий звіт'!BC166+'[1]побудинковий звіт'!BC166</f>
        <v>0</v>
      </c>
      <c r="BD166" s="58">
        <f t="shared" si="143"/>
        <v>-2798.5368051701275</v>
      </c>
      <c r="BE166" s="41">
        <f>'[2]побудинковий звіт'!BE166+'[1]побудинковий звіт'!BE166</f>
        <v>1060.0045221094028</v>
      </c>
      <c r="BF166" s="41">
        <f>'[2]побудинковий звіт'!BF166+'[1]побудинковий звіт'!BF166</f>
        <v>0</v>
      </c>
      <c r="BG166" s="38">
        <f t="shared" si="144"/>
        <v>-1060.0045221094028</v>
      </c>
      <c r="BH166" s="41">
        <f>'[2]побудинковий звіт'!BH166+'[1]побудинковий звіт'!BH166</f>
        <v>640.30163700803951</v>
      </c>
      <c r="BI166" s="41">
        <f>'[2]побудинковий звіт'!BI166+'[1]побудинковий звіт'!BI166</f>
        <v>12.8826444</v>
      </c>
      <c r="BJ166" s="58">
        <f t="shared" si="145"/>
        <v>-627.4189926080395</v>
      </c>
      <c r="BK166" s="41">
        <f>'[2]побудинковий звіт'!BK166+'[1]побудинковий звіт'!BK166</f>
        <v>2424.1057310079177</v>
      </c>
      <c r="BL166" s="41">
        <f>'[2]побудинковий звіт'!BL166+'[1]побудинковий звіт'!BL166</f>
        <v>17316.93154591486</v>
      </c>
      <c r="BM166" s="38">
        <f t="shared" si="146"/>
        <v>14892.825814906942</v>
      </c>
      <c r="BN166" s="41">
        <f>'[2]побудинковий звіт'!BN166+'[1]побудинковий звіт'!BN166</f>
        <v>692.1908980123028</v>
      </c>
      <c r="BO166" s="41">
        <f>'[2]побудинковий звіт'!BO166+'[1]побудинковий звіт'!BO166</f>
        <v>8131.2028635160004</v>
      </c>
      <c r="BP166" s="58">
        <f t="shared" si="147"/>
        <v>7439.0119655036979</v>
      </c>
      <c r="BQ166" s="84">
        <f t="shared" si="148"/>
        <v>12529.34951628387</v>
      </c>
      <c r="BR166" s="42">
        <f t="shared" si="149"/>
        <v>30675.460506298361</v>
      </c>
      <c r="BS166" s="58">
        <f t="shared" si="150"/>
        <v>18146.110990014491</v>
      </c>
      <c r="BT166" s="41">
        <f>'[2]побудинковий звіт'!BT166+'[1]побудинковий звіт'!BT166</f>
        <v>97565.826487297032</v>
      </c>
      <c r="BU166" s="41">
        <f>'[2]побудинковий звіт'!BU166+'[1]побудинковий звіт'!BU166</f>
        <v>135384.98037593276</v>
      </c>
      <c r="BV166" s="55">
        <f t="shared" si="151"/>
        <v>37819.15388863573</v>
      </c>
      <c r="BW166" s="41">
        <f>'[2]побудинковий звіт'!BW166+'[1]побудинковий звіт'!BW166</f>
        <v>71265.271830849393</v>
      </c>
      <c r="BX166" s="41">
        <f>'[2]побудинковий звіт'!BX166+'[1]побудинковий звіт'!BX166</f>
        <v>89691.508500374548</v>
      </c>
      <c r="BY166" s="55">
        <f t="shared" si="152"/>
        <v>18426.236669525155</v>
      </c>
      <c r="BZ166" s="41">
        <f>'[2]побудинковий звіт'!BZ166+'[1]побудинковий звіт'!BZ166</f>
        <v>20438.648280793037</v>
      </c>
      <c r="CA166" s="41">
        <f>'[2]побудинковий звіт'!CA166+'[1]побудинковий звіт'!CA166</f>
        <v>13044.32475769283</v>
      </c>
      <c r="CB166" s="55">
        <f t="shared" si="153"/>
        <v>-7394.3235231002072</v>
      </c>
      <c r="CC166" s="41">
        <f>'[2]побудинковий звіт'!CC166+'[1]побудинковий звіт'!CC166</f>
        <v>1633.6560872092957</v>
      </c>
      <c r="CD166" s="41">
        <f>'[2]побудинковий звіт'!CD166+'[1]побудинковий звіт'!CD166</f>
        <v>1639.1956327770274</v>
      </c>
      <c r="CE166" s="55">
        <f t="shared" si="154"/>
        <v>5.5395455677316932</v>
      </c>
      <c r="CF166" s="41">
        <f>'[2]побудинковий звіт'!CF166+'[1]побудинковий звіт'!CF166</f>
        <v>202.40130602059062</v>
      </c>
      <c r="CG166" s="41">
        <f>'[2]побудинковий звіт'!CG166+'[1]побудинковий звіт'!CG166</f>
        <v>1090.1371295819258</v>
      </c>
      <c r="CH166" s="55">
        <f t="shared" si="155"/>
        <v>887.73582356133522</v>
      </c>
      <c r="CI166" s="41">
        <f>'[2]побудинковий звіт'!CI166+'[1]побудинковий звіт'!CI166</f>
        <v>13579.699102331109</v>
      </c>
      <c r="CJ166" s="41">
        <f>'[2]побудинковий звіт'!CJ166+'[1]побудинковий звіт'!CJ166</f>
        <v>15859.14651408799</v>
      </c>
      <c r="CK166" s="55">
        <f t="shared" si="156"/>
        <v>2279.4474117568807</v>
      </c>
      <c r="CL166" s="41">
        <f>'[2]побудинковий звіт'!CL166+'[1]побудинковий звіт'!CL166</f>
        <v>20588.100792538658</v>
      </c>
      <c r="CM166" s="41">
        <f>'[2]побудинковий звіт'!CM166+'[1]побудинковий звіт'!CM166</f>
        <v>23783.375185179921</v>
      </c>
      <c r="CN166" s="55">
        <f t="shared" si="157"/>
        <v>3195.2743926412622</v>
      </c>
      <c r="CO166" s="41">
        <f t="shared" si="158"/>
        <v>34167.799894869764</v>
      </c>
      <c r="CP166" s="42">
        <f t="shared" si="159"/>
        <v>39642.521699267912</v>
      </c>
      <c r="CQ166" s="55">
        <f t="shared" si="160"/>
        <v>5474.7218043981484</v>
      </c>
      <c r="CR166" s="76">
        <f t="shared" si="161"/>
        <v>494464.45756862988</v>
      </c>
      <c r="CS166" s="5">
        <f t="shared" si="162"/>
        <v>486015.96871439728</v>
      </c>
      <c r="CT166" s="55">
        <f t="shared" si="163"/>
        <v>-8448.4888542325934</v>
      </c>
      <c r="CU166" s="84">
        <f t="shared" si="164"/>
        <v>593357.34908235585</v>
      </c>
      <c r="CV166" s="68">
        <f t="shared" si="165"/>
        <v>583219.16245727672</v>
      </c>
      <c r="CW166" s="36">
        <f t="shared" si="166"/>
        <v>-10138.186625079135</v>
      </c>
      <c r="CX166" s="41">
        <f>'[2]побудинковий звіт'!CX166+'[1]побудинковий звіт'!CX166</f>
        <v>18039.19579410788</v>
      </c>
      <c r="CY166" s="41">
        <f>'[2]побудинковий звіт'!CY166+'[1]побудинковий звіт'!CY166</f>
        <v>28177.382419186895</v>
      </c>
      <c r="CZ166" s="55">
        <f t="shared" si="167"/>
        <v>10138.186625079015</v>
      </c>
      <c r="DA166" s="254">
        <f>'[1]побудинковий звіт'!DA166</f>
        <v>-49634.664902494289</v>
      </c>
      <c r="DB166" s="2">
        <v>1</v>
      </c>
      <c r="DC166" s="702">
        <f>'[1]побудинковий звіт'!DC166</f>
        <v>181646.79</v>
      </c>
      <c r="DD166" s="702">
        <f>'[1]побудинковий звіт'!DD166</f>
        <v>0</v>
      </c>
      <c r="DE166" s="702">
        <f>'[1]побудинковий звіт'!DE166</f>
        <v>114631.1</v>
      </c>
      <c r="DF166" s="702">
        <f>'[1]побудинковий звіт'!DF166</f>
        <v>0</v>
      </c>
      <c r="DG166" s="772">
        <v>-13490.901188258082</v>
      </c>
      <c r="DH166" s="746">
        <f t="shared" si="168"/>
        <v>7336758.5385175645</v>
      </c>
      <c r="DI166" s="769"/>
      <c r="DJ166" s="5"/>
      <c r="DK166" s="307">
        <f>VLOOKUP($A166,ціни!$A$4:$G$401,5)</f>
        <v>5.8561150322212265</v>
      </c>
      <c r="DL166" s="307">
        <f>VLOOKUP($A166,ціни!$A$4:$G$401,6)</f>
        <v>7.0313988248854233</v>
      </c>
      <c r="DM166" s="307">
        <f>VLOOKUP($A166,ціни!$A$4:$G$401,7)</f>
        <v>4.8367636983827786</v>
      </c>
      <c r="DN166" s="29">
        <f>DK166*G166+(F166-G166)*DL166</f>
        <v>47928.747605823912</v>
      </c>
      <c r="DO166" s="29">
        <f>DM166*H166</f>
        <v>0</v>
      </c>
      <c r="DP166" s="306">
        <f t="shared" si="169"/>
        <v>47928.747605823912</v>
      </c>
      <c r="DQ166" s="101"/>
      <c r="DR166" s="29">
        <f>VLOOKUP(A166,'ДЗ нас '!$A$1:$C$359,2)</f>
        <v>47926.94</v>
      </c>
      <c r="DS166" s="733"/>
      <c r="DT166" s="29">
        <f t="shared" si="170"/>
        <v>47926.94</v>
      </c>
      <c r="DU166" s="247">
        <f>VLOOKUP(A166,'новий кошторис с 01.06'!$A$4:$AI$399,35)*1.2</f>
        <v>48143.468989138149</v>
      </c>
      <c r="DV166" s="29">
        <f t="shared" si="171"/>
        <v>-216.52898913814715</v>
      </c>
      <c r="DW166" s="1016">
        <f>'[2]побудинковий звіт'!$DW$9+'[1]побудинковий звіт'!DW166</f>
        <v>1400.3999999999999</v>
      </c>
      <c r="DX166" s="101">
        <f>'[1]побудинковий звіт'!DX166</f>
        <v>0</v>
      </c>
      <c r="DY166" s="5">
        <f t="shared" si="172"/>
        <v>145252.29094177592</v>
      </c>
      <c r="DZ166" s="5">
        <f t="shared" si="173"/>
        <v>72267.784759224</v>
      </c>
      <c r="EA166" s="737">
        <f t="shared" si="174"/>
        <v>114631.1</v>
      </c>
      <c r="EC166" s="577">
        <f t="shared" si="175"/>
        <v>1302170.7152223529</v>
      </c>
      <c r="EE166" s="743">
        <v>-4439</v>
      </c>
      <c r="EF166" s="723">
        <f t="shared" si="176"/>
        <v>-17929.901188258082</v>
      </c>
      <c r="EH166" s="798">
        <v>-6676.0779897596803</v>
      </c>
      <c r="EI166" s="101">
        <f>VLOOKUP(A166,'кошти 01.01.24'!$A$9:$D$352,4,FALSE)</f>
        <v>-39496.478277415343</v>
      </c>
    </row>
    <row r="167" spans="1:139" hidden="1" x14ac:dyDescent="0.3">
      <c r="A167" s="318">
        <v>150001020</v>
      </c>
      <c r="B167" s="43" t="s">
        <v>597</v>
      </c>
      <c r="C167" s="44" t="s">
        <v>100</v>
      </c>
      <c r="D167" s="44" t="s">
        <v>100</v>
      </c>
      <c r="E167" s="39">
        <f t="shared" si="125"/>
        <v>320.5</v>
      </c>
      <c r="F167" s="205">
        <f>'[1]побудинковий звіт'!F167</f>
        <v>320.5</v>
      </c>
      <c r="G167" s="29">
        <f>'[1]побудинковий звіт'!G167</f>
        <v>0</v>
      </c>
      <c r="H167" s="148">
        <f>'[1]побудинковий звіт'!H167</f>
        <v>0</v>
      </c>
      <c r="I167" s="41">
        <f>'[2]побудинковий звіт'!I167+'[1]побудинковий звіт'!I167</f>
        <v>0</v>
      </c>
      <c r="J167" s="41">
        <f>'[2]побудинковий звіт'!J167+'[1]побудинковий звіт'!J167</f>
        <v>0</v>
      </c>
      <c r="K167" s="55">
        <f t="shared" si="126"/>
        <v>0</v>
      </c>
      <c r="L167" s="41">
        <f>'[2]побудинковий звіт'!L167+'[1]побудинковий звіт'!L167</f>
        <v>0</v>
      </c>
      <c r="M167" s="41">
        <f>'[2]побудинковий звіт'!M167+'[1]побудинковий звіт'!M167</f>
        <v>0</v>
      </c>
      <c r="N167" s="55">
        <f t="shared" si="127"/>
        <v>0</v>
      </c>
      <c r="O167" s="41">
        <f>'[2]побудинковий звіт'!O167+'[1]побудинковий звіт'!O167</f>
        <v>0</v>
      </c>
      <c r="P167" s="41">
        <f>'[2]побудинковий звіт'!P167+'[1]побудинковий звіт'!P167</f>
        <v>0</v>
      </c>
      <c r="Q167" s="55">
        <f t="shared" si="128"/>
        <v>0</v>
      </c>
      <c r="R167" s="41">
        <f>'[2]побудинковий звіт'!R167+'[1]побудинковий звіт'!R167</f>
        <v>0</v>
      </c>
      <c r="S167" s="41">
        <f>'[2]побудинковий звіт'!S167+'[1]побудинковий звіт'!S167</f>
        <v>0</v>
      </c>
      <c r="T167" s="55">
        <f t="shared" si="129"/>
        <v>0</v>
      </c>
      <c r="U167" s="41">
        <f>'[2]побудинковий звіт'!U167+'[1]побудинковий звіт'!U167</f>
        <v>0</v>
      </c>
      <c r="V167" s="41">
        <f>'[2]побудинковий звіт'!V167+'[1]побудинковий звіт'!V167</f>
        <v>0</v>
      </c>
      <c r="W167" s="55">
        <f t="shared" si="130"/>
        <v>0</v>
      </c>
      <c r="X167" s="41">
        <f>'[2]побудинковий звіт'!X167+'[1]побудинковий звіт'!X167</f>
        <v>0</v>
      </c>
      <c r="Y167" s="41">
        <f>'[2]побудинковий звіт'!Y167+'[1]побудинковий звіт'!Y167</f>
        <v>0</v>
      </c>
      <c r="Z167" s="55">
        <f t="shared" si="131"/>
        <v>0</v>
      </c>
      <c r="AA167" s="41">
        <f>'[2]побудинковий звіт'!AA167+'[1]побудинковий звіт'!AA167</f>
        <v>0</v>
      </c>
      <c r="AB167" s="41">
        <f>'[2]побудинковий звіт'!AB167+'[1]побудинковий звіт'!AB167</f>
        <v>0</v>
      </c>
      <c r="AC167" s="55">
        <f t="shared" si="132"/>
        <v>0</v>
      </c>
      <c r="AD167" s="41">
        <f>'[2]побудинковий звіт'!AD167+'[1]побудинковий звіт'!AD167</f>
        <v>0</v>
      </c>
      <c r="AE167" s="41">
        <f>'[2]побудинковий звіт'!AE167+'[1]побудинковий звіт'!AE167</f>
        <v>0</v>
      </c>
      <c r="AF167" s="36">
        <f t="shared" si="133"/>
        <v>0</v>
      </c>
      <c r="AG167" s="84">
        <f t="shared" si="134"/>
        <v>0</v>
      </c>
      <c r="AH167" s="56">
        <f t="shared" si="135"/>
        <v>0</v>
      </c>
      <c r="AI167" s="55">
        <f t="shared" si="136"/>
        <v>0</v>
      </c>
      <c r="AJ167" s="41">
        <f>'[2]побудинковий звіт'!AJ167+'[1]побудинковий звіт'!AJ167</f>
        <v>0</v>
      </c>
      <c r="AK167" s="41">
        <f>'[2]побудинковий звіт'!AK167+'[1]побудинковий звіт'!AK167</f>
        <v>0</v>
      </c>
      <c r="AL167" s="55">
        <f t="shared" si="137"/>
        <v>0</v>
      </c>
      <c r="AM167" s="41">
        <f>'[2]побудинковий звіт'!AM167+'[1]побудинковий звіт'!AM167</f>
        <v>0</v>
      </c>
      <c r="AN167" s="41">
        <f>'[2]побудинковий звіт'!AN167+'[1]побудинковий звіт'!AN167</f>
        <v>0</v>
      </c>
      <c r="AO167" s="55">
        <f t="shared" si="138"/>
        <v>0</v>
      </c>
      <c r="AP167" s="41">
        <f>'[2]побудинковий звіт'!AP167+'[1]побудинковий звіт'!AP167</f>
        <v>536.30133770220777</v>
      </c>
      <c r="AQ167" s="41">
        <f>'[2]побудинковий звіт'!AQ167+'[1]побудинковий звіт'!AQ167</f>
        <v>140.47538423161123</v>
      </c>
      <c r="AR167" s="55">
        <f t="shared" si="139"/>
        <v>-395.82595347059657</v>
      </c>
      <c r="AS167" s="41">
        <f>'[2]побудинковий звіт'!AS167+'[1]побудинковий звіт'!AS167</f>
        <v>3754.264078274502</v>
      </c>
      <c r="AT167" s="41">
        <f>'[2]побудинковий звіт'!AT167+'[1]побудинковий звіт'!AT167</f>
        <v>0</v>
      </c>
      <c r="AU167" s="57">
        <f t="shared" si="140"/>
        <v>-3754.264078274502</v>
      </c>
      <c r="AV167" s="41">
        <f>'[2]побудинковий звіт'!AV167+'[1]побудинковий звіт'!AV167</f>
        <v>0</v>
      </c>
      <c r="AW167" s="41">
        <f>'[2]побудинковий звіт'!AW167+'[1]побудинковий звіт'!AW167</f>
        <v>0</v>
      </c>
      <c r="AX167" s="58">
        <f t="shared" si="141"/>
        <v>0</v>
      </c>
      <c r="AY167" s="41">
        <f>'[2]побудинковий звіт'!AY167+'[1]побудинковий звіт'!AY167</f>
        <v>0</v>
      </c>
      <c r="AZ167" s="41">
        <f>'[2]побудинковий звіт'!AZ167+'[1]побудинковий звіт'!AZ167</f>
        <v>0</v>
      </c>
      <c r="BA167" s="36">
        <f t="shared" si="142"/>
        <v>0</v>
      </c>
      <c r="BB167" s="41">
        <f>'[2]побудинковий звіт'!BB167+'[1]побудинковий звіт'!BB167</f>
        <v>0</v>
      </c>
      <c r="BC167" s="41">
        <f>'[2]побудинковий звіт'!BC167+'[1]побудинковий звіт'!BC167</f>
        <v>0</v>
      </c>
      <c r="BD167" s="58">
        <f t="shared" si="143"/>
        <v>0</v>
      </c>
      <c r="BE167" s="41">
        <f>'[2]побудинковий звіт'!BE167+'[1]побудинковий звіт'!BE167</f>
        <v>0</v>
      </c>
      <c r="BF167" s="41">
        <f>'[2]побудинковий звіт'!BF167+'[1]побудинковий звіт'!BF167</f>
        <v>0</v>
      </c>
      <c r="BG167" s="38">
        <f t="shared" si="144"/>
        <v>0</v>
      </c>
      <c r="BH167" s="41">
        <f>'[2]побудинковий звіт'!BH167+'[1]побудинковий звіт'!BH167</f>
        <v>0</v>
      </c>
      <c r="BI167" s="41">
        <f>'[2]побудинковий звіт'!BI167+'[1]побудинковий звіт'!BI167</f>
        <v>0</v>
      </c>
      <c r="BJ167" s="58">
        <f t="shared" si="145"/>
        <v>0</v>
      </c>
      <c r="BK167" s="41">
        <f>'[2]побудинковий звіт'!BK167+'[1]побудинковий звіт'!BK167</f>
        <v>0</v>
      </c>
      <c r="BL167" s="41">
        <f>'[2]побудинковий звіт'!BL167+'[1]побудинковий звіт'!BL167</f>
        <v>0</v>
      </c>
      <c r="BM167" s="38">
        <f t="shared" si="146"/>
        <v>0</v>
      </c>
      <c r="BN167" s="41">
        <f>'[2]побудинковий звіт'!BN167+'[1]побудинковий звіт'!BN167</f>
        <v>0</v>
      </c>
      <c r="BO167" s="41">
        <f>'[2]побудинковий звіт'!BO167+'[1]побудинковий звіт'!BO167</f>
        <v>0</v>
      </c>
      <c r="BP167" s="58">
        <f t="shared" si="147"/>
        <v>0</v>
      </c>
      <c r="BQ167" s="84">
        <f t="shared" si="148"/>
        <v>0</v>
      </c>
      <c r="BR167" s="42">
        <f t="shared" si="149"/>
        <v>0</v>
      </c>
      <c r="BS167" s="58">
        <f t="shared" si="150"/>
        <v>0</v>
      </c>
      <c r="BT167" s="41">
        <f>'[2]побудинковий звіт'!BT167+'[1]побудинковий звіт'!BT167</f>
        <v>825.8146643539601</v>
      </c>
      <c r="BU167" s="41">
        <f>'[2]побудинковий звіт'!BU167+'[1]побудинковий звіт'!BU167</f>
        <v>2229.2017220046114</v>
      </c>
      <c r="BV167" s="55">
        <f t="shared" si="151"/>
        <v>1403.3870576506513</v>
      </c>
      <c r="BW167" s="41">
        <f>'[2]побудинковий звіт'!BW167+'[1]побудинковий звіт'!BW167</f>
        <v>0</v>
      </c>
      <c r="BX167" s="41">
        <f>'[2]побудинковий звіт'!BX167+'[1]побудинковий звіт'!BX167</f>
        <v>1.3045286466343722</v>
      </c>
      <c r="BY167" s="55">
        <f t="shared" si="152"/>
        <v>1.3045286466343722</v>
      </c>
      <c r="BZ167" s="41">
        <f>'[2]побудинковий звіт'!BZ167+'[1]побудинковий звіт'!BZ167</f>
        <v>162.33737604518427</v>
      </c>
      <c r="CA167" s="41">
        <f>'[2]побудинковий звіт'!CA167+'[1]побудинковий звіт'!CA167</f>
        <v>199.71353909039132</v>
      </c>
      <c r="CB167" s="55">
        <f t="shared" si="153"/>
        <v>37.376163045207051</v>
      </c>
      <c r="CC167" s="41">
        <f>'[2]побудинковий звіт'!CC167+'[1]побудинковий звіт'!CC167</f>
        <v>0</v>
      </c>
      <c r="CD167" s="41">
        <f>'[2]побудинковий звіт'!CD167+'[1]побудинковий звіт'!CD167</f>
        <v>0</v>
      </c>
      <c r="CE167" s="55">
        <f t="shared" si="154"/>
        <v>0</v>
      </c>
      <c r="CF167" s="41">
        <f>'[2]побудинковий звіт'!CF167+'[1]побудинковий звіт'!CF167</f>
        <v>0</v>
      </c>
      <c r="CG167" s="41">
        <f>'[2]побудинковий звіт'!CG167+'[1]побудинковий звіт'!CG167</f>
        <v>0</v>
      </c>
      <c r="CH167" s="55">
        <f t="shared" si="155"/>
        <v>0</v>
      </c>
      <c r="CI167" s="41">
        <f>'[2]побудинковий звіт'!CI167+'[1]побудинковий звіт'!CI167</f>
        <v>0</v>
      </c>
      <c r="CJ167" s="41">
        <f>'[2]побудинковий звіт'!CJ167+'[1]побудинковий звіт'!CJ167</f>
        <v>0</v>
      </c>
      <c r="CK167" s="55">
        <f t="shared" si="156"/>
        <v>0</v>
      </c>
      <c r="CL167" s="41">
        <f>'[2]побудинковий звіт'!CL167+'[1]побудинковий звіт'!CL167</f>
        <v>0</v>
      </c>
      <c r="CM167" s="41">
        <f>'[2]побудинковий звіт'!CM167+'[1]побудинковий звіт'!CM167</f>
        <v>0</v>
      </c>
      <c r="CN167" s="55">
        <f t="shared" si="157"/>
        <v>0</v>
      </c>
      <c r="CO167" s="41">
        <f t="shared" si="158"/>
        <v>0</v>
      </c>
      <c r="CP167" s="42">
        <f t="shared" si="159"/>
        <v>0</v>
      </c>
      <c r="CQ167" s="55">
        <f t="shared" si="160"/>
        <v>0</v>
      </c>
      <c r="CR167" s="76">
        <f t="shared" si="161"/>
        <v>5278.7174563758545</v>
      </c>
      <c r="CS167" s="5">
        <f t="shared" si="162"/>
        <v>2570.6951739732485</v>
      </c>
      <c r="CT167" s="55">
        <f t="shared" si="163"/>
        <v>-2708.0222824026059</v>
      </c>
      <c r="CU167" s="84">
        <f t="shared" si="164"/>
        <v>6334.460947651025</v>
      </c>
      <c r="CV167" s="68">
        <f t="shared" si="165"/>
        <v>3084.834208767898</v>
      </c>
      <c r="CW167" s="36">
        <f t="shared" si="166"/>
        <v>-3249.626738883127</v>
      </c>
      <c r="CX167" s="41">
        <f>'[2]побудинковий звіт'!CX167+'[1]побудинковий звіт'!CX167</f>
        <v>140.06549364852347</v>
      </c>
      <c r="CY167" s="41">
        <f>'[2]побудинковий звіт'!CY167+'[1]побудинковий звіт'!CY167</f>
        <v>3389.69223253165</v>
      </c>
      <c r="CZ167" s="55">
        <f t="shared" si="167"/>
        <v>3249.6267388831266</v>
      </c>
      <c r="DA167" s="254">
        <f>'[1]побудинковий звіт'!DA167</f>
        <v>-10579.615918135209</v>
      </c>
      <c r="DB167" s="2">
        <v>2</v>
      </c>
      <c r="DC167" s="702">
        <f>'[1]побудинковий звіт'!DC167</f>
        <v>712.53</v>
      </c>
      <c r="DD167" s="702">
        <f>'[1]побудинковий звіт'!DD167</f>
        <v>0</v>
      </c>
      <c r="DE167" s="702">
        <f>'[1]побудинковий звіт'!DE167</f>
        <v>0</v>
      </c>
      <c r="DF167" s="702">
        <f>'[1]побудинковий звіт'!DF167</f>
        <v>0</v>
      </c>
      <c r="DG167" s="772">
        <v>-6443.0187692602958</v>
      </c>
      <c r="DH167" s="746">
        <f t="shared" si="168"/>
        <v>77694.317295594577</v>
      </c>
      <c r="DI167" s="769"/>
      <c r="DJ167" s="5"/>
      <c r="DK167" s="307">
        <f>VLOOKUP($A167,ціни!$A$4:$G$401,5)</f>
        <v>1.581927671370402</v>
      </c>
      <c r="DL167" s="307"/>
      <c r="DM167" s="307">
        <f>VLOOKUP($A167,ціни!$A$4:$G$401,7)</f>
        <v>1.581927671370402</v>
      </c>
      <c r="DN167" s="29">
        <f>F167*DK167</f>
        <v>507.00781867421387</v>
      </c>
      <c r="DO167" s="29">
        <f>H167*DM167</f>
        <v>0</v>
      </c>
      <c r="DP167" s="306">
        <f t="shared" si="169"/>
        <v>507.00781867421387</v>
      </c>
      <c r="DQ167" s="101"/>
      <c r="DR167" s="29">
        <f>VLOOKUP(A167,'ДЗ нас '!$A$1:$C$359,2)</f>
        <v>507</v>
      </c>
      <c r="DS167" s="733"/>
      <c r="DT167" s="29">
        <f t="shared" si="170"/>
        <v>507</v>
      </c>
      <c r="DU167" s="247">
        <f>VLOOKUP(A167,'новий кошторис с 01.06'!$A$4:$AI$399,35)*1.2</f>
        <v>508.50636395108347</v>
      </c>
      <c r="DV167" s="29">
        <f t="shared" si="171"/>
        <v>-1.5063639510834719</v>
      </c>
      <c r="DW167" s="1016">
        <f>'[2]побудинковий звіт'!$DW$9+'[1]побудинковий звіт'!DW167</f>
        <v>0</v>
      </c>
      <c r="DX167" s="101">
        <f>'[1]побудинковий звіт'!DX167</f>
        <v>0</v>
      </c>
      <c r="DY167" s="5">
        <f t="shared" si="172"/>
        <v>4505.1168939294021</v>
      </c>
      <c r="DZ167" s="5">
        <f t="shared" si="173"/>
        <v>0</v>
      </c>
      <c r="EA167" s="737">
        <f t="shared" si="174"/>
        <v>0</v>
      </c>
      <c r="EC167" s="577">
        <f t="shared" si="175"/>
        <v>45051.168939294024</v>
      </c>
      <c r="EE167" s="743">
        <v>-3922</v>
      </c>
      <c r="EF167" s="723">
        <f t="shared" si="176"/>
        <v>-10365.018769260296</v>
      </c>
      <c r="EH167" s="798">
        <v>-7636.5007729544486</v>
      </c>
      <c r="EI167" s="101">
        <f>VLOOKUP(A167,'кошти 01.01.24'!$A$9:$D$352,4,FALSE)</f>
        <v>-7329.9891792520812</v>
      </c>
    </row>
    <row r="168" spans="1:139" ht="14.4" hidden="1" customHeight="1" x14ac:dyDescent="0.3">
      <c r="A168" s="318">
        <v>150001021</v>
      </c>
      <c r="B168" s="43" t="s">
        <v>598</v>
      </c>
      <c r="C168" s="44" t="s">
        <v>363</v>
      </c>
      <c r="D168" s="44" t="s">
        <v>363</v>
      </c>
      <c r="E168" s="39">
        <f t="shared" si="125"/>
        <v>11587.55</v>
      </c>
      <c r="F168" s="205">
        <f>'[1]побудинковий звіт'!F168</f>
        <v>11587.55</v>
      </c>
      <c r="G168" s="29">
        <f>'[1]побудинковий звіт'!G168</f>
        <v>1227.6300000000001</v>
      </c>
      <c r="H168" s="148">
        <f>'[1]побудинковий звіт'!H168</f>
        <v>0</v>
      </c>
      <c r="I168" s="41">
        <f>'[2]побудинковий звіт'!I168+'[1]побудинковий звіт'!I168</f>
        <v>30699.417328999269</v>
      </c>
      <c r="J168" s="41">
        <f>'[2]побудинковий звіт'!J168+'[1]побудинковий звіт'!J168</f>
        <v>24253.095766387592</v>
      </c>
      <c r="K168" s="55">
        <f t="shared" si="126"/>
        <v>-6446.3215626116762</v>
      </c>
      <c r="L168" s="41">
        <f>'[2]побудинковий звіт'!L168+'[1]побудинковий звіт'!L168</f>
        <v>8682.9207654368529</v>
      </c>
      <c r="M168" s="41">
        <f>'[2]побудинковий звіт'!M168+'[1]побудинковий звіт'!M168</f>
        <v>7544.768231960491</v>
      </c>
      <c r="N168" s="55">
        <f t="shared" si="127"/>
        <v>-1138.1525334763619</v>
      </c>
      <c r="O168" s="41">
        <f>'[2]побудинковий звіт'!O168+'[1]побудинковий звіт'!O168</f>
        <v>18371.700329671112</v>
      </c>
      <c r="P168" s="41">
        <f>'[2]побудинковий звіт'!P168+'[1]побудинковий звіт'!P168</f>
        <v>18423.703680355553</v>
      </c>
      <c r="Q168" s="55">
        <f t="shared" si="128"/>
        <v>52.003350684441102</v>
      </c>
      <c r="R168" s="41">
        <f>'[2]побудинковий звіт'!R168+'[1]побудинковий звіт'!R168</f>
        <v>3984.0623779132184</v>
      </c>
      <c r="S168" s="41">
        <f>'[2]побудинковий звіт'!S168+'[1]побудинковий звіт'!S168</f>
        <v>3994.5556609612822</v>
      </c>
      <c r="T168" s="55">
        <f t="shared" si="129"/>
        <v>10.493283048063859</v>
      </c>
      <c r="U168" s="41">
        <f>'[2]побудинковий звіт'!U168+'[1]побудинковий звіт'!U168</f>
        <v>3273.3110440447304</v>
      </c>
      <c r="V168" s="41">
        <f>'[2]побудинковий звіт'!V168+'[1]побудинковий звіт'!V168</f>
        <v>1290.6756159255942</v>
      </c>
      <c r="W168" s="55">
        <f t="shared" si="130"/>
        <v>-1982.6354281191361</v>
      </c>
      <c r="X168" s="41">
        <f>'[2]побудинковий звіт'!X168+'[1]побудинковий звіт'!X168</f>
        <v>23170.960166914294</v>
      </c>
      <c r="Y168" s="41">
        <f>'[2]побудинковий звіт'!Y168+'[1]побудинковий звіт'!Y168</f>
        <v>15757.794759120588</v>
      </c>
      <c r="Z168" s="55">
        <f t="shared" si="131"/>
        <v>-7413.1654077937055</v>
      </c>
      <c r="AA168" s="41">
        <f>'[2]побудинковий звіт'!AA168+'[1]побудинковий звіт'!AA168</f>
        <v>0</v>
      </c>
      <c r="AB168" s="41">
        <f>'[2]побудинковий звіт'!AB168+'[1]побудинковий звіт'!AB168</f>
        <v>0</v>
      </c>
      <c r="AC168" s="55">
        <f t="shared" si="132"/>
        <v>0</v>
      </c>
      <c r="AD168" s="41">
        <f>'[2]побудинковий звіт'!AD168+'[1]побудинковий звіт'!AD168</f>
        <v>50239.279946876952</v>
      </c>
      <c r="AE168" s="41">
        <f>'[2]побудинковий звіт'!AE168+'[1]побудинковий звіт'!AE168</f>
        <v>50044.627870487311</v>
      </c>
      <c r="AF168" s="36">
        <f t="shared" si="133"/>
        <v>-194.65207638964057</v>
      </c>
      <c r="AG168" s="84">
        <f t="shared" si="134"/>
        <v>138421.65195985642</v>
      </c>
      <c r="AH168" s="56">
        <f t="shared" si="135"/>
        <v>121309.22158519842</v>
      </c>
      <c r="AI168" s="55">
        <f t="shared" si="136"/>
        <v>-17112.430374657997</v>
      </c>
      <c r="AJ168" s="41">
        <f>'[2]побудинковий звіт'!AJ168+'[1]побудинковий звіт'!AJ168</f>
        <v>130681.37276315791</v>
      </c>
      <c r="AK168" s="41">
        <f>'[2]побудинковий звіт'!AK168+'[1]побудинковий звіт'!AK168</f>
        <v>115006.77565051691</v>
      </c>
      <c r="AL168" s="55">
        <f t="shared" si="137"/>
        <v>-15674.597112641</v>
      </c>
      <c r="AM168" s="41">
        <f>'[2]побудинковий звіт'!AM168+'[1]побудинковий звіт'!AM168</f>
        <v>6828.6843980944604</v>
      </c>
      <c r="AN168" s="41">
        <f>'[2]побудинковий звіт'!AN168+'[1]побудинковий звіт'!AN168</f>
        <v>6313.9458185101103</v>
      </c>
      <c r="AO168" s="55">
        <f t="shared" si="138"/>
        <v>-514.73857958435019</v>
      </c>
      <c r="AP168" s="41">
        <f>'[2]побудинковий звіт'!AP168+'[1]побудинковий звіт'!AP168</f>
        <v>10599.397989085683</v>
      </c>
      <c r="AQ168" s="41">
        <f>'[2]побудинковий звіт'!AQ168+'[1]побудинковий звіт'!AQ168</f>
        <v>12594.396608361611</v>
      </c>
      <c r="AR168" s="55">
        <f t="shared" si="139"/>
        <v>1994.9986192759279</v>
      </c>
      <c r="AS168" s="41">
        <f>'[2]побудинковий звіт'!AS168+'[1]побудинковий звіт'!AS168</f>
        <v>219667.72710126537</v>
      </c>
      <c r="AT168" s="41">
        <f>'[2]побудинковий звіт'!AT168+'[1]побудинковий звіт'!AT168</f>
        <v>52158.836239285396</v>
      </c>
      <c r="AU168" s="57">
        <f t="shared" si="140"/>
        <v>-167508.89086197998</v>
      </c>
      <c r="AV168" s="41">
        <f>'[2]побудинковий звіт'!AV168+'[1]побудинковий звіт'!AV168</f>
        <v>1655.6485889763615</v>
      </c>
      <c r="AW168" s="41">
        <f>'[2]побудинковий звіт'!AW168+'[1]побудинковий звіт'!AW168</f>
        <v>2840.9282934168987</v>
      </c>
      <c r="AX168" s="58">
        <f t="shared" si="141"/>
        <v>1185.2797044405372</v>
      </c>
      <c r="AY168" s="41">
        <f>'[2]побудинковий звіт'!AY168+'[1]побудинковий звіт'!AY168</f>
        <v>2581.6220947923371</v>
      </c>
      <c r="AZ168" s="41">
        <f>'[2]побудинковий звіт'!AZ168+'[1]побудинковий звіт'!AZ168</f>
        <v>2424.3372782689366</v>
      </c>
      <c r="BA168" s="36">
        <f t="shared" si="142"/>
        <v>-157.28481652340042</v>
      </c>
      <c r="BB168" s="41">
        <f>'[2]побудинковий звіт'!BB168+'[1]побудинковий звіт'!BB168</f>
        <v>1700.889145224286</v>
      </c>
      <c r="BC168" s="41">
        <f>'[2]побудинковий звіт'!BC168+'[1]побудинковий звіт'!BC168</f>
        <v>3666.664463790195</v>
      </c>
      <c r="BD168" s="58">
        <f t="shared" si="143"/>
        <v>1965.7753185659089</v>
      </c>
      <c r="BE168" s="41">
        <f>'[2]побудинковий звіт'!BE168+'[1]побудинковий звіт'!BE168</f>
        <v>738.22077439844577</v>
      </c>
      <c r="BF168" s="41">
        <f>'[2]побудинковий звіт'!BF168+'[1]побудинковий звіт'!BF168</f>
        <v>1287.2999011257489</v>
      </c>
      <c r="BG168" s="38">
        <f t="shared" si="144"/>
        <v>549.07912672730311</v>
      </c>
      <c r="BH168" s="41">
        <f>'[2]побудинковий звіт'!BH168+'[1]побудинковий звіт'!BH168</f>
        <v>804.60529979285604</v>
      </c>
      <c r="BI168" s="41">
        <f>'[2]побудинковий звіт'!BI168+'[1]побудинковий звіт'!BI168</f>
        <v>1404.9660277373732</v>
      </c>
      <c r="BJ168" s="58">
        <f t="shared" si="145"/>
        <v>600.36072794451718</v>
      </c>
      <c r="BK168" s="41">
        <f>'[2]побудинковий звіт'!BK168+'[1]побудинковий звіт'!BK168</f>
        <v>3151.4118591118372</v>
      </c>
      <c r="BL168" s="41">
        <f>'[2]побудинковий звіт'!BL168+'[1]побудинковий звіт'!BL168</f>
        <v>2970.8002827908203</v>
      </c>
      <c r="BM168" s="38">
        <f t="shared" si="146"/>
        <v>-180.61157632101686</v>
      </c>
      <c r="BN168" s="41">
        <f>'[2]побудинковий звіт'!BN168+'[1]побудинковий звіт'!BN168</f>
        <v>1085.7222214106002</v>
      </c>
      <c r="BO168" s="41">
        <f>'[2]побудинковий звіт'!BO168+'[1]побудинковий звіт'!BO168</f>
        <v>14745.226177052</v>
      </c>
      <c r="BP168" s="58">
        <f t="shared" si="147"/>
        <v>13659.503955641399</v>
      </c>
      <c r="BQ168" s="84">
        <f t="shared" si="148"/>
        <v>11718.119983706723</v>
      </c>
      <c r="BR168" s="42">
        <f t="shared" si="149"/>
        <v>29340.222424181971</v>
      </c>
      <c r="BS168" s="58">
        <f t="shared" si="150"/>
        <v>17622.102440475246</v>
      </c>
      <c r="BT168" s="41">
        <f>'[2]побудинковий звіт'!BT168+'[1]побудинковий звіт'!BT168</f>
        <v>155301.1480805907</v>
      </c>
      <c r="BU168" s="41">
        <f>'[2]побудинковий звіт'!BU168+'[1]побудинковий звіт'!BU168</f>
        <v>198315.5404114424</v>
      </c>
      <c r="BV168" s="55">
        <f t="shared" si="151"/>
        <v>43014.392330851697</v>
      </c>
      <c r="BW168" s="41">
        <f>'[2]побудинковий звіт'!BW168+'[1]побудинковий звіт'!BW168</f>
        <v>89283.745720486666</v>
      </c>
      <c r="BX168" s="41">
        <f>'[2]побудинковий звіт'!BX168+'[1]побудинковий звіт'!BX168</f>
        <v>117836.5903595907</v>
      </c>
      <c r="BY168" s="55">
        <f t="shared" si="152"/>
        <v>28552.844639104034</v>
      </c>
      <c r="BZ168" s="41">
        <f>'[2]побудинковий звіт'!BZ168+'[1]побудинковий звіт'!BZ168</f>
        <v>18866.444566885879</v>
      </c>
      <c r="CA168" s="41">
        <f>'[2]побудинковий звіт'!CA168+'[1]побудинковий звіт'!CA168</f>
        <v>17896.162170425025</v>
      </c>
      <c r="CB168" s="55">
        <f t="shared" si="153"/>
        <v>-970.28239646085422</v>
      </c>
      <c r="CC168" s="41">
        <f>'[2]побудинковий звіт'!CC168+'[1]побудинковий звіт'!CC168</f>
        <v>1786.3342262008184</v>
      </c>
      <c r="CD168" s="41">
        <f>'[2]побудинковий звіт'!CD168+'[1]побудинковий звіт'!CD168</f>
        <v>1792.3914863075911</v>
      </c>
      <c r="CE168" s="55">
        <f t="shared" si="154"/>
        <v>6.0572601067726737</v>
      </c>
      <c r="CF168" s="41">
        <f>'[2]побудинковий звіт'!CF168+'[1]побудинковий звіт'!CF168</f>
        <v>221.31731592905703</v>
      </c>
      <c r="CG168" s="41">
        <f>'[2]побудинковий звіт'!CG168+'[1]побудинковий звіт'!CG168</f>
        <v>0</v>
      </c>
      <c r="CH168" s="55">
        <f t="shared" si="155"/>
        <v>-221.31731592905703</v>
      </c>
      <c r="CI168" s="41">
        <f>'[2]побудинковий звіт'!CI168+'[1]побудинковий звіт'!CI168</f>
        <v>8043.4806853248338</v>
      </c>
      <c r="CJ168" s="41">
        <f>'[2]побудинковий звіт'!CJ168+'[1]побудинковий звіт'!CJ168</f>
        <v>7111.3623625248702</v>
      </c>
      <c r="CK168" s="55">
        <f t="shared" si="156"/>
        <v>-932.11832279996361</v>
      </c>
      <c r="CL168" s="41">
        <f>'[2]побудинковий звіт'!CL168+'[1]побудинковий звіт'!CL168</f>
        <v>32332.918547901681</v>
      </c>
      <c r="CM168" s="41">
        <f>'[2]побудинковий звіт'!CM168+'[1]побудинковий звіт'!CM168</f>
        <v>43749.188191676578</v>
      </c>
      <c r="CN168" s="55">
        <f t="shared" si="157"/>
        <v>11416.269643774896</v>
      </c>
      <c r="CO168" s="41">
        <f t="shared" si="158"/>
        <v>40376.399233226519</v>
      </c>
      <c r="CP168" s="42">
        <f t="shared" si="159"/>
        <v>50860.550554201451</v>
      </c>
      <c r="CQ168" s="55">
        <f t="shared" si="160"/>
        <v>10484.151320974932</v>
      </c>
      <c r="CR168" s="76">
        <f t="shared" si="161"/>
        <v>823752.34333848627</v>
      </c>
      <c r="CS168" s="5">
        <f t="shared" si="162"/>
        <v>723424.6333080217</v>
      </c>
      <c r="CT168" s="55">
        <f t="shared" si="163"/>
        <v>-100327.71003046457</v>
      </c>
      <c r="CU168" s="84">
        <f t="shared" si="164"/>
        <v>988502.81200618343</v>
      </c>
      <c r="CV168" s="68">
        <f t="shared" si="165"/>
        <v>868109.55996962602</v>
      </c>
      <c r="CW168" s="36">
        <f t="shared" si="166"/>
        <v>-120393.25203655742</v>
      </c>
      <c r="CX168" s="41">
        <f>'[2]побудинковий звіт'!CX168+'[1]побудинковий звіт'!CX168</f>
        <v>22208.445868276507</v>
      </c>
      <c r="CY168" s="41">
        <f>'[2]побудинковий звіт'!CY168+'[1]побудинковий звіт'!CY168</f>
        <v>142601.697904834</v>
      </c>
      <c r="CZ168" s="55">
        <f t="shared" si="167"/>
        <v>120393.25203655749</v>
      </c>
      <c r="DA168" s="254">
        <f>'[1]побудинковий звіт'!DA168</f>
        <v>-112410.28744905823</v>
      </c>
      <c r="DB168" s="2">
        <v>1</v>
      </c>
      <c r="DC168" s="702">
        <f>'[1]побудинковий звіт'!DC168</f>
        <v>232275.55</v>
      </c>
      <c r="DD168" s="702">
        <f>'[1]побудинковий звіт'!DD168</f>
        <v>0</v>
      </c>
      <c r="DE168" s="702">
        <f>'[1]побудинковий звіт'!DE168</f>
        <v>121798.37999999999</v>
      </c>
      <c r="DF168" s="702">
        <f>'[1]побудинковий звіт'!DF168</f>
        <v>0</v>
      </c>
      <c r="DG168" s="772">
        <v>52008.061688149814</v>
      </c>
      <c r="DH168" s="746">
        <f t="shared" si="168"/>
        <v>12128535.09449352</v>
      </c>
      <c r="DI168" s="769"/>
      <c r="DJ168" s="5"/>
      <c r="DK168" s="307">
        <f>VLOOKUP($A168,ціни!$A$4:$G$401,5)</f>
        <v>5.454300738822873</v>
      </c>
      <c r="DL168" s="307">
        <f>VLOOKUP($A168,ціни!$A$4:$G$401,6)</f>
        <v>7.0069922192172074</v>
      </c>
      <c r="DM168" s="307">
        <f>VLOOKUP($A168,ціни!$A$4:$G$401,7)</f>
        <v>4.676506445336793</v>
      </c>
      <c r="DN168" s="29">
        <f>DK168*G168+(F168-G168)*DL168</f>
        <v>79287.742047713837</v>
      </c>
      <c r="DO168" s="29">
        <f>DM168*H168</f>
        <v>0</v>
      </c>
      <c r="DP168" s="306">
        <f t="shared" si="169"/>
        <v>79287.742047713837</v>
      </c>
      <c r="DQ168" s="101"/>
      <c r="DR168" s="29">
        <f>VLOOKUP(A168,'ДЗ нас '!$A$1:$C$359,2)</f>
        <v>79287.7</v>
      </c>
      <c r="DS168" s="733"/>
      <c r="DT168" s="29">
        <f t="shared" si="170"/>
        <v>79287.7</v>
      </c>
      <c r="DU168" s="247">
        <f>VLOOKUP(A168,'новий кошторис с 01.06'!$A$4:$AI$399,35)*1.2</f>
        <v>79483.929628968297</v>
      </c>
      <c r="DV168" s="29">
        <f t="shared" si="171"/>
        <v>-196.22962896829995</v>
      </c>
      <c r="DW168" s="1016">
        <f>'[2]побудинковий звіт'!$DW$9+'[1]побудинковий звіт'!DW168</f>
        <v>1818</v>
      </c>
      <c r="DX168" s="101">
        <f>'[1]побудинковий звіт'!DX168</f>
        <v>0</v>
      </c>
      <c r="DY168" s="5">
        <f t="shared" si="172"/>
        <v>277663.01650196646</v>
      </c>
      <c r="DZ168" s="5">
        <f t="shared" si="173"/>
        <v>97798.870396160841</v>
      </c>
      <c r="EA168" s="737">
        <f t="shared" si="174"/>
        <v>121798.37999999999</v>
      </c>
      <c r="EC168" s="577">
        <f t="shared" si="175"/>
        <v>2636012.7252151845</v>
      </c>
      <c r="EE168" s="743">
        <v>53105</v>
      </c>
      <c r="EF168" s="723">
        <f t="shared" si="176"/>
        <v>105113.06168814981</v>
      </c>
      <c r="EH168" s="798">
        <v>-26120.036987825384</v>
      </c>
      <c r="EI168" s="101">
        <f>VLOOKUP(A168,'кошти 01.01.24'!$A$9:$D$352,4,FALSE)</f>
        <v>7982.964587499504</v>
      </c>
    </row>
    <row r="169" spans="1:139" hidden="1" x14ac:dyDescent="0.3">
      <c r="A169" s="318">
        <v>150001035</v>
      </c>
      <c r="B169" s="43" t="s">
        <v>599</v>
      </c>
      <c r="C169" s="44" t="s">
        <v>262</v>
      </c>
      <c r="D169" s="44" t="s">
        <v>262</v>
      </c>
      <c r="E169" s="39">
        <f t="shared" si="125"/>
        <v>2850.54</v>
      </c>
      <c r="F169" s="205">
        <f>'[1]побудинковий звіт'!F169</f>
        <v>2771.14</v>
      </c>
      <c r="G169" s="29">
        <f>'[1]побудинковий звіт'!G169</f>
        <v>0</v>
      </c>
      <c r="H169" s="148">
        <f>'[1]побудинковий звіт'!H169</f>
        <v>79.400000000000006</v>
      </c>
      <c r="I169" s="41">
        <f>'[2]побудинковий звіт'!I169+'[1]побудинковий звіт'!I169</f>
        <v>10874.381378293123</v>
      </c>
      <c r="J169" s="41">
        <f>'[2]побудинковий звіт'!J169+'[1]побудинковий звіт'!J169</f>
        <v>8533.4309386557616</v>
      </c>
      <c r="K169" s="55">
        <f t="shared" si="126"/>
        <v>-2340.9504396373613</v>
      </c>
      <c r="L169" s="41">
        <f>'[2]побудинковий звіт'!L169+'[1]побудинковий звіт'!L169</f>
        <v>2107.796293792815</v>
      </c>
      <c r="M169" s="41">
        <f>'[2]побудинковий звіт'!M169+'[1]побудинковий звіт'!M169</f>
        <v>1806.6731656585252</v>
      </c>
      <c r="N169" s="55">
        <f t="shared" si="127"/>
        <v>-301.1231281342898</v>
      </c>
      <c r="O169" s="41">
        <f>'[2]побудинковий звіт'!O169+'[1]побудинковий звіт'!O169</f>
        <v>4674.9286984633036</v>
      </c>
      <c r="P169" s="41">
        <f>'[2]побудинковий звіт'!P169+'[1]побудинковий звіт'!P169</f>
        <v>4688.2149457508476</v>
      </c>
      <c r="Q169" s="55">
        <f t="shared" si="128"/>
        <v>13.286247287544029</v>
      </c>
      <c r="R169" s="41">
        <f>'[2]побудинковий звіт'!R169+'[1]побудинковий звіт'!R169</f>
        <v>986.98571756034619</v>
      </c>
      <c r="S169" s="41">
        <f>'[2]побудинковий звіт'!S169+'[1]побудинковий звіт'!S169</f>
        <v>989.74093076527674</v>
      </c>
      <c r="T169" s="55">
        <f t="shared" si="129"/>
        <v>2.7552132049305555</v>
      </c>
      <c r="U169" s="41">
        <f>'[2]побудинковий звіт'!U169+'[1]побудинковий звіт'!U169</f>
        <v>728.0117565847479</v>
      </c>
      <c r="V169" s="41">
        <f>'[2]побудинковий звіт'!V169+'[1]побудинковий звіт'!V169</f>
        <v>335.90739446204765</v>
      </c>
      <c r="W169" s="55">
        <f t="shared" si="130"/>
        <v>-392.10436212270025</v>
      </c>
      <c r="X169" s="41">
        <f>'[2]побудинковий звіт'!X169+'[1]побудинковий звіт'!X169</f>
        <v>7366.2115789216023</v>
      </c>
      <c r="Y169" s="41">
        <f>'[2]побудинковий звіт'!Y169+'[1]побудинковий звіт'!Y169</f>
        <v>5152.3491873350131</v>
      </c>
      <c r="Z169" s="55">
        <f t="shared" si="131"/>
        <v>-2213.8623915865892</v>
      </c>
      <c r="AA169" s="41">
        <f>'[2]побудинковий звіт'!AA169+'[1]побудинковий звіт'!AA169</f>
        <v>0</v>
      </c>
      <c r="AB169" s="41">
        <f>'[2]побудинковий звіт'!AB169+'[1]побудинковий звіт'!AB169</f>
        <v>0</v>
      </c>
      <c r="AC169" s="55">
        <f t="shared" si="132"/>
        <v>0</v>
      </c>
      <c r="AD169" s="41">
        <f>'[2]побудинковий звіт'!AD169+'[1]побудинковий звіт'!AD169</f>
        <v>12364.257627944273</v>
      </c>
      <c r="AE169" s="41">
        <f>'[2]побудинковий звіт'!AE169+'[1]побудинковий звіт'!AE169</f>
        <v>12316.14782172312</v>
      </c>
      <c r="AF169" s="36">
        <f t="shared" si="133"/>
        <v>-48.109806221153121</v>
      </c>
      <c r="AG169" s="84">
        <f t="shared" si="134"/>
        <v>39102.573051560212</v>
      </c>
      <c r="AH169" s="56">
        <f t="shared" si="135"/>
        <v>33822.464384350591</v>
      </c>
      <c r="AI169" s="55">
        <f t="shared" si="136"/>
        <v>-5280.1086672096208</v>
      </c>
      <c r="AJ169" s="41">
        <f>'[2]побудинковий звіт'!AJ169+'[1]побудинковий звіт'!AJ169</f>
        <v>0</v>
      </c>
      <c r="AK169" s="41">
        <f>'[2]побудинковий звіт'!AK169+'[1]побудинковий звіт'!AK169</f>
        <v>0</v>
      </c>
      <c r="AL169" s="55">
        <f t="shared" si="137"/>
        <v>0</v>
      </c>
      <c r="AM169" s="41">
        <f>'[2]побудинковий звіт'!AM169+'[1]побудинковий звіт'!AM169</f>
        <v>0</v>
      </c>
      <c r="AN169" s="41">
        <f>'[2]побудинковий звіт'!AN169+'[1]побудинковий звіт'!AN169</f>
        <v>0</v>
      </c>
      <c r="AO169" s="55">
        <f t="shared" si="138"/>
        <v>0</v>
      </c>
      <c r="AP169" s="41">
        <f>'[2]побудинковий звіт'!AP169+'[1]побудинковий звіт'!AP169</f>
        <v>2922.2639315703523</v>
      </c>
      <c r="AQ169" s="41">
        <f>'[2]побудинковий звіт'!AQ169+'[1]побудинковий звіт'!AQ169</f>
        <v>2760</v>
      </c>
      <c r="AR169" s="55">
        <f t="shared" si="139"/>
        <v>-162.26393157035227</v>
      </c>
      <c r="AS169" s="41">
        <f>'[2]побудинковий звіт'!AS169+'[1]побудинковий звіт'!AS169</f>
        <v>39690.61728822712</v>
      </c>
      <c r="AT169" s="41">
        <f>'[2]побудинковий звіт'!AT169+'[1]побудинковий звіт'!AT169</f>
        <v>14165.05719471852</v>
      </c>
      <c r="AU169" s="57">
        <f t="shared" si="140"/>
        <v>-25525.5600935086</v>
      </c>
      <c r="AV169" s="41">
        <f>'[2]побудинковий звіт'!AV169+'[1]побудинковий звіт'!AV169</f>
        <v>1789.0150719913142</v>
      </c>
      <c r="AW169" s="41">
        <f>'[2]побудинковий звіт'!AW169+'[1]побудинковий звіт'!AW169</f>
        <v>0</v>
      </c>
      <c r="AX169" s="58">
        <f t="shared" si="141"/>
        <v>-1789.0150719913142</v>
      </c>
      <c r="AY169" s="41">
        <f>'[2]побудинковий звіт'!AY169+'[1]побудинковий звіт'!AY169</f>
        <v>2522.7392020623865</v>
      </c>
      <c r="AZ169" s="41">
        <f>'[2]побудинковий звіт'!AZ169+'[1]побудинковий звіт'!AZ169</f>
        <v>2890.710092458793</v>
      </c>
      <c r="BA169" s="36">
        <f t="shared" si="142"/>
        <v>367.9708903964065</v>
      </c>
      <c r="BB169" s="41">
        <f>'[2]побудинковий звіт'!BB169+'[1]побудинковий звіт'!BB169</f>
        <v>1742.6651266023587</v>
      </c>
      <c r="BC169" s="41">
        <f>'[2]побудинковий звіт'!BC169+'[1]побудинковий звіт'!BC169</f>
        <v>0</v>
      </c>
      <c r="BD169" s="58">
        <f t="shared" si="143"/>
        <v>-1742.6651266023587</v>
      </c>
      <c r="BE169" s="41">
        <f>'[2]побудинковий звіт'!BE169+'[1]побудинковий звіт'!BE169</f>
        <v>769.38094383970974</v>
      </c>
      <c r="BF169" s="41">
        <f>'[2]побудинковий звіт'!BF169+'[1]побудинковий звіт'!BF169</f>
        <v>0</v>
      </c>
      <c r="BG169" s="38">
        <f t="shared" si="144"/>
        <v>-769.38094383970974</v>
      </c>
      <c r="BH169" s="41">
        <f>'[2]побудинковий звіт'!BH169+'[1]побудинковий звіт'!BH169</f>
        <v>682.92421978566813</v>
      </c>
      <c r="BI169" s="41">
        <f>'[2]побудинковий звіт'!BI169+'[1]побудинковий звіт'!BI169</f>
        <v>15.456925</v>
      </c>
      <c r="BJ169" s="58">
        <f t="shared" si="145"/>
        <v>-667.46729478566817</v>
      </c>
      <c r="BK169" s="41">
        <f>'[2]побудинковий звіт'!BK169+'[1]побудинковий звіт'!BK169</f>
        <v>1322.2980022913857</v>
      </c>
      <c r="BL169" s="41">
        <f>'[2]побудинковий звіт'!BL169+'[1]побудинковий звіт'!BL169</f>
        <v>3069.2202026117138</v>
      </c>
      <c r="BM169" s="38">
        <f t="shared" si="146"/>
        <v>1746.9222003203281</v>
      </c>
      <c r="BN169" s="41">
        <f>'[2]побудинковий звіт'!BN169+'[1]побудинковий звіт'!BN169</f>
        <v>1361.3147397545574</v>
      </c>
      <c r="BO169" s="41">
        <f>'[2]побудинковий звіт'!BO169+'[1]побудинковий звіт'!BO169</f>
        <v>0</v>
      </c>
      <c r="BP169" s="58">
        <f t="shared" si="147"/>
        <v>-1361.3147397545574</v>
      </c>
      <c r="BQ169" s="84">
        <f t="shared" si="148"/>
        <v>10190.337306327381</v>
      </c>
      <c r="BR169" s="42">
        <f t="shared" si="149"/>
        <v>5975.3872200705064</v>
      </c>
      <c r="BS169" s="58">
        <f t="shared" si="150"/>
        <v>-4214.9500862568748</v>
      </c>
      <c r="BT169" s="41">
        <f>'[2]побудинковий звіт'!BT169+'[1]побудинковий звіт'!BT169</f>
        <v>44932.948182695996</v>
      </c>
      <c r="BU169" s="41">
        <f>'[2]побудинковий звіт'!BU169+'[1]побудинковий звіт'!BU169</f>
        <v>93327.91085318102</v>
      </c>
      <c r="BV169" s="55">
        <f t="shared" si="151"/>
        <v>48394.962670485023</v>
      </c>
      <c r="BW169" s="41">
        <f>'[2]побудинковий звіт'!BW169+'[1]побудинковий звіт'!BW169</f>
        <v>18202.022406935095</v>
      </c>
      <c r="BX169" s="41">
        <f>'[2]побудинковий звіт'!BX169+'[1]побудинковий звіт'!BX169</f>
        <v>21920.413226646589</v>
      </c>
      <c r="BY169" s="55">
        <f t="shared" si="152"/>
        <v>3718.3908197114943</v>
      </c>
      <c r="BZ169" s="41">
        <f>'[2]побудинковий звіт'!BZ169+'[1]побудинковий звіт'!BZ169</f>
        <v>22111.038036708047</v>
      </c>
      <c r="CA169" s="41">
        <f>'[2]побудинковий звіт'!CA169+'[1]побудинковий звіт'!CA169</f>
        <v>7906.2667716639617</v>
      </c>
      <c r="CB169" s="55">
        <f t="shared" si="153"/>
        <v>-14204.771265044084</v>
      </c>
      <c r="CC169" s="41">
        <f>'[2]побудинковий звіт'!CC169+'[1]побудинковий звіт'!CC169</f>
        <v>1734.4236589437005</v>
      </c>
      <c r="CD169" s="41">
        <f>'[2]побудинковий звіт'!CD169+'[1]побудинковий звіт'!CD169</f>
        <v>1740.3048961071991</v>
      </c>
      <c r="CE169" s="55">
        <f t="shared" si="154"/>
        <v>5.8812371634985539</v>
      </c>
      <c r="CF169" s="41">
        <f>'[2]побудинковий звіт'!CF169+'[1]побудинковий звіт'!CF169</f>
        <v>214.88587256017843</v>
      </c>
      <c r="CG169" s="41">
        <f>'[2]побудинковий звіт'!CG169+'[1]побудинковий звіт'!CG169</f>
        <v>0</v>
      </c>
      <c r="CH169" s="55">
        <f t="shared" si="155"/>
        <v>-214.88587256017843</v>
      </c>
      <c r="CI169" s="41">
        <f>'[2]побудинковий звіт'!CI169+'[1]побудинковий звіт'!CI169</f>
        <v>5693.1613815974679</v>
      </c>
      <c r="CJ169" s="41">
        <f>'[2]побудинковий звіт'!CJ169+'[1]побудинковий звіт'!CJ169</f>
        <v>3049.7659069263236</v>
      </c>
      <c r="CK169" s="55">
        <f t="shared" si="156"/>
        <v>-2643.3954746711443</v>
      </c>
      <c r="CL169" s="41">
        <f>'[2]побудинковий звіт'!CL169+'[1]побудинковий звіт'!CL169</f>
        <v>0</v>
      </c>
      <c r="CM169" s="41">
        <f>'[2]побудинковий звіт'!CM169+'[1]побудинковий звіт'!CM169</f>
        <v>0</v>
      </c>
      <c r="CN169" s="55">
        <f t="shared" si="157"/>
        <v>0</v>
      </c>
      <c r="CO169" s="41">
        <f t="shared" si="158"/>
        <v>5693.1613815974679</v>
      </c>
      <c r="CP169" s="42">
        <f t="shared" si="159"/>
        <v>3049.7659069263236</v>
      </c>
      <c r="CQ169" s="55">
        <f t="shared" si="160"/>
        <v>-2643.3954746711443</v>
      </c>
      <c r="CR169" s="76">
        <f t="shared" si="161"/>
        <v>184794.27111712555</v>
      </c>
      <c r="CS169" s="5">
        <f t="shared" si="162"/>
        <v>184667.57045366475</v>
      </c>
      <c r="CT169" s="55">
        <f t="shared" si="163"/>
        <v>-126.70066346079693</v>
      </c>
      <c r="CU169" s="84">
        <f t="shared" si="164"/>
        <v>221753.12534055064</v>
      </c>
      <c r="CV169" s="68">
        <f t="shared" si="165"/>
        <v>221601.08454439769</v>
      </c>
      <c r="CW169" s="36">
        <f t="shared" si="166"/>
        <v>-152.04079615295632</v>
      </c>
      <c r="CX169" s="41">
        <f>'[2]побудинковий звіт'!CX169+'[1]побудинковий звіт'!CX169</f>
        <v>5781.5958564299126</v>
      </c>
      <c r="CY169" s="41">
        <f>'[2]побудинковий звіт'!CY169+'[1]побудинковий звіт'!CY169</f>
        <v>5933.6366525829562</v>
      </c>
      <c r="CZ169" s="55">
        <f t="shared" si="167"/>
        <v>152.04079615304363</v>
      </c>
      <c r="DA169" s="254">
        <f>'[1]побудинковий звіт'!DA169</f>
        <v>25173.698439340675</v>
      </c>
      <c r="DB169" s="2">
        <v>1</v>
      </c>
      <c r="DC169" s="702">
        <f>'[1]побудинковий звіт'!DC169</f>
        <v>34106.959999999999</v>
      </c>
      <c r="DD169" s="702">
        <f>'[1]побудинковий звіт'!DD169</f>
        <v>186.65</v>
      </c>
      <c r="DE169" s="702">
        <f>'[1]побудинковий звіт'!DE169</f>
        <v>9731.48</v>
      </c>
      <c r="DF169" s="702">
        <f>'[1]побудинковий звіт'!DF169</f>
        <v>-446.55000000000007</v>
      </c>
      <c r="DG169" s="772">
        <v>-33044.241515051282</v>
      </c>
      <c r="DH169" s="746">
        <f t="shared" si="168"/>
        <v>2730416.6543637668</v>
      </c>
      <c r="DI169" s="769"/>
      <c r="DJ169" s="5"/>
      <c r="DK169" s="307">
        <f>VLOOKUP($A169,ціни!$A$4:$G$401,5)</f>
        <v>6.2707229469166439</v>
      </c>
      <c r="DL169" s="307"/>
      <c r="DM169" s="307">
        <f>VLOOKUP($A169,ціни!$A$4:$G$401,7)</f>
        <v>5.6248499255027671</v>
      </c>
      <c r="DN169" s="29">
        <f>F169*DK169</f>
        <v>17377.051187118588</v>
      </c>
      <c r="DO169" s="29">
        <f>H169*DM169</f>
        <v>446.61308408491976</v>
      </c>
      <c r="DP169" s="306">
        <f t="shared" si="169"/>
        <v>17823.664271203506</v>
      </c>
      <c r="DQ169" s="101"/>
      <c r="DR169" s="29">
        <f>VLOOKUP(A169,'ДЗ нас '!$A$1:$C$359,2)</f>
        <v>17376.95</v>
      </c>
      <c r="DS169" s="733">
        <f>VLOOKUP(A169,'ДЗ нежит'!$A$1:$D$153,4,0)</f>
        <v>446.62</v>
      </c>
      <c r="DT169" s="29">
        <f t="shared" si="170"/>
        <v>17823.57</v>
      </c>
      <c r="DU169" s="247">
        <f>VLOOKUP(A169,'новий кошторис с 01.06'!$A$4:$AI$399,35)*1.2</f>
        <v>17894.568244078451</v>
      </c>
      <c r="DV169" s="29">
        <f t="shared" si="171"/>
        <v>-70.998244078451535</v>
      </c>
      <c r="DW169" s="1016">
        <f>'[2]побудинковий звіт'!$DW$9+'[1]побудинковий звіт'!DW169</f>
        <v>1359</v>
      </c>
      <c r="DX169" s="101">
        <f>'[1]побудинковий звіт'!DX169</f>
        <v>0</v>
      </c>
      <c r="DY169" s="5">
        <f t="shared" si="172"/>
        <v>59857.145513465402</v>
      </c>
      <c r="DZ169" s="5">
        <f t="shared" si="173"/>
        <v>24168.533297746828</v>
      </c>
      <c r="EA169" s="737">
        <f t="shared" si="174"/>
        <v>9284.93</v>
      </c>
      <c r="EC169" s="577">
        <f t="shared" si="175"/>
        <v>476287.40745872544</v>
      </c>
      <c r="EE169" s="743">
        <v>-14522</v>
      </c>
      <c r="EF169" s="723">
        <f t="shared" si="176"/>
        <v>-47566.241515051282</v>
      </c>
      <c r="EH169" s="798">
        <v>13007.941349044777</v>
      </c>
      <c r="EI169" s="101">
        <f>VLOOKUP(A169,'кошти 01.01.24'!$A$9:$D$352,4,FALSE)</f>
        <v>25325.739235493624</v>
      </c>
    </row>
    <row r="170" spans="1:139" hidden="1" x14ac:dyDescent="0.3">
      <c r="A170" s="318">
        <v>150001022</v>
      </c>
      <c r="B170" s="43" t="s">
        <v>600</v>
      </c>
      <c r="C170" s="44" t="s">
        <v>364</v>
      </c>
      <c r="D170" s="44" t="s">
        <v>364</v>
      </c>
      <c r="E170" s="39">
        <f t="shared" si="125"/>
        <v>3771.18</v>
      </c>
      <c r="F170" s="205">
        <f>'[1]побудинковий звіт'!F170</f>
        <v>3771.18</v>
      </c>
      <c r="G170" s="29">
        <f>'[1]побудинковий звіт'!G170</f>
        <v>405</v>
      </c>
      <c r="H170" s="148">
        <f>'[1]побудинковий звіт'!H170</f>
        <v>0</v>
      </c>
      <c r="I170" s="41">
        <f>'[2]побудинковий звіт'!I170+'[1]побудинковий звіт'!I170</f>
        <v>10235.1919948295</v>
      </c>
      <c r="J170" s="41">
        <f>'[2]побудинковий звіт'!J170+'[1]побудинковий звіт'!J170</f>
        <v>8097.9327563600018</v>
      </c>
      <c r="K170" s="55">
        <f t="shared" si="126"/>
        <v>-2137.2592384694981</v>
      </c>
      <c r="L170" s="41">
        <f>'[2]побудинковий звіт'!L170+'[1]побудинковий звіт'!L170</f>
        <v>2324.682778159829</v>
      </c>
      <c r="M170" s="41">
        <f>'[2]побудинковий звіт'!M170+'[1]побудинковий звіт'!M170</f>
        <v>1995.0197968575369</v>
      </c>
      <c r="N170" s="55">
        <f t="shared" si="127"/>
        <v>-329.66298130229211</v>
      </c>
      <c r="O170" s="41">
        <f>'[2]побудинковий звіт'!O170+'[1]побудинковий звіт'!O170</f>
        <v>5666.4021113959379</v>
      </c>
      <c r="P170" s="41">
        <f>'[2]побудинковий звіт'!P170+'[1]побудинковий звіт'!P170</f>
        <v>5682.3152049781793</v>
      </c>
      <c r="Q170" s="55">
        <f t="shared" si="128"/>
        <v>15.913093582241345</v>
      </c>
      <c r="R170" s="41">
        <f>'[2]побудинковий звіт'!R170+'[1]побудинковий звіт'!R170</f>
        <v>1205.6992911950585</v>
      </c>
      <c r="S170" s="41">
        <f>'[2]побудинковий звіт'!S170+'[1]побудинковий звіт'!S170</f>
        <v>1209.0136398544475</v>
      </c>
      <c r="T170" s="55">
        <f t="shared" si="129"/>
        <v>3.3143486593889975</v>
      </c>
      <c r="U170" s="41">
        <f>'[2]побудинковий звіт'!U170+'[1]побудинковий звіт'!U170</f>
        <v>719.31734201344375</v>
      </c>
      <c r="V170" s="41">
        <f>'[2]побудинковий звіт'!V170+'[1]побудинковий звіт'!V170</f>
        <v>327.56249823637114</v>
      </c>
      <c r="W170" s="55">
        <f t="shared" si="130"/>
        <v>-391.75484377707261</v>
      </c>
      <c r="X170" s="41">
        <f>'[2]побудинковий звіт'!X170+'[1]побудинковий звіт'!X170</f>
        <v>6728.5666722053202</v>
      </c>
      <c r="Y170" s="41">
        <f>'[2]побудинковий звіт'!Y170+'[1]побудинковий звіт'!Y170</f>
        <v>7132.9230511317546</v>
      </c>
      <c r="Z170" s="55">
        <f t="shared" si="131"/>
        <v>404.35637892643445</v>
      </c>
      <c r="AA170" s="41">
        <f>'[2]побудинковий звіт'!AA170+'[1]побудинковий звіт'!AA170</f>
        <v>0</v>
      </c>
      <c r="AB170" s="41">
        <f>'[2]побудинковий звіт'!AB170+'[1]побудинковий звіт'!AB170</f>
        <v>0</v>
      </c>
      <c r="AC170" s="55">
        <f t="shared" si="132"/>
        <v>0</v>
      </c>
      <c r="AD170" s="41">
        <f>'[2]побудинковий звіт'!AD170+'[1]побудинковий звіт'!AD170</f>
        <v>16357.828545841503</v>
      </c>
      <c r="AE170" s="41">
        <f>'[2]побудинковий звіт'!AE170+'[1]побудинковий звіт'!AE170</f>
        <v>16294.168896825784</v>
      </c>
      <c r="AF170" s="36">
        <f t="shared" si="133"/>
        <v>-63.659649015718969</v>
      </c>
      <c r="AG170" s="84">
        <f t="shared" si="134"/>
        <v>43237.688735640593</v>
      </c>
      <c r="AH170" s="56">
        <f t="shared" si="135"/>
        <v>40738.935844244072</v>
      </c>
      <c r="AI170" s="55">
        <f t="shared" si="136"/>
        <v>-2498.7528913965216</v>
      </c>
      <c r="AJ170" s="41">
        <f>'[2]побудинковий звіт'!AJ170+'[1]побудинковий звіт'!AJ170</f>
        <v>39079.762335537846</v>
      </c>
      <c r="AK170" s="41">
        <f>'[2]побудинковий звіт'!AK170+'[1]побудинковий звіт'!AK170</f>
        <v>36833.55397424379</v>
      </c>
      <c r="AL170" s="55">
        <f t="shared" si="137"/>
        <v>-2246.2083612940551</v>
      </c>
      <c r="AM170" s="41">
        <f>'[2]побудинковий звіт'!AM170+'[1]побудинковий звіт'!AM170</f>
        <v>3262.8674795522466</v>
      </c>
      <c r="AN170" s="41">
        <f>'[2]побудинковий звіт'!AN170+'[1]побудинковий звіт'!AN170</f>
        <v>2892.7956291042797</v>
      </c>
      <c r="AO170" s="55">
        <f t="shared" si="138"/>
        <v>-370.07185044796688</v>
      </c>
      <c r="AP170" s="41">
        <f>'[2]побудинковий звіт'!AP170+'[1]побудинковий звіт'!AP170</f>
        <v>3566.1525944587343</v>
      </c>
      <c r="AQ170" s="41">
        <f>'[2]побудинковий звіт'!AQ170+'[1]побудинковий звіт'!AQ170</f>
        <v>3397.5414134702087</v>
      </c>
      <c r="AR170" s="55">
        <f t="shared" si="139"/>
        <v>-168.61118098852558</v>
      </c>
      <c r="AS170" s="41">
        <f>'[2]побудинковий звіт'!AS170+'[1]побудинковий звіт'!AS170</f>
        <v>71891.235758721625</v>
      </c>
      <c r="AT170" s="41">
        <f>'[2]побудинковий звіт'!AT170+'[1]побудинковий звіт'!AT170</f>
        <v>14936.591816185359</v>
      </c>
      <c r="AU170" s="57">
        <f t="shared" si="140"/>
        <v>-56954.643942536262</v>
      </c>
      <c r="AV170" s="41">
        <f>'[2]побудинковий звіт'!AV170+'[1]побудинковий звіт'!AV170</f>
        <v>1020.7539300291991</v>
      </c>
      <c r="AW170" s="41">
        <f>'[2]побудинковий звіт'!AW170+'[1]побудинковий звіт'!AW170</f>
        <v>1375.3748763290137</v>
      </c>
      <c r="AX170" s="58">
        <f t="shared" si="141"/>
        <v>354.62094629981459</v>
      </c>
      <c r="AY170" s="41">
        <f>'[2]побудинковий звіт'!AY170+'[1]побудинковий звіт'!AY170</f>
        <v>1421.0182523569756</v>
      </c>
      <c r="AZ170" s="41">
        <f>'[2]побудинковий звіт'!AZ170+'[1]побудинковий звіт'!AZ170</f>
        <v>4362.1880739788567</v>
      </c>
      <c r="BA170" s="36">
        <f t="shared" si="142"/>
        <v>2941.1698216218811</v>
      </c>
      <c r="BB170" s="41">
        <f>'[2]побудинковий звіт'!BB170+'[1]побудинковий звіт'!BB170</f>
        <v>1160.2109943528601</v>
      </c>
      <c r="BC170" s="41">
        <f>'[2]побудинковий звіт'!BC170+'[1]побудинковий звіт'!BC170</f>
        <v>1912.9040107978021</v>
      </c>
      <c r="BD170" s="58">
        <f t="shared" si="143"/>
        <v>752.69301644494203</v>
      </c>
      <c r="BE170" s="41">
        <f>'[2]побудинковий звіт'!BE170+'[1]побудинковий звіт'!BE170</f>
        <v>518.51039087117374</v>
      </c>
      <c r="BF170" s="41">
        <f>'[2]побудинковий звіт'!BF170+'[1]побудинковий звіт'!BF170</f>
        <v>0</v>
      </c>
      <c r="BG170" s="38">
        <f t="shared" si="144"/>
        <v>-518.51039087117374</v>
      </c>
      <c r="BH170" s="41">
        <f>'[2]побудинковий звіт'!BH170+'[1]побудинковий звіт'!BH170</f>
        <v>373.77169927388297</v>
      </c>
      <c r="BI170" s="41">
        <f>'[2]побудинковий звіт'!BI170+'[1]побудинковий звіт'!BI170</f>
        <v>19.323966600000002</v>
      </c>
      <c r="BJ170" s="58">
        <f t="shared" si="145"/>
        <v>-354.44773267388297</v>
      </c>
      <c r="BK170" s="41">
        <f>'[2]побудинковий звіт'!BK170+'[1]побудинковий звіт'!BK170</f>
        <v>1193.2925244807109</v>
      </c>
      <c r="BL170" s="41">
        <f>'[2]побудинковий звіт'!BL170+'[1]побудинковий звіт'!BL170</f>
        <v>13362.598436104201</v>
      </c>
      <c r="BM170" s="38">
        <f t="shared" si="146"/>
        <v>12169.305911623491</v>
      </c>
      <c r="BN170" s="41">
        <f>'[2]побудинковий звіт'!BN170+'[1]побудинковий звіт'!BN170</f>
        <v>375.80686644024547</v>
      </c>
      <c r="BO170" s="41">
        <f>'[2]побудинковий звіт'!BO170+'[1]побудинковий звіт'!BO170</f>
        <v>5314.2915215032926</v>
      </c>
      <c r="BP170" s="58">
        <f t="shared" si="147"/>
        <v>4938.4846550630473</v>
      </c>
      <c r="BQ170" s="84">
        <f t="shared" si="148"/>
        <v>6063.3646578050484</v>
      </c>
      <c r="BR170" s="42">
        <f t="shared" si="149"/>
        <v>26346.680885313166</v>
      </c>
      <c r="BS170" s="58">
        <f t="shared" si="150"/>
        <v>20283.316227508119</v>
      </c>
      <c r="BT170" s="41">
        <f>'[2]побудинковий звіт'!BT170+'[1]побудинковий звіт'!BT170</f>
        <v>57730.231051492665</v>
      </c>
      <c r="BU170" s="41">
        <f>'[2]побудинковий звіт'!BU170+'[1]побудинковий звіт'!BU170</f>
        <v>75457.190175732569</v>
      </c>
      <c r="BV170" s="55">
        <f t="shared" si="151"/>
        <v>17726.959124239904</v>
      </c>
      <c r="BW170" s="41">
        <f>'[2]побудинковий звіт'!BW170+'[1]побудинковий звіт'!BW170</f>
        <v>27858.692833399327</v>
      </c>
      <c r="BX170" s="41">
        <f>'[2]побудинковий звіт'!BX170+'[1]побудинковий звіт'!BX170</f>
        <v>38862.349968235008</v>
      </c>
      <c r="BY170" s="55">
        <f t="shared" si="152"/>
        <v>11003.657134835681</v>
      </c>
      <c r="BZ170" s="41">
        <f>'[2]побудинковий звіт'!BZ170+'[1]побудинковий звіт'!BZ170</f>
        <v>9819.3674850535699</v>
      </c>
      <c r="CA170" s="41">
        <f>'[2]побудинковий звіт'!CA170+'[1]побудинковий звіт'!CA170</f>
        <v>7032.1831914354652</v>
      </c>
      <c r="CB170" s="55">
        <f t="shared" si="153"/>
        <v>-2787.1842936181047</v>
      </c>
      <c r="CC170" s="41">
        <f>'[2]побудинковий звіт'!CC170+'[1]побудинковий звіт'!CC170</f>
        <v>977.14008954574695</v>
      </c>
      <c r="CD170" s="41">
        <f>'[2]побудинковий звіт'!CD170+'[1]побудинковий звіт'!CD170</f>
        <v>980.45346259560529</v>
      </c>
      <c r="CE170" s="55">
        <f t="shared" si="154"/>
        <v>3.3133730498583418</v>
      </c>
      <c r="CF170" s="41">
        <f>'[2]побудинковий звіт'!CF170+'[1]побудинковий звіт'!CF170</f>
        <v>121.06246341418505</v>
      </c>
      <c r="CG170" s="41">
        <f>'[2]побудинковий звіт'!CG170+'[1]побудинковий звіт'!CG170</f>
        <v>0</v>
      </c>
      <c r="CH170" s="55">
        <f t="shared" si="155"/>
        <v>-121.06246341418505</v>
      </c>
      <c r="CI170" s="41">
        <f>'[2]побудинковий звіт'!CI170+'[1]побудинковий звіт'!CI170</f>
        <v>8056.4476704346998</v>
      </c>
      <c r="CJ170" s="41">
        <f>'[2]побудинковий звіт'!CJ170+'[1]побудинковий звіт'!CJ170</f>
        <v>5795.415755353466</v>
      </c>
      <c r="CK170" s="55">
        <f t="shared" si="156"/>
        <v>-2261.0319150812338</v>
      </c>
      <c r="CL170" s="41">
        <f>'[2]побудинковий звіт'!CL170+'[1]побудинковий звіт'!CL170</f>
        <v>10835.382794710235</v>
      </c>
      <c r="CM170" s="41">
        <f>'[2]побудинковий звіт'!CM170+'[1]побудинковий звіт'!CM170</f>
        <v>16304.66115330904</v>
      </c>
      <c r="CN170" s="55">
        <f t="shared" si="157"/>
        <v>5469.2783585988054</v>
      </c>
      <c r="CO170" s="41">
        <f t="shared" si="158"/>
        <v>18891.830465144936</v>
      </c>
      <c r="CP170" s="42">
        <f t="shared" si="159"/>
        <v>22100.076908662508</v>
      </c>
      <c r="CQ170" s="55">
        <f t="shared" si="160"/>
        <v>3208.2464435175716</v>
      </c>
      <c r="CR170" s="76">
        <f t="shared" si="161"/>
        <v>282499.39594976651</v>
      </c>
      <c r="CS170" s="5">
        <f t="shared" si="162"/>
        <v>269578.35326922208</v>
      </c>
      <c r="CT170" s="55">
        <f t="shared" si="163"/>
        <v>-12921.042680544429</v>
      </c>
      <c r="CU170" s="84">
        <f t="shared" si="164"/>
        <v>338999.27513971977</v>
      </c>
      <c r="CV170" s="68">
        <f t="shared" si="165"/>
        <v>323494.0239230665</v>
      </c>
      <c r="CW170" s="36">
        <f t="shared" si="166"/>
        <v>-15505.251216653269</v>
      </c>
      <c r="CX170" s="41">
        <f>'[2]побудинковий звіт'!CX170+'[1]побудинковий звіт'!CX170</f>
        <v>7477.9921752212285</v>
      </c>
      <c r="CY170" s="41">
        <f>'[2]побудинковий звіт'!CY170+'[1]побудинковий звіт'!CY170</f>
        <v>22983.243391874621</v>
      </c>
      <c r="CZ170" s="55">
        <f t="shared" si="167"/>
        <v>15505.251216653392</v>
      </c>
      <c r="DA170" s="254">
        <f>'[1]побудинковий звіт'!DA170</f>
        <v>-33650.421296041452</v>
      </c>
      <c r="DB170" s="2">
        <v>1</v>
      </c>
      <c r="DC170" s="702">
        <f>'[1]побудинковий звіт'!DC170</f>
        <v>50682.99</v>
      </c>
      <c r="DD170" s="702">
        <f>'[1]побудинковий звіт'!DD170</f>
        <v>0</v>
      </c>
      <c r="DE170" s="702">
        <f>'[1]побудинковий звіт'!DE170</f>
        <v>12557.629999999997</v>
      </c>
      <c r="DF170" s="702">
        <f>'[1]побудинковий звіт'!DF170</f>
        <v>0</v>
      </c>
      <c r="DG170" s="772">
        <v>-7927.8496954188449</v>
      </c>
      <c r="DH170" s="746">
        <f t="shared" si="168"/>
        <v>4157727.207779292</v>
      </c>
      <c r="DI170" s="769"/>
      <c r="DJ170" s="5"/>
      <c r="DK170" s="307">
        <f>VLOOKUP($A170,ціни!$A$4:$G$401,5)</f>
        <v>5.8725312662303164</v>
      </c>
      <c r="DL170" s="307">
        <f>VLOOKUP($A170,ціни!$A$4:$G$401,6)</f>
        <v>7.3537990358006748</v>
      </c>
      <c r="DM170" s="307">
        <f>VLOOKUP($A170,ціни!$A$4:$G$401,7)</f>
        <v>5.1404164974221018</v>
      </c>
      <c r="DN170" s="29">
        <f t="shared" ref="DN170:DN175" si="181">DK170*G170+(F170-G170)*DL170</f>
        <v>27132.586401154793</v>
      </c>
      <c r="DO170" s="29">
        <f t="shared" ref="DO170:DO175" si="182">DM170*H170</f>
        <v>0</v>
      </c>
      <c r="DP170" s="306">
        <f t="shared" si="169"/>
        <v>27132.586401154793</v>
      </c>
      <c r="DQ170" s="101"/>
      <c r="DR170" s="29">
        <f>VLOOKUP(A170,'ДЗ нас '!$A$1:$C$359,2)</f>
        <v>27132.58</v>
      </c>
      <c r="DS170" s="733"/>
      <c r="DT170" s="29">
        <f t="shared" si="170"/>
        <v>27132.58</v>
      </c>
      <c r="DU170" s="247">
        <f>VLOOKUP(A170,'новий кошторис с 01.06'!$A$4:$AI$399,35)*1.2</f>
        <v>27214.920142785151</v>
      </c>
      <c r="DV170" s="29">
        <f t="shared" si="171"/>
        <v>-82.34014278514951</v>
      </c>
      <c r="DW170" s="1016">
        <f>'[2]побудинковий звіт'!$DW$9+'[1]побудинковий звіт'!DW170</f>
        <v>1138.5</v>
      </c>
      <c r="DX170" s="101">
        <f>'[1]побудинковий звіт'!DX170</f>
        <v>0</v>
      </c>
      <c r="DY170" s="5">
        <f t="shared" si="172"/>
        <v>93545.520499832011</v>
      </c>
      <c r="DZ170" s="5">
        <f t="shared" si="173"/>
        <v>49539.927241798236</v>
      </c>
      <c r="EA170" s="737">
        <f t="shared" si="174"/>
        <v>12557.629999999997</v>
      </c>
      <c r="EC170" s="577">
        <f t="shared" si="175"/>
        <v>862694.8291046595</v>
      </c>
      <c r="EE170" s="743">
        <v>-6151</v>
      </c>
      <c r="EF170" s="723">
        <f t="shared" si="176"/>
        <v>-14078.849695418845</v>
      </c>
      <c r="EH170" s="798">
        <v>-56493.020801555387</v>
      </c>
      <c r="EI170" s="101">
        <f>VLOOKUP(A170,'кошти 01.01.24'!$A$9:$D$352,4,FALSE)</f>
        <v>-18145.170079388099</v>
      </c>
    </row>
    <row r="171" spans="1:139" ht="14.4" hidden="1" customHeight="1" x14ac:dyDescent="0.3">
      <c r="A171" s="318">
        <v>150001023</v>
      </c>
      <c r="B171" s="43" t="s">
        <v>601</v>
      </c>
      <c r="C171" s="44" t="s">
        <v>365</v>
      </c>
      <c r="D171" s="44" t="s">
        <v>365</v>
      </c>
      <c r="E171" s="39">
        <f t="shared" si="125"/>
        <v>3769.35</v>
      </c>
      <c r="F171" s="205">
        <f>'[1]побудинковий звіт'!F171</f>
        <v>3769.35</v>
      </c>
      <c r="G171" s="29">
        <f>'[1]побудинковий звіт'!G171</f>
        <v>406.43</v>
      </c>
      <c r="H171" s="148">
        <f>'[1]побудинковий звіт'!H171</f>
        <v>0</v>
      </c>
      <c r="I171" s="41">
        <f>'[2]побудинковий звіт'!I171+'[1]побудинковий звіт'!I171</f>
        <v>10199.188078791585</v>
      </c>
      <c r="J171" s="41">
        <f>'[2]побудинковий звіт'!J171+'[1]побудинковий звіт'!J171</f>
        <v>8068.1954986224373</v>
      </c>
      <c r="K171" s="55">
        <f t="shared" si="126"/>
        <v>-2130.9925801691479</v>
      </c>
      <c r="L171" s="41">
        <f>'[2]побудинковий звіт'!L171+'[1]побудинковий звіт'!L171</f>
        <v>2283.7994425207958</v>
      </c>
      <c r="M171" s="41">
        <f>'[2]побудинковий звіт'!M171+'[1]побудинковий звіт'!M171</f>
        <v>1953.9382958815686</v>
      </c>
      <c r="N171" s="55">
        <f t="shared" si="127"/>
        <v>-329.86114663922717</v>
      </c>
      <c r="O171" s="41">
        <f>'[2]побудинковий звіт'!O171+'[1]побудинковий звіт'!O171</f>
        <v>5066.8528097819026</v>
      </c>
      <c r="P171" s="41">
        <f>'[2]побудинковий звіт'!P171+'[1]побудинковий звіт'!P171</f>
        <v>5081.3655892441093</v>
      </c>
      <c r="Q171" s="55">
        <f t="shared" si="128"/>
        <v>14.512779462206709</v>
      </c>
      <c r="R171" s="41">
        <f>'[2]побудинковий звіт'!R171+'[1]побудинковий звіт'!R171</f>
        <v>1242.1641584404676</v>
      </c>
      <c r="S171" s="41">
        <f>'[2]побудинковий звіт'!S171+'[1]побудинковий звіт'!S171</f>
        <v>1245.597710639089</v>
      </c>
      <c r="T171" s="55">
        <f t="shared" si="129"/>
        <v>3.433552198621328</v>
      </c>
      <c r="U171" s="41">
        <f>'[2]побудинковий звіт'!U171+'[1]побудинковий звіт'!U171</f>
        <v>719.31734201344375</v>
      </c>
      <c r="V171" s="41">
        <f>'[2]побудинковий звіт'!V171+'[1]побудинковий звіт'!V171</f>
        <v>327.56249823637114</v>
      </c>
      <c r="W171" s="55">
        <f t="shared" si="130"/>
        <v>-391.75484377707261</v>
      </c>
      <c r="X171" s="41">
        <f>'[2]побудинковий звіт'!X171+'[1]побудинковий звіт'!X171</f>
        <v>7194.8470640503274</v>
      </c>
      <c r="Y171" s="41">
        <f>'[2]побудинковий звіт'!Y171+'[1]побудинковий звіт'!Y171</f>
        <v>7433.4705293193456</v>
      </c>
      <c r="Z171" s="55">
        <f t="shared" si="131"/>
        <v>238.6234652690182</v>
      </c>
      <c r="AA171" s="41">
        <f>'[2]побудинковий звіт'!AA171+'[1]побудинковий звіт'!AA171</f>
        <v>0</v>
      </c>
      <c r="AB171" s="41">
        <f>'[2]побудинковий звіт'!AB171+'[1]побудинковий звіт'!AB171</f>
        <v>0</v>
      </c>
      <c r="AC171" s="55">
        <f t="shared" si="132"/>
        <v>0</v>
      </c>
      <c r="AD171" s="41">
        <f>'[2]побудинковий звіт'!AD171+'[1]побудинковий звіт'!AD171</f>
        <v>16343.449368057321</v>
      </c>
      <c r="AE171" s="41">
        <f>'[2]побудинковий звіт'!AE171+'[1]побудинковий звіт'!AE171</f>
        <v>16280.090265490458</v>
      </c>
      <c r="AF171" s="36">
        <f t="shared" si="133"/>
        <v>-63.35910256686293</v>
      </c>
      <c r="AG171" s="84">
        <f t="shared" si="134"/>
        <v>43049.618263655844</v>
      </c>
      <c r="AH171" s="56">
        <f t="shared" si="135"/>
        <v>40390.220387433379</v>
      </c>
      <c r="AI171" s="55">
        <f t="shared" si="136"/>
        <v>-2659.3978762224651</v>
      </c>
      <c r="AJ171" s="41">
        <f>'[2]побудинковий звіт'!AJ171+'[1]побудинковий звіт'!AJ171</f>
        <v>34088.818387134306</v>
      </c>
      <c r="AK171" s="41">
        <f>'[2]побудинковий звіт'!AK171+'[1]побудинковий звіт'!AK171</f>
        <v>29780.293219000559</v>
      </c>
      <c r="AL171" s="55">
        <f t="shared" si="137"/>
        <v>-4308.5251681337468</v>
      </c>
      <c r="AM171" s="41">
        <f>'[2]побудинковий звіт'!AM171+'[1]побудинковий звіт'!AM171</f>
        <v>0</v>
      </c>
      <c r="AN171" s="41">
        <f>'[2]побудинковий звіт'!AN171+'[1]побудинковий звіт'!AN171</f>
        <v>0</v>
      </c>
      <c r="AO171" s="55">
        <f t="shared" si="138"/>
        <v>0</v>
      </c>
      <c r="AP171" s="41">
        <f>'[2]побудинковий звіт'!AP171+'[1]побудинковий звіт'!AP171</f>
        <v>3566.1525944587343</v>
      </c>
      <c r="AQ171" s="41">
        <f>'[2]побудинковий звіт'!AQ171+'[1]побудинковий звіт'!AQ171</f>
        <v>3368.2365624806584</v>
      </c>
      <c r="AR171" s="55">
        <f t="shared" si="139"/>
        <v>-197.91603197807581</v>
      </c>
      <c r="AS171" s="41">
        <f>'[2]побудинковий звіт'!AS171+'[1]побудинковий звіт'!AS171</f>
        <v>64964.972543765536</v>
      </c>
      <c r="AT171" s="41">
        <f>'[2]побудинковий звіт'!AT171+'[1]побудинковий звіт'!AT171</f>
        <v>11537.334296987117</v>
      </c>
      <c r="AU171" s="57">
        <f t="shared" si="140"/>
        <v>-53427.638246778421</v>
      </c>
      <c r="AV171" s="41">
        <f>'[2]побудинковий звіт'!AV171+'[1]побудинковий звіт'!AV171</f>
        <v>843.39594855858979</v>
      </c>
      <c r="AW171" s="41">
        <f>'[2]побудинковий звіт'!AW171+'[1]побудинковий звіт'!AW171</f>
        <v>674.69890186767543</v>
      </c>
      <c r="AX171" s="58">
        <f t="shared" si="141"/>
        <v>-168.69704669091436</v>
      </c>
      <c r="AY171" s="41">
        <f>'[2]побудинковий звіт'!AY171+'[1]побудинковий звіт'!AY171</f>
        <v>1390.8418711226377</v>
      </c>
      <c r="AZ171" s="41">
        <f>'[2]побудинковий звіт'!AZ171+'[1]побудинковий звіт'!AZ171</f>
        <v>7834.5380818058784</v>
      </c>
      <c r="BA171" s="36">
        <f t="shared" si="142"/>
        <v>6443.6962106832407</v>
      </c>
      <c r="BB171" s="41">
        <f>'[2]побудинковий звіт'!BB171+'[1]побудинковий звіт'!BB171</f>
        <v>1931.2754251713902</v>
      </c>
      <c r="BC171" s="41">
        <f>'[2]побудинковий звіт'!BC171+'[1]побудинковий звіт'!BC171</f>
        <v>4429.3308390270458</v>
      </c>
      <c r="BD171" s="58">
        <f t="shared" si="143"/>
        <v>2498.0554138556554</v>
      </c>
      <c r="BE171" s="41">
        <f>'[2]побудинковий звіт'!BE171+'[1]побудинковий звіт'!BE171</f>
        <v>613.97268893331136</v>
      </c>
      <c r="BF171" s="41">
        <f>'[2]побудинковий звіт'!BF171+'[1]побудинковий звіт'!BF171</f>
        <v>0</v>
      </c>
      <c r="BG171" s="38">
        <f t="shared" si="144"/>
        <v>-613.97268893331136</v>
      </c>
      <c r="BH171" s="41">
        <f>'[2]побудинковий звіт'!BH171+'[1]побудинковий звіт'!BH171</f>
        <v>373.77169927388297</v>
      </c>
      <c r="BI171" s="41">
        <f>'[2]побудинковий звіт'!BI171+'[1]побудинковий звіт'!BI171</f>
        <v>19.323966600000002</v>
      </c>
      <c r="BJ171" s="58">
        <f t="shared" si="145"/>
        <v>-354.44773267388297</v>
      </c>
      <c r="BK171" s="41">
        <f>'[2]побудинковий звіт'!BK171+'[1]побудинковий звіт'!BK171</f>
        <v>914.6891371564659</v>
      </c>
      <c r="BL171" s="41">
        <f>'[2]побудинковий звіт'!BL171+'[1]побудинковий звіт'!BL171</f>
        <v>11312.35572685156</v>
      </c>
      <c r="BM171" s="38">
        <f t="shared" si="146"/>
        <v>10397.666589695094</v>
      </c>
      <c r="BN171" s="41">
        <f>'[2]побудинковий звіт'!BN171+'[1]побудинковий звіт'!BN171</f>
        <v>365.70548864995197</v>
      </c>
      <c r="BO171" s="41">
        <f>'[2]побудинковий звіт'!BO171+'[1]побудинковий звіт'!BO171</f>
        <v>5616.3463846574905</v>
      </c>
      <c r="BP171" s="58">
        <f t="shared" si="147"/>
        <v>5250.6408960075387</v>
      </c>
      <c r="BQ171" s="84">
        <f t="shared" si="148"/>
        <v>6433.6522588662301</v>
      </c>
      <c r="BR171" s="42">
        <f t="shared" si="149"/>
        <v>29886.593900809647</v>
      </c>
      <c r="BS171" s="58">
        <f t="shared" si="150"/>
        <v>23452.941641943416</v>
      </c>
      <c r="BT171" s="41">
        <f>'[2]побудинковий звіт'!BT171+'[1]побудинковий звіт'!BT171</f>
        <v>51435.391014059758</v>
      </c>
      <c r="BU171" s="41">
        <f>'[2]побудинковий звіт'!BU171+'[1]побудинковий звіт'!BU171</f>
        <v>69594.472545549273</v>
      </c>
      <c r="BV171" s="55">
        <f t="shared" si="151"/>
        <v>18159.081531489515</v>
      </c>
      <c r="BW171" s="41">
        <f>'[2]побудинковий звіт'!BW171+'[1]побудинковий звіт'!BW171</f>
        <v>39202.633271087718</v>
      </c>
      <c r="BX171" s="41">
        <f>'[2]побудинковий звіт'!BX171+'[1]побудинковий звіт'!BX171</f>
        <v>47345.476329399098</v>
      </c>
      <c r="BY171" s="55">
        <f t="shared" si="152"/>
        <v>8142.8430583113804</v>
      </c>
      <c r="BZ171" s="41">
        <f>'[2]побудинковий звіт'!BZ171+'[1]побудинковий звіт'!BZ171</f>
        <v>7728.5454657791288</v>
      </c>
      <c r="CA171" s="41">
        <f>'[2]побудинковий звіт'!CA171+'[1]побудинковий звіт'!CA171</f>
        <v>5137.1400355589976</v>
      </c>
      <c r="CB171" s="55">
        <f t="shared" si="153"/>
        <v>-2591.4054302201312</v>
      </c>
      <c r="CC171" s="41">
        <f>'[2]побудинковий звіт'!CC171+'[1]побудинковий звіт'!CC171</f>
        <v>977.14008954574695</v>
      </c>
      <c r="CD171" s="41">
        <f>'[2]побудинковий звіт'!CD171+'[1]побудинковий звіт'!CD171</f>
        <v>980.45346259560529</v>
      </c>
      <c r="CE171" s="55">
        <f t="shared" si="154"/>
        <v>3.3133730498583418</v>
      </c>
      <c r="CF171" s="41">
        <f>'[2]побудинковий звіт'!CF171+'[1]побудинковий звіт'!CF171</f>
        <v>121.06246341418505</v>
      </c>
      <c r="CG171" s="41">
        <f>'[2]побудинковий звіт'!CG171+'[1]побудинковий звіт'!CG171</f>
        <v>0</v>
      </c>
      <c r="CH171" s="55">
        <f t="shared" si="155"/>
        <v>-121.06246341418505</v>
      </c>
      <c r="CI171" s="41">
        <f>'[2]побудинковий звіт'!CI171+'[1]побудинковий звіт'!CI171</f>
        <v>6891.1806503125181</v>
      </c>
      <c r="CJ171" s="41">
        <f>'[2]побудинковий звіт'!CJ171+'[1]побудинковий звіт'!CJ171</f>
        <v>3029.7200518571526</v>
      </c>
      <c r="CK171" s="55">
        <f t="shared" si="156"/>
        <v>-3861.4605984553655</v>
      </c>
      <c r="CL171" s="41">
        <f>'[2]побудинковий звіт'!CL171+'[1]побудинковий звіт'!CL171</f>
        <v>10544.608920103914</v>
      </c>
      <c r="CM171" s="41">
        <f>'[2]побудинковий звіт'!CM171+'[1]побудинковий звіт'!CM171</f>
        <v>15873.018411098154</v>
      </c>
      <c r="CN171" s="55">
        <f t="shared" si="157"/>
        <v>5328.4094909942396</v>
      </c>
      <c r="CO171" s="41">
        <f t="shared" si="158"/>
        <v>17435.789570416433</v>
      </c>
      <c r="CP171" s="42">
        <f t="shared" si="159"/>
        <v>18902.738462955305</v>
      </c>
      <c r="CQ171" s="55">
        <f t="shared" si="160"/>
        <v>1466.9488925388723</v>
      </c>
      <c r="CR171" s="76">
        <f t="shared" si="161"/>
        <v>269003.77592218365</v>
      </c>
      <c r="CS171" s="5">
        <f t="shared" si="162"/>
        <v>256922.95920276965</v>
      </c>
      <c r="CT171" s="55">
        <f t="shared" si="163"/>
        <v>-12080.816719413997</v>
      </c>
      <c r="CU171" s="84">
        <f t="shared" si="164"/>
        <v>322804.53110662039</v>
      </c>
      <c r="CV171" s="68">
        <f t="shared" si="165"/>
        <v>308307.55104332359</v>
      </c>
      <c r="CW171" s="36">
        <f t="shared" si="166"/>
        <v>-14496.980063296796</v>
      </c>
      <c r="CX171" s="41">
        <f>'[2]побудинковий звіт'!CX171+'[1]побудинковий звіт'!CX171</f>
        <v>7247.8361084389471</v>
      </c>
      <c r="CY171" s="41">
        <f>'[2]побудинковий звіт'!CY171+'[1]побудинковий звіт'!CY171</f>
        <v>21744.816171735674</v>
      </c>
      <c r="CZ171" s="55">
        <f t="shared" si="167"/>
        <v>14496.980063296727</v>
      </c>
      <c r="DA171" s="254">
        <f>'[1]побудинковий звіт'!DA171</f>
        <v>-27342.950592155379</v>
      </c>
      <c r="DB171" s="2">
        <v>1</v>
      </c>
      <c r="DC171" s="702">
        <f>'[1]побудинковий звіт'!DC171</f>
        <v>107875.75</v>
      </c>
      <c r="DD171" s="702">
        <f>'[1]побудинковий звіт'!DD171</f>
        <v>0</v>
      </c>
      <c r="DE171" s="702">
        <f>'[1]побудинковий звіт'!DE171</f>
        <v>71566.55</v>
      </c>
      <c r="DF171" s="702">
        <f>'[1]побудинковий звіт'!DF171</f>
        <v>0</v>
      </c>
      <c r="DG171" s="772">
        <v>43268.994573111413</v>
      </c>
      <c r="DH171" s="746">
        <f t="shared" si="168"/>
        <v>3960628.4065807122</v>
      </c>
      <c r="DI171" s="769"/>
      <c r="DJ171" s="5"/>
      <c r="DK171" s="307">
        <f>VLOOKUP($A171,ціни!$A$4:$G$401,5)</f>
        <v>5.8139382288998096</v>
      </c>
      <c r="DL171" s="307">
        <f>VLOOKUP($A171,ціни!$A$4:$G$401,6)</f>
        <v>6.9834541852383785</v>
      </c>
      <c r="DM171" s="307">
        <f>VLOOKUP($A171,ціни!$A$4:$G$401,7)</f>
        <v>4.8096127611270356</v>
      </c>
      <c r="DN171" s="29">
        <f t="shared" si="181"/>
        <v>25847.756662993597</v>
      </c>
      <c r="DO171" s="29">
        <f t="shared" si="182"/>
        <v>0</v>
      </c>
      <c r="DP171" s="306">
        <f t="shared" si="169"/>
        <v>25847.756662993597</v>
      </c>
      <c r="DQ171" s="101"/>
      <c r="DR171" s="29">
        <f>VLOOKUP(A171,'ДЗ нас '!$A$1:$C$359,2)</f>
        <v>25847.94</v>
      </c>
      <c r="DS171" s="733"/>
      <c r="DT171" s="29">
        <f t="shared" si="170"/>
        <v>25847.94</v>
      </c>
      <c r="DU171" s="247">
        <f>VLOOKUP(A171,'новий кошторис с 01.06'!$A$4:$AI$399,35)*1.2</f>
        <v>25913.647830922782</v>
      </c>
      <c r="DV171" s="29">
        <f t="shared" si="171"/>
        <v>-65.707830922783614</v>
      </c>
      <c r="DW171" s="1016">
        <f>'[2]побудинковий звіт'!$DW$9+'[1]побудинковий звіт'!DW171</f>
        <v>1062</v>
      </c>
      <c r="DX171" s="101">
        <f>'[1]побудинковий звіт'!DX171</f>
        <v>0</v>
      </c>
      <c r="DY171" s="5">
        <f t="shared" si="172"/>
        <v>85678.349763158112</v>
      </c>
      <c r="DZ171" s="5">
        <f t="shared" si="173"/>
        <v>49708.71383735611</v>
      </c>
      <c r="EA171" s="737">
        <f t="shared" si="174"/>
        <v>71566.55</v>
      </c>
      <c r="EC171" s="577">
        <f t="shared" si="175"/>
        <v>779579.67052518646</v>
      </c>
      <c r="EE171" s="743">
        <v>1344</v>
      </c>
      <c r="EF171" s="723">
        <f t="shared" si="176"/>
        <v>44612.994573111413</v>
      </c>
      <c r="EH171" s="798">
        <v>49528.660379795459</v>
      </c>
      <c r="EI171" s="101">
        <f>VLOOKUP(A171,'кошти 01.01.24'!$A$9:$D$352,4,FALSE)</f>
        <v>-12845.97052885863</v>
      </c>
    </row>
    <row r="172" spans="1:139" hidden="1" x14ac:dyDescent="0.3">
      <c r="A172" s="318">
        <v>150001024</v>
      </c>
      <c r="B172" s="43" t="s">
        <v>602</v>
      </c>
      <c r="C172" s="44" t="s">
        <v>366</v>
      </c>
      <c r="D172" s="44" t="s">
        <v>366</v>
      </c>
      <c r="E172" s="39">
        <f t="shared" si="125"/>
        <v>4718.22</v>
      </c>
      <c r="F172" s="205">
        <f>'[1]побудинковий звіт'!F172</f>
        <v>4228.22</v>
      </c>
      <c r="G172" s="29">
        <f>'[1]побудинковий звіт'!G172</f>
        <v>344.66</v>
      </c>
      <c r="H172" s="148">
        <f>'[1]побудинковий звіт'!H172</f>
        <v>490</v>
      </c>
      <c r="I172" s="41">
        <f>'[2]побудинковий звіт'!I172+'[1]побудинковий звіт'!I172</f>
        <v>16468.474385853682</v>
      </c>
      <c r="J172" s="41">
        <f>'[2]побудинковий звіт'!J172+'[1]побудинковий звіт'!J172</f>
        <v>12981.767728323272</v>
      </c>
      <c r="K172" s="55">
        <f t="shared" si="126"/>
        <v>-3486.7066575304107</v>
      </c>
      <c r="L172" s="41">
        <f>'[2]побудинковий звіт'!L172+'[1]побудинковий звіт'!L172</f>
        <v>2543.8041263871578</v>
      </c>
      <c r="M172" s="41">
        <f>'[2]побудинковий звіт'!M172+'[1]побудинковий звіт'!M172</f>
        <v>2241.5418740774521</v>
      </c>
      <c r="N172" s="55">
        <f t="shared" si="127"/>
        <v>-302.26225230970567</v>
      </c>
      <c r="O172" s="41">
        <f>'[2]побудинковий звіт'!O172+'[1]побудинковий звіт'!O172</f>
        <v>6405.6810924135316</v>
      </c>
      <c r="P172" s="41">
        <f>'[2]побудинковий звіт'!P172+'[1]побудинковий звіт'!P172</f>
        <v>6423.6565885054733</v>
      </c>
      <c r="Q172" s="55">
        <f t="shared" si="128"/>
        <v>17.97549609194175</v>
      </c>
      <c r="R172" s="41">
        <f>'[2]побудинковий звіт'!R172+'[1]побудинковий звіт'!R172</f>
        <v>1480.1190747540481</v>
      </c>
      <c r="S172" s="41">
        <f>'[2]побудинковий звіт'!S172+'[1]побудинковий звіт'!S172</f>
        <v>1484.2688506182963</v>
      </c>
      <c r="T172" s="55">
        <f t="shared" si="129"/>
        <v>4.1497758642481131</v>
      </c>
      <c r="U172" s="41">
        <f>'[2]побудинковий звіт'!U172+'[1]побудинковий звіт'!U172</f>
        <v>764.13231552611455</v>
      </c>
      <c r="V172" s="41">
        <f>'[2]побудинковий звіт'!V172+'[1]побудинковий звіт'!V172</f>
        <v>385.71111070968703</v>
      </c>
      <c r="W172" s="55">
        <f t="shared" si="130"/>
        <v>-378.42120481642752</v>
      </c>
      <c r="X172" s="41">
        <f>'[2]побудинковий звіт'!X172+'[1]побудинковий звіт'!X172</f>
        <v>6921.1782840791129</v>
      </c>
      <c r="Y172" s="41">
        <f>'[2]побудинковий звіт'!Y172+'[1]побудинковий звіт'!Y172</f>
        <v>4913.6028707127343</v>
      </c>
      <c r="Z172" s="55">
        <f t="shared" si="131"/>
        <v>-2007.5754133663786</v>
      </c>
      <c r="AA172" s="41">
        <f>'[2]побудинковий звіт'!AA172+'[1]побудинковий звіт'!AA172</f>
        <v>0</v>
      </c>
      <c r="AB172" s="41">
        <f>'[2]побудинковий звіт'!AB172+'[1]побудинковий звіт'!AB172</f>
        <v>0</v>
      </c>
      <c r="AC172" s="55">
        <f t="shared" si="132"/>
        <v>0</v>
      </c>
      <c r="AD172" s="41">
        <f>'[2]побудинковий звіт'!AD172+'[1]побудинковий звіт'!AD172</f>
        <v>18935.252309552168</v>
      </c>
      <c r="AE172" s="41">
        <f>'[2]побудинковий звіт'!AE172+'[1]побудинковий звіт'!AE172</f>
        <v>20381.353273763754</v>
      </c>
      <c r="AF172" s="36">
        <f t="shared" si="133"/>
        <v>1446.100964211586</v>
      </c>
      <c r="AG172" s="84">
        <f t="shared" si="134"/>
        <v>53518.641588565813</v>
      </c>
      <c r="AH172" s="56">
        <f t="shared" si="135"/>
        <v>48811.902296710672</v>
      </c>
      <c r="AI172" s="55">
        <f t="shared" si="136"/>
        <v>-4706.7392918551413</v>
      </c>
      <c r="AJ172" s="41">
        <f>'[2]побудинковий звіт'!AJ172+'[1]побудинковий звіт'!AJ172</f>
        <v>44882.548671120836</v>
      </c>
      <c r="AK172" s="41">
        <f>'[2]побудинковий звіт'!AK172+'[1]побудинковий звіт'!AK172</f>
        <v>41472.929982993068</v>
      </c>
      <c r="AL172" s="55">
        <f t="shared" si="137"/>
        <v>-3409.6186881277681</v>
      </c>
      <c r="AM172" s="41">
        <f>'[2]побудинковий звіт'!AM172+'[1]побудинковий звіт'!AM172</f>
        <v>302.92842272642292</v>
      </c>
      <c r="AN172" s="41">
        <f>'[2]побудинковий звіт'!AN172+'[1]побудинковий звіт'!AN172</f>
        <v>0</v>
      </c>
      <c r="AO172" s="55">
        <f t="shared" si="138"/>
        <v>-302.92842272642292</v>
      </c>
      <c r="AP172" s="41">
        <f>'[2]побудинковий звіт'!AP172+'[1]побудинковий звіт'!AP172</f>
        <v>3467.092800168215</v>
      </c>
      <c r="AQ172" s="41">
        <f>'[2]побудинковий звіт'!AQ172+'[1]побудинковий звіт'!AQ172</f>
        <v>3251.1194591148155</v>
      </c>
      <c r="AR172" s="55">
        <f t="shared" si="139"/>
        <v>-215.97334105339951</v>
      </c>
      <c r="AS172" s="41">
        <f>'[2]побудинковий звіт'!AS172+'[1]побудинковий звіт'!AS172</f>
        <v>71923.576327579824</v>
      </c>
      <c r="AT172" s="41">
        <f>'[2]побудинковий звіт'!AT172+'[1]побудинковий звіт'!AT172</f>
        <v>47316.855727359667</v>
      </c>
      <c r="AU172" s="57">
        <f t="shared" si="140"/>
        <v>-24606.720600220156</v>
      </c>
      <c r="AV172" s="41">
        <f>'[2]побудинковий звіт'!AV172+'[1]побудинковий звіт'!AV172</f>
        <v>1546.6684913997101</v>
      </c>
      <c r="AW172" s="41">
        <f>'[2]побудинковий звіт'!AW172+'[1]побудинковий звіт'!AW172</f>
        <v>0</v>
      </c>
      <c r="AX172" s="58">
        <f t="shared" si="141"/>
        <v>-1546.6684913997101</v>
      </c>
      <c r="AY172" s="41">
        <f>'[2]побудинковий звіт'!AY172+'[1]побудинковий звіт'!AY172</f>
        <v>1728.8164504504794</v>
      </c>
      <c r="AZ172" s="41">
        <f>'[2]побудинковий звіт'!AZ172+'[1]побудинковий звіт'!AZ172</f>
        <v>5761.4106714731179</v>
      </c>
      <c r="BA172" s="36">
        <f t="shared" si="142"/>
        <v>4032.5942210226385</v>
      </c>
      <c r="BB172" s="41">
        <f>'[2]побудинковий звіт'!BB172+'[1]побудинковий звіт'!BB172</f>
        <v>1779.3023204963574</v>
      </c>
      <c r="BC172" s="41">
        <f>'[2]побудинковий звіт'!BC172+'[1]побудинковий звіт'!BC172</f>
        <v>0</v>
      </c>
      <c r="BD172" s="58">
        <f t="shared" si="143"/>
        <v>-1779.3023204963574</v>
      </c>
      <c r="BE172" s="41">
        <f>'[2]побудинковий звіт'!BE172+'[1]побудинковий звіт'!BE172</f>
        <v>783.39991474714679</v>
      </c>
      <c r="BF172" s="41">
        <f>'[2]побудинковий звіт'!BF172+'[1]побудинковий звіт'!BF172</f>
        <v>0</v>
      </c>
      <c r="BG172" s="38">
        <f t="shared" si="144"/>
        <v>-783.39991474714679</v>
      </c>
      <c r="BH172" s="41">
        <f>'[2]побудинковий звіт'!BH172+'[1]побудинковий звіт'!BH172</f>
        <v>396.51126392625707</v>
      </c>
      <c r="BI172" s="41">
        <f>'[2]побудинковий звіт'!BI172+'[1]побудинковий звіт'!BI172</f>
        <v>0</v>
      </c>
      <c r="BJ172" s="58">
        <f t="shared" si="145"/>
        <v>-396.51126392625707</v>
      </c>
      <c r="BK172" s="41">
        <f>'[2]побудинковий звіт'!BK172+'[1]побудинковий звіт'!BK172</f>
        <v>1395.0973596001904</v>
      </c>
      <c r="BL172" s="41">
        <f>'[2]побудинковий звіт'!BL172+'[1]побудинковий звіт'!BL172</f>
        <v>1888.2058801100907</v>
      </c>
      <c r="BM172" s="38">
        <f t="shared" si="146"/>
        <v>493.10852050990025</v>
      </c>
      <c r="BN172" s="41">
        <f>'[2]побудинковий звіт'!BN172+'[1]побудинковий звіт'!BN172</f>
        <v>369.54317760964523</v>
      </c>
      <c r="BO172" s="41">
        <f>'[2]побудинковий звіт'!BO172+'[1]побудинковий звіт'!BO172</f>
        <v>1066.42330687</v>
      </c>
      <c r="BP172" s="58">
        <f t="shared" si="147"/>
        <v>696.88012926035481</v>
      </c>
      <c r="BQ172" s="84">
        <f t="shared" si="148"/>
        <v>7999.3389782297854</v>
      </c>
      <c r="BR172" s="42">
        <f t="shared" si="149"/>
        <v>8716.0398584532086</v>
      </c>
      <c r="BS172" s="58">
        <f t="shared" si="150"/>
        <v>716.70088022342316</v>
      </c>
      <c r="BT172" s="41">
        <f>'[2]побудинковий звіт'!BT172+'[1]побудинковий звіт'!BT172</f>
        <v>63828.335490003446</v>
      </c>
      <c r="BU172" s="41">
        <f>'[2]побудинковий звіт'!BU172+'[1]побудинковий звіт'!BU172</f>
        <v>85739.516310798572</v>
      </c>
      <c r="BV172" s="55">
        <f t="shared" si="151"/>
        <v>21911.180820795125</v>
      </c>
      <c r="BW172" s="41">
        <f>'[2]побудинковий звіт'!BW172+'[1]побудинковий звіт'!BW172</f>
        <v>43672.770488636765</v>
      </c>
      <c r="BX172" s="41">
        <f>'[2]побудинковий звіт'!BX172+'[1]побудинковий звіт'!BX172</f>
        <v>52707.011928621476</v>
      </c>
      <c r="BY172" s="55">
        <f t="shared" si="152"/>
        <v>9034.2414399847112</v>
      </c>
      <c r="BZ172" s="41">
        <f>'[2]побудинковий звіт'!BZ172+'[1]побудинковий звіт'!BZ172</f>
        <v>11938.440711311334</v>
      </c>
      <c r="CA172" s="41">
        <f>'[2]побудинковий звіт'!CA172+'[1]побудинковий звіт'!CA172</f>
        <v>7948.3383199125183</v>
      </c>
      <c r="CB172" s="55">
        <f t="shared" si="153"/>
        <v>-3990.1023913988156</v>
      </c>
      <c r="CC172" s="41">
        <f>'[2]побудинковий звіт'!CC172+'[1]побудинковий звіт'!CC172</f>
        <v>732.85506715931001</v>
      </c>
      <c r="CD172" s="41">
        <f>'[2]побудинковий звіт'!CD172+'[1]побудинковий звіт'!CD172</f>
        <v>735.34009694670385</v>
      </c>
      <c r="CE172" s="55">
        <f t="shared" si="154"/>
        <v>2.4850297873938416</v>
      </c>
      <c r="CF172" s="41">
        <f>'[2]побудинковий звіт'!CF172+'[1]побудинковий звіт'!CF172</f>
        <v>90.796847560638781</v>
      </c>
      <c r="CG172" s="41">
        <f>'[2]побудинковий звіт'!CG172+'[1]побудинковий звіт'!CG172</f>
        <v>0</v>
      </c>
      <c r="CH172" s="55">
        <f t="shared" si="155"/>
        <v>-90.796847560638781</v>
      </c>
      <c r="CI172" s="41">
        <f>'[2]побудинковий звіт'!CI172+'[1]побудинковий звіт'!CI172</f>
        <v>13581.915830217335</v>
      </c>
      <c r="CJ172" s="41">
        <f>'[2]побудинковий звіт'!CJ172+'[1]побудинковий звіт'!CJ172</f>
        <v>6859.9545101944877</v>
      </c>
      <c r="CK172" s="55">
        <f t="shared" si="156"/>
        <v>-6721.9613200228468</v>
      </c>
      <c r="CL172" s="41">
        <f>'[2]побудинковий звіт'!CL172+'[1]побудинковий звіт'!CL172</f>
        <v>11750.161298772928</v>
      </c>
      <c r="CM172" s="41">
        <f>'[2]побудинковий звіт'!CM172+'[1]побудинковий звіт'!CM172</f>
        <v>14140.599544100169</v>
      </c>
      <c r="CN172" s="55">
        <f t="shared" si="157"/>
        <v>2390.438245327241</v>
      </c>
      <c r="CO172" s="41">
        <f t="shared" si="158"/>
        <v>25332.077128990262</v>
      </c>
      <c r="CP172" s="42">
        <f t="shared" si="159"/>
        <v>21000.554054294655</v>
      </c>
      <c r="CQ172" s="55">
        <f t="shared" si="160"/>
        <v>-4331.5230746956076</v>
      </c>
      <c r="CR172" s="76">
        <f t="shared" si="161"/>
        <v>327689.40252205264</v>
      </c>
      <c r="CS172" s="5">
        <f t="shared" si="162"/>
        <v>317699.60803520528</v>
      </c>
      <c r="CT172" s="55">
        <f t="shared" si="163"/>
        <v>-9989.7944868473569</v>
      </c>
      <c r="CU172" s="84">
        <f t="shared" si="164"/>
        <v>393227.28302646318</v>
      </c>
      <c r="CV172" s="68">
        <f t="shared" si="165"/>
        <v>381239.52964224631</v>
      </c>
      <c r="CW172" s="36">
        <f t="shared" si="166"/>
        <v>-11987.753384216863</v>
      </c>
      <c r="CX172" s="41">
        <f>'[2]побудинковий звіт'!CX172+'[1]побудинковий звіт'!CX172</f>
        <v>29065.301329760772</v>
      </c>
      <c r="CY172" s="41">
        <f>'[2]побудинковий звіт'!CY172+'[1]побудинковий звіт'!CY172</f>
        <v>41053.054713977472</v>
      </c>
      <c r="CZ172" s="55">
        <f t="shared" si="167"/>
        <v>11987.753384216699</v>
      </c>
      <c r="DA172" s="254">
        <f>'[1]побудинковий звіт'!DA172</f>
        <v>27150.030736085893</v>
      </c>
      <c r="DB172" s="2">
        <v>1</v>
      </c>
      <c r="DC172" s="702">
        <f>'[1]побудинковий звіт'!DC172</f>
        <v>80253.89</v>
      </c>
      <c r="DD172" s="702">
        <f>'[1]побудинковий звіт'!DD172</f>
        <v>2022.79</v>
      </c>
      <c r="DE172" s="702">
        <f>'[1]побудинковий звіт'!DE172</f>
        <v>37377.519999999997</v>
      </c>
      <c r="DF172" s="702">
        <f>'[1]побудинковий звіт'!DF172</f>
        <v>-1161</v>
      </c>
      <c r="DG172" s="772">
        <v>-6716.0771786113037</v>
      </c>
      <c r="DH172" s="746">
        <f t="shared" si="168"/>
        <v>5067511.0122746872</v>
      </c>
      <c r="DI172" s="769"/>
      <c r="DJ172" s="5"/>
      <c r="DK172" s="307">
        <f>VLOOKUP($A172,ціни!$A$4:$G$401,5)</f>
        <v>6.0411627952491722</v>
      </c>
      <c r="DL172" s="307">
        <f>VLOOKUP($A172,ціни!$A$4:$G$401,6)</f>
        <v>7.3946462589418207</v>
      </c>
      <c r="DM172" s="307">
        <f>VLOOKUP($A172,ціни!$A$4:$G$401,7)</f>
        <v>5.0439020557213281</v>
      </c>
      <c r="DN172" s="29">
        <f t="shared" si="181"/>
        <v>30799.699594386679</v>
      </c>
      <c r="DO172" s="29">
        <f t="shared" si="182"/>
        <v>2471.5120073034509</v>
      </c>
      <c r="DP172" s="306">
        <f t="shared" si="169"/>
        <v>33271.211601690127</v>
      </c>
      <c r="DQ172" s="101"/>
      <c r="DR172" s="29">
        <f>VLOOKUP(A172,'ДЗ нас '!$A$1:$C$359,2)</f>
        <v>30800.5</v>
      </c>
      <c r="DS172" s="733">
        <f>VLOOKUP(A172,'ДЗ нежит'!$A$1:$D$153,4,0)</f>
        <v>2329.59</v>
      </c>
      <c r="DT172" s="29">
        <f t="shared" si="170"/>
        <v>33130.089999999997</v>
      </c>
      <c r="DU172" s="247">
        <f>VLOOKUP(A172,'новий кошторис с 01.06'!$A$4:$AI$399,35)*1.2</f>
        <v>31217.70403718534</v>
      </c>
      <c r="DV172" s="29">
        <f t="shared" si="171"/>
        <v>1912.3859628146565</v>
      </c>
      <c r="DW172" s="1016">
        <f>'[2]побудинковий звіт'!$DW$9+'[1]побудинковий звіт'!DW172</f>
        <v>1062</v>
      </c>
      <c r="DX172" s="101">
        <f>'[1]побудинковий звіт'!DX172</f>
        <v>0</v>
      </c>
      <c r="DY172" s="5">
        <f t="shared" si="172"/>
        <v>95907.498366971529</v>
      </c>
      <c r="DZ172" s="5">
        <f t="shared" si="173"/>
        <v>67239.474702975451</v>
      </c>
      <c r="EA172" s="737">
        <f t="shared" si="174"/>
        <v>36216.519999999997</v>
      </c>
      <c r="EC172" s="577">
        <f t="shared" si="175"/>
        <v>863082.91593095788</v>
      </c>
      <c r="EE172" s="743">
        <v>-19849</v>
      </c>
      <c r="EF172" s="723">
        <f t="shared" si="176"/>
        <v>-26565.077178611304</v>
      </c>
      <c r="EH172" s="798">
        <v>-31870.936407898211</v>
      </c>
      <c r="EI172" s="101">
        <f>VLOOKUP(A172,'кошти 01.01.24'!$A$9:$D$352,4,FALSE)</f>
        <v>39137.78412030272</v>
      </c>
    </row>
    <row r="173" spans="1:139" hidden="1" x14ac:dyDescent="0.3">
      <c r="A173" s="318">
        <v>150001025</v>
      </c>
      <c r="B173" s="43" t="s">
        <v>603</v>
      </c>
      <c r="C173" s="44" t="s">
        <v>420</v>
      </c>
      <c r="D173" s="44" t="s">
        <v>420</v>
      </c>
      <c r="E173" s="39">
        <f t="shared" si="125"/>
        <v>5275.1</v>
      </c>
      <c r="F173" s="205">
        <f>'[1]побудинковий звіт'!F173</f>
        <v>5064.8</v>
      </c>
      <c r="G173" s="29">
        <f>'[1]побудинковий звіт'!G173</f>
        <v>311.8</v>
      </c>
      <c r="H173" s="148">
        <f>'[1]побудинковий звіт'!H173</f>
        <v>210.29999999999998</v>
      </c>
      <c r="I173" s="41">
        <f>'[2]побудинковий звіт'!I173+'[1]побудинковий звіт'!I173</f>
        <v>19670.757277658082</v>
      </c>
      <c r="J173" s="41">
        <f>'[2]побудинковий звіт'!J173+'[1]побудинковий звіт'!J173</f>
        <v>15524.698821965319</v>
      </c>
      <c r="K173" s="55">
        <f t="shared" si="126"/>
        <v>-4146.0584556927624</v>
      </c>
      <c r="L173" s="41">
        <f>'[2]побудинковий звіт'!L173+'[1]побудинковий звіт'!L173</f>
        <v>3195.7768294201187</v>
      </c>
      <c r="M173" s="41">
        <f>'[2]побудинковий звіт'!M173+'[1]побудинковий звіт'!M173</f>
        <v>2755.8494685077403</v>
      </c>
      <c r="N173" s="55">
        <f t="shared" si="127"/>
        <v>-439.92736091237839</v>
      </c>
      <c r="O173" s="41">
        <f>'[2]побудинковий звіт'!O173+'[1]побудинковий звіт'!O173</f>
        <v>8200.0836586107525</v>
      </c>
      <c r="P173" s="41">
        <f>'[2]побудинковий звіт'!P173+'[1]побудинковий звіт'!P173</f>
        <v>8223.3426230990408</v>
      </c>
      <c r="Q173" s="55">
        <f t="shared" si="128"/>
        <v>23.258964488288257</v>
      </c>
      <c r="R173" s="41">
        <f>'[2]побудинковий звіт'!R173+'[1]побудинковий звіт'!R173</f>
        <v>1672.5067093617233</v>
      </c>
      <c r="S173" s="41">
        <f>'[2]побудинковий звіт'!S173+'[1]побудинковий звіт'!S173</f>
        <v>1676.8721502053229</v>
      </c>
      <c r="T173" s="55">
        <f t="shared" si="129"/>
        <v>4.365440843599572</v>
      </c>
      <c r="U173" s="41">
        <f>'[2]побудинковий звіт'!U173+'[1]побудинковий звіт'!U173</f>
        <v>829.2162561060901</v>
      </c>
      <c r="V173" s="41">
        <f>'[2]побудинковий звіт'!V173+'[1]побудинковий звіт'!V173</f>
        <v>402.6759466645218</v>
      </c>
      <c r="W173" s="55">
        <f t="shared" si="130"/>
        <v>-426.5403094415683</v>
      </c>
      <c r="X173" s="41">
        <f>'[2]побудинковий звіт'!X173+'[1]побудинковий звіт'!X173</f>
        <v>7571.651067062714</v>
      </c>
      <c r="Y173" s="41">
        <f>'[2]побудинковий звіт'!Y173+'[1]побудинковий звіт'!Y173</f>
        <v>5789.1218341671529</v>
      </c>
      <c r="Z173" s="55">
        <f t="shared" si="131"/>
        <v>-1782.5292328955611</v>
      </c>
      <c r="AA173" s="41">
        <f>'[2]побудинковий звіт'!AA173+'[1]побудинковий звіт'!AA173</f>
        <v>0</v>
      </c>
      <c r="AB173" s="41">
        <f>'[2]побудинковий звіт'!AB173+'[1]побудинковий звіт'!AB173</f>
        <v>0</v>
      </c>
      <c r="AC173" s="55">
        <f t="shared" si="132"/>
        <v>0</v>
      </c>
      <c r="AD173" s="41">
        <f>'[2]побудинковий звіт'!AD173+'[1]побудинковий звіт'!AD173</f>
        <v>22844.846795033165</v>
      </c>
      <c r="AE173" s="41">
        <f>'[2]побудинковий звіт'!AE173+'[1]побудинковий звіт'!AE173</f>
        <v>22757.322614699548</v>
      </c>
      <c r="AF173" s="36">
        <f t="shared" si="133"/>
        <v>-87.524180333617551</v>
      </c>
      <c r="AG173" s="84">
        <f t="shared" si="134"/>
        <v>63984.838593252643</v>
      </c>
      <c r="AH173" s="56">
        <f t="shared" si="135"/>
        <v>57129.88345930865</v>
      </c>
      <c r="AI173" s="55">
        <f t="shared" si="136"/>
        <v>-6854.9551339439931</v>
      </c>
      <c r="AJ173" s="41">
        <f>'[2]побудинковий звіт'!AJ173+'[1]побудинковий звіт'!AJ173</f>
        <v>44671.947931042356</v>
      </c>
      <c r="AK173" s="41">
        <f>'[2]побудинковий звіт'!AK173+'[1]побудинковий звіт'!AK173</f>
        <v>42400.081849643582</v>
      </c>
      <c r="AL173" s="55">
        <f t="shared" si="137"/>
        <v>-2271.8660813987735</v>
      </c>
      <c r="AM173" s="41">
        <f>'[2]побудинковий звіт'!AM173+'[1]побудинковий звіт'!AM173</f>
        <v>0</v>
      </c>
      <c r="AN173" s="41">
        <f>'[2]побудинковий звіт'!AN173+'[1]побудинковий звіт'!AN173</f>
        <v>0</v>
      </c>
      <c r="AO173" s="55">
        <f t="shared" si="138"/>
        <v>0</v>
      </c>
      <c r="AP173" s="41">
        <f>'[2]побудинковий звіт'!AP173+'[1]побудинковий звіт'!AP173</f>
        <v>3813.8020801850353</v>
      </c>
      <c r="AQ173" s="41">
        <f>'[2]побудинковий звіт'!AQ173+'[1]побудинковий звіт'!AQ173</f>
        <v>3583.0824271061897</v>
      </c>
      <c r="AR173" s="55">
        <f t="shared" si="139"/>
        <v>-230.71965307884557</v>
      </c>
      <c r="AS173" s="41">
        <f>'[2]побудинковий звіт'!AS173+'[1]побудинковий звіт'!AS173</f>
        <v>79359.167553518171</v>
      </c>
      <c r="AT173" s="41">
        <f>'[2]побудинковий звіт'!AT173+'[1]побудинковий звіт'!AT173</f>
        <v>36278.470195782182</v>
      </c>
      <c r="AU173" s="57">
        <f t="shared" si="140"/>
        <v>-43080.697357735989</v>
      </c>
      <c r="AV173" s="41">
        <f>'[2]побудинковий звіт'!AV173+'[1]побудинковий звіт'!AV173</f>
        <v>1909.9758610176812</v>
      </c>
      <c r="AW173" s="41">
        <f>'[2]побудинковий звіт'!AW173+'[1]побудинковий звіт'!AW173</f>
        <v>768.21609510368512</v>
      </c>
      <c r="AX173" s="58">
        <f t="shared" si="141"/>
        <v>-1141.759765913996</v>
      </c>
      <c r="AY173" s="41">
        <f>'[2]побудинковий звіт'!AY173+'[1]побудинковий звіт'!AY173</f>
        <v>1868.0312847338221</v>
      </c>
      <c r="AZ173" s="41">
        <f>'[2]побудинковий звіт'!AZ173+'[1]побудинковий звіт'!AZ173</f>
        <v>6915.9624594596007</v>
      </c>
      <c r="BA173" s="36">
        <f t="shared" si="142"/>
        <v>5047.9311747257789</v>
      </c>
      <c r="BB173" s="41">
        <f>'[2]побудинковий звіт'!BB173+'[1]побудинковий звіт'!BB173</f>
        <v>2048.8154850167402</v>
      </c>
      <c r="BC173" s="41">
        <f>'[2]побудинковий звіт'!BC173+'[1]побудинковий звіт'!BC173</f>
        <v>0</v>
      </c>
      <c r="BD173" s="58">
        <f t="shared" si="143"/>
        <v>-2048.8154850167402</v>
      </c>
      <c r="BE173" s="41">
        <f>'[2]побудинковий звіт'!BE173+'[1]побудинковий звіт'!BE173</f>
        <v>841.45887131117047</v>
      </c>
      <c r="BF173" s="41">
        <f>'[2]побудинковий звіт'!BF173+'[1]побудинковий звіт'!BF173</f>
        <v>0</v>
      </c>
      <c r="BG173" s="38">
        <f t="shared" si="144"/>
        <v>-841.45887131117047</v>
      </c>
      <c r="BH173" s="41">
        <f>'[2]побудинковий звіт'!BH173+'[1]побудинковий звіт'!BH173</f>
        <v>431.1968735066456</v>
      </c>
      <c r="BI173" s="41">
        <f>'[2]побудинковий звіт'!BI173+'[1]побудинковий звіт'!BI173</f>
        <v>7601.5646999266955</v>
      </c>
      <c r="BJ173" s="58">
        <f t="shared" si="145"/>
        <v>7170.3678264200498</v>
      </c>
      <c r="BK173" s="41">
        <f>'[2]побудинковий звіт'!BK173+'[1]побудинковий звіт'!BK173</f>
        <v>1501.3513297900515</v>
      </c>
      <c r="BL173" s="41">
        <f>'[2]побудинковий звіт'!BL173+'[1]побудинковий звіт'!BL173</f>
        <v>7904.8496866662608</v>
      </c>
      <c r="BM173" s="38">
        <f t="shared" si="146"/>
        <v>6403.4983568762091</v>
      </c>
      <c r="BN173" s="41">
        <f>'[2]побудинковий звіт'!BN173+'[1]побудинковий звіт'!BN173</f>
        <v>473.05548333286123</v>
      </c>
      <c r="BO173" s="41">
        <f>'[2]побудинковий звіт'!BO173+'[1]побудинковий звіт'!BO173</f>
        <v>4743.9346073650004</v>
      </c>
      <c r="BP173" s="58">
        <f t="shared" si="147"/>
        <v>4270.8791240321389</v>
      </c>
      <c r="BQ173" s="84">
        <f t="shared" si="148"/>
        <v>9073.8851887089713</v>
      </c>
      <c r="BR173" s="42">
        <f t="shared" si="149"/>
        <v>27934.527548521244</v>
      </c>
      <c r="BS173" s="58">
        <f t="shared" si="150"/>
        <v>18860.642359812271</v>
      </c>
      <c r="BT173" s="41">
        <f>'[2]побудинковий звіт'!BT173+'[1]побудинковий звіт'!BT173</f>
        <v>82114.4526299805</v>
      </c>
      <c r="BU173" s="41">
        <f>'[2]побудинковий звіт'!BU173+'[1]побудинковий звіт'!BU173</f>
        <v>109181.72053480639</v>
      </c>
      <c r="BV173" s="55">
        <f t="shared" si="151"/>
        <v>27067.267904825887</v>
      </c>
      <c r="BW173" s="41">
        <f>'[2]побудинковий звіт'!BW173+'[1]побудинковий звіт'!BW173</f>
        <v>47922.167855430249</v>
      </c>
      <c r="BX173" s="41">
        <f>'[2]побудинковий звіт'!BX173+'[1]побудинковий звіт'!BX173</f>
        <v>58404.605227279593</v>
      </c>
      <c r="BY173" s="55">
        <f t="shared" si="152"/>
        <v>10482.437371849344</v>
      </c>
      <c r="BZ173" s="41">
        <f>'[2]побудинковий звіт'!BZ173+'[1]побудинковий звіт'!BZ173</f>
        <v>11350.789283280701</v>
      </c>
      <c r="CA173" s="41">
        <f>'[2]побудинковий звіт'!CA173+'[1]побудинковий звіт'!CA173</f>
        <v>10667.56226068025</v>
      </c>
      <c r="CB173" s="55">
        <f t="shared" si="153"/>
        <v>-683.22702260045116</v>
      </c>
      <c r="CC173" s="41">
        <f>'[2]побудинковий звіт'!CC173+'[1]побудинковий звіт'!CC173</f>
        <v>610.71255596609194</v>
      </c>
      <c r="CD173" s="41">
        <f>'[2]побудинковий звіт'!CD173+'[1]побудинковий звіт'!CD173</f>
        <v>612.78341412225325</v>
      </c>
      <c r="CE173" s="55">
        <f t="shared" si="154"/>
        <v>2.0708581561613073</v>
      </c>
      <c r="CF173" s="41">
        <f>'[2]побудинковий звіт'!CF173+'[1]побудинковий звіт'!CF173</f>
        <v>75.664039633865656</v>
      </c>
      <c r="CG173" s="41">
        <f>'[2]побудинковий звіт'!CG173+'[1]побудинковий звіт'!CG173</f>
        <v>0</v>
      </c>
      <c r="CH173" s="55">
        <f t="shared" si="155"/>
        <v>-75.664039633865656</v>
      </c>
      <c r="CI173" s="41">
        <f>'[2]побудинковий звіт'!CI173+'[1]побудинковий звіт'!CI173</f>
        <v>11929.819899716593</v>
      </c>
      <c r="CJ173" s="41">
        <f>'[2]побудинковий звіт'!CJ173+'[1]побудинковий звіт'!CJ173</f>
        <v>8754.1720451752226</v>
      </c>
      <c r="CK173" s="55">
        <f t="shared" si="156"/>
        <v>-3175.6478545413702</v>
      </c>
      <c r="CL173" s="41">
        <f>'[2]побудинковий звіт'!CL173+'[1]побудинковий звіт'!CL173</f>
        <v>12499.575030272548</v>
      </c>
      <c r="CM173" s="41">
        <f>'[2]побудинковий звіт'!CM173+'[1]побудинковий звіт'!CM173</f>
        <v>18010.239875747273</v>
      </c>
      <c r="CN173" s="55">
        <f t="shared" si="157"/>
        <v>5510.6648454747246</v>
      </c>
      <c r="CO173" s="41">
        <f t="shared" si="158"/>
        <v>24429.394929989139</v>
      </c>
      <c r="CP173" s="42">
        <f t="shared" si="159"/>
        <v>26764.411920922495</v>
      </c>
      <c r="CQ173" s="55">
        <f t="shared" si="160"/>
        <v>2335.0169909333563</v>
      </c>
      <c r="CR173" s="76">
        <f t="shared" si="161"/>
        <v>367406.82264098775</v>
      </c>
      <c r="CS173" s="5">
        <f t="shared" si="162"/>
        <v>372957.12883817282</v>
      </c>
      <c r="CT173" s="55">
        <f t="shared" si="163"/>
        <v>5550.3061971850693</v>
      </c>
      <c r="CU173" s="84">
        <f t="shared" si="164"/>
        <v>440888.18716918532</v>
      </c>
      <c r="CV173" s="68">
        <f t="shared" si="165"/>
        <v>447548.55460580735</v>
      </c>
      <c r="CW173" s="36">
        <f t="shared" si="166"/>
        <v>6660.3674366220366</v>
      </c>
      <c r="CX173" s="41">
        <f>'[2]побудинковий звіт'!CX173+'[1]побудинковий звіт'!CX173</f>
        <v>13359.835225931112</v>
      </c>
      <c r="CY173" s="41">
        <f>'[2]побудинковий звіт'!CY173+'[1]побудинковий звіт'!CY173</f>
        <v>6699.4677893090084</v>
      </c>
      <c r="CZ173" s="55">
        <f t="shared" si="167"/>
        <v>-6660.3674366221039</v>
      </c>
      <c r="DA173" s="254">
        <f>'[1]побудинковий звіт'!DA173</f>
        <v>-6027.8513801446461</v>
      </c>
      <c r="DB173" s="2">
        <v>1</v>
      </c>
      <c r="DC173" s="702">
        <f>'[1]побудинковий звіт'!DC173</f>
        <v>63676.01</v>
      </c>
      <c r="DD173" s="702">
        <f>'[1]побудинковий звіт'!DD173</f>
        <v>8059.3499999999995</v>
      </c>
      <c r="DE173" s="702">
        <f>'[1]побудинковий звіт'!DE173</f>
        <v>15246.150000000001</v>
      </c>
      <c r="DF173" s="702">
        <f>'[1]побудинковий звіт'!DF173</f>
        <v>6665.03</v>
      </c>
      <c r="DG173" s="772">
        <v>-48413.051782117342</v>
      </c>
      <c r="DH173" s="746">
        <f t="shared" si="168"/>
        <v>5450976.2687413972</v>
      </c>
      <c r="DI173" s="769"/>
      <c r="DJ173" s="5"/>
      <c r="DK173" s="307">
        <f>VLOOKUP($A173,ціни!$A$4:$G$401,5)</f>
        <v>5.7690279049624094</v>
      </c>
      <c r="DL173" s="307">
        <f>VLOOKUP($A173,ціни!$A$4:$G$401,6)</f>
        <v>6.9079426600288008</v>
      </c>
      <c r="DM173" s="307">
        <f>VLOOKUP($A173,ціни!$A$4:$G$401,7)</f>
        <v>4.8471662313009372</v>
      </c>
      <c r="DN173" s="29">
        <f t="shared" si="181"/>
        <v>34632.23436388417</v>
      </c>
      <c r="DO173" s="29">
        <f t="shared" si="182"/>
        <v>1019.359058442587</v>
      </c>
      <c r="DP173" s="306">
        <f t="shared" si="169"/>
        <v>35651.593422326754</v>
      </c>
      <c r="DQ173" s="101"/>
      <c r="DR173" s="29">
        <f>VLOOKUP(A173,'ДЗ нас '!$A$1:$C$359,2)</f>
        <v>34632.050000000003</v>
      </c>
      <c r="DS173" s="733">
        <f>VLOOKUP(A173,'ДЗ нежит'!$A$1:$D$153,4,0)</f>
        <v>984.95</v>
      </c>
      <c r="DT173" s="29">
        <f t="shared" si="170"/>
        <v>35617</v>
      </c>
      <c r="DU173" s="247">
        <f>VLOOKUP(A173,'новий кошторис с 01.06'!$A$4:$AI$399,35)*1.2</f>
        <v>35772.872612588777</v>
      </c>
      <c r="DV173" s="29">
        <f t="shared" si="171"/>
        <v>-155.87261258877697</v>
      </c>
      <c r="DW173" s="1016">
        <f>'[2]побудинковий звіт'!$DW$9+'[1]побудинковий звіт'!DW173</f>
        <v>1062</v>
      </c>
      <c r="DX173" s="101">
        <f>'[1]побудинковий звіт'!DX173</f>
        <v>0</v>
      </c>
      <c r="DY173" s="5">
        <f t="shared" si="172"/>
        <v>106119.66329067257</v>
      </c>
      <c r="DZ173" s="5">
        <f t="shared" si="173"/>
        <v>77055.597293164115</v>
      </c>
      <c r="EA173" s="737">
        <f t="shared" si="174"/>
        <v>21911.18</v>
      </c>
      <c r="EC173" s="577">
        <f t="shared" si="175"/>
        <v>952310.01064221805</v>
      </c>
      <c r="EE173" s="743">
        <v>42045</v>
      </c>
      <c r="EF173" s="723">
        <f t="shared" si="176"/>
        <v>-6368.0517821173416</v>
      </c>
      <c r="EH173" s="798">
        <v>-46965.223258866979</v>
      </c>
      <c r="EI173" s="101">
        <f>VLOOKUP(A173,'кошти 01.01.24'!$A$9:$D$352,4,FALSE)</f>
        <v>-12688.218816766886</v>
      </c>
    </row>
    <row r="174" spans="1:139" ht="14.4" hidden="1" customHeight="1" x14ac:dyDescent="0.3">
      <c r="A174" s="318">
        <v>150001026</v>
      </c>
      <c r="B174" s="43" t="s">
        <v>604</v>
      </c>
      <c r="C174" s="44" t="s">
        <v>334</v>
      </c>
      <c r="D174" s="44" t="s">
        <v>334</v>
      </c>
      <c r="E174" s="39">
        <f t="shared" si="125"/>
        <v>7055.84</v>
      </c>
      <c r="F174" s="205">
        <f>'[1]побудинковий звіт'!F174</f>
        <v>7055.84</v>
      </c>
      <c r="G174" s="29">
        <f>'[1]побудинковий звіт'!G174</f>
        <v>879.7</v>
      </c>
      <c r="H174" s="148">
        <f>'[1]побудинковий звіт'!H174</f>
        <v>0</v>
      </c>
      <c r="I174" s="41">
        <f>'[2]побудинковий звіт'!I174+'[1]побудинковий звіт'!I174</f>
        <v>12133.026249190118</v>
      </c>
      <c r="J174" s="41">
        <f>'[2]побудинковий звіт'!J174+'[1]побудинковий звіт'!J174</f>
        <v>9826.1101077230196</v>
      </c>
      <c r="K174" s="55">
        <f t="shared" si="126"/>
        <v>-2306.916141467098</v>
      </c>
      <c r="L174" s="41">
        <f>'[2]побудинковий звіт'!L174+'[1]побудинковий звіт'!L174</f>
        <v>3963.7938123415688</v>
      </c>
      <c r="M174" s="41">
        <f>'[2]побудинковий звіт'!M174+'[1]побудинковий звіт'!M174</f>
        <v>3405.333672972677</v>
      </c>
      <c r="N174" s="55">
        <f t="shared" si="127"/>
        <v>-558.46013936889176</v>
      </c>
      <c r="O174" s="41">
        <f>'[2]побудинковий звіт'!O174+'[1]побудинковий звіт'!O174</f>
        <v>10678.710820911148</v>
      </c>
      <c r="P174" s="41">
        <f>'[2]побудинковий звіт'!P174+'[1]побудинковий звіт'!P174</f>
        <v>10709.131039555592</v>
      </c>
      <c r="Q174" s="55">
        <f t="shared" si="128"/>
        <v>30.420218644443594</v>
      </c>
      <c r="R174" s="41">
        <f>'[2]побудинковий звіт'!R174+'[1]побудинковий звіт'!R174</f>
        <v>2417.9367953453561</v>
      </c>
      <c r="S174" s="41">
        <f>'[2]побудинковий звіт'!S174+'[1]побудинковий звіт'!S174</f>
        <v>2424.685574047744</v>
      </c>
      <c r="T174" s="55">
        <f t="shared" si="129"/>
        <v>6.7487787023878809</v>
      </c>
      <c r="U174" s="41">
        <f>'[2]побудинковий звіт'!U174+'[1]побудинковий звіт'!U174</f>
        <v>2205.336510765746</v>
      </c>
      <c r="V174" s="41">
        <f>'[2]побудинковий звіт'!V174+'[1]побудинковий звіт'!V174</f>
        <v>1121.7107744437801</v>
      </c>
      <c r="W174" s="55">
        <f t="shared" si="130"/>
        <v>-1083.6257363219659</v>
      </c>
      <c r="X174" s="41">
        <f>'[2]побудинковий звіт'!X174+'[1]побудинковий звіт'!X174</f>
        <v>17429.762111545435</v>
      </c>
      <c r="Y174" s="41">
        <f>'[2]побудинковий звіт'!Y174+'[1]побудинковий звіт'!Y174</f>
        <v>11772.009058449039</v>
      </c>
      <c r="Z174" s="55">
        <f t="shared" si="131"/>
        <v>-5657.7530530963959</v>
      </c>
      <c r="AA174" s="41">
        <f>'[2]побудинковий звіт'!AA174+'[1]побудинковий звіт'!AA174</f>
        <v>0</v>
      </c>
      <c r="AB174" s="41">
        <f>'[2]побудинковий звіт'!AB174+'[1]побудинковий звіт'!AB174</f>
        <v>0</v>
      </c>
      <c r="AC174" s="55">
        <f t="shared" si="132"/>
        <v>0</v>
      </c>
      <c r="AD174" s="41">
        <f>'[2]побудинковий звіт'!AD174+'[1]побудинковий звіт'!AD174</f>
        <v>30592.584184606294</v>
      </c>
      <c r="AE174" s="41">
        <f>'[2]побудинковий звіт'!AE174+'[1]побудинковий звіт'!AE174</f>
        <v>30474.011334958086</v>
      </c>
      <c r="AF174" s="36">
        <f t="shared" si="133"/>
        <v>-118.57284964820792</v>
      </c>
      <c r="AG174" s="84">
        <f t="shared" si="134"/>
        <v>79421.150484705664</v>
      </c>
      <c r="AH174" s="56">
        <f t="shared" si="135"/>
        <v>69732.991562149939</v>
      </c>
      <c r="AI174" s="55">
        <f t="shared" si="136"/>
        <v>-9688.1589225557254</v>
      </c>
      <c r="AJ174" s="41">
        <f>'[2]побудинковий звіт'!AJ174+'[1]побудинковий звіт'!AJ174</f>
        <v>68600.995900958311</v>
      </c>
      <c r="AK174" s="41">
        <f>'[2]побудинковий звіт'!AK174+'[1]побудинковий звіт'!AK174</f>
        <v>62695.601447553869</v>
      </c>
      <c r="AL174" s="55">
        <f t="shared" si="137"/>
        <v>-5905.3944534044422</v>
      </c>
      <c r="AM174" s="41">
        <f>'[2]побудинковий звіт'!AM174+'[1]побудинковий звіт'!AM174</f>
        <v>6525.755975368038</v>
      </c>
      <c r="AN174" s="41">
        <f>'[2]побудинковий звіт'!AN174+'[1]побудинковий звіт'!AN174</f>
        <v>5527.1897637320653</v>
      </c>
      <c r="AO174" s="55">
        <f t="shared" si="138"/>
        <v>-998.56621163597265</v>
      </c>
      <c r="AP174" s="41">
        <f>'[2]побудинковий звіт'!AP174+'[1]побудинковий звіт'!AP174</f>
        <v>6339.8268345933066</v>
      </c>
      <c r="AQ174" s="41">
        <f>'[2]побудинковий звіт'!AQ174+'[1]побудинковий звіт'!AQ174</f>
        <v>5864.9459990807436</v>
      </c>
      <c r="AR174" s="55">
        <f t="shared" si="139"/>
        <v>-474.88083551256295</v>
      </c>
      <c r="AS174" s="41">
        <f>'[2]побудинковий звіт'!AS174+'[1]побудинковий звіт'!AS174</f>
        <v>147139.57321768106</v>
      </c>
      <c r="AT174" s="41">
        <f>'[2]побудинковий звіт'!AT174+'[1]побудинковий звіт'!AT174</f>
        <v>128081.81506624956</v>
      </c>
      <c r="AU174" s="57">
        <f t="shared" si="140"/>
        <v>-19057.758151431495</v>
      </c>
      <c r="AV174" s="41">
        <f>'[2]побудинковий звіт'!AV174+'[1]побудинковий звіт'!AV174</f>
        <v>588.27818891569655</v>
      </c>
      <c r="AW174" s="41">
        <f>'[2]побудинковий звіт'!AW174+'[1]побудинковий звіт'!AW174</f>
        <v>273.9376929885193</v>
      </c>
      <c r="AX174" s="58">
        <f t="shared" si="141"/>
        <v>-314.34049592717724</v>
      </c>
      <c r="AY174" s="41">
        <f>'[2]побудинковий звіт'!AY174+'[1]побудинковий звіт'!AY174</f>
        <v>1018.1737728705657</v>
      </c>
      <c r="AZ174" s="41">
        <f>'[2]побудинковий звіт'!AZ174+'[1]побудинковий звіт'!AZ174</f>
        <v>5771.8893240119796</v>
      </c>
      <c r="BA174" s="36">
        <f t="shared" si="142"/>
        <v>4753.7155511414139</v>
      </c>
      <c r="BB174" s="41">
        <f>'[2]побудинковий звіт'!BB174+'[1]побудинковий звіт'!BB174</f>
        <v>533.57352669330362</v>
      </c>
      <c r="BC174" s="41">
        <f>'[2]побудинковий звіт'!BC174+'[1]побудинковий звіт'!BC174</f>
        <v>1523.7581376649762</v>
      </c>
      <c r="BD174" s="58">
        <f t="shared" si="143"/>
        <v>990.18461097167256</v>
      </c>
      <c r="BE174" s="41">
        <f>'[2]побудинковий звіт'!BE174+'[1]побудинковий звіт'!BE174</f>
        <v>474.5466683266676</v>
      </c>
      <c r="BF174" s="41">
        <f>'[2]побудинковий звіт'!BF174+'[1]побудинковий звіт'!BF174</f>
        <v>0</v>
      </c>
      <c r="BG174" s="38">
        <f t="shared" si="144"/>
        <v>-474.5466683266676</v>
      </c>
      <c r="BH174" s="41">
        <f>'[2]побудинковий звіт'!BH174+'[1]побудинковий звіт'!BH174</f>
        <v>668.7666936683097</v>
      </c>
      <c r="BI174" s="41">
        <f>'[2]побудинковий звіт'!BI174+'[1]побудинковий звіт'!BI174</f>
        <v>20.605486199999998</v>
      </c>
      <c r="BJ174" s="58">
        <f t="shared" si="145"/>
        <v>-648.16120746830973</v>
      </c>
      <c r="BK174" s="41">
        <f>'[2]побудинковий звіт'!BK174+'[1]побудинковий звіт'!BK174</f>
        <v>834.04322461123354</v>
      </c>
      <c r="BL174" s="41">
        <f>'[2]побудинковий звіт'!BL174+'[1]побудинковий звіт'!BL174</f>
        <v>3525.0968402714652</v>
      </c>
      <c r="BM174" s="38">
        <f t="shared" si="146"/>
        <v>2691.0536156602316</v>
      </c>
      <c r="BN174" s="41">
        <f>'[2]побудинковий звіт'!BN174+'[1]побудинковий звіт'!BN174</f>
        <v>1090.4319571107819</v>
      </c>
      <c r="BO174" s="41">
        <f>'[2]побудинковий звіт'!BO174+'[1]побудинковий звіт'!BO174</f>
        <v>0</v>
      </c>
      <c r="BP174" s="58">
        <f t="shared" si="147"/>
        <v>-1090.4319571107819</v>
      </c>
      <c r="BQ174" s="84">
        <f t="shared" si="148"/>
        <v>5207.8140321965584</v>
      </c>
      <c r="BR174" s="42">
        <f t="shared" si="149"/>
        <v>11115.28748113694</v>
      </c>
      <c r="BS174" s="58">
        <f t="shared" si="150"/>
        <v>5907.4734489403818</v>
      </c>
      <c r="BT174" s="41">
        <f>'[2]побудинковий звіт'!BT174+'[1]побудинковий звіт'!BT174</f>
        <v>110960.77522723988</v>
      </c>
      <c r="BU174" s="41">
        <f>'[2]побудинковий звіт'!BU174+'[1]побудинковий звіт'!BU174</f>
        <v>139748.32384444543</v>
      </c>
      <c r="BV174" s="55">
        <f t="shared" si="151"/>
        <v>28787.548617205553</v>
      </c>
      <c r="BW174" s="41">
        <f>'[2]побудинковий звіт'!BW174+'[1]побудинковий звіт'!BW174</f>
        <v>54416.360370357106</v>
      </c>
      <c r="BX174" s="41">
        <f>'[2]побудинковий звіт'!BX174+'[1]побудинковий звіт'!BX174</f>
        <v>73368.223996773086</v>
      </c>
      <c r="BY174" s="55">
        <f t="shared" si="152"/>
        <v>18951.86362641598</v>
      </c>
      <c r="BZ174" s="41">
        <f>'[2]побудинковий звіт'!BZ174+'[1]побудинковий звіт'!BZ174</f>
        <v>13367.345353654717</v>
      </c>
      <c r="CA174" s="41">
        <f>'[2]побудинковий звіт'!CA174+'[1]побудинковий звіт'!CA174</f>
        <v>13687.757613230388</v>
      </c>
      <c r="CB174" s="55">
        <f t="shared" si="153"/>
        <v>320.41225957567076</v>
      </c>
      <c r="CC174" s="41">
        <f>'[2]побудинковий звіт'!CC174+'[1]побудинковий звіт'!CC174</f>
        <v>3094.7858773581706</v>
      </c>
      <c r="CD174" s="41">
        <f>'[2]побудинковий звіт'!CD174+'[1]побудинковий звіт'!CD174</f>
        <v>3105.2799510645186</v>
      </c>
      <c r="CE174" s="55">
        <f t="shared" si="154"/>
        <v>10.49407370634799</v>
      </c>
      <c r="CF174" s="41">
        <f>'[2]побудинковий звіт'!CF174+'[1]побудинковий звіт'!CF174</f>
        <v>383.42752084461421</v>
      </c>
      <c r="CG174" s="41">
        <f>'[2]побудинковий звіт'!CG174+'[1]побудинковий звіт'!CG174</f>
        <v>0</v>
      </c>
      <c r="CH174" s="55">
        <f t="shared" si="155"/>
        <v>-383.42752084461421</v>
      </c>
      <c r="CI174" s="41">
        <f>'[2]побудинковий звіт'!CI174+'[1]побудинковий звіт'!CI174</f>
        <v>27515.740960333249</v>
      </c>
      <c r="CJ174" s="41">
        <f>'[2]побудинковий звіт'!CJ174+'[1]побудинковий звіт'!CJ174</f>
        <v>28697.412985931918</v>
      </c>
      <c r="CK174" s="55">
        <f t="shared" si="156"/>
        <v>1181.6720255986693</v>
      </c>
      <c r="CL174" s="41">
        <f>'[2]побудинковий звіт'!CL174+'[1]побудинковий звіт'!CL174</f>
        <v>28376.922705759891</v>
      </c>
      <c r="CM174" s="41">
        <f>'[2]побудинковий звіт'!CM174+'[1]побудинковий звіт'!CM174</f>
        <v>29586.277939259748</v>
      </c>
      <c r="CN174" s="55">
        <f t="shared" si="157"/>
        <v>1209.3552334998567</v>
      </c>
      <c r="CO174" s="41">
        <f t="shared" si="158"/>
        <v>55892.66366609314</v>
      </c>
      <c r="CP174" s="42">
        <f t="shared" si="159"/>
        <v>58283.690925191666</v>
      </c>
      <c r="CQ174" s="55">
        <f t="shared" si="160"/>
        <v>2391.027259098526</v>
      </c>
      <c r="CR174" s="76">
        <f t="shared" si="161"/>
        <v>551350.47446105047</v>
      </c>
      <c r="CS174" s="5">
        <f t="shared" si="162"/>
        <v>571211.10765060817</v>
      </c>
      <c r="CT174" s="55">
        <f t="shared" si="163"/>
        <v>19860.633189557702</v>
      </c>
      <c r="CU174" s="84">
        <f t="shared" si="164"/>
        <v>661620.56935326057</v>
      </c>
      <c r="CV174" s="68">
        <f t="shared" si="165"/>
        <v>685453.32918072981</v>
      </c>
      <c r="CW174" s="36">
        <f t="shared" si="166"/>
        <v>23832.759827469243</v>
      </c>
      <c r="CX174" s="41">
        <f>'[2]побудинковий звіт'!CX174+'[1]побудинковий звіт'!CX174</f>
        <v>14832.90099229009</v>
      </c>
      <c r="CY174" s="41">
        <f>'[2]побудинковий звіт'!CY174+'[1]побудинковий звіт'!CY174</f>
        <v>-8999.8588351790968</v>
      </c>
      <c r="CZ174" s="55">
        <f t="shared" si="167"/>
        <v>-23832.759827469185</v>
      </c>
      <c r="DA174" s="254">
        <f>'[1]побудинковий звіт'!DA174</f>
        <v>-81363.706030819885</v>
      </c>
      <c r="DB174" s="2">
        <v>1</v>
      </c>
      <c r="DC174" s="702">
        <f>'[1]побудинковий звіт'!DC174</f>
        <v>126506.47</v>
      </c>
      <c r="DD174" s="702">
        <f>'[1]побудинковий звіт'!DD174</f>
        <v>0</v>
      </c>
      <c r="DE174" s="702">
        <f>'[1]побудинковий звіт'!DE174</f>
        <v>52540.380000000005</v>
      </c>
      <c r="DF174" s="702">
        <f>'[1]побудинковий звіт'!DF174</f>
        <v>0</v>
      </c>
      <c r="DG174" s="772">
        <v>-113011.37079313793</v>
      </c>
      <c r="DH174" s="746">
        <f t="shared" si="168"/>
        <v>8117441.6441466082</v>
      </c>
      <c r="DI174" s="769"/>
      <c r="DJ174" s="5"/>
      <c r="DK174" s="307">
        <f>VLOOKUP($A174,ціни!$A$4:$G$401,5)</f>
        <v>6.1519542693028075</v>
      </c>
      <c r="DL174" s="307">
        <f>VLOOKUP($A174,ціни!$A$4:$G$401,6)</f>
        <v>7.7151568376438355</v>
      </c>
      <c r="DM174" s="307">
        <f>VLOOKUP($A174,ціни!$A$4:$G$401,7)</f>
        <v>5.4054494663395838</v>
      </c>
      <c r="DN174" s="29">
        <f t="shared" si="181"/>
        <v>53061.762921951275</v>
      </c>
      <c r="DO174" s="29">
        <f t="shared" si="182"/>
        <v>0</v>
      </c>
      <c r="DP174" s="306">
        <f t="shared" si="169"/>
        <v>53061.762921951275</v>
      </c>
      <c r="DQ174" s="101"/>
      <c r="DR174" s="29">
        <f>VLOOKUP(A174,'ДЗ нас '!$A$1:$C$359,2)</f>
        <v>53060.79</v>
      </c>
      <c r="DS174" s="733"/>
      <c r="DT174" s="29">
        <f t="shared" si="170"/>
        <v>53060.79</v>
      </c>
      <c r="DU174" s="247">
        <f>VLOOKUP(A174,'новий кошторис с 01.06'!$A$4:$AI$399,35)*1.2</f>
        <v>53195.381837994304</v>
      </c>
      <c r="DV174" s="29">
        <f t="shared" si="171"/>
        <v>-134.59183799430321</v>
      </c>
      <c r="DW174" s="1016">
        <f>'[2]побудинковий звіт'!$DW$9+'[1]побудинковий звіт'!DW174</f>
        <v>1242</v>
      </c>
      <c r="DX174" s="101">
        <f>'[1]побудинковий звіт'!DX174</f>
        <v>0</v>
      </c>
      <c r="DY174" s="5">
        <f t="shared" si="172"/>
        <v>182816.86469985315</v>
      </c>
      <c r="DZ174" s="5">
        <f t="shared" si="173"/>
        <v>167036.52305686378</v>
      </c>
      <c r="EA174" s="737">
        <f t="shared" si="174"/>
        <v>52540.380000000005</v>
      </c>
      <c r="EC174" s="577">
        <f t="shared" si="175"/>
        <v>1765674.8786121728</v>
      </c>
      <c r="EE174" s="743">
        <v>150217</v>
      </c>
      <c r="EF174" s="723">
        <f t="shared" si="176"/>
        <v>37205.629206862068</v>
      </c>
      <c r="EH174" s="798">
        <v>-119612.86367598301</v>
      </c>
      <c r="EI174" s="101">
        <f>VLOOKUP(A174,'кошти 01.01.24'!$A$9:$D$352,4,FALSE)</f>
        <v>-105196.46585828922</v>
      </c>
    </row>
    <row r="175" spans="1:139" hidden="1" x14ac:dyDescent="0.3">
      <c r="A175" s="318">
        <v>150001027</v>
      </c>
      <c r="B175" s="43" t="s">
        <v>605</v>
      </c>
      <c r="C175" s="44" t="s">
        <v>367</v>
      </c>
      <c r="D175" s="44" t="s">
        <v>367</v>
      </c>
      <c r="E175" s="39">
        <f t="shared" si="125"/>
        <v>10354.25</v>
      </c>
      <c r="F175" s="205">
        <f>'[1]побудинковий звіт'!F175</f>
        <v>10263.950000000001</v>
      </c>
      <c r="G175" s="29">
        <f>'[1]побудинковий звіт'!G175</f>
        <v>1160.45</v>
      </c>
      <c r="H175" s="148">
        <f>'[1]побудинковий звіт'!H175</f>
        <v>90.3</v>
      </c>
      <c r="I175" s="41">
        <f>'[2]побудинковий звіт'!I175+'[1]побудинковий звіт'!I175</f>
        <v>27704.502688480417</v>
      </c>
      <c r="J175" s="41">
        <f>'[2]побудинковий звіт'!J175+'[1]побудинковий звіт'!J175</f>
        <v>21896.89606838136</v>
      </c>
      <c r="K175" s="55">
        <f t="shared" si="126"/>
        <v>-5807.6066200990572</v>
      </c>
      <c r="L175" s="41">
        <f>'[2]побудинковий звіт'!L175+'[1]побудинковий звіт'!L175</f>
        <v>4647.0443792321594</v>
      </c>
      <c r="M175" s="41">
        <f>'[2]побудинковий звіт'!M175+'[1]побудинковий звіт'!M175</f>
        <v>3947.644094473625</v>
      </c>
      <c r="N175" s="55">
        <f t="shared" si="127"/>
        <v>-699.40028475853433</v>
      </c>
      <c r="O175" s="41">
        <f>'[2]побудинковий звіт'!O175+'[1]побудинковий звіт'!O175</f>
        <v>16407.228403126013</v>
      </c>
      <c r="P175" s="41">
        <f>'[2]побудинковий звіт'!P175+'[1]побудинковий звіт'!P175</f>
        <v>16453.431827851942</v>
      </c>
      <c r="Q175" s="55">
        <f t="shared" si="128"/>
        <v>46.203424725928926</v>
      </c>
      <c r="R175" s="41">
        <f>'[2]побудинковий звіт'!R175+'[1]побудинковий звіт'!R175</f>
        <v>3667.1603741206854</v>
      </c>
      <c r="S175" s="41">
        <f>'[2]побудинковий звіт'!S175+'[1]побудинковий звіт'!S175</f>
        <v>3677.5075867937039</v>
      </c>
      <c r="T175" s="55">
        <f t="shared" si="129"/>
        <v>10.347212673018475</v>
      </c>
      <c r="U175" s="41">
        <f>'[2]побудинковий звіт'!U175+'[1]побудинковий звіт'!U175</f>
        <v>4216.8116511155849</v>
      </c>
      <c r="V175" s="41">
        <f>'[2]побудинковий звіт'!V175+'[1]побудинковий звіт'!V175</f>
        <v>1722.8784383036095</v>
      </c>
      <c r="W175" s="55">
        <f t="shared" si="130"/>
        <v>-2493.9332128119754</v>
      </c>
      <c r="X175" s="41">
        <f>'[2]побудинковий звіт'!X175+'[1]побудинковий звіт'!X175</f>
        <v>23765.951037905499</v>
      </c>
      <c r="Y175" s="41">
        <f>'[2]побудинковий звіт'!Y175+'[1]побудинковий звіт'!Y175</f>
        <v>19788.792886737505</v>
      </c>
      <c r="Z175" s="55">
        <f t="shared" si="131"/>
        <v>-3977.1581511679942</v>
      </c>
      <c r="AA175" s="41">
        <f>'[2]побудинковий звіт'!AA175+'[1]побудинковий звіт'!AA175</f>
        <v>0</v>
      </c>
      <c r="AB175" s="41">
        <f>'[2]побудинковий звіт'!AB175+'[1]побудинковий звіт'!AB175</f>
        <v>0</v>
      </c>
      <c r="AC175" s="55">
        <f t="shared" si="132"/>
        <v>0</v>
      </c>
      <c r="AD175" s="41">
        <f>'[2]побудинковий звіт'!AD175+'[1]побудинковий звіт'!AD175</f>
        <v>45037.697279661174</v>
      </c>
      <c r="AE175" s="41">
        <f>'[2]побудинковий звіт'!AE175+'[1]побудинковий звіт'!AE175</f>
        <v>44861.669007686185</v>
      </c>
      <c r="AF175" s="36">
        <f t="shared" si="133"/>
        <v>-176.02827197498846</v>
      </c>
      <c r="AG175" s="84">
        <f t="shared" si="134"/>
        <v>125446.39581364152</v>
      </c>
      <c r="AH175" s="56">
        <f t="shared" si="135"/>
        <v>112348.81991022793</v>
      </c>
      <c r="AI175" s="55">
        <f t="shared" si="136"/>
        <v>-13097.575903413584</v>
      </c>
      <c r="AJ175" s="41">
        <f>'[2]побудинковий звіт'!AJ175+'[1]побудинковий звіт'!AJ175</f>
        <v>96036.502400993486</v>
      </c>
      <c r="AK175" s="41">
        <f>'[2]побудинковий звіт'!AK175+'[1]побудинковий звіт'!AK175</f>
        <v>90728.159129621024</v>
      </c>
      <c r="AL175" s="55">
        <f t="shared" si="137"/>
        <v>-5308.3432713724615</v>
      </c>
      <c r="AM175" s="41">
        <f>'[2]побудинковий звіт'!AM175+'[1]побудинковий звіт'!AM175</f>
        <v>605.85684545284585</v>
      </c>
      <c r="AN175" s="41">
        <f>'[2]побудинковий звіт'!AN175+'[1]побудинковий звіт'!AN175</f>
        <v>2898.9225017977969</v>
      </c>
      <c r="AO175" s="55">
        <f t="shared" si="138"/>
        <v>2293.0656563449511</v>
      </c>
      <c r="AP175" s="41">
        <f>'[2]побудинковий звіт'!AP175+'[1]побудинковий звіт'!AP175</f>
        <v>7924.7835432416305</v>
      </c>
      <c r="AQ175" s="41">
        <f>'[2]побудинковий звіт'!AQ175+'[1]побудинковий звіт'!AQ175</f>
        <v>9720</v>
      </c>
      <c r="AR175" s="55">
        <f t="shared" si="139"/>
        <v>1795.2164567583695</v>
      </c>
      <c r="AS175" s="41">
        <f>'[2]побудинковий звіт'!AS175+'[1]побудинковий звіт'!AS175</f>
        <v>203473.28041055481</v>
      </c>
      <c r="AT175" s="41">
        <f>'[2]побудинковий звіт'!AT175+'[1]побудинковий звіт'!AT175</f>
        <v>353590.20078399475</v>
      </c>
      <c r="AU175" s="57">
        <f t="shared" si="140"/>
        <v>150116.92037343993</v>
      </c>
      <c r="AV175" s="41">
        <f>'[2]побудинковий звіт'!AV175+'[1]побудинковий звіт'!AV175</f>
        <v>2001.7529082088749</v>
      </c>
      <c r="AW175" s="41">
        <f>'[2]побудинковий звіт'!AW175+'[1]побудинковий звіт'!AW175</f>
        <v>1359.92186800677</v>
      </c>
      <c r="AX175" s="58">
        <f t="shared" si="141"/>
        <v>-641.83104020210499</v>
      </c>
      <c r="AY175" s="41">
        <f>'[2]побудинковий звіт'!AY175+'[1]побудинковий звіт'!AY175</f>
        <v>1876.7976321590472</v>
      </c>
      <c r="AZ175" s="41">
        <f>'[2]побудинковий звіт'!AZ175+'[1]побудинковий звіт'!AZ175</f>
        <v>12807.605015221299</v>
      </c>
      <c r="BA175" s="36">
        <f t="shared" si="142"/>
        <v>10930.807383062252</v>
      </c>
      <c r="BB175" s="41">
        <f>'[2]побудинковий звіт'!BB175+'[1]побудинковий звіт'!BB175</f>
        <v>2620.0240305959783</v>
      </c>
      <c r="BC175" s="41">
        <f>'[2]побудинковий звіт'!BC175+'[1]побудинковий звіт'!BC175</f>
        <v>0</v>
      </c>
      <c r="BD175" s="58">
        <f t="shared" si="143"/>
        <v>-2620.0240305959783</v>
      </c>
      <c r="BE175" s="41">
        <f>'[2]побудинковий звіт'!BE175+'[1]побудинковий звіт'!BE175</f>
        <v>1199.8497857966122</v>
      </c>
      <c r="BF175" s="41">
        <f>'[2]побудинковий звіт'!BF175+'[1]побудинковий звіт'!BF175</f>
        <v>0</v>
      </c>
      <c r="BG175" s="38">
        <f t="shared" si="144"/>
        <v>-1199.8497857966122</v>
      </c>
      <c r="BH175" s="41">
        <f>'[2]побудинковий звіт'!BH175+'[1]побудинковий звіт'!BH175</f>
        <v>1379.4504040486775</v>
      </c>
      <c r="BI175" s="41">
        <f>'[2]побудинковий звіт'!BI175+'[1]побудинковий звіт'!BI175</f>
        <v>1959.0823694717819</v>
      </c>
      <c r="BJ175" s="58">
        <f t="shared" si="145"/>
        <v>579.63196542310448</v>
      </c>
      <c r="BK175" s="41">
        <f>'[2]побудинковий звіт'!BK175+'[1]побудинковий звіт'!BK175</f>
        <v>2939.9347943319494</v>
      </c>
      <c r="BL175" s="41">
        <f>'[2]побудинковий звіт'!BL175+'[1]побудинковий звіт'!BL175</f>
        <v>10062.615039587889</v>
      </c>
      <c r="BM175" s="38">
        <f t="shared" si="146"/>
        <v>7122.6802452559386</v>
      </c>
      <c r="BN175" s="41">
        <f>'[2]побудинковий звіт'!BN175+'[1]побудинковий звіт'!BN175</f>
        <v>791.92916475677021</v>
      </c>
      <c r="BO175" s="41">
        <f>'[2]побудинковий звіт'!BO175+'[1]побудинковий звіт'!BO175</f>
        <v>438.67713853039999</v>
      </c>
      <c r="BP175" s="58">
        <f t="shared" si="147"/>
        <v>-353.25202622637022</v>
      </c>
      <c r="BQ175" s="84">
        <f t="shared" si="148"/>
        <v>12809.73871989791</v>
      </c>
      <c r="BR175" s="42">
        <f t="shared" si="149"/>
        <v>26627.901430818139</v>
      </c>
      <c r="BS175" s="58">
        <f t="shared" si="150"/>
        <v>13818.162710920229</v>
      </c>
      <c r="BT175" s="41">
        <f>'[2]побудинковий звіт'!BT175+'[1]побудинковий звіт'!BT175</f>
        <v>126379.57845032915</v>
      </c>
      <c r="BU175" s="41">
        <f>'[2]побудинковий звіт'!BU175+'[1]побудинковий звіт'!BU175</f>
        <v>174629.0503434916</v>
      </c>
      <c r="BV175" s="55">
        <f t="shared" si="151"/>
        <v>48249.471893162452</v>
      </c>
      <c r="BW175" s="41">
        <f>'[2]побудинковий звіт'!BW175+'[1]побудинковий звіт'!BW175</f>
        <v>89343.532550793941</v>
      </c>
      <c r="BX175" s="41">
        <f>'[2]побудинковий звіт'!BX175+'[1]побудинковий звіт'!BX175</f>
        <v>111753.69806670056</v>
      </c>
      <c r="BY175" s="55">
        <f t="shared" si="152"/>
        <v>22410.165515906614</v>
      </c>
      <c r="BZ175" s="41">
        <f>'[2]побудинковий звіт'!BZ175+'[1]побудинковий звіт'!BZ175</f>
        <v>23876.881422622668</v>
      </c>
      <c r="CA175" s="41">
        <f>'[2]побудинковий звіт'!CA175+'[1]побудинковий звіт'!CA175</f>
        <v>17143.875133462414</v>
      </c>
      <c r="CB175" s="55">
        <f t="shared" si="153"/>
        <v>-6733.0062891602538</v>
      </c>
      <c r="CC175" s="41">
        <f>'[2]побудинковий звіт'!CC175+'[1]побудинковий звіт'!CC175</f>
        <v>2271.2399956378954</v>
      </c>
      <c r="CD175" s="41">
        <f>'[2]побудинковий звіт'!CD175+'[1]побудинковий звіт'!CD175</f>
        <v>2278.9415171206597</v>
      </c>
      <c r="CE175" s="55">
        <f t="shared" si="154"/>
        <v>7.7015214827642922</v>
      </c>
      <c r="CF175" s="41">
        <f>'[2]побудинковий звіт'!CF175+'[1]побудинковий звіт'!CF175</f>
        <v>281.39456339834635</v>
      </c>
      <c r="CG175" s="41">
        <f>'[2]побудинковий звіт'!CG175+'[1]побудинковий звіт'!CG175</f>
        <v>0</v>
      </c>
      <c r="CH175" s="55">
        <f t="shared" si="155"/>
        <v>-281.39456339834635</v>
      </c>
      <c r="CI175" s="41">
        <f>'[2]побудинковий звіт'!CI175+'[1]побудинковий звіт'!CI175</f>
        <v>30918.189567113328</v>
      </c>
      <c r="CJ175" s="41">
        <f>'[2]побудинковий звіт'!CJ175+'[1]побудинковий звіт'!CJ175</f>
        <v>23554.845762656954</v>
      </c>
      <c r="CK175" s="55">
        <f t="shared" si="156"/>
        <v>-7363.3438044563736</v>
      </c>
      <c r="CL175" s="41">
        <f>'[2]побудинковий звіт'!CL175+'[1]побудинковий звіт'!CL175</f>
        <v>20760.46110843942</v>
      </c>
      <c r="CM175" s="41">
        <f>'[2]побудинковий звіт'!CM175+'[1]побудинковий звіт'!CM175</f>
        <v>28439.652743529754</v>
      </c>
      <c r="CN175" s="55">
        <f t="shared" si="157"/>
        <v>7679.1916350903339</v>
      </c>
      <c r="CO175" s="41">
        <f t="shared" si="158"/>
        <v>51678.650675552752</v>
      </c>
      <c r="CP175" s="42">
        <f t="shared" si="159"/>
        <v>51994.498506186705</v>
      </c>
      <c r="CQ175" s="55">
        <f t="shared" si="160"/>
        <v>315.84783063395298</v>
      </c>
      <c r="CR175" s="76">
        <f t="shared" si="161"/>
        <v>740127.83539211703</v>
      </c>
      <c r="CS175" s="5">
        <f t="shared" si="162"/>
        <v>953714.06732342159</v>
      </c>
      <c r="CT175" s="55">
        <f t="shared" si="163"/>
        <v>213586.23193130456</v>
      </c>
      <c r="CU175" s="84">
        <f t="shared" si="164"/>
        <v>888153.40247054037</v>
      </c>
      <c r="CV175" s="68">
        <f t="shared" si="165"/>
        <v>1144456.8807881058</v>
      </c>
      <c r="CW175" s="36">
        <f t="shared" si="166"/>
        <v>256303.4783175654</v>
      </c>
      <c r="CX175" s="41">
        <f>'[2]побудинковий звіт'!CX175+'[1]побудинковий звіт'!CX175</f>
        <v>28514.573523076808</v>
      </c>
      <c r="CY175" s="41">
        <f>'[2]побудинковий звіт'!CY175+'[1]побудинковий звіт'!CY175</f>
        <v>-227788.90479448866</v>
      </c>
      <c r="CZ175" s="55">
        <f t="shared" si="167"/>
        <v>-256303.47831756546</v>
      </c>
      <c r="DA175" s="254">
        <f>'[1]побудинковий звіт'!DA175</f>
        <v>168008.6133703418</v>
      </c>
      <c r="DB175" s="2">
        <v>1</v>
      </c>
      <c r="DC175" s="702">
        <f>'[1]побудинковий звіт'!DC175</f>
        <v>249598.44</v>
      </c>
      <c r="DD175" s="702">
        <f>'[1]побудинковий звіт'!DD175</f>
        <v>23016.68</v>
      </c>
      <c r="DE175" s="702">
        <f>'[1]побудинковий звіт'!DE175</f>
        <v>150308.34</v>
      </c>
      <c r="DF175" s="702">
        <f>'[1]побудинковий звіт'!DF175</f>
        <v>22402</v>
      </c>
      <c r="DG175" s="772">
        <v>5781.1615782235749</v>
      </c>
      <c r="DH175" s="746">
        <f t="shared" si="168"/>
        <v>11000015.711923406</v>
      </c>
      <c r="DI175" s="769"/>
      <c r="DJ175" s="5"/>
      <c r="DK175" s="307">
        <f>VLOOKUP($A175,ціни!$A$4:$G$401,5)</f>
        <v>5.8523338005686236</v>
      </c>
      <c r="DL175" s="307">
        <f>VLOOKUP($A175,ціни!$A$4:$G$401,6)</f>
        <v>7.0700781193831848</v>
      </c>
      <c r="DM175" s="307">
        <f>VLOOKUP($A175,ціни!$A$4:$G$401,7)</f>
        <v>5.005275604704031</v>
      </c>
      <c r="DN175" s="29">
        <f t="shared" si="181"/>
        <v>71153.796918674678</v>
      </c>
      <c r="DO175" s="29">
        <f t="shared" si="182"/>
        <v>451.97638710477401</v>
      </c>
      <c r="DP175" s="306">
        <f t="shared" si="169"/>
        <v>71605.773305779454</v>
      </c>
      <c r="DQ175" s="101"/>
      <c r="DR175" s="29">
        <f>VLOOKUP(A175,'ДЗ нас '!$A$1:$C$359,2)</f>
        <v>71109.63</v>
      </c>
      <c r="DS175" s="733">
        <f>VLOOKUP(A175,'ДЗ нежит'!$A$1:$D$153,4,0)</f>
        <v>654.19000000000005</v>
      </c>
      <c r="DT175" s="29">
        <f t="shared" si="170"/>
        <v>71763.820000000007</v>
      </c>
      <c r="DU175" s="247">
        <f>VLOOKUP(A175,'новий кошторис с 01.06'!$A$4:$AI$399,35)*1.2</f>
        <v>72084.807048417133</v>
      </c>
      <c r="DV175" s="29">
        <f t="shared" si="171"/>
        <v>-320.98704841712606</v>
      </c>
      <c r="DW175" s="1016">
        <f>'[2]побудинковий звіт'!$DW$9+'[1]побудинковий звіт'!DW175</f>
        <v>1242</v>
      </c>
      <c r="DX175" s="101">
        <f>'[1]побудинковий звіт'!DX175</f>
        <v>0</v>
      </c>
      <c r="DY175" s="5">
        <f t="shared" si="172"/>
        <v>259539.62295654323</v>
      </c>
      <c r="DZ175" s="5">
        <f t="shared" si="173"/>
        <v>456261.72265777545</v>
      </c>
      <c r="EA175" s="737">
        <f t="shared" si="174"/>
        <v>172710.34</v>
      </c>
      <c r="EC175" s="577">
        <f t="shared" si="175"/>
        <v>2441679.3649266576</v>
      </c>
      <c r="EE175" s="743">
        <v>47510</v>
      </c>
      <c r="EF175" s="723">
        <f t="shared" si="176"/>
        <v>53291.161578223575</v>
      </c>
      <c r="EH175" s="798">
        <v>-57365.708734197106</v>
      </c>
      <c r="EI175" s="101">
        <f>VLOOKUP(A175,'кошти 01.01.24'!$A$9:$D$352,4,FALSE)</f>
        <v>-88294.864947223556</v>
      </c>
    </row>
    <row r="176" spans="1:139" hidden="1" x14ac:dyDescent="0.3">
      <c r="A176" s="318">
        <v>150001036</v>
      </c>
      <c r="B176" s="43" t="s">
        <v>607</v>
      </c>
      <c r="C176" s="44" t="s">
        <v>102</v>
      </c>
      <c r="D176" s="44" t="s">
        <v>102</v>
      </c>
      <c r="E176" s="39">
        <f t="shared" si="125"/>
        <v>211.4</v>
      </c>
      <c r="F176" s="205">
        <f>'[1]побудинковий звіт'!F176</f>
        <v>211.4</v>
      </c>
      <c r="G176" s="29">
        <f>'[1]побудинковий звіт'!G176</f>
        <v>0</v>
      </c>
      <c r="H176" s="148">
        <f>'[1]побудинковий звіт'!H176</f>
        <v>0</v>
      </c>
      <c r="I176" s="41">
        <f>'[2]побудинковий звіт'!I176+'[1]побудинковий звіт'!I176</f>
        <v>0</v>
      </c>
      <c r="J176" s="41">
        <f>'[2]побудинковий звіт'!J176+'[1]побудинковий звіт'!J176</f>
        <v>0</v>
      </c>
      <c r="K176" s="55">
        <f t="shared" si="126"/>
        <v>0</v>
      </c>
      <c r="L176" s="41">
        <f>'[2]побудинковий звіт'!L176+'[1]побудинковий звіт'!L176</f>
        <v>0</v>
      </c>
      <c r="M176" s="41">
        <f>'[2]побудинковий звіт'!M176+'[1]побудинковий звіт'!M176</f>
        <v>0</v>
      </c>
      <c r="N176" s="55">
        <f t="shared" si="127"/>
        <v>0</v>
      </c>
      <c r="O176" s="41">
        <f>'[2]побудинковий звіт'!O176+'[1]побудинковий звіт'!O176</f>
        <v>0</v>
      </c>
      <c r="P176" s="41">
        <f>'[2]побудинковий звіт'!P176+'[1]побудинковий звіт'!P176</f>
        <v>0</v>
      </c>
      <c r="Q176" s="55">
        <f t="shared" si="128"/>
        <v>0</v>
      </c>
      <c r="R176" s="41">
        <f>'[2]побудинковий звіт'!R176+'[1]побудинковий звіт'!R176</f>
        <v>0</v>
      </c>
      <c r="S176" s="41">
        <f>'[2]побудинковий звіт'!S176+'[1]побудинковий звіт'!S176</f>
        <v>0</v>
      </c>
      <c r="T176" s="55">
        <f t="shared" si="129"/>
        <v>0</v>
      </c>
      <c r="U176" s="41">
        <f>'[2]побудинковий звіт'!U176+'[1]побудинковий звіт'!U176</f>
        <v>0</v>
      </c>
      <c r="V176" s="41">
        <f>'[2]побудинковий звіт'!V176+'[1]побудинковий звіт'!V176</f>
        <v>0</v>
      </c>
      <c r="W176" s="55">
        <f t="shared" si="130"/>
        <v>0</v>
      </c>
      <c r="X176" s="41">
        <f>'[2]побудинковий звіт'!X176+'[1]побудинковий звіт'!X176</f>
        <v>0</v>
      </c>
      <c r="Y176" s="41">
        <f>'[2]побудинковий звіт'!Y176+'[1]побудинковий звіт'!Y176</f>
        <v>0</v>
      </c>
      <c r="Z176" s="55">
        <f t="shared" si="131"/>
        <v>0</v>
      </c>
      <c r="AA176" s="41">
        <f>'[2]побудинковий звіт'!AA176+'[1]побудинковий звіт'!AA176</f>
        <v>0</v>
      </c>
      <c r="AB176" s="41">
        <f>'[2]побудинковий звіт'!AB176+'[1]побудинковий звіт'!AB176</f>
        <v>0</v>
      </c>
      <c r="AC176" s="55">
        <f t="shared" si="132"/>
        <v>0</v>
      </c>
      <c r="AD176" s="41">
        <f>'[2]побудинковий звіт'!AD176+'[1]побудинковий звіт'!AD176</f>
        <v>0</v>
      </c>
      <c r="AE176" s="41">
        <f>'[2]побудинковий звіт'!AE176+'[1]побудинковий звіт'!AE176</f>
        <v>0</v>
      </c>
      <c r="AF176" s="36">
        <f t="shared" si="133"/>
        <v>0</v>
      </c>
      <c r="AG176" s="84">
        <f t="shared" si="134"/>
        <v>0</v>
      </c>
      <c r="AH176" s="56">
        <f t="shared" si="135"/>
        <v>0</v>
      </c>
      <c r="AI176" s="55">
        <f t="shared" si="136"/>
        <v>0</v>
      </c>
      <c r="AJ176" s="41">
        <f>'[2]побудинковий звіт'!AJ176+'[1]побудинковий звіт'!AJ176</f>
        <v>0</v>
      </c>
      <c r="AK176" s="41">
        <f>'[2]побудинковий звіт'!AK176+'[1]побудинковий звіт'!AK176</f>
        <v>0</v>
      </c>
      <c r="AL176" s="55">
        <f t="shared" si="137"/>
        <v>0</v>
      </c>
      <c r="AM176" s="41">
        <f>'[2]побудинковий звіт'!AM176+'[1]побудинковий звіт'!AM176</f>
        <v>0</v>
      </c>
      <c r="AN176" s="41">
        <f>'[2]побудинковий звіт'!AN176+'[1]побудинковий звіт'!AN176</f>
        <v>0</v>
      </c>
      <c r="AO176" s="55">
        <f t="shared" si="138"/>
        <v>0</v>
      </c>
      <c r="AP176" s="41">
        <f>'[2]побудинковий звіт'!AP176+'[1]побудинковий звіт'!AP176</f>
        <v>223.45889070925321</v>
      </c>
      <c r="AQ176" s="41">
        <f>'[2]побудинковий звіт'!AQ176+'[1]побудинковий звіт'!AQ176</f>
        <v>93.650256154407487</v>
      </c>
      <c r="AR176" s="55">
        <f t="shared" si="139"/>
        <v>-129.80863455484572</v>
      </c>
      <c r="AS176" s="41">
        <f>'[2]побудинковий звіт'!AS176+'[1]побудинковий звіт'!AS176</f>
        <v>2674.5172708904483</v>
      </c>
      <c r="AT176" s="41">
        <f>'[2]побудинковий звіт'!AT176+'[1]побудинковий звіт'!AT176</f>
        <v>0</v>
      </c>
      <c r="AU176" s="57">
        <f t="shared" si="140"/>
        <v>-2674.5172708904483</v>
      </c>
      <c r="AV176" s="41">
        <f>'[2]побудинковий звіт'!AV176+'[1]побудинковий звіт'!AV176</f>
        <v>0</v>
      </c>
      <c r="AW176" s="41">
        <f>'[2]побудинковий звіт'!AW176+'[1]побудинковий звіт'!AW176</f>
        <v>0</v>
      </c>
      <c r="AX176" s="58">
        <f t="shared" si="141"/>
        <v>0</v>
      </c>
      <c r="AY176" s="41">
        <f>'[2]побудинковий звіт'!AY176+'[1]побудинковий звіт'!AY176</f>
        <v>0</v>
      </c>
      <c r="AZ176" s="41">
        <f>'[2]побудинковий звіт'!AZ176+'[1]побудинковий звіт'!AZ176</f>
        <v>0</v>
      </c>
      <c r="BA176" s="36">
        <f t="shared" si="142"/>
        <v>0</v>
      </c>
      <c r="BB176" s="41">
        <f>'[2]побудинковий звіт'!BB176+'[1]побудинковий звіт'!BB176</f>
        <v>0</v>
      </c>
      <c r="BC176" s="41">
        <f>'[2]побудинковий звіт'!BC176+'[1]побудинковий звіт'!BC176</f>
        <v>0</v>
      </c>
      <c r="BD176" s="58">
        <f t="shared" si="143"/>
        <v>0</v>
      </c>
      <c r="BE176" s="41">
        <f>'[2]побудинковий звіт'!BE176+'[1]побудинковий звіт'!BE176</f>
        <v>0</v>
      </c>
      <c r="BF176" s="41">
        <f>'[2]побудинковий звіт'!BF176+'[1]побудинковий звіт'!BF176</f>
        <v>0</v>
      </c>
      <c r="BG176" s="38">
        <f t="shared" si="144"/>
        <v>0</v>
      </c>
      <c r="BH176" s="41">
        <f>'[2]побудинковий звіт'!BH176+'[1]побудинковий звіт'!BH176</f>
        <v>0</v>
      </c>
      <c r="BI176" s="41">
        <f>'[2]побудинковий звіт'!BI176+'[1]побудинковий звіт'!BI176</f>
        <v>0</v>
      </c>
      <c r="BJ176" s="58">
        <f t="shared" si="145"/>
        <v>0</v>
      </c>
      <c r="BK176" s="41">
        <f>'[2]побудинковий звіт'!BK176+'[1]побудинковий звіт'!BK176</f>
        <v>0</v>
      </c>
      <c r="BL176" s="41">
        <f>'[2]побудинковий звіт'!BL176+'[1]побудинковий звіт'!BL176</f>
        <v>0</v>
      </c>
      <c r="BM176" s="38">
        <f t="shared" si="146"/>
        <v>0</v>
      </c>
      <c r="BN176" s="41">
        <f>'[2]побудинковий звіт'!BN176+'[1]побудинковий звіт'!BN176</f>
        <v>0</v>
      </c>
      <c r="BO176" s="41">
        <f>'[2]побудинковий звіт'!BO176+'[1]побудинковий звіт'!BO176</f>
        <v>0</v>
      </c>
      <c r="BP176" s="58">
        <f t="shared" si="147"/>
        <v>0</v>
      </c>
      <c r="BQ176" s="84">
        <f t="shared" si="148"/>
        <v>0</v>
      </c>
      <c r="BR176" s="42">
        <f t="shared" si="149"/>
        <v>0</v>
      </c>
      <c r="BS176" s="58">
        <f t="shared" si="150"/>
        <v>0</v>
      </c>
      <c r="BT176" s="41">
        <f>'[2]побудинковий звіт'!BT176+'[1]побудинковий звіт'!BT176</f>
        <v>971.54666394583558</v>
      </c>
      <c r="BU176" s="41">
        <f>'[2]побудинковий звіт'!BU176+'[1]побудинковий звіт'!BU176</f>
        <v>1977.73132754731</v>
      </c>
      <c r="BV176" s="55">
        <f t="shared" si="151"/>
        <v>1006.1846636014744</v>
      </c>
      <c r="BW176" s="41">
        <f>'[2]побудинковий звіт'!BW176+'[1]побудинковий звіт'!BW176</f>
        <v>0</v>
      </c>
      <c r="BX176" s="41">
        <f>'[2]побудинковий звіт'!BX176+'[1]побудинковий звіт'!BX176</f>
        <v>0.86045976879409136</v>
      </c>
      <c r="BY176" s="55">
        <f t="shared" si="152"/>
        <v>0.86045976879409136</v>
      </c>
      <c r="BZ176" s="41">
        <f>'[2]побудинковий звіт'!BZ176+'[1]побудинковий звіт'!BZ176</f>
        <v>190.98514828845214</v>
      </c>
      <c r="CA176" s="41">
        <f>'[2]побудинковий звіт'!CA176+'[1]побудинковий звіт'!CA176</f>
        <v>165.28420868947109</v>
      </c>
      <c r="CB176" s="55">
        <f t="shared" si="153"/>
        <v>-25.700939598981051</v>
      </c>
      <c r="CC176" s="41">
        <f>'[2]побудинковий звіт'!CC176+'[1]побудинковий звіт'!CC176</f>
        <v>0</v>
      </c>
      <c r="CD176" s="41">
        <f>'[2]побудинковий звіт'!CD176+'[1]побудинковий звіт'!CD176</f>
        <v>0</v>
      </c>
      <c r="CE176" s="55">
        <f t="shared" si="154"/>
        <v>0</v>
      </c>
      <c r="CF176" s="41">
        <f>'[2]побудинковий звіт'!CF176+'[1]побудинковий звіт'!CF176</f>
        <v>0</v>
      </c>
      <c r="CG176" s="41">
        <f>'[2]побудинковий звіт'!CG176+'[1]побудинковий звіт'!CG176</f>
        <v>0</v>
      </c>
      <c r="CH176" s="55">
        <f t="shared" si="155"/>
        <v>0</v>
      </c>
      <c r="CI176" s="41">
        <f>'[2]побудинковий звіт'!CI176+'[1]побудинковий звіт'!CI176</f>
        <v>0</v>
      </c>
      <c r="CJ176" s="41">
        <f>'[2]побудинковий звіт'!CJ176+'[1]побудинковий звіт'!CJ176</f>
        <v>0</v>
      </c>
      <c r="CK176" s="55">
        <f t="shared" si="156"/>
        <v>0</v>
      </c>
      <c r="CL176" s="41">
        <f>'[2]побудинковий звіт'!CL176+'[1]побудинковий звіт'!CL176</f>
        <v>0</v>
      </c>
      <c r="CM176" s="41">
        <f>'[2]побудинковий звіт'!CM176+'[1]побудинковий звіт'!CM176</f>
        <v>0</v>
      </c>
      <c r="CN176" s="55">
        <f t="shared" si="157"/>
        <v>0</v>
      </c>
      <c r="CO176" s="41">
        <f t="shared" si="158"/>
        <v>0</v>
      </c>
      <c r="CP176" s="42">
        <f t="shared" si="159"/>
        <v>0</v>
      </c>
      <c r="CQ176" s="55">
        <f t="shared" si="160"/>
        <v>0</v>
      </c>
      <c r="CR176" s="76">
        <f t="shared" si="161"/>
        <v>4060.5079738339891</v>
      </c>
      <c r="CS176" s="5">
        <f t="shared" si="162"/>
        <v>2237.5262521599825</v>
      </c>
      <c r="CT176" s="55">
        <f t="shared" si="163"/>
        <v>-1822.9817216740066</v>
      </c>
      <c r="CU176" s="84">
        <f t="shared" si="164"/>
        <v>4872.6095686007866</v>
      </c>
      <c r="CV176" s="68">
        <f t="shared" si="165"/>
        <v>2685.031502591979</v>
      </c>
      <c r="CW176" s="36">
        <f t="shared" si="166"/>
        <v>-2187.5780660088076</v>
      </c>
      <c r="CX176" s="41">
        <f>'[2]побудинковий звіт'!CX176+'[1]побудинковий звіт'!CX176</f>
        <v>146.41009232473505</v>
      </c>
      <c r="CY176" s="41">
        <f>'[2]побудинковий звіт'!CY176+'[1]побудинковий звіт'!CY176</f>
        <v>2333.9881583335418</v>
      </c>
      <c r="CZ176" s="55">
        <f t="shared" si="167"/>
        <v>2187.5780660088067</v>
      </c>
      <c r="DA176" s="254">
        <f>'[1]побудинковий звіт'!DA176</f>
        <v>-10422.373812106536</v>
      </c>
      <c r="DB176" s="2">
        <v>1</v>
      </c>
      <c r="DC176" s="702">
        <f>'[1]побудинковий звіт'!DC176</f>
        <v>545.78</v>
      </c>
      <c r="DD176" s="702">
        <f>'[1]побудинковий звіт'!DD176</f>
        <v>0</v>
      </c>
      <c r="DE176" s="702">
        <f>'[1]побудинковий звіт'!DE176</f>
        <v>0</v>
      </c>
      <c r="DF176" s="702">
        <f>'[1]побудинковий звіт'!DF176</f>
        <v>0</v>
      </c>
      <c r="DG176" s="772">
        <v>-5723.4017705669994</v>
      </c>
      <c r="DH176" s="746">
        <f t="shared" si="168"/>
        <v>60228.235931106261</v>
      </c>
      <c r="DI176" s="769"/>
      <c r="DJ176" s="5"/>
      <c r="DK176" s="307">
        <f>VLOOKUP($A176,ціни!$A$4:$G$401,5)</f>
        <v>1.8650399843337748</v>
      </c>
      <c r="DL176" s="307"/>
      <c r="DM176" s="307">
        <f>VLOOKUP($A176,ціни!$A$4:$G$401,7)</f>
        <v>1.8650399843337748</v>
      </c>
      <c r="DN176" s="29">
        <f>F176*DK176</f>
        <v>394.26945268816002</v>
      </c>
      <c r="DO176" s="29">
        <f>H176*DM176</f>
        <v>0</v>
      </c>
      <c r="DP176" s="306">
        <f t="shared" si="169"/>
        <v>394.26945268816002</v>
      </c>
      <c r="DQ176" s="101"/>
      <c r="DR176" s="29">
        <f>VLOOKUP(A176,'ДЗ нас '!$A$1:$C$359,2)</f>
        <v>394.26</v>
      </c>
      <c r="DS176" s="733"/>
      <c r="DT176" s="29">
        <f t="shared" si="170"/>
        <v>394.26</v>
      </c>
      <c r="DU176" s="247">
        <f>VLOOKUP(A176,'новий кошторис с 01.06'!$A$4:$AI$399,35)*1.2</f>
        <v>396.19271831102907</v>
      </c>
      <c r="DV176" s="29">
        <f t="shared" si="171"/>
        <v>-1.9327183110290775</v>
      </c>
      <c r="DW176" s="1016">
        <f>'[2]побудинковий звіт'!$DW$9+'[1]побудинковий звіт'!DW176</f>
        <v>918</v>
      </c>
      <c r="DX176" s="101">
        <f>'[1]побудинковий звіт'!DX176</f>
        <v>0</v>
      </c>
      <c r="DY176" s="5">
        <f t="shared" si="172"/>
        <v>3209.4207250685381</v>
      </c>
      <c r="DZ176" s="5">
        <f t="shared" si="173"/>
        <v>0</v>
      </c>
      <c r="EA176" s="737">
        <f t="shared" si="174"/>
        <v>0</v>
      </c>
      <c r="EC176" s="577">
        <f t="shared" si="175"/>
        <v>32094.20725068538</v>
      </c>
      <c r="EE176" s="743">
        <v>-2580</v>
      </c>
      <c r="EF176" s="723">
        <f t="shared" si="176"/>
        <v>-8303.4017705669994</v>
      </c>
      <c r="EH176" s="798">
        <v>-6162.739910991645</v>
      </c>
      <c r="EI176" s="101">
        <f>VLOOKUP(A176,'кошти 01.01.24'!$A$9:$D$352,4,FALSE)</f>
        <v>-8234.7957460977286</v>
      </c>
    </row>
    <row r="177" spans="1:139" ht="14.4" hidden="1" customHeight="1" x14ac:dyDescent="0.3">
      <c r="A177" s="318">
        <v>150001029</v>
      </c>
      <c r="B177" s="43" t="s">
        <v>608</v>
      </c>
      <c r="C177" s="44" t="s">
        <v>368</v>
      </c>
      <c r="D177" s="44" t="s">
        <v>368</v>
      </c>
      <c r="E177" s="39">
        <f t="shared" si="125"/>
        <v>7424.15</v>
      </c>
      <c r="F177" s="205">
        <f>'[1]побудинковий звіт'!F177</f>
        <v>7424.15</v>
      </c>
      <c r="G177" s="29">
        <f>'[1]побудинковий звіт'!G177</f>
        <v>926.05</v>
      </c>
      <c r="H177" s="148">
        <f>'[1]побудинковий звіт'!H177</f>
        <v>0</v>
      </c>
      <c r="I177" s="41">
        <f>'[2]побудинковий звіт'!I177+'[1]побудинковий звіт'!I177</f>
        <v>21057.252723939553</v>
      </c>
      <c r="J177" s="41">
        <f>'[2]побудинковий звіт'!J177+'[1]побудинковий звіт'!J177</f>
        <v>16579.464805795422</v>
      </c>
      <c r="K177" s="55">
        <f t="shared" si="126"/>
        <v>-4477.7879181441313</v>
      </c>
      <c r="L177" s="41">
        <f>'[2]побудинковий звіт'!L177+'[1]побудинковий звіт'!L177</f>
        <v>3668.5869318662903</v>
      </c>
      <c r="M177" s="41">
        <f>'[2]побудинковий звіт'!M177+'[1]побудинковий звіт'!M177</f>
        <v>3126.9697215504752</v>
      </c>
      <c r="N177" s="55">
        <f t="shared" si="127"/>
        <v>-541.6172103158151</v>
      </c>
      <c r="O177" s="41">
        <f>'[2]побудинковий звіт'!O177+'[1]побудинковий звіт'!O177</f>
        <v>13287.688653688761</v>
      </c>
      <c r="P177" s="41">
        <f>'[2]побудинковий звіт'!P177+'[1]побудинковий звіт'!P177</f>
        <v>13325.427354760102</v>
      </c>
      <c r="Q177" s="55">
        <f t="shared" si="128"/>
        <v>37.738701071340984</v>
      </c>
      <c r="R177" s="41">
        <f>'[2]побудинковий звіт'!R177+'[1]побудинковий звіт'!R177</f>
        <v>2472.2115867111311</v>
      </c>
      <c r="S177" s="41">
        <f>'[2]побудинковий звіт'!S177+'[1]побудинковий звіт'!S177</f>
        <v>2478.9978105731202</v>
      </c>
      <c r="T177" s="55">
        <f t="shared" si="129"/>
        <v>6.7862238619891286</v>
      </c>
      <c r="U177" s="41">
        <f>'[2]побудинковий звіт'!U177+'[1]побудинковий звіт'!U177</f>
        <v>3190.6743425778382</v>
      </c>
      <c r="V177" s="41">
        <f>'[2]побудинковий звіт'!V177+'[1]побудинковий звіт'!V177</f>
        <v>1251.5340541658622</v>
      </c>
      <c r="W177" s="55">
        <f t="shared" si="130"/>
        <v>-1939.1402884119759</v>
      </c>
      <c r="X177" s="41">
        <f>'[2]побудинковий звіт'!X177+'[1]побудинковий звіт'!X177</f>
        <v>15339.184669481743</v>
      </c>
      <c r="Y177" s="41">
        <f>'[2]побудинковий звіт'!Y177+'[1]побудинковий звіт'!Y177</f>
        <v>13341.434860060222</v>
      </c>
      <c r="Z177" s="55">
        <f t="shared" si="131"/>
        <v>-1997.7498094215207</v>
      </c>
      <c r="AA177" s="41">
        <f>'[2]побудинковий звіт'!AA177+'[1]побудинковий звіт'!AA177</f>
        <v>0</v>
      </c>
      <c r="AB177" s="41">
        <f>'[2]побудинковий звіт'!AB177+'[1]побудинковий звіт'!AB177</f>
        <v>0</v>
      </c>
      <c r="AC177" s="55">
        <f t="shared" si="132"/>
        <v>0</v>
      </c>
      <c r="AD177" s="41">
        <f>'[2]побудинковий звіт'!AD177+'[1]побудинковий звіт'!AD177</f>
        <v>32204.274985980039</v>
      </c>
      <c r="AE177" s="41">
        <f>'[2]побудинковий звіт'!AE177+'[1]побудинковий звіт'!AE177</f>
        <v>32078.894026897618</v>
      </c>
      <c r="AF177" s="36">
        <f t="shared" si="133"/>
        <v>-125.3809590824203</v>
      </c>
      <c r="AG177" s="84">
        <f t="shared" si="134"/>
        <v>91219.873894245364</v>
      </c>
      <c r="AH177" s="56">
        <f t="shared" si="135"/>
        <v>82182.722633802827</v>
      </c>
      <c r="AI177" s="55">
        <f t="shared" si="136"/>
        <v>-9037.151260442537</v>
      </c>
      <c r="AJ177" s="41">
        <f>'[2]побудинковий звіт'!AJ177+'[1]побудинковий звіт'!AJ177</f>
        <v>75318.360279364264</v>
      </c>
      <c r="AK177" s="41">
        <f>'[2]побудинковий звіт'!AK177+'[1]побудинковий звіт'!AK177</f>
        <v>70722.619159767724</v>
      </c>
      <c r="AL177" s="55">
        <f t="shared" si="137"/>
        <v>-4595.7411195965396</v>
      </c>
      <c r="AM177" s="41">
        <f>'[2]побудинковий звіт'!AM177+'[1]побудинковий звіт'!AM177</f>
        <v>302.92842272642292</v>
      </c>
      <c r="AN177" s="41">
        <f>'[2]побудинковий звіт'!AN177+'[1]побудинковий звіт'!AN177</f>
        <v>1578.4179747841836</v>
      </c>
      <c r="AO177" s="55">
        <f t="shared" si="138"/>
        <v>1275.4895520577606</v>
      </c>
      <c r="AP177" s="41">
        <f>'[2]побудинковий звіт'!AP177+'[1]побудинковий звіт'!AP177</f>
        <v>5943.5876574312242</v>
      </c>
      <c r="AQ177" s="41">
        <f>'[2]побудинковий звіт'!AQ177+'[1]побудинковий звіт'!AQ177</f>
        <v>5559.4355932451099</v>
      </c>
      <c r="AR177" s="55">
        <f t="shared" si="139"/>
        <v>-384.15206418611433</v>
      </c>
      <c r="AS177" s="41">
        <f>'[2]побудинковий звіт'!AS177+'[1]побудинковий звіт'!AS177</f>
        <v>138050.88740944868</v>
      </c>
      <c r="AT177" s="41">
        <f>'[2]побудинковий звіт'!AT177+'[1]побудинковий звіт'!AT177</f>
        <v>52357.444488200512</v>
      </c>
      <c r="AU177" s="57">
        <f t="shared" si="140"/>
        <v>-85693.442921248177</v>
      </c>
      <c r="AV177" s="41">
        <f>'[2]побудинковий звіт'!AV177+'[1]побудинковий звіт'!AV177</f>
        <v>1817.6678340761819</v>
      </c>
      <c r="AW177" s="41">
        <f>'[2]побудинковий звіт'!AW177+'[1]побудинковий звіт'!AW177</f>
        <v>16019.39464425233</v>
      </c>
      <c r="AX177" s="58">
        <f t="shared" si="141"/>
        <v>14201.726810176147</v>
      </c>
      <c r="AY177" s="41">
        <f>'[2]побудинковий звіт'!AY177+'[1]побудинковий звіт'!AY177</f>
        <v>2363.0614367442504</v>
      </c>
      <c r="AZ177" s="41">
        <f>'[2]побудинковий звіт'!AZ177+'[1]побудинковий звіт'!AZ177</f>
        <v>7856.4194348167239</v>
      </c>
      <c r="BA177" s="36">
        <f t="shared" si="142"/>
        <v>5493.3579980724735</v>
      </c>
      <c r="BB177" s="41">
        <f>'[2]побудинковий звіт'!BB177+'[1]побудинковий звіт'!BB177</f>
        <v>2777.8795257043721</v>
      </c>
      <c r="BC177" s="41">
        <f>'[2]побудинковий звіт'!BC177+'[1]побудинковий звіт'!BC177</f>
        <v>0</v>
      </c>
      <c r="BD177" s="58">
        <f t="shared" si="143"/>
        <v>-2777.8795257043721</v>
      </c>
      <c r="BE177" s="41">
        <f>'[2]побудинковий звіт'!BE177+'[1]побудинковий звіт'!BE177</f>
        <v>1087.3021610903986</v>
      </c>
      <c r="BF177" s="41">
        <f>'[2]побудинковий звіт'!BF177+'[1]побудинковий звіт'!BF177</f>
        <v>0</v>
      </c>
      <c r="BG177" s="38">
        <f t="shared" si="144"/>
        <v>-1087.3021610903986</v>
      </c>
      <c r="BH177" s="41">
        <f>'[2]побудинковий звіт'!BH177+'[1]побудинковий звіт'!BH177</f>
        <v>1641.6389335779586</v>
      </c>
      <c r="BI177" s="41">
        <f>'[2]побудинковий звіт'!BI177+'[1]побудинковий звіт'!BI177</f>
        <v>0</v>
      </c>
      <c r="BJ177" s="58">
        <f t="shared" si="145"/>
        <v>-1641.6389335779586</v>
      </c>
      <c r="BK177" s="41">
        <f>'[2]побудинковий звіт'!BK177+'[1]побудинковий звіт'!BK177</f>
        <v>2108.7249381820639</v>
      </c>
      <c r="BL177" s="41">
        <f>'[2]побудинковий звіт'!BL177+'[1]побудинковий звіт'!BL177</f>
        <v>6543.0641367203325</v>
      </c>
      <c r="BM177" s="38">
        <f t="shared" si="146"/>
        <v>4434.3391985382686</v>
      </c>
      <c r="BN177" s="41">
        <f>'[2]побудинковий звіт'!BN177+'[1]побудинковий звіт'!BN177</f>
        <v>859.38125169569196</v>
      </c>
      <c r="BO177" s="41">
        <f>'[2]побудинковий звіт'!BO177+'[1]побудинковий звіт'!BO177</f>
        <v>13495.202156525</v>
      </c>
      <c r="BP177" s="58">
        <f t="shared" si="147"/>
        <v>12635.820904829308</v>
      </c>
      <c r="BQ177" s="84">
        <f t="shared" si="148"/>
        <v>12655.656081070916</v>
      </c>
      <c r="BR177" s="42">
        <f t="shared" si="149"/>
        <v>43914.080372314384</v>
      </c>
      <c r="BS177" s="58">
        <f t="shared" si="150"/>
        <v>31258.424291243467</v>
      </c>
      <c r="BT177" s="41">
        <f>'[2]побудинковий звіт'!BT177+'[1]побудинковий звіт'!BT177</f>
        <v>116871.17682893472</v>
      </c>
      <c r="BU177" s="41">
        <f>'[2]побудинковий звіт'!BU177+'[1]побудинковий звіт'!BU177</f>
        <v>180004.6835743358</v>
      </c>
      <c r="BV177" s="55">
        <f t="shared" si="151"/>
        <v>63133.506745401071</v>
      </c>
      <c r="BW177" s="41">
        <f>'[2]побудинковий звіт'!BW177+'[1]побудинковий звіт'!BW177</f>
        <v>45247.690667600153</v>
      </c>
      <c r="BX177" s="41">
        <f>'[2]побудинковий звіт'!BX177+'[1]побудинковий звіт'!BX177</f>
        <v>56085.549667571999</v>
      </c>
      <c r="BY177" s="55">
        <f t="shared" si="152"/>
        <v>10837.858999971846</v>
      </c>
      <c r="BZ177" s="41">
        <f>'[2]побудинковий звіт'!BZ177+'[1]побудинковий звіт'!BZ177</f>
        <v>42971.433605069607</v>
      </c>
      <c r="CA177" s="41">
        <f>'[2]побудинковий звіт'!CA177+'[1]побудинковий звіт'!CA177</f>
        <v>16267.532172384452</v>
      </c>
      <c r="CB177" s="55">
        <f t="shared" si="153"/>
        <v>-26703.901432685154</v>
      </c>
      <c r="CC177" s="41">
        <f>'[2]побудинковий звіт'!CC177+'[1]побудинковий звіт'!CC177</f>
        <v>2291.3935099847768</v>
      </c>
      <c r="CD177" s="41">
        <f>'[2]побудинковий звіт'!CD177+'[1]побудинковий звіт'!CD177</f>
        <v>2299.1633697866941</v>
      </c>
      <c r="CE177" s="55">
        <f t="shared" si="154"/>
        <v>7.7698598019173915</v>
      </c>
      <c r="CF177" s="41">
        <f>'[2]побудинковий звіт'!CF177+'[1]побудинковий звіт'!CF177</f>
        <v>283.89147670626392</v>
      </c>
      <c r="CG177" s="41">
        <f>'[2]побудинковий звіт'!CG177+'[1]побудинковий звіт'!CG177</f>
        <v>0</v>
      </c>
      <c r="CH177" s="55">
        <f t="shared" si="155"/>
        <v>-283.89147670626392</v>
      </c>
      <c r="CI177" s="41">
        <f>'[2]побудинковий звіт'!CI177+'[1]побудинковий звіт'!CI177</f>
        <v>25603.969138206281</v>
      </c>
      <c r="CJ177" s="41">
        <f>'[2]побудинковий звіт'!CJ177+'[1]побудинковий звіт'!CJ177</f>
        <v>17693.230179418173</v>
      </c>
      <c r="CK177" s="55">
        <f t="shared" si="156"/>
        <v>-7910.738958788108</v>
      </c>
      <c r="CL177" s="41">
        <f>'[2]побудинковий звіт'!CL177+'[1]побудинковий звіт'!CL177</f>
        <v>13366.491019365159</v>
      </c>
      <c r="CM177" s="41">
        <f>'[2]побудинковий звіт'!CM177+'[1]побудинковий звіт'!CM177</f>
        <v>22321.855175887682</v>
      </c>
      <c r="CN177" s="55">
        <f t="shared" si="157"/>
        <v>8955.3641565225225</v>
      </c>
      <c r="CO177" s="41">
        <f t="shared" si="158"/>
        <v>38970.460157571441</v>
      </c>
      <c r="CP177" s="42">
        <f t="shared" si="159"/>
        <v>40015.085355305855</v>
      </c>
      <c r="CQ177" s="55">
        <f t="shared" si="160"/>
        <v>1044.6251977344145</v>
      </c>
      <c r="CR177" s="76">
        <f t="shared" si="161"/>
        <v>570127.33999015391</v>
      </c>
      <c r="CS177" s="5">
        <f t="shared" si="162"/>
        <v>550986.73436149955</v>
      </c>
      <c r="CT177" s="55">
        <f t="shared" si="163"/>
        <v>-19140.605628654361</v>
      </c>
      <c r="CU177" s="84">
        <f t="shared" si="164"/>
        <v>684152.80798818462</v>
      </c>
      <c r="CV177" s="68">
        <f t="shared" si="165"/>
        <v>661184.08123379946</v>
      </c>
      <c r="CW177" s="36">
        <f t="shared" si="166"/>
        <v>-22968.726754385163</v>
      </c>
      <c r="CX177" s="41">
        <f>'[2]побудинковий звіт'!CX177+'[1]побудинковий звіт'!CX177</f>
        <v>20528.762645374369</v>
      </c>
      <c r="CY177" s="41">
        <f>'[2]побудинковий звіт'!CY177+'[1]побудинковий звіт'!CY177</f>
        <v>43497.489399759514</v>
      </c>
      <c r="CZ177" s="55">
        <f t="shared" si="167"/>
        <v>22968.726754385145</v>
      </c>
      <c r="DA177" s="254">
        <f>'[1]побудинковий звіт'!DA177</f>
        <v>-23750.104552575278</v>
      </c>
      <c r="DB177" s="2">
        <v>1</v>
      </c>
      <c r="DC177" s="702">
        <f>'[1]побудинковий звіт'!DC177</f>
        <v>153518.76999999999</v>
      </c>
      <c r="DD177" s="702">
        <f>'[1]побудинковий звіт'!DD177</f>
        <v>0</v>
      </c>
      <c r="DE177" s="702">
        <f>'[1]побудинковий звіт'!DE177</f>
        <v>76711.649999999994</v>
      </c>
      <c r="DF177" s="702">
        <f>'[1]побудинковий звіт'!DF177</f>
        <v>0</v>
      </c>
      <c r="DG177" s="772">
        <v>-9605.9169250538107</v>
      </c>
      <c r="DH177" s="746">
        <f t="shared" si="168"/>
        <v>8456178.8476027083</v>
      </c>
      <c r="DI177" s="769"/>
      <c r="DJ177" s="5"/>
      <c r="DK177" s="307">
        <f>VLOOKUP($A177,ціни!$A$4:$G$401,5)</f>
        <v>6.3200055743525345</v>
      </c>
      <c r="DL177" s="307">
        <f>VLOOKUP($A177,ціни!$A$4:$G$401,6)</f>
        <v>7.6075024938781581</v>
      </c>
      <c r="DM177" s="307">
        <f>VLOOKUP($A177,ціни!$A$4:$G$401,7)</f>
        <v>5.7199924102816881</v>
      </c>
      <c r="DN177" s="29">
        <f>DK177*G177+(F177-G177)*DL177</f>
        <v>55286.953117598816</v>
      </c>
      <c r="DO177" s="29">
        <f>DM177*H177</f>
        <v>0</v>
      </c>
      <c r="DP177" s="306">
        <f t="shared" si="169"/>
        <v>55286.953117598816</v>
      </c>
      <c r="DQ177" s="101"/>
      <c r="DR177" s="29">
        <f>VLOOKUP(A177,'ДЗ нас '!$A$1:$C$359,2)</f>
        <v>55290.32</v>
      </c>
      <c r="DS177" s="733"/>
      <c r="DT177" s="29">
        <f t="shared" si="170"/>
        <v>55290.32</v>
      </c>
      <c r="DU177" s="247">
        <f>VLOOKUP(A177,'новий кошторис с 01.06'!$A$4:$AI$399,35)*1.2</f>
        <v>55563.907953480055</v>
      </c>
      <c r="DV177" s="29">
        <f t="shared" si="171"/>
        <v>-273.58795348005515</v>
      </c>
      <c r="DW177" s="1016">
        <f>'[2]побудинковий звіт'!$DW$9+'[1]побудинковий звіт'!DW177</f>
        <v>1044</v>
      </c>
      <c r="DX177" s="101">
        <f>'[1]побудинковий звіт'!DX177</f>
        <v>0</v>
      </c>
      <c r="DY177" s="5">
        <f t="shared" si="172"/>
        <v>180847.85218862351</v>
      </c>
      <c r="DZ177" s="5">
        <f t="shared" si="173"/>
        <v>115525.82983261788</v>
      </c>
      <c r="EA177" s="737">
        <f t="shared" si="174"/>
        <v>76711.649999999994</v>
      </c>
      <c r="EC177" s="577">
        <f t="shared" si="175"/>
        <v>1656610.6489133842</v>
      </c>
      <c r="EE177" s="743">
        <v>-13294</v>
      </c>
      <c r="EF177" s="723">
        <f t="shared" si="176"/>
        <v>-22899.916925053811</v>
      </c>
      <c r="EH177" s="798">
        <v>30549.220052319804</v>
      </c>
      <c r="EI177" s="101">
        <f>VLOOKUP(A177,'кошти 01.01.24'!$A$9:$D$352,4,FALSE)</f>
        <v>-781.37779819007119</v>
      </c>
    </row>
    <row r="178" spans="1:139" hidden="1" x14ac:dyDescent="0.3">
      <c r="A178" s="318">
        <v>150001030</v>
      </c>
      <c r="B178" s="43" t="s">
        <v>609</v>
      </c>
      <c r="C178" s="44" t="s">
        <v>335</v>
      </c>
      <c r="D178" s="44" t="s">
        <v>335</v>
      </c>
      <c r="E178" s="39">
        <f t="shared" si="125"/>
        <v>6127.15</v>
      </c>
      <c r="F178" s="205">
        <f>'[1]побудинковий звіт'!F178</f>
        <v>6127.15</v>
      </c>
      <c r="G178" s="29">
        <f>'[1]побудинковий звіт'!G178</f>
        <v>715.15</v>
      </c>
      <c r="H178" s="148">
        <f>'[1]побудинковий звіт'!H178</f>
        <v>0</v>
      </c>
      <c r="I178" s="41">
        <f>'[2]побудинковий звіт'!I178+'[1]побудинковий звіт'!I178</f>
        <v>10499.635820152504</v>
      </c>
      <c r="J178" s="41">
        <f>'[2]побудинковий звіт'!J178+'[1]побудинковий звіт'!J178</f>
        <v>8399.4290868109711</v>
      </c>
      <c r="K178" s="55">
        <f t="shared" si="126"/>
        <v>-2100.2067333415325</v>
      </c>
      <c r="L178" s="41">
        <f>'[2]побудинковий звіт'!L178+'[1]побудинковий звіт'!L178</f>
        <v>2906.9896752855516</v>
      </c>
      <c r="M178" s="41">
        <f>'[2]побудинковий звіт'!M178+'[1]побудинковий звіт'!M178</f>
        <v>2508.0661728762366</v>
      </c>
      <c r="N178" s="55">
        <f t="shared" si="127"/>
        <v>-398.92350240931501</v>
      </c>
      <c r="O178" s="41">
        <f>'[2]побудинковий звіт'!O178+'[1]побудинковий звіт'!O178</f>
        <v>10054.158568536857</v>
      </c>
      <c r="P178" s="41">
        <f>'[2]побудинковий звіт'!P178+'[1]побудинковий звіт'!P178</f>
        <v>10082.646387933535</v>
      </c>
      <c r="Q178" s="55">
        <f t="shared" si="128"/>
        <v>28.487819396677878</v>
      </c>
      <c r="R178" s="41">
        <f>'[2]побудинковий звіт'!R178+'[1]побудинковий звіт'!R178</f>
        <v>2049.6836798227387</v>
      </c>
      <c r="S178" s="41">
        <f>'[2]побудинковий звіт'!S178+'[1]побудинковий звіт'!S178</f>
        <v>2055.4928208660408</v>
      </c>
      <c r="T178" s="55">
        <f t="shared" si="129"/>
        <v>5.8091410433021338</v>
      </c>
      <c r="U178" s="41">
        <f>'[2]побудинковий звіт'!U178+'[1]побудинковий звіт'!U178</f>
        <v>1146.0563531963378</v>
      </c>
      <c r="V178" s="41">
        <f>'[2]побудинковий звіт'!V178+'[1]побудинковий звіт'!V178</f>
        <v>523.61679313850186</v>
      </c>
      <c r="W178" s="55">
        <f t="shared" si="130"/>
        <v>-622.43956005783593</v>
      </c>
      <c r="X178" s="41">
        <f>'[2]побудинковий звіт'!X178+'[1]побудинковий звіт'!X178</f>
        <v>12786.870524729962</v>
      </c>
      <c r="Y178" s="41">
        <f>'[2]побудинковий звіт'!Y178+'[1]побудинковий звіт'!Y178</f>
        <v>9463.6571407933297</v>
      </c>
      <c r="Z178" s="55">
        <f t="shared" si="131"/>
        <v>-3323.2133839366325</v>
      </c>
      <c r="AA178" s="41">
        <f>'[2]побудинковий звіт'!AA178+'[1]побудинковий звіт'!AA178</f>
        <v>0</v>
      </c>
      <c r="AB178" s="41">
        <f>'[2]побудинковий звіт'!AB178+'[1]побудинковий звіт'!AB178</f>
        <v>0</v>
      </c>
      <c r="AC178" s="55">
        <f t="shared" si="132"/>
        <v>0</v>
      </c>
      <c r="AD178" s="41">
        <f>'[2]побудинковий звіт'!AD178+'[1]побудинковий звіт'!AD178</f>
        <v>26570.323870820517</v>
      </c>
      <c r="AE178" s="41">
        <f>'[2]побудинковий звіт'!AE178+'[1]побудинковий звіт'!AE178</f>
        <v>26467.17602246262</v>
      </c>
      <c r="AF178" s="36">
        <f t="shared" si="133"/>
        <v>-103.1478483578976</v>
      </c>
      <c r="AG178" s="84">
        <f t="shared" si="134"/>
        <v>66013.71849254446</v>
      </c>
      <c r="AH178" s="56">
        <f t="shared" si="135"/>
        <v>59500.084424881235</v>
      </c>
      <c r="AI178" s="55">
        <f t="shared" si="136"/>
        <v>-6513.6340676632244</v>
      </c>
      <c r="AJ178" s="41">
        <f>'[2]побудинковий звіт'!AJ178+'[1]побудинковий звіт'!AJ178</f>
        <v>78307.341275031547</v>
      </c>
      <c r="AK178" s="41">
        <f>'[2]побудинковий звіт'!AK178+'[1]побудинковий звіт'!AK178</f>
        <v>74270.48056468289</v>
      </c>
      <c r="AL178" s="55">
        <f t="shared" si="137"/>
        <v>-4036.8607103486574</v>
      </c>
      <c r="AM178" s="41">
        <f>'[2]побудинковий звіт'!AM178+'[1]побудинковий звіт'!AM178</f>
        <v>302.92842272642292</v>
      </c>
      <c r="AN178" s="41">
        <f>'[2]побудинковий звіт'!AN178+'[1]побудинковий звіт'!AN178</f>
        <v>791.6298987590842</v>
      </c>
      <c r="AO178" s="55">
        <f t="shared" si="138"/>
        <v>488.70147603266128</v>
      </c>
      <c r="AP178" s="41">
        <f>'[2]побудинковий звіт'!AP178+'[1]побудинковий звіт'!AP178</f>
        <v>5052.0495088165389</v>
      </c>
      <c r="AQ178" s="41">
        <f>'[2]побудинковий звіт'!AQ178+'[1]побудинковий звіт'!AQ178</f>
        <v>4674.1600849877632</v>
      </c>
      <c r="AR178" s="55">
        <f t="shared" si="139"/>
        <v>-377.88942382877576</v>
      </c>
      <c r="AS178" s="41">
        <f>'[2]побудинковий звіт'!AS178+'[1]побудинковий звіт'!AS178</f>
        <v>120423.76956838722</v>
      </c>
      <c r="AT178" s="41">
        <f>'[2]побудинковий звіт'!AT178+'[1]побудинковий звіт'!AT178</f>
        <v>15049.396075717841</v>
      </c>
      <c r="AU178" s="57">
        <f t="shared" si="140"/>
        <v>-105374.37349266937</v>
      </c>
      <c r="AV178" s="41">
        <f>'[2]побудинковий звіт'!AV178+'[1]побудинковий звіт'!AV178</f>
        <v>541.66090352503602</v>
      </c>
      <c r="AW178" s="41">
        <f>'[2]побудинковий звіт'!AW178+'[1]побудинковий звіт'!AW178</f>
        <v>963.17910696155377</v>
      </c>
      <c r="AX178" s="58">
        <f t="shared" si="141"/>
        <v>421.51820343651775</v>
      </c>
      <c r="AY178" s="41">
        <f>'[2]побудинковий звіт'!AY178+'[1]побудинковий звіт'!AY178</f>
        <v>768.81764742256996</v>
      </c>
      <c r="AZ178" s="41">
        <f>'[2]побудинковий звіт'!AZ178+'[1]побудинковий звіт'!AZ178</f>
        <v>2429.0748794864367</v>
      </c>
      <c r="BA178" s="36">
        <f t="shared" si="142"/>
        <v>1660.2572320638667</v>
      </c>
      <c r="BB178" s="41">
        <f>'[2]побудинковий звіт'!BB178+'[1]побудинковий звіт'!BB178</f>
        <v>474.05728405624905</v>
      </c>
      <c r="BC178" s="41">
        <f>'[2]побудинковий звіт'!BC178+'[1]побудинковий звіт'!BC178</f>
        <v>0</v>
      </c>
      <c r="BD178" s="58">
        <f t="shared" si="143"/>
        <v>-474.05728405624905</v>
      </c>
      <c r="BE178" s="41">
        <f>'[2]побудинковий звіт'!BE178+'[1]побудинковий звіт'!BE178</f>
        <v>396.60853349741751</v>
      </c>
      <c r="BF178" s="41">
        <f>'[2]побудинковий звіт'!BF178+'[1]побудинковий звіт'!BF178</f>
        <v>0</v>
      </c>
      <c r="BG178" s="38">
        <f t="shared" si="144"/>
        <v>-396.60853349741751</v>
      </c>
      <c r="BH178" s="41">
        <f>'[2]побудинковий звіт'!BH178+'[1]побудинковий звіт'!BH178</f>
        <v>367.58338445124895</v>
      </c>
      <c r="BI178" s="41">
        <f>'[2]побудинковий звіт'!BI178+'[1]побудинковий звіт'!BI178</f>
        <v>0</v>
      </c>
      <c r="BJ178" s="58">
        <f t="shared" si="145"/>
        <v>-367.58338445124895</v>
      </c>
      <c r="BK178" s="41">
        <f>'[2]побудинковий звіт'!BK178+'[1]побудинковий звіт'!BK178</f>
        <v>549.97794278489812</v>
      </c>
      <c r="BL178" s="41">
        <f>'[2]побудинковий звіт'!BL178+'[1]побудинковий звіт'!BL178</f>
        <v>1280.8526342823393</v>
      </c>
      <c r="BM178" s="38">
        <f t="shared" si="146"/>
        <v>730.87469149744118</v>
      </c>
      <c r="BN178" s="41">
        <f>'[2]побудинковий звіт'!BN178+'[1]побудинковий звіт'!BN178</f>
        <v>1068.5255346512038</v>
      </c>
      <c r="BO178" s="41">
        <f>'[2]побудинковий звіт'!BO178+'[1]побудинковий звіт'!BO178</f>
        <v>15474.132004325</v>
      </c>
      <c r="BP178" s="58">
        <f t="shared" si="147"/>
        <v>14405.606469673796</v>
      </c>
      <c r="BQ178" s="84">
        <f t="shared" si="148"/>
        <v>4167.2312303886238</v>
      </c>
      <c r="BR178" s="42">
        <f t="shared" si="149"/>
        <v>20147.238625055332</v>
      </c>
      <c r="BS178" s="58">
        <f t="shared" si="150"/>
        <v>15980.007394666707</v>
      </c>
      <c r="BT178" s="41">
        <f>'[2]побудинковий звіт'!BT178+'[1]побудинковий звіт'!BT178</f>
        <v>90782.047386659469</v>
      </c>
      <c r="BU178" s="41">
        <f>'[2]побудинковий звіт'!BU178+'[1]побудинковий звіт'!BU178</f>
        <v>122082.98075050188</v>
      </c>
      <c r="BV178" s="55">
        <f t="shared" si="151"/>
        <v>31300.933363842414</v>
      </c>
      <c r="BW178" s="41">
        <f>'[2]побудинковий звіт'!BW178+'[1]побудинковий звіт'!BW178</f>
        <v>39919.844065495272</v>
      </c>
      <c r="BX178" s="41">
        <f>'[2]побудинковий звіт'!BX178+'[1]побудинковий звіт'!BX178</f>
        <v>52824.632503754874</v>
      </c>
      <c r="BY178" s="55">
        <f t="shared" si="152"/>
        <v>12904.788438259602</v>
      </c>
      <c r="BZ178" s="41">
        <f>'[2]побудинковий звіт'!BZ178+'[1]побудинковий звіт'!BZ178</f>
        <v>14152.312768485177</v>
      </c>
      <c r="CA178" s="41">
        <f>'[2]побудинковий звіт'!CA178+'[1]побудинковий звіт'!CA178</f>
        <v>10889.222021680242</v>
      </c>
      <c r="CB178" s="55">
        <f t="shared" si="153"/>
        <v>-3263.0907468049354</v>
      </c>
      <c r="CC178" s="41">
        <f>'[2]побудинковий звіт'!CC178+'[1]побудинковий звіт'!CC178</f>
        <v>2564.9927350575863</v>
      </c>
      <c r="CD178" s="41">
        <f>'[2]побудинковий звіт'!CD178+'[1]побудинковий звіт'!CD178</f>
        <v>2573.6903393134635</v>
      </c>
      <c r="CE178" s="55">
        <f t="shared" si="154"/>
        <v>8.6976042558771951</v>
      </c>
      <c r="CF178" s="41">
        <f>'[2]побудинковий звіт'!CF178+'[1]побудинковий звіт'!CF178</f>
        <v>317.78896646223575</v>
      </c>
      <c r="CG178" s="41">
        <f>'[2]побудинковий звіт'!CG178+'[1]побудинковий звіт'!CG178</f>
        <v>1308.1645554983111</v>
      </c>
      <c r="CH178" s="55">
        <f t="shared" si="155"/>
        <v>990.37558903607533</v>
      </c>
      <c r="CI178" s="41">
        <f>'[2]побудинковий звіт'!CI178+'[1]побудинковий звіт'!CI178</f>
        <v>14057.791109275393</v>
      </c>
      <c r="CJ178" s="41">
        <f>'[2]побудинковий звіт'!CJ178+'[1]побудинковий звіт'!CJ178</f>
        <v>0</v>
      </c>
      <c r="CK178" s="55">
        <f t="shared" si="156"/>
        <v>-14057.791109275393</v>
      </c>
      <c r="CL178" s="41">
        <f>'[2]побудинковий звіт'!CL178+'[1]побудинковий звіт'!CL178</f>
        <v>13395.848801968699</v>
      </c>
      <c r="CM178" s="41">
        <f>'[2]побудинковий звіт'!CM178+'[1]побудинковий звіт'!CM178</f>
        <v>20007.167398085883</v>
      </c>
      <c r="CN178" s="55">
        <f t="shared" si="157"/>
        <v>6611.3185961171839</v>
      </c>
      <c r="CO178" s="41">
        <f t="shared" si="158"/>
        <v>27453.639911244092</v>
      </c>
      <c r="CP178" s="42">
        <f t="shared" si="159"/>
        <v>20007.167398085883</v>
      </c>
      <c r="CQ178" s="55">
        <f t="shared" si="160"/>
        <v>-7446.472513158209</v>
      </c>
      <c r="CR178" s="76">
        <f t="shared" si="161"/>
        <v>449457.66433129861</v>
      </c>
      <c r="CS178" s="5">
        <f t="shared" si="162"/>
        <v>384118.84724291874</v>
      </c>
      <c r="CT178" s="55">
        <f t="shared" si="163"/>
        <v>-65338.817088379874</v>
      </c>
      <c r="CU178" s="84">
        <f t="shared" si="164"/>
        <v>539349.19719755836</v>
      </c>
      <c r="CV178" s="68">
        <f t="shared" si="165"/>
        <v>460942.61669150245</v>
      </c>
      <c r="CW178" s="36">
        <f t="shared" si="166"/>
        <v>-78406.580506055907</v>
      </c>
      <c r="CX178" s="41">
        <f>'[2]побудинковий звіт'!CX178+'[1]побудинковий звіт'!CX178</f>
        <v>12064.412486421506</v>
      </c>
      <c r="CY178" s="41">
        <f>'[2]побудинковий звіт'!CY178+'[1]побудинковий звіт'!CY178</f>
        <v>90470.992992477361</v>
      </c>
      <c r="CZ178" s="55">
        <f t="shared" si="167"/>
        <v>78406.580506055849</v>
      </c>
      <c r="DA178" s="254">
        <f>'[1]побудинковий звіт'!DA178</f>
        <v>-62712.2287538253</v>
      </c>
      <c r="DB178" s="2">
        <v>1</v>
      </c>
      <c r="DC178" s="702">
        <f>'[1]побудинковий звіт'!DC178</f>
        <v>90718.9</v>
      </c>
      <c r="DD178" s="702">
        <f>'[1]побудинковий звіт'!DD178</f>
        <v>0</v>
      </c>
      <c r="DE178" s="702">
        <f>'[1]побудинковий звіт'!DE178</f>
        <v>30351.719999999994</v>
      </c>
      <c r="DF178" s="702">
        <f>'[1]побудинковий звіт'!DF178</f>
        <v>0</v>
      </c>
      <c r="DG178" s="772">
        <v>-32679.032591189025</v>
      </c>
      <c r="DH178" s="746">
        <f t="shared" si="168"/>
        <v>6616963.3162077591</v>
      </c>
      <c r="DI178" s="769"/>
      <c r="DJ178" s="5"/>
      <c r="DK178" s="307">
        <f>VLOOKUP($A178,ціни!$A$4:$G$401,5)</f>
        <v>5.6436686827549165</v>
      </c>
      <c r="DL178" s="307">
        <f>VLOOKUP($A178,ціни!$A$4:$G$401,6)</f>
        <v>7.2435965931885855</v>
      </c>
      <c r="DM178" s="307">
        <f>VLOOKUP($A178,ціни!$A$4:$G$401,7)</f>
        <v>5.0131020224758327</v>
      </c>
      <c r="DN178" s="29">
        <f>DK178*G178+(F178-G178)*DL178</f>
        <v>43238.414420808804</v>
      </c>
      <c r="DO178" s="29">
        <f>DM178*H178</f>
        <v>0</v>
      </c>
      <c r="DP178" s="306">
        <f t="shared" si="169"/>
        <v>43238.414420808804</v>
      </c>
      <c r="DQ178" s="101"/>
      <c r="DR178" s="29">
        <f>VLOOKUP(A178,'ДЗ нас '!$A$1:$C$359,2)</f>
        <v>43238.54</v>
      </c>
      <c r="DS178" s="733"/>
      <c r="DT178" s="29">
        <f t="shared" si="170"/>
        <v>43238.54</v>
      </c>
      <c r="DU178" s="247">
        <f>VLOOKUP(A178,'новий кошторис с 01.06'!$A$4:$AI$399,35)*1.2</f>
        <v>43356.041681299255</v>
      </c>
      <c r="DV178" s="29">
        <f t="shared" si="171"/>
        <v>-117.50168129925441</v>
      </c>
      <c r="DW178" s="1016">
        <f>'[2]побудинковий звіт'!$DW$9+'[1]побудинковий звіт'!DW178</f>
        <v>1044</v>
      </c>
      <c r="DX178" s="101">
        <f>'[1]побудинковий звіт'!DX178</f>
        <v>0</v>
      </c>
      <c r="DY178" s="5">
        <f t="shared" si="172"/>
        <v>149509.200958531</v>
      </c>
      <c r="DZ178" s="5">
        <f t="shared" si="173"/>
        <v>42235.96164092781</v>
      </c>
      <c r="EA178" s="737">
        <f t="shared" si="174"/>
        <v>30351.719999999994</v>
      </c>
      <c r="EC178" s="577">
        <f t="shared" si="175"/>
        <v>1445085.2348206467</v>
      </c>
      <c r="EE178" s="743">
        <v>54469</v>
      </c>
      <c r="EF178" s="723">
        <f t="shared" si="176"/>
        <v>21789.967408810975</v>
      </c>
      <c r="EH178" s="798">
        <v>112284.09446629218</v>
      </c>
      <c r="EI178" s="101">
        <f>VLOOKUP(A178,'кошти 01.01.24'!$A$9:$D$352,4,FALSE)</f>
        <v>15694.351752230556</v>
      </c>
    </row>
    <row r="179" spans="1:139" hidden="1" x14ac:dyDescent="0.3">
      <c r="A179" s="318">
        <v>150001031</v>
      </c>
      <c r="B179" s="43" t="s">
        <v>610</v>
      </c>
      <c r="C179" s="44" t="s">
        <v>103</v>
      </c>
      <c r="D179" s="44" t="s">
        <v>103</v>
      </c>
      <c r="E179" s="39">
        <f t="shared" si="125"/>
        <v>159.9</v>
      </c>
      <c r="F179" s="205">
        <f>'[1]побудинковий звіт'!F179</f>
        <v>159.9</v>
      </c>
      <c r="G179" s="29">
        <f>'[1]побудинковий звіт'!G179</f>
        <v>0</v>
      </c>
      <c r="H179" s="148">
        <f>'[1]побудинковий звіт'!H179</f>
        <v>0</v>
      </c>
      <c r="I179" s="41">
        <f>'[2]побудинковий звіт'!I179+'[1]побудинковий звіт'!I179</f>
        <v>0</v>
      </c>
      <c r="J179" s="41">
        <f>'[2]побудинковий звіт'!J179+'[1]побудинковий звіт'!J179</f>
        <v>0</v>
      </c>
      <c r="K179" s="55">
        <f t="shared" si="126"/>
        <v>0</v>
      </c>
      <c r="L179" s="41">
        <f>'[2]побудинковий звіт'!L179+'[1]побудинковий звіт'!L179</f>
        <v>0</v>
      </c>
      <c r="M179" s="41">
        <f>'[2]побудинковий звіт'!M179+'[1]побудинковий звіт'!M179</f>
        <v>0</v>
      </c>
      <c r="N179" s="55">
        <f t="shared" si="127"/>
        <v>0</v>
      </c>
      <c r="O179" s="41">
        <f>'[2]побудинковий звіт'!O179+'[1]побудинковий звіт'!O179</f>
        <v>0</v>
      </c>
      <c r="P179" s="41">
        <f>'[2]побудинковий звіт'!P179+'[1]побудинковий звіт'!P179</f>
        <v>0</v>
      </c>
      <c r="Q179" s="55">
        <f t="shared" si="128"/>
        <v>0</v>
      </c>
      <c r="R179" s="41">
        <f>'[2]побудинковий звіт'!R179+'[1]побудинковий звіт'!R179</f>
        <v>0</v>
      </c>
      <c r="S179" s="41">
        <f>'[2]побудинковий звіт'!S179+'[1]побудинковий звіт'!S179</f>
        <v>0</v>
      </c>
      <c r="T179" s="55">
        <f t="shared" si="129"/>
        <v>0</v>
      </c>
      <c r="U179" s="41">
        <f>'[2]побудинковий звіт'!U179+'[1]побудинковий звіт'!U179</f>
        <v>0</v>
      </c>
      <c r="V179" s="41">
        <f>'[2]побудинковий звіт'!V179+'[1]побудинковий звіт'!V179</f>
        <v>0</v>
      </c>
      <c r="W179" s="55">
        <f t="shared" si="130"/>
        <v>0</v>
      </c>
      <c r="X179" s="41">
        <f>'[2]побудинковий звіт'!X179+'[1]побудинковий звіт'!X179</f>
        <v>0</v>
      </c>
      <c r="Y179" s="41">
        <f>'[2]побудинковий звіт'!Y179+'[1]побудинковий звіт'!Y179</f>
        <v>0</v>
      </c>
      <c r="Z179" s="55">
        <f t="shared" si="131"/>
        <v>0</v>
      </c>
      <c r="AA179" s="41">
        <f>'[2]побудинковий звіт'!AA179+'[1]побудинковий звіт'!AA179</f>
        <v>0</v>
      </c>
      <c r="AB179" s="41">
        <f>'[2]побудинковий звіт'!AB179+'[1]побудинковий звіт'!AB179</f>
        <v>0</v>
      </c>
      <c r="AC179" s="55">
        <f t="shared" si="132"/>
        <v>0</v>
      </c>
      <c r="AD179" s="41">
        <f>'[2]побудинковий звіт'!AD179+'[1]побудинковий звіт'!AD179</f>
        <v>0</v>
      </c>
      <c r="AE179" s="41">
        <f>'[2]побудинковий звіт'!AE179+'[1]побудинковий звіт'!AE179</f>
        <v>0</v>
      </c>
      <c r="AF179" s="36">
        <f t="shared" si="133"/>
        <v>0</v>
      </c>
      <c r="AG179" s="84">
        <f t="shared" si="134"/>
        <v>0</v>
      </c>
      <c r="AH179" s="56">
        <f t="shared" si="135"/>
        <v>0</v>
      </c>
      <c r="AI179" s="55">
        <f t="shared" si="136"/>
        <v>0</v>
      </c>
      <c r="AJ179" s="41">
        <f>'[2]побудинковий звіт'!AJ179+'[1]побудинковий звіт'!AJ179</f>
        <v>0</v>
      </c>
      <c r="AK179" s="41">
        <f>'[2]побудинковий звіт'!AK179+'[1]побудинковий звіт'!AK179</f>
        <v>0</v>
      </c>
      <c r="AL179" s="55">
        <f t="shared" si="137"/>
        <v>0</v>
      </c>
      <c r="AM179" s="41">
        <f>'[2]побудинковий звіт'!AM179+'[1]побудинковий звіт'!AM179</f>
        <v>0</v>
      </c>
      <c r="AN179" s="41">
        <f>'[2]побудинковий звіт'!AN179+'[1]побудинковий звіт'!AN179</f>
        <v>0</v>
      </c>
      <c r="AO179" s="55">
        <f t="shared" si="138"/>
        <v>0</v>
      </c>
      <c r="AP179" s="41">
        <f>'[2]побудинковий звіт'!AP179+'[1]побудинковий звіт'!AP179</f>
        <v>223.45889070925321</v>
      </c>
      <c r="AQ179" s="41">
        <f>'[2]побудинковий звіт'!AQ179+'[1]побудинковий звіт'!AQ179</f>
        <v>93.650256154407487</v>
      </c>
      <c r="AR179" s="55">
        <f t="shared" si="139"/>
        <v>-129.80863455484572</v>
      </c>
      <c r="AS179" s="41">
        <f>'[2]побудинковий звіт'!AS179+'[1]побудинковий звіт'!AS179</f>
        <v>2088.8061125929244</v>
      </c>
      <c r="AT179" s="41">
        <f>'[2]побудинковий звіт'!AT179+'[1]побудинковий звіт'!AT179</f>
        <v>0</v>
      </c>
      <c r="AU179" s="57">
        <f t="shared" si="140"/>
        <v>-2088.8061125929244</v>
      </c>
      <c r="AV179" s="41">
        <f>'[2]побудинковий звіт'!AV179+'[1]побудинковий звіт'!AV179</f>
        <v>0</v>
      </c>
      <c r="AW179" s="41">
        <f>'[2]побудинковий звіт'!AW179+'[1]побудинковий звіт'!AW179</f>
        <v>0</v>
      </c>
      <c r="AX179" s="58">
        <f t="shared" si="141"/>
        <v>0</v>
      </c>
      <c r="AY179" s="41">
        <f>'[2]побудинковий звіт'!AY179+'[1]побудинковий звіт'!AY179</f>
        <v>0</v>
      </c>
      <c r="AZ179" s="41">
        <f>'[2]побудинковий звіт'!AZ179+'[1]побудинковий звіт'!AZ179</f>
        <v>0</v>
      </c>
      <c r="BA179" s="36">
        <f t="shared" si="142"/>
        <v>0</v>
      </c>
      <c r="BB179" s="41">
        <f>'[2]побудинковий звіт'!BB179+'[1]побудинковий звіт'!BB179</f>
        <v>0</v>
      </c>
      <c r="BC179" s="41">
        <f>'[2]побудинковий звіт'!BC179+'[1]побудинковий звіт'!BC179</f>
        <v>0</v>
      </c>
      <c r="BD179" s="58">
        <f t="shared" si="143"/>
        <v>0</v>
      </c>
      <c r="BE179" s="41">
        <f>'[2]побудинковий звіт'!BE179+'[1]побудинковий звіт'!BE179</f>
        <v>0</v>
      </c>
      <c r="BF179" s="41">
        <f>'[2]побудинковий звіт'!BF179+'[1]побудинковий звіт'!BF179</f>
        <v>0</v>
      </c>
      <c r="BG179" s="38">
        <f t="shared" si="144"/>
        <v>0</v>
      </c>
      <c r="BH179" s="41">
        <f>'[2]побудинковий звіт'!BH179+'[1]побудинковий звіт'!BH179</f>
        <v>0</v>
      </c>
      <c r="BI179" s="41">
        <f>'[2]побудинковий звіт'!BI179+'[1]побудинковий звіт'!BI179</f>
        <v>0</v>
      </c>
      <c r="BJ179" s="58">
        <f t="shared" si="145"/>
        <v>0</v>
      </c>
      <c r="BK179" s="41">
        <f>'[2]побудинковий звіт'!BK179+'[1]побудинковий звіт'!BK179</f>
        <v>0</v>
      </c>
      <c r="BL179" s="41">
        <f>'[2]побудинковий звіт'!BL179+'[1]побудинковий звіт'!BL179</f>
        <v>0</v>
      </c>
      <c r="BM179" s="38">
        <f t="shared" si="146"/>
        <v>0</v>
      </c>
      <c r="BN179" s="41">
        <f>'[2]побудинковий звіт'!BN179+'[1]побудинковий звіт'!BN179</f>
        <v>0</v>
      </c>
      <c r="BO179" s="41">
        <f>'[2]побудинковий звіт'!BO179+'[1]побудинковий звіт'!BO179</f>
        <v>0</v>
      </c>
      <c r="BP179" s="58">
        <f t="shared" si="147"/>
        <v>0</v>
      </c>
      <c r="BQ179" s="84">
        <f t="shared" si="148"/>
        <v>0</v>
      </c>
      <c r="BR179" s="42">
        <f t="shared" si="149"/>
        <v>0</v>
      </c>
      <c r="BS179" s="58">
        <f t="shared" si="150"/>
        <v>0</v>
      </c>
      <c r="BT179" s="41">
        <f>'[2]побудинковий звіт'!BT179+'[1]побудинковий звіт'!BT179</f>
        <v>1084.077869826807</v>
      </c>
      <c r="BU179" s="41">
        <f>'[2]побудинковий звіт'!BU179+'[1]побудинковий звіт'!BU179</f>
        <v>3296.0712251740724</v>
      </c>
      <c r="BV179" s="55">
        <f t="shared" si="151"/>
        <v>2211.9933553472656</v>
      </c>
      <c r="BW179" s="41">
        <f>'[2]побудинковий звіт'!BW179+'[1]побудинковий звіт'!BW179</f>
        <v>0</v>
      </c>
      <c r="BX179" s="41">
        <f>'[2]побудинковий звіт'!BX179+'[1]побудинковий звіт'!BX179</f>
        <v>5.2489485388230852</v>
      </c>
      <c r="BY179" s="55">
        <f t="shared" si="152"/>
        <v>5.2489485388230852</v>
      </c>
      <c r="BZ179" s="41">
        <f>'[2]побудинковий звіт'!BZ179+'[1]побудинковий звіт'!BZ179</f>
        <v>181.43589087402952</v>
      </c>
      <c r="CA179" s="41">
        <f>'[2]побудинковий звіт'!CA179+'[1]побудинковий звіт'!CA179</f>
        <v>275.49612426790321</v>
      </c>
      <c r="CB179" s="55">
        <f t="shared" si="153"/>
        <v>94.060233393873688</v>
      </c>
      <c r="CC179" s="41">
        <f>'[2]побудинковий звіт'!CC179+'[1]побудинковий звіт'!CC179</f>
        <v>0</v>
      </c>
      <c r="CD179" s="41">
        <f>'[2]побудинковий звіт'!CD179+'[1]побудинковий звіт'!CD179</f>
        <v>0</v>
      </c>
      <c r="CE179" s="55">
        <f t="shared" si="154"/>
        <v>0</v>
      </c>
      <c r="CF179" s="41">
        <f>'[2]побудинковий звіт'!CF179+'[1]побудинковий звіт'!CF179</f>
        <v>0</v>
      </c>
      <c r="CG179" s="41">
        <f>'[2]побудинковий звіт'!CG179+'[1]побудинковий звіт'!CG179</f>
        <v>0</v>
      </c>
      <c r="CH179" s="55">
        <f t="shared" si="155"/>
        <v>0</v>
      </c>
      <c r="CI179" s="41">
        <f>'[2]побудинковий звіт'!CI179+'[1]побудинковий звіт'!CI179</f>
        <v>0</v>
      </c>
      <c r="CJ179" s="41">
        <f>'[2]побудинковий звіт'!CJ179+'[1]побудинковий звіт'!CJ179</f>
        <v>0</v>
      </c>
      <c r="CK179" s="55">
        <f t="shared" si="156"/>
        <v>0</v>
      </c>
      <c r="CL179" s="41">
        <f>'[2]побудинковий звіт'!CL179+'[1]побудинковий звіт'!CL179</f>
        <v>0</v>
      </c>
      <c r="CM179" s="41">
        <f>'[2]побудинковий звіт'!CM179+'[1]побудинковий звіт'!CM179</f>
        <v>0</v>
      </c>
      <c r="CN179" s="55">
        <f t="shared" si="157"/>
        <v>0</v>
      </c>
      <c r="CO179" s="41">
        <f t="shared" si="158"/>
        <v>0</v>
      </c>
      <c r="CP179" s="42">
        <f t="shared" si="159"/>
        <v>0</v>
      </c>
      <c r="CQ179" s="55">
        <f t="shared" si="160"/>
        <v>0</v>
      </c>
      <c r="CR179" s="76">
        <f t="shared" si="161"/>
        <v>3577.7787640030147</v>
      </c>
      <c r="CS179" s="5">
        <f t="shared" si="162"/>
        <v>3670.4665541352065</v>
      </c>
      <c r="CT179" s="55">
        <f t="shared" si="163"/>
        <v>92.687790132191822</v>
      </c>
      <c r="CU179" s="84">
        <f t="shared" si="164"/>
        <v>4293.3345168036176</v>
      </c>
      <c r="CV179" s="68">
        <f t="shared" si="165"/>
        <v>4404.559864962248</v>
      </c>
      <c r="CW179" s="36">
        <f t="shared" si="166"/>
        <v>111.22534815863037</v>
      </c>
      <c r="CX179" s="41">
        <f>'[2]побудинковий звіт'!CX179+'[1]побудинковий звіт'!CX179</f>
        <v>197.61151306790066</v>
      </c>
      <c r="CY179" s="41">
        <f>'[2]побудинковий звіт'!CY179+'[1]побудинковий звіт'!CY179</f>
        <v>86.386164909269553</v>
      </c>
      <c r="CZ179" s="55">
        <f t="shared" si="167"/>
        <v>-111.22534815863111</v>
      </c>
      <c r="DA179" s="254">
        <f>'[1]побудинковий звіт'!DA179</f>
        <v>-248.60006534548938</v>
      </c>
      <c r="DB179" s="2">
        <v>1</v>
      </c>
      <c r="DC179" s="702">
        <f>'[1]побудинковий звіт'!DC179</f>
        <v>551.05999999999995</v>
      </c>
      <c r="DD179" s="702">
        <f>'[1]побудинковий звіт'!DD179</f>
        <v>0</v>
      </c>
      <c r="DE179" s="702">
        <f>'[1]побудинковий звіт'!DE179</f>
        <v>61.699999999999932</v>
      </c>
      <c r="DF179" s="702">
        <f>'[1]побудинковий звіт'!DF179</f>
        <v>0</v>
      </c>
      <c r="DG179" s="772">
        <v>-1117.6700122391539</v>
      </c>
      <c r="DH179" s="746">
        <f t="shared" si="168"/>
        <v>53891.352358458222</v>
      </c>
      <c r="DI179" s="769"/>
      <c r="DJ179" s="5"/>
      <c r="DK179" s="307">
        <f>VLOOKUP($A179,ціни!$A$4:$G$401,5)</f>
        <v>2.2050756335787618</v>
      </c>
      <c r="DL179" s="307"/>
      <c r="DM179" s="307">
        <f>VLOOKUP($A179,ціни!$A$4:$G$401,7)</f>
        <v>2.2050756335787618</v>
      </c>
      <c r="DN179" s="29">
        <f>F179*DK179</f>
        <v>352.59159380924405</v>
      </c>
      <c r="DO179" s="29">
        <f>H179*DM179</f>
        <v>0</v>
      </c>
      <c r="DP179" s="306">
        <f t="shared" si="169"/>
        <v>352.59159380924405</v>
      </c>
      <c r="DQ179" s="101"/>
      <c r="DR179" s="29">
        <f>VLOOKUP(A179,'ДЗ нас '!$A$1:$C$359,2)</f>
        <v>352.59</v>
      </c>
      <c r="DS179" s="733"/>
      <c r="DT179" s="29">
        <f t="shared" si="170"/>
        <v>352.59</v>
      </c>
      <c r="DU179" s="247">
        <f>VLOOKUP(A179,'новий кошторис с 01.06'!$A$4:$AI$399,35)*1.2</f>
        <v>355.62826782291211</v>
      </c>
      <c r="DV179" s="29">
        <f t="shared" si="171"/>
        <v>-3.0382678229121325</v>
      </c>
      <c r="DW179" s="1016">
        <f>'[2]побудинковий звіт'!$DW$9+'[1]побудинковий звіт'!DW179</f>
        <v>0</v>
      </c>
      <c r="DX179" s="101">
        <f>'[1]побудинковий звіт'!DX179</f>
        <v>0</v>
      </c>
      <c r="DY179" s="5">
        <f t="shared" si="172"/>
        <v>2506.5673351115092</v>
      </c>
      <c r="DZ179" s="5">
        <f t="shared" si="173"/>
        <v>0</v>
      </c>
      <c r="EA179" s="737">
        <f t="shared" si="174"/>
        <v>61.699999999999932</v>
      </c>
      <c r="EC179" s="577">
        <f t="shared" si="175"/>
        <v>25065.673351115092</v>
      </c>
      <c r="EE179" s="743">
        <v>-2112</v>
      </c>
      <c r="EF179" s="723">
        <f t="shared" si="176"/>
        <v>-3229.6700122391539</v>
      </c>
      <c r="EH179" s="798">
        <v>138.14728976147171</v>
      </c>
      <c r="EI179" s="101">
        <f>VLOOKUP(A179,'кошти 01.01.24'!$A$9:$D$352,4,FALSE)</f>
        <v>-359.82541350411998</v>
      </c>
    </row>
    <row r="180" spans="1:139" ht="14.4" hidden="1" customHeight="1" x14ac:dyDescent="0.3">
      <c r="A180" s="318">
        <v>150001037</v>
      </c>
      <c r="B180" s="43" t="s">
        <v>611</v>
      </c>
      <c r="C180" s="44" t="s">
        <v>104</v>
      </c>
      <c r="D180" s="44" t="s">
        <v>104</v>
      </c>
      <c r="E180" s="39">
        <f t="shared" si="125"/>
        <v>161.4</v>
      </c>
      <c r="F180" s="205">
        <f>'[1]побудинковий звіт'!F180</f>
        <v>161.4</v>
      </c>
      <c r="G180" s="29">
        <f>'[1]побудинковий звіт'!G180</f>
        <v>0</v>
      </c>
      <c r="H180" s="148">
        <f>'[1]побудинковий звіт'!H180</f>
        <v>0</v>
      </c>
      <c r="I180" s="41">
        <f>'[2]побудинковий звіт'!I180+'[1]побудинковий звіт'!I180</f>
        <v>0</v>
      </c>
      <c r="J180" s="41">
        <f>'[2]побудинковий звіт'!J180+'[1]побудинковий звіт'!J180</f>
        <v>0</v>
      </c>
      <c r="K180" s="55">
        <f t="shared" si="126"/>
        <v>0</v>
      </c>
      <c r="L180" s="41">
        <f>'[2]побудинковий звіт'!L180+'[1]побудинковий звіт'!L180</f>
        <v>0</v>
      </c>
      <c r="M180" s="41">
        <f>'[2]побудинковий звіт'!M180+'[1]побудинковий звіт'!M180</f>
        <v>0</v>
      </c>
      <c r="N180" s="55">
        <f t="shared" si="127"/>
        <v>0</v>
      </c>
      <c r="O180" s="41">
        <f>'[2]побудинковий звіт'!O180+'[1]побудинковий звіт'!O180</f>
        <v>0</v>
      </c>
      <c r="P180" s="41">
        <f>'[2]побудинковий звіт'!P180+'[1]побудинковий звіт'!P180</f>
        <v>0</v>
      </c>
      <c r="Q180" s="55">
        <f t="shared" si="128"/>
        <v>0</v>
      </c>
      <c r="R180" s="41">
        <f>'[2]побудинковий звіт'!R180+'[1]побудинковий звіт'!R180</f>
        <v>0</v>
      </c>
      <c r="S180" s="41">
        <f>'[2]побудинковий звіт'!S180+'[1]побудинковий звіт'!S180</f>
        <v>0</v>
      </c>
      <c r="T180" s="55">
        <f t="shared" si="129"/>
        <v>0</v>
      </c>
      <c r="U180" s="41">
        <f>'[2]побудинковий звіт'!U180+'[1]побудинковий звіт'!U180</f>
        <v>0</v>
      </c>
      <c r="V180" s="41">
        <f>'[2]побудинковий звіт'!V180+'[1]побудинковий звіт'!V180</f>
        <v>0</v>
      </c>
      <c r="W180" s="55">
        <f t="shared" si="130"/>
        <v>0</v>
      </c>
      <c r="X180" s="41">
        <f>'[2]побудинковий звіт'!X180+'[1]побудинковий звіт'!X180</f>
        <v>0</v>
      </c>
      <c r="Y180" s="41">
        <f>'[2]побудинковий звіт'!Y180+'[1]побудинковий звіт'!Y180</f>
        <v>0</v>
      </c>
      <c r="Z180" s="55">
        <f t="shared" si="131"/>
        <v>0</v>
      </c>
      <c r="AA180" s="41">
        <f>'[2]побудинковий звіт'!AA180+'[1]побудинковий звіт'!AA180</f>
        <v>0</v>
      </c>
      <c r="AB180" s="41">
        <f>'[2]побудинковий звіт'!AB180+'[1]побудинковий звіт'!AB180</f>
        <v>0</v>
      </c>
      <c r="AC180" s="55">
        <f t="shared" si="132"/>
        <v>0</v>
      </c>
      <c r="AD180" s="41">
        <f>'[2]побудинковий звіт'!AD180+'[1]побудинковий звіт'!AD180</f>
        <v>0</v>
      </c>
      <c r="AE180" s="41">
        <f>'[2]побудинковий звіт'!AE180+'[1]побудинковий звіт'!AE180</f>
        <v>0</v>
      </c>
      <c r="AF180" s="36">
        <f t="shared" si="133"/>
        <v>0</v>
      </c>
      <c r="AG180" s="84">
        <f t="shared" si="134"/>
        <v>0</v>
      </c>
      <c r="AH180" s="56">
        <f t="shared" si="135"/>
        <v>0</v>
      </c>
      <c r="AI180" s="55">
        <f t="shared" si="136"/>
        <v>0</v>
      </c>
      <c r="AJ180" s="41">
        <f>'[2]побудинковий звіт'!AJ180+'[1]побудинковий звіт'!AJ180</f>
        <v>0</v>
      </c>
      <c r="AK180" s="41">
        <f>'[2]побудинковий звіт'!AK180+'[1]побудинковий звіт'!AK180</f>
        <v>0</v>
      </c>
      <c r="AL180" s="55">
        <f t="shared" si="137"/>
        <v>0</v>
      </c>
      <c r="AM180" s="41">
        <f>'[2]побудинковий звіт'!AM180+'[1]побудинковий звіт'!AM180</f>
        <v>0</v>
      </c>
      <c r="AN180" s="41">
        <f>'[2]побудинковий звіт'!AN180+'[1]побудинковий звіт'!AN180</f>
        <v>0</v>
      </c>
      <c r="AO180" s="55">
        <f t="shared" si="138"/>
        <v>0</v>
      </c>
      <c r="AP180" s="41">
        <f>'[2]побудинковий звіт'!AP180+'[1]побудинковий звіт'!AP180</f>
        <v>312.84244699295448</v>
      </c>
      <c r="AQ180" s="41">
        <f>'[2]побудинковий звіт'!AQ180+'[1]побудинковий звіт'!AQ180</f>
        <v>70.237692115805615</v>
      </c>
      <c r="AR180" s="55">
        <f t="shared" si="139"/>
        <v>-242.60475487714888</v>
      </c>
      <c r="AS180" s="41">
        <f>'[2]побудинковий звіт'!AS180+'[1]побудинковий звіт'!AS180</f>
        <v>2014.4731106523857</v>
      </c>
      <c r="AT180" s="41">
        <f>'[2]побудинковий звіт'!AT180+'[1]побудинковий звіт'!AT180</f>
        <v>0</v>
      </c>
      <c r="AU180" s="57">
        <f t="shared" si="140"/>
        <v>-2014.4731106523857</v>
      </c>
      <c r="AV180" s="41">
        <f>'[2]побудинковий звіт'!AV180+'[1]побудинковий звіт'!AV180</f>
        <v>0</v>
      </c>
      <c r="AW180" s="41">
        <f>'[2]побудинковий звіт'!AW180+'[1]побудинковий звіт'!AW180</f>
        <v>0</v>
      </c>
      <c r="AX180" s="58">
        <f t="shared" si="141"/>
        <v>0</v>
      </c>
      <c r="AY180" s="41">
        <f>'[2]побудинковий звіт'!AY180+'[1]побудинковий звіт'!AY180</f>
        <v>0</v>
      </c>
      <c r="AZ180" s="41">
        <f>'[2]побудинковий звіт'!AZ180+'[1]побудинковий звіт'!AZ180</f>
        <v>0</v>
      </c>
      <c r="BA180" s="36">
        <f t="shared" si="142"/>
        <v>0</v>
      </c>
      <c r="BB180" s="41">
        <f>'[2]побудинковий звіт'!BB180+'[1]побудинковий звіт'!BB180</f>
        <v>0</v>
      </c>
      <c r="BC180" s="41">
        <f>'[2]побудинковий звіт'!BC180+'[1]побудинковий звіт'!BC180</f>
        <v>0</v>
      </c>
      <c r="BD180" s="58">
        <f t="shared" si="143"/>
        <v>0</v>
      </c>
      <c r="BE180" s="41">
        <f>'[2]побудинковий звіт'!BE180+'[1]побудинковий звіт'!BE180</f>
        <v>0</v>
      </c>
      <c r="BF180" s="41">
        <f>'[2]побудинковий звіт'!BF180+'[1]побудинковий звіт'!BF180</f>
        <v>0</v>
      </c>
      <c r="BG180" s="38">
        <f t="shared" si="144"/>
        <v>0</v>
      </c>
      <c r="BH180" s="41">
        <f>'[2]побудинковий звіт'!BH180+'[1]побудинковий звіт'!BH180</f>
        <v>0</v>
      </c>
      <c r="BI180" s="41">
        <f>'[2]побудинковий звіт'!BI180+'[1]побудинковий звіт'!BI180</f>
        <v>0</v>
      </c>
      <c r="BJ180" s="58">
        <f t="shared" si="145"/>
        <v>0</v>
      </c>
      <c r="BK180" s="41">
        <f>'[2]побудинковий звіт'!BK180+'[1]побудинковий звіт'!BK180</f>
        <v>0</v>
      </c>
      <c r="BL180" s="41">
        <f>'[2]побудинковий звіт'!BL180+'[1]побудинковий звіт'!BL180</f>
        <v>0</v>
      </c>
      <c r="BM180" s="38">
        <f t="shared" si="146"/>
        <v>0</v>
      </c>
      <c r="BN180" s="41">
        <f>'[2]побудинковий звіт'!BN180+'[1]побудинковий звіт'!BN180</f>
        <v>0</v>
      </c>
      <c r="BO180" s="41">
        <f>'[2]побудинковий звіт'!BO180+'[1]побудинковий звіт'!BO180</f>
        <v>0</v>
      </c>
      <c r="BP180" s="58">
        <f t="shared" si="147"/>
        <v>0</v>
      </c>
      <c r="BQ180" s="84">
        <f t="shared" si="148"/>
        <v>0</v>
      </c>
      <c r="BR180" s="42">
        <f t="shared" si="149"/>
        <v>0</v>
      </c>
      <c r="BS180" s="58">
        <f t="shared" si="150"/>
        <v>0</v>
      </c>
      <c r="BT180" s="41">
        <f>'[2]побудинковий звіт'!BT180+'[1]побудинковий звіт'!BT180</f>
        <v>938.34587023493179</v>
      </c>
      <c r="BU180" s="41">
        <f>'[2]побудинковий звіт'!BU180+'[1]побудинковий звіт'!BU180</f>
        <v>3296.0712251740724</v>
      </c>
      <c r="BV180" s="55">
        <f t="shared" si="151"/>
        <v>2357.7253549391407</v>
      </c>
      <c r="BW180" s="41">
        <f>'[2]побудинковий звіт'!BW180+'[1]побудинковий звіт'!BW180</f>
        <v>0</v>
      </c>
      <c r="BX180" s="41">
        <f>'[2]побудинковий звіт'!BX180+'[1]побудинковий звіт'!BX180</f>
        <v>0.65694515933475084</v>
      </c>
      <c r="BY180" s="55">
        <f t="shared" si="152"/>
        <v>0.65694515933475084</v>
      </c>
      <c r="BZ180" s="41">
        <f>'[2]побудинковий звіт'!BZ180+'[1]побудинковий звіт'!BZ180</f>
        <v>152.78811863076169</v>
      </c>
      <c r="CA180" s="41">
        <f>'[2]побудинковий звіт'!CA180+'[1]побудинковий звіт'!CA180</f>
        <v>275.49612426790321</v>
      </c>
      <c r="CB180" s="55">
        <f t="shared" si="153"/>
        <v>122.70800563714153</v>
      </c>
      <c r="CC180" s="41">
        <f>'[2]побудинковий звіт'!CC180+'[1]побудинковий звіт'!CC180</f>
        <v>0</v>
      </c>
      <c r="CD180" s="41">
        <f>'[2]побудинковий звіт'!CD180+'[1]побудинковий звіт'!CD180</f>
        <v>0</v>
      </c>
      <c r="CE180" s="55">
        <f t="shared" si="154"/>
        <v>0</v>
      </c>
      <c r="CF180" s="41">
        <f>'[2]побудинковий звіт'!CF180+'[1]побудинковий звіт'!CF180</f>
        <v>0</v>
      </c>
      <c r="CG180" s="41">
        <f>'[2]побудинковий звіт'!CG180+'[1]побудинковий звіт'!CG180</f>
        <v>0</v>
      </c>
      <c r="CH180" s="55">
        <f t="shared" si="155"/>
        <v>0</v>
      </c>
      <c r="CI180" s="41">
        <f>'[2]побудинковий звіт'!CI180+'[1]побудинковий звіт'!CI180</f>
        <v>0</v>
      </c>
      <c r="CJ180" s="41">
        <f>'[2]побудинковий звіт'!CJ180+'[1]побудинковий звіт'!CJ180</f>
        <v>0</v>
      </c>
      <c r="CK180" s="55">
        <f t="shared" si="156"/>
        <v>0</v>
      </c>
      <c r="CL180" s="41">
        <f>'[2]побудинковий звіт'!CL180+'[1]побудинковий звіт'!CL180</f>
        <v>0</v>
      </c>
      <c r="CM180" s="41">
        <f>'[2]побудинковий звіт'!CM180+'[1]побудинковий звіт'!CM180</f>
        <v>0</v>
      </c>
      <c r="CN180" s="55">
        <f t="shared" si="157"/>
        <v>0</v>
      </c>
      <c r="CO180" s="41">
        <f t="shared" si="158"/>
        <v>0</v>
      </c>
      <c r="CP180" s="42">
        <f t="shared" si="159"/>
        <v>0</v>
      </c>
      <c r="CQ180" s="55">
        <f t="shared" si="160"/>
        <v>0</v>
      </c>
      <c r="CR180" s="76">
        <f t="shared" si="161"/>
        <v>3418.4495465110335</v>
      </c>
      <c r="CS180" s="5">
        <f t="shared" si="162"/>
        <v>3642.4619867171159</v>
      </c>
      <c r="CT180" s="55">
        <f t="shared" si="163"/>
        <v>224.01244020608237</v>
      </c>
      <c r="CU180" s="84">
        <f t="shared" si="164"/>
        <v>4102.1394558132397</v>
      </c>
      <c r="CV180" s="68">
        <f t="shared" si="165"/>
        <v>4370.9543840605393</v>
      </c>
      <c r="CW180" s="36">
        <f t="shared" si="166"/>
        <v>268.81492824729958</v>
      </c>
      <c r="CX180" s="41">
        <f>'[2]побудинковий звіт'!CX180+'[1]побудинковий звіт'!CX180</f>
        <v>172.53536592143195</v>
      </c>
      <c r="CY180" s="41">
        <f>'[2]побудинковий звіт'!CY180+'[1]побудинковий звіт'!CY180</f>
        <v>-96.279562325866493</v>
      </c>
      <c r="CZ180" s="55">
        <f t="shared" si="167"/>
        <v>-268.81492824729844</v>
      </c>
      <c r="DA180" s="254">
        <f>'[1]побудинковий звіт'!DA180</f>
        <v>-4373.8044670008148</v>
      </c>
      <c r="DB180" s="2">
        <v>1</v>
      </c>
      <c r="DC180" s="702">
        <f>'[1]побудинковий звіт'!DC180</f>
        <v>465.26</v>
      </c>
      <c r="DD180" s="702">
        <f>'[1]побудинковий звіт'!DD180</f>
        <v>0</v>
      </c>
      <c r="DE180" s="702">
        <f>'[1]побудинковий звіт'!DE180</f>
        <v>0</v>
      </c>
      <c r="DF180" s="702">
        <f>'[1]побудинковий звіт'!DF180</f>
        <v>0</v>
      </c>
      <c r="DG180" s="772">
        <v>-4529.5850056727995</v>
      </c>
      <c r="DH180" s="746">
        <f t="shared" si="168"/>
        <v>51296.097860816051</v>
      </c>
      <c r="DI180" s="769"/>
      <c r="DJ180" s="5"/>
      <c r="DK180" s="307">
        <f>VLOOKUP($A180,ціни!$A$4:$G$401,5)</f>
        <v>2.0799687734351764</v>
      </c>
      <c r="DL180" s="307"/>
      <c r="DM180" s="307">
        <f>VLOOKUP($A180,ціни!$A$4:$G$401,7)</f>
        <v>2.0799687734351764</v>
      </c>
      <c r="DN180" s="29">
        <f>F180*DK180</f>
        <v>335.70696003243751</v>
      </c>
      <c r="DO180" s="29">
        <f>H180*DM180</f>
        <v>0</v>
      </c>
      <c r="DP180" s="306">
        <f t="shared" si="169"/>
        <v>335.70696003243751</v>
      </c>
      <c r="DQ180" s="101"/>
      <c r="DR180" s="29">
        <f>VLOOKUP(A180,'ДЗ нас '!$A$1:$C$359,2)</f>
        <v>335.71</v>
      </c>
      <c r="DS180" s="733"/>
      <c r="DT180" s="29">
        <f t="shared" si="170"/>
        <v>335.71</v>
      </c>
      <c r="DU180" s="247">
        <f>VLOOKUP(A180,'новий кошторис с 01.06'!$A$4:$AI$399,35)*1.2</f>
        <v>338.2893212634562</v>
      </c>
      <c r="DV180" s="29">
        <f t="shared" si="171"/>
        <v>-2.5793212634562224</v>
      </c>
      <c r="DW180" s="1016">
        <f>'[2]побудинковий звіт'!$DW$9+'[1]побудинковий звіт'!DW180</f>
        <v>0</v>
      </c>
      <c r="DX180" s="101">
        <f>'[1]побудинковий звіт'!DX180</f>
        <v>0</v>
      </c>
      <c r="DY180" s="5">
        <f t="shared" si="172"/>
        <v>2417.3677327828627</v>
      </c>
      <c r="DZ180" s="5">
        <f t="shared" si="173"/>
        <v>0</v>
      </c>
      <c r="EA180" s="737">
        <f t="shared" si="174"/>
        <v>0</v>
      </c>
      <c r="EC180" s="577">
        <f t="shared" si="175"/>
        <v>24173.677327828627</v>
      </c>
      <c r="EE180" s="743">
        <v>-300</v>
      </c>
      <c r="EF180" s="723">
        <f t="shared" si="176"/>
        <v>-4829.5850056727995</v>
      </c>
      <c r="EH180" s="798">
        <v>-4320.2562902736518</v>
      </c>
      <c r="EI180" s="101">
        <f>VLOOKUP(A180,'кошти 01.01.24'!$A$9:$D$352,4,FALSE)</f>
        <v>-4642.6193952481126</v>
      </c>
    </row>
    <row r="181" spans="1:139" hidden="1" x14ac:dyDescent="0.3">
      <c r="A181" s="318">
        <v>150001032</v>
      </c>
      <c r="B181" s="43" t="s">
        <v>612</v>
      </c>
      <c r="C181" s="44" t="s">
        <v>369</v>
      </c>
      <c r="D181" s="44" t="s">
        <v>369</v>
      </c>
      <c r="E181" s="39">
        <f t="shared" si="125"/>
        <v>6019.3</v>
      </c>
      <c r="F181" s="205">
        <f>'[1]побудинковий звіт'!F181</f>
        <v>6019.3</v>
      </c>
      <c r="G181" s="29">
        <f>'[1]побудинковий звіт'!G181</f>
        <v>735.55</v>
      </c>
      <c r="H181" s="148">
        <f>'[1]побудинковий звіт'!H181</f>
        <v>0</v>
      </c>
      <c r="I181" s="41">
        <f>'[2]побудинковий звіт'!I181+'[1]побудинковий звіт'!I181</f>
        <v>14399.858598738363</v>
      </c>
      <c r="J181" s="41">
        <f>'[2]побудинковий звіт'!J181+'[1]побудинковий звіт'!J181</f>
        <v>11377.16588149979</v>
      </c>
      <c r="K181" s="55">
        <f t="shared" si="126"/>
        <v>-3022.6927172385731</v>
      </c>
      <c r="L181" s="41">
        <f>'[2]побудинковий звіт'!L181+'[1]побудинковий звіт'!L181</f>
        <v>1929.1239133581626</v>
      </c>
      <c r="M181" s="41">
        <f>'[2]побудинковий звіт'!M181+'[1]побудинковий звіт'!M181</f>
        <v>1659.1983880134278</v>
      </c>
      <c r="N181" s="55">
        <f t="shared" si="127"/>
        <v>-269.92552534473475</v>
      </c>
      <c r="O181" s="41">
        <f>'[2]побудинковий звіт'!O181+'[1]побудинковий звіт'!O181</f>
        <v>9405.5137136274607</v>
      </c>
      <c r="P181" s="41">
        <f>'[2]побудинковий звіт'!P181+'[1]побудинковий звіт'!P181</f>
        <v>9432.0211020639927</v>
      </c>
      <c r="Q181" s="55">
        <f t="shared" si="128"/>
        <v>26.507388436531983</v>
      </c>
      <c r="R181" s="41">
        <f>'[2]побудинковий звіт'!R181+'[1]побудинковий звіт'!R181</f>
        <v>1974.854763735781</v>
      </c>
      <c r="S181" s="41">
        <f>'[2]побудинковий звіт'!S181+'[1]побудинковий звіт'!S181</f>
        <v>1980.5036109499447</v>
      </c>
      <c r="T181" s="55">
        <f t="shared" si="129"/>
        <v>5.6488472141636521</v>
      </c>
      <c r="U181" s="41">
        <f>'[2]побудинковий звіт'!U181+'[1]побудинковий звіт'!U181</f>
        <v>1754.3736357676325</v>
      </c>
      <c r="V181" s="41">
        <f>'[2]побудинковий звіт'!V181+'[1]побудинковий звіт'!V181</f>
        <v>788.27452510198395</v>
      </c>
      <c r="W181" s="55">
        <f t="shared" si="130"/>
        <v>-966.0991106656486</v>
      </c>
      <c r="X181" s="41">
        <f>'[2]побудинковий звіт'!X181+'[1]побудинковий звіт'!X181</f>
        <v>15442.581508215409</v>
      </c>
      <c r="Y181" s="41">
        <f>'[2]побудинковий звіт'!Y181+'[1]побудинковий звіт'!Y181</f>
        <v>14649.272839409216</v>
      </c>
      <c r="Z181" s="55">
        <f t="shared" si="131"/>
        <v>-793.30866880619396</v>
      </c>
      <c r="AA181" s="41">
        <f>'[2]побудинковий звіт'!AA181+'[1]побудинковий звіт'!AA181</f>
        <v>0</v>
      </c>
      <c r="AB181" s="41">
        <f>'[2]побудинковий звіт'!AB181+'[1]побудинковий звіт'!AB181</f>
        <v>0</v>
      </c>
      <c r="AC181" s="55">
        <f t="shared" si="132"/>
        <v>0</v>
      </c>
      <c r="AD181" s="41">
        <f>'[2]побудинковий звіт'!AD181+'[1]побудинковий звіт'!AD181</f>
        <v>26110.102286168207</v>
      </c>
      <c r="AE181" s="41">
        <f>'[2]побудинковий звіт'!AE181+'[1]побудинковий звіт'!AE181</f>
        <v>26008.45737734079</v>
      </c>
      <c r="AF181" s="36">
        <f t="shared" si="133"/>
        <v>-101.64490882741666</v>
      </c>
      <c r="AG181" s="84">
        <f t="shared" si="134"/>
        <v>71016.40841961102</v>
      </c>
      <c r="AH181" s="56">
        <f t="shared" si="135"/>
        <v>65894.893724379144</v>
      </c>
      <c r="AI181" s="55">
        <f t="shared" si="136"/>
        <v>-5121.5146952318755</v>
      </c>
      <c r="AJ181" s="41">
        <f>'[2]побудинковий звіт'!AJ181+'[1]побудинковий звіт'!AJ181</f>
        <v>88037.860652968331</v>
      </c>
      <c r="AK181" s="41">
        <f>'[2]побудинковий звіт'!AK181+'[1]побудинковий звіт'!AK181</f>
        <v>77112.745009866863</v>
      </c>
      <c r="AL181" s="55">
        <f t="shared" si="137"/>
        <v>-10925.115643101468</v>
      </c>
      <c r="AM181" s="41">
        <f>'[2]побудинковий звіт'!AM181+'[1]побудинковий звіт'!AM181</f>
        <v>302.92842272642292</v>
      </c>
      <c r="AN181" s="41">
        <f>'[2]побудинковий звіт'!AN181+'[1]побудинковий звіт'!AN181</f>
        <v>238.14099783184656</v>
      </c>
      <c r="AO181" s="55">
        <f t="shared" si="138"/>
        <v>-64.787424894576361</v>
      </c>
      <c r="AP181" s="41">
        <f>'[2]побудинковий звіт'!AP181+'[1]побудинковий звіт'!AP181</f>
        <v>5299.6989945428413</v>
      </c>
      <c r="AQ181" s="41">
        <f>'[2]побудинковий звіт'!AQ181+'[1]побудинковий звіт'!AQ181</f>
        <v>5042.4114170627654</v>
      </c>
      <c r="AR181" s="55">
        <f t="shared" si="139"/>
        <v>-257.28757748007592</v>
      </c>
      <c r="AS181" s="41">
        <f>'[2]побудинковий звіт'!AS181+'[1]побудинковий звіт'!AS181</f>
        <v>111088.23942671384</v>
      </c>
      <c r="AT181" s="41">
        <f>'[2]побудинковий звіт'!AT181+'[1]побудинковий звіт'!AT181</f>
        <v>249792.88699074968</v>
      </c>
      <c r="AU181" s="57">
        <f t="shared" si="140"/>
        <v>138704.64756403584</v>
      </c>
      <c r="AV181" s="41">
        <f>'[2]побудинковий звіт'!AV181+'[1]побудинковий звіт'!AV181</f>
        <v>1314.2308721593092</v>
      </c>
      <c r="AW181" s="41">
        <f>'[2]побудинковий звіт'!AW181+'[1]побудинковий звіт'!AW181</f>
        <v>2035.6599843986678</v>
      </c>
      <c r="AX181" s="58">
        <f t="shared" si="141"/>
        <v>721.42911223935857</v>
      </c>
      <c r="AY181" s="41">
        <f>'[2]побудинковий звіт'!AY181+'[1]побудинковий звіт'!AY181</f>
        <v>1295.2566296949788</v>
      </c>
      <c r="AZ181" s="41">
        <f>'[2]побудинковий звіт'!AZ181+'[1]побудинковий звіт'!AZ181</f>
        <v>0</v>
      </c>
      <c r="BA181" s="36">
        <f t="shared" si="142"/>
        <v>-1295.2566296949788</v>
      </c>
      <c r="BB181" s="41">
        <f>'[2]побудинковий звіт'!BB181+'[1]побудинковий звіт'!BB181</f>
        <v>2200.7533738968023</v>
      </c>
      <c r="BC181" s="41">
        <f>'[2]побудинковий звіт'!BC181+'[1]побудинковий звіт'!BC181</f>
        <v>761.87906883248809</v>
      </c>
      <c r="BD181" s="58">
        <f t="shared" si="143"/>
        <v>-1438.8743050643143</v>
      </c>
      <c r="BE181" s="41">
        <f>'[2]побудинковий звіт'!BE181+'[1]побудинковий звіт'!BE181</f>
        <v>751.27906382141748</v>
      </c>
      <c r="BF181" s="41">
        <f>'[2]побудинковий звіт'!BF181+'[1]побудинковий звіт'!BF181</f>
        <v>718.34862679647222</v>
      </c>
      <c r="BG181" s="38">
        <f t="shared" si="144"/>
        <v>-32.930437024945263</v>
      </c>
      <c r="BH181" s="41">
        <f>'[2]побудинковий звіт'!BH181+'[1]побудинковий звіт'!BH181</f>
        <v>914.55159156469733</v>
      </c>
      <c r="BI181" s="41">
        <f>'[2]побудинковий звіт'!BI181+'[1]побудинковий звіт'!BI181</f>
        <v>0</v>
      </c>
      <c r="BJ181" s="58">
        <f t="shared" si="145"/>
        <v>-914.55159156469733</v>
      </c>
      <c r="BK181" s="41">
        <f>'[2]побудинковий звіт'!BK181+'[1]побудинковий звіт'!BK181</f>
        <v>1929.2868656625869</v>
      </c>
      <c r="BL181" s="41">
        <f>'[2]побудинковий звіт'!BL181+'[1]побудинковий звіт'!BL181</f>
        <v>7622.7039477888429</v>
      </c>
      <c r="BM181" s="38">
        <f t="shared" si="146"/>
        <v>5693.417082126256</v>
      </c>
      <c r="BN181" s="41">
        <f>'[2]побудинковий звіт'!BN181+'[1]побудинковий звіт'!BN181</f>
        <v>1068.5255346512038</v>
      </c>
      <c r="BO181" s="41">
        <f>'[2]побудинковий звіт'!BO181+'[1]побудинковий звіт'!BO181</f>
        <v>0</v>
      </c>
      <c r="BP181" s="58">
        <f t="shared" si="147"/>
        <v>-1068.5255346512038</v>
      </c>
      <c r="BQ181" s="84">
        <f t="shared" si="148"/>
        <v>9473.8839314509951</v>
      </c>
      <c r="BR181" s="42">
        <f t="shared" si="149"/>
        <v>11138.591627816471</v>
      </c>
      <c r="BS181" s="58">
        <f t="shared" si="150"/>
        <v>1664.7076963654763</v>
      </c>
      <c r="BT181" s="41">
        <f>'[2]побудинковий звіт'!BT181+'[1]побудинковий звіт'!BT181</f>
        <v>89459.826131839509</v>
      </c>
      <c r="BU181" s="41">
        <f>'[2]побудинковий звіт'!BU181+'[1]побудинковий звіт'!BU181</f>
        <v>69638.326249356702</v>
      </c>
      <c r="BV181" s="55">
        <f t="shared" si="151"/>
        <v>-19821.499882482807</v>
      </c>
      <c r="BW181" s="41">
        <f>'[2]побудинковий звіт'!BW181+'[1]побудинковий звіт'!BW181</f>
        <v>64186.822647836336</v>
      </c>
      <c r="BX181" s="41">
        <f>'[2]побудинковий звіт'!BX181+'[1]побудинковий звіт'!BX181</f>
        <v>40345.362549028636</v>
      </c>
      <c r="BY181" s="55">
        <f t="shared" si="152"/>
        <v>-23841.4600988077</v>
      </c>
      <c r="BZ181" s="41">
        <f>'[2]побудинковий звіт'!BZ181+'[1]побудинковий звіт'!BZ181</f>
        <v>10744.596640180198</v>
      </c>
      <c r="CA181" s="41">
        <f>'[2]побудинковий звіт'!CA181+'[1]побудинковий звіт'!CA181</f>
        <v>4563.9877489104247</v>
      </c>
      <c r="CB181" s="55">
        <f t="shared" si="153"/>
        <v>-6180.6088912697733</v>
      </c>
      <c r="CC181" s="41">
        <f>'[2]побудинковий звіт'!CC181+'[1]побудинковий звіт'!CC181</f>
        <v>2804.6974132742771</v>
      </c>
      <c r="CD181" s="41">
        <f>'[2]побудинковий звіт'!CD181+'[1]побудинковий звіт'!CD181</f>
        <v>2814.2078293564482</v>
      </c>
      <c r="CE181" s="55">
        <f t="shared" si="154"/>
        <v>9.5104160821711048</v>
      </c>
      <c r="CF181" s="41">
        <f>'[2]побудинковий звіт'!CF181+'[1]побудинковий звіт'!CF181</f>
        <v>347.48710201852793</v>
      </c>
      <c r="CG181" s="41">
        <f>'[2]побудинковий звіт'!CG181+'[1]побудинковий звіт'!CG181</f>
        <v>6061.4801330224436</v>
      </c>
      <c r="CH181" s="55">
        <f t="shared" si="155"/>
        <v>5713.9930310039153</v>
      </c>
      <c r="CI181" s="41">
        <f>'[2]побудинковий звіт'!CI181+'[1]побудинковий звіт'!CI181</f>
        <v>28361.600190688747</v>
      </c>
      <c r="CJ181" s="41">
        <f>'[2]побудинковий звіт'!CJ181+'[1]побудинковий звіт'!CJ181</f>
        <v>23233.293492919896</v>
      </c>
      <c r="CK181" s="55">
        <f t="shared" si="156"/>
        <v>-5128.3066977688504</v>
      </c>
      <c r="CL181" s="41">
        <f>'[2]побудинковий звіт'!CL181+'[1]побудинковий звіт'!CL181</f>
        <v>14844.742782506906</v>
      </c>
      <c r="CM181" s="41">
        <f>'[2]побудинковий звіт'!CM181+'[1]побудинковий звіт'!CM181</f>
        <v>19857.502000558157</v>
      </c>
      <c r="CN181" s="55">
        <f t="shared" si="157"/>
        <v>5012.7592180512511</v>
      </c>
      <c r="CO181" s="41">
        <f t="shared" si="158"/>
        <v>43206.342973195657</v>
      </c>
      <c r="CP181" s="42">
        <f t="shared" si="159"/>
        <v>43090.795493478057</v>
      </c>
      <c r="CQ181" s="55">
        <f t="shared" si="160"/>
        <v>-115.54747971759934</v>
      </c>
      <c r="CR181" s="76">
        <f t="shared" si="161"/>
        <v>495968.79275635799</v>
      </c>
      <c r="CS181" s="5">
        <f t="shared" si="162"/>
        <v>575733.82977085956</v>
      </c>
      <c r="CT181" s="55">
        <f t="shared" si="163"/>
        <v>79765.037014501577</v>
      </c>
      <c r="CU181" s="84">
        <f t="shared" si="164"/>
        <v>595162.55130762956</v>
      </c>
      <c r="CV181" s="68">
        <f t="shared" si="165"/>
        <v>690880.59572503145</v>
      </c>
      <c r="CW181" s="36">
        <f t="shared" si="166"/>
        <v>95718.044417401892</v>
      </c>
      <c r="CX181" s="41">
        <f>'[2]побудинковий звіт'!CX181+'[1]побудинковий звіт'!CX181</f>
        <v>16301.005999847308</v>
      </c>
      <c r="CY181" s="41">
        <f>'[2]побудинковий звіт'!CY181+'[1]побудинковий звіт'!CY181</f>
        <v>-79417.038417554606</v>
      </c>
      <c r="CZ181" s="55">
        <f t="shared" si="167"/>
        <v>-95718.044417401921</v>
      </c>
      <c r="DA181" s="254">
        <f>'[1]побудинковий звіт'!DA181</f>
        <v>13455.277253747132</v>
      </c>
      <c r="DB181" s="2">
        <v>1</v>
      </c>
      <c r="DC181" s="702">
        <f>'[1]побудинковий звіт'!DC181</f>
        <v>81040.740000000005</v>
      </c>
      <c r="DD181" s="702">
        <f>'[1]побудинковий звіт'!DD181</f>
        <v>0</v>
      </c>
      <c r="DE181" s="702">
        <f>'[1]побудинковий звіт'!DE181</f>
        <v>14056.850000000006</v>
      </c>
      <c r="DF181" s="702">
        <f>'[1]побудинковий звіт'!DF181</f>
        <v>0</v>
      </c>
      <c r="DG181" s="772">
        <v>-53658.112336913124</v>
      </c>
      <c r="DH181" s="746">
        <f t="shared" si="168"/>
        <v>7337562.6876897225</v>
      </c>
      <c r="DI181" s="769"/>
      <c r="DJ181" s="5"/>
      <c r="DK181" s="307">
        <f>VLOOKUP($A181,ціни!$A$4:$G$401,5)</f>
        <v>6.321812078880054</v>
      </c>
      <c r="DL181" s="307">
        <f>VLOOKUP($A181,ціни!$A$4:$G$401,6)</f>
        <v>8.2220993330953238</v>
      </c>
      <c r="DM181" s="307">
        <f>VLOOKUP($A181,ціни!$A$4:$G$401,7)</f>
        <v>5.2760407988167168</v>
      </c>
      <c r="DN181" s="29">
        <f>DK181*G181+(F181-G181)*DL181</f>
        <v>48093.526225862639</v>
      </c>
      <c r="DO181" s="29">
        <f>DM181*H181</f>
        <v>0</v>
      </c>
      <c r="DP181" s="306">
        <f t="shared" si="169"/>
        <v>48093.526225862639</v>
      </c>
      <c r="DQ181" s="101"/>
      <c r="DR181" s="29">
        <f>VLOOKUP(A181,'ДЗ нас '!$A$1:$C$359,2)</f>
        <v>48093.51</v>
      </c>
      <c r="DS181" s="733"/>
      <c r="DT181" s="29">
        <f t="shared" si="170"/>
        <v>48093.51</v>
      </c>
      <c r="DU181" s="247">
        <f>VLOOKUP(A181,'новий кошторис с 01.06'!$A$4:$AI$399,35)*1.2</f>
        <v>48333.91233781237</v>
      </c>
      <c r="DV181" s="29">
        <f t="shared" si="171"/>
        <v>-240.40233781236748</v>
      </c>
      <c r="DW181" s="1016">
        <f>'[2]побудинковий звіт'!$DW$9+'[1]побудинковий звіт'!DW181</f>
        <v>1242</v>
      </c>
      <c r="DX181" s="101">
        <f>'[1]побудинковий звіт'!DX181</f>
        <v>0</v>
      </c>
      <c r="DY181" s="5">
        <f t="shared" si="172"/>
        <v>144674.54802979779</v>
      </c>
      <c r="DZ181" s="5">
        <f t="shared" si="173"/>
        <v>313117.77434227936</v>
      </c>
      <c r="EA181" s="737">
        <f t="shared" si="174"/>
        <v>14056.850000000006</v>
      </c>
      <c r="EC181" s="577">
        <f t="shared" si="175"/>
        <v>1333058.8731205661</v>
      </c>
      <c r="EE181" s="743">
        <v>9914</v>
      </c>
      <c r="EF181" s="723">
        <f t="shared" si="176"/>
        <v>-43744.112336913124</v>
      </c>
      <c r="EH181" s="798">
        <v>-27970.010296648696</v>
      </c>
      <c r="EI181" s="101">
        <f>VLOOKUP(A181,'кошти 01.01.24'!$A$9:$D$352,4,FALSE)</f>
        <v>-82262.767163654687</v>
      </c>
    </row>
    <row r="182" spans="1:139" hidden="1" x14ac:dyDescent="0.3">
      <c r="A182" s="318">
        <v>150000537</v>
      </c>
      <c r="B182" s="43" t="s">
        <v>613</v>
      </c>
      <c r="C182" s="44" t="s">
        <v>105</v>
      </c>
      <c r="D182" s="44" t="s">
        <v>105</v>
      </c>
      <c r="E182" s="39">
        <f t="shared" si="125"/>
        <v>108.3</v>
      </c>
      <c r="F182" s="205">
        <f>'[1]побудинковий звіт'!F182</f>
        <v>108.3</v>
      </c>
      <c r="G182" s="29">
        <f>'[1]побудинковий звіт'!G182</f>
        <v>0</v>
      </c>
      <c r="H182" s="148">
        <f>'[1]побудинковий звіт'!H182</f>
        <v>0</v>
      </c>
      <c r="I182" s="41">
        <f>'[2]побудинковий звіт'!I182+'[1]побудинковий звіт'!I182</f>
        <v>0</v>
      </c>
      <c r="J182" s="41">
        <f>'[2]побудинковий звіт'!J182+'[1]побудинковий звіт'!J182</f>
        <v>0</v>
      </c>
      <c r="K182" s="55">
        <f t="shared" si="126"/>
        <v>0</v>
      </c>
      <c r="L182" s="41">
        <f>'[2]побудинковий звіт'!L182+'[1]побудинковий звіт'!L182</f>
        <v>0</v>
      </c>
      <c r="M182" s="41">
        <f>'[2]побудинковий звіт'!M182+'[1]побудинковий звіт'!M182</f>
        <v>0</v>
      </c>
      <c r="N182" s="55">
        <f t="shared" si="127"/>
        <v>0</v>
      </c>
      <c r="O182" s="41">
        <f>'[2]побудинковий звіт'!O182+'[1]побудинковий звіт'!O182</f>
        <v>0</v>
      </c>
      <c r="P182" s="41">
        <f>'[2]побудинковий звіт'!P182+'[1]побудинковий звіт'!P182</f>
        <v>0</v>
      </c>
      <c r="Q182" s="55">
        <f t="shared" si="128"/>
        <v>0</v>
      </c>
      <c r="R182" s="41">
        <f>'[2]побудинковий звіт'!R182+'[1]побудинковий звіт'!R182</f>
        <v>0</v>
      </c>
      <c r="S182" s="41">
        <f>'[2]побудинковий звіт'!S182+'[1]побудинковий звіт'!S182</f>
        <v>0</v>
      </c>
      <c r="T182" s="55">
        <f t="shared" si="129"/>
        <v>0</v>
      </c>
      <c r="U182" s="41">
        <f>'[2]побудинковий звіт'!U182+'[1]побудинковий звіт'!U182</f>
        <v>0</v>
      </c>
      <c r="V182" s="41">
        <f>'[2]побудинковий звіт'!V182+'[1]побудинковий звіт'!V182</f>
        <v>0</v>
      </c>
      <c r="W182" s="55">
        <f t="shared" si="130"/>
        <v>0</v>
      </c>
      <c r="X182" s="41">
        <f>'[2]побудинковий звіт'!X182+'[1]побудинковий звіт'!X182</f>
        <v>0</v>
      </c>
      <c r="Y182" s="41">
        <f>'[2]побудинковий звіт'!Y182+'[1]побудинковий звіт'!Y182</f>
        <v>0</v>
      </c>
      <c r="Z182" s="55">
        <f t="shared" si="131"/>
        <v>0</v>
      </c>
      <c r="AA182" s="41">
        <f>'[2]побудинковий звіт'!AA182+'[1]побудинковий звіт'!AA182</f>
        <v>0</v>
      </c>
      <c r="AB182" s="41">
        <f>'[2]побудинковий звіт'!AB182+'[1]побудинковий звіт'!AB182</f>
        <v>0</v>
      </c>
      <c r="AC182" s="55">
        <f t="shared" si="132"/>
        <v>0</v>
      </c>
      <c r="AD182" s="41">
        <f>'[2]побудинковий звіт'!AD182+'[1]побудинковий звіт'!AD182</f>
        <v>0</v>
      </c>
      <c r="AE182" s="41">
        <f>'[2]побудинковий звіт'!AE182+'[1]побудинковий звіт'!AE182</f>
        <v>0</v>
      </c>
      <c r="AF182" s="36">
        <f t="shared" si="133"/>
        <v>0</v>
      </c>
      <c r="AG182" s="84">
        <f t="shared" si="134"/>
        <v>0</v>
      </c>
      <c r="AH182" s="56">
        <f t="shared" si="135"/>
        <v>0</v>
      </c>
      <c r="AI182" s="55">
        <f t="shared" si="136"/>
        <v>0</v>
      </c>
      <c r="AJ182" s="41">
        <f>'[2]побудинковий звіт'!AJ182+'[1]побудинковий звіт'!AJ182</f>
        <v>0</v>
      </c>
      <c r="AK182" s="41">
        <f>'[2]побудинковий звіт'!AK182+'[1]побудинковий звіт'!AK182</f>
        <v>0</v>
      </c>
      <c r="AL182" s="55">
        <f t="shared" si="137"/>
        <v>0</v>
      </c>
      <c r="AM182" s="41">
        <f>'[2]побудинковий звіт'!AM182+'[1]побудинковий звіт'!AM182</f>
        <v>0</v>
      </c>
      <c r="AN182" s="41">
        <f>'[2]побудинковий звіт'!AN182+'[1]побудинковий звіт'!AN182</f>
        <v>0</v>
      </c>
      <c r="AO182" s="55">
        <f t="shared" si="138"/>
        <v>0</v>
      </c>
      <c r="AP182" s="41">
        <f>'[2]побудинковий звіт'!AP182+'[1]побудинковий звіт'!AP182</f>
        <v>474.79778832779908</v>
      </c>
      <c r="AQ182" s="41">
        <f>'[2]побудинковий звіт'!AQ182+'[1]побудинковий звіт'!AQ182</f>
        <v>210.71307634741686</v>
      </c>
      <c r="AR182" s="55">
        <f t="shared" si="139"/>
        <v>-264.08471198038222</v>
      </c>
      <c r="AS182" s="41">
        <f>'[2]побудинковий звіт'!AS182+'[1]побудинковий звіт'!AS182</f>
        <v>136.73379999999997</v>
      </c>
      <c r="AT182" s="41">
        <f>'[2]побудинковий звіт'!AT182+'[1]побудинковий звіт'!AT182</f>
        <v>0</v>
      </c>
      <c r="AU182" s="57">
        <f t="shared" si="140"/>
        <v>-136.73379999999997</v>
      </c>
      <c r="AV182" s="41">
        <f>'[2]побудинковий звіт'!AV182+'[1]побудинковий звіт'!AV182</f>
        <v>0</v>
      </c>
      <c r="AW182" s="41">
        <f>'[2]побудинковий звіт'!AW182+'[1]побудинковий звіт'!AW182</f>
        <v>0</v>
      </c>
      <c r="AX182" s="58">
        <f t="shared" si="141"/>
        <v>0</v>
      </c>
      <c r="AY182" s="41">
        <f>'[2]побудинковий звіт'!AY182+'[1]побудинковий звіт'!AY182</f>
        <v>0</v>
      </c>
      <c r="AZ182" s="41">
        <f>'[2]побудинковий звіт'!AZ182+'[1]побудинковий звіт'!AZ182</f>
        <v>0</v>
      </c>
      <c r="BA182" s="36">
        <f t="shared" si="142"/>
        <v>0</v>
      </c>
      <c r="BB182" s="41">
        <f>'[2]побудинковий звіт'!BB182+'[1]побудинковий звіт'!BB182</f>
        <v>0</v>
      </c>
      <c r="BC182" s="41">
        <f>'[2]побудинковий звіт'!BC182+'[1]побудинковий звіт'!BC182</f>
        <v>0</v>
      </c>
      <c r="BD182" s="58">
        <f t="shared" si="143"/>
        <v>0</v>
      </c>
      <c r="BE182" s="41">
        <f>'[2]побудинковий звіт'!BE182+'[1]побудинковий звіт'!BE182</f>
        <v>0</v>
      </c>
      <c r="BF182" s="41">
        <f>'[2]побудинковий звіт'!BF182+'[1]побудинковий звіт'!BF182</f>
        <v>0</v>
      </c>
      <c r="BG182" s="38">
        <f t="shared" si="144"/>
        <v>0</v>
      </c>
      <c r="BH182" s="41">
        <f>'[2]побудинковий звіт'!BH182+'[1]побудинковий звіт'!BH182</f>
        <v>0</v>
      </c>
      <c r="BI182" s="41">
        <f>'[2]побудинковий звіт'!BI182+'[1]побудинковий звіт'!BI182</f>
        <v>0</v>
      </c>
      <c r="BJ182" s="58">
        <f t="shared" si="145"/>
        <v>0</v>
      </c>
      <c r="BK182" s="41">
        <f>'[2]побудинковий звіт'!BK182+'[1]побудинковий звіт'!BK182</f>
        <v>0</v>
      </c>
      <c r="BL182" s="41">
        <f>'[2]побудинковий звіт'!BL182+'[1]побудинковий звіт'!BL182</f>
        <v>0</v>
      </c>
      <c r="BM182" s="38">
        <f t="shared" si="146"/>
        <v>0</v>
      </c>
      <c r="BN182" s="41">
        <f>'[2]побудинковий звіт'!BN182+'[1]побудинковий звіт'!BN182</f>
        <v>0</v>
      </c>
      <c r="BO182" s="41">
        <f>'[2]побудинковий звіт'!BO182+'[1]побудинковий звіт'!BO182</f>
        <v>0</v>
      </c>
      <c r="BP182" s="58">
        <f t="shared" si="147"/>
        <v>0</v>
      </c>
      <c r="BQ182" s="84">
        <f t="shared" si="148"/>
        <v>0</v>
      </c>
      <c r="BR182" s="42">
        <f t="shared" si="149"/>
        <v>0</v>
      </c>
      <c r="BS182" s="58">
        <f t="shared" si="150"/>
        <v>0</v>
      </c>
      <c r="BT182" s="41">
        <f>'[2]побудинковий звіт'!BT182+'[1]побудинковий звіт'!BT182</f>
        <v>0</v>
      </c>
      <c r="BU182" s="41">
        <f>'[2]побудинковий звіт'!BU182+'[1]побудинковий звіт'!BU182</f>
        <v>0</v>
      </c>
      <c r="BV182" s="55">
        <f t="shared" si="151"/>
        <v>0</v>
      </c>
      <c r="BW182" s="41">
        <f>'[2]побудинковий звіт'!BW182+'[1]побудинковий звіт'!BW182</f>
        <v>0</v>
      </c>
      <c r="BX182" s="41">
        <f>'[2]побудинковий звіт'!BX182+'[1]побудинковий звіт'!BX182</f>
        <v>0.44081264408893139</v>
      </c>
      <c r="BY182" s="55">
        <f t="shared" si="152"/>
        <v>0.44081264408893139</v>
      </c>
      <c r="BZ182" s="41">
        <f>'[2]побудинковий звіт'!BZ182+'[1]побудинковий звіт'!BZ182</f>
        <v>0</v>
      </c>
      <c r="CA182" s="41">
        <f>'[2]побудинковий звіт'!CA182+'[1]побудинковий звіт'!CA182</f>
        <v>0</v>
      </c>
      <c r="CB182" s="55">
        <f t="shared" si="153"/>
        <v>0</v>
      </c>
      <c r="CC182" s="41">
        <f>'[2]побудинковий звіт'!CC182+'[1]побудинковий звіт'!CC182</f>
        <v>0</v>
      </c>
      <c r="CD182" s="41">
        <f>'[2]побудинковий звіт'!CD182+'[1]побудинковий звіт'!CD182</f>
        <v>0</v>
      </c>
      <c r="CE182" s="55">
        <f t="shared" si="154"/>
        <v>0</v>
      </c>
      <c r="CF182" s="41">
        <f>'[2]побудинковий звіт'!CF182+'[1]побудинковий звіт'!CF182</f>
        <v>0</v>
      </c>
      <c r="CG182" s="41">
        <f>'[2]побудинковий звіт'!CG182+'[1]побудинковий звіт'!CG182</f>
        <v>0</v>
      </c>
      <c r="CH182" s="55">
        <f t="shared" si="155"/>
        <v>0</v>
      </c>
      <c r="CI182" s="41">
        <f>'[2]побудинковий звіт'!CI182+'[1]побудинковий звіт'!CI182</f>
        <v>0</v>
      </c>
      <c r="CJ182" s="41">
        <f>'[2]побудинковий звіт'!CJ182+'[1]побудинковий звіт'!CJ182</f>
        <v>0</v>
      </c>
      <c r="CK182" s="55">
        <f t="shared" si="156"/>
        <v>0</v>
      </c>
      <c r="CL182" s="41">
        <f>'[2]побудинковий звіт'!CL182+'[1]побудинковий звіт'!CL182</f>
        <v>0</v>
      </c>
      <c r="CM182" s="41">
        <f>'[2]побудинковий звіт'!CM182+'[1]побудинковий звіт'!CM182</f>
        <v>0</v>
      </c>
      <c r="CN182" s="55">
        <f t="shared" si="157"/>
        <v>0</v>
      </c>
      <c r="CO182" s="41">
        <f t="shared" si="158"/>
        <v>0</v>
      </c>
      <c r="CP182" s="42">
        <f t="shared" si="159"/>
        <v>0</v>
      </c>
      <c r="CQ182" s="55">
        <f t="shared" si="160"/>
        <v>0</v>
      </c>
      <c r="CR182" s="76">
        <f t="shared" si="161"/>
        <v>611.531588327799</v>
      </c>
      <c r="CS182" s="5">
        <f t="shared" si="162"/>
        <v>211.1538889915058</v>
      </c>
      <c r="CT182" s="55">
        <f t="shared" si="163"/>
        <v>-400.37769933629318</v>
      </c>
      <c r="CU182" s="84">
        <f t="shared" si="164"/>
        <v>733.83790599335873</v>
      </c>
      <c r="CV182" s="68">
        <f t="shared" si="165"/>
        <v>253.38466678980694</v>
      </c>
      <c r="CW182" s="36">
        <f t="shared" si="166"/>
        <v>-480.45323920355179</v>
      </c>
      <c r="CX182" s="41">
        <f>'[2]побудинковий звіт'!CX182+'[1]побудинковий звіт'!CX182</f>
        <v>6.9528126697459847</v>
      </c>
      <c r="CY182" s="41">
        <f>'[2]побудинковий звіт'!CY182+'[1]побудинковий звіт'!CY182</f>
        <v>487.406051873298</v>
      </c>
      <c r="CZ182" s="55">
        <f t="shared" si="167"/>
        <v>480.45323920355202</v>
      </c>
      <c r="DA182" s="254">
        <f>'[1]побудинковий звіт'!DA182</f>
        <v>-985.53462612155249</v>
      </c>
      <c r="DB182" s="2">
        <v>2</v>
      </c>
      <c r="DC182" s="702">
        <f>'[1]побудинковий звіт'!DC182</f>
        <v>77.010000000000005</v>
      </c>
      <c r="DD182" s="702">
        <f>'[1]побудинковий звіт'!DD182</f>
        <v>0</v>
      </c>
      <c r="DE182" s="702">
        <f>'[1]побудинковий звіт'!DE182</f>
        <v>0</v>
      </c>
      <c r="DF182" s="702">
        <f>'[1]побудинковий звіт'!DF182</f>
        <v>0</v>
      </c>
      <c r="DG182" s="772">
        <v>-626.66455300547432</v>
      </c>
      <c r="DH182" s="746">
        <f t="shared" si="168"/>
        <v>8889.488623957257</v>
      </c>
      <c r="DI182" s="769"/>
      <c r="DJ182" s="5"/>
      <c r="DK182" s="307">
        <f>VLOOKUP($A182,ціни!$A$4:$G$401,5)</f>
        <v>0.543503175717583</v>
      </c>
      <c r="DL182" s="307"/>
      <c r="DM182" s="307">
        <f>VLOOKUP($A182,ціни!$A$4:$G$401,7)</f>
        <v>0.543503175717583</v>
      </c>
      <c r="DN182" s="29">
        <f t="shared" ref="DN182:DN198" si="183">F182*DK182</f>
        <v>58.861393930214234</v>
      </c>
      <c r="DO182" s="29">
        <f t="shared" ref="DO182:DO198" si="184">H182*DM182</f>
        <v>0</v>
      </c>
      <c r="DP182" s="306">
        <f t="shared" si="169"/>
        <v>58.861393930214234</v>
      </c>
      <c r="DQ182" s="101"/>
      <c r="DR182" s="29">
        <f>VLOOKUP(A182,'ДЗ нас '!$A$1:$C$359,2)</f>
        <v>58.86</v>
      </c>
      <c r="DS182" s="733"/>
      <c r="DT182" s="29">
        <f t="shared" si="170"/>
        <v>58.86</v>
      </c>
      <c r="DU182" s="247">
        <f>VLOOKUP(A182,'новий кошторис с 01.06'!$A$4:$AI$399,35)*1.2</f>
        <v>58.861393930214234</v>
      </c>
      <c r="DV182" s="29">
        <f t="shared" si="171"/>
        <v>-1.3939302142347287E-3</v>
      </c>
      <c r="DW182" s="1016">
        <f>'[2]побудинковий звіт'!$DW$9+'[1]побудинковий звіт'!DW182</f>
        <v>0</v>
      </c>
      <c r="DX182" s="101">
        <f>'[1]побудинковий звіт'!DX182</f>
        <v>0</v>
      </c>
      <c r="DY182" s="5">
        <f t="shared" si="172"/>
        <v>164.08055999999996</v>
      </c>
      <c r="DZ182" s="5">
        <f t="shared" si="173"/>
        <v>0</v>
      </c>
      <c r="EA182" s="737">
        <f t="shared" si="174"/>
        <v>0</v>
      </c>
      <c r="EC182" s="577">
        <f t="shared" si="175"/>
        <v>1640.8055999999997</v>
      </c>
      <c r="EE182" s="743">
        <v>529</v>
      </c>
      <c r="EF182" s="723">
        <f t="shared" si="176"/>
        <v>-97.664553005474318</v>
      </c>
      <c r="EH182" s="798">
        <v>-1011.1054736414321</v>
      </c>
      <c r="EI182" s="101">
        <f>VLOOKUP(A182,'кошти 01.01.24'!$A$9:$D$352,4,FALSE)</f>
        <v>-505.08138691800065</v>
      </c>
    </row>
    <row r="183" spans="1:139" ht="14.4" hidden="1" customHeight="1" x14ac:dyDescent="0.3">
      <c r="A183" s="318">
        <v>150000502</v>
      </c>
      <c r="B183" s="43" t="s">
        <v>616</v>
      </c>
      <c r="C183" s="44" t="s">
        <v>108</v>
      </c>
      <c r="D183" s="44" t="s">
        <v>108</v>
      </c>
      <c r="E183" s="39">
        <f t="shared" si="125"/>
        <v>137.30000000000001</v>
      </c>
      <c r="F183" s="205">
        <f>'[1]побудинковий звіт'!F183</f>
        <v>137.30000000000001</v>
      </c>
      <c r="G183" s="29">
        <f>'[1]побудинковий звіт'!G183</f>
        <v>0</v>
      </c>
      <c r="H183" s="148">
        <f>'[1]побудинковий звіт'!H183</f>
        <v>0</v>
      </c>
      <c r="I183" s="41">
        <f>'[2]побудинковий звіт'!I183+'[1]побудинковий звіт'!I183</f>
        <v>0</v>
      </c>
      <c r="J183" s="41">
        <f>'[2]побудинковий звіт'!J183+'[1]побудинковий звіт'!J183</f>
        <v>0</v>
      </c>
      <c r="K183" s="55">
        <f t="shared" si="126"/>
        <v>0</v>
      </c>
      <c r="L183" s="41">
        <f>'[2]побудинковий звіт'!L183+'[1]побудинковий звіт'!L183</f>
        <v>0</v>
      </c>
      <c r="M183" s="41">
        <f>'[2]побудинковий звіт'!M183+'[1]побудинковий звіт'!M183</f>
        <v>0</v>
      </c>
      <c r="N183" s="55">
        <f t="shared" si="127"/>
        <v>0</v>
      </c>
      <c r="O183" s="41">
        <f>'[2]побудинковий звіт'!O183+'[1]побудинковий звіт'!O183</f>
        <v>0</v>
      </c>
      <c r="P183" s="41">
        <f>'[2]побудинковий звіт'!P183+'[1]побудинковий звіт'!P183</f>
        <v>0</v>
      </c>
      <c r="Q183" s="55">
        <f t="shared" si="128"/>
        <v>0</v>
      </c>
      <c r="R183" s="41">
        <f>'[2]побудинковий звіт'!R183+'[1]побудинковий звіт'!R183</f>
        <v>0</v>
      </c>
      <c r="S183" s="41">
        <f>'[2]побудинковий звіт'!S183+'[1]побудинковий звіт'!S183</f>
        <v>0</v>
      </c>
      <c r="T183" s="55">
        <f t="shared" si="129"/>
        <v>0</v>
      </c>
      <c r="U183" s="41">
        <f>'[2]побудинковий звіт'!U183+'[1]побудинковий звіт'!U183</f>
        <v>0</v>
      </c>
      <c r="V183" s="41">
        <f>'[2]побудинковий звіт'!V183+'[1]побудинковий звіт'!V183</f>
        <v>0</v>
      </c>
      <c r="W183" s="55">
        <f t="shared" si="130"/>
        <v>0</v>
      </c>
      <c r="X183" s="41">
        <f>'[2]побудинковий звіт'!X183+'[1]побудинковий звіт'!X183</f>
        <v>0</v>
      </c>
      <c r="Y183" s="41">
        <f>'[2]побудинковий звіт'!Y183+'[1]побудинковий звіт'!Y183</f>
        <v>0</v>
      </c>
      <c r="Z183" s="55">
        <f t="shared" si="131"/>
        <v>0</v>
      </c>
      <c r="AA183" s="41">
        <f>'[2]побудинковий звіт'!AA183+'[1]побудинковий звіт'!AA183</f>
        <v>0</v>
      </c>
      <c r="AB183" s="41">
        <f>'[2]побудинковий звіт'!AB183+'[1]побудинковий звіт'!AB183</f>
        <v>0</v>
      </c>
      <c r="AC183" s="55">
        <f t="shared" si="132"/>
        <v>0</v>
      </c>
      <c r="AD183" s="41">
        <f>'[2]побудинковий звіт'!AD183+'[1]побудинковий звіт'!AD183</f>
        <v>0</v>
      </c>
      <c r="AE183" s="41">
        <f>'[2]побудинковий звіт'!AE183+'[1]побудинковий звіт'!AE183</f>
        <v>0</v>
      </c>
      <c r="AF183" s="36">
        <f t="shared" si="133"/>
        <v>0</v>
      </c>
      <c r="AG183" s="84">
        <f t="shared" si="134"/>
        <v>0</v>
      </c>
      <c r="AH183" s="56">
        <f t="shared" si="135"/>
        <v>0</v>
      </c>
      <c r="AI183" s="55">
        <f t="shared" si="136"/>
        <v>0</v>
      </c>
      <c r="AJ183" s="41">
        <f>'[2]побудинковий звіт'!AJ183+'[1]побудинковий звіт'!AJ183</f>
        <v>0</v>
      </c>
      <c r="AK183" s="41">
        <f>'[2]побудинковий звіт'!AK183+'[1]побудинковий звіт'!AK183</f>
        <v>0</v>
      </c>
      <c r="AL183" s="55">
        <f t="shared" si="137"/>
        <v>0</v>
      </c>
      <c r="AM183" s="41">
        <f>'[2]побудинковий звіт'!AM183+'[1]побудинковий звіт'!AM183</f>
        <v>0</v>
      </c>
      <c r="AN183" s="41">
        <f>'[2]побудинковий звіт'!AN183+'[1]побудинковий звіт'!AN183</f>
        <v>0</v>
      </c>
      <c r="AO183" s="55">
        <f t="shared" si="138"/>
        <v>0</v>
      </c>
      <c r="AP183" s="41">
        <f>'[2]побудинковий звіт'!AP183+'[1]побудинковий звіт'!AP183</f>
        <v>268.15066885110389</v>
      </c>
      <c r="AQ183" s="41">
        <f>'[2]побудинковий звіт'!AQ183+'[1]побудинковий звіт'!AQ183</f>
        <v>140.47538423161123</v>
      </c>
      <c r="AR183" s="55">
        <f t="shared" si="139"/>
        <v>-127.67528461949266</v>
      </c>
      <c r="AS183" s="41">
        <f>'[2]побудинковий звіт'!AS183+'[1]побудинковий звіт'!AS183</f>
        <v>2127.8725313954633</v>
      </c>
      <c r="AT183" s="41">
        <f>'[2]побудинковий звіт'!AT183+'[1]побудинковий звіт'!AT183</f>
        <v>0</v>
      </c>
      <c r="AU183" s="57">
        <f t="shared" si="140"/>
        <v>-2127.8725313954633</v>
      </c>
      <c r="AV183" s="41">
        <f>'[2]побудинковий звіт'!AV183+'[1]побудинковий звіт'!AV183</f>
        <v>0</v>
      </c>
      <c r="AW183" s="41">
        <f>'[2]побудинковий звіт'!AW183+'[1]побудинковий звіт'!AW183</f>
        <v>0</v>
      </c>
      <c r="AX183" s="58">
        <f t="shared" si="141"/>
        <v>0</v>
      </c>
      <c r="AY183" s="41">
        <f>'[2]побудинковий звіт'!AY183+'[1]побудинковий звіт'!AY183</f>
        <v>0</v>
      </c>
      <c r="AZ183" s="41">
        <f>'[2]побудинковий звіт'!AZ183+'[1]побудинковий звіт'!AZ183</f>
        <v>0</v>
      </c>
      <c r="BA183" s="36">
        <f t="shared" si="142"/>
        <v>0</v>
      </c>
      <c r="BB183" s="41">
        <f>'[2]побудинковий звіт'!BB183+'[1]побудинковий звіт'!BB183</f>
        <v>0</v>
      </c>
      <c r="BC183" s="41">
        <f>'[2]побудинковий звіт'!BC183+'[1]побудинковий звіт'!BC183</f>
        <v>0</v>
      </c>
      <c r="BD183" s="58">
        <f t="shared" si="143"/>
        <v>0</v>
      </c>
      <c r="BE183" s="41">
        <f>'[2]побудинковий звіт'!BE183+'[1]побудинковий звіт'!BE183</f>
        <v>0</v>
      </c>
      <c r="BF183" s="41">
        <f>'[2]побудинковий звіт'!BF183+'[1]побудинковий звіт'!BF183</f>
        <v>0</v>
      </c>
      <c r="BG183" s="38">
        <f t="shared" si="144"/>
        <v>0</v>
      </c>
      <c r="BH183" s="41">
        <f>'[2]побудинковий звіт'!BH183+'[1]побудинковий звіт'!BH183</f>
        <v>0</v>
      </c>
      <c r="BI183" s="41">
        <f>'[2]побудинковий звіт'!BI183+'[1]побудинковий звіт'!BI183</f>
        <v>0</v>
      </c>
      <c r="BJ183" s="58">
        <f t="shared" si="145"/>
        <v>0</v>
      </c>
      <c r="BK183" s="41">
        <f>'[2]побудинковий звіт'!BK183+'[1]побудинковий звіт'!BK183</f>
        <v>0</v>
      </c>
      <c r="BL183" s="41">
        <f>'[2]побудинковий звіт'!BL183+'[1]побудинковий звіт'!BL183</f>
        <v>0</v>
      </c>
      <c r="BM183" s="38">
        <f t="shared" si="146"/>
        <v>0</v>
      </c>
      <c r="BN183" s="41">
        <f>'[2]побудинковий звіт'!BN183+'[1]побудинковий звіт'!BN183</f>
        <v>0</v>
      </c>
      <c r="BO183" s="41">
        <f>'[2]побудинковий звіт'!BO183+'[1]побудинковий звіт'!BO183</f>
        <v>2075.2383857599998</v>
      </c>
      <c r="BP183" s="58">
        <f t="shared" si="147"/>
        <v>2075.2383857599998</v>
      </c>
      <c r="BQ183" s="84">
        <f t="shared" si="148"/>
        <v>0</v>
      </c>
      <c r="BR183" s="42">
        <f t="shared" si="149"/>
        <v>2075.2383857599998</v>
      </c>
      <c r="BS183" s="58">
        <f t="shared" si="150"/>
        <v>2075.2383857599998</v>
      </c>
      <c r="BT183" s="41">
        <f>'[2]побудинковий звіт'!BT183+'[1]побудинковий звіт'!BT183</f>
        <v>0</v>
      </c>
      <c r="BU183" s="41">
        <f>'[2]побудинковий звіт'!BU183+'[1]побудинковий звіт'!BU183</f>
        <v>0</v>
      </c>
      <c r="BV183" s="55">
        <f t="shared" si="151"/>
        <v>0</v>
      </c>
      <c r="BW183" s="41">
        <f>'[2]побудинковий звіт'!BW183+'[1]побудинковий звіт'!BW183</f>
        <v>0</v>
      </c>
      <c r="BX183" s="41">
        <f>'[2]побудинковий звіт'!BX183+'[1]побудинковий звіт'!BX183</f>
        <v>0.55885111757534878</v>
      </c>
      <c r="BY183" s="55">
        <f t="shared" si="152"/>
        <v>0.55885111757534878</v>
      </c>
      <c r="BZ183" s="41">
        <f>'[2]побудинковий звіт'!BZ183+'[1]побудинковий звіт'!BZ183</f>
        <v>0</v>
      </c>
      <c r="CA183" s="41">
        <f>'[2]побудинковий звіт'!CA183+'[1]побудинковий звіт'!CA183</f>
        <v>0</v>
      </c>
      <c r="CB183" s="55">
        <f t="shared" si="153"/>
        <v>0</v>
      </c>
      <c r="CC183" s="41">
        <f>'[2]побудинковий звіт'!CC183+'[1]побудинковий звіт'!CC183</f>
        <v>0</v>
      </c>
      <c r="CD183" s="41">
        <f>'[2]побудинковий звіт'!CD183+'[1]побудинковий звіт'!CD183</f>
        <v>0</v>
      </c>
      <c r="CE183" s="55">
        <f t="shared" si="154"/>
        <v>0</v>
      </c>
      <c r="CF183" s="41">
        <f>'[2]побудинковий звіт'!CF183+'[1]побудинковий звіт'!CF183</f>
        <v>0</v>
      </c>
      <c r="CG183" s="41">
        <f>'[2]побудинковий звіт'!CG183+'[1]побудинковий звіт'!CG183</f>
        <v>0</v>
      </c>
      <c r="CH183" s="55">
        <f t="shared" si="155"/>
        <v>0</v>
      </c>
      <c r="CI183" s="41">
        <f>'[2]побудинковий звіт'!CI183+'[1]побудинковий звіт'!CI183</f>
        <v>0</v>
      </c>
      <c r="CJ183" s="41">
        <f>'[2]побудинковий звіт'!CJ183+'[1]побудинковий звіт'!CJ183</f>
        <v>0</v>
      </c>
      <c r="CK183" s="55">
        <f t="shared" si="156"/>
        <v>0</v>
      </c>
      <c r="CL183" s="41">
        <f>'[2]побудинковий звіт'!CL183+'[1]побудинковий звіт'!CL183</f>
        <v>0</v>
      </c>
      <c r="CM183" s="41">
        <f>'[2]побудинковий звіт'!CM183+'[1]побудинковий звіт'!CM183</f>
        <v>0</v>
      </c>
      <c r="CN183" s="55">
        <f t="shared" si="157"/>
        <v>0</v>
      </c>
      <c r="CO183" s="41">
        <f t="shared" si="158"/>
        <v>0</v>
      </c>
      <c r="CP183" s="42">
        <f t="shared" si="159"/>
        <v>0</v>
      </c>
      <c r="CQ183" s="55">
        <f t="shared" si="160"/>
        <v>0</v>
      </c>
      <c r="CR183" s="76">
        <f t="shared" si="161"/>
        <v>2396.0232002465673</v>
      </c>
      <c r="CS183" s="5">
        <f t="shared" si="162"/>
        <v>2216.2726211091863</v>
      </c>
      <c r="CT183" s="55">
        <f t="shared" si="163"/>
        <v>-179.75057913738101</v>
      </c>
      <c r="CU183" s="84">
        <f t="shared" si="164"/>
        <v>2875.2278402958805</v>
      </c>
      <c r="CV183" s="68">
        <f t="shared" si="165"/>
        <v>2659.5271453310233</v>
      </c>
      <c r="CW183" s="36">
        <f t="shared" si="166"/>
        <v>-215.70069496485712</v>
      </c>
      <c r="CX183" s="41">
        <f>'[2]побудинковий звіт'!CX183+'[1]побудинковий звіт'!CX183</f>
        <v>86.571225264049545</v>
      </c>
      <c r="CY183" s="41">
        <f>'[2]побудинковий звіт'!CY183+'[1]побудинковий звіт'!CY183</f>
        <v>302.27192022890739</v>
      </c>
      <c r="CZ183" s="55">
        <f t="shared" si="167"/>
        <v>215.70069496485786</v>
      </c>
      <c r="DA183" s="254">
        <f>'[1]побудинковий звіт'!DA183</f>
        <v>-6717.3808968298536</v>
      </c>
      <c r="DB183" s="2">
        <v>3</v>
      </c>
      <c r="DC183" s="702">
        <f>'[1]побудинковий звіт'!DC183</f>
        <v>365.1</v>
      </c>
      <c r="DD183" s="702">
        <f>'[1]побудинковий звіт'!DD183</f>
        <v>0</v>
      </c>
      <c r="DE183" s="702">
        <f>'[1]побудинковий звіт'!DE183</f>
        <v>40.110000000000014</v>
      </c>
      <c r="DF183" s="702">
        <f>'[1]побудинковий звіт'!DF183</f>
        <v>0</v>
      </c>
      <c r="DG183" s="772">
        <v>-3100.9429672461984</v>
      </c>
      <c r="DH183" s="746">
        <f t="shared" si="168"/>
        <v>35541.588786719163</v>
      </c>
      <c r="DI183" s="769"/>
      <c r="DJ183" s="5"/>
      <c r="DK183" s="307">
        <f>VLOOKUP($A183,ціни!$A$4:$G$401,5)</f>
        <v>1.690540024043897</v>
      </c>
      <c r="DL183" s="307"/>
      <c r="DM183" s="307">
        <f>VLOOKUP($A183,ціни!$A$4:$G$401,7)</f>
        <v>1.690540024043897</v>
      </c>
      <c r="DN183" s="29">
        <f t="shared" si="183"/>
        <v>232.11114530122708</v>
      </c>
      <c r="DO183" s="29">
        <f t="shared" si="184"/>
        <v>0</v>
      </c>
      <c r="DP183" s="306">
        <f t="shared" si="169"/>
        <v>232.11114530122708</v>
      </c>
      <c r="DQ183" s="101"/>
      <c r="DR183" s="29">
        <f>VLOOKUP(A183,'ДЗ нас '!$A$1:$C$359,2)</f>
        <v>232.11</v>
      </c>
      <c r="DS183" s="733"/>
      <c r="DT183" s="29">
        <f t="shared" si="170"/>
        <v>232.11</v>
      </c>
      <c r="DU183" s="247">
        <f>VLOOKUP(A183,'новий кошторис с 01.06'!$A$4:$AI$399,35)*1.2</f>
        <v>233.24339479050136</v>
      </c>
      <c r="DV183" s="29">
        <f t="shared" si="171"/>
        <v>-1.1333947905013417</v>
      </c>
      <c r="DW183" s="1016">
        <f>'[2]побудинковий звіт'!$DW$9+'[1]побудинковий звіт'!DW183</f>
        <v>0</v>
      </c>
      <c r="DX183" s="101">
        <f>'[1]побудинковий звіт'!DX183</f>
        <v>0</v>
      </c>
      <c r="DY183" s="5">
        <f t="shared" si="172"/>
        <v>2553.4470376745558</v>
      </c>
      <c r="DZ183" s="5">
        <f t="shared" si="173"/>
        <v>2490.2860629119996</v>
      </c>
      <c r="EA183" s="737">
        <f t="shared" si="174"/>
        <v>40.110000000000014</v>
      </c>
      <c r="EC183" s="577">
        <f t="shared" si="175"/>
        <v>25534.470376745558</v>
      </c>
      <c r="EE183" s="743">
        <v>-1956</v>
      </c>
      <c r="EF183" s="723">
        <f t="shared" si="176"/>
        <v>-5056.9429672461984</v>
      </c>
      <c r="EH183" s="798">
        <v>-4410.0008039373506</v>
      </c>
      <c r="EI183" s="101">
        <f>VLOOKUP(A183,'кошти 01.01.24'!$A$9:$D$352,4,FALSE)</f>
        <v>-6501.6802018649969</v>
      </c>
    </row>
    <row r="184" spans="1:139" hidden="1" x14ac:dyDescent="0.3">
      <c r="A184" s="318">
        <v>150000503</v>
      </c>
      <c r="B184" s="43" t="s">
        <v>617</v>
      </c>
      <c r="C184" s="44" t="s">
        <v>109</v>
      </c>
      <c r="D184" s="44" t="s">
        <v>109</v>
      </c>
      <c r="E184" s="39">
        <f t="shared" si="125"/>
        <v>211.6</v>
      </c>
      <c r="F184" s="205">
        <f>'[1]побудинковий звіт'!F184</f>
        <v>211.6</v>
      </c>
      <c r="G184" s="29">
        <f>'[1]побудинковий звіт'!G184</f>
        <v>0</v>
      </c>
      <c r="H184" s="148">
        <f>'[1]побудинковий звіт'!H184</f>
        <v>0</v>
      </c>
      <c r="I184" s="41">
        <f>'[2]побудинковий звіт'!I184+'[1]побудинковий звіт'!I184</f>
        <v>0.25003777123869808</v>
      </c>
      <c r="J184" s="41">
        <f>'[2]побудинковий звіт'!J184+'[1]побудинковий звіт'!J184</f>
        <v>0.26129325557677024</v>
      </c>
      <c r="K184" s="55">
        <f t="shared" si="126"/>
        <v>1.1255484338072164E-2</v>
      </c>
      <c r="L184" s="41">
        <f>'[2]побудинковий звіт'!L184+'[1]побудинковий звіт'!L184</f>
        <v>0</v>
      </c>
      <c r="M184" s="41">
        <f>'[2]побудинковий звіт'!M184+'[1]побудинковий звіт'!M184</f>
        <v>0</v>
      </c>
      <c r="N184" s="55">
        <f t="shared" si="127"/>
        <v>0</v>
      </c>
      <c r="O184" s="41">
        <f>'[2]побудинковий звіт'!O184+'[1]побудинковий звіт'!O184</f>
        <v>0</v>
      </c>
      <c r="P184" s="41">
        <f>'[2]побудинковий звіт'!P184+'[1]побудинковий звіт'!P184</f>
        <v>0</v>
      </c>
      <c r="Q184" s="55">
        <f t="shared" si="128"/>
        <v>0</v>
      </c>
      <c r="R184" s="41">
        <f>'[2]побудинковий звіт'!R184+'[1]побудинковий звіт'!R184</f>
        <v>0</v>
      </c>
      <c r="S184" s="41">
        <f>'[2]побудинковий звіт'!S184+'[1]побудинковий звіт'!S184</f>
        <v>0</v>
      </c>
      <c r="T184" s="55">
        <f t="shared" si="129"/>
        <v>0</v>
      </c>
      <c r="U184" s="41">
        <f>'[2]побудинковий звіт'!U184+'[1]побудинковий звіт'!U184</f>
        <v>0</v>
      </c>
      <c r="V184" s="41">
        <f>'[2]побудинковий звіт'!V184+'[1]побудинковий звіт'!V184</f>
        <v>0</v>
      </c>
      <c r="W184" s="55">
        <f t="shared" si="130"/>
        <v>0</v>
      </c>
      <c r="X184" s="41">
        <f>'[2]побудинковий звіт'!X184+'[1]побудинковий звіт'!X184</f>
        <v>0</v>
      </c>
      <c r="Y184" s="41">
        <f>'[2]побудинковий звіт'!Y184+'[1]побудинковий звіт'!Y184</f>
        <v>0</v>
      </c>
      <c r="Z184" s="55">
        <f t="shared" si="131"/>
        <v>0</v>
      </c>
      <c r="AA184" s="41">
        <f>'[2]побудинковий звіт'!AA184+'[1]побудинковий звіт'!AA184</f>
        <v>0</v>
      </c>
      <c r="AB184" s="41">
        <f>'[2]побудинковий звіт'!AB184+'[1]побудинковий звіт'!AB184</f>
        <v>0</v>
      </c>
      <c r="AC184" s="55">
        <f t="shared" si="132"/>
        <v>0</v>
      </c>
      <c r="AD184" s="41">
        <f>'[2]побудинковий звіт'!AD184+'[1]побудинковий звіт'!AD184</f>
        <v>0</v>
      </c>
      <c r="AE184" s="41">
        <f>'[2]побудинковий звіт'!AE184+'[1]побудинковий звіт'!AE184</f>
        <v>0</v>
      </c>
      <c r="AF184" s="36">
        <f t="shared" si="133"/>
        <v>0</v>
      </c>
      <c r="AG184" s="84">
        <f t="shared" si="134"/>
        <v>0.25003777123869808</v>
      </c>
      <c r="AH184" s="56">
        <f t="shared" si="135"/>
        <v>0.26129325557677024</v>
      </c>
      <c r="AI184" s="55">
        <f t="shared" si="136"/>
        <v>1.1255484338072164E-2</v>
      </c>
      <c r="AJ184" s="41">
        <f>'[2]побудинковий звіт'!AJ184+'[1]побудинковий звіт'!AJ184</f>
        <v>0</v>
      </c>
      <c r="AK184" s="41">
        <f>'[2]побудинковий звіт'!AK184+'[1]побудинковий звіт'!AK184</f>
        <v>0</v>
      </c>
      <c r="AL184" s="55">
        <f t="shared" si="137"/>
        <v>0</v>
      </c>
      <c r="AM184" s="41">
        <f>'[2]побудинковий звіт'!AM184+'[1]побудинковий звіт'!AM184</f>
        <v>0</v>
      </c>
      <c r="AN184" s="41">
        <f>'[2]побудинковий звіт'!AN184+'[1]побудинковий звіт'!AN184</f>
        <v>0</v>
      </c>
      <c r="AO184" s="55">
        <f t="shared" si="138"/>
        <v>0</v>
      </c>
      <c r="AP184" s="41">
        <f>'[2]побудинковий звіт'!AP184+'[1]побудинковий звіт'!AP184</f>
        <v>357.53422513480518</v>
      </c>
      <c r="AQ184" s="41">
        <f>'[2]побудинковий звіт'!AQ184+'[1]побудинковий звіт'!AQ184</f>
        <v>140.47538423161123</v>
      </c>
      <c r="AR184" s="55">
        <f t="shared" si="139"/>
        <v>-217.05884090319395</v>
      </c>
      <c r="AS184" s="41">
        <f>'[2]побудинковий звіт'!AS184+'[1]побудинковий звіт'!AS184</f>
        <v>3157.282067618482</v>
      </c>
      <c r="AT184" s="41">
        <f>'[2]побудинковий звіт'!AT184+'[1]побудинковий звіт'!AT184</f>
        <v>18218</v>
      </c>
      <c r="AU184" s="57">
        <f t="shared" si="140"/>
        <v>15060.717932381518</v>
      </c>
      <c r="AV184" s="41">
        <f>'[2]побудинковий звіт'!AV184+'[1]побудинковий звіт'!AV184</f>
        <v>1.2493973737299619E-2</v>
      </c>
      <c r="AW184" s="41">
        <f>'[2]побудинковий звіт'!AW184+'[1]побудинковий звіт'!AW184</f>
        <v>0</v>
      </c>
      <c r="AX184" s="58">
        <f t="shared" si="141"/>
        <v>-1.2493973737299619E-2</v>
      </c>
      <c r="AY184" s="41">
        <f>'[2]побудинковий звіт'!AY184+'[1]побудинковий звіт'!AY184</f>
        <v>0</v>
      </c>
      <c r="AZ184" s="41">
        <f>'[2]побудинковий звіт'!AZ184+'[1]побудинковий звіт'!AZ184</f>
        <v>0</v>
      </c>
      <c r="BA184" s="36">
        <f t="shared" si="142"/>
        <v>0</v>
      </c>
      <c r="BB184" s="41">
        <f>'[2]побудинковий звіт'!BB184+'[1]побудинковий звіт'!BB184</f>
        <v>0</v>
      </c>
      <c r="BC184" s="41">
        <f>'[2]побудинковий звіт'!BC184+'[1]побудинковий звіт'!BC184</f>
        <v>0</v>
      </c>
      <c r="BD184" s="58">
        <f t="shared" si="143"/>
        <v>0</v>
      </c>
      <c r="BE184" s="41">
        <f>'[2]побудинковий звіт'!BE184+'[1]побудинковий звіт'!BE184</f>
        <v>0</v>
      </c>
      <c r="BF184" s="41">
        <f>'[2]побудинковий звіт'!BF184+'[1]побудинковий звіт'!BF184</f>
        <v>0</v>
      </c>
      <c r="BG184" s="38">
        <f t="shared" si="144"/>
        <v>0</v>
      </c>
      <c r="BH184" s="41">
        <f>'[2]побудинковий звіт'!BH184+'[1]побудинковий звіт'!BH184</f>
        <v>0</v>
      </c>
      <c r="BI184" s="41">
        <f>'[2]побудинковий звіт'!BI184+'[1]побудинковий звіт'!BI184</f>
        <v>0</v>
      </c>
      <c r="BJ184" s="58">
        <f t="shared" si="145"/>
        <v>0</v>
      </c>
      <c r="BK184" s="41">
        <f>'[2]побудинковий звіт'!BK184+'[1]побудинковий звіт'!BK184</f>
        <v>0</v>
      </c>
      <c r="BL184" s="41">
        <f>'[2]побудинковий звіт'!BL184+'[1]побудинковий звіт'!BL184</f>
        <v>0</v>
      </c>
      <c r="BM184" s="38">
        <f t="shared" si="146"/>
        <v>0</v>
      </c>
      <c r="BN184" s="41">
        <f>'[2]побудинковий звіт'!BN184+'[1]побудинковий звіт'!BN184</f>
        <v>0</v>
      </c>
      <c r="BO184" s="41">
        <f>'[2]побудинковий звіт'!BO184+'[1]побудинковий звіт'!BO184</f>
        <v>4102.7062947599998</v>
      </c>
      <c r="BP184" s="58">
        <f t="shared" si="147"/>
        <v>4102.7062947599998</v>
      </c>
      <c r="BQ184" s="84">
        <f t="shared" si="148"/>
        <v>1.2493973737299619E-2</v>
      </c>
      <c r="BR184" s="42">
        <f t="shared" si="149"/>
        <v>4102.7062947599998</v>
      </c>
      <c r="BS184" s="58">
        <f t="shared" si="150"/>
        <v>4102.6938007862627</v>
      </c>
      <c r="BT184" s="41">
        <f>'[2]побудинковий звіт'!BT184+'[1]побудинковий звіт'!BT184</f>
        <v>0</v>
      </c>
      <c r="BU184" s="41">
        <f>'[2]побудинковий звіт'!BU184+'[1]побудинковий звіт'!BU184</f>
        <v>0</v>
      </c>
      <c r="BV184" s="55">
        <f t="shared" si="151"/>
        <v>0</v>
      </c>
      <c r="BW184" s="41">
        <f>'[2]побудинковий звіт'!BW184+'[1]побудинковий звіт'!BW184</f>
        <v>0</v>
      </c>
      <c r="BX184" s="41">
        <f>'[2]побудинковий звіт'!BX184+'[1]побудинковий звіт'!BX184</f>
        <v>0.86127382723192869</v>
      </c>
      <c r="BY184" s="55">
        <f t="shared" si="152"/>
        <v>0.86127382723192869</v>
      </c>
      <c r="BZ184" s="41">
        <f>'[2]побудинковий звіт'!BZ184+'[1]побудинковий звіт'!BZ184</f>
        <v>0</v>
      </c>
      <c r="CA184" s="41">
        <f>'[2]побудинковий звіт'!CA184+'[1]побудинковий звіт'!CA184</f>
        <v>0</v>
      </c>
      <c r="CB184" s="55">
        <f t="shared" si="153"/>
        <v>0</v>
      </c>
      <c r="CC184" s="41">
        <f>'[2]побудинковий звіт'!CC184+'[1]побудинковий звіт'!CC184</f>
        <v>0</v>
      </c>
      <c r="CD184" s="41">
        <f>'[2]побудинковий звіт'!CD184+'[1]побудинковий звіт'!CD184</f>
        <v>0</v>
      </c>
      <c r="CE184" s="55">
        <f t="shared" si="154"/>
        <v>0</v>
      </c>
      <c r="CF184" s="41">
        <f>'[2]побудинковий звіт'!CF184+'[1]побудинковий звіт'!CF184</f>
        <v>0</v>
      </c>
      <c r="CG184" s="41">
        <f>'[2]побудинковий звіт'!CG184+'[1]побудинковий звіт'!CG184</f>
        <v>0</v>
      </c>
      <c r="CH184" s="55">
        <f t="shared" si="155"/>
        <v>0</v>
      </c>
      <c r="CI184" s="41">
        <f>'[2]побудинковий звіт'!CI184+'[1]побудинковий звіт'!CI184</f>
        <v>0</v>
      </c>
      <c r="CJ184" s="41">
        <f>'[2]побудинковий звіт'!CJ184+'[1]побудинковий звіт'!CJ184</f>
        <v>0</v>
      </c>
      <c r="CK184" s="55">
        <f t="shared" si="156"/>
        <v>0</v>
      </c>
      <c r="CL184" s="41">
        <f>'[2]побудинковий звіт'!CL184+'[1]побудинковий звіт'!CL184</f>
        <v>0</v>
      </c>
      <c r="CM184" s="41">
        <f>'[2]побудинковий звіт'!CM184+'[1]побудинковий звіт'!CM184</f>
        <v>0</v>
      </c>
      <c r="CN184" s="55">
        <f t="shared" si="157"/>
        <v>0</v>
      </c>
      <c r="CO184" s="41">
        <f t="shared" si="158"/>
        <v>0</v>
      </c>
      <c r="CP184" s="42">
        <f t="shared" si="159"/>
        <v>0</v>
      </c>
      <c r="CQ184" s="55">
        <f t="shared" si="160"/>
        <v>0</v>
      </c>
      <c r="CR184" s="76">
        <f t="shared" si="161"/>
        <v>3515.0788244982632</v>
      </c>
      <c r="CS184" s="5">
        <f t="shared" si="162"/>
        <v>22462.304246074418</v>
      </c>
      <c r="CT184" s="55">
        <f t="shared" si="163"/>
        <v>18947.225421576157</v>
      </c>
      <c r="CU184" s="84">
        <f t="shared" si="164"/>
        <v>4218.094589397916</v>
      </c>
      <c r="CV184" s="68">
        <f t="shared" si="165"/>
        <v>26954.765095289302</v>
      </c>
      <c r="CW184" s="36">
        <f t="shared" si="166"/>
        <v>22736.670505891387</v>
      </c>
      <c r="CX184" s="41">
        <f>'[2]побудинковий звіт'!CX184+'[1]побудинковий звіт'!CX184</f>
        <v>126.89455976085966</v>
      </c>
      <c r="CY184" s="41">
        <f>'[2]побудинковий звіт'!CY184+'[1]побудинковий звіт'!CY184</f>
        <v>-22609.775946130529</v>
      </c>
      <c r="CZ184" s="55">
        <f t="shared" si="167"/>
        <v>-22736.670505891387</v>
      </c>
      <c r="DA184" s="254">
        <f>'[1]побудинковий звіт'!DA184</f>
        <v>16467.875710561817</v>
      </c>
      <c r="DB184" s="2">
        <v>3</v>
      </c>
      <c r="DC184" s="702">
        <f>'[1]побудинковий звіт'!DC184</f>
        <v>548.66999999999996</v>
      </c>
      <c r="DD184" s="702">
        <f>'[1]побудинковий звіт'!DD184</f>
        <v>0</v>
      </c>
      <c r="DE184" s="702">
        <f>'[1]побудинковий звіт'!DE184</f>
        <v>74.689999999999941</v>
      </c>
      <c r="DF184" s="702">
        <f>'[1]побудинковий звіт'!DF184</f>
        <v>0</v>
      </c>
      <c r="DG184" s="772">
        <v>-1227.7808439325581</v>
      </c>
      <c r="DH184" s="746">
        <f t="shared" si="168"/>
        <v>52139.869789905308</v>
      </c>
      <c r="DI184" s="769"/>
      <c r="DJ184" s="5"/>
      <c r="DK184" s="307">
        <f>VLOOKUP($A184,ціни!$A$4:$G$401,5)</f>
        <v>1.611673123366997</v>
      </c>
      <c r="DL184" s="307"/>
      <c r="DM184" s="307">
        <f>VLOOKUP($A184,ціни!$A$4:$G$401,7)</f>
        <v>1.611673123366997</v>
      </c>
      <c r="DN184" s="29">
        <f t="shared" si="183"/>
        <v>341.03003290445656</v>
      </c>
      <c r="DO184" s="29">
        <f t="shared" si="184"/>
        <v>0</v>
      </c>
      <c r="DP184" s="306">
        <f t="shared" si="169"/>
        <v>341.03003290445656</v>
      </c>
      <c r="DQ184" s="101"/>
      <c r="DR184" s="29">
        <f>VLOOKUP(A184,'ДЗ нас '!$A$1:$C$359,2)</f>
        <v>341.03</v>
      </c>
      <c r="DS184" s="733"/>
      <c r="DT184" s="29">
        <f t="shared" si="170"/>
        <v>341.03</v>
      </c>
      <c r="DU184" s="247">
        <f>VLOOKUP(A184,'новий кошторис с 01.06'!$A$4:$AI$399,35)*1.2</f>
        <v>342.69359404057587</v>
      </c>
      <c r="DV184" s="29">
        <f t="shared" si="171"/>
        <v>-1.6635940405759015</v>
      </c>
      <c r="DW184" s="1016">
        <f>'[2]побудинковий звіт'!$DW$9+'[1]побудинковий звіт'!DW184</f>
        <v>0</v>
      </c>
      <c r="DX184" s="101">
        <f>'[1]побудинковий звіт'!DX184</f>
        <v>0</v>
      </c>
      <c r="DY184" s="5">
        <f t="shared" si="172"/>
        <v>3788.7534739106632</v>
      </c>
      <c r="DZ184" s="5">
        <f t="shared" si="173"/>
        <v>26784.847553711999</v>
      </c>
      <c r="EA184" s="737">
        <f t="shared" si="174"/>
        <v>74.689999999999941</v>
      </c>
      <c r="EC184" s="577">
        <f t="shared" si="175"/>
        <v>37887.384811421784</v>
      </c>
      <c r="EE184" s="743">
        <v>-785</v>
      </c>
      <c r="EF184" s="723">
        <f t="shared" si="176"/>
        <v>-2012.7808439325581</v>
      </c>
      <c r="EH184" s="798">
        <v>-3173.3263563344262</v>
      </c>
      <c r="EI184" s="101">
        <f>VLOOKUP(A184,'кошти 01.01.24'!$A$9:$D$352,4,FALSE)</f>
        <v>-6268.7947953295698</v>
      </c>
    </row>
    <row r="185" spans="1:139" hidden="1" x14ac:dyDescent="0.3">
      <c r="A185" s="318">
        <v>150000504</v>
      </c>
      <c r="B185" s="43" t="s">
        <v>618</v>
      </c>
      <c r="C185" s="44" t="s">
        <v>110</v>
      </c>
      <c r="D185" s="44" t="s">
        <v>110</v>
      </c>
      <c r="E185" s="39">
        <f t="shared" si="125"/>
        <v>180.6</v>
      </c>
      <c r="F185" s="205">
        <f>'[1]побудинковий звіт'!F185</f>
        <v>180.6</v>
      </c>
      <c r="G185" s="29">
        <f>'[1]побудинковий звіт'!G185</f>
        <v>0</v>
      </c>
      <c r="H185" s="148">
        <f>'[1]побудинковий звіт'!H185</f>
        <v>0</v>
      </c>
      <c r="I185" s="41">
        <f>'[2]побудинковий звіт'!I185+'[1]побудинковий звіт'!I185</f>
        <v>0</v>
      </c>
      <c r="J185" s="41">
        <f>'[2]побудинковий звіт'!J185+'[1]побудинковий звіт'!J185</f>
        <v>0</v>
      </c>
      <c r="K185" s="55">
        <f t="shared" si="126"/>
        <v>0</v>
      </c>
      <c r="L185" s="41">
        <f>'[2]побудинковий звіт'!L185+'[1]побудинковий звіт'!L185</f>
        <v>0</v>
      </c>
      <c r="M185" s="41">
        <f>'[2]побудинковий звіт'!M185+'[1]побудинковий звіт'!M185</f>
        <v>0</v>
      </c>
      <c r="N185" s="55">
        <f t="shared" si="127"/>
        <v>0</v>
      </c>
      <c r="O185" s="41">
        <f>'[2]побудинковий звіт'!O185+'[1]побудинковий звіт'!O185</f>
        <v>0</v>
      </c>
      <c r="P185" s="41">
        <f>'[2]побудинковий звіт'!P185+'[1]побудинковий звіт'!P185</f>
        <v>0</v>
      </c>
      <c r="Q185" s="55">
        <f t="shared" si="128"/>
        <v>0</v>
      </c>
      <c r="R185" s="41">
        <f>'[2]побудинковий звіт'!R185+'[1]побудинковий звіт'!R185</f>
        <v>0</v>
      </c>
      <c r="S185" s="41">
        <f>'[2]побудинковий звіт'!S185+'[1]побудинковий звіт'!S185</f>
        <v>0</v>
      </c>
      <c r="T185" s="55">
        <f t="shared" si="129"/>
        <v>0</v>
      </c>
      <c r="U185" s="41">
        <f>'[2]побудинковий звіт'!U185+'[1]побудинковий звіт'!U185</f>
        <v>0</v>
      </c>
      <c r="V185" s="41">
        <f>'[2]побудинковий звіт'!V185+'[1]побудинковий звіт'!V185</f>
        <v>0</v>
      </c>
      <c r="W185" s="55">
        <f t="shared" si="130"/>
        <v>0</v>
      </c>
      <c r="X185" s="41">
        <f>'[2]побудинковий звіт'!X185+'[1]побудинковий звіт'!X185</f>
        <v>0</v>
      </c>
      <c r="Y185" s="41">
        <f>'[2]побудинковий звіт'!Y185+'[1]побудинковий звіт'!Y185</f>
        <v>0</v>
      </c>
      <c r="Z185" s="55">
        <f t="shared" si="131"/>
        <v>0</v>
      </c>
      <c r="AA185" s="41">
        <f>'[2]побудинковий звіт'!AA185+'[1]побудинковий звіт'!AA185</f>
        <v>0</v>
      </c>
      <c r="AB185" s="41">
        <f>'[2]побудинковий звіт'!AB185+'[1]побудинковий звіт'!AB185</f>
        <v>0</v>
      </c>
      <c r="AC185" s="55">
        <f t="shared" si="132"/>
        <v>0</v>
      </c>
      <c r="AD185" s="41">
        <f>'[2]побудинковий звіт'!AD185+'[1]побудинковий звіт'!AD185</f>
        <v>0</v>
      </c>
      <c r="AE185" s="41">
        <f>'[2]побудинковий звіт'!AE185+'[1]побудинковий звіт'!AE185</f>
        <v>0</v>
      </c>
      <c r="AF185" s="36">
        <f t="shared" si="133"/>
        <v>0</v>
      </c>
      <c r="AG185" s="84">
        <f t="shared" si="134"/>
        <v>0</v>
      </c>
      <c r="AH185" s="56">
        <f t="shared" si="135"/>
        <v>0</v>
      </c>
      <c r="AI185" s="55">
        <f t="shared" si="136"/>
        <v>0</v>
      </c>
      <c r="AJ185" s="41">
        <f>'[2]побудинковий звіт'!AJ185+'[1]побудинковий звіт'!AJ185</f>
        <v>0</v>
      </c>
      <c r="AK185" s="41">
        <f>'[2]побудинковий звіт'!AK185+'[1]побудинковий звіт'!AK185</f>
        <v>0</v>
      </c>
      <c r="AL185" s="55">
        <f t="shared" si="137"/>
        <v>0</v>
      </c>
      <c r="AM185" s="41">
        <f>'[2]побудинковий звіт'!AM185+'[1]побудинковий звіт'!AM185</f>
        <v>0</v>
      </c>
      <c r="AN185" s="41">
        <f>'[2]побудинковий звіт'!AN185+'[1]побудинковий звіт'!AN185</f>
        <v>0</v>
      </c>
      <c r="AO185" s="55">
        <f t="shared" si="138"/>
        <v>0</v>
      </c>
      <c r="AP185" s="41">
        <f>'[2]побудинковий звіт'!AP185+'[1]побудинковий звіт'!AP185</f>
        <v>247.64948572630095</v>
      </c>
      <c r="AQ185" s="41">
        <f>'[2]побудинковий звіт'!AQ185+'[1]побудинковий звіт'!AQ185</f>
        <v>117.06282019300937</v>
      </c>
      <c r="AR185" s="55">
        <f t="shared" si="139"/>
        <v>-130.58666553329158</v>
      </c>
      <c r="AS185" s="41">
        <f>'[2]побудинковий звіт'!AS185+'[1]побудинковий звіт'!AS185</f>
        <v>2807.4436326999448</v>
      </c>
      <c r="AT185" s="41">
        <f>'[2]побудинковий звіт'!AT185+'[1]побудинковий звіт'!AT185</f>
        <v>0</v>
      </c>
      <c r="AU185" s="57">
        <f t="shared" si="140"/>
        <v>-2807.4436326999448</v>
      </c>
      <c r="AV185" s="41">
        <f>'[2]побудинковий звіт'!AV185+'[1]побудинковий звіт'!AV185</f>
        <v>0</v>
      </c>
      <c r="AW185" s="41">
        <f>'[2]побудинковий звіт'!AW185+'[1]побудинковий звіт'!AW185</f>
        <v>0</v>
      </c>
      <c r="AX185" s="58">
        <f t="shared" si="141"/>
        <v>0</v>
      </c>
      <c r="AY185" s="41">
        <f>'[2]побудинковий звіт'!AY185+'[1]побудинковий звіт'!AY185</f>
        <v>0</v>
      </c>
      <c r="AZ185" s="41">
        <f>'[2]побудинковий звіт'!AZ185+'[1]побудинковий звіт'!AZ185</f>
        <v>0</v>
      </c>
      <c r="BA185" s="36">
        <f t="shared" si="142"/>
        <v>0</v>
      </c>
      <c r="BB185" s="41">
        <f>'[2]побудинковий звіт'!BB185+'[1]побудинковий звіт'!BB185</f>
        <v>0</v>
      </c>
      <c r="BC185" s="41">
        <f>'[2]побудинковий звіт'!BC185+'[1]побудинковий звіт'!BC185</f>
        <v>0</v>
      </c>
      <c r="BD185" s="58">
        <f t="shared" si="143"/>
        <v>0</v>
      </c>
      <c r="BE185" s="41">
        <f>'[2]побудинковий звіт'!BE185+'[1]побудинковий звіт'!BE185</f>
        <v>0</v>
      </c>
      <c r="BF185" s="41">
        <f>'[2]побудинковий звіт'!BF185+'[1]побудинковий звіт'!BF185</f>
        <v>0</v>
      </c>
      <c r="BG185" s="38">
        <f t="shared" si="144"/>
        <v>0</v>
      </c>
      <c r="BH185" s="41">
        <f>'[2]побудинковий звіт'!BH185+'[1]побудинковий звіт'!BH185</f>
        <v>0</v>
      </c>
      <c r="BI185" s="41">
        <f>'[2]побудинковий звіт'!BI185+'[1]побудинковий звіт'!BI185</f>
        <v>0</v>
      </c>
      <c r="BJ185" s="58">
        <f t="shared" si="145"/>
        <v>0</v>
      </c>
      <c r="BK185" s="41">
        <f>'[2]побудинковий звіт'!BK185+'[1]побудинковий звіт'!BK185</f>
        <v>0</v>
      </c>
      <c r="BL185" s="41">
        <f>'[2]побудинковий звіт'!BL185+'[1]побудинковий звіт'!BL185</f>
        <v>0</v>
      </c>
      <c r="BM185" s="38">
        <f t="shared" si="146"/>
        <v>0</v>
      </c>
      <c r="BN185" s="41">
        <f>'[2]побудинковий звіт'!BN185+'[1]побудинковий звіт'!BN185</f>
        <v>0</v>
      </c>
      <c r="BO185" s="41">
        <f>'[2]побудинковий звіт'!BO185+'[1]побудинковий звіт'!BO185</f>
        <v>2268.5421754399999</v>
      </c>
      <c r="BP185" s="58">
        <f t="shared" si="147"/>
        <v>2268.5421754399999</v>
      </c>
      <c r="BQ185" s="84">
        <f t="shared" si="148"/>
        <v>0</v>
      </c>
      <c r="BR185" s="42">
        <f t="shared" si="149"/>
        <v>2268.5421754399999</v>
      </c>
      <c r="BS185" s="58">
        <f t="shared" si="150"/>
        <v>2268.5421754399999</v>
      </c>
      <c r="BT185" s="41">
        <f>'[2]побудинковий звіт'!BT185+'[1]побудинковий звіт'!BT185</f>
        <v>0</v>
      </c>
      <c r="BU185" s="41">
        <f>'[2]побудинковий звіт'!BU185+'[1]побудинковий звіт'!BU185</f>
        <v>0</v>
      </c>
      <c r="BV185" s="55">
        <f t="shared" si="151"/>
        <v>0</v>
      </c>
      <c r="BW185" s="41">
        <f>'[2]побудинковий звіт'!BW185+'[1]побудинковий звіт'!BW185</f>
        <v>0</v>
      </c>
      <c r="BX185" s="41">
        <f>'[2]побудинковий звіт'!BX185+'[1]побудинковий звіт'!BX185</f>
        <v>0.73509476936713769</v>
      </c>
      <c r="BY185" s="55">
        <f t="shared" si="152"/>
        <v>0.73509476936713769</v>
      </c>
      <c r="BZ185" s="41">
        <f>'[2]побудинковий звіт'!BZ185+'[1]побудинковий звіт'!BZ185</f>
        <v>0</v>
      </c>
      <c r="CA185" s="41">
        <f>'[2]побудинковий звіт'!CA185+'[1]побудинковий звіт'!CA185</f>
        <v>0</v>
      </c>
      <c r="CB185" s="55">
        <f t="shared" si="153"/>
        <v>0</v>
      </c>
      <c r="CC185" s="41">
        <f>'[2]побудинковий звіт'!CC185+'[1]побудинковий звіт'!CC185</f>
        <v>0</v>
      </c>
      <c r="CD185" s="41">
        <f>'[2]побудинковий звіт'!CD185+'[1]побудинковий звіт'!CD185</f>
        <v>0</v>
      </c>
      <c r="CE185" s="55">
        <f t="shared" si="154"/>
        <v>0</v>
      </c>
      <c r="CF185" s="41">
        <f>'[2]побудинковий звіт'!CF185+'[1]побудинковий звіт'!CF185</f>
        <v>0</v>
      </c>
      <c r="CG185" s="41">
        <f>'[2]побудинковий звіт'!CG185+'[1]побудинковий звіт'!CG185</f>
        <v>0</v>
      </c>
      <c r="CH185" s="55">
        <f t="shared" si="155"/>
        <v>0</v>
      </c>
      <c r="CI185" s="41">
        <f>'[2]побудинковий звіт'!CI185+'[1]побудинковий звіт'!CI185</f>
        <v>0</v>
      </c>
      <c r="CJ185" s="41">
        <f>'[2]побудинковий звіт'!CJ185+'[1]побудинковий звіт'!CJ185</f>
        <v>0</v>
      </c>
      <c r="CK185" s="55">
        <f t="shared" si="156"/>
        <v>0</v>
      </c>
      <c r="CL185" s="41">
        <f>'[2]побудинковий звіт'!CL185+'[1]побудинковий звіт'!CL185</f>
        <v>0</v>
      </c>
      <c r="CM185" s="41">
        <f>'[2]побудинковий звіт'!CM185+'[1]побудинковий звіт'!CM185</f>
        <v>0</v>
      </c>
      <c r="CN185" s="55">
        <f t="shared" si="157"/>
        <v>0</v>
      </c>
      <c r="CO185" s="41">
        <f t="shared" si="158"/>
        <v>0</v>
      </c>
      <c r="CP185" s="42">
        <f t="shared" si="159"/>
        <v>0</v>
      </c>
      <c r="CQ185" s="55">
        <f t="shared" si="160"/>
        <v>0</v>
      </c>
      <c r="CR185" s="76">
        <f t="shared" si="161"/>
        <v>3055.0931184262458</v>
      </c>
      <c r="CS185" s="5">
        <f t="shared" si="162"/>
        <v>2386.3400904023765</v>
      </c>
      <c r="CT185" s="55">
        <f t="shared" si="163"/>
        <v>-668.75302802386932</v>
      </c>
      <c r="CU185" s="84">
        <f t="shared" si="164"/>
        <v>3666.111742111495</v>
      </c>
      <c r="CV185" s="68">
        <f t="shared" si="165"/>
        <v>2863.6081084828515</v>
      </c>
      <c r="CW185" s="36">
        <f t="shared" si="166"/>
        <v>-802.50363362864346</v>
      </c>
      <c r="CX185" s="41">
        <f>'[2]побудинковий звіт'!CX185+'[1]побудинковий звіт'!CX185</f>
        <v>110.1811744490312</v>
      </c>
      <c r="CY185" s="41">
        <f>'[2]побудинковий звіт'!CY185+'[1]побудинковий звіт'!CY185</f>
        <v>912.68480807767469</v>
      </c>
      <c r="CZ185" s="55">
        <f t="shared" si="167"/>
        <v>802.50363362864346</v>
      </c>
      <c r="DA185" s="254">
        <f>'[1]побудинковий звіт'!DA185</f>
        <v>-10013.500108104747</v>
      </c>
      <c r="DB185" s="2">
        <v>3</v>
      </c>
      <c r="DC185" s="702">
        <f>'[1]побудинковий звіт'!DC185</f>
        <v>408.3</v>
      </c>
      <c r="DD185" s="702">
        <f>'[1]побудинковий звіт'!DD185</f>
        <v>0</v>
      </c>
      <c r="DE185" s="702">
        <f>'[1]побудинковий звіт'!DE185</f>
        <v>0</v>
      </c>
      <c r="DF185" s="702">
        <f>'[1]побудинковий звіт'!DF185</f>
        <v>0</v>
      </c>
      <c r="DG185" s="772">
        <v>-4894.0476824384841</v>
      </c>
      <c r="DH185" s="746">
        <f t="shared" si="168"/>
        <v>45315.514998726314</v>
      </c>
      <c r="DI185" s="769"/>
      <c r="DJ185" s="5"/>
      <c r="DK185" s="307">
        <f>VLOOKUP($A185,ціни!$A$4:$G$401,5)</f>
        <v>1.644929904675474</v>
      </c>
      <c r="DL185" s="307"/>
      <c r="DM185" s="307">
        <f>VLOOKUP($A185,ціни!$A$4:$G$401,7)</f>
        <v>1.644929904675474</v>
      </c>
      <c r="DN185" s="29">
        <f t="shared" si="183"/>
        <v>297.07434078439059</v>
      </c>
      <c r="DO185" s="29">
        <f t="shared" si="184"/>
        <v>0</v>
      </c>
      <c r="DP185" s="306">
        <f t="shared" si="169"/>
        <v>297.07434078439059</v>
      </c>
      <c r="DQ185" s="101"/>
      <c r="DR185" s="29">
        <f>VLOOKUP(A185,'ДЗ нас '!$A$1:$C$359,2)</f>
        <v>297.08</v>
      </c>
      <c r="DS185" s="733"/>
      <c r="DT185" s="29">
        <f t="shared" si="170"/>
        <v>297.08</v>
      </c>
      <c r="DU185" s="247">
        <f>VLOOKUP(A185,'новий кошторис с 01.06'!$A$4:$AI$399,35)*1.2</f>
        <v>298.52348391016812</v>
      </c>
      <c r="DV185" s="29">
        <f t="shared" si="171"/>
        <v>-1.4434839101681405</v>
      </c>
      <c r="DW185" s="1016">
        <f>'[2]побудинковий звіт'!$DW$9+'[1]побудинковий звіт'!DW185</f>
        <v>0</v>
      </c>
      <c r="DX185" s="101">
        <f>'[1]побудинковий звіт'!DX185</f>
        <v>0</v>
      </c>
      <c r="DY185" s="5">
        <f t="shared" si="172"/>
        <v>3368.9323592399337</v>
      </c>
      <c r="DZ185" s="5">
        <f t="shared" si="173"/>
        <v>2722.2506105279999</v>
      </c>
      <c r="EA185" s="737">
        <f t="shared" si="174"/>
        <v>0</v>
      </c>
      <c r="EC185" s="577">
        <f t="shared" si="175"/>
        <v>33689.323592399334</v>
      </c>
      <c r="EE185" s="743">
        <v>-2431</v>
      </c>
      <c r="EF185" s="723">
        <f t="shared" si="176"/>
        <v>-7325.0476824384841</v>
      </c>
      <c r="EH185" s="798">
        <v>-6616.776984453114</v>
      </c>
      <c r="EI185" s="101">
        <f>VLOOKUP(A185,'кошти 01.01.24'!$A$9:$D$352,4,FALSE)</f>
        <v>-9210.9964744761019</v>
      </c>
    </row>
    <row r="186" spans="1:139" ht="14.4" hidden="1" customHeight="1" x14ac:dyDescent="0.3">
      <c r="A186" s="318">
        <v>150000506</v>
      </c>
      <c r="B186" s="43" t="s">
        <v>619</v>
      </c>
      <c r="C186" s="44" t="s">
        <v>111</v>
      </c>
      <c r="D186" s="44" t="s">
        <v>111</v>
      </c>
      <c r="E186" s="39">
        <f t="shared" si="125"/>
        <v>102.4</v>
      </c>
      <c r="F186" s="205">
        <f>'[1]побудинковий звіт'!F186</f>
        <v>102.4</v>
      </c>
      <c r="G186" s="29">
        <f>'[1]побудинковий звіт'!G186</f>
        <v>0</v>
      </c>
      <c r="H186" s="148">
        <f>'[1]побудинковий звіт'!H186</f>
        <v>0</v>
      </c>
      <c r="I186" s="41">
        <f>'[2]побудинковий звіт'!I186+'[1]побудинковий звіт'!I186</f>
        <v>0</v>
      </c>
      <c r="J186" s="41">
        <f>'[2]побудинковий звіт'!J186+'[1]побудинковий звіт'!J186</f>
        <v>0</v>
      </c>
      <c r="K186" s="55">
        <f t="shared" si="126"/>
        <v>0</v>
      </c>
      <c r="L186" s="41">
        <f>'[2]побудинковий звіт'!L186+'[1]побудинковий звіт'!L186</f>
        <v>0</v>
      </c>
      <c r="M186" s="41">
        <f>'[2]побудинковий звіт'!M186+'[1]побудинковий звіт'!M186</f>
        <v>0</v>
      </c>
      <c r="N186" s="55">
        <f t="shared" si="127"/>
        <v>0</v>
      </c>
      <c r="O186" s="41">
        <f>'[2]побудинковий звіт'!O186+'[1]побудинковий звіт'!O186</f>
        <v>0</v>
      </c>
      <c r="P186" s="41">
        <f>'[2]побудинковий звіт'!P186+'[1]побудинковий звіт'!P186</f>
        <v>0</v>
      </c>
      <c r="Q186" s="55">
        <f t="shared" si="128"/>
        <v>0</v>
      </c>
      <c r="R186" s="41">
        <f>'[2]побудинковий звіт'!R186+'[1]побудинковий звіт'!R186</f>
        <v>0</v>
      </c>
      <c r="S186" s="41">
        <f>'[2]побудинковий звіт'!S186+'[1]побудинковий звіт'!S186</f>
        <v>0</v>
      </c>
      <c r="T186" s="55">
        <f t="shared" si="129"/>
        <v>0</v>
      </c>
      <c r="U186" s="41">
        <f>'[2]побудинковий звіт'!U186+'[1]побудинковий звіт'!U186</f>
        <v>0</v>
      </c>
      <c r="V186" s="41">
        <f>'[2]побудинковий звіт'!V186+'[1]побудинковий звіт'!V186</f>
        <v>0</v>
      </c>
      <c r="W186" s="55">
        <f t="shared" si="130"/>
        <v>0</v>
      </c>
      <c r="X186" s="41">
        <f>'[2]побудинковий звіт'!X186+'[1]побудинковий звіт'!X186</f>
        <v>0</v>
      </c>
      <c r="Y186" s="41">
        <f>'[2]побудинковий звіт'!Y186+'[1]побудинковий звіт'!Y186</f>
        <v>0</v>
      </c>
      <c r="Z186" s="55">
        <f t="shared" si="131"/>
        <v>0</v>
      </c>
      <c r="AA186" s="41">
        <f>'[2]побудинковий звіт'!AA186+'[1]побудинковий звіт'!AA186</f>
        <v>0</v>
      </c>
      <c r="AB186" s="41">
        <f>'[2]побудинковий звіт'!AB186+'[1]побудинковий звіт'!AB186</f>
        <v>0</v>
      </c>
      <c r="AC186" s="55">
        <f t="shared" si="132"/>
        <v>0</v>
      </c>
      <c r="AD186" s="41">
        <f>'[2]побудинковий звіт'!AD186+'[1]побудинковий звіт'!AD186</f>
        <v>0</v>
      </c>
      <c r="AE186" s="41">
        <f>'[2]побудинковий звіт'!AE186+'[1]побудинковий звіт'!AE186</f>
        <v>0</v>
      </c>
      <c r="AF186" s="36">
        <f t="shared" si="133"/>
        <v>0</v>
      </c>
      <c r="AG186" s="84">
        <f t="shared" si="134"/>
        <v>0</v>
      </c>
      <c r="AH186" s="56">
        <f t="shared" si="135"/>
        <v>0</v>
      </c>
      <c r="AI186" s="55">
        <f t="shared" si="136"/>
        <v>0</v>
      </c>
      <c r="AJ186" s="41">
        <f>'[2]побудинковий звіт'!AJ186+'[1]побудинковий звіт'!AJ186</f>
        <v>0</v>
      </c>
      <c r="AK186" s="41">
        <f>'[2]побудинковий звіт'!AK186+'[1]побудинковий звіт'!AK186</f>
        <v>0</v>
      </c>
      <c r="AL186" s="55">
        <f t="shared" si="137"/>
        <v>0</v>
      </c>
      <c r="AM186" s="41">
        <f>'[2]побудинковий звіт'!AM186+'[1]побудинковий звіт'!AM186</f>
        <v>0</v>
      </c>
      <c r="AN186" s="41">
        <f>'[2]побудинковий звіт'!AN186+'[1]побудинковий звіт'!AN186</f>
        <v>0</v>
      </c>
      <c r="AO186" s="55">
        <f t="shared" si="138"/>
        <v>0</v>
      </c>
      <c r="AP186" s="41">
        <f>'[2]побудинковий звіт'!AP186+'[1]побудинковий звіт'!AP186</f>
        <v>308.00432798954495</v>
      </c>
      <c r="AQ186" s="41">
        <f>'[2]побудинковий звіт'!AQ186+'[1]побудинковий звіт'!AQ186</f>
        <v>93.650256154407487</v>
      </c>
      <c r="AR186" s="55">
        <f t="shared" si="139"/>
        <v>-214.35407183513746</v>
      </c>
      <c r="AS186" s="41">
        <f>'[2]побудинковий звіт'!AS186+'[1]побудинковий звіт'!AS186</f>
        <v>1854.4281095456017</v>
      </c>
      <c r="AT186" s="41">
        <f>'[2]побудинковий звіт'!AT186+'[1]побудинковий звіт'!AT186</f>
        <v>0</v>
      </c>
      <c r="AU186" s="57">
        <f t="shared" si="140"/>
        <v>-1854.4281095456017</v>
      </c>
      <c r="AV186" s="41">
        <f>'[2]побудинковий звіт'!AV186+'[1]побудинковий звіт'!AV186</f>
        <v>0</v>
      </c>
      <c r="AW186" s="41">
        <f>'[2]побудинковий звіт'!AW186+'[1]побудинковий звіт'!AW186</f>
        <v>0</v>
      </c>
      <c r="AX186" s="58">
        <f t="shared" si="141"/>
        <v>0</v>
      </c>
      <c r="AY186" s="41">
        <f>'[2]побудинковий звіт'!AY186+'[1]побудинковий звіт'!AY186</f>
        <v>0</v>
      </c>
      <c r="AZ186" s="41">
        <f>'[2]побудинковий звіт'!AZ186+'[1]побудинковий звіт'!AZ186</f>
        <v>0</v>
      </c>
      <c r="BA186" s="36">
        <f t="shared" si="142"/>
        <v>0</v>
      </c>
      <c r="BB186" s="41">
        <f>'[2]побудинковий звіт'!BB186+'[1]побудинковий звіт'!BB186</f>
        <v>0</v>
      </c>
      <c r="BC186" s="41">
        <f>'[2]побудинковий звіт'!BC186+'[1]побудинковий звіт'!BC186</f>
        <v>0</v>
      </c>
      <c r="BD186" s="58">
        <f t="shared" si="143"/>
        <v>0</v>
      </c>
      <c r="BE186" s="41">
        <f>'[2]побудинковий звіт'!BE186+'[1]побудинковий звіт'!BE186</f>
        <v>0</v>
      </c>
      <c r="BF186" s="41">
        <f>'[2]побудинковий звіт'!BF186+'[1]побудинковий звіт'!BF186</f>
        <v>0</v>
      </c>
      <c r="BG186" s="38">
        <f t="shared" si="144"/>
        <v>0</v>
      </c>
      <c r="BH186" s="41">
        <f>'[2]побудинковий звіт'!BH186+'[1]побудинковий звіт'!BH186</f>
        <v>0</v>
      </c>
      <c r="BI186" s="41">
        <f>'[2]побудинковий звіт'!BI186+'[1]побудинковий звіт'!BI186</f>
        <v>0</v>
      </c>
      <c r="BJ186" s="58">
        <f t="shared" si="145"/>
        <v>0</v>
      </c>
      <c r="BK186" s="41">
        <f>'[2]побудинковий звіт'!BK186+'[1]побудинковий звіт'!BK186</f>
        <v>0</v>
      </c>
      <c r="BL186" s="41">
        <f>'[2]побудинковий звіт'!BL186+'[1]побудинковий звіт'!BL186</f>
        <v>0</v>
      </c>
      <c r="BM186" s="38">
        <f t="shared" si="146"/>
        <v>0</v>
      </c>
      <c r="BN186" s="41">
        <f>'[2]побудинковий звіт'!BN186+'[1]побудинковий звіт'!BN186</f>
        <v>0</v>
      </c>
      <c r="BO186" s="41">
        <f>'[2]побудинковий звіт'!BO186+'[1]побудинковий звіт'!BO186</f>
        <v>1280.92</v>
      </c>
      <c r="BP186" s="58">
        <f t="shared" si="147"/>
        <v>1280.92</v>
      </c>
      <c r="BQ186" s="84">
        <f t="shared" si="148"/>
        <v>0</v>
      </c>
      <c r="BR186" s="42">
        <f t="shared" si="149"/>
        <v>1280.92</v>
      </c>
      <c r="BS186" s="58">
        <f t="shared" si="150"/>
        <v>1280.92</v>
      </c>
      <c r="BT186" s="41">
        <f>'[2]побудинковий звіт'!BT186+'[1]побудинковий звіт'!BT186</f>
        <v>0</v>
      </c>
      <c r="BU186" s="41">
        <f>'[2]побудинковий звіт'!BU186+'[1]побудинковий звіт'!BU186</f>
        <v>0</v>
      </c>
      <c r="BV186" s="55">
        <f t="shared" si="151"/>
        <v>0</v>
      </c>
      <c r="BW186" s="41">
        <f>'[2]побудинковий звіт'!BW186+'[1]побудинковий звіт'!BW186</f>
        <v>0</v>
      </c>
      <c r="BX186" s="41">
        <f>'[2]побудинковий звіт'!BX186+'[1]побудинковий звіт'!BX186</f>
        <v>0.41679792017272921</v>
      </c>
      <c r="BY186" s="55">
        <f t="shared" si="152"/>
        <v>0.41679792017272921</v>
      </c>
      <c r="BZ186" s="41">
        <f>'[2]побудинковий звіт'!BZ186+'[1]побудинковий звіт'!BZ186</f>
        <v>0</v>
      </c>
      <c r="CA186" s="41">
        <f>'[2]побудинковий звіт'!CA186+'[1]побудинковий звіт'!CA186</f>
        <v>0</v>
      </c>
      <c r="CB186" s="55">
        <f t="shared" si="153"/>
        <v>0</v>
      </c>
      <c r="CC186" s="41">
        <f>'[2]побудинковий звіт'!CC186+'[1]побудинковий звіт'!CC186</f>
        <v>0</v>
      </c>
      <c r="CD186" s="41">
        <f>'[2]побудинковий звіт'!CD186+'[1]побудинковий звіт'!CD186</f>
        <v>0</v>
      </c>
      <c r="CE186" s="55">
        <f t="shared" si="154"/>
        <v>0</v>
      </c>
      <c r="CF186" s="41">
        <f>'[2]побудинковий звіт'!CF186+'[1]побудинковий звіт'!CF186</f>
        <v>0</v>
      </c>
      <c r="CG186" s="41">
        <f>'[2]побудинковий звіт'!CG186+'[1]побудинковий звіт'!CG186</f>
        <v>0</v>
      </c>
      <c r="CH186" s="55">
        <f t="shared" si="155"/>
        <v>0</v>
      </c>
      <c r="CI186" s="41">
        <f>'[2]побудинковий звіт'!CI186+'[1]побудинковий звіт'!CI186</f>
        <v>0</v>
      </c>
      <c r="CJ186" s="41">
        <f>'[2]побудинковий звіт'!CJ186+'[1]побудинковий звіт'!CJ186</f>
        <v>0</v>
      </c>
      <c r="CK186" s="55">
        <f t="shared" si="156"/>
        <v>0</v>
      </c>
      <c r="CL186" s="41">
        <f>'[2]побудинковий звіт'!CL186+'[1]побудинковий звіт'!CL186</f>
        <v>0</v>
      </c>
      <c r="CM186" s="41">
        <f>'[2]побудинковий звіт'!CM186+'[1]побудинковий звіт'!CM186</f>
        <v>0</v>
      </c>
      <c r="CN186" s="55">
        <f t="shared" si="157"/>
        <v>0</v>
      </c>
      <c r="CO186" s="41">
        <f t="shared" si="158"/>
        <v>0</v>
      </c>
      <c r="CP186" s="42">
        <f t="shared" si="159"/>
        <v>0</v>
      </c>
      <c r="CQ186" s="55">
        <f t="shared" si="160"/>
        <v>0</v>
      </c>
      <c r="CR186" s="76">
        <f t="shared" si="161"/>
        <v>2162.4324375351466</v>
      </c>
      <c r="CS186" s="5">
        <f t="shared" si="162"/>
        <v>1374.9870540745803</v>
      </c>
      <c r="CT186" s="55">
        <f t="shared" si="163"/>
        <v>-787.44538346056629</v>
      </c>
      <c r="CU186" s="84">
        <f t="shared" si="164"/>
        <v>2594.9189250421759</v>
      </c>
      <c r="CV186" s="68">
        <f t="shared" si="165"/>
        <v>1649.9844648894964</v>
      </c>
      <c r="CW186" s="36">
        <f t="shared" si="166"/>
        <v>-944.93446015267955</v>
      </c>
      <c r="CX186" s="41">
        <f>'[2]побудинковий звіт'!CX186+'[1]побудинковий звіт'!CX186</f>
        <v>78.014090040778825</v>
      </c>
      <c r="CY186" s="41">
        <f>'[2]побудинковий звіт'!CY186+'[1]побудинковий звіт'!CY186</f>
        <v>1022.9485501934582</v>
      </c>
      <c r="CZ186" s="55">
        <f t="shared" si="167"/>
        <v>944.93446015267943</v>
      </c>
      <c r="DA186" s="254">
        <f>'[1]побудинковий звіт'!DA186</f>
        <v>-7803.74969704673</v>
      </c>
      <c r="DB186" s="2">
        <v>3</v>
      </c>
      <c r="DC186" s="702">
        <f>'[1]побудинковий звіт'!DC186</f>
        <v>289.20999999999998</v>
      </c>
      <c r="DD186" s="702">
        <f>'[1]побудинковий звіт'!DD186</f>
        <v>0</v>
      </c>
      <c r="DE186" s="702">
        <f>'[1]побудинковий звіт'!DE186</f>
        <v>0</v>
      </c>
      <c r="DF186" s="702">
        <f>'[1]побудинковий звіт'!DF186</f>
        <v>0</v>
      </c>
      <c r="DG186" s="772">
        <v>-3515.3601763122733</v>
      </c>
      <c r="DH186" s="746">
        <f t="shared" si="168"/>
        <v>32075.196180995456</v>
      </c>
      <c r="DI186" s="769"/>
      <c r="DJ186" s="5"/>
      <c r="DK186" s="307">
        <f>VLOOKUP($A186,ціни!$A$4:$G$401,5)</f>
        <v>2.0530693369657347</v>
      </c>
      <c r="DL186" s="307"/>
      <c r="DM186" s="307">
        <f>VLOOKUP($A186,ціни!$A$4:$G$401,7)</f>
        <v>2.0530693369657347</v>
      </c>
      <c r="DN186" s="29">
        <f t="shared" si="183"/>
        <v>210.23430010529125</v>
      </c>
      <c r="DO186" s="29">
        <f t="shared" si="184"/>
        <v>0</v>
      </c>
      <c r="DP186" s="306">
        <f t="shared" si="169"/>
        <v>210.23430010529125</v>
      </c>
      <c r="DQ186" s="101"/>
      <c r="DR186" s="29">
        <f>VLOOKUP(A186,'ДЗ нас '!$A$1:$C$359,2)</f>
        <v>210.24</v>
      </c>
      <c r="DS186" s="733"/>
      <c r="DT186" s="29">
        <f t="shared" si="170"/>
        <v>210.24</v>
      </c>
      <c r="DU186" s="247">
        <f>VLOOKUP(A186,'новий кошторис с 01.06'!$A$4:$AI$399,35)*1.2</f>
        <v>211.25983327653657</v>
      </c>
      <c r="DV186" s="29">
        <f t="shared" si="171"/>
        <v>-1.0198332765365592</v>
      </c>
      <c r="DW186" s="1016">
        <f>'[2]побудинковий звіт'!$DW$9+'[1]побудинковий звіт'!DW186</f>
        <v>0</v>
      </c>
      <c r="DX186" s="101">
        <f>'[1]побудинковий звіт'!DX186</f>
        <v>0</v>
      </c>
      <c r="DY186" s="5">
        <f t="shared" si="172"/>
        <v>2225.3137314547221</v>
      </c>
      <c r="DZ186" s="5">
        <f t="shared" si="173"/>
        <v>1537.104</v>
      </c>
      <c r="EA186" s="737">
        <f t="shared" si="174"/>
        <v>0</v>
      </c>
      <c r="EC186" s="577">
        <f t="shared" si="175"/>
        <v>22253.137314547221</v>
      </c>
      <c r="EE186" s="743">
        <v>-1696</v>
      </c>
      <c r="EF186" s="723">
        <f t="shared" si="176"/>
        <v>-5211.3601763122733</v>
      </c>
      <c r="EH186" s="798">
        <v>-4923.3297490680125</v>
      </c>
      <c r="EI186" s="101">
        <f>VLOOKUP(A186,'кошти 01.01.24'!$A$9:$D$352,4,FALSE)</f>
        <v>-6858.8152368940509</v>
      </c>
    </row>
    <row r="187" spans="1:139" hidden="1" x14ac:dyDescent="0.3">
      <c r="A187" s="318">
        <v>150000505</v>
      </c>
      <c r="B187" s="43" t="s">
        <v>620</v>
      </c>
      <c r="C187" s="44" t="s">
        <v>112</v>
      </c>
      <c r="D187" s="44" t="s">
        <v>112</v>
      </c>
      <c r="E187" s="39">
        <f t="shared" si="125"/>
        <v>180.22</v>
      </c>
      <c r="F187" s="205">
        <f>'[1]побудинковий звіт'!F187</f>
        <v>180.22</v>
      </c>
      <c r="G187" s="29">
        <f>'[1]побудинковий звіт'!G187</f>
        <v>0</v>
      </c>
      <c r="H187" s="148">
        <f>'[1]побудинковий звіт'!H187</f>
        <v>0</v>
      </c>
      <c r="I187" s="41">
        <f>'[2]побудинковий звіт'!I187+'[1]побудинковий звіт'!I187</f>
        <v>0</v>
      </c>
      <c r="J187" s="41">
        <f>'[2]побудинковий звіт'!J187+'[1]побудинковий звіт'!J187</f>
        <v>0</v>
      </c>
      <c r="K187" s="55">
        <f t="shared" si="126"/>
        <v>0</v>
      </c>
      <c r="L187" s="41">
        <f>'[2]побудинковий звіт'!L187+'[1]побудинковий звіт'!L187</f>
        <v>0</v>
      </c>
      <c r="M187" s="41">
        <f>'[2]побудинковий звіт'!M187+'[1]побудинковий звіт'!M187</f>
        <v>0</v>
      </c>
      <c r="N187" s="55">
        <f t="shared" si="127"/>
        <v>0</v>
      </c>
      <c r="O187" s="41">
        <f>'[2]побудинковий звіт'!O187+'[1]побудинковий звіт'!O187</f>
        <v>0</v>
      </c>
      <c r="P187" s="41">
        <f>'[2]побудинковий звіт'!P187+'[1]побудинковий звіт'!P187</f>
        <v>0</v>
      </c>
      <c r="Q187" s="55">
        <f t="shared" si="128"/>
        <v>0</v>
      </c>
      <c r="R187" s="41">
        <f>'[2]побудинковий звіт'!R187+'[1]побудинковий звіт'!R187</f>
        <v>0</v>
      </c>
      <c r="S187" s="41">
        <f>'[2]побудинковий звіт'!S187+'[1]побудинковий звіт'!S187</f>
        <v>0</v>
      </c>
      <c r="T187" s="55">
        <f t="shared" si="129"/>
        <v>0</v>
      </c>
      <c r="U187" s="41">
        <f>'[2]побудинковий звіт'!U187+'[1]побудинковий звіт'!U187</f>
        <v>0</v>
      </c>
      <c r="V187" s="41">
        <f>'[2]побудинковий звіт'!V187+'[1]побудинковий звіт'!V187</f>
        <v>0</v>
      </c>
      <c r="W187" s="55">
        <f t="shared" si="130"/>
        <v>0</v>
      </c>
      <c r="X187" s="41">
        <f>'[2]побудинковий звіт'!X187+'[1]побудинковий звіт'!X187</f>
        <v>0</v>
      </c>
      <c r="Y187" s="41">
        <f>'[2]побудинковий звіт'!Y187+'[1]побудинковий звіт'!Y187</f>
        <v>0</v>
      </c>
      <c r="Z187" s="55">
        <f t="shared" si="131"/>
        <v>0</v>
      </c>
      <c r="AA187" s="41">
        <f>'[2]побудинковий звіт'!AA187+'[1]побудинковий звіт'!AA187</f>
        <v>0</v>
      </c>
      <c r="AB187" s="41">
        <f>'[2]побудинковий звіт'!AB187+'[1]побудинковий звіт'!AB187</f>
        <v>0</v>
      </c>
      <c r="AC187" s="55">
        <f t="shared" si="132"/>
        <v>0</v>
      </c>
      <c r="AD187" s="41">
        <f>'[2]побудинковий звіт'!AD187+'[1]побудинковий звіт'!AD187</f>
        <v>0</v>
      </c>
      <c r="AE187" s="41">
        <f>'[2]побудинковий звіт'!AE187+'[1]побудинковий звіт'!AE187</f>
        <v>0</v>
      </c>
      <c r="AF187" s="36">
        <f t="shared" si="133"/>
        <v>0</v>
      </c>
      <c r="AG187" s="84">
        <f t="shared" si="134"/>
        <v>0</v>
      </c>
      <c r="AH187" s="56">
        <f t="shared" si="135"/>
        <v>0</v>
      </c>
      <c r="AI187" s="55">
        <f t="shared" si="136"/>
        <v>0</v>
      </c>
      <c r="AJ187" s="41">
        <f>'[2]побудинковий звіт'!AJ187+'[1]побудинковий звіт'!AJ187</f>
        <v>0</v>
      </c>
      <c r="AK187" s="41">
        <f>'[2]побудинковий звіт'!AK187+'[1]побудинковий звіт'!AK187</f>
        <v>0</v>
      </c>
      <c r="AL187" s="55">
        <f t="shared" si="137"/>
        <v>0</v>
      </c>
      <c r="AM187" s="41">
        <f>'[2]побудинковий звіт'!AM187+'[1]побудинковий звіт'!AM187</f>
        <v>0</v>
      </c>
      <c r="AN187" s="41">
        <f>'[2]побудинковий звіт'!AN187+'[1]побудинковий звіт'!AN187</f>
        <v>0</v>
      </c>
      <c r="AO187" s="55">
        <f t="shared" si="138"/>
        <v>0</v>
      </c>
      <c r="AP187" s="41">
        <f>'[2]побудинковий звіт'!AP187+'[1]побудинковий звіт'!AP187</f>
        <v>397.38788427324624</v>
      </c>
      <c r="AQ187" s="41">
        <f>'[2]побудинковий звіт'!AQ187+'[1]побудинковий звіт'!AQ187</f>
        <v>117.06282019300937</v>
      </c>
      <c r="AR187" s="55">
        <f t="shared" si="139"/>
        <v>-280.32506408023687</v>
      </c>
      <c r="AS187" s="41">
        <f>'[2]побудинковий звіт'!AS187+'[1]побудинковий звіт'!AS187</f>
        <v>2918.8583939229256</v>
      </c>
      <c r="AT187" s="41">
        <f>'[2]побудинковий звіт'!AT187+'[1]побудинковий звіт'!AT187</f>
        <v>0</v>
      </c>
      <c r="AU187" s="57">
        <f t="shared" si="140"/>
        <v>-2918.8583939229256</v>
      </c>
      <c r="AV187" s="41">
        <f>'[2]побудинковий звіт'!AV187+'[1]побудинковий звіт'!AV187</f>
        <v>0</v>
      </c>
      <c r="AW187" s="41">
        <f>'[2]побудинковий звіт'!AW187+'[1]побудинковий звіт'!AW187</f>
        <v>0</v>
      </c>
      <c r="AX187" s="58">
        <f t="shared" si="141"/>
        <v>0</v>
      </c>
      <c r="AY187" s="41">
        <f>'[2]побудинковий звіт'!AY187+'[1]побудинковий звіт'!AY187</f>
        <v>0</v>
      </c>
      <c r="AZ187" s="41">
        <f>'[2]побудинковий звіт'!AZ187+'[1]побудинковий звіт'!AZ187</f>
        <v>0</v>
      </c>
      <c r="BA187" s="36">
        <f t="shared" si="142"/>
        <v>0</v>
      </c>
      <c r="BB187" s="41">
        <f>'[2]побудинковий звіт'!BB187+'[1]побудинковий звіт'!BB187</f>
        <v>0</v>
      </c>
      <c r="BC187" s="41">
        <f>'[2]побудинковий звіт'!BC187+'[1]побудинковий звіт'!BC187</f>
        <v>0</v>
      </c>
      <c r="BD187" s="58">
        <f t="shared" si="143"/>
        <v>0</v>
      </c>
      <c r="BE187" s="41">
        <f>'[2]побудинковий звіт'!BE187+'[1]побудинковий звіт'!BE187</f>
        <v>0</v>
      </c>
      <c r="BF187" s="41">
        <f>'[2]побудинковий звіт'!BF187+'[1]побудинковий звіт'!BF187</f>
        <v>0</v>
      </c>
      <c r="BG187" s="38">
        <f t="shared" si="144"/>
        <v>0</v>
      </c>
      <c r="BH187" s="41">
        <f>'[2]побудинковий звіт'!BH187+'[1]побудинковий звіт'!BH187</f>
        <v>0</v>
      </c>
      <c r="BI187" s="41">
        <f>'[2]побудинковий звіт'!BI187+'[1]побудинковий звіт'!BI187</f>
        <v>0</v>
      </c>
      <c r="BJ187" s="58">
        <f t="shared" si="145"/>
        <v>0</v>
      </c>
      <c r="BK187" s="41">
        <f>'[2]побудинковий звіт'!BK187+'[1]побудинковий звіт'!BK187</f>
        <v>0</v>
      </c>
      <c r="BL187" s="41">
        <f>'[2]побудинковий звіт'!BL187+'[1]побудинковий звіт'!BL187</f>
        <v>0</v>
      </c>
      <c r="BM187" s="38">
        <f t="shared" si="146"/>
        <v>0</v>
      </c>
      <c r="BN187" s="41">
        <f>'[2]побудинковий звіт'!BN187+'[1]побудинковий звіт'!BN187</f>
        <v>0</v>
      </c>
      <c r="BO187" s="41">
        <f>'[2]побудинковий звіт'!BO187+'[1]побудинковий звіт'!BO187</f>
        <v>1766.4</v>
      </c>
      <c r="BP187" s="58">
        <f t="shared" si="147"/>
        <v>1766.4</v>
      </c>
      <c r="BQ187" s="84">
        <f t="shared" si="148"/>
        <v>0</v>
      </c>
      <c r="BR187" s="42">
        <f t="shared" si="149"/>
        <v>1766.4</v>
      </c>
      <c r="BS187" s="58">
        <f t="shared" si="150"/>
        <v>1766.4</v>
      </c>
      <c r="BT187" s="41">
        <f>'[2]побудинковий звіт'!BT187+'[1]побудинковий звіт'!BT187</f>
        <v>0</v>
      </c>
      <c r="BU187" s="41">
        <f>'[2]побудинковий звіт'!BU187+'[1]побудинковий звіт'!BU187</f>
        <v>0</v>
      </c>
      <c r="BV187" s="55">
        <f t="shared" si="151"/>
        <v>0</v>
      </c>
      <c r="BW187" s="41">
        <f>'[2]побудинковий звіт'!BW187+'[1]побудинковий звіт'!BW187</f>
        <v>0</v>
      </c>
      <c r="BX187" s="41">
        <f>'[2]побудинковий звіт'!BX187+'[1]побудинковий звіт'!BX187</f>
        <v>0.73354805833524661</v>
      </c>
      <c r="BY187" s="55">
        <f t="shared" si="152"/>
        <v>0.73354805833524661</v>
      </c>
      <c r="BZ187" s="41">
        <f>'[2]побудинковий звіт'!BZ187+'[1]побудинковий звіт'!BZ187</f>
        <v>0</v>
      </c>
      <c r="CA187" s="41">
        <f>'[2]побудинковий звіт'!CA187+'[1]побудинковий звіт'!CA187</f>
        <v>0</v>
      </c>
      <c r="CB187" s="55">
        <f t="shared" si="153"/>
        <v>0</v>
      </c>
      <c r="CC187" s="41">
        <f>'[2]побудинковий звіт'!CC187+'[1]побудинковий звіт'!CC187</f>
        <v>0</v>
      </c>
      <c r="CD187" s="41">
        <f>'[2]побудинковий звіт'!CD187+'[1]побудинковий звіт'!CD187</f>
        <v>0</v>
      </c>
      <c r="CE187" s="55">
        <f t="shared" si="154"/>
        <v>0</v>
      </c>
      <c r="CF187" s="41">
        <f>'[2]побудинковий звіт'!CF187+'[1]побудинковий звіт'!CF187</f>
        <v>0</v>
      </c>
      <c r="CG187" s="41">
        <f>'[2]побудинковий звіт'!CG187+'[1]побудинковий звіт'!CG187</f>
        <v>0</v>
      </c>
      <c r="CH187" s="55">
        <f t="shared" si="155"/>
        <v>0</v>
      </c>
      <c r="CI187" s="41">
        <f>'[2]побудинковий звіт'!CI187+'[1]побудинковий звіт'!CI187</f>
        <v>0</v>
      </c>
      <c r="CJ187" s="41">
        <f>'[2]побудинковий звіт'!CJ187+'[1]побудинковий звіт'!CJ187</f>
        <v>0</v>
      </c>
      <c r="CK187" s="55">
        <f t="shared" si="156"/>
        <v>0</v>
      </c>
      <c r="CL187" s="41">
        <f>'[2]побудинковий звіт'!CL187+'[1]побудинковий звіт'!CL187</f>
        <v>0</v>
      </c>
      <c r="CM187" s="41">
        <f>'[2]побудинковий звіт'!CM187+'[1]побудинковий звіт'!CM187</f>
        <v>0</v>
      </c>
      <c r="CN187" s="55">
        <f t="shared" si="157"/>
        <v>0</v>
      </c>
      <c r="CO187" s="41">
        <f t="shared" si="158"/>
        <v>0</v>
      </c>
      <c r="CP187" s="42">
        <f t="shared" si="159"/>
        <v>0</v>
      </c>
      <c r="CQ187" s="55">
        <f t="shared" si="160"/>
        <v>0</v>
      </c>
      <c r="CR187" s="76">
        <f t="shared" si="161"/>
        <v>3316.2462781961717</v>
      </c>
      <c r="CS187" s="5">
        <f t="shared" si="162"/>
        <v>1884.1963682513447</v>
      </c>
      <c r="CT187" s="55">
        <f t="shared" si="163"/>
        <v>-1432.049909944827</v>
      </c>
      <c r="CU187" s="84">
        <f t="shared" si="164"/>
        <v>3979.4955338354057</v>
      </c>
      <c r="CV187" s="68">
        <f t="shared" si="165"/>
        <v>2261.0356419016134</v>
      </c>
      <c r="CW187" s="36">
        <f t="shared" si="166"/>
        <v>-1718.4598919337923</v>
      </c>
      <c r="CX187" s="41">
        <f>'[2]побудинковий звіт'!CX187+'[1]побудинковий звіт'!CX187</f>
        <v>119.88948380852406</v>
      </c>
      <c r="CY187" s="41">
        <f>'[2]побудинковий звіт'!CY187+'[1]побудинковий звіт'!CY187</f>
        <v>1838.3493757423178</v>
      </c>
      <c r="CZ187" s="55">
        <f t="shared" si="167"/>
        <v>1718.4598919337936</v>
      </c>
      <c r="DA187" s="254">
        <f>'[1]побудинковий звіт'!DA187</f>
        <v>-10566.306237792547</v>
      </c>
      <c r="DB187" s="2">
        <v>3</v>
      </c>
      <c r="DC187" s="702">
        <f>'[1]побудинковий звіт'!DC187</f>
        <v>668.27</v>
      </c>
      <c r="DD187" s="702">
        <f>'[1]побудинковий звіт'!DD187</f>
        <v>0</v>
      </c>
      <c r="DE187" s="702">
        <f>'[1]побудинковий звіт'!DE187</f>
        <v>217.90999999999997</v>
      </c>
      <c r="DF187" s="702">
        <f>'[1]побудинковий звіт'!DF187</f>
        <v>0</v>
      </c>
      <c r="DG187" s="772">
        <v>-3957.1853614560723</v>
      </c>
      <c r="DH187" s="746">
        <f t="shared" si="168"/>
        <v>49192.62021172716</v>
      </c>
      <c r="DI187" s="769"/>
      <c r="DJ187" s="5"/>
      <c r="DK187" s="307">
        <f>VLOOKUP($A187,ціни!$A$4:$G$401,5)</f>
        <v>1.7820282231431257</v>
      </c>
      <c r="DL187" s="307"/>
      <c r="DM187" s="307">
        <f>VLOOKUP($A187,ціни!$A$4:$G$401,7)</f>
        <v>1.7820282231431257</v>
      </c>
      <c r="DN187" s="29">
        <f t="shared" si="183"/>
        <v>321.1571263748541</v>
      </c>
      <c r="DO187" s="29">
        <f t="shared" si="184"/>
        <v>0</v>
      </c>
      <c r="DP187" s="306">
        <f t="shared" si="169"/>
        <v>321.1571263748541</v>
      </c>
      <c r="DQ187" s="101"/>
      <c r="DR187" s="29">
        <f>VLOOKUP(A187,'ДЗ нас '!$A$1:$C$359,2)</f>
        <v>321.16000000000003</v>
      </c>
      <c r="DS187" s="733"/>
      <c r="DT187" s="29">
        <f t="shared" si="170"/>
        <v>321.16000000000003</v>
      </c>
      <c r="DU187" s="247">
        <f>VLOOKUP(A187,'новий кошторис с 01.06'!$A$4:$AI$399,35)*1.2</f>
        <v>322.72374650351196</v>
      </c>
      <c r="DV187" s="29">
        <f t="shared" si="171"/>
        <v>-1.5637465035119362</v>
      </c>
      <c r="DW187" s="1016">
        <f>'[2]побудинковий звіт'!$DW$9+'[1]побудинковий звіт'!DW187</f>
        <v>0</v>
      </c>
      <c r="DX187" s="101">
        <f>'[1]побудинковий звіт'!DX187</f>
        <v>0</v>
      </c>
      <c r="DY187" s="5">
        <f t="shared" si="172"/>
        <v>3502.6300727075109</v>
      </c>
      <c r="DZ187" s="5">
        <f t="shared" si="173"/>
        <v>2119.6799999999998</v>
      </c>
      <c r="EA187" s="737">
        <f t="shared" si="174"/>
        <v>217.90999999999997</v>
      </c>
      <c r="EC187" s="577">
        <f t="shared" si="175"/>
        <v>35026.300727075111</v>
      </c>
      <c r="EE187" s="743">
        <v>-2936</v>
      </c>
      <c r="EF187" s="723">
        <f t="shared" si="176"/>
        <v>-6893.1853614560723</v>
      </c>
      <c r="EH187" s="798">
        <v>-5832.820894194233</v>
      </c>
      <c r="EI187" s="101">
        <f>VLOOKUP(A187,'кошти 01.01.24'!$A$9:$D$352,4,FALSE)</f>
        <v>-8847.8463458587539</v>
      </c>
    </row>
    <row r="188" spans="1:139" hidden="1" x14ac:dyDescent="0.3">
      <c r="A188" s="318">
        <v>150000507</v>
      </c>
      <c r="B188" s="43" t="s">
        <v>621</v>
      </c>
      <c r="C188" s="44" t="s">
        <v>113</v>
      </c>
      <c r="D188" s="44" t="s">
        <v>113</v>
      </c>
      <c r="E188" s="39">
        <f t="shared" si="125"/>
        <v>330.4</v>
      </c>
      <c r="F188" s="205">
        <f>'[1]побудинковий звіт'!F188</f>
        <v>279</v>
      </c>
      <c r="G188" s="29">
        <f>'[1]побудинковий звіт'!G188</f>
        <v>0</v>
      </c>
      <c r="H188" s="148">
        <f>'[1]побудинковий звіт'!H188</f>
        <v>51.4</v>
      </c>
      <c r="I188" s="41">
        <f>'[2]побудинковий звіт'!I188+'[1]побудинковий звіт'!I188</f>
        <v>0</v>
      </c>
      <c r="J188" s="41">
        <f>'[2]побудинковий звіт'!J188+'[1]побудинковий звіт'!J188</f>
        <v>0</v>
      </c>
      <c r="K188" s="55">
        <f t="shared" si="126"/>
        <v>0</v>
      </c>
      <c r="L188" s="41">
        <f>'[2]побудинковий звіт'!L188+'[1]побудинковий звіт'!L188</f>
        <v>0</v>
      </c>
      <c r="M188" s="41">
        <f>'[2]побудинковий звіт'!M188+'[1]побудинковий звіт'!M188</f>
        <v>0</v>
      </c>
      <c r="N188" s="55">
        <f t="shared" si="127"/>
        <v>0</v>
      </c>
      <c r="O188" s="41">
        <f>'[2]побудинковий звіт'!O188+'[1]побудинковий звіт'!O188</f>
        <v>0</v>
      </c>
      <c r="P188" s="41">
        <f>'[2]побудинковий звіт'!P188+'[1]побудинковий звіт'!P188</f>
        <v>0</v>
      </c>
      <c r="Q188" s="55">
        <f t="shared" si="128"/>
        <v>0</v>
      </c>
      <c r="R188" s="41">
        <f>'[2]побудинковий звіт'!R188+'[1]побудинковий звіт'!R188</f>
        <v>0</v>
      </c>
      <c r="S188" s="41">
        <f>'[2]побудинковий звіт'!S188+'[1]побудинковий звіт'!S188</f>
        <v>0</v>
      </c>
      <c r="T188" s="55">
        <f t="shared" si="129"/>
        <v>0</v>
      </c>
      <c r="U188" s="41">
        <f>'[2]побудинковий звіт'!U188+'[1]побудинковий звіт'!U188</f>
        <v>0</v>
      </c>
      <c r="V188" s="41">
        <f>'[2]побудинковий звіт'!V188+'[1]побудинковий звіт'!V188</f>
        <v>0</v>
      </c>
      <c r="W188" s="55">
        <f t="shared" si="130"/>
        <v>0</v>
      </c>
      <c r="X188" s="41">
        <f>'[2]побудинковий звіт'!X188+'[1]побудинковий звіт'!X188</f>
        <v>0</v>
      </c>
      <c r="Y188" s="41">
        <f>'[2]побудинковий звіт'!Y188+'[1]побудинковий звіт'!Y188</f>
        <v>0</v>
      </c>
      <c r="Z188" s="55">
        <f t="shared" si="131"/>
        <v>0</v>
      </c>
      <c r="AA188" s="41">
        <f>'[2]побудинковий звіт'!AA188+'[1]побудинковий звіт'!AA188</f>
        <v>0</v>
      </c>
      <c r="AB188" s="41">
        <f>'[2]побудинковий звіт'!AB188+'[1]побудинковий звіт'!AB188</f>
        <v>0</v>
      </c>
      <c r="AC188" s="55">
        <f t="shared" si="132"/>
        <v>0</v>
      </c>
      <c r="AD188" s="41">
        <f>'[2]побудинковий звіт'!AD188+'[1]побудинковий звіт'!AD188</f>
        <v>0</v>
      </c>
      <c r="AE188" s="41">
        <f>'[2]побудинковий звіт'!AE188+'[1]побудинковий звіт'!AE188</f>
        <v>0</v>
      </c>
      <c r="AF188" s="36">
        <f t="shared" si="133"/>
        <v>0</v>
      </c>
      <c r="AG188" s="84">
        <f t="shared" si="134"/>
        <v>0</v>
      </c>
      <c r="AH188" s="56">
        <f t="shared" si="135"/>
        <v>0</v>
      </c>
      <c r="AI188" s="55">
        <f t="shared" si="136"/>
        <v>0</v>
      </c>
      <c r="AJ188" s="41">
        <f>'[2]побудинковий звіт'!AJ188+'[1]побудинковий звіт'!AJ188</f>
        <v>0</v>
      </c>
      <c r="AK188" s="41">
        <f>'[2]побудинковий звіт'!AK188+'[1]побудинковий звіт'!AK188</f>
        <v>0</v>
      </c>
      <c r="AL188" s="55">
        <f t="shared" si="137"/>
        <v>0</v>
      </c>
      <c r="AM188" s="41">
        <f>'[2]побудинковий звіт'!AM188+'[1]побудинковий звіт'!AM188</f>
        <v>0</v>
      </c>
      <c r="AN188" s="41">
        <f>'[2]побудинковий звіт'!AN188+'[1]побудинковий звіт'!AN188</f>
        <v>0</v>
      </c>
      <c r="AO188" s="55">
        <f t="shared" si="138"/>
        <v>0</v>
      </c>
      <c r="AP188" s="41">
        <f>'[2]побудинковий звіт'!AP188+'[1]побудинковий звіт'!AP188</f>
        <v>396.23917716208166</v>
      </c>
      <c r="AQ188" s="41">
        <f>'[2]побудинковий звіт'!AQ188+'[1]побудинковий звіт'!AQ188</f>
        <v>140.47538423161123</v>
      </c>
      <c r="AR188" s="55">
        <f t="shared" si="139"/>
        <v>-255.76379293047043</v>
      </c>
      <c r="AS188" s="41">
        <f>'[2]побудинковий звіт'!AS188+'[1]побудинковий звіт'!AS188</f>
        <v>4452.6790804634093</v>
      </c>
      <c r="AT188" s="41">
        <f>'[2]побудинковий звіт'!AT188+'[1]побудинковий звіт'!AT188</f>
        <v>0</v>
      </c>
      <c r="AU188" s="57">
        <f t="shared" si="140"/>
        <v>-4452.6790804634093</v>
      </c>
      <c r="AV188" s="41">
        <f>'[2]побудинковий звіт'!AV188+'[1]побудинковий звіт'!AV188</f>
        <v>0</v>
      </c>
      <c r="AW188" s="41">
        <f>'[2]побудинковий звіт'!AW188+'[1]побудинковий звіт'!AW188</f>
        <v>0</v>
      </c>
      <c r="AX188" s="58">
        <f t="shared" si="141"/>
        <v>0</v>
      </c>
      <c r="AY188" s="41">
        <f>'[2]побудинковий звіт'!AY188+'[1]побудинковий звіт'!AY188</f>
        <v>0</v>
      </c>
      <c r="AZ188" s="41">
        <f>'[2]побудинковий звіт'!AZ188+'[1]побудинковий звіт'!AZ188</f>
        <v>0</v>
      </c>
      <c r="BA188" s="36">
        <f t="shared" si="142"/>
        <v>0</v>
      </c>
      <c r="BB188" s="41">
        <f>'[2]побудинковий звіт'!BB188+'[1]побудинковий звіт'!BB188</f>
        <v>0</v>
      </c>
      <c r="BC188" s="41">
        <f>'[2]побудинковий звіт'!BC188+'[1]побудинковий звіт'!BC188</f>
        <v>0</v>
      </c>
      <c r="BD188" s="58">
        <f t="shared" si="143"/>
        <v>0</v>
      </c>
      <c r="BE188" s="41">
        <f>'[2]побудинковий звіт'!BE188+'[1]побудинковий звіт'!BE188</f>
        <v>0</v>
      </c>
      <c r="BF188" s="41">
        <f>'[2]побудинковий звіт'!BF188+'[1]побудинковий звіт'!BF188</f>
        <v>0</v>
      </c>
      <c r="BG188" s="38">
        <f t="shared" si="144"/>
        <v>0</v>
      </c>
      <c r="BH188" s="41">
        <f>'[2]побудинковий звіт'!BH188+'[1]побудинковий звіт'!BH188</f>
        <v>0</v>
      </c>
      <c r="BI188" s="41">
        <f>'[2]побудинковий звіт'!BI188+'[1]побудинковий звіт'!BI188</f>
        <v>0</v>
      </c>
      <c r="BJ188" s="58">
        <f t="shared" si="145"/>
        <v>0</v>
      </c>
      <c r="BK188" s="41">
        <f>'[2]побудинковий звіт'!BK188+'[1]побудинковий звіт'!BK188</f>
        <v>0</v>
      </c>
      <c r="BL188" s="41">
        <f>'[2]побудинковий звіт'!BL188+'[1]побудинковий звіт'!BL188</f>
        <v>0</v>
      </c>
      <c r="BM188" s="38">
        <f t="shared" si="146"/>
        <v>0</v>
      </c>
      <c r="BN188" s="41">
        <f>'[2]побудинковий звіт'!BN188+'[1]побудинковий звіт'!BN188</f>
        <v>0</v>
      </c>
      <c r="BO188" s="41">
        <f>'[2]побудинковий звіт'!BO188+'[1]побудинковий звіт'!BO188</f>
        <v>3375.0397301600001</v>
      </c>
      <c r="BP188" s="58">
        <f t="shared" si="147"/>
        <v>3375.0397301600001</v>
      </c>
      <c r="BQ188" s="84">
        <f t="shared" si="148"/>
        <v>0</v>
      </c>
      <c r="BR188" s="42">
        <f t="shared" si="149"/>
        <v>3375.0397301600001</v>
      </c>
      <c r="BS188" s="58">
        <f t="shared" si="150"/>
        <v>3375.0397301600001</v>
      </c>
      <c r="BT188" s="41">
        <f>'[2]побудинковий звіт'!BT188+'[1]побудинковий звіт'!BT188</f>
        <v>0</v>
      </c>
      <c r="BU188" s="41">
        <f>'[2]побудинковий звіт'!BU188+'[1]побудинковий звіт'!BU188</f>
        <v>0</v>
      </c>
      <c r="BV188" s="55">
        <f t="shared" si="151"/>
        <v>0</v>
      </c>
      <c r="BW188" s="41">
        <f>'[2]побудинковий звіт'!BW188+'[1]побудинковий звіт'!BW188</f>
        <v>0</v>
      </c>
      <c r="BX188" s="41">
        <f>'[2]побудинковий звіт'!BX188+'[1]побудинковий звіт'!BX188</f>
        <v>1.3419753347748906</v>
      </c>
      <c r="BY188" s="55">
        <f t="shared" si="152"/>
        <v>1.3419753347748906</v>
      </c>
      <c r="BZ188" s="41">
        <f>'[2]побудинковий звіт'!BZ188+'[1]побудинковий звіт'!BZ188</f>
        <v>0</v>
      </c>
      <c r="CA188" s="41">
        <f>'[2]побудинковий звіт'!CA188+'[1]побудинковий звіт'!CA188</f>
        <v>0</v>
      </c>
      <c r="CB188" s="55">
        <f t="shared" si="153"/>
        <v>0</v>
      </c>
      <c r="CC188" s="41">
        <f>'[2]побудинковий звіт'!CC188+'[1]побудинковий звіт'!CC188</f>
        <v>0</v>
      </c>
      <c r="CD188" s="41">
        <f>'[2]побудинковий звіт'!CD188+'[1]побудинковий звіт'!CD188</f>
        <v>0</v>
      </c>
      <c r="CE188" s="55">
        <f t="shared" si="154"/>
        <v>0</v>
      </c>
      <c r="CF188" s="41">
        <f>'[2]побудинковий звіт'!CF188+'[1]побудинковий звіт'!CF188</f>
        <v>0</v>
      </c>
      <c r="CG188" s="41">
        <f>'[2]побудинковий звіт'!CG188+'[1]побудинковий звіт'!CG188</f>
        <v>0</v>
      </c>
      <c r="CH188" s="55">
        <f t="shared" si="155"/>
        <v>0</v>
      </c>
      <c r="CI188" s="41">
        <f>'[2]побудинковий звіт'!CI188+'[1]побудинковий звіт'!CI188</f>
        <v>0</v>
      </c>
      <c r="CJ188" s="41">
        <f>'[2]побудинковий звіт'!CJ188+'[1]побудинковий звіт'!CJ188</f>
        <v>0</v>
      </c>
      <c r="CK188" s="55">
        <f t="shared" si="156"/>
        <v>0</v>
      </c>
      <c r="CL188" s="41">
        <f>'[2]побудинковий звіт'!CL188+'[1]побудинковий звіт'!CL188</f>
        <v>0</v>
      </c>
      <c r="CM188" s="41">
        <f>'[2]побудинковий звіт'!CM188+'[1]побудинковий звіт'!CM188</f>
        <v>0</v>
      </c>
      <c r="CN188" s="55">
        <f t="shared" si="157"/>
        <v>0</v>
      </c>
      <c r="CO188" s="41">
        <f t="shared" si="158"/>
        <v>0</v>
      </c>
      <c r="CP188" s="42">
        <f t="shared" si="159"/>
        <v>0</v>
      </c>
      <c r="CQ188" s="55">
        <f t="shared" si="160"/>
        <v>0</v>
      </c>
      <c r="CR188" s="76">
        <f t="shared" si="161"/>
        <v>4848.9182576254907</v>
      </c>
      <c r="CS188" s="5">
        <f t="shared" si="162"/>
        <v>3516.8570897263862</v>
      </c>
      <c r="CT188" s="55">
        <f t="shared" si="163"/>
        <v>-1332.0611678991045</v>
      </c>
      <c r="CU188" s="84">
        <f t="shared" si="164"/>
        <v>5818.701909150589</v>
      </c>
      <c r="CV188" s="68">
        <f t="shared" si="165"/>
        <v>4220.2285076716635</v>
      </c>
      <c r="CW188" s="36">
        <f t="shared" si="166"/>
        <v>-1598.4734014789256</v>
      </c>
      <c r="CX188" s="41">
        <f>'[2]побудинковий звіт'!CX188+'[1]побудинковий звіт'!CX188</f>
        <v>185.58687043108947</v>
      </c>
      <c r="CY188" s="41">
        <f>'[2]побудинковий звіт'!CY188+'[1]побудинковий звіт'!CY188</f>
        <v>1784.0602719100152</v>
      </c>
      <c r="CZ188" s="55">
        <f t="shared" si="167"/>
        <v>1598.4734014789258</v>
      </c>
      <c r="DA188" s="254">
        <f>'[1]побудинковий звіт'!DA188</f>
        <v>-15244.441437911966</v>
      </c>
      <c r="DB188" s="2">
        <v>3</v>
      </c>
      <c r="DC188" s="702">
        <f>'[1]побудинковий звіт'!DC188</f>
        <v>1244.5899999999999</v>
      </c>
      <c r="DD188" s="702">
        <f>'[1]побудинковий звіт'!DD188</f>
        <v>422.11</v>
      </c>
      <c r="DE188" s="702">
        <f>'[1]побудинковий звіт'!DE188</f>
        <v>686.43</v>
      </c>
      <c r="DF188" s="702">
        <f>'[1]побудинковий звіт'!DF188</f>
        <v>319.28000000000003</v>
      </c>
      <c r="DG188" s="772">
        <v>-6642.5064789181597</v>
      </c>
      <c r="DH188" s="746">
        <f t="shared" si="168"/>
        <v>72051.465354980144</v>
      </c>
      <c r="DI188" s="769"/>
      <c r="DJ188" s="5"/>
      <c r="DK188" s="307">
        <f>VLOOKUP($A188,ціни!$A$4:$G$401,5)</f>
        <v>1.4228946380189329</v>
      </c>
      <c r="DL188" s="307"/>
      <c r="DM188" s="307">
        <f>VLOOKUP($A188,ціни!$A$4:$G$401,7)</f>
        <v>1.4228946380189329</v>
      </c>
      <c r="DN188" s="29">
        <f t="shared" si="183"/>
        <v>396.9876040072823</v>
      </c>
      <c r="DO188" s="29">
        <f t="shared" si="184"/>
        <v>73.136784394173148</v>
      </c>
      <c r="DP188" s="306">
        <f t="shared" si="169"/>
        <v>470.12438840145546</v>
      </c>
      <c r="DQ188" s="101"/>
      <c r="DR188" s="29">
        <f>VLOOKUP(A188,'ДЗ нас '!$A$1:$C$359,2)</f>
        <v>397</v>
      </c>
      <c r="DS188" s="733">
        <f>VLOOKUP(A188,'ДЗ нежит'!$A$1:$D$153,4,0)</f>
        <v>73.14</v>
      </c>
      <c r="DT188" s="29">
        <f t="shared" si="170"/>
        <v>470.14</v>
      </c>
      <c r="DU188" s="247">
        <f>VLOOKUP(A188,'новий кошторис с 01.06'!$A$4:$AI$399,35)*1.2</f>
        <v>471.41679318974383</v>
      </c>
      <c r="DV188" s="29">
        <f t="shared" si="171"/>
        <v>-1.2767931897438416</v>
      </c>
      <c r="DW188" s="1016">
        <f>'[2]побудинковий звіт'!$DW$9+'[1]побудинковий звіт'!DW188</f>
        <v>0</v>
      </c>
      <c r="DX188" s="101">
        <f>'[1]побудинковий звіт'!DX188</f>
        <v>0</v>
      </c>
      <c r="DY188" s="5">
        <f t="shared" si="172"/>
        <v>5343.2148965560909</v>
      </c>
      <c r="DZ188" s="5">
        <f t="shared" si="173"/>
        <v>4050.0476761919999</v>
      </c>
      <c r="EA188" s="737">
        <f t="shared" si="174"/>
        <v>1005.71</v>
      </c>
      <c r="EC188" s="577">
        <f t="shared" si="175"/>
        <v>53432.148965560911</v>
      </c>
      <c r="EE188" s="743">
        <v>-4165</v>
      </c>
      <c r="EF188" s="723">
        <f t="shared" si="176"/>
        <v>-10807.50647891816</v>
      </c>
      <c r="EH188" s="798">
        <v>-9276.4663921754636</v>
      </c>
      <c r="EI188" s="101">
        <f>VLOOKUP(A188,'кошти 01.01.24'!$A$9:$D$352,4,FALSE)</f>
        <v>-13645.968036433042</v>
      </c>
    </row>
    <row r="189" spans="1:139" ht="14.4" hidden="1" customHeight="1" x14ac:dyDescent="0.3">
      <c r="A189" s="318">
        <v>150000508</v>
      </c>
      <c r="B189" s="43" t="s">
        <v>622</v>
      </c>
      <c r="C189" s="44" t="s">
        <v>114</v>
      </c>
      <c r="D189" s="44" t="s">
        <v>114</v>
      </c>
      <c r="E189" s="39">
        <f t="shared" si="125"/>
        <v>151.80000000000001</v>
      </c>
      <c r="F189" s="205">
        <f>'[1]побудинковий звіт'!F189</f>
        <v>151.80000000000001</v>
      </c>
      <c r="G189" s="29">
        <f>'[1]побудинковий звіт'!G189</f>
        <v>0</v>
      </c>
      <c r="H189" s="148">
        <f>'[1]побудинковий звіт'!H189</f>
        <v>0</v>
      </c>
      <c r="I189" s="41">
        <f>'[2]побудинковий звіт'!I189+'[1]побудинковий звіт'!I189</f>
        <v>0</v>
      </c>
      <c r="J189" s="41">
        <f>'[2]побудинковий звіт'!J189+'[1]побудинковий звіт'!J189</f>
        <v>0</v>
      </c>
      <c r="K189" s="55">
        <f t="shared" si="126"/>
        <v>0</v>
      </c>
      <c r="L189" s="41">
        <f>'[2]побудинковий звіт'!L189+'[1]побудинковий звіт'!L189</f>
        <v>0</v>
      </c>
      <c r="M189" s="41">
        <f>'[2]побудинковий звіт'!M189+'[1]побудинковий звіт'!M189</f>
        <v>0</v>
      </c>
      <c r="N189" s="55">
        <f t="shared" si="127"/>
        <v>0</v>
      </c>
      <c r="O189" s="41">
        <f>'[2]побудинковий звіт'!O189+'[1]побудинковий звіт'!O189</f>
        <v>0</v>
      </c>
      <c r="P189" s="41">
        <f>'[2]побудинковий звіт'!P189+'[1]побудинковий звіт'!P189</f>
        <v>0</v>
      </c>
      <c r="Q189" s="55">
        <f t="shared" si="128"/>
        <v>0</v>
      </c>
      <c r="R189" s="41">
        <f>'[2]побудинковий звіт'!R189+'[1]побудинковий звіт'!R189</f>
        <v>0</v>
      </c>
      <c r="S189" s="41">
        <f>'[2]побудинковий звіт'!S189+'[1]побудинковий звіт'!S189</f>
        <v>0</v>
      </c>
      <c r="T189" s="55">
        <f t="shared" si="129"/>
        <v>0</v>
      </c>
      <c r="U189" s="41">
        <f>'[2]побудинковий звіт'!U189+'[1]побудинковий звіт'!U189</f>
        <v>0</v>
      </c>
      <c r="V189" s="41">
        <f>'[2]побудинковий звіт'!V189+'[1]побудинковий звіт'!V189</f>
        <v>0</v>
      </c>
      <c r="W189" s="55">
        <f t="shared" si="130"/>
        <v>0</v>
      </c>
      <c r="X189" s="41">
        <f>'[2]побудинковий звіт'!X189+'[1]побудинковий звіт'!X189</f>
        <v>0</v>
      </c>
      <c r="Y189" s="41">
        <f>'[2]побудинковий звіт'!Y189+'[1]побудинковий звіт'!Y189</f>
        <v>0</v>
      </c>
      <c r="Z189" s="55">
        <f t="shared" si="131"/>
        <v>0</v>
      </c>
      <c r="AA189" s="41">
        <f>'[2]побудинковий звіт'!AA189+'[1]побудинковий звіт'!AA189</f>
        <v>0</v>
      </c>
      <c r="AB189" s="41">
        <f>'[2]побудинковий звіт'!AB189+'[1]побудинковий звіт'!AB189</f>
        <v>0</v>
      </c>
      <c r="AC189" s="55">
        <f t="shared" si="132"/>
        <v>0</v>
      </c>
      <c r="AD189" s="41">
        <f>'[2]побудинковий звіт'!AD189+'[1]побудинковий звіт'!AD189</f>
        <v>0</v>
      </c>
      <c r="AE189" s="41">
        <f>'[2]побудинковий звіт'!AE189+'[1]побудинковий звіт'!AE189</f>
        <v>0</v>
      </c>
      <c r="AF189" s="36">
        <f t="shared" si="133"/>
        <v>0</v>
      </c>
      <c r="AG189" s="84">
        <f t="shared" si="134"/>
        <v>0</v>
      </c>
      <c r="AH189" s="56">
        <f t="shared" si="135"/>
        <v>0</v>
      </c>
      <c r="AI189" s="55">
        <f t="shared" si="136"/>
        <v>0</v>
      </c>
      <c r="AJ189" s="41">
        <f>'[2]побудинковий звіт'!AJ189+'[1]побудинковий звіт'!AJ189</f>
        <v>0</v>
      </c>
      <c r="AK189" s="41">
        <f>'[2]побудинковий звіт'!AK189+'[1]побудинковий звіт'!AK189</f>
        <v>0</v>
      </c>
      <c r="AL189" s="55">
        <f t="shared" si="137"/>
        <v>0</v>
      </c>
      <c r="AM189" s="41">
        <f>'[2]побудинковий звіт'!AM189+'[1]побудинковий звіт'!AM189</f>
        <v>0</v>
      </c>
      <c r="AN189" s="41">
        <f>'[2]побудинковий звіт'!AN189+'[1]побудинковий звіт'!AN189</f>
        <v>0</v>
      </c>
      <c r="AO189" s="55">
        <f t="shared" si="138"/>
        <v>0</v>
      </c>
      <c r="AP189" s="41">
        <f>'[2]побудинковий звіт'!AP189+'[1]побудинковий звіт'!AP189</f>
        <v>178.76711256740259</v>
      </c>
      <c r="AQ189" s="41">
        <f>'[2]побудинковий звіт'!AQ189+'[1]побудинковий звіт'!AQ189</f>
        <v>70.237692115805615</v>
      </c>
      <c r="AR189" s="55">
        <f t="shared" si="139"/>
        <v>-108.52942045159698</v>
      </c>
      <c r="AS189" s="41">
        <f>'[2]побудинковий звіт'!AS189+'[1]побудинковий звіт'!AS189</f>
        <v>1878.0540176777633</v>
      </c>
      <c r="AT189" s="41">
        <f>'[2]побудинковий звіт'!AT189+'[1]побудинковий звіт'!AT189</f>
        <v>0</v>
      </c>
      <c r="AU189" s="57">
        <f t="shared" si="140"/>
        <v>-1878.0540176777633</v>
      </c>
      <c r="AV189" s="41">
        <f>'[2]побудинковий звіт'!AV189+'[1]побудинковий звіт'!AV189</f>
        <v>0</v>
      </c>
      <c r="AW189" s="41">
        <f>'[2]побудинковий звіт'!AW189+'[1]побудинковий звіт'!AW189</f>
        <v>0</v>
      </c>
      <c r="AX189" s="58">
        <f t="shared" si="141"/>
        <v>0</v>
      </c>
      <c r="AY189" s="41">
        <f>'[2]побудинковий звіт'!AY189+'[1]побудинковий звіт'!AY189</f>
        <v>0</v>
      </c>
      <c r="AZ189" s="41">
        <f>'[2]побудинковий звіт'!AZ189+'[1]побудинковий звіт'!AZ189</f>
        <v>0</v>
      </c>
      <c r="BA189" s="36">
        <f t="shared" si="142"/>
        <v>0</v>
      </c>
      <c r="BB189" s="41">
        <f>'[2]побудинковий звіт'!BB189+'[1]побудинковий звіт'!BB189</f>
        <v>0</v>
      </c>
      <c r="BC189" s="41">
        <f>'[2]побудинковий звіт'!BC189+'[1]побудинковий звіт'!BC189</f>
        <v>0</v>
      </c>
      <c r="BD189" s="58">
        <f t="shared" si="143"/>
        <v>0</v>
      </c>
      <c r="BE189" s="41">
        <f>'[2]побудинковий звіт'!BE189+'[1]побудинковий звіт'!BE189</f>
        <v>0</v>
      </c>
      <c r="BF189" s="41">
        <f>'[2]побудинковий звіт'!BF189+'[1]побудинковий звіт'!BF189</f>
        <v>0</v>
      </c>
      <c r="BG189" s="38">
        <f t="shared" si="144"/>
        <v>0</v>
      </c>
      <c r="BH189" s="41">
        <f>'[2]побудинковий звіт'!BH189+'[1]побудинковий звіт'!BH189</f>
        <v>0</v>
      </c>
      <c r="BI189" s="41">
        <f>'[2]побудинковий звіт'!BI189+'[1]побудинковий звіт'!BI189</f>
        <v>0</v>
      </c>
      <c r="BJ189" s="58">
        <f t="shared" si="145"/>
        <v>0</v>
      </c>
      <c r="BK189" s="41">
        <f>'[2]побудинковий звіт'!BK189+'[1]побудинковий звіт'!BK189</f>
        <v>0</v>
      </c>
      <c r="BL189" s="41">
        <f>'[2]побудинковий звіт'!BL189+'[1]побудинковий звіт'!BL189</f>
        <v>0</v>
      </c>
      <c r="BM189" s="38">
        <f t="shared" si="146"/>
        <v>0</v>
      </c>
      <c r="BN189" s="41">
        <f>'[2]побудинковий звіт'!BN189+'[1]побудинковий звіт'!BN189</f>
        <v>0</v>
      </c>
      <c r="BO189" s="41">
        <f>'[2]побудинковий звіт'!BO189+'[1]побудинковий звіт'!BO189</f>
        <v>974.29553764000002</v>
      </c>
      <c r="BP189" s="58">
        <f t="shared" si="147"/>
        <v>974.29553764000002</v>
      </c>
      <c r="BQ189" s="84">
        <f t="shared" si="148"/>
        <v>0</v>
      </c>
      <c r="BR189" s="42">
        <f t="shared" si="149"/>
        <v>974.29553764000002</v>
      </c>
      <c r="BS189" s="58">
        <f t="shared" si="150"/>
        <v>974.29553764000002</v>
      </c>
      <c r="BT189" s="41">
        <f>'[2]побудинковий звіт'!BT189+'[1]побудинковий звіт'!BT189</f>
        <v>0</v>
      </c>
      <c r="BU189" s="41">
        <f>'[2]побудинковий звіт'!BU189+'[1]побудинковий звіт'!BU189</f>
        <v>0</v>
      </c>
      <c r="BV189" s="55">
        <f t="shared" si="151"/>
        <v>0</v>
      </c>
      <c r="BW189" s="41">
        <f>'[2]побудинковий звіт'!BW189+'[1]побудинковий звіт'!BW189</f>
        <v>0</v>
      </c>
      <c r="BX189" s="41">
        <f>'[2]побудинковий звіт'!BX189+'[1]побудинковий звіт'!BX189</f>
        <v>0.61787035431855752</v>
      </c>
      <c r="BY189" s="55">
        <f t="shared" si="152"/>
        <v>0.61787035431855752</v>
      </c>
      <c r="BZ189" s="41">
        <f>'[2]побудинковий звіт'!BZ189+'[1]побудинковий звіт'!BZ189</f>
        <v>0</v>
      </c>
      <c r="CA189" s="41">
        <f>'[2]побудинковий звіт'!CA189+'[1]побудинковий звіт'!CA189</f>
        <v>0</v>
      </c>
      <c r="CB189" s="55">
        <f t="shared" si="153"/>
        <v>0</v>
      </c>
      <c r="CC189" s="41">
        <f>'[2]побудинковий звіт'!CC189+'[1]побудинковий звіт'!CC189</f>
        <v>0</v>
      </c>
      <c r="CD189" s="41">
        <f>'[2]побудинковий звіт'!CD189+'[1]побудинковий звіт'!CD189</f>
        <v>0</v>
      </c>
      <c r="CE189" s="55">
        <f t="shared" si="154"/>
        <v>0</v>
      </c>
      <c r="CF189" s="41">
        <f>'[2]побудинковий звіт'!CF189+'[1]побудинковий звіт'!CF189</f>
        <v>0</v>
      </c>
      <c r="CG189" s="41">
        <f>'[2]побудинковий звіт'!CG189+'[1]побудинковий звіт'!CG189</f>
        <v>0</v>
      </c>
      <c r="CH189" s="55">
        <f t="shared" si="155"/>
        <v>0</v>
      </c>
      <c r="CI189" s="41">
        <f>'[2]побудинковий звіт'!CI189+'[1]побудинковий звіт'!CI189</f>
        <v>0</v>
      </c>
      <c r="CJ189" s="41">
        <f>'[2]побудинковий звіт'!CJ189+'[1]побудинковий звіт'!CJ189</f>
        <v>0</v>
      </c>
      <c r="CK189" s="55">
        <f t="shared" si="156"/>
        <v>0</v>
      </c>
      <c r="CL189" s="41">
        <f>'[2]побудинковий звіт'!CL189+'[1]побудинковий звіт'!CL189</f>
        <v>0</v>
      </c>
      <c r="CM189" s="41">
        <f>'[2]побудинковий звіт'!CM189+'[1]побудинковий звіт'!CM189</f>
        <v>0</v>
      </c>
      <c r="CN189" s="55">
        <f t="shared" si="157"/>
        <v>0</v>
      </c>
      <c r="CO189" s="41">
        <f t="shared" si="158"/>
        <v>0</v>
      </c>
      <c r="CP189" s="42">
        <f t="shared" si="159"/>
        <v>0</v>
      </c>
      <c r="CQ189" s="55">
        <f t="shared" si="160"/>
        <v>0</v>
      </c>
      <c r="CR189" s="76">
        <f t="shared" si="161"/>
        <v>2056.8211302451659</v>
      </c>
      <c r="CS189" s="5">
        <f t="shared" si="162"/>
        <v>1045.1511001101242</v>
      </c>
      <c r="CT189" s="55">
        <f t="shared" si="163"/>
        <v>-1011.6700301350418</v>
      </c>
      <c r="CU189" s="84">
        <f t="shared" si="164"/>
        <v>2468.1853562941992</v>
      </c>
      <c r="CV189" s="68">
        <f t="shared" si="165"/>
        <v>1254.181320132149</v>
      </c>
      <c r="CW189" s="36">
        <f t="shared" si="166"/>
        <v>-1214.0040361620502</v>
      </c>
      <c r="CX189" s="41">
        <f>'[2]побудинковий звіт'!CX189+'[1]побудинковий звіт'!CX189</f>
        <v>74.306265066693129</v>
      </c>
      <c r="CY189" s="41">
        <f>'[2]побудинковий звіт'!CY189+'[1]побудинковий звіт'!CY189</f>
        <v>1288.3103012287429</v>
      </c>
      <c r="CZ189" s="55">
        <f t="shared" si="167"/>
        <v>1214.0040361620497</v>
      </c>
      <c r="DA189" s="254">
        <f>'[1]побудинковий звіт'!DA189</f>
        <v>-6695.2128585701594</v>
      </c>
      <c r="DB189" s="2">
        <v>3</v>
      </c>
      <c r="DC189" s="702">
        <f>'[1]побудинковий звіт'!DC189</f>
        <v>276.52999999999997</v>
      </c>
      <c r="DD189" s="702">
        <f>'[1]побудинковий звіт'!DD189</f>
        <v>0</v>
      </c>
      <c r="DE189" s="702">
        <f>'[1]побудинковий звіт'!DE189</f>
        <v>0</v>
      </c>
      <c r="DF189" s="702">
        <f>'[1]побудинковий звіт'!DF189</f>
        <v>0</v>
      </c>
      <c r="DG189" s="772">
        <v>-2656.2325125117181</v>
      </c>
      <c r="DH189" s="746">
        <f t="shared" si="168"/>
        <v>30509.899456330706</v>
      </c>
      <c r="DI189" s="769"/>
      <c r="DJ189" s="5"/>
      <c r="DK189" s="307">
        <f>VLOOKUP($A189,ціни!$A$4:$G$401,5)</f>
        <v>1.3155528924424846</v>
      </c>
      <c r="DL189" s="307"/>
      <c r="DM189" s="307">
        <f>VLOOKUP($A189,ціни!$A$4:$G$401,7)</f>
        <v>1.3155528924424846</v>
      </c>
      <c r="DN189" s="29">
        <f t="shared" si="183"/>
        <v>199.70092907276918</v>
      </c>
      <c r="DO189" s="29">
        <f t="shared" si="184"/>
        <v>0</v>
      </c>
      <c r="DP189" s="306">
        <f t="shared" si="169"/>
        <v>199.70092907276918</v>
      </c>
      <c r="DQ189" s="101"/>
      <c r="DR189" s="29">
        <f>VLOOKUP(A189,'ДЗ нас '!$A$1:$C$359,2)</f>
        <v>199.71</v>
      </c>
      <c r="DS189" s="733"/>
      <c r="DT189" s="29">
        <f t="shared" si="170"/>
        <v>199.71</v>
      </c>
      <c r="DU189" s="247">
        <f>VLOOKUP(A189,'новий кошторис с 01.06'!$A$4:$AI$399,35)*1.2</f>
        <v>200.67507994629489</v>
      </c>
      <c r="DV189" s="29">
        <f t="shared" si="171"/>
        <v>-0.96507994629487825</v>
      </c>
      <c r="DW189" s="1016">
        <f>'[2]побудинковий звіт'!$DW$9+'[1]побудинковий звіт'!DW189</f>
        <v>0</v>
      </c>
      <c r="DX189" s="101">
        <f>'[1]побудинковий звіт'!DX189</f>
        <v>0</v>
      </c>
      <c r="DY189" s="5">
        <f t="shared" si="172"/>
        <v>2253.6648212133159</v>
      </c>
      <c r="DZ189" s="5">
        <f t="shared" si="173"/>
        <v>1169.1546451679999</v>
      </c>
      <c r="EA189" s="737">
        <f t="shared" si="174"/>
        <v>0</v>
      </c>
      <c r="EC189" s="577">
        <f t="shared" si="175"/>
        <v>22536.648212133161</v>
      </c>
      <c r="EE189" s="743">
        <v>-1656</v>
      </c>
      <c r="EF189" s="723">
        <f t="shared" si="176"/>
        <v>-4312.2325125117186</v>
      </c>
      <c r="EH189" s="798">
        <v>-3622.1312196189601</v>
      </c>
      <c r="EI189" s="101">
        <f>VLOOKUP(A189,'кошти 01.01.24'!$A$9:$D$352,4,FALSE)</f>
        <v>-5481.208822408109</v>
      </c>
    </row>
    <row r="190" spans="1:139" hidden="1" x14ac:dyDescent="0.3">
      <c r="A190" s="318">
        <v>150000501</v>
      </c>
      <c r="B190" s="43" t="s">
        <v>623</v>
      </c>
      <c r="C190" s="44" t="s">
        <v>263</v>
      </c>
      <c r="D190" s="44" t="s">
        <v>263</v>
      </c>
      <c r="E190" s="39">
        <f t="shared" si="125"/>
        <v>4531.93</v>
      </c>
      <c r="F190" s="205">
        <f>'[1]побудинковий звіт'!F190</f>
        <v>4491.33</v>
      </c>
      <c r="G190" s="29">
        <f>'[1]побудинковий звіт'!G190</f>
        <v>0</v>
      </c>
      <c r="H190" s="148">
        <f>'[1]побудинковий звіт'!H190</f>
        <v>40.6</v>
      </c>
      <c r="I190" s="41">
        <f>'[2]побудинковий звіт'!I190+'[1]побудинковий звіт'!I190</f>
        <v>17645.894944304837</v>
      </c>
      <c r="J190" s="41">
        <f>'[2]побудинковий звіт'!J190+'[1]побудинковий звіт'!J190</f>
        <v>18082.325350403182</v>
      </c>
      <c r="K190" s="55">
        <f t="shared" si="126"/>
        <v>436.43040609834497</v>
      </c>
      <c r="L190" s="41">
        <f>'[2]побудинковий звіт'!L190+'[1]побудинковий звіт'!L190</f>
        <v>3538.3899752982388</v>
      </c>
      <c r="M190" s="41">
        <f>'[2]побудинковий звіт'!M190+'[1]побудинковий звіт'!M190</f>
        <v>3710.2961000417063</v>
      </c>
      <c r="N190" s="55">
        <f t="shared" si="127"/>
        <v>171.90612474346744</v>
      </c>
      <c r="O190" s="41">
        <f>'[2]побудинковий звіт'!O190+'[1]побудинковий звіт'!O190</f>
        <v>6319.2411008266336</v>
      </c>
      <c r="P190" s="41">
        <f>'[2]побудинковий звіт'!P190+'[1]побудинковий звіт'!P190</f>
        <v>6338.7001061332985</v>
      </c>
      <c r="Q190" s="55">
        <f t="shared" si="128"/>
        <v>19.459005306664949</v>
      </c>
      <c r="R190" s="41">
        <f>'[2]побудинковий звіт'!R190+'[1]побудинковий звіт'!R190</f>
        <v>0</v>
      </c>
      <c r="S190" s="41">
        <f>'[2]побудинковий звіт'!S190+'[1]побудинковий звіт'!S190</f>
        <v>0</v>
      </c>
      <c r="T190" s="55">
        <f t="shared" si="129"/>
        <v>0</v>
      </c>
      <c r="U190" s="41">
        <f>'[2]побудинковий звіт'!U190+'[1]побудинковий звіт'!U190</f>
        <v>280.65294837812576</v>
      </c>
      <c r="V190" s="41">
        <f>'[2]побудинковий звіт'!V190+'[1]побудинковий звіт'!V190</f>
        <v>161.91688629599031</v>
      </c>
      <c r="W190" s="55">
        <f t="shared" si="130"/>
        <v>-118.73606208213545</v>
      </c>
      <c r="X190" s="41">
        <f>'[2]побудинковий звіт'!X190+'[1]побудинковий звіт'!X190</f>
        <v>13613.642766387075</v>
      </c>
      <c r="Y190" s="41">
        <f>'[2]побудинковий звіт'!Y190+'[1]побудинковий звіт'!Y190</f>
        <v>13723.999277720171</v>
      </c>
      <c r="Z190" s="55">
        <f t="shared" si="131"/>
        <v>110.35651133309693</v>
      </c>
      <c r="AA190" s="41">
        <f>'[2]побудинковий звіт'!AA190+'[1]побудинковий звіт'!AA190</f>
        <v>0</v>
      </c>
      <c r="AB190" s="41">
        <f>'[2]побудинковий звіт'!AB190+'[1]побудинковий звіт'!AB190</f>
        <v>0</v>
      </c>
      <c r="AC190" s="55">
        <f t="shared" si="132"/>
        <v>0</v>
      </c>
      <c r="AD190" s="41">
        <f>'[2]побудинковий звіт'!AD190+'[1]побудинковий звіт'!AD190</f>
        <v>19648.117818180323</v>
      </c>
      <c r="AE190" s="41">
        <f>'[2]побудинковий звіт'!AE190+'[1]побудинковий звіт'!AE190</f>
        <v>19572.015294839865</v>
      </c>
      <c r="AF190" s="36">
        <f t="shared" si="133"/>
        <v>-76.102523340457992</v>
      </c>
      <c r="AG190" s="84">
        <f t="shared" si="134"/>
        <v>61045.939553375239</v>
      </c>
      <c r="AH190" s="56">
        <f t="shared" si="135"/>
        <v>61589.253015434209</v>
      </c>
      <c r="AI190" s="55">
        <f t="shared" si="136"/>
        <v>543.31346205896989</v>
      </c>
      <c r="AJ190" s="41">
        <f>'[2]побудинковий звіт'!AJ190+'[1]побудинковий звіт'!AJ190</f>
        <v>0</v>
      </c>
      <c r="AK190" s="41">
        <f>'[2]побудинковий звіт'!AK190+'[1]побудинковий звіт'!AK190</f>
        <v>0</v>
      </c>
      <c r="AL190" s="55">
        <f t="shared" si="137"/>
        <v>0</v>
      </c>
      <c r="AM190" s="41">
        <f>'[2]побудинковий звіт'!AM190+'[1]побудинковий звіт'!AM190</f>
        <v>0</v>
      </c>
      <c r="AN190" s="41">
        <f>'[2]побудинковий звіт'!AN190+'[1]побудинковий звіт'!AN190</f>
        <v>0</v>
      </c>
      <c r="AO190" s="55">
        <f t="shared" si="138"/>
        <v>0</v>
      </c>
      <c r="AP190" s="41">
        <f>'[2]побудинковий звіт'!AP190+'[1]побудинковий звіт'!AP190</f>
        <v>14710.379452142277</v>
      </c>
      <c r="AQ190" s="41">
        <f>'[2]побудинковий звіт'!AQ190+'[1]побудинковий звіт'!AQ190</f>
        <v>14084.895028578361</v>
      </c>
      <c r="AR190" s="55">
        <f t="shared" si="139"/>
        <v>-625.4844235639157</v>
      </c>
      <c r="AS190" s="41">
        <f>'[2]побудинковий звіт'!AS190+'[1]побудинковий звіт'!AS190</f>
        <v>66048.561829985731</v>
      </c>
      <c r="AT190" s="41">
        <f>'[2]побудинковий звіт'!AT190+'[1]побудинковий звіт'!AT190</f>
        <v>4905.8331233660483</v>
      </c>
      <c r="AU190" s="57">
        <f t="shared" si="140"/>
        <v>-61142.72870661968</v>
      </c>
      <c r="AV190" s="41">
        <f>'[2]побудинковий звіт'!AV190+'[1]побудинковий звіт'!AV190</f>
        <v>3045.459343042638</v>
      </c>
      <c r="AW190" s="41">
        <f>'[2]побудинковий звіт'!AW190+'[1]побудинковий звіт'!AW190</f>
        <v>0</v>
      </c>
      <c r="AX190" s="58">
        <f t="shared" si="141"/>
        <v>-3045.459343042638</v>
      </c>
      <c r="AY190" s="41">
        <f>'[2]побудинковий звіт'!AY190+'[1]побудинковий звіт'!AY190</f>
        <v>4605.5870452491527</v>
      </c>
      <c r="AZ190" s="41">
        <f>'[2]побудинковий звіт'!AZ190+'[1]побудинковий звіт'!AZ190</f>
        <v>1605.9973575179408</v>
      </c>
      <c r="BA190" s="36">
        <f t="shared" si="142"/>
        <v>-2999.5896877312116</v>
      </c>
      <c r="BB190" s="41">
        <f>'[2]побудинковий звіт'!BB190+'[1]побудинковий звіт'!BB190</f>
        <v>3696.9213714685493</v>
      </c>
      <c r="BC190" s="41">
        <f>'[2]побудинковий звіт'!BC190+'[1]побудинковий звіт'!BC190</f>
        <v>0</v>
      </c>
      <c r="BD190" s="58">
        <f t="shared" si="143"/>
        <v>-3696.9213714685493</v>
      </c>
      <c r="BE190" s="41">
        <f>'[2]побудинковий звіт'!BE190+'[1]побудинковий звіт'!BE190</f>
        <v>0</v>
      </c>
      <c r="BF190" s="41">
        <f>'[2]побудинковий звіт'!BF190+'[1]побудинковий звіт'!BF190</f>
        <v>0</v>
      </c>
      <c r="BG190" s="38">
        <f t="shared" si="144"/>
        <v>0</v>
      </c>
      <c r="BH190" s="41">
        <f>'[2]побудинковий звіт'!BH190+'[1]побудинковий звіт'!BH190</f>
        <v>165.40963195714954</v>
      </c>
      <c r="BI190" s="41">
        <f>'[2]побудинковий звіт'!BI190+'[1]побудинковий звіт'!BI190</f>
        <v>1133.7402444184133</v>
      </c>
      <c r="BJ190" s="58">
        <f t="shared" si="145"/>
        <v>968.33061246126385</v>
      </c>
      <c r="BK190" s="41">
        <f>'[2]побудинковий звіт'!BK190+'[1]побудинковий звіт'!BK190</f>
        <v>2550.3690151924825</v>
      </c>
      <c r="BL190" s="41">
        <f>'[2]побудинковий звіт'!BL190+'[1]побудинковий звіт'!BL190</f>
        <v>3181.945729323792</v>
      </c>
      <c r="BM190" s="38">
        <f t="shared" si="146"/>
        <v>631.57671413130947</v>
      </c>
      <c r="BN190" s="41">
        <f>'[2]побудинковий звіт'!BN190+'[1]побудинковий звіт'!BN190</f>
        <v>9.8504527528608712</v>
      </c>
      <c r="BO190" s="41">
        <f>'[2]побудинковий звіт'!BO190+'[1]побудинковий звіт'!BO190</f>
        <v>0</v>
      </c>
      <c r="BP190" s="58">
        <f t="shared" si="147"/>
        <v>-9.8504527528608712</v>
      </c>
      <c r="BQ190" s="84">
        <f t="shared" si="148"/>
        <v>14073.596859662832</v>
      </c>
      <c r="BR190" s="42">
        <f t="shared" si="149"/>
        <v>5921.6833312601466</v>
      </c>
      <c r="BS190" s="58">
        <f t="shared" si="150"/>
        <v>-8151.9135284026852</v>
      </c>
      <c r="BT190" s="41">
        <f>'[2]побудинковий звіт'!BT190+'[1]побудинковий звіт'!BT190</f>
        <v>35006.227012313546</v>
      </c>
      <c r="BU190" s="41">
        <f>'[2]побудинковий звіт'!BU190+'[1]побудинковий звіт'!BU190</f>
        <v>57354.886816122387</v>
      </c>
      <c r="BV190" s="55">
        <f t="shared" si="151"/>
        <v>22348.659803808841</v>
      </c>
      <c r="BW190" s="41">
        <f>'[2]побудинковий звіт'!BW190+'[1]побудинковий звіт'!BW190</f>
        <v>26293.516025826713</v>
      </c>
      <c r="BX190" s="41">
        <f>'[2]побудинковий звіт'!BX190+'[1]побудинковий звіт'!BX190</f>
        <v>31547.907247583153</v>
      </c>
      <c r="BY190" s="55">
        <f t="shared" si="152"/>
        <v>5254.3912217564393</v>
      </c>
      <c r="BZ190" s="41">
        <f>'[2]побудинковий звіт'!BZ190+'[1]побудинковий звіт'!BZ190</f>
        <v>14548.903851208488</v>
      </c>
      <c r="CA190" s="41">
        <f>'[2]побудинковий звіт'!CA190+'[1]побудинковий звіт'!CA190</f>
        <v>4425.3807084184964</v>
      </c>
      <c r="CB190" s="55">
        <f t="shared" si="153"/>
        <v>-10123.523142789993</v>
      </c>
      <c r="CC190" s="41">
        <f>'[2]побудинковий звіт'!CC190+'[1]побудинковий звіт'!CC190</f>
        <v>2754.9243399630409</v>
      </c>
      <c r="CD190" s="41">
        <f>'[2]побудинковий звіт'!CD190+'[1]побудинковий звіт'!CD190</f>
        <v>2764.265981105485</v>
      </c>
      <c r="CE190" s="55">
        <f t="shared" si="154"/>
        <v>9.3416411424441321</v>
      </c>
      <c r="CF190" s="41">
        <f>'[2]побудинковий звіт'!CF190+'[1]побудинковий звіт'!CF190</f>
        <v>341.32048278836794</v>
      </c>
      <c r="CG190" s="41">
        <f>'[2]побудинковий звіт'!CG190+'[1]побудинковий звіт'!CG190</f>
        <v>0</v>
      </c>
      <c r="CH190" s="55">
        <f t="shared" si="155"/>
        <v>-341.32048278836794</v>
      </c>
      <c r="CI190" s="41">
        <f>'[2]побудинковий звіт'!CI190+'[1]побудинковий звіт'!CI190</f>
        <v>7889.7741263256084</v>
      </c>
      <c r="CJ190" s="41">
        <f>'[2]побудинковий звіт'!CJ190+'[1]побудинковий звіт'!CJ190</f>
        <v>7246.0937297178862</v>
      </c>
      <c r="CK190" s="55">
        <f t="shared" si="156"/>
        <v>-643.68039660772229</v>
      </c>
      <c r="CL190" s="41">
        <f>'[2]побудинковий звіт'!CL190+'[1]побудинковий звіт'!CL190</f>
        <v>0</v>
      </c>
      <c r="CM190" s="41">
        <f>'[2]побудинковий звіт'!CM190+'[1]побудинковий звіт'!CM190</f>
        <v>0</v>
      </c>
      <c r="CN190" s="55">
        <f t="shared" si="157"/>
        <v>0</v>
      </c>
      <c r="CO190" s="41">
        <f t="shared" si="158"/>
        <v>7889.7741263256084</v>
      </c>
      <c r="CP190" s="42">
        <f t="shared" si="159"/>
        <v>7246.0937297178862</v>
      </c>
      <c r="CQ190" s="55">
        <f t="shared" si="160"/>
        <v>-643.68039660772229</v>
      </c>
      <c r="CR190" s="76">
        <f t="shared" si="161"/>
        <v>242713.14353359185</v>
      </c>
      <c r="CS190" s="5">
        <f t="shared" si="162"/>
        <v>189840.19898158617</v>
      </c>
      <c r="CT190" s="55">
        <f t="shared" si="163"/>
        <v>-52872.944552005676</v>
      </c>
      <c r="CU190" s="84">
        <f t="shared" si="164"/>
        <v>291255.77224031021</v>
      </c>
      <c r="CV190" s="68">
        <f t="shared" si="165"/>
        <v>227808.2387779034</v>
      </c>
      <c r="CW190" s="36">
        <f t="shared" si="166"/>
        <v>-63447.533462406805</v>
      </c>
      <c r="CX190" s="41">
        <f>'[2]побудинковий звіт'!CX190+'[1]побудинковий звіт'!CX190</f>
        <v>12382.375179334484</v>
      </c>
      <c r="CY190" s="41">
        <f>'[2]побудинковий звіт'!CY190+'[1]побудинковий звіт'!CY190</f>
        <v>75829.908641741291</v>
      </c>
      <c r="CZ190" s="55">
        <f t="shared" si="167"/>
        <v>63447.533462406805</v>
      </c>
      <c r="DA190" s="254">
        <f>'[1]побудинковий звіт'!DA190</f>
        <v>14405.392838354543</v>
      </c>
      <c r="DB190" s="2">
        <v>2</v>
      </c>
      <c r="DC190" s="702">
        <f>'[1]побудинковий звіт'!DC190</f>
        <v>102031.11</v>
      </c>
      <c r="DD190" s="702">
        <f>'[1]побудинковий звіт'!DD190</f>
        <v>1871.08</v>
      </c>
      <c r="DE190" s="702">
        <f>'[1]побудинковий звіт'!DE190</f>
        <v>68858.69</v>
      </c>
      <c r="DF190" s="702">
        <f>'[1]побудинковий звіт'!DF190</f>
        <v>1601.73</v>
      </c>
      <c r="DG190" s="772">
        <v>137595.79377124191</v>
      </c>
      <c r="DH190" s="746">
        <f t="shared" si="168"/>
        <v>3643657.7690357361</v>
      </c>
      <c r="DI190" s="769"/>
      <c r="DJ190" s="5"/>
      <c r="DK190" s="307">
        <f>VLOOKUP($A190,ціни!$A$4:$G$401,5)</f>
        <v>5.2506784230692372</v>
      </c>
      <c r="DL190" s="307"/>
      <c r="DM190" s="307">
        <f>VLOOKUP($A190,ціни!$A$4:$G$401,7)</f>
        <v>4.6669479569063004</v>
      </c>
      <c r="DN190" s="29">
        <f t="shared" si="183"/>
        <v>23582.529521883556</v>
      </c>
      <c r="DO190" s="29">
        <f t="shared" si="184"/>
        <v>189.4780870503958</v>
      </c>
      <c r="DP190" s="306">
        <f t="shared" si="169"/>
        <v>23772.007608933953</v>
      </c>
      <c r="DQ190" s="101"/>
      <c r="DR190" s="29">
        <f>VLOOKUP(A190,'ДЗ нас '!$A$1:$C$359,2)</f>
        <v>23582.67</v>
      </c>
      <c r="DS190" s="733">
        <f>VLOOKUP(A190,'ДЗ нежит'!$A$1:$D$153,4,0)</f>
        <v>189.48</v>
      </c>
      <c r="DT190" s="29">
        <f t="shared" si="170"/>
        <v>23772.149999999998</v>
      </c>
      <c r="DU190" s="247">
        <f>VLOOKUP(A190,'новий кошторис с 01.06'!$A$4:$AI$399,35)*1.2</f>
        <v>23942.699748934436</v>
      </c>
      <c r="DV190" s="29">
        <f t="shared" si="171"/>
        <v>-170.54974893443796</v>
      </c>
      <c r="DW190" s="1016">
        <f>'[2]побудинковий звіт'!$DW$9+'[1]побудинковий звіт'!DW190</f>
        <v>1206</v>
      </c>
      <c r="DX190" s="101">
        <f>'[1]побудинковий звіт'!DX190</f>
        <v>0</v>
      </c>
      <c r="DY190" s="5">
        <f t="shared" si="172"/>
        <v>96146.590427578281</v>
      </c>
      <c r="DZ190" s="5">
        <f t="shared" si="173"/>
        <v>12993.019745551434</v>
      </c>
      <c r="EA190" s="737">
        <f t="shared" si="174"/>
        <v>70460.42</v>
      </c>
      <c r="EC190" s="577">
        <f t="shared" si="175"/>
        <v>792582.74195982877</v>
      </c>
      <c r="EE190" s="743">
        <v>-38326</v>
      </c>
      <c r="EF190" s="723">
        <f t="shared" si="176"/>
        <v>99269.793771241908</v>
      </c>
      <c r="EH190" s="798">
        <v>97863.613379381772</v>
      </c>
      <c r="EI190" s="101">
        <f>VLOOKUP(A190,'кошти 01.01.24'!$A$9:$D$352,4,FALSE)</f>
        <v>77852.926300761319</v>
      </c>
    </row>
    <row r="191" spans="1:139" hidden="1" x14ac:dyDescent="0.3">
      <c r="A191" s="318">
        <v>150000778</v>
      </c>
      <c r="B191" s="43" t="s">
        <v>624</v>
      </c>
      <c r="C191" s="44" t="s">
        <v>1826</v>
      </c>
      <c r="D191" s="44" t="s">
        <v>214</v>
      </c>
      <c r="E191" s="39">
        <f t="shared" si="125"/>
        <v>2055.6</v>
      </c>
      <c r="F191" s="205">
        <f>'[1]побудинковий звіт'!F191</f>
        <v>2055.6</v>
      </c>
      <c r="G191" s="29">
        <f>'[1]побудинковий звіт'!G191</f>
        <v>0</v>
      </c>
      <c r="H191" s="148">
        <f>'[1]побудинковий звіт'!H191</f>
        <v>0</v>
      </c>
      <c r="I191" s="41">
        <f>'[2]побудинковий звіт'!I191+'[1]побудинковий звіт'!I191</f>
        <v>7481.5072038998151</v>
      </c>
      <c r="J191" s="41">
        <f>'[2]побудинковий звіт'!J191+'[1]побудинковий звіт'!J191</f>
        <v>7794.5854638962237</v>
      </c>
      <c r="K191" s="55">
        <f t="shared" si="126"/>
        <v>313.07825999640863</v>
      </c>
      <c r="L191" s="41">
        <f>'[2]побудинковий звіт'!L191+'[1]побудинковий звіт'!L191</f>
        <v>1456.1911037929756</v>
      </c>
      <c r="M191" s="41">
        <f>'[2]побудинковий звіт'!M191+'[1]побудинковий звіт'!M191</f>
        <v>1572.2471642191249</v>
      </c>
      <c r="N191" s="55">
        <f t="shared" si="127"/>
        <v>116.05606042614932</v>
      </c>
      <c r="O191" s="41">
        <f>'[2]побудинковий звіт'!O191+'[1]побудинковий звіт'!O191</f>
        <v>3157.1216392049455</v>
      </c>
      <c r="P191" s="41">
        <f>'[2]побудинковий звіт'!P191+'[1]побудинковий звіт'!P191</f>
        <v>3166.6680412683636</v>
      </c>
      <c r="Q191" s="55">
        <f t="shared" si="128"/>
        <v>9.5464020634180997</v>
      </c>
      <c r="R191" s="41">
        <f>'[2]побудинковий звіт'!R191+'[1]побудинковий звіт'!R191</f>
        <v>703.77068665653701</v>
      </c>
      <c r="S191" s="41">
        <f>'[2]побудинковий звіт'!S191+'[1]побудинковий звіт'!S191</f>
        <v>705.77651227003889</v>
      </c>
      <c r="T191" s="55">
        <f t="shared" si="129"/>
        <v>2.0058256135018837</v>
      </c>
      <c r="U191" s="41">
        <f>'[2]побудинковий звіт'!U191+'[1]побудинковий звіт'!U191</f>
        <v>196.45706386468794</v>
      </c>
      <c r="V191" s="41">
        <f>'[2]побудинковий звіт'!V191+'[1]побудинковий звіт'!V191</f>
        <v>113.34182040719315</v>
      </c>
      <c r="W191" s="55">
        <f t="shared" si="130"/>
        <v>-83.115243457494785</v>
      </c>
      <c r="X191" s="41">
        <f>'[2]побудинковий звіт'!X191+'[1]побудинковий звіт'!X191</f>
        <v>5287.9680302961333</v>
      </c>
      <c r="Y191" s="41">
        <f>'[2]побудинковий звіт'!Y191+'[1]побудинковий звіт'!Y191</f>
        <v>5187.6998497564909</v>
      </c>
      <c r="Z191" s="55">
        <f t="shared" si="131"/>
        <v>-100.26818053964234</v>
      </c>
      <c r="AA191" s="41">
        <f>'[2]побудинковий звіт'!AA191+'[1]побудинковий звіт'!AA191</f>
        <v>0</v>
      </c>
      <c r="AB191" s="41">
        <f>'[2]побудинковий звіт'!AB191+'[1]побудинковий звіт'!AB191</f>
        <v>0</v>
      </c>
      <c r="AC191" s="55">
        <f t="shared" si="132"/>
        <v>0</v>
      </c>
      <c r="AD191" s="41">
        <f>'[2]побудинковий звіт'!AD191+'[1]побудинковий звіт'!AD191</f>
        <v>8915.7788843154503</v>
      </c>
      <c r="AE191" s="41">
        <f>'[2]побудинковий звіт'!AE191+'[1]побудинковий звіт'!AE191</f>
        <v>8881.10300986734</v>
      </c>
      <c r="AF191" s="36">
        <f t="shared" si="133"/>
        <v>-34.675874448110335</v>
      </c>
      <c r="AG191" s="84">
        <f t="shared" si="134"/>
        <v>27198.794612030542</v>
      </c>
      <c r="AH191" s="56">
        <f t="shared" si="135"/>
        <v>27421.421861684776</v>
      </c>
      <c r="AI191" s="55">
        <f t="shared" si="136"/>
        <v>222.62724965423331</v>
      </c>
      <c r="AJ191" s="41">
        <f>'[2]побудинковий звіт'!AJ191+'[1]побудинковий звіт'!AJ191</f>
        <v>0</v>
      </c>
      <c r="AK191" s="41">
        <f>'[2]побудинковий звіт'!AK191+'[1]побудинковий звіт'!AK191</f>
        <v>0</v>
      </c>
      <c r="AL191" s="55">
        <f t="shared" si="137"/>
        <v>0</v>
      </c>
      <c r="AM191" s="41">
        <f>'[2]побудинковий звіт'!AM191+'[1]побудинковий звіт'!AM191</f>
        <v>0</v>
      </c>
      <c r="AN191" s="41">
        <f>'[2]побудинковий звіт'!AN191+'[1]побудинковий звіт'!AN191</f>
        <v>0</v>
      </c>
      <c r="AO191" s="55">
        <f t="shared" si="138"/>
        <v>0</v>
      </c>
      <c r="AP191" s="41">
        <f>'[2]побудинковий звіт'!AP191+'[1]побудинковий звіт'!AP191</f>
        <v>2377.4350629724895</v>
      </c>
      <c r="AQ191" s="41">
        <f>'[2]побудинковий звіт'!AQ191+'[1]побудинковий звіт'!AQ191</f>
        <v>2108.1881312787245</v>
      </c>
      <c r="AR191" s="55">
        <f t="shared" si="139"/>
        <v>-269.24693169376496</v>
      </c>
      <c r="AS191" s="41">
        <f>'[2]побудинковий звіт'!AS191+'[1]побудинковий звіт'!AS191</f>
        <v>27424.819913442996</v>
      </c>
      <c r="AT191" s="41">
        <f>'[2]побудинковий звіт'!AT191+'[1]побудинковий звіт'!AT191</f>
        <v>2672.1882370515546</v>
      </c>
      <c r="AU191" s="57">
        <f t="shared" si="140"/>
        <v>-24752.63167639144</v>
      </c>
      <c r="AV191" s="41">
        <f>'[2]побудинковий звіт'!AV191+'[1]побудинковий звіт'!AV191</f>
        <v>1222.9646470576481</v>
      </c>
      <c r="AW191" s="41">
        <f>'[2]побудинковий звіт'!AW191+'[1]побудинковий звіт'!AW191</f>
        <v>0</v>
      </c>
      <c r="AX191" s="58">
        <f t="shared" si="141"/>
        <v>-1222.9646470576481</v>
      </c>
      <c r="AY191" s="41">
        <f>'[2]побудинковий звіт'!AY191+'[1]побудинковий звіт'!AY191</f>
        <v>1729.5281626153537</v>
      </c>
      <c r="AZ191" s="41">
        <f>'[2]побудинковий звіт'!AZ191+'[1]побудинковий звіт'!AZ191</f>
        <v>2290.419905761205</v>
      </c>
      <c r="BA191" s="36">
        <f t="shared" si="142"/>
        <v>560.89174314585125</v>
      </c>
      <c r="BB191" s="41">
        <f>'[2]побудинковий звіт'!BB191+'[1]побудинковий звіт'!BB191</f>
        <v>1208.6428361969399</v>
      </c>
      <c r="BC191" s="41">
        <f>'[2]побудинковий звіт'!BC191+'[1]побудинковий звіт'!BC191</f>
        <v>0</v>
      </c>
      <c r="BD191" s="58">
        <f t="shared" si="143"/>
        <v>-1208.6428361969399</v>
      </c>
      <c r="BE191" s="41">
        <f>'[2]побудинковий звіт'!BE191+'[1]побудинковий звіт'!BE191</f>
        <v>620.7066996922598</v>
      </c>
      <c r="BF191" s="41">
        <f>'[2]побудинковий звіт'!BF191+'[1]побудинковий звіт'!BF191</f>
        <v>0</v>
      </c>
      <c r="BG191" s="38">
        <f t="shared" si="144"/>
        <v>-620.7066996922598</v>
      </c>
      <c r="BH191" s="41">
        <f>'[2]побудинковий звіт'!BH191+'[1]побудинковий звіт'!BH191</f>
        <v>115.78674237000469</v>
      </c>
      <c r="BI191" s="41">
        <f>'[2]побудинковий звіт'!BI191+'[1]побудинковий звіт'!BI191</f>
        <v>0</v>
      </c>
      <c r="BJ191" s="58">
        <f t="shared" si="145"/>
        <v>-115.78674237000469</v>
      </c>
      <c r="BK191" s="41">
        <f>'[2]побудинковий звіт'!BK191+'[1]побудинковий звіт'!BK191</f>
        <v>1315.6718138429148</v>
      </c>
      <c r="BL191" s="41">
        <f>'[2]побудинковий звіт'!BL191+'[1]побудинковий звіт'!BL191</f>
        <v>5355.3623088538016</v>
      </c>
      <c r="BM191" s="38">
        <f t="shared" si="146"/>
        <v>4039.6904950108865</v>
      </c>
      <c r="BN191" s="41">
        <f>'[2]побудинковий звіт'!BN191+'[1]побудинковий звіт'!BN191</f>
        <v>56.467563551431752</v>
      </c>
      <c r="BO191" s="41">
        <f>'[2]побудинковий звіт'!BO191+'[1]побудинковий звіт'!BO191</f>
        <v>3196.4251024579148</v>
      </c>
      <c r="BP191" s="58">
        <f t="shared" si="147"/>
        <v>3139.957538906483</v>
      </c>
      <c r="BQ191" s="84">
        <f t="shared" si="148"/>
        <v>6269.7684653265524</v>
      </c>
      <c r="BR191" s="42">
        <f t="shared" si="149"/>
        <v>10842.207317072922</v>
      </c>
      <c r="BS191" s="58">
        <f t="shared" si="150"/>
        <v>4572.4388517463694</v>
      </c>
      <c r="BT191" s="41">
        <f>'[2]побудинковий звіт'!BT191+'[1]побудинковий звіт'!BT191</f>
        <v>28227.773017115003</v>
      </c>
      <c r="BU191" s="41">
        <f>'[2]побудинковий звіт'!BU191+'[1]побудинковий звіт'!BU191</f>
        <v>44234.129373749551</v>
      </c>
      <c r="BV191" s="55">
        <f t="shared" si="151"/>
        <v>16006.356356634547</v>
      </c>
      <c r="BW191" s="41">
        <f>'[2]побудинковий звіт'!BW191+'[1]побудинковий звіт'!BW191</f>
        <v>11299.022870828567</v>
      </c>
      <c r="BX191" s="41">
        <f>'[2]побудинковий звіт'!BX191+'[1]побудинковий звіт'!BX191</f>
        <v>14136.957827171864</v>
      </c>
      <c r="BY191" s="55">
        <f t="shared" si="152"/>
        <v>2837.934956343297</v>
      </c>
      <c r="BZ191" s="41">
        <f>'[2]побудинковий звіт'!BZ191+'[1]побудинковий звіт'!BZ191</f>
        <v>5464.8416903658654</v>
      </c>
      <c r="CA191" s="41">
        <f>'[2]побудинковий звіт'!CA191+'[1]побудинковий звіт'!CA191</f>
        <v>2023.8602075709694</v>
      </c>
      <c r="CB191" s="55">
        <f t="shared" si="153"/>
        <v>-3440.9814827948958</v>
      </c>
      <c r="CC191" s="41">
        <f>'[2]побудинковий звіт'!CC191+'[1]побудинковий звіт'!CC191</f>
        <v>1595.57815934481</v>
      </c>
      <c r="CD191" s="41">
        <f>'[2]побудинковий звіт'!CD191+'[1]побудинковий звіт'!CD191</f>
        <v>1600.9885869065049</v>
      </c>
      <c r="CE191" s="55">
        <f t="shared" si="154"/>
        <v>5.4104275616948598</v>
      </c>
      <c r="CF191" s="41">
        <f>'[2]побудинковий звіт'!CF191+'[1]побудинковий звіт'!CF191</f>
        <v>197.68365314941911</v>
      </c>
      <c r="CG191" s="41">
        <f>'[2]побудинковий звіт'!CG191+'[1]побудинковий звіт'!CG191</f>
        <v>0</v>
      </c>
      <c r="CH191" s="55">
        <f t="shared" si="155"/>
        <v>-197.68365314941911</v>
      </c>
      <c r="CI191" s="41">
        <f>'[2]побудинковий звіт'!CI191+'[1]побудинковий звіт'!CI191</f>
        <v>4065.9537419885878</v>
      </c>
      <c r="CJ191" s="41">
        <f>'[2]побудинковий звіт'!CJ191+'[1]побудинковий звіт'!CJ191</f>
        <v>1619.3193618496412</v>
      </c>
      <c r="CK191" s="55">
        <f t="shared" si="156"/>
        <v>-2446.6343801389467</v>
      </c>
      <c r="CL191" s="41">
        <f>'[2]побудинковий звіт'!CL191+'[1]побудинковий звіт'!CL191</f>
        <v>0</v>
      </c>
      <c r="CM191" s="41">
        <f>'[2]побудинковий звіт'!CM191+'[1]побудинковий звіт'!CM191</f>
        <v>0</v>
      </c>
      <c r="CN191" s="55">
        <f t="shared" si="157"/>
        <v>0</v>
      </c>
      <c r="CO191" s="41">
        <f t="shared" si="158"/>
        <v>4065.9537419885878</v>
      </c>
      <c r="CP191" s="42">
        <f t="shared" si="159"/>
        <v>1619.3193618496412</v>
      </c>
      <c r="CQ191" s="55">
        <f t="shared" si="160"/>
        <v>-2446.6343801389467</v>
      </c>
      <c r="CR191" s="76">
        <f t="shared" si="161"/>
        <v>114121.67118656482</v>
      </c>
      <c r="CS191" s="5">
        <f t="shared" si="162"/>
        <v>106659.26090433651</v>
      </c>
      <c r="CT191" s="55">
        <f t="shared" si="163"/>
        <v>-7462.4102822283166</v>
      </c>
      <c r="CU191" s="84">
        <f t="shared" si="164"/>
        <v>136946.0054238778</v>
      </c>
      <c r="CV191" s="68">
        <f t="shared" si="165"/>
        <v>127991.1130852038</v>
      </c>
      <c r="CW191" s="36">
        <f t="shared" si="166"/>
        <v>-8954.8923386739916</v>
      </c>
      <c r="CX191" s="41">
        <f>'[2]побудинковий звіт'!CX191+'[1]побудинковий звіт'!CX191</f>
        <v>3026.591801367515</v>
      </c>
      <c r="CY191" s="41">
        <f>'[2]побудинковий звіт'!CY191+'[1]побудинковий звіт'!CY191</f>
        <v>11981.48414004149</v>
      </c>
      <c r="CZ191" s="55">
        <f t="shared" si="167"/>
        <v>8954.8923386739752</v>
      </c>
      <c r="DA191" s="254">
        <f>'[1]побудинковий звіт'!DA191</f>
        <v>-7121.0057898620362</v>
      </c>
      <c r="DB191" s="2">
        <v>3</v>
      </c>
      <c r="DC191" s="702">
        <f>'[1]побудинковий звіт'!DC191</f>
        <v>86648.93</v>
      </c>
      <c r="DD191" s="702">
        <f>'[1]побудинковий звіт'!DD191</f>
        <v>0</v>
      </c>
      <c r="DE191" s="702">
        <f>'[1]побудинковий звіт'!DE191</f>
        <v>71295.23</v>
      </c>
      <c r="DF191" s="702">
        <f>'[1]побудинковий звіт'!DF191</f>
        <v>0</v>
      </c>
      <c r="DG191" s="772">
        <v>-36054.651857599325</v>
      </c>
      <c r="DH191" s="746">
        <f t="shared" si="168"/>
        <v>1679671.1667029439</v>
      </c>
      <c r="DI191" s="769"/>
      <c r="DJ191" s="5"/>
      <c r="DK191" s="307">
        <f>VLOOKUP($A191,ціни!$A$4:$G$401,5)</f>
        <v>5.3368116535638697</v>
      </c>
      <c r="DL191" s="307"/>
      <c r="DM191" s="307">
        <f>VLOOKUP($A191,ціни!$A$4:$G$401,7)</f>
        <v>4.8009832408318216</v>
      </c>
      <c r="DN191" s="29">
        <f t="shared" si="183"/>
        <v>10970.350035065891</v>
      </c>
      <c r="DO191" s="29">
        <f t="shared" si="184"/>
        <v>0</v>
      </c>
      <c r="DP191" s="306">
        <f t="shared" si="169"/>
        <v>10970.350035065891</v>
      </c>
      <c r="DQ191" s="101"/>
      <c r="DR191" s="29">
        <f>VLOOKUP(A191,'ДЗ нас '!$A$1:$C$359,2)</f>
        <v>10970.35</v>
      </c>
      <c r="DS191" s="733"/>
      <c r="DT191" s="29">
        <f t="shared" si="170"/>
        <v>10970.35</v>
      </c>
      <c r="DU191" s="247">
        <f>VLOOKUP(A191,'новий кошторис с 01.06'!$A$4:$AI$399,35)*1.2</f>
        <v>11002.774714972489</v>
      </c>
      <c r="DV191" s="29">
        <f t="shared" si="171"/>
        <v>-32.4247149724888</v>
      </c>
      <c r="DW191" s="1016">
        <f>'[2]побудинковий звіт'!$DW$9+'[1]побудинковий звіт'!DW191</f>
        <v>909</v>
      </c>
      <c r="DX191" s="101">
        <f>'[1]побудинковий звіт'!DX191</f>
        <v>0</v>
      </c>
      <c r="DY191" s="5">
        <f t="shared" si="172"/>
        <v>40433.506054523459</v>
      </c>
      <c r="DZ191" s="5">
        <f t="shared" si="173"/>
        <v>16217.274664949371</v>
      </c>
      <c r="EA191" s="737">
        <f t="shared" si="174"/>
        <v>71295.23</v>
      </c>
      <c r="EC191" s="577">
        <f t="shared" si="175"/>
        <v>329097.83896131592</v>
      </c>
      <c r="EE191" s="743">
        <v>-14169</v>
      </c>
      <c r="EF191" s="723">
        <f t="shared" si="176"/>
        <v>-50223.651857599325</v>
      </c>
      <c r="EH191" s="798">
        <v>-40961.74159796429</v>
      </c>
      <c r="EI191" s="101">
        <f>VLOOKUP(A191,'кошти 01.01.24'!$A$9:$D$352,4,FALSE)</f>
        <v>1833.8865488119309</v>
      </c>
    </row>
    <row r="192" spans="1:139" ht="14.4" hidden="1" customHeight="1" x14ac:dyDescent="0.3">
      <c r="A192" s="318">
        <v>150001071</v>
      </c>
      <c r="B192" s="43" t="s">
        <v>625</v>
      </c>
      <c r="C192" s="44" t="s">
        <v>1827</v>
      </c>
      <c r="D192" s="44" t="s">
        <v>167</v>
      </c>
      <c r="E192" s="39">
        <f t="shared" si="125"/>
        <v>376.81</v>
      </c>
      <c r="F192" s="205">
        <f>'[1]побудинковий звіт'!F192</f>
        <v>376.81</v>
      </c>
      <c r="G192" s="29">
        <f>'[1]побудинковий звіт'!G192</f>
        <v>0</v>
      </c>
      <c r="H192" s="148">
        <f>'[1]побудинковий звіт'!H192</f>
        <v>0</v>
      </c>
      <c r="I192" s="41">
        <f>'[2]побудинковий звіт'!I192+'[1]побудинковий звіт'!I192</f>
        <v>1841.0020183422037</v>
      </c>
      <c r="J192" s="41">
        <f>'[2]побудинковий звіт'!J192+'[1]побудинковий звіт'!J192</f>
        <v>1912.6663101608947</v>
      </c>
      <c r="K192" s="55">
        <f t="shared" si="126"/>
        <v>71.664291818691026</v>
      </c>
      <c r="L192" s="41">
        <f>'[2]побудинковий звіт'!L192+'[1]побудинковий звіт'!L192</f>
        <v>312.63323637294673</v>
      </c>
      <c r="M192" s="41">
        <f>'[2]побудинковий звіт'!M192+'[1]побудинковий звіт'!M192</f>
        <v>336.68518073965345</v>
      </c>
      <c r="N192" s="55">
        <f t="shared" si="127"/>
        <v>24.051944366706721</v>
      </c>
      <c r="O192" s="41">
        <f>'[2]побудинковий звіт'!O192+'[1]побудинковий звіт'!O192</f>
        <v>705.49968881554958</v>
      </c>
      <c r="P192" s="41">
        <f>'[2]побудинковий звіт'!P192+'[1]побудинковий звіт'!P192</f>
        <v>707.79230401636789</v>
      </c>
      <c r="Q192" s="55">
        <f t="shared" si="128"/>
        <v>2.292615200818318</v>
      </c>
      <c r="R192" s="41">
        <f>'[2]побудинковий звіт'!R192+'[1]побудинковий звіт'!R192</f>
        <v>0</v>
      </c>
      <c r="S192" s="41">
        <f>'[2]побудинковий звіт'!S192+'[1]побудинковий звіт'!S192</f>
        <v>0</v>
      </c>
      <c r="T192" s="55">
        <f t="shared" si="129"/>
        <v>0</v>
      </c>
      <c r="U192" s="41">
        <f>'[2]побудинковий звіт'!U192+'[1]побудинковий звіт'!U192</f>
        <v>0</v>
      </c>
      <c r="V192" s="41">
        <f>'[2]побудинковий звіт'!V192+'[1]побудинковий звіт'!V192</f>
        <v>0</v>
      </c>
      <c r="W192" s="55">
        <f t="shared" si="130"/>
        <v>0</v>
      </c>
      <c r="X192" s="41">
        <f>'[2]побудинковий звіт'!X192+'[1]побудинковий звіт'!X192</f>
        <v>1176.6706771257218</v>
      </c>
      <c r="Y192" s="41">
        <f>'[2]побудинковий звіт'!Y192+'[1]побудинковий звіт'!Y192</f>
        <v>1074.0749366557761</v>
      </c>
      <c r="Z192" s="55">
        <f t="shared" si="131"/>
        <v>-102.59574046994567</v>
      </c>
      <c r="AA192" s="41">
        <f>'[2]побудинковий звіт'!AA192+'[1]побудинковий звіт'!AA192</f>
        <v>0</v>
      </c>
      <c r="AB192" s="41">
        <f>'[2]побудинковий звіт'!AB192+'[1]побудинковий звіт'!AB192</f>
        <v>0</v>
      </c>
      <c r="AC192" s="55">
        <f t="shared" si="132"/>
        <v>0</v>
      </c>
      <c r="AD192" s="41">
        <f>'[2]побудинковий звіт'!AD192+'[1]побудинковий звіт'!AD192</f>
        <v>1623.6180983924346</v>
      </c>
      <c r="AE192" s="41">
        <f>'[2]побудинковий звіт'!AE192+'[1]побудинковий звіт'!AE192</f>
        <v>1617.7106563625921</v>
      </c>
      <c r="AF192" s="36">
        <f t="shared" si="133"/>
        <v>-5.9074420298425139</v>
      </c>
      <c r="AG192" s="84">
        <f t="shared" si="134"/>
        <v>5659.4237190488566</v>
      </c>
      <c r="AH192" s="56">
        <f t="shared" si="135"/>
        <v>5648.9293879352845</v>
      </c>
      <c r="AI192" s="55">
        <f t="shared" si="136"/>
        <v>-10.494331113572116</v>
      </c>
      <c r="AJ192" s="41">
        <f>'[2]побудинковий звіт'!AJ192+'[1]побудинковий звіт'!AJ192</f>
        <v>0</v>
      </c>
      <c r="AK192" s="41">
        <f>'[2]побудинковий звіт'!AK192+'[1]побудинковий звіт'!AK192</f>
        <v>0</v>
      </c>
      <c r="AL192" s="55">
        <f t="shared" si="137"/>
        <v>0</v>
      </c>
      <c r="AM192" s="41">
        <f>'[2]побудинковий звіт'!AM192+'[1]побудинковий звіт'!AM192</f>
        <v>0</v>
      </c>
      <c r="AN192" s="41">
        <f>'[2]побудинковий звіт'!AN192+'[1]побудинковий звіт'!AN192</f>
        <v>0</v>
      </c>
      <c r="AO192" s="55">
        <f t="shared" si="138"/>
        <v>0</v>
      </c>
      <c r="AP192" s="41">
        <f>'[2]побудинковий звіт'!AP192+'[1]побудинковий звіт'!AP192</f>
        <v>89.383556283701296</v>
      </c>
      <c r="AQ192" s="41">
        <f>'[2]побудинковий звіт'!AQ192+'[1]побудинковий звіт'!AQ192</f>
        <v>24.396313157791433</v>
      </c>
      <c r="AR192" s="55">
        <f t="shared" si="139"/>
        <v>-64.987243125909856</v>
      </c>
      <c r="AS192" s="41">
        <f>'[2]побудинковий звіт'!AS192+'[1]побудинковий звіт'!AS192</f>
        <v>5485.0432536633698</v>
      </c>
      <c r="AT192" s="41">
        <f>'[2]побудинковий звіт'!AT192+'[1]побудинковий звіт'!AT192</f>
        <v>849</v>
      </c>
      <c r="AU192" s="57">
        <f t="shared" si="140"/>
        <v>-4636.0432536633698</v>
      </c>
      <c r="AV192" s="41">
        <f>'[2]побудинковий звіт'!AV192+'[1]побудинковий звіт'!AV192</f>
        <v>324.5682598032389</v>
      </c>
      <c r="AW192" s="41">
        <f>'[2]побудинковий звіт'!AW192+'[1]побудинковий звіт'!AW192</f>
        <v>0</v>
      </c>
      <c r="AX192" s="58">
        <f t="shared" si="141"/>
        <v>-324.5682598032389</v>
      </c>
      <c r="AY192" s="41">
        <f>'[2]побудинковий звіт'!AY192+'[1]побудинковий звіт'!AY192</f>
        <v>407.9055338215565</v>
      </c>
      <c r="AZ192" s="41">
        <f>'[2]побудинковий звіт'!AZ192+'[1]побудинковий звіт'!AZ192</f>
        <v>0</v>
      </c>
      <c r="BA192" s="36">
        <f t="shared" si="142"/>
        <v>-407.9055338215565</v>
      </c>
      <c r="BB192" s="41">
        <f>'[2]побудинковий звіт'!BB192+'[1]побудинковий звіт'!BB192</f>
        <v>277.82438489830793</v>
      </c>
      <c r="BC192" s="41">
        <f>'[2]побудинковий звіт'!BC192+'[1]побудинковий звіт'!BC192</f>
        <v>0</v>
      </c>
      <c r="BD192" s="58">
        <f t="shared" si="143"/>
        <v>-277.82438489830793</v>
      </c>
      <c r="BE192" s="41">
        <f>'[2]побудинковий звіт'!BE192+'[1]побудинковий звіт'!BE192</f>
        <v>0</v>
      </c>
      <c r="BF192" s="41">
        <f>'[2]побудинковий звіт'!BF192+'[1]побудинковий звіт'!BF192</f>
        <v>0</v>
      </c>
      <c r="BG192" s="38">
        <f t="shared" si="144"/>
        <v>0</v>
      </c>
      <c r="BH192" s="41">
        <f>'[2]побудинковий звіт'!BH192+'[1]побудинковий звіт'!BH192</f>
        <v>0</v>
      </c>
      <c r="BI192" s="41">
        <f>'[2]побудинковий звіт'!BI192+'[1]побудинковий звіт'!BI192</f>
        <v>0</v>
      </c>
      <c r="BJ192" s="58">
        <f t="shared" si="145"/>
        <v>0</v>
      </c>
      <c r="BK192" s="41">
        <f>'[2]побудинковий звіт'!BK192+'[1]побудинковий звіт'!BK192</f>
        <v>266.50283581928352</v>
      </c>
      <c r="BL192" s="41">
        <f>'[2]побудинковий звіт'!BL192+'[1]побудинковий звіт'!BL192</f>
        <v>0</v>
      </c>
      <c r="BM192" s="38">
        <f t="shared" si="146"/>
        <v>-266.50283581928352</v>
      </c>
      <c r="BN192" s="41">
        <f>'[2]побудинковий звіт'!BN192+'[1]побудинковий звіт'!BN192</f>
        <v>104.05340418874675</v>
      </c>
      <c r="BO192" s="41">
        <f>'[2]побудинковий звіт'!BO192+'[1]побудинковий звіт'!BO192</f>
        <v>0</v>
      </c>
      <c r="BP192" s="58">
        <f t="shared" si="147"/>
        <v>-104.05340418874675</v>
      </c>
      <c r="BQ192" s="84">
        <f t="shared" si="148"/>
        <v>1380.8544185311337</v>
      </c>
      <c r="BR192" s="42">
        <f t="shared" si="149"/>
        <v>0</v>
      </c>
      <c r="BS192" s="58">
        <f t="shared" si="150"/>
        <v>-1380.8544185311337</v>
      </c>
      <c r="BT192" s="41">
        <f>'[2]побудинковий звіт'!BT192+'[1]побудинковий звіт'!BT192</f>
        <v>0</v>
      </c>
      <c r="BU192" s="41">
        <f>'[2]побудинковий звіт'!BU192+'[1]побудинковий звіт'!BU192</f>
        <v>0</v>
      </c>
      <c r="BV192" s="55">
        <f t="shared" si="151"/>
        <v>0</v>
      </c>
      <c r="BW192" s="41">
        <f>'[2]побудинковий звіт'!BW192+'[1]побудинковий звіт'!BW192</f>
        <v>306.40819492600798</v>
      </c>
      <c r="BX192" s="41">
        <f>'[2]побудинковий звіт'!BX192+'[1]побудинковий звіт'!BX192</f>
        <v>908.47454534241183</v>
      </c>
      <c r="BY192" s="55">
        <f t="shared" si="152"/>
        <v>602.06635041640379</v>
      </c>
      <c r="BZ192" s="41">
        <f>'[2]побудинковий звіт'!BZ192+'[1]побудинковий звіт'!BZ192</f>
        <v>0</v>
      </c>
      <c r="CA192" s="41">
        <f>'[2]побудинковий звіт'!CA192+'[1]побудинковий звіт'!CA192</f>
        <v>0</v>
      </c>
      <c r="CB192" s="55">
        <f t="shared" si="153"/>
        <v>0</v>
      </c>
      <c r="CC192" s="41">
        <f>'[2]побудинковий звіт'!CC192+'[1]побудинковий звіт'!CC192</f>
        <v>91.606883394913751</v>
      </c>
      <c r="CD192" s="41">
        <f>'[2]побудинковий звіт'!CD192+'[1]побудинковий звіт'!CD192</f>
        <v>91.917512118337982</v>
      </c>
      <c r="CE192" s="55">
        <f t="shared" si="154"/>
        <v>0.3106287234242302</v>
      </c>
      <c r="CF192" s="41">
        <f>'[2]побудинковий звіт'!CF192+'[1]побудинковий звіт'!CF192</f>
        <v>11.349605945079848</v>
      </c>
      <c r="CG192" s="41">
        <f>'[2]побудинковий звіт'!CG192+'[1]побудинковий звіт'!CG192</f>
        <v>0</v>
      </c>
      <c r="CH192" s="55">
        <f t="shared" si="155"/>
        <v>-11.349605945079848</v>
      </c>
      <c r="CI192" s="41">
        <f>'[2]побудинковий звіт'!CI192+'[1]побудинковий звіт'!CI192</f>
        <v>1291.2983563152757</v>
      </c>
      <c r="CJ192" s="41">
        <f>'[2]побудинковий звіт'!CJ192+'[1]побудинковий звіт'!CJ192</f>
        <v>581.3953805779006</v>
      </c>
      <c r="CK192" s="55">
        <f t="shared" si="156"/>
        <v>-709.90297573737507</v>
      </c>
      <c r="CL192" s="41">
        <f>'[2]побудинковий звіт'!CL192+'[1]побудинковий звіт'!CL192</f>
        <v>0</v>
      </c>
      <c r="CM192" s="41">
        <f>'[2]побудинковий звіт'!CM192+'[1]побудинковий звіт'!CM192</f>
        <v>0</v>
      </c>
      <c r="CN192" s="55">
        <f t="shared" si="157"/>
        <v>0</v>
      </c>
      <c r="CO192" s="41">
        <f t="shared" si="158"/>
        <v>1291.2983563152757</v>
      </c>
      <c r="CP192" s="42">
        <f t="shared" si="159"/>
        <v>581.3953805779006</v>
      </c>
      <c r="CQ192" s="55">
        <f t="shared" si="160"/>
        <v>-709.90297573737507</v>
      </c>
      <c r="CR192" s="76">
        <f t="shared" si="161"/>
        <v>14315.367988108337</v>
      </c>
      <c r="CS192" s="5">
        <f t="shared" si="162"/>
        <v>8104.1131391317267</v>
      </c>
      <c r="CT192" s="55">
        <f t="shared" si="163"/>
        <v>-6211.2548489766104</v>
      </c>
      <c r="CU192" s="84">
        <f t="shared" si="164"/>
        <v>17178.441585730005</v>
      </c>
      <c r="CV192" s="68">
        <f t="shared" si="165"/>
        <v>9724.9357669580713</v>
      </c>
      <c r="CW192" s="36">
        <f t="shared" si="166"/>
        <v>-7453.5058187719333</v>
      </c>
      <c r="CX192" s="41">
        <f>'[2]побудинковий звіт'!CX192+'[1]побудинковий звіт'!CX192</f>
        <v>490.6754258286382</v>
      </c>
      <c r="CY192" s="41">
        <f>'[2]побудинковий звіт'!CY192+'[1]побудинковий звіт'!CY192</f>
        <v>7944.1812446005724</v>
      </c>
      <c r="CZ192" s="55">
        <f t="shared" si="167"/>
        <v>7453.5058187719342</v>
      </c>
      <c r="DA192" s="254">
        <f>'[1]побудинковий звіт'!DA192</f>
        <v>-9972.9444937425687</v>
      </c>
      <c r="DB192" s="2">
        <v>3</v>
      </c>
      <c r="DC192" s="702">
        <f>'[1]побудинковий звіт'!DC192</f>
        <v>2521.7800000000002</v>
      </c>
      <c r="DD192" s="702">
        <f>'[1]побудинковий звіт'!DD192</f>
        <v>0</v>
      </c>
      <c r="DE192" s="702">
        <f>'[1]побудинковий звіт'!DE192</f>
        <v>589.56000000000017</v>
      </c>
      <c r="DF192" s="702">
        <f>'[1]побудинковий звіт'!DF192</f>
        <v>0</v>
      </c>
      <c r="DG192" s="772">
        <v>7312.708589057911</v>
      </c>
      <c r="DH192" s="746">
        <f t="shared" si="168"/>
        <v>212029.40413870371</v>
      </c>
      <c r="DI192" s="769"/>
      <c r="DJ192" s="5"/>
      <c r="DK192" s="307">
        <f>VLOOKUP($A192,ціни!$A$4:$G$401,5)</f>
        <v>3.6780811131855971</v>
      </c>
      <c r="DL192" s="307"/>
      <c r="DM192" s="307">
        <f>VLOOKUP($A192,ціни!$A$4:$G$401,7)</f>
        <v>3.6218949365235571</v>
      </c>
      <c r="DN192" s="29">
        <f t="shared" si="183"/>
        <v>1385.9377442594648</v>
      </c>
      <c r="DO192" s="29">
        <f t="shared" si="184"/>
        <v>0</v>
      </c>
      <c r="DP192" s="306">
        <f t="shared" si="169"/>
        <v>1385.9377442594648</v>
      </c>
      <c r="DQ192" s="101"/>
      <c r="DR192" s="29">
        <f>VLOOKUP(A192,'ДЗ нас '!$A$1:$C$359,2)</f>
        <v>1385.93</v>
      </c>
      <c r="DS192" s="733"/>
      <c r="DT192" s="29">
        <f t="shared" si="170"/>
        <v>1385.93</v>
      </c>
      <c r="DU192" s="247">
        <f>VLOOKUP(A192,'новий кошторис с 01.06'!$A$4:$AI$399,35)*1.2</f>
        <v>1379.0410341555967</v>
      </c>
      <c r="DV192" s="29">
        <f t="shared" si="171"/>
        <v>6.8889658444034012</v>
      </c>
      <c r="DW192" s="1016">
        <f>'[2]побудинковий звіт'!$DW$9+'[1]побудинковий звіт'!DW192</f>
        <v>0</v>
      </c>
      <c r="DX192" s="101">
        <f>'[1]побудинковий звіт'!DX192</f>
        <v>0</v>
      </c>
      <c r="DY192" s="5">
        <f t="shared" si="172"/>
        <v>8239.0772066334048</v>
      </c>
      <c r="DZ192" s="5">
        <f t="shared" si="173"/>
        <v>1018.8</v>
      </c>
      <c r="EA192" s="737">
        <f t="shared" si="174"/>
        <v>589.56000000000017</v>
      </c>
      <c r="EC192" s="577">
        <f t="shared" si="175"/>
        <v>65820.519043960434</v>
      </c>
      <c r="EE192" s="743">
        <v>5977</v>
      </c>
      <c r="EF192" s="723">
        <f t="shared" si="176"/>
        <v>13289.708589057911</v>
      </c>
      <c r="EH192" s="798">
        <v>1522.221750305378</v>
      </c>
      <c r="EI192" s="101">
        <f>VLOOKUP(A192,'кошти 01.01.24'!$A$9:$D$352,4,FALSE)</f>
        <v>-2519.4386749706327</v>
      </c>
    </row>
    <row r="193" spans="1:139" hidden="1" x14ac:dyDescent="0.3">
      <c r="A193" s="318">
        <v>150000768</v>
      </c>
      <c r="B193" s="43" t="s">
        <v>626</v>
      </c>
      <c r="C193" s="44" t="s">
        <v>1828</v>
      </c>
      <c r="D193" s="44" t="s">
        <v>116</v>
      </c>
      <c r="E193" s="39">
        <f t="shared" si="125"/>
        <v>119.3</v>
      </c>
      <c r="F193" s="205">
        <f>'[1]побудинковий звіт'!F193</f>
        <v>119.3</v>
      </c>
      <c r="G193" s="29">
        <f>'[1]побудинковий звіт'!G193</f>
        <v>0</v>
      </c>
      <c r="H193" s="148">
        <f>'[1]побудинковий звіт'!H193</f>
        <v>0</v>
      </c>
      <c r="I193" s="41">
        <f>'[2]побудинковий звіт'!I193+'[1]побудинковий звіт'!I193</f>
        <v>0</v>
      </c>
      <c r="J193" s="41">
        <f>'[2]побудинковий звіт'!J193+'[1]побудинковий звіт'!J193</f>
        <v>0</v>
      </c>
      <c r="K193" s="55">
        <f t="shared" si="126"/>
        <v>0</v>
      </c>
      <c r="L193" s="41">
        <f>'[2]побудинковий звіт'!L193+'[1]побудинковий звіт'!L193</f>
        <v>0</v>
      </c>
      <c r="M193" s="41">
        <f>'[2]побудинковий звіт'!M193+'[1]побудинковий звіт'!M193</f>
        <v>0</v>
      </c>
      <c r="N193" s="55">
        <f t="shared" si="127"/>
        <v>0</v>
      </c>
      <c r="O193" s="41">
        <f>'[2]побудинковий звіт'!O193+'[1]побудинковий звіт'!O193</f>
        <v>0</v>
      </c>
      <c r="P193" s="41">
        <f>'[2]побудинковий звіт'!P193+'[1]побудинковий звіт'!P193</f>
        <v>0</v>
      </c>
      <c r="Q193" s="55">
        <f t="shared" si="128"/>
        <v>0</v>
      </c>
      <c r="R193" s="41">
        <f>'[2]побудинковий звіт'!R193+'[1]побудинковий звіт'!R193</f>
        <v>0</v>
      </c>
      <c r="S193" s="41">
        <f>'[2]побудинковий звіт'!S193+'[1]побудинковий звіт'!S193</f>
        <v>0</v>
      </c>
      <c r="T193" s="55">
        <f t="shared" si="129"/>
        <v>0</v>
      </c>
      <c r="U193" s="41">
        <f>'[2]побудинковий звіт'!U193+'[1]побудинковий звіт'!U193</f>
        <v>0</v>
      </c>
      <c r="V193" s="41">
        <f>'[2]побудинковий звіт'!V193+'[1]побудинковий звіт'!V193</f>
        <v>0</v>
      </c>
      <c r="W193" s="55">
        <f t="shared" si="130"/>
        <v>0</v>
      </c>
      <c r="X193" s="41">
        <f>'[2]побудинковий звіт'!X193+'[1]побудинковий звіт'!X193</f>
        <v>0</v>
      </c>
      <c r="Y193" s="41">
        <f>'[2]побудинковий звіт'!Y193+'[1]побудинковий звіт'!Y193</f>
        <v>0</v>
      </c>
      <c r="Z193" s="55">
        <f t="shared" si="131"/>
        <v>0</v>
      </c>
      <c r="AA193" s="41">
        <f>'[2]побудинковий звіт'!AA193+'[1]побудинковий звіт'!AA193</f>
        <v>0</v>
      </c>
      <c r="AB193" s="41">
        <f>'[2]побудинковий звіт'!AB193+'[1]побудинковий звіт'!AB193</f>
        <v>0</v>
      </c>
      <c r="AC193" s="55">
        <f t="shared" si="132"/>
        <v>0</v>
      </c>
      <c r="AD193" s="41">
        <f>'[2]побудинковий звіт'!AD193+'[1]побудинковий звіт'!AD193</f>
        <v>0</v>
      </c>
      <c r="AE193" s="41">
        <f>'[2]побудинковий звіт'!AE193+'[1]побудинковий звіт'!AE193</f>
        <v>0</v>
      </c>
      <c r="AF193" s="36">
        <f t="shared" si="133"/>
        <v>0</v>
      </c>
      <c r="AG193" s="84">
        <f t="shared" si="134"/>
        <v>0</v>
      </c>
      <c r="AH193" s="56">
        <f t="shared" si="135"/>
        <v>0</v>
      </c>
      <c r="AI193" s="55">
        <f t="shared" si="136"/>
        <v>0</v>
      </c>
      <c r="AJ193" s="41">
        <f>'[2]побудинковий звіт'!AJ193+'[1]побудинковий звіт'!AJ193</f>
        <v>0</v>
      </c>
      <c r="AK193" s="41">
        <f>'[2]побудинковий звіт'!AK193+'[1]побудинковий звіт'!AK193</f>
        <v>0</v>
      </c>
      <c r="AL193" s="55">
        <f t="shared" si="137"/>
        <v>0</v>
      </c>
      <c r="AM193" s="41">
        <f>'[2]побудинковий звіт'!AM193+'[1]побудинковий звіт'!AM193</f>
        <v>0</v>
      </c>
      <c r="AN193" s="41">
        <f>'[2]побудинковий звіт'!AN193+'[1]побудинковий звіт'!AN193</f>
        <v>0</v>
      </c>
      <c r="AO193" s="55">
        <f t="shared" si="138"/>
        <v>0</v>
      </c>
      <c r="AP193" s="41">
        <f>'[2]побудинковий звіт'!AP193+'[1]побудинковий звіт'!AP193</f>
        <v>198.11958858104083</v>
      </c>
      <c r="AQ193" s="41">
        <f>'[2]побудинковий звіт'!AQ193+'[1]побудинковий звіт'!AQ193</f>
        <v>93.650256154407487</v>
      </c>
      <c r="AR193" s="55">
        <f t="shared" si="139"/>
        <v>-104.46933242663334</v>
      </c>
      <c r="AS193" s="41">
        <f>'[2]побудинковий звіт'!AS193+'[1]побудинковий звіт'!AS193</f>
        <v>2210.3054700064836</v>
      </c>
      <c r="AT193" s="41">
        <f>'[2]побудинковий звіт'!AT193+'[1]побудинковий звіт'!AT193</f>
        <v>1069.2161299893253</v>
      </c>
      <c r="AU193" s="57">
        <f t="shared" si="140"/>
        <v>-1141.0893400171583</v>
      </c>
      <c r="AV193" s="41">
        <f>'[2]побудинковий звіт'!AV193+'[1]побудинковий звіт'!AV193</f>
        <v>0</v>
      </c>
      <c r="AW193" s="41">
        <f>'[2]побудинковий звіт'!AW193+'[1]побудинковий звіт'!AW193</f>
        <v>0</v>
      </c>
      <c r="AX193" s="58">
        <f t="shared" si="141"/>
        <v>0</v>
      </c>
      <c r="AY193" s="41">
        <f>'[2]побудинковий звіт'!AY193+'[1]побудинковий звіт'!AY193</f>
        <v>0</v>
      </c>
      <c r="AZ193" s="41">
        <f>'[2]побудинковий звіт'!AZ193+'[1]побудинковий звіт'!AZ193</f>
        <v>0</v>
      </c>
      <c r="BA193" s="36">
        <f t="shared" si="142"/>
        <v>0</v>
      </c>
      <c r="BB193" s="41">
        <f>'[2]побудинковий звіт'!BB193+'[1]побудинковий звіт'!BB193</f>
        <v>0</v>
      </c>
      <c r="BC193" s="41">
        <f>'[2]побудинковий звіт'!BC193+'[1]побудинковий звіт'!BC193</f>
        <v>0</v>
      </c>
      <c r="BD193" s="58">
        <f t="shared" si="143"/>
        <v>0</v>
      </c>
      <c r="BE193" s="41">
        <f>'[2]побудинковий звіт'!BE193+'[1]побудинковий звіт'!BE193</f>
        <v>0</v>
      </c>
      <c r="BF193" s="41">
        <f>'[2]побудинковий звіт'!BF193+'[1]побудинковий звіт'!BF193</f>
        <v>0</v>
      </c>
      <c r="BG193" s="38">
        <f t="shared" si="144"/>
        <v>0</v>
      </c>
      <c r="BH193" s="41">
        <f>'[2]побудинковий звіт'!BH193+'[1]побудинковий звіт'!BH193</f>
        <v>0</v>
      </c>
      <c r="BI193" s="41">
        <f>'[2]побудинковий звіт'!BI193+'[1]побудинковий звіт'!BI193</f>
        <v>0</v>
      </c>
      <c r="BJ193" s="58">
        <f t="shared" si="145"/>
        <v>0</v>
      </c>
      <c r="BK193" s="41">
        <f>'[2]побудинковий звіт'!BK193+'[1]побудинковий звіт'!BK193</f>
        <v>0</v>
      </c>
      <c r="BL193" s="41">
        <f>'[2]побудинковий звіт'!BL193+'[1]побудинковий звіт'!BL193</f>
        <v>0</v>
      </c>
      <c r="BM193" s="38">
        <f t="shared" si="146"/>
        <v>0</v>
      </c>
      <c r="BN193" s="41">
        <f>'[2]побудинковий звіт'!BN193+'[1]побудинковий звіт'!BN193</f>
        <v>0</v>
      </c>
      <c r="BO193" s="41">
        <f>'[2]побудинковий звіт'!BO193+'[1]побудинковий звіт'!BO193</f>
        <v>0</v>
      </c>
      <c r="BP193" s="58">
        <f t="shared" si="147"/>
        <v>0</v>
      </c>
      <c r="BQ193" s="84">
        <f t="shared" si="148"/>
        <v>0</v>
      </c>
      <c r="BR193" s="42">
        <f t="shared" si="149"/>
        <v>0</v>
      </c>
      <c r="BS193" s="58">
        <f t="shared" si="150"/>
        <v>0</v>
      </c>
      <c r="BT193" s="41">
        <f>'[2]побудинковий звіт'!BT193+'[1]побудинковий звіт'!BT193</f>
        <v>0</v>
      </c>
      <c r="BU193" s="41">
        <f>'[2]побудинковий звіт'!BU193+'[1]побудинковий звіт'!BU193</f>
        <v>0</v>
      </c>
      <c r="BV193" s="55">
        <f t="shared" si="151"/>
        <v>0</v>
      </c>
      <c r="BW193" s="41">
        <f>'[2]побудинковий звіт'!BW193+'[1]побудинковий звіт'!BW193</f>
        <v>0</v>
      </c>
      <c r="BX193" s="41">
        <f>'[2]побудинковий звіт'!BX193+'[1]побудинковий звіт'!BX193</f>
        <v>0.48558585816998623</v>
      </c>
      <c r="BY193" s="55">
        <f t="shared" si="152"/>
        <v>0.48558585816998623</v>
      </c>
      <c r="BZ193" s="41">
        <f>'[2]побудинковий звіт'!BZ193+'[1]побудинковий звіт'!BZ193</f>
        <v>0</v>
      </c>
      <c r="CA193" s="41">
        <f>'[2]побудинковий звіт'!CA193+'[1]побудинковий звіт'!CA193</f>
        <v>0</v>
      </c>
      <c r="CB193" s="55">
        <f t="shared" si="153"/>
        <v>0</v>
      </c>
      <c r="CC193" s="41">
        <f>'[2]побудинковий звіт'!CC193+'[1]побудинковий звіт'!CC193</f>
        <v>0</v>
      </c>
      <c r="CD193" s="41">
        <f>'[2]побудинковий звіт'!CD193+'[1]побудинковий звіт'!CD193</f>
        <v>0</v>
      </c>
      <c r="CE193" s="55">
        <f t="shared" si="154"/>
        <v>0</v>
      </c>
      <c r="CF193" s="41">
        <f>'[2]побудинковий звіт'!CF193+'[1]побудинковий звіт'!CF193</f>
        <v>0</v>
      </c>
      <c r="CG193" s="41">
        <f>'[2]побудинковий звіт'!CG193+'[1]побудинковий звіт'!CG193</f>
        <v>0</v>
      </c>
      <c r="CH193" s="55">
        <f t="shared" si="155"/>
        <v>0</v>
      </c>
      <c r="CI193" s="41">
        <f>'[2]побудинковий звіт'!CI193+'[1]побудинковий звіт'!CI193</f>
        <v>0</v>
      </c>
      <c r="CJ193" s="41">
        <f>'[2]побудинковий звіт'!CJ193+'[1]побудинковий звіт'!CJ193</f>
        <v>0</v>
      </c>
      <c r="CK193" s="55">
        <f t="shared" si="156"/>
        <v>0</v>
      </c>
      <c r="CL193" s="41">
        <f>'[2]побудинковий звіт'!CL193+'[1]побудинковий звіт'!CL193</f>
        <v>0</v>
      </c>
      <c r="CM193" s="41">
        <f>'[2]побудинковий звіт'!CM193+'[1]побудинковий звіт'!CM193</f>
        <v>0</v>
      </c>
      <c r="CN193" s="55">
        <f t="shared" si="157"/>
        <v>0</v>
      </c>
      <c r="CO193" s="41">
        <f t="shared" si="158"/>
        <v>0</v>
      </c>
      <c r="CP193" s="42">
        <f t="shared" si="159"/>
        <v>0</v>
      </c>
      <c r="CQ193" s="55">
        <f t="shared" si="160"/>
        <v>0</v>
      </c>
      <c r="CR193" s="76">
        <f t="shared" si="161"/>
        <v>2408.4250585875243</v>
      </c>
      <c r="CS193" s="5">
        <f t="shared" si="162"/>
        <v>1163.3519720019028</v>
      </c>
      <c r="CT193" s="55">
        <f t="shared" si="163"/>
        <v>-1245.0730865856215</v>
      </c>
      <c r="CU193" s="84">
        <f t="shared" si="164"/>
        <v>2890.1100703050292</v>
      </c>
      <c r="CV193" s="68">
        <f t="shared" si="165"/>
        <v>1396.0223664022833</v>
      </c>
      <c r="CW193" s="36">
        <f t="shared" si="166"/>
        <v>-1494.0877039027459</v>
      </c>
      <c r="CX193" s="41">
        <f>'[2]побудинковий звіт'!CX193+'[1]побудинковий звіт'!CX193</f>
        <v>63.742039527595217</v>
      </c>
      <c r="CY193" s="41">
        <f>'[2]побудинковий звіт'!CY193+'[1]побудинковий звіт'!CY193</f>
        <v>1557.8297434303408</v>
      </c>
      <c r="CZ193" s="55">
        <f t="shared" si="167"/>
        <v>1494.0877039027457</v>
      </c>
      <c r="DA193" s="254">
        <f>'[1]побудинковий звіт'!DA193</f>
        <v>-1583.245920173684</v>
      </c>
      <c r="DB193" s="2">
        <v>3</v>
      </c>
      <c r="DC193" s="702">
        <f>'[1]побудинковий звіт'!DC193</f>
        <v>320.95999999999998</v>
      </c>
      <c r="DD193" s="702">
        <f>'[1]побудинковий звіт'!DD193</f>
        <v>0</v>
      </c>
      <c r="DE193" s="702">
        <f>'[1]побудинковий звіт'!DE193</f>
        <v>0</v>
      </c>
      <c r="DF193" s="702">
        <f>'[1]побудинковий звіт'!DF193</f>
        <v>0</v>
      </c>
      <c r="DG193" s="772">
        <v>3571.4559843674188</v>
      </c>
      <c r="DH193" s="746">
        <f t="shared" si="168"/>
        <v>35446.225317991499</v>
      </c>
      <c r="DI193" s="769"/>
      <c r="DJ193" s="5"/>
      <c r="DK193" s="307">
        <f>VLOOKUP($A193,ціни!$A$4:$G$401,5)</f>
        <v>1.945296198552116</v>
      </c>
      <c r="DL193" s="307"/>
      <c r="DM193" s="307">
        <f>VLOOKUP($A193,ціни!$A$4:$G$401,7)</f>
        <v>1.945296198552116</v>
      </c>
      <c r="DN193" s="29">
        <f t="shared" si="183"/>
        <v>232.07383648726744</v>
      </c>
      <c r="DO193" s="29">
        <f t="shared" si="184"/>
        <v>0</v>
      </c>
      <c r="DP193" s="306">
        <f t="shared" si="169"/>
        <v>232.07383648726744</v>
      </c>
      <c r="DQ193" s="101"/>
      <c r="DR193" s="29">
        <f>VLOOKUP(A193,'ДЗ нас '!$A$1:$C$359,2)</f>
        <v>232.08</v>
      </c>
      <c r="DS193" s="733"/>
      <c r="DT193" s="29">
        <f t="shared" si="170"/>
        <v>232.08</v>
      </c>
      <c r="DU193" s="247">
        <f>VLOOKUP(A193,'новий кошторис с 01.06'!$A$4:$AI$399,35)*1.2</f>
        <v>232.75976900890467</v>
      </c>
      <c r="DV193" s="29">
        <f t="shared" si="171"/>
        <v>-0.67976900890465686</v>
      </c>
      <c r="DW193" s="1016">
        <f>'[2]побудинковий звіт'!$DW$9+'[1]побудинковий звіт'!DW193</f>
        <v>0</v>
      </c>
      <c r="DX193" s="101">
        <f>'[1]побудинковий звіт'!DX193</f>
        <v>0</v>
      </c>
      <c r="DY193" s="5">
        <f t="shared" si="172"/>
        <v>2652.3665640077802</v>
      </c>
      <c r="DZ193" s="5">
        <f t="shared" si="173"/>
        <v>1283.0593559871902</v>
      </c>
      <c r="EA193" s="737">
        <f t="shared" si="174"/>
        <v>0</v>
      </c>
      <c r="EC193" s="577">
        <f t="shared" si="175"/>
        <v>26523.665640077801</v>
      </c>
      <c r="EE193" s="743">
        <v>475</v>
      </c>
      <c r="EF193" s="723">
        <f t="shared" si="176"/>
        <v>4046.4559843674188</v>
      </c>
      <c r="EH193" s="798">
        <v>2081.1306584531567</v>
      </c>
      <c r="EI193" s="101">
        <f>VLOOKUP(A193,'кошти 01.01.24'!$A$9:$D$352,4,FALSE)</f>
        <v>-89.158216270938283</v>
      </c>
    </row>
    <row r="194" spans="1:139" hidden="1" x14ac:dyDescent="0.3">
      <c r="A194" s="318">
        <v>150000763</v>
      </c>
      <c r="B194" s="43" t="s">
        <v>627</v>
      </c>
      <c r="C194" s="44" t="s">
        <v>1829</v>
      </c>
      <c r="D194" s="44" t="s">
        <v>117</v>
      </c>
      <c r="E194" s="39">
        <f t="shared" si="125"/>
        <v>182.8</v>
      </c>
      <c r="F194" s="205">
        <f>'[1]побудинковий звіт'!F194</f>
        <v>182.8</v>
      </c>
      <c r="G194" s="29">
        <f>'[1]побудинковий звіт'!G194</f>
        <v>0</v>
      </c>
      <c r="H194" s="148">
        <f>'[1]побудинковий звіт'!H194</f>
        <v>0</v>
      </c>
      <c r="I194" s="41">
        <f>'[2]побудинковий звіт'!I194+'[1]побудинковий звіт'!I194</f>
        <v>0</v>
      </c>
      <c r="J194" s="41">
        <f>'[2]побудинковий звіт'!J194+'[1]побудинковий звіт'!J194</f>
        <v>0</v>
      </c>
      <c r="K194" s="55">
        <f t="shared" si="126"/>
        <v>0</v>
      </c>
      <c r="L194" s="41">
        <f>'[2]побудинковий звіт'!L194+'[1]побудинковий звіт'!L194</f>
        <v>0</v>
      </c>
      <c r="M194" s="41">
        <f>'[2]побудинковий звіт'!M194+'[1]побудинковий звіт'!M194</f>
        <v>0</v>
      </c>
      <c r="N194" s="55">
        <f t="shared" si="127"/>
        <v>0</v>
      </c>
      <c r="O194" s="41">
        <f>'[2]побудинковий звіт'!O194+'[1]побудинковий звіт'!O194</f>
        <v>0</v>
      </c>
      <c r="P194" s="41">
        <f>'[2]побудинковий звіт'!P194+'[1]побудинковий звіт'!P194</f>
        <v>0</v>
      </c>
      <c r="Q194" s="55">
        <f t="shared" si="128"/>
        <v>0</v>
      </c>
      <c r="R194" s="41">
        <f>'[2]побудинковий звіт'!R194+'[1]побудинковий звіт'!R194</f>
        <v>0</v>
      </c>
      <c r="S194" s="41">
        <f>'[2]побудинковий звіт'!S194+'[1]побудинковий звіт'!S194</f>
        <v>0</v>
      </c>
      <c r="T194" s="55">
        <f t="shared" si="129"/>
        <v>0</v>
      </c>
      <c r="U194" s="41">
        <f>'[2]побудинковий звіт'!U194+'[1]побудинковий звіт'!U194</f>
        <v>0</v>
      </c>
      <c r="V194" s="41">
        <f>'[2]побудинковий звіт'!V194+'[1]побудинковий звіт'!V194</f>
        <v>0</v>
      </c>
      <c r="W194" s="55">
        <f t="shared" si="130"/>
        <v>0</v>
      </c>
      <c r="X194" s="41">
        <f>'[2]побудинковий звіт'!X194+'[1]побудинковий звіт'!X194</f>
        <v>0</v>
      </c>
      <c r="Y194" s="41">
        <f>'[2]побудинковий звіт'!Y194+'[1]побудинковий звіт'!Y194</f>
        <v>0</v>
      </c>
      <c r="Z194" s="55">
        <f t="shared" si="131"/>
        <v>0</v>
      </c>
      <c r="AA194" s="41">
        <f>'[2]побудинковий звіт'!AA194+'[1]побудинковий звіт'!AA194</f>
        <v>0</v>
      </c>
      <c r="AB194" s="41">
        <f>'[2]побудинковий звіт'!AB194+'[1]побудинковий звіт'!AB194</f>
        <v>0</v>
      </c>
      <c r="AC194" s="55">
        <f t="shared" si="132"/>
        <v>0</v>
      </c>
      <c r="AD194" s="41">
        <f>'[2]побудинковий звіт'!AD194+'[1]побудинковий звіт'!AD194</f>
        <v>0</v>
      </c>
      <c r="AE194" s="41">
        <f>'[2]побудинковий звіт'!AE194+'[1]побудинковий звіт'!AE194</f>
        <v>0</v>
      </c>
      <c r="AF194" s="36">
        <f t="shared" si="133"/>
        <v>0</v>
      </c>
      <c r="AG194" s="84">
        <f t="shared" si="134"/>
        <v>0</v>
      </c>
      <c r="AH194" s="56">
        <f t="shared" si="135"/>
        <v>0</v>
      </c>
      <c r="AI194" s="55">
        <f t="shared" si="136"/>
        <v>0</v>
      </c>
      <c r="AJ194" s="41">
        <f>'[2]побудинковий звіт'!AJ194+'[1]побудинковий звіт'!AJ194</f>
        <v>0</v>
      </c>
      <c r="AK194" s="41">
        <f>'[2]побудинковий звіт'!AK194+'[1]побудинковий звіт'!AK194</f>
        <v>0</v>
      </c>
      <c r="AL194" s="55">
        <f t="shared" si="137"/>
        <v>0</v>
      </c>
      <c r="AM194" s="41">
        <f>'[2]побудинковий звіт'!AM194+'[1]побудинковий звіт'!AM194</f>
        <v>0</v>
      </c>
      <c r="AN194" s="41">
        <f>'[2]побудинковий звіт'!AN194+'[1]побудинковий звіт'!AN194</f>
        <v>0</v>
      </c>
      <c r="AO194" s="55">
        <f t="shared" si="138"/>
        <v>0</v>
      </c>
      <c r="AP194" s="41">
        <f>'[2]побудинковий звіт'!AP194+'[1]побудинковий звіт'!AP194</f>
        <v>223.45889070925321</v>
      </c>
      <c r="AQ194" s="41">
        <f>'[2]побудинковий звіт'!AQ194+'[1]побудинковий звіт'!AQ194</f>
        <v>93.650256154407487</v>
      </c>
      <c r="AR194" s="55">
        <f t="shared" si="139"/>
        <v>-129.80863455484572</v>
      </c>
      <c r="AS194" s="41">
        <f>'[2]побудинковий звіт'!AS194+'[1]побудинковий звіт'!AS194</f>
        <v>2540.2900512470997</v>
      </c>
      <c r="AT194" s="41">
        <f>'[2]побудинковий звіт'!AT194+'[1]побудинковий звіт'!AT194</f>
        <v>0</v>
      </c>
      <c r="AU194" s="57">
        <f t="shared" si="140"/>
        <v>-2540.2900512470997</v>
      </c>
      <c r="AV194" s="41">
        <f>'[2]побудинковий звіт'!AV194+'[1]побудинковий звіт'!AV194</f>
        <v>0</v>
      </c>
      <c r="AW194" s="41">
        <f>'[2]побудинковий звіт'!AW194+'[1]побудинковий звіт'!AW194</f>
        <v>0</v>
      </c>
      <c r="AX194" s="58">
        <f t="shared" si="141"/>
        <v>0</v>
      </c>
      <c r="AY194" s="41">
        <f>'[2]побудинковий звіт'!AY194+'[1]побудинковий звіт'!AY194</f>
        <v>0</v>
      </c>
      <c r="AZ194" s="41">
        <f>'[2]побудинковий звіт'!AZ194+'[1]побудинковий звіт'!AZ194</f>
        <v>0</v>
      </c>
      <c r="BA194" s="36">
        <f t="shared" si="142"/>
        <v>0</v>
      </c>
      <c r="BB194" s="41">
        <f>'[2]побудинковий звіт'!BB194+'[1]побудинковий звіт'!BB194</f>
        <v>0</v>
      </c>
      <c r="BC194" s="41">
        <f>'[2]побудинковий звіт'!BC194+'[1]побудинковий звіт'!BC194</f>
        <v>0</v>
      </c>
      <c r="BD194" s="58">
        <f t="shared" si="143"/>
        <v>0</v>
      </c>
      <c r="BE194" s="41">
        <f>'[2]побудинковий звіт'!BE194+'[1]побудинковий звіт'!BE194</f>
        <v>0</v>
      </c>
      <c r="BF194" s="41">
        <f>'[2]побудинковий звіт'!BF194+'[1]побудинковий звіт'!BF194</f>
        <v>0</v>
      </c>
      <c r="BG194" s="38">
        <f t="shared" si="144"/>
        <v>0</v>
      </c>
      <c r="BH194" s="41">
        <f>'[2]побудинковий звіт'!BH194+'[1]побудинковий звіт'!BH194</f>
        <v>0</v>
      </c>
      <c r="BI194" s="41">
        <f>'[2]побудинковий звіт'!BI194+'[1]побудинковий звіт'!BI194</f>
        <v>0</v>
      </c>
      <c r="BJ194" s="58">
        <f t="shared" si="145"/>
        <v>0</v>
      </c>
      <c r="BK194" s="41">
        <f>'[2]побудинковий звіт'!BK194+'[1]побудинковий звіт'!BK194</f>
        <v>0</v>
      </c>
      <c r="BL194" s="41">
        <f>'[2]побудинковий звіт'!BL194+'[1]побудинковий звіт'!BL194</f>
        <v>0</v>
      </c>
      <c r="BM194" s="38">
        <f t="shared" si="146"/>
        <v>0</v>
      </c>
      <c r="BN194" s="41">
        <f>'[2]побудинковий звіт'!BN194+'[1]побудинковий звіт'!BN194</f>
        <v>0</v>
      </c>
      <c r="BO194" s="41">
        <f>'[2]побудинковий звіт'!BO194+'[1]побудинковий звіт'!BO194</f>
        <v>2151.8933368399998</v>
      </c>
      <c r="BP194" s="58">
        <f t="shared" si="147"/>
        <v>2151.8933368399998</v>
      </c>
      <c r="BQ194" s="84">
        <f t="shared" si="148"/>
        <v>0</v>
      </c>
      <c r="BR194" s="42">
        <f t="shared" si="149"/>
        <v>2151.8933368399998</v>
      </c>
      <c r="BS194" s="58">
        <f t="shared" si="150"/>
        <v>2151.8933368399998</v>
      </c>
      <c r="BT194" s="41">
        <f>'[2]побудинковий звіт'!BT194+'[1]побудинковий звіт'!BT194</f>
        <v>242.88666598645889</v>
      </c>
      <c r="BU194" s="41">
        <f>'[2]побудинковий звіт'!BU194+'[1]побудинковий звіт'!BU194</f>
        <v>598.06002971661553</v>
      </c>
      <c r="BV194" s="55">
        <f t="shared" si="151"/>
        <v>355.17336373015667</v>
      </c>
      <c r="BW194" s="41">
        <f>'[2]побудинковий звіт'!BW194+'[1]побудинковий звіт'!BW194</f>
        <v>0</v>
      </c>
      <c r="BX194" s="41">
        <f>'[2]побудинковий звіт'!BX194+'[1]побудинковий звіт'!BX194</f>
        <v>0.74404941218334852</v>
      </c>
      <c r="BY194" s="55">
        <f t="shared" si="152"/>
        <v>0.74404941218334852</v>
      </c>
      <c r="BZ194" s="41">
        <f>'[2]побудинковий звіт'!BZ194+'[1]побудинковий звіт'!BZ194</f>
        <v>47.746287072113034</v>
      </c>
      <c r="CA194" s="41">
        <f>'[2]побудинковий звіт'!CA194+'[1]побудинковий звіт'!CA194</f>
        <v>52.085994414806088</v>
      </c>
      <c r="CB194" s="55">
        <f t="shared" si="153"/>
        <v>4.3397073426930532</v>
      </c>
      <c r="CC194" s="41">
        <f>'[2]побудинковий звіт'!CC194+'[1]побудинковий звіт'!CC194</f>
        <v>0</v>
      </c>
      <c r="CD194" s="41">
        <f>'[2]побудинковий звіт'!CD194+'[1]побудинковий звіт'!CD194</f>
        <v>0</v>
      </c>
      <c r="CE194" s="55">
        <f t="shared" si="154"/>
        <v>0</v>
      </c>
      <c r="CF194" s="41">
        <f>'[2]побудинковий звіт'!CF194+'[1]побудинковий звіт'!CF194</f>
        <v>0</v>
      </c>
      <c r="CG194" s="41">
        <f>'[2]побудинковий звіт'!CG194+'[1]побудинковий звіт'!CG194</f>
        <v>0</v>
      </c>
      <c r="CH194" s="55">
        <f t="shared" si="155"/>
        <v>0</v>
      </c>
      <c r="CI194" s="41">
        <f>'[2]побудинковий звіт'!CI194+'[1]побудинковий звіт'!CI194</f>
        <v>0</v>
      </c>
      <c r="CJ194" s="41">
        <f>'[2]побудинковий звіт'!CJ194+'[1]побудинковий звіт'!CJ194</f>
        <v>0</v>
      </c>
      <c r="CK194" s="55">
        <f t="shared" si="156"/>
        <v>0</v>
      </c>
      <c r="CL194" s="41">
        <f>'[2]побудинковий звіт'!CL194+'[1]побудинковий звіт'!CL194</f>
        <v>0</v>
      </c>
      <c r="CM194" s="41">
        <f>'[2]побудинковий звіт'!CM194+'[1]побудинковий звіт'!CM194</f>
        <v>0</v>
      </c>
      <c r="CN194" s="55">
        <f t="shared" si="157"/>
        <v>0</v>
      </c>
      <c r="CO194" s="41">
        <f t="shared" si="158"/>
        <v>0</v>
      </c>
      <c r="CP194" s="42">
        <f t="shared" si="159"/>
        <v>0</v>
      </c>
      <c r="CQ194" s="55">
        <f t="shared" si="160"/>
        <v>0</v>
      </c>
      <c r="CR194" s="76">
        <f t="shared" si="161"/>
        <v>3054.3818950149248</v>
      </c>
      <c r="CS194" s="5">
        <f t="shared" si="162"/>
        <v>2896.4336665380124</v>
      </c>
      <c r="CT194" s="55">
        <f t="shared" si="163"/>
        <v>-157.94822847691239</v>
      </c>
      <c r="CU194" s="84">
        <f t="shared" si="164"/>
        <v>3665.2582740179096</v>
      </c>
      <c r="CV194" s="68">
        <f t="shared" si="165"/>
        <v>3475.7203998456148</v>
      </c>
      <c r="CW194" s="36">
        <f t="shared" si="166"/>
        <v>-189.53787417229478</v>
      </c>
      <c r="CX194" s="41">
        <f>'[2]побудинковий звіт'!CX194+'[1]побудинковий звіт'!CX194</f>
        <v>110.5460595107446</v>
      </c>
      <c r="CY194" s="41">
        <f>'[2]побудинковий звіт'!CY194+'[1]побудинковий звіт'!CY194</f>
        <v>300.0839336830403</v>
      </c>
      <c r="CZ194" s="55">
        <f t="shared" si="167"/>
        <v>189.53787417229569</v>
      </c>
      <c r="DA194" s="254">
        <f>'[1]побудинковий звіт'!DA194</f>
        <v>-8032.7394399759814</v>
      </c>
      <c r="DB194" s="2">
        <v>3</v>
      </c>
      <c r="DC194" s="702">
        <f>'[1]побудинковий звіт'!DC194</f>
        <v>501.14</v>
      </c>
      <c r="DD194" s="702">
        <f>'[1]побудинковий звіт'!DD194</f>
        <v>0</v>
      </c>
      <c r="DE194" s="702">
        <f>'[1]побудинковий звіт'!DE194</f>
        <v>85.269999999999982</v>
      </c>
      <c r="DF194" s="702">
        <f>'[1]побудинковий звіт'!DF194</f>
        <v>0</v>
      </c>
      <c r="DG194" s="772">
        <v>-4388.0210667606834</v>
      </c>
      <c r="DH194" s="746">
        <f t="shared" si="168"/>
        <v>45309.65200234385</v>
      </c>
      <c r="DI194" s="769"/>
      <c r="DJ194" s="5"/>
      <c r="DK194" s="307">
        <f>VLOOKUP($A194,ціни!$A$4:$G$401,5)</f>
        <v>1.6170674728926762</v>
      </c>
      <c r="DL194" s="307"/>
      <c r="DM194" s="307">
        <f>VLOOKUP($A194,ціни!$A$4:$G$401,7)</f>
        <v>1.6170674728926762</v>
      </c>
      <c r="DN194" s="29">
        <f t="shared" si="183"/>
        <v>295.59993404478121</v>
      </c>
      <c r="DO194" s="29">
        <f t="shared" si="184"/>
        <v>0</v>
      </c>
      <c r="DP194" s="306">
        <f t="shared" si="169"/>
        <v>295.59993404478121</v>
      </c>
      <c r="DQ194" s="101"/>
      <c r="DR194" s="29">
        <f>VLOOKUP(A194,'ДЗ нас '!$A$1:$C$359,2)</f>
        <v>295.61</v>
      </c>
      <c r="DS194" s="733"/>
      <c r="DT194" s="29">
        <f t="shared" si="170"/>
        <v>295.61</v>
      </c>
      <c r="DU194" s="247">
        <f>VLOOKUP(A194,'новий кошторис с 01.06'!$A$4:$AI$399,35)*1.2</f>
        <v>297.04188494256061</v>
      </c>
      <c r="DV194" s="29">
        <f t="shared" si="171"/>
        <v>-1.4318849425606004</v>
      </c>
      <c r="DW194" s="1016">
        <f>'[2]побудинковий звіт'!$DW$9+'[1]побудинковий звіт'!DW194</f>
        <v>0</v>
      </c>
      <c r="DX194" s="101">
        <f>'[1]побудинковий звіт'!DX194</f>
        <v>0</v>
      </c>
      <c r="DY194" s="5">
        <f t="shared" si="172"/>
        <v>3048.3480614965197</v>
      </c>
      <c r="DZ194" s="5">
        <f t="shared" si="173"/>
        <v>2582.2720042079995</v>
      </c>
      <c r="EA194" s="737">
        <f t="shared" si="174"/>
        <v>85.269999999999982</v>
      </c>
      <c r="EC194" s="577">
        <f t="shared" si="175"/>
        <v>30483.480614965196</v>
      </c>
      <c r="EE194" s="743">
        <v>641</v>
      </c>
      <c r="EF194" s="723">
        <f t="shared" si="176"/>
        <v>-3747.0210667606834</v>
      </c>
      <c r="EH194" s="798">
        <v>-5626.2283857547181</v>
      </c>
      <c r="EI194" s="101">
        <f>VLOOKUP(A194,'кошти 01.01.24'!$A$9:$D$352,4,FALSE)</f>
        <v>-7843.2015658036853</v>
      </c>
    </row>
    <row r="195" spans="1:139" ht="14.4" hidden="1" customHeight="1" x14ac:dyDescent="0.3">
      <c r="A195" s="318">
        <v>150000764</v>
      </c>
      <c r="B195" s="43" t="s">
        <v>628</v>
      </c>
      <c r="C195" s="44" t="s">
        <v>1830</v>
      </c>
      <c r="D195" s="44" t="s">
        <v>118</v>
      </c>
      <c r="E195" s="39">
        <f t="shared" si="125"/>
        <v>229</v>
      </c>
      <c r="F195" s="205">
        <f>'[1]побудинковий звіт'!F195</f>
        <v>229</v>
      </c>
      <c r="G195" s="29">
        <f>'[1]побудинковий звіт'!G195</f>
        <v>0</v>
      </c>
      <c r="H195" s="148">
        <f>'[1]побудинковий звіт'!H195</f>
        <v>0</v>
      </c>
      <c r="I195" s="41">
        <f>'[2]побудинковий звіт'!I195+'[1]побудинковий звіт'!I195</f>
        <v>0</v>
      </c>
      <c r="J195" s="41">
        <f>'[2]побудинковий звіт'!J195+'[1]побудинковий звіт'!J195</f>
        <v>0</v>
      </c>
      <c r="K195" s="55">
        <f t="shared" si="126"/>
        <v>0</v>
      </c>
      <c r="L195" s="41">
        <f>'[2]побудинковий звіт'!L195+'[1]побудинковий звіт'!L195</f>
        <v>0</v>
      </c>
      <c r="M195" s="41">
        <f>'[2]побудинковий звіт'!M195+'[1]побудинковий звіт'!M195</f>
        <v>0</v>
      </c>
      <c r="N195" s="55">
        <f t="shared" si="127"/>
        <v>0</v>
      </c>
      <c r="O195" s="41">
        <f>'[2]побудинковий звіт'!O195+'[1]побудинковий звіт'!O195</f>
        <v>0</v>
      </c>
      <c r="P195" s="41">
        <f>'[2]побудинковий звіт'!P195+'[1]побудинковий звіт'!P195</f>
        <v>0</v>
      </c>
      <c r="Q195" s="55">
        <f t="shared" si="128"/>
        <v>0</v>
      </c>
      <c r="R195" s="41">
        <f>'[2]побудинковий звіт'!R195+'[1]побудинковий звіт'!R195</f>
        <v>0</v>
      </c>
      <c r="S195" s="41">
        <f>'[2]побудинковий звіт'!S195+'[1]побудинковий звіт'!S195</f>
        <v>0</v>
      </c>
      <c r="T195" s="55">
        <f t="shared" si="129"/>
        <v>0</v>
      </c>
      <c r="U195" s="41">
        <f>'[2]побудинковий звіт'!U195+'[1]побудинковий звіт'!U195</f>
        <v>0</v>
      </c>
      <c r="V195" s="41">
        <f>'[2]побудинковий звіт'!V195+'[1]побудинковий звіт'!V195</f>
        <v>0</v>
      </c>
      <c r="W195" s="55">
        <f t="shared" si="130"/>
        <v>0</v>
      </c>
      <c r="X195" s="41">
        <f>'[2]побудинковий звіт'!X195+'[1]побудинковий звіт'!X195</f>
        <v>0</v>
      </c>
      <c r="Y195" s="41">
        <f>'[2]побудинковий звіт'!Y195+'[1]побудинковий звіт'!Y195</f>
        <v>0</v>
      </c>
      <c r="Z195" s="55">
        <f t="shared" si="131"/>
        <v>0</v>
      </c>
      <c r="AA195" s="41">
        <f>'[2]побудинковий звіт'!AA195+'[1]побудинковий звіт'!AA195</f>
        <v>0</v>
      </c>
      <c r="AB195" s="41">
        <f>'[2]побудинковий звіт'!AB195+'[1]побудинковий звіт'!AB195</f>
        <v>0</v>
      </c>
      <c r="AC195" s="55">
        <f t="shared" si="132"/>
        <v>0</v>
      </c>
      <c r="AD195" s="41">
        <f>'[2]побудинковий звіт'!AD195+'[1]побудинковий звіт'!AD195</f>
        <v>0</v>
      </c>
      <c r="AE195" s="41">
        <f>'[2]побудинковий звіт'!AE195+'[1]побудинковий звіт'!AE195</f>
        <v>0</v>
      </c>
      <c r="AF195" s="36">
        <f t="shared" si="133"/>
        <v>0</v>
      </c>
      <c r="AG195" s="84">
        <f t="shared" si="134"/>
        <v>0</v>
      </c>
      <c r="AH195" s="56">
        <f t="shared" si="135"/>
        <v>0</v>
      </c>
      <c r="AI195" s="55">
        <f t="shared" si="136"/>
        <v>0</v>
      </c>
      <c r="AJ195" s="41">
        <f>'[2]побудинковий звіт'!AJ195+'[1]побудинковий звіт'!AJ195</f>
        <v>0</v>
      </c>
      <c r="AK195" s="41">
        <f>'[2]побудинковий звіт'!AK195+'[1]побудинковий звіт'!AK195</f>
        <v>0</v>
      </c>
      <c r="AL195" s="55">
        <f t="shared" si="137"/>
        <v>0</v>
      </c>
      <c r="AM195" s="41">
        <f>'[2]побудинковий звіт'!AM195+'[1]побудинковий звіт'!AM195</f>
        <v>0</v>
      </c>
      <c r="AN195" s="41">
        <f>'[2]побудинковий звіт'!AN195+'[1]побудинковий звіт'!AN195</f>
        <v>0</v>
      </c>
      <c r="AO195" s="55">
        <f t="shared" si="138"/>
        <v>0</v>
      </c>
      <c r="AP195" s="41">
        <f>'[2]побудинковий звіт'!AP195+'[1]побудинковий звіт'!AP195</f>
        <v>134.07533442555194</v>
      </c>
      <c r="AQ195" s="41">
        <f>'[2]побудинковий звіт'!AQ195+'[1]побудинковий звіт'!AQ195</f>
        <v>46.825128077203743</v>
      </c>
      <c r="AR195" s="55">
        <f t="shared" si="139"/>
        <v>-87.2502063483482</v>
      </c>
      <c r="AS195" s="41">
        <f>'[2]побудинковий звіт'!AS195+'[1]побудинковий звіт'!AS195</f>
        <v>3292.6773567427454</v>
      </c>
      <c r="AT195" s="41">
        <f>'[2]побудинковий звіт'!AT195+'[1]побудинковий звіт'!AT195</f>
        <v>0</v>
      </c>
      <c r="AU195" s="57">
        <f t="shared" si="140"/>
        <v>-3292.6773567427454</v>
      </c>
      <c r="AV195" s="41">
        <f>'[2]побудинковий звіт'!AV195+'[1]побудинковий звіт'!AV195</f>
        <v>0</v>
      </c>
      <c r="AW195" s="41">
        <f>'[2]побудинковий звіт'!AW195+'[1]побудинковий звіт'!AW195</f>
        <v>0</v>
      </c>
      <c r="AX195" s="58">
        <f t="shared" si="141"/>
        <v>0</v>
      </c>
      <c r="AY195" s="41">
        <f>'[2]побудинковий звіт'!AY195+'[1]побудинковий звіт'!AY195</f>
        <v>0</v>
      </c>
      <c r="AZ195" s="41">
        <f>'[2]побудинковий звіт'!AZ195+'[1]побудинковий звіт'!AZ195</f>
        <v>0</v>
      </c>
      <c r="BA195" s="36">
        <f t="shared" si="142"/>
        <v>0</v>
      </c>
      <c r="BB195" s="41">
        <f>'[2]побудинковий звіт'!BB195+'[1]побудинковий звіт'!BB195</f>
        <v>0</v>
      </c>
      <c r="BC195" s="41">
        <f>'[2]побудинковий звіт'!BC195+'[1]побудинковий звіт'!BC195</f>
        <v>0</v>
      </c>
      <c r="BD195" s="58">
        <f t="shared" si="143"/>
        <v>0</v>
      </c>
      <c r="BE195" s="41">
        <f>'[2]побудинковий звіт'!BE195+'[1]побудинковий звіт'!BE195</f>
        <v>0</v>
      </c>
      <c r="BF195" s="41">
        <f>'[2]побудинковий звіт'!BF195+'[1]побудинковий звіт'!BF195</f>
        <v>0</v>
      </c>
      <c r="BG195" s="38">
        <f t="shared" si="144"/>
        <v>0</v>
      </c>
      <c r="BH195" s="41">
        <f>'[2]побудинковий звіт'!BH195+'[1]побудинковий звіт'!BH195</f>
        <v>0</v>
      </c>
      <c r="BI195" s="41">
        <f>'[2]побудинковий звіт'!BI195+'[1]побудинковий звіт'!BI195</f>
        <v>0</v>
      </c>
      <c r="BJ195" s="58">
        <f t="shared" si="145"/>
        <v>0</v>
      </c>
      <c r="BK195" s="41">
        <f>'[2]побудинковий звіт'!BK195+'[1]побудинковий звіт'!BK195</f>
        <v>0</v>
      </c>
      <c r="BL195" s="41">
        <f>'[2]побудинковий звіт'!BL195+'[1]побудинковий звіт'!BL195</f>
        <v>0</v>
      </c>
      <c r="BM195" s="38">
        <f t="shared" si="146"/>
        <v>0</v>
      </c>
      <c r="BN195" s="41">
        <f>'[2]побудинковий звіт'!BN195+'[1]побудинковий звіт'!BN195</f>
        <v>0</v>
      </c>
      <c r="BO195" s="41">
        <f>'[2]побудинковий звіт'!BO195+'[1]побудинковий звіт'!BO195</f>
        <v>2517.3930311200002</v>
      </c>
      <c r="BP195" s="58">
        <f t="shared" si="147"/>
        <v>2517.3930311200002</v>
      </c>
      <c r="BQ195" s="84">
        <f t="shared" si="148"/>
        <v>0</v>
      </c>
      <c r="BR195" s="42">
        <f t="shared" si="149"/>
        <v>2517.3930311200002</v>
      </c>
      <c r="BS195" s="58">
        <f t="shared" si="150"/>
        <v>2517.3930311200002</v>
      </c>
      <c r="BT195" s="41">
        <f>'[2]побудинковий звіт'!BT195+'[1]побудинковий звіт'!BT195</f>
        <v>121.02832307184316</v>
      </c>
      <c r="BU195" s="41">
        <f>'[2]побудинковий звіт'!BU195+'[1]побудинковий звіт'!BU195</f>
        <v>598.06002971661553</v>
      </c>
      <c r="BV195" s="55">
        <f t="shared" si="151"/>
        <v>477.03170664477238</v>
      </c>
      <c r="BW195" s="41">
        <f>'[2]побудинковий звіт'!BW195+'[1]побудинковий звіт'!BW195</f>
        <v>0</v>
      </c>
      <c r="BX195" s="41">
        <f>'[2]побудинковий звіт'!BX195+'[1]побудинковий звіт'!BX195</f>
        <v>0.93209691132377914</v>
      </c>
      <c r="BY195" s="55">
        <f t="shared" si="152"/>
        <v>0.93209691132377914</v>
      </c>
      <c r="BZ195" s="41">
        <f>'[2]побудинковий звіт'!BZ195+'[1]побудинковий звіт'!BZ195</f>
        <v>23.395680665335384</v>
      </c>
      <c r="CA195" s="41">
        <f>'[2]побудинковий звіт'!CA195+'[1]побудинковий звіт'!CA195</f>
        <v>52.085994414806088</v>
      </c>
      <c r="CB195" s="55">
        <f t="shared" si="153"/>
        <v>28.690313749470704</v>
      </c>
      <c r="CC195" s="41">
        <f>'[2]побудинковий звіт'!CC195+'[1]побудинковий звіт'!CC195</f>
        <v>0</v>
      </c>
      <c r="CD195" s="41">
        <f>'[2]побудинковий звіт'!CD195+'[1]побудинковий звіт'!CD195</f>
        <v>0</v>
      </c>
      <c r="CE195" s="55">
        <f t="shared" si="154"/>
        <v>0</v>
      </c>
      <c r="CF195" s="41">
        <f>'[2]побудинковий звіт'!CF195+'[1]побудинковий звіт'!CF195</f>
        <v>0</v>
      </c>
      <c r="CG195" s="41">
        <f>'[2]побудинковий звіт'!CG195+'[1]побудинковий звіт'!CG195</f>
        <v>0</v>
      </c>
      <c r="CH195" s="55">
        <f t="shared" si="155"/>
        <v>0</v>
      </c>
      <c r="CI195" s="41">
        <f>'[2]побудинковий звіт'!CI195+'[1]побудинковий звіт'!CI195</f>
        <v>0</v>
      </c>
      <c r="CJ195" s="41">
        <f>'[2]побудинковий звіт'!CJ195+'[1]побудинковий звіт'!CJ195</f>
        <v>0</v>
      </c>
      <c r="CK195" s="55">
        <f t="shared" si="156"/>
        <v>0</v>
      </c>
      <c r="CL195" s="41">
        <f>'[2]побудинковий звіт'!CL195+'[1]побудинковий звіт'!CL195</f>
        <v>0</v>
      </c>
      <c r="CM195" s="41">
        <f>'[2]побудинковий звіт'!CM195+'[1]побудинковий звіт'!CM195</f>
        <v>0</v>
      </c>
      <c r="CN195" s="55">
        <f t="shared" si="157"/>
        <v>0</v>
      </c>
      <c r="CO195" s="41">
        <f t="shared" si="158"/>
        <v>0</v>
      </c>
      <c r="CP195" s="42">
        <f t="shared" si="159"/>
        <v>0</v>
      </c>
      <c r="CQ195" s="55">
        <f t="shared" si="160"/>
        <v>0</v>
      </c>
      <c r="CR195" s="76">
        <f t="shared" si="161"/>
        <v>3571.1766949054759</v>
      </c>
      <c r="CS195" s="5">
        <f t="shared" si="162"/>
        <v>3215.2962802399493</v>
      </c>
      <c r="CT195" s="55">
        <f t="shared" si="163"/>
        <v>-355.88041466552659</v>
      </c>
      <c r="CU195" s="84">
        <f t="shared" si="164"/>
        <v>4285.4120338865705</v>
      </c>
      <c r="CV195" s="68">
        <f t="shared" si="165"/>
        <v>3858.3555362879388</v>
      </c>
      <c r="CW195" s="36">
        <f t="shared" si="166"/>
        <v>-427.05649759863172</v>
      </c>
      <c r="CX195" s="41">
        <f>'[2]побудинковий звіт'!CX195+'[1]побудинковий звіт'!CX195</f>
        <v>129.16611364596812</v>
      </c>
      <c r="CY195" s="41">
        <f>'[2]побудинковий звіт'!CY195+'[1]побудинковий звіт'!CY195</f>
        <v>556.22261124460101</v>
      </c>
      <c r="CZ195" s="55">
        <f t="shared" si="167"/>
        <v>427.05649759863286</v>
      </c>
      <c r="DA195" s="254">
        <f>'[1]побудинковий звіт'!DA195</f>
        <v>-3707.1304918407131</v>
      </c>
      <c r="DB195" s="2">
        <v>3</v>
      </c>
      <c r="DC195" s="702">
        <f>'[1]побудинковий звіт'!DC195</f>
        <v>742.36</v>
      </c>
      <c r="DD195" s="702">
        <f>'[1]побудинковий звіт'!DD195</f>
        <v>0</v>
      </c>
      <c r="DE195" s="702">
        <f>'[1]побудинковий звіт'!DE195</f>
        <v>258.05</v>
      </c>
      <c r="DF195" s="702">
        <f>'[1]побудинковий звіт'!DF195</f>
        <v>0</v>
      </c>
      <c r="DG195" s="772">
        <v>-3331.1109314480091</v>
      </c>
      <c r="DH195" s="746">
        <f t="shared" si="168"/>
        <v>52974.937770390461</v>
      </c>
      <c r="DI195" s="769"/>
      <c r="DJ195" s="5"/>
      <c r="DK195" s="307">
        <f>VLOOKUP($A195,ціни!$A$4:$G$401,5)</f>
        <v>1.5107770497353641</v>
      </c>
      <c r="DL195" s="307"/>
      <c r="DM195" s="307">
        <f>VLOOKUP($A195,ціни!$A$4:$G$401,7)</f>
        <v>1.5107770497353641</v>
      </c>
      <c r="DN195" s="29">
        <f t="shared" si="183"/>
        <v>345.96794438939838</v>
      </c>
      <c r="DO195" s="29">
        <f t="shared" si="184"/>
        <v>0</v>
      </c>
      <c r="DP195" s="306">
        <f t="shared" si="169"/>
        <v>345.96794438939838</v>
      </c>
      <c r="DQ195" s="101"/>
      <c r="DR195" s="29">
        <f>VLOOKUP(A195,'ДЗ нас '!$A$1:$C$359,2)</f>
        <v>345.98</v>
      </c>
      <c r="DS195" s="733"/>
      <c r="DT195" s="29">
        <f t="shared" si="170"/>
        <v>345.98</v>
      </c>
      <c r="DU195" s="247">
        <f>VLOOKUP(A195,'новий кошторис с 01.06'!$A$4:$AI$399,35)*1.2</f>
        <v>347.65559289861494</v>
      </c>
      <c r="DV195" s="29">
        <f t="shared" si="171"/>
        <v>-1.6755928986149229</v>
      </c>
      <c r="DW195" s="1016">
        <f>'[2]побудинковий звіт'!$DW$9+'[1]побудинковий звіт'!DW195</f>
        <v>918</v>
      </c>
      <c r="DX195" s="101">
        <f>'[1]побудинковий звіт'!DX195</f>
        <v>0</v>
      </c>
      <c r="DY195" s="5">
        <f t="shared" si="172"/>
        <v>3951.2128280912943</v>
      </c>
      <c r="DZ195" s="5">
        <f t="shared" si="173"/>
        <v>3020.8716373440002</v>
      </c>
      <c r="EA195" s="737">
        <f t="shared" si="174"/>
        <v>258.05</v>
      </c>
      <c r="EC195" s="577">
        <f t="shared" si="175"/>
        <v>39512.128280912948</v>
      </c>
      <c r="EE195" s="743">
        <v>-2180</v>
      </c>
      <c r="EF195" s="723">
        <f t="shared" si="176"/>
        <v>-5511.1109314480091</v>
      </c>
      <c r="EH195" s="798">
        <v>-1971.8391265296914</v>
      </c>
      <c r="EI195" s="101">
        <f>VLOOKUP(A195,'кошти 01.01.24'!$A$9:$D$352,4,FALSE)</f>
        <v>-3280.073994242081</v>
      </c>
    </row>
    <row r="196" spans="1:139" hidden="1" x14ac:dyDescent="0.3">
      <c r="A196" s="318">
        <v>150000770</v>
      </c>
      <c r="B196" s="43" t="s">
        <v>629</v>
      </c>
      <c r="C196" s="44" t="s">
        <v>1831</v>
      </c>
      <c r="D196" s="44" t="s">
        <v>119</v>
      </c>
      <c r="E196" s="39">
        <f t="shared" si="125"/>
        <v>144.5</v>
      </c>
      <c r="F196" s="205">
        <f>'[1]побудинковий звіт'!F196</f>
        <v>144.5</v>
      </c>
      <c r="G196" s="29">
        <f>'[1]побудинковий звіт'!G196</f>
        <v>0</v>
      </c>
      <c r="H196" s="148">
        <f>'[1]побудинковий звіт'!H196</f>
        <v>0</v>
      </c>
      <c r="I196" s="41">
        <f>'[2]побудинковий звіт'!I196+'[1]побудинковий звіт'!I196</f>
        <v>0</v>
      </c>
      <c r="J196" s="41">
        <f>'[2]побудинковий звіт'!J196+'[1]побудинковий звіт'!J196</f>
        <v>0</v>
      </c>
      <c r="K196" s="55">
        <f t="shared" si="126"/>
        <v>0</v>
      </c>
      <c r="L196" s="41">
        <f>'[2]побудинковий звіт'!L196+'[1]побудинковий звіт'!L196</f>
        <v>0</v>
      </c>
      <c r="M196" s="41">
        <f>'[2]побудинковий звіт'!M196+'[1]побудинковий звіт'!M196</f>
        <v>0</v>
      </c>
      <c r="N196" s="55">
        <f t="shared" si="127"/>
        <v>0</v>
      </c>
      <c r="O196" s="41">
        <f>'[2]побудинковий звіт'!O196+'[1]побудинковий звіт'!O196</f>
        <v>0</v>
      </c>
      <c r="P196" s="41">
        <f>'[2]побудинковий звіт'!P196+'[1]побудинковий звіт'!P196</f>
        <v>0</v>
      </c>
      <c r="Q196" s="55">
        <f t="shared" si="128"/>
        <v>0</v>
      </c>
      <c r="R196" s="41">
        <f>'[2]побудинковий звіт'!R196+'[1]побудинковий звіт'!R196</f>
        <v>0</v>
      </c>
      <c r="S196" s="41">
        <f>'[2]побудинковий звіт'!S196+'[1]побудинковий звіт'!S196</f>
        <v>0</v>
      </c>
      <c r="T196" s="55">
        <f t="shared" si="129"/>
        <v>0</v>
      </c>
      <c r="U196" s="41">
        <f>'[2]побудинковий звіт'!U196+'[1]побудинковий звіт'!U196</f>
        <v>0</v>
      </c>
      <c r="V196" s="41">
        <f>'[2]побудинковий звіт'!V196+'[1]побудинковий звіт'!V196</f>
        <v>0</v>
      </c>
      <c r="W196" s="55">
        <f t="shared" si="130"/>
        <v>0</v>
      </c>
      <c r="X196" s="41">
        <f>'[2]побудинковий звіт'!X196+'[1]побудинковий звіт'!X196</f>
        <v>0</v>
      </c>
      <c r="Y196" s="41">
        <f>'[2]побудинковий звіт'!Y196+'[1]побудинковий звіт'!Y196</f>
        <v>0</v>
      </c>
      <c r="Z196" s="55">
        <f t="shared" si="131"/>
        <v>0</v>
      </c>
      <c r="AA196" s="41">
        <f>'[2]побудинковий звіт'!AA196+'[1]побудинковий звіт'!AA196</f>
        <v>0</v>
      </c>
      <c r="AB196" s="41">
        <f>'[2]побудинковий звіт'!AB196+'[1]побудинковий звіт'!AB196</f>
        <v>0</v>
      </c>
      <c r="AC196" s="55">
        <f t="shared" si="132"/>
        <v>0</v>
      </c>
      <c r="AD196" s="41">
        <f>'[2]побудинковий звіт'!AD196+'[1]побудинковий звіт'!AD196</f>
        <v>0</v>
      </c>
      <c r="AE196" s="41">
        <f>'[2]побудинковий звіт'!AE196+'[1]побудинковий звіт'!AE196</f>
        <v>0</v>
      </c>
      <c r="AF196" s="36">
        <f t="shared" si="133"/>
        <v>0</v>
      </c>
      <c r="AG196" s="84">
        <f t="shared" si="134"/>
        <v>0</v>
      </c>
      <c r="AH196" s="56">
        <f t="shared" si="135"/>
        <v>0</v>
      </c>
      <c r="AI196" s="55">
        <f t="shared" si="136"/>
        <v>0</v>
      </c>
      <c r="AJ196" s="41">
        <f>'[2]побудинковий звіт'!AJ196+'[1]побудинковий звіт'!AJ196</f>
        <v>0</v>
      </c>
      <c r="AK196" s="41">
        <f>'[2]побудинковий звіт'!AK196+'[1]побудинковий звіт'!AK196</f>
        <v>0</v>
      </c>
      <c r="AL196" s="55">
        <f t="shared" si="137"/>
        <v>0</v>
      </c>
      <c r="AM196" s="41">
        <f>'[2]побудинковий звіт'!AM196+'[1]побудинковий звіт'!AM196</f>
        <v>0</v>
      </c>
      <c r="AN196" s="41">
        <f>'[2]побудинковий звіт'!AN196+'[1]побудинковий звіт'!AN196</f>
        <v>0</v>
      </c>
      <c r="AO196" s="55">
        <f t="shared" si="138"/>
        <v>0</v>
      </c>
      <c r="AP196" s="41">
        <f>'[2]побудинковий звіт'!AP196+'[1]побудинковий звіт'!AP196</f>
        <v>247.64948572630095</v>
      </c>
      <c r="AQ196" s="41">
        <f>'[2]побудинковий звіт'!AQ196+'[1]побудинковий звіт'!AQ196</f>
        <v>93.650256154407487</v>
      </c>
      <c r="AR196" s="55">
        <f t="shared" si="139"/>
        <v>-153.99922957189347</v>
      </c>
      <c r="AS196" s="41">
        <f>'[2]побудинковий звіт'!AS196+'[1]побудинковий звіт'!AS196</f>
        <v>2481.8294507822852</v>
      </c>
      <c r="AT196" s="41">
        <f>'[2]побудинковий звіт'!AT196+'[1]побудинковий звіт'!AT196</f>
        <v>0</v>
      </c>
      <c r="AU196" s="57">
        <f t="shared" si="140"/>
        <v>-2481.8294507822852</v>
      </c>
      <c r="AV196" s="41">
        <f>'[2]побудинковий звіт'!AV196+'[1]побудинковий звіт'!AV196</f>
        <v>0</v>
      </c>
      <c r="AW196" s="41">
        <f>'[2]побудинковий звіт'!AW196+'[1]побудинковий звіт'!AW196</f>
        <v>0</v>
      </c>
      <c r="AX196" s="58">
        <f t="shared" si="141"/>
        <v>0</v>
      </c>
      <c r="AY196" s="41">
        <f>'[2]побудинковий звіт'!AY196+'[1]побудинковий звіт'!AY196</f>
        <v>0</v>
      </c>
      <c r="AZ196" s="41">
        <f>'[2]побудинковий звіт'!AZ196+'[1]побудинковий звіт'!AZ196</f>
        <v>0</v>
      </c>
      <c r="BA196" s="36">
        <f t="shared" si="142"/>
        <v>0</v>
      </c>
      <c r="BB196" s="41">
        <f>'[2]побудинковий звіт'!BB196+'[1]побудинковий звіт'!BB196</f>
        <v>0</v>
      </c>
      <c r="BC196" s="41">
        <f>'[2]побудинковий звіт'!BC196+'[1]побудинковий звіт'!BC196</f>
        <v>0</v>
      </c>
      <c r="BD196" s="58">
        <f t="shared" si="143"/>
        <v>0</v>
      </c>
      <c r="BE196" s="41">
        <f>'[2]побудинковий звіт'!BE196+'[1]побудинковий звіт'!BE196</f>
        <v>0</v>
      </c>
      <c r="BF196" s="41">
        <f>'[2]побудинковий звіт'!BF196+'[1]побудинковий звіт'!BF196</f>
        <v>0</v>
      </c>
      <c r="BG196" s="38">
        <f t="shared" si="144"/>
        <v>0</v>
      </c>
      <c r="BH196" s="41">
        <f>'[2]побудинковий звіт'!BH196+'[1]побудинковий звіт'!BH196</f>
        <v>0</v>
      </c>
      <c r="BI196" s="41">
        <f>'[2]побудинковий звіт'!BI196+'[1]побудинковий звіт'!BI196</f>
        <v>0</v>
      </c>
      <c r="BJ196" s="58">
        <f t="shared" si="145"/>
        <v>0</v>
      </c>
      <c r="BK196" s="41">
        <f>'[2]побудинковий звіт'!BK196+'[1]побудинковий звіт'!BK196</f>
        <v>0</v>
      </c>
      <c r="BL196" s="41">
        <f>'[2]побудинковий звіт'!BL196+'[1]побудинковий звіт'!BL196</f>
        <v>0</v>
      </c>
      <c r="BM196" s="38">
        <f t="shared" si="146"/>
        <v>0</v>
      </c>
      <c r="BN196" s="41">
        <f>'[2]побудинковий звіт'!BN196+'[1]побудинковий звіт'!BN196</f>
        <v>0</v>
      </c>
      <c r="BO196" s="41">
        <f>'[2]побудинковий звіт'!BO196+'[1]побудинковий звіт'!BO196</f>
        <v>974.29553764000002</v>
      </c>
      <c r="BP196" s="58">
        <f t="shared" si="147"/>
        <v>974.29553764000002</v>
      </c>
      <c r="BQ196" s="84">
        <f t="shared" si="148"/>
        <v>0</v>
      </c>
      <c r="BR196" s="42">
        <f t="shared" si="149"/>
        <v>974.29553764000002</v>
      </c>
      <c r="BS196" s="58">
        <f t="shared" si="150"/>
        <v>974.29553764000002</v>
      </c>
      <c r="BT196" s="41">
        <f>'[2]побудинковий звіт'!BT196+'[1]побудинковий звіт'!BT196</f>
        <v>0</v>
      </c>
      <c r="BU196" s="41">
        <f>'[2]побудинковий звіт'!BU196+'[1]побудинковий звіт'!BU196</f>
        <v>0</v>
      </c>
      <c r="BV196" s="55">
        <f t="shared" si="151"/>
        <v>0</v>
      </c>
      <c r="BW196" s="41">
        <f>'[2]побудинковий звіт'!BW196+'[1]побудинковий звіт'!BW196</f>
        <v>0</v>
      </c>
      <c r="BX196" s="41">
        <f>'[2]побудинковий звіт'!BX196+'[1]побудинковий звіт'!BX196</f>
        <v>0.58815722133749371</v>
      </c>
      <c r="BY196" s="55">
        <f t="shared" si="152"/>
        <v>0.58815722133749371</v>
      </c>
      <c r="BZ196" s="41">
        <f>'[2]побудинковий звіт'!BZ196+'[1]побудинковий звіт'!BZ196</f>
        <v>0</v>
      </c>
      <c r="CA196" s="41">
        <f>'[2]побудинковий звіт'!CA196+'[1]побудинковий звіт'!CA196</f>
        <v>0</v>
      </c>
      <c r="CB196" s="55">
        <f t="shared" si="153"/>
        <v>0</v>
      </c>
      <c r="CC196" s="41">
        <f>'[2]побудинковий звіт'!CC196+'[1]побудинковий звіт'!CC196</f>
        <v>0</v>
      </c>
      <c r="CD196" s="41">
        <f>'[2]побудинковий звіт'!CD196+'[1]побудинковий звіт'!CD196</f>
        <v>0</v>
      </c>
      <c r="CE196" s="55">
        <f t="shared" si="154"/>
        <v>0</v>
      </c>
      <c r="CF196" s="41">
        <f>'[2]побудинковий звіт'!CF196+'[1]побудинковий звіт'!CF196</f>
        <v>0</v>
      </c>
      <c r="CG196" s="41">
        <f>'[2]побудинковий звіт'!CG196+'[1]побудинковий звіт'!CG196</f>
        <v>0</v>
      </c>
      <c r="CH196" s="55">
        <f t="shared" si="155"/>
        <v>0</v>
      </c>
      <c r="CI196" s="41">
        <f>'[2]побудинковий звіт'!CI196+'[1]побудинковий звіт'!CI196</f>
        <v>0</v>
      </c>
      <c r="CJ196" s="41">
        <f>'[2]побудинковий звіт'!CJ196+'[1]побудинковий звіт'!CJ196</f>
        <v>0</v>
      </c>
      <c r="CK196" s="55">
        <f t="shared" si="156"/>
        <v>0</v>
      </c>
      <c r="CL196" s="41">
        <f>'[2]побудинковий звіт'!CL196+'[1]побудинковий звіт'!CL196</f>
        <v>0</v>
      </c>
      <c r="CM196" s="41">
        <f>'[2]побудинковий звіт'!CM196+'[1]побудинковий звіт'!CM196</f>
        <v>0</v>
      </c>
      <c r="CN196" s="55">
        <f t="shared" si="157"/>
        <v>0</v>
      </c>
      <c r="CO196" s="41">
        <f t="shared" si="158"/>
        <v>0</v>
      </c>
      <c r="CP196" s="42">
        <f t="shared" si="159"/>
        <v>0</v>
      </c>
      <c r="CQ196" s="55">
        <f t="shared" si="160"/>
        <v>0</v>
      </c>
      <c r="CR196" s="76">
        <f t="shared" si="161"/>
        <v>2729.4789365085862</v>
      </c>
      <c r="CS196" s="5">
        <f t="shared" si="162"/>
        <v>1068.5339510157451</v>
      </c>
      <c r="CT196" s="55">
        <f t="shared" si="163"/>
        <v>-1660.9449854928412</v>
      </c>
      <c r="CU196" s="84">
        <f t="shared" si="164"/>
        <v>3275.3747238103033</v>
      </c>
      <c r="CV196" s="68">
        <f t="shared" si="165"/>
        <v>1282.2407412188941</v>
      </c>
      <c r="CW196" s="36">
        <f t="shared" si="166"/>
        <v>-1993.1339825914092</v>
      </c>
      <c r="CX196" s="41">
        <f>'[2]побудинковий звіт'!CX196+'[1]побудинковий звіт'!CX196</f>
        <v>72.253056781938767</v>
      </c>
      <c r="CY196" s="41">
        <f>'[2]побудинковий звіт'!CY196+'[1]побудинковий звіт'!CY196</f>
        <v>2065.3870393733487</v>
      </c>
      <c r="CZ196" s="55">
        <f t="shared" si="167"/>
        <v>1993.1339825914099</v>
      </c>
      <c r="DA196" s="254">
        <f>'[1]побудинковий звіт'!DA196</f>
        <v>-10590.661417109266</v>
      </c>
      <c r="DB196" s="2">
        <v>3</v>
      </c>
      <c r="DC196" s="702">
        <f>'[1]побудинковий звіт'!DC196</f>
        <v>239.3</v>
      </c>
      <c r="DD196" s="702">
        <f>'[1]побудинковий звіт'!DD196</f>
        <v>0</v>
      </c>
      <c r="DE196" s="702">
        <f>'[1]побудинковий звіт'!DE196</f>
        <v>-127.49000000000001</v>
      </c>
      <c r="DF196" s="702">
        <f>'[1]побудинковий звіт'!DF196</f>
        <v>0</v>
      </c>
      <c r="DG196" s="772">
        <v>-4511.5314297276018</v>
      </c>
      <c r="DH196" s="746">
        <f t="shared" si="168"/>
        <v>40171.533367106902</v>
      </c>
      <c r="DI196" s="769"/>
      <c r="DJ196" s="5"/>
      <c r="DK196" s="307">
        <f>VLOOKUP($A196,ціни!$A$4:$G$401,5)</f>
        <v>1.8163362842817203</v>
      </c>
      <c r="DL196" s="307"/>
      <c r="DM196" s="307">
        <f>VLOOKUP($A196,ціни!$A$4:$G$401,7)</f>
        <v>1.8163362842817203</v>
      </c>
      <c r="DN196" s="29">
        <f t="shared" si="183"/>
        <v>262.4605930787086</v>
      </c>
      <c r="DO196" s="29">
        <f t="shared" si="184"/>
        <v>0</v>
      </c>
      <c r="DP196" s="306">
        <f t="shared" si="169"/>
        <v>262.4605930787086</v>
      </c>
      <c r="DQ196" s="101"/>
      <c r="DR196" s="29">
        <f>VLOOKUP(A196,'ДЗ нас '!$A$1:$C$359,2)</f>
        <v>262.45</v>
      </c>
      <c r="DS196" s="733"/>
      <c r="DT196" s="29">
        <f t="shared" si="170"/>
        <v>262.45</v>
      </c>
      <c r="DU196" s="247">
        <f>VLOOKUP(A196,'новий кошторис с 01.06'!$A$4:$AI$399,35)*1.2</f>
        <v>263.2363386740152</v>
      </c>
      <c r="DV196" s="29">
        <f t="shared" si="171"/>
        <v>-0.78633867401521229</v>
      </c>
      <c r="DW196" s="1016">
        <f>'[2]побудинковий звіт'!$DW$9+'[1]побудинковий звіт'!DW196</f>
        <v>0</v>
      </c>
      <c r="DX196" s="101">
        <f>'[1]побудинковий звіт'!DX196</f>
        <v>0</v>
      </c>
      <c r="DY196" s="5">
        <f t="shared" si="172"/>
        <v>2978.195340938742</v>
      </c>
      <c r="DZ196" s="5">
        <f t="shared" si="173"/>
        <v>1169.1546451679999</v>
      </c>
      <c r="EA196" s="737">
        <f t="shared" si="174"/>
        <v>-127.49000000000001</v>
      </c>
      <c r="EC196" s="577">
        <f t="shared" si="175"/>
        <v>29781.953409387424</v>
      </c>
      <c r="EE196" s="743">
        <v>-2519</v>
      </c>
      <c r="EF196" s="723">
        <f t="shared" si="176"/>
        <v>-7030.5314297276018</v>
      </c>
      <c r="EH196" s="798">
        <v>-6128.7145846594503</v>
      </c>
      <c r="EI196" s="101">
        <f>VLOOKUP(A196,'кошти 01.01.24'!$A$9:$D$352,4,FALSE)</f>
        <v>-8597.5274345178586</v>
      </c>
    </row>
    <row r="197" spans="1:139" hidden="1" x14ac:dyDescent="0.3">
      <c r="A197" s="318">
        <v>150000777</v>
      </c>
      <c r="B197" s="43" t="s">
        <v>630</v>
      </c>
      <c r="C197" s="44" t="s">
        <v>1832</v>
      </c>
      <c r="D197" s="44" t="s">
        <v>168</v>
      </c>
      <c r="E197" s="39">
        <f t="shared" si="125"/>
        <v>393</v>
      </c>
      <c r="F197" s="205">
        <f>'[1]побудинковий звіт'!F197</f>
        <v>393</v>
      </c>
      <c r="G197" s="29">
        <f>'[1]побудинковий звіт'!G197</f>
        <v>0</v>
      </c>
      <c r="H197" s="148">
        <f>'[1]побудинковий звіт'!H197</f>
        <v>0</v>
      </c>
      <c r="I197" s="41">
        <f>'[2]побудинковий звіт'!I197+'[1]побудинковий звіт'!I197</f>
        <v>1571.279159097825</v>
      </c>
      <c r="J197" s="41">
        <f>'[2]побудинковий звіт'!J197+'[1]побудинковий звіт'!J197</f>
        <v>1628.7273558065465</v>
      </c>
      <c r="K197" s="55">
        <f t="shared" si="126"/>
        <v>57.448196708721525</v>
      </c>
      <c r="L197" s="41">
        <f>'[2]побудинковий звіт'!L197+'[1]побудинковий звіт'!L197</f>
        <v>241.82556161428897</v>
      </c>
      <c r="M197" s="41">
        <f>'[2]побудинковий звіт'!M197+'[1]побудинковий звіт'!M197</f>
        <v>262.6952062341914</v>
      </c>
      <c r="N197" s="55">
        <f t="shared" si="127"/>
        <v>20.869644619902431</v>
      </c>
      <c r="O197" s="41">
        <f>'[2]побудинковий звіт'!O197+'[1]побудинковий звіт'!O197</f>
        <v>613.41960555009166</v>
      </c>
      <c r="P197" s="41">
        <f>'[2]побудинковий звіт'!P197+'[1]побудинковий звіт'!P197</f>
        <v>615.36379531588602</v>
      </c>
      <c r="Q197" s="55">
        <f t="shared" si="128"/>
        <v>1.9441897657943628</v>
      </c>
      <c r="R197" s="41">
        <f>'[2]побудинковий звіт'!R197+'[1]побудинковий звіт'!R197</f>
        <v>129.72379821945029</v>
      </c>
      <c r="S197" s="41">
        <f>'[2]побудинковий звіт'!S197+'[1]побудинковий звіт'!S197</f>
        <v>130.55557707310555</v>
      </c>
      <c r="T197" s="55">
        <f t="shared" si="129"/>
        <v>0.83177885365526549</v>
      </c>
      <c r="U197" s="41">
        <f>'[2]побудинковий звіт'!U197+'[1]побудинковий звіт'!U197</f>
        <v>0</v>
      </c>
      <c r="V197" s="41">
        <f>'[2]побудинковий звіт'!V197+'[1]побудинковий звіт'!V197</f>
        <v>0</v>
      </c>
      <c r="W197" s="55">
        <f t="shared" si="130"/>
        <v>0</v>
      </c>
      <c r="X197" s="41">
        <f>'[2]побудинковий звіт'!X197+'[1]побудинковий звіт'!X197</f>
        <v>613.02704686849984</v>
      </c>
      <c r="Y197" s="41">
        <f>'[2]побудинковий звіт'!Y197+'[1]побудинковий звіт'!Y197</f>
        <v>550.04308231293737</v>
      </c>
      <c r="Z197" s="55">
        <f t="shared" si="131"/>
        <v>-62.983964555562466</v>
      </c>
      <c r="AA197" s="41">
        <f>'[2]побудинковий звіт'!AA197+'[1]побудинковий звіт'!AA197</f>
        <v>0</v>
      </c>
      <c r="AB197" s="41">
        <f>'[2]побудинковий звіт'!AB197+'[1]побудинковий звіт'!AB197</f>
        <v>0</v>
      </c>
      <c r="AC197" s="55">
        <f t="shared" si="132"/>
        <v>0</v>
      </c>
      <c r="AD197" s="41">
        <f>'[2]побудинковий звіт'!AD197+'[1]побудинковий звіт'!AD197</f>
        <v>1704.5636804514361</v>
      </c>
      <c r="AE197" s="41">
        <f>'[2]побудинковий звіт'!AE197+'[1]побудинковий звіт'!AE197</f>
        <v>1697.9341714720099</v>
      </c>
      <c r="AF197" s="36">
        <f t="shared" si="133"/>
        <v>-6.6295089794261912</v>
      </c>
      <c r="AG197" s="84">
        <f t="shared" si="134"/>
        <v>4873.8388518015918</v>
      </c>
      <c r="AH197" s="56">
        <f t="shared" si="135"/>
        <v>4885.3191882146766</v>
      </c>
      <c r="AI197" s="55">
        <f t="shared" si="136"/>
        <v>11.480336413084842</v>
      </c>
      <c r="AJ197" s="41">
        <f>'[2]побудинковий звіт'!AJ197+'[1]побудинковий звіт'!AJ197</f>
        <v>0</v>
      </c>
      <c r="AK197" s="41">
        <f>'[2]побудинковий звіт'!AK197+'[1]побудинковий звіт'!AK197</f>
        <v>0</v>
      </c>
      <c r="AL197" s="55">
        <f t="shared" si="137"/>
        <v>0</v>
      </c>
      <c r="AM197" s="41">
        <f>'[2]побудинковий звіт'!AM197+'[1]побудинковий звіт'!AM197</f>
        <v>0</v>
      </c>
      <c r="AN197" s="41">
        <f>'[2]побудинковий звіт'!AN197+'[1]побудинковий звіт'!AN197</f>
        <v>0</v>
      </c>
      <c r="AO197" s="55">
        <f t="shared" si="138"/>
        <v>0</v>
      </c>
      <c r="AP197" s="41">
        <f>'[2]побудинковий звіт'!AP197+'[1]побудинковий звіт'!AP197</f>
        <v>396.23917716208166</v>
      </c>
      <c r="AQ197" s="41">
        <f>'[2]побудинковий звіт'!AQ197+'[1]побудинковий звіт'!AQ197</f>
        <v>374.60102461762995</v>
      </c>
      <c r="AR197" s="55">
        <f t="shared" si="139"/>
        <v>-21.638152544451714</v>
      </c>
      <c r="AS197" s="41">
        <f>'[2]побудинковий звіт'!AS197+'[1]побудинковий звіт'!AS197</f>
        <v>4708.9285344790851</v>
      </c>
      <c r="AT197" s="41">
        <f>'[2]побудинковий звіт'!AT197+'[1]побудинковий звіт'!AT197</f>
        <v>3739</v>
      </c>
      <c r="AU197" s="57">
        <f t="shared" si="140"/>
        <v>-969.9285344790851</v>
      </c>
      <c r="AV197" s="41">
        <f>'[2]побудинковий звіт'!AV197+'[1]побудинковий звіт'!AV197</f>
        <v>290.21066417456052</v>
      </c>
      <c r="AW197" s="41">
        <f>'[2]побудинковий звіт'!AW197+'[1]побудинковий звіт'!AW197</f>
        <v>0</v>
      </c>
      <c r="AX197" s="58">
        <f t="shared" si="141"/>
        <v>-290.21066417456052</v>
      </c>
      <c r="AY197" s="41">
        <f>'[2]побудинковий звіт'!AY197+'[1]побудинковий звіт'!AY197</f>
        <v>280.40349409884016</v>
      </c>
      <c r="AZ197" s="41">
        <f>'[2]побудинковий звіт'!AZ197+'[1]побудинковий звіт'!AZ197</f>
        <v>0</v>
      </c>
      <c r="BA197" s="36">
        <f t="shared" si="142"/>
        <v>-280.40349409884016</v>
      </c>
      <c r="BB197" s="41">
        <f>'[2]побудинковий звіт'!BB197+'[1]побудинковий звіт'!BB197</f>
        <v>170.45365308988062</v>
      </c>
      <c r="BC197" s="41">
        <f>'[2]побудинковий звіт'!BC197+'[1]побудинковий звіт'!BC197</f>
        <v>0</v>
      </c>
      <c r="BD197" s="58">
        <f t="shared" si="143"/>
        <v>-170.45365308988062</v>
      </c>
      <c r="BE197" s="41">
        <f>'[2]побудинковий звіт'!BE197+'[1]побудинковий звіт'!BE197</f>
        <v>151.87188439708609</v>
      </c>
      <c r="BF197" s="41">
        <f>'[2]побудинковий звіт'!BF197+'[1]побудинковий звіт'!BF197</f>
        <v>0</v>
      </c>
      <c r="BG197" s="38">
        <f t="shared" si="144"/>
        <v>-151.87188439708609</v>
      </c>
      <c r="BH197" s="41">
        <f>'[2]побудинковий звіт'!BH197+'[1]побудинковий звіт'!BH197</f>
        <v>0</v>
      </c>
      <c r="BI197" s="41">
        <f>'[2]побудинковий звіт'!BI197+'[1]побудинковий звіт'!BI197</f>
        <v>0</v>
      </c>
      <c r="BJ197" s="58">
        <f t="shared" si="145"/>
        <v>0</v>
      </c>
      <c r="BK197" s="41">
        <f>'[2]побудинковий звіт'!BK197+'[1]побудинковий звіт'!BK197</f>
        <v>115.56013181028452</v>
      </c>
      <c r="BL197" s="41">
        <f>'[2]побудинковий звіт'!BL197+'[1]побудинковий звіт'!BL197</f>
        <v>0</v>
      </c>
      <c r="BM197" s="38">
        <f t="shared" si="146"/>
        <v>-115.56013181028452</v>
      </c>
      <c r="BN197" s="41">
        <f>'[2]побудинковий звіт'!BN197+'[1]побудинковий звіт'!BN197</f>
        <v>15.685434319842152</v>
      </c>
      <c r="BO197" s="41">
        <f>'[2]побудинковий звіт'!BO197+'[1]побудинковий звіт'!BO197</f>
        <v>1781.94987728</v>
      </c>
      <c r="BP197" s="58">
        <f t="shared" si="147"/>
        <v>1766.2644429601578</v>
      </c>
      <c r="BQ197" s="84">
        <f t="shared" si="148"/>
        <v>1024.1852618904941</v>
      </c>
      <c r="BR197" s="42">
        <f t="shared" si="149"/>
        <v>1781.94987728</v>
      </c>
      <c r="BS197" s="58">
        <f t="shared" si="150"/>
        <v>757.76461538950593</v>
      </c>
      <c r="BT197" s="41">
        <f>'[2]побудинковий звіт'!BT197+'[1]побудинковий звіт'!BT197</f>
        <v>4439.2549849916441</v>
      </c>
      <c r="BU197" s="41">
        <f>'[2]побудинковий звіт'!BU197+'[1]побудинковий звіт'!BU197</f>
        <v>3862.6046119048733</v>
      </c>
      <c r="BV197" s="55">
        <f t="shared" si="151"/>
        <v>-576.65037308677074</v>
      </c>
      <c r="BW197" s="41">
        <f>'[2]побудинковий звіт'!BW197+'[1]побудинковий звіт'!BW197</f>
        <v>2741.136418668706</v>
      </c>
      <c r="BX197" s="41">
        <f>'[2]побудинковий звіт'!BX197+'[1]побудинковий звіт'!BX197</f>
        <v>2130.1045897159847</v>
      </c>
      <c r="BY197" s="55">
        <f t="shared" si="152"/>
        <v>-611.0318289527213</v>
      </c>
      <c r="BZ197" s="41">
        <f>'[2]побудинковий звіт'!BZ197+'[1]побудинковий звіт'!BZ197</f>
        <v>622.17436864619708</v>
      </c>
      <c r="CA197" s="41">
        <f>'[2]побудинковий звіт'!CA197+'[1]побудинковий звіт'!CA197</f>
        <v>515.24100685809901</v>
      </c>
      <c r="CB197" s="55">
        <f t="shared" si="153"/>
        <v>-106.93336178809807</v>
      </c>
      <c r="CC197" s="41">
        <f>'[2]побудинковий звіт'!CC197+'[1]побудинковий звіт'!CC197</f>
        <v>0</v>
      </c>
      <c r="CD197" s="41">
        <f>'[2]побудинковий звіт'!CD197+'[1]побудинковий звіт'!CD197</f>
        <v>0</v>
      </c>
      <c r="CE197" s="55">
        <f t="shared" si="154"/>
        <v>0</v>
      </c>
      <c r="CF197" s="41">
        <f>'[2]побудинковий звіт'!CF197+'[1]побудинковий звіт'!CF197</f>
        <v>0</v>
      </c>
      <c r="CG197" s="41">
        <f>'[2]побудинковий звіт'!CG197+'[1]побудинковий звіт'!CG197</f>
        <v>0</v>
      </c>
      <c r="CH197" s="55">
        <f t="shared" si="155"/>
        <v>0</v>
      </c>
      <c r="CI197" s="41">
        <f>'[2]побудинковий звіт'!CI197+'[1]побудинковий звіт'!CI197</f>
        <v>243.87461023797076</v>
      </c>
      <c r="CJ197" s="41">
        <f>'[2]побудинковий звіт'!CJ197+'[1]побудинковий звіт'!CJ197</f>
        <v>37.20501992949459</v>
      </c>
      <c r="CK197" s="55">
        <f t="shared" si="156"/>
        <v>-206.66959030847616</v>
      </c>
      <c r="CL197" s="41">
        <f>'[2]побудинковий звіт'!CL197+'[1]побудинковий звіт'!CL197</f>
        <v>0</v>
      </c>
      <c r="CM197" s="41">
        <f>'[2]побудинковий звіт'!CM197+'[1]побудинковий звіт'!CM197</f>
        <v>0</v>
      </c>
      <c r="CN197" s="55">
        <f t="shared" si="157"/>
        <v>0</v>
      </c>
      <c r="CO197" s="41">
        <f t="shared" si="158"/>
        <v>243.87461023797076</v>
      </c>
      <c r="CP197" s="42">
        <f t="shared" si="159"/>
        <v>37.20501992949459</v>
      </c>
      <c r="CQ197" s="55">
        <f t="shared" si="160"/>
        <v>-206.66959030847616</v>
      </c>
      <c r="CR197" s="76">
        <f t="shared" si="161"/>
        <v>19049.63220787777</v>
      </c>
      <c r="CS197" s="5">
        <f t="shared" si="162"/>
        <v>17326.025318520755</v>
      </c>
      <c r="CT197" s="55">
        <f t="shared" si="163"/>
        <v>-1723.6068893570155</v>
      </c>
      <c r="CU197" s="84">
        <f t="shared" si="164"/>
        <v>22859.558649453324</v>
      </c>
      <c r="CV197" s="68">
        <f t="shared" si="165"/>
        <v>20791.230382224905</v>
      </c>
      <c r="CW197" s="36">
        <f t="shared" si="166"/>
        <v>-2068.3282672284186</v>
      </c>
      <c r="CX197" s="41">
        <f>'[2]побудинковий звіт'!CX197+'[1]побудинковий звіт'!CX197</f>
        <v>505.19889450158695</v>
      </c>
      <c r="CY197" s="41">
        <f>'[2]побудинковий звіт'!CY197+'[1]побудинковий звіт'!CY197</f>
        <v>2573.5271617300018</v>
      </c>
      <c r="CZ197" s="55">
        <f t="shared" si="167"/>
        <v>2068.3282672284149</v>
      </c>
      <c r="DA197" s="254">
        <f>'[1]побудинковий звіт'!DA197</f>
        <v>-6363.3229286242477</v>
      </c>
      <c r="DB197" s="2">
        <v>3</v>
      </c>
      <c r="DC197" s="702">
        <f>'[1]побудинковий звіт'!DC197</f>
        <v>5133.5600000000004</v>
      </c>
      <c r="DD197" s="702">
        <f>'[1]побудинковий звіт'!DD197</f>
        <v>0</v>
      </c>
      <c r="DE197" s="702">
        <f>'[1]побудинковий звіт'!DE197</f>
        <v>2571.4000000000005</v>
      </c>
      <c r="DF197" s="702">
        <f>'[1]побудинковий звіт'!DF197</f>
        <v>0</v>
      </c>
      <c r="DG197" s="772">
        <v>4039.6376938380199</v>
      </c>
      <c r="DH197" s="746">
        <f t="shared" si="168"/>
        <v>280377.09052745893</v>
      </c>
      <c r="DI197" s="769"/>
      <c r="DJ197" s="5"/>
      <c r="DK197" s="307">
        <f>VLOOKUP($A197,ціни!$A$4:$G$401,5)</f>
        <v>4.6599149060805107</v>
      </c>
      <c r="DL197" s="307"/>
      <c r="DM197" s="307">
        <f>VLOOKUP($A197,ціни!$A$4:$G$401,7)</f>
        <v>3.9898510872216142</v>
      </c>
      <c r="DN197" s="29">
        <f t="shared" si="183"/>
        <v>1831.3465580896407</v>
      </c>
      <c r="DO197" s="29">
        <f t="shared" si="184"/>
        <v>0</v>
      </c>
      <c r="DP197" s="306">
        <f t="shared" si="169"/>
        <v>1831.3465580896407</v>
      </c>
      <c r="DQ197" s="101"/>
      <c r="DR197" s="29">
        <f>VLOOKUP(A197,'ДЗ нас '!$A$1:$C$359,2)</f>
        <v>1831.35</v>
      </c>
      <c r="DS197" s="733"/>
      <c r="DT197" s="29">
        <f t="shared" si="170"/>
        <v>1831.35</v>
      </c>
      <c r="DU197" s="247">
        <f>VLOOKUP(A197,'новий кошторис с 01.06'!$A$4:$AI$399,35)*1.2</f>
        <v>1836.7594050593646</v>
      </c>
      <c r="DV197" s="29">
        <f t="shared" si="171"/>
        <v>-5.4094050593646443</v>
      </c>
      <c r="DW197" s="1016">
        <f>'[2]побудинковий звіт'!$DW$9+'[1]побудинковий звіт'!DW197</f>
        <v>918</v>
      </c>
      <c r="DX197" s="101">
        <f>'[1]побудинковий звіт'!DX197</f>
        <v>0</v>
      </c>
      <c r="DY197" s="5">
        <f t="shared" si="172"/>
        <v>6879.7365556434952</v>
      </c>
      <c r="DZ197" s="5">
        <f t="shared" si="173"/>
        <v>6625.1398527359997</v>
      </c>
      <c r="EA197" s="737">
        <f t="shared" si="174"/>
        <v>2571.4000000000005</v>
      </c>
      <c r="EC197" s="577">
        <f t="shared" si="175"/>
        <v>56507.142413749025</v>
      </c>
      <c r="EE197" s="743">
        <v>-6218</v>
      </c>
      <c r="EF197" s="723">
        <f t="shared" si="176"/>
        <v>-2178.3623061619801</v>
      </c>
      <c r="EH197" s="798">
        <v>1208.980111648556</v>
      </c>
      <c r="EI197" s="101">
        <f>VLOOKUP(A197,'кошти 01.01.24'!$A$9:$D$352,4,FALSE)</f>
        <v>-4294.9946613958327</v>
      </c>
    </row>
    <row r="198" spans="1:139" ht="14.4" hidden="1" customHeight="1" x14ac:dyDescent="0.3">
      <c r="A198" s="318">
        <v>150000765</v>
      </c>
      <c r="B198" s="43" t="s">
        <v>631</v>
      </c>
      <c r="C198" s="44" t="s">
        <v>1833</v>
      </c>
      <c r="D198" s="44" t="s">
        <v>264</v>
      </c>
      <c r="E198" s="39">
        <f t="shared" si="125"/>
        <v>4524.34</v>
      </c>
      <c r="F198" s="205">
        <f>'[1]побудинковий звіт'!F198</f>
        <v>4524.34</v>
      </c>
      <c r="G198" s="29">
        <f>'[1]побудинковий звіт'!G198</f>
        <v>0</v>
      </c>
      <c r="H198" s="148">
        <f>'[1]побудинковий звіт'!H198</f>
        <v>0</v>
      </c>
      <c r="I198" s="41">
        <f>'[2]побудинковий звіт'!I198+'[1]побудинковий звіт'!I198</f>
        <v>16795.554582378489</v>
      </c>
      <c r="J198" s="41">
        <f>'[2]побудинковий звіт'!J198+'[1]побудинковий звіт'!J198</f>
        <v>17255.795859033111</v>
      </c>
      <c r="K198" s="55">
        <f t="shared" si="126"/>
        <v>460.2412766546222</v>
      </c>
      <c r="L198" s="41">
        <f>'[2]побудинковий звіт'!L198+'[1]побудинковий звіт'!L198</f>
        <v>3536.4527511655792</v>
      </c>
      <c r="M198" s="41">
        <f>'[2]побудинковий звіт'!M198+'[1]побудинковий звіт'!M198</f>
        <v>3695.4224186466499</v>
      </c>
      <c r="N198" s="55">
        <f t="shared" si="127"/>
        <v>158.9696674810707</v>
      </c>
      <c r="O198" s="41">
        <f>'[2]побудинковий звіт'!O198+'[1]побудинковий звіт'!O198</f>
        <v>6463.8516565739201</v>
      </c>
      <c r="P198" s="41">
        <f>'[2]побудинковий звіт'!P198+'[1]побудинковий звіт'!P198</f>
        <v>6481.5533227093874</v>
      </c>
      <c r="Q198" s="55">
        <f t="shared" si="128"/>
        <v>17.701666135467349</v>
      </c>
      <c r="R198" s="41">
        <f>'[2]побудинковий звіт'!R198+'[1]побудинковий звіт'!R198</f>
        <v>0</v>
      </c>
      <c r="S198" s="41">
        <f>'[2]побудинковий звіт'!S198+'[1]побудинковий звіт'!S198</f>
        <v>0</v>
      </c>
      <c r="T198" s="55">
        <f t="shared" si="129"/>
        <v>0</v>
      </c>
      <c r="U198" s="41">
        <f>'[2]побудинковий звіт'!U198+'[1]побудинковий звіт'!U198</f>
        <v>1281.9727117784114</v>
      </c>
      <c r="V198" s="41">
        <f>'[2]побудинковий звіт'!V198+'[1]побудинковий звіт'!V198</f>
        <v>2899.2977342514369</v>
      </c>
      <c r="W198" s="55">
        <f t="shared" si="130"/>
        <v>1617.3250224730255</v>
      </c>
      <c r="X198" s="41">
        <f>'[2]побудинковий звіт'!X198+'[1]побудинковий звіт'!X198</f>
        <v>12398.067806633208</v>
      </c>
      <c r="Y198" s="41">
        <f>'[2]побудинковий звіт'!Y198+'[1]побудинковий звіт'!Y198</f>
        <v>12416.863303568418</v>
      </c>
      <c r="Z198" s="55">
        <f t="shared" si="131"/>
        <v>18.795496935210394</v>
      </c>
      <c r="AA198" s="41">
        <f>'[2]побудинковий звіт'!AA198+'[1]побудинковий звіт'!AA198</f>
        <v>0</v>
      </c>
      <c r="AB198" s="41">
        <f>'[2]побудинковий звіт'!AB198+'[1]побудинковий звіт'!AB198</f>
        <v>0</v>
      </c>
      <c r="AC198" s="55">
        <f t="shared" si="132"/>
        <v>0</v>
      </c>
      <c r="AD198" s="41">
        <f>'[2]побудинковий звіт'!AD198+'[1]побудинковий звіт'!AD198</f>
        <v>19622.287303856923</v>
      </c>
      <c r="AE198" s="41">
        <f>'[2]побудинковий звіт'!AE198+'[1]побудинковий звіт'!AE198</f>
        <v>19546.01602157663</v>
      </c>
      <c r="AF198" s="36">
        <f t="shared" si="133"/>
        <v>-76.271282280293235</v>
      </c>
      <c r="AG198" s="84">
        <f t="shared" si="134"/>
        <v>60098.186812386528</v>
      </c>
      <c r="AH198" s="56">
        <f t="shared" si="135"/>
        <v>62294.94865978563</v>
      </c>
      <c r="AI198" s="55">
        <f t="shared" si="136"/>
        <v>2196.7618473991024</v>
      </c>
      <c r="AJ198" s="41">
        <f>'[2]побудинковий звіт'!AJ198+'[1]побудинковий звіт'!AJ198</f>
        <v>0</v>
      </c>
      <c r="AK198" s="41">
        <f>'[2]побудинковий звіт'!AK198+'[1]побудинковий звіт'!AK198</f>
        <v>0</v>
      </c>
      <c r="AL198" s="55">
        <f t="shared" si="137"/>
        <v>0</v>
      </c>
      <c r="AM198" s="41">
        <f>'[2]побудинковий звіт'!AM198+'[1]побудинковий звіт'!AM198</f>
        <v>0</v>
      </c>
      <c r="AN198" s="41">
        <f>'[2]побудинковий звіт'!AN198+'[1]побудинковий звіт'!AN198</f>
        <v>0</v>
      </c>
      <c r="AO198" s="55">
        <f t="shared" si="138"/>
        <v>0</v>
      </c>
      <c r="AP198" s="41">
        <f>'[2]побудинковий звіт'!AP198+'[1]побудинковий звіт'!AP198</f>
        <v>18844.335057422169</v>
      </c>
      <c r="AQ198" s="41">
        <f>'[2]побудинковий звіт'!AQ198+'[1]побудинковий звіт'!AQ198</f>
        <v>14050.45007597071</v>
      </c>
      <c r="AR198" s="55">
        <f t="shared" si="139"/>
        <v>-4793.8849814514597</v>
      </c>
      <c r="AS198" s="41">
        <f>'[2]побудинковий звіт'!AS198+'[1]побудинковий звіт'!AS198</f>
        <v>61519.827443405753</v>
      </c>
      <c r="AT198" s="41">
        <f>'[2]побудинковий звіт'!AT198+'[1]побудинковий звіт'!AT198</f>
        <v>13315.043634481892</v>
      </c>
      <c r="AU198" s="57">
        <f t="shared" si="140"/>
        <v>-48204.783808923865</v>
      </c>
      <c r="AV198" s="41">
        <f>'[2]побудинковий звіт'!AV198+'[1]побудинковий звіт'!AV198</f>
        <v>2693.8686352983668</v>
      </c>
      <c r="AW198" s="41">
        <f>'[2]побудинковий звіт'!AW198+'[1]побудинковий звіт'!AW198</f>
        <v>341.33937713576938</v>
      </c>
      <c r="AX198" s="58">
        <f t="shared" si="141"/>
        <v>-2352.5292581625972</v>
      </c>
      <c r="AY198" s="41">
        <f>'[2]побудинковий звіт'!AY198+'[1]побудинковий звіт'!AY198</f>
        <v>4613.131437911632</v>
      </c>
      <c r="AZ198" s="41">
        <f>'[2]побудинковий звіт'!AZ198+'[1]побудинковий звіт'!AZ198</f>
        <v>0</v>
      </c>
      <c r="BA198" s="36">
        <f t="shared" si="142"/>
        <v>-4613.131437911632</v>
      </c>
      <c r="BB198" s="41">
        <f>'[2]побудинковий звіт'!BB198+'[1]побудинковий звіт'!BB198</f>
        <v>3904.704508074205</v>
      </c>
      <c r="BC198" s="41">
        <f>'[2]побудинковий звіт'!BC198+'[1]побудинковий звіт'!BC198</f>
        <v>654.85420560556304</v>
      </c>
      <c r="BD198" s="58">
        <f t="shared" si="143"/>
        <v>-3249.850302468642</v>
      </c>
      <c r="BE198" s="41">
        <f>'[2]побудинковий звіт'!BE198+'[1]побудинковий звіт'!BE198</f>
        <v>0</v>
      </c>
      <c r="BF198" s="41">
        <f>'[2]побудинковий звіт'!BF198+'[1]побудинковий звіт'!BF198</f>
        <v>0</v>
      </c>
      <c r="BG198" s="38">
        <f t="shared" si="144"/>
        <v>0</v>
      </c>
      <c r="BH198" s="41">
        <f>'[2]побудинковий звіт'!BH198+'[1]побудинковий звіт'!BH198</f>
        <v>1239.432440639961</v>
      </c>
      <c r="BI198" s="41">
        <f>'[2]побудинковий звіт'!BI198+'[1]побудинковий звіт'!BI198</f>
        <v>0</v>
      </c>
      <c r="BJ198" s="58">
        <f t="shared" si="145"/>
        <v>-1239.432440639961</v>
      </c>
      <c r="BK198" s="41">
        <f>'[2]побудинковий звіт'!BK198+'[1]побудинковий звіт'!BK198</f>
        <v>2352.2922391059474</v>
      </c>
      <c r="BL198" s="41">
        <f>'[2]побудинковий звіт'!BL198+'[1]побудинковий звіт'!BL198</f>
        <v>0</v>
      </c>
      <c r="BM198" s="38">
        <f t="shared" si="146"/>
        <v>-2352.2922391059474</v>
      </c>
      <c r="BN198" s="41">
        <f>'[2]побудинковий звіт'!BN198+'[1]побудинковий звіт'!BN198</f>
        <v>50.444356772612366</v>
      </c>
      <c r="BO198" s="41">
        <f>'[2]побудинковий звіт'!BO198+'[1]побудинковий звіт'!BO198</f>
        <v>0</v>
      </c>
      <c r="BP198" s="58">
        <f t="shared" si="147"/>
        <v>-50.444356772612366</v>
      </c>
      <c r="BQ198" s="84">
        <f t="shared" si="148"/>
        <v>14853.873617802725</v>
      </c>
      <c r="BR198" s="42">
        <f t="shared" si="149"/>
        <v>996.19358274133242</v>
      </c>
      <c r="BS198" s="58">
        <f t="shared" si="150"/>
        <v>-13857.680035061392</v>
      </c>
      <c r="BT198" s="41">
        <f>'[2]побудинковий звіт'!BT198+'[1]побудинковий звіт'!BT198</f>
        <v>42022.315171747527</v>
      </c>
      <c r="BU198" s="41">
        <f>'[2]побудинковий звіт'!BU198+'[1]побудинковий звіт'!BU198</f>
        <v>64958.810459323344</v>
      </c>
      <c r="BV198" s="55">
        <f t="shared" si="151"/>
        <v>22936.495287575817</v>
      </c>
      <c r="BW198" s="41">
        <f>'[2]побудинковий звіт'!BW198+'[1]побудинковий звіт'!BW198</f>
        <v>26037.648261386679</v>
      </c>
      <c r="BX198" s="41">
        <f>'[2]побудинковий звіт'!BX198+'[1]побудинковий звіт'!BX198</f>
        <v>28808.349217242809</v>
      </c>
      <c r="BY198" s="55">
        <f t="shared" si="152"/>
        <v>2770.7009558561294</v>
      </c>
      <c r="BZ198" s="41">
        <f>'[2]побудинковий звіт'!BZ198+'[1]побудинковий звіт'!BZ198</f>
        <v>17722.764629838781</v>
      </c>
      <c r="CA198" s="41">
        <f>'[2]побудинковий звіт'!CA198+'[1]побудинковий звіт'!CA198</f>
        <v>6687.0709489360788</v>
      </c>
      <c r="CB198" s="55">
        <f t="shared" si="153"/>
        <v>-11035.693680902703</v>
      </c>
      <c r="CC198" s="41">
        <f>'[2]побудинковий звіт'!CC198+'[1]побудинковий звіт'!CC198</f>
        <v>2161.3117355639988</v>
      </c>
      <c r="CD198" s="41">
        <f>'[2]побудинковий звіт'!CD198+'[1]побудинковий звіт'!CD198</f>
        <v>2168.6405025786539</v>
      </c>
      <c r="CE198" s="55">
        <f t="shared" si="154"/>
        <v>7.3287670146551136</v>
      </c>
      <c r="CF198" s="41">
        <f>'[2]побудинковий звіт'!CF198+'[1]побудинковий звіт'!CF198</f>
        <v>267.7750362642505</v>
      </c>
      <c r="CG198" s="41">
        <f>'[2]побудинковий звіт'!CG198+'[1]побудинковий звіт'!CG198</f>
        <v>0</v>
      </c>
      <c r="CH198" s="55">
        <f t="shared" si="155"/>
        <v>-267.7750362642505</v>
      </c>
      <c r="CI198" s="41">
        <f>'[2]побудинковий звіт'!CI198+'[1]побудинковий звіт'!CI198</f>
        <v>7886.6630899641268</v>
      </c>
      <c r="CJ198" s="41">
        <f>'[2]побудинковий звіт'!CJ198+'[1]побудинковий звіт'!CJ198</f>
        <v>7318.2181365464385</v>
      </c>
      <c r="CK198" s="55">
        <f t="shared" si="156"/>
        <v>-568.44495341768834</v>
      </c>
      <c r="CL198" s="41">
        <f>'[2]побудинковий звіт'!CL198+'[1]побудинковий звіт'!CL198</f>
        <v>0</v>
      </c>
      <c r="CM198" s="41">
        <f>'[2]побудинковий звіт'!CM198+'[1]побудинковий звіт'!CM198</f>
        <v>0</v>
      </c>
      <c r="CN198" s="55">
        <f t="shared" si="157"/>
        <v>0</v>
      </c>
      <c r="CO198" s="41">
        <f t="shared" si="158"/>
        <v>7886.6630899641268</v>
      </c>
      <c r="CP198" s="42">
        <f t="shared" si="159"/>
        <v>7318.2181365464385</v>
      </c>
      <c r="CQ198" s="55">
        <f t="shared" si="160"/>
        <v>-568.44495341768834</v>
      </c>
      <c r="CR198" s="76">
        <f t="shared" si="161"/>
        <v>251414.70085578252</v>
      </c>
      <c r="CS198" s="5">
        <f t="shared" si="162"/>
        <v>200597.72521760687</v>
      </c>
      <c r="CT198" s="55">
        <f t="shared" si="163"/>
        <v>-50816.975638175645</v>
      </c>
      <c r="CU198" s="84">
        <f t="shared" si="164"/>
        <v>301697.64102693903</v>
      </c>
      <c r="CV198" s="68">
        <f t="shared" si="165"/>
        <v>240717.27026112823</v>
      </c>
      <c r="CW198" s="36">
        <f t="shared" si="166"/>
        <v>-60980.370765810803</v>
      </c>
      <c r="CX198" s="41">
        <f>'[2]побудинковий звіт'!CX198+'[1]побудинковий звіт'!CX198</f>
        <v>15106.694016118427</v>
      </c>
      <c r="CY198" s="41">
        <f>'[2]побудинковий звіт'!CY198+'[1]побудинковий звіт'!CY198</f>
        <v>76087.064781929133</v>
      </c>
      <c r="CZ198" s="55">
        <f t="shared" si="167"/>
        <v>60980.370765810709</v>
      </c>
      <c r="DA198" s="254">
        <f>'[1]побудинковий звіт'!DA198</f>
        <v>-106749.32119953682</v>
      </c>
      <c r="DB198" s="2">
        <v>2</v>
      </c>
      <c r="DC198" s="702">
        <f>'[1]побудинковий звіт'!DC198</f>
        <v>111742.41</v>
      </c>
      <c r="DD198" s="702">
        <f>'[1]побудинковий звіт'!DD198</f>
        <v>0</v>
      </c>
      <c r="DE198" s="702">
        <f>'[1]побудинковий звіт'!DE198</f>
        <v>77050.149999999994</v>
      </c>
      <c r="DF198" s="702">
        <f>'[1]побудинковий звіт'!DF198</f>
        <v>0</v>
      </c>
      <c r="DG198" s="772">
        <v>-122157.50060439087</v>
      </c>
      <c r="DH198" s="746">
        <f t="shared" si="168"/>
        <v>3801652.0205166894</v>
      </c>
      <c r="DI198" s="769"/>
      <c r="DJ198" s="5"/>
      <c r="DK198" s="307">
        <f>VLOOKUP($A198,ціни!$A$4:$G$401,5)</f>
        <v>5.4903847577795872</v>
      </c>
      <c r="DL198" s="307"/>
      <c r="DM198" s="307">
        <f>VLOOKUP($A198,ціни!$A$4:$G$401,7)</f>
        <v>4.9122524257158977</v>
      </c>
      <c r="DN198" s="29">
        <f t="shared" si="183"/>
        <v>24840.367375012498</v>
      </c>
      <c r="DO198" s="29">
        <f t="shared" si="184"/>
        <v>0</v>
      </c>
      <c r="DP198" s="306">
        <f t="shared" si="169"/>
        <v>24840.367375012498</v>
      </c>
      <c r="DQ198" s="101"/>
      <c r="DR198" s="29">
        <f>VLOOKUP(A198,'ДЗ нас '!$A$1:$C$359,2)</f>
        <v>24840.43</v>
      </c>
      <c r="DS198" s="733"/>
      <c r="DT198" s="29">
        <f t="shared" si="170"/>
        <v>24840.43</v>
      </c>
      <c r="DU198" s="247">
        <f>VLOOKUP(A198,'новий кошторис с 01.06'!$A$4:$AI$399,35)*1.2</f>
        <v>25075.113219928549</v>
      </c>
      <c r="DV198" s="29">
        <f t="shared" si="171"/>
        <v>-234.68321992854908</v>
      </c>
      <c r="DW198" s="1016">
        <f>'[2]побудинковий звіт'!$DW$9+'[1]побудинковий звіт'!DW198</f>
        <v>1359</v>
      </c>
      <c r="DX198" s="101">
        <f>'[1]побудинковий звіт'!DX198</f>
        <v>0</v>
      </c>
      <c r="DY198" s="5">
        <f t="shared" si="172"/>
        <v>91648.441273450168</v>
      </c>
      <c r="DZ198" s="5">
        <f t="shared" si="173"/>
        <v>17173.484660667869</v>
      </c>
      <c r="EA198" s="737">
        <f t="shared" si="174"/>
        <v>77050.149999999994</v>
      </c>
      <c r="EC198" s="577">
        <f t="shared" si="175"/>
        <v>738237.92932086904</v>
      </c>
      <c r="EE198" s="743">
        <v>110102</v>
      </c>
      <c r="EF198" s="723">
        <f t="shared" si="176"/>
        <v>-12055.500604390865</v>
      </c>
      <c r="EH198" s="798">
        <v>11448.591954878299</v>
      </c>
      <c r="EI198" s="101">
        <f>VLOOKUP(A198,'кошти 01.01.24'!$A$9:$D$352,4,FALSE)</f>
        <v>-45768.950433726081</v>
      </c>
    </row>
    <row r="199" spans="1:139" hidden="1" x14ac:dyDescent="0.3">
      <c r="A199" s="318">
        <v>150000696</v>
      </c>
      <c r="B199" s="43" t="s">
        <v>632</v>
      </c>
      <c r="C199" s="44" t="s">
        <v>370</v>
      </c>
      <c r="D199" s="44" t="s">
        <v>370</v>
      </c>
      <c r="E199" s="39">
        <f t="shared" si="125"/>
        <v>6314.18</v>
      </c>
      <c r="F199" s="205">
        <f>'[1]побудинковий звіт'!F199</f>
        <v>6314.18</v>
      </c>
      <c r="G199" s="29">
        <f>'[1]побудинковий звіт'!G199</f>
        <v>706.38</v>
      </c>
      <c r="H199" s="148">
        <f>'[1]побудинковий звіт'!H199</f>
        <v>0</v>
      </c>
      <c r="I199" s="41">
        <f>'[2]побудинковий звіт'!I199+'[1]побудинковий звіт'!I199</f>
        <v>23059.641716208593</v>
      </c>
      <c r="J199" s="41">
        <f>'[2]побудинковий звіт'!J199+'[1]побудинковий звіт'!J199</f>
        <v>24029.100507660387</v>
      </c>
      <c r="K199" s="55">
        <f t="shared" si="126"/>
        <v>969.45879145179424</v>
      </c>
      <c r="L199" s="41">
        <f>'[2]побудинковий звіт'!L199+'[1]побудинковий звіт'!L199</f>
        <v>4393.6430276483698</v>
      </c>
      <c r="M199" s="41">
        <f>'[2]побудинковий звіт'!M199+'[1]побудинковий звіт'!M199</f>
        <v>4792.5400955347541</v>
      </c>
      <c r="N199" s="55">
        <f t="shared" si="127"/>
        <v>398.89706788638432</v>
      </c>
      <c r="O199" s="41">
        <f>'[2]побудинковий звіт'!O199+'[1]побудинковий звіт'!O199</f>
        <v>8618.5292842437466</v>
      </c>
      <c r="P199" s="41">
        <f>'[2]побудинковий звіт'!P199+'[1]побудинковий звіт'!P199</f>
        <v>8643.9866149934187</v>
      </c>
      <c r="Q199" s="55">
        <f t="shared" si="128"/>
        <v>25.45733074967211</v>
      </c>
      <c r="R199" s="41">
        <f>'[2]побудинковий звіт'!R199+'[1]побудинковий звіт'!R199</f>
        <v>2146.3795864896319</v>
      </c>
      <c r="S199" s="41">
        <f>'[2]побудинковий звіт'!S199+'[1]побудинковий звіт'!S199</f>
        <v>2152.4185120943494</v>
      </c>
      <c r="T199" s="55">
        <f t="shared" si="129"/>
        <v>6.0389256047174058</v>
      </c>
      <c r="U199" s="41">
        <f>'[2]побудинковий звіт'!U199+'[1]побудинковий звіт'!U199</f>
        <v>1195.4353047003162</v>
      </c>
      <c r="V199" s="41">
        <f>'[2]побудинковий звіт'!V199+'[1]побудинковий звіт'!V199</f>
        <v>827.18578532979791</v>
      </c>
      <c r="W199" s="55">
        <f t="shared" si="130"/>
        <v>-368.24951937051833</v>
      </c>
      <c r="X199" s="41">
        <f>'[2]побудинковий звіт'!X199+'[1]побудинковий звіт'!X199</f>
        <v>12562.423847549708</v>
      </c>
      <c r="Y199" s="41">
        <f>'[2]побудинковий звіт'!Y199+'[1]побудинковий звіт'!Y199</f>
        <v>14010.375227566046</v>
      </c>
      <c r="Z199" s="55">
        <f t="shared" si="131"/>
        <v>1447.9513800163386</v>
      </c>
      <c r="AA199" s="41">
        <f>'[2]побудинковий звіт'!AA199+'[1]побудинковий звіт'!AA199</f>
        <v>0</v>
      </c>
      <c r="AB199" s="41">
        <f>'[2]побудинковий звіт'!AB199+'[1]побудинковий звіт'!AB199</f>
        <v>0</v>
      </c>
      <c r="AC199" s="55">
        <f t="shared" si="132"/>
        <v>0</v>
      </c>
      <c r="AD199" s="41">
        <f>'[2]побудинковий звіт'!AD199+'[1]побудинковий звіт'!AD199</f>
        <v>27358.462897412239</v>
      </c>
      <c r="AE199" s="41">
        <f>'[2]побудинковий звіт'!AE199+'[1]побудинковий звіт'!AE199</f>
        <v>27253.125755838166</v>
      </c>
      <c r="AF199" s="36">
        <f t="shared" si="133"/>
        <v>-105.33714157407303</v>
      </c>
      <c r="AG199" s="84">
        <f t="shared" si="134"/>
        <v>79334.515664252598</v>
      </c>
      <c r="AH199" s="56">
        <f t="shared" si="135"/>
        <v>81708.732499016915</v>
      </c>
      <c r="AI199" s="55">
        <f t="shared" si="136"/>
        <v>2374.2168347643164</v>
      </c>
      <c r="AJ199" s="41">
        <f>'[2]побудинковий звіт'!AJ199+'[1]побудинковий звіт'!AJ199</f>
        <v>90534.638401532226</v>
      </c>
      <c r="AK199" s="41">
        <f>'[2]побудинковий звіт'!AK199+'[1]побудинковий звіт'!AK199</f>
        <v>86401.940296798479</v>
      </c>
      <c r="AL199" s="55">
        <f t="shared" si="137"/>
        <v>-4132.6981047337467</v>
      </c>
      <c r="AM199" s="41">
        <f>'[2]побудинковий звіт'!AM199+'[1]побудинковий звіт'!AM199</f>
        <v>0</v>
      </c>
      <c r="AN199" s="41">
        <f>'[2]побудинковий звіт'!AN199+'[1]побудинковий звіт'!AN199</f>
        <v>0</v>
      </c>
      <c r="AO199" s="55">
        <f t="shared" si="138"/>
        <v>0</v>
      </c>
      <c r="AP199" s="41">
        <f>'[2]побудинковий звіт'!AP199+'[1]побудинковий звіт'!AP199</f>
        <v>5349.2288916881016</v>
      </c>
      <c r="AQ199" s="41">
        <f>'[2]побудинковий звіт'!AQ199+'[1]побудинковий звіт'!AQ199</f>
        <v>5902.2069146757149</v>
      </c>
      <c r="AR199" s="55">
        <f t="shared" si="139"/>
        <v>552.97802298761326</v>
      </c>
      <c r="AS199" s="41">
        <f>'[2]побудинковий звіт'!AS199+'[1]побудинковий звіт'!AS199</f>
        <v>172708.34986207623</v>
      </c>
      <c r="AT199" s="41">
        <f>'[2]побудинковий звіт'!AT199+'[1]побудинковий звіт'!AT199</f>
        <v>20201.010329696084</v>
      </c>
      <c r="AU199" s="57">
        <f t="shared" si="140"/>
        <v>-152507.33953238014</v>
      </c>
      <c r="AV199" s="41">
        <f>'[2]побудинковий звіт'!AV199+'[1]побудинковий звіт'!AV199</f>
        <v>2258.8366360125128</v>
      </c>
      <c r="AW199" s="41">
        <f>'[2]побудинковий звіт'!AW199+'[1]побудинковий звіт'!AW199</f>
        <v>0</v>
      </c>
      <c r="AX199" s="58">
        <f t="shared" si="141"/>
        <v>-2258.8366360125128</v>
      </c>
      <c r="AY199" s="41">
        <f>'[2]побудинковий звіт'!AY199+'[1]побудинковий звіт'!AY199</f>
        <v>2781.0246508608452</v>
      </c>
      <c r="AZ199" s="41">
        <f>'[2]побудинковий звіт'!AZ199+'[1]побудинковий звіт'!AZ199</f>
        <v>3174.5271559253533</v>
      </c>
      <c r="BA199" s="36">
        <f t="shared" si="142"/>
        <v>393.50250506450811</v>
      </c>
      <c r="BB199" s="41">
        <f>'[2]побудинковий звіт'!BB199+'[1]побудинковий звіт'!BB199</f>
        <v>3379.5702845298911</v>
      </c>
      <c r="BC199" s="41">
        <f>'[2]побудинковий звіт'!BC199+'[1]побудинковий звіт'!BC199</f>
        <v>0</v>
      </c>
      <c r="BD199" s="58">
        <f t="shared" si="143"/>
        <v>-3379.5702845298911</v>
      </c>
      <c r="BE199" s="41">
        <f>'[2]побудинковий звіт'!BE199+'[1]побудинковий звіт'!BE199</f>
        <v>1033.1810749816993</v>
      </c>
      <c r="BF199" s="41">
        <f>'[2]побудинковий звіт'!BF199+'[1]побудинковий звіт'!BF199</f>
        <v>0</v>
      </c>
      <c r="BG199" s="38">
        <f t="shared" si="144"/>
        <v>-1033.1810749816993</v>
      </c>
      <c r="BH199" s="41">
        <f>'[2]побудинковий звіт'!BH199+'[1]побудинковий звіт'!BH199</f>
        <v>623.71337521299586</v>
      </c>
      <c r="BI199" s="41">
        <f>'[2]побудинковий звіт'!BI199+'[1]побудинковий звіт'!BI199</f>
        <v>0</v>
      </c>
      <c r="BJ199" s="58">
        <f t="shared" si="145"/>
        <v>-623.71337521299586</v>
      </c>
      <c r="BK199" s="41">
        <f>'[2]побудинковий звіт'!BK199+'[1]побудинковий звіт'!BK199</f>
        <v>1948.5481934554286</v>
      </c>
      <c r="BL199" s="41">
        <f>'[2]побудинковий звіт'!BL199+'[1]побудинковий звіт'!BL199</f>
        <v>0</v>
      </c>
      <c r="BM199" s="38">
        <f t="shared" si="146"/>
        <v>-1948.5481934554286</v>
      </c>
      <c r="BN199" s="41">
        <f>'[2]побудинковий звіт'!BN199+'[1]побудинковий звіт'!BN199</f>
        <v>100.38677964698979</v>
      </c>
      <c r="BO199" s="41">
        <f>'[2]побудинковий звіт'!BO199+'[1]побудинковий звіт'!BO199</f>
        <v>0</v>
      </c>
      <c r="BP199" s="58">
        <f t="shared" si="147"/>
        <v>-100.38677964698979</v>
      </c>
      <c r="BQ199" s="84">
        <f t="shared" si="148"/>
        <v>12125.260994700362</v>
      </c>
      <c r="BR199" s="42">
        <f t="shared" si="149"/>
        <v>3174.5271559253533</v>
      </c>
      <c r="BS199" s="58">
        <f t="shared" si="150"/>
        <v>-8950.7338387750096</v>
      </c>
      <c r="BT199" s="41">
        <f>'[2]побудинковий звіт'!BT199+'[1]побудинковий звіт'!BT199</f>
        <v>42406.474340994828</v>
      </c>
      <c r="BU199" s="41">
        <f>'[2]побудинковий звіт'!BU199+'[1]побудинковий звіт'!BU199</f>
        <v>64847.556370780068</v>
      </c>
      <c r="BV199" s="55">
        <f t="shared" si="151"/>
        <v>22441.082029785241</v>
      </c>
      <c r="BW199" s="41">
        <f>'[2]побудинковий звіт'!BW199+'[1]побудинковий звіт'!BW199</f>
        <v>52794.518961990449</v>
      </c>
      <c r="BX199" s="41">
        <f>'[2]побудинковий звіт'!BX199+'[1]побудинковий звіт'!BX199</f>
        <v>60196.562474013219</v>
      </c>
      <c r="BY199" s="55">
        <f t="shared" si="152"/>
        <v>7402.0435120227703</v>
      </c>
      <c r="BZ199" s="41">
        <f>'[2]побудинковий звіт'!BZ199+'[1]побудинковий звіт'!BZ199</f>
        <v>8022.4975940848335</v>
      </c>
      <c r="CA199" s="41">
        <f>'[2]побудинковий звіт'!CA199+'[1]побудинковий звіт'!CA199</f>
        <v>6252.9116635038772</v>
      </c>
      <c r="CB199" s="55">
        <f t="shared" si="153"/>
        <v>-1769.5859305809563</v>
      </c>
      <c r="CC199" s="41">
        <f>'[2]побудинковий звіт'!CC199+'[1]побудинковий звіт'!CC199</f>
        <v>1832.1376678982756</v>
      </c>
      <c r="CD199" s="41">
        <f>'[2]побудинковий звіт'!CD199+'[1]побудинковий звіт'!CD199</f>
        <v>1838.3502423667596</v>
      </c>
      <c r="CE199" s="55">
        <f t="shared" si="154"/>
        <v>6.2125744684840356</v>
      </c>
      <c r="CF199" s="41">
        <f>'[2]побудинковий звіт'!CF199+'[1]побудинковий звіт'!CF199</f>
        <v>226.99211890159694</v>
      </c>
      <c r="CG199" s="41">
        <f>'[2]побудинковий звіт'!CG199+'[1]побудинковий звіт'!CG199</f>
        <v>0</v>
      </c>
      <c r="CH199" s="55">
        <f t="shared" si="155"/>
        <v>-226.99211890159694</v>
      </c>
      <c r="CI199" s="41">
        <f>'[2]побудинковий звіт'!CI199+'[1]побудинковий звіт'!CI199</f>
        <v>38670.70662472237</v>
      </c>
      <c r="CJ199" s="41">
        <f>'[2]побудинковий звіт'!CJ199+'[1]побудинковий звіт'!CJ199</f>
        <v>43795.74247386276</v>
      </c>
      <c r="CK199" s="55">
        <f t="shared" si="156"/>
        <v>5125.0358491403895</v>
      </c>
      <c r="CL199" s="41">
        <f>'[2]побудинковий звіт'!CL199+'[1]побудинковий звіт'!CL199</f>
        <v>10071.913021258066</v>
      </c>
      <c r="CM199" s="41">
        <f>'[2]побудинковий звіт'!CM199+'[1]побудинковий звіт'!CM199</f>
        <v>23301.672411290234</v>
      </c>
      <c r="CN199" s="55">
        <f t="shared" si="157"/>
        <v>13229.759390032168</v>
      </c>
      <c r="CO199" s="41">
        <f t="shared" si="158"/>
        <v>48742.619645980434</v>
      </c>
      <c r="CP199" s="42">
        <f t="shared" si="159"/>
        <v>67097.41488515299</v>
      </c>
      <c r="CQ199" s="55">
        <f t="shared" si="160"/>
        <v>18354.795239172556</v>
      </c>
      <c r="CR199" s="76">
        <f t="shared" si="161"/>
        <v>514077.23414409987</v>
      </c>
      <c r="CS199" s="5">
        <f t="shared" si="162"/>
        <v>397621.2128319295</v>
      </c>
      <c r="CT199" s="55">
        <f t="shared" si="163"/>
        <v>-116456.02131217037</v>
      </c>
      <c r="CU199" s="84">
        <f t="shared" si="164"/>
        <v>616892.6809729198</v>
      </c>
      <c r="CV199" s="68">
        <f t="shared" si="165"/>
        <v>477145.45539831539</v>
      </c>
      <c r="CW199" s="36">
        <f t="shared" si="166"/>
        <v>-139747.22557460441</v>
      </c>
      <c r="CX199" s="41">
        <f>'[2]побудинковий звіт'!CX199+'[1]побудинковий звіт'!CX199</f>
        <v>11876.787841490976</v>
      </c>
      <c r="CY199" s="41">
        <f>'[2]побудинковий звіт'!CY199+'[1]побудинковий звіт'!CY199</f>
        <v>151624.01341609549</v>
      </c>
      <c r="CZ199" s="55">
        <f t="shared" si="167"/>
        <v>139747.22557460453</v>
      </c>
      <c r="DA199" s="254">
        <f>'[1]побудинковий звіт'!DA199</f>
        <v>-272333.6961639931</v>
      </c>
      <c r="DB199" s="2">
        <v>3</v>
      </c>
      <c r="DC199" s="702">
        <f>'[1]побудинковий звіт'!DC199</f>
        <v>173413.02</v>
      </c>
      <c r="DD199" s="702">
        <f>'[1]побудинковий звіт'!DD199</f>
        <v>0</v>
      </c>
      <c r="DE199" s="702">
        <f>'[1]побудинковий звіт'!DE199</f>
        <v>104588.54</v>
      </c>
      <c r="DF199" s="702">
        <f>'[1]побудинковий звіт'!DF199</f>
        <v>0</v>
      </c>
      <c r="DG199" s="772">
        <v>-71478.129429980647</v>
      </c>
      <c r="DH199" s="746">
        <f t="shared" si="168"/>
        <v>7545233.6257729288</v>
      </c>
      <c r="DI199" s="769"/>
      <c r="DJ199" s="5"/>
      <c r="DK199" s="307">
        <f>VLOOKUP($A199,ціни!$A$4:$G$401,5)</f>
        <v>6.3038884358153524</v>
      </c>
      <c r="DL199" s="307">
        <f>VLOOKUP($A199,ціни!$A$4:$G$401,6)</f>
        <v>7.9973209930616314</v>
      </c>
      <c r="DM199" s="307">
        <f>VLOOKUP($A199,ціни!$A$4:$G$401,7)</f>
        <v>5.3673448094976353</v>
      </c>
      <c r="DN199" s="29">
        <f>DK199*G199+(F199-G199)*DL199</f>
        <v>49300.317378182262</v>
      </c>
      <c r="DO199" s="29">
        <f>DM199*H199</f>
        <v>0</v>
      </c>
      <c r="DP199" s="306">
        <f t="shared" si="169"/>
        <v>49300.317378182262</v>
      </c>
      <c r="DQ199" s="101"/>
      <c r="DR199" s="29">
        <f>VLOOKUP(A199,'ДЗ нас '!$A$1:$C$359,2)</f>
        <v>49309.95</v>
      </c>
      <c r="DS199" s="733"/>
      <c r="DT199" s="29">
        <f t="shared" si="170"/>
        <v>49309.95</v>
      </c>
      <c r="DU199" s="247">
        <f>VLOOKUP(A199,'новий кошторис с 01.06'!$A$4:$AI$399,35)*1.2</f>
        <v>49335.359010733824</v>
      </c>
      <c r="DV199" s="29">
        <f t="shared" si="171"/>
        <v>-25.409010733827017</v>
      </c>
      <c r="DW199" s="1016">
        <f>'[2]побудинковий звіт'!$DW$9+'[1]побудинковий звіт'!DW199</f>
        <v>1242</v>
      </c>
      <c r="DX199" s="101">
        <f>'[1]побудинковий звіт'!DX199</f>
        <v>0</v>
      </c>
      <c r="DY199" s="5">
        <f t="shared" si="172"/>
        <v>221800.33302813189</v>
      </c>
      <c r="DZ199" s="5">
        <f t="shared" si="173"/>
        <v>28050.644982745722</v>
      </c>
      <c r="EA199" s="737">
        <f t="shared" si="174"/>
        <v>104588.54</v>
      </c>
      <c r="EC199" s="577">
        <f t="shared" si="175"/>
        <v>2072500.1983449147</v>
      </c>
      <c r="EE199" s="743">
        <v>194355</v>
      </c>
      <c r="EF199" s="723">
        <f t="shared" si="176"/>
        <v>122876.87057001935</v>
      </c>
      <c r="EH199" s="798">
        <v>-180057.55906249786</v>
      </c>
      <c r="EI199" s="101">
        <f>VLOOKUP(A199,'кошти 01.01.24'!$A$9:$D$352,4,FALSE)</f>
        <v>-132586.4705893886</v>
      </c>
    </row>
    <row r="200" spans="1:139" hidden="1" x14ac:dyDescent="0.3">
      <c r="A200" s="318">
        <v>150000697</v>
      </c>
      <c r="B200" s="43" t="s">
        <v>633</v>
      </c>
      <c r="C200" s="44" t="s">
        <v>265</v>
      </c>
      <c r="D200" s="44" t="s">
        <v>265</v>
      </c>
      <c r="E200" s="39">
        <f t="shared" si="125"/>
        <v>2743.8</v>
      </c>
      <c r="F200" s="205">
        <f>'[1]побудинковий звіт'!F200</f>
        <v>2743.8</v>
      </c>
      <c r="G200" s="29">
        <f>'[1]побудинковий звіт'!G200</f>
        <v>0</v>
      </c>
      <c r="H200" s="148">
        <f>'[1]побудинковий звіт'!H200</f>
        <v>0</v>
      </c>
      <c r="I200" s="41">
        <f>'[2]побудинковий звіт'!I200+'[1]побудинковий звіт'!I200</f>
        <v>11236.84246791825</v>
      </c>
      <c r="J200" s="41">
        <f>'[2]побудинковий звіт'!J200+'[1]побудинковий звіт'!J200</f>
        <v>11672.165359480094</v>
      </c>
      <c r="K200" s="55">
        <f t="shared" si="126"/>
        <v>435.32289156184379</v>
      </c>
      <c r="L200" s="41">
        <f>'[2]побудинковий звіт'!L200+'[1]побудинковий звіт'!L200</f>
        <v>2900.5205776130692</v>
      </c>
      <c r="M200" s="41">
        <f>'[2]побудинковий звіт'!M200+'[1]побудинковий звіт'!M200</f>
        <v>3140.9254874203421</v>
      </c>
      <c r="N200" s="55">
        <f t="shared" si="127"/>
        <v>240.40490980727282</v>
      </c>
      <c r="O200" s="41">
        <f>'[2]побудинковий звіт'!O200+'[1]побудинковий звіт'!O200</f>
        <v>4284.8326528181478</v>
      </c>
      <c r="P200" s="41">
        <f>'[2]побудинковий звіт'!P200+'[1]побудинковий звіт'!P200</f>
        <v>4297.1438450717351</v>
      </c>
      <c r="Q200" s="55">
        <f t="shared" si="128"/>
        <v>12.311192253587251</v>
      </c>
      <c r="R200" s="41">
        <f>'[2]побудинковий звіт'!R200+'[1]побудинковий звіт'!R200</f>
        <v>1029.7580214994653</v>
      </c>
      <c r="S200" s="41">
        <f>'[2]побудинковий звіт'!S200+'[1]побудинковий звіт'!S200</f>
        <v>1033.074759473121</v>
      </c>
      <c r="T200" s="55">
        <f t="shared" si="129"/>
        <v>3.3167379736557905</v>
      </c>
      <c r="U200" s="41">
        <f>'[2]побудинковий звіт'!U200+'[1]побудинковий звіт'!U200</f>
        <v>597.04038067495605</v>
      </c>
      <c r="V200" s="41">
        <f>'[2]побудинковий звіт'!V200+'[1]побудинковий звіт'!V200</f>
        <v>427.80181830574236</v>
      </c>
      <c r="W200" s="55">
        <f t="shared" si="130"/>
        <v>-169.2385623692137</v>
      </c>
      <c r="X200" s="41">
        <f>'[2]побудинковий звіт'!X200+'[1]побудинковий звіт'!X200</f>
        <v>8185.6598386952146</v>
      </c>
      <c r="Y200" s="41">
        <f>'[2]побудинковий звіт'!Y200+'[1]побудинковий звіт'!Y200</f>
        <v>8453.776523791963</v>
      </c>
      <c r="Z200" s="55">
        <f t="shared" si="131"/>
        <v>268.11668509674837</v>
      </c>
      <c r="AA200" s="41">
        <f>'[2]побудинковий звіт'!AA200+'[1]побудинковий звіт'!AA200</f>
        <v>0</v>
      </c>
      <c r="AB200" s="41">
        <f>'[2]побудинковий звіт'!AB200+'[1]побудинковий звіт'!AB200</f>
        <v>0</v>
      </c>
      <c r="AC200" s="55">
        <f t="shared" si="132"/>
        <v>0</v>
      </c>
      <c r="AD200" s="41">
        <f>'[2]побудинковий звіт'!AD200+'[1]побудинковий звіт'!AD200</f>
        <v>11902.516528016156</v>
      </c>
      <c r="AE200" s="41">
        <f>'[2]побудинковий звіт'!AE200+'[1]побудинковий звіт'!AE200</f>
        <v>11856.156093261216</v>
      </c>
      <c r="AF200" s="36">
        <f t="shared" si="133"/>
        <v>-46.360434754940798</v>
      </c>
      <c r="AG200" s="84">
        <f t="shared" si="134"/>
        <v>40137.170467235264</v>
      </c>
      <c r="AH200" s="56">
        <f t="shared" si="135"/>
        <v>40881.043886804211</v>
      </c>
      <c r="AI200" s="55">
        <f t="shared" si="136"/>
        <v>743.8734195689467</v>
      </c>
      <c r="AJ200" s="41">
        <f>'[2]побудинковий звіт'!AJ200+'[1]побудинковий звіт'!AJ200</f>
        <v>0</v>
      </c>
      <c r="AK200" s="41">
        <f>'[2]побудинковий звіт'!AK200+'[1]побудинковий звіт'!AK200</f>
        <v>0</v>
      </c>
      <c r="AL200" s="55">
        <f t="shared" si="137"/>
        <v>0</v>
      </c>
      <c r="AM200" s="41">
        <f>'[2]побудинковий звіт'!AM200+'[1]побудинковий звіт'!AM200</f>
        <v>0</v>
      </c>
      <c r="AN200" s="41">
        <f>'[2]побудинковий звіт'!AN200+'[1]побудинковий звіт'!AN200</f>
        <v>0</v>
      </c>
      <c r="AO200" s="55">
        <f t="shared" si="138"/>
        <v>0</v>
      </c>
      <c r="AP200" s="41">
        <f>'[2]побудинковий звіт'!AP200+'[1]побудинковий звіт'!AP200</f>
        <v>2971.7938287156121</v>
      </c>
      <c r="AQ200" s="41">
        <f>'[2]побудинковий звіт'!AQ200+'[1]побудинковий звіт'!AQ200</f>
        <v>3420</v>
      </c>
      <c r="AR200" s="55">
        <f t="shared" si="139"/>
        <v>448.20617128438789</v>
      </c>
      <c r="AS200" s="41">
        <f>'[2]побудинковий звіт'!AS200+'[1]побудинковий звіт'!AS200</f>
        <v>53737.831243925939</v>
      </c>
      <c r="AT200" s="41">
        <f>'[2]побудинковий звіт'!AT200+'[1]побудинковий звіт'!AT200</f>
        <v>9020.8469994393417</v>
      </c>
      <c r="AU200" s="57">
        <f t="shared" si="140"/>
        <v>-44716.984244486594</v>
      </c>
      <c r="AV200" s="41">
        <f>'[2]побудинковий звіт'!AV200+'[1]побудинковий звіт'!AV200</f>
        <v>1873.2766308078283</v>
      </c>
      <c r="AW200" s="41">
        <f>'[2]побудинковий звіт'!AW200+'[1]побудинковий звіт'!AW200</f>
        <v>1020.3680806661047</v>
      </c>
      <c r="AX200" s="58">
        <f t="shared" si="141"/>
        <v>-852.90855014172359</v>
      </c>
      <c r="AY200" s="41">
        <f>'[2]побудинковий звіт'!AY200+'[1]побудинковий звіт'!AY200</f>
        <v>3612.1890414441873</v>
      </c>
      <c r="AZ200" s="41">
        <f>'[2]побудинковий звіт'!AZ200+'[1]побудинковий звіт'!AZ200</f>
        <v>1085.3415150196006</v>
      </c>
      <c r="BA200" s="36">
        <f t="shared" si="142"/>
        <v>-2526.8475264245867</v>
      </c>
      <c r="BB200" s="41">
        <f>'[2]побудинковий звіт'!BB200+'[1]побудинковий звіт'!BB200</f>
        <v>1610.9078857737136</v>
      </c>
      <c r="BC200" s="41">
        <f>'[2]побудинковий звіт'!BC200+'[1]побудинковий звіт'!BC200</f>
        <v>7001.9597529599305</v>
      </c>
      <c r="BD200" s="58">
        <f t="shared" si="143"/>
        <v>5391.0518671862174</v>
      </c>
      <c r="BE200" s="41">
        <f>'[2]побудинковий звіт'!BE200+'[1]побудинковий звіт'!BE200</f>
        <v>1202.5276073740415</v>
      </c>
      <c r="BF200" s="41">
        <f>'[2]побудинковий звіт'!BF200+'[1]побудинковий звіт'!BF200</f>
        <v>4010.8090073008257</v>
      </c>
      <c r="BG200" s="38">
        <f t="shared" si="144"/>
        <v>2808.2813999267842</v>
      </c>
      <c r="BH200" s="41">
        <f>'[2]побудинковий звіт'!BH200+'[1]побудинковий звіт'!BH200</f>
        <v>605.73305820566497</v>
      </c>
      <c r="BI200" s="41">
        <f>'[2]побудинковий звіт'!BI200+'[1]побудинковий звіт'!BI200</f>
        <v>0</v>
      </c>
      <c r="BJ200" s="58">
        <f t="shared" si="145"/>
        <v>-605.73305820566497</v>
      </c>
      <c r="BK200" s="41">
        <f>'[2]побудинковий звіт'!BK200+'[1]побудинковий звіт'!BK200</f>
        <v>1360.3125138499581</v>
      </c>
      <c r="BL200" s="41">
        <f>'[2]побудинковий звіт'!BL200+'[1]побудинковий звіт'!BL200</f>
        <v>0</v>
      </c>
      <c r="BM200" s="38">
        <f t="shared" si="146"/>
        <v>-1360.3125138499581</v>
      </c>
      <c r="BN200" s="41">
        <f>'[2]побудинковий звіт'!BN200+'[1]побудинковий звіт'!BN200</f>
        <v>69.015911007305476</v>
      </c>
      <c r="BO200" s="41">
        <f>'[2]побудинковий звіт'!BO200+'[1]побудинковий звіт'!BO200</f>
        <v>1886.5523592784048</v>
      </c>
      <c r="BP200" s="58">
        <f t="shared" si="147"/>
        <v>1817.5364482710993</v>
      </c>
      <c r="BQ200" s="84">
        <f t="shared" si="148"/>
        <v>10333.962648462699</v>
      </c>
      <c r="BR200" s="42">
        <f t="shared" si="149"/>
        <v>15005.030715224866</v>
      </c>
      <c r="BS200" s="58">
        <f t="shared" si="150"/>
        <v>4671.0680667621673</v>
      </c>
      <c r="BT200" s="41">
        <f>'[2]побудинковий звіт'!BT200+'[1]побудинковий звіт'!BT200</f>
        <v>28530.109030205207</v>
      </c>
      <c r="BU200" s="41">
        <f>'[2]побудинковий звіт'!BU200+'[1]побудинковий звіт'!BU200</f>
        <v>44315.625128050066</v>
      </c>
      <c r="BV200" s="55">
        <f t="shared" si="151"/>
        <v>15785.516097844858</v>
      </c>
      <c r="BW200" s="41">
        <f>'[2]побудинковий звіт'!BW200+'[1]побудинковий звіт'!BW200</f>
        <v>18878.496412179666</v>
      </c>
      <c r="BX200" s="41">
        <f>'[2]побудинковий звіт'!BX200+'[1]побудинковий звіт'!BX200</f>
        <v>22041.534367846492</v>
      </c>
      <c r="BY200" s="55">
        <f t="shared" si="152"/>
        <v>3163.0379556668267</v>
      </c>
      <c r="BZ200" s="41">
        <f>'[2]побудинковий звіт'!BZ200+'[1]побудинковий звіт'!BZ200</f>
        <v>5928.0832414400111</v>
      </c>
      <c r="CA200" s="41">
        <f>'[2]побудинковий звіт'!CA200+'[1]побудинковий звіт'!CA200</f>
        <v>4550.624952587902</v>
      </c>
      <c r="CB200" s="55">
        <f t="shared" si="153"/>
        <v>-1377.458288852109</v>
      </c>
      <c r="CC200" s="41">
        <f>'[2]побудинковий звіт'!CC200+'[1]побудинковий звіт'!CC200</f>
        <v>1679.4595289067527</v>
      </c>
      <c r="CD200" s="41">
        <f>'[2]побудинковий звіт'!CD200+'[1]побудинковий звіт'!CD200</f>
        <v>1685.1543888361966</v>
      </c>
      <c r="CE200" s="55">
        <f t="shared" si="154"/>
        <v>5.6948599294439646</v>
      </c>
      <c r="CF200" s="41">
        <f>'[2]побудинковий звіт'!CF200+'[1]побудинковий звіт'!CF200</f>
        <v>208.07610899313056</v>
      </c>
      <c r="CG200" s="41">
        <f>'[2]побудинковий звіт'!CG200+'[1]побудинковий звіт'!CG200</f>
        <v>549.70273558112797</v>
      </c>
      <c r="CH200" s="55">
        <f t="shared" si="155"/>
        <v>341.62662658799741</v>
      </c>
      <c r="CI200" s="41">
        <f>'[2]побудинковий звіт'!CI200+'[1]побудинковий звіт'!CI200</f>
        <v>8213.986840676067</v>
      </c>
      <c r="CJ200" s="41">
        <f>'[2]побудинковий звіт'!CJ200+'[1]побудинковий звіт'!CJ200</f>
        <v>5171.1658750418737</v>
      </c>
      <c r="CK200" s="55">
        <f t="shared" si="156"/>
        <v>-3042.8209656341933</v>
      </c>
      <c r="CL200" s="41">
        <f>'[2]побудинковий звіт'!CL200+'[1]побудинковий звіт'!CL200</f>
        <v>0</v>
      </c>
      <c r="CM200" s="41">
        <f>'[2]побудинковий звіт'!CM200+'[1]побудинковий звіт'!CM200</f>
        <v>0</v>
      </c>
      <c r="CN200" s="55">
        <f t="shared" si="157"/>
        <v>0</v>
      </c>
      <c r="CO200" s="41">
        <f t="shared" si="158"/>
        <v>8213.986840676067</v>
      </c>
      <c r="CP200" s="42">
        <f t="shared" si="159"/>
        <v>5171.1658750418737</v>
      </c>
      <c r="CQ200" s="55">
        <f t="shared" si="160"/>
        <v>-3042.8209656341933</v>
      </c>
      <c r="CR200" s="76">
        <f t="shared" si="161"/>
        <v>170618.96935074037</v>
      </c>
      <c r="CS200" s="5">
        <f t="shared" si="162"/>
        <v>146640.7290494121</v>
      </c>
      <c r="CT200" s="55">
        <f t="shared" si="163"/>
        <v>-23978.240301328275</v>
      </c>
      <c r="CU200" s="84">
        <f t="shared" si="164"/>
        <v>204742.76322088845</v>
      </c>
      <c r="CV200" s="68">
        <f t="shared" si="165"/>
        <v>175968.8748592945</v>
      </c>
      <c r="CW200" s="36">
        <f t="shared" si="166"/>
        <v>-28773.888361593941</v>
      </c>
      <c r="CX200" s="41">
        <f>'[2]побудинковий звіт'!CX200+'[1]побудинковий звіт'!CX200</f>
        <v>10231.084929385364</v>
      </c>
      <c r="CY200" s="41">
        <f>'[2]побудинковий звіт'!CY200+'[1]побудинковий звіт'!CY200</f>
        <v>39004.973290979346</v>
      </c>
      <c r="CZ200" s="55">
        <f t="shared" si="167"/>
        <v>28773.888361593981</v>
      </c>
      <c r="DA200" s="254">
        <f>'[1]побудинковий звіт'!DA200</f>
        <v>43251.925712188357</v>
      </c>
      <c r="DB200" s="2">
        <v>3</v>
      </c>
      <c r="DC200" s="702">
        <f>'[1]побудинковий звіт'!DC200</f>
        <v>52661.35</v>
      </c>
      <c r="DD200" s="702">
        <f>'[1]побудинковий звіт'!DD200</f>
        <v>0</v>
      </c>
      <c r="DE200" s="702">
        <f>'[1]побудинковий звіт'!DE200</f>
        <v>29124.789999999997</v>
      </c>
      <c r="DF200" s="702">
        <f>'[1]побудинковий звіт'!DF200</f>
        <v>0</v>
      </c>
      <c r="DG200" s="772">
        <v>-75145.908175638004</v>
      </c>
      <c r="DH200" s="746">
        <f t="shared" si="168"/>
        <v>2579686.1778032859</v>
      </c>
      <c r="DI200" s="769"/>
      <c r="DJ200" s="5"/>
      <c r="DK200" s="307">
        <f>VLOOKUP($A200,ціни!$A$4:$G$401,5)</f>
        <v>6.1431822225819293</v>
      </c>
      <c r="DL200" s="307"/>
      <c r="DM200" s="307">
        <f>VLOOKUP($A200,ціни!$A$4:$G$401,7)</f>
        <v>5.4474483437758305</v>
      </c>
      <c r="DN200" s="29">
        <f>F200*DK200</f>
        <v>16855.663382320297</v>
      </c>
      <c r="DO200" s="29">
        <f>H200*DM200</f>
        <v>0</v>
      </c>
      <c r="DP200" s="306">
        <f t="shared" si="169"/>
        <v>16855.663382320297</v>
      </c>
      <c r="DQ200" s="101"/>
      <c r="DR200" s="29">
        <f>VLOOKUP(A200,'ДЗ нас '!$A$1:$C$359,2)</f>
        <v>16855.7</v>
      </c>
      <c r="DS200" s="733"/>
      <c r="DT200" s="29">
        <f t="shared" si="170"/>
        <v>16855.7</v>
      </c>
      <c r="DU200" s="247">
        <f>VLOOKUP(A200,'новий кошторис с 01.06'!$A$4:$AI$399,35)*1.2</f>
        <v>17019.29435413094</v>
      </c>
      <c r="DV200" s="29">
        <f t="shared" si="171"/>
        <v>-163.59435413093888</v>
      </c>
      <c r="DW200" s="1016">
        <f>'[2]побудинковий звіт'!$DW$9+'[1]побудинковий звіт'!DW200</f>
        <v>909</v>
      </c>
      <c r="DX200" s="101">
        <f>'[1]побудинковий звіт'!DX200</f>
        <v>0</v>
      </c>
      <c r="DY200" s="5">
        <f t="shared" si="172"/>
        <v>76886.152670866359</v>
      </c>
      <c r="DZ200" s="5">
        <f t="shared" si="173"/>
        <v>28831.05325759705</v>
      </c>
      <c r="EA200" s="737">
        <f t="shared" si="174"/>
        <v>29124.789999999997</v>
      </c>
      <c r="EC200" s="577">
        <f t="shared" si="175"/>
        <v>644853.9749271113</v>
      </c>
      <c r="EE200" s="743">
        <v>-60070</v>
      </c>
      <c r="EF200" s="723">
        <f t="shared" si="176"/>
        <v>-135215.908175638</v>
      </c>
      <c r="EH200" s="798">
        <v>-70000.550592457235</v>
      </c>
      <c r="EI200" s="101">
        <f>VLOOKUP(A200,'кошти 01.01.24'!$A$9:$D$352,4,FALSE)</f>
        <v>72025.814073782225</v>
      </c>
    </row>
    <row r="201" spans="1:139" ht="14.4" hidden="1" customHeight="1" x14ac:dyDescent="0.3">
      <c r="A201" s="318">
        <v>150000694</v>
      </c>
      <c r="B201" s="43" t="s">
        <v>634</v>
      </c>
      <c r="C201" s="44" t="s">
        <v>371</v>
      </c>
      <c r="D201" s="44" t="s">
        <v>371</v>
      </c>
      <c r="E201" s="39">
        <f t="shared" ref="E201:E264" si="185">F201+H201</f>
        <v>6142.18</v>
      </c>
      <c r="F201" s="205">
        <f>'[1]побудинковий звіт'!F201</f>
        <v>6142.18</v>
      </c>
      <c r="G201" s="29">
        <f>'[1]побудинковий звіт'!G201</f>
        <v>688.06</v>
      </c>
      <c r="H201" s="148">
        <f>'[1]побудинковий звіт'!H201</f>
        <v>0</v>
      </c>
      <c r="I201" s="41">
        <f>'[2]побудинковий звіт'!I201+'[1]побудинковий звіт'!I201</f>
        <v>23044.897211294789</v>
      </c>
      <c r="J201" s="41">
        <f>'[2]побудинковий звіт'!J201+'[1]побудинковий звіт'!J201</f>
        <v>23998.92978406851</v>
      </c>
      <c r="K201" s="55">
        <f t="shared" ref="K201:K264" si="186">J201-I201</f>
        <v>954.03257277372177</v>
      </c>
      <c r="L201" s="41">
        <f>'[2]побудинковий звіт'!L201+'[1]побудинковий звіт'!L201</f>
        <v>4268.2850210216784</v>
      </c>
      <c r="M201" s="41">
        <f>'[2]побудинковий звіт'!M201+'[1]побудинковий звіт'!M201</f>
        <v>4652.5426459786358</v>
      </c>
      <c r="N201" s="55">
        <f t="shared" ref="N201:N264" si="187">M201-L201</f>
        <v>384.25762495695744</v>
      </c>
      <c r="O201" s="41">
        <f>'[2]побудинковий звіт'!O201+'[1]побудинковий звіт'!O201</f>
        <v>8403.4355912378505</v>
      </c>
      <c r="P201" s="41">
        <f>'[2]побудинковий звіт'!P201+'[1]побудинковий звіт'!P201</f>
        <v>8426.2816749872109</v>
      </c>
      <c r="Q201" s="55">
        <f t="shared" ref="Q201:Q264" si="188">P201-O201</f>
        <v>22.846083749360332</v>
      </c>
      <c r="R201" s="41">
        <f>'[2]побудинковий звіт'!R201+'[1]побудинковий звіт'!R201</f>
        <v>2055.5494952540203</v>
      </c>
      <c r="S201" s="41">
        <f>'[2]побудинковий звіт'!S201+'[1]побудинковий звіт'!S201</f>
        <v>2062.9236792147576</v>
      </c>
      <c r="T201" s="55">
        <f t="shared" ref="T201:T264" si="189">S201-R201</f>
        <v>7.3741839607373549</v>
      </c>
      <c r="U201" s="41">
        <f>'[2]побудинковий звіт'!U201+'[1]побудинковий звіт'!U201</f>
        <v>1227.9658574678986</v>
      </c>
      <c r="V201" s="41">
        <f>'[2]побудинковий звіт'!V201+'[1]побудинковий звіт'!V201</f>
        <v>846.16042044260939</v>
      </c>
      <c r="W201" s="55">
        <f t="shared" ref="W201:W264" si="190">V201-U201</f>
        <v>-381.80543702528917</v>
      </c>
      <c r="X201" s="41">
        <f>'[2]побудинковий звіт'!X201+'[1]побудинковий звіт'!X201</f>
        <v>12007.23650425338</v>
      </c>
      <c r="Y201" s="41">
        <f>'[2]побудинковий звіт'!Y201+'[1]побудинковий звіт'!Y201</f>
        <v>12351.602745284534</v>
      </c>
      <c r="Z201" s="55">
        <f t="shared" ref="Z201:Z264" si="191">Y201-X201</f>
        <v>344.36624103115355</v>
      </c>
      <c r="AA201" s="41">
        <f>'[2]побудинковий звіт'!AA201+'[1]побудинковий звіт'!AA201</f>
        <v>0</v>
      </c>
      <c r="AB201" s="41">
        <f>'[2]побудинковий звіт'!AB201+'[1]побудинковий звіт'!AB201</f>
        <v>0</v>
      </c>
      <c r="AC201" s="55">
        <f t="shared" ref="AC201:AC264" si="192">AB201-AA201</f>
        <v>0</v>
      </c>
      <c r="AD201" s="41">
        <f>'[2]побудинковий звіт'!AD201+'[1]побудинковий звіт'!AD201</f>
        <v>26626.876492948344</v>
      </c>
      <c r="AE201" s="41">
        <f>'[2]побудинковий звіт'!AE201+'[1]побудинковий звіт'!AE201</f>
        <v>26523.836680876848</v>
      </c>
      <c r="AF201" s="36">
        <f t="shared" ref="AF201:AF264" si="193">AE201-AD201</f>
        <v>-103.03981207149627</v>
      </c>
      <c r="AG201" s="84">
        <f t="shared" ref="AG201:AG264" si="194">I201+L201+O201+R201+U201+X201+AA201+AD201</f>
        <v>77634.246173477964</v>
      </c>
      <c r="AH201" s="56">
        <f t="shared" ref="AH201:AH264" si="195">J201+M201+P201+S201+V201+Y201+AB201+AE201</f>
        <v>78862.277630853103</v>
      </c>
      <c r="AI201" s="55">
        <f t="shared" ref="AI201:AI264" si="196">AH201-AG201</f>
        <v>1228.0314573751384</v>
      </c>
      <c r="AJ201" s="41">
        <f>'[2]побудинковий звіт'!AJ201+'[1]побудинковий звіт'!AJ201</f>
        <v>90534.638401532226</v>
      </c>
      <c r="AK201" s="41">
        <f>'[2]побудинковий звіт'!AK201+'[1]побудинковий звіт'!AK201</f>
        <v>86401.940296798479</v>
      </c>
      <c r="AL201" s="55">
        <f t="shared" ref="AL201:AL264" si="197">AK201-AJ201</f>
        <v>-4132.6981047337467</v>
      </c>
      <c r="AM201" s="41">
        <f>'[2]побудинковий звіт'!AM201+'[1]побудинковий звіт'!AM201</f>
        <v>0</v>
      </c>
      <c r="AN201" s="41">
        <f>'[2]побудинковий звіт'!AN201+'[1]побудинковий звіт'!AN201</f>
        <v>0</v>
      </c>
      <c r="AO201" s="55">
        <f t="shared" ref="AO201:AO264" si="198">AN201-AM201</f>
        <v>0</v>
      </c>
      <c r="AP201" s="41">
        <f>'[2]побудинковий звіт'!AP201+'[1]побудинковий звіт'!AP201</f>
        <v>5349.2288916881016</v>
      </c>
      <c r="AQ201" s="41">
        <f>'[2]побудинковий звіт'!AQ201+'[1]побудинковий звіт'!AQ201</f>
        <v>5578.8793216723216</v>
      </c>
      <c r="AR201" s="55">
        <f t="shared" ref="AR201:AR264" si="199">AQ201-AP201</f>
        <v>229.65042998421995</v>
      </c>
      <c r="AS201" s="41">
        <f>'[2]побудинковий звіт'!AS201+'[1]побудинковий звіт'!AS201</f>
        <v>170383.39847404268</v>
      </c>
      <c r="AT201" s="41">
        <f>'[2]побудинковий звіт'!AT201+'[1]побудинковий звіт'!AT201</f>
        <v>106773.65653478843</v>
      </c>
      <c r="AU201" s="57">
        <f t="shared" ref="AU201:AU264" si="200">AT201-AS201</f>
        <v>-63609.741939254251</v>
      </c>
      <c r="AV201" s="41">
        <f>'[2]побудинковий звіт'!AV201+'[1]побудинковий звіт'!AV201</f>
        <v>2256.8781660659711</v>
      </c>
      <c r="AW201" s="41">
        <f>'[2]побудинковий звіт'!AW201+'[1]побудинковий звіт'!AW201</f>
        <v>2191.1815567737581</v>
      </c>
      <c r="AX201" s="58">
        <f t="shared" ref="AX201:AX264" si="201">AW201-AV201</f>
        <v>-65.696609292212997</v>
      </c>
      <c r="AY201" s="41">
        <f>'[2]побудинковий звіт'!AY201+'[1]побудинковий звіт'!AY201</f>
        <v>2779.8478101789551</v>
      </c>
      <c r="AZ201" s="41">
        <f>'[2]побудинковий звіт'!AZ201+'[1]побудинковий звіт'!AZ201</f>
        <v>2744.8709337813661</v>
      </c>
      <c r="BA201" s="36">
        <f t="shared" ref="BA201:BA264" si="202">AZ201-AY201</f>
        <v>-34.976876397588967</v>
      </c>
      <c r="BB201" s="41">
        <f>'[2]побудинковий звіт'!BB201+'[1]побудинковий звіт'!BB201</f>
        <v>3295.69947847609</v>
      </c>
      <c r="BC201" s="41">
        <f>'[2]побудинковий звіт'!BC201+'[1]побудинковий звіт'!BC201</f>
        <v>0</v>
      </c>
      <c r="BD201" s="58">
        <f t="shared" ref="BD201:BD264" si="203">BC201-BB201</f>
        <v>-3295.69947847609</v>
      </c>
      <c r="BE201" s="41">
        <f>'[2]побудинковий звіт'!BE201+'[1]побудинковий звіт'!BE201</f>
        <v>993.09124427301469</v>
      </c>
      <c r="BF201" s="41">
        <f>'[2]побудинковий звіт'!BF201+'[1]побудинковий звіт'!BF201</f>
        <v>0</v>
      </c>
      <c r="BG201" s="38">
        <f t="shared" ref="BG201:BG264" si="204">BF201-BE201</f>
        <v>-993.09124427301469</v>
      </c>
      <c r="BH201" s="41">
        <f>'[2]побудинковий звіт'!BH201+'[1]побудинковий звіт'!BH201</f>
        <v>623.71337521299586</v>
      </c>
      <c r="BI201" s="41">
        <f>'[2]побудинковий звіт'!BI201+'[1]побудинковий звіт'!BI201</f>
        <v>0</v>
      </c>
      <c r="BJ201" s="58">
        <f t="shared" ref="BJ201:BJ264" si="205">BI201-BH201</f>
        <v>-623.71337521299586</v>
      </c>
      <c r="BK201" s="41">
        <f>'[2]побудинковий звіт'!BK201+'[1]побудинковий звіт'!BK201</f>
        <v>1910.2922219718912</v>
      </c>
      <c r="BL201" s="41">
        <f>'[2]побудинковий звіт'!BL201+'[1]побудинковий звіт'!BL201</f>
        <v>0</v>
      </c>
      <c r="BM201" s="38">
        <f t="shared" ref="BM201:BM264" si="206">BL201-BK201</f>
        <v>-1910.2922219718912</v>
      </c>
      <c r="BN201" s="41">
        <f>'[2]побудинковий звіт'!BN201+'[1]побудинковий звіт'!BN201</f>
        <v>100.38677964698979</v>
      </c>
      <c r="BO201" s="41">
        <f>'[2]побудинковий звіт'!BO201+'[1]побудинковий звіт'!BO201</f>
        <v>5100.3739899085631</v>
      </c>
      <c r="BP201" s="58">
        <f t="shared" ref="BP201:BP264" si="207">BO201-BN201</f>
        <v>4999.9872102615736</v>
      </c>
      <c r="BQ201" s="84">
        <f t="shared" ref="BQ201:BQ264" si="208">AV201+AY201+BB201+BE201+BH201+BK201+BN201</f>
        <v>11959.909075825908</v>
      </c>
      <c r="BR201" s="42">
        <f t="shared" ref="BR201:BR264" si="209">AW201+AZ201+BC201+BF201+BI201+BL201+BO201</f>
        <v>10036.426480463688</v>
      </c>
      <c r="BS201" s="58">
        <f t="shared" ref="BS201:BS264" si="210">BR201-BQ201</f>
        <v>-1923.4825953622203</v>
      </c>
      <c r="BT201" s="41">
        <f>'[2]побудинковий звіт'!BT201+'[1]побудинковий звіт'!BT201</f>
        <v>23473.047504033704</v>
      </c>
      <c r="BU201" s="41">
        <f>'[2]побудинковий звіт'!BU201+'[1]побудинковий звіт'!BU201</f>
        <v>41620.731449559491</v>
      </c>
      <c r="BV201" s="55">
        <f t="shared" ref="BV201:BV264" si="211">BU201-BT201</f>
        <v>18147.683945525787</v>
      </c>
      <c r="BW201" s="41">
        <f>'[2]побудинковий звіт'!BW201+'[1]побудинковий звіт'!BW201</f>
        <v>52438.017212988234</v>
      </c>
      <c r="BX201" s="41">
        <f>'[2]побудинковий звіт'!BX201+'[1]побудинковий звіт'!BX201</f>
        <v>62300.090024169869</v>
      </c>
      <c r="BY201" s="55">
        <f t="shared" ref="BY201:BY264" si="212">BX201-BW201</f>
        <v>9862.0728111816352</v>
      </c>
      <c r="BZ201" s="41">
        <f>'[2]побудинковий звіт'!BZ201+'[1]побудинковий звіт'!BZ201</f>
        <v>11003.753167135796</v>
      </c>
      <c r="CA201" s="41">
        <f>'[2]побудинковий звіт'!CA201+'[1]побудинковий звіт'!CA201</f>
        <v>4224.3291551700995</v>
      </c>
      <c r="CB201" s="55">
        <f t="shared" ref="CB201:CB264" si="213">CA201-BZ201</f>
        <v>-6779.4240119656961</v>
      </c>
      <c r="CC201" s="41">
        <f>'[2]побудинковий звіт'!CC201+'[1]побудинковий звіт'!CC201</f>
        <v>1832.1376678982756</v>
      </c>
      <c r="CD201" s="41">
        <f>'[2]побудинковий звіт'!CD201+'[1]побудинковий звіт'!CD201</f>
        <v>1838.3502423667596</v>
      </c>
      <c r="CE201" s="55">
        <f t="shared" ref="CE201:CE264" si="214">CD201-CC201</f>
        <v>6.2125744684840356</v>
      </c>
      <c r="CF201" s="41">
        <f>'[2]побудинковий звіт'!CF201+'[1]побудинковий звіт'!CF201</f>
        <v>226.99211890159694</v>
      </c>
      <c r="CG201" s="41">
        <f>'[2]побудинковий звіт'!CG201+'[1]побудинковий звіт'!CG201</f>
        <v>574.03089783038661</v>
      </c>
      <c r="CH201" s="55">
        <f t="shared" ref="CH201:CH264" si="215">CG201-CF201</f>
        <v>347.03877892878967</v>
      </c>
      <c r="CI201" s="41">
        <f>'[2]побудинковий звіт'!CI201+'[1]побудинковий звіт'!CI201</f>
        <v>13110.192627968489</v>
      </c>
      <c r="CJ201" s="41">
        <f>'[2]побудинковий звіт'!CJ201+'[1]побудинковий звіт'!CJ201</f>
        <v>18128.068888316579</v>
      </c>
      <c r="CK201" s="55">
        <f t="shared" ref="CK201:CK264" si="216">CJ201-CI201</f>
        <v>5017.87626034809</v>
      </c>
      <c r="CL201" s="41">
        <f>'[2]побудинковий звіт'!CL201+'[1]побудинковий звіт'!CL201</f>
        <v>15446.683895698839</v>
      </c>
      <c r="CM201" s="41">
        <f>'[2]побудинковий звіт'!CM201+'[1]побудинковий звіт'!CM201</f>
        <v>27194.124794039071</v>
      </c>
      <c r="CN201" s="55">
        <f t="shared" ref="CN201:CN264" si="217">CM201-CL201</f>
        <v>11747.440898340232</v>
      </c>
      <c r="CO201" s="41">
        <f t="shared" ref="CO201:CO264" si="218">CI201+CL201</f>
        <v>28556.876523667328</v>
      </c>
      <c r="CP201" s="42">
        <f t="shared" ref="CP201:CP264" si="219">CJ201+CM201</f>
        <v>45322.193682355646</v>
      </c>
      <c r="CQ201" s="55">
        <f t="shared" ref="CQ201:CQ264" si="220">CP201-CO201</f>
        <v>16765.317158688318</v>
      </c>
      <c r="CR201" s="76">
        <f t="shared" ref="CR201:CR264" si="221">AG201+AJ201+AM201+AP201+AS201+BQ201+BT201+BW201+BZ201+CC201+CF201+CO201</f>
        <v>473392.24521119177</v>
      </c>
      <c r="CS201" s="5">
        <f t="shared" ref="CS201:CS264" si="222">AH201+AK201+AN201+AQ201+AT201+BR201+BU201+BX201+CA201+CD201+CG201+CP201</f>
        <v>443532.90571602836</v>
      </c>
      <c r="CT201" s="55">
        <f t="shared" ref="CT201:CT264" si="223">CS201-CR201</f>
        <v>-29859.339495163411</v>
      </c>
      <c r="CU201" s="84">
        <f t="shared" ref="CU201:CU264" si="224">CR201*1.2</f>
        <v>568070.69425343012</v>
      </c>
      <c r="CV201" s="68">
        <f t="shared" ref="CV201:CV264" si="225">CS201*1.2</f>
        <v>532239.48685923405</v>
      </c>
      <c r="CW201" s="36">
        <f t="shared" ref="CW201:CW264" si="226">CV201-CU201</f>
        <v>-35831.20739419607</v>
      </c>
      <c r="CX201" s="41">
        <f>'[2]побудинковий звіт'!CX201+'[1]побудинковий звіт'!CX201</f>
        <v>10732.767519930378</v>
      </c>
      <c r="CY201" s="41">
        <f>'[2]побудинковий звіт'!CY201+'[1]побудинковий звіт'!CY201</f>
        <v>46563.974914126542</v>
      </c>
      <c r="CZ201" s="55">
        <f t="shared" ref="CZ201:CZ264" si="227">CY201-CX201</f>
        <v>35831.207394196164</v>
      </c>
      <c r="DA201" s="254">
        <f>'[1]побудинковий звіт'!DA201</f>
        <v>-88644.938623657101</v>
      </c>
      <c r="DB201" s="2">
        <v>3</v>
      </c>
      <c r="DC201" s="702">
        <f>'[1]побудинковий звіт'!DC201</f>
        <v>177689.13</v>
      </c>
      <c r="DD201" s="702">
        <f>'[1]побудинковий звіт'!DD201</f>
        <v>0</v>
      </c>
      <c r="DE201" s="702">
        <f>'[1]побудинковий звіт'!DE201</f>
        <v>114419.39000000001</v>
      </c>
      <c r="DF201" s="702">
        <f>'[1]побудинковий звіт'!DF201</f>
        <v>0</v>
      </c>
      <c r="DG201" s="772">
        <v>142577.83819795004</v>
      </c>
      <c r="DH201" s="746">
        <f t="shared" ref="DH201:DH212" si="228">(CU201+CX201)*12</f>
        <v>6945641.5412803255</v>
      </c>
      <c r="DI201" s="769"/>
      <c r="DJ201" s="5"/>
      <c r="DK201" s="307">
        <f>VLOOKUP($A201,ціни!$A$4:$G$401,5)</f>
        <v>5.7650516342765643</v>
      </c>
      <c r="DL201" s="307">
        <f>VLOOKUP($A201,ціни!$A$4:$G$401,6)</f>
        <v>7.5958284493054347</v>
      </c>
      <c r="DM201" s="307">
        <f>VLOOKUP($A201,ціни!$A$4:$G$401,7)</f>
        <v>4.8092176637448931</v>
      </c>
      <c r="DN201" s="29">
        <f>DK201*G201+(F201-G201)*DL201</f>
        <v>45395.261289406095</v>
      </c>
      <c r="DO201" s="29">
        <f>DM201*H201</f>
        <v>0</v>
      </c>
      <c r="DP201" s="306">
        <f t="shared" ref="DP201:DP212" si="229">DN201+DO201</f>
        <v>45395.261289406095</v>
      </c>
      <c r="DQ201" s="101"/>
      <c r="DR201" s="29">
        <f>VLOOKUP(A201,'ДЗ нас '!$A$1:$C$359,2)</f>
        <v>45404.85</v>
      </c>
      <c r="DS201" s="733"/>
      <c r="DT201" s="29">
        <f t="shared" ref="DT201:DT212" si="230">DR201+DS201</f>
        <v>45404.85</v>
      </c>
      <c r="DU201" s="247">
        <f>VLOOKUP(A201,'новий кошторис с 01.06'!$A$4:$AI$399,35)*1.2</f>
        <v>45456.231591083488</v>
      </c>
      <c r="DV201" s="29">
        <f t="shared" ref="DV201:DV212" si="231">DT201-DU201</f>
        <v>-51.381591083489184</v>
      </c>
      <c r="DW201" s="1016">
        <f>'[2]побудинковий звіт'!$DW$9+'[1]побудинковий звіт'!DW201</f>
        <v>1242</v>
      </c>
      <c r="DX201" s="101">
        <f>'[1]побудинковий звіт'!DX201</f>
        <v>0</v>
      </c>
      <c r="DY201" s="5">
        <f t="shared" ref="DY201:DY212" si="232">(AS201+BQ201)*1.2</f>
        <v>218811.96905984232</v>
      </c>
      <c r="DZ201" s="5">
        <f t="shared" ref="DZ201:DZ212" si="233">(AT201+BR201)*1.2</f>
        <v>140172.09961830254</v>
      </c>
      <c r="EA201" s="737">
        <f t="shared" ref="EA201:EA212" si="234">DE201+DF201</f>
        <v>114419.39000000001</v>
      </c>
      <c r="EC201" s="577">
        <f t="shared" ref="EC201:EC212" si="235">AS201*12</f>
        <v>2044600.7816885123</v>
      </c>
      <c r="EE201" s="743">
        <v>19769</v>
      </c>
      <c r="EF201" s="723">
        <f t="shared" ref="EF201:EF212" si="236">EE201+DG201</f>
        <v>162346.83819795004</v>
      </c>
      <c r="EH201" s="798">
        <v>87293.397453909216</v>
      </c>
      <c r="EI201" s="101">
        <f>VLOOKUP(A201,'кошти 01.01.24'!$A$9:$D$352,4,FALSE)</f>
        <v>-52813.731229460871</v>
      </c>
    </row>
    <row r="202" spans="1:139" hidden="1" x14ac:dyDescent="0.3">
      <c r="A202" s="318">
        <v>150000695</v>
      </c>
      <c r="B202" s="43" t="s">
        <v>635</v>
      </c>
      <c r="C202" s="44" t="s">
        <v>372</v>
      </c>
      <c r="D202" s="44" t="s">
        <v>372</v>
      </c>
      <c r="E202" s="39">
        <f t="shared" si="185"/>
        <v>6313.36</v>
      </c>
      <c r="F202" s="205">
        <f>'[1]побудинковий звіт'!F202</f>
        <v>6313.36</v>
      </c>
      <c r="G202" s="29">
        <f>'[1]побудинковий звіт'!G202</f>
        <v>695.2</v>
      </c>
      <c r="H202" s="148">
        <f>'[1]побудинковий звіт'!H202</f>
        <v>0</v>
      </c>
      <c r="I202" s="41">
        <f>'[2]побудинковий звіт'!I202+'[1]побудинковий звіт'!I202</f>
        <v>23075.669714184332</v>
      </c>
      <c r="J202" s="41">
        <f>'[2]побудинковий звіт'!J202+'[1]побудинковий звіт'!J202</f>
        <v>24040.618979088169</v>
      </c>
      <c r="K202" s="55">
        <f t="shared" si="186"/>
        <v>964.94926490383659</v>
      </c>
      <c r="L202" s="41">
        <f>'[2]побудинковий звіт'!L202+'[1]побудинковий звіт'!L202</f>
        <v>3973.3480850305446</v>
      </c>
      <c r="M202" s="41">
        <f>'[2]побудинковий звіт'!M202+'[1]побудинковий звіт'!M202</f>
        <v>4325.5586289158</v>
      </c>
      <c r="N202" s="55">
        <f t="shared" si="187"/>
        <v>352.21054388525545</v>
      </c>
      <c r="O202" s="41">
        <f>'[2]побудинковий звіт'!O202+'[1]побудинковий звіт'!O202</f>
        <v>8614.5116722784205</v>
      </c>
      <c r="P202" s="41">
        <f>'[2]побудинковий звіт'!P202+'[1]побудинковий звіт'!P202</f>
        <v>8640.1575497667582</v>
      </c>
      <c r="Q202" s="55">
        <f t="shared" si="188"/>
        <v>25.645877488337646</v>
      </c>
      <c r="R202" s="41">
        <f>'[2]побудинковий звіт'!R202+'[1]побудинковий звіт'!R202</f>
        <v>2139.3221342840529</v>
      </c>
      <c r="S202" s="41">
        <f>'[2]побудинковий звіт'!S202+'[1]побудинковий звіт'!S202</f>
        <v>2145.0896150358449</v>
      </c>
      <c r="T202" s="55">
        <f t="shared" si="189"/>
        <v>5.7674807517919362</v>
      </c>
      <c r="U202" s="41">
        <f>'[2]побудинковий звіт'!U202+'[1]побудинковий звіт'!U202</f>
        <v>1195.4353047003162</v>
      </c>
      <c r="V202" s="41">
        <f>'[2]побудинковий звіт'!V202+'[1]побудинковий звіт'!V202</f>
        <v>827.18578532979791</v>
      </c>
      <c r="W202" s="55">
        <f t="shared" si="190"/>
        <v>-368.24951937051833</v>
      </c>
      <c r="X202" s="41">
        <f>'[2]побудинковий звіт'!X202+'[1]побудинковий звіт'!X202</f>
        <v>12583.4682294831</v>
      </c>
      <c r="Y202" s="41">
        <f>'[2]побудинковий звіт'!Y202+'[1]побудинковий звіт'!Y202</f>
        <v>12919.753279122591</v>
      </c>
      <c r="Z202" s="55">
        <f t="shared" si="191"/>
        <v>336.28504963949126</v>
      </c>
      <c r="AA202" s="41">
        <f>'[2]побудинковий звіт'!AA202+'[1]побудинковий звіт'!AA202</f>
        <v>0</v>
      </c>
      <c r="AB202" s="41">
        <f>'[2]побудинковий звіт'!AB202+'[1]побудинковий звіт'!AB202</f>
        <v>0</v>
      </c>
      <c r="AC202" s="55">
        <f t="shared" si="192"/>
        <v>0</v>
      </c>
      <c r="AD202" s="41">
        <f>'[2]побудинковий звіт'!AD202+'[1]побудинковий звіт'!AD202</f>
        <v>27349.759981868254</v>
      </c>
      <c r="AE202" s="41">
        <f>'[2]побудинковий звіт'!AE202+'[1]побудинковий звіт'!AE202</f>
        <v>27244.652112516203</v>
      </c>
      <c r="AF202" s="36">
        <f t="shared" si="193"/>
        <v>-105.10786935205033</v>
      </c>
      <c r="AG202" s="84">
        <f t="shared" si="194"/>
        <v>78931.515121829027</v>
      </c>
      <c r="AH202" s="56">
        <f t="shared" si="195"/>
        <v>80143.015949775174</v>
      </c>
      <c r="AI202" s="55">
        <f t="shared" si="196"/>
        <v>1211.5008279461472</v>
      </c>
      <c r="AJ202" s="41">
        <f>'[2]побудинковий звіт'!AJ202+'[1]побудинковий звіт'!AJ202</f>
        <v>78906.728718295941</v>
      </c>
      <c r="AK202" s="41">
        <f>'[2]побудинковий звіт'!AK202+'[1]побудинковий звіт'!AK202</f>
        <v>74842.498807111639</v>
      </c>
      <c r="AL202" s="55">
        <f t="shared" si="197"/>
        <v>-4064.2299111843022</v>
      </c>
      <c r="AM202" s="41">
        <f>'[2]побудинковий звіт'!AM202+'[1]побудинковий звіт'!AM202</f>
        <v>302.92842272642292</v>
      </c>
      <c r="AN202" s="41">
        <f>'[2]побудинковий звіт'!AN202+'[1]побудинковий звіт'!AN202</f>
        <v>1312.7890516953171</v>
      </c>
      <c r="AO202" s="55">
        <f t="shared" si="198"/>
        <v>1009.8606289688942</v>
      </c>
      <c r="AP202" s="41">
        <f>'[2]побудинковий звіт'!AP202+'[1]побудинковий звіт'!AP202</f>
        <v>5349.2288916881016</v>
      </c>
      <c r="AQ202" s="41">
        <f>'[2]побудинковий звіт'!AQ202+'[1]побудинковий звіт'!AQ202</f>
        <v>5782.2069146757149</v>
      </c>
      <c r="AR202" s="55">
        <f t="shared" si="199"/>
        <v>432.97802298761326</v>
      </c>
      <c r="AS202" s="41">
        <f>'[2]побудинковий звіт'!AS202+'[1]побудинковий звіт'!AS202</f>
        <v>169365.26162605826</v>
      </c>
      <c r="AT202" s="41">
        <f>'[2]побудинковий звіт'!AT202+'[1]побудинковий звіт'!AT202</f>
        <v>123971.98648060733</v>
      </c>
      <c r="AU202" s="57">
        <f t="shared" si="200"/>
        <v>-45393.275145450927</v>
      </c>
      <c r="AV202" s="41">
        <f>'[2]побудинковий звіт'!AV202+'[1]побудинковий звіт'!AV202</f>
        <v>1933.3073253886337</v>
      </c>
      <c r="AW202" s="41">
        <f>'[2]побудинковий звіт'!AW202+'[1]побудинковий звіт'!AW202</f>
        <v>1000.8970345232095</v>
      </c>
      <c r="AX202" s="58">
        <f t="shared" si="201"/>
        <v>-932.41029086542414</v>
      </c>
      <c r="AY202" s="41">
        <f>'[2]побудинковий звіт'!AY202+'[1]побудинковий звіт'!AY202</f>
        <v>2253.9921165783949</v>
      </c>
      <c r="AZ202" s="41">
        <f>'[2]побудинковий звіт'!AZ202+'[1]побудинковий звіт'!AZ202</f>
        <v>2294.8312009239235</v>
      </c>
      <c r="BA202" s="36">
        <f t="shared" si="202"/>
        <v>40.83908434552859</v>
      </c>
      <c r="BB202" s="41">
        <f>'[2]побудинковий звіт'!BB202+'[1]побудинковий звіт'!BB202</f>
        <v>2826.5939525008444</v>
      </c>
      <c r="BC202" s="41">
        <f>'[2]побудинковий звіт'!BC202+'[1]побудинковий звіт'!BC202</f>
        <v>2195.2597204529761</v>
      </c>
      <c r="BD202" s="58">
        <f t="shared" si="203"/>
        <v>-631.33423204786823</v>
      </c>
      <c r="BE202" s="41">
        <f>'[2]побудинковий звіт'!BE202+'[1]побудинковий звіт'!BE202</f>
        <v>838.86025253631703</v>
      </c>
      <c r="BF202" s="41">
        <f>'[2]побудинковий звіт'!BF202+'[1]побудинковий звіт'!BF202</f>
        <v>0</v>
      </c>
      <c r="BG202" s="38">
        <f t="shared" si="204"/>
        <v>-838.86025253631703</v>
      </c>
      <c r="BH202" s="41">
        <f>'[2]побудинковий звіт'!BH202+'[1]побудинковий звіт'!BH202</f>
        <v>523.78214496396913</v>
      </c>
      <c r="BI202" s="41">
        <f>'[2]побудинковий звіт'!BI202+'[1]побудинковий звіт'!BI202</f>
        <v>4628.8112178599768</v>
      </c>
      <c r="BJ202" s="58">
        <f t="shared" si="205"/>
        <v>4105.0290728960081</v>
      </c>
      <c r="BK202" s="41">
        <f>'[2]побудинковий звіт'!BK202+'[1]побудинковий звіт'!BK202</f>
        <v>1696.1851851310439</v>
      </c>
      <c r="BL202" s="41">
        <f>'[2]побудинковий звіт'!BL202+'[1]побудинковий звіт'!BL202</f>
        <v>1632.0079449031614</v>
      </c>
      <c r="BM202" s="38">
        <f t="shared" si="206"/>
        <v>-64.177240227882521</v>
      </c>
      <c r="BN202" s="41">
        <f>'[2]побудинковий звіт'!BN202+'[1]побудинковий звіт'!BN202</f>
        <v>100.38677964698979</v>
      </c>
      <c r="BO202" s="41">
        <f>'[2]побудинковий звіт'!BO202+'[1]побудинковий звіт'!BO202</f>
        <v>4282.2615761738634</v>
      </c>
      <c r="BP202" s="58">
        <f t="shared" si="207"/>
        <v>4181.874796526874</v>
      </c>
      <c r="BQ202" s="84">
        <f t="shared" si="208"/>
        <v>10173.107756746193</v>
      </c>
      <c r="BR202" s="42">
        <f t="shared" si="209"/>
        <v>16034.068694837111</v>
      </c>
      <c r="BS202" s="58">
        <f t="shared" si="210"/>
        <v>5860.9609380909187</v>
      </c>
      <c r="BT202" s="41">
        <f>'[2]побудинковий звіт'!BT202+'[1]побудинковий звіт'!BT202</f>
        <v>40932.546589403188</v>
      </c>
      <c r="BU202" s="41">
        <f>'[2]побудинковий звіт'!BU202+'[1]побудинковий звіт'!BU202</f>
        <v>61417.27901663346</v>
      </c>
      <c r="BV202" s="55">
        <f t="shared" si="211"/>
        <v>20484.732427230272</v>
      </c>
      <c r="BW202" s="41">
        <f>'[2]побудинковий звіт'!BW202+'[1]побудинковий звіт'!BW202</f>
        <v>54114.062875392345</v>
      </c>
      <c r="BX202" s="41">
        <f>'[2]побудинковий звіт'!BX202+'[1]побудинковий звіт'!BX202</f>
        <v>62917.755199876614</v>
      </c>
      <c r="BY202" s="55">
        <f t="shared" si="212"/>
        <v>8803.6923244842692</v>
      </c>
      <c r="BZ202" s="41">
        <f>'[2]побудинковий звіт'!BZ202+'[1]побудинковий звіт'!BZ202</f>
        <v>11003.753167135796</v>
      </c>
      <c r="CA202" s="41">
        <f>'[2]побудинковий звіт'!CA202+'[1]побудинковий звіт'!CA202</f>
        <v>6151.0535871862776</v>
      </c>
      <c r="CB202" s="55">
        <f t="shared" si="213"/>
        <v>-4852.699579949518</v>
      </c>
      <c r="CC202" s="41">
        <f>'[2]побудинковий звіт'!CC202+'[1]побудинковий звіт'!CC202</f>
        <v>1832.1376678982756</v>
      </c>
      <c r="CD202" s="41">
        <f>'[2]побудинковий звіт'!CD202+'[1]побудинковий звіт'!CD202</f>
        <v>1838.3502423667596</v>
      </c>
      <c r="CE202" s="55">
        <f t="shared" si="214"/>
        <v>6.2125744684840356</v>
      </c>
      <c r="CF202" s="41">
        <f>'[2]побудинковий звіт'!CF202+'[1]побудинковий звіт'!CF202</f>
        <v>226.99211890159694</v>
      </c>
      <c r="CG202" s="41">
        <f>'[2]побудинковий звіт'!CG202+'[1]побудинковий звіт'!CG202</f>
        <v>0</v>
      </c>
      <c r="CH202" s="55">
        <f t="shared" si="215"/>
        <v>-226.99211890159694</v>
      </c>
      <c r="CI202" s="41">
        <f>'[2]побудинковий звіт'!CI202+'[1]побудинковий звіт'!CI202</f>
        <v>20706.242196286166</v>
      </c>
      <c r="CJ202" s="41">
        <f>'[2]побудинковий звіт'!CJ202+'[1]побудинковий звіт'!CJ202</f>
        <v>25324.198505202367</v>
      </c>
      <c r="CK202" s="55">
        <f t="shared" si="216"/>
        <v>4617.9563089162002</v>
      </c>
      <c r="CL202" s="41">
        <f>'[2]побудинковий звіт'!CL202+'[1]побудинковий звіт'!CL202</f>
        <v>31426.408322783474</v>
      </c>
      <c r="CM202" s="41">
        <f>'[2]побудинковий звіт'!CM202+'[1]побудинковий звіт'!CM202</f>
        <v>37993.128336212751</v>
      </c>
      <c r="CN202" s="55">
        <f t="shared" si="217"/>
        <v>6566.7200134292762</v>
      </c>
      <c r="CO202" s="41">
        <f t="shared" si="218"/>
        <v>52132.650519069641</v>
      </c>
      <c r="CP202" s="42">
        <f t="shared" si="219"/>
        <v>63317.326841415117</v>
      </c>
      <c r="CQ202" s="55">
        <f t="shared" si="220"/>
        <v>11184.676322345476</v>
      </c>
      <c r="CR202" s="76">
        <f t="shared" si="221"/>
        <v>503270.91347514477</v>
      </c>
      <c r="CS202" s="5">
        <f t="shared" si="222"/>
        <v>497728.33078618057</v>
      </c>
      <c r="CT202" s="55">
        <f t="shared" si="223"/>
        <v>-5542.5826889642049</v>
      </c>
      <c r="CU202" s="84">
        <f t="shared" si="224"/>
        <v>603925.09617017373</v>
      </c>
      <c r="CV202" s="68">
        <f t="shared" si="225"/>
        <v>597273.99694341666</v>
      </c>
      <c r="CW202" s="36">
        <f t="shared" si="226"/>
        <v>-6651.0992267570691</v>
      </c>
      <c r="CX202" s="41">
        <f>'[2]побудинковий звіт'!CX202+'[1]побудинковий звіт'!CX202</f>
        <v>18850.443519533666</v>
      </c>
      <c r="CY202" s="41">
        <f>'[2]побудинковий звіт'!CY202+'[1]побудинковий звіт'!CY202</f>
        <v>25501.542746290776</v>
      </c>
      <c r="CZ202" s="55">
        <f t="shared" si="227"/>
        <v>6651.0992267571091</v>
      </c>
      <c r="DA202" s="254">
        <f>'[1]побудинковий звіт'!DA202</f>
        <v>-86441.242235831538</v>
      </c>
      <c r="DB202" s="2">
        <v>3</v>
      </c>
      <c r="DC202" s="702">
        <f>'[1]побудинковий звіт'!DC202</f>
        <v>171497.41</v>
      </c>
      <c r="DD202" s="702">
        <f>'[1]побудинковий звіт'!DD202</f>
        <v>0</v>
      </c>
      <c r="DE202" s="702">
        <f>'[1]побудинковий звіт'!DE202</f>
        <v>103212.39</v>
      </c>
      <c r="DF202" s="702">
        <f>'[1]побудинковий звіт'!DF202</f>
        <v>0</v>
      </c>
      <c r="DG202" s="772">
        <v>-143444.24688076298</v>
      </c>
      <c r="DH202" s="746">
        <f t="shared" si="228"/>
        <v>7473306.476276488</v>
      </c>
      <c r="DI202" s="769"/>
      <c r="DJ202" s="5"/>
      <c r="DK202" s="307">
        <f>VLOOKUP($A202,ціни!$A$4:$G$401,5)</f>
        <v>6.0501823572175848</v>
      </c>
      <c r="DL202" s="307">
        <f>VLOOKUP($A202,ціни!$A$4:$G$401,6)</f>
        <v>7.9414138237659628</v>
      </c>
      <c r="DM202" s="307">
        <f>VLOOKUP($A202,ціни!$A$4:$G$401,7)</f>
        <v>5.0750474729442931</v>
      </c>
      <c r="DN202" s="29">
        <f>DK202*G202+(F202-G202)*DL202</f>
        <v>48822.220262866642</v>
      </c>
      <c r="DO202" s="29">
        <f>DM202*H202</f>
        <v>0</v>
      </c>
      <c r="DP202" s="306">
        <f t="shared" si="229"/>
        <v>48822.220262866642</v>
      </c>
      <c r="DQ202" s="101"/>
      <c r="DR202" s="29">
        <f>VLOOKUP(A202,'ДЗ нас '!$A$1:$C$359,2)</f>
        <v>48807.21</v>
      </c>
      <c r="DS202" s="733"/>
      <c r="DT202" s="29">
        <f t="shared" si="230"/>
        <v>48807.21</v>
      </c>
      <c r="DU202" s="247">
        <f>VLOOKUP(A202,'новий кошторис с 01.06'!$A$4:$AI$399,35)*1.2</f>
        <v>48986.640826447903</v>
      </c>
      <c r="DV202" s="29">
        <f t="shared" si="231"/>
        <v>-179.43082644790411</v>
      </c>
      <c r="DW202" s="1016">
        <f>'[2]побудинковий звіт'!$DW$9+'[1]побудинковий звіт'!DW202</f>
        <v>1242</v>
      </c>
      <c r="DX202" s="101">
        <f>'[1]побудинковий звіт'!DX202</f>
        <v>0</v>
      </c>
      <c r="DY202" s="5">
        <f t="shared" si="232"/>
        <v>215446.04325936534</v>
      </c>
      <c r="DZ202" s="5">
        <f t="shared" si="233"/>
        <v>168007.2662105333</v>
      </c>
      <c r="EA202" s="737">
        <f t="shared" si="234"/>
        <v>103212.39</v>
      </c>
      <c r="EC202" s="577">
        <f t="shared" si="235"/>
        <v>2032383.1395126991</v>
      </c>
      <c r="EE202" s="743">
        <v>98913</v>
      </c>
      <c r="EF202" s="723">
        <f t="shared" si="236"/>
        <v>-44531.246880762978</v>
      </c>
      <c r="EH202" s="798">
        <v>38905.461779620644</v>
      </c>
      <c r="EI202" s="101">
        <f>VLOOKUP(A202,'кошти 01.01.24'!$A$9:$D$352,4,FALSE)</f>
        <v>-79790.143009074382</v>
      </c>
    </row>
    <row r="203" spans="1:139" hidden="1" x14ac:dyDescent="0.3">
      <c r="A203" s="318">
        <v>150000699</v>
      </c>
      <c r="B203" s="43" t="s">
        <v>636</v>
      </c>
      <c r="C203" s="44" t="s">
        <v>373</v>
      </c>
      <c r="D203" s="44" t="s">
        <v>373</v>
      </c>
      <c r="E203" s="39">
        <f t="shared" si="185"/>
        <v>4192.5</v>
      </c>
      <c r="F203" s="205">
        <f>'[1]побудинковий звіт'!F203</f>
        <v>4192.5</v>
      </c>
      <c r="G203" s="29">
        <f>'[1]побудинковий звіт'!G203</f>
        <v>468.7</v>
      </c>
      <c r="H203" s="148">
        <f>'[1]побудинковий звіт'!H203</f>
        <v>0</v>
      </c>
      <c r="I203" s="41">
        <f>'[2]побудинковий звіт'!I203+'[1]побудинковий звіт'!I203</f>
        <v>13812.804821506892</v>
      </c>
      <c r="J203" s="41">
        <f>'[2]побудинковий звіт'!J203+'[1]побудинковий звіт'!J203</f>
        <v>14396.680420811415</v>
      </c>
      <c r="K203" s="55">
        <f t="shared" si="186"/>
        <v>583.87559930452335</v>
      </c>
      <c r="L203" s="41">
        <f>'[2]побудинковий звіт'!L203+'[1]побудинковий звіт'!L203</f>
        <v>1881.164095120042</v>
      </c>
      <c r="M203" s="41">
        <f>'[2]побудинковий звіт'!M203+'[1]побудинковий звіт'!M203</f>
        <v>2030.1180490265613</v>
      </c>
      <c r="N203" s="55">
        <f t="shared" si="187"/>
        <v>148.95395390651925</v>
      </c>
      <c r="O203" s="41">
        <f>'[2]побудинковий звіт'!O203+'[1]побудинковий звіт'!O203</f>
        <v>5772.5524627671593</v>
      </c>
      <c r="P203" s="41">
        <f>'[2]побудинковий звіт'!P203+'[1]побудинковий звіт'!P203</f>
        <v>5790.5699608075365</v>
      </c>
      <c r="Q203" s="55">
        <f t="shared" si="188"/>
        <v>18.017498040377177</v>
      </c>
      <c r="R203" s="41">
        <f>'[2]побудинковий звіт'!R203+'[1]побудинковий звіт'!R203</f>
        <v>1385.6401605254239</v>
      </c>
      <c r="S203" s="41">
        <f>'[2]побудинковий звіт'!S203+'[1]побудинковий звіт'!S203</f>
        <v>1390.4854321320252</v>
      </c>
      <c r="T203" s="55">
        <f t="shared" si="189"/>
        <v>4.8452716066012727</v>
      </c>
      <c r="U203" s="41">
        <f>'[2]побудинковий звіт'!U203+'[1]побудинковий звіт'!U203</f>
        <v>803.11189168974329</v>
      </c>
      <c r="V203" s="41">
        <f>'[2]побудинковий звіт'!V203+'[1]побудинковий звіт'!V203</f>
        <v>554.99587677406043</v>
      </c>
      <c r="W203" s="55">
        <f t="shared" si="190"/>
        <v>-248.11601491568285</v>
      </c>
      <c r="X203" s="41">
        <f>'[2]побудинковий звіт'!X203+'[1]побудинковий звіт'!X203</f>
        <v>6171.7926884747221</v>
      </c>
      <c r="Y203" s="41">
        <f>'[2]побудинковий звіт'!Y203+'[1]побудинковий звіт'!Y203</f>
        <v>6430.4885825691717</v>
      </c>
      <c r="Z203" s="55">
        <f t="shared" si="191"/>
        <v>258.69589409444961</v>
      </c>
      <c r="AA203" s="41">
        <f>'[2]побудинковий звіт'!AA203+'[1]побудинковий звіт'!AA203</f>
        <v>0</v>
      </c>
      <c r="AB203" s="41">
        <f>'[2]побудинковий звіт'!AB203+'[1]побудинковий звіт'!AB203</f>
        <v>0</v>
      </c>
      <c r="AC203" s="55">
        <f t="shared" si="192"/>
        <v>0</v>
      </c>
      <c r="AD203" s="41">
        <f>'[2]побудинковий звіт'!AD203+'[1]побудинковий звіт'!AD203</f>
        <v>18180.222540202823</v>
      </c>
      <c r="AE203" s="41">
        <f>'[2]побудинковий звіт'!AE203+'[1]побудинковий звіт'!AE203</f>
        <v>18109.665066080248</v>
      </c>
      <c r="AF203" s="36">
        <f t="shared" si="193"/>
        <v>-70.557474122575513</v>
      </c>
      <c r="AG203" s="84">
        <f t="shared" si="194"/>
        <v>48007.288660286809</v>
      </c>
      <c r="AH203" s="56">
        <f t="shared" si="195"/>
        <v>48703.003388201018</v>
      </c>
      <c r="AI203" s="55">
        <f t="shared" si="196"/>
        <v>695.7147279142082</v>
      </c>
      <c r="AJ203" s="41">
        <f>'[2]побудинковий звіт'!AJ203+'[1]побудинковий звіт'!AJ203</f>
        <v>14592.138470381296</v>
      </c>
      <c r="AK203" s="41">
        <f>'[2]побудинковий звіт'!AK203+'[1]побудинковий звіт'!AK203</f>
        <v>11009.971791382311</v>
      </c>
      <c r="AL203" s="55">
        <f t="shared" si="197"/>
        <v>-3582.1666789989849</v>
      </c>
      <c r="AM203" s="41">
        <f>'[2]побудинковий звіт'!AM203+'[1]побудинковий звіт'!AM203</f>
        <v>302.92842272642292</v>
      </c>
      <c r="AN203" s="41">
        <f>'[2]побудинковий звіт'!AN203+'[1]побудинковий звіт'!AN203</f>
        <v>1135.2324347825479</v>
      </c>
      <c r="AO203" s="55">
        <f t="shared" si="198"/>
        <v>832.30401205612498</v>
      </c>
      <c r="AP203" s="41">
        <f>'[2]побудинковий звіт'!AP203+'[1]побудинковий звіт'!AP203</f>
        <v>8469.6124118394946</v>
      </c>
      <c r="AQ203" s="41">
        <f>'[2]побудинковий звіт'!AQ203+'[1]побудинковий звіт'!AQ203</f>
        <v>7592.3896530556794</v>
      </c>
      <c r="AR203" s="55">
        <f t="shared" si="199"/>
        <v>-877.22275878381515</v>
      </c>
      <c r="AS203" s="41">
        <f>'[2]побудинковий звіт'!AS203+'[1]побудинковий звіт'!AS203</f>
        <v>62041.946789014561</v>
      </c>
      <c r="AT203" s="41">
        <f>'[2]побудинковий звіт'!AT203+'[1]побудинковий звіт'!AT203</f>
        <v>25305.014340429956</v>
      </c>
      <c r="AU203" s="57">
        <f t="shared" si="200"/>
        <v>-36736.932448584601</v>
      </c>
      <c r="AV203" s="41">
        <f>'[2]побудинковий звіт'!AV203+'[1]побудинковий звіт'!AV203</f>
        <v>1347.881851396136</v>
      </c>
      <c r="AW203" s="41">
        <f>'[2]побудинковий звіт'!AW203+'[1]побудинковий звіт'!AW203</f>
        <v>0</v>
      </c>
      <c r="AX203" s="58">
        <f t="shared" si="201"/>
        <v>-1347.881851396136</v>
      </c>
      <c r="AY203" s="41">
        <f>'[2]побудинковий звіт'!AY203+'[1]побудинковий звіт'!AY203</f>
        <v>1306.5870145867034</v>
      </c>
      <c r="AZ203" s="41">
        <f>'[2]побудинковий звіт'!AZ203+'[1]побудинковий звіт'!AZ203</f>
        <v>1607.5847351996208</v>
      </c>
      <c r="BA203" s="36">
        <f t="shared" si="202"/>
        <v>300.99772061291742</v>
      </c>
      <c r="BB203" s="41">
        <f>'[2]побудинковий звіт'!BB203+'[1]побудинковий звіт'!BB203</f>
        <v>2185.0593570775873</v>
      </c>
      <c r="BC203" s="41">
        <f>'[2]побудинковий звіт'!BC203+'[1]побудинковий звіт'!BC203</f>
        <v>1404.0256190504656</v>
      </c>
      <c r="BD203" s="58">
        <f t="shared" si="203"/>
        <v>-781.03373802712167</v>
      </c>
      <c r="BE203" s="41">
        <f>'[2]побудинковий звіт'!BE203+'[1]побудинковий звіт'!BE203</f>
        <v>789.45401194927047</v>
      </c>
      <c r="BF203" s="41">
        <f>'[2]побудинковий звіт'!BF203+'[1]побудинковий звіт'!BF203</f>
        <v>0</v>
      </c>
      <c r="BG203" s="38">
        <f t="shared" si="204"/>
        <v>-789.45401194927047</v>
      </c>
      <c r="BH203" s="41">
        <f>'[2]побудинковий звіт'!BH203+'[1]побудинковий звіт'!BH203</f>
        <v>419.48482392030559</v>
      </c>
      <c r="BI203" s="41">
        <f>'[2]побудинковий звіт'!BI203+'[1]побудинковий звіт'!BI203</f>
        <v>0</v>
      </c>
      <c r="BJ203" s="58">
        <f t="shared" si="205"/>
        <v>-419.48482392030559</v>
      </c>
      <c r="BK203" s="41">
        <f>'[2]побудинковий звіт'!BK203+'[1]побудинковий звіт'!BK203</f>
        <v>1205.3005387450353</v>
      </c>
      <c r="BL203" s="41">
        <f>'[2]побудинковий звіт'!BL203+'[1]побудинковий звіт'!BL203</f>
        <v>0</v>
      </c>
      <c r="BM203" s="38">
        <f t="shared" si="206"/>
        <v>-1205.3005387450353</v>
      </c>
      <c r="BN203" s="41">
        <f>'[2]побудинковий звіт'!BN203+'[1]побудинковий звіт'!BN203</f>
        <v>31.370868639684304</v>
      </c>
      <c r="BO203" s="41">
        <f>'[2]побудинковий звіт'!BO203+'[1]побудинковий звіт'!BO203</f>
        <v>0</v>
      </c>
      <c r="BP203" s="58">
        <f t="shared" si="207"/>
        <v>-31.370868639684304</v>
      </c>
      <c r="BQ203" s="84">
        <f t="shared" si="208"/>
        <v>7285.1384663147219</v>
      </c>
      <c r="BR203" s="42">
        <f t="shared" si="209"/>
        <v>3011.6103542500864</v>
      </c>
      <c r="BS203" s="58">
        <f t="shared" si="210"/>
        <v>-4273.5281120646359</v>
      </c>
      <c r="BT203" s="41">
        <f>'[2]побудинковий звіт'!BT203+'[1]побудинковий звіт'!BT203</f>
        <v>48089.188206792853</v>
      </c>
      <c r="BU203" s="41">
        <f>'[2]побудинковий звіт'!BU203+'[1]побудинковий звіт'!BU203</f>
        <v>68439.833816565952</v>
      </c>
      <c r="BV203" s="55">
        <f t="shared" si="211"/>
        <v>20350.645609773099</v>
      </c>
      <c r="BW203" s="41">
        <f>'[2]побудинковий звіт'!BW203+'[1]побудинковий звіт'!BW203</f>
        <v>58140.636086948376</v>
      </c>
      <c r="BX203" s="41">
        <f>'[2]побудинковий звіт'!BX203+'[1]побудинковий звіт'!BX203</f>
        <v>66334.85142545632</v>
      </c>
      <c r="BY203" s="55">
        <f t="shared" si="212"/>
        <v>8194.2153385079437</v>
      </c>
      <c r="BZ203" s="41">
        <f>'[2]побудинковий звіт'!BZ203+'[1]побудинковий звіт'!BZ203</f>
        <v>7359.3229772178383</v>
      </c>
      <c r="CA203" s="41">
        <f>'[2]побудинковий звіт'!CA203+'[1]побудинковий звіт'!CA203</f>
        <v>6015.3056024410234</v>
      </c>
      <c r="CB203" s="55">
        <f t="shared" si="213"/>
        <v>-1344.0173747768149</v>
      </c>
      <c r="CC203" s="41">
        <f>'[2]побудинковий звіт'!CC203+'[1]побудинковий звіт'!CC203</f>
        <v>1801.6020400999712</v>
      </c>
      <c r="CD203" s="41">
        <f>'[2]побудинковий звіт'!CD203+'[1]побудинковий звіт'!CD203</f>
        <v>1807.7110716606473</v>
      </c>
      <c r="CE203" s="55">
        <f t="shared" si="214"/>
        <v>6.1090315606761578</v>
      </c>
      <c r="CF203" s="41">
        <f>'[2]побудинковий звіт'!CF203+'[1]побудинковий звіт'!CF203</f>
        <v>223.20891691990363</v>
      </c>
      <c r="CG203" s="41">
        <f>'[2]побудинковий звіт'!CG203+'[1]побудинковий звіт'!CG203</f>
        <v>0</v>
      </c>
      <c r="CH203" s="55">
        <f t="shared" si="215"/>
        <v>-223.20891691990363</v>
      </c>
      <c r="CI203" s="41">
        <f>'[2]побудинковий звіт'!CI203+'[1]побудинковий звіт'!CI203</f>
        <v>22316.378138340086</v>
      </c>
      <c r="CJ203" s="41">
        <f>'[2]побудинковий звіт'!CJ203+'[1]побудинковий звіт'!CJ203</f>
        <v>13337.604588417391</v>
      </c>
      <c r="CK203" s="55">
        <f t="shared" si="216"/>
        <v>-8978.7735499226947</v>
      </c>
      <c r="CL203" s="41">
        <f>'[2]побудинковий звіт'!CL203+'[1]побудинковий звіт'!CL203</f>
        <v>8879.7391561302338</v>
      </c>
      <c r="CM203" s="41">
        <f>'[2]побудинковий звіт'!CM203+'[1]побудинковий звіт'!CM203</f>
        <v>10123.635021634151</v>
      </c>
      <c r="CN203" s="55">
        <f t="shared" si="217"/>
        <v>1243.8958655039169</v>
      </c>
      <c r="CO203" s="41">
        <f t="shared" si="218"/>
        <v>31196.117294470321</v>
      </c>
      <c r="CP203" s="42">
        <f t="shared" si="219"/>
        <v>23461.23961005154</v>
      </c>
      <c r="CQ203" s="55">
        <f t="shared" si="220"/>
        <v>-7734.8776844187814</v>
      </c>
      <c r="CR203" s="76">
        <f t="shared" si="221"/>
        <v>287509.12874301261</v>
      </c>
      <c r="CS203" s="5">
        <f t="shared" si="222"/>
        <v>262816.16348827712</v>
      </c>
      <c r="CT203" s="55">
        <f t="shared" si="223"/>
        <v>-24692.965254735493</v>
      </c>
      <c r="CU203" s="84">
        <f t="shared" si="224"/>
        <v>345010.95449161512</v>
      </c>
      <c r="CV203" s="68">
        <f t="shared" si="225"/>
        <v>315379.39618593251</v>
      </c>
      <c r="CW203" s="36">
        <f t="shared" si="226"/>
        <v>-29631.558305682614</v>
      </c>
      <c r="CX203" s="41">
        <f>'[2]побудинковий звіт'!CX203+'[1]побудинковий звіт'!CX203</f>
        <v>4873.3042472290435</v>
      </c>
      <c r="CY203" s="41">
        <f>'[2]побудинковий звіт'!CY203+'[1]побудинковий звіт'!CY203</f>
        <v>34504.862552911654</v>
      </c>
      <c r="CZ203" s="55">
        <f t="shared" si="227"/>
        <v>29631.558305682611</v>
      </c>
      <c r="DA203" s="254">
        <f>'[1]побудинковий звіт'!DA203</f>
        <v>61294.853189460875</v>
      </c>
      <c r="DB203" s="2">
        <v>3</v>
      </c>
      <c r="DC203" s="702">
        <f>'[1]побудинковий звіт'!DC203</f>
        <v>96282.26</v>
      </c>
      <c r="DD203" s="702">
        <f>'[1]побудинковий звіт'!DD203</f>
        <v>0</v>
      </c>
      <c r="DE203" s="702">
        <f>'[1]побудинковий звіт'!DE203</f>
        <v>57649.259999999995</v>
      </c>
      <c r="DF203" s="702">
        <f>'[1]побудинковий звіт'!DF203</f>
        <v>0</v>
      </c>
      <c r="DG203" s="772">
        <v>18326.00776069425</v>
      </c>
      <c r="DH203" s="746">
        <f t="shared" si="228"/>
        <v>4198611.1048661303</v>
      </c>
      <c r="DI203" s="769"/>
      <c r="DJ203" s="5"/>
      <c r="DK203" s="307">
        <f>VLOOKUP($A203,ціни!$A$4:$G$401,5)</f>
        <v>6.0879806508452941</v>
      </c>
      <c r="DL203" s="307">
        <f>VLOOKUP($A203,ціни!$A$4:$G$401,6)</f>
        <v>6.6600676014318809</v>
      </c>
      <c r="DM203" s="307">
        <f>VLOOKUP($A203,ціни!$A$4:$G$401,7)</f>
        <v>4.7380400447763327</v>
      </c>
      <c r="DN203" s="29">
        <f>DK203*G203+(F203-G203)*DL203</f>
        <v>27654.196265263228</v>
      </c>
      <c r="DO203" s="29">
        <f>DM203*H203</f>
        <v>0</v>
      </c>
      <c r="DP203" s="306">
        <f t="shared" si="229"/>
        <v>27654.196265263228</v>
      </c>
      <c r="DQ203" s="101"/>
      <c r="DR203" s="29">
        <f>VLOOKUP(A203,'ДЗ нас '!$A$1:$C$359,2)</f>
        <v>26557.71</v>
      </c>
      <c r="DS203" s="733"/>
      <c r="DT203" s="29">
        <f t="shared" si="230"/>
        <v>26557.71</v>
      </c>
      <c r="DU203" s="247">
        <f>VLOOKUP(A203,'новий кошторис с 01.06'!$A$4:$AI$399,35)*1.2</f>
        <v>27728.585078165404</v>
      </c>
      <c r="DV203" s="29">
        <f t="shared" si="231"/>
        <v>-1170.8750781654053</v>
      </c>
      <c r="DW203" s="1016">
        <f>'[2]побудинковий звіт'!$DW$9+'[1]побудинковий звіт'!DW203</f>
        <v>11597.5</v>
      </c>
      <c r="DX203" s="101">
        <f>'[1]побудинковий звіт'!DX203</f>
        <v>0</v>
      </c>
      <c r="DY203" s="5">
        <f t="shared" si="232"/>
        <v>83192.502306395138</v>
      </c>
      <c r="DZ203" s="5">
        <f t="shared" si="233"/>
        <v>33979.949633616052</v>
      </c>
      <c r="EA203" s="737">
        <f t="shared" si="234"/>
        <v>57649.259999999995</v>
      </c>
      <c r="EC203" s="577">
        <f t="shared" si="235"/>
        <v>744503.36146817473</v>
      </c>
      <c r="EE203" s="743">
        <v>237243</v>
      </c>
      <c r="EF203" s="723">
        <f t="shared" si="236"/>
        <v>255569.00776069425</v>
      </c>
      <c r="EH203" s="798">
        <v>118831.39331562913</v>
      </c>
      <c r="EI203" s="101">
        <f>VLOOKUP(A203,'кошти 01.01.24'!$A$9:$D$352,4,FALSE)</f>
        <v>90926.411495143446</v>
      </c>
    </row>
    <row r="204" spans="1:139" hidden="1" x14ac:dyDescent="0.3">
      <c r="A204" s="318">
        <v>150000928</v>
      </c>
      <c r="B204" s="43" t="s">
        <v>637</v>
      </c>
      <c r="C204" s="44" t="s">
        <v>169</v>
      </c>
      <c r="D204" s="44" t="s">
        <v>169</v>
      </c>
      <c r="E204" s="39">
        <f t="shared" si="185"/>
        <v>477.5</v>
      </c>
      <c r="F204" s="205">
        <f>'[1]побудинковий звіт'!F204</f>
        <v>234.6</v>
      </c>
      <c r="G204" s="29">
        <f>'[1]побудинковий звіт'!G204</f>
        <v>0</v>
      </c>
      <c r="H204" s="148">
        <f>'[1]побудинковий звіт'!H204</f>
        <v>242.89999999999998</v>
      </c>
      <c r="I204" s="41">
        <f>'[2]побудинковий звіт'!I204+'[1]побудинковий звіт'!I204</f>
        <v>2712.5505017381565</v>
      </c>
      <c r="J204" s="41">
        <f>'[2]побудинковий звіт'!J204+'[1]побудинковий звіт'!J204</f>
        <v>2745.8950038518183</v>
      </c>
      <c r="K204" s="55">
        <f t="shared" si="186"/>
        <v>33.344502113661747</v>
      </c>
      <c r="L204" s="41">
        <f>'[2]побудинковий звіт'!L204+'[1]побудинковий звіт'!L204</f>
        <v>597.38911493140563</v>
      </c>
      <c r="M204" s="41">
        <f>'[2]побудинковий звіт'!M204+'[1]побудинковий звіт'!M204</f>
        <v>626.01708496229355</v>
      </c>
      <c r="N204" s="55">
        <f t="shared" si="187"/>
        <v>28.627970030887923</v>
      </c>
      <c r="O204" s="41">
        <f>'[2]побудинковий звіт'!O204+'[1]побудинковий звіт'!O204</f>
        <v>688.6267851813368</v>
      </c>
      <c r="P204" s="41">
        <f>'[2]побудинковий звіт'!P204+'[1]побудинковий звіт'!P204</f>
        <v>690.49801948912648</v>
      </c>
      <c r="Q204" s="55">
        <f t="shared" si="188"/>
        <v>1.8712343077896776</v>
      </c>
      <c r="R204" s="41">
        <f>'[2]побудинковий звіт'!R204+'[1]побудинковий звіт'!R204</f>
        <v>0</v>
      </c>
      <c r="S204" s="41">
        <f>'[2]побудинковий звіт'!S204+'[1]побудинковий звіт'!S204</f>
        <v>0</v>
      </c>
      <c r="T204" s="55">
        <f t="shared" si="189"/>
        <v>0</v>
      </c>
      <c r="U204" s="41">
        <f>'[2]побудинковий звіт'!U204+'[1]побудинковий звіт'!U204</f>
        <v>0</v>
      </c>
      <c r="V204" s="41">
        <f>'[2]побудинковий звіт'!V204+'[1]побудинковий звіт'!V204</f>
        <v>0</v>
      </c>
      <c r="W204" s="55">
        <f t="shared" si="190"/>
        <v>0</v>
      </c>
      <c r="X204" s="41">
        <f>'[2]побудинковий звіт'!X204+'[1]побудинковий звіт'!X204</f>
        <v>1246.9317014189762</v>
      </c>
      <c r="Y204" s="41">
        <f>'[2]побудинковий звіт'!Y204+'[1]побудинковий звіт'!Y204</f>
        <v>1190.3806308389148</v>
      </c>
      <c r="Z204" s="55">
        <f t="shared" si="191"/>
        <v>-56.551070580061378</v>
      </c>
      <c r="AA204" s="41">
        <f>'[2]побудинковий звіт'!AA204+'[1]побудинковий звіт'!AA204</f>
        <v>0</v>
      </c>
      <c r="AB204" s="41">
        <f>'[2]побудинковий звіт'!AB204+'[1]побудинковий звіт'!AB204</f>
        <v>0</v>
      </c>
      <c r="AC204" s="55">
        <f t="shared" si="192"/>
        <v>0</v>
      </c>
      <c r="AD204" s="41">
        <f>'[2]побудинковий звіт'!AD204+'[1]побудинковий звіт'!AD204</f>
        <v>2077.184560594741</v>
      </c>
      <c r="AE204" s="41">
        <f>'[2]побудинковий звіт'!AE204+'[1]побудинковий звіт'!AE204</f>
        <v>2063.0116205544145</v>
      </c>
      <c r="AF204" s="36">
        <f t="shared" si="193"/>
        <v>-14.172940040326466</v>
      </c>
      <c r="AG204" s="84">
        <f t="shared" si="194"/>
        <v>7322.6826638646162</v>
      </c>
      <c r="AH204" s="56">
        <f t="shared" si="195"/>
        <v>7315.8023596965677</v>
      </c>
      <c r="AI204" s="55">
        <f t="shared" si="196"/>
        <v>-6.8803041680484966</v>
      </c>
      <c r="AJ204" s="41">
        <f>'[2]побудинковий звіт'!AJ204+'[1]побудинковий звіт'!AJ204</f>
        <v>0</v>
      </c>
      <c r="AK204" s="41">
        <f>'[2]побудинковий звіт'!AK204+'[1]побудинковий звіт'!AK204</f>
        <v>0</v>
      </c>
      <c r="AL204" s="55">
        <f t="shared" si="197"/>
        <v>0</v>
      </c>
      <c r="AM204" s="41">
        <f>'[2]побудинковий звіт'!AM204+'[1]побудинковий звіт'!AM204</f>
        <v>0</v>
      </c>
      <c r="AN204" s="41">
        <f>'[2]побудинковий звіт'!AN204+'[1]побудинковий звіт'!AN204</f>
        <v>0</v>
      </c>
      <c r="AO204" s="55">
        <f t="shared" si="198"/>
        <v>0</v>
      </c>
      <c r="AP204" s="41">
        <f>'[2]побудинковий звіт'!AP204+'[1]побудинковий звіт'!AP204</f>
        <v>713.91974315844573</v>
      </c>
      <c r="AQ204" s="41">
        <f>'[2]побудинковий звіт'!AQ204+'[1]побудинковий звіт'!AQ204</f>
        <v>355.87354172815174</v>
      </c>
      <c r="AR204" s="55">
        <f t="shared" si="199"/>
        <v>-358.04620143029399</v>
      </c>
      <c r="AS204" s="41">
        <f>'[2]побудинковий звіт'!AS204+'[1]побудинковий звіт'!AS204</f>
        <v>6566.4944952796977</v>
      </c>
      <c r="AT204" s="41">
        <f>'[2]побудинковий звіт'!AT204+'[1]побудинковий звіт'!AT204</f>
        <v>3775.3204548542994</v>
      </c>
      <c r="AU204" s="57">
        <f t="shared" si="200"/>
        <v>-2791.1740404253983</v>
      </c>
      <c r="AV204" s="41">
        <f>'[2]побудинковий звіт'!AV204+'[1]побудинковий звіт'!AV204</f>
        <v>511.66402233513014</v>
      </c>
      <c r="AW204" s="41">
        <f>'[2]побудинковий звіт'!AW204+'[1]побудинковий звіт'!AW204</f>
        <v>0</v>
      </c>
      <c r="AX204" s="58">
        <f t="shared" si="201"/>
        <v>-511.66402233513014</v>
      </c>
      <c r="AY204" s="41">
        <f>'[2]побудинковий звіт'!AY204+'[1]побудинковий звіт'!AY204</f>
        <v>712.46679369138644</v>
      </c>
      <c r="AZ204" s="41">
        <f>'[2]побудинковий звіт'!AZ204+'[1]побудинковий звіт'!AZ204</f>
        <v>0</v>
      </c>
      <c r="BA204" s="36">
        <f t="shared" si="202"/>
        <v>-712.46679369138644</v>
      </c>
      <c r="BB204" s="41">
        <f>'[2]побудинковий звіт'!BB204+'[1]побудинковий звіт'!BB204</f>
        <v>309.93381562153877</v>
      </c>
      <c r="BC204" s="41">
        <f>'[2]побудинковий звіт'!BC204+'[1]побудинковий звіт'!BC204</f>
        <v>0</v>
      </c>
      <c r="BD204" s="58">
        <f t="shared" si="203"/>
        <v>-309.93381562153877</v>
      </c>
      <c r="BE204" s="41">
        <f>'[2]побудинковий звіт'!BE204+'[1]побудинковий звіт'!BE204</f>
        <v>0</v>
      </c>
      <c r="BF204" s="41">
        <f>'[2]побудинковий звіт'!BF204+'[1]побудинковий звіт'!BF204</f>
        <v>0</v>
      </c>
      <c r="BG204" s="38">
        <f t="shared" si="204"/>
        <v>0</v>
      </c>
      <c r="BH204" s="41">
        <f>'[2]побудинковий звіт'!BH204+'[1]побудинковий звіт'!BH204</f>
        <v>0</v>
      </c>
      <c r="BI204" s="41">
        <f>'[2]побудинковий звіт'!BI204+'[1]побудинковий звіт'!BI204</f>
        <v>0</v>
      </c>
      <c r="BJ204" s="58">
        <f t="shared" si="205"/>
        <v>0</v>
      </c>
      <c r="BK204" s="41">
        <f>'[2]побудинковий звіт'!BK204+'[1]побудинковий звіт'!BK204</f>
        <v>223.77403576434091</v>
      </c>
      <c r="BL204" s="41">
        <f>'[2]побудинковий звіт'!BL204+'[1]побудинковий звіт'!BL204</f>
        <v>0</v>
      </c>
      <c r="BM204" s="38">
        <f t="shared" si="206"/>
        <v>-223.77403576434091</v>
      </c>
      <c r="BN204" s="41">
        <f>'[2]побудинковий звіт'!BN204+'[1]побудинковий звіт'!BN204</f>
        <v>31.214014296485885</v>
      </c>
      <c r="BO204" s="41">
        <f>'[2]побудинковий звіт'!BO204+'[1]побудинковий звіт'!BO204</f>
        <v>0</v>
      </c>
      <c r="BP204" s="58">
        <f t="shared" si="207"/>
        <v>-31.214014296485885</v>
      </c>
      <c r="BQ204" s="84">
        <f t="shared" si="208"/>
        <v>1789.0526817088821</v>
      </c>
      <c r="BR204" s="42">
        <f t="shared" si="209"/>
        <v>0</v>
      </c>
      <c r="BS204" s="58">
        <f t="shared" si="210"/>
        <v>-1789.0526817088821</v>
      </c>
      <c r="BT204" s="41">
        <f>'[2]побудинковий звіт'!BT204+'[1]побудинковий звіт'!BT204</f>
        <v>7422.6489596672536</v>
      </c>
      <c r="BU204" s="41">
        <f>'[2]побудинковий звіт'!BU204+'[1]побудинковий звіт'!BU204</f>
        <v>10915.124539399834</v>
      </c>
      <c r="BV204" s="55">
        <f t="shared" si="211"/>
        <v>3492.4755797325806</v>
      </c>
      <c r="BW204" s="41">
        <f>'[2]побудинковий звіт'!BW204+'[1]побудинковий звіт'!BW204</f>
        <v>2982.8803042831146</v>
      </c>
      <c r="BX204" s="41">
        <f>'[2]побудинковий звіт'!BX204+'[1]побудинковий звіт'!BX204</f>
        <v>4583.7521315150034</v>
      </c>
      <c r="BY204" s="55">
        <f t="shared" si="212"/>
        <v>1600.8718272318888</v>
      </c>
      <c r="BZ204" s="41">
        <f>'[2]побудинковий звіт'!BZ204+'[1]побудинковий звіт'!BZ204</f>
        <v>2148.6711289714453</v>
      </c>
      <c r="CA204" s="41">
        <f>'[2]побудинковий звіт'!CA204+'[1]побудинковий звіт'!CA204</f>
        <v>1227.2503832624714</v>
      </c>
      <c r="CB204" s="55">
        <f t="shared" si="213"/>
        <v>-921.42074570897398</v>
      </c>
      <c r="CC204" s="41">
        <f>'[2]побудинковий звіт'!CC204+'[1]побудинковий звіт'!CC204</f>
        <v>0</v>
      </c>
      <c r="CD204" s="41">
        <f>'[2]побудинковий звіт'!CD204+'[1]побудинковий звіт'!CD204</f>
        <v>0</v>
      </c>
      <c r="CE204" s="55">
        <f t="shared" si="214"/>
        <v>0</v>
      </c>
      <c r="CF204" s="41">
        <f>'[2]побудинковий звіт'!CF204+'[1]побудинковий звіт'!CF204</f>
        <v>0</v>
      </c>
      <c r="CG204" s="41">
        <f>'[2]побудинковий звіт'!CG204+'[1]побудинковий звіт'!CG204</f>
        <v>0</v>
      </c>
      <c r="CH204" s="55">
        <f t="shared" si="215"/>
        <v>0</v>
      </c>
      <c r="CI204" s="41">
        <f>'[2]побудинковий звіт'!CI204+'[1]побудинковий звіт'!CI204</f>
        <v>893.61781946971712</v>
      </c>
      <c r="CJ204" s="41">
        <f>'[2]побудинковий звіт'!CJ204+'[1]побудинковий звіт'!CJ204</f>
        <v>414.69640007353303</v>
      </c>
      <c r="CK204" s="55">
        <f t="shared" si="216"/>
        <v>-478.92141939618409</v>
      </c>
      <c r="CL204" s="41">
        <f>'[2]побудинковий звіт'!CL204+'[1]побудинковий звіт'!CL204</f>
        <v>0</v>
      </c>
      <c r="CM204" s="41">
        <f>'[2]побудинковий звіт'!CM204+'[1]побудинковий звіт'!CM204</f>
        <v>0</v>
      </c>
      <c r="CN204" s="55">
        <f t="shared" si="217"/>
        <v>0</v>
      </c>
      <c r="CO204" s="41">
        <f t="shared" si="218"/>
        <v>893.61781946971712</v>
      </c>
      <c r="CP204" s="42">
        <f t="shared" si="219"/>
        <v>414.69640007353303</v>
      </c>
      <c r="CQ204" s="55">
        <f t="shared" si="220"/>
        <v>-478.92141939618409</v>
      </c>
      <c r="CR204" s="76">
        <f t="shared" si="221"/>
        <v>29839.967796403169</v>
      </c>
      <c r="CS204" s="5">
        <f t="shared" si="222"/>
        <v>28587.819810529862</v>
      </c>
      <c r="CT204" s="55">
        <f t="shared" si="223"/>
        <v>-1252.1479858733073</v>
      </c>
      <c r="CU204" s="84">
        <f t="shared" si="224"/>
        <v>35807.961355683801</v>
      </c>
      <c r="CV204" s="68">
        <f t="shared" si="225"/>
        <v>34305.383772635832</v>
      </c>
      <c r="CW204" s="36">
        <f t="shared" si="226"/>
        <v>-1502.5775830479688</v>
      </c>
      <c r="CX204" s="41">
        <f>'[2]побудинковий звіт'!CX204+'[1]побудинковий звіт'!CX204</f>
        <v>695.50521496808665</v>
      </c>
      <c r="CY204" s="41">
        <f>'[2]побудинковий звіт'!CY204+'[1]побудинковий звіт'!CY204</f>
        <v>2198.0827980160543</v>
      </c>
      <c r="CZ204" s="55">
        <f t="shared" si="227"/>
        <v>1502.5775830479677</v>
      </c>
      <c r="DA204" s="254">
        <f>'[1]побудинковий звіт'!DA204</f>
        <v>-11231.318638612436</v>
      </c>
      <c r="DB204" s="2">
        <v>2</v>
      </c>
      <c r="DC204" s="702">
        <f>'[1]побудинковий звіт'!DC204</f>
        <v>2164.23</v>
      </c>
      <c r="DD204" s="702">
        <f>'[1]побудинковий звіт'!DD204</f>
        <v>6909.24</v>
      </c>
      <c r="DE204" s="702">
        <f>'[1]побудинковий звіт'!DE204</f>
        <v>0</v>
      </c>
      <c r="DF204" s="702">
        <f>'[1]побудинковий звіт'!DF204</f>
        <v>5102.59</v>
      </c>
      <c r="DG204" s="772">
        <v>-4808.9967282758589</v>
      </c>
      <c r="DH204" s="746">
        <f t="shared" si="228"/>
        <v>438041.59884782264</v>
      </c>
      <c r="DI204" s="769"/>
      <c r="DJ204" s="5"/>
      <c r="DK204" s="307">
        <f>VLOOKUP($A204,ціни!$A$4:$G$401,5)</f>
        <v>6.6193110667870476</v>
      </c>
      <c r="DL204" s="307"/>
      <c r="DM204" s="307">
        <f>VLOOKUP($A204,ціни!$A$4:$G$401,7)</f>
        <v>5.4110289544240073</v>
      </c>
      <c r="DN204" s="29">
        <f t="shared" ref="DN204:DN212" si="237">F204*DK204</f>
        <v>1552.8903762682414</v>
      </c>
      <c r="DO204" s="29">
        <f t="shared" ref="DO204:DO212" si="238">H204*DM204</f>
        <v>1314.3389330295913</v>
      </c>
      <c r="DP204" s="306">
        <f t="shared" si="229"/>
        <v>2867.2293092978325</v>
      </c>
      <c r="DQ204" s="101"/>
      <c r="DR204" s="29">
        <f>VLOOKUP(A204,'ДЗ нас '!$A$1:$C$359,2)</f>
        <v>1552.89</v>
      </c>
      <c r="DS204" s="733">
        <f>VLOOKUP(A204,'ДЗ нежит'!$A$1:$D$153,4,0)</f>
        <v>1314.32</v>
      </c>
      <c r="DT204" s="29">
        <f t="shared" si="230"/>
        <v>2867.21</v>
      </c>
      <c r="DU204" s="247">
        <f>VLOOKUP(A204,'новий кошторис с 01.06'!$A$4:$AI$399,35)*1.2</f>
        <v>2884.9298163287881</v>
      </c>
      <c r="DV204" s="29">
        <f t="shared" si="231"/>
        <v>-17.719816328788056</v>
      </c>
      <c r="DW204" s="1016">
        <f>'[2]побудинковий звіт'!$DW$9+'[1]побудинковий звіт'!DW204</f>
        <v>918</v>
      </c>
      <c r="DX204" s="101">
        <f>'[1]побудинковий звіт'!DX204</f>
        <v>0</v>
      </c>
      <c r="DY204" s="5">
        <f t="shared" si="232"/>
        <v>10026.656612386296</v>
      </c>
      <c r="DZ204" s="5">
        <f t="shared" si="233"/>
        <v>4530.384545825159</v>
      </c>
      <c r="EA204" s="737">
        <f t="shared" si="234"/>
        <v>5102.59</v>
      </c>
      <c r="EC204" s="577">
        <f t="shared" si="235"/>
        <v>78797.933943356373</v>
      </c>
      <c r="EE204" s="743">
        <v>21122</v>
      </c>
      <c r="EF204" s="723">
        <f t="shared" si="236"/>
        <v>16313.003271724141</v>
      </c>
      <c r="EH204" s="798">
        <v>-10283.620673079651</v>
      </c>
      <c r="EI204" s="101">
        <f>VLOOKUP(A204,'кошти 01.01.24'!$A$9:$D$352,4,FALSE)</f>
        <v>-9728.7410555644637</v>
      </c>
    </row>
    <row r="205" spans="1:139" hidden="1" x14ac:dyDescent="0.3">
      <c r="A205" s="318">
        <v>150000951</v>
      </c>
      <c r="B205" s="43" t="s">
        <v>638</v>
      </c>
      <c r="C205" s="44" t="s">
        <v>170</v>
      </c>
      <c r="D205" s="44" t="s">
        <v>170</v>
      </c>
      <c r="E205" s="39">
        <f t="shared" si="185"/>
        <v>553.20000000000005</v>
      </c>
      <c r="F205" s="205">
        <f>'[1]побудинковий звіт'!F205</f>
        <v>553.20000000000005</v>
      </c>
      <c r="G205" s="29">
        <f>'[1]побудинковий звіт'!G205</f>
        <v>0</v>
      </c>
      <c r="H205" s="148">
        <f>'[1]побудинковий звіт'!H205</f>
        <v>0</v>
      </c>
      <c r="I205" s="41">
        <f>'[2]побудинковий звіт'!I205+'[1]побудинковий звіт'!I205</f>
        <v>0</v>
      </c>
      <c r="J205" s="41">
        <f>'[2]побудинковий звіт'!J205+'[1]побудинковий звіт'!J205</f>
        <v>0</v>
      </c>
      <c r="K205" s="55">
        <f t="shared" si="186"/>
        <v>0</v>
      </c>
      <c r="L205" s="41">
        <f>'[2]побудинковий звіт'!L205+'[1]побудинковий звіт'!L205</f>
        <v>0</v>
      </c>
      <c r="M205" s="41">
        <f>'[2]побудинковий звіт'!M205+'[1]побудинковий звіт'!M205</f>
        <v>0</v>
      </c>
      <c r="N205" s="55">
        <f t="shared" si="187"/>
        <v>0</v>
      </c>
      <c r="O205" s="41">
        <f>'[2]побудинковий звіт'!O205+'[1]побудинковий звіт'!O205</f>
        <v>0</v>
      </c>
      <c r="P205" s="41">
        <f>'[2]побудинковий звіт'!P205+'[1]побудинковий звіт'!P205</f>
        <v>0</v>
      </c>
      <c r="Q205" s="55">
        <f t="shared" si="188"/>
        <v>0</v>
      </c>
      <c r="R205" s="41">
        <f>'[2]побудинковий звіт'!R205+'[1]побудинковий звіт'!R205</f>
        <v>0</v>
      </c>
      <c r="S205" s="41">
        <f>'[2]побудинковий звіт'!S205+'[1]побудинковий звіт'!S205</f>
        <v>0</v>
      </c>
      <c r="T205" s="55">
        <f t="shared" si="189"/>
        <v>0</v>
      </c>
      <c r="U205" s="41">
        <f>'[2]побудинковий звіт'!U205+'[1]побудинковий звіт'!U205</f>
        <v>0</v>
      </c>
      <c r="V205" s="41">
        <f>'[2]побудинковий звіт'!V205+'[1]побудинковий звіт'!V205</f>
        <v>0</v>
      </c>
      <c r="W205" s="55">
        <f t="shared" si="190"/>
        <v>0</v>
      </c>
      <c r="X205" s="41">
        <f>'[2]побудинковий звіт'!X205+'[1]побудинковий звіт'!X205</f>
        <v>1160.4856442250057</v>
      </c>
      <c r="Y205" s="41">
        <f>'[2]побудинковий звіт'!Y205+'[1]побудинковий звіт'!Y205</f>
        <v>823.81936879160571</v>
      </c>
      <c r="Z205" s="55">
        <f t="shared" si="191"/>
        <v>-336.66627543339996</v>
      </c>
      <c r="AA205" s="41">
        <f>'[2]побудинковий звіт'!AA205+'[1]побудинковий звіт'!AA205</f>
        <v>0</v>
      </c>
      <c r="AB205" s="41">
        <f>'[2]побудинковий звіт'!AB205+'[1]побудинковий звіт'!AB205</f>
        <v>0</v>
      </c>
      <c r="AC205" s="55">
        <f t="shared" si="192"/>
        <v>0</v>
      </c>
      <c r="AD205" s="41">
        <f>'[2]побудинковий звіт'!AD205+'[1]побудинковий звіт'!AD205</f>
        <v>2399.4010891240059</v>
      </c>
      <c r="AE205" s="41">
        <f>'[2]побудинковий звіт'!AE205+'[1]побудинковий звіт'!AE205</f>
        <v>2390.0691696140357</v>
      </c>
      <c r="AF205" s="36">
        <f t="shared" si="193"/>
        <v>-9.3319195099702483</v>
      </c>
      <c r="AG205" s="84">
        <f t="shared" si="194"/>
        <v>3559.8867333490116</v>
      </c>
      <c r="AH205" s="56">
        <f t="shared" si="195"/>
        <v>3213.8885384056412</v>
      </c>
      <c r="AI205" s="55">
        <f t="shared" si="196"/>
        <v>-345.99819494337044</v>
      </c>
      <c r="AJ205" s="41">
        <f>'[2]побудинковий звіт'!AJ205+'[1]побудинковий звіт'!AJ205</f>
        <v>0</v>
      </c>
      <c r="AK205" s="41">
        <f>'[2]побудинковий звіт'!AK205+'[1]побудинковий звіт'!AK205</f>
        <v>0</v>
      </c>
      <c r="AL205" s="55">
        <f t="shared" si="197"/>
        <v>0</v>
      </c>
      <c r="AM205" s="41">
        <f>'[2]побудинковий звіт'!AM205+'[1]побудинковий звіт'!AM205</f>
        <v>0</v>
      </c>
      <c r="AN205" s="41">
        <f>'[2]побудинковий звіт'!AN205+'[1]побудинковий звіт'!AN205</f>
        <v>0</v>
      </c>
      <c r="AO205" s="55">
        <f t="shared" si="198"/>
        <v>0</v>
      </c>
      <c r="AP205" s="41">
        <f>'[2]побудинковий звіт'!AP205+'[1]побудинковий звіт'!AP205</f>
        <v>983.21911912071425</v>
      </c>
      <c r="AQ205" s="41">
        <f>'[2]побудинковий звіт'!AQ205+'[1]побудинковий звіт'!AQ205</f>
        <v>324.31579605062296</v>
      </c>
      <c r="AR205" s="55">
        <f t="shared" si="199"/>
        <v>-658.90332307009135</v>
      </c>
      <c r="AS205" s="41">
        <f>'[2]побудинковий звіт'!AS205+'[1]побудинковий звіт'!AS205</f>
        <v>5468.1689332982378</v>
      </c>
      <c r="AT205" s="41">
        <f>'[2]побудинковий звіт'!AT205+'[1]побудинковий звіт'!AT205</f>
        <v>0</v>
      </c>
      <c r="AU205" s="57">
        <f t="shared" si="200"/>
        <v>-5468.1689332982378</v>
      </c>
      <c r="AV205" s="41">
        <f>'[2]побудинковий звіт'!AV205+'[1]побудинковий звіт'!AV205</f>
        <v>0</v>
      </c>
      <c r="AW205" s="41">
        <f>'[2]побудинковий звіт'!AW205+'[1]побудинковий звіт'!AW205</f>
        <v>0</v>
      </c>
      <c r="AX205" s="58">
        <f t="shared" si="201"/>
        <v>0</v>
      </c>
      <c r="AY205" s="41">
        <f>'[2]побудинковий звіт'!AY205+'[1]побудинковий звіт'!AY205</f>
        <v>0</v>
      </c>
      <c r="AZ205" s="41">
        <f>'[2]побудинковий звіт'!AZ205+'[1]побудинковий звіт'!AZ205</f>
        <v>0</v>
      </c>
      <c r="BA205" s="36">
        <f t="shared" si="202"/>
        <v>0</v>
      </c>
      <c r="BB205" s="41">
        <f>'[2]побудинковий звіт'!BB205+'[1]побудинковий звіт'!BB205</f>
        <v>0</v>
      </c>
      <c r="BC205" s="41">
        <f>'[2]побудинковий звіт'!BC205+'[1]побудинковий звіт'!BC205</f>
        <v>0</v>
      </c>
      <c r="BD205" s="58">
        <f t="shared" si="203"/>
        <v>0</v>
      </c>
      <c r="BE205" s="41">
        <f>'[2]побудинковий звіт'!BE205+'[1]побудинковий звіт'!BE205</f>
        <v>0</v>
      </c>
      <c r="BF205" s="41">
        <f>'[2]побудинковий звіт'!BF205+'[1]побудинковий звіт'!BF205</f>
        <v>0</v>
      </c>
      <c r="BG205" s="38">
        <f t="shared" si="204"/>
        <v>0</v>
      </c>
      <c r="BH205" s="41">
        <f>'[2]побудинковий звіт'!BH205+'[1]побудинковий звіт'!BH205</f>
        <v>0</v>
      </c>
      <c r="BI205" s="41">
        <f>'[2]побудинковий звіт'!BI205+'[1]побудинковий звіт'!BI205</f>
        <v>0</v>
      </c>
      <c r="BJ205" s="58">
        <f t="shared" si="205"/>
        <v>0</v>
      </c>
      <c r="BK205" s="41">
        <f>'[2]побудинковий звіт'!BK205+'[1]побудинковий звіт'!BK205</f>
        <v>151.97182225110043</v>
      </c>
      <c r="BL205" s="41">
        <f>'[2]побудинковий звіт'!BL205+'[1]побудинковий звіт'!BL205</f>
        <v>0</v>
      </c>
      <c r="BM205" s="38">
        <f t="shared" si="206"/>
        <v>-151.97182225110043</v>
      </c>
      <c r="BN205" s="41">
        <f>'[2]побудинковий звіт'!BN205+'[1]побудинковий звіт'!BN205</f>
        <v>136.54302887675732</v>
      </c>
      <c r="BO205" s="41">
        <f>'[2]побудинковий звіт'!BO205+'[1]побудинковий звіт'!BO205</f>
        <v>0</v>
      </c>
      <c r="BP205" s="58">
        <f t="shared" si="207"/>
        <v>-136.54302887675732</v>
      </c>
      <c r="BQ205" s="84">
        <f t="shared" si="208"/>
        <v>288.51485112785775</v>
      </c>
      <c r="BR205" s="42">
        <f t="shared" si="209"/>
        <v>0</v>
      </c>
      <c r="BS205" s="58">
        <f t="shared" si="210"/>
        <v>-288.51485112785775</v>
      </c>
      <c r="BT205" s="41">
        <f>'[2]побудинковий звіт'!BT205+'[1]побудинковий звіт'!BT205</f>
        <v>0</v>
      </c>
      <c r="BU205" s="41">
        <f>'[2]побудинковий звіт'!BU205+'[1]побудинковий звіт'!BU205</f>
        <v>0</v>
      </c>
      <c r="BV205" s="55">
        <f t="shared" si="211"/>
        <v>0</v>
      </c>
      <c r="BW205" s="41">
        <f>'[2]побудинковий звіт'!BW205+'[1]побудинковий звіт'!BW205</f>
        <v>0</v>
      </c>
      <c r="BX205" s="41">
        <f>'[2]побудинковий звіт'!BX205+'[1]побудинковий звіт'!BX205</f>
        <v>2.2516856390581426</v>
      </c>
      <c r="BY205" s="55">
        <f t="shared" si="212"/>
        <v>2.2516856390581426</v>
      </c>
      <c r="BZ205" s="41">
        <f>'[2]побудинковий звіт'!BZ205+'[1]побудинковий звіт'!BZ205</f>
        <v>0</v>
      </c>
      <c r="CA205" s="41">
        <f>'[2]побудинковий звіт'!CA205+'[1]побудинковий звіт'!CA205</f>
        <v>0</v>
      </c>
      <c r="CB205" s="55">
        <f t="shared" si="213"/>
        <v>0</v>
      </c>
      <c r="CC205" s="41">
        <f>'[2]побудинковий звіт'!CC205+'[1]побудинковий звіт'!CC205</f>
        <v>0</v>
      </c>
      <c r="CD205" s="41">
        <f>'[2]побудинковий звіт'!CD205+'[1]побудинковий звіт'!CD205</f>
        <v>0</v>
      </c>
      <c r="CE205" s="55">
        <f t="shared" si="214"/>
        <v>0</v>
      </c>
      <c r="CF205" s="41">
        <f>'[2]побудинковий звіт'!CF205+'[1]побудинковий звіт'!CF205</f>
        <v>0</v>
      </c>
      <c r="CG205" s="41">
        <f>'[2]побудинковий звіт'!CG205+'[1]побудинковий звіт'!CG205</f>
        <v>0</v>
      </c>
      <c r="CH205" s="55">
        <f t="shared" si="215"/>
        <v>0</v>
      </c>
      <c r="CI205" s="41">
        <f>'[2]побудинковий звіт'!CI205+'[1]побудинковий звіт'!CI205</f>
        <v>7.5658548759200954</v>
      </c>
      <c r="CJ205" s="41">
        <f>'[2]побудинковий звіт'!CJ205+'[1]побудинковий звіт'!CJ205</f>
        <v>2.4731035655487452</v>
      </c>
      <c r="CK205" s="55">
        <f t="shared" si="216"/>
        <v>-5.0927513103713498</v>
      </c>
      <c r="CL205" s="41">
        <f>'[2]побудинковий звіт'!CL205+'[1]побудинковий звіт'!CL205</f>
        <v>0</v>
      </c>
      <c r="CM205" s="41">
        <f>'[2]побудинковий звіт'!CM205+'[1]побудинковий звіт'!CM205</f>
        <v>0</v>
      </c>
      <c r="CN205" s="55">
        <f t="shared" si="217"/>
        <v>0</v>
      </c>
      <c r="CO205" s="41">
        <f t="shared" si="218"/>
        <v>7.5658548759200954</v>
      </c>
      <c r="CP205" s="42">
        <f t="shared" si="219"/>
        <v>2.4731035655487452</v>
      </c>
      <c r="CQ205" s="55">
        <f t="shared" si="220"/>
        <v>-5.0927513103713498</v>
      </c>
      <c r="CR205" s="76">
        <f t="shared" si="221"/>
        <v>10307.355491771743</v>
      </c>
      <c r="CS205" s="5">
        <f t="shared" si="222"/>
        <v>3542.9291236608706</v>
      </c>
      <c r="CT205" s="55">
        <f t="shared" si="223"/>
        <v>-6764.4263681108723</v>
      </c>
      <c r="CU205" s="84">
        <f t="shared" si="224"/>
        <v>12368.826590126091</v>
      </c>
      <c r="CV205" s="68">
        <f t="shared" si="225"/>
        <v>4251.5149483930445</v>
      </c>
      <c r="CW205" s="36">
        <f t="shared" si="226"/>
        <v>-8117.3116417330466</v>
      </c>
      <c r="CX205" s="41">
        <f>'[2]побудинковий звіт'!CX205+'[1]побудинковий звіт'!CX205</f>
        <v>372.49462577987924</v>
      </c>
      <c r="CY205" s="41">
        <f>'[2]побудинковий звіт'!CY205+'[1]побудинковий звіт'!CY205</f>
        <v>8489.8062675129222</v>
      </c>
      <c r="CZ205" s="55">
        <f t="shared" si="227"/>
        <v>8117.311641733043</v>
      </c>
      <c r="DA205" s="254">
        <f>'[1]побудинковий звіт'!DA205</f>
        <v>226289.87131469612</v>
      </c>
      <c r="DB205" s="2">
        <v>1</v>
      </c>
      <c r="DC205" s="702">
        <f>'[1]побудинковий звіт'!DC205</f>
        <v>4852.5200000000004</v>
      </c>
      <c r="DD205" s="702">
        <f>'[1]побудинковий звіт'!DD205</f>
        <v>0</v>
      </c>
      <c r="DE205" s="702">
        <f>'[1]побудинковий звіт'!DE205</f>
        <v>3452.5300000000007</v>
      </c>
      <c r="DF205" s="702">
        <f>'[1]побудинковий звіт'!DF205</f>
        <v>0</v>
      </c>
      <c r="DG205" s="772">
        <v>-11849.221076588219</v>
      </c>
      <c r="DH205" s="746">
        <f t="shared" si="228"/>
        <v>152895.85459087163</v>
      </c>
      <c r="DI205" s="769"/>
      <c r="DJ205" s="5"/>
      <c r="DK205" s="307">
        <f>VLOOKUP($A205,ціни!$A$4:$G$401,5)</f>
        <v>1.8043309708955932</v>
      </c>
      <c r="DL205" s="307"/>
      <c r="DM205" s="307">
        <f>VLOOKUP($A205,ціни!$A$4:$G$401,7)</f>
        <v>1.8043309708955932</v>
      </c>
      <c r="DN205" s="29">
        <f t="shared" si="237"/>
        <v>998.15589309944221</v>
      </c>
      <c r="DO205" s="29">
        <f t="shared" si="238"/>
        <v>0</v>
      </c>
      <c r="DP205" s="306">
        <f t="shared" si="229"/>
        <v>998.15589309944221</v>
      </c>
      <c r="DQ205" s="101"/>
      <c r="DR205" s="29">
        <f>VLOOKUP(A205,'ДЗ нас '!$A$1:$C$359,2)</f>
        <v>998.15</v>
      </c>
      <c r="DS205" s="733"/>
      <c r="DT205" s="29">
        <f t="shared" si="230"/>
        <v>998.15</v>
      </c>
      <c r="DU205" s="247">
        <f>VLOOKUP(A205,'новий кошторис с 01.06'!$A$4:$AI$399,35)*1.2</f>
        <v>1003.0249462365128</v>
      </c>
      <c r="DV205" s="29">
        <f t="shared" si="231"/>
        <v>-4.8749462365128693</v>
      </c>
      <c r="DW205" s="1016">
        <f>'[2]побудинковий звіт'!$DW$9+'[1]побудинковий звіт'!DW205</f>
        <v>0</v>
      </c>
      <c r="DX205" s="101">
        <f>'[1]побудинковий звіт'!DX205</f>
        <v>0</v>
      </c>
      <c r="DY205" s="5">
        <f t="shared" si="232"/>
        <v>6908.0205413113144</v>
      </c>
      <c r="DZ205" s="5">
        <f t="shared" si="233"/>
        <v>0</v>
      </c>
      <c r="EA205" s="737">
        <f t="shared" si="234"/>
        <v>3452.5300000000007</v>
      </c>
      <c r="EC205" s="577">
        <f t="shared" si="235"/>
        <v>65618.02719957885</v>
      </c>
      <c r="EE205" s="743">
        <v>876</v>
      </c>
      <c r="EF205" s="723">
        <f t="shared" si="236"/>
        <v>-10973.221076588219</v>
      </c>
      <c r="EH205" s="798">
        <v>240639.93380551704</v>
      </c>
      <c r="EI205" s="101">
        <f>VLOOKUP(A205,'кошти 01.01.24'!$A$9:$D$352,4,FALSE)</f>
        <v>234407.18295642917</v>
      </c>
    </row>
    <row r="206" spans="1:139" hidden="1" x14ac:dyDescent="0.3">
      <c r="A206" s="318">
        <v>150000954</v>
      </c>
      <c r="B206" s="43" t="s">
        <v>639</v>
      </c>
      <c r="C206" s="44" t="s">
        <v>171</v>
      </c>
      <c r="D206" s="44" t="s">
        <v>171</v>
      </c>
      <c r="E206" s="39">
        <f t="shared" si="185"/>
        <v>358.84</v>
      </c>
      <c r="F206" s="205">
        <f>'[1]побудинковий звіт'!F206</f>
        <v>358.84</v>
      </c>
      <c r="G206" s="29">
        <f>'[1]побудинковий звіт'!G206</f>
        <v>0</v>
      </c>
      <c r="H206" s="148">
        <f>'[1]побудинковий звіт'!H206</f>
        <v>0</v>
      </c>
      <c r="I206" s="41">
        <f>'[2]побудинковий звіт'!I206+'[1]побудинковий звіт'!I206</f>
        <v>1284.9773637889384</v>
      </c>
      <c r="J206" s="41">
        <f>'[2]побудинковий звіт'!J206+'[1]побудинковий звіт'!J206</f>
        <v>1014.2574541938944</v>
      </c>
      <c r="K206" s="55">
        <f t="shared" si="186"/>
        <v>-270.71990959504399</v>
      </c>
      <c r="L206" s="41">
        <f>'[2]побудинковий звіт'!L206+'[1]побудинковий звіт'!L206</f>
        <v>256.40937477082662</v>
      </c>
      <c r="M206" s="41">
        <f>'[2]побудинковий звіт'!M206+'[1]побудинковий звіт'!M206</f>
        <v>214.64895473983526</v>
      </c>
      <c r="N206" s="55">
        <f t="shared" si="187"/>
        <v>-41.760420030991355</v>
      </c>
      <c r="O206" s="41">
        <f>'[2]побудинковий звіт'!O206+'[1]побудинковий звіт'!O206</f>
        <v>565.49154739984692</v>
      </c>
      <c r="P206" s="41">
        <f>'[2]побудинковий звіт'!P206+'[1]побудинковий звіт'!P206</f>
        <v>566.8342604208915</v>
      </c>
      <c r="Q206" s="55">
        <f t="shared" si="188"/>
        <v>1.3427130210445739</v>
      </c>
      <c r="R206" s="41">
        <f>'[2]побудинковий звіт'!R206+'[1]побудинковий звіт'!R206</f>
        <v>0</v>
      </c>
      <c r="S206" s="41">
        <f>'[2]побудинковий звіт'!S206+'[1]побудинковий звіт'!S206</f>
        <v>0</v>
      </c>
      <c r="T206" s="55">
        <f t="shared" si="189"/>
        <v>0</v>
      </c>
      <c r="U206" s="41">
        <f>'[2]побудинковий звіт'!U206+'[1]побудинковий звіт'!U206</f>
        <v>0</v>
      </c>
      <c r="V206" s="41">
        <f>'[2]побудинковий звіт'!V206+'[1]побудинковий звіт'!V206</f>
        <v>0</v>
      </c>
      <c r="W206" s="55">
        <f t="shared" si="190"/>
        <v>0</v>
      </c>
      <c r="X206" s="41">
        <f>'[2]побудинковий звіт'!X206+'[1]побудинковий звіт'!X206</f>
        <v>870.93252466416948</v>
      </c>
      <c r="Y206" s="41">
        <f>'[2]побудинковий звіт'!Y206+'[1]побудинковий звіт'!Y206</f>
        <v>2633.2235281588341</v>
      </c>
      <c r="Z206" s="55">
        <f t="shared" si="191"/>
        <v>1762.2910034946647</v>
      </c>
      <c r="AA206" s="41">
        <f>'[2]побудинковий звіт'!AA206+'[1]побудинковий звіт'!AA206</f>
        <v>0</v>
      </c>
      <c r="AB206" s="41">
        <f>'[2]побудинковий звіт'!AB206+'[1]побудинковий звіт'!AB206</f>
        <v>0</v>
      </c>
      <c r="AC206" s="55">
        <f t="shared" si="192"/>
        <v>0</v>
      </c>
      <c r="AD206" s="41">
        <f>'[2]побудинковий звіт'!AD206+'[1]побудинковий звіт'!AD206</f>
        <v>1556.4010969292449</v>
      </c>
      <c r="AE206" s="41">
        <f>'[2]побудинковий звіт'!AE206+'[1]побудинковий звіт'!AE206</f>
        <v>1550.3478322926617</v>
      </c>
      <c r="AF206" s="36">
        <f t="shared" si="193"/>
        <v>-6.0532646365832079</v>
      </c>
      <c r="AG206" s="84">
        <f t="shared" si="194"/>
        <v>4534.2119075530263</v>
      </c>
      <c r="AH206" s="56">
        <f t="shared" si="195"/>
        <v>5979.3120298061167</v>
      </c>
      <c r="AI206" s="55">
        <f t="shared" si="196"/>
        <v>1445.1001222530904</v>
      </c>
      <c r="AJ206" s="41">
        <f>'[2]побудинковий звіт'!AJ206+'[1]побудинковий звіт'!AJ206</f>
        <v>0</v>
      </c>
      <c r="AK206" s="41">
        <f>'[2]побудинковий звіт'!AK206+'[1]побудинковий звіт'!AK206</f>
        <v>0</v>
      </c>
      <c r="AL206" s="55">
        <f t="shared" si="197"/>
        <v>0</v>
      </c>
      <c r="AM206" s="41">
        <f>'[2]побудинковий звіт'!AM206+'[1]побудинковий звіт'!AM206</f>
        <v>0</v>
      </c>
      <c r="AN206" s="41">
        <f>'[2]побудинковий звіт'!AN206+'[1]побудинковий звіт'!AN206</f>
        <v>0</v>
      </c>
      <c r="AO206" s="55">
        <f t="shared" si="198"/>
        <v>0</v>
      </c>
      <c r="AP206" s="41">
        <f>'[2]побудинковий звіт'!AP206+'[1]побудинковий звіт'!AP206</f>
        <v>792.47835432416332</v>
      </c>
      <c r="AQ206" s="41">
        <f>'[2]побудинковий звіт'!AQ206+'[1]побудинковий звіт'!AQ206</f>
        <v>517.83644540851492</v>
      </c>
      <c r="AR206" s="55">
        <f t="shared" si="199"/>
        <v>-274.6419089156484</v>
      </c>
      <c r="AS206" s="41">
        <f>'[2]побудинковий звіт'!AS206+'[1]побудинковий звіт'!AS206</f>
        <v>7996.418431202208</v>
      </c>
      <c r="AT206" s="41">
        <f>'[2]побудинковий звіт'!AT206+'[1]побудинковий звіт'!AT206</f>
        <v>0</v>
      </c>
      <c r="AU206" s="57">
        <f t="shared" si="200"/>
        <v>-7996.418431202208</v>
      </c>
      <c r="AV206" s="41">
        <f>'[2]побудинковий звіт'!AV206+'[1]побудинковий звіт'!AV206</f>
        <v>242.84615679294691</v>
      </c>
      <c r="AW206" s="41">
        <f>'[2]побудинковий звіт'!AW206+'[1]побудинковий звіт'!AW206</f>
        <v>0</v>
      </c>
      <c r="AX206" s="58">
        <f t="shared" si="201"/>
        <v>-242.84615679294691</v>
      </c>
      <c r="AY206" s="41">
        <f>'[2]побудинковий звіт'!AY206+'[1]побудинковий звіт'!AY206</f>
        <v>334.29431476974378</v>
      </c>
      <c r="AZ206" s="41">
        <f>'[2]побудинковий звіт'!AZ206+'[1]побудинковий звіт'!AZ206</f>
        <v>0</v>
      </c>
      <c r="BA206" s="36">
        <f t="shared" si="202"/>
        <v>-334.29431476974378</v>
      </c>
      <c r="BB206" s="41">
        <f>'[2]побудинковий звіт'!BB206+'[1]побудинковий звіт'!BB206</f>
        <v>256.43601789069533</v>
      </c>
      <c r="BC206" s="41">
        <f>'[2]побудинковий звіт'!BC206+'[1]побудинковий звіт'!BC206</f>
        <v>0</v>
      </c>
      <c r="BD206" s="58">
        <f t="shared" si="203"/>
        <v>-256.43601789069533</v>
      </c>
      <c r="BE206" s="41">
        <f>'[2]побудинковий звіт'!BE206+'[1]побудинковий звіт'!BE206</f>
        <v>0</v>
      </c>
      <c r="BF206" s="41">
        <f>'[2]побудинковий звіт'!BF206+'[1]побудинковий звіт'!BF206</f>
        <v>0</v>
      </c>
      <c r="BG206" s="38">
        <f t="shared" si="204"/>
        <v>0</v>
      </c>
      <c r="BH206" s="41">
        <f>'[2]побудинковий звіт'!BH206+'[1]побудинковий звіт'!BH206</f>
        <v>0</v>
      </c>
      <c r="BI206" s="41">
        <f>'[2]побудинковий звіт'!BI206+'[1]побудинковий звіт'!BI206</f>
        <v>0</v>
      </c>
      <c r="BJ206" s="58">
        <f t="shared" si="205"/>
        <v>0</v>
      </c>
      <c r="BK206" s="41">
        <f>'[2]побудинковий звіт'!BK206+'[1]побудинковий звіт'!BK206</f>
        <v>254.78838908153182</v>
      </c>
      <c r="BL206" s="41">
        <f>'[2]побудинковий звіт'!BL206+'[1]побудинковий звіт'!BL206</f>
        <v>0</v>
      </c>
      <c r="BM206" s="38">
        <f t="shared" si="206"/>
        <v>-254.78838908153182</v>
      </c>
      <c r="BN206" s="41">
        <f>'[2]побудинковий звіт'!BN206+'[1]побудинковий звіт'!BN206</f>
        <v>144.06776429931156</v>
      </c>
      <c r="BO206" s="41">
        <f>'[2]побудинковий звіт'!BO206+'[1]побудинковий звіт'!BO206</f>
        <v>576.08846680399995</v>
      </c>
      <c r="BP206" s="58">
        <f t="shared" si="207"/>
        <v>432.02070250468842</v>
      </c>
      <c r="BQ206" s="84">
        <f t="shared" si="208"/>
        <v>1232.4326428342295</v>
      </c>
      <c r="BR206" s="42">
        <f t="shared" si="209"/>
        <v>576.08846680399995</v>
      </c>
      <c r="BS206" s="58">
        <f t="shared" si="210"/>
        <v>-656.34417603022951</v>
      </c>
      <c r="BT206" s="41">
        <f>'[2]побудинковий звіт'!BT206+'[1]побудинковий звіт'!BT206</f>
        <v>0</v>
      </c>
      <c r="BU206" s="41">
        <f>'[2]побудинковий звіт'!BU206+'[1]побудинковий звіт'!BU206</f>
        <v>0</v>
      </c>
      <c r="BV206" s="55">
        <f t="shared" si="211"/>
        <v>0</v>
      </c>
      <c r="BW206" s="41">
        <f>'[2]побудинковий звіт'!BW206+'[1]побудинковий звіт'!BW206</f>
        <v>317.94657883535558</v>
      </c>
      <c r="BX206" s="41">
        <f>'[2]побудинковий звіт'!BX206+'[1]побудинковий звіт'!BX206</f>
        <v>302.54200539852116</v>
      </c>
      <c r="BY206" s="55">
        <f t="shared" si="212"/>
        <v>-15.404573436834426</v>
      </c>
      <c r="BZ206" s="41">
        <f>'[2]побудинковий звіт'!BZ206+'[1]побудинковий звіт'!BZ206</f>
        <v>0</v>
      </c>
      <c r="CA206" s="41">
        <f>'[2]побудинковий звіт'!CA206+'[1]побудинковий звіт'!CA206</f>
        <v>0</v>
      </c>
      <c r="CB206" s="55">
        <f t="shared" si="213"/>
        <v>0</v>
      </c>
      <c r="CC206" s="41">
        <f>'[2]побудинковий звіт'!CC206+'[1]побудинковий звіт'!CC206</f>
        <v>0</v>
      </c>
      <c r="CD206" s="41">
        <f>'[2]побудинковий звіт'!CD206+'[1]побудинковий звіт'!CD206</f>
        <v>0</v>
      </c>
      <c r="CE206" s="55">
        <f t="shared" si="214"/>
        <v>0</v>
      </c>
      <c r="CF206" s="41">
        <f>'[2]побудинковий звіт'!CF206+'[1]побудинковий звіт'!CF206</f>
        <v>0</v>
      </c>
      <c r="CG206" s="41">
        <f>'[2]побудинковий звіт'!CG206+'[1]побудинковий звіт'!CG206</f>
        <v>0</v>
      </c>
      <c r="CH206" s="55">
        <f t="shared" si="215"/>
        <v>0</v>
      </c>
      <c r="CI206" s="41">
        <f>'[2]побудинковий звіт'!CI206+'[1]побудинковий звіт'!CI206</f>
        <v>898.69484525645112</v>
      </c>
      <c r="CJ206" s="41">
        <f>'[2]побудинковий звіт'!CJ206+'[1]побудинковий звіт'!CJ206</f>
        <v>667.06590866206193</v>
      </c>
      <c r="CK206" s="55">
        <f t="shared" si="216"/>
        <v>-231.62893659438919</v>
      </c>
      <c r="CL206" s="41">
        <f>'[2]побудинковий звіт'!CL206+'[1]побудинковий звіт'!CL206</f>
        <v>0</v>
      </c>
      <c r="CM206" s="41">
        <f>'[2]побудинковий звіт'!CM206+'[1]побудинковий звіт'!CM206</f>
        <v>0</v>
      </c>
      <c r="CN206" s="55">
        <f t="shared" si="217"/>
        <v>0</v>
      </c>
      <c r="CO206" s="41">
        <f t="shared" si="218"/>
        <v>898.69484525645112</v>
      </c>
      <c r="CP206" s="42">
        <f t="shared" si="219"/>
        <v>667.06590866206193</v>
      </c>
      <c r="CQ206" s="55">
        <f t="shared" si="220"/>
        <v>-231.62893659438919</v>
      </c>
      <c r="CR206" s="76">
        <f t="shared" si="221"/>
        <v>15772.182760005435</v>
      </c>
      <c r="CS206" s="5">
        <f t="shared" si="222"/>
        <v>8042.844856079214</v>
      </c>
      <c r="CT206" s="55">
        <f t="shared" si="223"/>
        <v>-7729.3379039262209</v>
      </c>
      <c r="CU206" s="84">
        <f t="shared" si="224"/>
        <v>18926.619312006522</v>
      </c>
      <c r="CV206" s="68">
        <f t="shared" si="225"/>
        <v>9651.4138272950568</v>
      </c>
      <c r="CW206" s="36">
        <f t="shared" si="226"/>
        <v>-9275.205484711465</v>
      </c>
      <c r="CX206" s="41">
        <f>'[2]побудинковий звіт'!CX206+'[1]побудинковий звіт'!CX206</f>
        <v>569.51513983832024</v>
      </c>
      <c r="CY206" s="41">
        <f>'[2]побудинковий звіт'!CY206+'[1]побудинковий звіт'!CY206</f>
        <v>9844.7206245497837</v>
      </c>
      <c r="CZ206" s="55">
        <f t="shared" si="227"/>
        <v>9275.2054847114632</v>
      </c>
      <c r="DA206" s="254">
        <f>'[1]побудинковий звіт'!DA206</f>
        <v>-51117.519768003265</v>
      </c>
      <c r="DB206" s="2">
        <v>1</v>
      </c>
      <c r="DC206" s="702">
        <f>'[1]побудинковий звіт'!DC206</f>
        <v>5904.88</v>
      </c>
      <c r="DD206" s="702">
        <f>'[1]побудинковий звіт'!DD206</f>
        <v>0</v>
      </c>
      <c r="DE206" s="702">
        <f>'[1]побудинковий звіт'!DE206</f>
        <v>3772.2200000000003</v>
      </c>
      <c r="DF206" s="702">
        <f>'[1]побудинковий звіт'!DF206</f>
        <v>0</v>
      </c>
      <c r="DG206" s="772">
        <v>-23951.59063361603</v>
      </c>
      <c r="DH206" s="746">
        <f t="shared" si="228"/>
        <v>233953.61342213809</v>
      </c>
      <c r="DI206" s="769"/>
      <c r="DJ206" s="5"/>
      <c r="DK206" s="307">
        <f>VLOOKUP($A206,ціни!$A$4:$G$401,5)</f>
        <v>4.2613214273511044</v>
      </c>
      <c r="DL206" s="307"/>
      <c r="DM206" s="307">
        <f>VLOOKUP($A206,ціни!$A$4:$G$401,7)</f>
        <v>4.1999855776374595</v>
      </c>
      <c r="DN206" s="29">
        <f t="shared" si="237"/>
        <v>1529.1325809906702</v>
      </c>
      <c r="DO206" s="29">
        <f t="shared" si="238"/>
        <v>0</v>
      </c>
      <c r="DP206" s="306">
        <f t="shared" si="229"/>
        <v>1529.1325809906702</v>
      </c>
      <c r="DQ206" s="101"/>
      <c r="DR206" s="29">
        <f>VLOOKUP(A206,'ДЗ нас '!$A$1:$C$359,2)</f>
        <v>1529.12</v>
      </c>
      <c r="DS206" s="733"/>
      <c r="DT206" s="29">
        <f t="shared" si="230"/>
        <v>1529.12</v>
      </c>
      <c r="DU206" s="247">
        <f>VLOOKUP(A206,'новий кошторис с 01.06'!$A$4:$AI$399,35)*1.2</f>
        <v>1536.5917643125761</v>
      </c>
      <c r="DV206" s="29">
        <f t="shared" si="231"/>
        <v>-7.4717643125761697</v>
      </c>
      <c r="DW206" s="1016">
        <f>'[2]побудинковий звіт'!$DW$9+'[1]побудинковий звіт'!DW206</f>
        <v>0</v>
      </c>
      <c r="DX206" s="101">
        <f>'[1]побудинковий звіт'!DX206</f>
        <v>0</v>
      </c>
      <c r="DY206" s="5">
        <f t="shared" si="232"/>
        <v>11074.621288843726</v>
      </c>
      <c r="DZ206" s="5">
        <f t="shared" si="233"/>
        <v>691.30616016479996</v>
      </c>
      <c r="EA206" s="737">
        <f t="shared" si="234"/>
        <v>3772.2200000000003</v>
      </c>
      <c r="EC206" s="577">
        <f t="shared" si="235"/>
        <v>95957.021174426496</v>
      </c>
      <c r="EE206" s="743">
        <v>26382</v>
      </c>
      <c r="EF206" s="723">
        <f t="shared" si="236"/>
        <v>2430.4093663839703</v>
      </c>
      <c r="EH206" s="798">
        <v>-31706.19338590667</v>
      </c>
      <c r="EI206" s="101">
        <f>VLOOKUP(A206,'кошти 01.01.24'!$A$9:$D$352,4,FALSE)</f>
        <v>-41842.314283291802</v>
      </c>
    </row>
    <row r="207" spans="1:139" hidden="1" x14ac:dyDescent="0.3">
      <c r="A207" s="318">
        <v>150000929</v>
      </c>
      <c r="B207" s="43" t="s">
        <v>1106</v>
      </c>
      <c r="C207" s="44" t="s">
        <v>1094</v>
      </c>
      <c r="D207" s="44" t="s">
        <v>1094</v>
      </c>
      <c r="E207" s="39">
        <f t="shared" si="185"/>
        <v>494.3</v>
      </c>
      <c r="F207" s="205">
        <f>'[1]побудинковий звіт'!F207</f>
        <v>170.2</v>
      </c>
      <c r="G207" s="29">
        <f>'[1]побудинковий звіт'!G207</f>
        <v>0</v>
      </c>
      <c r="H207" s="148">
        <f>'[1]побудинковий звіт'!H207</f>
        <v>324.10000000000002</v>
      </c>
      <c r="I207" s="41">
        <f>'[2]побудинковий звіт'!I207+'[1]побудинковий звіт'!I207</f>
        <v>2787.709589417339</v>
      </c>
      <c r="J207" s="41">
        <f>'[2]побудинковий звіт'!J207+'[1]побудинковий звіт'!J207</f>
        <v>2825.276487420525</v>
      </c>
      <c r="K207" s="55">
        <f t="shared" si="186"/>
        <v>37.566898003185997</v>
      </c>
      <c r="L207" s="41">
        <f>'[2]побудинковий звіт'!L207+'[1]побудинковий звіт'!L207</f>
        <v>587.31669192633194</v>
      </c>
      <c r="M207" s="41">
        <f>'[2]побудинковий звіт'!M207+'[1]побудинковий звіт'!M207</f>
        <v>614.76704080089746</v>
      </c>
      <c r="N207" s="55">
        <f t="shared" si="187"/>
        <v>27.45034887456552</v>
      </c>
      <c r="O207" s="41">
        <f>'[2]побудинковий звіт'!O207+'[1]побудинковий звіт'!O207</f>
        <v>0</v>
      </c>
      <c r="P207" s="41">
        <f>'[2]побудинковий звіт'!P207+'[1]побудинковий звіт'!P207</f>
        <v>0</v>
      </c>
      <c r="Q207" s="55">
        <f t="shared" si="188"/>
        <v>0</v>
      </c>
      <c r="R207" s="41">
        <f>'[2]побудинковий звіт'!R207+'[1]побудинковий звіт'!R207</f>
        <v>0</v>
      </c>
      <c r="S207" s="41">
        <f>'[2]побудинковий звіт'!S207+'[1]побудинковий звіт'!S207</f>
        <v>0</v>
      </c>
      <c r="T207" s="55">
        <f t="shared" si="189"/>
        <v>0</v>
      </c>
      <c r="U207" s="41">
        <f>'[2]побудинковий звіт'!U207+'[1]побудинковий звіт'!U207</f>
        <v>0</v>
      </c>
      <c r="V207" s="41">
        <f>'[2]побудинковий звіт'!V207+'[1]побудинковий звіт'!V207</f>
        <v>0</v>
      </c>
      <c r="W207" s="55">
        <f t="shared" si="190"/>
        <v>0</v>
      </c>
      <c r="X207" s="41">
        <f>'[2]побудинковий звіт'!X207+'[1]побудинковий звіт'!X207</f>
        <v>1244.7195908335157</v>
      </c>
      <c r="Y207" s="41">
        <f>'[2]побудинковий звіт'!Y207+'[1]побудинковий звіт'!Y207</f>
        <v>1188.3475445462163</v>
      </c>
      <c r="Z207" s="55">
        <f t="shared" si="191"/>
        <v>-56.372046287299327</v>
      </c>
      <c r="AA207" s="41">
        <f>'[2]побудинковий звіт'!AA207+'[1]побудинковий звіт'!AA207</f>
        <v>0</v>
      </c>
      <c r="AB207" s="41">
        <f>'[2]побудинковий звіт'!AB207+'[1]побудинковий звіт'!AB207</f>
        <v>0</v>
      </c>
      <c r="AC207" s="55">
        <f t="shared" si="192"/>
        <v>0</v>
      </c>
      <c r="AD207" s="41">
        <f>'[2]побудинковий звіт'!AD207+'[1]побудинковий звіт'!AD207</f>
        <v>2124.1398658587004</v>
      </c>
      <c r="AE207" s="41">
        <f>'[2]побудинковий звіт'!AE207+'[1]побудинковий звіт'!AE207</f>
        <v>2116.6301433188091</v>
      </c>
      <c r="AF207" s="36">
        <f t="shared" si="193"/>
        <v>-7.5097225398912997</v>
      </c>
      <c r="AG207" s="84">
        <f t="shared" si="194"/>
        <v>6743.8857380358877</v>
      </c>
      <c r="AH207" s="56">
        <f t="shared" si="195"/>
        <v>6745.0212160864485</v>
      </c>
      <c r="AI207" s="55">
        <f t="shared" si="196"/>
        <v>1.1354780505607778</v>
      </c>
      <c r="AJ207" s="41">
        <f>'[2]побудинковий звіт'!AJ207+'[1]побудинковий звіт'!AJ207</f>
        <v>0</v>
      </c>
      <c r="AK207" s="41">
        <f>'[2]побудинковий звіт'!AK207+'[1]побудинковий звіт'!AK207</f>
        <v>0</v>
      </c>
      <c r="AL207" s="55">
        <f t="shared" si="197"/>
        <v>0</v>
      </c>
      <c r="AM207" s="41">
        <f>'[2]побудинковий звіт'!AM207+'[1]побудинковий звіт'!AM207</f>
        <v>0</v>
      </c>
      <c r="AN207" s="41">
        <f>'[2]побудинковий звіт'!AN207+'[1]побудинковий звіт'!AN207</f>
        <v>0</v>
      </c>
      <c r="AO207" s="55">
        <f t="shared" si="198"/>
        <v>0</v>
      </c>
      <c r="AP207" s="41">
        <f>'[2]побудинковий звіт'!AP207+'[1]побудинковий звіт'!AP207</f>
        <v>282.66502586133254</v>
      </c>
      <c r="AQ207" s="41">
        <f>'[2]побудинковий звіт'!AQ207+'[1]побудинковий звіт'!AQ207</f>
        <v>70.237692115805615</v>
      </c>
      <c r="AR207" s="55">
        <f t="shared" si="199"/>
        <v>-212.42733374552694</v>
      </c>
      <c r="AS207" s="41">
        <f>'[2]побудинковий звіт'!AS207+'[1]побудинковий звіт'!AS207</f>
        <v>8242.19533614793</v>
      </c>
      <c r="AT207" s="41">
        <f>'[2]побудинковий звіт'!AT207+'[1]побудинковий звіт'!AT207</f>
        <v>217.85031895518466</v>
      </c>
      <c r="AU207" s="57">
        <f t="shared" si="200"/>
        <v>-8024.3450171927452</v>
      </c>
      <c r="AV207" s="41">
        <f>'[2]побудинковий звіт'!AV207+'[1]побудинковий звіт'!AV207</f>
        <v>561.24622272562601</v>
      </c>
      <c r="AW207" s="41">
        <f>'[2]побудинковий звіт'!AW207+'[1]побудинковий звіт'!AW207</f>
        <v>0</v>
      </c>
      <c r="AX207" s="58">
        <f t="shared" si="201"/>
        <v>-561.24622272562601</v>
      </c>
      <c r="AY207" s="41">
        <f>'[2]побудинковий звіт'!AY207+'[1]побудинковий звіт'!AY207</f>
        <v>712.46679369138644</v>
      </c>
      <c r="AZ207" s="41">
        <f>'[2]побудинковий звіт'!AZ207+'[1]побудинковий звіт'!AZ207</f>
        <v>0</v>
      </c>
      <c r="BA207" s="36">
        <f t="shared" si="202"/>
        <v>-712.46679369138644</v>
      </c>
      <c r="BB207" s="41">
        <f>'[2]побудинковий звіт'!BB207+'[1]побудинковий звіт'!BB207</f>
        <v>0</v>
      </c>
      <c r="BC207" s="41">
        <f>'[2]побудинковий звіт'!BC207+'[1]побудинковий звіт'!BC207</f>
        <v>0</v>
      </c>
      <c r="BD207" s="58">
        <f t="shared" si="203"/>
        <v>0</v>
      </c>
      <c r="BE207" s="41">
        <f>'[2]побудинковий звіт'!BE207+'[1]побудинковий звіт'!BE207</f>
        <v>0</v>
      </c>
      <c r="BF207" s="41">
        <f>'[2]побудинковий звіт'!BF207+'[1]побудинковий звіт'!BF207</f>
        <v>0</v>
      </c>
      <c r="BG207" s="38">
        <f t="shared" si="204"/>
        <v>0</v>
      </c>
      <c r="BH207" s="41">
        <f>'[2]побудинковий звіт'!BH207+'[1]побудинковий звіт'!BH207</f>
        <v>0</v>
      </c>
      <c r="BI207" s="41">
        <f>'[2]побудинковий звіт'!BI207+'[1]побудинковий звіт'!BI207</f>
        <v>0</v>
      </c>
      <c r="BJ207" s="58">
        <f t="shared" si="205"/>
        <v>0</v>
      </c>
      <c r="BK207" s="41">
        <f>'[2]побудинковий звіт'!BK207+'[1]побудинковий звіт'!BK207</f>
        <v>222.50979332522377</v>
      </c>
      <c r="BL207" s="41">
        <f>'[2]побудинковий звіт'!BL207+'[1]побудинковий звіт'!BL207</f>
        <v>0</v>
      </c>
      <c r="BM207" s="38">
        <f t="shared" si="206"/>
        <v>-222.50979332522377</v>
      </c>
      <c r="BN207" s="41">
        <f>'[2]побудинковий звіт'!BN207+'[1]побудинковий звіт'!BN207</f>
        <v>31.214014296485885</v>
      </c>
      <c r="BO207" s="41">
        <f>'[2]побудинковий звіт'!BO207+'[1]побудинковий звіт'!BO207</f>
        <v>0</v>
      </c>
      <c r="BP207" s="58">
        <f t="shared" si="207"/>
        <v>-31.214014296485885</v>
      </c>
      <c r="BQ207" s="84">
        <f t="shared" si="208"/>
        <v>1527.4368240387221</v>
      </c>
      <c r="BR207" s="42">
        <f t="shared" si="209"/>
        <v>0</v>
      </c>
      <c r="BS207" s="58">
        <f t="shared" si="210"/>
        <v>-1527.4368240387221</v>
      </c>
      <c r="BT207" s="41">
        <f>'[2]побудинковий звіт'!BT207+'[1]побудинковий звіт'!BT207</f>
        <v>8275.768334022956</v>
      </c>
      <c r="BU207" s="41">
        <f>'[2]побудинковий звіт'!BU207+'[1]побудинковий звіт'!BU207</f>
        <v>13902.761766362884</v>
      </c>
      <c r="BV207" s="55">
        <f t="shared" si="211"/>
        <v>5626.9934323399284</v>
      </c>
      <c r="BW207" s="41">
        <f>'[2]побудинковий звіт'!BW207+'[1]побудинковий звіт'!BW207</f>
        <v>2167.1983162985653</v>
      </c>
      <c r="BX207" s="41">
        <f>'[2]побудинковий звіт'!BX207+'[1]побудинковий звіт'!BX207</f>
        <v>2974.212239341372</v>
      </c>
      <c r="BY207" s="55">
        <f t="shared" si="212"/>
        <v>807.01392304280671</v>
      </c>
      <c r="BZ207" s="41">
        <f>'[2]побудинковий звіт'!BZ207+'[1]побудинковий звіт'!BZ207</f>
        <v>1999.0867703869505</v>
      </c>
      <c r="CA207" s="41">
        <f>'[2]побудинковий звіт'!CA207+'[1]побудинковий звіт'!CA207</f>
        <v>819.95866428954253</v>
      </c>
      <c r="CB207" s="55">
        <f t="shared" si="213"/>
        <v>-1179.1281060974079</v>
      </c>
      <c r="CC207" s="41">
        <f>'[2]побудинковий звіт'!CC207+'[1]побудинковий звіт'!CC207</f>
        <v>0</v>
      </c>
      <c r="CD207" s="41">
        <f>'[2]побудинковий звіт'!CD207+'[1]побудинковий звіт'!CD207</f>
        <v>0</v>
      </c>
      <c r="CE207" s="55">
        <f t="shared" si="214"/>
        <v>0</v>
      </c>
      <c r="CF207" s="41">
        <f>'[2]побудинковий звіт'!CF207+'[1]побудинковий звіт'!CF207</f>
        <v>0</v>
      </c>
      <c r="CG207" s="41">
        <f>'[2]побудинковий звіт'!CG207+'[1]побудинковий звіт'!CG207</f>
        <v>0</v>
      </c>
      <c r="CH207" s="55">
        <f t="shared" si="215"/>
        <v>0</v>
      </c>
      <c r="CI207" s="41">
        <f>'[2]побудинковий звіт'!CI207+'[1]побудинковий звіт'!CI207</f>
        <v>117.22106677258056</v>
      </c>
      <c r="CJ207" s="41">
        <f>'[2]побудинковий звіт'!CJ207+'[1]побудинковий звіт'!CJ207</f>
        <v>84.150709253186378</v>
      </c>
      <c r="CK207" s="55">
        <f t="shared" si="216"/>
        <v>-33.070357519394179</v>
      </c>
      <c r="CL207" s="41">
        <f>'[2]побудинковий звіт'!CL207+'[1]побудинковий звіт'!CL207</f>
        <v>0</v>
      </c>
      <c r="CM207" s="41">
        <f>'[2]побудинковий звіт'!CM207+'[1]побудинковий звіт'!CM207</f>
        <v>0</v>
      </c>
      <c r="CN207" s="55">
        <f t="shared" si="217"/>
        <v>0</v>
      </c>
      <c r="CO207" s="41">
        <f t="shared" si="218"/>
        <v>117.22106677258056</v>
      </c>
      <c r="CP207" s="42">
        <f t="shared" si="219"/>
        <v>84.150709253186378</v>
      </c>
      <c r="CQ207" s="55">
        <f t="shared" si="220"/>
        <v>-33.070357519394179</v>
      </c>
      <c r="CR207" s="76">
        <f t="shared" si="221"/>
        <v>29355.45741156493</v>
      </c>
      <c r="CS207" s="5">
        <f t="shared" si="222"/>
        <v>24814.192606404424</v>
      </c>
      <c r="CT207" s="55">
        <f t="shared" si="223"/>
        <v>-4541.2648051605065</v>
      </c>
      <c r="CU207" s="84">
        <f t="shared" si="224"/>
        <v>35226.548893877916</v>
      </c>
      <c r="CV207" s="68">
        <f t="shared" si="225"/>
        <v>29777.031127685306</v>
      </c>
      <c r="CW207" s="36">
        <f t="shared" si="226"/>
        <v>-5449.51776619261</v>
      </c>
      <c r="CX207" s="41">
        <f>'[2]побудинковий звіт'!CX207+'[1]побудинковий звіт'!CX207</f>
        <v>582.68710962437444</v>
      </c>
      <c r="CY207" s="41">
        <f>'[2]побудинковий звіт'!CY207+'[1]побудинковий звіт'!CY207</f>
        <v>6032.2048758169749</v>
      </c>
      <c r="CZ207" s="55">
        <f t="shared" si="227"/>
        <v>5449.5177661926009</v>
      </c>
      <c r="DA207" s="254">
        <f>'[1]побудинковий звіт'!DA207</f>
        <v>14532.066102716952</v>
      </c>
      <c r="DB207" s="2">
        <v>2</v>
      </c>
      <c r="DC207" s="702">
        <f>'[1]побудинковий звіт'!DC207</f>
        <v>34448.199999999997</v>
      </c>
      <c r="DD207" s="702">
        <f>'[1]побудинковий звіт'!DD207</f>
        <v>10015.959999999999</v>
      </c>
      <c r="DE207" s="702">
        <f>'[1]побудинковий звіт'!DE207</f>
        <v>32908.61</v>
      </c>
      <c r="DF207" s="702">
        <f>'[1]побудинковий звіт'!DF207</f>
        <v>7698.3599999999988</v>
      </c>
      <c r="DG207" s="772">
        <v>17679.832688426381</v>
      </c>
      <c r="DH207" s="746">
        <f t="shared" si="228"/>
        <v>429710.8320420275</v>
      </c>
      <c r="DI207" s="769"/>
      <c r="DJ207" s="5"/>
      <c r="DK207" s="307">
        <f>VLOOKUP($A207,ціни!$A$4:$G$401,5)</f>
        <v>6.4864049415581411</v>
      </c>
      <c r="DL207" s="307"/>
      <c r="DM207" s="307">
        <f>VLOOKUP($A207,ціни!$A$4:$G$401,7)</f>
        <v>5.3130248116096013</v>
      </c>
      <c r="DN207" s="29">
        <f t="shared" si="237"/>
        <v>1103.9861210531956</v>
      </c>
      <c r="DO207" s="29">
        <f t="shared" si="238"/>
        <v>1721.9513414426719</v>
      </c>
      <c r="DP207" s="306">
        <f t="shared" si="229"/>
        <v>2825.9374624958673</v>
      </c>
      <c r="DQ207" s="101"/>
      <c r="DR207" s="29">
        <f>VLOOKUP(A207,'ДЗ нас '!$A$1:$C$359,2)</f>
        <v>1103.99</v>
      </c>
      <c r="DS207" s="733">
        <f>VLOOKUP(A207,'ДЗ нежит'!$A$1:$D$153,4,0)</f>
        <v>1692.72</v>
      </c>
      <c r="DT207" s="29">
        <f t="shared" si="230"/>
        <v>2796.71</v>
      </c>
      <c r="DU207" s="247">
        <f>VLOOKUP(A207,'новий кошторис с 01.06'!$A$4:$AI$399,35)*1.2</f>
        <v>2796.7158260320152</v>
      </c>
      <c r="DV207" s="29">
        <f t="shared" si="231"/>
        <v>-5.82603201519305E-3</v>
      </c>
      <c r="DW207" s="1016">
        <f>'[2]побудинковий звіт'!$DW$9+'[1]побудинковий звіт'!DW207</f>
        <v>918</v>
      </c>
      <c r="DX207" s="101">
        <f>'[1]побудинковий звіт'!DX207</f>
        <v>0</v>
      </c>
      <c r="DY207" s="5">
        <f t="shared" si="232"/>
        <v>11723.558592223981</v>
      </c>
      <c r="DZ207" s="5">
        <f t="shared" si="233"/>
        <v>261.42038274622161</v>
      </c>
      <c r="EA207" s="737">
        <f t="shared" si="234"/>
        <v>40606.97</v>
      </c>
      <c r="EC207" s="577">
        <f t="shared" si="235"/>
        <v>98906.344033775153</v>
      </c>
      <c r="EE207" s="743">
        <v>-9890</v>
      </c>
      <c r="EF207" s="723">
        <f t="shared" si="236"/>
        <v>7789.8326884263806</v>
      </c>
      <c r="EH207" s="798">
        <v>14107.959107343584</v>
      </c>
      <c r="EI207" s="101">
        <f>VLOOKUP(A207,'кошти 01.01.24'!$A$9:$D$352,4,FALSE)</f>
        <v>19981.583868909547</v>
      </c>
    </row>
    <row r="208" spans="1:139" hidden="1" x14ac:dyDescent="0.3">
      <c r="A208" s="318">
        <v>150000930</v>
      </c>
      <c r="B208" s="43" t="s">
        <v>640</v>
      </c>
      <c r="C208" s="44" t="s">
        <v>172</v>
      </c>
      <c r="D208" s="44" t="s">
        <v>172</v>
      </c>
      <c r="E208" s="39">
        <f t="shared" si="185"/>
        <v>385</v>
      </c>
      <c r="F208" s="205">
        <f>'[1]побудинковий звіт'!F208</f>
        <v>239</v>
      </c>
      <c r="G208" s="29">
        <f>'[1]побудинковий звіт'!G208</f>
        <v>0</v>
      </c>
      <c r="H208" s="148">
        <f>'[1]побудинковий звіт'!H208</f>
        <v>146</v>
      </c>
      <c r="I208" s="41">
        <f>'[2]побудинковий звіт'!I208+'[1]побудинковий звіт'!I208</f>
        <v>925.10251894994281</v>
      </c>
      <c r="J208" s="41">
        <f>'[2]побудинковий звіт'!J208+'[1]побудинковий звіт'!J208</f>
        <v>948.12320475032402</v>
      </c>
      <c r="K208" s="55">
        <f t="shared" si="186"/>
        <v>23.020685800381216</v>
      </c>
      <c r="L208" s="41">
        <f>'[2]побудинковий звіт'!L208+'[1]побудинковий звіт'!L208</f>
        <v>356.215129755818</v>
      </c>
      <c r="M208" s="41">
        <f>'[2]побудинковий звіт'!M208+'[1]побудинковий звіт'!M208</f>
        <v>372.96750415602975</v>
      </c>
      <c r="N208" s="55">
        <f t="shared" si="187"/>
        <v>16.75237440021175</v>
      </c>
      <c r="O208" s="41">
        <f>'[2]побудинковий звіт'!O208+'[1]побудинковий звіт'!O208</f>
        <v>529.15391513093687</v>
      </c>
      <c r="P208" s="41">
        <f>'[2]побудинковий звіт'!P208+'[1]побудинковий звіт'!P208</f>
        <v>530.76482294484583</v>
      </c>
      <c r="Q208" s="55">
        <f t="shared" si="188"/>
        <v>1.6109078139089661</v>
      </c>
      <c r="R208" s="41">
        <f>'[2]побудинковий звіт'!R208+'[1]побудинковий звіт'!R208</f>
        <v>0</v>
      </c>
      <c r="S208" s="41">
        <f>'[2]побудинковий звіт'!S208+'[1]побудинковий звіт'!S208</f>
        <v>0</v>
      </c>
      <c r="T208" s="55">
        <f t="shared" si="189"/>
        <v>0</v>
      </c>
      <c r="U208" s="41">
        <f>'[2]побудинковий звіт'!U208+'[1]побудинковий звіт'!U208</f>
        <v>0</v>
      </c>
      <c r="V208" s="41">
        <f>'[2]побудинковий звіт'!V208+'[1]побудинковий звіт'!V208</f>
        <v>0</v>
      </c>
      <c r="W208" s="55">
        <f t="shared" si="190"/>
        <v>0</v>
      </c>
      <c r="X208" s="41">
        <f>'[2]побудинковий звіт'!X208+'[1]побудинковий звіт'!X208</f>
        <v>486.64500140514536</v>
      </c>
      <c r="Y208" s="41">
        <f>'[2]побудинковий звіт'!Y208+'[1]побудинковий звіт'!Y208</f>
        <v>659.42313571423108</v>
      </c>
      <c r="Z208" s="55">
        <f t="shared" si="191"/>
        <v>172.77813430908571</v>
      </c>
      <c r="AA208" s="41">
        <f>'[2]побудинковий звіт'!AA208+'[1]побудинковий звіт'!AA208</f>
        <v>0</v>
      </c>
      <c r="AB208" s="41">
        <f>'[2]побудинковий звіт'!AB208+'[1]побудинковий звіт'!AB208</f>
        <v>0</v>
      </c>
      <c r="AC208" s="55">
        <f t="shared" si="192"/>
        <v>0</v>
      </c>
      <c r="AD208" s="41">
        <f>'[2]побудинковий звіт'!AD208+'[1]побудинковий звіт'!AD208</f>
        <v>1464.3722828466066</v>
      </c>
      <c r="AE208" s="41">
        <f>'[2]побудинковий звіт'!AE208+'[1]побудинковий звіт'!AE208</f>
        <v>1665.0947098816296</v>
      </c>
      <c r="AF208" s="36">
        <f t="shared" si="193"/>
        <v>200.72242703502297</v>
      </c>
      <c r="AG208" s="84">
        <f t="shared" si="194"/>
        <v>3761.4888480884497</v>
      </c>
      <c r="AH208" s="56">
        <f t="shared" si="195"/>
        <v>4176.3733774470602</v>
      </c>
      <c r="AI208" s="55">
        <f t="shared" si="196"/>
        <v>414.88452935861051</v>
      </c>
      <c r="AJ208" s="41">
        <f>'[2]побудинковий звіт'!AJ208+'[1]побудинковий звіт'!AJ208</f>
        <v>0</v>
      </c>
      <c r="AK208" s="41">
        <f>'[2]побудинковий звіт'!AK208+'[1]побудинковий звіт'!AK208</f>
        <v>0</v>
      </c>
      <c r="AL208" s="55">
        <f t="shared" si="197"/>
        <v>0</v>
      </c>
      <c r="AM208" s="41">
        <f>'[2]побудинковий звіт'!AM208+'[1]побудинковий звіт'!AM208</f>
        <v>0</v>
      </c>
      <c r="AN208" s="41">
        <f>'[2]побудинковий звіт'!AN208+'[1]побудинковий звіт'!AN208</f>
        <v>0</v>
      </c>
      <c r="AO208" s="55">
        <f t="shared" si="198"/>
        <v>0</v>
      </c>
      <c r="AP208" s="41">
        <f>'[2]побудинковий звіт'!AP208+'[1]побудинковий звіт'!AP208</f>
        <v>891.53814861468356</v>
      </c>
      <c r="AQ208" s="41">
        <f>'[2]побудинковий звіт'!AQ208+'[1]побудинковий звіт'!AQ208</f>
        <v>798.32434237158373</v>
      </c>
      <c r="AR208" s="55">
        <f t="shared" si="199"/>
        <v>-93.213806243099839</v>
      </c>
      <c r="AS208" s="41">
        <f>'[2]побудинковий звіт'!AS208+'[1]побудинковий звіт'!AS208</f>
        <v>4560.3106930443801</v>
      </c>
      <c r="AT208" s="41">
        <f>'[2]побудинковий звіт'!AT208+'[1]побудинковий звіт'!AT208</f>
        <v>0</v>
      </c>
      <c r="AU208" s="57">
        <f t="shared" si="200"/>
        <v>-4560.3106930443801</v>
      </c>
      <c r="AV208" s="41">
        <f>'[2]побудинковий звіт'!AV208+'[1]побудинковий звіт'!AV208</f>
        <v>336.50703806119998</v>
      </c>
      <c r="AW208" s="41">
        <f>'[2]побудинковий звіт'!AW208+'[1]побудинковий звіт'!AW208</f>
        <v>0</v>
      </c>
      <c r="AX208" s="58">
        <f t="shared" si="201"/>
        <v>-336.50703806119998</v>
      </c>
      <c r="AY208" s="41">
        <f>'[2]побудинковий звіт'!AY208+'[1]побудинковий звіт'!AY208</f>
        <v>464.01009405604844</v>
      </c>
      <c r="AZ208" s="41">
        <f>'[2]побудинковий звіт'!AZ208+'[1]побудинковий звіт'!AZ208</f>
        <v>0</v>
      </c>
      <c r="BA208" s="36">
        <f t="shared" si="202"/>
        <v>-464.01009405604844</v>
      </c>
      <c r="BB208" s="41">
        <f>'[2]побудинковий звіт'!BB208+'[1]побудинковий звіт'!BB208</f>
        <v>269.84696885839924</v>
      </c>
      <c r="BC208" s="41">
        <f>'[2]побудинковий звіт'!BC208+'[1]побудинковий звіт'!BC208</f>
        <v>0</v>
      </c>
      <c r="BD208" s="58">
        <f t="shared" si="203"/>
        <v>-269.84696885839924</v>
      </c>
      <c r="BE208" s="41">
        <f>'[2]побудинковий звіт'!BE208+'[1]побудинковий звіт'!BE208</f>
        <v>0</v>
      </c>
      <c r="BF208" s="41">
        <f>'[2]побудинковий звіт'!BF208+'[1]побудинковий звіт'!BF208</f>
        <v>0</v>
      </c>
      <c r="BG208" s="38">
        <f t="shared" si="204"/>
        <v>0</v>
      </c>
      <c r="BH208" s="41">
        <f>'[2]побудинковий звіт'!BH208+'[1]побудинковий звіт'!BH208</f>
        <v>0</v>
      </c>
      <c r="BI208" s="41">
        <f>'[2]побудинковий звіт'!BI208+'[1]побудинковий звіт'!BI208</f>
        <v>0</v>
      </c>
      <c r="BJ208" s="58">
        <f t="shared" si="205"/>
        <v>0</v>
      </c>
      <c r="BK208" s="41">
        <f>'[2]побудинковий звіт'!BK208+'[1]побудинковий звіт'!BK208</f>
        <v>112.7346466832477</v>
      </c>
      <c r="BL208" s="41">
        <f>'[2]побудинковий звіт'!BL208+'[1]побудинковий звіт'!BL208</f>
        <v>846.369578480222</v>
      </c>
      <c r="BM208" s="38">
        <f t="shared" si="206"/>
        <v>733.63493179697434</v>
      </c>
      <c r="BN208" s="41">
        <f>'[2]побудинковий звіт'!BN208+'[1]побудинковий звіт'!BN208</f>
        <v>38.805764507289481</v>
      </c>
      <c r="BO208" s="41">
        <f>'[2]побудинковий звіт'!BO208+'[1]побудинковий звіт'!BO208</f>
        <v>0</v>
      </c>
      <c r="BP208" s="58">
        <f t="shared" si="207"/>
        <v>-38.805764507289481</v>
      </c>
      <c r="BQ208" s="84">
        <f t="shared" si="208"/>
        <v>1221.9045121661848</v>
      </c>
      <c r="BR208" s="42">
        <f t="shared" si="209"/>
        <v>846.369578480222</v>
      </c>
      <c r="BS208" s="58">
        <f t="shared" si="210"/>
        <v>-375.53493368596276</v>
      </c>
      <c r="BT208" s="41">
        <f>'[2]побудинковий звіт'!BT208+'[1]побудинковий звіт'!BT208</f>
        <v>7389.8225611218122</v>
      </c>
      <c r="BU208" s="41">
        <f>'[2]побудинковий звіт'!BU208+'[1]побудинковий звіт'!BU208</f>
        <v>9227.7643214644286</v>
      </c>
      <c r="BV208" s="55">
        <f t="shared" si="211"/>
        <v>1837.9417603426164</v>
      </c>
      <c r="BW208" s="41">
        <f>'[2]побудинковий звіт'!BW208+'[1]побудинковий звіт'!BW208</f>
        <v>3837.4537169438145</v>
      </c>
      <c r="BX208" s="41">
        <f>'[2]побудинковий звіт'!BX208+'[1]побудинковий звіт'!BX208</f>
        <v>3315.8588062670956</v>
      </c>
      <c r="BY208" s="55">
        <f t="shared" si="212"/>
        <v>-521.59491067671888</v>
      </c>
      <c r="BZ208" s="41">
        <f>'[2]побудинковий звіт'!BZ208+'[1]побудинковий звіт'!BZ208</f>
        <v>1859.3743504048973</v>
      </c>
      <c r="CA208" s="41">
        <f>'[2]побудинковий звіт'!CA208+'[1]побудинковий звіт'!CA208</f>
        <v>881.07881965234299</v>
      </c>
      <c r="CB208" s="55">
        <f t="shared" si="213"/>
        <v>-978.29553075255433</v>
      </c>
      <c r="CC208" s="41">
        <f>'[2]побудинковий звіт'!CC208+'[1]побудинковий звіт'!CC208</f>
        <v>186.26732956965805</v>
      </c>
      <c r="CD208" s="41">
        <f>'[2]побудинковий звіт'!CD208+'[1]побудинковий звіт'!CD208</f>
        <v>186.89894130728726</v>
      </c>
      <c r="CE208" s="55">
        <f t="shared" si="214"/>
        <v>0.63161173762921408</v>
      </c>
      <c r="CF208" s="41">
        <f>'[2]побудинковий звіт'!CF208+'[1]побудинковий звіт'!CF208</f>
        <v>23.077532088329022</v>
      </c>
      <c r="CG208" s="41">
        <f>'[2]побудинковий звіт'!CG208+'[1]побудинковий звіт'!CG208</f>
        <v>0</v>
      </c>
      <c r="CH208" s="55">
        <f t="shared" si="215"/>
        <v>-23.077532088329022</v>
      </c>
      <c r="CI208" s="41">
        <f>'[2]побудинковий звіт'!CI208+'[1]побудинковий звіт'!CI208</f>
        <v>109.65521189666046</v>
      </c>
      <c r="CJ208" s="41">
        <f>'[2]побудинковий звіт'!CJ208+'[1]побудинковий звіт'!CJ208</f>
        <v>39.862910558620818</v>
      </c>
      <c r="CK208" s="55">
        <f t="shared" si="216"/>
        <v>-69.792301338039636</v>
      </c>
      <c r="CL208" s="41">
        <f>'[2]побудинковий звіт'!CL208+'[1]побудинковий звіт'!CL208</f>
        <v>0</v>
      </c>
      <c r="CM208" s="41">
        <f>'[2]побудинковий звіт'!CM208+'[1]побудинковий звіт'!CM208</f>
        <v>0</v>
      </c>
      <c r="CN208" s="55">
        <f t="shared" si="217"/>
        <v>0</v>
      </c>
      <c r="CO208" s="41">
        <f t="shared" si="218"/>
        <v>109.65521189666046</v>
      </c>
      <c r="CP208" s="42">
        <f t="shared" si="219"/>
        <v>39.862910558620818</v>
      </c>
      <c r="CQ208" s="55">
        <f t="shared" si="220"/>
        <v>-69.792301338039636</v>
      </c>
      <c r="CR208" s="76">
        <f t="shared" si="221"/>
        <v>23840.892903938871</v>
      </c>
      <c r="CS208" s="5">
        <f t="shared" si="222"/>
        <v>19472.531097548646</v>
      </c>
      <c r="CT208" s="55">
        <f t="shared" si="223"/>
        <v>-4368.361806390225</v>
      </c>
      <c r="CU208" s="84">
        <f t="shared" si="224"/>
        <v>28609.071484726646</v>
      </c>
      <c r="CV208" s="68">
        <f t="shared" si="225"/>
        <v>23367.037317058373</v>
      </c>
      <c r="CW208" s="36">
        <f t="shared" si="226"/>
        <v>-5242.0341676682729</v>
      </c>
      <c r="CX208" s="41">
        <f>'[2]побудинковий звіт'!CX208+'[1]побудинковий звіт'!CX208</f>
        <v>4169.9582844176839</v>
      </c>
      <c r="CY208" s="41">
        <f>'[2]побудинковий звіт'!CY208+'[1]побудинковий звіт'!CY208</f>
        <v>9411.9924520859531</v>
      </c>
      <c r="CZ208" s="55">
        <f t="shared" si="227"/>
        <v>5242.0341676682692</v>
      </c>
      <c r="DA208" s="254">
        <f>'[1]побудинковий звіт'!DA208</f>
        <v>10686.766610345971</v>
      </c>
      <c r="DB208" s="2">
        <v>2</v>
      </c>
      <c r="DC208" s="702">
        <f>'[1]побудинковий звіт'!DC208</f>
        <v>2427.7399999999998</v>
      </c>
      <c r="DD208" s="702">
        <f>'[1]побудинковий звіт'!DD208</f>
        <v>7614.6</v>
      </c>
      <c r="DE208" s="702">
        <f>'[1]побудинковий звіт'!DE208</f>
        <v>0</v>
      </c>
      <c r="DF208" s="702">
        <f>'[1]побудинковий звіт'!DF208</f>
        <v>6458.91</v>
      </c>
      <c r="DG208" s="772">
        <v>13311.994438337904</v>
      </c>
      <c r="DH208" s="746">
        <f t="shared" si="228"/>
        <v>393348.35722973192</v>
      </c>
      <c r="DI208" s="769"/>
      <c r="DJ208" s="5"/>
      <c r="DK208" s="307">
        <f>VLOOKUP($A208,ціни!$A$4:$G$401,5)</f>
        <v>7.2629055045102007</v>
      </c>
      <c r="DL208" s="307"/>
      <c r="DM208" s="307">
        <f>VLOOKUP($A208,ціни!$A$4:$G$401,7)</f>
        <v>5.7225306602392569</v>
      </c>
      <c r="DN208" s="29">
        <f t="shared" si="237"/>
        <v>1735.834415577938</v>
      </c>
      <c r="DO208" s="29">
        <f t="shared" si="238"/>
        <v>835.48947639493156</v>
      </c>
      <c r="DP208" s="306">
        <f t="shared" si="229"/>
        <v>2571.3238919728697</v>
      </c>
      <c r="DQ208" s="101"/>
      <c r="DR208" s="29">
        <f>VLOOKUP(A208,'ДЗ нас '!$A$1:$C$359,2)</f>
        <v>1735.84</v>
      </c>
      <c r="DS208" s="733">
        <f>VLOOKUP(A208,'ДЗ нежит'!$A$1:$D$153,4,0)</f>
        <v>835.5</v>
      </c>
      <c r="DT208" s="29">
        <f t="shared" si="230"/>
        <v>2571.34</v>
      </c>
      <c r="DU208" s="247">
        <f>VLOOKUP(A208,'новий кошторис с 01.06'!$A$4:$AI$399,35)*1.2</f>
        <v>2256.2904449328817</v>
      </c>
      <c r="DV208" s="29">
        <f t="shared" si="231"/>
        <v>315.04955506711849</v>
      </c>
      <c r="DW208" s="1016">
        <f>'[2]побудинковий звіт'!$DW$9+'[1]побудинковий звіт'!DW208</f>
        <v>918</v>
      </c>
      <c r="DX208" s="101">
        <f>'[1]побудинковий звіт'!DX208</f>
        <v>0</v>
      </c>
      <c r="DY208" s="5">
        <f t="shared" si="232"/>
        <v>6938.6582462526776</v>
      </c>
      <c r="DZ208" s="5">
        <f t="shared" si="233"/>
        <v>1015.6434941762664</v>
      </c>
      <c r="EA208" s="737">
        <f t="shared" si="234"/>
        <v>6458.91</v>
      </c>
      <c r="EC208" s="577">
        <f t="shared" si="235"/>
        <v>54723.728316532564</v>
      </c>
      <c r="EE208" s="743">
        <v>-3171</v>
      </c>
      <c r="EF208" s="723">
        <f t="shared" si="236"/>
        <v>10140.994438337904</v>
      </c>
      <c r="EH208" s="798">
        <v>11116.736019021137</v>
      </c>
      <c r="EI208" s="101">
        <f>VLOOKUP(A208,'кошти 01.01.24'!$A$9:$D$352,4,FALSE)</f>
        <v>15928.800778014247</v>
      </c>
    </row>
    <row r="209" spans="1:139" hidden="1" x14ac:dyDescent="0.3">
      <c r="A209" s="318">
        <v>150000931</v>
      </c>
      <c r="B209" s="43" t="s">
        <v>641</v>
      </c>
      <c r="C209" s="44" t="s">
        <v>266</v>
      </c>
      <c r="D209" s="44" t="s">
        <v>266</v>
      </c>
      <c r="E209" s="39">
        <f t="shared" si="185"/>
        <v>2291.83</v>
      </c>
      <c r="F209" s="205">
        <f>'[1]побудинковий звіт'!F209</f>
        <v>2127.9299999999998</v>
      </c>
      <c r="G209" s="29">
        <f>'[1]побудинковий звіт'!G209</f>
        <v>0</v>
      </c>
      <c r="H209" s="148">
        <f>'[1]побудинковий звіт'!H209</f>
        <v>163.89999999999998</v>
      </c>
      <c r="I209" s="41">
        <f>'[2]побудинковий звіт'!I209+'[1]побудинковий звіт'!I209</f>
        <v>8280.2782841550961</v>
      </c>
      <c r="J209" s="41">
        <f>'[2]побудинковий звіт'!J209+'[1]побудинковий звіт'!J209</f>
        <v>8490.6430489946233</v>
      </c>
      <c r="K209" s="55">
        <f t="shared" si="186"/>
        <v>210.3647648395272</v>
      </c>
      <c r="L209" s="41">
        <f>'[2]побудинковий звіт'!L209+'[1]побудинковий звіт'!L209</f>
        <v>1705.0582773544872</v>
      </c>
      <c r="M209" s="41">
        <f>'[2]побудинковий звіт'!M209+'[1]побудинковий звіт'!M209</f>
        <v>1790.0529205996313</v>
      </c>
      <c r="N209" s="55">
        <f t="shared" si="187"/>
        <v>84.994643245144061</v>
      </c>
      <c r="O209" s="41">
        <f>'[2]побудинковий звіт'!O209+'[1]побудинковий звіт'!O209</f>
        <v>3278.4082283252346</v>
      </c>
      <c r="P209" s="41">
        <f>'[2]побудинковий звіт'!P209+'[1]побудинковий звіт'!P209</f>
        <v>3287.6125210441064</v>
      </c>
      <c r="Q209" s="55">
        <f t="shared" si="188"/>
        <v>9.204292718871784</v>
      </c>
      <c r="R209" s="41">
        <f>'[2]побудинковий звіт'!R209+'[1]побудинковий звіт'!R209</f>
        <v>825.87836955255614</v>
      </c>
      <c r="S209" s="41">
        <f>'[2]побудинковий звіт'!S209+'[1]побудинковий звіт'!S209</f>
        <v>828.17249426584863</v>
      </c>
      <c r="T209" s="55">
        <f t="shared" si="189"/>
        <v>2.29412471329249</v>
      </c>
      <c r="U209" s="41">
        <f>'[2]побудинковий звіт'!U209+'[1]побудинковий звіт'!U209</f>
        <v>559.91900254694031</v>
      </c>
      <c r="V209" s="41">
        <f>'[2]побудинковий звіт'!V209+'[1]побудинковий звіт'!V209</f>
        <v>1386.2324762988112</v>
      </c>
      <c r="W209" s="55">
        <f t="shared" si="190"/>
        <v>826.3134737518709</v>
      </c>
      <c r="X209" s="41">
        <f>'[2]побудинковий звіт'!X209+'[1]побудинковий звіт'!X209</f>
        <v>6073.9821804553967</v>
      </c>
      <c r="Y209" s="41">
        <f>'[2]побудинковий звіт'!Y209+'[1]побудинковий звіт'!Y209</f>
        <v>5772.7495402520199</v>
      </c>
      <c r="Z209" s="55">
        <f t="shared" si="191"/>
        <v>-301.23264020337683</v>
      </c>
      <c r="AA209" s="41">
        <f>'[2]побудинковий звіт'!AA209+'[1]побудинковий звіт'!AA209</f>
        <v>0</v>
      </c>
      <c r="AB209" s="41">
        <f>'[2]побудинковий звіт'!AB209+'[1]побудинковий звіт'!AB209</f>
        <v>0</v>
      </c>
      <c r="AC209" s="55">
        <f t="shared" si="192"/>
        <v>0</v>
      </c>
      <c r="AD209" s="41">
        <f>'[2]побудинковий звіт'!AD209+'[1]побудинковий звіт'!AD209</f>
        <v>9942.1815492537207</v>
      </c>
      <c r="AE209" s="41">
        <f>'[2]побудинковий звіт'!AE209+'[1]побудинковий звіт'!AE209</f>
        <v>9903.4453872047161</v>
      </c>
      <c r="AF209" s="36">
        <f t="shared" si="193"/>
        <v>-38.736162049004633</v>
      </c>
      <c r="AG209" s="84">
        <f t="shared" si="194"/>
        <v>30665.705891643433</v>
      </c>
      <c r="AH209" s="56">
        <f t="shared" si="195"/>
        <v>31458.908388659758</v>
      </c>
      <c r="AI209" s="55">
        <f t="shared" si="196"/>
        <v>793.20249701632565</v>
      </c>
      <c r="AJ209" s="41">
        <f>'[2]побудинковий звіт'!AJ209+'[1]побудинковий звіт'!AJ209</f>
        <v>0</v>
      </c>
      <c r="AK209" s="41">
        <f>'[2]побудинковий звіт'!AK209+'[1]побудинковий звіт'!AK209</f>
        <v>0</v>
      </c>
      <c r="AL209" s="55">
        <f t="shared" si="197"/>
        <v>0</v>
      </c>
      <c r="AM209" s="41">
        <f>'[2]побудинковий звіт'!AM209+'[1]побудинковий звіт'!AM209</f>
        <v>0</v>
      </c>
      <c r="AN209" s="41">
        <f>'[2]побудинковий звіт'!AN209+'[1]побудинковий звіт'!AN209</f>
        <v>0</v>
      </c>
      <c r="AO209" s="55">
        <f t="shared" si="198"/>
        <v>0</v>
      </c>
      <c r="AP209" s="41">
        <f>'[2]побудинковий звіт'!AP209+'[1]побудинковий звіт'!AP209</f>
        <v>1832.6061943746272</v>
      </c>
      <c r="AQ209" s="41">
        <f>'[2]побудинковий звіт'!AQ209+'[1]побудинковий звіт'!AQ209</f>
        <v>1602.8405245014396</v>
      </c>
      <c r="AR209" s="55">
        <f t="shared" si="199"/>
        <v>-229.76566987318756</v>
      </c>
      <c r="AS209" s="41">
        <f>'[2]побудинковий звіт'!AS209+'[1]побудинковий звіт'!AS209</f>
        <v>26058.835242943707</v>
      </c>
      <c r="AT209" s="41">
        <f>'[2]побудинковий звіт'!AT209+'[1]побудинковий звіт'!AT209</f>
        <v>19022.06655378599</v>
      </c>
      <c r="AU209" s="57">
        <f t="shared" si="200"/>
        <v>-7036.7686891577177</v>
      </c>
      <c r="AV209" s="41">
        <f>'[2]побудинковий звіт'!AV209+'[1]побудинковий звіт'!AV209</f>
        <v>1417.4627685031935</v>
      </c>
      <c r="AW209" s="41">
        <f>'[2]побудинковий звіт'!AW209+'[1]побудинковий звіт'!AW209</f>
        <v>1829.6437322267266</v>
      </c>
      <c r="AX209" s="58">
        <f t="shared" si="201"/>
        <v>412.18096372353307</v>
      </c>
      <c r="AY209" s="41">
        <f>'[2]побудинковий звіт'!AY209+'[1]побудинковий звіт'!AY209</f>
        <v>2052.1415904736132</v>
      </c>
      <c r="AZ209" s="41">
        <f>'[2]побудинковий звіт'!AZ209+'[1]побудинковий звіт'!AZ209</f>
        <v>0</v>
      </c>
      <c r="BA209" s="36">
        <f t="shared" si="202"/>
        <v>-2052.1415904736132</v>
      </c>
      <c r="BB209" s="41">
        <f>'[2]побудинковий звіт'!BB209+'[1]побудинковий звіт'!BB209</f>
        <v>1710.2290663623737</v>
      </c>
      <c r="BC209" s="41">
        <f>'[2]побудинковий звіт'!BC209+'[1]побудинковий звіт'!BC209</f>
        <v>0</v>
      </c>
      <c r="BD209" s="58">
        <f t="shared" si="203"/>
        <v>-1710.2290663623737</v>
      </c>
      <c r="BE209" s="41">
        <f>'[2]побудинковий звіт'!BE209+'[1]побудинковий звіт'!BE209</f>
        <v>799.04521455908264</v>
      </c>
      <c r="BF209" s="41">
        <f>'[2]побудинковий звіт'!BF209+'[1]побудинковий звіт'!BF209</f>
        <v>3723.2648498197973</v>
      </c>
      <c r="BG209" s="38">
        <f t="shared" si="204"/>
        <v>2924.2196352607148</v>
      </c>
      <c r="BH209" s="41">
        <f>'[2]побудинковий звіт'!BH209+'[1]побудинковий звіт'!BH209</f>
        <v>520.46364643710831</v>
      </c>
      <c r="BI209" s="41">
        <f>'[2]побудинковий звіт'!BI209+'[1]побудинковий звіт'!BI209</f>
        <v>0</v>
      </c>
      <c r="BJ209" s="58">
        <f t="shared" si="205"/>
        <v>-520.46364643710831</v>
      </c>
      <c r="BK209" s="41">
        <f>'[2]побудинковий звіт'!BK209+'[1]побудинковий звіт'!BK209</f>
        <v>985.90793539088065</v>
      </c>
      <c r="BL209" s="41">
        <f>'[2]побудинковий звіт'!BL209+'[1]побудинковий звіт'!BL209</f>
        <v>341.30103163853278</v>
      </c>
      <c r="BM209" s="38">
        <f t="shared" si="206"/>
        <v>-644.60690375234788</v>
      </c>
      <c r="BN209" s="41">
        <f>'[2]побудинковий звіт'!BN209+'[1]побудинковий звіт'!BN209</f>
        <v>67.666963655799066</v>
      </c>
      <c r="BO209" s="41">
        <f>'[2]побудинковий звіт'!BO209+'[1]побудинковий звіт'!BO209</f>
        <v>0</v>
      </c>
      <c r="BP209" s="58">
        <f t="shared" si="207"/>
        <v>-67.666963655799066</v>
      </c>
      <c r="BQ209" s="84">
        <f t="shared" si="208"/>
        <v>7552.9171853820517</v>
      </c>
      <c r="BR209" s="42">
        <f t="shared" si="209"/>
        <v>5894.2096136850569</v>
      </c>
      <c r="BS209" s="58">
        <f t="shared" si="210"/>
        <v>-1658.7075716969948</v>
      </c>
      <c r="BT209" s="41">
        <f>'[2]побудинковий звіт'!BT209+'[1]побудинковий звіт'!BT209</f>
        <v>26036.656743319607</v>
      </c>
      <c r="BU209" s="41">
        <f>'[2]побудинковий звіт'!BU209+'[1]побудинковий звіт'!BU209</f>
        <v>44679.746330133275</v>
      </c>
      <c r="BV209" s="55">
        <f t="shared" si="211"/>
        <v>18643.089586813669</v>
      </c>
      <c r="BW209" s="41">
        <f>'[2]побудинковий звіт'!BW209+'[1]побудинковий звіт'!BW209</f>
        <v>24525.196210095295</v>
      </c>
      <c r="BX209" s="41">
        <f>'[2]побудинковий звіт'!BX209+'[1]побудинковий звіт'!BX209</f>
        <v>23665.851877520323</v>
      </c>
      <c r="BY209" s="55">
        <f t="shared" si="212"/>
        <v>-859.34433257497221</v>
      </c>
      <c r="BZ209" s="41">
        <f>'[2]побудинковий звіт'!BZ209+'[1]побудинковий звіт'!BZ209</f>
        <v>19750.043064263777</v>
      </c>
      <c r="CA209" s="41">
        <f>'[2]побудинковий звіт'!CA209+'[1]побудинковий звіт'!CA209</f>
        <v>2923.156376354058</v>
      </c>
      <c r="CB209" s="55">
        <f t="shared" si="213"/>
        <v>-16826.886687909719</v>
      </c>
      <c r="CC209" s="41">
        <f>'[2]побудинковий звіт'!CC209+'[1]побудинковий звіт'!CC209</f>
        <v>2045.887062486408</v>
      </c>
      <c r="CD209" s="41">
        <f>'[2]побудинковий звіт'!CD209+'[1]побудинковий звіт'!CD209</f>
        <v>2052.8244373095486</v>
      </c>
      <c r="CE209" s="55">
        <f t="shared" si="214"/>
        <v>6.9373748231405443</v>
      </c>
      <c r="CF209" s="41">
        <f>'[2]побудинковий звіт'!CF209+'[1]побудинковий звіт'!CF209</f>
        <v>253.47453277344994</v>
      </c>
      <c r="CG209" s="41">
        <f>'[2]побудинковий звіт'!CG209+'[1]побудинковий звіт'!CG209</f>
        <v>0</v>
      </c>
      <c r="CH209" s="55">
        <f t="shared" si="215"/>
        <v>-253.47453277344994</v>
      </c>
      <c r="CI209" s="41">
        <f>'[2]побудинковий звіт'!CI209+'[1]побудинковий звіт'!CI209</f>
        <v>3710.4579304287058</v>
      </c>
      <c r="CJ209" s="41">
        <f>'[2]побудинковий звіт'!CJ209+'[1]побудинковий звіт'!CJ209</f>
        <v>1170.4519025467789</v>
      </c>
      <c r="CK209" s="55">
        <f t="shared" si="216"/>
        <v>-2540.0060278819269</v>
      </c>
      <c r="CL209" s="41">
        <f>'[2]побудинковий звіт'!CL209+'[1]побудинковий звіт'!CL209</f>
        <v>0</v>
      </c>
      <c r="CM209" s="41">
        <f>'[2]побудинковий звіт'!CM209+'[1]побудинковий звіт'!CM209</f>
        <v>0</v>
      </c>
      <c r="CN209" s="55">
        <f t="shared" si="217"/>
        <v>0</v>
      </c>
      <c r="CO209" s="41">
        <f t="shared" si="218"/>
        <v>3710.4579304287058</v>
      </c>
      <c r="CP209" s="42">
        <f t="shared" si="219"/>
        <v>1170.4519025467789</v>
      </c>
      <c r="CQ209" s="55">
        <f t="shared" si="220"/>
        <v>-2540.0060278819269</v>
      </c>
      <c r="CR209" s="76">
        <f t="shared" si="221"/>
        <v>142431.78005771106</v>
      </c>
      <c r="CS209" s="5">
        <f t="shared" si="222"/>
        <v>132470.05600449623</v>
      </c>
      <c r="CT209" s="55">
        <f t="shared" si="223"/>
        <v>-9961.724053214828</v>
      </c>
      <c r="CU209" s="84">
        <f t="shared" si="224"/>
        <v>170918.13606925326</v>
      </c>
      <c r="CV209" s="68">
        <f t="shared" si="225"/>
        <v>158964.06720539546</v>
      </c>
      <c r="CW209" s="36">
        <f t="shared" si="226"/>
        <v>-11954.068863857799</v>
      </c>
      <c r="CX209" s="41">
        <f>'[2]побудинковий звіт'!CX209+'[1]побудинковий звіт'!CX209</f>
        <v>1741.0745574016828</v>
      </c>
      <c r="CY209" s="41">
        <f>'[2]побудинковий звіт'!CY209+'[1]побудинковий звіт'!CY209</f>
        <v>13695.143421259487</v>
      </c>
      <c r="CZ209" s="55">
        <f t="shared" si="227"/>
        <v>11954.068863857803</v>
      </c>
      <c r="DA209" s="254">
        <f>'[1]побудинковий звіт'!DA209</f>
        <v>16211.478560496362</v>
      </c>
      <c r="DB209" s="2">
        <v>2</v>
      </c>
      <c r="DC209" s="702">
        <f>'[1]побудинковий звіт'!DC209</f>
        <v>26999.95</v>
      </c>
      <c r="DD209" s="702">
        <f>'[1]побудинковий звіт'!DD209</f>
        <v>5481.2699999999995</v>
      </c>
      <c r="DE209" s="702">
        <f>'[1]побудинковий звіт'!DE209</f>
        <v>8611.4400000000023</v>
      </c>
      <c r="DF209" s="702">
        <f>'[1]побудинковий звіт'!DF209</f>
        <v>4297.7699999999995</v>
      </c>
      <c r="DG209" s="772">
        <v>38092.888302090811</v>
      </c>
      <c r="DH209" s="746">
        <f t="shared" si="228"/>
        <v>2071910.5275198594</v>
      </c>
      <c r="DI209" s="769"/>
      <c r="DJ209" s="5"/>
      <c r="DK209" s="307">
        <f>VLOOKUP($A209,ціни!$A$4:$G$401,5)</f>
        <v>5.9322754752678852</v>
      </c>
      <c r="DL209" s="307"/>
      <c r="DM209" s="307">
        <f>VLOOKUP($A209,ціни!$A$4:$G$401,7)</f>
        <v>4.8176938471256321</v>
      </c>
      <c r="DN209" s="29">
        <f t="shared" si="237"/>
        <v>12623.46695208679</v>
      </c>
      <c r="DO209" s="29">
        <f t="shared" si="238"/>
        <v>789.62002154389097</v>
      </c>
      <c r="DP209" s="306">
        <f t="shared" si="229"/>
        <v>13413.086973630681</v>
      </c>
      <c r="DQ209" s="101"/>
      <c r="DR209" s="29">
        <f>VLOOKUP(A209,'ДЗ нас '!$A$1:$C$359,2)</f>
        <v>12623.49</v>
      </c>
      <c r="DS209" s="733">
        <f>VLOOKUP(A209,'ДЗ нежит'!$A$1:$D$153,4,0)</f>
        <v>789.62</v>
      </c>
      <c r="DT209" s="29">
        <f t="shared" si="230"/>
        <v>13413.11</v>
      </c>
      <c r="DU209" s="247">
        <f>VLOOKUP(A209,'новий кошторис с 01.06'!$A$4:$AI$399,35)*1.2</f>
        <v>13416.053111368316</v>
      </c>
      <c r="DV209" s="29">
        <f t="shared" si="231"/>
        <v>-2.9431113683149306</v>
      </c>
      <c r="DW209" s="1016">
        <f>'[2]побудинковий звіт'!$DW$9+'[1]побудинковий звіт'!DW209</f>
        <v>1062</v>
      </c>
      <c r="DX209" s="101">
        <f>'[1]побудинковий звіт'!DX209</f>
        <v>0</v>
      </c>
      <c r="DY209" s="5">
        <f t="shared" si="232"/>
        <v>40334.102913990908</v>
      </c>
      <c r="DZ209" s="5">
        <f t="shared" si="233"/>
        <v>29899.531400965254</v>
      </c>
      <c r="EA209" s="737">
        <f t="shared" si="234"/>
        <v>12909.210000000003</v>
      </c>
      <c r="EC209" s="577">
        <f t="shared" si="235"/>
        <v>312706.02291532449</v>
      </c>
      <c r="EE209" s="743">
        <v>-20385</v>
      </c>
      <c r="EF209" s="723">
        <f t="shared" si="236"/>
        <v>17707.888302090811</v>
      </c>
      <c r="EH209" s="798">
        <v>48064.970199121373</v>
      </c>
      <c r="EI209" s="101">
        <f>VLOOKUP(A209,'кошти 01.01.24'!$A$9:$D$352,4,FALSE)</f>
        <v>28165.547424354143</v>
      </c>
    </row>
    <row r="210" spans="1:139" hidden="1" x14ac:dyDescent="0.3">
      <c r="A210" s="318">
        <v>150000932</v>
      </c>
      <c r="B210" s="43" t="s">
        <v>642</v>
      </c>
      <c r="C210" s="44" t="s">
        <v>173</v>
      </c>
      <c r="D210" s="44" t="s">
        <v>173</v>
      </c>
      <c r="E210" s="39">
        <f t="shared" si="185"/>
        <v>354.3</v>
      </c>
      <c r="F210" s="205">
        <f>'[1]побудинковий звіт'!F210</f>
        <v>354.3</v>
      </c>
      <c r="G210" s="29">
        <f>'[1]побудинковий звіт'!G210</f>
        <v>0</v>
      </c>
      <c r="H210" s="148">
        <f>'[1]побудинковий звіт'!H210</f>
        <v>0</v>
      </c>
      <c r="I210" s="41">
        <f>'[2]побудинковий звіт'!I210+'[1]побудинковий звіт'!I210</f>
        <v>467.71317141919315</v>
      </c>
      <c r="J210" s="41">
        <f>'[2]побудинковий звіт'!J210+'[1]побудинковий звіт'!J210</f>
        <v>489.78779944324731</v>
      </c>
      <c r="K210" s="55">
        <f t="shared" si="186"/>
        <v>22.074628024054164</v>
      </c>
      <c r="L210" s="41">
        <f>'[2]побудинковий звіт'!L210+'[1]побудинковий звіт'!L210</f>
        <v>251.70231758579715</v>
      </c>
      <c r="M210" s="41">
        <f>'[2]побудинковий звіт'!M210+'[1]побудинковий звіт'!M210</f>
        <v>263.11206890981498</v>
      </c>
      <c r="N210" s="55">
        <f t="shared" si="187"/>
        <v>11.409751324017833</v>
      </c>
      <c r="O210" s="41">
        <f>'[2]побудинковий звіт'!O210+'[1]побудинковий звіт'!O210</f>
        <v>511.53731029261672</v>
      </c>
      <c r="P210" s="41">
        <f>'[2]побудинковий звіт'!P210+'[1]побудинковий звіт'!P210</f>
        <v>513.06804592205276</v>
      </c>
      <c r="Q210" s="55">
        <f t="shared" si="188"/>
        <v>1.5307356294360375</v>
      </c>
      <c r="R210" s="41">
        <f>'[2]побудинковий звіт'!R210+'[1]побудинковий звіт'!R210</f>
        <v>0</v>
      </c>
      <c r="S210" s="41">
        <f>'[2]побудинковий звіт'!S210+'[1]побудинковий звіт'!S210</f>
        <v>0</v>
      </c>
      <c r="T210" s="55">
        <f t="shared" si="189"/>
        <v>0</v>
      </c>
      <c r="U210" s="41">
        <f>'[2]побудинковий звіт'!U210+'[1]побудинковий звіт'!U210</f>
        <v>0</v>
      </c>
      <c r="V210" s="41">
        <f>'[2]побудинковий звіт'!V210+'[1]побудинковий звіт'!V210</f>
        <v>0</v>
      </c>
      <c r="W210" s="55">
        <f t="shared" si="190"/>
        <v>0</v>
      </c>
      <c r="X210" s="41">
        <f>'[2]побудинковий звіт'!X210+'[1]побудинковий звіт'!X210</f>
        <v>187.11971273334737</v>
      </c>
      <c r="Y210" s="41">
        <f>'[2]побудинковий звіт'!Y210+'[1]побудинковий звіт'!Y210</f>
        <v>112.17653431031826</v>
      </c>
      <c r="Z210" s="55">
        <f t="shared" si="191"/>
        <v>-74.94317842302911</v>
      </c>
      <c r="AA210" s="41">
        <f>'[2]побудинковий звіт'!AA210+'[1]побудинковий звіт'!AA210</f>
        <v>0</v>
      </c>
      <c r="AB210" s="41">
        <f>'[2]побудинковий звіт'!AB210+'[1]побудинковий звіт'!AB210</f>
        <v>0</v>
      </c>
      <c r="AC210" s="55">
        <f t="shared" si="192"/>
        <v>0</v>
      </c>
      <c r="AD210" s="41">
        <f>'[2]побудинковий звіт'!AD210+'[1]побудинковий звіт'!AD210</f>
        <v>1536.7096997046917</v>
      </c>
      <c r="AE210" s="41">
        <f>'[2]побудинковий звіт'!AE210+'[1]побудинковий звіт'!AE210</f>
        <v>1530.7330202354533</v>
      </c>
      <c r="AF210" s="36">
        <f t="shared" si="193"/>
        <v>-5.9766794692384337</v>
      </c>
      <c r="AG210" s="84">
        <f t="shared" si="194"/>
        <v>2954.7822117356463</v>
      </c>
      <c r="AH210" s="56">
        <f t="shared" si="195"/>
        <v>2908.8774688208869</v>
      </c>
      <c r="AI210" s="55">
        <f t="shared" si="196"/>
        <v>-45.904742914759481</v>
      </c>
      <c r="AJ210" s="41">
        <f>'[2]побудинковий звіт'!AJ210+'[1]побудинковий звіт'!AJ210</f>
        <v>0</v>
      </c>
      <c r="AK210" s="41">
        <f>'[2]побудинковий звіт'!AK210+'[1]побудинковий звіт'!AK210</f>
        <v>0</v>
      </c>
      <c r="AL210" s="55">
        <f t="shared" si="197"/>
        <v>0</v>
      </c>
      <c r="AM210" s="41">
        <f>'[2]побудинковий звіт'!AM210+'[1]побудинковий звіт'!AM210</f>
        <v>0</v>
      </c>
      <c r="AN210" s="41">
        <f>'[2]побудинковий звіт'!AN210+'[1]побудинковий звіт'!AN210</f>
        <v>0</v>
      </c>
      <c r="AO210" s="55">
        <f t="shared" si="198"/>
        <v>0</v>
      </c>
      <c r="AP210" s="41">
        <f>'[2]побудинковий звіт'!AP210+'[1]побудинковий звіт'!AP210</f>
        <v>2030.2392018381665</v>
      </c>
      <c r="AQ210" s="41">
        <f>'[2]побудинковий звіт'!AQ210+'[1]побудинковий звіт'!AQ210</f>
        <v>375.84186815509452</v>
      </c>
      <c r="AR210" s="55">
        <f t="shared" si="199"/>
        <v>-1654.397333683072</v>
      </c>
      <c r="AS210" s="41">
        <f>'[2]побудинковий звіт'!AS210+'[1]побудинковий звіт'!AS210</f>
        <v>2997.8909044576003</v>
      </c>
      <c r="AT210" s="41">
        <f>'[2]побудинковий звіт'!AT210+'[1]побудинковий звіт'!AT210</f>
        <v>0</v>
      </c>
      <c r="AU210" s="57">
        <f t="shared" si="200"/>
        <v>-2997.8909044576003</v>
      </c>
      <c r="AV210" s="41">
        <f>'[2]побудинковий звіт'!AV210+'[1]побудинковий звіт'!AV210</f>
        <v>312.57939605105531</v>
      </c>
      <c r="AW210" s="41">
        <f>'[2]побудинковий звіт'!AW210+'[1]побудинковий звіт'!AW210</f>
        <v>0</v>
      </c>
      <c r="AX210" s="58">
        <f t="shared" si="201"/>
        <v>-312.57939605105531</v>
      </c>
      <c r="AY210" s="41">
        <f>'[2]побудинковий звіт'!AY210+'[1]побудинковий звіт'!AY210</f>
        <v>359.37939976726273</v>
      </c>
      <c r="AZ210" s="41">
        <f>'[2]побудинковий звіт'!AZ210+'[1]побудинковий звіт'!AZ210</f>
        <v>0</v>
      </c>
      <c r="BA210" s="36">
        <f t="shared" si="202"/>
        <v>-359.37939976726273</v>
      </c>
      <c r="BB210" s="41">
        <f>'[2]побудинковий звіт'!BB210+'[1]побудинковий звіт'!BB210</f>
        <v>260.55830489788843</v>
      </c>
      <c r="BC210" s="41">
        <f>'[2]побудинковий звіт'!BC210+'[1]побудинковий звіт'!BC210</f>
        <v>0</v>
      </c>
      <c r="BD210" s="58">
        <f t="shared" si="203"/>
        <v>-260.55830489788843</v>
      </c>
      <c r="BE210" s="41">
        <f>'[2]побудинковий звіт'!BE210+'[1]побудинковий звіт'!BE210</f>
        <v>0</v>
      </c>
      <c r="BF210" s="41">
        <f>'[2]побудинковий звіт'!BF210+'[1]побудинковий звіт'!BF210</f>
        <v>0</v>
      </c>
      <c r="BG210" s="38">
        <f t="shared" si="204"/>
        <v>0</v>
      </c>
      <c r="BH210" s="41">
        <f>'[2]побудинковий звіт'!BH210+'[1]побудинковий звіт'!BH210</f>
        <v>0</v>
      </c>
      <c r="BI210" s="41">
        <f>'[2]побудинковий звіт'!BI210+'[1]побудинковий звіт'!BI210</f>
        <v>0</v>
      </c>
      <c r="BJ210" s="58">
        <f t="shared" si="205"/>
        <v>0</v>
      </c>
      <c r="BK210" s="41">
        <f>'[2]побудинковий звіт'!BK210+'[1]побудинковий звіт'!BK210</f>
        <v>1.4302351924716246</v>
      </c>
      <c r="BL210" s="41">
        <f>'[2]побудинковий звіт'!BL210+'[1]побудинковий звіт'!BL210</f>
        <v>0</v>
      </c>
      <c r="BM210" s="38">
        <f t="shared" si="206"/>
        <v>-1.4302351924716246</v>
      </c>
      <c r="BN210" s="41">
        <f>'[2]побудинковий звіт'!BN210+'[1]побудинковий звіт'!BN210</f>
        <v>38.805764507289481</v>
      </c>
      <c r="BO210" s="41">
        <f>'[2]побудинковий звіт'!BO210+'[1]побудинковий звіт'!BO210</f>
        <v>0</v>
      </c>
      <c r="BP210" s="58">
        <f t="shared" si="207"/>
        <v>-38.805764507289481</v>
      </c>
      <c r="BQ210" s="84">
        <f t="shared" si="208"/>
        <v>972.75310041596765</v>
      </c>
      <c r="BR210" s="42">
        <f t="shared" si="209"/>
        <v>0</v>
      </c>
      <c r="BS210" s="58">
        <f t="shared" si="210"/>
        <v>-972.75310041596765</v>
      </c>
      <c r="BT210" s="41">
        <f>'[2]побудинковий звіт'!BT210+'[1]побудинковий звіт'!BT210</f>
        <v>8021.3346248361522</v>
      </c>
      <c r="BU210" s="41">
        <f>'[2]побудинковий звіт'!BU210+'[1]побудинковий звіт'!BU210</f>
        <v>12016.845413185409</v>
      </c>
      <c r="BV210" s="55">
        <f t="shared" si="211"/>
        <v>3995.5107883492565</v>
      </c>
      <c r="BW210" s="41">
        <f>'[2]побудинковий звіт'!BW210+'[1]побудинковий звіт'!BW210</f>
        <v>299.36652732245221</v>
      </c>
      <c r="BX210" s="41">
        <f>'[2]побудинковий звіт'!BX210+'[1]побудинковий звіт'!BX210</f>
        <v>404.02734705601489</v>
      </c>
      <c r="BY210" s="55">
        <f t="shared" si="212"/>
        <v>104.66081973356268</v>
      </c>
      <c r="BZ210" s="41">
        <f>'[2]побудинковий звіт'!BZ210+'[1]побудинковий звіт'!BZ210</f>
        <v>2539.2995505494614</v>
      </c>
      <c r="CA210" s="41">
        <f>'[2]побудинковий звіт'!CA210+'[1]побудинковий звіт'!CA210</f>
        <v>1315.6838387601783</v>
      </c>
      <c r="CB210" s="55">
        <f t="shared" si="213"/>
        <v>-1223.6157117892831</v>
      </c>
      <c r="CC210" s="41">
        <f>'[2]побудинковий звіт'!CC210+'[1]побудинковий звіт'!CC210</f>
        <v>0</v>
      </c>
      <c r="CD210" s="41">
        <f>'[2]побудинковий звіт'!CD210+'[1]побудинковий звіт'!CD210</f>
        <v>0</v>
      </c>
      <c r="CE210" s="55">
        <f t="shared" si="214"/>
        <v>0</v>
      </c>
      <c r="CF210" s="41">
        <f>'[2]побудинковий звіт'!CF210+'[1]побудинковий звіт'!CF210</f>
        <v>0</v>
      </c>
      <c r="CG210" s="41">
        <f>'[2]побудинковий звіт'!CG210+'[1]побудинковий звіт'!CG210</f>
        <v>0</v>
      </c>
      <c r="CH210" s="55">
        <f t="shared" si="215"/>
        <v>0</v>
      </c>
      <c r="CI210" s="41">
        <f>'[2]побудинковий звіт'!CI210+'[1]побудинковий звіт'!CI210</f>
        <v>0</v>
      </c>
      <c r="CJ210" s="41">
        <f>'[2]побудинковий звіт'!CJ210+'[1]побудинковий звіт'!CJ210</f>
        <v>0</v>
      </c>
      <c r="CK210" s="55">
        <f t="shared" si="216"/>
        <v>0</v>
      </c>
      <c r="CL210" s="41">
        <f>'[2]побудинковий звіт'!CL210+'[1]побудинковий звіт'!CL210</f>
        <v>0</v>
      </c>
      <c r="CM210" s="41">
        <f>'[2]побудинковий звіт'!CM210+'[1]побудинковий звіт'!CM210</f>
        <v>0</v>
      </c>
      <c r="CN210" s="55">
        <f t="shared" si="217"/>
        <v>0</v>
      </c>
      <c r="CO210" s="41">
        <f t="shared" si="218"/>
        <v>0</v>
      </c>
      <c r="CP210" s="42">
        <f t="shared" si="219"/>
        <v>0</v>
      </c>
      <c r="CQ210" s="55">
        <f t="shared" si="220"/>
        <v>0</v>
      </c>
      <c r="CR210" s="76">
        <f t="shared" si="221"/>
        <v>19815.666121155446</v>
      </c>
      <c r="CS210" s="5">
        <f t="shared" si="222"/>
        <v>17021.275935977581</v>
      </c>
      <c r="CT210" s="55">
        <f t="shared" si="223"/>
        <v>-2794.3901851778646</v>
      </c>
      <c r="CU210" s="84">
        <f t="shared" si="224"/>
        <v>23778.799345386535</v>
      </c>
      <c r="CV210" s="68">
        <f t="shared" si="225"/>
        <v>20425.531123173096</v>
      </c>
      <c r="CW210" s="36">
        <f t="shared" si="226"/>
        <v>-3353.268222213439</v>
      </c>
      <c r="CX210" s="41">
        <f>'[2]побудинковий звіт'!CX210+'[1]побудинковий звіт'!CX210</f>
        <v>525.24453707445934</v>
      </c>
      <c r="CY210" s="41">
        <f>'[2]побудинковий звіт'!CY210+'[1]побудинковий звіт'!CY210</f>
        <v>3878.5127592878916</v>
      </c>
      <c r="CZ210" s="55">
        <f t="shared" si="227"/>
        <v>3353.2682222134322</v>
      </c>
      <c r="DA210" s="254">
        <f>'[1]побудинковий звіт'!DA210</f>
        <v>-10138.467221806575</v>
      </c>
      <c r="DB210" s="2">
        <v>2</v>
      </c>
      <c r="DC210" s="702">
        <f>'[1]побудинковий звіт'!DC210</f>
        <v>2662.95</v>
      </c>
      <c r="DD210" s="702">
        <f>'[1]побудинковий звіт'!DD210</f>
        <v>0</v>
      </c>
      <c r="DE210" s="702">
        <f>'[1]побудинковий звіт'!DE210</f>
        <v>0</v>
      </c>
      <c r="DF210" s="702">
        <f>'[1]побудинковий звіт'!DF210</f>
        <v>0</v>
      </c>
      <c r="DG210" s="772">
        <v>-1221.8609935074783</v>
      </c>
      <c r="DH210" s="746">
        <f t="shared" si="228"/>
        <v>291648.52658953192</v>
      </c>
      <c r="DI210" s="769"/>
      <c r="DJ210" s="5"/>
      <c r="DK210" s="307">
        <f>VLOOKUP($A210,ціни!$A$4:$G$401,5)</f>
        <v>5.3779254637922085</v>
      </c>
      <c r="DL210" s="307"/>
      <c r="DM210" s="307">
        <f>VLOOKUP($A210,ціни!$A$4:$G$401,7)</f>
        <v>5.2997657462911807</v>
      </c>
      <c r="DN210" s="29">
        <f t="shared" si="237"/>
        <v>1905.3989918215796</v>
      </c>
      <c r="DO210" s="29">
        <f t="shared" si="238"/>
        <v>0</v>
      </c>
      <c r="DP210" s="306">
        <f t="shared" si="229"/>
        <v>1905.3989918215796</v>
      </c>
      <c r="DQ210" s="101"/>
      <c r="DR210" s="29">
        <f>VLOOKUP(A210,'ДЗ нас '!$A$1:$C$359,2)</f>
        <v>1905.39</v>
      </c>
      <c r="DS210" s="733"/>
      <c r="DT210" s="29">
        <f t="shared" si="230"/>
        <v>1905.39</v>
      </c>
      <c r="DU210" s="247">
        <f>VLOOKUP(A210,'новий кошторис с 01.06'!$A$4:$AI$399,35)*1.2</f>
        <v>1911.0307129796729</v>
      </c>
      <c r="DV210" s="29">
        <f t="shared" si="231"/>
        <v>-5.6407129796727986</v>
      </c>
      <c r="DW210" s="1016">
        <f>'[2]побудинковий звіт'!$DW$9+'[1]побудинковий звіт'!DW210</f>
        <v>918</v>
      </c>
      <c r="DX210" s="101">
        <f>'[1]побудинковий звіт'!DX210</f>
        <v>0</v>
      </c>
      <c r="DY210" s="5">
        <f t="shared" si="232"/>
        <v>4764.7728058482817</v>
      </c>
      <c r="DZ210" s="5">
        <f t="shared" si="233"/>
        <v>0</v>
      </c>
      <c r="EA210" s="737">
        <f t="shared" si="234"/>
        <v>0</v>
      </c>
      <c r="EC210" s="577">
        <f t="shared" si="235"/>
        <v>35974.690853491207</v>
      </c>
      <c r="EE210" s="743">
        <v>6357</v>
      </c>
      <c r="EF210" s="723">
        <f t="shared" si="236"/>
        <v>5135.1390064925217</v>
      </c>
      <c r="EH210" s="798">
        <v>-3027.3196412978969</v>
      </c>
      <c r="EI210" s="101">
        <f>VLOOKUP(A210,'кошти 01.01.24'!$A$9:$D$352,4,FALSE)</f>
        <v>-6785.1989995931399</v>
      </c>
    </row>
    <row r="211" spans="1:139" hidden="1" x14ac:dyDescent="0.3">
      <c r="A211" s="318">
        <v>150000924</v>
      </c>
      <c r="B211" s="43" t="s">
        <v>643</v>
      </c>
      <c r="C211" s="44" t="s">
        <v>174</v>
      </c>
      <c r="D211" s="44" t="s">
        <v>174</v>
      </c>
      <c r="E211" s="39">
        <f t="shared" si="185"/>
        <v>474.29999999999995</v>
      </c>
      <c r="F211" s="205">
        <f>'[1]побудинковий звіт'!F211</f>
        <v>397.4</v>
      </c>
      <c r="G211" s="29">
        <f>'[1]побудинковий звіт'!G211</f>
        <v>0</v>
      </c>
      <c r="H211" s="148">
        <f>'[1]побудинковий звіт'!H211</f>
        <v>76.900000000000006</v>
      </c>
      <c r="I211" s="41">
        <f>'[2]побудинковий звіт'!I211+'[1]побудинковий звіт'!I211</f>
        <v>2511.4271418275571</v>
      </c>
      <c r="J211" s="41">
        <f>'[2]побудинковий звіт'!J211+'[1]побудинковий звіт'!J211</f>
        <v>2549.1217399879506</v>
      </c>
      <c r="K211" s="55">
        <f t="shared" si="186"/>
        <v>37.694598160393525</v>
      </c>
      <c r="L211" s="41">
        <f>'[2]побудинковий звіт'!L211+'[1]побудинковий звіт'!L211</f>
        <v>690.68544710117408</v>
      </c>
      <c r="M211" s="41">
        <f>'[2]побудинковий звіт'!M211+'[1]побудинковий звіт'!M211</f>
        <v>724.1924396255414</v>
      </c>
      <c r="N211" s="55">
        <f t="shared" si="187"/>
        <v>33.50699252436732</v>
      </c>
      <c r="O211" s="41">
        <f>'[2]побудинковий звіт'!O211+'[1]побудинковий звіт'!O211</f>
        <v>691.16581551521188</v>
      </c>
      <c r="P211" s="41">
        <f>'[2]побудинковий звіт'!P211+'[1]побудинковий звіт'!P211</f>
        <v>692.98120931425808</v>
      </c>
      <c r="Q211" s="55">
        <f t="shared" si="188"/>
        <v>1.8153937990462055</v>
      </c>
      <c r="R211" s="41">
        <f>'[2]побудинковий звіт'!R211+'[1]побудинковий звіт'!R211</f>
        <v>0</v>
      </c>
      <c r="S211" s="41">
        <f>'[2]побудинковий звіт'!S211+'[1]побудинковий звіт'!S211</f>
        <v>0</v>
      </c>
      <c r="T211" s="55">
        <f t="shared" si="189"/>
        <v>0</v>
      </c>
      <c r="U211" s="41">
        <f>'[2]побудинковий звіт'!U211+'[1]побудинковий звіт'!U211</f>
        <v>0</v>
      </c>
      <c r="V211" s="41">
        <f>'[2]побудинковий звіт'!V211+'[1]побудинковий звіт'!V211</f>
        <v>0</v>
      </c>
      <c r="W211" s="55">
        <f t="shared" si="190"/>
        <v>0</v>
      </c>
      <c r="X211" s="41">
        <f>'[2]побудинковий звіт'!X211+'[1]побудинковий звіт'!X211</f>
        <v>1264.4201401863634</v>
      </c>
      <c r="Y211" s="41">
        <f>'[2]побудинковий звіт'!Y211+'[1]побудинковий звіт'!Y211</f>
        <v>1206.7711179945618</v>
      </c>
      <c r="Z211" s="55">
        <f t="shared" si="191"/>
        <v>-57.649022191801578</v>
      </c>
      <c r="AA211" s="41">
        <f>'[2]побудинковий звіт'!AA211+'[1]побудинковий звіт'!AA211</f>
        <v>0</v>
      </c>
      <c r="AB211" s="41">
        <f>'[2]побудинковий звіт'!AB211+'[1]побудинковий звіт'!AB211</f>
        <v>0</v>
      </c>
      <c r="AC211" s="55">
        <f t="shared" si="192"/>
        <v>0</v>
      </c>
      <c r="AD211" s="41">
        <f>'[2]побудинковий звіт'!AD211+'[1]побудинковий звіт'!AD211</f>
        <v>2057.1871593845194</v>
      </c>
      <c r="AE211" s="41">
        <f>'[2]побудинковий звіт'!AE211+'[1]побудинковий звіт'!AE211</f>
        <v>2049.1862023643116</v>
      </c>
      <c r="AF211" s="36">
        <f t="shared" si="193"/>
        <v>-8.0009570202078066</v>
      </c>
      <c r="AG211" s="84">
        <f t="shared" si="194"/>
        <v>7214.885704014825</v>
      </c>
      <c r="AH211" s="56">
        <f t="shared" si="195"/>
        <v>7222.2527092866239</v>
      </c>
      <c r="AI211" s="55">
        <f t="shared" si="196"/>
        <v>7.3670052717989165</v>
      </c>
      <c r="AJ211" s="41">
        <f>'[2]побудинковий звіт'!AJ211+'[1]побудинковий звіт'!AJ211</f>
        <v>0</v>
      </c>
      <c r="AK211" s="41">
        <f>'[2]побудинковий звіт'!AK211+'[1]побудинковий звіт'!AK211</f>
        <v>0</v>
      </c>
      <c r="AL211" s="55">
        <f t="shared" si="197"/>
        <v>0</v>
      </c>
      <c r="AM211" s="41">
        <f>'[2]побудинковий звіт'!AM211+'[1]побудинковий звіт'!AM211</f>
        <v>0</v>
      </c>
      <c r="AN211" s="41">
        <f>'[2]побудинковий звіт'!AN211+'[1]побудинковий звіт'!AN211</f>
        <v>0</v>
      </c>
      <c r="AO211" s="55">
        <f t="shared" si="198"/>
        <v>0</v>
      </c>
      <c r="AP211" s="41">
        <f>'[2]побудинковий звіт'!AP211+'[1]побудинковий звіт'!AP211</f>
        <v>1040.1278400504639</v>
      </c>
      <c r="AQ211" s="41">
        <f>'[2]побудинковий звіт'!AQ211+'[1]побудинковий звіт'!AQ211</f>
        <v>1046.300289596792</v>
      </c>
      <c r="AR211" s="55">
        <f t="shared" si="199"/>
        <v>6.1724495463281528</v>
      </c>
      <c r="AS211" s="41">
        <f>'[2]побудинковий звіт'!AS211+'[1]побудинковий звіт'!AS211</f>
        <v>5871.523376157782</v>
      </c>
      <c r="AT211" s="41">
        <f>'[2]побудинковий звіт'!AT211+'[1]побудинковий звіт'!AT211</f>
        <v>1362.481936061416</v>
      </c>
      <c r="AU211" s="57">
        <f t="shared" si="200"/>
        <v>-4509.0414400963655</v>
      </c>
      <c r="AV211" s="41">
        <f>'[2]побудинковий звіт'!AV211+'[1]побудинковий звіт'!AV211</f>
        <v>420.71885532384647</v>
      </c>
      <c r="AW211" s="41">
        <f>'[2]побудинковий звіт'!AW211+'[1]побудинковий звіт'!AW211</f>
        <v>0</v>
      </c>
      <c r="AX211" s="58">
        <f t="shared" si="201"/>
        <v>-420.71885532384647</v>
      </c>
      <c r="AY211" s="41">
        <f>'[2]побудинковий звіт'!AY211+'[1]побудинковий звіт'!AY211</f>
        <v>825.71261907240694</v>
      </c>
      <c r="AZ211" s="41">
        <f>'[2]побудинковий звіт'!AZ211+'[1]побудинковий звіт'!AZ211</f>
        <v>0</v>
      </c>
      <c r="BA211" s="36">
        <f t="shared" si="202"/>
        <v>-825.71261907240694</v>
      </c>
      <c r="BB211" s="41">
        <f>'[2]побудинковий звіт'!BB211+'[1]побудинковий звіт'!BB211</f>
        <v>314.56789600538349</v>
      </c>
      <c r="BC211" s="41">
        <f>'[2]побудинковий звіт'!BC211+'[1]побудинковий звіт'!BC211</f>
        <v>0</v>
      </c>
      <c r="BD211" s="58">
        <f t="shared" si="203"/>
        <v>-314.56789600538349</v>
      </c>
      <c r="BE211" s="41">
        <f>'[2]побудинковий звіт'!BE211+'[1]побудинковий звіт'!BE211</f>
        <v>0</v>
      </c>
      <c r="BF211" s="41">
        <f>'[2]побудинковий звіт'!BF211+'[1]побудинковий звіт'!BF211</f>
        <v>0</v>
      </c>
      <c r="BG211" s="38">
        <f t="shared" si="204"/>
        <v>0</v>
      </c>
      <c r="BH211" s="41">
        <f>'[2]побудинковий звіт'!BH211+'[1]побудинковий звіт'!BH211</f>
        <v>0</v>
      </c>
      <c r="BI211" s="41">
        <f>'[2]побудинковий звіт'!BI211+'[1]побудинковий звіт'!BI211</f>
        <v>0</v>
      </c>
      <c r="BJ211" s="58">
        <f t="shared" si="205"/>
        <v>0</v>
      </c>
      <c r="BK211" s="41">
        <f>'[2]побудинковий звіт'!BK211+'[1]побудинковий звіт'!BK211</f>
        <v>162.29586096687103</v>
      </c>
      <c r="BL211" s="41">
        <f>'[2]побудинковий звіт'!BL211+'[1]побудинковий звіт'!BL211</f>
        <v>0</v>
      </c>
      <c r="BM211" s="38">
        <f t="shared" si="206"/>
        <v>-162.29586096687103</v>
      </c>
      <c r="BN211" s="41">
        <f>'[2]побудинковий звіт'!BN211+'[1]побудинковий звіт'!BN211</f>
        <v>31.214014296485885</v>
      </c>
      <c r="BO211" s="41">
        <f>'[2]побудинковий звіт'!BO211+'[1]побудинковий звіт'!BO211</f>
        <v>0</v>
      </c>
      <c r="BP211" s="58">
        <f t="shared" si="207"/>
        <v>-31.214014296485885</v>
      </c>
      <c r="BQ211" s="84">
        <f t="shared" si="208"/>
        <v>1754.5092456649938</v>
      </c>
      <c r="BR211" s="42">
        <f t="shared" si="209"/>
        <v>0</v>
      </c>
      <c r="BS211" s="58">
        <f t="shared" si="210"/>
        <v>-1754.5092456649938</v>
      </c>
      <c r="BT211" s="41">
        <f>'[2]побудинковий звіт'!BT211+'[1]побудинковий звіт'!BT211</f>
        <v>10069.66116917675</v>
      </c>
      <c r="BU211" s="41">
        <f>'[2]побудинковий звіт'!BU211+'[1]побудинковий звіт'!BU211</f>
        <v>16015.353261754244</v>
      </c>
      <c r="BV211" s="55">
        <f t="shared" si="211"/>
        <v>5945.6920925774939</v>
      </c>
      <c r="BW211" s="41">
        <f>'[2]побудинковий звіт'!BW211+'[1]побудинковий звіт'!BW211</f>
        <v>2465.8694551105737</v>
      </c>
      <c r="BX211" s="41">
        <f>'[2]побудинковий звіт'!BX211+'[1]побудинковий звіт'!BX211</f>
        <v>3463.3402619223434</v>
      </c>
      <c r="BY211" s="55">
        <f t="shared" si="212"/>
        <v>997.47080681176976</v>
      </c>
      <c r="BZ211" s="41">
        <f>'[2]побудинковий звіт'!BZ211+'[1]побудинковий звіт'!BZ211</f>
        <v>2730.8313416038518</v>
      </c>
      <c r="CA211" s="41">
        <f>'[2]побудинковий звіт'!CA211+'[1]побудинковий звіт'!CA211</f>
        <v>998.66684109636719</v>
      </c>
      <c r="CB211" s="55">
        <f t="shared" si="213"/>
        <v>-1732.1645005074847</v>
      </c>
      <c r="CC211" s="41">
        <f>'[2]побудинковий звіт'!CC211+'[1]побудинковий звіт'!CC211</f>
        <v>326.7312174418592</v>
      </c>
      <c r="CD211" s="41">
        <f>'[2]побудинковий звіт'!CD211+'[1]побудинковий звіт'!CD211</f>
        <v>327.83912655540553</v>
      </c>
      <c r="CE211" s="55">
        <f t="shared" si="214"/>
        <v>1.1079091135463273</v>
      </c>
      <c r="CF211" s="41">
        <f>'[2]побудинковий звіт'!CF211+'[1]побудинковий звіт'!CF211</f>
        <v>40.480261204118122</v>
      </c>
      <c r="CG211" s="41">
        <f>'[2]побудинковий звіт'!CG211+'[1]побудинковий звіт'!CG211</f>
        <v>0</v>
      </c>
      <c r="CH211" s="55">
        <f t="shared" si="215"/>
        <v>-40.480261204118122</v>
      </c>
      <c r="CI211" s="41">
        <f>'[2]побудинковий звіт'!CI211+'[1]побудинковий звіт'!CI211</f>
        <v>1351.8251953226363</v>
      </c>
      <c r="CJ211" s="41">
        <f>'[2]побудинковий звіт'!CJ211+'[1]побудинковий звіт'!CJ211</f>
        <v>1318.0263802669872</v>
      </c>
      <c r="CK211" s="55">
        <f t="shared" si="216"/>
        <v>-33.798815055649129</v>
      </c>
      <c r="CL211" s="41">
        <f>'[2]побудинковий звіт'!CL211+'[1]побудинковий звіт'!CL211</f>
        <v>0</v>
      </c>
      <c r="CM211" s="41">
        <f>'[2]побудинковий звіт'!CM211+'[1]побудинковий звіт'!CM211</f>
        <v>0</v>
      </c>
      <c r="CN211" s="55">
        <f t="shared" si="217"/>
        <v>0</v>
      </c>
      <c r="CO211" s="41">
        <f t="shared" si="218"/>
        <v>1351.8251953226363</v>
      </c>
      <c r="CP211" s="42">
        <f t="shared" si="219"/>
        <v>1318.0263802669872</v>
      </c>
      <c r="CQ211" s="55">
        <f t="shared" si="220"/>
        <v>-33.798815055649129</v>
      </c>
      <c r="CR211" s="76">
        <f t="shared" si="221"/>
        <v>32866.444805747851</v>
      </c>
      <c r="CS211" s="5">
        <f t="shared" si="222"/>
        <v>31754.260806540184</v>
      </c>
      <c r="CT211" s="55">
        <f t="shared" si="223"/>
        <v>-1112.1839992076675</v>
      </c>
      <c r="CU211" s="84">
        <f t="shared" si="224"/>
        <v>39439.733766897421</v>
      </c>
      <c r="CV211" s="68">
        <f t="shared" si="225"/>
        <v>38105.112967848218</v>
      </c>
      <c r="CW211" s="36">
        <f t="shared" si="226"/>
        <v>-1334.6207990492039</v>
      </c>
      <c r="CX211" s="41">
        <f>'[2]побудинковий звіт'!CX211+'[1]побудинковий звіт'!CX211</f>
        <v>396.31252427590505</v>
      </c>
      <c r="CY211" s="41">
        <f>'[2]побудинковий звіт'!CY211+'[1]побудинковий звіт'!CY211</f>
        <v>1730.9333233251168</v>
      </c>
      <c r="CZ211" s="55">
        <f t="shared" si="227"/>
        <v>1334.6207990492117</v>
      </c>
      <c r="DA211" s="254">
        <f>'[1]побудинковий звіт'!DA211</f>
        <v>32868.756156493539</v>
      </c>
      <c r="DB211" s="2">
        <v>2</v>
      </c>
      <c r="DC211" s="702">
        <f>'[1]побудинковий звіт'!DC211</f>
        <v>4704.55</v>
      </c>
      <c r="DD211" s="702">
        <f>'[1]побудинковий звіт'!DD211</f>
        <v>3808.87</v>
      </c>
      <c r="DE211" s="702">
        <f>'[1]побудинковий звіт'!DE211</f>
        <v>985.71</v>
      </c>
      <c r="DF211" s="702">
        <f>'[1]побудинковий звіт'!DF211</f>
        <v>3146.2</v>
      </c>
      <c r="DG211" s="772">
        <v>33148.427752609379</v>
      </c>
      <c r="DH211" s="746">
        <f t="shared" si="228"/>
        <v>478032.55549407995</v>
      </c>
      <c r="DI211" s="769"/>
      <c r="DJ211" s="5"/>
      <c r="DK211" s="307">
        <f>VLOOKUP($A211,ціни!$A$4:$G$401,5)</f>
        <v>6.6759927290331005</v>
      </c>
      <c r="DL211" s="307"/>
      <c r="DM211" s="307">
        <f>VLOOKUP($A211,ціни!$A$4:$G$401,7)</f>
        <v>6.0714082225956307</v>
      </c>
      <c r="DN211" s="29">
        <f t="shared" si="237"/>
        <v>2653.039510517754</v>
      </c>
      <c r="DO211" s="29">
        <f t="shared" si="238"/>
        <v>466.89129231760404</v>
      </c>
      <c r="DP211" s="306">
        <f t="shared" si="229"/>
        <v>3119.930802835358</v>
      </c>
      <c r="DQ211" s="101"/>
      <c r="DR211" s="29">
        <f>VLOOKUP(A211,'ДЗ нас '!$A$1:$C$359,2)</f>
        <v>2653.03</v>
      </c>
      <c r="DS211" s="733">
        <f>VLOOKUP(A211,'ДЗ нежит'!$A$1:$D$153,4,0)</f>
        <v>466.89</v>
      </c>
      <c r="DT211" s="29">
        <f t="shared" si="230"/>
        <v>3119.92</v>
      </c>
      <c r="DU211" s="247">
        <f>VLOOKUP(A211,'новий кошторис с 01.06'!$A$4:$AI$399,35)*1.2</f>
        <v>3119.9308028353576</v>
      </c>
      <c r="DV211" s="29">
        <f t="shared" si="231"/>
        <v>-1.0802835357480944E-2</v>
      </c>
      <c r="DW211" s="1016">
        <f>'[2]побудинковий звіт'!$DW$9+'[1]побудинковий звіт'!DW211</f>
        <v>918</v>
      </c>
      <c r="DX211" s="101">
        <f>'[1]побудинковий звіт'!DX211</f>
        <v>0</v>
      </c>
      <c r="DY211" s="5">
        <f t="shared" si="232"/>
        <v>9151.2391461873303</v>
      </c>
      <c r="DZ211" s="5">
        <f t="shared" si="233"/>
        <v>1634.9783232736993</v>
      </c>
      <c r="EA211" s="737">
        <f t="shared" si="234"/>
        <v>4131.91</v>
      </c>
      <c r="EC211" s="577">
        <f t="shared" si="235"/>
        <v>70458.280513893376</v>
      </c>
      <c r="EE211" s="743">
        <v>975</v>
      </c>
      <c r="EF211" s="723">
        <f t="shared" si="236"/>
        <v>34123.427752609379</v>
      </c>
      <c r="EH211" s="798">
        <v>31371.184976781908</v>
      </c>
      <c r="EI211" s="101">
        <f>VLOOKUP(A211,'кошти 01.01.24'!$A$9:$D$352,4,FALSE)</f>
        <v>34203.376955542757</v>
      </c>
    </row>
    <row r="212" spans="1:139" hidden="1" x14ac:dyDescent="0.3">
      <c r="A212" s="318">
        <v>150000933</v>
      </c>
      <c r="B212" s="43" t="s">
        <v>644</v>
      </c>
      <c r="C212" s="44" t="s">
        <v>267</v>
      </c>
      <c r="D212" s="44" t="s">
        <v>267</v>
      </c>
      <c r="E212" s="39">
        <f t="shared" si="185"/>
        <v>4737.87</v>
      </c>
      <c r="F212" s="205">
        <f>'[1]побудинковий звіт'!F212</f>
        <v>4361.57</v>
      </c>
      <c r="G212" s="29">
        <f>'[1]побудинковий звіт'!G212</f>
        <v>0</v>
      </c>
      <c r="H212" s="148">
        <f>'[1]побудинковий звіт'!H212</f>
        <v>376.3</v>
      </c>
      <c r="I212" s="41">
        <f>'[2]побудинковий звіт'!I212+'[1]побудинковий звіт'!I212</f>
        <v>14392.193001173528</v>
      </c>
      <c r="J212" s="41">
        <f>'[2]побудинковий звіт'!J212+'[1]побудинковий звіт'!J212</f>
        <v>14836.7704059853</v>
      </c>
      <c r="K212" s="55">
        <f t="shared" si="186"/>
        <v>444.57740481177279</v>
      </c>
      <c r="L212" s="41">
        <f>'[2]побудинковий звіт'!L212+'[1]побудинковий звіт'!L212</f>
        <v>2957.8316887518599</v>
      </c>
      <c r="M212" s="41">
        <f>'[2]побудинковий звіт'!M212+'[1]побудинковий звіт'!M212</f>
        <v>3101.679895725244</v>
      </c>
      <c r="N212" s="55">
        <f t="shared" si="187"/>
        <v>143.84820697338409</v>
      </c>
      <c r="O212" s="41">
        <f>'[2]побудинковий звіт'!O212+'[1]побудинковий звіт'!O212</f>
        <v>6841.2411332371685</v>
      </c>
      <c r="P212" s="41">
        <f>'[2]побудинковий звіт'!P212+'[1]побудинковий звіт'!P212</f>
        <v>6860.7992630566696</v>
      </c>
      <c r="Q212" s="55">
        <f t="shared" si="188"/>
        <v>19.558129819501119</v>
      </c>
      <c r="R212" s="41">
        <f>'[2]побудинковий звіт'!R212+'[1]побудинковий звіт'!R212</f>
        <v>1620.2174061549777</v>
      </c>
      <c r="S212" s="41">
        <f>'[2]побудинковий звіт'!S212+'[1]побудинковий звіт'!S212</f>
        <v>1624.288146829801</v>
      </c>
      <c r="T212" s="55">
        <f t="shared" si="189"/>
        <v>4.0707406748233552</v>
      </c>
      <c r="U212" s="41">
        <f>'[2]побудинковий звіт'!U212+'[1]побудинковий звіт'!U212</f>
        <v>917.68794238424277</v>
      </c>
      <c r="V212" s="41">
        <f>'[2]побудинковий звіт'!V212+'[1]побудинковий звіт'!V212</f>
        <v>2184.4447637940611</v>
      </c>
      <c r="W212" s="55">
        <f t="shared" si="190"/>
        <v>1266.7568214098183</v>
      </c>
      <c r="X212" s="41">
        <f>'[2]побудинковий звіт'!X212+'[1]побудинковий звіт'!X212</f>
        <v>11407.790373607213</v>
      </c>
      <c r="Y212" s="41">
        <f>'[2]побудинковий звіт'!Y212+'[1]побудинковий звіт'!Y212</f>
        <v>11304.192701315344</v>
      </c>
      <c r="Z212" s="55">
        <f t="shared" si="191"/>
        <v>-103.59767229186946</v>
      </c>
      <c r="AA212" s="41">
        <f>'[2]побудинковий звіт'!AA212+'[1]побудинковий звіт'!AA212</f>
        <v>0</v>
      </c>
      <c r="AB212" s="41">
        <f>'[2]побудинковий звіт'!AB212+'[1]побудинковий звіт'!AB212</f>
        <v>0</v>
      </c>
      <c r="AC212" s="55">
        <f t="shared" si="192"/>
        <v>0</v>
      </c>
      <c r="AD212" s="41">
        <f>'[2]побудинковий звіт'!AD212+'[1]побудинковий звіт'!AD212</f>
        <v>20539.544472797301</v>
      </c>
      <c r="AE212" s="41">
        <f>'[2]побудинковий звіт'!AE212+'[1]побудинковий звіт'!AE212</f>
        <v>20460.043280351798</v>
      </c>
      <c r="AF212" s="36">
        <f t="shared" si="193"/>
        <v>-79.501192445502966</v>
      </c>
      <c r="AG212" s="84">
        <f t="shared" si="194"/>
        <v>58676.506018106287</v>
      </c>
      <c r="AH212" s="56">
        <f t="shared" si="195"/>
        <v>60372.218457058218</v>
      </c>
      <c r="AI212" s="55">
        <f t="shared" si="196"/>
        <v>1695.7124389519304</v>
      </c>
      <c r="AJ212" s="41">
        <f>'[2]побудинковий звіт'!AJ212+'[1]побудинковий звіт'!AJ212</f>
        <v>0</v>
      </c>
      <c r="AK212" s="41">
        <f>'[2]побудинковий звіт'!AK212+'[1]побудинковий звіт'!AK212</f>
        <v>0</v>
      </c>
      <c r="AL212" s="55">
        <f t="shared" si="197"/>
        <v>0</v>
      </c>
      <c r="AM212" s="41">
        <f>'[2]побудинковий звіт'!AM212+'[1]побудинковий звіт'!AM212</f>
        <v>0</v>
      </c>
      <c r="AN212" s="41">
        <f>'[2]побудинковий звіт'!AN212+'[1]побудинковий звіт'!AN212</f>
        <v>0</v>
      </c>
      <c r="AO212" s="55">
        <f t="shared" si="198"/>
        <v>0</v>
      </c>
      <c r="AP212" s="41">
        <f>'[2]побудинковий звіт'!AP212+'[1]побудинковий звіт'!AP212</f>
        <v>3912.8618744755563</v>
      </c>
      <c r="AQ212" s="41">
        <f>'[2]побудинковий звіт'!AQ212+'[1]побудинковий звіт'!AQ212</f>
        <v>3663.4563002822706</v>
      </c>
      <c r="AR212" s="55">
        <f t="shared" si="199"/>
        <v>-249.4055741932857</v>
      </c>
      <c r="AS212" s="41">
        <f>'[2]побудинковий звіт'!AS212+'[1]побудинковий звіт'!AS212</f>
        <v>56574.382591676411</v>
      </c>
      <c r="AT212" s="41">
        <f>'[2]побудинковий звіт'!AT212+'[1]побудинковий звіт'!AT212</f>
        <v>78811.4654202128</v>
      </c>
      <c r="AU212" s="57">
        <f t="shared" si="200"/>
        <v>22237.08282853639</v>
      </c>
      <c r="AV212" s="41">
        <f>'[2]побудинковий звіт'!AV212+'[1]побудинковий звіт'!AV212</f>
        <v>2583.9607178282768</v>
      </c>
      <c r="AW212" s="41">
        <f>'[2]побудинковий звіт'!AW212+'[1]побудинковий звіт'!AW212</f>
        <v>1788.0073460339131</v>
      </c>
      <c r="AX212" s="58">
        <f t="shared" si="201"/>
        <v>-795.95337179436365</v>
      </c>
      <c r="AY212" s="41">
        <f>'[2]побудинковий звіт'!AY212+'[1]побудинковий звіт'!AY212</f>
        <v>3849.8004900165697</v>
      </c>
      <c r="AZ212" s="41">
        <f>'[2]побудинковий звіт'!AZ212+'[1]побудинковий звіт'!AZ212</f>
        <v>832.92320353512014</v>
      </c>
      <c r="BA212" s="36">
        <f t="shared" si="202"/>
        <v>-3016.8772864814496</v>
      </c>
      <c r="BB212" s="41">
        <f>'[2]побудинковий звіт'!BB212+'[1]побудинковий звіт'!BB212</f>
        <v>3564.2355956318997</v>
      </c>
      <c r="BC212" s="41">
        <f>'[2]побудинковий звіт'!BC212+'[1]побудинковий звіт'!BC212</f>
        <v>0</v>
      </c>
      <c r="BD212" s="58">
        <f t="shared" si="203"/>
        <v>-3564.2355956318997</v>
      </c>
      <c r="BE212" s="41">
        <f>'[2]побудинковий звіт'!BE212+'[1]побудинковий звіт'!BE212</f>
        <v>1455.2645921013664</v>
      </c>
      <c r="BF212" s="41">
        <f>'[2]побудинковий звіт'!BF212+'[1]побудинковий звіт'!BF212</f>
        <v>9221.5149797636241</v>
      </c>
      <c r="BG212" s="38">
        <f t="shared" si="204"/>
        <v>7766.2503876622577</v>
      </c>
      <c r="BH212" s="41">
        <f>'[2]побудинковий звіт'!BH212+'[1]побудинковий звіт'!BH212</f>
        <v>858.00485584094986</v>
      </c>
      <c r="BI212" s="41">
        <f>'[2]побудинковий звіт'!BI212+'[1]побудинковий звіт'!BI212</f>
        <v>0</v>
      </c>
      <c r="BJ212" s="58">
        <f t="shared" si="205"/>
        <v>-858.00485584094986</v>
      </c>
      <c r="BK212" s="41">
        <f>'[2]побудинковий звіт'!BK212+'[1]побудинковий звіт'!BK212</f>
        <v>2144.8030524593833</v>
      </c>
      <c r="BL212" s="41">
        <f>'[2]побудинковий звіт'!BL212+'[1]побудинковий звіт'!BL212</f>
        <v>721.10176352025962</v>
      </c>
      <c r="BM212" s="38">
        <f t="shared" si="206"/>
        <v>-1423.7012889391235</v>
      </c>
      <c r="BN212" s="41">
        <f>'[2]побудинковий звіт'!BN212+'[1]побудинковий звіт'!BN212</f>
        <v>71.525580498480196</v>
      </c>
      <c r="BO212" s="41">
        <f>'[2]побудинковий звіт'!BO212+'[1]побудинковий звіт'!BO212</f>
        <v>0</v>
      </c>
      <c r="BP212" s="58">
        <f t="shared" si="207"/>
        <v>-71.525580498480196</v>
      </c>
      <c r="BQ212" s="84">
        <f t="shared" si="208"/>
        <v>14527.594884376927</v>
      </c>
      <c r="BR212" s="42">
        <f t="shared" si="209"/>
        <v>12563.547292852916</v>
      </c>
      <c r="BS212" s="58">
        <f t="shared" si="210"/>
        <v>-1964.0475915240113</v>
      </c>
      <c r="BT212" s="41">
        <f>'[2]побудинковий звіт'!BT212+'[1]побудинковий звіт'!BT212</f>
        <v>73374.390708440245</v>
      </c>
      <c r="BU212" s="41">
        <f>'[2]побудинковий звіт'!BU212+'[1]побудинковий звіт'!BU212</f>
        <v>104830.56372413883</v>
      </c>
      <c r="BV212" s="55">
        <f t="shared" si="211"/>
        <v>31456.173015698587</v>
      </c>
      <c r="BW212" s="41">
        <f>'[2]побудинковий звіт'!BW212+'[1]побудинковий звіт'!BW212</f>
        <v>31902.744079876727</v>
      </c>
      <c r="BX212" s="41">
        <f>'[2]побудинковий звіт'!BX212+'[1]побудинковий звіт'!BX212</f>
        <v>36894.244961993078</v>
      </c>
      <c r="BY212" s="55">
        <f t="shared" si="212"/>
        <v>4991.5008821163501</v>
      </c>
      <c r="BZ212" s="41">
        <f>'[2]побудинковий звіт'!BZ212+'[1]побудинковий звіт'!BZ212</f>
        <v>18042.434522916785</v>
      </c>
      <c r="CA212" s="41">
        <f>'[2]побудинковий звіт'!CA212+'[1]побудинковий звіт'!CA212</f>
        <v>9192.4402104492692</v>
      </c>
      <c r="CB212" s="55">
        <f t="shared" si="213"/>
        <v>-8849.9943124675156</v>
      </c>
      <c r="CC212" s="41">
        <f>'[2]побудинковий звіт'!CC212+'[1]побудинковий звіт'!CC212</f>
        <v>2818.438445783514</v>
      </c>
      <c r="CD212" s="41">
        <f>'[2]побудинковий звіт'!CD212+'[1]побудинковий звіт'!CD212</f>
        <v>2827.9954561741993</v>
      </c>
      <c r="CE212" s="55">
        <f t="shared" si="214"/>
        <v>9.5570103906852637</v>
      </c>
      <c r="CF212" s="41">
        <f>'[2]побудинковий звіт'!CF212+'[1]побудинковий звіт'!CF212</f>
        <v>349.18954291028996</v>
      </c>
      <c r="CG212" s="41">
        <f>'[2]побудинковий звіт'!CG212+'[1]побудинковий звіт'!CG212</f>
        <v>3941.3686141166872</v>
      </c>
      <c r="CH212" s="55">
        <f t="shared" si="215"/>
        <v>3592.1790712063971</v>
      </c>
      <c r="CI212" s="41">
        <f>'[2]побудинковий звіт'!CI212+'[1]побудинковий звіт'!CI212</f>
        <v>8561.9167973600306</v>
      </c>
      <c r="CJ212" s="41">
        <f>'[2]побудинковий звіт'!CJ212+'[1]побудинковий звіт'!CJ212</f>
        <v>5350.3506584790457</v>
      </c>
      <c r="CK212" s="55">
        <f t="shared" si="216"/>
        <v>-3211.5661388809849</v>
      </c>
      <c r="CL212" s="41">
        <f>'[2]побудинковий звіт'!CL212+'[1]побудинковий звіт'!CL212</f>
        <v>0</v>
      </c>
      <c r="CM212" s="41">
        <f>'[2]побудинковий звіт'!CM212+'[1]побудинковий звіт'!CM212</f>
        <v>0</v>
      </c>
      <c r="CN212" s="55">
        <f t="shared" si="217"/>
        <v>0</v>
      </c>
      <c r="CO212" s="41">
        <f t="shared" si="218"/>
        <v>8561.9167973600306</v>
      </c>
      <c r="CP212" s="42">
        <f t="shared" si="219"/>
        <v>5350.3506584790457</v>
      </c>
      <c r="CQ212" s="55">
        <f t="shared" si="220"/>
        <v>-3211.5661388809849</v>
      </c>
      <c r="CR212" s="76">
        <f t="shared" si="221"/>
        <v>268740.45946592279</v>
      </c>
      <c r="CS212" s="5">
        <f t="shared" si="222"/>
        <v>318447.65109575732</v>
      </c>
      <c r="CT212" s="55">
        <f t="shared" si="223"/>
        <v>49707.191629834531</v>
      </c>
      <c r="CU212" s="84">
        <f t="shared" si="224"/>
        <v>322488.55135910731</v>
      </c>
      <c r="CV212" s="68">
        <f t="shared" si="225"/>
        <v>382137.18131490878</v>
      </c>
      <c r="CW212" s="36">
        <f t="shared" si="226"/>
        <v>59648.629955801473</v>
      </c>
      <c r="CX212" s="41">
        <f>'[2]побудинковий звіт'!CX212+'[1]побудинковий звіт'!CX212</f>
        <v>8582.9475127498608</v>
      </c>
      <c r="CY212" s="41">
        <f>'[2]побудинковий звіт'!CY212+'[1]побудинковий звіт'!CY212</f>
        <v>-51065.682443051621</v>
      </c>
      <c r="CZ212" s="55">
        <f t="shared" si="227"/>
        <v>-59648.62995580148</v>
      </c>
      <c r="DA212" s="254">
        <f>'[1]побудинковий звіт'!DA212</f>
        <v>24957.876694466162</v>
      </c>
      <c r="DB212" s="2">
        <v>2</v>
      </c>
      <c r="DC212" s="702">
        <f>'[1]побудинковий звіт'!DC212</f>
        <v>53965</v>
      </c>
      <c r="DD212" s="702">
        <f>'[1]побудинковий звіт'!DD212</f>
        <v>61950.5</v>
      </c>
      <c r="DE212" s="702">
        <f>'[1]побудинковий звіт'!DE212</f>
        <v>20079.03</v>
      </c>
      <c r="DF212" s="702">
        <f>'[1]побудинковий звіт'!DF212</f>
        <v>59372.24</v>
      </c>
      <c r="DG212" s="772">
        <v>-20998.399665872916</v>
      </c>
      <c r="DH212" s="746">
        <f t="shared" si="228"/>
        <v>3972857.9864622862</v>
      </c>
      <c r="DI212" s="769"/>
      <c r="DJ212" s="5"/>
      <c r="DK212" s="307">
        <f>VLOOKUP($A212,ціни!$A$4:$G$401,5)</f>
        <v>5.5279015960138524</v>
      </c>
      <c r="DL212" s="307"/>
      <c r="DM212" s="307">
        <f>VLOOKUP($A212,ціни!$A$4:$G$401,7)</f>
        <v>4.8087382599962156</v>
      </c>
      <c r="DN212" s="29">
        <f t="shared" si="237"/>
        <v>24110.329764126138</v>
      </c>
      <c r="DO212" s="29">
        <f t="shared" si="238"/>
        <v>1809.528207236576</v>
      </c>
      <c r="DP212" s="306">
        <f t="shared" si="229"/>
        <v>25919.857971362715</v>
      </c>
      <c r="DQ212" s="101"/>
      <c r="DR212" s="29">
        <f>VLOOKUP(A212,'ДЗ нас '!$A$1:$C$359,2)</f>
        <v>24110.3</v>
      </c>
      <c r="DS212" s="733">
        <f>VLOOKUP(A212,'ДЗ нежит'!$A$1:$D$153,4,0)</f>
        <v>1809.5100000000002</v>
      </c>
      <c r="DT212" s="29">
        <f t="shared" si="230"/>
        <v>25919.809999999998</v>
      </c>
      <c r="DU212" s="247">
        <f>VLOOKUP(A212,'новий кошторис с 01.06'!$A$4:$AI$399,35)*1.2</f>
        <v>26005.965650215032</v>
      </c>
      <c r="DV212" s="29">
        <f t="shared" si="231"/>
        <v>-86.155650215034257</v>
      </c>
      <c r="DW212" s="1016">
        <f>'[2]побудинковий звіт'!$DW$9+'[1]побудинковий звіт'!DW212</f>
        <v>1359</v>
      </c>
      <c r="DX212" s="101">
        <f>'[1]побудинковий звіт'!DX212</f>
        <v>0</v>
      </c>
      <c r="DY212" s="5">
        <f t="shared" si="232"/>
        <v>85322.372971263991</v>
      </c>
      <c r="DZ212" s="5">
        <f t="shared" si="233"/>
        <v>109650.01525567887</v>
      </c>
      <c r="EA212" s="737">
        <f t="shared" si="234"/>
        <v>79451.26999999999</v>
      </c>
      <c r="EC212" s="577">
        <f t="shared" si="235"/>
        <v>678892.59110011696</v>
      </c>
      <c r="EE212" s="743">
        <v>18709</v>
      </c>
      <c r="EF212" s="723">
        <f t="shared" si="236"/>
        <v>-2289.3996658729156</v>
      </c>
      <c r="EH212" s="798">
        <v>-743.07998511966071</v>
      </c>
      <c r="EI212" s="101">
        <f>VLOOKUP(A212,'кошти 01.01.24'!$A$9:$D$352,4,FALSE)</f>
        <v>-34690.753261335325</v>
      </c>
    </row>
    <row r="213" spans="1:139" hidden="1" x14ac:dyDescent="0.3">
      <c r="A213" s="318">
        <v>150000934</v>
      </c>
      <c r="B213" s="43" t="s">
        <v>645</v>
      </c>
      <c r="C213" s="1013" t="s">
        <v>215</v>
      </c>
      <c r="D213" s="44" t="s">
        <v>215</v>
      </c>
      <c r="E213" s="39">
        <f t="shared" si="185"/>
        <v>0</v>
      </c>
      <c r="F213" s="205">
        <f>'[1]побудинковий звіт'!F213</f>
        <v>0</v>
      </c>
      <c r="G213" s="29">
        <f>'[1]побудинковий звіт'!G213</f>
        <v>0</v>
      </c>
      <c r="H213" s="148">
        <f>'[1]побудинковий звіт'!H213</f>
        <v>0</v>
      </c>
      <c r="I213" s="41">
        <f>'[2]побудинковий звіт'!I213+'[1]побудинковий звіт'!I213</f>
        <v>1649.5269850143154</v>
      </c>
      <c r="J213" s="41">
        <f>'[2]побудинковий звіт'!J213+'[1]побудинковий звіт'!J213</f>
        <v>1880.483802269735</v>
      </c>
      <c r="K213" s="55">
        <f t="shared" si="186"/>
        <v>230.95681725541954</v>
      </c>
      <c r="L213" s="41">
        <f>'[2]побудинковий звіт'!L213+'[1]побудинковий звіт'!L213</f>
        <v>234.35015209124313</v>
      </c>
      <c r="M213" s="41">
        <f>'[2]побудинковий звіт'!M213+'[1]побудинковий звіт'!M213</f>
        <v>269.97217500616165</v>
      </c>
      <c r="N213" s="55">
        <f t="shared" si="187"/>
        <v>35.622022914918517</v>
      </c>
      <c r="O213" s="41">
        <f>'[2]побудинковий звіт'!O213+'[1]побудинковий звіт'!O213</f>
        <v>637.31999999999994</v>
      </c>
      <c r="P213" s="41">
        <f>'[2]побудинковий звіт'!P213+'[1]побудинковий звіт'!P213</f>
        <v>637.32500000000005</v>
      </c>
      <c r="Q213" s="55">
        <f t="shared" si="188"/>
        <v>5.0000000001091394E-3</v>
      </c>
      <c r="R213" s="41">
        <f>'[2]побудинковий звіт'!R213+'[1]побудинковий звіт'!R213</f>
        <v>0</v>
      </c>
      <c r="S213" s="41">
        <f>'[2]побудинковий звіт'!S213+'[1]побудинковий звіт'!S213</f>
        <v>0</v>
      </c>
      <c r="T213" s="55">
        <f t="shared" si="189"/>
        <v>0</v>
      </c>
      <c r="U213" s="41">
        <f>'[2]побудинковий звіт'!U213+'[1]побудинковий звіт'!U213</f>
        <v>0</v>
      </c>
      <c r="V213" s="41">
        <f>'[2]побудинковий звіт'!V213+'[1]побудинковий звіт'!V213</f>
        <v>0</v>
      </c>
      <c r="W213" s="55">
        <f t="shared" si="190"/>
        <v>0</v>
      </c>
      <c r="X213" s="41">
        <f>'[2]побудинковий звіт'!X213+'[1]побудинковий звіт'!X213</f>
        <v>1155.2536262678268</v>
      </c>
      <c r="Y213" s="41">
        <f>'[2]побудинковий звіт'!Y213+'[1]побудинковий звіт'!Y213</f>
        <v>1192.5595764756786</v>
      </c>
      <c r="Z213" s="55">
        <f t="shared" si="191"/>
        <v>37.305950207851765</v>
      </c>
      <c r="AA213" s="41">
        <f>'[2]побудинковий звіт'!AA213+'[1]побудинковий звіт'!AA213</f>
        <v>0</v>
      </c>
      <c r="AB213" s="41">
        <f>'[2]побудинковий звіт'!AB213+'[1]побудинковий звіт'!AB213</f>
        <v>0</v>
      </c>
      <c r="AC213" s="55">
        <f t="shared" si="192"/>
        <v>0</v>
      </c>
      <c r="AD213" s="41">
        <f>'[2]побудинковий звіт'!AD213+'[1]побудинковий звіт'!AD213</f>
        <v>2117.7872896594545</v>
      </c>
      <c r="AE213" s="41">
        <f>'[2]побудинковий звіт'!AE213+'[1]побудинковий звіт'!AE213</f>
        <v>2205.8817831610513</v>
      </c>
      <c r="AF213" s="36">
        <f t="shared" si="193"/>
        <v>88.094493501596844</v>
      </c>
      <c r="AG213" s="84">
        <f t="shared" si="194"/>
        <v>5794.2380530328401</v>
      </c>
      <c r="AH213" s="56">
        <f t="shared" si="195"/>
        <v>6186.2223369126259</v>
      </c>
      <c r="AI213" s="55">
        <f t="shared" si="196"/>
        <v>391.98428387978583</v>
      </c>
      <c r="AJ213" s="41">
        <f>'[2]побудинковий звіт'!AJ213+'[1]побудинковий звіт'!AJ213</f>
        <v>0</v>
      </c>
      <c r="AK213" s="41">
        <f>'[2]побудинковий звіт'!AK213+'[1]побудинковий звіт'!AK213</f>
        <v>0</v>
      </c>
      <c r="AL213" s="55">
        <f t="shared" si="197"/>
        <v>0</v>
      </c>
      <c r="AM213" s="41">
        <f>'[2]побудинковий звіт'!AM213+'[1]побудинковий звіт'!AM213</f>
        <v>0</v>
      </c>
      <c r="AN213" s="41">
        <f>'[2]побудинковий звіт'!AN213+'[1]побудинковий звіт'!AN213</f>
        <v>0</v>
      </c>
      <c r="AO213" s="55">
        <f t="shared" si="198"/>
        <v>0</v>
      </c>
      <c r="AP213" s="41">
        <f>'[2]побудинковий звіт'!AP213+'[1]побудинковий звіт'!AP213</f>
        <v>1278.473817906427</v>
      </c>
      <c r="AQ213" s="41">
        <f>'[2]побудинковий звіт'!AQ213+'[1]побудинковий звіт'!AQ213</f>
        <v>0</v>
      </c>
      <c r="AR213" s="55">
        <f t="shared" si="199"/>
        <v>-1278.473817906427</v>
      </c>
      <c r="AS213" s="41">
        <f>'[2]побудинковий звіт'!AS213+'[1]побудинковий звіт'!AS213</f>
        <v>4482.385585623073</v>
      </c>
      <c r="AT213" s="41">
        <f>'[2]побудинковий звіт'!AT213+'[1]побудинковий звіт'!AT213</f>
        <v>0</v>
      </c>
      <c r="AU213" s="57">
        <f t="shared" si="200"/>
        <v>-4482.385585623073</v>
      </c>
      <c r="AV213" s="41">
        <f>'[2]побудинковий звіт'!AV213+'[1]побудинковий звіт'!AV213</f>
        <v>281.91970603286177</v>
      </c>
      <c r="AW213" s="41">
        <f>'[2]побудинковий звіт'!AW213+'[1]побудинковий звіт'!AW213</f>
        <v>0</v>
      </c>
      <c r="AX213" s="58">
        <f t="shared" si="201"/>
        <v>-281.91970603286177</v>
      </c>
      <c r="AY213" s="41">
        <f>'[2]побудинковий звіт'!AY213+'[1]побудинковий звіт'!AY213</f>
        <v>302.09238167709452</v>
      </c>
      <c r="AZ213" s="41">
        <f>'[2]побудинковий звіт'!AZ213+'[1]побудинковий звіт'!AZ213</f>
        <v>0</v>
      </c>
      <c r="BA213" s="36">
        <f t="shared" si="202"/>
        <v>-302.09238167709452</v>
      </c>
      <c r="BB213" s="41">
        <f>'[2]побудинковий звіт'!BB213+'[1]побудинковий звіт'!BB213</f>
        <v>391.71916799375629</v>
      </c>
      <c r="BC213" s="41">
        <f>'[2]побудинковий звіт'!BC213+'[1]побудинковий звіт'!BC213</f>
        <v>0</v>
      </c>
      <c r="BD213" s="58">
        <f t="shared" si="203"/>
        <v>-391.71916799375629</v>
      </c>
      <c r="BE213" s="41">
        <f>'[2]побудинковий звіт'!BE213+'[1]побудинковий звіт'!BE213</f>
        <v>0</v>
      </c>
      <c r="BF213" s="41">
        <f>'[2]побудинковий звіт'!BF213+'[1]побудинковий звіт'!BF213</f>
        <v>0</v>
      </c>
      <c r="BG213" s="38">
        <f t="shared" si="204"/>
        <v>0</v>
      </c>
      <c r="BH213" s="41">
        <f>'[2]побудинковий звіт'!BH213+'[1]побудинковий звіт'!BH213</f>
        <v>0</v>
      </c>
      <c r="BI213" s="41">
        <f>'[2]побудинковий звіт'!BI213+'[1]побудинковий звіт'!BI213</f>
        <v>0</v>
      </c>
      <c r="BJ213" s="58">
        <f t="shared" si="205"/>
        <v>0</v>
      </c>
      <c r="BK213" s="41">
        <f>'[2]побудинковий звіт'!BK213+'[1]побудинковий звіт'!BK213</f>
        <v>148.40671520361377</v>
      </c>
      <c r="BL213" s="41">
        <f>'[2]побудинковий звіт'!BL213+'[1]побудинковий звіт'!BL213</f>
        <v>0</v>
      </c>
      <c r="BM213" s="38">
        <f t="shared" si="206"/>
        <v>-148.40671520361377</v>
      </c>
      <c r="BN213" s="41">
        <f>'[2]побудинковий звіт'!BN213+'[1]побудинковий звіт'!BN213</f>
        <v>0</v>
      </c>
      <c r="BO213" s="41">
        <f>'[2]побудинковий звіт'!BO213+'[1]побудинковий звіт'!BO213</f>
        <v>0</v>
      </c>
      <c r="BP213" s="58">
        <f t="shared" si="207"/>
        <v>0</v>
      </c>
      <c r="BQ213" s="84">
        <f t="shared" si="208"/>
        <v>1124.1379709073262</v>
      </c>
      <c r="BR213" s="42">
        <f t="shared" si="209"/>
        <v>0</v>
      </c>
      <c r="BS213" s="58">
        <f t="shared" si="210"/>
        <v>-1124.1379709073262</v>
      </c>
      <c r="BT213" s="41">
        <f>'[2]побудинковий звіт'!BT213+'[1]побудинковий звіт'!BT213</f>
        <v>7936.0620902474666</v>
      </c>
      <c r="BU213" s="41">
        <f>'[2]побудинковий звіт'!BU213+'[1]побудинковий звіт'!BU213</f>
        <v>8881.6948246694647</v>
      </c>
      <c r="BV213" s="55">
        <f t="shared" si="211"/>
        <v>945.63273442199807</v>
      </c>
      <c r="BW213" s="41">
        <f>'[2]побудинковий звіт'!BW213+'[1]побудинковий звіт'!BW213</f>
        <v>3671.7837180765928</v>
      </c>
      <c r="BX213" s="41">
        <f>'[2]побудинковий звіт'!BX213+'[1]побудинковий звіт'!BX213</f>
        <v>4771.673271263091</v>
      </c>
      <c r="BY213" s="55">
        <f t="shared" si="212"/>
        <v>1099.8895531864982</v>
      </c>
      <c r="BZ213" s="41">
        <f>'[2]побудинковий звіт'!BZ213+'[1]побудинковий звіт'!BZ213</f>
        <v>2324.0060345747006</v>
      </c>
      <c r="CA213" s="41">
        <f>'[2]побудинковий звіт'!CA213+'[1]побудинковий звіт'!CA213</f>
        <v>4546.6250590399086</v>
      </c>
      <c r="CB213" s="55">
        <f t="shared" si="213"/>
        <v>2222.619024465208</v>
      </c>
      <c r="CC213" s="41">
        <f>'[2]побудинковий звіт'!CC213+'[1]побудинковий звіт'!CC213</f>
        <v>0</v>
      </c>
      <c r="CD213" s="41">
        <f>'[2]побудинковий звіт'!CD213+'[1]побудинковий звіт'!CD213</f>
        <v>0</v>
      </c>
      <c r="CE213" s="55">
        <f t="shared" si="214"/>
        <v>0</v>
      </c>
      <c r="CF213" s="41">
        <f>'[2]побудинковий звіт'!CF213+'[1]побудинковий звіт'!CF213</f>
        <v>0</v>
      </c>
      <c r="CG213" s="41">
        <f>'[2]побудинковий звіт'!CG213+'[1]побудинковий звіт'!CG213</f>
        <v>0</v>
      </c>
      <c r="CH213" s="55">
        <f t="shared" si="215"/>
        <v>0</v>
      </c>
      <c r="CI213" s="41">
        <f>'[2]побудинковий звіт'!CI213+'[1]побудинковий звіт'!CI213</f>
        <v>1651.8215968872059</v>
      </c>
      <c r="CJ213" s="41">
        <f>'[2]побудинковий звіт'!CJ213+'[1]побудинковий звіт'!CJ213</f>
        <v>1802.0953481614247</v>
      </c>
      <c r="CK213" s="55">
        <f t="shared" si="216"/>
        <v>150.27375127421874</v>
      </c>
      <c r="CL213" s="41">
        <f>'[2]побудинковий звіт'!CL213+'[1]побудинковий звіт'!CL213</f>
        <v>0</v>
      </c>
      <c r="CM213" s="41">
        <f>'[2]побудинковий звіт'!CM213+'[1]побудинковий звіт'!CM213</f>
        <v>0</v>
      </c>
      <c r="CN213" s="55">
        <f t="shared" si="217"/>
        <v>0</v>
      </c>
      <c r="CO213" s="41">
        <f t="shared" si="218"/>
        <v>1651.8215968872059</v>
      </c>
      <c r="CP213" s="42">
        <f t="shared" si="219"/>
        <v>1802.0953481614247</v>
      </c>
      <c r="CQ213" s="55">
        <f t="shared" si="220"/>
        <v>150.27375127421874</v>
      </c>
      <c r="CR213" s="76">
        <f t="shared" si="221"/>
        <v>28262.908867255632</v>
      </c>
      <c r="CS213" s="5">
        <f t="shared" si="222"/>
        <v>26188.31084004651</v>
      </c>
      <c r="CT213" s="55">
        <f t="shared" si="223"/>
        <v>-2074.5980272091219</v>
      </c>
      <c r="CU213" s="84">
        <f t="shared" si="224"/>
        <v>33915.490640706754</v>
      </c>
      <c r="CV213" s="68">
        <f t="shared" si="225"/>
        <v>31425.973008055811</v>
      </c>
      <c r="CW213" s="36">
        <f t="shared" si="226"/>
        <v>-2489.5176326509427</v>
      </c>
      <c r="CX213" s="41">
        <f>'[2]побудинковий звіт'!CX213+'[1]побудинковий звіт'!CX213</f>
        <v>847.99935929324056</v>
      </c>
      <c r="CY213" s="41">
        <f>'[2]побудинковий звіт'!CY213+'[1]побудинковий звіт'!CY213</f>
        <v>3337.5169919441814</v>
      </c>
      <c r="CZ213" s="55">
        <f t="shared" si="227"/>
        <v>2489.5176326509409</v>
      </c>
      <c r="DA213" s="254">
        <f>'[1]побудинковий звіт'!DA213</f>
        <v>-27003.316467220706</v>
      </c>
      <c r="DB213" s="2">
        <v>2</v>
      </c>
      <c r="DC213" s="702">
        <f>'[1]побудинковий звіт'!DC213</f>
        <v>0</v>
      </c>
      <c r="DD213" s="702">
        <f>'[1]побудинковий звіт'!DD213</f>
        <v>0</v>
      </c>
      <c r="DE213" s="702">
        <f>'[1]побудинковий звіт'!DE213</f>
        <v>0</v>
      </c>
      <c r="DF213" s="702">
        <f>'[1]побудинковий звіт'!DF213</f>
        <v>0</v>
      </c>
      <c r="DG213" s="772"/>
      <c r="DH213" s="746"/>
      <c r="DI213" s="769"/>
      <c r="DJ213" s="5"/>
      <c r="DK213" s="307"/>
      <c r="DL213" s="307"/>
      <c r="DM213" s="307"/>
      <c r="DN213" s="29"/>
      <c r="DO213" s="29"/>
      <c r="DP213" s="306"/>
      <c r="DQ213" s="101"/>
      <c r="DR213" s="29"/>
      <c r="DS213" s="733"/>
      <c r="DT213" s="29"/>
      <c r="DU213" s="247"/>
      <c r="DV213" s="29"/>
      <c r="DW213" s="1016">
        <f>'[2]побудинковий звіт'!$DW$9+'[1]побудинковий звіт'!DW213</f>
        <v>118</v>
      </c>
      <c r="DX213" s="101">
        <f>'[1]побудинковий звіт'!DX213</f>
        <v>0</v>
      </c>
      <c r="DY213" s="5"/>
      <c r="DZ213" s="5"/>
      <c r="EA213" s="737"/>
      <c r="EC213" s="577"/>
      <c r="EE213" s="743"/>
      <c r="EF213" s="723"/>
      <c r="EH213" s="798"/>
      <c r="EI213" s="101">
        <v>-25016</v>
      </c>
    </row>
    <row r="214" spans="1:139" hidden="1" x14ac:dyDescent="0.3">
      <c r="A214" s="318">
        <v>150000935</v>
      </c>
      <c r="B214" s="43" t="s">
        <v>646</v>
      </c>
      <c r="C214" s="44" t="s">
        <v>175</v>
      </c>
      <c r="D214" s="44" t="s">
        <v>175</v>
      </c>
      <c r="E214" s="39">
        <f t="shared" si="185"/>
        <v>285.5</v>
      </c>
      <c r="F214" s="205">
        <f>'[1]побудинковий звіт'!F214</f>
        <v>285.5</v>
      </c>
      <c r="G214" s="29">
        <f>'[1]побудинковий звіт'!G214</f>
        <v>0</v>
      </c>
      <c r="H214" s="148">
        <f>'[1]побудинковий звіт'!H214</f>
        <v>0</v>
      </c>
      <c r="I214" s="41">
        <f>'[2]побудинковий звіт'!I214+'[1]побудинковий звіт'!I214</f>
        <v>581.20074843069835</v>
      </c>
      <c r="J214" s="41">
        <f>'[2]побудинковий звіт'!J214+'[1]побудинковий звіт'!J214</f>
        <v>601.75935573774416</v>
      </c>
      <c r="K214" s="55">
        <f t="shared" si="186"/>
        <v>20.558607307045804</v>
      </c>
      <c r="L214" s="41">
        <f>'[2]побудинковий звіт'!L214+'[1]побудинковий звіт'!L214</f>
        <v>294.31206589810046</v>
      </c>
      <c r="M214" s="41">
        <f>'[2]побудинковий звіт'!M214+'[1]побудинковий звіт'!M214</f>
        <v>308.60586047240741</v>
      </c>
      <c r="N214" s="55">
        <f t="shared" si="187"/>
        <v>14.293794574306958</v>
      </c>
      <c r="O214" s="41">
        <f>'[2]побудинковий звіт'!O214+'[1]побудинковий звіт'!O214</f>
        <v>410.55219378586816</v>
      </c>
      <c r="P214" s="41">
        <f>'[2]побудинковий звіт'!P214+'[1]побудинковий звіт'!P214</f>
        <v>412.04160749389627</v>
      </c>
      <c r="Q214" s="55">
        <f t="shared" si="188"/>
        <v>1.4894137080281098</v>
      </c>
      <c r="R214" s="41">
        <f>'[2]побудинковий звіт'!R214+'[1]побудинковий звіт'!R214</f>
        <v>0</v>
      </c>
      <c r="S214" s="41">
        <f>'[2]побудинковий звіт'!S214+'[1]побудинковий звіт'!S214</f>
        <v>0</v>
      </c>
      <c r="T214" s="55">
        <f t="shared" si="189"/>
        <v>0</v>
      </c>
      <c r="U214" s="41">
        <f>'[2]побудинковий звіт'!U214+'[1]побудинковий звіт'!U214</f>
        <v>0</v>
      </c>
      <c r="V214" s="41">
        <f>'[2]побудинковий звіт'!V214+'[1]побудинковий звіт'!V214</f>
        <v>0</v>
      </c>
      <c r="W214" s="55">
        <f t="shared" si="190"/>
        <v>0</v>
      </c>
      <c r="X214" s="41">
        <f>'[2]побудинковий звіт'!X214+'[1]побудинковий звіт'!X214</f>
        <v>485.47776261882092</v>
      </c>
      <c r="Y214" s="41">
        <f>'[2]побудинковий звіт'!Y214+'[1]побудинковий звіт'!Y214</f>
        <v>2189.0675486721266</v>
      </c>
      <c r="Z214" s="55">
        <f t="shared" si="191"/>
        <v>1703.5897860533057</v>
      </c>
      <c r="AA214" s="41">
        <f>'[2]побудинковий звіт'!AA214+'[1]побудинковий звіт'!AA214</f>
        <v>0</v>
      </c>
      <c r="AB214" s="41">
        <f>'[2]побудинковий звіт'!AB214+'[1]побудинковий звіт'!AB214</f>
        <v>0</v>
      </c>
      <c r="AC214" s="55">
        <f t="shared" si="192"/>
        <v>0</v>
      </c>
      <c r="AD214" s="41">
        <f>'[2]побудинковий звіт'!AD214+'[1]побудинковий звіт'!AD214</f>
        <v>1240.8218002332367</v>
      </c>
      <c r="AE214" s="41">
        <f>'[2]побудинковий звіт'!AE214+'[1]побудинковий звіт'!AE214</f>
        <v>1235.900246587069</v>
      </c>
      <c r="AF214" s="36">
        <f t="shared" si="193"/>
        <v>-4.9215536461676948</v>
      </c>
      <c r="AG214" s="84">
        <f t="shared" si="194"/>
        <v>3012.3645709667244</v>
      </c>
      <c r="AH214" s="56">
        <f t="shared" si="195"/>
        <v>4747.3746189632438</v>
      </c>
      <c r="AI214" s="55">
        <f t="shared" si="196"/>
        <v>1735.0100479965195</v>
      </c>
      <c r="AJ214" s="41">
        <f>'[2]побудинковий звіт'!AJ214+'[1]побудинковий звіт'!AJ214</f>
        <v>0</v>
      </c>
      <c r="AK214" s="41">
        <f>'[2]побудинковий звіт'!AK214+'[1]побудинковий звіт'!AK214</f>
        <v>0</v>
      </c>
      <c r="AL214" s="55">
        <f t="shared" si="197"/>
        <v>0</v>
      </c>
      <c r="AM214" s="41">
        <f>'[2]побудинковий звіт'!AM214+'[1]побудинковий звіт'!AM214</f>
        <v>0</v>
      </c>
      <c r="AN214" s="41">
        <f>'[2]побудинковий звіт'!AN214+'[1]побудинковий звіт'!AN214</f>
        <v>0</v>
      </c>
      <c r="AO214" s="55">
        <f t="shared" si="198"/>
        <v>0</v>
      </c>
      <c r="AP214" s="41">
        <f>'[2]побудинковий звіт'!AP214+'[1]побудинковий звіт'!AP214</f>
        <v>891.53814861468356</v>
      </c>
      <c r="AQ214" s="41">
        <f>'[2]побудинковий звіт'!AQ214+'[1]побудинковий звіт'!AQ214</f>
        <v>649.23473075241759</v>
      </c>
      <c r="AR214" s="55">
        <f t="shared" si="199"/>
        <v>-242.30341786226597</v>
      </c>
      <c r="AS214" s="41">
        <f>'[2]побудинковий звіт'!AS214+'[1]побудинковий звіт'!AS214</f>
        <v>4543.1844203043574</v>
      </c>
      <c r="AT214" s="41">
        <f>'[2]побудинковий звіт'!AT214+'[1]побудинковий звіт'!AT214</f>
        <v>58</v>
      </c>
      <c r="AU214" s="57">
        <f t="shared" si="200"/>
        <v>-4485.1844203043574</v>
      </c>
      <c r="AV214" s="41">
        <f>'[2]побудинковий звіт'!AV214+'[1]побудинковий звіт'!AV214</f>
        <v>323.71454170318202</v>
      </c>
      <c r="AW214" s="41">
        <f>'[2]побудинковий звіт'!AW214+'[1]побудинковий звіт'!AW214</f>
        <v>0</v>
      </c>
      <c r="AX214" s="58">
        <f t="shared" si="201"/>
        <v>-323.71454170318202</v>
      </c>
      <c r="AY214" s="41">
        <f>'[2]побудинковий звіт'!AY214+'[1]побудинковий звіт'!AY214</f>
        <v>352.09894743427691</v>
      </c>
      <c r="AZ214" s="41">
        <f>'[2]побудинковий звіт'!AZ214+'[1]побудинковий звіт'!AZ214</f>
        <v>0</v>
      </c>
      <c r="BA214" s="36">
        <f t="shared" si="202"/>
        <v>-352.09894743427691</v>
      </c>
      <c r="BB214" s="41">
        <f>'[2]побудинковий звіт'!BB214+'[1]побудинковий звіт'!BB214</f>
        <v>179.84460777881202</v>
      </c>
      <c r="BC214" s="41">
        <f>'[2]побудинковий звіт'!BC214+'[1]побудинковий звіт'!BC214</f>
        <v>0</v>
      </c>
      <c r="BD214" s="58">
        <f t="shared" si="203"/>
        <v>-179.84460777881202</v>
      </c>
      <c r="BE214" s="41">
        <f>'[2]побудинковий звіт'!BE214+'[1]побудинковий звіт'!BE214</f>
        <v>0</v>
      </c>
      <c r="BF214" s="41">
        <f>'[2]побудинковий звіт'!BF214+'[1]побудинковий звіт'!BF214</f>
        <v>0</v>
      </c>
      <c r="BG214" s="38">
        <f t="shared" si="204"/>
        <v>0</v>
      </c>
      <c r="BH214" s="41">
        <f>'[2]побудинковий звіт'!BH214+'[1]побудинковий звіт'!BH214</f>
        <v>0</v>
      </c>
      <c r="BI214" s="41">
        <f>'[2]побудинковий звіт'!BI214+'[1]побудинковий звіт'!BI214</f>
        <v>0</v>
      </c>
      <c r="BJ214" s="58">
        <f t="shared" si="205"/>
        <v>0</v>
      </c>
      <c r="BK214" s="41">
        <f>'[2]побудинковий звіт'!BK214+'[1]побудинковий звіт'!BK214</f>
        <v>102.22844711567211</v>
      </c>
      <c r="BL214" s="41">
        <f>'[2]побудинковий звіт'!BL214+'[1]побудинковий звіт'!BL214</f>
        <v>0</v>
      </c>
      <c r="BM214" s="38">
        <f t="shared" si="206"/>
        <v>-102.22844711567211</v>
      </c>
      <c r="BN214" s="41">
        <f>'[2]побудинковий звіт'!BN214+'[1]побудинковий звіт'!BN214</f>
        <v>13.395360909145198</v>
      </c>
      <c r="BO214" s="41">
        <f>'[2]побудинковий звіт'!BO214+'[1]побудинковий звіт'!BO214</f>
        <v>1197.2525579190001</v>
      </c>
      <c r="BP214" s="58">
        <f t="shared" si="207"/>
        <v>1183.8571970098549</v>
      </c>
      <c r="BQ214" s="84">
        <f t="shared" si="208"/>
        <v>971.28190494108821</v>
      </c>
      <c r="BR214" s="42">
        <f t="shared" si="209"/>
        <v>1197.2525579190001</v>
      </c>
      <c r="BS214" s="58">
        <f t="shared" si="210"/>
        <v>225.97065297791187</v>
      </c>
      <c r="BT214" s="41">
        <f>'[2]побудинковий звіт'!BT214+'[1]побудинковий звіт'!BT214</f>
        <v>6178.6012974028636</v>
      </c>
      <c r="BU214" s="41">
        <f>'[2]побудинковий звіт'!BU214+'[1]побудинковий звіт'!BU214</f>
        <v>8760.5403056004961</v>
      </c>
      <c r="BV214" s="55">
        <f t="shared" si="211"/>
        <v>2581.9390081976326</v>
      </c>
      <c r="BW214" s="41">
        <f>'[2]побудинковий звіт'!BW214+'[1]побудинковий звіт'!BW214</f>
        <v>1247.9721718968217</v>
      </c>
      <c r="BX214" s="41">
        <f>'[2]побудинковий звіт'!BX214+'[1]побудинковий звіт'!BX214</f>
        <v>1459.183460070708</v>
      </c>
      <c r="BY214" s="55">
        <f t="shared" si="212"/>
        <v>211.21128817388626</v>
      </c>
      <c r="BZ214" s="41">
        <f>'[2]побудинковий звіт'!BZ214+'[1]побудинковий звіт'!BZ214</f>
        <v>1754.1242075343289</v>
      </c>
      <c r="CA214" s="41">
        <f>'[2]побудинковий звіт'!CA214+'[1]побудинковий звіт'!CA214</f>
        <v>1103.1256760097181</v>
      </c>
      <c r="CB214" s="55">
        <f t="shared" si="213"/>
        <v>-650.99853152461083</v>
      </c>
      <c r="CC214" s="41">
        <f>'[2]побудинковий звіт'!CC214+'[1]побудинковий звіт'!CC214</f>
        <v>0</v>
      </c>
      <c r="CD214" s="41">
        <f>'[2]побудинковий звіт'!CD214+'[1]побудинковий звіт'!CD214</f>
        <v>0</v>
      </c>
      <c r="CE214" s="55">
        <f t="shared" si="214"/>
        <v>0</v>
      </c>
      <c r="CF214" s="41">
        <f>'[2]побудинковий звіт'!CF214+'[1]побудинковий звіт'!CF214</f>
        <v>0</v>
      </c>
      <c r="CG214" s="41">
        <f>'[2]побудинковий звіт'!CG214+'[1]побудинковий звіт'!CG214</f>
        <v>0</v>
      </c>
      <c r="CH214" s="55">
        <f t="shared" si="215"/>
        <v>0</v>
      </c>
      <c r="CI214" s="41">
        <f>'[2]побудинковий звіт'!CI214+'[1]побудинковий звіт'!CI214</f>
        <v>1096.5521189666044</v>
      </c>
      <c r="CJ214" s="41">
        <f>'[2]побудинковий звіт'!CJ214+'[1]побудинковий звіт'!CJ214</f>
        <v>548.59484876906811</v>
      </c>
      <c r="CK214" s="55">
        <f t="shared" si="216"/>
        <v>-547.95727019753633</v>
      </c>
      <c r="CL214" s="41">
        <f>'[2]побудинковий звіт'!CL214+'[1]побудинковий звіт'!CL214</f>
        <v>0</v>
      </c>
      <c r="CM214" s="41">
        <f>'[2]побудинковий звіт'!CM214+'[1]побудинковий звіт'!CM214</f>
        <v>0</v>
      </c>
      <c r="CN214" s="55">
        <f t="shared" si="217"/>
        <v>0</v>
      </c>
      <c r="CO214" s="41">
        <f t="shared" si="218"/>
        <v>1096.5521189666044</v>
      </c>
      <c r="CP214" s="42">
        <f t="shared" si="219"/>
        <v>548.59484876906811</v>
      </c>
      <c r="CQ214" s="55">
        <f t="shared" si="220"/>
        <v>-547.95727019753633</v>
      </c>
      <c r="CR214" s="76">
        <f t="shared" si="221"/>
        <v>19695.61884062747</v>
      </c>
      <c r="CS214" s="5">
        <f t="shared" si="222"/>
        <v>18523.306198084654</v>
      </c>
      <c r="CT214" s="55">
        <f t="shared" si="223"/>
        <v>-1172.3126425428163</v>
      </c>
      <c r="CU214" s="84">
        <f t="shared" si="224"/>
        <v>23634.742608752964</v>
      </c>
      <c r="CV214" s="68">
        <f t="shared" si="225"/>
        <v>22227.967437701584</v>
      </c>
      <c r="CW214" s="36">
        <f t="shared" si="226"/>
        <v>-1406.7751710513803</v>
      </c>
      <c r="CX214" s="41">
        <f>'[2]побудинковий звіт'!CX214+'[1]побудинковий звіт'!CX214</f>
        <v>190.12461644827039</v>
      </c>
      <c r="CY214" s="41">
        <f>'[2]побудинковий звіт'!CY214+'[1]побудинковий звіт'!CY214</f>
        <v>1596.8997874996599</v>
      </c>
      <c r="CZ214" s="55">
        <f t="shared" si="227"/>
        <v>1406.7751710513894</v>
      </c>
      <c r="DA214" s="254">
        <f>'[1]побудинковий звіт'!DA214</f>
        <v>511.1353398793899</v>
      </c>
      <c r="DB214" s="2">
        <v>2</v>
      </c>
      <c r="DC214" s="702">
        <f>'[1]побудинковий звіт'!DC214</f>
        <v>5343.14</v>
      </c>
      <c r="DD214" s="702">
        <f>'[1]побудинковий звіт'!DD214</f>
        <v>0</v>
      </c>
      <c r="DE214" s="702">
        <f>'[1]побудинковий звіт'!DE214</f>
        <v>2731.1900000000005</v>
      </c>
      <c r="DF214" s="702">
        <f>'[1]побудинковий звіт'!DF214</f>
        <v>0</v>
      </c>
      <c r="DG214" s="772">
        <v>8639.3927660196932</v>
      </c>
      <c r="DH214" s="746">
        <f t="shared" ref="DH214:DH245" si="239">(CU214+CX214)*12</f>
        <v>285898.4067024148</v>
      </c>
      <c r="DI214" s="769"/>
      <c r="DJ214" s="5"/>
      <c r="DK214" s="307">
        <f>VLOOKUP($A214,ціни!$A$4:$G$401,5)</f>
        <v>6.5412780168068663</v>
      </c>
      <c r="DL214" s="307"/>
      <c r="DM214" s="307">
        <f>VLOOKUP($A214,ціни!$A$4:$G$401,7)</f>
        <v>6.1423626080611413</v>
      </c>
      <c r="DN214" s="29">
        <f>F214*DK214</f>
        <v>1867.5348737983604</v>
      </c>
      <c r="DO214" s="29">
        <f>H214*DM214</f>
        <v>0</v>
      </c>
      <c r="DP214" s="306">
        <f t="shared" ref="DP214:DP245" si="240">DN214+DO214</f>
        <v>1867.5348737983604</v>
      </c>
      <c r="DQ214" s="101"/>
      <c r="DR214" s="29">
        <f>VLOOKUP(A214,'ДЗ нас '!$A$1:$C$359,2)</f>
        <v>1867.54</v>
      </c>
      <c r="DS214" s="733"/>
      <c r="DT214" s="29">
        <f t="shared" ref="DT214:DT245" si="241">DR214+DS214</f>
        <v>1867.54</v>
      </c>
      <c r="DU214" s="247">
        <f>VLOOKUP(A214,'новий кошторис с 01.06'!$A$4:$AI$399,35)*1.2</f>
        <v>1872.1137684101252</v>
      </c>
      <c r="DV214" s="29">
        <f t="shared" ref="DV214:DV245" si="242">DT214-DU214</f>
        <v>-4.5737684101252398</v>
      </c>
      <c r="DW214" s="1016">
        <f>'[2]побудинковий звіт'!$DW$9+'[1]побудинковий звіт'!DW214</f>
        <v>918</v>
      </c>
      <c r="DX214" s="101">
        <f>'[1]побудинковий звіт'!DX214</f>
        <v>0</v>
      </c>
      <c r="DY214" s="5">
        <f t="shared" ref="DY214:DY245" si="243">(AS214+BQ214)*1.2</f>
        <v>6617.3595902945344</v>
      </c>
      <c r="DZ214" s="5">
        <f t="shared" ref="DZ214:DZ245" si="244">(AT214+BR214)*1.2</f>
        <v>1506.3030695028001</v>
      </c>
      <c r="EA214" s="737">
        <f t="shared" ref="EA214:EA245" si="245">DE214+DF214</f>
        <v>2731.1900000000005</v>
      </c>
      <c r="EC214" s="577">
        <f t="shared" ref="EC214:EC245" si="246">AS214*12</f>
        <v>54518.213043652286</v>
      </c>
      <c r="EE214" s="743">
        <v>-5581</v>
      </c>
      <c r="EF214" s="723">
        <f t="shared" ref="EF214:EF245" si="247">EE214+DG214</f>
        <v>3058.3927660196932</v>
      </c>
      <c r="EH214" s="798">
        <v>7525.6451169632774</v>
      </c>
      <c r="EI214" s="101">
        <f>VLOOKUP(A214,'кошти 01.01.24'!$A$9:$D$352,4,FALSE)</f>
        <v>1917.9105109307759</v>
      </c>
    </row>
    <row r="215" spans="1:139" ht="14.1" hidden="1" customHeight="1" x14ac:dyDescent="0.3">
      <c r="A215" s="318">
        <v>150000937</v>
      </c>
      <c r="B215" s="43" t="s">
        <v>648</v>
      </c>
      <c r="C215" s="44" t="s">
        <v>374</v>
      </c>
      <c r="D215" s="44" t="s">
        <v>374</v>
      </c>
      <c r="E215" s="39">
        <f t="shared" si="185"/>
        <v>3826</v>
      </c>
      <c r="F215" s="205">
        <f>'[1]побудинковий звіт'!F215</f>
        <v>3826</v>
      </c>
      <c r="G215" s="29">
        <f>'[1]побудинковий звіт'!G215</f>
        <v>407.65</v>
      </c>
      <c r="H215" s="148">
        <f>'[1]побудинковий звіт'!H215</f>
        <v>0</v>
      </c>
      <c r="I215" s="41">
        <f>'[2]побудинковий звіт'!I215+'[1]побудинковий звіт'!I215</f>
        <v>5906.7669934930127</v>
      </c>
      <c r="J215" s="41">
        <f>'[2]побудинковий звіт'!J215+'[1]побудинковий звіт'!J215</f>
        <v>4743.8919826146284</v>
      </c>
      <c r="K215" s="55">
        <f t="shared" si="186"/>
        <v>-1162.8750108783843</v>
      </c>
      <c r="L215" s="41">
        <f>'[2]побудинковий звіт'!L215+'[1]побудинковий звіт'!L215</f>
        <v>2279.1483004105676</v>
      </c>
      <c r="M215" s="41">
        <f>'[2]побудинковий звіт'!M215+'[1]побудинковий звіт'!M215</f>
        <v>1950.5142414879183</v>
      </c>
      <c r="N215" s="55">
        <f t="shared" si="187"/>
        <v>-328.63405892264927</v>
      </c>
      <c r="O215" s="41">
        <f>'[2]побудинковий звіт'!O215+'[1]побудинковий звіт'!O215</f>
        <v>5605.6633835128896</v>
      </c>
      <c r="P215" s="41">
        <f>'[2]побудинковий звіт'!P215+'[1]побудинковий звіт'!P215</f>
        <v>5621.7614563293573</v>
      </c>
      <c r="Q215" s="55">
        <f t="shared" si="188"/>
        <v>16.09807281646772</v>
      </c>
      <c r="R215" s="41">
        <f>'[2]побудинковий звіт'!R215+'[1]побудинковий звіт'!R215</f>
        <v>1307.6881232986093</v>
      </c>
      <c r="S215" s="41">
        <f>'[2]побудинковий звіт'!S215+'[1]побудинковий звіт'!S215</f>
        <v>1311.0420596125712</v>
      </c>
      <c r="T215" s="55">
        <f t="shared" si="189"/>
        <v>3.3539363139618672</v>
      </c>
      <c r="U215" s="41">
        <f>'[2]побудинковий звіт'!U215+'[1]побудинковий звіт'!U215</f>
        <v>1077.5907616115192</v>
      </c>
      <c r="V215" s="41">
        <f>'[2]побудинковий звіт'!V215+'[1]побудинковий звіт'!V215</f>
        <v>451.00851500032149</v>
      </c>
      <c r="W215" s="55">
        <f t="shared" si="190"/>
        <v>-626.58224661119766</v>
      </c>
      <c r="X215" s="41">
        <f>'[2]побудинковий звіт'!X215+'[1]побудинковий звіт'!X215</f>
        <v>8541.3323057386024</v>
      </c>
      <c r="Y215" s="41">
        <f>'[2]побудинковий звіт'!Y215+'[1]побудинковий звіт'!Y215</f>
        <v>5260.0386671909218</v>
      </c>
      <c r="Z215" s="55">
        <f t="shared" si="191"/>
        <v>-3281.2936385476805</v>
      </c>
      <c r="AA215" s="41">
        <f>'[2]побудинковий звіт'!AA215+'[1]побудинковий звіт'!AA215</f>
        <v>0</v>
      </c>
      <c r="AB215" s="41">
        <f>'[2]побудинковий звіт'!AB215+'[1]побудинковий звіт'!AB215</f>
        <v>0</v>
      </c>
      <c r="AC215" s="55">
        <f t="shared" si="192"/>
        <v>0</v>
      </c>
      <c r="AD215" s="41">
        <f>'[2]побудинковий звіт'!AD215+'[1]побудинковий звіт'!AD215</f>
        <v>16548.851263561504</v>
      </c>
      <c r="AE215" s="41">
        <f>'[2]побудинковий звіт'!AE215+'[1]побудинковий звіт'!AE215</f>
        <v>16486.223892865888</v>
      </c>
      <c r="AF215" s="36">
        <f t="shared" si="193"/>
        <v>-62.627370695616264</v>
      </c>
      <c r="AG215" s="84">
        <f t="shared" si="194"/>
        <v>41267.041131626705</v>
      </c>
      <c r="AH215" s="56">
        <f t="shared" si="195"/>
        <v>35824.480815101604</v>
      </c>
      <c r="AI215" s="55">
        <f t="shared" si="196"/>
        <v>-5442.5603165251014</v>
      </c>
      <c r="AJ215" s="41">
        <f>'[2]побудинковий звіт'!AJ215+'[1]побудинковий звіт'!AJ215</f>
        <v>31204.798573487744</v>
      </c>
      <c r="AK215" s="41">
        <f>'[2]побудинковий звіт'!AK215+'[1]побудинковий звіт'!AK215</f>
        <v>29780.293219000559</v>
      </c>
      <c r="AL215" s="55">
        <f t="shared" si="197"/>
        <v>-1424.5053544871844</v>
      </c>
      <c r="AM215" s="41">
        <f>'[2]побудинковий звіт'!AM215+'[1]побудинковий звіт'!AM215</f>
        <v>605.85684545284585</v>
      </c>
      <c r="AN215" s="41">
        <f>'[2]побудинковий звіт'!AN215+'[1]побудинковий звіт'!AN215</f>
        <v>1971.6529664652699</v>
      </c>
      <c r="AO215" s="55">
        <f t="shared" si="198"/>
        <v>1365.796121012424</v>
      </c>
      <c r="AP215" s="41">
        <f>'[2]побудинковий звіт'!AP215+'[1]побудинковий звіт'!AP215</f>
        <v>3566.1525944587343</v>
      </c>
      <c r="AQ215" s="41">
        <f>'[2]побудинковий звіт'!AQ215+'[1]побудинковий звіт'!AQ215</f>
        <v>3440.8343877742382</v>
      </c>
      <c r="AR215" s="55">
        <f t="shared" si="199"/>
        <v>-125.31820668449609</v>
      </c>
      <c r="AS215" s="41">
        <f>'[2]побудинковий звіт'!AS215+'[1]побудинковий звіт'!AS215</f>
        <v>65946.176245823517</v>
      </c>
      <c r="AT215" s="41">
        <f>'[2]побудинковий звіт'!AT215+'[1]побудинковий звіт'!AT215</f>
        <v>2564.6292580196978</v>
      </c>
      <c r="AU215" s="57">
        <f t="shared" si="200"/>
        <v>-63381.54698780382</v>
      </c>
      <c r="AV215" s="41">
        <f>'[2]побудинковий звіт'!AV215+'[1]побудинковий звіт'!AV215</f>
        <v>684.41692476275352</v>
      </c>
      <c r="AW215" s="41">
        <f>'[2]побудинковий звіт'!AW215+'[1]побудинковий звіт'!AW215</f>
        <v>291.77148727723926</v>
      </c>
      <c r="AX215" s="58">
        <f t="shared" si="201"/>
        <v>-392.64543748551426</v>
      </c>
      <c r="AY215" s="41">
        <f>'[2]побудинковий звіт'!AY215+'[1]побудинковий звіт'!AY215</f>
        <v>1395.5820742631777</v>
      </c>
      <c r="AZ215" s="41">
        <f>'[2]побудинковий звіт'!AZ215+'[1]побудинковий звіт'!AZ215</f>
        <v>2485.2341342750642</v>
      </c>
      <c r="BA215" s="36">
        <f t="shared" si="202"/>
        <v>1089.6520600118865</v>
      </c>
      <c r="BB215" s="41">
        <f>'[2]побудинковий звіт'!BB215+'[1]побудинковий звіт'!BB215</f>
        <v>1344.663889721568</v>
      </c>
      <c r="BC215" s="41">
        <f>'[2]побудинковий звіт'!BC215+'[1]побудинковий звіт'!BC215</f>
        <v>0</v>
      </c>
      <c r="BD215" s="58">
        <f t="shared" si="203"/>
        <v>-1344.663889721568</v>
      </c>
      <c r="BE215" s="41">
        <f>'[2]побудинковий звіт'!BE215+'[1]побудинковий звіт'!BE215</f>
        <v>638.63566903168976</v>
      </c>
      <c r="BF215" s="41">
        <f>'[2]побудинковий звіт'!BF215+'[1]побудинковий звіт'!BF215</f>
        <v>0</v>
      </c>
      <c r="BG215" s="38">
        <f t="shared" si="204"/>
        <v>-638.63566903168976</v>
      </c>
      <c r="BH215" s="41">
        <f>'[2]побудинковий звіт'!BH215+'[1]побудинковий звіт'!BH215</f>
        <v>555.44267306514973</v>
      </c>
      <c r="BI215" s="41">
        <f>'[2]побудинковий звіт'!BI215+'[1]побудинковий звіт'!BI215</f>
        <v>0</v>
      </c>
      <c r="BJ215" s="58">
        <f t="shared" si="205"/>
        <v>-555.44267306514973</v>
      </c>
      <c r="BK215" s="41">
        <f>'[2]побудинковий звіт'!BK215+'[1]побудинковий звіт'!BK215</f>
        <v>912.12144491465403</v>
      </c>
      <c r="BL215" s="41">
        <f>'[2]побудинковий звіт'!BL215+'[1]побудинковий звіт'!BL215</f>
        <v>0</v>
      </c>
      <c r="BM215" s="38">
        <f t="shared" si="206"/>
        <v>-912.12144491465403</v>
      </c>
      <c r="BN215" s="41">
        <f>'[2]побудинковий звіт'!BN215+'[1]побудинковий звіт'!BN215</f>
        <v>559.07884286484671</v>
      </c>
      <c r="BO215" s="41">
        <f>'[2]побудинковий звіт'!BO215+'[1]побудинковий звіт'!BO215</f>
        <v>0</v>
      </c>
      <c r="BP215" s="58">
        <f t="shared" si="207"/>
        <v>-559.07884286484671</v>
      </c>
      <c r="BQ215" s="84">
        <f t="shared" si="208"/>
        <v>6089.9415186238384</v>
      </c>
      <c r="BR215" s="42">
        <f t="shared" si="209"/>
        <v>2777.0056215523036</v>
      </c>
      <c r="BS215" s="58">
        <f t="shared" si="210"/>
        <v>-3312.9358970715348</v>
      </c>
      <c r="BT215" s="41">
        <f>'[2]побудинковий звіт'!BT215+'[1]побудинковий звіт'!BT215</f>
        <v>61771.213219123689</v>
      </c>
      <c r="BU215" s="41">
        <f>'[2]побудинковий звіт'!BU215+'[1]побудинковий звіт'!BU215</f>
        <v>91682.647203205168</v>
      </c>
      <c r="BV215" s="55">
        <f t="shared" si="211"/>
        <v>29911.433984081479</v>
      </c>
      <c r="BW215" s="41">
        <f>'[2]побудинковий звіт'!BW215+'[1]побудинковий звіт'!BW215</f>
        <v>30668.471684393302</v>
      </c>
      <c r="BX215" s="41">
        <f>'[2]побудинковий звіт'!BX215+'[1]побудинковий звіт'!BX215</f>
        <v>39119.690372200188</v>
      </c>
      <c r="BY215" s="55">
        <f t="shared" si="212"/>
        <v>8451.218687806886</v>
      </c>
      <c r="BZ215" s="41">
        <f>'[2]побудинковий звіт'!BZ215+'[1]побудинковий звіт'!BZ215</f>
        <v>12255.717559400558</v>
      </c>
      <c r="CA215" s="41">
        <f>'[2]побудинковий звіт'!CA215+'[1]побудинковий звіт'!CA215</f>
        <v>7775.7143181152969</v>
      </c>
      <c r="CB215" s="55">
        <f t="shared" si="213"/>
        <v>-4480.0032412852615</v>
      </c>
      <c r="CC215" s="41">
        <f>'[2]побудинковий звіт'!CC215+'[1]побудинковий звіт'!CC215</f>
        <v>977.14008954574695</v>
      </c>
      <c r="CD215" s="41">
        <f>'[2]побудинковий звіт'!CD215+'[1]побудинковий звіт'!CD215</f>
        <v>980.45346259560529</v>
      </c>
      <c r="CE215" s="55">
        <f t="shared" si="214"/>
        <v>3.3133730498583418</v>
      </c>
      <c r="CF215" s="41">
        <f>'[2]побудинковий звіт'!CF215+'[1]побудинковий звіт'!CF215</f>
        <v>121.06246341418505</v>
      </c>
      <c r="CG215" s="41">
        <f>'[2]побудинковий звіт'!CG215+'[1]побудинковий звіт'!CG215</f>
        <v>0</v>
      </c>
      <c r="CH215" s="55">
        <f t="shared" si="215"/>
        <v>-121.06246341418505</v>
      </c>
      <c r="CI215" s="41">
        <f>'[2]побудинковий звіт'!CI215+'[1]побудинковий звіт'!CI215</f>
        <v>8675.5039881071916</v>
      </c>
      <c r="CJ215" s="41">
        <f>'[2]побудинковий звіт'!CJ215+'[1]побудинковий звіт'!CJ215</f>
        <v>6633.5839907058053</v>
      </c>
      <c r="CK215" s="55">
        <f t="shared" si="216"/>
        <v>-2041.9199974013864</v>
      </c>
      <c r="CL215" s="41">
        <f>'[2]побудинковий звіт'!CL215+'[1]побудинковий звіт'!CL215</f>
        <v>16220.795652314711</v>
      </c>
      <c r="CM215" s="41">
        <f>'[2]побудинковий звіт'!CM215+'[1]побудинковий звіт'!CM215</f>
        <v>24355.44223072322</v>
      </c>
      <c r="CN215" s="55">
        <f t="shared" si="217"/>
        <v>8134.6465784085085</v>
      </c>
      <c r="CO215" s="41">
        <f t="shared" si="218"/>
        <v>24896.299640421901</v>
      </c>
      <c r="CP215" s="42">
        <f t="shared" si="219"/>
        <v>30989.026221429027</v>
      </c>
      <c r="CQ215" s="55">
        <f t="shared" si="220"/>
        <v>6092.7265810071258</v>
      </c>
      <c r="CR215" s="76">
        <f t="shared" si="221"/>
        <v>279369.8715657728</v>
      </c>
      <c r="CS215" s="5">
        <f t="shared" si="222"/>
        <v>246906.42784545897</v>
      </c>
      <c r="CT215" s="55">
        <f t="shared" si="223"/>
        <v>-32463.443720313837</v>
      </c>
      <c r="CU215" s="84">
        <f t="shared" si="224"/>
        <v>335243.84587892733</v>
      </c>
      <c r="CV215" s="68">
        <f t="shared" si="225"/>
        <v>296287.71341455076</v>
      </c>
      <c r="CW215" s="36">
        <f t="shared" si="226"/>
        <v>-38956.132464376569</v>
      </c>
      <c r="CX215" s="41">
        <f>'[2]побудинковий звіт'!CX215+'[1]побудинковий звіт'!CX215</f>
        <v>8357.0682701754195</v>
      </c>
      <c r="CY215" s="41">
        <f>'[2]побудинковий звіт'!CY215+'[1]побудинковий звіт'!CY215</f>
        <v>47313.200734552011</v>
      </c>
      <c r="CZ215" s="55">
        <f t="shared" si="227"/>
        <v>38956.132464376591</v>
      </c>
      <c r="DA215" s="254">
        <f>'[1]побудинковий звіт'!DA215</f>
        <v>-66381.921638781103</v>
      </c>
      <c r="DB215" s="2">
        <v>1</v>
      </c>
      <c r="DC215" s="702">
        <f>'[1]побудинковий звіт'!DC215</f>
        <v>102708.2</v>
      </c>
      <c r="DD215" s="702">
        <f>'[1]побудинковий звіт'!DD215</f>
        <v>0</v>
      </c>
      <c r="DE215" s="702">
        <f>'[1]побудинковий звіт'!DE215</f>
        <v>64673.32</v>
      </c>
      <c r="DF215" s="702">
        <f>'[1]побудинковий звіт'!DF215</f>
        <v>0</v>
      </c>
      <c r="DG215" s="772">
        <v>-66721.202124314266</v>
      </c>
      <c r="DH215" s="746">
        <f t="shared" si="239"/>
        <v>4123210.9697892331</v>
      </c>
      <c r="DI215" s="769"/>
      <c r="DJ215" s="5"/>
      <c r="DK215" s="307">
        <f>VLOOKUP($A215,ціни!$A$4:$G$401,5)</f>
        <v>5.8706639677490982</v>
      </c>
      <c r="DL215" s="307">
        <f>VLOOKUP($A215,ціни!$A$4:$G$401,6)</f>
        <v>7.1588742181482861</v>
      </c>
      <c r="DM215" s="307">
        <f>VLOOKUP($A215,ціни!$A$4:$G$401,7)</f>
        <v>5.0752130724542273</v>
      </c>
      <c r="DN215" s="29">
        <f>DK215*G215+(F215-G215)*DL215</f>
        <v>26864.71385006011</v>
      </c>
      <c r="DO215" s="29">
        <f>DM215*H215</f>
        <v>0</v>
      </c>
      <c r="DP215" s="306">
        <f t="shared" si="240"/>
        <v>26864.71385006011</v>
      </c>
      <c r="DQ215" s="101"/>
      <c r="DR215" s="29">
        <f>VLOOKUP(A215,'ДЗ нас '!$A$1:$C$359,2)</f>
        <v>26864.84</v>
      </c>
      <c r="DS215" s="733"/>
      <c r="DT215" s="29">
        <f t="shared" si="241"/>
        <v>26864.84</v>
      </c>
      <c r="DU215" s="247">
        <f>VLOOKUP(A215,'новий кошторис с 01.06'!$A$4:$AI$399,35)*1.2</f>
        <v>26852.930520339352</v>
      </c>
      <c r="DV215" s="29">
        <f t="shared" si="242"/>
        <v>11.909479660647776</v>
      </c>
      <c r="DW215" s="1016">
        <f>'[2]побудинковий звіт'!$DW$9+'[1]побудинковий звіт'!DW215</f>
        <v>1062</v>
      </c>
      <c r="DX215" s="101">
        <f>'[1]побудинковий звіт'!DX215</f>
        <v>0</v>
      </c>
      <c r="DY215" s="5">
        <f t="shared" si="243"/>
        <v>86443.341317336817</v>
      </c>
      <c r="DZ215" s="5">
        <f t="shared" si="244"/>
        <v>6409.9618554864019</v>
      </c>
      <c r="EA215" s="737">
        <f t="shared" si="245"/>
        <v>64673.32</v>
      </c>
      <c r="EC215" s="577">
        <f t="shared" si="246"/>
        <v>791354.11494988226</v>
      </c>
      <c r="EE215" s="743">
        <v>99839</v>
      </c>
      <c r="EF215" s="723">
        <f t="shared" si="247"/>
        <v>33117.797875685734</v>
      </c>
      <c r="EH215" s="798">
        <v>-52303.727353687733</v>
      </c>
      <c r="EI215" s="101">
        <f>VLOOKUP(A215,'кошти 01.01.24'!$A$9:$D$352,4,FALSE)</f>
        <v>-27425.789174404581</v>
      </c>
    </row>
    <row r="216" spans="1:139" hidden="1" x14ac:dyDescent="0.3">
      <c r="A216" s="318">
        <v>150000938</v>
      </c>
      <c r="B216" s="43" t="s">
        <v>649</v>
      </c>
      <c r="C216" s="44" t="s">
        <v>375</v>
      </c>
      <c r="D216" s="44" t="s">
        <v>375</v>
      </c>
      <c r="E216" s="39">
        <f t="shared" si="185"/>
        <v>15465.15</v>
      </c>
      <c r="F216" s="205">
        <f>'[1]побудинковий звіт'!F216</f>
        <v>14591.35</v>
      </c>
      <c r="G216" s="29">
        <f>'[1]побудинковий звіт'!G216</f>
        <v>1189.72</v>
      </c>
      <c r="H216" s="148">
        <f>'[1]побудинковий звіт'!H216</f>
        <v>873.80000000000007</v>
      </c>
      <c r="I216" s="41">
        <f>'[2]побудинковий звіт'!I216+'[1]побудинковий звіт'!I216</f>
        <v>55881.139517650219</v>
      </c>
      <c r="J216" s="41">
        <f>'[2]побудинковий звіт'!J216+'[1]побудинковий звіт'!J216</f>
        <v>44053.004896327882</v>
      </c>
      <c r="K216" s="55">
        <f t="shared" si="186"/>
        <v>-11828.134621322337</v>
      </c>
      <c r="L216" s="41">
        <f>'[2]побудинковий звіт'!L216+'[1]побудинковий звіт'!L216</f>
        <v>8907.5831752586528</v>
      </c>
      <c r="M216" s="41">
        <f>'[2]побудинковий звіт'!M216+'[1]побудинковий звіт'!M216</f>
        <v>7549.4219993607085</v>
      </c>
      <c r="N216" s="55">
        <f t="shared" si="187"/>
        <v>-1358.1611758979443</v>
      </c>
      <c r="O216" s="41">
        <f>'[2]побудинковий звіт'!O216+'[1]побудинковий звіт'!O216</f>
        <v>23755.269112880222</v>
      </c>
      <c r="P216" s="41">
        <f>'[2]побудинковий звіт'!P216+'[1]побудинковий звіт'!P216</f>
        <v>23822.056434610757</v>
      </c>
      <c r="Q216" s="55">
        <f t="shared" si="188"/>
        <v>66.787321730535041</v>
      </c>
      <c r="R216" s="41">
        <f>'[2]побудинковий звіт'!R216+'[1]побудинковий звіт'!R216</f>
        <v>5310.6923015934826</v>
      </c>
      <c r="S216" s="41">
        <f>'[2]побудинковий звіт'!S216+'[1]побудинковий звіт'!S216</f>
        <v>5326.1880367650674</v>
      </c>
      <c r="T216" s="55">
        <f t="shared" si="189"/>
        <v>15.495735171584784</v>
      </c>
      <c r="U216" s="41">
        <f>'[2]побудинковий звіт'!U216+'[1]побудинковий звіт'!U216</f>
        <v>2663.1361027516641</v>
      </c>
      <c r="V216" s="41">
        <f>'[2]побудинковий звіт'!V216+'[1]побудинковий звіт'!V216</f>
        <v>1113.9358825717075</v>
      </c>
      <c r="W216" s="55">
        <f t="shared" si="190"/>
        <v>-1549.2002201799567</v>
      </c>
      <c r="X216" s="41">
        <f>'[2]побудинковий звіт'!X216+'[1]побудинковий звіт'!X216</f>
        <v>34526.552015297042</v>
      </c>
      <c r="Y216" s="41">
        <f>'[2]побудинковий звіт'!Y216+'[1]побудинковий звіт'!Y216</f>
        <v>24632.648327765655</v>
      </c>
      <c r="Z216" s="55">
        <f t="shared" si="191"/>
        <v>-9893.9036875313868</v>
      </c>
      <c r="AA216" s="41">
        <f>'[2]побудинковий звіт'!AA216+'[1]побудинковий звіт'!AA216</f>
        <v>0</v>
      </c>
      <c r="AB216" s="41">
        <f>'[2]побудинковий звіт'!AB216+'[1]побудинковий звіт'!AB216</f>
        <v>0</v>
      </c>
      <c r="AC216" s="55">
        <f t="shared" si="192"/>
        <v>0</v>
      </c>
      <c r="AD216" s="41">
        <f>'[2]побудинковий звіт'!AD216+'[1]побудинковий звіт'!AD216</f>
        <v>66959.213733699915</v>
      </c>
      <c r="AE216" s="41">
        <f>'[2]побудинковий звіт'!AE216+'[1]побудинковий звіт'!AE216</f>
        <v>66720.856629467453</v>
      </c>
      <c r="AF216" s="36">
        <f t="shared" si="193"/>
        <v>-238.35710423246201</v>
      </c>
      <c r="AG216" s="84">
        <f t="shared" si="194"/>
        <v>198003.58595913119</v>
      </c>
      <c r="AH216" s="56">
        <f t="shared" si="195"/>
        <v>173218.11220686923</v>
      </c>
      <c r="AI216" s="55">
        <f t="shared" si="196"/>
        <v>-24785.473752261954</v>
      </c>
      <c r="AJ216" s="41">
        <f>'[2]побудинковий звіт'!AJ216+'[1]побудинковий звіт'!AJ216</f>
        <v>123915.30722832361</v>
      </c>
      <c r="AK216" s="41">
        <f>'[2]побудинковий звіт'!AK216+'[1]побудинковий звіт'!AK216</f>
        <v>113635.35153793852</v>
      </c>
      <c r="AL216" s="55">
        <f t="shared" si="197"/>
        <v>-10279.95569038509</v>
      </c>
      <c r="AM216" s="41">
        <f>'[2]побудинковий звіт'!AM216+'[1]побудинковий звіт'!AM216</f>
        <v>2120.5199753485049</v>
      </c>
      <c r="AN216" s="41">
        <f>'[2]побудинковий звіт'!AN216+'[1]побудинковий звіт'!AN216</f>
        <v>9083.0136122477306</v>
      </c>
      <c r="AO216" s="55">
        <f t="shared" si="198"/>
        <v>6962.4936368992257</v>
      </c>
      <c r="AP216" s="41">
        <f>'[2]побудинковий звіт'!AP216+'[1]побудинковий звіт'!AP216</f>
        <v>12134.824800588749</v>
      </c>
      <c r="AQ216" s="41">
        <f>'[2]побудинковий звіт'!AQ216+'[1]побудинковий звіт'!AQ216</f>
        <v>11331.025263116573</v>
      </c>
      <c r="AR216" s="55">
        <f t="shared" si="199"/>
        <v>-803.79953747217587</v>
      </c>
      <c r="AS216" s="41">
        <f>'[2]побудинковий звіт'!AS216+'[1]побудинковий звіт'!AS216</f>
        <v>234597.49862874122</v>
      </c>
      <c r="AT216" s="41">
        <f>'[2]побудинковий звіт'!AT216+'[1]побудинковий звіт'!AT216</f>
        <v>80376.077191621196</v>
      </c>
      <c r="AU216" s="57">
        <f t="shared" si="200"/>
        <v>-154221.42143712001</v>
      </c>
      <c r="AV216" s="41">
        <f>'[2]побудинковий звіт'!AV216+'[1]побудинковий звіт'!AV216</f>
        <v>5153.7190705940948</v>
      </c>
      <c r="AW216" s="41">
        <f>'[2]побудинковий звіт'!AW216+'[1]побудинковий звіт'!AW216</f>
        <v>3284.4966732716111</v>
      </c>
      <c r="AX216" s="58">
        <f t="shared" si="201"/>
        <v>-1869.2223973224836</v>
      </c>
      <c r="AY216" s="41">
        <f>'[2]побудинковий звіт'!AY216+'[1]побудинковий звіт'!AY216</f>
        <v>6123.8694287430053</v>
      </c>
      <c r="AZ216" s="41">
        <f>'[2]побудинковий звіт'!AZ216+'[1]побудинковий звіт'!AZ216</f>
        <v>25740.860506635414</v>
      </c>
      <c r="BA216" s="36">
        <f t="shared" si="202"/>
        <v>19616.99107789241</v>
      </c>
      <c r="BB216" s="41">
        <f>'[2]побудинковий звіт'!BB216+'[1]побудинковий звіт'!BB216</f>
        <v>5616.0621507467622</v>
      </c>
      <c r="BC216" s="41">
        <f>'[2]побудинковий звіт'!BC216+'[1]побудинковий звіт'!BC216</f>
        <v>0</v>
      </c>
      <c r="BD216" s="58">
        <f t="shared" si="203"/>
        <v>-5616.0621507467622</v>
      </c>
      <c r="BE216" s="41">
        <f>'[2]побудинковий звіт'!BE216+'[1]побудинковий звіт'!BE216</f>
        <v>2620.1893633173654</v>
      </c>
      <c r="BF216" s="41">
        <f>'[2]побудинковий звіт'!BF216+'[1]побудинковий звіт'!BF216</f>
        <v>434.08200230550096</v>
      </c>
      <c r="BG216" s="38">
        <f t="shared" si="204"/>
        <v>-2186.1073610118647</v>
      </c>
      <c r="BH216" s="41">
        <f>'[2]побудинковий звіт'!BH216+'[1]побудинковий звіт'!BH216</f>
        <v>1380.8969432059037</v>
      </c>
      <c r="BI216" s="41">
        <f>'[2]побудинковий звіт'!BI216+'[1]побудинковий звіт'!BI216</f>
        <v>0</v>
      </c>
      <c r="BJ216" s="58">
        <f t="shared" si="205"/>
        <v>-1380.8969432059037</v>
      </c>
      <c r="BK216" s="41">
        <f>'[2]побудинковий звіт'!BK216+'[1]побудинковий звіт'!BK216</f>
        <v>6222.6802222165252</v>
      </c>
      <c r="BL216" s="41">
        <f>'[2]побудинковий звіт'!BL216+'[1]побудинковий звіт'!BL216</f>
        <v>6587.2315372411686</v>
      </c>
      <c r="BM216" s="38">
        <f t="shared" si="206"/>
        <v>364.55131502464337</v>
      </c>
      <c r="BN216" s="41">
        <f>'[2]побудинковий звіт'!BN216+'[1]побудинковий звіт'!BN216</f>
        <v>1360.6031575068632</v>
      </c>
      <c r="BO216" s="41">
        <f>'[2]побудинковий звіт'!BO216+'[1]побудинковий звіт'!BO216</f>
        <v>12372.275635531589</v>
      </c>
      <c r="BP216" s="58">
        <f t="shared" si="207"/>
        <v>11011.672478024726</v>
      </c>
      <c r="BQ216" s="84">
        <f t="shared" si="208"/>
        <v>28478.020336330515</v>
      </c>
      <c r="BR216" s="42">
        <f t="shared" si="209"/>
        <v>48418.946354985288</v>
      </c>
      <c r="BS216" s="58">
        <f t="shared" si="210"/>
        <v>19940.926018654773</v>
      </c>
      <c r="BT216" s="41">
        <f>'[2]побудинковий звіт'!BT216+'[1]побудинковий звіт'!BT216</f>
        <v>229324.64390644303</v>
      </c>
      <c r="BU216" s="41">
        <f>'[2]побудинковий звіт'!BU216+'[1]побудинковий звіт'!BU216</f>
        <v>304822.13163005403</v>
      </c>
      <c r="BV216" s="55">
        <f t="shared" si="211"/>
        <v>75497.487723611004</v>
      </c>
      <c r="BW216" s="41">
        <f>'[2]побудинковий звіт'!BW216+'[1]побудинковий звіт'!BW216</f>
        <v>137950.59220845127</v>
      </c>
      <c r="BX216" s="41">
        <f>'[2]побудинковий звіт'!BX216+'[1]побудинковий звіт'!BX216</f>
        <v>161515.11051201879</v>
      </c>
      <c r="BY216" s="55">
        <f t="shared" si="212"/>
        <v>23564.518303567515</v>
      </c>
      <c r="BZ216" s="41">
        <f>'[2]побудинковий звіт'!BZ216+'[1]побудинковий звіт'!BZ216</f>
        <v>47753.762845245335</v>
      </c>
      <c r="CA216" s="41">
        <f>'[2]побудинковий звіт'!CA216+'[1]побудинковий звіт'!CA216</f>
        <v>24292.824400629801</v>
      </c>
      <c r="CB216" s="55">
        <f t="shared" si="213"/>
        <v>-23460.938444615535</v>
      </c>
      <c r="CC216" s="41">
        <f>'[2]побудинковий звіт'!CC216+'[1]побудинковий звіт'!CC216</f>
        <v>2180.2438247989476</v>
      </c>
      <c r="CD216" s="41">
        <f>'[2]побудинковий звіт'!CD216+'[1]побудинковий звіт'!CD216</f>
        <v>2187.6367884164447</v>
      </c>
      <c r="CE216" s="55">
        <f t="shared" si="214"/>
        <v>7.3929636174971165</v>
      </c>
      <c r="CF216" s="41">
        <f>'[2]побудинковий звіт'!CF216+'[1]побудинковий звіт'!CF216</f>
        <v>270.1206214929004</v>
      </c>
      <c r="CG216" s="41">
        <f>'[2]побудинковий звіт'!CG216+'[1]побудинковий звіт'!CG216</f>
        <v>0</v>
      </c>
      <c r="CH216" s="55">
        <f t="shared" si="215"/>
        <v>-270.1206214929004</v>
      </c>
      <c r="CI216" s="41">
        <f>'[2]побудинковий звіт'!CI216+'[1]побудинковий звіт'!CI216</f>
        <v>23658.174651319736</v>
      </c>
      <c r="CJ216" s="41">
        <f>'[2]побудинковий звіт'!CJ216+'[1]побудинковий звіт'!CJ216</f>
        <v>13549.552063695026</v>
      </c>
      <c r="CK216" s="55">
        <f t="shared" si="216"/>
        <v>-10108.62258762471</v>
      </c>
      <c r="CL216" s="41">
        <f>'[2]побудинковий звіт'!CL216+'[1]побудинковий звіт'!CL216</f>
        <v>20042.721174405291</v>
      </c>
      <c r="CM216" s="41">
        <f>'[2]побудинковий звіт'!CM216+'[1]побудинковий звіт'!CM216</f>
        <v>32099.035823853996</v>
      </c>
      <c r="CN216" s="55">
        <f t="shared" si="217"/>
        <v>12056.314649448705</v>
      </c>
      <c r="CO216" s="41">
        <f t="shared" si="218"/>
        <v>43700.895825725027</v>
      </c>
      <c r="CP216" s="42">
        <f t="shared" si="219"/>
        <v>45648.587887549023</v>
      </c>
      <c r="CQ216" s="55">
        <f t="shared" si="220"/>
        <v>1947.6920618239965</v>
      </c>
      <c r="CR216" s="76">
        <f t="shared" si="221"/>
        <v>1060430.0161606201</v>
      </c>
      <c r="CS216" s="5">
        <f t="shared" si="222"/>
        <v>974528.81738544663</v>
      </c>
      <c r="CT216" s="55">
        <f t="shared" si="223"/>
        <v>-85901.198775173514</v>
      </c>
      <c r="CU216" s="84">
        <f t="shared" si="224"/>
        <v>1272516.0193927442</v>
      </c>
      <c r="CV216" s="68">
        <f t="shared" si="225"/>
        <v>1169434.5808625359</v>
      </c>
      <c r="CW216" s="36">
        <f t="shared" si="226"/>
        <v>-103081.43853020831</v>
      </c>
      <c r="CX216" s="41">
        <f>'[2]побудинковий звіт'!CX216+'[1]побудинковий звіт'!CX216</f>
        <v>29915.155035838223</v>
      </c>
      <c r="CY216" s="41">
        <f>'[2]побудинковий звіт'!CY216+'[1]побудинковий звіт'!CY216</f>
        <v>132996.59356604662</v>
      </c>
      <c r="CZ216" s="55">
        <f t="shared" si="227"/>
        <v>103081.4385302084</v>
      </c>
      <c r="DA216" s="254">
        <f>'[1]побудинковий звіт'!DA216</f>
        <v>3071.2799098449177</v>
      </c>
      <c r="DB216" s="2">
        <v>1</v>
      </c>
      <c r="DC216" s="702">
        <f>'[1]побудинковий звіт'!DC216</f>
        <v>271144.58</v>
      </c>
      <c r="DD216" s="702">
        <f>'[1]побудинковий звіт'!DD216</f>
        <v>19905.89</v>
      </c>
      <c r="DE216" s="702">
        <f>'[1]побудинковий звіт'!DE216</f>
        <v>134098.72000000003</v>
      </c>
      <c r="DF216" s="702">
        <f>'[1]побудинковий звіт'!DF216</f>
        <v>14250.75</v>
      </c>
      <c r="DG216" s="772">
        <v>230905.43547109934</v>
      </c>
      <c r="DH216" s="746">
        <f t="shared" si="239"/>
        <v>15629174.09314299</v>
      </c>
      <c r="DI216" s="769"/>
      <c r="DJ216" s="5"/>
      <c r="DK216" s="307">
        <f>VLOOKUP($A216,ціни!$A$4:$G$401,5)</f>
        <v>5.8029918821323241</v>
      </c>
      <c r="DL216" s="307">
        <f>VLOOKUP($A216,ціни!$A$4:$G$401,6)</f>
        <v>6.785891222453202</v>
      </c>
      <c r="DM216" s="307">
        <f>VLOOKUP($A216,ціни!$A$4:$G$401,7)</f>
        <v>4.8876750678859526</v>
      </c>
      <c r="DN216" s="29">
        <f>DK216*G216+(F216-G216)*DL216</f>
        <v>97845.938885575975</v>
      </c>
      <c r="DO216" s="29">
        <f>DM216*H216</f>
        <v>4270.8504743187459</v>
      </c>
      <c r="DP216" s="306">
        <f t="shared" si="240"/>
        <v>102116.78935989473</v>
      </c>
      <c r="DQ216" s="101"/>
      <c r="DR216" s="29">
        <f>VLOOKUP(A216,'ДЗ нас '!$A$1:$C$359,2)</f>
        <v>97828.2</v>
      </c>
      <c r="DS216" s="733">
        <f>VLOOKUP(A216,'ДЗ нежит'!$A$1:$D$153,4,0)</f>
        <v>4270.87</v>
      </c>
      <c r="DT216" s="29">
        <f t="shared" si="241"/>
        <v>102099.06999999999</v>
      </c>
      <c r="DU216" s="247">
        <f>VLOOKUP(A216,'новий кошторис с 01.06'!$A$4:$AI$399,35)*1.2</f>
        <v>102229.97266804407</v>
      </c>
      <c r="DV216" s="29">
        <f t="shared" si="242"/>
        <v>-130.90266804407293</v>
      </c>
      <c r="DW216" s="1016">
        <f>'[2]побудинковий звіт'!$DW$9+'[1]побудинковий звіт'!DW216</f>
        <v>2089.98</v>
      </c>
      <c r="DX216" s="101">
        <f>'[1]побудинковий звіт'!DX216</f>
        <v>0</v>
      </c>
      <c r="DY216" s="5">
        <f t="shared" si="243"/>
        <v>315690.62275808601</v>
      </c>
      <c r="DZ216" s="5">
        <f t="shared" si="244"/>
        <v>154554.02825592775</v>
      </c>
      <c r="EA216" s="737">
        <f t="shared" si="245"/>
        <v>148349.47000000003</v>
      </c>
      <c r="EC216" s="577">
        <f t="shared" si="246"/>
        <v>2815169.9835448945</v>
      </c>
      <c r="EE216" s="743">
        <v>-48550</v>
      </c>
      <c r="EF216" s="723">
        <f t="shared" si="247"/>
        <v>182355.43547109934</v>
      </c>
      <c r="EH216" s="798">
        <v>172483.00609205285</v>
      </c>
      <c r="EI216" s="101">
        <f>VLOOKUP(A216,'кошти 01.01.24'!$A$9:$D$352,4,FALSE)</f>
        <v>106152.71844005353</v>
      </c>
    </row>
    <row r="217" spans="1:139" hidden="1" x14ac:dyDescent="0.3">
      <c r="A217" s="318">
        <v>150000925</v>
      </c>
      <c r="B217" s="43" t="s">
        <v>650</v>
      </c>
      <c r="C217" s="44" t="s">
        <v>176</v>
      </c>
      <c r="D217" s="44" t="s">
        <v>176</v>
      </c>
      <c r="E217" s="39">
        <f t="shared" si="185"/>
        <v>479.4</v>
      </c>
      <c r="F217" s="205">
        <f>'[1]побудинковий звіт'!F217</f>
        <v>366</v>
      </c>
      <c r="G217" s="29">
        <f>'[1]побудинковий звіт'!G217</f>
        <v>0</v>
      </c>
      <c r="H217" s="148">
        <f>'[1]побудинковий звіт'!H217</f>
        <v>113.4</v>
      </c>
      <c r="I217" s="41">
        <f>'[2]побудинковий звіт'!I217+'[1]побудинковий звіт'!I217</f>
        <v>2502.9177496040807</v>
      </c>
      <c r="J217" s="41">
        <f>'[2]побудинковий звіт'!J217+'[1]побудинковий звіт'!J217</f>
        <v>2537.2321131840145</v>
      </c>
      <c r="K217" s="55">
        <f t="shared" si="186"/>
        <v>34.314363579933797</v>
      </c>
      <c r="L217" s="41">
        <f>'[2]побудинковий звіт'!L217+'[1]побудинковий звіт'!L217</f>
        <v>563.92036127086419</v>
      </c>
      <c r="M217" s="41">
        <f>'[2]побудинковий звіт'!M217+'[1]побудинковий звіт'!M217</f>
        <v>591.43654722078531</v>
      </c>
      <c r="N217" s="55">
        <f t="shared" si="187"/>
        <v>27.516185949921123</v>
      </c>
      <c r="O217" s="41">
        <f>'[2]побудинковий звіт'!O217+'[1]побудинковий звіт'!O217</f>
        <v>601.0039675005753</v>
      </c>
      <c r="P217" s="41">
        <f>'[2]побудинковий звіт'!P217+'[1]побудинковий звіт'!P217</f>
        <v>602.39750964972848</v>
      </c>
      <c r="Q217" s="55">
        <f t="shared" si="188"/>
        <v>1.393542149153177</v>
      </c>
      <c r="R217" s="41">
        <f>'[2]побудинковий звіт'!R217+'[1]побудинковий звіт'!R217</f>
        <v>0</v>
      </c>
      <c r="S217" s="41">
        <f>'[2]побудинковий звіт'!S217+'[1]побудинковий звіт'!S217</f>
        <v>0</v>
      </c>
      <c r="T217" s="55">
        <f t="shared" si="189"/>
        <v>0</v>
      </c>
      <c r="U217" s="41">
        <f>'[2]побудинковий звіт'!U217+'[1]побудинковий звіт'!U217</f>
        <v>0</v>
      </c>
      <c r="V217" s="41">
        <f>'[2]побудинковий звіт'!V217+'[1]побудинковий звіт'!V217</f>
        <v>0</v>
      </c>
      <c r="W217" s="55">
        <f t="shared" si="190"/>
        <v>0</v>
      </c>
      <c r="X217" s="41">
        <f>'[2]побудинковий звіт'!X217+'[1]побудинковий звіт'!X217</f>
        <v>1245.7301007935089</v>
      </c>
      <c r="Y217" s="41">
        <f>'[2]побудинковий звіт'!Y217+'[1]побудинковий звіт'!Y217</f>
        <v>1189.469592485249</v>
      </c>
      <c r="Z217" s="55">
        <f t="shared" si="191"/>
        <v>-56.260508308259887</v>
      </c>
      <c r="AA217" s="41">
        <f>'[2]побудинковий звіт'!AA217+'[1]побудинковий звіт'!AA217</f>
        <v>0</v>
      </c>
      <c r="AB217" s="41">
        <f>'[2]побудинковий звіт'!AB217+'[1]побудинковий звіт'!AB217</f>
        <v>0</v>
      </c>
      <c r="AC217" s="55">
        <f t="shared" si="192"/>
        <v>0</v>
      </c>
      <c r="AD217" s="41">
        <f>'[2]побудинковий звіт'!AD217+'[1]побудинковий звіт'!AD217</f>
        <v>2079.3074514209115</v>
      </c>
      <c r="AE217" s="41">
        <f>'[2]побудинковий звіт'!AE217+'[1]побудинковий звіт'!AE217</f>
        <v>2071.2204626047878</v>
      </c>
      <c r="AF217" s="36">
        <f t="shared" si="193"/>
        <v>-8.0869888161237213</v>
      </c>
      <c r="AG217" s="84">
        <f t="shared" si="194"/>
        <v>6992.8796305899396</v>
      </c>
      <c r="AH217" s="56">
        <f t="shared" si="195"/>
        <v>6991.7562251445652</v>
      </c>
      <c r="AI217" s="55">
        <f t="shared" si="196"/>
        <v>-1.1234054453743738</v>
      </c>
      <c r="AJ217" s="41">
        <f>'[2]побудинковий звіт'!AJ217+'[1]побудинковий звіт'!AJ217</f>
        <v>0</v>
      </c>
      <c r="AK217" s="41">
        <f>'[2]побудинковий звіт'!AK217+'[1]побудинковий звіт'!AK217</f>
        <v>0</v>
      </c>
      <c r="AL217" s="55">
        <f t="shared" si="197"/>
        <v>0</v>
      </c>
      <c r="AM217" s="41">
        <f>'[2]побудинковий звіт'!AM217+'[1]побудинковий звіт'!AM217</f>
        <v>0</v>
      </c>
      <c r="AN217" s="41">
        <f>'[2]побудинковий звіт'!AN217+'[1]побудинковий звіт'!AN217</f>
        <v>0</v>
      </c>
      <c r="AO217" s="55">
        <f t="shared" si="198"/>
        <v>0</v>
      </c>
      <c r="AP217" s="41">
        <f>'[2]побудинковий звіт'!AP217+'[1]побудинковий звіт'!AP217</f>
        <v>891.53814861468356</v>
      </c>
      <c r="AQ217" s="41">
        <f>'[2]побудинковий звіт'!AQ217+'[1]побудинковий звіт'!AQ217</f>
        <v>818.23724358498987</v>
      </c>
      <c r="AR217" s="55">
        <f t="shared" si="199"/>
        <v>-73.300905029693695</v>
      </c>
      <c r="AS217" s="41">
        <f>'[2]побудинковий звіт'!AS217+'[1]побудинковий звіт'!AS217</f>
        <v>7308.5754507342754</v>
      </c>
      <c r="AT217" s="41">
        <f>'[2]побудинковий звіт'!AT217+'[1]побудинковий звіт'!AT217</f>
        <v>912.69028472757088</v>
      </c>
      <c r="AU217" s="57">
        <f t="shared" si="200"/>
        <v>-6395.8851660067048</v>
      </c>
      <c r="AV217" s="41">
        <f>'[2]побудинковий звіт'!AV217+'[1]побудинковий звіт'!AV217</f>
        <v>482.26850505588101</v>
      </c>
      <c r="AW217" s="41">
        <f>'[2]побудинковий звіт'!AW217+'[1]побудинковий звіт'!AW217</f>
        <v>0</v>
      </c>
      <c r="AX217" s="58">
        <f t="shared" si="201"/>
        <v>-482.26850505588101</v>
      </c>
      <c r="AY217" s="41">
        <f>'[2]побудинковий звіт'!AY217+'[1]побудинковий звіт'!AY217</f>
        <v>675.38003310746342</v>
      </c>
      <c r="AZ217" s="41">
        <f>'[2]побудинковий звіт'!AZ217+'[1]побудинковий звіт'!AZ217</f>
        <v>0</v>
      </c>
      <c r="BA217" s="36">
        <f t="shared" si="202"/>
        <v>-675.38003310746342</v>
      </c>
      <c r="BB217" s="41">
        <f>'[2]побудинковий звіт'!BB217+'[1]побудинковий звіт'!BB217</f>
        <v>320.99983383648339</v>
      </c>
      <c r="BC217" s="41">
        <f>'[2]побудинковий звіт'!BC217+'[1]побудинковий звіт'!BC217</f>
        <v>9415.7045671190681</v>
      </c>
      <c r="BD217" s="58">
        <f t="shared" si="203"/>
        <v>9094.7047332825841</v>
      </c>
      <c r="BE217" s="41">
        <f>'[2]побудинковий звіт'!BE217+'[1]побудинковий звіт'!BE217</f>
        <v>0</v>
      </c>
      <c r="BF217" s="41">
        <f>'[2]побудинковий звіт'!BF217+'[1]побудинковий звіт'!BF217</f>
        <v>0</v>
      </c>
      <c r="BG217" s="38">
        <f t="shared" si="204"/>
        <v>0</v>
      </c>
      <c r="BH217" s="41">
        <f>'[2]побудинковий звіт'!BH217+'[1]побудинковий звіт'!BH217</f>
        <v>0</v>
      </c>
      <c r="BI217" s="41">
        <f>'[2]побудинковий звіт'!BI217+'[1]побудинковий звіт'!BI217</f>
        <v>0</v>
      </c>
      <c r="BJ217" s="58">
        <f t="shared" si="205"/>
        <v>0</v>
      </c>
      <c r="BK217" s="41">
        <f>'[2]побудинковий звіт'!BK217+'[1]побудинковий звіт'!BK217</f>
        <v>161.87756710702718</v>
      </c>
      <c r="BL217" s="41">
        <f>'[2]побудинковий звіт'!BL217+'[1]побудинковий звіт'!BL217</f>
        <v>0</v>
      </c>
      <c r="BM217" s="38">
        <f t="shared" si="206"/>
        <v>-161.87756710702718</v>
      </c>
      <c r="BN217" s="41">
        <f>'[2]побудинковий звіт'!BN217+'[1]побудинковий звіт'!BN217</f>
        <v>31.214014296485885</v>
      </c>
      <c r="BO217" s="41">
        <f>'[2]побудинковий звіт'!BO217+'[1]побудинковий звіт'!BO217</f>
        <v>0</v>
      </c>
      <c r="BP217" s="58">
        <f t="shared" si="207"/>
        <v>-31.214014296485885</v>
      </c>
      <c r="BQ217" s="84">
        <f t="shared" si="208"/>
        <v>1671.7399534033407</v>
      </c>
      <c r="BR217" s="42">
        <f t="shared" si="209"/>
        <v>9415.7045671190681</v>
      </c>
      <c r="BS217" s="58">
        <f t="shared" si="210"/>
        <v>7743.964613715727</v>
      </c>
      <c r="BT217" s="41">
        <f>'[2]побудинковий звіт'!BT217+'[1]побудинковий звіт'!BT217</f>
        <v>8550.9229693125671</v>
      </c>
      <c r="BU217" s="41">
        <f>'[2]побудинковий звіт'!BU217+'[1]побудинковий звіт'!BU217</f>
        <v>11613.691543346082</v>
      </c>
      <c r="BV217" s="55">
        <f t="shared" si="211"/>
        <v>3062.7685740335146</v>
      </c>
      <c r="BW217" s="41">
        <f>'[2]побудинковий звіт'!BW217+'[1]побудинковий звіт'!BW217</f>
        <v>2344.9518657178246</v>
      </c>
      <c r="BX217" s="41">
        <f>'[2]побудинковий звіт'!BX217+'[1]побудинковий звіт'!BX217</f>
        <v>3273.7436151472525</v>
      </c>
      <c r="BY217" s="55">
        <f t="shared" si="212"/>
        <v>928.79174942942791</v>
      </c>
      <c r="BZ217" s="41">
        <f>'[2]побудинковий звіт'!BZ217+'[1]побудинковий звіт'!BZ217</f>
        <v>3597.526928542663</v>
      </c>
      <c r="CA217" s="41">
        <f>'[2]побудинковий звіт'!CA217+'[1]побудинковий звіт'!CA217</f>
        <v>917.09895676283111</v>
      </c>
      <c r="CB217" s="55">
        <f t="shared" si="213"/>
        <v>-2680.4279717798318</v>
      </c>
      <c r="CC217" s="41">
        <f>'[2]побудинковий звіт'!CC217+'[1]побудинковий звіт'!CC217</f>
        <v>0</v>
      </c>
      <c r="CD217" s="41">
        <f>'[2]побудинковий звіт'!CD217+'[1]побудинковий звіт'!CD217</f>
        <v>0</v>
      </c>
      <c r="CE217" s="55">
        <f t="shared" si="214"/>
        <v>0</v>
      </c>
      <c r="CF217" s="41">
        <f>'[2]побудинковий звіт'!CF217+'[1]побудинковий звіт'!CF217</f>
        <v>0</v>
      </c>
      <c r="CG217" s="41">
        <f>'[2]побудинковий звіт'!CG217+'[1]побудинковий звіт'!CG217</f>
        <v>0</v>
      </c>
      <c r="CH217" s="55">
        <f t="shared" si="215"/>
        <v>0</v>
      </c>
      <c r="CI217" s="41">
        <f>'[2]побудинковий звіт'!CI217+'[1]побудинковий звіт'!CI217</f>
        <v>1353.6918171395264</v>
      </c>
      <c r="CJ217" s="41">
        <f>'[2]побудинковий звіт'!CJ217+'[1]побудинковий звіт'!CJ217</f>
        <v>916.4971835072779</v>
      </c>
      <c r="CK217" s="55">
        <f t="shared" si="216"/>
        <v>-437.1946336322485</v>
      </c>
      <c r="CL217" s="41">
        <f>'[2]побудинковий звіт'!CL217+'[1]побудинковий звіт'!CL217</f>
        <v>0</v>
      </c>
      <c r="CM217" s="41">
        <f>'[2]побудинковий звіт'!CM217+'[1]побудинковий звіт'!CM217</f>
        <v>0</v>
      </c>
      <c r="CN217" s="55">
        <f t="shared" si="217"/>
        <v>0</v>
      </c>
      <c r="CO217" s="41">
        <f t="shared" si="218"/>
        <v>1353.6918171395264</v>
      </c>
      <c r="CP217" s="42">
        <f t="shared" si="219"/>
        <v>916.4971835072779</v>
      </c>
      <c r="CQ217" s="55">
        <f t="shared" si="220"/>
        <v>-437.1946336322485</v>
      </c>
      <c r="CR217" s="76">
        <f t="shared" si="221"/>
        <v>32711.826764054818</v>
      </c>
      <c r="CS217" s="5">
        <f t="shared" si="222"/>
        <v>34859.419619339635</v>
      </c>
      <c r="CT217" s="55">
        <f t="shared" si="223"/>
        <v>2147.5928552848163</v>
      </c>
      <c r="CU217" s="84">
        <f t="shared" si="224"/>
        <v>39254.192116865779</v>
      </c>
      <c r="CV217" s="68">
        <f t="shared" si="225"/>
        <v>41831.303543207563</v>
      </c>
      <c r="CW217" s="36">
        <f t="shared" si="226"/>
        <v>2577.111426341784</v>
      </c>
      <c r="CX217" s="41">
        <f>'[2]побудинковий звіт'!CX217+'[1]побудинковий звіт'!CX217</f>
        <v>1181.3212026508156</v>
      </c>
      <c r="CY217" s="41">
        <f>'[2]побудинковий звіт'!CY217+'[1]побудинковий звіт'!CY217</f>
        <v>-1395.7902236909604</v>
      </c>
      <c r="CZ217" s="55">
        <f t="shared" si="227"/>
        <v>-2577.1114263417758</v>
      </c>
      <c r="DA217" s="254">
        <f>'[1]побудинковий звіт'!DA217</f>
        <v>3311.5050810448301</v>
      </c>
      <c r="DB217" s="2">
        <v>2</v>
      </c>
      <c r="DC217" s="702">
        <f>'[1]побудинковий звіт'!DC217</f>
        <v>12993.94</v>
      </c>
      <c r="DD217" s="702">
        <f>'[1]побудинковий звіт'!DD217</f>
        <v>9006.76</v>
      </c>
      <c r="DE217" s="702">
        <f>'[1]побудинковий звіт'!DE217</f>
        <v>9537.8000000000011</v>
      </c>
      <c r="DF217" s="702">
        <f>'[1]побудинковий звіт'!DF217</f>
        <v>8043.85</v>
      </c>
      <c r="DG217" s="772">
        <v>-17729.748024409768</v>
      </c>
      <c r="DH217" s="746">
        <f t="shared" si="239"/>
        <v>485226.15983419918</v>
      </c>
      <c r="DI217" s="769"/>
      <c r="DJ217" s="5"/>
      <c r="DK217" s="307">
        <f>VLOOKUP($A217,ціни!$A$4:$G$401,5)</f>
        <v>6.7602509110912328</v>
      </c>
      <c r="DL217" s="307"/>
      <c r="DM217" s="307">
        <f>VLOOKUP($A217,ціни!$A$4:$G$401,7)</f>
        <v>6.1547841019014857</v>
      </c>
      <c r="DN217" s="29">
        <f>F217*DK217</f>
        <v>2474.251833459391</v>
      </c>
      <c r="DO217" s="29">
        <f>H217*DM217</f>
        <v>697.95251715562847</v>
      </c>
      <c r="DP217" s="306">
        <f t="shared" si="240"/>
        <v>3172.2043506150194</v>
      </c>
      <c r="DQ217" s="101"/>
      <c r="DR217" s="29">
        <f>VLOOKUP(A217,'ДЗ нас '!$A$1:$C$359,2)</f>
        <v>2474.2600000000002</v>
      </c>
      <c r="DS217" s="733">
        <f>VLOOKUP(A217,'ДЗ нежит'!$A$1:$D$153,4,0)</f>
        <v>697.95</v>
      </c>
      <c r="DT217" s="29">
        <f t="shared" si="241"/>
        <v>3172.21</v>
      </c>
      <c r="DU217" s="247">
        <f>VLOOKUP(A217,'новий кошторис с 01.06'!$A$4:$AI$399,35)*1.2</f>
        <v>3187.6785181789951</v>
      </c>
      <c r="DV217" s="29">
        <f t="shared" si="242"/>
        <v>-15.468518178995055</v>
      </c>
      <c r="DW217" s="1016">
        <f>'[2]побудинковий звіт'!$DW$9+'[1]побудинковий звіт'!DW217</f>
        <v>918</v>
      </c>
      <c r="DX217" s="101">
        <f>'[1]побудинковий звіт'!DX217</f>
        <v>0</v>
      </c>
      <c r="DY217" s="5">
        <f t="shared" si="243"/>
        <v>10776.37848496514</v>
      </c>
      <c r="DZ217" s="5">
        <f t="shared" si="244"/>
        <v>12394.073822215965</v>
      </c>
      <c r="EA217" s="737">
        <f t="shared" si="245"/>
        <v>17581.650000000001</v>
      </c>
      <c r="EC217" s="577">
        <f t="shared" si="246"/>
        <v>87702.905408811304</v>
      </c>
      <c r="EE217" s="743">
        <v>10030</v>
      </c>
      <c r="EF217" s="723">
        <f t="shared" si="247"/>
        <v>-7699.7480244097678</v>
      </c>
      <c r="EH217" s="798">
        <v>-20998.337321622366</v>
      </c>
      <c r="EI217" s="101">
        <f>VLOOKUP(A217,'кошти 01.01.24'!$A$9:$D$352,4,FALSE)</f>
        <v>734.39365470305461</v>
      </c>
    </row>
    <row r="218" spans="1:139" hidden="1" x14ac:dyDescent="0.3">
      <c r="A218" s="318">
        <v>150000939</v>
      </c>
      <c r="B218" s="43" t="s">
        <v>651</v>
      </c>
      <c r="C218" s="44" t="s">
        <v>336</v>
      </c>
      <c r="D218" s="44" t="s">
        <v>336</v>
      </c>
      <c r="E218" s="39">
        <f t="shared" si="185"/>
        <v>5144.8999999999996</v>
      </c>
      <c r="F218" s="205">
        <f>'[1]побудинковий звіт'!F218</f>
        <v>5144.8999999999996</v>
      </c>
      <c r="G218" s="29">
        <f>'[1]побудинковий звіт'!G218</f>
        <v>642.45000000000005</v>
      </c>
      <c r="H218" s="148">
        <f>'[1]побудинковий звіт'!H218</f>
        <v>0</v>
      </c>
      <c r="I218" s="41">
        <f>'[2]побудинковий звіт'!I218+'[1]побудинковий звіт'!I218</f>
        <v>13908.04493776018</v>
      </c>
      <c r="J218" s="41">
        <f>'[2]побудинковий звіт'!J218+'[1]побудинковий звіт'!J218</f>
        <v>10987.644449963878</v>
      </c>
      <c r="K218" s="55">
        <f t="shared" si="186"/>
        <v>-2920.4004877963016</v>
      </c>
      <c r="L218" s="41">
        <f>'[2]побудинковий звіт'!L218+'[1]побудинковий звіт'!L218</f>
        <v>2436.0979724576009</v>
      </c>
      <c r="M218" s="41">
        <f>'[2]побудинковий звіт'!M218+'[1]побудинковий звіт'!M218</f>
        <v>2194.7099777305211</v>
      </c>
      <c r="N218" s="55">
        <f t="shared" si="187"/>
        <v>-241.38799472707979</v>
      </c>
      <c r="O218" s="41">
        <f>'[2]побудинковий звіт'!O218+'[1]побудинковий звіт'!O218</f>
        <v>8293.9129034209818</v>
      </c>
      <c r="P218" s="41">
        <f>'[2]побудинковий звіт'!P218+'[1]побудинковий звіт'!P218</f>
        <v>8317.3791965834898</v>
      </c>
      <c r="Q218" s="55">
        <f t="shared" si="188"/>
        <v>23.466293162508009</v>
      </c>
      <c r="R218" s="41">
        <f>'[2]побудинковий звіт'!R218+'[1]побудинковий звіт'!R218</f>
        <v>1728.0821753596747</v>
      </c>
      <c r="S218" s="41">
        <f>'[2]побудинковий звіт'!S218+'[1]побудинковий звіт'!S218</f>
        <v>1732.7831670452715</v>
      </c>
      <c r="T218" s="55">
        <f t="shared" si="189"/>
        <v>4.7009916855968186</v>
      </c>
      <c r="U218" s="41">
        <f>'[2]побудинковий звіт'!U218+'[1]побудинковий звіт'!U218</f>
        <v>2110.3665497103671</v>
      </c>
      <c r="V218" s="41">
        <f>'[2]побудинковий звіт'!V218+'[1]побудинковий звіт'!V218</f>
        <v>890.13495279025744</v>
      </c>
      <c r="W218" s="55">
        <f t="shared" si="190"/>
        <v>-1220.2315969201095</v>
      </c>
      <c r="X218" s="41">
        <f>'[2]побудинковий звіт'!X218+'[1]побудинковий звіт'!X218</f>
        <v>8153.972724680516</v>
      </c>
      <c r="Y218" s="41">
        <f>'[2]побудинковий звіт'!Y218+'[1]побудинковий звіт'!Y218</f>
        <v>5555.0371665014318</v>
      </c>
      <c r="Z218" s="55">
        <f t="shared" si="191"/>
        <v>-2598.9355581790842</v>
      </c>
      <c r="AA218" s="41">
        <f>'[2]побудинковий звіт'!AA218+'[1]побудинковий звіт'!AA218</f>
        <v>0</v>
      </c>
      <c r="AB218" s="41">
        <f>'[2]побудинковий звіт'!AB218+'[1]побудинковий звіт'!AB218</f>
        <v>0</v>
      </c>
      <c r="AC218" s="55">
        <f t="shared" si="192"/>
        <v>0</v>
      </c>
      <c r="AD218" s="41">
        <f>'[2]побудинковий звіт'!AD218+'[1]побудинковий звіт'!AD218</f>
        <v>22292.184814607714</v>
      </c>
      <c r="AE218" s="41">
        <f>'[2]побудинковий звіт'!AE218+'[1]побудинковий звіт'!AE218</f>
        <v>22206.352274118413</v>
      </c>
      <c r="AF218" s="36">
        <f t="shared" si="193"/>
        <v>-85.8325404893003</v>
      </c>
      <c r="AG218" s="84">
        <f t="shared" si="194"/>
        <v>58922.66207799704</v>
      </c>
      <c r="AH218" s="56">
        <f t="shared" si="195"/>
        <v>51884.041184733265</v>
      </c>
      <c r="AI218" s="55">
        <f t="shared" si="196"/>
        <v>-7038.6208932637746</v>
      </c>
      <c r="AJ218" s="41">
        <f>'[2]побудинковий звіт'!AJ218+'[1]побудинковий звіт'!AJ218</f>
        <v>40237.755428950681</v>
      </c>
      <c r="AK218" s="41">
        <f>'[2]побудинковий звіт'!AK218+'[1]побудинковий звіт'!AK218</f>
        <v>38400.991308668607</v>
      </c>
      <c r="AL218" s="55">
        <f t="shared" si="197"/>
        <v>-1836.7641202820741</v>
      </c>
      <c r="AM218" s="41">
        <f>'[2]побудинковий звіт'!AM218+'[1]побудинковий звіт'!AM218</f>
        <v>605.85684545284585</v>
      </c>
      <c r="AN218" s="41">
        <f>'[2]побудинковий звіт'!AN218+'[1]побудинковий звіт'!AN218</f>
        <v>1971.8314286235741</v>
      </c>
      <c r="AO218" s="55">
        <f t="shared" si="198"/>
        <v>1365.9745831707282</v>
      </c>
      <c r="AP218" s="41">
        <f>'[2]побудинковий звіт'!AP218+'[1]побудинковий звіт'!AP218</f>
        <v>3962.3917716208152</v>
      </c>
      <c r="AQ218" s="41">
        <f>'[2]побудинковий звіт'!AQ218+'[1]побудинковий звіт'!AQ218</f>
        <v>3755.4838420908004</v>
      </c>
      <c r="AR218" s="55">
        <f t="shared" si="199"/>
        <v>-206.90792953001483</v>
      </c>
      <c r="AS218" s="41">
        <f>'[2]побудинковий звіт'!AS218+'[1]побудинковий звіт'!AS218</f>
        <v>92823.170743726936</v>
      </c>
      <c r="AT218" s="41">
        <f>'[2]побудинковий звіт'!AT218+'[1]побудинковий звіт'!AT218</f>
        <v>54380.315881740571</v>
      </c>
      <c r="AU218" s="57">
        <f t="shared" si="200"/>
        <v>-38442.854861986365</v>
      </c>
      <c r="AV218" s="41">
        <f>'[2]побудинковий звіт'!AV218+'[1]побудинковий звіт'!AV218</f>
        <v>1094.5198916326913</v>
      </c>
      <c r="AW218" s="41">
        <f>'[2]побудинковий звіт'!AW218+'[1]побудинковий звіт'!AW218</f>
        <v>782.89423992605543</v>
      </c>
      <c r="AX218" s="58">
        <f t="shared" si="201"/>
        <v>-311.62565170663584</v>
      </c>
      <c r="AY218" s="41">
        <f>'[2]побудинковий звіт'!AY218+'[1]побудинковий звіт'!AY218</f>
        <v>950.47363648267981</v>
      </c>
      <c r="AZ218" s="41">
        <f>'[2]побудинковий звіт'!AZ218+'[1]побудинковий звіт'!AZ218</f>
        <v>2437.4861276306642</v>
      </c>
      <c r="BA218" s="36">
        <f t="shared" si="202"/>
        <v>1487.0124911479843</v>
      </c>
      <c r="BB218" s="41">
        <f>'[2]побудинковий звіт'!BB218+'[1]побудинковий звіт'!BB218</f>
        <v>1537.0514841475656</v>
      </c>
      <c r="BC218" s="41">
        <f>'[2]побудинковий звіт'!BC218+'[1]побудинковий звіт'!BC218</f>
        <v>0</v>
      </c>
      <c r="BD218" s="58">
        <f t="shared" si="203"/>
        <v>-1537.0514841475656</v>
      </c>
      <c r="BE218" s="41">
        <f>'[2]побудинковий звіт'!BE218+'[1]побудинковий звіт'!BE218</f>
        <v>369.71379267900608</v>
      </c>
      <c r="BF218" s="41">
        <f>'[2]побудинковий звіт'!BF218+'[1]побудинковий звіт'!BF218</f>
        <v>1737.9924740369104</v>
      </c>
      <c r="BG218" s="38">
        <f t="shared" si="204"/>
        <v>1368.2786813579044</v>
      </c>
      <c r="BH218" s="41">
        <f>'[2]побудинковий звіт'!BH218+'[1]побудинковий звіт'!BH218</f>
        <v>703.68650485926344</v>
      </c>
      <c r="BI218" s="41">
        <f>'[2]побудинковий звіт'!BI218+'[1]побудинковий звіт'!BI218</f>
        <v>0</v>
      </c>
      <c r="BJ218" s="58">
        <f t="shared" si="205"/>
        <v>-703.68650485926344</v>
      </c>
      <c r="BK218" s="41">
        <f>'[2]побудинковий звіт'!BK218+'[1]побудинковий звіт'!BK218</f>
        <v>997.01865117866384</v>
      </c>
      <c r="BL218" s="41">
        <f>'[2]побудинковий звіт'!BL218+'[1]побудинковий звіт'!BL218</f>
        <v>7657.4804491497525</v>
      </c>
      <c r="BM218" s="38">
        <f t="shared" si="206"/>
        <v>6660.4617979710883</v>
      </c>
      <c r="BN218" s="41">
        <f>'[2]побудинковий звіт'!BN218+'[1]побудинковий звіт'!BN218</f>
        <v>560.04330629788353</v>
      </c>
      <c r="BO218" s="41">
        <f>'[2]побудинковий звіт'!BO218+'[1]побудинковий звіт'!BO218</f>
        <v>0</v>
      </c>
      <c r="BP218" s="58">
        <f t="shared" si="207"/>
        <v>-560.04330629788353</v>
      </c>
      <c r="BQ218" s="84">
        <f t="shared" si="208"/>
        <v>6212.5072672777542</v>
      </c>
      <c r="BR218" s="42">
        <f t="shared" si="209"/>
        <v>12615.853290743384</v>
      </c>
      <c r="BS218" s="58">
        <f t="shared" si="210"/>
        <v>6403.3460234656295</v>
      </c>
      <c r="BT218" s="41">
        <f>'[2]побудинковий звіт'!BT218+'[1]побудинковий звіт'!BT218</f>
        <v>77441.161686356485</v>
      </c>
      <c r="BU218" s="41">
        <f>'[2]побудинковий звіт'!BU218+'[1]побудинковий звіт'!BU218</f>
        <v>104156.8442783568</v>
      </c>
      <c r="BV218" s="55">
        <f t="shared" si="211"/>
        <v>26715.682592000318</v>
      </c>
      <c r="BW218" s="41">
        <f>'[2]побудинковий звіт'!BW218+'[1]побудинковий звіт'!BW218</f>
        <v>38730.239038199361</v>
      </c>
      <c r="BX218" s="41">
        <f>'[2]побудинковий звіт'!BX218+'[1]побудинковий звіт'!BX218</f>
        <v>52548.274424925927</v>
      </c>
      <c r="BY218" s="55">
        <f t="shared" si="212"/>
        <v>13818.035386726566</v>
      </c>
      <c r="BZ218" s="41">
        <f>'[2]побудинковий звіт'!BZ218+'[1]побудинковий звіт'!BZ218</f>
        <v>17428.269317007558</v>
      </c>
      <c r="CA218" s="41">
        <f>'[2]побудинковий звіт'!CA218+'[1]побудинковий звіт'!CA218</f>
        <v>9707.0399123645111</v>
      </c>
      <c r="CB218" s="55">
        <f t="shared" si="213"/>
        <v>-7721.229404643047</v>
      </c>
      <c r="CC218" s="41">
        <f>'[2]побудинковий звіт'!CC218+'[1]побудинковий звіт'!CC218</f>
        <v>1868.7804212562414</v>
      </c>
      <c r="CD218" s="41">
        <f>'[2]побудинковий звіт'!CD218+'[1]побудинковий звіт'!CD218</f>
        <v>1875.1172472140952</v>
      </c>
      <c r="CE218" s="55">
        <f t="shared" si="214"/>
        <v>6.3368259578537618</v>
      </c>
      <c r="CF218" s="41">
        <f>'[2]побудинковий звіт'!CF218+'[1]побудинковий звіт'!CF218</f>
        <v>231.53196127962886</v>
      </c>
      <c r="CG218" s="41">
        <f>'[2]побудинковий звіт'!CG218+'[1]побудинковий звіт'!CG218</f>
        <v>0</v>
      </c>
      <c r="CH218" s="55">
        <f t="shared" si="215"/>
        <v>-231.53196127962886</v>
      </c>
      <c r="CI218" s="41">
        <f>'[2]побудинковий звіт'!CI218+'[1]побудинковий звіт'!CI218</f>
        <v>34408.714866476417</v>
      </c>
      <c r="CJ218" s="41">
        <f>'[2]побудинковий звіт'!CJ218+'[1]побудинковий звіт'!CJ218</f>
        <v>22230.544616191382</v>
      </c>
      <c r="CK218" s="55">
        <f t="shared" si="216"/>
        <v>-12178.170250285035</v>
      </c>
      <c r="CL218" s="41">
        <f>'[2]побудинковий звіт'!CL218+'[1]побудинковий звіт'!CL218</f>
        <v>9026.9469560784892</v>
      </c>
      <c r="CM218" s="41">
        <f>'[2]побудинковий звіт'!CM218+'[1]побудинковий звіт'!CM218</f>
        <v>12862.092567226886</v>
      </c>
      <c r="CN218" s="55">
        <f t="shared" si="217"/>
        <v>3835.1456111483967</v>
      </c>
      <c r="CO218" s="41">
        <f t="shared" si="218"/>
        <v>43435.661822554903</v>
      </c>
      <c r="CP218" s="42">
        <f t="shared" si="219"/>
        <v>35092.637183418265</v>
      </c>
      <c r="CQ218" s="55">
        <f t="shared" si="220"/>
        <v>-8343.0246391366381</v>
      </c>
      <c r="CR218" s="76">
        <f t="shared" si="221"/>
        <v>381899.98838168022</v>
      </c>
      <c r="CS218" s="5">
        <f t="shared" si="222"/>
        <v>366388.42998287978</v>
      </c>
      <c r="CT218" s="55">
        <f t="shared" si="223"/>
        <v>-15511.558398800436</v>
      </c>
      <c r="CU218" s="84">
        <f t="shared" si="224"/>
        <v>458279.98605801625</v>
      </c>
      <c r="CV218" s="68">
        <f t="shared" si="225"/>
        <v>439666.1159794557</v>
      </c>
      <c r="CW218" s="36">
        <f t="shared" si="226"/>
        <v>-18613.870078560547</v>
      </c>
      <c r="CX218" s="41">
        <f>'[2]побудинковий звіт'!CX218+'[1]побудинковий звіт'!CX218</f>
        <v>14220.769691949599</v>
      </c>
      <c r="CY218" s="41">
        <f>'[2]побудинковий звіт'!CY218+'[1]побудинковий звіт'!CY218</f>
        <v>32834.639770510214</v>
      </c>
      <c r="CZ218" s="55">
        <f t="shared" si="227"/>
        <v>18613.870078560612</v>
      </c>
      <c r="DA218" s="254">
        <f>'[1]побудинковий звіт'!DA218</f>
        <v>-18496.987854567498</v>
      </c>
      <c r="DB218" s="2">
        <v>1</v>
      </c>
      <c r="DC218" s="702">
        <f>'[1]побудинковий звіт'!DC218</f>
        <v>95371.56</v>
      </c>
      <c r="DD218" s="702">
        <f>'[1]побудинковий звіт'!DD218</f>
        <v>0</v>
      </c>
      <c r="DE218" s="702">
        <f>'[1]побудинковий звіт'!DE218</f>
        <v>43640.14</v>
      </c>
      <c r="DF218" s="702">
        <f>'[1]побудинковий звіт'!DF218</f>
        <v>0</v>
      </c>
      <c r="DG218" s="772">
        <v>42177.801912510302</v>
      </c>
      <c r="DH218" s="746">
        <f t="shared" si="239"/>
        <v>5670009.0689995904</v>
      </c>
      <c r="DI218" s="769"/>
      <c r="DJ218" s="5"/>
      <c r="DK218" s="307">
        <f>VLOOKUP($A218,ціни!$A$4:$G$401,5)</f>
        <v>6.2849997864631355</v>
      </c>
      <c r="DL218" s="307">
        <f>VLOOKUP($A218,ціни!$A$4:$G$401,6)</f>
        <v>7.3295455383421553</v>
      </c>
      <c r="DM218" s="307">
        <f>VLOOKUP($A218,ціни!$A$4:$G$401,7)</f>
        <v>5.5503817432426166</v>
      </c>
      <c r="DN218" s="29">
        <f>DK218*G218+(F218-G218)*DL218</f>
        <v>37038.710421921882</v>
      </c>
      <c r="DO218" s="29">
        <f>DM218*H218</f>
        <v>0</v>
      </c>
      <c r="DP218" s="306">
        <f t="shared" si="240"/>
        <v>37038.710421921882</v>
      </c>
      <c r="DQ218" s="101"/>
      <c r="DR218" s="29">
        <f>VLOOKUP(A218,'ДЗ нас '!$A$1:$C$359,2)</f>
        <v>37033.699999999997</v>
      </c>
      <c r="DS218" s="733"/>
      <c r="DT218" s="29">
        <f t="shared" si="241"/>
        <v>37033.699999999997</v>
      </c>
      <c r="DU218" s="247">
        <f>VLOOKUP(A218,'новий кошторис с 01.06'!$A$4:$AI$399,35)*1.2</f>
        <v>37172.617406815625</v>
      </c>
      <c r="DV218" s="29">
        <f t="shared" si="242"/>
        <v>-138.91740681562806</v>
      </c>
      <c r="DW218" s="1016">
        <f>'[2]побудинковий звіт'!$DW$9+'[1]побудинковий звіт'!DW218</f>
        <v>1062</v>
      </c>
      <c r="DX218" s="101">
        <f>'[1]побудинковий звіт'!DX218</f>
        <v>0</v>
      </c>
      <c r="DY218" s="5">
        <f t="shared" si="243"/>
        <v>118842.81361320562</v>
      </c>
      <c r="DZ218" s="5">
        <f t="shared" si="244"/>
        <v>80395.403006980749</v>
      </c>
      <c r="EA218" s="737">
        <f t="shared" si="245"/>
        <v>43640.14</v>
      </c>
      <c r="EC218" s="577">
        <f t="shared" si="246"/>
        <v>1113878.0489247232</v>
      </c>
      <c r="EE218" s="743">
        <v>41197</v>
      </c>
      <c r="EF218" s="723">
        <f t="shared" si="247"/>
        <v>83374.801912510302</v>
      </c>
      <c r="EH218" s="798">
        <v>16408.744171014147</v>
      </c>
      <c r="EI218" s="101">
        <f>VLOOKUP(A218,'кошти 01.01.24'!$A$9:$D$352,4,FALSE)</f>
        <v>116.88222399303413</v>
      </c>
    </row>
    <row r="219" spans="1:139" hidden="1" x14ac:dyDescent="0.3">
      <c r="A219" s="318">
        <v>150000926</v>
      </c>
      <c r="B219" s="43" t="s">
        <v>652</v>
      </c>
      <c r="C219" s="44" t="s">
        <v>177</v>
      </c>
      <c r="D219" s="44" t="s">
        <v>177</v>
      </c>
      <c r="E219" s="39">
        <f t="shared" si="185"/>
        <v>404.5</v>
      </c>
      <c r="F219" s="205">
        <f>'[1]побудинковий звіт'!F219</f>
        <v>284.10000000000002</v>
      </c>
      <c r="G219" s="29">
        <f>'[1]побудинковий звіт'!G219</f>
        <v>0</v>
      </c>
      <c r="H219" s="148">
        <f>'[1]побудинковий звіт'!H219</f>
        <v>120.4</v>
      </c>
      <c r="I219" s="41">
        <f>'[2]побудинковий звіт'!I219+'[1]побудинковий звіт'!I219</f>
        <v>1479.3963521049536</v>
      </c>
      <c r="J219" s="41">
        <f>'[2]побудинковий звіт'!J219+'[1]побудинковий звіт'!J219</f>
        <v>1509.4718770856721</v>
      </c>
      <c r="K219" s="55">
        <f t="shared" si="186"/>
        <v>30.075524980718455</v>
      </c>
      <c r="L219" s="41">
        <f>'[2]побудинковий звіт'!L219+'[1]побудинковий звіт'!L219</f>
        <v>563.92036127086419</v>
      </c>
      <c r="M219" s="41">
        <f>'[2]побудинковий звіт'!M219+'[1]побудинковий звіт'!M219</f>
        <v>591.43654722078531</v>
      </c>
      <c r="N219" s="55">
        <f t="shared" si="187"/>
        <v>27.516185949921123</v>
      </c>
      <c r="O219" s="41">
        <f>'[2]побудинковий звіт'!O219+'[1]побудинковий звіт'!O219</f>
        <v>0</v>
      </c>
      <c r="P219" s="41">
        <f>'[2]побудинковий звіт'!P219+'[1]побудинковий звіт'!P219</f>
        <v>0</v>
      </c>
      <c r="Q219" s="55">
        <f t="shared" si="188"/>
        <v>0</v>
      </c>
      <c r="R219" s="41">
        <f>'[2]побудинковий звіт'!R219+'[1]побудинковий звіт'!R219</f>
        <v>0</v>
      </c>
      <c r="S219" s="41">
        <f>'[2]побудинковий звіт'!S219+'[1]побудинковий звіт'!S219</f>
        <v>0</v>
      </c>
      <c r="T219" s="55">
        <f t="shared" si="189"/>
        <v>0</v>
      </c>
      <c r="U219" s="41">
        <f>'[2]побудинковий звіт'!U219+'[1]побудинковий звіт'!U219</f>
        <v>0</v>
      </c>
      <c r="V219" s="41">
        <f>'[2]побудинковий звіт'!V219+'[1]побудинковий звіт'!V219</f>
        <v>0</v>
      </c>
      <c r="W219" s="55">
        <f t="shared" si="190"/>
        <v>0</v>
      </c>
      <c r="X219" s="41">
        <f>'[2]побудинковий звіт'!X219+'[1]побудинковий звіт'!X219</f>
        <v>1307.7817747915349</v>
      </c>
      <c r="Y219" s="41">
        <f>'[2]побудинковий звіт'!Y219+'[1]побудинковий звіт'!Y219</f>
        <v>1253.6961586107975</v>
      </c>
      <c r="Z219" s="55">
        <f t="shared" si="191"/>
        <v>-54.085616180737361</v>
      </c>
      <c r="AA219" s="41">
        <f>'[2]побудинковий звіт'!AA219+'[1]побудинковий звіт'!AA219</f>
        <v>0</v>
      </c>
      <c r="AB219" s="41">
        <f>'[2]побудинковий звіт'!AB219+'[1]побудинковий звіт'!AB219</f>
        <v>0</v>
      </c>
      <c r="AC219" s="55">
        <f t="shared" si="192"/>
        <v>0</v>
      </c>
      <c r="AD219" s="41">
        <f>'[2]побудинковий звіт'!AD219+'[1]побудинковий звіт'!AD219</f>
        <v>1754.4427703374195</v>
      </c>
      <c r="AE219" s="41">
        <f>'[2]побудинковий звіт'!AE219+'[1]побудинковий звіт'!AE219</f>
        <v>1747.6192680926924</v>
      </c>
      <c r="AF219" s="36">
        <f t="shared" si="193"/>
        <v>-6.8235022447270239</v>
      </c>
      <c r="AG219" s="84">
        <f t="shared" si="194"/>
        <v>5105.5412585047725</v>
      </c>
      <c r="AH219" s="56">
        <f t="shared" si="195"/>
        <v>5102.2238510099469</v>
      </c>
      <c r="AI219" s="55">
        <f t="shared" si="196"/>
        <v>-3.317407494825602</v>
      </c>
      <c r="AJ219" s="41">
        <f>'[2]побудинковий звіт'!AJ219+'[1]побудинковий звіт'!AJ219</f>
        <v>0</v>
      </c>
      <c r="AK219" s="41">
        <f>'[2]побудинковий звіт'!AK219+'[1]побудинковий звіт'!AK219</f>
        <v>0</v>
      </c>
      <c r="AL219" s="55">
        <f t="shared" si="197"/>
        <v>0</v>
      </c>
      <c r="AM219" s="41">
        <f>'[2]побудинковий звіт'!AM219+'[1]побудинковий звіт'!AM219</f>
        <v>0</v>
      </c>
      <c r="AN219" s="41">
        <f>'[2]побудинковий звіт'!AN219+'[1]побудинковий звіт'!AN219</f>
        <v>0</v>
      </c>
      <c r="AO219" s="55">
        <f t="shared" si="198"/>
        <v>0</v>
      </c>
      <c r="AP219" s="41">
        <f>'[2]побудинковий звіт'!AP219+'[1]побудинковий звіт'!AP219</f>
        <v>670.37667212775978</v>
      </c>
      <c r="AQ219" s="41">
        <f>'[2]побудинковий звіт'!AQ219+'[1]побудинковий звіт'!AQ219</f>
        <v>280.95076846322246</v>
      </c>
      <c r="AR219" s="55">
        <f t="shared" si="199"/>
        <v>-389.42590366453732</v>
      </c>
      <c r="AS219" s="41">
        <f>'[2]побудинковий звіт'!AS219+'[1]побудинковий звіт'!AS219</f>
        <v>6944.7725585159715</v>
      </c>
      <c r="AT219" s="41">
        <f>'[2]побудинковий звіт'!AT219+'[1]побудинковий звіт'!AT219</f>
        <v>538.77775360293617</v>
      </c>
      <c r="AU219" s="57">
        <f t="shared" si="200"/>
        <v>-6405.9948049130353</v>
      </c>
      <c r="AV219" s="41">
        <f>'[2]побудинковий звіт'!AV219+'[1]побудинковий звіт'!AV219</f>
        <v>317.4296598347625</v>
      </c>
      <c r="AW219" s="41">
        <f>'[2]побудинковий звіт'!AW219+'[1]побудинковий звіт'!AW219</f>
        <v>0</v>
      </c>
      <c r="AX219" s="58">
        <f t="shared" si="201"/>
        <v>-317.4296598347625</v>
      </c>
      <c r="AY219" s="41">
        <f>'[2]побудинковий звіт'!AY219+'[1]побудинковий звіт'!AY219</f>
        <v>675.38003310746342</v>
      </c>
      <c r="AZ219" s="41">
        <f>'[2]побудинковий звіт'!AZ219+'[1]побудинковий звіт'!AZ219</f>
        <v>0</v>
      </c>
      <c r="BA219" s="36">
        <f t="shared" si="202"/>
        <v>-675.38003310746342</v>
      </c>
      <c r="BB219" s="41">
        <f>'[2]побудинковий звіт'!BB219+'[1]побудинковий звіт'!BB219</f>
        <v>0</v>
      </c>
      <c r="BC219" s="41">
        <f>'[2]побудинковий звіт'!BC219+'[1]побудинковий звіт'!BC219</f>
        <v>0</v>
      </c>
      <c r="BD219" s="58">
        <f t="shared" si="203"/>
        <v>0</v>
      </c>
      <c r="BE219" s="41">
        <f>'[2]побудинковий звіт'!BE219+'[1]побудинковий звіт'!BE219</f>
        <v>0</v>
      </c>
      <c r="BF219" s="41">
        <f>'[2]побудинковий звіт'!BF219+'[1]побудинковий звіт'!BF219</f>
        <v>0</v>
      </c>
      <c r="BG219" s="38">
        <f t="shared" si="204"/>
        <v>0</v>
      </c>
      <c r="BH219" s="41">
        <f>'[2]побудинковий звіт'!BH219+'[1]побудинковий звіт'!BH219</f>
        <v>0</v>
      </c>
      <c r="BI219" s="41">
        <f>'[2]побудинковий звіт'!BI219+'[1]побудинковий звіт'!BI219</f>
        <v>0</v>
      </c>
      <c r="BJ219" s="58">
        <f t="shared" si="205"/>
        <v>0</v>
      </c>
      <c r="BK219" s="41">
        <f>'[2]побудинковий звіт'!BK219+'[1]побудинковий звіт'!BK219</f>
        <v>227.06106610604536</v>
      </c>
      <c r="BL219" s="41">
        <f>'[2]побудинковий звіт'!BL219+'[1]побудинковий звіт'!BL219</f>
        <v>0</v>
      </c>
      <c r="BM219" s="38">
        <f t="shared" si="206"/>
        <v>-227.06106610604536</v>
      </c>
      <c r="BN219" s="41">
        <f>'[2]побудинковий звіт'!BN219+'[1]побудинковий звіт'!BN219</f>
        <v>31.214014296485885</v>
      </c>
      <c r="BO219" s="41">
        <f>'[2]побудинковий звіт'!BO219+'[1]побудинковий звіт'!BO219</f>
        <v>0</v>
      </c>
      <c r="BP219" s="58">
        <f t="shared" si="207"/>
        <v>-31.214014296485885</v>
      </c>
      <c r="BQ219" s="84">
        <f t="shared" si="208"/>
        <v>1251.0847733447572</v>
      </c>
      <c r="BR219" s="42">
        <f t="shared" si="209"/>
        <v>0</v>
      </c>
      <c r="BS219" s="58">
        <f t="shared" si="210"/>
        <v>-1251.0847733447572</v>
      </c>
      <c r="BT219" s="41">
        <f>'[2]побудинковий звіт'!BT219+'[1]побудинковий звіт'!BT219</f>
        <v>8848.6401938030376</v>
      </c>
      <c r="BU219" s="41">
        <f>'[2]побудинковий звіт'!BU219+'[1]побудинковий звіт'!BU219</f>
        <v>12133.564820871368</v>
      </c>
      <c r="BV219" s="55">
        <f t="shared" si="211"/>
        <v>3284.9246270683307</v>
      </c>
      <c r="BW219" s="41">
        <f>'[2]побудинковий звіт'!BW219+'[1]побудинковий звіт'!BW219</f>
        <v>2332.4262210530337</v>
      </c>
      <c r="BX219" s="41">
        <f>'[2]побудинковий звіт'!BX219+'[1]побудинковий звіт'!BX219</f>
        <v>3201.6897794455572</v>
      </c>
      <c r="BY219" s="55">
        <f t="shared" si="212"/>
        <v>869.26355839252346</v>
      </c>
      <c r="BZ219" s="41">
        <f>'[2]побудинковий звіт'!BZ219+'[1]побудинковий звіт'!BZ219</f>
        <v>1916.5999914801071</v>
      </c>
      <c r="CA219" s="41">
        <f>'[2]побудинковий звіт'!CA219+'[1]побудинковий звіт'!CA219</f>
        <v>899.37628046587929</v>
      </c>
      <c r="CB219" s="55">
        <f t="shared" si="213"/>
        <v>-1017.2237110142278</v>
      </c>
      <c r="CC219" s="41">
        <f>'[2]побудинковий звіт'!CC219+'[1]побудинковий звіт'!CC219</f>
        <v>0</v>
      </c>
      <c r="CD219" s="41">
        <f>'[2]побудинковий звіт'!CD219+'[1]побудинковий звіт'!CD219</f>
        <v>0</v>
      </c>
      <c r="CE219" s="55">
        <f t="shared" si="214"/>
        <v>0</v>
      </c>
      <c r="CF219" s="41">
        <f>'[2]побудинковий звіт'!CF219+'[1]побудинковий звіт'!CF219</f>
        <v>0</v>
      </c>
      <c r="CG219" s="41">
        <f>'[2]побудинковий звіт'!CG219+'[1]побудинковий звіт'!CG219</f>
        <v>0</v>
      </c>
      <c r="CH219" s="55">
        <f t="shared" si="215"/>
        <v>0</v>
      </c>
      <c r="CI219" s="41">
        <f>'[2]побудинковий звіт'!CI219+'[1]побудинковий звіт'!CI219</f>
        <v>444.942287917969</v>
      </c>
      <c r="CJ219" s="41">
        <f>'[2]побудинковий звіт'!CJ219+'[1]побудинковий звіт'!CJ219</f>
        <v>437.8546389268418</v>
      </c>
      <c r="CK219" s="55">
        <f t="shared" si="216"/>
        <v>-7.087648991127196</v>
      </c>
      <c r="CL219" s="41">
        <f>'[2]побудинковий звіт'!CL219+'[1]побудинковий звіт'!CL219</f>
        <v>0</v>
      </c>
      <c r="CM219" s="41">
        <f>'[2]побудинковий звіт'!CM219+'[1]побудинковий звіт'!CM219</f>
        <v>0</v>
      </c>
      <c r="CN219" s="55">
        <f t="shared" si="217"/>
        <v>0</v>
      </c>
      <c r="CO219" s="41">
        <f t="shared" si="218"/>
        <v>444.942287917969</v>
      </c>
      <c r="CP219" s="42">
        <f t="shared" si="219"/>
        <v>437.8546389268418</v>
      </c>
      <c r="CQ219" s="55">
        <f t="shared" si="220"/>
        <v>-7.087648991127196</v>
      </c>
      <c r="CR219" s="76">
        <f t="shared" si="221"/>
        <v>27514.383956747406</v>
      </c>
      <c r="CS219" s="5">
        <f t="shared" si="222"/>
        <v>22594.437892785754</v>
      </c>
      <c r="CT219" s="55">
        <f t="shared" si="223"/>
        <v>-4919.9460639616518</v>
      </c>
      <c r="CU219" s="84">
        <f t="shared" si="224"/>
        <v>33017.260748096887</v>
      </c>
      <c r="CV219" s="68">
        <f t="shared" si="225"/>
        <v>27113.325471342905</v>
      </c>
      <c r="CW219" s="36">
        <f t="shared" si="226"/>
        <v>-5903.9352767539822</v>
      </c>
      <c r="CX219" s="41">
        <f>'[2]побудинковий звіт'!CX219+'[1]побудинковий звіт'!CX219</f>
        <v>330.07203123321028</v>
      </c>
      <c r="CY219" s="41">
        <f>'[2]побудинковий звіт'!CY219+'[1]побудинковий звіт'!CY219</f>
        <v>6234.0073079871945</v>
      </c>
      <c r="CZ219" s="55">
        <f t="shared" si="227"/>
        <v>5903.935276753984</v>
      </c>
      <c r="DA219" s="254">
        <f>'[1]побудинковий звіт'!DA219</f>
        <v>25470.881535623725</v>
      </c>
      <c r="DB219" s="2">
        <v>2</v>
      </c>
      <c r="DC219" s="702">
        <f>'[1]побудинковий звіт'!DC219</f>
        <v>3266.5</v>
      </c>
      <c r="DD219" s="702">
        <f>'[1]побудинковий звіт'!DD219</f>
        <v>9992.0300000000007</v>
      </c>
      <c r="DE219" s="702">
        <f>'[1]побудинковий звіт'!DE219</f>
        <v>600.40999999999985</v>
      </c>
      <c r="DF219" s="702">
        <f>'[1]побудинковий звіт'!DF219</f>
        <v>9008.6400000000012</v>
      </c>
      <c r="DG219" s="772">
        <v>-24244.861877298172</v>
      </c>
      <c r="DH219" s="746">
        <f t="shared" si="239"/>
        <v>400167.9933519612</v>
      </c>
      <c r="DI219" s="769"/>
      <c r="DJ219" s="5"/>
      <c r="DK219" s="307">
        <f>VLOOKUP($A219,ціни!$A$4:$G$401,5)</f>
        <v>6.6907072500777263</v>
      </c>
      <c r="DL219" s="307"/>
      <c r="DM219" s="307">
        <f>VLOOKUP($A219,ціни!$A$4:$G$401,7)</f>
        <v>5.9332380993136402</v>
      </c>
      <c r="DN219" s="29">
        <f>F219*DK219</f>
        <v>1900.8299297470821</v>
      </c>
      <c r="DO219" s="29">
        <f>H219*DM219</f>
        <v>714.36186715736233</v>
      </c>
      <c r="DP219" s="306">
        <f t="shared" si="240"/>
        <v>2615.1917969044443</v>
      </c>
      <c r="DQ219" s="101"/>
      <c r="DR219" s="29">
        <f>VLOOKUP(A219,'ДЗ нас '!$A$1:$C$359,2)</f>
        <v>1900.82</v>
      </c>
      <c r="DS219" s="733">
        <f>VLOOKUP(A219,'ДЗ нежит'!$A$1:$D$153,4,0)</f>
        <v>714.36</v>
      </c>
      <c r="DT219" s="29">
        <f t="shared" si="241"/>
        <v>2615.1799999999998</v>
      </c>
      <c r="DU219" s="247">
        <f>VLOOKUP(A219,'новий кошторис с 01.06'!$A$4:$AI$399,35)*1.2</f>
        <v>2615.1917969044443</v>
      </c>
      <c r="DV219" s="29">
        <f t="shared" si="242"/>
        <v>-1.1796904444508982E-2</v>
      </c>
      <c r="DW219" s="1016">
        <f>'[2]побудинковий звіт'!$DW$9+'[1]побудинковий звіт'!DW219</f>
        <v>0</v>
      </c>
      <c r="DX219" s="101">
        <f>'[1]побудинковий звіт'!DX219</f>
        <v>0</v>
      </c>
      <c r="DY219" s="5">
        <f t="shared" si="243"/>
        <v>9835.0287982328737</v>
      </c>
      <c r="DZ219" s="5">
        <f t="shared" si="244"/>
        <v>646.53330432352334</v>
      </c>
      <c r="EA219" s="737">
        <f t="shared" si="245"/>
        <v>9609.0500000000011</v>
      </c>
      <c r="EC219" s="577">
        <f t="shared" si="246"/>
        <v>83337.270702191658</v>
      </c>
      <c r="EE219" s="743">
        <v>33041</v>
      </c>
      <c r="EF219" s="723">
        <f t="shared" si="247"/>
        <v>8796.1381227018283</v>
      </c>
      <c r="EH219" s="798">
        <v>-29420.841511241604</v>
      </c>
      <c r="EI219" s="101">
        <f>VLOOKUP(A219,'кошти 01.01.24'!$A$9:$D$352,4,FALSE)</f>
        <v>31374.816812377714</v>
      </c>
    </row>
    <row r="220" spans="1:139" hidden="1" x14ac:dyDescent="0.3">
      <c r="A220" s="318">
        <v>150000940</v>
      </c>
      <c r="B220" s="43" t="s">
        <v>653</v>
      </c>
      <c r="C220" s="44" t="s">
        <v>376</v>
      </c>
      <c r="D220" s="44" t="s">
        <v>376</v>
      </c>
      <c r="E220" s="39">
        <f t="shared" si="185"/>
        <v>7448.76</v>
      </c>
      <c r="F220" s="205">
        <f>'[1]побудинковий звіт'!F220</f>
        <v>7448.76</v>
      </c>
      <c r="G220" s="29">
        <f>'[1]побудинковий звіт'!G220</f>
        <v>941.36</v>
      </c>
      <c r="H220" s="148">
        <f>'[1]побудинковий звіт'!H220</f>
        <v>0</v>
      </c>
      <c r="I220" s="41">
        <f>'[2]побудинковий звіт'!I220+'[1]побудинковий звіт'!I220</f>
        <v>21580.189280093411</v>
      </c>
      <c r="J220" s="41">
        <f>'[2]побудинковий звіт'!J220+'[1]побудинковий звіт'!J220</f>
        <v>17152.599481553705</v>
      </c>
      <c r="K220" s="55">
        <f t="shared" si="186"/>
        <v>-4427.589798539706</v>
      </c>
      <c r="L220" s="41">
        <f>'[2]побудинковий звіт'!L220+'[1]побудинковий звіт'!L220</f>
        <v>3729.2119797010478</v>
      </c>
      <c r="M220" s="41">
        <f>'[2]побудинковий звіт'!M220+'[1]побудинковий звіт'!M220</f>
        <v>3217.0616710606068</v>
      </c>
      <c r="N220" s="55">
        <f t="shared" si="187"/>
        <v>-512.15030864044093</v>
      </c>
      <c r="O220" s="41">
        <f>'[2]побудинковий звіт'!O220+'[1]побудинковий звіт'!O220</f>
        <v>12699.863081745514</v>
      </c>
      <c r="P220" s="41">
        <f>'[2]побудинковий звіт'!P220+'[1]побудинковий звіт'!P220</f>
        <v>12735.687454468962</v>
      </c>
      <c r="Q220" s="55">
        <f t="shared" si="188"/>
        <v>35.824372723447595</v>
      </c>
      <c r="R220" s="41">
        <f>'[2]побудинковий звіт'!R220+'[1]побудинковий звіт'!R220</f>
        <v>2480.4404466411202</v>
      </c>
      <c r="S220" s="41">
        <f>'[2]побудинковий звіт'!S220+'[1]побудинковий звіт'!S220</f>
        <v>2487.7918736573201</v>
      </c>
      <c r="T220" s="55">
        <f t="shared" si="189"/>
        <v>7.3514270161999775</v>
      </c>
      <c r="U220" s="41">
        <f>'[2]побудинковий звіт'!U220+'[1]побудинковий звіт'!U220</f>
        <v>1265.897904939784</v>
      </c>
      <c r="V220" s="41">
        <f>'[2]побудинковий звіт'!V220+'[1]побудинковий звіт'!V220</f>
        <v>771.47044773231494</v>
      </c>
      <c r="W220" s="55">
        <f t="shared" si="190"/>
        <v>-494.42745720746905</v>
      </c>
      <c r="X220" s="41">
        <f>'[2]побудинковий звіт'!X220+'[1]побудинковий звіт'!X220</f>
        <v>15086.978110897364</v>
      </c>
      <c r="Y220" s="41">
        <f>'[2]побудинковий звіт'!Y220+'[1]побудинковий звіт'!Y220</f>
        <v>12774.021401212887</v>
      </c>
      <c r="Z220" s="55">
        <f t="shared" si="191"/>
        <v>-2312.9567096844767</v>
      </c>
      <c r="AA220" s="41">
        <f>'[2]побудинковий звіт'!AA220+'[1]побудинковий звіт'!AA220</f>
        <v>0</v>
      </c>
      <c r="AB220" s="41">
        <f>'[2]побудинковий звіт'!AB220+'[1]побудинковий звіт'!AB220</f>
        <v>0</v>
      </c>
      <c r="AC220" s="55">
        <f t="shared" si="192"/>
        <v>0</v>
      </c>
      <c r="AD220" s="41">
        <f>'[2]побудинковий звіт'!AD220+'[1]побудинковий звіт'!AD220</f>
        <v>32314.974945697199</v>
      </c>
      <c r="AE220" s="41">
        <f>'[2]побудинковий звіт'!AE220+'[1]побудинковий звіт'!AE220</f>
        <v>32189.013118212602</v>
      </c>
      <c r="AF220" s="36">
        <f t="shared" si="193"/>
        <v>-125.96182748459614</v>
      </c>
      <c r="AG220" s="84">
        <f t="shared" si="194"/>
        <v>89157.555749715437</v>
      </c>
      <c r="AH220" s="56">
        <f t="shared" si="195"/>
        <v>81327.645447898394</v>
      </c>
      <c r="AI220" s="55">
        <f t="shared" si="196"/>
        <v>-7829.9103018170426</v>
      </c>
      <c r="AJ220" s="41">
        <f>'[2]побудинковий звіт'!AJ220+'[1]побудинковий звіт'!AJ220</f>
        <v>88736.476071739002</v>
      </c>
      <c r="AK220" s="41">
        <f>'[2]побудинковий звіт'!AK220+'[1]побудинковий звіт'!AK220</f>
        <v>84685.878169388088</v>
      </c>
      <c r="AL220" s="55">
        <f t="shared" si="197"/>
        <v>-4050.5979023509135</v>
      </c>
      <c r="AM220" s="41">
        <f>'[2]побудинковий звіт'!AM220+'[1]побудинковий звіт'!AM220</f>
        <v>0</v>
      </c>
      <c r="AN220" s="41">
        <f>'[2]побудинковий звіт'!AN220+'[1]побудинковий звіт'!AN220</f>
        <v>0</v>
      </c>
      <c r="AO220" s="55">
        <f t="shared" si="198"/>
        <v>0</v>
      </c>
      <c r="AP220" s="41">
        <f>'[2]побудинковий звіт'!AP220+'[1]побудинковий звіт'!AP220</f>
        <v>5943.5876574312242</v>
      </c>
      <c r="AQ220" s="41">
        <f>'[2]побудинковий звіт'!AQ220+'[1]побудинковий звіт'!AQ220</f>
        <v>5554.8928310799993</v>
      </c>
      <c r="AR220" s="55">
        <f t="shared" si="199"/>
        <v>-388.69482635122495</v>
      </c>
      <c r="AS220" s="41">
        <f>'[2]побудинковий звіт'!AS220+'[1]побудинковий звіт'!AS220</f>
        <v>128102.50685564085</v>
      </c>
      <c r="AT220" s="41">
        <f>'[2]побудинковий звіт'!AT220+'[1]побудинковий звіт'!AT220</f>
        <v>273791.75769891177</v>
      </c>
      <c r="AU220" s="57">
        <f t="shared" si="200"/>
        <v>145689.25084327091</v>
      </c>
      <c r="AV220" s="41">
        <f>'[2]побудинковий звіт'!AV220+'[1]побудинковий звіт'!AV220</f>
        <v>2198.2545655610106</v>
      </c>
      <c r="AW220" s="41">
        <f>'[2]побудинковий звіт'!AW220+'[1]побудинковий звіт'!AW220</f>
        <v>1111.1159889847941</v>
      </c>
      <c r="AX220" s="58">
        <f t="shared" si="201"/>
        <v>-1087.1385765762166</v>
      </c>
      <c r="AY220" s="41">
        <f>'[2]побудинковий звіт'!AY220+'[1]побудинковий звіт'!AY220</f>
        <v>2556.5749495822529</v>
      </c>
      <c r="AZ220" s="41">
        <f>'[2]побудинковий звіт'!AZ220+'[1]побудинковий звіт'!AZ220</f>
        <v>6495.9368971524464</v>
      </c>
      <c r="BA220" s="36">
        <f t="shared" si="202"/>
        <v>3939.3619475701935</v>
      </c>
      <c r="BB220" s="41">
        <f>'[2]побудинковий звіт'!BB220+'[1]побудинковий звіт'!BB220</f>
        <v>3020.7832612849202</v>
      </c>
      <c r="BC220" s="41">
        <f>'[2]побудинковий звіт'!BC220+'[1]побудинковий звіт'!BC220</f>
        <v>1523.7581376649762</v>
      </c>
      <c r="BD220" s="58">
        <f t="shared" si="203"/>
        <v>-1497.025123619944</v>
      </c>
      <c r="BE220" s="41">
        <f>'[2]побудинковий звіт'!BE220+'[1]побудинковий звіт'!BE220</f>
        <v>1244.7722270347333</v>
      </c>
      <c r="BF220" s="41">
        <f>'[2]побудинковий звіт'!BF220+'[1]побудинковий звіт'!BF220</f>
        <v>0</v>
      </c>
      <c r="BG220" s="38">
        <f t="shared" si="204"/>
        <v>-1244.7722270347333</v>
      </c>
      <c r="BH220" s="41">
        <f>'[2]побудинковий звіт'!BH220+'[1]побудинковий звіт'!BH220</f>
        <v>665.24222014303768</v>
      </c>
      <c r="BI220" s="41">
        <f>'[2]побудинковий звіт'!BI220+'[1]побудинковий звіт'!BI220</f>
        <v>0</v>
      </c>
      <c r="BJ220" s="58">
        <f t="shared" si="205"/>
        <v>-665.24222014303768</v>
      </c>
      <c r="BK220" s="41">
        <f>'[2]побудинковий звіт'!BK220+'[1]побудинковий звіт'!BK220</f>
        <v>2628.6347799033542</v>
      </c>
      <c r="BL220" s="41">
        <f>'[2]побудинковий звіт'!BL220+'[1]побудинковий звіт'!BL220</f>
        <v>6179.3975901989879</v>
      </c>
      <c r="BM220" s="38">
        <f t="shared" si="206"/>
        <v>3550.7628102956337</v>
      </c>
      <c r="BN220" s="41">
        <f>'[2]побудинковий звіт'!BN220+'[1]побудинковий звіт'!BN220</f>
        <v>836.51188845736215</v>
      </c>
      <c r="BO220" s="41">
        <f>'[2]побудинковий звіт'!BO220+'[1]побудинковий звіт'!BO220</f>
        <v>3716.0503409034895</v>
      </c>
      <c r="BP220" s="58">
        <f t="shared" si="207"/>
        <v>2879.5384524461274</v>
      </c>
      <c r="BQ220" s="84">
        <f t="shared" si="208"/>
        <v>13150.77389196667</v>
      </c>
      <c r="BR220" s="42">
        <f t="shared" si="209"/>
        <v>19026.258954904693</v>
      </c>
      <c r="BS220" s="58">
        <f t="shared" si="210"/>
        <v>5875.4850629380235</v>
      </c>
      <c r="BT220" s="41">
        <f>'[2]побудинковий звіт'!BT220+'[1]побудинковий звіт'!BT220</f>
        <v>111697.35135633312</v>
      </c>
      <c r="BU220" s="41">
        <f>'[2]побудинковий звіт'!BU220+'[1]побудинковий звіт'!BU220</f>
        <v>53760.41037344456</v>
      </c>
      <c r="BV220" s="55">
        <f t="shared" si="211"/>
        <v>-57936.940982888562</v>
      </c>
      <c r="BW220" s="41">
        <f>'[2]побудинковий звіт'!BW220+'[1]побудинковий звіт'!BW220</f>
        <v>62246.973790870506</v>
      </c>
      <c r="BX220" s="41">
        <f>'[2]побудинковий звіт'!BX220+'[1]побудинковий звіт'!BX220</f>
        <v>23559.304731264725</v>
      </c>
      <c r="BY220" s="55">
        <f t="shared" si="212"/>
        <v>-38687.669059605782</v>
      </c>
      <c r="BZ220" s="41">
        <f>'[2]побудинковий звіт'!BZ220+'[1]побудинковий звіт'!BZ220</f>
        <v>16948.877567048115</v>
      </c>
      <c r="CA220" s="41">
        <f>'[2]побудинковий звіт'!CA220+'[1]побудинковий звіт'!CA220</f>
        <v>4635.4786432913888</v>
      </c>
      <c r="CB220" s="55">
        <f t="shared" si="213"/>
        <v>-12313.398923756726</v>
      </c>
      <c r="CC220" s="41">
        <f>'[2]побудинковий звіт'!CC220+'[1]побудинковий звіт'!CC220</f>
        <v>2376.8932678200295</v>
      </c>
      <c r="CD220" s="41">
        <f>'[2]побудинковий звіт'!CD220+'[1]побудинковий звіт'!CD220</f>
        <v>2384.95304776381</v>
      </c>
      <c r="CE220" s="55">
        <f t="shared" si="214"/>
        <v>8.0597799437805406</v>
      </c>
      <c r="CF220" s="41">
        <f>'[2]побудинковий звіт'!CF220+'[1]побудинковий звіт'!CF220</f>
        <v>294.48444225500515</v>
      </c>
      <c r="CG220" s="41">
        <f>'[2]побудинковий звіт'!CG220+'[1]побудинковий звіт'!CG220</f>
        <v>0</v>
      </c>
      <c r="CH220" s="55">
        <f t="shared" si="215"/>
        <v>-294.48444225500515</v>
      </c>
      <c r="CI220" s="41">
        <f>'[2]побудинковий звіт'!CI220+'[1]побудинковий звіт'!CI220</f>
        <v>28674.837910976712</v>
      </c>
      <c r="CJ220" s="41">
        <f>'[2]побудинковий звіт'!CJ220+'[1]побудинковий звіт'!CJ220</f>
        <v>19170.770941902887</v>
      </c>
      <c r="CK220" s="55">
        <f t="shared" si="216"/>
        <v>-9504.066969073825</v>
      </c>
      <c r="CL220" s="41">
        <f>'[2]побудинковий звіт'!CL220+'[1]побудинковий звіт'!CL220</f>
        <v>19348.197167047994</v>
      </c>
      <c r="CM220" s="41">
        <f>'[2]побудинковий звіт'!CM220+'[1]побудинковий звіт'!CM220</f>
        <v>23966.399992052531</v>
      </c>
      <c r="CN220" s="55">
        <f t="shared" si="217"/>
        <v>4618.2028250045369</v>
      </c>
      <c r="CO220" s="41">
        <f t="shared" si="218"/>
        <v>48023.03507802471</v>
      </c>
      <c r="CP220" s="42">
        <f t="shared" si="219"/>
        <v>43137.170933955422</v>
      </c>
      <c r="CQ220" s="55">
        <f t="shared" si="220"/>
        <v>-4885.8641440692882</v>
      </c>
      <c r="CR220" s="76">
        <f t="shared" si="221"/>
        <v>566678.51572884468</v>
      </c>
      <c r="CS220" s="5">
        <f t="shared" si="222"/>
        <v>591863.75083190284</v>
      </c>
      <c r="CT220" s="55">
        <f t="shared" si="223"/>
        <v>25185.235103058163</v>
      </c>
      <c r="CU220" s="84">
        <f t="shared" si="224"/>
        <v>680014.21887461364</v>
      </c>
      <c r="CV220" s="68">
        <f t="shared" si="225"/>
        <v>710236.50099828339</v>
      </c>
      <c r="CW220" s="36">
        <f t="shared" si="226"/>
        <v>30222.282123669749</v>
      </c>
      <c r="CX220" s="41">
        <f>'[2]побудинковий звіт'!CX220+'[1]побудинковий звіт'!CX220</f>
        <v>20448.578288263623</v>
      </c>
      <c r="CY220" s="41">
        <f>'[2]побудинковий звіт'!CY220+'[1]побудинковий звіт'!CY220</f>
        <v>-9773.7038354060642</v>
      </c>
      <c r="CZ220" s="55">
        <f t="shared" si="227"/>
        <v>-30222.282123669687</v>
      </c>
      <c r="DA220" s="254">
        <f>'[1]побудинковий звіт'!DA220</f>
        <v>-8667.6348717834626</v>
      </c>
      <c r="DB220" s="2">
        <v>1</v>
      </c>
      <c r="DC220" s="702">
        <f>'[1]побудинковий звіт'!DC220</f>
        <v>149050.64000000001</v>
      </c>
      <c r="DD220" s="702">
        <f>'[1]побудинковий звіт'!DD220</f>
        <v>0</v>
      </c>
      <c r="DE220" s="702">
        <f>'[1]побудинковий звіт'!DE220</f>
        <v>72390.310000000012</v>
      </c>
      <c r="DF220" s="702">
        <f>'[1]побудинковий звіт'!DF220</f>
        <v>0</v>
      </c>
      <c r="DG220" s="772">
        <v>-94763.640164695913</v>
      </c>
      <c r="DH220" s="746">
        <f t="shared" si="239"/>
        <v>8405553.5659545269</v>
      </c>
      <c r="DI220" s="769"/>
      <c r="DJ220" s="5"/>
      <c r="DK220" s="307">
        <f>VLOOKUP($A220,ціни!$A$4:$G$401,5)</f>
        <v>5.9786604375016941</v>
      </c>
      <c r="DL220" s="307">
        <f>VLOOKUP($A220,ціни!$A$4:$G$401,6)</f>
        <v>7.5749399607295995</v>
      </c>
      <c r="DM220" s="307">
        <f>VLOOKUP($A220,ціни!$A$4:$G$401,7)</f>
        <v>5.1698747787574808</v>
      </c>
      <c r="DN220" s="29">
        <f>DK220*G220+(F220-G220)*DL220</f>
        <v>54921.23608989839</v>
      </c>
      <c r="DO220" s="29">
        <f>DM220*H220</f>
        <v>0</v>
      </c>
      <c r="DP220" s="306">
        <f t="shared" si="240"/>
        <v>54921.23608989839</v>
      </c>
      <c r="DQ220" s="101"/>
      <c r="DR220" s="29">
        <f>VLOOKUP(A220,'ДЗ нас '!$A$1:$C$359,2)</f>
        <v>54935.94</v>
      </c>
      <c r="DS220" s="733"/>
      <c r="DT220" s="29">
        <f t="shared" si="241"/>
        <v>54935.94</v>
      </c>
      <c r="DU220" s="247">
        <f>VLOOKUP(A220,'новий кошторис с 01.06'!$A$4:$AI$399,35)*1.2</f>
        <v>55204.748934948715</v>
      </c>
      <c r="DV220" s="29">
        <f t="shared" si="242"/>
        <v>-268.8089349487127</v>
      </c>
      <c r="DW220" s="1016">
        <f>'[2]побудинковий звіт'!$DW$9+'[1]побудинковий звіт'!DW220</f>
        <v>1044</v>
      </c>
      <c r="DX220" s="101">
        <f>'[1]побудинковий звіт'!DX220</f>
        <v>0</v>
      </c>
      <c r="DY220" s="5">
        <f t="shared" si="243"/>
        <v>169503.93689712902</v>
      </c>
      <c r="DZ220" s="5">
        <f t="shared" si="244"/>
        <v>351381.61998457974</v>
      </c>
      <c r="EA220" s="737">
        <f t="shared" si="245"/>
        <v>72390.310000000012</v>
      </c>
      <c r="EC220" s="577">
        <f t="shared" si="246"/>
        <v>1537230.0822676902</v>
      </c>
      <c r="EE220" s="743">
        <v>51691</v>
      </c>
      <c r="EF220" s="723">
        <f t="shared" si="247"/>
        <v>-43072.640164695913</v>
      </c>
      <c r="EH220" s="798">
        <v>-107886.13965126351</v>
      </c>
      <c r="EI220" s="101">
        <f>VLOOKUP(A220,'кошти 01.01.24'!$A$9:$D$352,4,FALSE)</f>
        <v>-38889.91699545311</v>
      </c>
    </row>
    <row r="221" spans="1:139" hidden="1" x14ac:dyDescent="0.3">
      <c r="A221" s="318">
        <v>150000941</v>
      </c>
      <c r="B221" s="43" t="s">
        <v>654</v>
      </c>
      <c r="C221" s="44" t="s">
        <v>337</v>
      </c>
      <c r="D221" s="44" t="s">
        <v>337</v>
      </c>
      <c r="E221" s="39">
        <f t="shared" si="185"/>
        <v>6115.75</v>
      </c>
      <c r="F221" s="205">
        <f>'[1]побудинковий звіт'!F221</f>
        <v>6115.75</v>
      </c>
      <c r="G221" s="29">
        <f>'[1]побудинковий звіт'!G221</f>
        <v>717.15</v>
      </c>
      <c r="H221" s="148">
        <f>'[1]побудинковий звіт'!H221</f>
        <v>0</v>
      </c>
      <c r="I221" s="41">
        <f>'[2]побудинковий звіт'!I221+'[1]побудинковий звіт'!I221</f>
        <v>10518.519583936708</v>
      </c>
      <c r="J221" s="41">
        <f>'[2]побудинковий звіт'!J221+'[1]побудинковий звіт'!J221</f>
        <v>8414.1744264217687</v>
      </c>
      <c r="K221" s="55">
        <f t="shared" si="186"/>
        <v>-2104.3451575149393</v>
      </c>
      <c r="L221" s="41">
        <f>'[2]побудинковий звіт'!L221+'[1]побудинковий звіт'!L221</f>
        <v>2906.5665541781409</v>
      </c>
      <c r="M221" s="41">
        <f>'[2]побудинковий звіт'!M221+'[1]побудинковий звіт'!M221</f>
        <v>2477.8001159450537</v>
      </c>
      <c r="N221" s="55">
        <f t="shared" si="187"/>
        <v>-428.76643823308723</v>
      </c>
      <c r="O221" s="41">
        <f>'[2]побудинковий звіт'!O221+'[1]побудинковий звіт'!O221</f>
        <v>10374.75920085198</v>
      </c>
      <c r="P221" s="41">
        <f>'[2]побудинковий звіт'!P221+'[1]побудинковий звіт'!P221</f>
        <v>10404.16757984419</v>
      </c>
      <c r="Q221" s="55">
        <f t="shared" si="188"/>
        <v>29.408378992209691</v>
      </c>
      <c r="R221" s="41">
        <f>'[2]побудинковий звіт'!R221+'[1]побудинковий звіт'!R221</f>
        <v>1908.226030289444</v>
      </c>
      <c r="S221" s="41">
        <f>'[2]побудинковий звіт'!S221+'[1]побудинковий звіт'!S221</f>
        <v>1913.3824880239761</v>
      </c>
      <c r="T221" s="55">
        <f t="shared" si="189"/>
        <v>5.1564577345320686</v>
      </c>
      <c r="U221" s="41">
        <f>'[2]побудинковий звіт'!U221+'[1]побудинковий звіт'!U221</f>
        <v>1139.1271257571261</v>
      </c>
      <c r="V221" s="41">
        <f>'[2]побудинковий звіт'!V221+'[1]побудинковий звіт'!V221</f>
        <v>553.44445917726796</v>
      </c>
      <c r="W221" s="55">
        <f t="shared" si="190"/>
        <v>-585.68266657985816</v>
      </c>
      <c r="X221" s="41">
        <f>'[2]побудинковий звіт'!X221+'[1]побудинковий звіт'!X221</f>
        <v>12586.018907429108</v>
      </c>
      <c r="Y221" s="41">
        <f>'[2]побудинковий звіт'!Y221+'[1]побудинковий звіт'!Y221</f>
        <v>8451.1982699233886</v>
      </c>
      <c r="Z221" s="55">
        <f t="shared" si="191"/>
        <v>-4134.8206375057198</v>
      </c>
      <c r="AA221" s="41">
        <f>'[2]побудинковий звіт'!AA221+'[1]побудинковий звіт'!AA221</f>
        <v>0</v>
      </c>
      <c r="AB221" s="41">
        <f>'[2]побудинковий звіт'!AB221+'[1]побудинковий звіт'!AB221</f>
        <v>0</v>
      </c>
      <c r="AC221" s="55">
        <f t="shared" si="192"/>
        <v>0</v>
      </c>
      <c r="AD221" s="41">
        <f>'[2]побудинковий звіт'!AD221+'[1]побудинковий звіт'!AD221</f>
        <v>26541.391813931477</v>
      </c>
      <c r="AE221" s="41">
        <f>'[2]побудинковий звіт'!AE221+'[1]побудинковий звіт'!AE221</f>
        <v>26437.577526447971</v>
      </c>
      <c r="AF221" s="36">
        <f t="shared" si="193"/>
        <v>-103.81428748350663</v>
      </c>
      <c r="AG221" s="84">
        <f t="shared" si="194"/>
        <v>65974.609216373981</v>
      </c>
      <c r="AH221" s="56">
        <f t="shared" si="195"/>
        <v>58651.744865783621</v>
      </c>
      <c r="AI221" s="55">
        <f t="shared" si="196"/>
        <v>-7322.8643505903601</v>
      </c>
      <c r="AJ221" s="41">
        <f>'[2]побудинковий звіт'!AJ221+'[1]побудинковий звіт'!AJ221</f>
        <v>60977.244852629941</v>
      </c>
      <c r="AK221" s="41">
        <f>'[2]побудинковий звіт'!AK221+'[1]побудинковий звіт'!AK221</f>
        <v>53518.061758373573</v>
      </c>
      <c r="AL221" s="55">
        <f t="shared" si="197"/>
        <v>-7459.1830942563683</v>
      </c>
      <c r="AM221" s="41">
        <f>'[2]побудинковий звіт'!AM221+'[1]побудинковий звіт'!AM221</f>
        <v>4288.4443738755244</v>
      </c>
      <c r="AN221" s="41">
        <f>'[2]побудинковий звіт'!AN221+'[1]побудинковий звіт'!AN221</f>
        <v>791.95832906965779</v>
      </c>
      <c r="AO221" s="55">
        <f t="shared" si="198"/>
        <v>-3496.4860448058666</v>
      </c>
      <c r="AP221" s="41">
        <f>'[2]побудинковий звіт'!AP221+'[1]побудинковий звіт'!AP221</f>
        <v>5052.0495088165389</v>
      </c>
      <c r="AQ221" s="41">
        <f>'[2]побудинковий звіт'!AQ221+'[1]побудинковий звіт'!AQ221</f>
        <v>4728.6615666536791</v>
      </c>
      <c r="AR221" s="55">
        <f t="shared" si="199"/>
        <v>-323.38794216285987</v>
      </c>
      <c r="AS221" s="41">
        <f>'[2]побудинковий звіт'!AS221+'[1]побудинковий звіт'!AS221</f>
        <v>121096.8286667479</v>
      </c>
      <c r="AT221" s="41">
        <f>'[2]побудинковий звіт'!AT221+'[1]побудинковий звіт'!AT221</f>
        <v>24060.406595749067</v>
      </c>
      <c r="AU221" s="57">
        <f t="shared" si="200"/>
        <v>-97036.422070998829</v>
      </c>
      <c r="AV221" s="41">
        <f>'[2]побудинковий звіт'!AV221+'[1]побудинковий звіт'!AV221</f>
        <v>542.56018901105779</v>
      </c>
      <c r="AW221" s="41">
        <f>'[2]побудинковий звіт'!AW221+'[1]побудинковий звіт'!AW221</f>
        <v>745.21377779366821</v>
      </c>
      <c r="AX221" s="58">
        <f t="shared" si="201"/>
        <v>202.65358878261043</v>
      </c>
      <c r="AY221" s="41">
        <f>'[2]побудинковий звіт'!AY221+'[1]побудинковий звіт'!AY221</f>
        <v>782.55689074993234</v>
      </c>
      <c r="AZ221" s="41">
        <f>'[2]побудинковий звіт'!AZ221+'[1]побудинковий звіт'!AZ221</f>
        <v>3221.422943737793</v>
      </c>
      <c r="BA221" s="36">
        <f t="shared" si="202"/>
        <v>2438.8660529878607</v>
      </c>
      <c r="BB221" s="41">
        <f>'[2]побудинковий звіт'!BB221+'[1]побудинковий звіт'!BB221</f>
        <v>502.44378407029683</v>
      </c>
      <c r="BC221" s="41">
        <f>'[2]побудинковий звіт'!BC221+'[1]побудинковий звіт'!BC221</f>
        <v>0</v>
      </c>
      <c r="BD221" s="58">
        <f t="shared" si="203"/>
        <v>-502.44378407029683</v>
      </c>
      <c r="BE221" s="41">
        <f>'[2]побудинковий звіт'!BE221+'[1]побудинковий звіт'!BE221</f>
        <v>455.83257102704192</v>
      </c>
      <c r="BF221" s="41">
        <f>'[2]побудинковий звіт'!BF221+'[1]побудинковий звіт'!BF221</f>
        <v>1148.5448070087323</v>
      </c>
      <c r="BG221" s="38">
        <f t="shared" si="204"/>
        <v>692.71223598169036</v>
      </c>
      <c r="BH221" s="41">
        <f>'[2]побудинковий звіт'!BH221+'[1]побудинковий звіт'!BH221</f>
        <v>409.85473484029825</v>
      </c>
      <c r="BI221" s="41">
        <f>'[2]побудинковий звіт'!BI221+'[1]побудинковий звіт'!BI221</f>
        <v>0</v>
      </c>
      <c r="BJ221" s="58">
        <f t="shared" si="205"/>
        <v>-409.85473484029825</v>
      </c>
      <c r="BK221" s="41">
        <f>'[2]побудинковий звіт'!BK221+'[1]побудинковий звіт'!BK221</f>
        <v>774.44278643683333</v>
      </c>
      <c r="BL221" s="41">
        <f>'[2]побудинковий звіт'!BL221+'[1]побудинковий звіт'!BL221</f>
        <v>0</v>
      </c>
      <c r="BM221" s="38">
        <f t="shared" si="206"/>
        <v>-774.44278643683333</v>
      </c>
      <c r="BN221" s="41">
        <f>'[2]побудинковий звіт'!BN221+'[1]побудинковий звіт'!BN221</f>
        <v>1036.4117286899307</v>
      </c>
      <c r="BO221" s="41">
        <f>'[2]побудинковий звіт'!BO221+'[1]побудинковий звіт'!BO221</f>
        <v>0</v>
      </c>
      <c r="BP221" s="58">
        <f t="shared" si="207"/>
        <v>-1036.4117286899307</v>
      </c>
      <c r="BQ221" s="84">
        <f t="shared" si="208"/>
        <v>4504.1026848253914</v>
      </c>
      <c r="BR221" s="42">
        <f t="shared" si="209"/>
        <v>5115.1815285401935</v>
      </c>
      <c r="BS221" s="58">
        <f t="shared" si="210"/>
        <v>611.07884371480213</v>
      </c>
      <c r="BT221" s="41">
        <f>'[2]побудинковий звіт'!BT221+'[1]побудинковий звіт'!BT221</f>
        <v>77977.731777138441</v>
      </c>
      <c r="BU221" s="41">
        <f>'[2]побудинковий звіт'!BU221+'[1]побудинковий звіт'!BU221</f>
        <v>98942.839374225907</v>
      </c>
      <c r="BV221" s="55">
        <f t="shared" si="211"/>
        <v>20965.107597087466</v>
      </c>
      <c r="BW221" s="41">
        <f>'[2]побудинковий звіт'!BW221+'[1]побудинковий звіт'!BW221</f>
        <v>53639.320212056387</v>
      </c>
      <c r="BX221" s="41">
        <f>'[2]побудинковий звіт'!BX221+'[1]побудинковий звіт'!BX221</f>
        <v>71943.270586065963</v>
      </c>
      <c r="BY221" s="55">
        <f t="shared" si="212"/>
        <v>18303.950374009575</v>
      </c>
      <c r="BZ221" s="41">
        <f>'[2]побудинковий звіт'!BZ221+'[1]побудинковий звіт'!BZ221</f>
        <v>9886.8452474447349</v>
      </c>
      <c r="CA221" s="41">
        <f>'[2]побудинковий звіт'!CA221+'[1]побудинковий звіт'!CA221</f>
        <v>9211.2391225274532</v>
      </c>
      <c r="CB221" s="55">
        <f t="shared" si="213"/>
        <v>-675.6061249172817</v>
      </c>
      <c r="CC221" s="41">
        <f>'[2]побудинковий звіт'!CC221+'[1]побудинковий звіт'!CC221</f>
        <v>1890.7660732710206</v>
      </c>
      <c r="CD221" s="41">
        <f>'[2]побудинковий звіт'!CD221+'[1]побудинковий звіт'!CD221</f>
        <v>1897.1774501224961</v>
      </c>
      <c r="CE221" s="55">
        <f t="shared" si="214"/>
        <v>6.411376851475552</v>
      </c>
      <c r="CF221" s="41">
        <f>'[2]побудинковий звіт'!CF221+'[1]побудинковий звіт'!CF221</f>
        <v>234.25586670644805</v>
      </c>
      <c r="CG221" s="41">
        <f>'[2]побудинковий звіт'!CG221+'[1]побудинковий звіт'!CG221</f>
        <v>0</v>
      </c>
      <c r="CH221" s="55">
        <f t="shared" si="215"/>
        <v>-234.25586670644805</v>
      </c>
      <c r="CI221" s="41">
        <f>'[2]побудинковий звіт'!CI221+'[1]побудинковий звіт'!CI221</f>
        <v>16046.213667024855</v>
      </c>
      <c r="CJ221" s="41">
        <f>'[2]побудинковий звіт'!CJ221+'[1]побудинковий звіт'!CJ221</f>
        <v>19032.457610395188</v>
      </c>
      <c r="CK221" s="55">
        <f t="shared" si="216"/>
        <v>2986.243943370333</v>
      </c>
      <c r="CL221" s="41">
        <f>'[2]побудинковий звіт'!CL221+'[1]побудинковий звіт'!CL221</f>
        <v>11466.820006792173</v>
      </c>
      <c r="CM221" s="41">
        <f>'[2]побудинковий звіт'!CM221+'[1]побудинковий звіт'!CM221</f>
        <v>19132.67854815401</v>
      </c>
      <c r="CN221" s="55">
        <f t="shared" si="217"/>
        <v>7665.8585413618366</v>
      </c>
      <c r="CO221" s="41">
        <f t="shared" si="218"/>
        <v>27513.03367381703</v>
      </c>
      <c r="CP221" s="42">
        <f t="shared" si="219"/>
        <v>38165.136158549198</v>
      </c>
      <c r="CQ221" s="55">
        <f t="shared" si="220"/>
        <v>10652.102484732168</v>
      </c>
      <c r="CR221" s="76">
        <f t="shared" si="221"/>
        <v>433035.23215370334</v>
      </c>
      <c r="CS221" s="5">
        <f t="shared" si="222"/>
        <v>367025.67733566079</v>
      </c>
      <c r="CT221" s="55">
        <f t="shared" si="223"/>
        <v>-66009.554818042554</v>
      </c>
      <c r="CU221" s="84">
        <f t="shared" si="224"/>
        <v>519642.27858444396</v>
      </c>
      <c r="CV221" s="68">
        <f t="shared" si="225"/>
        <v>440430.81280279293</v>
      </c>
      <c r="CW221" s="36">
        <f t="shared" si="226"/>
        <v>-79211.46578165103</v>
      </c>
      <c r="CX221" s="41">
        <f>'[2]побудинковий звіт'!CX221+'[1]побудинковий звіт'!CX221</f>
        <v>15330.784222409891</v>
      </c>
      <c r="CY221" s="41">
        <f>'[2]побудинковий звіт'!CY221+'[1]побудинковий звіт'!CY221</f>
        <v>94542.250004060857</v>
      </c>
      <c r="CZ221" s="55">
        <f t="shared" si="227"/>
        <v>79211.465781650972</v>
      </c>
      <c r="DA221" s="254">
        <f>'[1]побудинковий звіт'!DA221</f>
        <v>33833.825876169663</v>
      </c>
      <c r="DB221" s="2">
        <v>1</v>
      </c>
      <c r="DC221" s="702">
        <f>'[1]побудинковий звіт'!DC221</f>
        <v>112676.54</v>
      </c>
      <c r="DD221" s="702">
        <f>'[1]побудинковий звіт'!DD221</f>
        <v>0</v>
      </c>
      <c r="DE221" s="702">
        <f>'[1]побудинковий звіт'!DE221</f>
        <v>53919.729999999996</v>
      </c>
      <c r="DF221" s="702">
        <f>'[1]побудинковий звіт'!DF221</f>
        <v>0</v>
      </c>
      <c r="DG221" s="772">
        <v>-20591.862562330905</v>
      </c>
      <c r="DH221" s="746">
        <f t="shared" si="239"/>
        <v>6419676.7536822464</v>
      </c>
      <c r="DI221" s="769"/>
      <c r="DJ221" s="5"/>
      <c r="DK221" s="307">
        <f>VLOOKUP($A221,ціни!$A$4:$G$401,5)</f>
        <v>5.7183398893793296</v>
      </c>
      <c r="DL221" s="307">
        <f>VLOOKUP($A221,ціни!$A$4:$G$401,6)</f>
        <v>6.9982593610983361</v>
      </c>
      <c r="DM221" s="307">
        <f>VLOOKUP($A221,ціни!$A$4:$G$401,7)</f>
        <v>4.8271945726534469</v>
      </c>
      <c r="DN221" s="29">
        <f>DK221*G221+(F221-G221)*DL221</f>
        <v>41881.710438493865</v>
      </c>
      <c r="DO221" s="29">
        <f>DM221*H221</f>
        <v>0</v>
      </c>
      <c r="DP221" s="306">
        <f t="shared" si="240"/>
        <v>41881.710438493865</v>
      </c>
      <c r="DQ221" s="101"/>
      <c r="DR221" s="29">
        <f>VLOOKUP(A221,'ДЗ нас '!$A$1:$C$359,2)</f>
        <v>41881.949999999997</v>
      </c>
      <c r="DS221" s="733"/>
      <c r="DT221" s="29">
        <f t="shared" si="241"/>
        <v>41881.949999999997</v>
      </c>
      <c r="DU221" s="247">
        <f>VLOOKUP(A221,'новий кошторис с 01.06'!$A$4:$AI$399,35)*1.2</f>
        <v>42116.250773033164</v>
      </c>
      <c r="DV221" s="29">
        <f t="shared" si="242"/>
        <v>-234.30077303316648</v>
      </c>
      <c r="DW221" s="1016">
        <f>'[2]побудинковий звіт'!$DW$9+'[1]побудинковий звіт'!DW221</f>
        <v>1242</v>
      </c>
      <c r="DX221" s="101">
        <f>'[1]побудинковий звіт'!DX221</f>
        <v>0</v>
      </c>
      <c r="DY221" s="5">
        <f t="shared" si="243"/>
        <v>150721.11762188794</v>
      </c>
      <c r="DZ221" s="5">
        <f t="shared" si="244"/>
        <v>35010.705749147113</v>
      </c>
      <c r="EA221" s="737">
        <f t="shared" si="245"/>
        <v>53919.729999999996</v>
      </c>
      <c r="EC221" s="577">
        <f t="shared" si="246"/>
        <v>1453161.9440009748</v>
      </c>
      <c r="EE221" s="743">
        <v>6594</v>
      </c>
      <c r="EF221" s="723">
        <f t="shared" si="247"/>
        <v>-13997.862562330905</v>
      </c>
      <c r="EH221" s="798">
        <v>177539.28525593318</v>
      </c>
      <c r="EI221" s="101">
        <f>VLOOKUP(A221,'кошти 01.01.24'!$A$9:$D$352,4,FALSE)</f>
        <v>113045.29165782072</v>
      </c>
    </row>
    <row r="222" spans="1:139" hidden="1" x14ac:dyDescent="0.3">
      <c r="A222" s="318">
        <v>150000957</v>
      </c>
      <c r="B222" s="43" t="s">
        <v>655</v>
      </c>
      <c r="C222" s="44" t="s">
        <v>377</v>
      </c>
      <c r="D222" s="44" t="s">
        <v>377</v>
      </c>
      <c r="E222" s="39">
        <f t="shared" si="185"/>
        <v>2163.62</v>
      </c>
      <c r="F222" s="205">
        <f>'[1]побудинковий звіт'!F222</f>
        <v>2163.62</v>
      </c>
      <c r="G222" s="29">
        <f>'[1]побудинковий звіт'!G222</f>
        <v>234.2</v>
      </c>
      <c r="H222" s="148">
        <f>'[1]побудинковий звіт'!H222</f>
        <v>0</v>
      </c>
      <c r="I222" s="41">
        <f>'[2]побудинковий звіт'!I222+'[1]побудинковий звіт'!I222</f>
        <v>8254.8149085283258</v>
      </c>
      <c r="J222" s="41">
        <f>'[2]побудинковий звіт'!J222+'[1]побудинковий звіт'!J222</f>
        <v>6481.1145799441456</v>
      </c>
      <c r="K222" s="55">
        <f t="shared" si="186"/>
        <v>-1773.7003285841802</v>
      </c>
      <c r="L222" s="41">
        <f>'[2]побудинковий звіт'!L222+'[1]побудинковий звіт'!L222</f>
        <v>1244.9435062422149</v>
      </c>
      <c r="M222" s="41">
        <f>'[2]побудинковий звіт'!M222+'[1]побудинковий звіт'!M222</f>
        <v>1114.6538804525874</v>
      </c>
      <c r="N222" s="55">
        <f t="shared" si="187"/>
        <v>-130.28962578962751</v>
      </c>
      <c r="O222" s="41">
        <f>'[2]побудинковий звіт'!O222+'[1]побудинковий звіт'!O222</f>
        <v>3337.6787487175029</v>
      </c>
      <c r="P222" s="41">
        <f>'[2]побудинковий звіт'!P222+'[1]побудинковий звіт'!P222</f>
        <v>3347.0427179482494</v>
      </c>
      <c r="Q222" s="55">
        <f t="shared" si="188"/>
        <v>9.3639692307465339</v>
      </c>
      <c r="R222" s="41">
        <f>'[2]побудинковий звіт'!R222+'[1]побудинковий звіт'!R222</f>
        <v>775.96085638787895</v>
      </c>
      <c r="S222" s="41">
        <f>'[2]побудинковий звіт'!S222+'[1]побудинковий звіт'!S222</f>
        <v>777.90423479425851</v>
      </c>
      <c r="T222" s="55">
        <f t="shared" si="189"/>
        <v>1.9433784063795656</v>
      </c>
      <c r="U222" s="41">
        <f>'[2]побудинковий звіт'!U222+'[1]побудинковий звіт'!U222</f>
        <v>387.64586387093766</v>
      </c>
      <c r="V222" s="41">
        <f>'[2]побудинковий звіт'!V222+'[1]побудинковий звіт'!V222</f>
        <v>201.26530089392054</v>
      </c>
      <c r="W222" s="55">
        <f t="shared" si="190"/>
        <v>-186.38056297701712</v>
      </c>
      <c r="X222" s="41">
        <f>'[2]побудинковий звіт'!X222+'[1]побудинковий звіт'!X222</f>
        <v>2363.245144247539</v>
      </c>
      <c r="Y222" s="41">
        <f>'[2]побудинковий звіт'!Y222+'[1]побудинковий звіт'!Y222</f>
        <v>1730.8726639136282</v>
      </c>
      <c r="Z222" s="55">
        <f t="shared" si="191"/>
        <v>-632.37248033391074</v>
      </c>
      <c r="AA222" s="41">
        <f>'[2]побудинковий звіт'!AA222+'[1]побудинковий звіт'!AA222</f>
        <v>0</v>
      </c>
      <c r="AB222" s="41">
        <f>'[2]побудинковий звіт'!AB222+'[1]побудинковий звіт'!AB222</f>
        <v>0</v>
      </c>
      <c r="AC222" s="55">
        <f t="shared" si="192"/>
        <v>0</v>
      </c>
      <c r="AD222" s="41">
        <f>'[2]побудинковий звіт'!AD222+'[1]побудинковий звіт'!AD222</f>
        <v>9385.0151092453325</v>
      </c>
      <c r="AE222" s="41">
        <f>'[2]побудинковий звіт'!AE222+'[1]побудинковий звіт'!AE222</f>
        <v>9348.4869162009491</v>
      </c>
      <c r="AF222" s="36">
        <f t="shared" si="193"/>
        <v>-36.528193044383443</v>
      </c>
      <c r="AG222" s="84">
        <f t="shared" si="194"/>
        <v>25749.304137239731</v>
      </c>
      <c r="AH222" s="56">
        <f t="shared" si="195"/>
        <v>23001.34029414774</v>
      </c>
      <c r="AI222" s="55">
        <f t="shared" si="196"/>
        <v>-2747.9638430919913</v>
      </c>
      <c r="AJ222" s="41">
        <f>'[2]побудинковий звіт'!AJ222+'[1]побудинковий звіт'!AJ222</f>
        <v>18550.310122695646</v>
      </c>
      <c r="AK222" s="41">
        <f>'[2]побудинковий звіт'!AK222+'[1]побудинковий звіт'!AK222</f>
        <v>17241.226750496211</v>
      </c>
      <c r="AL222" s="55">
        <f t="shared" si="197"/>
        <v>-1309.083372199435</v>
      </c>
      <c r="AM222" s="41">
        <f>'[2]побудинковий звіт'!AM222+'[1]побудинковий звіт'!AM222</f>
        <v>1631.4337397761233</v>
      </c>
      <c r="AN222" s="41">
        <f>'[2]побудинковий звіт'!AN222+'[1]побудинковий звіт'!AN222</f>
        <v>1578.4179747841836</v>
      </c>
      <c r="AO222" s="55">
        <f t="shared" si="198"/>
        <v>-53.015764991939704</v>
      </c>
      <c r="AP222" s="41">
        <f>'[2]побудинковий звіт'!AP222+'[1]побудинковий звіт'!AP222</f>
        <v>1783.0762972293671</v>
      </c>
      <c r="AQ222" s="41">
        <f>'[2]побудинковий звіт'!AQ222+'[1]побудинковий звіт'!AQ222</f>
        <v>1931.1034573378577</v>
      </c>
      <c r="AR222" s="55">
        <f t="shared" si="199"/>
        <v>148.02716010849053</v>
      </c>
      <c r="AS222" s="41">
        <f>'[2]побудинковий звіт'!AS222+'[1]побудинковий звіт'!AS222</f>
        <v>33213.178634788397</v>
      </c>
      <c r="AT222" s="41">
        <f>'[2]побудинковий звіт'!AT222+'[1]побудинковий звіт'!AT222</f>
        <v>46085.681848262902</v>
      </c>
      <c r="AU222" s="57">
        <f t="shared" si="200"/>
        <v>12872.503213474505</v>
      </c>
      <c r="AV222" s="41">
        <f>'[2]побудинковий звіт'!AV222+'[1]побудинковий звіт'!AV222</f>
        <v>682.94437841826789</v>
      </c>
      <c r="AW222" s="41">
        <f>'[2]побудинковий звіт'!AW222+'[1]побудинковий звіт'!AW222</f>
        <v>786.88028318186889</v>
      </c>
      <c r="AX222" s="58">
        <f t="shared" si="201"/>
        <v>103.935904763601</v>
      </c>
      <c r="AY222" s="41">
        <f>'[2]побудинковий звіт'!AY222+'[1]побудинковий звіт'!AY222</f>
        <v>801.86863936166219</v>
      </c>
      <c r="AZ222" s="41">
        <f>'[2]побудинковий звіт'!AZ222+'[1]побудинковий звіт'!AZ222</f>
        <v>0</v>
      </c>
      <c r="BA222" s="36">
        <f t="shared" si="202"/>
        <v>-801.86863936166219</v>
      </c>
      <c r="BB222" s="41">
        <f>'[2]побудинковий звіт'!BB222+'[1]побудинковий звіт'!BB222</f>
        <v>626.43995033952365</v>
      </c>
      <c r="BC222" s="41">
        <f>'[2]побудинковий звіт'!BC222+'[1]побудинковий звіт'!BC222</f>
        <v>0</v>
      </c>
      <c r="BD222" s="58">
        <f t="shared" si="203"/>
        <v>-626.43995033952365</v>
      </c>
      <c r="BE222" s="41">
        <f>'[2]побудинковий звіт'!BE222+'[1]побудинковий звіт'!BE222</f>
        <v>388.824706261632</v>
      </c>
      <c r="BF222" s="41">
        <f>'[2]побудинковий звіт'!BF222+'[1]побудинковий звіт'!BF222</f>
        <v>622.83093257350083</v>
      </c>
      <c r="BG222" s="38">
        <f t="shared" si="204"/>
        <v>234.00622631186883</v>
      </c>
      <c r="BH222" s="41">
        <f>'[2]побудинковий звіт'!BH222+'[1]побудинковий звіт'!BH222</f>
        <v>201.47193036229532</v>
      </c>
      <c r="BI222" s="41">
        <f>'[2]побудинковий звіт'!BI222+'[1]побудинковий звіт'!BI222</f>
        <v>0</v>
      </c>
      <c r="BJ222" s="58">
        <f t="shared" si="205"/>
        <v>-201.47193036229532</v>
      </c>
      <c r="BK222" s="41">
        <f>'[2]побудинковий звіт'!BK222+'[1]побудинковий звіт'!BK222</f>
        <v>302.00496794103822</v>
      </c>
      <c r="BL222" s="41">
        <f>'[2]побудинковий звіт'!BL222+'[1]побудинковий звіт'!BL222</f>
        <v>5813.9038309150274</v>
      </c>
      <c r="BM222" s="38">
        <f t="shared" si="206"/>
        <v>5511.8988629739888</v>
      </c>
      <c r="BN222" s="41">
        <f>'[2]побудинковий звіт'!BN222+'[1]побудинковий звіт'!BN222</f>
        <v>226.28083168341567</v>
      </c>
      <c r="BO222" s="41">
        <f>'[2]побудинковий звіт'!BO222+'[1]побудинковий звіт'!BO222</f>
        <v>1878.8737064906281</v>
      </c>
      <c r="BP222" s="58">
        <f t="shared" si="207"/>
        <v>1652.5928748072124</v>
      </c>
      <c r="BQ222" s="84">
        <f t="shared" si="208"/>
        <v>3229.8354043678346</v>
      </c>
      <c r="BR222" s="42">
        <f t="shared" si="209"/>
        <v>9102.4887531610257</v>
      </c>
      <c r="BS222" s="58">
        <f t="shared" si="210"/>
        <v>5872.6533487931911</v>
      </c>
      <c r="BT222" s="41">
        <f>'[2]побудинковий звіт'!BT222+'[1]побудинковий звіт'!BT222</f>
        <v>33516.877402853359</v>
      </c>
      <c r="BU222" s="41">
        <f>'[2]побудинковий звіт'!BU222+'[1]побудинковий звіт'!BU222</f>
        <v>32784.993237582959</v>
      </c>
      <c r="BV222" s="55">
        <f t="shared" si="211"/>
        <v>-731.88416527039954</v>
      </c>
      <c r="BW222" s="41">
        <f>'[2]побудинковий звіт'!BW222+'[1]побудинковий звіт'!BW222</f>
        <v>18608.079468863089</v>
      </c>
      <c r="BX222" s="41">
        <f>'[2]побудинковий звіт'!BX222+'[1]побудинковий звіт'!BX222</f>
        <v>16355.679241056645</v>
      </c>
      <c r="BY222" s="55">
        <f t="shared" si="212"/>
        <v>-2252.4002278064436</v>
      </c>
      <c r="BZ222" s="41">
        <f>'[2]побудинковий звіт'!BZ222+'[1]побудинковий звіт'!BZ222</f>
        <v>7734.8580489125288</v>
      </c>
      <c r="CA222" s="41">
        <f>'[2]побудинковий звіт'!CA222+'[1]побудинковий звіт'!CA222</f>
        <v>1232.4047848108414</v>
      </c>
      <c r="CB222" s="55">
        <f t="shared" si="213"/>
        <v>-6502.4532641016876</v>
      </c>
      <c r="CC222" s="41">
        <f>'[2]побудинковий звіт'!CC222+'[1]побудинковий звіт'!CC222</f>
        <v>810.72091804498712</v>
      </c>
      <c r="CD222" s="41">
        <f>'[2]побудинковий звіт'!CD222+'[1]побудинковий звіт'!CD222</f>
        <v>813.46998224729134</v>
      </c>
      <c r="CE222" s="55">
        <f t="shared" si="214"/>
        <v>2.7490642023042255</v>
      </c>
      <c r="CF222" s="41">
        <f>'[2]побудинковий звіт'!CF222+'[1]побудинковий звіт'!CF222</f>
        <v>100.44401261395666</v>
      </c>
      <c r="CG222" s="41">
        <f>'[2]побудинковий звіт'!CG222+'[1]побудинковий звіт'!CG222</f>
        <v>1181.8002794287729</v>
      </c>
      <c r="CH222" s="55">
        <f t="shared" si="215"/>
        <v>1081.3562668148163</v>
      </c>
      <c r="CI222" s="41">
        <f>'[2]побудинковий звіт'!CI222+'[1]побудинковий звіт'!CI222</f>
        <v>5292.2444391599411</v>
      </c>
      <c r="CJ222" s="41">
        <f>'[2]побудинковий звіт'!CJ222+'[1]побудинковий звіт'!CJ222</f>
        <v>3869.235325204801</v>
      </c>
      <c r="CK222" s="55">
        <f t="shared" si="216"/>
        <v>-1423.00911395514</v>
      </c>
      <c r="CL222" s="41">
        <f>'[2]побудинковий звіт'!CL222+'[1]побудинковий звіт'!CL222</f>
        <v>4660.2821217290939</v>
      </c>
      <c r="CM222" s="41">
        <f>'[2]побудинковий звіт'!CM222+'[1]побудинковий звіт'!CM222</f>
        <v>7263.631876542152</v>
      </c>
      <c r="CN222" s="55">
        <f t="shared" si="217"/>
        <v>2603.3497548130581</v>
      </c>
      <c r="CO222" s="41">
        <f t="shared" si="218"/>
        <v>9952.526560889035</v>
      </c>
      <c r="CP222" s="42">
        <f t="shared" si="219"/>
        <v>11132.867201746953</v>
      </c>
      <c r="CQ222" s="55">
        <f t="shared" si="220"/>
        <v>1180.3406408579176</v>
      </c>
      <c r="CR222" s="76">
        <f t="shared" si="221"/>
        <v>154880.64474827406</v>
      </c>
      <c r="CS222" s="5">
        <f t="shared" si="222"/>
        <v>162441.4738050634</v>
      </c>
      <c r="CT222" s="55">
        <f t="shared" si="223"/>
        <v>7560.8290567893418</v>
      </c>
      <c r="CU222" s="84">
        <f t="shared" si="224"/>
        <v>185856.77369792887</v>
      </c>
      <c r="CV222" s="68">
        <f t="shared" si="225"/>
        <v>194929.76856607609</v>
      </c>
      <c r="CW222" s="36">
        <f t="shared" si="226"/>
        <v>9072.994868147216</v>
      </c>
      <c r="CX222" s="41">
        <f>'[2]побудинковий звіт'!CX222+'[1]побудинковий звіт'!CX222</f>
        <v>4098.22872450262</v>
      </c>
      <c r="CY222" s="41">
        <f>'[2]побудинковий звіт'!CY222+'[1]побудинковий звіт'!CY222</f>
        <v>-4974.7661436446087</v>
      </c>
      <c r="CZ222" s="55">
        <f t="shared" si="227"/>
        <v>-9072.9948681472288</v>
      </c>
      <c r="DA222" s="254">
        <f>'[1]побудинковий звіт'!DA222</f>
        <v>-40618.783310680519</v>
      </c>
      <c r="DB222" s="2">
        <v>1</v>
      </c>
      <c r="DC222" s="702">
        <f>'[1]побудинковий звіт'!DC222</f>
        <v>64754.59</v>
      </c>
      <c r="DD222" s="702">
        <f>'[1]побудинковий звіт'!DD222</f>
        <v>0</v>
      </c>
      <c r="DE222" s="702">
        <f>'[1]побудинковий звіт'!DE222</f>
        <v>43885.189999999995</v>
      </c>
      <c r="DF222" s="702">
        <f>'[1]побудинковий звіт'!DF222</f>
        <v>0</v>
      </c>
      <c r="DG222" s="772">
        <v>-32856.027051710931</v>
      </c>
      <c r="DH222" s="746">
        <f t="shared" si="239"/>
        <v>2279460.0290691778</v>
      </c>
      <c r="DI222" s="769"/>
      <c r="DJ222" s="5"/>
      <c r="DK222" s="307">
        <f>VLOOKUP($A222,ціни!$A$4:$G$401,5)</f>
        <v>5.809827008005727</v>
      </c>
      <c r="DL222" s="307">
        <f>VLOOKUP($A222,ціни!$A$4:$G$401,6)</f>
        <v>7.0076229544282311</v>
      </c>
      <c r="DM222" s="307">
        <f>VLOOKUP($A222,ціни!$A$4:$G$401,7)</f>
        <v>4.9476341243264237</v>
      </c>
      <c r="DN222" s="29">
        <f>DK222*G222+(F222-G222)*DL222</f>
        <v>14881.309366007858</v>
      </c>
      <c r="DO222" s="29">
        <f>DM222*H222</f>
        <v>0</v>
      </c>
      <c r="DP222" s="306">
        <f t="shared" si="240"/>
        <v>14881.309366007858</v>
      </c>
      <c r="DQ222" s="101"/>
      <c r="DR222" s="29">
        <f>VLOOKUP(A222,'ДЗ нас '!$A$1:$C$359,2)</f>
        <v>14881.59</v>
      </c>
      <c r="DS222" s="733"/>
      <c r="DT222" s="29">
        <f t="shared" si="241"/>
        <v>14881.59</v>
      </c>
      <c r="DU222" s="247">
        <f>VLOOKUP(A222,'новий кошторис с 01.06'!$A$4:$AI$399,35)*1.2</f>
        <v>14926.699198649776</v>
      </c>
      <c r="DV222" s="29">
        <f t="shared" si="242"/>
        <v>-45.109198649775863</v>
      </c>
      <c r="DW222" s="1016">
        <f>'[2]побудинковий звіт'!$DW$9+'[1]побудинковий звіт'!DW222</f>
        <v>909</v>
      </c>
      <c r="DX222" s="101">
        <f>'[1]побудинковий звіт'!DX222</f>
        <v>0</v>
      </c>
      <c r="DY222" s="5">
        <f t="shared" si="243"/>
        <v>43731.616846987476</v>
      </c>
      <c r="DZ222" s="5">
        <f t="shared" si="244"/>
        <v>66225.804721708715</v>
      </c>
      <c r="EA222" s="737">
        <f t="shared" si="245"/>
        <v>43885.189999999995</v>
      </c>
      <c r="EC222" s="577">
        <f t="shared" si="246"/>
        <v>398558.14361746074</v>
      </c>
      <c r="EE222" s="743">
        <v>14242</v>
      </c>
      <c r="EF222" s="723">
        <f t="shared" si="247"/>
        <v>-18614.027051710931</v>
      </c>
      <c r="EH222" s="798">
        <v>-53205.061976962708</v>
      </c>
      <c r="EI222" s="101">
        <f>VLOOKUP(A222,'кошти 01.01.24'!$A$9:$D$352,4,FALSE)</f>
        <v>-49691.778178827721</v>
      </c>
    </row>
    <row r="223" spans="1:139" hidden="1" x14ac:dyDescent="0.3">
      <c r="A223" s="318">
        <v>150000960</v>
      </c>
      <c r="B223" s="43" t="s">
        <v>656</v>
      </c>
      <c r="C223" s="44" t="s">
        <v>378</v>
      </c>
      <c r="D223" s="44" t="s">
        <v>378</v>
      </c>
      <c r="E223" s="39">
        <f t="shared" si="185"/>
        <v>4312.1400000000003</v>
      </c>
      <c r="F223" s="205">
        <f>'[1]побудинковий звіт'!F223</f>
        <v>4312.1400000000003</v>
      </c>
      <c r="G223" s="29">
        <f>'[1]побудинковий звіт'!G223</f>
        <v>457.6</v>
      </c>
      <c r="H223" s="148">
        <f>'[1]побудинковий звіт'!H223</f>
        <v>0</v>
      </c>
      <c r="I223" s="41">
        <f>'[2]побудинковий звіт'!I223+'[1]побудинковий звіт'!I223</f>
        <v>16088.021396358414</v>
      </c>
      <c r="J223" s="41">
        <f>'[2]побудинковий звіт'!J223+'[1]побудинковий звіт'!J223</f>
        <v>12592.387998407637</v>
      </c>
      <c r="K223" s="55">
        <f t="shared" si="186"/>
        <v>-3495.6333979507763</v>
      </c>
      <c r="L223" s="41">
        <f>'[2]побудинковий звіт'!L223+'[1]побудинковий звіт'!L223</f>
        <v>2489.8870124844298</v>
      </c>
      <c r="M223" s="41">
        <f>'[2]побудинковий звіт'!M223+'[1]побудинковий звіт'!M223</f>
        <v>2156.6330849922033</v>
      </c>
      <c r="N223" s="55">
        <f t="shared" si="187"/>
        <v>-333.25392749222647</v>
      </c>
      <c r="O223" s="41">
        <f>'[2]побудинковий звіт'!O223+'[1]побудинковий звіт'!O223</f>
        <v>6787.6369453845527</v>
      </c>
      <c r="P223" s="41">
        <f>'[2]побудинковий звіт'!P223+'[1]побудинковий звіт'!P223</f>
        <v>6806.9632758433881</v>
      </c>
      <c r="Q223" s="55">
        <f t="shared" si="188"/>
        <v>19.3263304588354</v>
      </c>
      <c r="R223" s="41">
        <f>'[2]побудинковий звіт'!R223+'[1]побудинковий звіт'!R223</f>
        <v>1490.1576533854713</v>
      </c>
      <c r="S223" s="41">
        <f>'[2]побудинковий звіт'!S223+'[1]побудинковий звіт'!S223</f>
        <v>1494.2875298794431</v>
      </c>
      <c r="T223" s="55">
        <f t="shared" si="189"/>
        <v>4.1298764939717785</v>
      </c>
      <c r="U223" s="41">
        <f>'[2]побудинковий звіт'!U223+'[1]побудинковий звіт'!U223</f>
        <v>775.04659685193064</v>
      </c>
      <c r="V223" s="41">
        <f>'[2]побудинковий звіт'!V223+'[1]побудинковий звіт'!V223</f>
        <v>402.34994796601779</v>
      </c>
      <c r="W223" s="55">
        <f t="shared" si="190"/>
        <v>-372.69664888591285</v>
      </c>
      <c r="X223" s="41">
        <f>'[2]побудинковий звіт'!X223+'[1]побудинковий звіт'!X223</f>
        <v>7010.0125630764796</v>
      </c>
      <c r="Y223" s="41">
        <f>'[2]побудинковий звіт'!Y223+'[1]побудинковий звіт'!Y223</f>
        <v>4474.5561333181422</v>
      </c>
      <c r="Z223" s="55">
        <f t="shared" si="191"/>
        <v>-2535.4564297583374</v>
      </c>
      <c r="AA223" s="41">
        <f>'[2]побудинковий звіт'!AA223+'[1]побудинковий звіт'!AA223</f>
        <v>0</v>
      </c>
      <c r="AB223" s="41">
        <f>'[2]побудинковий звіт'!AB223+'[1]побудинковий звіт'!AB223</f>
        <v>0</v>
      </c>
      <c r="AC223" s="55">
        <f t="shared" si="192"/>
        <v>0</v>
      </c>
      <c r="AD223" s="41">
        <f>'[2]побудинковий звіт'!AD223+'[1]побудинковий звіт'!AD223</f>
        <v>18709.791089130005</v>
      </c>
      <c r="AE223" s="41">
        <f>'[2]побудинковий звіт'!AE223+'[1]побудинковий звіт'!AE223</f>
        <v>18636.76946526119</v>
      </c>
      <c r="AF223" s="36">
        <f t="shared" si="193"/>
        <v>-73.021623868815368</v>
      </c>
      <c r="AG223" s="84">
        <f t="shared" si="194"/>
        <v>53350.553256671286</v>
      </c>
      <c r="AH223" s="56">
        <f t="shared" si="195"/>
        <v>46563.947435668022</v>
      </c>
      <c r="AI223" s="55">
        <f t="shared" si="196"/>
        <v>-6786.6058210032643</v>
      </c>
      <c r="AJ223" s="41">
        <f>'[2]побудинковий звіт'!AJ223+'[1]побудинковий звіт'!AJ223</f>
        <v>39079.762335537846</v>
      </c>
      <c r="AK223" s="41">
        <f>'[2]побудинковий звіт'!AK223+'[1]побудинковий звіт'!AK223</f>
        <v>36833.55397424379</v>
      </c>
      <c r="AL223" s="55">
        <f t="shared" si="197"/>
        <v>-2246.2083612940551</v>
      </c>
      <c r="AM223" s="41">
        <f>'[2]побудинковий звіт'!AM223+'[1]побудинковий звіт'!AM223</f>
        <v>3262.8674795522466</v>
      </c>
      <c r="AN223" s="41">
        <f>'[2]побудинковий звіт'!AN223+'[1]побудинковий звіт'!AN223</f>
        <v>2894.5328368215783</v>
      </c>
      <c r="AO223" s="55">
        <f t="shared" si="198"/>
        <v>-368.33464273066829</v>
      </c>
      <c r="AP223" s="41">
        <f>'[2]побудинковий звіт'!AP223+'[1]побудинковий звіт'!AP223</f>
        <v>3566.1525944587343</v>
      </c>
      <c r="AQ223" s="41">
        <f>'[2]побудинковий звіт'!AQ223+'[1]побудинковий звіт'!AQ223</f>
        <v>3718.879321672322</v>
      </c>
      <c r="AR223" s="55">
        <f t="shared" si="199"/>
        <v>152.72672721358776</v>
      </c>
      <c r="AS223" s="41">
        <f>'[2]побудинковий звіт'!AS223+'[1]побудинковий звіт'!AS223</f>
        <v>62937.30096715784</v>
      </c>
      <c r="AT223" s="41">
        <f>'[2]побудинковий звіт'!AT223+'[1]побудинковий звіт'!AT223</f>
        <v>9922.7730881758052</v>
      </c>
      <c r="AU223" s="57">
        <f t="shared" si="200"/>
        <v>-53014.527878982037</v>
      </c>
      <c r="AV223" s="41">
        <f>'[2]побудинковий звіт'!AV223+'[1]побудинковий звіт'!AV223</f>
        <v>1453.1115650403024</v>
      </c>
      <c r="AW223" s="41">
        <f>'[2]побудинковий звіт'!AW223+'[1]побудинковий звіт'!AW223</f>
        <v>3495.0311479236639</v>
      </c>
      <c r="AX223" s="58">
        <f t="shared" si="201"/>
        <v>2041.9195828833615</v>
      </c>
      <c r="AY223" s="41">
        <f>'[2]побудинковий звіт'!AY223+'[1]побудинковий звіт'!AY223</f>
        <v>1335.2470144230526</v>
      </c>
      <c r="AZ223" s="41">
        <f>'[2]побудинковий звіт'!AZ223+'[1]побудинковий звіт'!AZ223</f>
        <v>0</v>
      </c>
      <c r="BA223" s="36">
        <f t="shared" si="202"/>
        <v>-1335.2470144230526</v>
      </c>
      <c r="BB223" s="41">
        <f>'[2]побудинковий звіт'!BB223+'[1]побудинковий звіт'!BB223</f>
        <v>1074.3920042335471</v>
      </c>
      <c r="BC223" s="41">
        <f>'[2]побудинковий звіт'!BC223+'[1]побудинковий звіт'!BC223</f>
        <v>0</v>
      </c>
      <c r="BD223" s="58">
        <f t="shared" si="203"/>
        <v>-1074.3920042335471</v>
      </c>
      <c r="BE223" s="41">
        <f>'[2]побудинковий звіт'!BE223+'[1]побудинковий звіт'!BE223</f>
        <v>553.8546008730533</v>
      </c>
      <c r="BF223" s="41">
        <f>'[2]побудинковий звіт'!BF223+'[1]побудинковий звіт'!BF223</f>
        <v>0</v>
      </c>
      <c r="BG223" s="38">
        <f t="shared" si="204"/>
        <v>-553.8546008730533</v>
      </c>
      <c r="BH223" s="41">
        <f>'[2]побудинковий звіт'!BH223+'[1]побудинковий звіт'!BH223</f>
        <v>336.32301305605415</v>
      </c>
      <c r="BI223" s="41">
        <f>'[2]побудинковий звіт'!BI223+'[1]побудинковий звіт'!BI223</f>
        <v>0</v>
      </c>
      <c r="BJ223" s="58">
        <f t="shared" si="205"/>
        <v>-336.32301305605415</v>
      </c>
      <c r="BK223" s="41">
        <f>'[2]побудинковий звіт'!BK223+'[1]побудинковий звіт'!BK223</f>
        <v>968.68469937748876</v>
      </c>
      <c r="BL223" s="41">
        <f>'[2]побудинковий звіт'!BL223+'[1]побудинковий звіт'!BL223</f>
        <v>8789.139412248147</v>
      </c>
      <c r="BM223" s="38">
        <f t="shared" si="206"/>
        <v>7820.4547128706581</v>
      </c>
      <c r="BN223" s="41">
        <f>'[2]побудинковий звіт'!BN223+'[1]побудинковий звіт'!BN223</f>
        <v>480.21518242858343</v>
      </c>
      <c r="BO223" s="41">
        <f>'[2]побудинковий звіт'!BO223+'[1]побудинковий звіт'!BO223</f>
        <v>6336.8411542312633</v>
      </c>
      <c r="BP223" s="58">
        <f t="shared" si="207"/>
        <v>5856.6259718026795</v>
      </c>
      <c r="BQ223" s="84">
        <f t="shared" si="208"/>
        <v>6201.8280794320826</v>
      </c>
      <c r="BR223" s="42">
        <f t="shared" si="209"/>
        <v>18621.011714403074</v>
      </c>
      <c r="BS223" s="58">
        <f t="shared" si="210"/>
        <v>12419.183634970992</v>
      </c>
      <c r="BT223" s="41">
        <f>'[2]побудинковий звіт'!BT223+'[1]побудинковий звіт'!BT223</f>
        <v>62874.448704312716</v>
      </c>
      <c r="BU223" s="41">
        <f>'[2]побудинковий звіт'!BU223+'[1]побудинковий звіт'!BU223</f>
        <v>86061.377953914955</v>
      </c>
      <c r="BV223" s="55">
        <f t="shared" si="211"/>
        <v>23186.929249602239</v>
      </c>
      <c r="BW223" s="41">
        <f>'[2]побудинковий звіт'!BW223+'[1]побудинковий звіт'!BW223</f>
        <v>38576.15030935299</v>
      </c>
      <c r="BX223" s="41">
        <f>'[2]побудинковий звіт'!BX223+'[1]побудинковий звіт'!BX223</f>
        <v>47017.240553784337</v>
      </c>
      <c r="BY223" s="55">
        <f t="shared" si="212"/>
        <v>8441.0902444313469</v>
      </c>
      <c r="BZ223" s="41">
        <f>'[2]побудинковий звіт'!BZ223+'[1]побудинковий звіт'!BZ223</f>
        <v>14548.045805095004</v>
      </c>
      <c r="CA223" s="41">
        <f>'[2]побудинковий звіт'!CA223+'[1]побудинковий звіт'!CA223</f>
        <v>8799.661660417245</v>
      </c>
      <c r="CB223" s="55">
        <f t="shared" si="213"/>
        <v>-5748.3841446777587</v>
      </c>
      <c r="CC223" s="41">
        <f>'[2]побудинковий звіт'!CC223+'[1]побудинковий звіт'!CC223</f>
        <v>1511.5135760160774</v>
      </c>
      <c r="CD223" s="41">
        <f>'[2]побудинковий звіт'!CD223+'[1]побудинковий звіт'!CD223</f>
        <v>1516.6389499525767</v>
      </c>
      <c r="CE223" s="55">
        <f t="shared" si="214"/>
        <v>5.1253739364992725</v>
      </c>
      <c r="CF223" s="41">
        <f>'[2]побудинковий звіт'!CF223+'[1]побудинковий звіт'!CF223</f>
        <v>187.26849809381747</v>
      </c>
      <c r="CG223" s="41">
        <f>'[2]побудинковий звіт'!CG223+'[1]побудинковий звіт'!CG223</f>
        <v>3212.0124311948584</v>
      </c>
      <c r="CH223" s="55">
        <f t="shared" si="215"/>
        <v>3024.743933101041</v>
      </c>
      <c r="CI223" s="41">
        <f>'[2]побудинковий звіт'!CI223+'[1]побудинковий звіт'!CI223</f>
        <v>10537.227127247472</v>
      </c>
      <c r="CJ223" s="41">
        <f>'[2]побудинковий звіт'!CJ223+'[1]побудинковий звіт'!CJ223</f>
        <v>7718.3710247153522</v>
      </c>
      <c r="CK223" s="55">
        <f t="shared" si="216"/>
        <v>-2818.8561025321196</v>
      </c>
      <c r="CL223" s="41">
        <f>'[2]побудинковий звіт'!CL223+'[1]побудинковий звіт'!CL223</f>
        <v>9279.5234322662563</v>
      </c>
      <c r="CM223" s="41">
        <f>'[2]побудинковий звіт'!CM223+'[1]побудинковий звіт'!CM223</f>
        <v>14481.886810350508</v>
      </c>
      <c r="CN223" s="55">
        <f t="shared" si="217"/>
        <v>5202.363378084252</v>
      </c>
      <c r="CO223" s="41">
        <f t="shared" si="218"/>
        <v>19816.750559513726</v>
      </c>
      <c r="CP223" s="42">
        <f t="shared" si="219"/>
        <v>22200.257835065859</v>
      </c>
      <c r="CQ223" s="55">
        <f t="shared" si="220"/>
        <v>2383.5072755521323</v>
      </c>
      <c r="CR223" s="76">
        <f t="shared" si="221"/>
        <v>305912.64216519432</v>
      </c>
      <c r="CS223" s="5">
        <f t="shared" si="222"/>
        <v>287361.88775531447</v>
      </c>
      <c r="CT223" s="55">
        <f t="shared" si="223"/>
        <v>-18550.754409879853</v>
      </c>
      <c r="CU223" s="84">
        <f t="shared" si="224"/>
        <v>367095.17059823318</v>
      </c>
      <c r="CV223" s="68">
        <f t="shared" si="225"/>
        <v>344834.26530637738</v>
      </c>
      <c r="CW223" s="36">
        <f t="shared" si="226"/>
        <v>-22260.905291855801</v>
      </c>
      <c r="CX223" s="41">
        <f>'[2]побудинковий звіт'!CX223+'[1]побудинковий звіт'!CX223</f>
        <v>7993.4786513781119</v>
      </c>
      <c r="CY223" s="41">
        <f>'[2]побудинковий звіт'!CY223+'[1]побудинковий звіт'!CY223</f>
        <v>30254.38394323397</v>
      </c>
      <c r="CZ223" s="55">
        <f t="shared" si="227"/>
        <v>22260.905291855859</v>
      </c>
      <c r="DA223" s="254">
        <f>'[1]побудинковий звіт'!DA223</f>
        <v>29756.067266608676</v>
      </c>
      <c r="DB223" s="2">
        <v>1</v>
      </c>
      <c r="DC223" s="702">
        <f>'[1]побудинковий звіт'!DC223</f>
        <v>73001.23</v>
      </c>
      <c r="DD223" s="702">
        <f>'[1]побудинковий звіт'!DD223</f>
        <v>0</v>
      </c>
      <c r="DE223" s="702">
        <f>'[1]побудинковий звіт'!DE223</f>
        <v>31679.21</v>
      </c>
      <c r="DF223" s="702">
        <f>'[1]побудинковий звіт'!DF223</f>
        <v>0</v>
      </c>
      <c r="DG223" s="772">
        <v>69343.314106303849</v>
      </c>
      <c r="DH223" s="746">
        <f t="shared" si="239"/>
        <v>4501063.7909953352</v>
      </c>
      <c r="DI223" s="769"/>
      <c r="DJ223" s="5"/>
      <c r="DK223" s="307">
        <f>VLOOKUP($A223,ціни!$A$4:$G$401,5)</f>
        <v>5.6836987719722512</v>
      </c>
      <c r="DL223" s="307">
        <f>VLOOKUP($A223,ціни!$A$4:$G$401,6)</f>
        <v>6.9432815822234044</v>
      </c>
      <c r="DM223" s="307">
        <f>VLOOKUP($A223,ціни!$A$4:$G$401,7)</f>
        <v>4.8203134468006077</v>
      </c>
      <c r="DN223" s="29">
        <f>DK223*G223+(F223-G223)*DL223</f>
        <v>29364.017147997904</v>
      </c>
      <c r="DO223" s="29">
        <f>DM223*H223</f>
        <v>0</v>
      </c>
      <c r="DP223" s="306">
        <f t="shared" si="240"/>
        <v>29364.017147997904</v>
      </c>
      <c r="DQ223" s="101"/>
      <c r="DR223" s="29">
        <f>VLOOKUP(A223,'ДЗ нас '!$A$1:$C$359,2)</f>
        <v>29364.06</v>
      </c>
      <c r="DS223" s="733"/>
      <c r="DT223" s="29">
        <f t="shared" si="241"/>
        <v>29364.06</v>
      </c>
      <c r="DU223" s="247">
        <f>VLOOKUP(A223,'новий кошторис с 01.06'!$A$4:$AI$399,35)*1.2</f>
        <v>29463.760021154852</v>
      </c>
      <c r="DV223" s="29">
        <f t="shared" si="242"/>
        <v>-99.700021154851129</v>
      </c>
      <c r="DW223" s="1016">
        <f>'[2]побудинковий звіт'!$DW$9+'[1]побудинковий звіт'!DW223</f>
        <v>918</v>
      </c>
      <c r="DX223" s="101">
        <f>'[1]побудинковий звіт'!DX223</f>
        <v>0</v>
      </c>
      <c r="DY223" s="5">
        <f t="shared" si="243"/>
        <v>82966.954855907898</v>
      </c>
      <c r="DZ223" s="5">
        <f t="shared" si="244"/>
        <v>34252.541763094654</v>
      </c>
      <c r="EA223" s="737">
        <f t="shared" si="245"/>
        <v>31679.21</v>
      </c>
      <c r="EC223" s="577">
        <f t="shared" si="246"/>
        <v>755247.61160589405</v>
      </c>
      <c r="EE223" s="743">
        <v>-32338</v>
      </c>
      <c r="EF223" s="723">
        <f t="shared" si="247"/>
        <v>37005.314106303849</v>
      </c>
      <c r="EH223" s="798">
        <v>37388.473133075837</v>
      </c>
      <c r="EI223" s="101">
        <f>VLOOKUP(A223,'кошти 01.01.24'!$A$9:$D$352,4,FALSE)</f>
        <v>52016.972558464462</v>
      </c>
    </row>
    <row r="224" spans="1:139" hidden="1" x14ac:dyDescent="0.3">
      <c r="A224" s="318">
        <v>150000963</v>
      </c>
      <c r="B224" s="43" t="s">
        <v>657</v>
      </c>
      <c r="C224" s="44" t="s">
        <v>379</v>
      </c>
      <c r="D224" s="44" t="s">
        <v>379</v>
      </c>
      <c r="E224" s="39">
        <f t="shared" si="185"/>
        <v>2140.64</v>
      </c>
      <c r="F224" s="205">
        <f>'[1]побудинковий звіт'!F224</f>
        <v>2140.64</v>
      </c>
      <c r="G224" s="29">
        <f>'[1]побудинковий звіт'!G224</f>
        <v>236.5</v>
      </c>
      <c r="H224" s="148">
        <f>'[1]побудинковий звіт'!H224</f>
        <v>0</v>
      </c>
      <c r="I224" s="41">
        <f>'[2]побудинковий звіт'!I224+'[1]побудинковий звіт'!I224</f>
        <v>8372.767130672999</v>
      </c>
      <c r="J224" s="41">
        <f>'[2]побудинковий звіт'!J224+'[1]побудинковий звіт'!J224</f>
        <v>6588.8340396228396</v>
      </c>
      <c r="K224" s="55">
        <f t="shared" si="186"/>
        <v>-1783.9330910501594</v>
      </c>
      <c r="L224" s="41">
        <f>'[2]побудинковий звіт'!L224+'[1]побудинковий звіт'!L224</f>
        <v>1245.5053854028504</v>
      </c>
      <c r="M224" s="41">
        <f>'[2]побудинковий звіт'!M224+'[1]побудинковий звіт'!M224</f>
        <v>1092.9636193023168</v>
      </c>
      <c r="N224" s="55">
        <f t="shared" si="187"/>
        <v>-152.54176610053355</v>
      </c>
      <c r="O224" s="41">
        <f>'[2]побудинковий звіт'!O224+'[1]побудинковий звіт'!O224</f>
        <v>3342.5279620309784</v>
      </c>
      <c r="P224" s="41">
        <f>'[2]побудинковий звіт'!P224+'[1]побудинковий звіт'!P224</f>
        <v>3352.2590828396264</v>
      </c>
      <c r="Q224" s="55">
        <f t="shared" si="188"/>
        <v>9.7311208086480292</v>
      </c>
      <c r="R224" s="41">
        <f>'[2]побудинковий звіт'!R224+'[1]побудинковий звіт'!R224</f>
        <v>740.28494134476409</v>
      </c>
      <c r="S224" s="41">
        <f>'[2]побудинковий звіт'!S224+'[1]побудинковий звіт'!S224</f>
        <v>742.37169264361125</v>
      </c>
      <c r="T224" s="55">
        <f t="shared" si="189"/>
        <v>2.0867512988471617</v>
      </c>
      <c r="U224" s="41">
        <f>'[2]побудинковий звіт'!U224+'[1]побудинковий звіт'!U224</f>
        <v>387.64586387093766</v>
      </c>
      <c r="V224" s="41">
        <f>'[2]побудинковий звіт'!V224+'[1]побудинковий звіт'!V224</f>
        <v>194.53614856265364</v>
      </c>
      <c r="W224" s="55">
        <f t="shared" si="190"/>
        <v>-193.10971530828402</v>
      </c>
      <c r="X224" s="41">
        <f>'[2]побудинковий звіт'!X224+'[1]побудинковий звіт'!X224</f>
        <v>2366.3154603538155</v>
      </c>
      <c r="Y224" s="41">
        <f>'[2]побудинковий звіт'!Y224+'[1]побудинковий звіт'!Y224</f>
        <v>1728.2046805427544</v>
      </c>
      <c r="Z224" s="55">
        <f t="shared" si="191"/>
        <v>-638.11077981106109</v>
      </c>
      <c r="AA224" s="41">
        <f>'[2]побудинковий звіт'!AA224+'[1]побудинковий звіт'!AA224</f>
        <v>0</v>
      </c>
      <c r="AB224" s="41">
        <f>'[2]побудинковий звіт'!AB224+'[1]побудинковий звіт'!AB224</f>
        <v>0</v>
      </c>
      <c r="AC224" s="55">
        <f t="shared" si="192"/>
        <v>0</v>
      </c>
      <c r="AD224" s="41">
        <f>'[2]побудинковий звіт'!AD224+'[1]побудинковий звіт'!AD224</f>
        <v>9284.9837932292667</v>
      </c>
      <c r="AE224" s="41">
        <f>'[2]побудинковий звіт'!AE224+'[1]побудинковий звіт'!AE224</f>
        <v>9248.8583150462982</v>
      </c>
      <c r="AF224" s="36">
        <f t="shared" si="193"/>
        <v>-36.125478182968436</v>
      </c>
      <c r="AG224" s="84">
        <f t="shared" si="194"/>
        <v>25740.030536905608</v>
      </c>
      <c r="AH224" s="56">
        <f t="shared" si="195"/>
        <v>22948.027578560104</v>
      </c>
      <c r="AI224" s="55">
        <f t="shared" si="196"/>
        <v>-2792.0029583455034</v>
      </c>
      <c r="AJ224" s="41">
        <f>'[2]побудинковий звіт'!AJ224+'[1]побудинковий звіт'!AJ224</f>
        <v>20529.452212842189</v>
      </c>
      <c r="AK224" s="41">
        <f>'[2]побудинковий звіт'!AK224+'[1]побудинковий звіт'!AK224</f>
        <v>19271.439589861526</v>
      </c>
      <c r="AL224" s="55">
        <f t="shared" si="197"/>
        <v>-1258.0126229806629</v>
      </c>
      <c r="AM224" s="41">
        <f>'[2]побудинковий звіт'!AM224+'[1]побудинковий звіт'!AM224</f>
        <v>1631.4337397761233</v>
      </c>
      <c r="AN224" s="41">
        <f>'[2]побудинковий звіт'!AN224+'[1]побудинковий звіт'!AN224</f>
        <v>1578.4179747841836</v>
      </c>
      <c r="AO224" s="55">
        <f t="shared" si="198"/>
        <v>-53.015764991939704</v>
      </c>
      <c r="AP224" s="41">
        <f>'[2]побудинковий звіт'!AP224+'[1]побудинковий звіт'!AP224</f>
        <v>1783.0762972293671</v>
      </c>
      <c r="AQ224" s="41">
        <f>'[2]побудинковий звіт'!AQ224+'[1]побудинковий звіт'!AQ224</f>
        <v>1740</v>
      </c>
      <c r="AR224" s="55">
        <f t="shared" si="199"/>
        <v>-43.076297229367128</v>
      </c>
      <c r="AS224" s="41">
        <f>'[2]побудинковий звіт'!AS224+'[1]побудинковий звіт'!AS224</f>
        <v>35528.616612302882</v>
      </c>
      <c r="AT224" s="41">
        <f>'[2]побудинковий звіт'!AT224+'[1]побудинковий звіт'!AT224</f>
        <v>36146.146938990598</v>
      </c>
      <c r="AU224" s="57">
        <f t="shared" si="200"/>
        <v>617.5303266877163</v>
      </c>
      <c r="AV224" s="41">
        <f>'[2]побудинковий звіт'!AV224+'[1]побудинковий звіт'!AV224</f>
        <v>822.79474223157183</v>
      </c>
      <c r="AW224" s="41">
        <f>'[2]побудинковий звіт'!AW224+'[1]побудинковий звіт'!AW224</f>
        <v>0</v>
      </c>
      <c r="AX224" s="58">
        <f t="shared" si="201"/>
        <v>-822.79474223157183</v>
      </c>
      <c r="AY224" s="41">
        <f>'[2]побудинковий звіт'!AY224+'[1]побудинковий звіт'!AY224</f>
        <v>834.1208915013292</v>
      </c>
      <c r="AZ224" s="41">
        <f>'[2]побудинковий звіт'!AZ224+'[1]побудинковий звіт'!AZ224</f>
        <v>0</v>
      </c>
      <c r="BA224" s="36">
        <f t="shared" si="202"/>
        <v>-834.1208915013292</v>
      </c>
      <c r="BB224" s="41">
        <f>'[2]побудинковий звіт'!BB224+'[1]побудинковий звіт'!BB224</f>
        <v>620.15295788375704</v>
      </c>
      <c r="BC224" s="41">
        <f>'[2]побудинковий звіт'!BC224+'[1]побудинковий звіт'!BC224</f>
        <v>0</v>
      </c>
      <c r="BD224" s="58">
        <f t="shared" si="203"/>
        <v>-620.15295788375704</v>
      </c>
      <c r="BE224" s="41">
        <f>'[2]побудинковий звіт'!BE224+'[1]побудинковий звіт'!BE224</f>
        <v>368.64210961817577</v>
      </c>
      <c r="BF224" s="41">
        <f>'[2]побудинковий звіт'!BF224+'[1]побудинковий звіт'!BF224</f>
        <v>0</v>
      </c>
      <c r="BG224" s="38">
        <f t="shared" si="204"/>
        <v>-368.64210961817577</v>
      </c>
      <c r="BH224" s="41">
        <f>'[2]побудинковий звіт'!BH224+'[1]побудинковий звіт'!BH224</f>
        <v>201.47193036229532</v>
      </c>
      <c r="BI224" s="41">
        <f>'[2]побудинковий звіт'!BI224+'[1]побудинковий звіт'!BI224</f>
        <v>0</v>
      </c>
      <c r="BJ224" s="58">
        <f t="shared" si="205"/>
        <v>-201.47193036229532</v>
      </c>
      <c r="BK224" s="41">
        <f>'[2]побудинковий звіт'!BK224+'[1]побудинковий звіт'!BK224</f>
        <v>434.1760862297416</v>
      </c>
      <c r="BL224" s="41">
        <f>'[2]побудинковий звіт'!BL224+'[1]побудинковий звіт'!BL224</f>
        <v>0</v>
      </c>
      <c r="BM224" s="38">
        <f t="shared" si="206"/>
        <v>-434.1760862297416</v>
      </c>
      <c r="BN224" s="41">
        <f>'[2]побудинковий звіт'!BN224+'[1]побудинковий звіт'!BN224</f>
        <v>172.9603343164608</v>
      </c>
      <c r="BO224" s="41">
        <f>'[2]побудинковий звіт'!BO224+'[1]побудинковий звіт'!BO224</f>
        <v>1141.464691227553</v>
      </c>
      <c r="BP224" s="58">
        <f t="shared" si="207"/>
        <v>968.50435691109215</v>
      </c>
      <c r="BQ224" s="84">
        <f t="shared" si="208"/>
        <v>3454.3190521433316</v>
      </c>
      <c r="BR224" s="42">
        <f t="shared" si="209"/>
        <v>1141.464691227553</v>
      </c>
      <c r="BS224" s="58">
        <f t="shared" si="210"/>
        <v>-2312.8543609157787</v>
      </c>
      <c r="BT224" s="41">
        <f>'[2]побудинковий звіт'!BT224+'[1]побудинковий звіт'!BT224</f>
        <v>36080.162211139359</v>
      </c>
      <c r="BU224" s="41">
        <f>'[2]побудинковий звіт'!BU224+'[1]побудинковий звіт'!BU224</f>
        <v>51004.652948374671</v>
      </c>
      <c r="BV224" s="55">
        <f t="shared" si="211"/>
        <v>14924.490737235312</v>
      </c>
      <c r="BW224" s="41">
        <f>'[2]побудинковий звіт'!BW224+'[1]побудинковий звіт'!BW224</f>
        <v>19287.456538814487</v>
      </c>
      <c r="BX224" s="41">
        <f>'[2]побудинковий звіт'!BX224+'[1]побудинковий звіт'!BX224</f>
        <v>23357.245572443062</v>
      </c>
      <c r="BY224" s="55">
        <f t="shared" si="212"/>
        <v>4069.7890336285745</v>
      </c>
      <c r="BZ224" s="41">
        <f>'[2]побудинковий звіт'!BZ224+'[1]побудинковий звіт'!BZ224</f>
        <v>8058.4474801351516</v>
      </c>
      <c r="CA224" s="41">
        <f>'[2]побудинковий звіт'!CA224+'[1]побудинковий звіт'!CA224</f>
        <v>4309.068970382009</v>
      </c>
      <c r="CB224" s="55">
        <f t="shared" si="213"/>
        <v>-3749.3785097531427</v>
      </c>
      <c r="CC224" s="41">
        <f>'[2]побудинковий звіт'!CC224+'[1]побудинковий звіт'!CC224</f>
        <v>743.23718061073373</v>
      </c>
      <c r="CD224" s="41">
        <f>'[2]побудинковий звіт'!CD224+'[1]побудинковий звіт'!CD224</f>
        <v>745.75741498678224</v>
      </c>
      <c r="CE224" s="55">
        <f t="shared" si="214"/>
        <v>2.5202343760485064</v>
      </c>
      <c r="CF224" s="41">
        <f>'[2]побудинковий звіт'!CF224+'[1]побудинковий звіт'!CF224</f>
        <v>92.083136234414496</v>
      </c>
      <c r="CG224" s="41">
        <f>'[2]побудинковий звіт'!CG224+'[1]побудинковий звіт'!CG224</f>
        <v>1181.8002794287729</v>
      </c>
      <c r="CH224" s="55">
        <f t="shared" si="215"/>
        <v>1089.7171431943584</v>
      </c>
      <c r="CI224" s="41">
        <f>'[2]побудинковий звіт'!CI224+'[1]побудинковий звіт'!CI224</f>
        <v>5253.1707502357476</v>
      </c>
      <c r="CJ224" s="41">
        <f>'[2]побудинковий звіт'!CJ224+'[1]побудинковий звіт'!CJ224</f>
        <v>3837.5663681084452</v>
      </c>
      <c r="CK224" s="55">
        <f t="shared" si="216"/>
        <v>-1415.6043821273024</v>
      </c>
      <c r="CL224" s="41">
        <f>'[2]побудинковий звіт'!CL224+'[1]побудинковий звіт'!CL224</f>
        <v>4619.2413105371616</v>
      </c>
      <c r="CM224" s="41">
        <f>'[2]побудинковий звіт'!CM224+'[1]побудинковий звіт'!CM224</f>
        <v>7212.6352141586322</v>
      </c>
      <c r="CN224" s="55">
        <f t="shared" si="217"/>
        <v>2593.3939036214706</v>
      </c>
      <c r="CO224" s="41">
        <f t="shared" si="218"/>
        <v>9872.4120607729092</v>
      </c>
      <c r="CP224" s="42">
        <f t="shared" si="219"/>
        <v>11050.201582267076</v>
      </c>
      <c r="CQ224" s="55">
        <f t="shared" si="220"/>
        <v>1177.7895214941673</v>
      </c>
      <c r="CR224" s="76">
        <f t="shared" si="221"/>
        <v>162800.72705890657</v>
      </c>
      <c r="CS224" s="5">
        <f t="shared" si="222"/>
        <v>174474.22354130633</v>
      </c>
      <c r="CT224" s="55">
        <f t="shared" si="223"/>
        <v>11673.496482399758</v>
      </c>
      <c r="CU224" s="84">
        <f t="shared" si="224"/>
        <v>195360.87247068787</v>
      </c>
      <c r="CV224" s="68">
        <f t="shared" si="225"/>
        <v>209369.06824956759</v>
      </c>
      <c r="CW224" s="36">
        <f t="shared" si="226"/>
        <v>14008.195778879715</v>
      </c>
      <c r="CX224" s="41">
        <f>'[2]побудинковий звіт'!CX224+'[1]побудинковий звіт'!CX224</f>
        <v>3971.8722165640488</v>
      </c>
      <c r="CY224" s="41">
        <f>'[2]побудинковий звіт'!CY224+'[1]побудинковий звіт'!CY224</f>
        <v>-10036.323562315687</v>
      </c>
      <c r="CZ224" s="55">
        <f t="shared" si="227"/>
        <v>-14008.195778879735</v>
      </c>
      <c r="DA224" s="254">
        <f>'[1]побудинковий звіт'!DA224</f>
        <v>-21703.137383769543</v>
      </c>
      <c r="DB224" s="2">
        <v>1</v>
      </c>
      <c r="DC224" s="702">
        <f>'[1]побудинковий звіт'!DC224</f>
        <v>29444.06</v>
      </c>
      <c r="DD224" s="702">
        <f>'[1]побудинковий звіт'!DD224</f>
        <v>0</v>
      </c>
      <c r="DE224" s="702">
        <f>'[1]побудинковий звіт'!DE224</f>
        <v>7473.0300000000025</v>
      </c>
      <c r="DF224" s="702">
        <f>'[1]побудинковий звіт'!DF224</f>
        <v>0</v>
      </c>
      <c r="DG224" s="772">
        <v>-13136.546237203991</v>
      </c>
      <c r="DH224" s="746">
        <f t="shared" si="239"/>
        <v>2391992.9362470228</v>
      </c>
      <c r="DI224" s="769"/>
      <c r="DJ224" s="5"/>
      <c r="DK224" s="307">
        <f>VLOOKUP($A224,ціни!$A$4:$G$401,5)</f>
        <v>6.1152942221564306</v>
      </c>
      <c r="DL224" s="307">
        <f>VLOOKUP($A224,ціни!$A$4:$G$401,6)</f>
        <v>7.4523967592929017</v>
      </c>
      <c r="DM224" s="307">
        <f>VLOOKUP($A224,ціни!$A$4:$G$401,7)</f>
        <v>5.2453065466542226</v>
      </c>
      <c r="DN224" s="29">
        <f>DK224*G224+(F224-G224)*DL224</f>
        <v>15636.673848779981</v>
      </c>
      <c r="DO224" s="29">
        <f>DM224*H224</f>
        <v>0</v>
      </c>
      <c r="DP224" s="306">
        <f t="shared" si="240"/>
        <v>15636.673848779981</v>
      </c>
      <c r="DQ224" s="101"/>
      <c r="DR224" s="29">
        <f>VLOOKUP(A224,'ДЗ нас '!$A$1:$C$359,2)</f>
        <v>15636.67</v>
      </c>
      <c r="DS224" s="733"/>
      <c r="DT224" s="29">
        <f t="shared" si="241"/>
        <v>15636.67</v>
      </c>
      <c r="DU224" s="247">
        <f>VLOOKUP(A224,'новий кошторис с 01.06'!$A$4:$AI$399,35)*1.2</f>
        <v>15683.638061131147</v>
      </c>
      <c r="DV224" s="29">
        <f t="shared" si="242"/>
        <v>-46.968061131146897</v>
      </c>
      <c r="DW224" s="1016">
        <f>'[2]побудинковий звіт'!$DW$9+'[1]побудинковий звіт'!DW224</f>
        <v>918</v>
      </c>
      <c r="DX224" s="101">
        <f>'[1]побудинковий звіт'!DX224</f>
        <v>0</v>
      </c>
      <c r="DY224" s="5">
        <f t="shared" si="243"/>
        <v>46779.522797335449</v>
      </c>
      <c r="DZ224" s="5">
        <f t="shared" si="244"/>
        <v>44745.133956261772</v>
      </c>
      <c r="EA224" s="737">
        <f t="shared" si="245"/>
        <v>7473.0300000000025</v>
      </c>
      <c r="EC224" s="577">
        <f t="shared" si="246"/>
        <v>426343.39934763458</v>
      </c>
      <c r="EE224" s="743">
        <v>-37197</v>
      </c>
      <c r="EF224" s="723">
        <f t="shared" si="247"/>
        <v>-50333.546237203991</v>
      </c>
      <c r="EH224" s="798">
        <v>-37821.117728877478</v>
      </c>
      <c r="EI224" s="101">
        <f>VLOOKUP(A224,'кошти 01.01.24'!$A$9:$D$352,4,FALSE)</f>
        <v>-35711.333162649251</v>
      </c>
    </row>
    <row r="225" spans="1:139" hidden="1" x14ac:dyDescent="0.3">
      <c r="A225" s="318">
        <v>150000927</v>
      </c>
      <c r="B225" s="43" t="s">
        <v>658</v>
      </c>
      <c r="C225" s="44" t="s">
        <v>178</v>
      </c>
      <c r="D225" s="44" t="s">
        <v>178</v>
      </c>
      <c r="E225" s="39">
        <f t="shared" si="185"/>
        <v>605.5</v>
      </c>
      <c r="F225" s="205">
        <f>'[1]побудинковий звіт'!F225</f>
        <v>365.9</v>
      </c>
      <c r="G225" s="29">
        <f>'[1]побудинковий звіт'!G225</f>
        <v>0</v>
      </c>
      <c r="H225" s="148">
        <f>'[1]побудинковий звіт'!H225</f>
        <v>239.6</v>
      </c>
      <c r="I225" s="41">
        <f>'[2]побудинковий звіт'!I225+'[1]побудинковий звіт'!I225</f>
        <v>2926.8265095979145</v>
      </c>
      <c r="J225" s="41">
        <f>'[2]побудинковий звіт'!J225+'[1]побудинковий звіт'!J225</f>
        <v>2976.8300192302349</v>
      </c>
      <c r="K225" s="55">
        <f t="shared" si="186"/>
        <v>50.003509632320402</v>
      </c>
      <c r="L225" s="41">
        <f>'[2]побудинковий звіт'!L225+'[1]побудинковий звіт'!L225</f>
        <v>737.26047838613101</v>
      </c>
      <c r="M225" s="41">
        <f>'[2]побудинковий звіт'!M225+'[1]побудинковий звіт'!M225</f>
        <v>773.77610236186911</v>
      </c>
      <c r="N225" s="55">
        <f t="shared" si="187"/>
        <v>36.515623975738094</v>
      </c>
      <c r="O225" s="41">
        <f>'[2]побудинковий звіт'!O225+'[1]побудинковий звіт'!O225</f>
        <v>952.54135151962475</v>
      </c>
      <c r="P225" s="41">
        <f>'[2]побудинковий звіт'!P225+'[1]побудинковий звіт'!P225</f>
        <v>955.14598405574543</v>
      </c>
      <c r="Q225" s="55">
        <f t="shared" si="188"/>
        <v>2.6046325361206755</v>
      </c>
      <c r="R225" s="41">
        <f>'[2]побудинковий звіт'!R225+'[1]побудинковий звіт'!R225</f>
        <v>0</v>
      </c>
      <c r="S225" s="41">
        <f>'[2]побудинковий звіт'!S225+'[1]побудинковий звіт'!S225</f>
        <v>0</v>
      </c>
      <c r="T225" s="55">
        <f t="shared" si="189"/>
        <v>0</v>
      </c>
      <c r="U225" s="41">
        <f>'[2]побудинковий звіт'!U225+'[1]побудинковий звіт'!U225</f>
        <v>0</v>
      </c>
      <c r="V225" s="41">
        <f>'[2]побудинковий звіт'!V225+'[1]побудинковий звіт'!V225</f>
        <v>0</v>
      </c>
      <c r="W225" s="55">
        <f t="shared" si="190"/>
        <v>0</v>
      </c>
      <c r="X225" s="41">
        <f>'[2]побудинковий звіт'!X225+'[1]побудинковий звіт'!X225</f>
        <v>1266.8748494841586</v>
      </c>
      <c r="Y225" s="41">
        <f>'[2]побудинковий звіт'!Y225+'[1]побудинковий звіт'!Y225</f>
        <v>1215.4575767296346</v>
      </c>
      <c r="Z225" s="55">
        <f t="shared" si="191"/>
        <v>-51.417272754523992</v>
      </c>
      <c r="AA225" s="41">
        <f>'[2]побудинковий звіт'!AA225+'[1]побудинковий звіт'!AA225</f>
        <v>0</v>
      </c>
      <c r="AB225" s="41">
        <f>'[2]побудинковий звіт'!AB225+'[1]побудинковий звіт'!AB225</f>
        <v>0</v>
      </c>
      <c r="AC225" s="55">
        <f t="shared" si="192"/>
        <v>0</v>
      </c>
      <c r="AD225" s="41">
        <f>'[2]побудинковий звіт'!AD225+'[1]побудинковий звіт'!AD225</f>
        <v>2616.8855706293029</v>
      </c>
      <c r="AE225" s="41">
        <f>'[2]побудинковий звіт'!AE225+'[1]побудинковий звіт'!AE225</f>
        <v>2796.3675225166498</v>
      </c>
      <c r="AF225" s="36">
        <f t="shared" si="193"/>
        <v>179.4819518873469</v>
      </c>
      <c r="AG225" s="84">
        <f t="shared" si="194"/>
        <v>8500.3887596171317</v>
      </c>
      <c r="AH225" s="56">
        <f t="shared" si="195"/>
        <v>8717.5772048941326</v>
      </c>
      <c r="AI225" s="55">
        <f t="shared" si="196"/>
        <v>217.18844527700094</v>
      </c>
      <c r="AJ225" s="41">
        <f>'[2]побудинковий звіт'!AJ225+'[1]побудинковий звіт'!AJ225</f>
        <v>0</v>
      </c>
      <c r="AK225" s="41">
        <f>'[2]побудинковий звіт'!AK225+'[1]побудинковий звіт'!AK225</f>
        <v>0</v>
      </c>
      <c r="AL225" s="55">
        <f t="shared" si="197"/>
        <v>0</v>
      </c>
      <c r="AM225" s="41">
        <f>'[2]побудинковий звіт'!AM225+'[1]побудинковий звіт'!AM225</f>
        <v>0</v>
      </c>
      <c r="AN225" s="41">
        <f>'[2]побудинковий звіт'!AN225+'[1]побудинковий звіт'!AN225</f>
        <v>0</v>
      </c>
      <c r="AO225" s="55">
        <f t="shared" si="198"/>
        <v>0</v>
      </c>
      <c r="AP225" s="41">
        <f>'[2]побудинковий звіт'!AP225+'[1]побудинковий звіт'!AP225</f>
        <v>1188.7175314862448</v>
      </c>
      <c r="AQ225" s="41">
        <f>'[2]побудинковий звіт'!AQ225+'[1]побудинковий звіт'!AQ225</f>
        <v>1144.9929109272978</v>
      </c>
      <c r="AR225" s="55">
        <f t="shared" si="199"/>
        <v>-43.724620558946981</v>
      </c>
      <c r="AS225" s="41">
        <f>'[2]побудинковий звіт'!AS225+'[1]побудинковий звіт'!AS225</f>
        <v>7941.7053326678679</v>
      </c>
      <c r="AT225" s="41">
        <f>'[2]побудинковий звіт'!AT225+'[1]побудинковий звіт'!AT225</f>
        <v>34371.868952170691</v>
      </c>
      <c r="AU225" s="57">
        <f t="shared" si="200"/>
        <v>26430.163619502822</v>
      </c>
      <c r="AV225" s="41">
        <f>'[2]побудинковий звіт'!AV225+'[1]побудинковий звіт'!AV225</f>
        <v>555.19911482142322</v>
      </c>
      <c r="AW225" s="41">
        <f>'[2]побудинковий звіт'!AW225+'[1]побудинковий звіт'!AW225</f>
        <v>0</v>
      </c>
      <c r="AX225" s="58">
        <f t="shared" si="201"/>
        <v>-555.19911482142322</v>
      </c>
      <c r="AY225" s="41">
        <f>'[2]побудинковий звіт'!AY225+'[1]побудинковий звіт'!AY225</f>
        <v>886.03510533014992</v>
      </c>
      <c r="AZ225" s="41">
        <f>'[2]побудинковий звіт'!AZ225+'[1]побудинковий звіт'!AZ225</f>
        <v>0</v>
      </c>
      <c r="BA225" s="36">
        <f t="shared" si="202"/>
        <v>-886.03510533014992</v>
      </c>
      <c r="BB225" s="41">
        <f>'[2]побудинковий звіт'!BB225+'[1]побудинковий звіт'!BB225</f>
        <v>483.60099293201034</v>
      </c>
      <c r="BC225" s="41">
        <f>'[2]побудинковий звіт'!BC225+'[1]побудинковий звіт'!BC225</f>
        <v>0</v>
      </c>
      <c r="BD225" s="58">
        <f t="shared" si="203"/>
        <v>-483.60099293201034</v>
      </c>
      <c r="BE225" s="41">
        <f>'[2]побудинковий звіт'!BE225+'[1]побудинковий звіт'!BE225</f>
        <v>0</v>
      </c>
      <c r="BF225" s="41">
        <f>'[2]побудинковий звіт'!BF225+'[1]побудинковий звіт'!BF225</f>
        <v>0</v>
      </c>
      <c r="BG225" s="38">
        <f t="shared" si="204"/>
        <v>0</v>
      </c>
      <c r="BH225" s="41">
        <f>'[2]побудинковий звіт'!BH225+'[1]побудинковий звіт'!BH225</f>
        <v>0</v>
      </c>
      <c r="BI225" s="41">
        <f>'[2]побудинковий звіт'!BI225+'[1]побудинковий звіт'!BI225</f>
        <v>0</v>
      </c>
      <c r="BJ225" s="58">
        <f t="shared" si="205"/>
        <v>0</v>
      </c>
      <c r="BK225" s="41">
        <f>'[2]побудинковий звіт'!BK225+'[1]побудинковий звіт'!BK225</f>
        <v>164.03662555611689</v>
      </c>
      <c r="BL225" s="41">
        <f>'[2]побудинковий звіт'!BL225+'[1]побудинковий звіт'!BL225</f>
        <v>0</v>
      </c>
      <c r="BM225" s="38">
        <f t="shared" si="206"/>
        <v>-164.03662555611689</v>
      </c>
      <c r="BN225" s="41">
        <f>'[2]побудинковий звіт'!BN225+'[1]побудинковий звіт'!BN225</f>
        <v>31.214014296485885</v>
      </c>
      <c r="BO225" s="41">
        <f>'[2]побудинковий звіт'!BO225+'[1]побудинковий звіт'!BO225</f>
        <v>0</v>
      </c>
      <c r="BP225" s="58">
        <f t="shared" si="207"/>
        <v>-31.214014296485885</v>
      </c>
      <c r="BQ225" s="84">
        <f t="shared" si="208"/>
        <v>2120.0858529361863</v>
      </c>
      <c r="BR225" s="42">
        <f t="shared" si="209"/>
        <v>0</v>
      </c>
      <c r="BS225" s="58">
        <f t="shared" si="210"/>
        <v>-2120.0858529361863</v>
      </c>
      <c r="BT225" s="41">
        <f>'[2]побудинковий звіт'!BT225+'[1]побудинковий звіт'!BT225</f>
        <v>6303.8766578183895</v>
      </c>
      <c r="BU225" s="41">
        <f>'[2]побудинковий звіт'!BU225+'[1]побудинковий звіт'!BU225</f>
        <v>10686.525570669355</v>
      </c>
      <c r="BV225" s="55">
        <f t="shared" si="211"/>
        <v>4382.6489128509656</v>
      </c>
      <c r="BW225" s="41">
        <f>'[2]побудинковий звіт'!BW225+'[1]побудинковий звіт'!BW225</f>
        <v>6270.9442312858118</v>
      </c>
      <c r="BX225" s="41">
        <f>'[2]побудинковий звіт'!BX225+'[1]побудинковий звіт'!BX225</f>
        <v>7376.0785183993712</v>
      </c>
      <c r="BY225" s="55">
        <f t="shared" si="212"/>
        <v>1105.1342871135594</v>
      </c>
      <c r="BZ225" s="41">
        <f>'[2]побудинковий звіт'!BZ225+'[1]побудинковий звіт'!BZ225</f>
        <v>2028.8136089399472</v>
      </c>
      <c r="CA225" s="41">
        <f>'[2]побудинковий звіт'!CA225+'[1]побудинковий звіт'!CA225</f>
        <v>842.47150183817905</v>
      </c>
      <c r="CB225" s="55">
        <f t="shared" si="213"/>
        <v>-1186.3421071017683</v>
      </c>
      <c r="CC225" s="41">
        <f>'[2]побудинковий звіт'!CC225+'[1]побудинковий звіт'!CC225</f>
        <v>622.92680708541366</v>
      </c>
      <c r="CD225" s="41">
        <f>'[2]побудинковий звіт'!CD225+'[1]побудинковий звіт'!CD225</f>
        <v>625.03908240469832</v>
      </c>
      <c r="CE225" s="55">
        <f t="shared" si="214"/>
        <v>2.1122753192846631</v>
      </c>
      <c r="CF225" s="41">
        <f>'[2]побудинковий звіт'!CF225+'[1]побудинковий звіт'!CF225</f>
        <v>77.177320426542977</v>
      </c>
      <c r="CG225" s="41">
        <f>'[2]побудинковий звіт'!CG225+'[1]побудинковий звіт'!CG225</f>
        <v>0</v>
      </c>
      <c r="CH225" s="55">
        <f t="shared" si="215"/>
        <v>-77.177320426542977</v>
      </c>
      <c r="CI225" s="41">
        <f>'[2]побудинковий звіт'!CI225+'[1]побудинковий звіт'!CI225</f>
        <v>1366.434065410542</v>
      </c>
      <c r="CJ225" s="41">
        <f>'[2]побудинковий звіт'!CJ225+'[1]побудинковий звіт'!CJ225</f>
        <v>4432.4957432646861</v>
      </c>
      <c r="CK225" s="55">
        <f t="shared" si="216"/>
        <v>3066.0616778541444</v>
      </c>
      <c r="CL225" s="41">
        <f>'[2]побудинковий звіт'!CL225+'[1]побудинковий звіт'!CL225</f>
        <v>0</v>
      </c>
      <c r="CM225" s="41">
        <f>'[2]побудинковий звіт'!CM225+'[1]побудинковий звіт'!CM225</f>
        <v>0</v>
      </c>
      <c r="CN225" s="55">
        <f t="shared" si="217"/>
        <v>0</v>
      </c>
      <c r="CO225" s="41">
        <f t="shared" si="218"/>
        <v>1366.434065410542</v>
      </c>
      <c r="CP225" s="42">
        <f t="shared" si="219"/>
        <v>4432.4957432646861</v>
      </c>
      <c r="CQ225" s="55">
        <f t="shared" si="220"/>
        <v>3066.0616778541444</v>
      </c>
      <c r="CR225" s="76">
        <f t="shared" si="221"/>
        <v>36421.070167674079</v>
      </c>
      <c r="CS225" s="5">
        <f t="shared" si="222"/>
        <v>68197.049484568415</v>
      </c>
      <c r="CT225" s="55">
        <f t="shared" si="223"/>
        <v>31775.979316894336</v>
      </c>
      <c r="CU225" s="84">
        <f t="shared" si="224"/>
        <v>43705.284201208895</v>
      </c>
      <c r="CV225" s="68">
        <f t="shared" si="225"/>
        <v>81836.459381482098</v>
      </c>
      <c r="CW225" s="36">
        <f t="shared" si="226"/>
        <v>38131.175180273203</v>
      </c>
      <c r="CX225" s="41">
        <f>'[2]побудинковий звіт'!CX225+'[1]побудинковий звіт'!CX225</f>
        <v>321.90612101779027</v>
      </c>
      <c r="CY225" s="41">
        <f>'[2]побудинковий звіт'!CY225+'[1]побудинковий звіт'!CY225</f>
        <v>-37809.269059255399</v>
      </c>
      <c r="CZ225" s="55">
        <f t="shared" si="227"/>
        <v>-38131.175180273189</v>
      </c>
      <c r="DA225" s="254">
        <f>'[1]побудинковий звіт'!DA225</f>
        <v>38732.303593768745</v>
      </c>
      <c r="DB225" s="2">
        <v>2</v>
      </c>
      <c r="DC225" s="702">
        <f>'[1]побудинковий звіт'!DC225</f>
        <v>3238</v>
      </c>
      <c r="DD225" s="702">
        <f>'[1]побудинковий звіт'!DD225</f>
        <v>25756.6</v>
      </c>
      <c r="DE225" s="702">
        <f>'[1]побудинковий звіт'!DE225</f>
        <v>-1.9699999999997999</v>
      </c>
      <c r="DF225" s="702">
        <f>'[1]побудинковий звіт'!DF225</f>
        <v>24195.94</v>
      </c>
      <c r="DG225" s="772">
        <v>-8573.5818008205679</v>
      </c>
      <c r="DH225" s="746">
        <f t="shared" si="239"/>
        <v>528326.28386672027</v>
      </c>
      <c r="DI225" s="769"/>
      <c r="DJ225" s="5"/>
      <c r="DK225" s="307">
        <f>VLOOKUP($A225,ціни!$A$4:$G$401,5)</f>
        <v>6.2749403713151359</v>
      </c>
      <c r="DL225" s="307"/>
      <c r="DM225" s="307">
        <f>VLOOKUP($A225,ціни!$A$4:$G$401,7)</f>
        <v>4.8255448833660886</v>
      </c>
      <c r="DN225" s="29">
        <f>F225*DK225</f>
        <v>2296.0006818642082</v>
      </c>
      <c r="DO225" s="29">
        <f>H225*DM225</f>
        <v>1156.2005540545149</v>
      </c>
      <c r="DP225" s="306">
        <f t="shared" si="240"/>
        <v>3452.2012359187229</v>
      </c>
      <c r="DQ225" s="101"/>
      <c r="DR225" s="29">
        <f>VLOOKUP(A225,'ДЗ нас '!$A$1:$C$359,2)</f>
        <v>2296</v>
      </c>
      <c r="DS225" s="733">
        <f>VLOOKUP(A225,'ДЗ нежит'!$A$1:$D$153,4,0)</f>
        <v>1156.19</v>
      </c>
      <c r="DT225" s="29">
        <f t="shared" si="241"/>
        <v>3452.19</v>
      </c>
      <c r="DU225" s="247">
        <f>VLOOKUP(A225,'новий кошторис с 01.06'!$A$4:$AI$399,35)*1.2</f>
        <v>3525.8487200985778</v>
      </c>
      <c r="DV225" s="29">
        <f t="shared" si="242"/>
        <v>-73.65872009857776</v>
      </c>
      <c r="DW225" s="1016">
        <f>'[2]побудинковий звіт'!$DW$9+'[1]побудинковий звіт'!DW225</f>
        <v>918</v>
      </c>
      <c r="DX225" s="101">
        <f>'[1]побудинковий звіт'!DX225</f>
        <v>0</v>
      </c>
      <c r="DY225" s="5">
        <f t="shared" si="243"/>
        <v>12074.149422724864</v>
      </c>
      <c r="DZ225" s="5">
        <f t="shared" si="244"/>
        <v>41246.242742604831</v>
      </c>
      <c r="EA225" s="737">
        <f t="shared" si="245"/>
        <v>24193.969999999998</v>
      </c>
      <c r="EC225" s="577">
        <f t="shared" si="246"/>
        <v>95300.463992014411</v>
      </c>
      <c r="EE225" s="743">
        <v>-11395</v>
      </c>
      <c r="EF225" s="723">
        <f t="shared" si="247"/>
        <v>-19968.581800820568</v>
      </c>
      <c r="EH225" s="798">
        <v>2366.431814708907</v>
      </c>
      <c r="EI225" s="101">
        <f>VLOOKUP(A225,'кошти 01.01.24'!$A$9:$D$352,4,FALSE)</f>
        <v>601.12841349555811</v>
      </c>
    </row>
    <row r="226" spans="1:139" hidden="1" x14ac:dyDescent="0.3">
      <c r="A226" s="318">
        <v>150000958</v>
      </c>
      <c r="B226" s="43" t="s">
        <v>659</v>
      </c>
      <c r="C226" s="44" t="s">
        <v>380</v>
      </c>
      <c r="D226" s="44" t="s">
        <v>380</v>
      </c>
      <c r="E226" s="39">
        <f t="shared" si="185"/>
        <v>2135.1</v>
      </c>
      <c r="F226" s="205">
        <f>'[1]побудинковий звіт'!F226</f>
        <v>2135.1</v>
      </c>
      <c r="G226" s="29">
        <f>'[1]побудинковий звіт'!G226</f>
        <v>232.2</v>
      </c>
      <c r="H226" s="148">
        <f>'[1]побудинковий звіт'!H226</f>
        <v>0</v>
      </c>
      <c r="I226" s="41">
        <f>'[2]побудинковий звіт'!I226+'[1]побудинковий звіт'!I226</f>
        <v>8317.2306928996804</v>
      </c>
      <c r="J226" s="41">
        <f>'[2]побудинковий звіт'!J226+'[1]побудинковий звіт'!J226</f>
        <v>6536.2367725921677</v>
      </c>
      <c r="K226" s="55">
        <f t="shared" si="186"/>
        <v>-1780.9939203075128</v>
      </c>
      <c r="L226" s="41">
        <f>'[2]побудинковий звіт'!L226+'[1]побудинковий звіт'!L226</f>
        <v>1246.6291437241211</v>
      </c>
      <c r="M226" s="41">
        <f>'[2]побудинковий звіт'!M226+'[1]побудинковий звіт'!M226</f>
        <v>1069.0460059909346</v>
      </c>
      <c r="N226" s="55">
        <f t="shared" si="187"/>
        <v>-177.5831377331865</v>
      </c>
      <c r="O226" s="41">
        <f>'[2]побудинковий звіт'!O226+'[1]побудинковий звіт'!O226</f>
        <v>3283.4057235937103</v>
      </c>
      <c r="P226" s="41">
        <f>'[2]побудинковий звіт'!P226+'[1]побудинковий звіт'!P226</f>
        <v>3292.7581300986421</v>
      </c>
      <c r="Q226" s="55">
        <f t="shared" si="188"/>
        <v>9.3524065049318779</v>
      </c>
      <c r="R226" s="41">
        <f>'[2]побудинковий звіт'!R226+'[1]побудинковий звіт'!R226</f>
        <v>734.36176282487372</v>
      </c>
      <c r="S226" s="41">
        <f>'[2]побудинковий звіт'!S226+'[1]побудинковий звіт'!S226</f>
        <v>736.27168016653377</v>
      </c>
      <c r="T226" s="55">
        <f t="shared" si="189"/>
        <v>1.9099173416600479</v>
      </c>
      <c r="U226" s="41">
        <f>'[2]побудинковий звіт'!U226+'[1]побудинковий звіт'!U226</f>
        <v>387.64586387093766</v>
      </c>
      <c r="V226" s="41">
        <f>'[2]побудинковий звіт'!V226+'[1]побудинковий звіт'!V226</f>
        <v>194.53614856265364</v>
      </c>
      <c r="W226" s="55">
        <f t="shared" si="190"/>
        <v>-193.10971530828402</v>
      </c>
      <c r="X226" s="41">
        <f>'[2]побудинковий звіт'!X226+'[1]побудинковий звіт'!X226</f>
        <v>2366.4175577654519</v>
      </c>
      <c r="Y226" s="41">
        <f>'[2]побудинковий звіт'!Y226+'[1]побудинковий звіт'!Y226</f>
        <v>4069.0324860308333</v>
      </c>
      <c r="Z226" s="55">
        <f t="shared" si="191"/>
        <v>1702.6149282653814</v>
      </c>
      <c r="AA226" s="41">
        <f>'[2]побудинковий звіт'!AA226+'[1]побудинковий звіт'!AA226</f>
        <v>0</v>
      </c>
      <c r="AB226" s="41">
        <f>'[2]побудинковий звіт'!AB226+'[1]побудинковий звіт'!AB226</f>
        <v>0</v>
      </c>
      <c r="AC226" s="55">
        <f t="shared" si="192"/>
        <v>0</v>
      </c>
      <c r="AD226" s="41">
        <f>'[2]побудинковий звіт'!AD226+'[1]побудинковий звіт'!AD226</f>
        <v>9260.5952013533351</v>
      </c>
      <c r="AE226" s="41">
        <f>'[2]побудинковий звіт'!AE226+'[1]побудинковий звіт'!AE226</f>
        <v>9224.5782430277068</v>
      </c>
      <c r="AF226" s="36">
        <f t="shared" si="193"/>
        <v>-36.016958325628366</v>
      </c>
      <c r="AG226" s="84">
        <f t="shared" si="194"/>
        <v>25596.285946032112</v>
      </c>
      <c r="AH226" s="56">
        <f t="shared" si="195"/>
        <v>25122.459466469474</v>
      </c>
      <c r="AI226" s="55">
        <f t="shared" si="196"/>
        <v>-473.82647956263827</v>
      </c>
      <c r="AJ226" s="41">
        <f>'[2]побудинковий звіт'!AJ226+'[1]побудинковий звіт'!AJ226</f>
        <v>18550.310122695646</v>
      </c>
      <c r="AK226" s="41">
        <f>'[2]побудинковий звіт'!AK226+'[1]побудинковий звіт'!AK226</f>
        <v>17241.226750496211</v>
      </c>
      <c r="AL226" s="55">
        <f t="shared" si="197"/>
        <v>-1309.083372199435</v>
      </c>
      <c r="AM226" s="41">
        <f>'[2]побудинковий звіт'!AM226+'[1]побудинковий звіт'!AM226</f>
        <v>1631.4337397761233</v>
      </c>
      <c r="AN226" s="41">
        <f>'[2]побудинковий звіт'!AN226+'[1]побудинковий звіт'!AN226</f>
        <v>1185.9964603327826</v>
      </c>
      <c r="AO226" s="55">
        <f t="shared" si="198"/>
        <v>-445.43727944334069</v>
      </c>
      <c r="AP226" s="41">
        <f>'[2]побудинковий звіт'!AP226+'[1]побудинковий звіт'!AP226</f>
        <v>1783.0762972293671</v>
      </c>
      <c r="AQ226" s="41">
        <f>'[2]побудинковий звіт'!AQ226+'[1]побудинковий звіт'!AQ226</f>
        <v>1677.4460125266892</v>
      </c>
      <c r="AR226" s="55">
        <f t="shared" si="199"/>
        <v>-105.63028470267795</v>
      </c>
      <c r="AS226" s="41">
        <f>'[2]побудинковий звіт'!AS226+'[1]побудинковий звіт'!AS226</f>
        <v>33722.223370918793</v>
      </c>
      <c r="AT226" s="41">
        <f>'[2]побудинковий звіт'!AT226+'[1]побудинковий звіт'!AT226</f>
        <v>55943.699222237665</v>
      </c>
      <c r="AU226" s="57">
        <f t="shared" si="200"/>
        <v>22221.475851318872</v>
      </c>
      <c r="AV226" s="41">
        <f>'[2]побудинковий звіт'!AV226+'[1]побудинковий звіт'!AV226</f>
        <v>818.63105635464751</v>
      </c>
      <c r="AW226" s="41">
        <f>'[2]побудинковий звіт'!AW226+'[1]побудинковий звіт'!AW226</f>
        <v>352.16728040695443</v>
      </c>
      <c r="AX226" s="58">
        <f t="shared" si="201"/>
        <v>-466.46377594769308</v>
      </c>
      <c r="AY226" s="41">
        <f>'[2]побудинковий звіт'!AY226+'[1]побудинковий звіт'!AY226</f>
        <v>898.62539578066344</v>
      </c>
      <c r="AZ226" s="41">
        <f>'[2]побудинковий звіт'!AZ226+'[1]побудинковий звіт'!AZ226</f>
        <v>0</v>
      </c>
      <c r="BA226" s="36">
        <f t="shared" si="202"/>
        <v>-898.62539578066344</v>
      </c>
      <c r="BB226" s="41">
        <f>'[2]побудинковий звіт'!BB226+'[1]побудинковий звіт'!BB226</f>
        <v>656.33048254298444</v>
      </c>
      <c r="BC226" s="41">
        <f>'[2]побудинковий звіт'!BC226+'[1]побудинковий звіт'!BC226</f>
        <v>0</v>
      </c>
      <c r="BD226" s="58">
        <f t="shared" si="203"/>
        <v>-656.33048254298444</v>
      </c>
      <c r="BE226" s="41">
        <f>'[2]побудинковий звіт'!BE226+'[1]побудинковий звіт'!BE226</f>
        <v>347.54466094238256</v>
      </c>
      <c r="BF226" s="41">
        <f>'[2]побудинковий звіт'!BF226+'[1]побудинковий звіт'!BF226</f>
        <v>429.10855592932234</v>
      </c>
      <c r="BG226" s="38">
        <f t="shared" si="204"/>
        <v>81.563894986939772</v>
      </c>
      <c r="BH226" s="41">
        <f>'[2]побудинковий звіт'!BH226+'[1]побудинковий звіт'!BH226</f>
        <v>201.47193036229532</v>
      </c>
      <c r="BI226" s="41">
        <f>'[2]побудинковий звіт'!BI226+'[1]побудинковий звіт'!BI226</f>
        <v>0</v>
      </c>
      <c r="BJ226" s="58">
        <f t="shared" si="205"/>
        <v>-201.47193036229532</v>
      </c>
      <c r="BK226" s="41">
        <f>'[2]побудинковий звіт'!BK226+'[1]побудинковий звіт'!BK226</f>
        <v>434.23443588077782</v>
      </c>
      <c r="BL226" s="41">
        <f>'[2]побудинковий звіт'!BL226+'[1]побудинковий звіт'!BL226</f>
        <v>2602.5452944699882</v>
      </c>
      <c r="BM226" s="38">
        <f t="shared" si="206"/>
        <v>2168.3108585892105</v>
      </c>
      <c r="BN226" s="41">
        <f>'[2]побудинковий звіт'!BN226+'[1]побудинковий звіт'!BN226</f>
        <v>293.14318919501164</v>
      </c>
      <c r="BO226" s="41">
        <f>'[2]побудинковий звіт'!BO226+'[1]побудинковий звіт'!BO226</f>
        <v>0</v>
      </c>
      <c r="BP226" s="58">
        <f t="shared" si="207"/>
        <v>-293.14318919501164</v>
      </c>
      <c r="BQ226" s="84">
        <f t="shared" si="208"/>
        <v>3649.9811510587624</v>
      </c>
      <c r="BR226" s="42">
        <f t="shared" si="209"/>
        <v>3383.821130806265</v>
      </c>
      <c r="BS226" s="58">
        <f t="shared" si="210"/>
        <v>-266.16002025249736</v>
      </c>
      <c r="BT226" s="41">
        <f>'[2]побудинковий звіт'!BT226+'[1]побудинковий звіт'!BT226</f>
        <v>37321.860572118174</v>
      </c>
      <c r="BU226" s="41">
        <f>'[2]побудинковий звіт'!BU226+'[1]побудинковий звіт'!BU226</f>
        <v>51311.447368289111</v>
      </c>
      <c r="BV226" s="55">
        <f t="shared" si="211"/>
        <v>13989.586796170937</v>
      </c>
      <c r="BW226" s="41">
        <f>'[2]побудинковий звіт'!BW226+'[1]побудинковий звіт'!BW226</f>
        <v>18925.698031369331</v>
      </c>
      <c r="BX226" s="41">
        <f>'[2]побудинковий звіт'!BX226+'[1]побудинковий звіт'!BX226</f>
        <v>23459.1149350167</v>
      </c>
      <c r="BY226" s="55">
        <f t="shared" si="212"/>
        <v>4533.4169036473686</v>
      </c>
      <c r="BZ226" s="41">
        <f>'[2]побудинковий звіт'!BZ226+'[1]побудинковий звіт'!BZ226</f>
        <v>8058.4474801351516</v>
      </c>
      <c r="CA226" s="41">
        <f>'[2]побудинковий звіт'!CA226+'[1]побудинковий звіт'!CA226</f>
        <v>4489.8909263576488</v>
      </c>
      <c r="CB226" s="55">
        <f t="shared" si="213"/>
        <v>-3568.5565537775028</v>
      </c>
      <c r="CC226" s="41">
        <f>'[2]побудинковий звіт'!CC226+'[1]побудинковий звіт'!CC226</f>
        <v>736.21398621712365</v>
      </c>
      <c r="CD226" s="41">
        <f>'[2]побудинковий звіт'!CD226+'[1]побудинковий звіт'!CD226</f>
        <v>738.71040572437641</v>
      </c>
      <c r="CE226" s="55">
        <f t="shared" si="214"/>
        <v>2.4964195072527673</v>
      </c>
      <c r="CF226" s="41">
        <f>'[2]побудинковий звіт'!CF226+'[1]побудинковий звіт'!CF226</f>
        <v>91.212999778625033</v>
      </c>
      <c r="CG226" s="41">
        <f>'[2]побудинковий звіт'!CG226+'[1]побудинковий звіт'!CG226</f>
        <v>0</v>
      </c>
      <c r="CH226" s="55">
        <f t="shared" si="215"/>
        <v>-91.212999778625033</v>
      </c>
      <c r="CI226" s="41">
        <f>'[2]побудинковий звіт'!CI226+'[1]побудинковий звіт'!CI226</f>
        <v>1189.606469727983</v>
      </c>
      <c r="CJ226" s="41">
        <f>'[2]побудинковий звіт'!CJ226+'[1]побудинковий звіт'!CJ226</f>
        <v>3901.3369665206669</v>
      </c>
      <c r="CK226" s="55">
        <f t="shared" si="216"/>
        <v>2711.7304967926839</v>
      </c>
      <c r="CL226" s="41">
        <f>'[2]побудинковий звіт'!CL226+'[1]побудинковий звіт'!CL226</f>
        <v>7499.275514277283</v>
      </c>
      <c r="CM226" s="41">
        <f>'[2]побудинковий звіт'!CM226+'[1]побудинковий звіт'!CM226</f>
        <v>5381.9167357234383</v>
      </c>
      <c r="CN226" s="55">
        <f t="shared" si="217"/>
        <v>-2117.3587785538448</v>
      </c>
      <c r="CO226" s="41">
        <f t="shared" si="218"/>
        <v>8688.8819840052656</v>
      </c>
      <c r="CP226" s="42">
        <f t="shared" si="219"/>
        <v>9283.2537022441047</v>
      </c>
      <c r="CQ226" s="55">
        <f t="shared" si="220"/>
        <v>594.37171823883909</v>
      </c>
      <c r="CR226" s="76">
        <f t="shared" si="221"/>
        <v>158755.6256813345</v>
      </c>
      <c r="CS226" s="5">
        <f t="shared" si="222"/>
        <v>193837.06638050103</v>
      </c>
      <c r="CT226" s="55">
        <f t="shared" si="223"/>
        <v>35081.440699166531</v>
      </c>
      <c r="CU226" s="84">
        <f t="shared" si="224"/>
        <v>190506.75081760139</v>
      </c>
      <c r="CV226" s="68">
        <f t="shared" si="225"/>
        <v>232604.47965660124</v>
      </c>
      <c r="CW226" s="36">
        <f t="shared" si="226"/>
        <v>42097.728838999843</v>
      </c>
      <c r="CX226" s="41">
        <f>'[2]побудинковий звіт'!CX226+'[1]побудинковий звіт'!CX226</f>
        <v>5761.4284361404298</v>
      </c>
      <c r="CY226" s="41">
        <f>'[2]побудинковий звіт'!CY226+'[1]побудинковий звіт'!CY226</f>
        <v>-36336.30040285943</v>
      </c>
      <c r="CZ226" s="55">
        <f t="shared" si="227"/>
        <v>-42097.728838999858</v>
      </c>
      <c r="DA226" s="254">
        <f>'[1]побудинковий звіт'!DA226</f>
        <v>-56258.921306283883</v>
      </c>
      <c r="DB226" s="2">
        <v>1</v>
      </c>
      <c r="DC226" s="702">
        <f>'[1]побудинковий звіт'!DC226</f>
        <v>50650.65</v>
      </c>
      <c r="DD226" s="702">
        <f>'[1]побудинковий звіт'!DD226</f>
        <v>0</v>
      </c>
      <c r="DE226" s="702">
        <f>'[1]побудинковий звіт'!DE226</f>
        <v>29144.730000000003</v>
      </c>
      <c r="DF226" s="702">
        <f>'[1]побудинковий звіт'!DF226</f>
        <v>0</v>
      </c>
      <c r="DG226" s="772">
        <v>-69409.746825569251</v>
      </c>
      <c r="DH226" s="746">
        <f t="shared" si="239"/>
        <v>2355218.1510449019</v>
      </c>
      <c r="DI226" s="769"/>
      <c r="DJ226" s="5"/>
      <c r="DK226" s="307">
        <f>VLOOKUP($A226,ціни!$A$4:$G$401,5)</f>
        <v>5.9416176560694929</v>
      </c>
      <c r="DL226" s="307">
        <f>VLOOKUP($A226,ціни!$A$4:$G$401,6)</f>
        <v>7.3617400284574916</v>
      </c>
      <c r="DM226" s="307">
        <f>VLOOKUP($A226,ціни!$A$4:$G$401,7)</f>
        <v>5.0772184690353361</v>
      </c>
      <c r="DN226" s="29">
        <f>DK226*G226+(F226-G226)*DL226</f>
        <v>15388.298719891096</v>
      </c>
      <c r="DO226" s="29">
        <f>DM226*H226</f>
        <v>0</v>
      </c>
      <c r="DP226" s="306">
        <f t="shared" si="240"/>
        <v>15388.298719891096</v>
      </c>
      <c r="DQ226" s="101"/>
      <c r="DR226" s="29">
        <f>VLOOKUP(A226,'ДЗ нас '!$A$1:$C$359,2)</f>
        <v>15388.23</v>
      </c>
      <c r="DS226" s="733"/>
      <c r="DT226" s="29">
        <f t="shared" si="241"/>
        <v>15388.23</v>
      </c>
      <c r="DU226" s="247">
        <f>VLOOKUP(A226,'новий кошторис с 01.06'!$A$4:$AI$399,35)*1.2</f>
        <v>15461.508426957265</v>
      </c>
      <c r="DV226" s="29">
        <f t="shared" si="242"/>
        <v>-73.278426957265765</v>
      </c>
      <c r="DW226" s="1016">
        <f>'[2]побудинковий звіт'!$DW$9+'[1]побудинковий звіт'!DW226</f>
        <v>909</v>
      </c>
      <c r="DX226" s="101">
        <f>'[1]побудинковий звіт'!DX226</f>
        <v>0</v>
      </c>
      <c r="DY226" s="5">
        <f t="shared" si="243"/>
        <v>44846.645426373063</v>
      </c>
      <c r="DZ226" s="5">
        <f t="shared" si="244"/>
        <v>71193.024423652721</v>
      </c>
      <c r="EA226" s="737">
        <f t="shared" si="245"/>
        <v>29144.730000000003</v>
      </c>
      <c r="EC226" s="577">
        <f t="shared" si="246"/>
        <v>404666.68045102549</v>
      </c>
      <c r="EE226" s="743">
        <v>24951</v>
      </c>
      <c r="EF226" s="723">
        <f t="shared" si="247"/>
        <v>-44458.746825569251</v>
      </c>
      <c r="EH226" s="798">
        <v>-74606.580988706264</v>
      </c>
      <c r="EI226" s="101">
        <f>VLOOKUP(A226,'кошти 01.01.24'!$A$9:$D$352,4,FALSE)</f>
        <v>-98356.650145283696</v>
      </c>
    </row>
    <row r="227" spans="1:139" hidden="1" x14ac:dyDescent="0.3">
      <c r="A227" s="318">
        <v>150000961</v>
      </c>
      <c r="B227" s="43" t="s">
        <v>660</v>
      </c>
      <c r="C227" s="44" t="s">
        <v>381</v>
      </c>
      <c r="D227" s="44" t="s">
        <v>381</v>
      </c>
      <c r="E227" s="39">
        <f t="shared" si="185"/>
        <v>4354.05</v>
      </c>
      <c r="F227" s="205">
        <f>'[1]побудинковий звіт'!F227</f>
        <v>4354.05</v>
      </c>
      <c r="G227" s="29">
        <f>'[1]побудинковий звіт'!G227</f>
        <v>481.1</v>
      </c>
      <c r="H227" s="148">
        <f>'[1]побудинковий звіт'!H227</f>
        <v>0</v>
      </c>
      <c r="I227" s="41">
        <f>'[2]побудинковий звіт'!I227+'[1]побудинковий звіт'!I227</f>
        <v>16536.353241349858</v>
      </c>
      <c r="J227" s="41">
        <f>'[2]побудинковий звіт'!J227+'[1]побудинковий звіт'!J227</f>
        <v>13035.037938775429</v>
      </c>
      <c r="K227" s="55">
        <f t="shared" si="186"/>
        <v>-3501.3153025744286</v>
      </c>
      <c r="L227" s="41">
        <f>'[2]побудинковий звіт'!L227+'[1]побудинковий звіт'!L227</f>
        <v>2489.8870124844298</v>
      </c>
      <c r="M227" s="41">
        <f>'[2]побудинковий звіт'!M227+'[1]побудинковий звіт'!M227</f>
        <v>2138.0920119818693</v>
      </c>
      <c r="N227" s="55">
        <f t="shared" si="187"/>
        <v>-351.79500050256047</v>
      </c>
      <c r="O227" s="41">
        <f>'[2]побудинковий звіт'!O227+'[1]побудинковий звіт'!O227</f>
        <v>6879.6190731275537</v>
      </c>
      <c r="P227" s="41">
        <f>'[2]побудинковий звіт'!P227+'[1]побудинковий звіт'!P227</f>
        <v>6898.9406032921615</v>
      </c>
      <c r="Q227" s="55">
        <f t="shared" si="188"/>
        <v>19.321530164607793</v>
      </c>
      <c r="R227" s="41">
        <f>'[2]побудинковий звіт'!R227+'[1]побудинковий звіт'!R227</f>
        <v>1485.2128041777839</v>
      </c>
      <c r="S227" s="41">
        <f>'[2]побудинковий звіт'!S227+'[1]побудинковий звіт'!S227</f>
        <v>1489.3522500117026</v>
      </c>
      <c r="T227" s="55">
        <f t="shared" si="189"/>
        <v>4.1394458339186713</v>
      </c>
      <c r="U227" s="41">
        <f>'[2]побудинковий звіт'!U227+'[1]побудинковий звіт'!U227</f>
        <v>775.04659685193064</v>
      </c>
      <c r="V227" s="41">
        <f>'[2]побудинковий звіт'!V227+'[1]побудинковий звіт'!V227</f>
        <v>347.44840756183567</v>
      </c>
      <c r="W227" s="55">
        <f t="shared" si="190"/>
        <v>-427.59818929009498</v>
      </c>
      <c r="X227" s="41">
        <f>'[2]побудинковий звіт'!X227+'[1]побудинковий звіт'!X227</f>
        <v>8904.7358575105209</v>
      </c>
      <c r="Y227" s="41">
        <f>'[2]побудинковий звіт'!Y227+'[1]побудинковий звіт'!Y227</f>
        <v>4867.4615126315484</v>
      </c>
      <c r="Z227" s="55">
        <f t="shared" si="191"/>
        <v>-4037.2743448789724</v>
      </c>
      <c r="AA227" s="41">
        <f>'[2]побудинковий звіт'!AA227+'[1]побудинковий звіт'!AA227</f>
        <v>0</v>
      </c>
      <c r="AB227" s="41">
        <f>'[2]побудинковий звіт'!AB227+'[1]побудинковий звіт'!AB227</f>
        <v>0</v>
      </c>
      <c r="AC227" s="55">
        <f t="shared" si="192"/>
        <v>0</v>
      </c>
      <c r="AD227" s="41">
        <f>'[2]побудинковий звіт'!AD227+'[1]побудинковий звіт'!AD227</f>
        <v>18869.938904431765</v>
      </c>
      <c r="AE227" s="41">
        <f>'[2]побудинковий звіт'!AE227+'[1]побудинковий звіт'!AE227</f>
        <v>18797.115750823476</v>
      </c>
      <c r="AF227" s="36">
        <f t="shared" si="193"/>
        <v>-72.823153608289431</v>
      </c>
      <c r="AG227" s="84">
        <f t="shared" si="194"/>
        <v>55940.793489933843</v>
      </c>
      <c r="AH227" s="56">
        <f t="shared" si="195"/>
        <v>47573.448475078025</v>
      </c>
      <c r="AI227" s="55">
        <f t="shared" si="196"/>
        <v>-8367.3450148558186</v>
      </c>
      <c r="AJ227" s="41">
        <f>'[2]побудинковий звіт'!AJ227+'[1]побудинковий звіт'!AJ227</f>
        <v>37100.620245391292</v>
      </c>
      <c r="AK227" s="41">
        <f>'[2]побудинковий звіт'!AK227+'[1]побудинковий звіт'!AK227</f>
        <v>34482.444779895384</v>
      </c>
      <c r="AL227" s="55">
        <f t="shared" si="197"/>
        <v>-2618.1754654959077</v>
      </c>
      <c r="AM227" s="41">
        <f>'[2]побудинковий звіт'!AM227+'[1]побудинковий звіт'!AM227</f>
        <v>3262.8674795522466</v>
      </c>
      <c r="AN227" s="41">
        <f>'[2]побудинковий звіт'!AN227+'[1]побудинковий звіт'!AN227</f>
        <v>3024.09773637746</v>
      </c>
      <c r="AO227" s="55">
        <f t="shared" si="198"/>
        <v>-238.76974317478653</v>
      </c>
      <c r="AP227" s="41">
        <f>'[2]побудинковий звіт'!AP227+'[1]побудинковий звіт'!AP227</f>
        <v>3516.622697313474</v>
      </c>
      <c r="AQ227" s="41">
        <f>'[2]побудинковий звіт'!AQ227+'[1]побудинковий звіт'!AQ227</f>
        <v>3349.6544907777306</v>
      </c>
      <c r="AR227" s="55">
        <f t="shared" si="199"/>
        <v>-166.96820653574332</v>
      </c>
      <c r="AS227" s="41">
        <f>'[2]побудинковий звіт'!AS227+'[1]побудинковий звіт'!AS227</f>
        <v>61511.220215269786</v>
      </c>
      <c r="AT227" s="41">
        <f>'[2]побудинковий звіт'!AT227+'[1]побудинковий звіт'!AT227</f>
        <v>272344.47712230409</v>
      </c>
      <c r="AU227" s="57">
        <f t="shared" si="200"/>
        <v>210833.25690703432</v>
      </c>
      <c r="AV227" s="41">
        <f>'[2]побудинковий звіт'!AV227+'[1]побудинковий звіт'!AV227</f>
        <v>1591.0331677744989</v>
      </c>
      <c r="AW227" s="41">
        <f>'[2]побудинковий звіт'!AW227+'[1]побудинковий звіт'!AW227</f>
        <v>527.72371755561187</v>
      </c>
      <c r="AX227" s="58">
        <f t="shared" si="201"/>
        <v>-1063.3094502188869</v>
      </c>
      <c r="AY227" s="41">
        <f>'[2]побудинковий звіт'!AY227+'[1]побудинковий звіт'!AY227</f>
        <v>1603.7372787233221</v>
      </c>
      <c r="AZ227" s="41">
        <f>'[2]побудинковий звіт'!AZ227+'[1]побудинковий звіт'!AZ227</f>
        <v>0</v>
      </c>
      <c r="BA227" s="36">
        <f t="shared" si="202"/>
        <v>-1603.7372787233221</v>
      </c>
      <c r="BB227" s="41">
        <f>'[2]побудинковий звіт'!BB227+'[1]побудинковий звіт'!BB227</f>
        <v>1275.9732758483231</v>
      </c>
      <c r="BC227" s="41">
        <f>'[2]побудинковий звіт'!BC227+'[1]побудинковий звіт'!BC227</f>
        <v>0</v>
      </c>
      <c r="BD227" s="58">
        <f t="shared" si="203"/>
        <v>-1275.9732758483231</v>
      </c>
      <c r="BE227" s="41">
        <f>'[2]побудинковий звіт'!BE227+'[1]побудинковий звіт'!BE227</f>
        <v>639.84295338981974</v>
      </c>
      <c r="BF227" s="41">
        <f>'[2]побудинковий звіт'!BF227+'[1]побудинковий звіт'!BF227</f>
        <v>858.1913451964266</v>
      </c>
      <c r="BG227" s="38">
        <f t="shared" si="204"/>
        <v>218.34839180660686</v>
      </c>
      <c r="BH227" s="41">
        <f>'[2]побудинковий звіт'!BH227+'[1]побудинковий звіт'!BH227</f>
        <v>402.94386072459065</v>
      </c>
      <c r="BI227" s="41">
        <f>'[2]побудинковий звіт'!BI227+'[1]побудинковий звіт'!BI227</f>
        <v>0</v>
      </c>
      <c r="BJ227" s="58">
        <f t="shared" si="205"/>
        <v>-402.94386072459065</v>
      </c>
      <c r="BK227" s="41">
        <f>'[2]побудинковий звіт'!BK227+'[1]побудинковий звіт'!BK227</f>
        <v>1048.7736974334994</v>
      </c>
      <c r="BL227" s="41">
        <f>'[2]побудинковий звіт'!BL227+'[1]побудинковий звіт'!BL227</f>
        <v>3890.2132350196166</v>
      </c>
      <c r="BM227" s="38">
        <f t="shared" si="206"/>
        <v>2841.4395375861172</v>
      </c>
      <c r="BN227" s="41">
        <f>'[2]побудинковий звіт'!BN227+'[1]побудинковий звіт'!BN227</f>
        <v>352.61734293920773</v>
      </c>
      <c r="BO227" s="41">
        <f>'[2]побудинковий звіт'!BO227+'[1]побудинковий звіт'!BO227</f>
        <v>0</v>
      </c>
      <c r="BP227" s="58">
        <f t="shared" si="207"/>
        <v>-352.61734293920773</v>
      </c>
      <c r="BQ227" s="84">
        <f t="shared" si="208"/>
        <v>6914.9215768332606</v>
      </c>
      <c r="BR227" s="42">
        <f t="shared" si="209"/>
        <v>5276.1282977716546</v>
      </c>
      <c r="BS227" s="58">
        <f t="shared" si="210"/>
        <v>-1638.793279061606</v>
      </c>
      <c r="BT227" s="41">
        <f>'[2]побудинковий звіт'!BT227+'[1]побудинковий звіт'!BT227</f>
        <v>57834.601016276261</v>
      </c>
      <c r="BU227" s="41">
        <f>'[2]побудинковий звіт'!BU227+'[1]побудинковий звіт'!BU227</f>
        <v>87173.544144802363</v>
      </c>
      <c r="BV227" s="55">
        <f t="shared" si="211"/>
        <v>29338.943128526102</v>
      </c>
      <c r="BW227" s="41">
        <f>'[2]побудинковий звіт'!BW227+'[1]побудинковий звіт'!BW227</f>
        <v>37849.285693476791</v>
      </c>
      <c r="BX227" s="41">
        <f>'[2]побудинковий звіт'!BX227+'[1]побудинковий звіт'!BX227</f>
        <v>46717.244997624366</v>
      </c>
      <c r="BY227" s="55">
        <f t="shared" si="212"/>
        <v>8867.9593041475746</v>
      </c>
      <c r="BZ227" s="41">
        <f>'[2]побудинковий звіт'!BZ227+'[1]побудинковий звіт'!BZ227</f>
        <v>16948.877567048115</v>
      </c>
      <c r="CA227" s="41">
        <f>'[2]побудинковий звіт'!CA227+'[1]побудинковий звіт'!CA227</f>
        <v>8511.824594883281</v>
      </c>
      <c r="CB227" s="55">
        <f t="shared" si="213"/>
        <v>-8437.0529721648345</v>
      </c>
      <c r="CC227" s="41">
        <f>'[2]побудинковий звіт'!CC227+'[1]побудинковий звіт'!CC227</f>
        <v>1461.1297901488747</v>
      </c>
      <c r="CD227" s="41">
        <f>'[2]побудинковий звіт'!CD227+'[1]побудинковий звіт'!CD227</f>
        <v>1466.0843182874908</v>
      </c>
      <c r="CE227" s="55">
        <f t="shared" si="214"/>
        <v>4.9545281386160696</v>
      </c>
      <c r="CF227" s="41">
        <f>'[2]побудинковий звіт'!CF227+'[1]побудинковий звіт'!CF227</f>
        <v>181.02621482402361</v>
      </c>
      <c r="CG227" s="41">
        <f>'[2]побудинковий звіт'!CG227+'[1]побудинковий звіт'!CG227</f>
        <v>0</v>
      </c>
      <c r="CH227" s="55">
        <f t="shared" si="215"/>
        <v>-181.02621482402361</v>
      </c>
      <c r="CI227" s="41">
        <f>'[2]побудинковий звіт'!CI227+'[1]побудинковий звіт'!CI227</f>
        <v>2341.3836650763651</v>
      </c>
      <c r="CJ227" s="41">
        <f>'[2]побудинковий звіт'!CJ227+'[1]побудинковий звіт'!CJ227</f>
        <v>7663.1883335154489</v>
      </c>
      <c r="CK227" s="55">
        <f t="shared" si="216"/>
        <v>5321.8046684390838</v>
      </c>
      <c r="CL227" s="41">
        <f>'[2]побудинковий звіт'!CL227+'[1]побудинковий звіт'!CL227</f>
        <v>15176.207469746012</v>
      </c>
      <c r="CM227" s="41">
        <f>'[2]побудинковий звіт'!CM227+'[1]побудинковий звіт'!CM227</f>
        <v>10559.188469052006</v>
      </c>
      <c r="CN227" s="55">
        <f t="shared" si="217"/>
        <v>-4617.0190006940065</v>
      </c>
      <c r="CO227" s="41">
        <f t="shared" si="218"/>
        <v>17517.591134822378</v>
      </c>
      <c r="CP227" s="42">
        <f t="shared" si="219"/>
        <v>18222.376802567454</v>
      </c>
      <c r="CQ227" s="55">
        <f t="shared" si="220"/>
        <v>704.78566774507635</v>
      </c>
      <c r="CR227" s="76">
        <f t="shared" si="221"/>
        <v>300039.55712089036</v>
      </c>
      <c r="CS227" s="5">
        <f t="shared" si="222"/>
        <v>528141.32576036942</v>
      </c>
      <c r="CT227" s="55">
        <f t="shared" si="223"/>
        <v>228101.76863947907</v>
      </c>
      <c r="CU227" s="84">
        <f t="shared" si="224"/>
        <v>360047.4685450684</v>
      </c>
      <c r="CV227" s="68">
        <f t="shared" si="225"/>
        <v>633769.59091244324</v>
      </c>
      <c r="CW227" s="36">
        <f t="shared" si="226"/>
        <v>273722.12236737483</v>
      </c>
      <c r="CX227" s="41">
        <f>'[2]побудинковий звіт'!CX227+'[1]побудинковий звіт'!CX227</f>
        <v>11075.742114147904</v>
      </c>
      <c r="CY227" s="41">
        <f>'[2]побудинковий звіт'!CY227+'[1]побудинковий звіт'!CY227</f>
        <v>-262646.38025322679</v>
      </c>
      <c r="CZ227" s="55">
        <f t="shared" si="227"/>
        <v>-273722.12236737472</v>
      </c>
      <c r="DA227" s="254">
        <f>'[1]побудинковий звіт'!DA227</f>
        <v>159328.90531328914</v>
      </c>
      <c r="DB227" s="2">
        <v>1</v>
      </c>
      <c r="DC227" s="702">
        <f>'[1]побудинковий звіт'!DC227</f>
        <v>94975.57</v>
      </c>
      <c r="DD227" s="702">
        <f>'[1]побудинковий звіт'!DD227</f>
        <v>0</v>
      </c>
      <c r="DE227" s="702">
        <f>'[1]побудинковий звіт'!DE227</f>
        <v>54462.180000000008</v>
      </c>
      <c r="DF227" s="702">
        <f>'[1]побудинковий звіт'!DF227</f>
        <v>0</v>
      </c>
      <c r="DG227" s="772">
        <v>-74076.855459976709</v>
      </c>
      <c r="DH227" s="746">
        <f t="shared" si="239"/>
        <v>4453478.5279105958</v>
      </c>
      <c r="DI227" s="769"/>
      <c r="DJ227" s="5"/>
      <c r="DK227" s="307">
        <f>VLOOKUP($A227,ціни!$A$4:$G$401,5)</f>
        <v>5.4419018691347851</v>
      </c>
      <c r="DL227" s="307">
        <f>VLOOKUP($A227,ціни!$A$4:$G$401,6)</f>
        <v>6.843691351662434</v>
      </c>
      <c r="DM227" s="307">
        <f>VLOOKUP($A227,ціни!$A$4:$G$401,7)</f>
        <v>4.5933468496019625</v>
      </c>
      <c r="DN227" s="29">
        <f>DK227*G227+(F227-G227)*DL227</f>
        <v>29123.37340966177</v>
      </c>
      <c r="DO227" s="29">
        <f>DM227*H227</f>
        <v>0</v>
      </c>
      <c r="DP227" s="306">
        <f t="shared" si="240"/>
        <v>29123.37340966177</v>
      </c>
      <c r="DQ227" s="101"/>
      <c r="DR227" s="29">
        <f>VLOOKUP(A227,'ДЗ нас '!$A$1:$C$359,2)</f>
        <v>29123.39</v>
      </c>
      <c r="DS227" s="733"/>
      <c r="DT227" s="29">
        <f t="shared" si="241"/>
        <v>29123.39</v>
      </c>
      <c r="DU227" s="247">
        <f>VLOOKUP(A227,'новий кошторис с 01.06'!$A$4:$AI$399,35)*1.2</f>
        <v>29241.547254361027</v>
      </c>
      <c r="DV227" s="29">
        <f t="shared" si="242"/>
        <v>-118.1572543610273</v>
      </c>
      <c r="DW227" s="1016">
        <f>'[2]побудинковий звіт'!$DW$9+'[1]побудинковий звіт'!DW227</f>
        <v>918</v>
      </c>
      <c r="DX227" s="101">
        <f>'[1]побудинковий звіт'!DX227</f>
        <v>0</v>
      </c>
      <c r="DY227" s="5">
        <f t="shared" si="243"/>
        <v>82111.370150523653</v>
      </c>
      <c r="DZ227" s="5">
        <f t="shared" si="244"/>
        <v>333144.72650409088</v>
      </c>
      <c r="EA227" s="737">
        <f t="shared" si="245"/>
        <v>54462.180000000008</v>
      </c>
      <c r="EC227" s="577">
        <f t="shared" si="246"/>
        <v>738134.6425832375</v>
      </c>
      <c r="EE227" s="743">
        <v>-53569</v>
      </c>
      <c r="EF227" s="723">
        <f t="shared" si="247"/>
        <v>-127645.85545997671</v>
      </c>
      <c r="EH227" s="798">
        <v>-95929.323259541532</v>
      </c>
      <c r="EI227" s="101">
        <f>VLOOKUP(A227,'кошти 01.01.24'!$A$9:$D$352,4,FALSE)</f>
        <v>-114393.21705408559</v>
      </c>
    </row>
    <row r="228" spans="1:139" hidden="1" x14ac:dyDescent="0.3">
      <c r="A228" s="318">
        <v>150000964</v>
      </c>
      <c r="B228" s="43" t="s">
        <v>661</v>
      </c>
      <c r="C228" s="44" t="s">
        <v>382</v>
      </c>
      <c r="D228" s="44" t="s">
        <v>382</v>
      </c>
      <c r="E228" s="39">
        <f t="shared" si="185"/>
        <v>2131.65</v>
      </c>
      <c r="F228" s="205">
        <f>'[1]побудинковий звіт'!F228</f>
        <v>2131.65</v>
      </c>
      <c r="G228" s="29">
        <f>'[1]побудинковий звіт'!G228</f>
        <v>234</v>
      </c>
      <c r="H228" s="148">
        <f>'[1]побудинковий звіт'!H228</f>
        <v>0</v>
      </c>
      <c r="I228" s="41">
        <f>'[2]побудинковий звіт'!I228+'[1]побудинковий звіт'!I228</f>
        <v>8334.4225129870974</v>
      </c>
      <c r="J228" s="41">
        <f>'[2]побудинковий звіт'!J228+'[1]побудинковий звіт'!J228</f>
        <v>6555.6141502584924</v>
      </c>
      <c r="K228" s="55">
        <f t="shared" si="186"/>
        <v>-1778.8083627286051</v>
      </c>
      <c r="L228" s="41">
        <f>'[2]побудинковий звіт'!L228+'[1]побудинковий звіт'!L228</f>
        <v>1244.3816270815794</v>
      </c>
      <c r="M228" s="41">
        <f>'[2]побудинковий звіт'!M228+'[1]побудинковий звіт'!M228</f>
        <v>1155.9287878907057</v>
      </c>
      <c r="N228" s="55">
        <f t="shared" si="187"/>
        <v>-88.452839190873647</v>
      </c>
      <c r="O228" s="41">
        <f>'[2]побудинковий звіт'!O228+'[1]побудинковий звіт'!O228</f>
        <v>3341.6498631462946</v>
      </c>
      <c r="P228" s="41">
        <f>'[2]побудинковий звіт'!P228+'[1]побудинковий звіт'!P228</f>
        <v>3350.9616103294334</v>
      </c>
      <c r="Q228" s="55">
        <f t="shared" si="188"/>
        <v>9.3117471831387775</v>
      </c>
      <c r="R228" s="41">
        <f>'[2]побудинковий звіт'!R228+'[1]побудинковий звіт'!R228</f>
        <v>733.82630489487792</v>
      </c>
      <c r="S228" s="41">
        <f>'[2]побудинковий звіт'!S228+'[1]побудинковий звіт'!S228</f>
        <v>735.83733848583643</v>
      </c>
      <c r="T228" s="55">
        <f t="shared" si="189"/>
        <v>2.0110335909585046</v>
      </c>
      <c r="U228" s="41">
        <f>'[2]побудинковий звіт'!U228+'[1]побудинковий звіт'!U228</f>
        <v>387.64586387093766</v>
      </c>
      <c r="V228" s="41">
        <f>'[2]побудинковий звіт'!V228+'[1]побудинковий звіт'!V228</f>
        <v>230.74365094774299</v>
      </c>
      <c r="W228" s="55">
        <f t="shared" si="190"/>
        <v>-156.90221292319467</v>
      </c>
      <c r="X228" s="41">
        <f>'[2]побудинковий звіт'!X228+'[1]побудинковий звіт'!X228</f>
        <v>2363.0845527346596</v>
      </c>
      <c r="Y228" s="41">
        <f>'[2]побудинковий звіт'!Y228+'[1]побудинковий звіт'!Y228</f>
        <v>4402.6626235838021</v>
      </c>
      <c r="Z228" s="55">
        <f t="shared" si="191"/>
        <v>2039.5780708491425</v>
      </c>
      <c r="AA228" s="41">
        <f>'[2]побудинковий звіт'!AA228+'[1]побудинковий звіт'!AA228</f>
        <v>0</v>
      </c>
      <c r="AB228" s="41">
        <f>'[2]побудинковий звіт'!AB228+'[1]побудинковий звіт'!AB228</f>
        <v>0</v>
      </c>
      <c r="AC228" s="55">
        <f t="shared" si="192"/>
        <v>0</v>
      </c>
      <c r="AD228" s="41">
        <f>'[2]побудинковий звіт'!AD228+'[1]побудинковий звіт'!AD228</f>
        <v>9246.3512393622968</v>
      </c>
      <c r="AE228" s="41">
        <f>'[2]побудинковий звіт'!AE228+'[1]побудинковий звіт'!AE228</f>
        <v>9210.3623475954519</v>
      </c>
      <c r="AF228" s="36">
        <f t="shared" si="193"/>
        <v>-35.988891766844972</v>
      </c>
      <c r="AG228" s="84">
        <f t="shared" si="194"/>
        <v>25651.36196407774</v>
      </c>
      <c r="AH228" s="56">
        <f t="shared" si="195"/>
        <v>25642.110509091464</v>
      </c>
      <c r="AI228" s="55">
        <f t="shared" si="196"/>
        <v>-9.2514549862753483</v>
      </c>
      <c r="AJ228" s="41">
        <f>'[2]побудинковий звіт'!AJ228+'[1]побудинковий звіт'!AJ228</f>
        <v>18065.864231737774</v>
      </c>
      <c r="AK228" s="41">
        <f>'[2]побудинковий звіт'!AK228+'[1]побудинковий звіт'!AK228</f>
        <v>17241.226750496211</v>
      </c>
      <c r="AL228" s="55">
        <f t="shared" si="197"/>
        <v>-824.63748124156336</v>
      </c>
      <c r="AM228" s="41">
        <f>'[2]побудинковий звіт'!AM228+'[1]побудинковий звіт'!AM228</f>
        <v>1631.4337397761233</v>
      </c>
      <c r="AN228" s="41">
        <f>'[2]побудинковий звіт'!AN228+'[1]побудинковий звіт'!AN228</f>
        <v>0</v>
      </c>
      <c r="AO228" s="55">
        <f t="shared" si="198"/>
        <v>-1631.4337397761233</v>
      </c>
      <c r="AP228" s="41">
        <f>'[2]побудинковий звіт'!AP228+'[1]побудинковий звіт'!AP228</f>
        <v>1783.0762972293671</v>
      </c>
      <c r="AQ228" s="41">
        <f>'[2]побудинковий звіт'!AQ228+'[1]побудинковий звіт'!AQ228</f>
        <v>1677.4460125266892</v>
      </c>
      <c r="AR228" s="55">
        <f t="shared" si="199"/>
        <v>-105.63028470267795</v>
      </c>
      <c r="AS228" s="41">
        <f>'[2]побудинковий звіт'!AS228+'[1]побудинковий звіт'!AS228</f>
        <v>31493.011419382816</v>
      </c>
      <c r="AT228" s="41">
        <f>'[2]побудинковий звіт'!AT228+'[1]побудинковий звіт'!AT228</f>
        <v>4786.6818761710392</v>
      </c>
      <c r="AU228" s="57">
        <f t="shared" si="200"/>
        <v>-26706.329543211777</v>
      </c>
      <c r="AV228" s="41">
        <f>'[2]побудинковий звіт'!AV228+'[1]побудинковий звіт'!AV228</f>
        <v>307.02449884558894</v>
      </c>
      <c r="AW228" s="41">
        <f>'[2]побудинковий звіт'!AW228+'[1]побудинковий звіт'!AW228</f>
        <v>0</v>
      </c>
      <c r="AX228" s="58">
        <f t="shared" si="201"/>
        <v>-307.02449884558894</v>
      </c>
      <c r="AY228" s="41">
        <f>'[2]побудинковий звіт'!AY228+'[1]побудинковий звіт'!AY228</f>
        <v>366.8809907715904</v>
      </c>
      <c r="AZ228" s="41">
        <f>'[2]побудинковий звіт'!AZ228+'[1]побудинковий звіт'!AZ228</f>
        <v>0</v>
      </c>
      <c r="BA228" s="36">
        <f t="shared" si="202"/>
        <v>-366.8809907715904</v>
      </c>
      <c r="BB228" s="41">
        <f>'[2]побудинковий звіт'!BB228+'[1]побудинковий звіт'!BB228</f>
        <v>337.39763454812299</v>
      </c>
      <c r="BC228" s="41">
        <f>'[2]побудинковий звіт'!BC228+'[1]побудинковий звіт'!BC228</f>
        <v>947.49409846507069</v>
      </c>
      <c r="BD228" s="58">
        <f t="shared" si="203"/>
        <v>610.09646391694764</v>
      </c>
      <c r="BE228" s="41">
        <f>'[2]побудинковий звіт'!BE228+'[1]побудинковий звіт'!BE228</f>
        <v>163.59089100950897</v>
      </c>
      <c r="BF228" s="41">
        <f>'[2]побудинковий звіт'!BF228+'[1]побудинковий звіт'!BF228</f>
        <v>429.10855592932234</v>
      </c>
      <c r="BG228" s="38">
        <f t="shared" si="204"/>
        <v>265.51766491981334</v>
      </c>
      <c r="BH228" s="41">
        <f>'[2]побудинковий звіт'!BH228+'[1]побудинковий звіт'!BH228</f>
        <v>101.54065885949045</v>
      </c>
      <c r="BI228" s="41">
        <f>'[2]побудинковий звіт'!BI228+'[1]побудинковий звіт'!BI228</f>
        <v>0</v>
      </c>
      <c r="BJ228" s="58">
        <f t="shared" si="205"/>
        <v>-101.54065885949045</v>
      </c>
      <c r="BK228" s="41">
        <f>'[2]побудинковий звіт'!BK228+'[1]побудинковий звіт'!BK228</f>
        <v>138.56491761073863</v>
      </c>
      <c r="BL228" s="41">
        <f>'[2]побудинковий звіт'!BL228+'[1]побудинковий звіт'!BL228</f>
        <v>1773.2036463021441</v>
      </c>
      <c r="BM228" s="38">
        <f t="shared" si="206"/>
        <v>1634.6387286914055</v>
      </c>
      <c r="BN228" s="41">
        <f>'[2]побудинковий звіт'!BN228+'[1]побудинковий звіт'!BN228</f>
        <v>172.45840041822586</v>
      </c>
      <c r="BO228" s="41">
        <f>'[2]побудинковий звіт'!BO228+'[1]побудинковий звіт'!BO228</f>
        <v>0</v>
      </c>
      <c r="BP228" s="58">
        <f t="shared" si="207"/>
        <v>-172.45840041822586</v>
      </c>
      <c r="BQ228" s="84">
        <f t="shared" si="208"/>
        <v>1587.4579920632661</v>
      </c>
      <c r="BR228" s="42">
        <f t="shared" si="209"/>
        <v>3149.8063006965372</v>
      </c>
      <c r="BS228" s="58">
        <f t="shared" si="210"/>
        <v>1562.348308633271</v>
      </c>
      <c r="BT228" s="41">
        <f>'[2]побудинковий звіт'!BT228+'[1]побудинковий звіт'!BT228</f>
        <v>38368.697907913775</v>
      </c>
      <c r="BU228" s="41">
        <f>'[2]побудинковий звіт'!BU228+'[1]побудинковий звіт'!BU228</f>
        <v>51269.960615736556</v>
      </c>
      <c r="BV228" s="55">
        <f t="shared" si="211"/>
        <v>12901.262707822782</v>
      </c>
      <c r="BW228" s="41">
        <f>'[2]побудинковий звіт'!BW228+'[1]побудинковий звіт'!BW228</f>
        <v>18940.191859691226</v>
      </c>
      <c r="BX228" s="41">
        <f>'[2]побудинковий звіт'!BX228+'[1]побудинковий звіт'!BX228</f>
        <v>23372.559979041056</v>
      </c>
      <c r="BY228" s="55">
        <f t="shared" si="212"/>
        <v>4432.3681193498305</v>
      </c>
      <c r="BZ228" s="41">
        <f>'[2]побудинковий звіт'!BZ228+'[1]побудинковий звіт'!BZ228</f>
        <v>7411.268617689906</v>
      </c>
      <c r="CA228" s="41">
        <f>'[2]побудинковий звіт'!CA228+'[1]побудинковий звіт'!CA228</f>
        <v>4486.8657881318322</v>
      </c>
      <c r="CB228" s="55">
        <f t="shared" si="213"/>
        <v>-2924.4028295580738</v>
      </c>
      <c r="CC228" s="41">
        <f>'[2]побудинковий звіт'!CC228+'[1]побудинковий звіт'!CC228</f>
        <v>769.49782051727573</v>
      </c>
      <c r="CD228" s="41">
        <f>'[2]побудинковий звіт'!CD228+'[1]побудинковий звіт'!CD228</f>
        <v>772.10710179403918</v>
      </c>
      <c r="CE228" s="55">
        <f t="shared" si="214"/>
        <v>2.6092812767634541</v>
      </c>
      <c r="CF228" s="41">
        <f>'[2]побудинковий звіт'!CF228+'[1]побудинковий звіт'!CF228</f>
        <v>95.336689938670716</v>
      </c>
      <c r="CG228" s="41">
        <f>'[2]побудинковий звіт'!CG228+'[1]побудинковий звіт'!CG228</f>
        <v>0</v>
      </c>
      <c r="CH228" s="55">
        <f t="shared" si="215"/>
        <v>-95.336689938670716</v>
      </c>
      <c r="CI228" s="41">
        <f>'[2]побудинковий звіт'!CI228+'[1]побудинковий звіт'!CI228</f>
        <v>825.82322841152177</v>
      </c>
      <c r="CJ228" s="41">
        <f>'[2]побудинковий звіт'!CJ228+'[1]побудинковий звіт'!CJ228</f>
        <v>3747.3733782307163</v>
      </c>
      <c r="CK228" s="55">
        <f t="shared" si="216"/>
        <v>2921.5501498191943</v>
      </c>
      <c r="CL228" s="41">
        <f>'[2]побудинковий звіт'!CL228+'[1]побудинковий звіт'!CL228</f>
        <v>7421.6916240346563</v>
      </c>
      <c r="CM228" s="41">
        <f>'[2]побудинковий звіт'!CM228+'[1]побудинковий звіт'!CM228</f>
        <v>5170.4638991892743</v>
      </c>
      <c r="CN228" s="55">
        <f t="shared" si="217"/>
        <v>-2251.227724845382</v>
      </c>
      <c r="CO228" s="41">
        <f t="shared" si="218"/>
        <v>8247.5148524461783</v>
      </c>
      <c r="CP228" s="42">
        <f t="shared" si="219"/>
        <v>8917.8372774199906</v>
      </c>
      <c r="CQ228" s="55">
        <f t="shared" si="220"/>
        <v>670.3224249738123</v>
      </c>
      <c r="CR228" s="76">
        <f t="shared" si="221"/>
        <v>154044.71339246412</v>
      </c>
      <c r="CS228" s="5">
        <f t="shared" si="222"/>
        <v>141316.6022111054</v>
      </c>
      <c r="CT228" s="55">
        <f t="shared" si="223"/>
        <v>-12728.111181358719</v>
      </c>
      <c r="CU228" s="84">
        <f t="shared" si="224"/>
        <v>184853.65607095693</v>
      </c>
      <c r="CV228" s="68">
        <f t="shared" si="225"/>
        <v>169579.92265332647</v>
      </c>
      <c r="CW228" s="36">
        <f t="shared" si="226"/>
        <v>-15273.733417630458</v>
      </c>
      <c r="CX228" s="41">
        <f>'[2]побудинковий звіт'!CX228+'[1]побудинковий звіт'!CX228</f>
        <v>5561.7112420651629</v>
      </c>
      <c r="CY228" s="41">
        <f>'[2]побудинковий звіт'!CY228+'[1]побудинковий звіт'!CY228</f>
        <v>20835.444659695615</v>
      </c>
      <c r="CZ228" s="55">
        <f t="shared" si="227"/>
        <v>15273.733417630452</v>
      </c>
      <c r="DA228" s="254">
        <f>'[1]побудинковий звіт'!DA228</f>
        <v>24818.172235131642</v>
      </c>
      <c r="DB228" s="2">
        <v>1</v>
      </c>
      <c r="DC228" s="702">
        <f>'[1]побудинковий звіт'!DC228</f>
        <v>27097.07</v>
      </c>
      <c r="DD228" s="702">
        <f>'[1]побудинковий звіт'!DD228</f>
        <v>0</v>
      </c>
      <c r="DE228" s="702">
        <f>'[1]побудинковий звіт'!DE228</f>
        <v>6001.57</v>
      </c>
      <c r="DF228" s="702">
        <f>'[1]побудинковий звіт'!DF228</f>
        <v>0</v>
      </c>
      <c r="DG228" s="772">
        <v>84320.518591801403</v>
      </c>
      <c r="DH228" s="746">
        <f t="shared" si="239"/>
        <v>2284984.4077562653</v>
      </c>
      <c r="DI228" s="769"/>
      <c r="DJ228" s="5"/>
      <c r="DK228" s="307">
        <f>VLOOKUP($A228,ціни!$A$4:$G$401,5)</f>
        <v>5.7176837039105264</v>
      </c>
      <c r="DL228" s="307">
        <f>VLOOKUP($A228,ціни!$A$4:$G$401,6)</f>
        <v>7.1385903143758922</v>
      </c>
      <c r="DM228" s="307">
        <f>VLOOKUP($A228,ціни!$A$4:$G$401,7)</f>
        <v>4.8512977476068508</v>
      </c>
      <c r="DN228" s="29">
        <f>DK228*G228+(F228-G228)*DL228</f>
        <v>14884.483896790476</v>
      </c>
      <c r="DO228" s="29">
        <f>DM228*H228</f>
        <v>0</v>
      </c>
      <c r="DP228" s="306">
        <f t="shared" si="240"/>
        <v>14884.483896790476</v>
      </c>
      <c r="DQ228" s="101"/>
      <c r="DR228" s="29">
        <f>VLOOKUP(A228,'ДЗ нас '!$A$1:$C$359,2)</f>
        <v>14884.53</v>
      </c>
      <c r="DS228" s="733"/>
      <c r="DT228" s="29">
        <f t="shared" si="241"/>
        <v>14884.53</v>
      </c>
      <c r="DU228" s="247">
        <f>VLOOKUP(A228,'новий кошторис с 01.06'!$A$4:$AI$399,35)*1.2</f>
        <v>14958.525817852631</v>
      </c>
      <c r="DV228" s="29">
        <f t="shared" si="242"/>
        <v>-73.995817852630353</v>
      </c>
      <c r="DW228" s="1016">
        <f>'[2]побудинковий звіт'!$DW$9+'[1]побудинковий звіт'!DW228</f>
        <v>918</v>
      </c>
      <c r="DX228" s="101">
        <f>'[1]побудинковий звіт'!DX228</f>
        <v>0</v>
      </c>
      <c r="DY228" s="5">
        <f t="shared" si="243"/>
        <v>39696.563293735293</v>
      </c>
      <c r="DZ228" s="5">
        <f t="shared" si="244"/>
        <v>9523.7858122410926</v>
      </c>
      <c r="EA228" s="737">
        <f t="shared" si="245"/>
        <v>6001.57</v>
      </c>
      <c r="EC228" s="577">
        <f t="shared" si="246"/>
        <v>377916.13703259378</v>
      </c>
      <c r="EE228" s="743">
        <v>-46981</v>
      </c>
      <c r="EF228" s="723">
        <f t="shared" si="247"/>
        <v>37339.518591801403</v>
      </c>
      <c r="EH228" s="798">
        <v>67026.838691688783</v>
      </c>
      <c r="EI228" s="101">
        <f>VLOOKUP(A228,'кошти 01.01.24'!$A$9:$D$352,4,FALSE)</f>
        <v>40091.905652762092</v>
      </c>
    </row>
    <row r="229" spans="1:139" hidden="1" x14ac:dyDescent="0.3">
      <c r="A229" s="318">
        <v>150000943</v>
      </c>
      <c r="B229" s="43" t="s">
        <v>662</v>
      </c>
      <c r="C229" s="44" t="s">
        <v>122</v>
      </c>
      <c r="D229" s="44" t="s">
        <v>122</v>
      </c>
      <c r="E229" s="39">
        <f t="shared" si="185"/>
        <v>105</v>
      </c>
      <c r="F229" s="205">
        <f>'[1]побудинковий звіт'!F229</f>
        <v>105</v>
      </c>
      <c r="G229" s="29">
        <f>'[1]побудинковий звіт'!G229</f>
        <v>0</v>
      </c>
      <c r="H229" s="148">
        <f>'[1]побудинковий звіт'!H229</f>
        <v>0</v>
      </c>
      <c r="I229" s="41">
        <f>'[2]побудинковий звіт'!I229+'[1]побудинковий звіт'!I229</f>
        <v>0</v>
      </c>
      <c r="J229" s="41">
        <f>'[2]побудинковий звіт'!J229+'[1]побудинковий звіт'!J229</f>
        <v>0</v>
      </c>
      <c r="K229" s="55">
        <f t="shared" si="186"/>
        <v>0</v>
      </c>
      <c r="L229" s="41">
        <f>'[2]побудинковий звіт'!L229+'[1]побудинковий звіт'!L229</f>
        <v>0</v>
      </c>
      <c r="M229" s="41">
        <f>'[2]побудинковий звіт'!M229+'[1]побудинковий звіт'!M229</f>
        <v>0</v>
      </c>
      <c r="N229" s="55">
        <f t="shared" si="187"/>
        <v>0</v>
      </c>
      <c r="O229" s="41">
        <f>'[2]побудинковий звіт'!O229+'[1]побудинковий звіт'!O229</f>
        <v>0</v>
      </c>
      <c r="P229" s="41">
        <f>'[2]побудинковий звіт'!P229+'[1]побудинковий звіт'!P229</f>
        <v>0</v>
      </c>
      <c r="Q229" s="55">
        <f t="shared" si="188"/>
        <v>0</v>
      </c>
      <c r="R229" s="41">
        <f>'[2]побудинковий звіт'!R229+'[1]побудинковий звіт'!R229</f>
        <v>0</v>
      </c>
      <c r="S229" s="41">
        <f>'[2]побудинковий звіт'!S229+'[1]побудинковий звіт'!S229</f>
        <v>0</v>
      </c>
      <c r="T229" s="55">
        <f t="shared" si="189"/>
        <v>0</v>
      </c>
      <c r="U229" s="41">
        <f>'[2]побудинковий звіт'!U229+'[1]побудинковий звіт'!U229</f>
        <v>0</v>
      </c>
      <c r="V229" s="41">
        <f>'[2]побудинковий звіт'!V229+'[1]побудинковий звіт'!V229</f>
        <v>0</v>
      </c>
      <c r="W229" s="55">
        <f t="shared" si="190"/>
        <v>0</v>
      </c>
      <c r="X229" s="41">
        <f>'[2]побудинковий звіт'!X229+'[1]побудинковий звіт'!X229</f>
        <v>0</v>
      </c>
      <c r="Y229" s="41">
        <f>'[2]побудинковий звіт'!Y229+'[1]побудинковий звіт'!Y229</f>
        <v>0</v>
      </c>
      <c r="Z229" s="55">
        <f t="shared" si="191"/>
        <v>0</v>
      </c>
      <c r="AA229" s="41">
        <f>'[2]побудинковий звіт'!AA229+'[1]побудинковий звіт'!AA229</f>
        <v>0</v>
      </c>
      <c r="AB229" s="41">
        <f>'[2]побудинковий звіт'!AB229+'[1]побудинковий звіт'!AB229</f>
        <v>0</v>
      </c>
      <c r="AC229" s="55">
        <f t="shared" si="192"/>
        <v>0</v>
      </c>
      <c r="AD229" s="41">
        <f>'[2]побудинковий звіт'!AD229+'[1]побудинковий звіт'!AD229</f>
        <v>0</v>
      </c>
      <c r="AE229" s="41">
        <f>'[2]побудинковий звіт'!AE229+'[1]побудинковий звіт'!AE229</f>
        <v>0</v>
      </c>
      <c r="AF229" s="36">
        <f t="shared" si="193"/>
        <v>0</v>
      </c>
      <c r="AG229" s="84">
        <f t="shared" si="194"/>
        <v>0</v>
      </c>
      <c r="AH229" s="56">
        <f t="shared" si="195"/>
        <v>0</v>
      </c>
      <c r="AI229" s="55">
        <f t="shared" si="196"/>
        <v>0</v>
      </c>
      <c r="AJ229" s="41">
        <f>'[2]побудинковий звіт'!AJ229+'[1]побудинковий звіт'!AJ229</f>
        <v>0</v>
      </c>
      <c r="AK229" s="41">
        <f>'[2]побудинковий звіт'!AK229+'[1]побудинковий звіт'!AK229</f>
        <v>0</v>
      </c>
      <c r="AL229" s="55">
        <f t="shared" si="197"/>
        <v>0</v>
      </c>
      <c r="AM229" s="41">
        <f>'[2]побудинковий звіт'!AM229+'[1]побудинковий звіт'!AM229</f>
        <v>0</v>
      </c>
      <c r="AN229" s="41">
        <f>'[2]побудинковий звіт'!AN229+'[1]побудинковий звіт'!AN229</f>
        <v>0</v>
      </c>
      <c r="AO229" s="55">
        <f t="shared" si="198"/>
        <v>0</v>
      </c>
      <c r="AP229" s="41">
        <f>'[2]побудинковий звіт'!AP229+'[1]побудинковий звіт'!AP229</f>
        <v>357.53422513480518</v>
      </c>
      <c r="AQ229" s="41">
        <f>'[2]побудинковий звіт'!AQ229+'[1]побудинковий звіт'!AQ229</f>
        <v>69.49624201084778</v>
      </c>
      <c r="AR229" s="55">
        <f t="shared" si="199"/>
        <v>-288.03798312395742</v>
      </c>
      <c r="AS229" s="41">
        <f>'[2]побудинковий звіт'!AS229+'[1]побудинковий звіт'!AS229</f>
        <v>1678.4163022341672</v>
      </c>
      <c r="AT229" s="41">
        <f>'[2]побудинковий звіт'!AT229+'[1]побудинковий звіт'!AT229</f>
        <v>0</v>
      </c>
      <c r="AU229" s="57">
        <f t="shared" si="200"/>
        <v>-1678.4163022341672</v>
      </c>
      <c r="AV229" s="41">
        <f>'[2]побудинковий звіт'!AV229+'[1]побудинковий звіт'!AV229</f>
        <v>0</v>
      </c>
      <c r="AW229" s="41">
        <f>'[2]побудинковий звіт'!AW229+'[1]побудинковий звіт'!AW229</f>
        <v>0</v>
      </c>
      <c r="AX229" s="58">
        <f t="shared" si="201"/>
        <v>0</v>
      </c>
      <c r="AY229" s="41">
        <f>'[2]побудинковий звіт'!AY229+'[1]побудинковий звіт'!AY229</f>
        <v>0</v>
      </c>
      <c r="AZ229" s="41">
        <f>'[2]побудинковий звіт'!AZ229+'[1]побудинковий звіт'!AZ229</f>
        <v>0</v>
      </c>
      <c r="BA229" s="36">
        <f t="shared" si="202"/>
        <v>0</v>
      </c>
      <c r="BB229" s="41">
        <f>'[2]побудинковий звіт'!BB229+'[1]побудинковий звіт'!BB229</f>
        <v>0</v>
      </c>
      <c r="BC229" s="41">
        <f>'[2]побудинковий звіт'!BC229+'[1]побудинковий звіт'!BC229</f>
        <v>0</v>
      </c>
      <c r="BD229" s="58">
        <f t="shared" si="203"/>
        <v>0</v>
      </c>
      <c r="BE229" s="41">
        <f>'[2]побудинковий звіт'!BE229+'[1]побудинковий звіт'!BE229</f>
        <v>0</v>
      </c>
      <c r="BF229" s="41">
        <f>'[2]побудинковий звіт'!BF229+'[1]побудинковий звіт'!BF229</f>
        <v>0</v>
      </c>
      <c r="BG229" s="38">
        <f t="shared" si="204"/>
        <v>0</v>
      </c>
      <c r="BH229" s="41">
        <f>'[2]побудинковий звіт'!BH229+'[1]побудинковий звіт'!BH229</f>
        <v>0</v>
      </c>
      <c r="BI229" s="41">
        <f>'[2]побудинковий звіт'!BI229+'[1]побудинковий звіт'!BI229</f>
        <v>0</v>
      </c>
      <c r="BJ229" s="58">
        <f t="shared" si="205"/>
        <v>0</v>
      </c>
      <c r="BK229" s="41">
        <f>'[2]побудинковий звіт'!BK229+'[1]побудинковий звіт'!BK229</f>
        <v>0</v>
      </c>
      <c r="BL229" s="41">
        <f>'[2]побудинковий звіт'!BL229+'[1]побудинковий звіт'!BL229</f>
        <v>0</v>
      </c>
      <c r="BM229" s="38">
        <f t="shared" si="206"/>
        <v>0</v>
      </c>
      <c r="BN229" s="41">
        <f>'[2]побудинковий звіт'!BN229+'[1]побудинковий звіт'!BN229</f>
        <v>0</v>
      </c>
      <c r="BO229" s="41">
        <f>'[2]побудинковий звіт'!BO229+'[1]побудинковий звіт'!BO229</f>
        <v>0</v>
      </c>
      <c r="BP229" s="58">
        <f t="shared" si="207"/>
        <v>0</v>
      </c>
      <c r="BQ229" s="84">
        <f t="shared" si="208"/>
        <v>0</v>
      </c>
      <c r="BR229" s="42">
        <f t="shared" si="209"/>
        <v>0</v>
      </c>
      <c r="BS229" s="58">
        <f t="shared" si="210"/>
        <v>0</v>
      </c>
      <c r="BT229" s="41">
        <f>'[2]побудинковий звіт'!BT229+'[1]побудинковий звіт'!BT229</f>
        <v>174.87839951025043</v>
      </c>
      <c r="BU229" s="41">
        <f>'[2]побудинковий звіт'!BU229+'[1]побудинковий звіт'!BU229</f>
        <v>1181.438345815907</v>
      </c>
      <c r="BV229" s="55">
        <f t="shared" si="211"/>
        <v>1006.5599463056566</v>
      </c>
      <c r="BW229" s="41">
        <f>'[2]побудинковий звіт'!BW229+'[1]побудинковий звіт'!BW229</f>
        <v>0</v>
      </c>
      <c r="BX229" s="41">
        <f>'[2]побудинковий звіт'!BX229+'[1]побудинковий звіт'!BX229</f>
        <v>0.42738067986461487</v>
      </c>
      <c r="BY229" s="55">
        <f t="shared" si="212"/>
        <v>0.42738067986461487</v>
      </c>
      <c r="BZ229" s="41">
        <f>'[2]побудинковий звіт'!BZ229+'[1]побудинковий звіт'!BZ229</f>
        <v>34.377326691921368</v>
      </c>
      <c r="CA229" s="41">
        <f>'[2]побудинковий звіт'!CA229+'[1]побудинковий звіт'!CA229</f>
        <v>105.84291416560028</v>
      </c>
      <c r="CB229" s="55">
        <f t="shared" si="213"/>
        <v>71.465587473678909</v>
      </c>
      <c r="CC229" s="41">
        <f>'[2]побудинковий звіт'!CC229+'[1]побудинковий звіт'!CC229</f>
        <v>0</v>
      </c>
      <c r="CD229" s="41">
        <f>'[2]побудинковий звіт'!CD229+'[1]побудинковий звіт'!CD229</f>
        <v>0</v>
      </c>
      <c r="CE229" s="55">
        <f t="shared" si="214"/>
        <v>0</v>
      </c>
      <c r="CF229" s="41">
        <f>'[2]побудинковий звіт'!CF229+'[1]побудинковий звіт'!CF229</f>
        <v>0</v>
      </c>
      <c r="CG229" s="41">
        <f>'[2]побудинковий звіт'!CG229+'[1]побудинковий звіт'!CG229</f>
        <v>0</v>
      </c>
      <c r="CH229" s="55">
        <f t="shared" si="215"/>
        <v>0</v>
      </c>
      <c r="CI229" s="41">
        <f>'[2]побудинковий звіт'!CI229+'[1]побудинковий звіт'!CI229</f>
        <v>0</v>
      </c>
      <c r="CJ229" s="41">
        <f>'[2]побудинковий звіт'!CJ229+'[1]побудинковий звіт'!CJ229</f>
        <v>0</v>
      </c>
      <c r="CK229" s="55">
        <f t="shared" si="216"/>
        <v>0</v>
      </c>
      <c r="CL229" s="41">
        <f>'[2]побудинковий звіт'!CL229+'[1]побудинковий звіт'!CL229</f>
        <v>0</v>
      </c>
      <c r="CM229" s="41">
        <f>'[2]побудинковий звіт'!CM229+'[1]побудинковий звіт'!CM229</f>
        <v>0</v>
      </c>
      <c r="CN229" s="55">
        <f t="shared" si="217"/>
        <v>0</v>
      </c>
      <c r="CO229" s="41">
        <f t="shared" si="218"/>
        <v>0</v>
      </c>
      <c r="CP229" s="42">
        <f t="shared" si="219"/>
        <v>0</v>
      </c>
      <c r="CQ229" s="55">
        <f t="shared" si="220"/>
        <v>0</v>
      </c>
      <c r="CR229" s="76">
        <f t="shared" si="221"/>
        <v>2245.2062535711443</v>
      </c>
      <c r="CS229" s="5">
        <f t="shared" si="222"/>
        <v>1357.2048826722196</v>
      </c>
      <c r="CT229" s="55">
        <f t="shared" si="223"/>
        <v>-888.00137089892473</v>
      </c>
      <c r="CU229" s="84">
        <f t="shared" si="224"/>
        <v>2694.247504285373</v>
      </c>
      <c r="CV229" s="68">
        <f t="shared" si="225"/>
        <v>1628.6458592066635</v>
      </c>
      <c r="CW229" s="36">
        <f t="shared" si="226"/>
        <v>-1065.6016450787095</v>
      </c>
      <c r="CX229" s="41">
        <f>'[2]побудинковий звіт'!CX229+'[1]побудинковий звіт'!CX229</f>
        <v>59.530463972272273</v>
      </c>
      <c r="CY229" s="41">
        <f>'[2]побудинковий звіт'!CY229+'[1]побудинковий звіт'!CY229</f>
        <v>1125.1321090509821</v>
      </c>
      <c r="CZ229" s="55">
        <f t="shared" si="227"/>
        <v>1065.6016450787099</v>
      </c>
      <c r="DA229" s="254">
        <f>'[1]побудинковий звіт'!DA229</f>
        <v>687.74166419581752</v>
      </c>
      <c r="DB229" s="2">
        <v>1</v>
      </c>
      <c r="DC229" s="702">
        <f>'[1]побудинковий звіт'!DC229</f>
        <v>301.04000000000002</v>
      </c>
      <c r="DD229" s="702">
        <f>'[1]побудинковий звіт'!DD229</f>
        <v>0</v>
      </c>
      <c r="DE229" s="702">
        <f>'[1]побудинковий звіт'!DE229</f>
        <v>0</v>
      </c>
      <c r="DF229" s="702">
        <f>'[1]побудинковий звіт'!DF229</f>
        <v>0</v>
      </c>
      <c r="DG229" s="772">
        <v>2680.3190328077035</v>
      </c>
      <c r="DH229" s="746">
        <f t="shared" si="239"/>
        <v>33045.33561909174</v>
      </c>
      <c r="DI229" s="769"/>
      <c r="DJ229" s="5"/>
      <c r="DK229" s="307">
        <f>VLOOKUP($A229,ціни!$A$4:$G$401,5)</f>
        <v>2.0572853504956119</v>
      </c>
      <c r="DL229" s="307"/>
      <c r="DM229" s="307">
        <f>VLOOKUP($A229,ціни!$A$4:$G$401,7)</f>
        <v>2.0572853504956119</v>
      </c>
      <c r="DN229" s="29">
        <f>F229*DK229</f>
        <v>216.01496180203924</v>
      </c>
      <c r="DO229" s="29">
        <f>H229*DM229</f>
        <v>0</v>
      </c>
      <c r="DP229" s="306">
        <f t="shared" si="240"/>
        <v>216.01496180203924</v>
      </c>
      <c r="DQ229" s="101"/>
      <c r="DR229" s="29">
        <f>VLOOKUP(A229,'ДЗ нас '!$A$1:$C$359,2)</f>
        <v>216.02</v>
      </c>
      <c r="DS229" s="733"/>
      <c r="DT229" s="29">
        <f t="shared" si="241"/>
        <v>216.02</v>
      </c>
      <c r="DU229" s="247">
        <f>VLOOKUP(A229,'новий кошторис с 01.06'!$A$4:$AI$399,35)*1.2</f>
        <v>216.65342966943444</v>
      </c>
      <c r="DV229" s="29">
        <f t="shared" si="242"/>
        <v>-0.63342966943443457</v>
      </c>
      <c r="DW229" s="1016">
        <f>'[2]побудинковий звіт'!$DW$9+'[1]побудинковий звіт'!DW229</f>
        <v>0</v>
      </c>
      <c r="DX229" s="101">
        <f>'[1]побудинковий звіт'!DX229</f>
        <v>0</v>
      </c>
      <c r="DY229" s="5">
        <f t="shared" si="243"/>
        <v>2014.0995626810006</v>
      </c>
      <c r="DZ229" s="5">
        <f t="shared" si="244"/>
        <v>0</v>
      </c>
      <c r="EA229" s="737">
        <f t="shared" si="245"/>
        <v>0</v>
      </c>
      <c r="EC229" s="577">
        <f t="shared" si="246"/>
        <v>20140.995626810007</v>
      </c>
      <c r="EE229" s="743">
        <v>2883</v>
      </c>
      <c r="EF229" s="723">
        <f t="shared" si="247"/>
        <v>5563.3190328077035</v>
      </c>
      <c r="EH229" s="798">
        <v>2732.9051081049511</v>
      </c>
      <c r="EI229" s="101">
        <f>VLOOKUP(A229,'кошти 01.01.24'!$A$9:$D$352,4,FALSE)</f>
        <v>1753.3433092745267</v>
      </c>
    </row>
    <row r="230" spans="1:139" hidden="1" x14ac:dyDescent="0.3">
      <c r="A230" s="318">
        <v>150000944</v>
      </c>
      <c r="B230" s="43" t="s">
        <v>663</v>
      </c>
      <c r="C230" s="44" t="s">
        <v>123</v>
      </c>
      <c r="D230" s="44" t="s">
        <v>123</v>
      </c>
      <c r="E230" s="39">
        <f t="shared" si="185"/>
        <v>140.69999999999999</v>
      </c>
      <c r="F230" s="205">
        <f>'[1]побудинковий звіт'!F230</f>
        <v>140.69999999999999</v>
      </c>
      <c r="G230" s="29">
        <f>'[1]побудинковий звіт'!G230</f>
        <v>0</v>
      </c>
      <c r="H230" s="148">
        <f>'[1]побудинковий звіт'!H230</f>
        <v>0</v>
      </c>
      <c r="I230" s="41">
        <f>'[2]побудинковий звіт'!I230+'[1]побудинковий звіт'!I230</f>
        <v>0</v>
      </c>
      <c r="J230" s="41">
        <f>'[2]побудинковий звіт'!J230+'[1]побудинковий звіт'!J230</f>
        <v>0</v>
      </c>
      <c r="K230" s="55">
        <f t="shared" si="186"/>
        <v>0</v>
      </c>
      <c r="L230" s="41">
        <f>'[2]побудинковий звіт'!L230+'[1]побудинковий звіт'!L230</f>
        <v>0</v>
      </c>
      <c r="M230" s="41">
        <f>'[2]побудинковий звіт'!M230+'[1]побудинковий звіт'!M230</f>
        <v>0</v>
      </c>
      <c r="N230" s="55">
        <f t="shared" si="187"/>
        <v>0</v>
      </c>
      <c r="O230" s="41">
        <f>'[2]побудинковий звіт'!O230+'[1]побудинковий звіт'!O230</f>
        <v>0</v>
      </c>
      <c r="P230" s="41">
        <f>'[2]побудинковий звіт'!P230+'[1]побудинковий звіт'!P230</f>
        <v>0</v>
      </c>
      <c r="Q230" s="55">
        <f t="shared" si="188"/>
        <v>0</v>
      </c>
      <c r="R230" s="41">
        <f>'[2]побудинковий звіт'!R230+'[1]побудинковий звіт'!R230</f>
        <v>0</v>
      </c>
      <c r="S230" s="41">
        <f>'[2]побудинковий звіт'!S230+'[1]побудинковий звіт'!S230</f>
        <v>0</v>
      </c>
      <c r="T230" s="55">
        <f t="shared" si="189"/>
        <v>0</v>
      </c>
      <c r="U230" s="41">
        <f>'[2]побудинковий звіт'!U230+'[1]побудинковий звіт'!U230</f>
        <v>0</v>
      </c>
      <c r="V230" s="41">
        <f>'[2]побудинковий звіт'!V230+'[1]побудинковий звіт'!V230</f>
        <v>0</v>
      </c>
      <c r="W230" s="55">
        <f t="shared" si="190"/>
        <v>0</v>
      </c>
      <c r="X230" s="41">
        <f>'[2]побудинковий звіт'!X230+'[1]побудинковий звіт'!X230</f>
        <v>0</v>
      </c>
      <c r="Y230" s="41">
        <f>'[2]побудинковий звіт'!Y230+'[1]побудинковий звіт'!Y230</f>
        <v>0</v>
      </c>
      <c r="Z230" s="55">
        <f t="shared" si="191"/>
        <v>0</v>
      </c>
      <c r="AA230" s="41">
        <f>'[2]побудинковий звіт'!AA230+'[1]побудинковий звіт'!AA230</f>
        <v>0</v>
      </c>
      <c r="AB230" s="41">
        <f>'[2]побудинковий звіт'!AB230+'[1]побудинковий звіт'!AB230</f>
        <v>0</v>
      </c>
      <c r="AC230" s="55">
        <f t="shared" si="192"/>
        <v>0</v>
      </c>
      <c r="AD230" s="41">
        <f>'[2]побудинковий звіт'!AD230+'[1]побудинковий звіт'!AD230</f>
        <v>0</v>
      </c>
      <c r="AE230" s="41">
        <f>'[2]побудинковий звіт'!AE230+'[1]побудинковий звіт'!AE230</f>
        <v>0</v>
      </c>
      <c r="AF230" s="36">
        <f t="shared" si="193"/>
        <v>0</v>
      </c>
      <c r="AG230" s="84">
        <f t="shared" si="194"/>
        <v>0</v>
      </c>
      <c r="AH230" s="56">
        <f t="shared" si="195"/>
        <v>0</v>
      </c>
      <c r="AI230" s="55">
        <f t="shared" si="196"/>
        <v>0</v>
      </c>
      <c r="AJ230" s="41">
        <f>'[2]побудинковий звіт'!AJ230+'[1]побудинковий звіт'!AJ230</f>
        <v>0</v>
      </c>
      <c r="AK230" s="41">
        <f>'[2]побудинковий звіт'!AK230+'[1]побудинковий звіт'!AK230</f>
        <v>0</v>
      </c>
      <c r="AL230" s="55">
        <f t="shared" si="197"/>
        <v>0</v>
      </c>
      <c r="AM230" s="41">
        <f>'[2]побудинковий звіт'!AM230+'[1]побудинковий звіт'!AM230</f>
        <v>0</v>
      </c>
      <c r="AN230" s="41">
        <f>'[2]побудинковий звіт'!AN230+'[1]побудинковий звіт'!AN230</f>
        <v>0</v>
      </c>
      <c r="AO230" s="55">
        <f t="shared" si="198"/>
        <v>0</v>
      </c>
      <c r="AP230" s="41">
        <f>'[2]побудинковий звіт'!AP230+'[1]побудинковий звіт'!AP230</f>
        <v>357.53422513480518</v>
      </c>
      <c r="AQ230" s="41">
        <f>'[2]побудинковий звіт'!AQ230+'[1]побудинковий звіт'!AQ230</f>
        <v>138.99248402169556</v>
      </c>
      <c r="AR230" s="55">
        <f t="shared" si="199"/>
        <v>-218.54174111310962</v>
      </c>
      <c r="AS230" s="41">
        <f>'[2]побудинковий звіт'!AS230+'[1]побудинковий звіт'!AS230</f>
        <v>1730.309182794038</v>
      </c>
      <c r="AT230" s="41">
        <f>'[2]побудинковий звіт'!AT230+'[1]побудинковий звіт'!AT230</f>
        <v>0</v>
      </c>
      <c r="AU230" s="57">
        <f t="shared" si="200"/>
        <v>-1730.309182794038</v>
      </c>
      <c r="AV230" s="41">
        <f>'[2]побудинковий звіт'!AV230+'[1]побудинковий звіт'!AV230</f>
        <v>0</v>
      </c>
      <c r="AW230" s="41">
        <f>'[2]побудинковий звіт'!AW230+'[1]побудинковий звіт'!AW230</f>
        <v>0</v>
      </c>
      <c r="AX230" s="58">
        <f t="shared" si="201"/>
        <v>0</v>
      </c>
      <c r="AY230" s="41">
        <f>'[2]побудинковий звіт'!AY230+'[1]побудинковий звіт'!AY230</f>
        <v>0</v>
      </c>
      <c r="AZ230" s="41">
        <f>'[2]побудинковий звіт'!AZ230+'[1]побудинковий звіт'!AZ230</f>
        <v>0</v>
      </c>
      <c r="BA230" s="36">
        <f t="shared" si="202"/>
        <v>0</v>
      </c>
      <c r="BB230" s="41">
        <f>'[2]побудинковий звіт'!BB230+'[1]побудинковий звіт'!BB230</f>
        <v>0</v>
      </c>
      <c r="BC230" s="41">
        <f>'[2]побудинковий звіт'!BC230+'[1]побудинковий звіт'!BC230</f>
        <v>0</v>
      </c>
      <c r="BD230" s="58">
        <f t="shared" si="203"/>
        <v>0</v>
      </c>
      <c r="BE230" s="41">
        <f>'[2]побудинковий звіт'!BE230+'[1]побудинковий звіт'!BE230</f>
        <v>0</v>
      </c>
      <c r="BF230" s="41">
        <f>'[2]побудинковий звіт'!BF230+'[1]побудинковий звіт'!BF230</f>
        <v>0</v>
      </c>
      <c r="BG230" s="38">
        <f t="shared" si="204"/>
        <v>0</v>
      </c>
      <c r="BH230" s="41">
        <f>'[2]побудинковий звіт'!BH230+'[1]побудинковий звіт'!BH230</f>
        <v>0</v>
      </c>
      <c r="BI230" s="41">
        <f>'[2]побудинковий звіт'!BI230+'[1]побудинковий звіт'!BI230</f>
        <v>0</v>
      </c>
      <c r="BJ230" s="58">
        <f t="shared" si="205"/>
        <v>0</v>
      </c>
      <c r="BK230" s="41">
        <f>'[2]побудинковий звіт'!BK230+'[1]побудинковий звіт'!BK230</f>
        <v>0</v>
      </c>
      <c r="BL230" s="41">
        <f>'[2]побудинковий звіт'!BL230+'[1]побудинковий звіт'!BL230</f>
        <v>0</v>
      </c>
      <c r="BM230" s="38">
        <f t="shared" si="206"/>
        <v>0</v>
      </c>
      <c r="BN230" s="41">
        <f>'[2]побудинковий звіт'!BN230+'[1]побудинковий звіт'!BN230</f>
        <v>0</v>
      </c>
      <c r="BO230" s="41">
        <f>'[2]побудинковий звіт'!BO230+'[1]побудинковий звіт'!BO230</f>
        <v>0</v>
      </c>
      <c r="BP230" s="58">
        <f t="shared" si="207"/>
        <v>0</v>
      </c>
      <c r="BQ230" s="84">
        <f t="shared" si="208"/>
        <v>0</v>
      </c>
      <c r="BR230" s="42">
        <f t="shared" si="209"/>
        <v>0</v>
      </c>
      <c r="BS230" s="58">
        <f t="shared" si="210"/>
        <v>0</v>
      </c>
      <c r="BT230" s="41">
        <f>'[2]побудинковий звіт'!BT230+'[1]побудинковий звіт'!BT230</f>
        <v>1068.7013303404194</v>
      </c>
      <c r="BU230" s="41">
        <f>'[2]побудинковий звіт'!BU230+'[1]побудинковий звіт'!BU230</f>
        <v>2362.9023081607343</v>
      </c>
      <c r="BV230" s="55">
        <f t="shared" si="211"/>
        <v>1294.2009778203148</v>
      </c>
      <c r="BW230" s="41">
        <f>'[2]побудинковий звіт'!BW230+'[1]побудинковий звіт'!BW230</f>
        <v>0</v>
      </c>
      <c r="BX230" s="41">
        <f>'[2]побудинковий звіт'!BX230+'[1]побудинковий звіт'!BX230</f>
        <v>0.5726901110185838</v>
      </c>
      <c r="BY230" s="55">
        <f t="shared" si="212"/>
        <v>0.5726901110185838</v>
      </c>
      <c r="BZ230" s="41">
        <f>'[2]побудинковий звіт'!BZ230+'[1]побудинковий звіт'!BZ230</f>
        <v>210.08366311729736</v>
      </c>
      <c r="CA230" s="41">
        <f>'[2]побудинковий звіт'!CA230+'[1]побудинковий звіт'!CA230</f>
        <v>211.69211295385995</v>
      </c>
      <c r="CB230" s="55">
        <f t="shared" si="213"/>
        <v>1.6084498365625848</v>
      </c>
      <c r="CC230" s="41">
        <f>'[2]побудинковий звіт'!CC230+'[1]побудинковий звіт'!CC230</f>
        <v>0</v>
      </c>
      <c r="CD230" s="41">
        <f>'[2]побудинковий звіт'!CD230+'[1]побудинковий звіт'!CD230</f>
        <v>0</v>
      </c>
      <c r="CE230" s="55">
        <f t="shared" si="214"/>
        <v>0</v>
      </c>
      <c r="CF230" s="41">
        <f>'[2]побудинковий звіт'!CF230+'[1]побудинковий звіт'!CF230</f>
        <v>0</v>
      </c>
      <c r="CG230" s="41">
        <f>'[2]побудинковий звіт'!CG230+'[1]побудинковий звіт'!CG230</f>
        <v>0</v>
      </c>
      <c r="CH230" s="55">
        <f t="shared" si="215"/>
        <v>0</v>
      </c>
      <c r="CI230" s="41">
        <f>'[2]побудинковий звіт'!CI230+'[1]побудинковий звіт'!CI230</f>
        <v>0</v>
      </c>
      <c r="CJ230" s="41">
        <f>'[2]побудинковий звіт'!CJ230+'[1]побудинковий звіт'!CJ230</f>
        <v>0</v>
      </c>
      <c r="CK230" s="55">
        <f t="shared" si="216"/>
        <v>0</v>
      </c>
      <c r="CL230" s="41">
        <f>'[2]побудинковий звіт'!CL230+'[1]побудинковий звіт'!CL230</f>
        <v>0</v>
      </c>
      <c r="CM230" s="41">
        <f>'[2]побудинковий звіт'!CM230+'[1]побудинковий звіт'!CM230</f>
        <v>0</v>
      </c>
      <c r="CN230" s="55">
        <f t="shared" si="217"/>
        <v>0</v>
      </c>
      <c r="CO230" s="41">
        <f t="shared" si="218"/>
        <v>0</v>
      </c>
      <c r="CP230" s="42">
        <f t="shared" si="219"/>
        <v>0</v>
      </c>
      <c r="CQ230" s="55">
        <f t="shared" si="220"/>
        <v>0</v>
      </c>
      <c r="CR230" s="76">
        <f t="shared" si="221"/>
        <v>3366.6284013865602</v>
      </c>
      <c r="CS230" s="5">
        <f t="shared" si="222"/>
        <v>2714.1595952473085</v>
      </c>
      <c r="CT230" s="55">
        <f t="shared" si="223"/>
        <v>-652.46880613925168</v>
      </c>
      <c r="CU230" s="84">
        <f t="shared" si="224"/>
        <v>4039.9540816638719</v>
      </c>
      <c r="CV230" s="68">
        <f t="shared" si="225"/>
        <v>3256.9915142967702</v>
      </c>
      <c r="CW230" s="36">
        <f t="shared" si="226"/>
        <v>-782.96256736710166</v>
      </c>
      <c r="CX230" s="41">
        <f>'[2]побудинковий звіт'!CX230+'[1]побудинковий звіт'!CX230</f>
        <v>89.3332404631104</v>
      </c>
      <c r="CY230" s="41">
        <f>'[2]побудинковий звіт'!CY230+'[1]побудинковий звіт'!CY230</f>
        <v>872.29580783021265</v>
      </c>
      <c r="CZ230" s="55">
        <f t="shared" si="227"/>
        <v>782.96256736710222</v>
      </c>
      <c r="DA230" s="254">
        <f>'[1]побудинковий звіт'!DA230</f>
        <v>14972.353032119037</v>
      </c>
      <c r="DB230" s="2">
        <v>1</v>
      </c>
      <c r="DC230" s="702">
        <f>'[1]побудинковий звіт'!DC230</f>
        <v>738.94</v>
      </c>
      <c r="DD230" s="702">
        <f>'[1]побудинковий звіт'!DD230</f>
        <v>0</v>
      </c>
      <c r="DE230" s="702">
        <f>'[1]побудинковий звіт'!DE230</f>
        <v>286.88000000000005</v>
      </c>
      <c r="DF230" s="702">
        <f>'[1]побудинковий звіт'!DF230</f>
        <v>0</v>
      </c>
      <c r="DG230" s="772">
        <v>15318.790524720405</v>
      </c>
      <c r="DH230" s="746">
        <f t="shared" si="239"/>
        <v>49551.447865523784</v>
      </c>
      <c r="DI230" s="769"/>
      <c r="DJ230" s="5"/>
      <c r="DK230" s="307">
        <f>VLOOKUP($A230,ціни!$A$4:$G$401,5)</f>
        <v>2.301277428158182</v>
      </c>
      <c r="DL230" s="307"/>
      <c r="DM230" s="307">
        <f>VLOOKUP($A230,ціни!$A$4:$G$401,7)</f>
        <v>2.301277428158182</v>
      </c>
      <c r="DN230" s="29">
        <f>F230*DK230</f>
        <v>323.78973414185617</v>
      </c>
      <c r="DO230" s="29">
        <f>H230*DM230</f>
        <v>0</v>
      </c>
      <c r="DP230" s="306">
        <f t="shared" si="240"/>
        <v>323.78973414185617</v>
      </c>
      <c r="DQ230" s="101"/>
      <c r="DR230" s="29">
        <f>VLOOKUP(A230,'ДЗ нас '!$A$1:$C$359,2)</f>
        <v>323.8</v>
      </c>
      <c r="DS230" s="733"/>
      <c r="DT230" s="29">
        <f t="shared" si="241"/>
        <v>323.8</v>
      </c>
      <c r="DU230" s="247">
        <f>VLOOKUP(A230,'новий кошторис с 01.06'!$A$4:$AI$399,35)*1.2</f>
        <v>324.74674813439367</v>
      </c>
      <c r="DV230" s="29">
        <f t="shared" si="242"/>
        <v>-0.94674813439365835</v>
      </c>
      <c r="DW230" s="1016">
        <f>'[2]побудинковий звіт'!$DW$9+'[1]побудинковий звіт'!DW230</f>
        <v>0</v>
      </c>
      <c r="DX230" s="101">
        <f>'[1]побудинковий звіт'!DX230</f>
        <v>0</v>
      </c>
      <c r="DY230" s="5">
        <f t="shared" si="243"/>
        <v>2076.3710193528455</v>
      </c>
      <c r="DZ230" s="5">
        <f t="shared" si="244"/>
        <v>0</v>
      </c>
      <c r="EA230" s="737">
        <f t="shared" si="245"/>
        <v>286.88000000000005</v>
      </c>
      <c r="EC230" s="577">
        <f t="shared" si="246"/>
        <v>20763.710193528455</v>
      </c>
      <c r="EE230" s="743">
        <v>-2379</v>
      </c>
      <c r="EF230" s="723">
        <f t="shared" si="247"/>
        <v>12939.790524720405</v>
      </c>
      <c r="EH230" s="798">
        <v>16705.99239986778</v>
      </c>
      <c r="EI230" s="101">
        <f>VLOOKUP(A230,'кошти 01.01.24'!$A$9:$D$352,4,FALSE)</f>
        <v>15755.315599486139</v>
      </c>
    </row>
    <row r="231" spans="1:139" hidden="1" x14ac:dyDescent="0.3">
      <c r="A231" s="318">
        <v>150000945</v>
      </c>
      <c r="B231" s="43" t="s">
        <v>664</v>
      </c>
      <c r="C231" s="44" t="s">
        <v>421</v>
      </c>
      <c r="D231" s="44" t="s">
        <v>421</v>
      </c>
      <c r="E231" s="39">
        <f t="shared" si="185"/>
        <v>6746.86</v>
      </c>
      <c r="F231" s="205">
        <f>'[1]побудинковий звіт'!F231</f>
        <v>6681.95</v>
      </c>
      <c r="G231" s="29">
        <f>'[1]побудинковий звіт'!G231</f>
        <v>613.75</v>
      </c>
      <c r="H231" s="148">
        <f>'[1]побудинковий звіт'!H231</f>
        <v>64.91</v>
      </c>
      <c r="I231" s="41">
        <f>'[2]побудинковий звіт'!I231+'[1]побудинковий звіт'!I231</f>
        <v>26297.502640784351</v>
      </c>
      <c r="J231" s="41">
        <f>'[2]побудинковий звіт'!J231+'[1]побудинковий звіт'!J231</f>
        <v>20717.761914651062</v>
      </c>
      <c r="K231" s="55">
        <f t="shared" si="186"/>
        <v>-5579.7407261332883</v>
      </c>
      <c r="L231" s="41">
        <f>'[2]побудинковий звіт'!L231+'[1]побудинковий звіт'!L231</f>
        <v>4052.5016359031579</v>
      </c>
      <c r="M231" s="41">
        <f>'[2]побудинковий звіт'!M231+'[1]побудинковий звіт'!M231</f>
        <v>3423.6024604369727</v>
      </c>
      <c r="N231" s="55">
        <f t="shared" si="187"/>
        <v>-628.89917546618517</v>
      </c>
      <c r="O231" s="41">
        <f>'[2]побудинковий звіт'!O231+'[1]побудинковий звіт'!O231</f>
        <v>10252.710872953716</v>
      </c>
      <c r="P231" s="41">
        <f>'[2]побудинковий звіт'!P231+'[1]побудинковий звіт'!P231</f>
        <v>10281.922497846017</v>
      </c>
      <c r="Q231" s="55">
        <f t="shared" si="188"/>
        <v>29.211624892301188</v>
      </c>
      <c r="R231" s="41">
        <f>'[2]побудинковий звіт'!R231+'[1]побудинковий звіт'!R231</f>
        <v>2229.8702401274186</v>
      </c>
      <c r="S231" s="41">
        <f>'[2]побудинковий звіт'!S231+'[1]побудинковий звіт'!S231</f>
        <v>2236.1772703095639</v>
      </c>
      <c r="T231" s="55">
        <f t="shared" si="189"/>
        <v>6.307030182145354</v>
      </c>
      <c r="U231" s="41">
        <f>'[2]побудинковий звіт'!U231+'[1]побудинковий звіт'!U231</f>
        <v>1233.0328745471827</v>
      </c>
      <c r="V231" s="41">
        <f>'[2]побудинковий звіт'!V231+'[1]побудинковий звіт'!V231</f>
        <v>577.1753784130226</v>
      </c>
      <c r="W231" s="55">
        <f t="shared" si="190"/>
        <v>-655.8574961341601</v>
      </c>
      <c r="X231" s="41">
        <f>'[2]побудинковий звіт'!X231+'[1]побудинковий звіт'!X231</f>
        <v>11168.083751937249</v>
      </c>
      <c r="Y231" s="41">
        <f>'[2]побудинковий звіт'!Y231+'[1]побудинковий звіт'!Y231</f>
        <v>7467.6789857735857</v>
      </c>
      <c r="Z231" s="55">
        <f t="shared" si="191"/>
        <v>-3700.4047661636632</v>
      </c>
      <c r="AA231" s="41">
        <f>'[2]побудинковий звіт'!AA231+'[1]побудинковий звіт'!AA231</f>
        <v>0</v>
      </c>
      <c r="AB231" s="41">
        <f>'[2]побудинковий звіт'!AB231+'[1]побудинковий звіт'!AB231</f>
        <v>0</v>
      </c>
      <c r="AC231" s="55">
        <f t="shared" si="192"/>
        <v>0</v>
      </c>
      <c r="AD231" s="41">
        <f>'[2]побудинковий звіт'!AD231+'[1]побудинковий звіт'!AD231</f>
        <v>29248.482764812863</v>
      </c>
      <c r="AE231" s="41">
        <f>'[2]побудинковий звіт'!AE231+'[1]побудинковий звіт'!AE231</f>
        <v>29135.287815293235</v>
      </c>
      <c r="AF231" s="36">
        <f t="shared" si="193"/>
        <v>-113.1949495196277</v>
      </c>
      <c r="AG231" s="84">
        <f t="shared" si="194"/>
        <v>84482.184781065938</v>
      </c>
      <c r="AH231" s="56">
        <f t="shared" si="195"/>
        <v>73839.606322723455</v>
      </c>
      <c r="AI231" s="55">
        <f t="shared" si="196"/>
        <v>-10642.578458342483</v>
      </c>
      <c r="AJ231" s="41">
        <f>'[2]побудинковий звіт'!AJ231+'[1]побудинковий звіт'!AJ231</f>
        <v>42396.106773585765</v>
      </c>
      <c r="AK231" s="41">
        <f>'[2]побудинковий звіт'!AK231+'[1]побудинковий звіт'!AK231</f>
        <v>38087.51453794229</v>
      </c>
      <c r="AL231" s="55">
        <f t="shared" si="197"/>
        <v>-4308.5922356434749</v>
      </c>
      <c r="AM231" s="41">
        <f>'[2]побудинковий звіт'!AM231+'[1]побудинковий звіт'!AM231</f>
        <v>4894.3222355919143</v>
      </c>
      <c r="AN231" s="41">
        <f>'[2]побудинковий звіт'!AN231+'[1]побудинковий звіт'!AN231</f>
        <v>4208.9273532114403</v>
      </c>
      <c r="AO231" s="55">
        <f t="shared" si="198"/>
        <v>-685.39488238047397</v>
      </c>
      <c r="AP231" s="41">
        <f>'[2]побудинковий звіт'!AP231+'[1]побудинковий звіт'!AP231</f>
        <v>5695.9381717049228</v>
      </c>
      <c r="AQ231" s="41">
        <f>'[2]побудинковий звіт'!AQ231+'[1]побудинковий звіт'!AQ231</f>
        <v>5415.2055749477668</v>
      </c>
      <c r="AR231" s="55">
        <f t="shared" si="199"/>
        <v>-280.73259675715599</v>
      </c>
      <c r="AS231" s="41">
        <f>'[2]побудинковий звіт'!AS231+'[1]побудинковий звіт'!AS231</f>
        <v>107828.5932458934</v>
      </c>
      <c r="AT231" s="41">
        <f>'[2]побудинковий звіт'!AT231+'[1]побудинковий звіт'!AT231</f>
        <v>69896.491001028509</v>
      </c>
      <c r="AU231" s="57">
        <f t="shared" si="200"/>
        <v>-37932.102244864887</v>
      </c>
      <c r="AV231" s="41">
        <f>'[2]побудинковий звіт'!AV231+'[1]побудинковий звіт'!AV231</f>
        <v>2099.6863693237806</v>
      </c>
      <c r="AW231" s="41">
        <f>'[2]побудинковий звіт'!AW231+'[1]побудинковий звіт'!AW231</f>
        <v>956.8270562943917</v>
      </c>
      <c r="AX231" s="58">
        <f t="shared" si="201"/>
        <v>-1142.8593130293889</v>
      </c>
      <c r="AY231" s="41">
        <f>'[2]побудинковий звіт'!AY231+'[1]побудинковий звіт'!AY231</f>
        <v>2535.4525810434361</v>
      </c>
      <c r="AZ231" s="41">
        <f>'[2]побудинковий звіт'!AZ231+'[1]побудинковий звіт'!AZ231</f>
        <v>0</v>
      </c>
      <c r="BA231" s="36">
        <f t="shared" si="202"/>
        <v>-2535.4525810434361</v>
      </c>
      <c r="BB231" s="41">
        <f>'[2]побудинковий звіт'!BB231+'[1]побудинковий звіт'!BB231</f>
        <v>2954.1182209428875</v>
      </c>
      <c r="BC231" s="41">
        <f>'[2]побудинковий звіт'!BC231+'[1]побудинковий звіт'!BC231</f>
        <v>432.93158819224402</v>
      </c>
      <c r="BD231" s="58">
        <f t="shared" si="203"/>
        <v>-2521.1866327506436</v>
      </c>
      <c r="BE231" s="41">
        <f>'[2]побудинковий звіт'!BE231+'[1]побудинковий звіт'!BE231</f>
        <v>1071.3150842375003</v>
      </c>
      <c r="BF231" s="41">
        <f>'[2]побудинковий звіт'!BF231+'[1]побудинковий звіт'!BF231</f>
        <v>0</v>
      </c>
      <c r="BG231" s="38">
        <f t="shared" si="204"/>
        <v>-1071.3150842375003</v>
      </c>
      <c r="BH231" s="41">
        <f>'[2]побудинковий звіт'!BH231+'[1]побудинковий звіт'!BH231</f>
        <v>640.30163700803951</v>
      </c>
      <c r="BI231" s="41">
        <f>'[2]побудинковий звіт'!BI231+'[1]побудинковий звіт'!BI231</f>
        <v>0</v>
      </c>
      <c r="BJ231" s="58">
        <f t="shared" si="205"/>
        <v>-640.30163700803951</v>
      </c>
      <c r="BK231" s="41">
        <f>'[2]побудинковий звіт'!BK231+'[1]побудинковий звіт'!BK231</f>
        <v>1751.4349715618528</v>
      </c>
      <c r="BL231" s="41">
        <f>'[2]побудинковий звіт'!BL231+'[1]побудинковий звіт'!BL231</f>
        <v>10608.912809502242</v>
      </c>
      <c r="BM231" s="38">
        <f t="shared" si="206"/>
        <v>8857.4778379403906</v>
      </c>
      <c r="BN231" s="41">
        <f>'[2]побудинковий звіт'!BN231+'[1]побудинковий звіт'!BN231</f>
        <v>614.10166492225437</v>
      </c>
      <c r="BO231" s="41">
        <f>'[2]побудинковий звіт'!BO231+'[1]побудинковий звіт'!BO231</f>
        <v>0</v>
      </c>
      <c r="BP231" s="58">
        <f t="shared" si="207"/>
        <v>-614.10166492225437</v>
      </c>
      <c r="BQ231" s="84">
        <f t="shared" si="208"/>
        <v>11666.410529039749</v>
      </c>
      <c r="BR231" s="42">
        <f t="shared" si="209"/>
        <v>11998.671453988878</v>
      </c>
      <c r="BS231" s="58">
        <f t="shared" si="210"/>
        <v>332.26092494912882</v>
      </c>
      <c r="BT231" s="41">
        <f>'[2]побудинковий звіт'!BT231+'[1]побудинковий звіт'!BT231</f>
        <v>93921.343059750274</v>
      </c>
      <c r="BU231" s="41">
        <f>'[2]побудинковий звіт'!BU231+'[1]побудинковий звіт'!BU231</f>
        <v>79683.291217809368</v>
      </c>
      <c r="BV231" s="55">
        <f t="shared" si="211"/>
        <v>-14238.051841940905</v>
      </c>
      <c r="BW231" s="41">
        <f>'[2]побудинковий звіт'!BW231+'[1]побудинковий звіт'!BW231</f>
        <v>77637.013593251482</v>
      </c>
      <c r="BX231" s="41">
        <f>'[2]побудинковий звіт'!BX231+'[1]побудинковий звіт'!BX231</f>
        <v>57689.234885963022</v>
      </c>
      <c r="BY231" s="55">
        <f t="shared" si="212"/>
        <v>-19947.77870728846</v>
      </c>
      <c r="BZ231" s="41">
        <f>'[2]побудинковий звіт'!BZ231+'[1]побудинковий звіт'!BZ231</f>
        <v>17907.661066966997</v>
      </c>
      <c r="CA231" s="41">
        <f>'[2]побудинковий звіт'!CA231+'[1]побудинковий звіт'!CA231</f>
        <v>10912.055889842351</v>
      </c>
      <c r="CB231" s="55">
        <f t="shared" si="213"/>
        <v>-6995.6051771246457</v>
      </c>
      <c r="CC231" s="41">
        <f>'[2]побудинковий звіт'!CC231+'[1]побудинковий звіт'!CC231</f>
        <v>2271.2399956378954</v>
      </c>
      <c r="CD231" s="41">
        <f>'[2]побудинковий звіт'!CD231+'[1]побудинковий звіт'!CD231</f>
        <v>2278.9415171206597</v>
      </c>
      <c r="CE231" s="55">
        <f t="shared" si="214"/>
        <v>7.7015214827642922</v>
      </c>
      <c r="CF231" s="41">
        <f>'[2]побудинковий звіт'!CF231+'[1]побудинковий звіт'!CF231</f>
        <v>281.39456339834635</v>
      </c>
      <c r="CG231" s="41">
        <f>'[2]побудинковий звіт'!CG231+'[1]побудинковий звіт'!CG231</f>
        <v>0</v>
      </c>
      <c r="CH231" s="55">
        <f t="shared" si="215"/>
        <v>-281.39456339834635</v>
      </c>
      <c r="CI231" s="41">
        <f>'[2]побудинковий звіт'!CI231+'[1]побудинковий звіт'!CI231</f>
        <v>25604.293242653497</v>
      </c>
      <c r="CJ231" s="41">
        <f>'[2]побудинковий звіт'!CJ231+'[1]побудинковий звіт'!CJ231</f>
        <v>13942.642484677697</v>
      </c>
      <c r="CK231" s="55">
        <f t="shared" si="216"/>
        <v>-11661.6507579758</v>
      </c>
      <c r="CL231" s="41">
        <f>'[2]побудинковий звіт'!CL231+'[1]побудинковий звіт'!CL231</f>
        <v>15159.73416289355</v>
      </c>
      <c r="CM231" s="41">
        <f>'[2]побудинковий звіт'!CM231+'[1]побудинковий звіт'!CM231</f>
        <v>24823.580254884739</v>
      </c>
      <c r="CN231" s="55">
        <f t="shared" si="217"/>
        <v>9663.8460919911886</v>
      </c>
      <c r="CO231" s="41">
        <f t="shared" si="218"/>
        <v>40764.027405547051</v>
      </c>
      <c r="CP231" s="42">
        <f t="shared" si="219"/>
        <v>38766.222739562436</v>
      </c>
      <c r="CQ231" s="55">
        <f t="shared" si="220"/>
        <v>-1997.804665984615</v>
      </c>
      <c r="CR231" s="76">
        <f t="shared" si="221"/>
        <v>489746.2354214337</v>
      </c>
      <c r="CS231" s="5">
        <f t="shared" si="222"/>
        <v>392776.16249414015</v>
      </c>
      <c r="CT231" s="55">
        <f t="shared" si="223"/>
        <v>-96970.072927293542</v>
      </c>
      <c r="CU231" s="84">
        <f t="shared" si="224"/>
        <v>587695.48250572046</v>
      </c>
      <c r="CV231" s="68">
        <f t="shared" si="225"/>
        <v>471331.39499296818</v>
      </c>
      <c r="CW231" s="36">
        <f t="shared" si="226"/>
        <v>-116364.08751275227</v>
      </c>
      <c r="CX231" s="41">
        <f>'[2]побудинковий звіт'!CX231+'[1]побудинковий звіт'!CX231</f>
        <v>13326.691073904736</v>
      </c>
      <c r="CY231" s="41">
        <f>'[2]побудинковий звіт'!CY231+'[1]побудинковий звіт'!CY231</f>
        <v>129690.77858665693</v>
      </c>
      <c r="CZ231" s="55">
        <f t="shared" si="227"/>
        <v>116364.0875127522</v>
      </c>
      <c r="DA231" s="254">
        <f>'[1]побудинковий звіт'!DA231</f>
        <v>-175244.30181867786</v>
      </c>
      <c r="DB231" s="2">
        <v>1</v>
      </c>
      <c r="DC231" s="702">
        <f>'[1]побудинковий звіт'!DC231</f>
        <v>115420.34</v>
      </c>
      <c r="DD231" s="702">
        <f>'[1]побудинковий звіт'!DD231</f>
        <v>853.87</v>
      </c>
      <c r="DE231" s="702">
        <f>'[1]побудинковий звіт'!DE231</f>
        <v>49849.89</v>
      </c>
      <c r="DF231" s="702">
        <f>'[1]побудинковий звіт'!DF231</f>
        <v>421.69</v>
      </c>
      <c r="DG231" s="772">
        <v>-99192.252234979998</v>
      </c>
      <c r="DH231" s="746">
        <f t="shared" si="239"/>
        <v>7212266.082955502</v>
      </c>
      <c r="DI231" s="769"/>
      <c r="DJ231" s="5"/>
      <c r="DK231" s="307">
        <f>VLOOKUP($A231,ціни!$A$4:$G$401,5)</f>
        <v>6.1638691886409589</v>
      </c>
      <c r="DL231" s="307">
        <f>VLOOKUP($A231,ціни!$A$4:$G$401,6)</f>
        <v>7.0827901464063849</v>
      </c>
      <c r="DM231" s="307">
        <f>VLOOKUP($A231,ціни!$A$4:$G$401,7)</f>
        <v>5.0421398789081495</v>
      </c>
      <c r="DN231" s="29">
        <f>DK231*G231+(F231-G231)*DL231</f>
        <v>46762.861880951612</v>
      </c>
      <c r="DO231" s="29">
        <f>DM231*H231</f>
        <v>327.28529953992796</v>
      </c>
      <c r="DP231" s="306">
        <f t="shared" si="240"/>
        <v>47090.147180491542</v>
      </c>
      <c r="DQ231" s="101"/>
      <c r="DR231" s="29">
        <f>VLOOKUP(A231,'ДЗ нас '!$A$1:$C$359,2)</f>
        <v>46763.35</v>
      </c>
      <c r="DS231" s="733">
        <f>VLOOKUP(A231,'ДЗ нежит'!$A$1:$D$153,4,0)</f>
        <v>327.27999999999997</v>
      </c>
      <c r="DT231" s="29">
        <f t="shared" si="241"/>
        <v>47090.63</v>
      </c>
      <c r="DU231" s="247">
        <f>VLOOKUP(A231,'новий кошторис с 01.06'!$A$4:$AI$399,35)*1.2</f>
        <v>47200.20461106141</v>
      </c>
      <c r="DV231" s="29">
        <f t="shared" si="242"/>
        <v>-109.57461106141272</v>
      </c>
      <c r="DW231" s="1016">
        <f>'[2]побудинковий звіт'!$DW$9+'[1]побудинковий звіт'!DW231</f>
        <v>1242</v>
      </c>
      <c r="DX231" s="101">
        <f>'[1]побудинковий звіт'!DX231</f>
        <v>0</v>
      </c>
      <c r="DY231" s="5">
        <f t="shared" si="243"/>
        <v>143394.00452991977</v>
      </c>
      <c r="DZ231" s="5">
        <f t="shared" si="244"/>
        <v>98274.194946020856</v>
      </c>
      <c r="EA231" s="737">
        <f t="shared" si="245"/>
        <v>50271.58</v>
      </c>
      <c r="EC231" s="577">
        <f t="shared" si="246"/>
        <v>1293943.1189507209</v>
      </c>
      <c r="EE231" s="743">
        <v>67285</v>
      </c>
      <c r="EF231" s="723">
        <f t="shared" si="247"/>
        <v>-31907.252234979998</v>
      </c>
      <c r="EH231" s="798">
        <v>-94552.485553522245</v>
      </c>
      <c r="EI231" s="101">
        <f>VLOOKUP(A231,'кошти 01.01.24'!$A$9:$D$352,4,FALSE)</f>
        <v>-58880.21430592567</v>
      </c>
    </row>
    <row r="232" spans="1:139" hidden="1" x14ac:dyDescent="0.3">
      <c r="A232" s="318">
        <v>150000947</v>
      </c>
      <c r="B232" s="43" t="s">
        <v>665</v>
      </c>
      <c r="C232" s="44" t="s">
        <v>268</v>
      </c>
      <c r="D232" s="44" t="s">
        <v>268</v>
      </c>
      <c r="E232" s="39">
        <f t="shared" si="185"/>
        <v>3267</v>
      </c>
      <c r="F232" s="205">
        <f>'[1]побудинковий звіт'!F232</f>
        <v>3267</v>
      </c>
      <c r="G232" s="29">
        <f>'[1]побудинковий звіт'!G232</f>
        <v>0</v>
      </c>
      <c r="H232" s="148">
        <f>'[1]побудинковий звіт'!H232</f>
        <v>0</v>
      </c>
      <c r="I232" s="41">
        <f>'[2]побудинковий звіт'!I232+'[1]побудинковий звіт'!I232</f>
        <v>11799.583030536154</v>
      </c>
      <c r="J232" s="41">
        <f>'[2]побудинковий звіт'!J232+'[1]побудинковий звіт'!J232</f>
        <v>9274.0416216616413</v>
      </c>
      <c r="K232" s="55">
        <f t="shared" si="186"/>
        <v>-2525.5414088745129</v>
      </c>
      <c r="L232" s="41">
        <f>'[2]побудинковий звіт'!L232+'[1]побудинковий звіт'!L232</f>
        <v>2492.0009214500519</v>
      </c>
      <c r="M232" s="41">
        <f>'[2]побудинковий звіт'!M232+'[1]побудинковий звіт'!M232</f>
        <v>2145.5401018733087</v>
      </c>
      <c r="N232" s="55">
        <f t="shared" si="187"/>
        <v>-346.46081957674323</v>
      </c>
      <c r="O232" s="41">
        <f>'[2]побудинковий звіт'!O232+'[1]побудинковий звіт'!O232</f>
        <v>5733.4690721090392</v>
      </c>
      <c r="P232" s="41">
        <f>'[2]побудинковий звіт'!P232+'[1]побудинковий звіт'!P232</f>
        <v>5806.2358653779365</v>
      </c>
      <c r="Q232" s="55">
        <f t="shared" si="188"/>
        <v>72.766793268897345</v>
      </c>
      <c r="R232" s="41">
        <f>'[2]побудинковий звіт'!R232+'[1]побудинковий звіт'!R232</f>
        <v>1120.6505649834278</v>
      </c>
      <c r="S232" s="41">
        <f>'[2]побудинковий звіт'!S232+'[1]побудинковий звіт'!S232</f>
        <v>1123.4446298071171</v>
      </c>
      <c r="T232" s="55">
        <f t="shared" si="189"/>
        <v>2.7940648236892685</v>
      </c>
      <c r="U232" s="41">
        <f>'[2]побудинковий звіт'!U232+'[1]побудинковий звіт'!U232</f>
        <v>728.0117565847479</v>
      </c>
      <c r="V232" s="41">
        <f>'[2]побудинковий звіт'!V232+'[1]побудинковий звіт'!V232</f>
        <v>335.90739446204765</v>
      </c>
      <c r="W232" s="55">
        <f t="shared" si="190"/>
        <v>-392.10436212270025</v>
      </c>
      <c r="X232" s="41">
        <f>'[2]побудинковий звіт'!X232+'[1]побудинковий звіт'!X232</f>
        <v>8382.0626295832371</v>
      </c>
      <c r="Y232" s="41">
        <f>'[2]побудинковий звіт'!Y232+'[1]побудинковий звіт'!Y232</f>
        <v>6128.2677139190791</v>
      </c>
      <c r="Z232" s="55">
        <f t="shared" si="191"/>
        <v>-2253.794915664158</v>
      </c>
      <c r="AA232" s="41">
        <f>'[2]побудинковий звіт'!AA232+'[1]побудинковий звіт'!AA232</f>
        <v>0</v>
      </c>
      <c r="AB232" s="41">
        <f>'[2]побудинковий звіт'!AB232+'[1]побудинковий звіт'!AB232</f>
        <v>0</v>
      </c>
      <c r="AC232" s="55">
        <f t="shared" si="192"/>
        <v>0</v>
      </c>
      <c r="AD232" s="41">
        <f>'[2]побудинковий звіт'!AD232+'[1]побудинковий звіт'!AD232</f>
        <v>14171.078487245448</v>
      </c>
      <c r="AE232" s="41">
        <f>'[2]побудинковий звіт'!AE232+'[1]побудинковий звіт'!AE232</f>
        <v>14115.922333789087</v>
      </c>
      <c r="AF232" s="36">
        <f t="shared" si="193"/>
        <v>-55.156153456360698</v>
      </c>
      <c r="AG232" s="84">
        <f t="shared" si="194"/>
        <v>44426.856462492105</v>
      </c>
      <c r="AH232" s="56">
        <f t="shared" si="195"/>
        <v>38929.359660890215</v>
      </c>
      <c r="AI232" s="55">
        <f t="shared" si="196"/>
        <v>-5497.4968016018902</v>
      </c>
      <c r="AJ232" s="41">
        <f>'[2]побудинковий звіт'!AJ232+'[1]побудинковий звіт'!AJ232</f>
        <v>0</v>
      </c>
      <c r="AK232" s="41">
        <f>'[2]побудинковий звіт'!AK232+'[1]побудинковий звіт'!AK232</f>
        <v>0</v>
      </c>
      <c r="AL232" s="55">
        <f t="shared" si="197"/>
        <v>0</v>
      </c>
      <c r="AM232" s="41">
        <f>'[2]побудинковий звіт'!AM232+'[1]побудинковий звіт'!AM232</f>
        <v>0</v>
      </c>
      <c r="AN232" s="41">
        <f>'[2]побудинковий звіт'!AN232+'[1]побудинковий звіт'!AN232</f>
        <v>0</v>
      </c>
      <c r="AO232" s="55">
        <f t="shared" si="198"/>
        <v>0</v>
      </c>
      <c r="AP232" s="41">
        <f>'[2]побудинковий звіт'!AP232+'[1]побудинковий звіт'!AP232</f>
        <v>4457.6907430734182</v>
      </c>
      <c r="AQ232" s="41">
        <f>'[2]побудинковий звіт'!AQ232+'[1]побудинковий звіт'!AQ232</f>
        <v>2779.9288213035193</v>
      </c>
      <c r="AR232" s="55">
        <f t="shared" si="199"/>
        <v>-1677.7619217698989</v>
      </c>
      <c r="AS232" s="41">
        <f>'[2]побудинковий звіт'!AS232+'[1]побудинковий звіт'!AS232</f>
        <v>47439.826226644233</v>
      </c>
      <c r="AT232" s="41">
        <f>'[2]побудинковий звіт'!AT232+'[1]побудинковий звіт'!AT232</f>
        <v>39152.318464450414</v>
      </c>
      <c r="AU232" s="57">
        <f t="shared" si="200"/>
        <v>-8287.5077621938181</v>
      </c>
      <c r="AV232" s="41">
        <f>'[2]побудинковий звіт'!AV232+'[1]побудинковий звіт'!AV232</f>
        <v>2035.7240325908026</v>
      </c>
      <c r="AW232" s="41">
        <f>'[2]побудинковий звіт'!AW232+'[1]побудинковий звіт'!AW232</f>
        <v>0</v>
      </c>
      <c r="AX232" s="58">
        <f t="shared" si="201"/>
        <v>-2035.7240325908026</v>
      </c>
      <c r="AY232" s="41">
        <f>'[2]побудинковий звіт'!AY232+'[1]побудинковий звіт'!AY232</f>
        <v>2970.6793002390591</v>
      </c>
      <c r="AZ232" s="41">
        <f>'[2]побудинковий звіт'!AZ232+'[1]побудинковий звіт'!AZ232</f>
        <v>0</v>
      </c>
      <c r="BA232" s="36">
        <f t="shared" si="202"/>
        <v>-2970.6793002390591</v>
      </c>
      <c r="BB232" s="41">
        <f>'[2]побудинковий звіт'!BB232+'[1]побудинковий звіт'!BB232</f>
        <v>2152.3785418796583</v>
      </c>
      <c r="BC232" s="41">
        <f>'[2]побудинковий звіт'!BC232+'[1]побудинковий звіт'!BC232</f>
        <v>6284.4709198616365</v>
      </c>
      <c r="BD232" s="58">
        <f t="shared" si="203"/>
        <v>4132.0923779819786</v>
      </c>
      <c r="BE232" s="41">
        <f>'[2]побудинковий звіт'!BE232+'[1]побудинковий звіт'!BE232</f>
        <v>1089.9153490432268</v>
      </c>
      <c r="BF232" s="41">
        <f>'[2]побудинковий звіт'!BF232+'[1]побудинковий звіт'!BF232</f>
        <v>0</v>
      </c>
      <c r="BG232" s="38">
        <f t="shared" si="204"/>
        <v>-1089.9153490432268</v>
      </c>
      <c r="BH232" s="41">
        <f>'[2]побудинковий звіт'!BH232+'[1]побудинковий звіт'!BH232</f>
        <v>682.92421978566813</v>
      </c>
      <c r="BI232" s="41">
        <f>'[2]побудинковий звіт'!BI232+'[1]побудинковий звіт'!BI232</f>
        <v>0</v>
      </c>
      <c r="BJ232" s="58">
        <f t="shared" si="205"/>
        <v>-682.92421978566813</v>
      </c>
      <c r="BK232" s="41">
        <f>'[2]побудинковий звіт'!BK232+'[1]побудинковий звіт'!BK232</f>
        <v>1534.7199717358124</v>
      </c>
      <c r="BL232" s="41">
        <f>'[2]побудинковий звіт'!BL232+'[1]побудинковий звіт'!BL232</f>
        <v>12184.77350235811</v>
      </c>
      <c r="BM232" s="38">
        <f t="shared" si="206"/>
        <v>10650.053530622297</v>
      </c>
      <c r="BN232" s="41">
        <f>'[2]побудинковий звіт'!BN232+'[1]побудинковий звіт'!BN232</f>
        <v>568.22770145494792</v>
      </c>
      <c r="BO232" s="41">
        <f>'[2]побудинковий звіт'!BO232+'[1]побудинковий звіт'!BO232</f>
        <v>0</v>
      </c>
      <c r="BP232" s="58">
        <f t="shared" si="207"/>
        <v>-568.22770145494792</v>
      </c>
      <c r="BQ232" s="84">
        <f t="shared" si="208"/>
        <v>11034.569116729175</v>
      </c>
      <c r="BR232" s="42">
        <f t="shared" si="209"/>
        <v>18469.244422219745</v>
      </c>
      <c r="BS232" s="58">
        <f t="shared" si="210"/>
        <v>7434.6753054905694</v>
      </c>
      <c r="BT232" s="41">
        <f>'[2]побудинковий звіт'!BT232+'[1]побудинковий звіт'!BT232</f>
        <v>40930.789290752342</v>
      </c>
      <c r="BU232" s="41">
        <f>'[2]побудинковий звіт'!BU232+'[1]побудинковий звіт'!BU232</f>
        <v>51851.385025488322</v>
      </c>
      <c r="BV232" s="55">
        <f t="shared" si="211"/>
        <v>10920.59573473598</v>
      </c>
      <c r="BW232" s="41">
        <f>'[2]побудинковий звіт'!BW232+'[1]побудинковий звіт'!BW232</f>
        <v>19977.741473538346</v>
      </c>
      <c r="BX232" s="41">
        <f>'[2]побудинковий звіт'!BX232+'[1]побудинковий звіт'!BX232</f>
        <v>18000.727118223469</v>
      </c>
      <c r="BY232" s="55">
        <f t="shared" si="212"/>
        <v>-1977.0143553148773</v>
      </c>
      <c r="BZ232" s="41">
        <f>'[2]побудинковий звіт'!BZ232+'[1]побудинковий звіт'!BZ232</f>
        <v>13724.571514240564</v>
      </c>
      <c r="CA232" s="41">
        <f>'[2]побудинковий звіт'!CA232+'[1]побудинковий звіт'!CA232</f>
        <v>3347.5019795834223</v>
      </c>
      <c r="CB232" s="55">
        <f t="shared" si="213"/>
        <v>-10377.069534657141</v>
      </c>
      <c r="CC232" s="41">
        <f>'[2]побудинковий звіт'!CC232+'[1]побудинковий звіт'!CC232</f>
        <v>1167.3770507291845</v>
      </c>
      <c r="CD232" s="41">
        <f>'[2]побудинковий звіт'!CD232+'[1]побудинковий звіт'!CD232</f>
        <v>1171.3354960946872</v>
      </c>
      <c r="CE232" s="55">
        <f t="shared" si="214"/>
        <v>3.9584453655027119</v>
      </c>
      <c r="CF232" s="41">
        <f>'[2]побудинковий звіт'!CF232+'[1]побудинковий звіт'!CF232</f>
        <v>144.63181176013421</v>
      </c>
      <c r="CG232" s="41">
        <f>'[2]побудинковий звіт'!CG232+'[1]побудинковий звіт'!CG232</f>
        <v>0</v>
      </c>
      <c r="CH232" s="55">
        <f t="shared" si="215"/>
        <v>-144.63181176013421</v>
      </c>
      <c r="CI232" s="41">
        <f>'[2]побудинковий звіт'!CI232+'[1]побудинковий звіт'!CI232</f>
        <v>9444.408251914645</v>
      </c>
      <c r="CJ232" s="41">
        <f>'[2]побудинковий звіт'!CJ232+'[1]побудинковий звіт'!CJ232</f>
        <v>12299.08199235782</v>
      </c>
      <c r="CK232" s="55">
        <f t="shared" si="216"/>
        <v>2854.6737404431751</v>
      </c>
      <c r="CL232" s="41">
        <f>'[2]побудинковий звіт'!CL232+'[1]побудинковий звіт'!CL232</f>
        <v>0</v>
      </c>
      <c r="CM232" s="41">
        <f>'[2]побудинковий звіт'!CM232+'[1]побудинковий звіт'!CM232</f>
        <v>0</v>
      </c>
      <c r="CN232" s="55">
        <f t="shared" si="217"/>
        <v>0</v>
      </c>
      <c r="CO232" s="41">
        <f t="shared" si="218"/>
        <v>9444.408251914645</v>
      </c>
      <c r="CP232" s="42">
        <f t="shared" si="219"/>
        <v>12299.08199235782</v>
      </c>
      <c r="CQ232" s="55">
        <f t="shared" si="220"/>
        <v>2854.6737404431751</v>
      </c>
      <c r="CR232" s="76">
        <f t="shared" si="221"/>
        <v>192748.46194187412</v>
      </c>
      <c r="CS232" s="5">
        <f t="shared" si="222"/>
        <v>186000.88298061161</v>
      </c>
      <c r="CT232" s="55">
        <f t="shared" si="223"/>
        <v>-6747.5789612625085</v>
      </c>
      <c r="CU232" s="84">
        <f t="shared" si="224"/>
        <v>231298.15433024894</v>
      </c>
      <c r="CV232" s="68">
        <f t="shared" si="225"/>
        <v>223201.05957673394</v>
      </c>
      <c r="CW232" s="36">
        <f t="shared" si="226"/>
        <v>-8097.0947535150044</v>
      </c>
      <c r="CX232" s="41">
        <f>'[2]побудинковий звіт'!CX232+'[1]побудинковий звіт'!CX232</f>
        <v>11546.579276835944</v>
      </c>
      <c r="CY232" s="41">
        <f>'[2]побудинковий звіт'!CY232+'[1]побудинковий звіт'!CY232</f>
        <v>19643.67403035098</v>
      </c>
      <c r="CZ232" s="55">
        <f t="shared" si="227"/>
        <v>8097.0947535150353</v>
      </c>
      <c r="DA232" s="254">
        <f>'[1]побудинковий звіт'!DA232</f>
        <v>-90823.95160590508</v>
      </c>
      <c r="DB232" s="2">
        <v>1</v>
      </c>
      <c r="DC232" s="702">
        <f>'[1]побудинковий звіт'!DC232</f>
        <v>73843.360000000001</v>
      </c>
      <c r="DD232" s="702">
        <f>'[1]побудинковий звіт'!DD232</f>
        <v>0</v>
      </c>
      <c r="DE232" s="702">
        <f>'[1]побудинковий звіт'!DE232</f>
        <v>47113.119999999995</v>
      </c>
      <c r="DF232" s="702">
        <f>'[1]побудинковий звіт'!DF232</f>
        <v>0</v>
      </c>
      <c r="DG232" s="772">
        <v>-37762.015108142165</v>
      </c>
      <c r="DH232" s="746">
        <f t="shared" si="239"/>
        <v>2914136.8032850185</v>
      </c>
      <c r="DI232" s="769"/>
      <c r="DJ232" s="5"/>
      <c r="DK232" s="307">
        <f>VLOOKUP($A232,ціни!$A$4:$G$401,5)</f>
        <v>5.8205260297486223</v>
      </c>
      <c r="DL232" s="307"/>
      <c r="DM232" s="307">
        <f>VLOOKUP($A232,ціни!$A$4:$G$401,7)</f>
        <v>5.2051000669991927</v>
      </c>
      <c r="DN232" s="29">
        <f>F232*DK232</f>
        <v>19015.658539188749</v>
      </c>
      <c r="DO232" s="29">
        <f>H232*DM232</f>
        <v>0</v>
      </c>
      <c r="DP232" s="306">
        <f t="shared" si="240"/>
        <v>19015.658539188749</v>
      </c>
      <c r="DQ232" s="101"/>
      <c r="DR232" s="29">
        <f>VLOOKUP(A232,'ДЗ нас '!$A$1:$C$359,2)</f>
        <v>19015.59</v>
      </c>
      <c r="DS232" s="733"/>
      <c r="DT232" s="29">
        <f t="shared" si="241"/>
        <v>19015.59</v>
      </c>
      <c r="DU232" s="247">
        <f>VLOOKUP(A232,'новий кошторис с 01.06'!$A$4:$AI$399,35)*1.2</f>
        <v>19198.522836969081</v>
      </c>
      <c r="DV232" s="29">
        <f t="shared" si="242"/>
        <v>-182.93283696908111</v>
      </c>
      <c r="DW232" s="1016">
        <f>'[2]побудинковий звіт'!$DW$9+'[1]побудинковий звіт'!DW232</f>
        <v>918</v>
      </c>
      <c r="DX232" s="101">
        <f>'[1]побудинковий звіт'!DX232</f>
        <v>0</v>
      </c>
      <c r="DY232" s="5">
        <f t="shared" si="243"/>
        <v>70169.274412048078</v>
      </c>
      <c r="DZ232" s="5">
        <f t="shared" si="244"/>
        <v>69145.875464004188</v>
      </c>
      <c r="EA232" s="737">
        <f t="shared" si="245"/>
        <v>47113.119999999995</v>
      </c>
      <c r="EC232" s="577">
        <f t="shared" si="246"/>
        <v>569277.91471973085</v>
      </c>
      <c r="EE232" s="743">
        <v>14992</v>
      </c>
      <c r="EF232" s="723">
        <f t="shared" si="247"/>
        <v>-22770.015108142165</v>
      </c>
      <c r="EH232" s="798">
        <v>-50767.046511761648</v>
      </c>
      <c r="EI232" s="101">
        <f>VLOOKUP(A232,'кошти 01.01.24'!$A$9:$D$352,4,FALSE)</f>
        <v>-82726.856852390018</v>
      </c>
    </row>
    <row r="233" spans="1:139" hidden="1" x14ac:dyDescent="0.3">
      <c r="A233" s="318">
        <v>150000948</v>
      </c>
      <c r="B233" s="43" t="s">
        <v>666</v>
      </c>
      <c r="C233" s="44" t="s">
        <v>383</v>
      </c>
      <c r="D233" s="44" t="s">
        <v>383</v>
      </c>
      <c r="E233" s="39">
        <f t="shared" si="185"/>
        <v>6618.95</v>
      </c>
      <c r="F233" s="205">
        <f>'[1]побудинковий звіт'!F233</f>
        <v>6618.95</v>
      </c>
      <c r="G233" s="29">
        <f>'[1]побудинковий звіт'!G233</f>
        <v>735.55</v>
      </c>
      <c r="H233" s="148">
        <f>'[1]побудинковий звіт'!H233</f>
        <v>0</v>
      </c>
      <c r="I233" s="41">
        <f>'[2]побудинковий звіт'!I233+'[1]побудинковий звіт'!I233</f>
        <v>17680.46048416803</v>
      </c>
      <c r="J233" s="41">
        <f>'[2]побудинковий звіт'!J233+'[1]побудинковий звіт'!J233</f>
        <v>13975.283485166994</v>
      </c>
      <c r="K233" s="55">
        <f t="shared" si="186"/>
        <v>-3705.1769990010362</v>
      </c>
      <c r="L233" s="41">
        <f>'[2]побудинковий звіт'!L233+'[1]побудинковий звіт'!L233</f>
        <v>3658.6781492852201</v>
      </c>
      <c r="M233" s="41">
        <f>'[2]побудинковий звіт'!M233+'[1]побудинковий звіт'!M233</f>
        <v>3211.8669469484257</v>
      </c>
      <c r="N233" s="55">
        <f t="shared" si="187"/>
        <v>-446.81120233679439</v>
      </c>
      <c r="O233" s="41">
        <f>'[2]побудинковий звіт'!O233+'[1]побудинковий звіт'!O233</f>
        <v>10361.355047012108</v>
      </c>
      <c r="P233" s="41">
        <f>'[2]побудинковий звіт'!P233+'[1]побудинковий звіт'!P233</f>
        <v>10390.632154749588</v>
      </c>
      <c r="Q233" s="55">
        <f t="shared" si="188"/>
        <v>29.277107737480037</v>
      </c>
      <c r="R233" s="41">
        <f>'[2]побудинковий звіт'!R233+'[1]побудинковий звіт'!R233</f>
        <v>2118.9976921331631</v>
      </c>
      <c r="S233" s="41">
        <f>'[2]побудинковий звіт'!S233+'[1]побудинковий звіт'!S233</f>
        <v>2124.972658385786</v>
      </c>
      <c r="T233" s="55">
        <f t="shared" si="189"/>
        <v>5.9749662526228349</v>
      </c>
      <c r="U233" s="41">
        <f>'[2]побудинковий звіт'!U233+'[1]побудинковий звіт'!U233</f>
        <v>885.59929193099276</v>
      </c>
      <c r="V233" s="41">
        <f>'[2]побудинковий звіт'!V233+'[1]побудинковий звіт'!V233</f>
        <v>467.53215543725423</v>
      </c>
      <c r="W233" s="55">
        <f t="shared" si="190"/>
        <v>-418.06713649373853</v>
      </c>
      <c r="X233" s="41">
        <f>'[2]побудинковий звіт'!X233+'[1]побудинковий звіт'!X233</f>
        <v>12351.605970542652</v>
      </c>
      <c r="Y233" s="41">
        <f>'[2]побудинковий звіт'!Y233+'[1]побудинковий звіт'!Y233</f>
        <v>8683.4010023642895</v>
      </c>
      <c r="Z233" s="55">
        <f t="shared" si="191"/>
        <v>-3668.2049681783628</v>
      </c>
      <c r="AA233" s="41">
        <f>'[2]побудинковий звіт'!AA233+'[1]побудинковий звіт'!AA233</f>
        <v>0</v>
      </c>
      <c r="AB233" s="41">
        <f>'[2]побудинковий звіт'!AB233+'[1]побудинковий звіт'!AB233</f>
        <v>0</v>
      </c>
      <c r="AC233" s="55">
        <f t="shared" si="192"/>
        <v>0</v>
      </c>
      <c r="AD233" s="41">
        <f>'[2]побудинковий звіт'!AD233+'[1]побудинковий звіт'!AD233</f>
        <v>28694.23698964687</v>
      </c>
      <c r="AE233" s="41">
        <f>'[2]побудинковий звіт'!AE233+'[1]побудинковий звіт'!AE233</f>
        <v>28583.177152741184</v>
      </c>
      <c r="AF233" s="36">
        <f t="shared" si="193"/>
        <v>-111.0598369056861</v>
      </c>
      <c r="AG233" s="84">
        <f t="shared" si="194"/>
        <v>75750.933624719037</v>
      </c>
      <c r="AH233" s="56">
        <f t="shared" si="195"/>
        <v>67436.865555793513</v>
      </c>
      <c r="AI233" s="55">
        <f t="shared" si="196"/>
        <v>-8314.0680689255241</v>
      </c>
      <c r="AJ233" s="41">
        <f>'[2]побудинковий звіт'!AJ233+'[1]побудинковий звіт'!AJ233</f>
        <v>88637.248096232724</v>
      </c>
      <c r="AK233" s="41">
        <f>'[2]побудинковий звіт'!AK233+'[1]побудинковий звіт'!AK233</f>
        <v>77193.61021959364</v>
      </c>
      <c r="AL233" s="55">
        <f t="shared" si="197"/>
        <v>-11443.637876639084</v>
      </c>
      <c r="AM233" s="41">
        <f>'[2]побудинковий звіт'!AM233+'[1]побудинковий звіт'!AM233</f>
        <v>302.92842272642292</v>
      </c>
      <c r="AN233" s="41">
        <f>'[2]побудинковий звіт'!AN233+'[1]побудинковий звіт'!AN233</f>
        <v>1578.4179747841836</v>
      </c>
      <c r="AO233" s="55">
        <f t="shared" si="198"/>
        <v>1275.4895520577606</v>
      </c>
      <c r="AP233" s="41">
        <f>'[2]побудинковий звіт'!AP233+'[1]побудинковий звіт'!AP233</f>
        <v>5349.2288916881016</v>
      </c>
      <c r="AQ233" s="41">
        <f>'[2]побудинковий звіт'!AQ233+'[1]побудинковий звіт'!AQ233</f>
        <v>5386.6551860067866</v>
      </c>
      <c r="AR233" s="55">
        <f t="shared" si="199"/>
        <v>37.426294318684995</v>
      </c>
      <c r="AS233" s="41">
        <f>'[2]побудинковий звіт'!AS233+'[1]побудинковий звіт'!AS233</f>
        <v>110336.95272689432</v>
      </c>
      <c r="AT233" s="41">
        <f>'[2]побудинковий звіт'!AT233+'[1]побудинковий звіт'!AT233</f>
        <v>175092.18208016353</v>
      </c>
      <c r="AU233" s="57">
        <f t="shared" si="200"/>
        <v>64755.229353269213</v>
      </c>
      <c r="AV233" s="41">
        <f>'[2]побудинковий звіт'!AV233+'[1]побудинковий звіт'!AV233</f>
        <v>1879.3077446502252</v>
      </c>
      <c r="AW233" s="41">
        <f>'[2]побудинковий звіт'!AW233+'[1]побудинковий звіт'!AW233</f>
        <v>1382.7810568360851</v>
      </c>
      <c r="AX233" s="58">
        <f t="shared" si="201"/>
        <v>-496.52668781414013</v>
      </c>
      <c r="AY233" s="41">
        <f>'[2]побудинковий звіт'!AY233+'[1]побудинковий звіт'!AY233</f>
        <v>2110.9196014008116</v>
      </c>
      <c r="AZ233" s="41">
        <f>'[2]побудинковий звіт'!AZ233+'[1]побудинковий звіт'!AZ233</f>
        <v>3451.8955475997009</v>
      </c>
      <c r="BA233" s="36">
        <f t="shared" si="202"/>
        <v>1340.9759461988892</v>
      </c>
      <c r="BB233" s="41">
        <f>'[2]побудинковий звіт'!BB233+'[1]побудинковий звіт'!BB233</f>
        <v>2276.8603290048732</v>
      </c>
      <c r="BC233" s="41">
        <f>'[2]побудинковий звіт'!BC233+'[1]побудинковий звіт'!BC233</f>
        <v>3166.7271244504232</v>
      </c>
      <c r="BD233" s="58">
        <f t="shared" si="203"/>
        <v>889.86679544555</v>
      </c>
      <c r="BE233" s="41">
        <f>'[2]побудинковий звіт'!BE233+'[1]побудинковий звіт'!BE233</f>
        <v>1007.9885432677777</v>
      </c>
      <c r="BF233" s="41">
        <f>'[2]побудинковий звіт'!BF233+'[1]побудинковий звіт'!BF233</f>
        <v>13913.647704492241</v>
      </c>
      <c r="BG233" s="38">
        <f t="shared" si="204"/>
        <v>12905.659161224463</v>
      </c>
      <c r="BH233" s="41">
        <f>'[2]побудинковий звіт'!BH233+'[1]побудинковий звіт'!BH233</f>
        <v>461.93774892252401</v>
      </c>
      <c r="BI233" s="41">
        <f>'[2]побудинковий звіт'!BI233+'[1]побудинковий звіт'!BI233</f>
        <v>16.749686000000001</v>
      </c>
      <c r="BJ233" s="58">
        <f t="shared" si="205"/>
        <v>-445.18806292252401</v>
      </c>
      <c r="BK233" s="41">
        <f>'[2]побудинковий звіт'!BK233+'[1]побудинковий звіт'!BK233</f>
        <v>2063.7871088153834</v>
      </c>
      <c r="BL233" s="41">
        <f>'[2]побудинковий звіт'!BL233+'[1]побудинковий звіт'!BL233</f>
        <v>1131.2545234065167</v>
      </c>
      <c r="BM233" s="38">
        <f t="shared" si="206"/>
        <v>-932.53258540886668</v>
      </c>
      <c r="BN233" s="41">
        <f>'[2]побудинковий звіт'!BN233+'[1]побудинковий звіт'!BN233</f>
        <v>750.00531484086082</v>
      </c>
      <c r="BO233" s="41">
        <f>'[2]побудинковий звіт'!BO233+'[1]побудинковий звіт'!BO233</f>
        <v>0</v>
      </c>
      <c r="BP233" s="58">
        <f t="shared" si="207"/>
        <v>-750.00531484086082</v>
      </c>
      <c r="BQ233" s="84">
        <f t="shared" si="208"/>
        <v>10550.806390902455</v>
      </c>
      <c r="BR233" s="42">
        <f t="shared" si="209"/>
        <v>23063.05564278497</v>
      </c>
      <c r="BS233" s="58">
        <f t="shared" si="210"/>
        <v>12512.249251882515</v>
      </c>
      <c r="BT233" s="41">
        <f>'[2]побудинковий звіт'!BT233+'[1]побудинковий звіт'!BT233</f>
        <v>98116.315681559063</v>
      </c>
      <c r="BU233" s="41">
        <f>'[2]побудинковий звіт'!BU233+'[1]побудинковий звіт'!BU233</f>
        <v>98731.528610428606</v>
      </c>
      <c r="BV233" s="55">
        <f t="shared" si="211"/>
        <v>615.21292886954325</v>
      </c>
      <c r="BW233" s="41">
        <f>'[2]побудинковий звіт'!BW233+'[1]побудинковий звіт'!BW233</f>
        <v>71805.508480341843</v>
      </c>
      <c r="BX233" s="41">
        <f>'[2]побудинковий звіт'!BX233+'[1]побудинковий звіт'!BX233</f>
        <v>66387.022916359361</v>
      </c>
      <c r="BY233" s="55">
        <f t="shared" si="212"/>
        <v>-5418.4855639824818</v>
      </c>
      <c r="BZ233" s="41">
        <f>'[2]побудинковий звіт'!BZ233+'[1]побудинковий звіт'!BZ233</f>
        <v>9886.8452474447349</v>
      </c>
      <c r="CA233" s="41">
        <f>'[2]побудинковий звіт'!CA233+'[1]побудинковий звіт'!CA233</f>
        <v>8700.8586250432709</v>
      </c>
      <c r="CB233" s="55">
        <f t="shared" si="213"/>
        <v>-1185.986622401464</v>
      </c>
      <c r="CC233" s="41">
        <f>'[2]побудинковий звіт'!CC233+'[1]побудинковий звіт'!CC233</f>
        <v>1935.9588024125114</v>
      </c>
      <c r="CD233" s="41">
        <f>'[2]побудинковий звіт'!CD233+'[1]побудинковий звіт'!CD233</f>
        <v>1942.5234227675423</v>
      </c>
      <c r="CE233" s="55">
        <f t="shared" si="214"/>
        <v>6.564620355030911</v>
      </c>
      <c r="CF233" s="41">
        <f>'[2]побудинковий звіт'!CF233+'[1]побудинковий звіт'!CF233</f>
        <v>239.85500563935412</v>
      </c>
      <c r="CG233" s="41">
        <f>'[2]побудинковий звіт'!CG233+'[1]побудинковий звіт'!CG233</f>
        <v>0</v>
      </c>
      <c r="CH233" s="55">
        <f t="shared" si="215"/>
        <v>-239.85500563935412</v>
      </c>
      <c r="CI233" s="41">
        <f>'[2]побудинковий звіт'!CI233+'[1]побудинковий звіт'!CI233</f>
        <v>12594.444080239204</v>
      </c>
      <c r="CJ233" s="41">
        <f>'[2]побудинковий звіт'!CJ233+'[1]побудинковий звіт'!CJ233</f>
        <v>18063.794673319862</v>
      </c>
      <c r="CK233" s="55">
        <f t="shared" si="216"/>
        <v>5469.3505930806587</v>
      </c>
      <c r="CL233" s="41">
        <f>'[2]побудинковий звіт'!CL233+'[1]побудинковий звіт'!CL233</f>
        <v>17079.846577741377</v>
      </c>
      <c r="CM233" s="41">
        <f>'[2]побудинковий звіт'!CM233+'[1]побудинковий звіт'!CM233</f>
        <v>20351.183592878115</v>
      </c>
      <c r="CN233" s="55">
        <f t="shared" si="217"/>
        <v>3271.337015136738</v>
      </c>
      <c r="CO233" s="41">
        <f t="shared" si="218"/>
        <v>29674.290657980579</v>
      </c>
      <c r="CP233" s="42">
        <f t="shared" si="219"/>
        <v>38414.978266197977</v>
      </c>
      <c r="CQ233" s="55">
        <f t="shared" si="220"/>
        <v>8740.6876082173985</v>
      </c>
      <c r="CR233" s="76">
        <f t="shared" si="221"/>
        <v>502586.87202854123</v>
      </c>
      <c r="CS233" s="5">
        <f t="shared" si="222"/>
        <v>563927.69849992334</v>
      </c>
      <c r="CT233" s="55">
        <f t="shared" si="223"/>
        <v>61340.826471382112</v>
      </c>
      <c r="CU233" s="84">
        <f t="shared" si="224"/>
        <v>603104.24643424945</v>
      </c>
      <c r="CV233" s="68">
        <f t="shared" si="225"/>
        <v>676713.23819990794</v>
      </c>
      <c r="CW233" s="36">
        <f t="shared" si="226"/>
        <v>73608.991765658488</v>
      </c>
      <c r="CX233" s="41">
        <f>'[2]побудинковий звіт'!CX233+'[1]побудинковий звіт'!CX233</f>
        <v>18351.794434629337</v>
      </c>
      <c r="CY233" s="41">
        <f>'[2]побудинковий звіт'!CY233+'[1]побудинковий звіт'!CY233</f>
        <v>-55257.197331029332</v>
      </c>
      <c r="CZ233" s="55">
        <f t="shared" si="227"/>
        <v>-73608.991765658662</v>
      </c>
      <c r="DA233" s="254">
        <f>'[1]побудинковий звіт'!DA233</f>
        <v>50520.333650224449</v>
      </c>
      <c r="DB233" s="2">
        <v>1</v>
      </c>
      <c r="DC233" s="702">
        <f>'[1]побудинковий звіт'!DC233</f>
        <v>100104.3</v>
      </c>
      <c r="DD233" s="702">
        <f>'[1]побудинковий звіт'!DD233</f>
        <v>0</v>
      </c>
      <c r="DE233" s="702">
        <f>'[1]побудинковий звіт'!DE233</f>
        <v>32578.680000000008</v>
      </c>
      <c r="DF233" s="702">
        <f>'[1]побудинковий звіт'!DF233</f>
        <v>0</v>
      </c>
      <c r="DG233" s="772">
        <v>39742.470699140569</v>
      </c>
      <c r="DH233" s="746">
        <f t="shared" si="239"/>
        <v>7457472.490426546</v>
      </c>
      <c r="DI233" s="769"/>
      <c r="DJ233" s="5"/>
      <c r="DK233" s="307">
        <f>VLOOKUP($A233,ціни!$A$4:$G$401,5)</f>
        <v>5.7972584118578867</v>
      </c>
      <c r="DL233" s="307">
        <f>VLOOKUP($A233,ціни!$A$4:$G$401,6)</f>
        <v>7.5670710797245171</v>
      </c>
      <c r="DM233" s="307">
        <f>VLOOKUP($A233,ціни!$A$4:$G$401,7)</f>
        <v>4.7391552306308311</v>
      </c>
      <c r="DN233" s="29">
        <f t="shared" ref="DN233:DN239" si="248">DK233*G233+(F233-G233)*DL233</f>
        <v>48784.279415293291</v>
      </c>
      <c r="DO233" s="29">
        <f>DM233*H233</f>
        <v>0</v>
      </c>
      <c r="DP233" s="306">
        <f t="shared" si="240"/>
        <v>48784.279415293291</v>
      </c>
      <c r="DQ233" s="101"/>
      <c r="DR233" s="29">
        <f>VLOOKUP(A233,'ДЗ нас '!$A$1:$C$359,2)</f>
        <v>48841.96</v>
      </c>
      <c r="DS233" s="733"/>
      <c r="DT233" s="29">
        <f t="shared" si="241"/>
        <v>48841.96</v>
      </c>
      <c r="DU233" s="247">
        <f>VLOOKUP(A233,'новий кошторис с 01.06'!$A$4:$AI$399,35)*1.2</f>
        <v>49055.973060225886</v>
      </c>
      <c r="DV233" s="29">
        <f t="shared" si="242"/>
        <v>-214.01306022588687</v>
      </c>
      <c r="DW233" s="1016">
        <f>'[2]побудинковий звіт'!$DW$9+'[1]побудинковий звіт'!DW233</f>
        <v>1044</v>
      </c>
      <c r="DX233" s="101">
        <f>'[1]побудинковий звіт'!DX233</f>
        <v>0</v>
      </c>
      <c r="DY233" s="5">
        <f t="shared" si="243"/>
        <v>145065.31094135612</v>
      </c>
      <c r="DZ233" s="5">
        <f t="shared" si="244"/>
        <v>237786.28526753822</v>
      </c>
      <c r="EA233" s="737">
        <f t="shared" si="245"/>
        <v>32578.680000000008</v>
      </c>
      <c r="EC233" s="577">
        <f t="shared" si="246"/>
        <v>1324043.432722732</v>
      </c>
      <c r="EE233" s="743">
        <v>-9715</v>
      </c>
      <c r="EF233" s="723">
        <f t="shared" si="247"/>
        <v>30027.470699140569</v>
      </c>
      <c r="EH233" s="798">
        <v>2463.7483625954046</v>
      </c>
      <c r="EI233" s="101">
        <f>VLOOKUP(A233,'кошти 01.01.24'!$A$9:$D$352,4,FALSE)</f>
        <v>-23088.658115434278</v>
      </c>
    </row>
    <row r="234" spans="1:139" hidden="1" x14ac:dyDescent="0.3">
      <c r="A234" s="318">
        <v>150000949</v>
      </c>
      <c r="B234" s="43" t="s">
        <v>667</v>
      </c>
      <c r="C234" s="44" t="s">
        <v>384</v>
      </c>
      <c r="D234" s="44" t="s">
        <v>384</v>
      </c>
      <c r="E234" s="39">
        <f t="shared" si="185"/>
        <v>9392.58</v>
      </c>
      <c r="F234" s="205">
        <f>'[1]побудинковий звіт'!F234</f>
        <v>9392.58</v>
      </c>
      <c r="G234" s="29">
        <f>'[1]побудинковий звіт'!G234</f>
        <v>999.75</v>
      </c>
      <c r="H234" s="148">
        <f>'[1]побудинковий звіт'!H234</f>
        <v>0</v>
      </c>
      <c r="I234" s="41">
        <f>'[2]побудинковий звіт'!I234+'[1]побудинковий звіт'!I234</f>
        <v>25187.475568746609</v>
      </c>
      <c r="J234" s="41">
        <f>'[2]побудинковий звіт'!J234+'[1]побудинковий звіт'!J234</f>
        <v>19941.619490158151</v>
      </c>
      <c r="K234" s="55">
        <f t="shared" si="186"/>
        <v>-5245.8560785884583</v>
      </c>
      <c r="L234" s="41">
        <f>'[2]побудинковий звіт'!L234+'[1]побудинковий звіт'!L234</f>
        <v>5284.5905351266465</v>
      </c>
      <c r="M234" s="41">
        <f>'[2]побудинковий звіт'!M234+'[1]побудинковий звіт'!M234</f>
        <v>4730.4380060064486</v>
      </c>
      <c r="N234" s="55">
        <f t="shared" si="187"/>
        <v>-554.15252912019787</v>
      </c>
      <c r="O234" s="41">
        <f>'[2]побудинковий звіт'!O234+'[1]побудинковий звіт'!O234</f>
        <v>14987.375744865936</v>
      </c>
      <c r="P234" s="41">
        <f>'[2]побудинковий звіт'!P234+'[1]побудинковий звіт'!P234</f>
        <v>15029.730433192215</v>
      </c>
      <c r="Q234" s="55">
        <f t="shared" si="188"/>
        <v>42.354688326278847</v>
      </c>
      <c r="R234" s="41">
        <f>'[2]побудинковий звіт'!R234+'[1]побудинковий звіт'!R234</f>
        <v>3078.844321937886</v>
      </c>
      <c r="S234" s="41">
        <f>'[2]побудинковий звіт'!S234+'[1]побудинковий звіт'!S234</f>
        <v>3086.9615669521622</v>
      </c>
      <c r="T234" s="55">
        <f t="shared" si="189"/>
        <v>8.11724501427625</v>
      </c>
      <c r="U234" s="41">
        <f>'[2]побудинковий звіт'!U234+'[1]побудинковий звіт'!U234</f>
        <v>2682.2828249108184</v>
      </c>
      <c r="V234" s="41">
        <f>'[2]побудинковий звіт'!V234+'[1]побудинковий звіт'!V234</f>
        <v>1181.4955818659669</v>
      </c>
      <c r="W234" s="55">
        <f t="shared" si="190"/>
        <v>-1500.7872430448515</v>
      </c>
      <c r="X234" s="41">
        <f>'[2]побудинковий звіт'!X234+'[1]побудинковий звіт'!X234</f>
        <v>22792.234207396286</v>
      </c>
      <c r="Y234" s="41">
        <f>'[2]побудинковий звіт'!Y234+'[1]побудинковий звіт'!Y234</f>
        <v>16348.300430135814</v>
      </c>
      <c r="Z234" s="55">
        <f t="shared" si="191"/>
        <v>-6443.9337772604722</v>
      </c>
      <c r="AA234" s="41">
        <f>'[2]побудинковий звіт'!AA234+'[1]побудинковий звіт'!AA234</f>
        <v>0</v>
      </c>
      <c r="AB234" s="41">
        <f>'[2]побудинковий звіт'!AB234+'[1]побудинковий звіт'!AB234</f>
        <v>0</v>
      </c>
      <c r="AC234" s="55">
        <f t="shared" si="192"/>
        <v>0</v>
      </c>
      <c r="AD234" s="41">
        <f>'[2]побудинковий звіт'!AD234+'[1]побудинковий звіт'!AD234</f>
        <v>40739.343226801873</v>
      </c>
      <c r="AE234" s="41">
        <f>'[2]побудинковий звіт'!AE234+'[1]побудинковий звіт'!AE234</f>
        <v>40580.866841908253</v>
      </c>
      <c r="AF234" s="36">
        <f t="shared" si="193"/>
        <v>-158.47638489361998</v>
      </c>
      <c r="AG234" s="84">
        <f t="shared" si="194"/>
        <v>114752.14642978605</v>
      </c>
      <c r="AH234" s="56">
        <f t="shared" si="195"/>
        <v>100899.41235021901</v>
      </c>
      <c r="AI234" s="55">
        <f t="shared" si="196"/>
        <v>-13852.734079567046</v>
      </c>
      <c r="AJ234" s="41">
        <f>'[2]побудинковий звіт'!AJ234+'[1]побудинковий звіт'!AJ234</f>
        <v>137447.52980970737</v>
      </c>
      <c r="AK234" s="41">
        <f>'[2]побудинковий звіт'!AK234+'[1]побудинковий звіт'!AK234</f>
        <v>134794.8799283267</v>
      </c>
      <c r="AL234" s="55">
        <f t="shared" si="197"/>
        <v>-2652.6498813806684</v>
      </c>
      <c r="AM234" s="41">
        <f>'[2]побудинковий звіт'!AM234+'[1]побудинковий звіт'!AM234</f>
        <v>908.80628444281319</v>
      </c>
      <c r="AN234" s="41">
        <f>'[2]побудинковий звіт'!AN234+'[1]побудинковий звіт'!AN234</f>
        <v>4605.1514948862678</v>
      </c>
      <c r="AO234" s="55">
        <f t="shared" si="198"/>
        <v>3696.3452104434546</v>
      </c>
      <c r="AP234" s="41">
        <f>'[2]побудинковий звіт'!AP234+'[1]побудинковий звіт'!AP234</f>
        <v>8865.8515890015751</v>
      </c>
      <c r="AQ234" s="41">
        <f>'[2]побудинковий звіт'!AQ234+'[1]побудинковий звіт'!AQ234</f>
        <v>10560</v>
      </c>
      <c r="AR234" s="55">
        <f t="shared" si="199"/>
        <v>1694.1484109984249</v>
      </c>
      <c r="AS234" s="41">
        <f>'[2]побудинковий звіт'!AS234+'[1]побудинковий звіт'!AS234</f>
        <v>183048.83020420934</v>
      </c>
      <c r="AT234" s="41">
        <f>'[2]побудинковий звіт'!AT234+'[1]побудинковий звіт'!AT234</f>
        <v>7548.4942151501537</v>
      </c>
      <c r="AU234" s="57">
        <f t="shared" si="200"/>
        <v>-175500.33598905918</v>
      </c>
      <c r="AV234" s="41">
        <f>'[2]побудинковий звіт'!AV234+'[1]побудинковий звіт'!AV234</f>
        <v>1444.1611418358991</v>
      </c>
      <c r="AW234" s="41">
        <f>'[2]побудинковий звіт'!AW234+'[1]побудинковий звіт'!AW234</f>
        <v>1134.9861735692598</v>
      </c>
      <c r="AX234" s="58">
        <f t="shared" si="201"/>
        <v>-309.17496826663933</v>
      </c>
      <c r="AY234" s="41">
        <f>'[2]побудинковий звіт'!AY234+'[1]побудинковий звіт'!AY234</f>
        <v>1228.9841286972444</v>
      </c>
      <c r="AZ234" s="41">
        <f>'[2]побудинковий звіт'!AZ234+'[1]побудинковий звіт'!AZ234</f>
        <v>5801.0246148822998</v>
      </c>
      <c r="BA234" s="36">
        <f t="shared" si="202"/>
        <v>4572.0404861850557</v>
      </c>
      <c r="BB234" s="41">
        <f>'[2]побудинковий звіт'!BB234+'[1]побудинковий звіт'!BB234</f>
        <v>1471.641411358147</v>
      </c>
      <c r="BC234" s="41">
        <f>'[2]побудинковий звіт'!BC234+'[1]побудинковий звіт'!BC234</f>
        <v>999.69411339984447</v>
      </c>
      <c r="BD234" s="58">
        <f t="shared" si="203"/>
        <v>-471.94729795830256</v>
      </c>
      <c r="BE234" s="41">
        <f>'[2]побудинковий звіт'!BE234+'[1]побудинковий звіт'!BE234</f>
        <v>695.77216464243099</v>
      </c>
      <c r="BF234" s="41">
        <f>'[2]побудинковий звіт'!BF234+'[1]побудинковий звіт'!BF234</f>
        <v>709.09552607150101</v>
      </c>
      <c r="BG234" s="38">
        <f t="shared" si="204"/>
        <v>13.323361429070019</v>
      </c>
      <c r="BH234" s="41">
        <f>'[2]побудинковий звіт'!BH234+'[1]побудинковий звіт'!BH234</f>
        <v>643.68561527751251</v>
      </c>
      <c r="BI234" s="41">
        <f>'[2]побудинковий звіт'!BI234+'[1]побудинковий звіт'!BI234</f>
        <v>7.7228418000000003</v>
      </c>
      <c r="BJ234" s="58">
        <f t="shared" si="205"/>
        <v>-635.96277347751254</v>
      </c>
      <c r="BK234" s="41">
        <f>'[2]побудинковий звіт'!BK234+'[1]побудинковий звіт'!BK234</f>
        <v>2201.8347345789348</v>
      </c>
      <c r="BL234" s="41">
        <f>'[2]побудинковий звіт'!BL234+'[1]побудинковий звіт'!BL234</f>
        <v>507.45180577129332</v>
      </c>
      <c r="BM234" s="38">
        <f t="shared" si="206"/>
        <v>-1694.3829288076415</v>
      </c>
      <c r="BN234" s="41">
        <f>'[2]побудинковий звіт'!BN234+'[1]побудинковий звіт'!BN234</f>
        <v>866.51041310749599</v>
      </c>
      <c r="BO234" s="41">
        <f>'[2]побудинковий звіт'!BO234+'[1]побудинковий звіт'!BO234</f>
        <v>0</v>
      </c>
      <c r="BP234" s="58">
        <f t="shared" si="207"/>
        <v>-866.51041310749599</v>
      </c>
      <c r="BQ234" s="84">
        <f t="shared" si="208"/>
        <v>8552.5896094976652</v>
      </c>
      <c r="BR234" s="42">
        <f t="shared" si="209"/>
        <v>9159.9750754941997</v>
      </c>
      <c r="BS234" s="58">
        <f t="shared" si="210"/>
        <v>607.38546599653455</v>
      </c>
      <c r="BT234" s="41">
        <f>'[2]побудинковий звіт'!BT234+'[1]побудинковий звіт'!BT234</f>
        <v>132109.55097407944</v>
      </c>
      <c r="BU234" s="41">
        <f>'[2]побудинковий звіт'!BU234+'[1]побудинковий звіт'!BU234</f>
        <v>163691.23023510282</v>
      </c>
      <c r="BV234" s="55">
        <f t="shared" si="211"/>
        <v>31581.679261023382</v>
      </c>
      <c r="BW234" s="41">
        <f>'[2]побудинковий звіт'!BW234+'[1]побудинковий звіт'!BW234</f>
        <v>95108.109097330322</v>
      </c>
      <c r="BX234" s="41">
        <f>'[2]побудинковий звіт'!BX234+'[1]побудинковий звіт'!BX234</f>
        <v>114860.08727597669</v>
      </c>
      <c r="BY234" s="55">
        <f t="shared" si="212"/>
        <v>19751.978178646372</v>
      </c>
      <c r="BZ234" s="41">
        <f>'[2]побудинковий звіт'!BZ234+'[1]побудинковий звіт'!BZ234</f>
        <v>10660.062711419492</v>
      </c>
      <c r="CA234" s="41">
        <f>'[2]побудинковий звіт'!CA234+'[1]побудинковий звіт'!CA234</f>
        <v>15293.145240164271</v>
      </c>
      <c r="CB234" s="55">
        <f t="shared" si="213"/>
        <v>4633.0825287447788</v>
      </c>
      <c r="CC234" s="41">
        <f>'[2]побудинковий звіт'!CC234+'[1]побудинковий звіт'!CC234</f>
        <v>2700.8762787600417</v>
      </c>
      <c r="CD234" s="41">
        <f>'[2]побудинковий звіт'!CD234+'[1]побудинковий звіт'!CD234</f>
        <v>2710.034648955665</v>
      </c>
      <c r="CE234" s="55">
        <f t="shared" si="214"/>
        <v>9.1583701956233199</v>
      </c>
      <c r="CF234" s="41">
        <f>'[2]побудинковий звіт'!CF234+'[1]побудинковий звіт'!CF234</f>
        <v>334.62421528077084</v>
      </c>
      <c r="CG234" s="41">
        <f>'[2]побудинковий звіт'!CG234+'[1]побудинковий звіт'!CG234</f>
        <v>0</v>
      </c>
      <c r="CH234" s="55">
        <f t="shared" si="215"/>
        <v>-334.62421528077084</v>
      </c>
      <c r="CI234" s="41">
        <f>'[2]побудинковий звіт'!CI234+'[1]побудинковий звіт'!CI234</f>
        <v>14911.466932967782</v>
      </c>
      <c r="CJ234" s="41">
        <f>'[2]побудинковий звіт'!CJ234+'[1]побудинковий звіт'!CJ234</f>
        <v>6352.0910030798077</v>
      </c>
      <c r="CK234" s="55">
        <f t="shared" si="216"/>
        <v>-8559.3759298879741</v>
      </c>
      <c r="CL234" s="41">
        <f>'[2]побудинковий звіт'!CL234+'[1]побудинковий звіт'!CL234</f>
        <v>20363.348563692023</v>
      </c>
      <c r="CM234" s="41">
        <f>'[2]побудинковий звіт'!CM234+'[1]побудинковий звіт'!CM234</f>
        <v>32787.202153276034</v>
      </c>
      <c r="CN234" s="55">
        <f t="shared" si="217"/>
        <v>12423.85358958401</v>
      </c>
      <c r="CO234" s="41">
        <f t="shared" si="218"/>
        <v>35274.815496659809</v>
      </c>
      <c r="CP234" s="42">
        <f t="shared" si="219"/>
        <v>39139.293156355838</v>
      </c>
      <c r="CQ234" s="55">
        <f t="shared" si="220"/>
        <v>3864.4776596960291</v>
      </c>
      <c r="CR234" s="76">
        <f t="shared" si="221"/>
        <v>729763.79270017473</v>
      </c>
      <c r="CS234" s="5">
        <f t="shared" si="222"/>
        <v>603261.7036206316</v>
      </c>
      <c r="CT234" s="55">
        <f t="shared" si="223"/>
        <v>-126502.08907954313</v>
      </c>
      <c r="CU234" s="84">
        <f t="shared" si="224"/>
        <v>875716.55124020961</v>
      </c>
      <c r="CV234" s="68">
        <f t="shared" si="225"/>
        <v>723914.04434475792</v>
      </c>
      <c r="CW234" s="36">
        <f t="shared" si="226"/>
        <v>-151802.50689545169</v>
      </c>
      <c r="CX234" s="41">
        <f>'[2]побудинковий звіт'!CX234+'[1]побудинковий звіт'!CX234</f>
        <v>26301.753313561243</v>
      </c>
      <c r="CY234" s="41">
        <f>'[2]побудинковий звіт'!CY234+'[1]побудинковий звіт'!CY234</f>
        <v>178104.26020901286</v>
      </c>
      <c r="CZ234" s="55">
        <f t="shared" si="227"/>
        <v>151802.50689545163</v>
      </c>
      <c r="DA234" s="254">
        <f>'[1]побудинковий звіт'!DA234</f>
        <v>37437.443926303065</v>
      </c>
      <c r="DB234" s="2">
        <v>1</v>
      </c>
      <c r="DC234" s="702">
        <f>'[1]побудинковий звіт'!DC234</f>
        <v>280858.40000000002</v>
      </c>
      <c r="DD234" s="702">
        <f>'[1]побудинковий звіт'!DD234</f>
        <v>0</v>
      </c>
      <c r="DE234" s="702">
        <f>'[1]побудинковий звіт'!DE234</f>
        <v>182422.38</v>
      </c>
      <c r="DF234" s="702">
        <f>'[1]побудинковий звіт'!DF234</f>
        <v>0</v>
      </c>
      <c r="DG234" s="772">
        <v>-22827.433401764603</v>
      </c>
      <c r="DH234" s="746">
        <f t="shared" si="239"/>
        <v>10824219.654645249</v>
      </c>
      <c r="DI234" s="769"/>
      <c r="DJ234" s="5"/>
      <c r="DK234" s="307">
        <f>VLOOKUP($A234,ціни!$A$4:$G$401,5)</f>
        <v>5.8862007677600197</v>
      </c>
      <c r="DL234" s="307">
        <f>VLOOKUP($A234,ціни!$A$4:$G$401,6)</f>
        <v>7.7337608825549449</v>
      </c>
      <c r="DM234" s="307">
        <f>VLOOKUP($A234,ціни!$A$4:$G$401,7)</f>
        <v>4.8979731199421837</v>
      </c>
      <c r="DN234" s="29">
        <f t="shared" si="248"/>
        <v>70792.869565501693</v>
      </c>
      <c r="DO234" s="29">
        <f>DM234*H234</f>
        <v>0</v>
      </c>
      <c r="DP234" s="306">
        <f t="shared" si="240"/>
        <v>70792.869565501693</v>
      </c>
      <c r="DQ234" s="101"/>
      <c r="DR234" s="29">
        <f>VLOOKUP(A234,'ДЗ нас '!$A$1:$C$359,2)</f>
        <v>70790.210000000006</v>
      </c>
      <c r="DS234" s="733"/>
      <c r="DT234" s="29">
        <f t="shared" si="241"/>
        <v>70790.210000000006</v>
      </c>
      <c r="DU234" s="247">
        <f>VLOOKUP(A234,'новий кошторис с 01.06'!$A$4:$AI$399,35)*1.2</f>
        <v>71139.91036359292</v>
      </c>
      <c r="DV234" s="29">
        <f t="shared" si="242"/>
        <v>-349.70036359291407</v>
      </c>
      <c r="DW234" s="1016">
        <f>'[2]побудинковий звіт'!$DW$9+'[1]побудинковий звіт'!DW234</f>
        <v>1665</v>
      </c>
      <c r="DX234" s="101">
        <f>'[1]побудинковий звіт'!DX234</f>
        <v>0</v>
      </c>
      <c r="DY234" s="5">
        <f t="shared" si="243"/>
        <v>229921.70377644841</v>
      </c>
      <c r="DZ234" s="5">
        <f t="shared" si="244"/>
        <v>20050.163148773223</v>
      </c>
      <c r="EA234" s="737">
        <f t="shared" si="245"/>
        <v>182422.38</v>
      </c>
      <c r="EC234" s="577">
        <f t="shared" si="246"/>
        <v>2196585.9624505122</v>
      </c>
      <c r="EE234" s="743">
        <v>-28050</v>
      </c>
      <c r="EF234" s="723">
        <f t="shared" si="247"/>
        <v>-50877.433401764603</v>
      </c>
      <c r="EH234" s="798">
        <v>318937.51890166558</v>
      </c>
      <c r="EI234" s="101">
        <f>VLOOKUP(A234,'кошти 01.01.24'!$A$9:$D$352,4,FALSE)</f>
        <v>189239.95082175464</v>
      </c>
    </row>
    <row r="235" spans="1:139" hidden="1" x14ac:dyDescent="0.3">
      <c r="A235" s="318">
        <v>150000760</v>
      </c>
      <c r="B235" s="43" t="s">
        <v>704</v>
      </c>
      <c r="C235" s="44" t="s">
        <v>1808</v>
      </c>
      <c r="D235" s="44" t="s">
        <v>387</v>
      </c>
      <c r="E235" s="39">
        <f t="shared" si="185"/>
        <v>11347.12</v>
      </c>
      <c r="F235" s="205">
        <f>'[1]побудинковий звіт'!F235</f>
        <v>11347.12</v>
      </c>
      <c r="G235" s="29">
        <f>'[1]побудинковий звіт'!G235</f>
        <v>1200.4000000000001</v>
      </c>
      <c r="H235" s="148">
        <f>'[1]побудинковий звіт'!H235</f>
        <v>0</v>
      </c>
      <c r="I235" s="41">
        <f>'[2]побудинковий звіт'!I235+'[1]побудинковий звіт'!I235</f>
        <v>28149.476511765162</v>
      </c>
      <c r="J235" s="41">
        <f>'[2]побудинковий звіт'!J235+'[1]побудинковий звіт'!J235</f>
        <v>29203.082456466043</v>
      </c>
      <c r="K235" s="55">
        <f t="shared" si="186"/>
        <v>1053.6059447008811</v>
      </c>
      <c r="L235" s="41">
        <f>'[2]побудинковий звіт'!L235+'[1]побудинковий звіт'!L235</f>
        <v>8475.0760251978209</v>
      </c>
      <c r="M235" s="41">
        <f>'[2]побудинковий звіт'!M235+'[1]побудинковий звіт'!M235</f>
        <v>8897.8976183156519</v>
      </c>
      <c r="N235" s="55">
        <f t="shared" si="187"/>
        <v>422.82159311783107</v>
      </c>
      <c r="O235" s="41">
        <f>'[2]побудинковий звіт'!O235+'[1]побудинковий звіт'!O235</f>
        <v>16738.492015721815</v>
      </c>
      <c r="P235" s="41">
        <f>'[2]побудинковий звіт'!P235+'[1]побудинковий звіт'!P235</f>
        <v>16786.801069180859</v>
      </c>
      <c r="Q235" s="55">
        <f t="shared" si="188"/>
        <v>48.309053459044662</v>
      </c>
      <c r="R235" s="41">
        <f>'[2]побудинковий звіт'!R235+'[1]побудинковий звіт'!R235</f>
        <v>3804.607367970541</v>
      </c>
      <c r="S235" s="41">
        <f>'[2]побудинковий звіт'!S235+'[1]побудинковий звіт'!S235</f>
        <v>3817.11196628478</v>
      </c>
      <c r="T235" s="55">
        <f t="shared" si="189"/>
        <v>12.504598314239047</v>
      </c>
      <c r="U235" s="41">
        <f>'[2]побудинковий звіт'!U235+'[1]побудинковий звіт'!U235</f>
        <v>1299.9005688188406</v>
      </c>
      <c r="V235" s="41">
        <f>'[2]побудинковий звіт'!V235+'[1]побудинковий звіт'!V235</f>
        <v>2863.2353131411382</v>
      </c>
      <c r="W235" s="55">
        <f t="shared" si="190"/>
        <v>1563.3347443222976</v>
      </c>
      <c r="X235" s="41">
        <f>'[2]побудинковий звіт'!X235+'[1]побудинковий звіт'!X235</f>
        <v>24081.541821455474</v>
      </c>
      <c r="Y235" s="41">
        <f>'[2]побудинковий звіт'!Y235+'[1]побудинковий звіт'!Y235</f>
        <v>24512.527118529732</v>
      </c>
      <c r="Z235" s="55">
        <f t="shared" si="191"/>
        <v>430.98529707425769</v>
      </c>
      <c r="AA235" s="41">
        <f>'[2]побудинковий звіт'!AA235+'[1]побудинковий звіт'!AA235</f>
        <v>0</v>
      </c>
      <c r="AB235" s="41">
        <f>'[2]побудинковий звіт'!AB235+'[1]побудинковий звіт'!AB235</f>
        <v>0</v>
      </c>
      <c r="AC235" s="55">
        <f t="shared" si="192"/>
        <v>0</v>
      </c>
      <c r="AD235" s="41">
        <f>'[2]побудинковий звіт'!AD235+'[1]побудинковий звіт'!AD235</f>
        <v>49181.812766050483</v>
      </c>
      <c r="AE235" s="41">
        <f>'[2]побудинковий звіт'!AE235+'[1]побудинковий звіт'!AE235</f>
        <v>48991.829672837419</v>
      </c>
      <c r="AF235" s="36">
        <f t="shared" si="193"/>
        <v>-189.98309321306442</v>
      </c>
      <c r="AG235" s="84">
        <f t="shared" si="194"/>
        <v>131730.90707698013</v>
      </c>
      <c r="AH235" s="56">
        <f t="shared" si="195"/>
        <v>135072.48521475561</v>
      </c>
      <c r="AI235" s="55">
        <f t="shared" si="196"/>
        <v>3341.5781377754756</v>
      </c>
      <c r="AJ235" s="41">
        <f>'[2]побудинковий звіт'!AJ235+'[1]побудинковий звіт'!AJ235</f>
        <v>95056.272083044198</v>
      </c>
      <c r="AK235" s="41">
        <f>'[2]побудинковий звіт'!AK235+'[1]побудинковий звіт'!AK235</f>
        <v>89340.8796570017</v>
      </c>
      <c r="AL235" s="55">
        <f t="shared" si="197"/>
        <v>-5715.3924260424974</v>
      </c>
      <c r="AM235" s="41">
        <f>'[2]побудинковий звіт'!AM235+'[1]побудинковий звіт'!AM235</f>
        <v>9485.6950321938621</v>
      </c>
      <c r="AN235" s="41">
        <f>'[2]побудинковий звіт'!AN235+'[1]побудинковий звіт'!AN235</f>
        <v>7892.0504225213463</v>
      </c>
      <c r="AO235" s="55">
        <f t="shared" si="198"/>
        <v>-1593.6446096725158</v>
      </c>
      <c r="AP235" s="41">
        <f>'[2]побудинковий звіт'!AP235+'[1]побудинковий звіт'!AP235</f>
        <v>10698.457783376203</v>
      </c>
      <c r="AQ235" s="41">
        <f>'[2]побудинковий звіт'!AQ235+'[1]побудинковий звіт'!AQ235</f>
        <v>10338.20503985261</v>
      </c>
      <c r="AR235" s="55">
        <f t="shared" si="199"/>
        <v>-360.25274352359338</v>
      </c>
      <c r="AS235" s="41">
        <f>'[2]побудинковий звіт'!AS235+'[1]побудинковий звіт'!AS235</f>
        <v>214164.87746271596</v>
      </c>
      <c r="AT235" s="41">
        <f>'[2]побудинковий звіт'!AT235+'[1]побудинковий звіт'!AT235</f>
        <v>80206.282488235054</v>
      </c>
      <c r="AU235" s="57">
        <f t="shared" si="200"/>
        <v>-133958.59497448092</v>
      </c>
      <c r="AV235" s="41">
        <f>'[2]побудинковий звіт'!AV235+'[1]побудинковий звіт'!AV235</f>
        <v>2307.5741749443687</v>
      </c>
      <c r="AW235" s="41">
        <f>'[2]побудинковий звіт'!AW235+'[1]побудинковий звіт'!AW235</f>
        <v>2030.6002210713471</v>
      </c>
      <c r="AX235" s="58">
        <f t="shared" si="201"/>
        <v>-276.97395387302163</v>
      </c>
      <c r="AY235" s="41">
        <f>'[2]побудинковий звіт'!AY235+'[1]побудинковий звіт'!AY235</f>
        <v>5629.0885284543974</v>
      </c>
      <c r="AZ235" s="41">
        <f>'[2]побудинковий звіт'!AZ235+'[1]побудинковий звіт'!AZ235</f>
        <v>0</v>
      </c>
      <c r="BA235" s="36">
        <f t="shared" si="202"/>
        <v>-5629.0885284543974</v>
      </c>
      <c r="BB235" s="41">
        <f>'[2]побудинковий звіт'!BB235+'[1]побудинковий звіт'!BB235</f>
        <v>4631.1016449733188</v>
      </c>
      <c r="BC235" s="41">
        <f>'[2]побудинковий звіт'!BC235+'[1]побудинковий звіт'!BC235</f>
        <v>0</v>
      </c>
      <c r="BD235" s="58">
        <f t="shared" si="203"/>
        <v>-4631.1016449733188</v>
      </c>
      <c r="BE235" s="41">
        <f>'[2]побудинковий звіт'!BE235+'[1]побудинковий звіт'!BE235</f>
        <v>1645.5384958349141</v>
      </c>
      <c r="BF235" s="41">
        <f>'[2]побудинковий звіт'!BF235+'[1]побудинковий звіт'!BF235</f>
        <v>774.43253390249993</v>
      </c>
      <c r="BG235" s="38">
        <f t="shared" si="204"/>
        <v>-871.10596193241417</v>
      </c>
      <c r="BH235" s="41">
        <f>'[2]побудинковий звіт'!BH235+'[1]побудинковий звіт'!BH235</f>
        <v>685.28251599704606</v>
      </c>
      <c r="BI235" s="41">
        <f>'[2]побудинковий звіт'!BI235+'[1]побудинковий звіт'!BI235</f>
        <v>0</v>
      </c>
      <c r="BJ235" s="58">
        <f t="shared" si="205"/>
        <v>-685.28251599704606</v>
      </c>
      <c r="BK235" s="41">
        <f>'[2]побудинковий звіт'!BK235+'[1]побудинковий звіт'!BK235</f>
        <v>3434.5004816500832</v>
      </c>
      <c r="BL235" s="41">
        <f>'[2]побудинковий звіт'!BL235+'[1]побудинковий звіт'!BL235</f>
        <v>2804.0294689998873</v>
      </c>
      <c r="BM235" s="38">
        <f t="shared" si="206"/>
        <v>-630.47101265019592</v>
      </c>
      <c r="BN235" s="41">
        <f>'[2]побудинковий звіт'!BN235+'[1]побудинковий звіт'!BN235</f>
        <v>20.485177221713855</v>
      </c>
      <c r="BO235" s="41">
        <f>'[2]побудинковий звіт'!BO235+'[1]побудинковий звіт'!BO235</f>
        <v>0</v>
      </c>
      <c r="BP235" s="58">
        <f t="shared" si="207"/>
        <v>-20.485177221713855</v>
      </c>
      <c r="BQ235" s="84">
        <f t="shared" si="208"/>
        <v>18353.571019075844</v>
      </c>
      <c r="BR235" s="42">
        <f t="shared" si="209"/>
        <v>5609.062223973734</v>
      </c>
      <c r="BS235" s="58">
        <f t="shared" si="210"/>
        <v>-12744.508795102109</v>
      </c>
      <c r="BT235" s="41">
        <f>'[2]побудинковий звіт'!BT235+'[1]побудинковий звіт'!BT235</f>
        <v>131844.88170312942</v>
      </c>
      <c r="BU235" s="41">
        <f>'[2]побудинковий звіт'!BU235+'[1]побудинковий звіт'!BU235</f>
        <v>166450.20047036989</v>
      </c>
      <c r="BV235" s="55">
        <f t="shared" si="211"/>
        <v>34605.318767240475</v>
      </c>
      <c r="BW235" s="41">
        <f>'[2]побудинковий звіт'!BW235+'[1]побудинковий звіт'!BW235</f>
        <v>128908.05629395103</v>
      </c>
      <c r="BX235" s="41">
        <f>'[2]побудинковий звіт'!BX235+'[1]побудинковий звіт'!BX235</f>
        <v>158738.95812527524</v>
      </c>
      <c r="BY235" s="55">
        <f t="shared" si="212"/>
        <v>29830.901831324212</v>
      </c>
      <c r="BZ235" s="41">
        <f>'[2]побудинковий звіт'!BZ235+'[1]побудинковий звіт'!BZ235</f>
        <v>12499.184564090168</v>
      </c>
      <c r="CA235" s="41">
        <f>'[2]побудинковий звіт'!CA235+'[1]побудинковий звіт'!CA235</f>
        <v>13412.12402644434</v>
      </c>
      <c r="CB235" s="55">
        <f t="shared" si="213"/>
        <v>912.93946235417206</v>
      </c>
      <c r="CC235" s="41">
        <f>'[2]побудинковий звіт'!CC235+'[1]побудинковий звіт'!CC235</f>
        <v>4046.0928257865526</v>
      </c>
      <c r="CD235" s="41">
        <f>'[2]побудинковий звіт'!CD235+'[1]побудинковий звіт'!CD235</f>
        <v>4059.812675242752</v>
      </c>
      <c r="CE235" s="55">
        <f t="shared" si="214"/>
        <v>13.719849456199427</v>
      </c>
      <c r="CF235" s="41">
        <f>'[2]побудинковий звіт'!CF235+'[1]побудинковий звіт'!CF235</f>
        <v>501.28939538228667</v>
      </c>
      <c r="CG235" s="41">
        <f>'[2]побудинковий звіт'!CG235+'[1]побудинковий звіт'!CG235</f>
        <v>1199.1508425401184</v>
      </c>
      <c r="CH235" s="55">
        <f t="shared" si="215"/>
        <v>697.86144715783178</v>
      </c>
      <c r="CI235" s="41">
        <f>'[2]побудинковий звіт'!CI235+'[1]побудинковий звіт'!CI235</f>
        <v>19185.188879099784</v>
      </c>
      <c r="CJ235" s="41">
        <f>'[2]побудинковий звіт'!CJ235+'[1]побудинковий звіт'!CJ235</f>
        <v>27721.403537619066</v>
      </c>
      <c r="CK235" s="55">
        <f t="shared" si="216"/>
        <v>8536.2146585192822</v>
      </c>
      <c r="CL235" s="41">
        <f>'[2]побудинковий звіт'!CL235+'[1]побудинковий звіт'!CL235</f>
        <v>26166.50504079555</v>
      </c>
      <c r="CM235" s="41">
        <f>'[2]побудинковий звіт'!CM235+'[1]побудинковий звіт'!CM235</f>
        <v>34542.46933526465</v>
      </c>
      <c r="CN235" s="55">
        <f t="shared" si="217"/>
        <v>8375.9642944691004</v>
      </c>
      <c r="CO235" s="41">
        <f t="shared" si="218"/>
        <v>45351.693919895333</v>
      </c>
      <c r="CP235" s="42">
        <f t="shared" si="219"/>
        <v>62263.872872883716</v>
      </c>
      <c r="CQ235" s="55">
        <f t="shared" si="220"/>
        <v>16912.178952988383</v>
      </c>
      <c r="CR235" s="76">
        <f t="shared" si="221"/>
        <v>802640.97915962106</v>
      </c>
      <c r="CS235" s="5">
        <f t="shared" si="222"/>
        <v>734583.08405909617</v>
      </c>
      <c r="CT235" s="55">
        <f t="shared" si="223"/>
        <v>-68057.895100524882</v>
      </c>
      <c r="CU235" s="84">
        <f t="shared" si="224"/>
        <v>963169.17499154527</v>
      </c>
      <c r="CV235" s="68">
        <f t="shared" si="225"/>
        <v>881499.70087091543</v>
      </c>
      <c r="CW235" s="36">
        <f t="shared" si="226"/>
        <v>-81669.474120629835</v>
      </c>
      <c r="CX235" s="41">
        <f>'[2]побудинковий звіт'!CX235+'[1]побудинковий звіт'!CX235</f>
        <v>29946.512231061006</v>
      </c>
      <c r="CY235" s="41">
        <f>'[2]побудинковий звіт'!CY235+'[1]побудинковий звіт'!CY235</f>
        <v>111615.98635169104</v>
      </c>
      <c r="CZ235" s="55">
        <f t="shared" si="227"/>
        <v>81669.474120630039</v>
      </c>
      <c r="DA235" s="254">
        <f>'[1]побудинковий звіт'!DA235</f>
        <v>-34007.983120487741</v>
      </c>
      <c r="DB235" s="2">
        <v>2</v>
      </c>
      <c r="DC235" s="702">
        <f>'[1]побудинковий звіт'!DC235</f>
        <v>307834.19</v>
      </c>
      <c r="DD235" s="702">
        <f>'[1]побудинковий звіт'!DD235</f>
        <v>0</v>
      </c>
      <c r="DE235" s="702">
        <f>'[1]побудинковий звіт'!DE235</f>
        <v>198033.41</v>
      </c>
      <c r="DF235" s="702">
        <f>'[1]побудинковий звіт'!DF235</f>
        <v>0</v>
      </c>
      <c r="DG235" s="772">
        <v>67405.754169722553</v>
      </c>
      <c r="DH235" s="746">
        <f t="shared" si="239"/>
        <v>11917388.246671274</v>
      </c>
      <c r="DI235" s="769"/>
      <c r="DJ235" s="5"/>
      <c r="DK235" s="307">
        <f>VLOOKUP($A235,ціни!$A$4:$G$401,5)</f>
        <v>5.7553237519541813</v>
      </c>
      <c r="DL235" s="307">
        <f>VLOOKUP($A235,ціни!$A$4:$G$401,6)</f>
        <v>6.975985510146641</v>
      </c>
      <c r="DM235" s="307">
        <f>VLOOKUP($A235,ціни!$A$4:$G$401,7)</f>
        <v>4.6123696798518656</v>
      </c>
      <c r="DN235" s="29">
        <f t="shared" si="248"/>
        <v>77692.062327360938</v>
      </c>
      <c r="DO235" s="29">
        <f>DM235*H235</f>
        <v>0</v>
      </c>
      <c r="DP235" s="306">
        <f t="shared" si="240"/>
        <v>77692.062327360938</v>
      </c>
      <c r="DQ235" s="101"/>
      <c r="DR235" s="29">
        <f>VLOOKUP(A235,'ДЗ нас '!$A$1:$C$359,2)</f>
        <v>77692.179999999993</v>
      </c>
      <c r="DS235" s="733"/>
      <c r="DT235" s="29">
        <f t="shared" si="241"/>
        <v>77692.179999999993</v>
      </c>
      <c r="DU235" s="247">
        <f>VLOOKUP(A235,'новий кошторис с 01.06'!$A$4:$AI$399,35)*1.2</f>
        <v>78004.45285752682</v>
      </c>
      <c r="DV235" s="29">
        <f t="shared" si="242"/>
        <v>-312.27285752682656</v>
      </c>
      <c r="DW235" s="1016">
        <f>'[2]побудинковий звіт'!$DW$9+'[1]побудинковий звіт'!DW235</f>
        <v>1962</v>
      </c>
      <c r="DX235" s="101">
        <f>'[1]побудинковий звіт'!DX235</f>
        <v>0</v>
      </c>
      <c r="DY235" s="5">
        <f t="shared" si="243"/>
        <v>279022.13817815017</v>
      </c>
      <c r="DZ235" s="5">
        <f t="shared" si="244"/>
        <v>102978.41365465053</v>
      </c>
      <c r="EA235" s="737">
        <f t="shared" si="245"/>
        <v>198033.41</v>
      </c>
      <c r="EC235" s="577">
        <f t="shared" si="246"/>
        <v>2569978.5295525915</v>
      </c>
      <c r="EE235" s="743">
        <v>51182</v>
      </c>
      <c r="EF235" s="723">
        <f t="shared" si="247"/>
        <v>118587.75416972255</v>
      </c>
      <c r="EH235" s="798">
        <v>210033.29067879092</v>
      </c>
      <c r="EI235" s="101">
        <f>VLOOKUP(A235,'кошти 01.01.24'!$A$9:$D$352,4,FALSE)</f>
        <v>47661.491000142269</v>
      </c>
    </row>
    <row r="236" spans="1:139" hidden="1" x14ac:dyDescent="0.3">
      <c r="A236" s="318">
        <v>150000758</v>
      </c>
      <c r="B236" s="43" t="s">
        <v>705</v>
      </c>
      <c r="C236" s="44" t="s">
        <v>1809</v>
      </c>
      <c r="D236" s="44" t="s">
        <v>388</v>
      </c>
      <c r="E236" s="39">
        <f t="shared" si="185"/>
        <v>0</v>
      </c>
      <c r="F236" s="205">
        <f>'[1]побудинковий звіт'!F236</f>
        <v>0</v>
      </c>
      <c r="G236" s="29">
        <f>'[1]побудинковий звіт'!G236</f>
        <v>0</v>
      </c>
      <c r="H236" s="148">
        <f>'[1]побудинковий звіт'!H236</f>
        <v>0</v>
      </c>
      <c r="I236" s="41">
        <f>'[2]побудинковий звіт'!I236+'[1]побудинковий звіт'!I236</f>
        <v>22525.375193665252</v>
      </c>
      <c r="J236" s="41">
        <f>'[2]побудинковий звіт'!J236+'[1]побудинковий звіт'!J236</f>
        <v>23564.055735800423</v>
      </c>
      <c r="K236" s="55">
        <f t="shared" si="186"/>
        <v>1038.680542135171</v>
      </c>
      <c r="L236" s="41">
        <f>'[2]побудинковий звіт'!L236+'[1]побудинковий звіт'!L236</f>
        <v>6318.7754877956804</v>
      </c>
      <c r="M236" s="41">
        <f>'[2]побудинковий звіт'!M236+'[1]побудинковий звіт'!M236</f>
        <v>6631.1623121160756</v>
      </c>
      <c r="N236" s="55">
        <f t="shared" si="187"/>
        <v>312.38682432039514</v>
      </c>
      <c r="O236" s="41">
        <f>'[2]побудинковий звіт'!O236+'[1]побудинковий звіт'!O236</f>
        <v>12128.48</v>
      </c>
      <c r="P236" s="41">
        <f>'[2]побудинковий звіт'!P236+'[1]побудинковий звіт'!P236</f>
        <v>12132.4</v>
      </c>
      <c r="Q236" s="55">
        <f t="shared" si="188"/>
        <v>3.9200000000000728</v>
      </c>
      <c r="R236" s="41">
        <f>'[2]побудинковий звіт'!R236+'[1]побудинковий звіт'!R236</f>
        <v>2635.28</v>
      </c>
      <c r="S236" s="41">
        <f>'[2]побудинковий звіт'!S236+'[1]побудинковий звіт'!S236</f>
        <v>2634.4</v>
      </c>
      <c r="T236" s="55">
        <f t="shared" si="189"/>
        <v>-0.88000000000010914</v>
      </c>
      <c r="U236" s="41">
        <f>'[2]побудинковий звіт'!U236+'[1]побудинковий звіт'!U236</f>
        <v>910.11569860204236</v>
      </c>
      <c r="V236" s="41">
        <f>'[2]побудинковий звіт'!V236+'[1]побудинковий звіт'!V236</f>
        <v>2512.8709055016916</v>
      </c>
      <c r="W236" s="55">
        <f t="shared" si="190"/>
        <v>1602.7552068996492</v>
      </c>
      <c r="X236" s="41">
        <f>'[2]побудинковий звіт'!X236+'[1]побудинковий звіт'!X236</f>
        <v>15176.526561059449</v>
      </c>
      <c r="Y236" s="41">
        <f>'[2]побудинковий звіт'!Y236+'[1]побудинковий звіт'!Y236</f>
        <v>17658.277586429263</v>
      </c>
      <c r="Z236" s="55">
        <f t="shared" si="191"/>
        <v>2481.7510253698147</v>
      </c>
      <c r="AA236" s="41">
        <f>'[2]побудинковий звіт'!AA236+'[1]побудинковий звіт'!AA236</f>
        <v>0</v>
      </c>
      <c r="AB236" s="41">
        <f>'[2]побудинковий звіт'!AB236+'[1]побудинковий звіт'!AB236</f>
        <v>0</v>
      </c>
      <c r="AC236" s="55">
        <f t="shared" si="192"/>
        <v>0</v>
      </c>
      <c r="AD236" s="41">
        <f>'[2]побудинковий звіт'!AD236+'[1]побудинковий звіт'!AD236</f>
        <v>37679.539647987614</v>
      </c>
      <c r="AE236" s="41">
        <f>'[2]побудинковий звіт'!AE236+'[1]побудинковий звіт'!AE236</f>
        <v>35666.079673370114</v>
      </c>
      <c r="AF236" s="36">
        <f t="shared" si="193"/>
        <v>-2013.4599746175008</v>
      </c>
      <c r="AG236" s="84">
        <f t="shared" si="194"/>
        <v>97374.092589110034</v>
      </c>
      <c r="AH236" s="56">
        <f t="shared" si="195"/>
        <v>100799.24621321757</v>
      </c>
      <c r="AI236" s="55">
        <f t="shared" si="196"/>
        <v>3425.1536241075373</v>
      </c>
      <c r="AJ236" s="41">
        <f>'[2]побудинковий звіт'!AJ236+'[1]побудинковий звіт'!AJ236</f>
        <v>112866.85508061314</v>
      </c>
      <c r="AK236" s="41">
        <f>'[2]побудинковий звіт'!AK236+'[1]побудинковий звіт'!AK236</f>
        <v>109847.5248953759</v>
      </c>
      <c r="AL236" s="55">
        <f t="shared" si="197"/>
        <v>-3019.3301852372388</v>
      </c>
      <c r="AM236" s="41">
        <f>'[2]побудинковий звіт'!AM236+'[1]побудинковий звіт'!AM236</f>
        <v>3156.8443177418626</v>
      </c>
      <c r="AN236" s="41">
        <f>'[2]побудинковий звіт'!AN236+'[1]побудинковий звіт'!AN236</f>
        <v>3789.4398794392132</v>
      </c>
      <c r="AO236" s="55">
        <f t="shared" si="198"/>
        <v>632.5955616973506</v>
      </c>
      <c r="AP236" s="41">
        <f>'[2]побудинковий звіт'!AP236+'[1]побудинковий звіт'!AP236</f>
        <v>7923.3809455435376</v>
      </c>
      <c r="AQ236" s="41">
        <f>'[2]побудинковий звіт'!AQ236+'[1]побудинковий звіт'!AQ236</f>
        <v>3413.4437663704543</v>
      </c>
      <c r="AR236" s="55">
        <f t="shared" si="199"/>
        <v>-4509.9371791730828</v>
      </c>
      <c r="AS236" s="41">
        <f>'[2]побудинковий звіт'!AS236+'[1]побудинковий звіт'!AS236</f>
        <v>162585.02472713319</v>
      </c>
      <c r="AT236" s="41">
        <f>'[2]побудинковий звіт'!AT236+'[1]побудинковий звіт'!AT236</f>
        <v>364446.94736348226</v>
      </c>
      <c r="AU236" s="57">
        <f t="shared" si="200"/>
        <v>201861.92263634907</v>
      </c>
      <c r="AV236" s="41">
        <f>'[2]побудинковий звіт'!AV236+'[1]побудинковий звіт'!AV236</f>
        <v>1837.8115636552909</v>
      </c>
      <c r="AW236" s="41">
        <f>'[2]побудинковий звіт'!AW236+'[1]побудинковий звіт'!AW236</f>
        <v>964.8339791524354</v>
      </c>
      <c r="AX236" s="58">
        <f t="shared" si="201"/>
        <v>-872.97758450285551</v>
      </c>
      <c r="AY236" s="41">
        <f>'[2]побудинковий звіт'!AY236+'[1]побудинковий звіт'!AY236</f>
        <v>4179.2093471704566</v>
      </c>
      <c r="AZ236" s="41">
        <f>'[2]побудинковий звіт'!AZ236+'[1]побудинковий звіт'!AZ236</f>
        <v>3680.4587702051531</v>
      </c>
      <c r="BA236" s="36">
        <f t="shared" si="202"/>
        <v>-498.75057696530348</v>
      </c>
      <c r="BB236" s="41">
        <f>'[2]побудинковий звіт'!BB236+'[1]побудинковий звіт'!BB236</f>
        <v>3291.3342739460313</v>
      </c>
      <c r="BC236" s="41">
        <f>'[2]побудинковий звіт'!BC236+'[1]побудинковий звіт'!BC236</f>
        <v>0</v>
      </c>
      <c r="BD236" s="58">
        <f t="shared" si="203"/>
        <v>-3291.3342739460313</v>
      </c>
      <c r="BE236" s="41">
        <f>'[2]побудинковий звіт'!BE236+'[1]побудинковий звіт'!BE236</f>
        <v>1249.1065313573761</v>
      </c>
      <c r="BF236" s="41">
        <f>'[2]побудинковий звіт'!BF236+'[1]побудинковий звіт'!BF236</f>
        <v>0</v>
      </c>
      <c r="BG236" s="38">
        <f t="shared" si="204"/>
        <v>-1249.1065313573761</v>
      </c>
      <c r="BH236" s="41">
        <f>'[2]побудинковий звіт'!BH236+'[1]побудинковий звіт'!BH236</f>
        <v>461.68010643739353</v>
      </c>
      <c r="BI236" s="41">
        <f>'[2]побудинковий звіт'!BI236+'[1]побудинковий звіт'!BI236</f>
        <v>0</v>
      </c>
      <c r="BJ236" s="58">
        <f t="shared" si="205"/>
        <v>-461.68010643739353</v>
      </c>
      <c r="BK236" s="41">
        <f>'[2]побудинковий звіт'!BK236+'[1]побудинковий звіт'!BK236</f>
        <v>2169.7951902388154</v>
      </c>
      <c r="BL236" s="41">
        <f>'[2]побудинковий звіт'!BL236+'[1]побудинковий звіт'!BL236</f>
        <v>5265.1329167054128</v>
      </c>
      <c r="BM236" s="38">
        <f t="shared" si="206"/>
        <v>3095.3377264665974</v>
      </c>
      <c r="BN236" s="41">
        <f>'[2]побудинковий звіт'!BN236+'[1]побудинковий звіт'!BN236</f>
        <v>0</v>
      </c>
      <c r="BO236" s="41">
        <f>'[2]побудинковий звіт'!BO236+'[1]побудинковий звіт'!BO236</f>
        <v>0</v>
      </c>
      <c r="BP236" s="58">
        <f t="shared" si="207"/>
        <v>0</v>
      </c>
      <c r="BQ236" s="84">
        <f t="shared" si="208"/>
        <v>13188.937012805365</v>
      </c>
      <c r="BR236" s="42">
        <f t="shared" si="209"/>
        <v>9910.4256660630017</v>
      </c>
      <c r="BS236" s="58">
        <f t="shared" si="210"/>
        <v>-3278.5113467423635</v>
      </c>
      <c r="BT236" s="41">
        <f>'[2]побудинковий звіт'!BT236+'[1]побудинковий звіт'!BT236</f>
        <v>113059.39388313815</v>
      </c>
      <c r="BU236" s="41">
        <f>'[2]побудинковий звіт'!BU236+'[1]побудинковий звіт'!BU236</f>
        <v>130520.70737746573</v>
      </c>
      <c r="BV236" s="55">
        <f t="shared" si="211"/>
        <v>17461.31349432758</v>
      </c>
      <c r="BW236" s="41">
        <f>'[2]побудинковий звіт'!BW236+'[1]побудинковий звіт'!BW236</f>
        <v>76933.693968071137</v>
      </c>
      <c r="BX236" s="41">
        <f>'[2]побудинковий звіт'!BX236+'[1]побудинковий звіт'!BX236</f>
        <v>87043.309184258425</v>
      </c>
      <c r="BY236" s="55">
        <f t="shared" si="212"/>
        <v>10109.615216187289</v>
      </c>
      <c r="BZ236" s="41">
        <f>'[2]побудинковий звіт'!BZ236+'[1]побудинковий звіт'!BZ236</f>
        <v>7634.535859024837</v>
      </c>
      <c r="CA236" s="41">
        <f>'[2]побудинковий звіт'!CA236+'[1]побудинковий звіт'!CA236</f>
        <v>19663.152151328864</v>
      </c>
      <c r="CB236" s="55">
        <f t="shared" si="213"/>
        <v>12028.616292304028</v>
      </c>
      <c r="CC236" s="41">
        <f>'[2]побудинковий звіт'!CC236+'[1]побудинковий звіт'!CC236</f>
        <v>3000.5440694050808</v>
      </c>
      <c r="CD236" s="41">
        <f>'[2]побудинковий звіт'!CD236+'[1]побудинковий звіт'!CD236</f>
        <v>2990.0666641820771</v>
      </c>
      <c r="CE236" s="55">
        <f t="shared" si="214"/>
        <v>-10.477405223003643</v>
      </c>
      <c r="CF236" s="41">
        <f>'[2]побудинковий звіт'!CF236+'[1]побудинковий звіт'!CF236</f>
        <v>369.38516005933764</v>
      </c>
      <c r="CG236" s="41">
        <f>'[2]побудинковий звіт'!CG236+'[1]побудинковий звіт'!CG236</f>
        <v>0</v>
      </c>
      <c r="CH236" s="55">
        <f t="shared" si="215"/>
        <v>-369.38516005933764</v>
      </c>
      <c r="CI236" s="41">
        <f>'[2]побудинковий звіт'!CI236+'[1]побудинковий звіт'!CI236</f>
        <v>13326.8779261608</v>
      </c>
      <c r="CJ236" s="41">
        <f>'[2]побудинковий звіт'!CJ236+'[1]побудинковий звіт'!CJ236</f>
        <v>13704.393923734071</v>
      </c>
      <c r="CK236" s="55">
        <f t="shared" si="216"/>
        <v>377.51599757327131</v>
      </c>
      <c r="CL236" s="41">
        <f>'[2]побудинковий звіт'!CL236+'[1]побудинковий звіт'!CL236</f>
        <v>18430.523124475189</v>
      </c>
      <c r="CM236" s="41">
        <f>'[2]побудинковий звіт'!CM236+'[1]побудинковий звіт'!CM236</f>
        <v>35264.767010348813</v>
      </c>
      <c r="CN236" s="55">
        <f t="shared" si="217"/>
        <v>16834.243885873624</v>
      </c>
      <c r="CO236" s="41">
        <f t="shared" si="218"/>
        <v>31757.401050635988</v>
      </c>
      <c r="CP236" s="42">
        <f t="shared" si="219"/>
        <v>48969.160934082887</v>
      </c>
      <c r="CQ236" s="55">
        <f t="shared" si="220"/>
        <v>17211.759883446899</v>
      </c>
      <c r="CR236" s="76">
        <f t="shared" si="221"/>
        <v>629850.08866328152</v>
      </c>
      <c r="CS236" s="5">
        <f t="shared" si="222"/>
        <v>881393.4240952665</v>
      </c>
      <c r="CT236" s="55">
        <f t="shared" si="223"/>
        <v>251543.33543198498</v>
      </c>
      <c r="CU236" s="84">
        <f t="shared" si="224"/>
        <v>755820.10639593785</v>
      </c>
      <c r="CV236" s="68">
        <f t="shared" si="225"/>
        <v>1057672.1089143197</v>
      </c>
      <c r="CW236" s="36">
        <f t="shared" si="226"/>
        <v>301852.00251838181</v>
      </c>
      <c r="CX236" s="41">
        <f>'[2]побудинковий звіт'!CX236+'[1]побудинковий звіт'!CX236</f>
        <v>51378.803604062108</v>
      </c>
      <c r="CY236" s="41">
        <f>'[2]побудинковий звіт'!CY236+'[1]побудинковий звіт'!CY236</f>
        <v>-249423.04392148359</v>
      </c>
      <c r="CZ236" s="55">
        <f t="shared" si="227"/>
        <v>-300801.84752554569</v>
      </c>
      <c r="DA236" s="254">
        <f>'[1]побудинковий звіт'!DA236</f>
        <v>105461.01513430587</v>
      </c>
      <c r="DB236" s="2">
        <v>2</v>
      </c>
      <c r="DC236" s="702">
        <f>'[1]побудинковий звіт'!DC236</f>
        <v>0</v>
      </c>
      <c r="DD236" s="702">
        <f>'[1]побудинковий звіт'!DD236</f>
        <v>0</v>
      </c>
      <c r="DE236" s="702">
        <f>'[1]побудинковий звіт'!DE236</f>
        <v>0</v>
      </c>
      <c r="DF236" s="702">
        <f>'[1]побудинковий звіт'!DF236</f>
        <v>0</v>
      </c>
      <c r="DG236" s="772">
        <v>-29761.116386293899</v>
      </c>
      <c r="DH236" s="746">
        <f t="shared" si="239"/>
        <v>9686386.9199999981</v>
      </c>
      <c r="DI236" s="769"/>
      <c r="DJ236" s="5"/>
      <c r="DK236" s="307">
        <f>VLOOKUP($A236,ціни!$A$4:$G$401,5)</f>
        <v>5.6783670549528935</v>
      </c>
      <c r="DL236" s="307">
        <f>VLOOKUP($A236,ціни!$A$4:$G$401,6)</f>
        <v>7.4045391561487488</v>
      </c>
      <c r="DM236" s="307">
        <f>VLOOKUP($A236,ціни!$A$4:$G$401,7)</f>
        <v>4.7961480039910986</v>
      </c>
      <c r="DN236" s="29">
        <f t="shared" si="248"/>
        <v>0</v>
      </c>
      <c r="DO236" s="29">
        <v>26.29</v>
      </c>
      <c r="DP236" s="306">
        <f t="shared" si="240"/>
        <v>26.29</v>
      </c>
      <c r="DQ236" s="101"/>
      <c r="DR236" s="29">
        <f>VLOOKUP(A236,'ДЗ нас '!$A$1:$C$359,2)</f>
        <v>95553.23</v>
      </c>
      <c r="DS236" s="733">
        <f>VLOOKUP(A236,'ДЗ нежит'!$A$1:$D$153,4,0)</f>
        <v>32.619999999999997</v>
      </c>
      <c r="DT236" s="29">
        <f t="shared" si="241"/>
        <v>95585.849999999991</v>
      </c>
      <c r="DU236" s="247">
        <f>VLOOKUP(A236,'новий кошторис с 01.06'!$A$4:$AI$399,35)*1.2</f>
        <v>95611.243459086138</v>
      </c>
      <c r="DV236" s="29">
        <f t="shared" si="242"/>
        <v>-25.393459086146322</v>
      </c>
      <c r="DW236" s="1016">
        <f>'[2]побудинковий звіт'!$DW$9+'[1]побудинковий звіт'!DW236</f>
        <v>1308</v>
      </c>
      <c r="DX236" s="101">
        <f>'[1]побудинковий звіт'!DX236</f>
        <v>0</v>
      </c>
      <c r="DY236" s="5">
        <f t="shared" si="243"/>
        <v>210928.75408792627</v>
      </c>
      <c r="DZ236" s="5">
        <f t="shared" si="244"/>
        <v>449228.84763545427</v>
      </c>
      <c r="EA236" s="737">
        <f t="shared" si="245"/>
        <v>0</v>
      </c>
      <c r="EC236" s="577">
        <f t="shared" si="246"/>
        <v>1951020.2967255982</v>
      </c>
      <c r="EE236" s="743">
        <v>-67</v>
      </c>
      <c r="EF236" s="723">
        <f t="shared" si="247"/>
        <v>-29828.116386293899</v>
      </c>
      <c r="EH236" s="798">
        <v>-5414.2277722142899</v>
      </c>
      <c r="EI236" s="101">
        <f>VLOOKUP(A236,'кошти 01.01.24'!$A$9:$D$352,4,FALSE)</f>
        <v>-196390.98738407582</v>
      </c>
    </row>
    <row r="237" spans="1:139" hidden="1" x14ac:dyDescent="0.3">
      <c r="A237" s="318">
        <v>150000759</v>
      </c>
      <c r="B237" s="43" t="s">
        <v>706</v>
      </c>
      <c r="C237" s="44" t="s">
        <v>1810</v>
      </c>
      <c r="D237" s="44" t="s">
        <v>389</v>
      </c>
      <c r="E237" s="39">
        <f t="shared" si="185"/>
        <v>5689.78</v>
      </c>
      <c r="F237" s="205">
        <f>'[1]побудинковий звіт'!F237</f>
        <v>5689.78</v>
      </c>
      <c r="G237" s="29">
        <f>'[1]побудинковий звіт'!G237</f>
        <v>618.45000000000005</v>
      </c>
      <c r="H237" s="148">
        <f>'[1]побудинковий звіт'!H237</f>
        <v>0</v>
      </c>
      <c r="I237" s="41">
        <f>'[2]побудинковий звіт'!I237+'[1]побудинковий звіт'!I237</f>
        <v>15348.976744778287</v>
      </c>
      <c r="J237" s="41">
        <f>'[2]побудинковий звіт'!J237+'[1]побудинковий звіт'!J237</f>
        <v>15881.954918588332</v>
      </c>
      <c r="K237" s="55">
        <f t="shared" si="186"/>
        <v>532.97817381004461</v>
      </c>
      <c r="L237" s="41">
        <f>'[2]побудинковий звіт'!L237+'[1]побудинковий звіт'!L237</f>
        <v>2403.0339415174203</v>
      </c>
      <c r="M237" s="41">
        <f>'[2]побудинковий звіт'!M237+'[1]побудинковий звіт'!M237</f>
        <v>2549.4018751487738</v>
      </c>
      <c r="N237" s="55">
        <f t="shared" si="187"/>
        <v>146.36793363135348</v>
      </c>
      <c r="O237" s="41">
        <f>'[2]побудинковий звіт'!O237+'[1]побудинковий звіт'!O237</f>
        <v>8888.0374394469109</v>
      </c>
      <c r="P237" s="41">
        <f>'[2]побудинковий звіт'!P237+'[1]побудинковий звіт'!P237</f>
        <v>8912.4604625756947</v>
      </c>
      <c r="Q237" s="55">
        <f t="shared" si="188"/>
        <v>24.423023128783825</v>
      </c>
      <c r="R237" s="41">
        <f>'[2]побудинковий звіт'!R237+'[1]побудинковий звіт'!R237</f>
        <v>2058.8345668740221</v>
      </c>
      <c r="S237" s="41">
        <f>'[2]побудинковий звіт'!S237+'[1]побудинковий звіт'!S237</f>
        <v>2065.7721756568658</v>
      </c>
      <c r="T237" s="55">
        <f t="shared" si="189"/>
        <v>6.9376087828436539</v>
      </c>
      <c r="U237" s="41">
        <f>'[2]побудинковий звіт'!U237+'[1]побудинковий звіт'!U237</f>
        <v>679.57434975599608</v>
      </c>
      <c r="V237" s="41">
        <f>'[2]побудинковий звіт'!V237+'[1]побудинковий звіт'!V237</f>
        <v>1368.3707886133079</v>
      </c>
      <c r="W237" s="55">
        <f t="shared" si="190"/>
        <v>688.79643885731184</v>
      </c>
      <c r="X237" s="41">
        <f>'[2]побудинковий звіт'!X237+'[1]побудинковий звіт'!X237</f>
        <v>11300.952049600501</v>
      </c>
      <c r="Y237" s="41">
        <f>'[2]побудинковий звіт'!Y237+'[1]побудинковий звіт'!Y237</f>
        <v>11536.44938345083</v>
      </c>
      <c r="Z237" s="55">
        <f t="shared" si="191"/>
        <v>235.4973338503296</v>
      </c>
      <c r="AA237" s="41">
        <f>'[2]побудинковий звіт'!AA237+'[1]побудинковий звіт'!AA237</f>
        <v>0</v>
      </c>
      <c r="AB237" s="41">
        <f>'[2]побудинковий звіт'!AB237+'[1]побудинковий звіт'!AB237</f>
        <v>0</v>
      </c>
      <c r="AC237" s="55">
        <f t="shared" si="192"/>
        <v>0</v>
      </c>
      <c r="AD237" s="41">
        <f>'[2]побудинковий звіт'!AD237+'[1]побудинковий звіт'!AD237</f>
        <v>24677.992121988376</v>
      </c>
      <c r="AE237" s="41">
        <f>'[2]побудинковий звіт'!AE237+'[1]побудинковий звіт'!AE237</f>
        <v>24582.026404999138</v>
      </c>
      <c r="AF237" s="36">
        <f t="shared" si="193"/>
        <v>-95.96571698923799</v>
      </c>
      <c r="AG237" s="84">
        <f t="shared" si="194"/>
        <v>65357.401213961515</v>
      </c>
      <c r="AH237" s="56">
        <f t="shared" si="195"/>
        <v>66896.436009032943</v>
      </c>
      <c r="AI237" s="55">
        <f t="shared" si="196"/>
        <v>1539.0347950714277</v>
      </c>
      <c r="AJ237" s="41">
        <f>'[2]побудинковий звіт'!AJ237+'[1]побудинковий звіт'!AJ237</f>
        <v>88637.248096232724</v>
      </c>
      <c r="AK237" s="41">
        <f>'[2]побудинковий звіт'!AK237+'[1]побудинковий звіт'!AK237</f>
        <v>84377.950308404732</v>
      </c>
      <c r="AL237" s="55">
        <f t="shared" si="197"/>
        <v>-4259.2977878279926</v>
      </c>
      <c r="AM237" s="41">
        <f>'[2]побудинковий звіт'!AM237+'[1]побудинковий звіт'!AM237</f>
        <v>302.92842272642292</v>
      </c>
      <c r="AN237" s="41">
        <f>'[2]побудинковий звіт'!AN237+'[1]побудинковий звіт'!AN237</f>
        <v>0</v>
      </c>
      <c r="AO237" s="55">
        <f t="shared" si="198"/>
        <v>-302.92842272642292</v>
      </c>
      <c r="AP237" s="41">
        <f>'[2]побудинковий звіт'!AP237+'[1]побудинковий звіт'!AP237</f>
        <v>5349.2288916881016</v>
      </c>
      <c r="AQ237" s="41">
        <f>'[2]побудинковий звіт'!AQ237+'[1]побудинковий звіт'!AQ237</f>
        <v>6078.8448796926814</v>
      </c>
      <c r="AR237" s="55">
        <f t="shared" si="199"/>
        <v>729.61598800457978</v>
      </c>
      <c r="AS237" s="41">
        <f>'[2]побудинковий звіт'!AS237+'[1]побудинковий звіт'!AS237</f>
        <v>111996.12125141354</v>
      </c>
      <c r="AT237" s="41">
        <f>'[2]побудинковий звіт'!AT237+'[1]побудинковий звіт'!AT237</f>
        <v>168944.22879929087</v>
      </c>
      <c r="AU237" s="57">
        <f t="shared" si="200"/>
        <v>56948.107547877327</v>
      </c>
      <c r="AV237" s="41">
        <f>'[2]побудинковий звіт'!AV237+'[1]побудинковий звіт'!AV237</f>
        <v>1613.3015339772544</v>
      </c>
      <c r="AW237" s="41">
        <f>'[2]побудинковий звіт'!AW237+'[1]побудинковий звіт'!AW237</f>
        <v>1615.2166287147945</v>
      </c>
      <c r="AX237" s="58">
        <f t="shared" si="201"/>
        <v>1.9150947375401302</v>
      </c>
      <c r="AY237" s="41">
        <f>'[2]побудинковий звіт'!AY237+'[1]побудинковий звіт'!AY237</f>
        <v>1544.2078587113074</v>
      </c>
      <c r="AZ237" s="41">
        <f>'[2]побудинковий звіт'!AZ237+'[1]побудинковий звіт'!AZ237</f>
        <v>0</v>
      </c>
      <c r="BA237" s="36">
        <f t="shared" si="202"/>
        <v>-1544.2078587113074</v>
      </c>
      <c r="BB237" s="41">
        <f>'[2]побудинковий звіт'!BB237+'[1]побудинковий звіт'!BB237</f>
        <v>2017.8047933436235</v>
      </c>
      <c r="BC237" s="41">
        <f>'[2]побудинковий звіт'!BC237+'[1]побудинковий звіт'!BC237</f>
        <v>0</v>
      </c>
      <c r="BD237" s="58">
        <f t="shared" si="203"/>
        <v>-2017.8047933436235</v>
      </c>
      <c r="BE237" s="41">
        <f>'[2]побудинковий звіт'!BE237+'[1]побудинковий звіт'!BE237</f>
        <v>1006.7095107884895</v>
      </c>
      <c r="BF237" s="41">
        <f>'[2]побудинковий звіт'!BF237+'[1]побудинковий звіт'!BF237</f>
        <v>1760.5823107445101</v>
      </c>
      <c r="BG237" s="38">
        <f t="shared" si="204"/>
        <v>753.87279995602057</v>
      </c>
      <c r="BH237" s="41">
        <f>'[2]побудинковий звіт'!BH237+'[1]побудинковий звіт'!BH237</f>
        <v>360.03998400595924</v>
      </c>
      <c r="BI237" s="41">
        <f>'[2]побудинковий звіт'!BI237+'[1]побудинковий звіт'!BI237</f>
        <v>0</v>
      </c>
      <c r="BJ237" s="58">
        <f t="shared" si="205"/>
        <v>-360.03998400595924</v>
      </c>
      <c r="BK237" s="41">
        <f>'[2]побудинковий звіт'!BK237+'[1]побудинковий звіт'!BK237</f>
        <v>1894.034930605899</v>
      </c>
      <c r="BL237" s="41">
        <f>'[2]побудинковий звіт'!BL237+'[1]побудинковий звіт'!BL237</f>
        <v>1091.9238990383551</v>
      </c>
      <c r="BM237" s="38">
        <f t="shared" si="206"/>
        <v>-802.11103156754393</v>
      </c>
      <c r="BN237" s="41">
        <f>'[2]побудинковий звіт'!BN237+'[1]побудинковий звіт'!BN237</f>
        <v>28.767086542590516</v>
      </c>
      <c r="BO237" s="41">
        <f>'[2]побудинковий звіт'!BO237+'[1]побудинковий звіт'!BO237</f>
        <v>0</v>
      </c>
      <c r="BP237" s="58">
        <f t="shared" si="207"/>
        <v>-28.767086542590516</v>
      </c>
      <c r="BQ237" s="84">
        <f t="shared" si="208"/>
        <v>8464.8656979751231</v>
      </c>
      <c r="BR237" s="42">
        <f t="shared" si="209"/>
        <v>4467.7228384976597</v>
      </c>
      <c r="BS237" s="58">
        <f t="shared" si="210"/>
        <v>-3997.1428594774634</v>
      </c>
      <c r="BT237" s="41">
        <f>'[2]побудинковий звіт'!BT237+'[1]побудинковий звіт'!BT237</f>
        <v>78995.659995722497</v>
      </c>
      <c r="BU237" s="41">
        <f>'[2]побудинковий звіт'!BU237+'[1]побудинковий звіт'!BU237</f>
        <v>103586.1704157526</v>
      </c>
      <c r="BV237" s="55">
        <f t="shared" si="211"/>
        <v>24590.510420030099</v>
      </c>
      <c r="BW237" s="41">
        <f>'[2]побудинковий звіт'!BW237+'[1]побудинковий звіт'!BW237</f>
        <v>33920.176900277147</v>
      </c>
      <c r="BX237" s="41">
        <f>'[2]побудинковий звіт'!BX237+'[1]побудинковий звіт'!BX237</f>
        <v>43650.805148682601</v>
      </c>
      <c r="BY237" s="55">
        <f t="shared" si="212"/>
        <v>9730.6282484054536</v>
      </c>
      <c r="BZ237" s="41">
        <f>'[2]побудинковий звіт'!BZ237+'[1]побудинковий звіт'!BZ237</f>
        <v>13012.900375329353</v>
      </c>
      <c r="CA237" s="41">
        <f>'[2]побудинковий звіт'!CA237+'[1]побудинковий звіт'!CA237</f>
        <v>10019.493464197405</v>
      </c>
      <c r="CB237" s="55">
        <f t="shared" si="213"/>
        <v>-2993.4069111319477</v>
      </c>
      <c r="CC237" s="41">
        <f>'[2]побудинковий звіт'!CC237+'[1]побудинковий звіт'!CC237</f>
        <v>2814.163457891751</v>
      </c>
      <c r="CD237" s="41">
        <f>'[2]побудинковий звіт'!CD237+'[1]побудинковий звіт'!CD237</f>
        <v>2823.7059722753434</v>
      </c>
      <c r="CE237" s="55">
        <f t="shared" si="214"/>
        <v>9.5425143835923336</v>
      </c>
      <c r="CF237" s="41">
        <f>'[2]побудинковий звіт'!CF237+'[1]побудинковий звіт'!CF237</f>
        <v>348.65989463285297</v>
      </c>
      <c r="CG237" s="41">
        <f>'[2]побудинковий звіт'!CG237+'[1]побудинковий звіт'!CG237</f>
        <v>0</v>
      </c>
      <c r="CH237" s="55">
        <f t="shared" si="215"/>
        <v>-348.65989463285297</v>
      </c>
      <c r="CI237" s="41">
        <f>'[2]побудинковий звіт'!CI237+'[1]побудинковий звіт'!CI237</f>
        <v>18524.337689254298</v>
      </c>
      <c r="CJ237" s="41">
        <f>'[2]побудинковий звіт'!CJ237+'[1]побудинковий звіт'!CJ237</f>
        <v>17056.554578029394</v>
      </c>
      <c r="CK237" s="55">
        <f t="shared" si="216"/>
        <v>-1467.7831112249041</v>
      </c>
      <c r="CL237" s="41">
        <f>'[2]побудинковий звіт'!CL237+'[1]побудинковий звіт'!CL237</f>
        <v>11228.045025435596</v>
      </c>
      <c r="CM237" s="41">
        <f>'[2]побудинковий звіт'!CM237+'[1]побудинковий звіт'!CM237</f>
        <v>16475.25628709183</v>
      </c>
      <c r="CN237" s="55">
        <f t="shared" si="217"/>
        <v>5247.2112616562335</v>
      </c>
      <c r="CO237" s="41">
        <f t="shared" si="218"/>
        <v>29752.382714689895</v>
      </c>
      <c r="CP237" s="42">
        <f t="shared" si="219"/>
        <v>33531.810865121224</v>
      </c>
      <c r="CQ237" s="55">
        <f t="shared" si="220"/>
        <v>3779.4281504313294</v>
      </c>
      <c r="CR237" s="76">
        <f t="shared" si="221"/>
        <v>438951.73691254092</v>
      </c>
      <c r="CS237" s="5">
        <f t="shared" si="222"/>
        <v>524377.16870094812</v>
      </c>
      <c r="CT237" s="55">
        <f t="shared" si="223"/>
        <v>85425.431788407208</v>
      </c>
      <c r="CU237" s="84">
        <f t="shared" si="224"/>
        <v>526742.08429504908</v>
      </c>
      <c r="CV237" s="68">
        <f t="shared" si="225"/>
        <v>629252.60244113777</v>
      </c>
      <c r="CW237" s="36">
        <f t="shared" si="226"/>
        <v>102510.5181460887</v>
      </c>
      <c r="CX237" s="41">
        <f>'[2]побудинковий звіт'!CX237+'[1]побудинковий звіт'!CX237</f>
        <v>11437.662763390828</v>
      </c>
      <c r="CY237" s="41">
        <f>'[2]побудинковий звіт'!CY237+'[1]побудинковий звіт'!CY237</f>
        <v>-91072.855382697671</v>
      </c>
      <c r="CZ237" s="55">
        <f t="shared" si="227"/>
        <v>-102510.51814608849</v>
      </c>
      <c r="DA237" s="254">
        <f>'[1]побудинковий звіт'!DA237</f>
        <v>2187.0166878766977</v>
      </c>
      <c r="DB237" s="2">
        <v>2</v>
      </c>
      <c r="DC237" s="702">
        <f>'[1]побудинковий звіт'!DC237</f>
        <v>176116.09</v>
      </c>
      <c r="DD237" s="702">
        <f>'[1]побудинковий звіт'!DD237</f>
        <v>0</v>
      </c>
      <c r="DE237" s="702">
        <f>'[1]побудинковий звіт'!DE237</f>
        <v>117544.57999999999</v>
      </c>
      <c r="DF237" s="702">
        <f>'[1]побудинковий звіт'!DF237</f>
        <v>0</v>
      </c>
      <c r="DG237" s="772">
        <v>-49407.190581071423</v>
      </c>
      <c r="DH237" s="746">
        <f t="shared" si="239"/>
        <v>6458156.9647012781</v>
      </c>
      <c r="DI237" s="769"/>
      <c r="DJ237" s="5"/>
      <c r="DK237" s="307">
        <f>VLOOKUP($A237,ціни!$A$4:$G$401,5)</f>
        <v>5.7222200775467051</v>
      </c>
      <c r="DL237" s="307">
        <f>VLOOKUP($A237,ціни!$A$4:$G$401,6)</f>
        <v>7.6428375702846045</v>
      </c>
      <c r="DM237" s="307">
        <f>VLOOKUP($A237,ціни!$A$4:$G$401,7)</f>
        <v>5.1367542031353928</v>
      </c>
      <c r="DN237" s="29">
        <f t="shared" si="248"/>
        <v>42298.258462270183</v>
      </c>
      <c r="DO237" s="29">
        <f>DM237*H237</f>
        <v>0</v>
      </c>
      <c r="DP237" s="306">
        <f t="shared" si="240"/>
        <v>42298.258462270183</v>
      </c>
      <c r="DQ237" s="101"/>
      <c r="DR237" s="29">
        <f>VLOOKUP(A237,'ДЗ нас '!$A$1:$C$359,2)</f>
        <v>42291.16</v>
      </c>
      <c r="DS237" s="733"/>
      <c r="DT237" s="29">
        <f t="shared" si="241"/>
        <v>42291.16</v>
      </c>
      <c r="DU237" s="247">
        <f>VLOOKUP(A237,'новий кошторис с 01.06'!$A$4:$AI$399,35)*1.2</f>
        <v>42422.511402686112</v>
      </c>
      <c r="DV237" s="29">
        <f t="shared" si="242"/>
        <v>-131.35140268610849</v>
      </c>
      <c r="DW237" s="1016">
        <f>'[2]побудинковий звіт'!$DW$9+'[1]побудинковий звіт'!DW237</f>
        <v>1494</v>
      </c>
      <c r="DX237" s="101">
        <f>'[1]побудинковий звіт'!DX237</f>
        <v>0</v>
      </c>
      <c r="DY237" s="5">
        <f t="shared" si="243"/>
        <v>144553.18433926639</v>
      </c>
      <c r="DZ237" s="5">
        <f t="shared" si="244"/>
        <v>208094.34196534622</v>
      </c>
      <c r="EA237" s="737">
        <f t="shared" si="245"/>
        <v>117544.57999999999</v>
      </c>
      <c r="EC237" s="577">
        <f t="shared" si="246"/>
        <v>1343953.4550169625</v>
      </c>
      <c r="EE237" s="743">
        <v>45074</v>
      </c>
      <c r="EF237" s="723">
        <f t="shared" si="247"/>
        <v>-4333.1905810714234</v>
      </c>
      <c r="EH237" s="798">
        <v>-12301.748009499534</v>
      </c>
      <c r="EI237" s="101">
        <f>VLOOKUP(A237,'кошти 01.01.24'!$A$9:$D$352,4,FALSE)</f>
        <v>-100323.50145821193</v>
      </c>
    </row>
    <row r="238" spans="1:139" hidden="1" x14ac:dyDescent="0.3">
      <c r="A238" s="318">
        <v>150000761</v>
      </c>
      <c r="B238" s="43" t="s">
        <v>707</v>
      </c>
      <c r="C238" s="44" t="s">
        <v>1811</v>
      </c>
      <c r="D238" s="44" t="s">
        <v>390</v>
      </c>
      <c r="E238" s="39">
        <f t="shared" si="185"/>
        <v>6817.01</v>
      </c>
      <c r="F238" s="205">
        <f>'[1]побудинковий звіт'!F238</f>
        <v>6722.41</v>
      </c>
      <c r="G238" s="29">
        <f>'[1]побудинковий звіт'!G238</f>
        <v>727.4</v>
      </c>
      <c r="H238" s="148">
        <f>'[1]побудинковий звіт'!H238</f>
        <v>94.6</v>
      </c>
      <c r="I238" s="41">
        <f>'[2]побудинковий звіт'!I238+'[1]побудинковий звіт'!I238</f>
        <v>16327.476266651851</v>
      </c>
      <c r="J238" s="41">
        <f>'[2]побудинковий звіт'!J238+'[1]побудинковий звіт'!J238</f>
        <v>16948.21863462474</v>
      </c>
      <c r="K238" s="55">
        <f t="shared" si="186"/>
        <v>620.74236797288904</v>
      </c>
      <c r="L238" s="41">
        <f>'[2]побудинковий звіт'!L238+'[1]побудинковий звіт'!L238</f>
        <v>2449.4969342086542</v>
      </c>
      <c r="M238" s="41">
        <f>'[2]побудинковий звіт'!M238+'[1]побудинковий звіт'!M238</f>
        <v>2575.272583335915</v>
      </c>
      <c r="N238" s="55">
        <f t="shared" si="187"/>
        <v>125.77564912726075</v>
      </c>
      <c r="O238" s="41">
        <f>'[2]побудинковий звіт'!O238+'[1]побудинковий звіт'!O238</f>
        <v>10497.04855355023</v>
      </c>
      <c r="P238" s="41">
        <f>'[2]побудинковий звіт'!P238+'[1]побудинковий звіт'!P238</f>
        <v>10527.064793210764</v>
      </c>
      <c r="Q238" s="55">
        <f t="shared" si="188"/>
        <v>30.016239660533756</v>
      </c>
      <c r="R238" s="41">
        <f>'[2]побудинковий звіт'!R238+'[1]побудинковий звіт'!R238</f>
        <v>2097.5569485784381</v>
      </c>
      <c r="S238" s="41">
        <f>'[2]побудинковий звіт'!S238+'[1]побудинковий звіт'!S238</f>
        <v>2106.19047218783</v>
      </c>
      <c r="T238" s="55">
        <f t="shared" si="189"/>
        <v>8.6335236093918866</v>
      </c>
      <c r="U238" s="41">
        <f>'[2]побудинковий звіт'!U238+'[1]побудинковий звіт'!U238</f>
        <v>793.75679341047226</v>
      </c>
      <c r="V238" s="41">
        <f>'[2]побудинковий звіт'!V238+'[1]побудинковий звіт'!V238</f>
        <v>1759.5152227837175</v>
      </c>
      <c r="W238" s="55">
        <f t="shared" si="190"/>
        <v>965.75842937324524</v>
      </c>
      <c r="X238" s="41">
        <f>'[2]побудинковий звіт'!X238+'[1]побудинковий звіт'!X238</f>
        <v>7735.1899137815335</v>
      </c>
      <c r="Y238" s="41">
        <f>'[2]побудинковий звіт'!Y238+'[1]побудинковий звіт'!Y238</f>
        <v>8676.9479920118611</v>
      </c>
      <c r="Z238" s="55">
        <f t="shared" si="191"/>
        <v>941.75807823032756</v>
      </c>
      <c r="AA238" s="41">
        <f>'[2]побудинковий звіт'!AA238+'[1]побудинковий звіт'!AA238</f>
        <v>0</v>
      </c>
      <c r="AB238" s="41">
        <f>'[2]побудинковий звіт'!AB238+'[1]побудинковий звіт'!AB238</f>
        <v>0</v>
      </c>
      <c r="AC238" s="55">
        <f t="shared" si="192"/>
        <v>0</v>
      </c>
      <c r="AD238" s="41">
        <f>'[2]побудинковий звіт'!AD238+'[1]побудинковий звіт'!AD238</f>
        <v>29561.670298804336</v>
      </c>
      <c r="AE238" s="41">
        <f>'[2]побудинковий звіт'!AE238+'[1]побудинковий звіт'!AE238</f>
        <v>29446.918360748386</v>
      </c>
      <c r="AF238" s="36">
        <f t="shared" si="193"/>
        <v>-114.75193805594972</v>
      </c>
      <c r="AG238" s="84">
        <f t="shared" si="194"/>
        <v>69462.195708985513</v>
      </c>
      <c r="AH238" s="56">
        <f t="shared" si="195"/>
        <v>72040.12805890321</v>
      </c>
      <c r="AI238" s="55">
        <f t="shared" si="196"/>
        <v>2577.9323499176971</v>
      </c>
      <c r="AJ238" s="41">
        <f>'[2]побудинковий звіт'!AJ238+'[1]побудинковий звіт'!AJ238</f>
        <v>60356.418595600298</v>
      </c>
      <c r="AK238" s="41">
        <f>'[2]побудинковий звіт'!AK238+'[1]побудинковий звіт'!AK238</f>
        <v>57601.276576215751</v>
      </c>
      <c r="AL238" s="55">
        <f t="shared" si="197"/>
        <v>-2755.1420193845479</v>
      </c>
      <c r="AM238" s="41">
        <f>'[2]побудинковий звіт'!AM238+'[1]побудинковий звіт'!AM238</f>
        <v>0</v>
      </c>
      <c r="AN238" s="41">
        <f>'[2]побудинковий звіт'!AN238+'[1]побудинковий звіт'!AN238</f>
        <v>0</v>
      </c>
      <c r="AO238" s="55">
        <f t="shared" si="198"/>
        <v>0</v>
      </c>
      <c r="AP238" s="41">
        <f>'[2]побудинковий звіт'!AP238+'[1]побудинковий звіт'!AP238</f>
        <v>4457.6907430734182</v>
      </c>
      <c r="AQ238" s="41">
        <f>'[2]побудинковий звіт'!AQ238+'[1]побудинковий звіт'!AQ238</f>
        <v>4254.3270798930153</v>
      </c>
      <c r="AR238" s="55">
        <f t="shared" si="199"/>
        <v>-203.36366318040291</v>
      </c>
      <c r="AS238" s="41">
        <f>'[2]побудинковий звіт'!AS238+'[1]побудинковий звіт'!AS238</f>
        <v>90185.524318253912</v>
      </c>
      <c r="AT238" s="41">
        <f>'[2]побудинковий звіт'!AT238+'[1]побудинковий звіт'!AT238</f>
        <v>13696.506476350543</v>
      </c>
      <c r="AU238" s="57">
        <f t="shared" si="200"/>
        <v>-76489.017841903376</v>
      </c>
      <c r="AV238" s="41">
        <f>'[2]побудинковий звіт'!AV238+'[1]побудинковий звіт'!AV238</f>
        <v>1303.1059539976286</v>
      </c>
      <c r="AW238" s="41">
        <f>'[2]побудинковий звіт'!AW238+'[1]побудинковий звіт'!AW238</f>
        <v>0</v>
      </c>
      <c r="AX238" s="58">
        <f t="shared" si="201"/>
        <v>-1303.1059539976286</v>
      </c>
      <c r="AY238" s="41">
        <f>'[2]побудинковий звіт'!AY238+'[1]побудинковий звіт'!AY238</f>
        <v>1019.8845995874765</v>
      </c>
      <c r="AZ238" s="41">
        <f>'[2]побудинковий звіт'!AZ238+'[1]побудинковий звіт'!AZ238</f>
        <v>0</v>
      </c>
      <c r="BA238" s="36">
        <f t="shared" si="202"/>
        <v>-1019.8845995874765</v>
      </c>
      <c r="BB238" s="41">
        <f>'[2]побудинковий звіт'!BB238+'[1]побудинковий звіт'!BB238</f>
        <v>1811.8491480891014</v>
      </c>
      <c r="BC238" s="41">
        <f>'[2]побудинковий звіт'!BC238+'[1]побудинковий звіт'!BC238</f>
        <v>790.158006</v>
      </c>
      <c r="BD238" s="58">
        <f t="shared" si="203"/>
        <v>-1021.6911420891014</v>
      </c>
      <c r="BE238" s="41">
        <f>'[2]побудинковий звіт'!BE238+'[1]побудинковий звіт'!BE238</f>
        <v>566.42143294495315</v>
      </c>
      <c r="BF238" s="41">
        <f>'[2]побудинковий звіт'!BF238+'[1]побудинковий звіт'!BF238</f>
        <v>0</v>
      </c>
      <c r="BG238" s="38">
        <f t="shared" si="204"/>
        <v>-566.42143294495315</v>
      </c>
      <c r="BH238" s="41">
        <f>'[2]побудинковий звіт'!BH238+'[1]побудинковий звіт'!BH238</f>
        <v>280.72947418466072</v>
      </c>
      <c r="BI238" s="41">
        <f>'[2]побудинковий звіт'!BI238+'[1]побудинковий звіт'!BI238</f>
        <v>0</v>
      </c>
      <c r="BJ238" s="58">
        <f t="shared" si="205"/>
        <v>-280.72947418466072</v>
      </c>
      <c r="BK238" s="41">
        <f>'[2]побудинковий звіт'!BK238+'[1]побудинковий звіт'!BK238</f>
        <v>870.28492428329423</v>
      </c>
      <c r="BL238" s="41">
        <f>'[2]побудинковий звіт'!BL238+'[1]побудинковий звіт'!BL238</f>
        <v>1364.873765063167</v>
      </c>
      <c r="BM238" s="38">
        <f t="shared" si="206"/>
        <v>494.58884077987273</v>
      </c>
      <c r="BN238" s="41">
        <f>'[2]побудинковий звіт'!BN238+'[1]побудинковий звіт'!BN238</f>
        <v>24.437906670314071</v>
      </c>
      <c r="BO238" s="41">
        <f>'[2]побудинковий звіт'!BO238+'[1]побудинковий звіт'!BO238</f>
        <v>0</v>
      </c>
      <c r="BP238" s="58">
        <f t="shared" si="207"/>
        <v>-24.437906670314071</v>
      </c>
      <c r="BQ238" s="84">
        <f t="shared" si="208"/>
        <v>5876.7134397574291</v>
      </c>
      <c r="BR238" s="42">
        <f t="shared" si="209"/>
        <v>2155.0317710631671</v>
      </c>
      <c r="BS238" s="58">
        <f t="shared" si="210"/>
        <v>-3721.681668694262</v>
      </c>
      <c r="BT238" s="41">
        <f>'[2]побудинковий звіт'!BT238+'[1]побудинковий звіт'!BT238</f>
        <v>84004.334332683618</v>
      </c>
      <c r="BU238" s="41">
        <f>'[2]побудинковий звіт'!BU238+'[1]побудинковий звіт'!BU238</f>
        <v>111689.82652542899</v>
      </c>
      <c r="BV238" s="55">
        <f t="shared" si="211"/>
        <v>27685.492192745369</v>
      </c>
      <c r="BW238" s="41">
        <f>'[2]побудинковий звіт'!BW238+'[1]побудинковий звіт'!BW238</f>
        <v>52444.319066842509</v>
      </c>
      <c r="BX238" s="41">
        <f>'[2]побудинковий звіт'!BX238+'[1]побудинковий звіт'!BX238</f>
        <v>59505.7941178494</v>
      </c>
      <c r="BY238" s="55">
        <f t="shared" si="212"/>
        <v>7061.4750510068916</v>
      </c>
      <c r="BZ238" s="41">
        <f>'[2]побудинковий звіт'!BZ238+'[1]побудинковий звіт'!BZ238</f>
        <v>24742.418374192741</v>
      </c>
      <c r="CA238" s="41">
        <f>'[2]побудинковий звіт'!CA238+'[1]побудинковий звіт'!CA238</f>
        <v>6041.7648859287938</v>
      </c>
      <c r="CB238" s="55">
        <f t="shared" si="213"/>
        <v>-18700.653488263946</v>
      </c>
      <c r="CC238" s="41">
        <f>'[2]побудинковий звіт'!CC238+'[1]побудинковий звіт'!CC238</f>
        <v>2457.3546470685624</v>
      </c>
      <c r="CD238" s="41">
        <f>'[2]побудинковий звіт'!CD238+'[1]побудинковий звіт'!CD238</f>
        <v>2465.6872625744163</v>
      </c>
      <c r="CE238" s="55">
        <f t="shared" si="214"/>
        <v>8.3326155058539371</v>
      </c>
      <c r="CF238" s="41">
        <f>'[2]побудинковий звіт'!CF238+'[1]побудинковий звіт'!CF238</f>
        <v>304.45317947676688</v>
      </c>
      <c r="CG238" s="41">
        <f>'[2]побудинковий звіт'!CG238+'[1]побудинковий звіт'!CG238</f>
        <v>0</v>
      </c>
      <c r="CH238" s="55">
        <f t="shared" si="215"/>
        <v>-304.45317947676688</v>
      </c>
      <c r="CI238" s="41">
        <f>'[2]побудинковий звіт'!CI238+'[1]побудинковий звіт'!CI238</f>
        <v>25582.762087703952</v>
      </c>
      <c r="CJ238" s="41">
        <f>'[2]побудинковий звіт'!CJ238+'[1]побудинковий звіт'!CJ238</f>
        <v>30030.245881990839</v>
      </c>
      <c r="CK238" s="55">
        <f t="shared" si="216"/>
        <v>4447.4837942868871</v>
      </c>
      <c r="CL238" s="41">
        <f>'[2]побудинковий звіт'!CL238+'[1]побудинковий звіт'!CL238</f>
        <v>11123.182276855343</v>
      </c>
      <c r="CM238" s="41">
        <f>'[2]побудинковий звіт'!CM238+'[1]побудинковий звіт'!CM238</f>
        <v>18294.947500270551</v>
      </c>
      <c r="CN238" s="55">
        <f t="shared" si="217"/>
        <v>7171.7652234152083</v>
      </c>
      <c r="CO238" s="41">
        <f t="shared" si="218"/>
        <v>36705.944364559298</v>
      </c>
      <c r="CP238" s="42">
        <f t="shared" si="219"/>
        <v>48325.193382261394</v>
      </c>
      <c r="CQ238" s="55">
        <f t="shared" si="220"/>
        <v>11619.249017702095</v>
      </c>
      <c r="CR238" s="76">
        <f t="shared" si="221"/>
        <v>430997.36677049409</v>
      </c>
      <c r="CS238" s="5">
        <f t="shared" si="222"/>
        <v>377775.53613646864</v>
      </c>
      <c r="CT238" s="55">
        <f t="shared" si="223"/>
        <v>-53221.830634025449</v>
      </c>
      <c r="CU238" s="84">
        <f t="shared" si="224"/>
        <v>517196.84012459288</v>
      </c>
      <c r="CV238" s="68">
        <f t="shared" si="225"/>
        <v>453330.64336376236</v>
      </c>
      <c r="CW238" s="36">
        <f t="shared" si="226"/>
        <v>-63866.196760830528</v>
      </c>
      <c r="CX238" s="41">
        <f>'[2]побудинковий звіт'!CX238+'[1]побудинковий звіт'!CX238</f>
        <v>9322.2449738845862</v>
      </c>
      <c r="CY238" s="41">
        <f>'[2]побудинковий звіт'!CY238+'[1]побудинковий звіт'!CY238</f>
        <v>73188.441734715059</v>
      </c>
      <c r="CZ238" s="55">
        <f t="shared" si="227"/>
        <v>63866.196760830469</v>
      </c>
      <c r="DA238" s="254">
        <f>'[1]побудинковий звіт'!DA238</f>
        <v>55712.671621813235</v>
      </c>
      <c r="DB238" s="2">
        <v>2</v>
      </c>
      <c r="DC238" s="702">
        <f>'[1]побудинковий звіт'!DC238</f>
        <v>91937.22</v>
      </c>
      <c r="DD238" s="702">
        <f>'[1]побудинковий звіт'!DD238</f>
        <v>2741.8</v>
      </c>
      <c r="DE238" s="702">
        <f>'[1]побудинковий звіт'!DE238</f>
        <v>34784.93</v>
      </c>
      <c r="DF238" s="702">
        <f>'[1]побудинковий звіт'!DF238</f>
        <v>2177.36</v>
      </c>
      <c r="DG238" s="772">
        <v>74571.787258951459</v>
      </c>
      <c r="DH238" s="746">
        <f t="shared" si="239"/>
        <v>6318229.0211817287</v>
      </c>
      <c r="DI238" s="769"/>
      <c r="DJ238" s="5"/>
      <c r="DK238" s="307">
        <f>VLOOKUP($A238,ціни!$A$4:$G$401,5)</f>
        <v>5.0613510014502827</v>
      </c>
      <c r="DL238" s="307">
        <f>VLOOKUP($A238,ціни!$A$4:$G$401,6)</f>
        <v>6.1907993480077117</v>
      </c>
      <c r="DM238" s="307">
        <f>VLOOKUP($A238,ціни!$A$4:$G$401,7)</f>
        <v>4.3181934991117972</v>
      </c>
      <c r="DN238" s="29">
        <f t="shared" si="248"/>
        <v>40795.530717754649</v>
      </c>
      <c r="DO238" s="29">
        <v>337.15</v>
      </c>
      <c r="DP238" s="306">
        <f t="shared" si="240"/>
        <v>41132.680717754651</v>
      </c>
      <c r="DQ238" s="101"/>
      <c r="DR238" s="29">
        <f>VLOOKUP(A238,'ДЗ нас '!$A$1:$C$359,2)</f>
        <v>40790.300000000003</v>
      </c>
      <c r="DS238" s="733">
        <f>VLOOKUP(A238,'ДЗ нежит'!$A$1:$D$153,4,0)</f>
        <v>408.5</v>
      </c>
      <c r="DT238" s="29">
        <f t="shared" si="241"/>
        <v>41198.800000000003</v>
      </c>
      <c r="DU238" s="247">
        <f>VLOOKUP(A238,'новий кошторис с 01.06'!$A$4:$AI$399,35)*1.2</f>
        <v>41259.390033744035</v>
      </c>
      <c r="DV238" s="29">
        <f t="shared" si="242"/>
        <v>-60.590033744032553</v>
      </c>
      <c r="DW238" s="1016">
        <f>'[2]побудинковий звіт'!$DW$9+'[1]побудинковий звіт'!DW238</f>
        <v>1206</v>
      </c>
      <c r="DX238" s="101">
        <f>'[1]побудинковий звіт'!DX238</f>
        <v>0</v>
      </c>
      <c r="DY238" s="5">
        <f t="shared" si="243"/>
        <v>115274.6853096136</v>
      </c>
      <c r="DZ238" s="5">
        <f t="shared" si="244"/>
        <v>19021.845896896451</v>
      </c>
      <c r="EA238" s="737">
        <f t="shared" si="245"/>
        <v>36962.29</v>
      </c>
      <c r="EC238" s="577">
        <f t="shared" si="246"/>
        <v>1082226.2918190469</v>
      </c>
      <c r="EE238" s="743">
        <v>78270</v>
      </c>
      <c r="EF238" s="723">
        <f t="shared" si="247"/>
        <v>152841.78725895146</v>
      </c>
      <c r="EH238" s="798">
        <v>135053.56135334951</v>
      </c>
      <c r="EI238" s="101">
        <f>VLOOKUP(A238,'кошти 01.01.24'!$A$9:$D$352,4,FALSE)</f>
        <v>119578.86838264379</v>
      </c>
    </row>
    <row r="239" spans="1:139" hidden="1" x14ac:dyDescent="0.3">
      <c r="A239" s="318">
        <v>150000762</v>
      </c>
      <c r="B239" s="43" t="s">
        <v>708</v>
      </c>
      <c r="C239" s="44" t="s">
        <v>1812</v>
      </c>
      <c r="D239" s="44" t="s">
        <v>391</v>
      </c>
      <c r="E239" s="39">
        <f t="shared" si="185"/>
        <v>2823.9</v>
      </c>
      <c r="F239" s="205">
        <f>'[1]побудинковий звіт'!F239</f>
        <v>2823.9</v>
      </c>
      <c r="G239" s="29">
        <f>'[1]побудинковий звіт'!G239</f>
        <v>312.10000000000002</v>
      </c>
      <c r="H239" s="148">
        <f>'[1]побудинковий звіт'!H239</f>
        <v>0</v>
      </c>
      <c r="I239" s="41">
        <f>'[2]побудинковий звіт'!I239+'[1]побудинковий звіт'!I239</f>
        <v>8774.3320336212655</v>
      </c>
      <c r="J239" s="41">
        <f>'[2]побудинковий звіт'!J239+'[1]побудинковий звіт'!J239</f>
        <v>9072.0649585780957</v>
      </c>
      <c r="K239" s="55">
        <f t="shared" si="186"/>
        <v>297.73292495683017</v>
      </c>
      <c r="L239" s="41">
        <f>'[2]побудинковий звіт'!L239+'[1]побудинковий звіт'!L239</f>
        <v>1466.3322109108071</v>
      </c>
      <c r="M239" s="41">
        <f>'[2]побудинковий звіт'!M239+'[1]побудинковий звіт'!M239</f>
        <v>1538.3118492696083</v>
      </c>
      <c r="N239" s="55">
        <f t="shared" si="187"/>
        <v>71.979638358801139</v>
      </c>
      <c r="O239" s="41">
        <f>'[2]побудинковий звіт'!O239+'[1]побудинковий звіт'!O239</f>
        <v>0</v>
      </c>
      <c r="P239" s="41">
        <f>'[2]побудинковий звіт'!P239+'[1]побудинковий звіт'!P239</f>
        <v>0</v>
      </c>
      <c r="Q239" s="55">
        <f t="shared" si="188"/>
        <v>0</v>
      </c>
      <c r="R239" s="41">
        <f>'[2]побудинковий звіт'!R239+'[1]побудинковий звіт'!R239</f>
        <v>0</v>
      </c>
      <c r="S239" s="41">
        <f>'[2]побудинковий звіт'!S239+'[1]побудинковий звіт'!S239</f>
        <v>0</v>
      </c>
      <c r="T239" s="55">
        <f t="shared" si="189"/>
        <v>0</v>
      </c>
      <c r="U239" s="41">
        <f>'[2]побудинковий звіт'!U239+'[1]побудинковий звіт'!U239</f>
        <v>397.00096215020847</v>
      </c>
      <c r="V239" s="41">
        <f>'[2]побудинковий звіт'!V239+'[1]побудинковий звіт'!V239</f>
        <v>880.07622266530382</v>
      </c>
      <c r="W239" s="55">
        <f t="shared" si="190"/>
        <v>483.07526051509535</v>
      </c>
      <c r="X239" s="41">
        <f>'[2]побудинковий звіт'!X239+'[1]побудинковий звіт'!X239</f>
        <v>3445.8667417388342</v>
      </c>
      <c r="Y239" s="41">
        <f>'[2]побудинковий звіт'!Y239+'[1]побудинковий звіт'!Y239</f>
        <v>3636.0650240827063</v>
      </c>
      <c r="Z239" s="55">
        <f t="shared" si="191"/>
        <v>190.19828234387205</v>
      </c>
      <c r="AA239" s="41">
        <f>'[2]побудинковий звіт'!AA239+'[1]побудинковий звіт'!AA239</f>
        <v>0</v>
      </c>
      <c r="AB239" s="41">
        <f>'[2]побудинковий звіт'!AB239+'[1]побудинковий звіт'!AB239</f>
        <v>0</v>
      </c>
      <c r="AC239" s="55">
        <f t="shared" si="192"/>
        <v>0</v>
      </c>
      <c r="AD239" s="41">
        <f>'[2]побудинковий звіт'!AD239+'[1]побудинковий звіт'!AD239</f>
        <v>12247.77593742817</v>
      </c>
      <c r="AE239" s="41">
        <f>'[2]побудинковий звіт'!AE239+'[1]побудинковий звіт'!AE239</f>
        <v>12200.154691670377</v>
      </c>
      <c r="AF239" s="36">
        <f t="shared" si="193"/>
        <v>-47.621245757793076</v>
      </c>
      <c r="AG239" s="84">
        <f t="shared" si="194"/>
        <v>26331.307885849285</v>
      </c>
      <c r="AH239" s="56">
        <f t="shared" si="195"/>
        <v>27326.672746266093</v>
      </c>
      <c r="AI239" s="55">
        <f t="shared" si="196"/>
        <v>995.36486041680837</v>
      </c>
      <c r="AJ239" s="41">
        <f>'[2]побудинковий звіт'!AJ239+'[1]побудинковий звіт'!AJ239</f>
        <v>15692.728067596738</v>
      </c>
      <c r="AK239" s="41">
        <f>'[2]побудинковий звіт'!AK239+'[1]побудинковий звіт'!AK239</f>
        <v>14976.402845200191</v>
      </c>
      <c r="AL239" s="55">
        <f t="shared" si="197"/>
        <v>-716.32522239654645</v>
      </c>
      <c r="AM239" s="41">
        <f>'[2]побудинковий звіт'!AM239+'[1]побудинковий звіт'!AM239</f>
        <v>0</v>
      </c>
      <c r="AN239" s="41">
        <f>'[2]побудинковий звіт'!AN239+'[1]побудинковий звіт'!AN239</f>
        <v>0</v>
      </c>
      <c r="AO239" s="55">
        <f t="shared" si="198"/>
        <v>0</v>
      </c>
      <c r="AP239" s="41">
        <f>'[2]побудинковий звіт'!AP239+'[1]побудинковий звіт'!AP239</f>
        <v>1783.0762972293671</v>
      </c>
      <c r="AQ239" s="41">
        <f>'[2]побудинковий звіт'!AQ239+'[1]побудинковий звіт'!AQ239</f>
        <v>1693.0242754943115</v>
      </c>
      <c r="AR239" s="55">
        <f t="shared" si="199"/>
        <v>-90.052021735055632</v>
      </c>
      <c r="AS239" s="41">
        <f>'[2]побудинковий звіт'!AS239+'[1]побудинковий звіт'!AS239</f>
        <v>37347.06266843449</v>
      </c>
      <c r="AT239" s="41">
        <f>'[2]побудинковий звіт'!AT239+'[1]побудинковий звіт'!AT239</f>
        <v>3037.0253465313781</v>
      </c>
      <c r="AU239" s="57">
        <f t="shared" si="200"/>
        <v>-34310.03732190311</v>
      </c>
      <c r="AV239" s="41">
        <f>'[2]побудинковий звіт'!AV239+'[1]побудинковий звіт'!AV239</f>
        <v>529.96907690539763</v>
      </c>
      <c r="AW239" s="41">
        <f>'[2]побудинковий звіт'!AW239+'[1]побудинковий звіт'!AW239</f>
        <v>0</v>
      </c>
      <c r="AX239" s="58">
        <f t="shared" si="201"/>
        <v>-529.96907690539763</v>
      </c>
      <c r="AY239" s="41">
        <f>'[2]побудинковий звіт'!AY239+'[1]побудинковий звіт'!AY239</f>
        <v>661.68589752753303</v>
      </c>
      <c r="AZ239" s="41">
        <f>'[2]побудинковий звіт'!AZ239+'[1]побудинковий звіт'!AZ239</f>
        <v>0</v>
      </c>
      <c r="BA239" s="36">
        <f t="shared" si="202"/>
        <v>-661.68589752753303</v>
      </c>
      <c r="BB239" s="41">
        <f>'[2]побудинковий звіт'!BB239+'[1]побудинковий звіт'!BB239</f>
        <v>0</v>
      </c>
      <c r="BC239" s="41">
        <f>'[2]побудинковий звіт'!BC239+'[1]побудинковий звіт'!BC239</f>
        <v>0</v>
      </c>
      <c r="BD239" s="58">
        <f t="shared" si="203"/>
        <v>0</v>
      </c>
      <c r="BE239" s="41">
        <f>'[2]побудинковий звіт'!BE239+'[1]побудинковий звіт'!BE239</f>
        <v>0</v>
      </c>
      <c r="BF239" s="41">
        <f>'[2]побудинковий звіт'!BF239+'[1]побудинковий звіт'!BF239</f>
        <v>0</v>
      </c>
      <c r="BG239" s="38">
        <f t="shared" si="204"/>
        <v>0</v>
      </c>
      <c r="BH239" s="41">
        <f>'[2]побудинковий звіт'!BH239+'[1]побудинковий звіт'!BH239</f>
        <v>140.36473709233036</v>
      </c>
      <c r="BI239" s="41">
        <f>'[2]побудинковий звіт'!BI239+'[1]побудинковий звіт'!BI239</f>
        <v>0</v>
      </c>
      <c r="BJ239" s="58">
        <f t="shared" si="205"/>
        <v>-140.36473709233036</v>
      </c>
      <c r="BK239" s="41">
        <f>'[2]побудинковий звіт'!BK239+'[1]побудинковий звіт'!BK239</f>
        <v>433.33009249802672</v>
      </c>
      <c r="BL239" s="41">
        <f>'[2]побудинковий звіт'!BL239+'[1]побудинковий звіт'!BL239</f>
        <v>0</v>
      </c>
      <c r="BM239" s="38">
        <f t="shared" si="206"/>
        <v>-433.33009249802672</v>
      </c>
      <c r="BN239" s="41">
        <f>'[2]побудинковий звіт'!BN239+'[1]побудинковий звіт'!BN239</f>
        <v>15.748176057121521</v>
      </c>
      <c r="BO239" s="41">
        <f>'[2]побудинковий звіт'!BO239+'[1]побудинковий звіт'!BO239</f>
        <v>4664.777413453</v>
      </c>
      <c r="BP239" s="58">
        <f t="shared" si="207"/>
        <v>4649.0292373958782</v>
      </c>
      <c r="BQ239" s="84">
        <f t="shared" si="208"/>
        <v>1781.0979800804093</v>
      </c>
      <c r="BR239" s="42">
        <f t="shared" si="209"/>
        <v>4664.777413453</v>
      </c>
      <c r="BS239" s="58">
        <f t="shared" si="210"/>
        <v>2883.6794333725907</v>
      </c>
      <c r="BT239" s="41">
        <f>'[2]побудинковий звіт'!BT239+'[1]побудинковий звіт'!BT239</f>
        <v>41314.89796039561</v>
      </c>
      <c r="BU239" s="41">
        <f>'[2]побудинковий звіт'!BU239+'[1]побудинковий звіт'!BU239</f>
        <v>61996.060133769701</v>
      </c>
      <c r="BV239" s="55">
        <f t="shared" si="211"/>
        <v>20681.16217337409</v>
      </c>
      <c r="BW239" s="41">
        <f>'[2]побудинковий звіт'!BW239+'[1]побудинковий звіт'!BW239</f>
        <v>24248.741327122458</v>
      </c>
      <c r="BX239" s="41">
        <f>'[2]побудинковий звіт'!BX239+'[1]побудинковий звіт'!BX239</f>
        <v>30065.613912984176</v>
      </c>
      <c r="BY239" s="55">
        <f t="shared" si="212"/>
        <v>5816.8725858617181</v>
      </c>
      <c r="BZ239" s="41">
        <f>'[2]побудинковий звіт'!BZ239+'[1]побудинковий звіт'!BZ239</f>
        <v>12599.15665007284</v>
      </c>
      <c r="CA239" s="41">
        <f>'[2]побудинковий звіт'!CA239+'[1]побудинковий звіт'!CA239</f>
        <v>6153.9032977886945</v>
      </c>
      <c r="CB239" s="55">
        <f t="shared" si="213"/>
        <v>-6445.2533522841459</v>
      </c>
      <c r="CC239" s="41">
        <f>'[2]побудинковий звіт'!CC239+'[1]побудинковий звіт'!CC239</f>
        <v>1085.3888900907368</v>
      </c>
      <c r="CD239" s="41">
        <f>'[2]побудинковий звіт'!CD239+'[1]побудинковий звіт'!CD239</f>
        <v>1089.0693227487745</v>
      </c>
      <c r="CE239" s="55">
        <f t="shared" si="214"/>
        <v>3.6804326580377165</v>
      </c>
      <c r="CF239" s="41">
        <f>'[2]побудинковий звіт'!CF239+'[1]побудинковий звіт'!CF239</f>
        <v>134.47391443928771</v>
      </c>
      <c r="CG239" s="41">
        <f>'[2]побудинковий звіт'!CG239+'[1]побудинковий звіт'!CG239</f>
        <v>0</v>
      </c>
      <c r="CH239" s="55">
        <f t="shared" si="215"/>
        <v>-134.47391443928771</v>
      </c>
      <c r="CI239" s="41">
        <f>'[2]побудинковий звіт'!CI239+'[1]побудинковий звіт'!CI239</f>
        <v>3180.5973506533251</v>
      </c>
      <c r="CJ239" s="41">
        <f>'[2]побудинковий звіт'!CJ239+'[1]побудинковий звіт'!CJ239</f>
        <v>7642.2926769392016</v>
      </c>
      <c r="CK239" s="55">
        <f t="shared" si="216"/>
        <v>4461.6953262858769</v>
      </c>
      <c r="CL239" s="41">
        <f>'[2]побудинковий звіт'!CL239+'[1]побудинковий звіт'!CL239</f>
        <v>4894.7570001962131</v>
      </c>
      <c r="CM239" s="41">
        <f>'[2]побудинковий звіт'!CM239+'[1]побудинковий звіт'!CM239</f>
        <v>7130.2479827599473</v>
      </c>
      <c r="CN239" s="55">
        <f t="shared" si="217"/>
        <v>2235.4909825637342</v>
      </c>
      <c r="CO239" s="41">
        <f t="shared" si="218"/>
        <v>8075.3543508495386</v>
      </c>
      <c r="CP239" s="42">
        <f t="shared" si="219"/>
        <v>14772.540659699149</v>
      </c>
      <c r="CQ239" s="55">
        <f t="shared" si="220"/>
        <v>6697.1863088496102</v>
      </c>
      <c r="CR239" s="76">
        <f t="shared" si="221"/>
        <v>170393.28599216079</v>
      </c>
      <c r="CS239" s="5">
        <f t="shared" si="222"/>
        <v>165775.08995393547</v>
      </c>
      <c r="CT239" s="55">
        <f t="shared" si="223"/>
        <v>-4618.1960382253164</v>
      </c>
      <c r="CU239" s="84">
        <f t="shared" si="224"/>
        <v>204471.94319059295</v>
      </c>
      <c r="CV239" s="68">
        <f t="shared" si="225"/>
        <v>198930.10794472255</v>
      </c>
      <c r="CW239" s="36">
        <f t="shared" si="226"/>
        <v>-5541.835245870403</v>
      </c>
      <c r="CX239" s="41">
        <f>'[2]побудинковий звіт'!CX239+'[1]побудинковий звіт'!CX239</f>
        <v>6167.0521463630448</v>
      </c>
      <c r="CY239" s="41">
        <f>'[2]побудинковий звіт'!CY239+'[1]побудинковий звіт'!CY239</f>
        <v>11708.887392233362</v>
      </c>
      <c r="CZ239" s="55">
        <f t="shared" si="227"/>
        <v>5541.8352458703175</v>
      </c>
      <c r="DA239" s="254">
        <f>'[1]побудинковий звіт'!DA239</f>
        <v>-98037.377029926356</v>
      </c>
      <c r="DB239" s="2">
        <v>2</v>
      </c>
      <c r="DC239" s="702">
        <f>'[1]побудинковий звіт'!DC239</f>
        <v>49251.06</v>
      </c>
      <c r="DD239" s="702">
        <f>'[1]побудинковий звіт'!DD239</f>
        <v>0</v>
      </c>
      <c r="DE239" s="702">
        <f>'[1]побудинковий звіт'!DE239</f>
        <v>26055.749999999996</v>
      </c>
      <c r="DF239" s="702">
        <f>'[1]побудинковий звіт'!DF239</f>
        <v>0</v>
      </c>
      <c r="DG239" s="772">
        <v>-62647.226946536975</v>
      </c>
      <c r="DH239" s="746">
        <f t="shared" si="239"/>
        <v>2527667.9440434719</v>
      </c>
      <c r="DI239" s="769"/>
      <c r="DJ239" s="5"/>
      <c r="DK239" s="307">
        <f>VLOOKUP($A239,ціни!$A$4:$G$401,5)</f>
        <v>5.149648230635222</v>
      </c>
      <c r="DL239" s="307">
        <f>VLOOKUP($A239,ціни!$A$4:$G$401,6)</f>
        <v>5.9258935229594369</v>
      </c>
      <c r="DM239" s="307">
        <f>VLOOKUP($A239,ціни!$A$4:$G$401,7)</f>
        <v>4.3143303011559286</v>
      </c>
      <c r="DN239" s="29">
        <f t="shared" si="248"/>
        <v>16491.864563750765</v>
      </c>
      <c r="DO239" s="29">
        <f>DM239*H239</f>
        <v>0</v>
      </c>
      <c r="DP239" s="306">
        <f t="shared" si="240"/>
        <v>16491.864563750765</v>
      </c>
      <c r="DQ239" s="101"/>
      <c r="DR239" s="29">
        <f>VLOOKUP(A239,'ДЗ нас '!$A$1:$C$359,2)</f>
        <v>16491.86</v>
      </c>
      <c r="DS239" s="733"/>
      <c r="DT239" s="29">
        <f t="shared" si="241"/>
        <v>16491.86</v>
      </c>
      <c r="DU239" s="247">
        <f>VLOOKUP(A239,'новий кошторис с 01.06'!$A$4:$AI$399,35)*1.2</f>
        <v>16571.717203541877</v>
      </c>
      <c r="DV239" s="29">
        <f t="shared" si="242"/>
        <v>-79.857203541876515</v>
      </c>
      <c r="DW239" s="1016">
        <f>'[2]побудинковий звіт'!$DW$9+'[1]побудинковий звіт'!DW239</f>
        <v>1062</v>
      </c>
      <c r="DX239" s="101">
        <f>'[1]побудинковий звіт'!DX239</f>
        <v>0</v>
      </c>
      <c r="DY239" s="5">
        <f t="shared" si="243"/>
        <v>46953.792778217881</v>
      </c>
      <c r="DZ239" s="5">
        <f t="shared" si="244"/>
        <v>9242.1633119812541</v>
      </c>
      <c r="EA239" s="737">
        <f t="shared" si="245"/>
        <v>26055.749999999996</v>
      </c>
      <c r="EC239" s="577">
        <f t="shared" si="246"/>
        <v>448164.75202121388</v>
      </c>
      <c r="EE239" s="743">
        <v>26339</v>
      </c>
      <c r="EF239" s="723">
        <f t="shared" si="247"/>
        <v>-36308.226946536975</v>
      </c>
      <c r="EH239" s="798">
        <v>-76314.541561746635</v>
      </c>
      <c r="EI239" s="101">
        <f>VLOOKUP(A239,'кошти 01.01.24'!$A$9:$D$352,4,FALSE)</f>
        <v>-92495.541784055953</v>
      </c>
    </row>
    <row r="240" spans="1:139" hidden="1" x14ac:dyDescent="0.3">
      <c r="A240" s="318">
        <v>150001044</v>
      </c>
      <c r="B240" s="43" t="s">
        <v>668</v>
      </c>
      <c r="C240" s="44" t="s">
        <v>269</v>
      </c>
      <c r="D240" s="44" t="s">
        <v>269</v>
      </c>
      <c r="E240" s="39">
        <f t="shared" si="185"/>
        <v>3505.5</v>
      </c>
      <c r="F240" s="205">
        <f>'[1]побудинковий звіт'!F240</f>
        <v>3228.8</v>
      </c>
      <c r="G240" s="29">
        <f>'[1]побудинковий звіт'!G240</f>
        <v>0</v>
      </c>
      <c r="H240" s="148">
        <f>'[1]побудинковий звіт'!H240</f>
        <v>276.7</v>
      </c>
      <c r="I240" s="41">
        <f>'[2]побудинковий звіт'!I240+'[1]побудинковий звіт'!I240</f>
        <v>12714.616534303635</v>
      </c>
      <c r="J240" s="41">
        <f>'[2]побудинковий звіт'!J240+'[1]побудинковий звіт'!J240</f>
        <v>13064.515771235541</v>
      </c>
      <c r="K240" s="55">
        <f t="shared" si="186"/>
        <v>349.89923693190576</v>
      </c>
      <c r="L240" s="41">
        <f>'[2]побудинковий звіт'!L240+'[1]побудинковий звіт'!L240</f>
        <v>2353.114933508064</v>
      </c>
      <c r="M240" s="41">
        <f>'[2]побудинковий звіт'!M240+'[1]побудинковий звіт'!M240</f>
        <v>2467.3438235722911</v>
      </c>
      <c r="N240" s="55">
        <f t="shared" si="187"/>
        <v>114.22889006422702</v>
      </c>
      <c r="O240" s="41">
        <f>'[2]побудинковий звіт'!O240+'[1]побудинковий звіт'!O240</f>
        <v>5232.2157509500894</v>
      </c>
      <c r="P240" s="41">
        <f>'[2]побудинковий звіт'!P240+'[1]побудинковий звіт'!P240</f>
        <v>5247.1869308246551</v>
      </c>
      <c r="Q240" s="55">
        <f t="shared" si="188"/>
        <v>14.971179874565678</v>
      </c>
      <c r="R240" s="41">
        <f>'[2]побудинковий звіт'!R240+'[1]побудинковий звіт'!R240</f>
        <v>0</v>
      </c>
      <c r="S240" s="41">
        <f>'[2]побудинковий звіт'!S240+'[1]побудинковий звіт'!S240</f>
        <v>0</v>
      </c>
      <c r="T240" s="55">
        <f t="shared" si="189"/>
        <v>0</v>
      </c>
      <c r="U240" s="41">
        <f>'[2]побудинковий звіт'!U240+'[1]побудинковий звіт'!U240</f>
        <v>0</v>
      </c>
      <c r="V240" s="41">
        <f>'[2]побудинковий звіт'!V240+'[1]побудинковий звіт'!V240</f>
        <v>0</v>
      </c>
      <c r="W240" s="55">
        <f t="shared" si="190"/>
        <v>0</v>
      </c>
      <c r="X240" s="41">
        <f>'[2]побудинковий звіт'!X240+'[1]побудинковий звіт'!X240</f>
        <v>7876.069102748841</v>
      </c>
      <c r="Y240" s="41">
        <f>'[2]побудинковий звіт'!Y240+'[1]побудинковий звіт'!Y240</f>
        <v>7690.7122110219134</v>
      </c>
      <c r="Z240" s="55">
        <f t="shared" si="191"/>
        <v>-185.35689172692764</v>
      </c>
      <c r="AA240" s="41">
        <f>'[2]побудинковий звіт'!AA240+'[1]побудинковий звіт'!AA240</f>
        <v>0</v>
      </c>
      <c r="AB240" s="41">
        <f>'[2]побудинковий звіт'!AB240+'[1]побудинковий звіт'!AB240</f>
        <v>0</v>
      </c>
      <c r="AC240" s="55">
        <f t="shared" si="192"/>
        <v>0</v>
      </c>
      <c r="AD240" s="41">
        <f>'[2]побудинковий звіт'!AD240+'[1]побудинковий звіт'!AD240</f>
        <v>15204.447790896967</v>
      </c>
      <c r="AE240" s="41">
        <f>'[2]побудинковий звіт'!AE240+'[1]побудинковий звіт'!AE240</f>
        <v>15145.313582939263</v>
      </c>
      <c r="AF240" s="36">
        <f t="shared" si="193"/>
        <v>-59.134207957704348</v>
      </c>
      <c r="AG240" s="84">
        <f t="shared" si="194"/>
        <v>43380.464112407601</v>
      </c>
      <c r="AH240" s="56">
        <f t="shared" si="195"/>
        <v>43615.072319593666</v>
      </c>
      <c r="AI240" s="55">
        <f t="shared" si="196"/>
        <v>234.60820718606556</v>
      </c>
      <c r="AJ240" s="41">
        <f>'[2]побудинковий звіт'!AJ240+'[1]побудинковий звіт'!AJ240</f>
        <v>0</v>
      </c>
      <c r="AK240" s="41">
        <f>'[2]побудинковий звіт'!AK240+'[1]побудинковий звіт'!AK240</f>
        <v>0</v>
      </c>
      <c r="AL240" s="55">
        <f t="shared" si="197"/>
        <v>0</v>
      </c>
      <c r="AM240" s="41">
        <f>'[2]побудинковий звіт'!AM240+'[1]побудинковий звіт'!AM240</f>
        <v>0</v>
      </c>
      <c r="AN240" s="41">
        <f>'[2]побудинковий звіт'!AN240+'[1]побудинковий звіт'!AN240</f>
        <v>0</v>
      </c>
      <c r="AO240" s="55">
        <f t="shared" si="198"/>
        <v>0</v>
      </c>
      <c r="AP240" s="41">
        <f>'[2]побудинковий звіт'!AP240+'[1]побудинковий звіт'!AP240</f>
        <v>11887.175314862448</v>
      </c>
      <c r="AQ240" s="41">
        <f>'[2]побудинковий звіт'!AQ240+'[1]побудинковий звіт'!AQ240</f>
        <v>12807.144775318859</v>
      </c>
      <c r="AR240" s="55">
        <f t="shared" si="199"/>
        <v>919.96946045641016</v>
      </c>
      <c r="AS240" s="41">
        <f>'[2]побудинковий звіт'!AS240+'[1]побудинковий звіт'!AS240</f>
        <v>35356.407265237038</v>
      </c>
      <c r="AT240" s="41">
        <f>'[2]побудинковий звіт'!AT240+'[1]побудинковий звіт'!AT240</f>
        <v>3356.0026585057849</v>
      </c>
      <c r="AU240" s="57">
        <f t="shared" si="200"/>
        <v>-32000.404606731252</v>
      </c>
      <c r="AV240" s="41">
        <f>'[2]побудинковий звіт'!AV240+'[1]побудинковий звіт'!AV240</f>
        <v>1967.7820968401043</v>
      </c>
      <c r="AW240" s="41">
        <f>'[2]побудинковий звіт'!AW240+'[1]побудинковий звіт'!AW240</f>
        <v>0</v>
      </c>
      <c r="AX240" s="58">
        <f t="shared" si="201"/>
        <v>-1967.7820968401043</v>
      </c>
      <c r="AY240" s="41">
        <f>'[2]побудинковий звіт'!AY240+'[1]побудинковий звіт'!AY240</f>
        <v>3062.9205693253784</v>
      </c>
      <c r="AZ240" s="41">
        <f>'[2]побудинковий звіт'!AZ240+'[1]побудинковий звіт'!AZ240</f>
        <v>0</v>
      </c>
      <c r="BA240" s="36">
        <f t="shared" si="202"/>
        <v>-3062.9205693253784</v>
      </c>
      <c r="BB240" s="41">
        <f>'[2]побудинковий звіт'!BB240+'[1]побудинковий звіт'!BB240</f>
        <v>2598.1767367519615</v>
      </c>
      <c r="BC240" s="41">
        <f>'[2]побудинковий звіт'!BC240+'[1]побудинковий звіт'!BC240</f>
        <v>0</v>
      </c>
      <c r="BD240" s="58">
        <f t="shared" si="203"/>
        <v>-2598.1767367519615</v>
      </c>
      <c r="BE240" s="41">
        <f>'[2]побудинковий звіт'!BE240+'[1]побудинковий звіт'!BE240</f>
        <v>0</v>
      </c>
      <c r="BF240" s="41">
        <f>'[2]побудинковий звіт'!BF240+'[1]побудинковий звіт'!BF240</f>
        <v>0</v>
      </c>
      <c r="BG240" s="38">
        <f t="shared" si="204"/>
        <v>0</v>
      </c>
      <c r="BH240" s="41">
        <f>'[2]побудинковий звіт'!BH240+'[1]побудинковий звіт'!BH240</f>
        <v>0</v>
      </c>
      <c r="BI240" s="41">
        <f>'[2]побудинковий звіт'!BI240+'[1]побудинковий звіт'!BI240</f>
        <v>601.0903519414104</v>
      </c>
      <c r="BJ240" s="58">
        <f t="shared" si="205"/>
        <v>601.0903519414104</v>
      </c>
      <c r="BK240" s="41">
        <f>'[2]побудинковий звіт'!BK240+'[1]побудинковий звіт'!BK240</f>
        <v>1399.8769839972815</v>
      </c>
      <c r="BL240" s="41">
        <f>'[2]побудинковий звіт'!BL240+'[1]побудинковий звіт'!BL240</f>
        <v>0</v>
      </c>
      <c r="BM240" s="38">
        <f t="shared" si="206"/>
        <v>-1399.8769839972815</v>
      </c>
      <c r="BN240" s="41">
        <f>'[2]побудинковий звіт'!BN240+'[1]побудинковий звіт'!BN240</f>
        <v>26.790721818290397</v>
      </c>
      <c r="BO240" s="41">
        <f>'[2]побудинковий звіт'!BO240+'[1]побудинковий звіт'!BO240</f>
        <v>0</v>
      </c>
      <c r="BP240" s="58">
        <f t="shared" si="207"/>
        <v>-26.790721818290397</v>
      </c>
      <c r="BQ240" s="84">
        <f t="shared" si="208"/>
        <v>9055.5471087330152</v>
      </c>
      <c r="BR240" s="42">
        <f t="shared" si="209"/>
        <v>601.0903519414104</v>
      </c>
      <c r="BS240" s="58">
        <f t="shared" si="210"/>
        <v>-8454.4567567916056</v>
      </c>
      <c r="BT240" s="41">
        <f>'[2]побудинковий звіт'!BT240+'[1]побудинковий звіт'!BT240</f>
        <v>23519.577637486396</v>
      </c>
      <c r="BU240" s="41">
        <f>'[2]побудинковий звіт'!BU240+'[1]побудинковий звіт'!BU240</f>
        <v>41388.883427169472</v>
      </c>
      <c r="BV240" s="55">
        <f t="shared" si="211"/>
        <v>17869.305789683076</v>
      </c>
      <c r="BW240" s="41">
        <f>'[2]побудинковий звіт'!BW240+'[1]побудинковий звіт'!BW240</f>
        <v>15631.001232299393</v>
      </c>
      <c r="BX240" s="41">
        <f>'[2]побудинковий звіт'!BX240+'[1]побудинковий звіт'!BX240</f>
        <v>19292.514981475699</v>
      </c>
      <c r="BY240" s="55">
        <f t="shared" si="212"/>
        <v>3661.5137491763053</v>
      </c>
      <c r="BZ240" s="41">
        <f>'[2]побудинковий звіт'!BZ240+'[1]побудинковий звіт'!BZ240</f>
        <v>11594.13977515893</v>
      </c>
      <c r="CA240" s="41">
        <f>'[2]побудинковий звіт'!CA240+'[1]побудинковий звіт'!CA240</f>
        <v>3830.2219304624432</v>
      </c>
      <c r="CB240" s="55">
        <f t="shared" si="213"/>
        <v>-7763.917844696487</v>
      </c>
      <c r="CC240" s="41">
        <f>'[2]побудинковий звіт'!CC240+'[1]побудинковий звіт'!CC240</f>
        <v>1346.0104733492667</v>
      </c>
      <c r="CD240" s="41">
        <f>'[2]побудинковий звіт'!CD240+'[1]побудинковий звіт'!CD240</f>
        <v>1350.5746447254462</v>
      </c>
      <c r="CE240" s="55">
        <f t="shared" si="214"/>
        <v>4.5641713761795017</v>
      </c>
      <c r="CF240" s="41">
        <f>'[2]побудинковий звіт'!CF240+'[1]побудинковий звіт'!CF240</f>
        <v>166.76354335303986</v>
      </c>
      <c r="CG240" s="41">
        <f>'[2]побудинковий звіт'!CG240+'[1]побудинковий звіт'!CG240</f>
        <v>0</v>
      </c>
      <c r="CH240" s="55">
        <f t="shared" si="215"/>
        <v>-166.76354335303986</v>
      </c>
      <c r="CI240" s="41">
        <f>'[2]побудинковий звіт'!CI240+'[1]побудинковий звіт'!CI240</f>
        <v>4379.7876679267301</v>
      </c>
      <c r="CJ240" s="41">
        <f>'[2]побудинковий звіт'!CJ240+'[1]побудинковий звіт'!CJ240</f>
        <v>1715.0433034668199</v>
      </c>
      <c r="CK240" s="55">
        <f t="shared" si="216"/>
        <v>-2664.7443644599102</v>
      </c>
      <c r="CL240" s="41">
        <f>'[2]побудинковий звіт'!CL240+'[1]побудинковий звіт'!CL240</f>
        <v>0</v>
      </c>
      <c r="CM240" s="41">
        <f>'[2]побудинковий звіт'!CM240+'[1]побудинковий звіт'!CM240</f>
        <v>0</v>
      </c>
      <c r="CN240" s="55">
        <f t="shared" si="217"/>
        <v>0</v>
      </c>
      <c r="CO240" s="41">
        <f t="shared" si="218"/>
        <v>4379.7876679267301</v>
      </c>
      <c r="CP240" s="42">
        <f t="shared" si="219"/>
        <v>1715.0433034668199</v>
      </c>
      <c r="CQ240" s="55">
        <f t="shared" si="220"/>
        <v>-2664.7443644599102</v>
      </c>
      <c r="CR240" s="76">
        <f t="shared" si="221"/>
        <v>156316.87413081384</v>
      </c>
      <c r="CS240" s="5">
        <f t="shared" si="222"/>
        <v>127956.54839265962</v>
      </c>
      <c r="CT240" s="55">
        <f t="shared" si="223"/>
        <v>-28360.325738154221</v>
      </c>
      <c r="CU240" s="84">
        <f t="shared" si="224"/>
        <v>187580.2489569766</v>
      </c>
      <c r="CV240" s="68">
        <f t="shared" si="225"/>
        <v>153547.85807119153</v>
      </c>
      <c r="CW240" s="36">
        <f t="shared" si="226"/>
        <v>-34032.390885785077</v>
      </c>
      <c r="CX240" s="41">
        <f>'[2]побудинковий звіт'!CX240+'[1]побудинковий звіт'!CX240</f>
        <v>4902.7770224844553</v>
      </c>
      <c r="CY240" s="41">
        <f>'[2]побудинковий звіт'!CY240+'[1]побудинковий звіт'!CY240</f>
        <v>38935.167908269555</v>
      </c>
      <c r="CZ240" s="55">
        <f t="shared" si="227"/>
        <v>34032.390885785098</v>
      </c>
      <c r="DA240" s="254">
        <f>'[1]побудинковий звіт'!DA240</f>
        <v>-53225.929659734764</v>
      </c>
      <c r="DB240" s="2">
        <v>2</v>
      </c>
      <c r="DC240" s="702">
        <f>'[1]побудинковий звіт'!DC240</f>
        <v>48991.88</v>
      </c>
      <c r="DD240" s="702">
        <f>'[1]побудинковий звіт'!DD240</f>
        <v>14988.18</v>
      </c>
      <c r="DE240" s="702">
        <f>'[1]побудинковий звіт'!DE240</f>
        <v>29282.67</v>
      </c>
      <c r="DF240" s="702">
        <f>'[1]побудинковий звіт'!DF240</f>
        <v>13481.14</v>
      </c>
      <c r="DG240" s="772">
        <v>-13342.314347563894</v>
      </c>
      <c r="DH240" s="746">
        <f t="shared" si="239"/>
        <v>2309796.3117535328</v>
      </c>
      <c r="DI240" s="769"/>
      <c r="DJ240" s="5"/>
      <c r="DK240" s="307">
        <f>VLOOKUP($A240,ціни!$A$4:$G$401,5)</f>
        <v>4.3348059431117818</v>
      </c>
      <c r="DL240" s="307"/>
      <c r="DM240" s="307">
        <f>VLOOKUP($A240,ціни!$A$4:$G$401,7)</f>
        <v>3.8683241544870275</v>
      </c>
      <c r="DN240" s="29">
        <f t="shared" ref="DN240:DN252" si="249">F240*DK240</f>
        <v>13996.221429119321</v>
      </c>
      <c r="DO240" s="29">
        <f t="shared" ref="DO240:DO252" si="250">H240*DM240</f>
        <v>1070.3652935465605</v>
      </c>
      <c r="DP240" s="306">
        <f t="shared" si="240"/>
        <v>15066.586722665881</v>
      </c>
      <c r="DQ240" s="101"/>
      <c r="DR240" s="29">
        <f>VLOOKUP(A240,'ДЗ нас '!$A$1:$C$359,2)</f>
        <v>13996.17</v>
      </c>
      <c r="DS240" s="733">
        <f>VLOOKUP(A240,'ДЗ нежит'!$A$1:$D$153,4,0)</f>
        <v>1070.3599999999999</v>
      </c>
      <c r="DT240" s="29">
        <f t="shared" si="241"/>
        <v>15066.53</v>
      </c>
      <c r="DU240" s="247">
        <f>VLOOKUP(A240,'новий кошторис с 01.06'!$A$4:$AI$399,35)*1.2</f>
        <v>15125.671376480257</v>
      </c>
      <c r="DV240" s="29">
        <f t="shared" si="242"/>
        <v>-59.14137648025644</v>
      </c>
      <c r="DW240" s="1016">
        <f>'[2]побудинковий звіт'!$DW$9+'[1]побудинковий звіт'!DW240</f>
        <v>1062</v>
      </c>
      <c r="DX240" s="101">
        <f>'[1]побудинковий звіт'!DX240</f>
        <v>0</v>
      </c>
      <c r="DY240" s="5">
        <f t="shared" si="243"/>
        <v>53294.345248764061</v>
      </c>
      <c r="DZ240" s="5">
        <f t="shared" si="244"/>
        <v>4748.5116125366339</v>
      </c>
      <c r="EA240" s="737">
        <f t="shared" si="245"/>
        <v>42763.81</v>
      </c>
      <c r="EC240" s="577">
        <f t="shared" si="246"/>
        <v>424276.88718284445</v>
      </c>
      <c r="EE240" s="743">
        <v>47434</v>
      </c>
      <c r="EF240" s="723">
        <f t="shared" si="247"/>
        <v>34091.685652436106</v>
      </c>
      <c r="EH240" s="798">
        <v>12981.017876677557</v>
      </c>
      <c r="EI240" s="101">
        <f>VLOOKUP(A240,'кошти 01.01.24'!$A$9:$D$352,4,FALSE)</f>
        <v>-19193.538773949644</v>
      </c>
    </row>
    <row r="241" spans="1:139" hidden="1" x14ac:dyDescent="0.3">
      <c r="A241" s="318">
        <v>150001050</v>
      </c>
      <c r="B241" s="43" t="s">
        <v>669</v>
      </c>
      <c r="C241" s="44" t="s">
        <v>270</v>
      </c>
      <c r="D241" s="44" t="s">
        <v>270</v>
      </c>
      <c r="E241" s="39">
        <f t="shared" si="185"/>
        <v>3564.2</v>
      </c>
      <c r="F241" s="205">
        <f>'[1]побудинковий звіт'!F241</f>
        <v>3564.2</v>
      </c>
      <c r="G241" s="29">
        <f>'[1]побудинковий звіт'!G241</f>
        <v>0</v>
      </c>
      <c r="H241" s="148">
        <f>'[1]побудинковий звіт'!H241</f>
        <v>0</v>
      </c>
      <c r="I241" s="41">
        <f>'[2]побудинковий звіт'!I241+'[1]побудинковий звіт'!I241</f>
        <v>12632.01706213215</v>
      </c>
      <c r="J241" s="41">
        <f>'[2]побудинковий звіт'!J241+'[1]побудинковий звіт'!J241</f>
        <v>12998.516857261277</v>
      </c>
      <c r="K241" s="55">
        <f t="shared" si="186"/>
        <v>366.49979512912614</v>
      </c>
      <c r="L241" s="41">
        <f>'[2]побудинковий звіт'!L241+'[1]побудинковий звіт'!L241</f>
        <v>2164.8351970484891</v>
      </c>
      <c r="M241" s="41">
        <f>'[2]побудинковий звіт'!M241+'[1]побудинковий звіт'!M241</f>
        <v>2357.9847571860932</v>
      </c>
      <c r="N241" s="55">
        <f t="shared" si="187"/>
        <v>193.14956013760411</v>
      </c>
      <c r="O241" s="41">
        <f>'[2]побудинковий звіт'!O241+'[1]побудинковий звіт'!O241</f>
        <v>5111.2577320324335</v>
      </c>
      <c r="P241" s="41">
        <f>'[2]побудинковий звіт'!P241+'[1]побудинковий звіт'!P241</f>
        <v>5125.4865600341418</v>
      </c>
      <c r="Q241" s="55">
        <f t="shared" si="188"/>
        <v>14.22882800170828</v>
      </c>
      <c r="R241" s="41">
        <f>'[2]побудинковий звіт'!R241+'[1]побудинковий звіт'!R241</f>
        <v>0</v>
      </c>
      <c r="S241" s="41">
        <f>'[2]побудинковий звіт'!S241+'[1]побудинковий звіт'!S241</f>
        <v>0</v>
      </c>
      <c r="T241" s="55">
        <f t="shared" si="189"/>
        <v>0</v>
      </c>
      <c r="U241" s="41">
        <f>'[2]побудинковий звіт'!U241+'[1]побудинковий звіт'!U241</f>
        <v>187.10196558541708</v>
      </c>
      <c r="V241" s="41">
        <f>'[2]побудинковий звіт'!V241+'[1]побудинковий звіт'!V241</f>
        <v>107.9445908639935</v>
      </c>
      <c r="W241" s="55">
        <f t="shared" si="190"/>
        <v>-79.157374721423579</v>
      </c>
      <c r="X241" s="41">
        <f>'[2]побудинковий звіт'!X241+'[1]побудинковий звіт'!X241</f>
        <v>7918.0129288688913</v>
      </c>
      <c r="Y241" s="41">
        <f>'[2]побудинковий звіт'!Y241+'[1]побудинковий звіт'!Y241</f>
        <v>7727.2469249058995</v>
      </c>
      <c r="Z241" s="55">
        <f t="shared" si="191"/>
        <v>-190.76600396299182</v>
      </c>
      <c r="AA241" s="41">
        <f>'[2]побудинковий звіт'!AA241+'[1]побудинковий звіт'!AA241</f>
        <v>0</v>
      </c>
      <c r="AB241" s="41">
        <f>'[2]побудинковий звіт'!AB241+'[1]побудинковий звіт'!AB241</f>
        <v>0</v>
      </c>
      <c r="AC241" s="55">
        <f t="shared" si="192"/>
        <v>0</v>
      </c>
      <c r="AD241" s="41">
        <f>'[2]побудинковий звіт'!AD241+'[1]побудинковий звіт'!AD241</f>
        <v>15459.407897411063</v>
      </c>
      <c r="AE241" s="41">
        <f>'[2]побудинковий звіт'!AE241+'[1]побудинковий звіт'!AE241</f>
        <v>15399.268414640943</v>
      </c>
      <c r="AF241" s="36">
        <f t="shared" si="193"/>
        <v>-60.139482770120594</v>
      </c>
      <c r="AG241" s="84">
        <f t="shared" si="194"/>
        <v>43472.632783078443</v>
      </c>
      <c r="AH241" s="56">
        <f t="shared" si="195"/>
        <v>43716.448104892348</v>
      </c>
      <c r="AI241" s="55">
        <f t="shared" si="196"/>
        <v>243.81532181390503</v>
      </c>
      <c r="AJ241" s="41">
        <f>'[2]побудинковий звіт'!AJ241+'[1]побудинковий звіт'!AJ241</f>
        <v>0</v>
      </c>
      <c r="AK241" s="41">
        <f>'[2]побудинковий звіт'!AK241+'[1]побудинковий звіт'!AK241</f>
        <v>0</v>
      </c>
      <c r="AL241" s="55">
        <f t="shared" si="197"/>
        <v>0</v>
      </c>
      <c r="AM241" s="41">
        <f>'[2]побудинковий звіт'!AM241+'[1]побудинковий звіт'!AM241</f>
        <v>0</v>
      </c>
      <c r="AN241" s="41">
        <f>'[2]побудинковий звіт'!AN241+'[1]побудинковий звіт'!AN241</f>
        <v>0</v>
      </c>
      <c r="AO241" s="55">
        <f t="shared" si="198"/>
        <v>0</v>
      </c>
      <c r="AP241" s="41">
        <f>'[2]побудинковий звіт'!AP241+'[1]побудинковий звіт'!AP241</f>
        <v>11887.175314862448</v>
      </c>
      <c r="AQ241" s="41">
        <f>'[2]побудинковий звіт'!AQ241+'[1]побудинковий звіт'!AQ241</f>
        <v>10178.428838258529</v>
      </c>
      <c r="AR241" s="55">
        <f t="shared" si="199"/>
        <v>-1708.7464766039193</v>
      </c>
      <c r="AS241" s="41">
        <f>'[2]побудинковий звіт'!AS241+'[1]побудинковий звіт'!AS241</f>
        <v>58603.554999517823</v>
      </c>
      <c r="AT241" s="41">
        <f>'[2]побудинковий звіт'!AT241+'[1]побудинковий звіт'!AT241</f>
        <v>76741.26924894996</v>
      </c>
      <c r="AU241" s="57">
        <f t="shared" si="200"/>
        <v>18137.714249432138</v>
      </c>
      <c r="AV241" s="41">
        <f>'[2]побудинковий звіт'!AV241+'[1]побудинковий звіт'!AV241</f>
        <v>1894.0088443698967</v>
      </c>
      <c r="AW241" s="41">
        <f>'[2]побудинковий звіт'!AW241+'[1]побудинковий звіт'!AW241</f>
        <v>0</v>
      </c>
      <c r="AX241" s="58">
        <f t="shared" si="201"/>
        <v>-1894.0088443698967</v>
      </c>
      <c r="AY241" s="41">
        <f>'[2]побудинковий звіт'!AY241+'[1]побудинковий звіт'!AY241</f>
        <v>2820.0619159229973</v>
      </c>
      <c r="AZ241" s="41">
        <f>'[2]побудинковий звіт'!AZ241+'[1]побудинковий звіт'!AZ241</f>
        <v>0</v>
      </c>
      <c r="BA241" s="36">
        <f t="shared" si="202"/>
        <v>-2820.0619159229973</v>
      </c>
      <c r="BB241" s="41">
        <f>'[2]побудинковий звіт'!BB241+'[1]побудинковий звіт'!BB241</f>
        <v>2596.3312420709108</v>
      </c>
      <c r="BC241" s="41">
        <f>'[2]побудинковий звіт'!BC241+'[1]побудинковий звіт'!BC241</f>
        <v>0</v>
      </c>
      <c r="BD241" s="58">
        <f t="shared" si="203"/>
        <v>-2596.3312420709108</v>
      </c>
      <c r="BE241" s="41">
        <f>'[2]побудинковий звіт'!BE241+'[1]побудинковий звіт'!BE241</f>
        <v>0</v>
      </c>
      <c r="BF241" s="41">
        <f>'[2]побудинковий звіт'!BF241+'[1]побудинковий звіт'!BF241</f>
        <v>0</v>
      </c>
      <c r="BG241" s="38">
        <f t="shared" si="204"/>
        <v>0</v>
      </c>
      <c r="BH241" s="41">
        <f>'[2]побудинковий звіт'!BH241+'[1]побудинковий звіт'!BH241</f>
        <v>110.27308797143304</v>
      </c>
      <c r="BI241" s="41">
        <f>'[2]побудинковий звіт'!BI241+'[1]побудинковий звіт'!BI241</f>
        <v>0</v>
      </c>
      <c r="BJ241" s="58">
        <f t="shared" si="205"/>
        <v>-110.27308797143304</v>
      </c>
      <c r="BK241" s="41">
        <f>'[2]побудинковий звіт'!BK241+'[1]побудинковий звіт'!BK241</f>
        <v>1394.6778402853993</v>
      </c>
      <c r="BL241" s="41">
        <f>'[2]побудинковий звіт'!BL241+'[1]побудинковий звіт'!BL241</f>
        <v>176.70892977667361</v>
      </c>
      <c r="BM241" s="38">
        <f t="shared" si="206"/>
        <v>-1217.9689105087257</v>
      </c>
      <c r="BN241" s="41">
        <f>'[2]побудинковий звіт'!BN241+'[1]побудинковий звіт'!BN241</f>
        <v>24.814357093990289</v>
      </c>
      <c r="BO241" s="41">
        <f>'[2]побудинковий звіт'!BO241+'[1]побудинковий звіт'!BO241</f>
        <v>0</v>
      </c>
      <c r="BP241" s="58">
        <f t="shared" si="207"/>
        <v>-24.814357093990289</v>
      </c>
      <c r="BQ241" s="84">
        <f t="shared" si="208"/>
        <v>8840.1672877146266</v>
      </c>
      <c r="BR241" s="42">
        <f t="shared" si="209"/>
        <v>176.70892977667361</v>
      </c>
      <c r="BS241" s="58">
        <f t="shared" si="210"/>
        <v>-8663.4583579379523</v>
      </c>
      <c r="BT241" s="41">
        <f>'[2]побудинковий звіт'!BT241+'[1]побудинковий звіт'!BT241</f>
        <v>19674.179017836119</v>
      </c>
      <c r="BU241" s="41">
        <f>'[2]побудинковий звіт'!BU241+'[1]побудинковий звіт'!BU241</f>
        <v>34049.558447409472</v>
      </c>
      <c r="BV241" s="55">
        <f t="shared" si="211"/>
        <v>14375.379429573353</v>
      </c>
      <c r="BW241" s="41">
        <f>'[2]побудинковий звіт'!BW241+'[1]побудинковий звіт'!BW241</f>
        <v>15850.564939003176</v>
      </c>
      <c r="BX241" s="41">
        <f>'[2]побудинковий звіт'!BX241+'[1]побудинковий звіт'!BX241</f>
        <v>17471.639626256598</v>
      </c>
      <c r="BY241" s="55">
        <f t="shared" si="212"/>
        <v>1621.0746872534219</v>
      </c>
      <c r="BZ241" s="41">
        <f>'[2]побудинковий звіт'!BZ241+'[1]побудинковий звіт'!BZ241</f>
        <v>9372.9565947541741</v>
      </c>
      <c r="CA241" s="41">
        <f>'[2]побудинковий звіт'!CA241+'[1]побудинковий звіт'!CA241</f>
        <v>3220.1506176725825</v>
      </c>
      <c r="CB241" s="55">
        <f t="shared" si="213"/>
        <v>-6152.8059770815917</v>
      </c>
      <c r="CC241" s="41">
        <f>'[2]побудинковий звіт'!CC241+'[1]побудинковий звіт'!CC241</f>
        <v>2178.7170434090331</v>
      </c>
      <c r="CD241" s="41">
        <f>'[2]побудинковий звіт'!CD241+'[1]побудинковий звіт'!CD241</f>
        <v>2186.1048298811384</v>
      </c>
      <c r="CE241" s="55">
        <f t="shared" si="214"/>
        <v>7.3877864721052902</v>
      </c>
      <c r="CF241" s="41">
        <f>'[2]побудинковий звіт'!CF241+'[1]побудинковий звіт'!CF241</f>
        <v>269.93146139381565</v>
      </c>
      <c r="CG241" s="41">
        <f>'[2]побудинковий звіт'!CG241+'[1]побудинковий звіт'!CG241</f>
        <v>0</v>
      </c>
      <c r="CH241" s="55">
        <f t="shared" si="215"/>
        <v>-269.93146139381565</v>
      </c>
      <c r="CI241" s="41">
        <f>'[2]побудинковий звіт'!CI241+'[1]побудинковий звіт'!CI241</f>
        <v>2605.0695404194626</v>
      </c>
      <c r="CJ241" s="41">
        <f>'[2]побудинковий звіт'!CJ241+'[1]побудинковий звіт'!CJ241</f>
        <v>3711.6632650960046</v>
      </c>
      <c r="CK241" s="55">
        <f t="shared" si="216"/>
        <v>1106.593724676542</v>
      </c>
      <c r="CL241" s="41">
        <f>'[2]побудинковий звіт'!CL241+'[1]побудинковий звіт'!CL241</f>
        <v>0</v>
      </c>
      <c r="CM241" s="41">
        <f>'[2]побудинковий звіт'!CM241+'[1]побудинковий звіт'!CM241</f>
        <v>0</v>
      </c>
      <c r="CN241" s="55">
        <f t="shared" si="217"/>
        <v>0</v>
      </c>
      <c r="CO241" s="41">
        <f t="shared" si="218"/>
        <v>2605.0695404194626</v>
      </c>
      <c r="CP241" s="42">
        <f t="shared" si="219"/>
        <v>3711.6632650960046</v>
      </c>
      <c r="CQ241" s="55">
        <f t="shared" si="220"/>
        <v>1106.593724676542</v>
      </c>
      <c r="CR241" s="76">
        <f t="shared" si="221"/>
        <v>172754.94898198912</v>
      </c>
      <c r="CS241" s="5">
        <f t="shared" si="222"/>
        <v>191451.97190819331</v>
      </c>
      <c r="CT241" s="55">
        <f t="shared" si="223"/>
        <v>18697.022926204198</v>
      </c>
      <c r="CU241" s="84">
        <f t="shared" si="224"/>
        <v>207305.93877838695</v>
      </c>
      <c r="CV241" s="68">
        <f t="shared" si="225"/>
        <v>229742.36628983196</v>
      </c>
      <c r="CW241" s="36">
        <f t="shared" si="226"/>
        <v>22436.427511445014</v>
      </c>
      <c r="CX241" s="41">
        <f>'[2]побудинковий звіт'!CX241+'[1]побудинковий звіт'!CX241</f>
        <v>10365.905824397747</v>
      </c>
      <c r="CY241" s="41">
        <f>'[2]побудинковий звіт'!CY241+'[1]побудинковий звіт'!CY241</f>
        <v>-12070.521687047281</v>
      </c>
      <c r="CZ241" s="55">
        <f t="shared" si="227"/>
        <v>-22436.427511445028</v>
      </c>
      <c r="DA241" s="254">
        <f>'[1]побудинковий звіт'!DA241</f>
        <v>87882.140643589504</v>
      </c>
      <c r="DB241" s="2">
        <v>2</v>
      </c>
      <c r="DC241" s="702">
        <f>'[1]побудинковий звіт'!DC241</f>
        <v>42899.28</v>
      </c>
      <c r="DD241" s="702">
        <f>'[1]побудинковий звіт'!DD241</f>
        <v>0</v>
      </c>
      <c r="DE241" s="702">
        <f>'[1]побудинковий звіт'!DE241</f>
        <v>18815.27</v>
      </c>
      <c r="DF241" s="702">
        <f>'[1]побудинковий звіт'!DF241</f>
        <v>0</v>
      </c>
      <c r="DG241" s="772">
        <v>132704.8194197914</v>
      </c>
      <c r="DH241" s="746">
        <f t="shared" si="239"/>
        <v>2612062.1352334162</v>
      </c>
      <c r="DI241" s="769"/>
      <c r="DJ241" s="5"/>
      <c r="DK241" s="307">
        <f>VLOOKUP($A241,ціни!$A$4:$G$401,5)</f>
        <v>4.7754037248512429</v>
      </c>
      <c r="DL241" s="307"/>
      <c r="DM241" s="307">
        <f>VLOOKUP($A241,ціни!$A$4:$G$401,7)</f>
        <v>4.3313456255871632</v>
      </c>
      <c r="DN241" s="29">
        <f t="shared" si="249"/>
        <v>17020.493956114798</v>
      </c>
      <c r="DO241" s="29">
        <f t="shared" si="250"/>
        <v>0</v>
      </c>
      <c r="DP241" s="306">
        <f t="shared" si="240"/>
        <v>17020.493956114798</v>
      </c>
      <c r="DQ241" s="101"/>
      <c r="DR241" s="29">
        <f>VLOOKUP(A241,'ДЗ нас '!$A$1:$C$359,2)</f>
        <v>17020.46</v>
      </c>
      <c r="DS241" s="733"/>
      <c r="DT241" s="29">
        <f t="shared" si="241"/>
        <v>17020.46</v>
      </c>
      <c r="DU241" s="247">
        <f>VLOOKUP(A241,'новий кошторис с 01.06'!$A$4:$AI$399,35)*1.2</f>
        <v>17183.07598693002</v>
      </c>
      <c r="DV241" s="29">
        <f t="shared" si="242"/>
        <v>-162.61598693002088</v>
      </c>
      <c r="DW241" s="1016">
        <f>'[2]побудинковий звіт'!$DW$9+'[1]побудинковий звіт'!DW241</f>
        <v>918</v>
      </c>
      <c r="DX241" s="101">
        <f>'[1]побудинковий звіт'!DX241</f>
        <v>0</v>
      </c>
      <c r="DY241" s="5">
        <f t="shared" si="243"/>
        <v>80932.466744678939</v>
      </c>
      <c r="DZ241" s="5">
        <f t="shared" si="244"/>
        <v>92301.573814471965</v>
      </c>
      <c r="EA241" s="737">
        <f t="shared" si="245"/>
        <v>18815.27</v>
      </c>
      <c r="EC241" s="577">
        <f t="shared" si="246"/>
        <v>703242.65999421384</v>
      </c>
      <c r="EE241" s="743">
        <v>-74112</v>
      </c>
      <c r="EF241" s="723">
        <f t="shared" si="247"/>
        <v>58592.819419791398</v>
      </c>
      <c r="EH241" s="798">
        <v>124391.2869300335</v>
      </c>
      <c r="EI241" s="101">
        <f>VLOOKUP(A241,'кошти 01.01.24'!$A$9:$D$352,4,FALSE)</f>
        <v>65445.713132144505</v>
      </c>
    </row>
    <row r="242" spans="1:139" hidden="1" x14ac:dyDescent="0.3">
      <c r="A242" s="318">
        <v>150001045</v>
      </c>
      <c r="B242" s="43" t="s">
        <v>670</v>
      </c>
      <c r="C242" s="44" t="s">
        <v>271</v>
      </c>
      <c r="D242" s="44" t="s">
        <v>271</v>
      </c>
      <c r="E242" s="39">
        <f t="shared" si="185"/>
        <v>3572</v>
      </c>
      <c r="F242" s="205">
        <f>'[1]побудинковий звіт'!F242</f>
        <v>3572</v>
      </c>
      <c r="G242" s="29">
        <f>'[1]побудинковий звіт'!G242</f>
        <v>0</v>
      </c>
      <c r="H242" s="148">
        <f>'[1]побудинковий звіт'!H242</f>
        <v>0</v>
      </c>
      <c r="I242" s="41">
        <f>'[2]побудинковий звіт'!I242+'[1]побудинковий звіт'!I242</f>
        <v>12249.126371058901</v>
      </c>
      <c r="J242" s="41">
        <f>'[2]побудинковий звіт'!J242+'[1]побудинковий звіт'!J242</f>
        <v>12611.478361839114</v>
      </c>
      <c r="K242" s="55">
        <f t="shared" si="186"/>
        <v>362.35199078021287</v>
      </c>
      <c r="L242" s="41">
        <f>'[2]побудинковий звіт'!L242+'[1]побудинковий звіт'!L242</f>
        <v>2164.8351970484891</v>
      </c>
      <c r="M242" s="41">
        <f>'[2]побудинковий звіт'!M242+'[1]побудинковий звіт'!M242</f>
        <v>2266.8879464136617</v>
      </c>
      <c r="N242" s="55">
        <f t="shared" si="187"/>
        <v>102.05274936517253</v>
      </c>
      <c r="O242" s="41">
        <f>'[2]побудинковий звіт'!O242+'[1]побудинковий звіт'!O242</f>
        <v>5601.5931125358074</v>
      </c>
      <c r="P242" s="41">
        <f>'[2]побудинковий звіт'!P242+'[1]побудинковий звіт'!P242</f>
        <v>5617.1639781078675</v>
      </c>
      <c r="Q242" s="55">
        <f t="shared" si="188"/>
        <v>15.570865572060029</v>
      </c>
      <c r="R242" s="41">
        <f>'[2]побудинковий звіт'!R242+'[1]побудинковий звіт'!R242</f>
        <v>0</v>
      </c>
      <c r="S242" s="41">
        <f>'[2]побудинковий звіт'!S242+'[1]побудинковий звіт'!S242</f>
        <v>0</v>
      </c>
      <c r="T242" s="55">
        <f t="shared" si="189"/>
        <v>0</v>
      </c>
      <c r="U242" s="41">
        <f>'[2]побудинковий звіт'!U242+'[1]побудинковий звіт'!U242</f>
        <v>187.10196558541708</v>
      </c>
      <c r="V242" s="41">
        <f>'[2]побудинковий звіт'!V242+'[1]побудинковий звіт'!V242</f>
        <v>107.9445908639935</v>
      </c>
      <c r="W242" s="55">
        <f t="shared" si="190"/>
        <v>-79.157374721423579</v>
      </c>
      <c r="X242" s="41">
        <f>'[2]побудинковий звіт'!X242+'[1]побудинковий звіт'!X242</f>
        <v>7910.440815529244</v>
      </c>
      <c r="Y242" s="41">
        <f>'[2]побудинковий звіт'!Y242+'[1]побудинковий звіт'!Y242</f>
        <v>7872.9484646146266</v>
      </c>
      <c r="Z242" s="55">
        <f t="shared" si="191"/>
        <v>-37.492350914617418</v>
      </c>
      <c r="AA242" s="41">
        <f>'[2]побудинковий звіт'!AA242+'[1]побудинковий звіт'!AA242</f>
        <v>0</v>
      </c>
      <c r="AB242" s="41">
        <f>'[2]побудинковий звіт'!AB242+'[1]побудинковий звіт'!AB242</f>
        <v>0</v>
      </c>
      <c r="AC242" s="55">
        <f t="shared" si="192"/>
        <v>0</v>
      </c>
      <c r="AD242" s="41">
        <f>'[2]побудинковий звіт'!AD242+'[1]побудинковий звіт'!AD242</f>
        <v>15490.719754878606</v>
      </c>
      <c r="AE242" s="41">
        <f>'[2]побудинковий звіт'!AE242+'[1]побудинковий звіт'!AE242</f>
        <v>15430.554154040487</v>
      </c>
      <c r="AF242" s="36">
        <f t="shared" si="193"/>
        <v>-60.165600838119644</v>
      </c>
      <c r="AG242" s="84">
        <f t="shared" si="194"/>
        <v>43603.817216636467</v>
      </c>
      <c r="AH242" s="56">
        <f t="shared" si="195"/>
        <v>43906.97749587975</v>
      </c>
      <c r="AI242" s="55">
        <f t="shared" si="196"/>
        <v>303.16027924328228</v>
      </c>
      <c r="AJ242" s="41">
        <f>'[2]побудинковий звіт'!AJ242+'[1]побудинковий звіт'!AJ242</f>
        <v>0</v>
      </c>
      <c r="AK242" s="41">
        <f>'[2]побудинковий звіт'!AK242+'[1]побудинковий звіт'!AK242</f>
        <v>0</v>
      </c>
      <c r="AL242" s="55">
        <f t="shared" si="197"/>
        <v>0</v>
      </c>
      <c r="AM242" s="41">
        <f>'[2]побудинковий звіт'!AM242+'[1]побудинковий звіт'!AM242</f>
        <v>0</v>
      </c>
      <c r="AN242" s="41">
        <f>'[2]побудинковий звіт'!AN242+'[1]побудинковий звіт'!AN242</f>
        <v>0</v>
      </c>
      <c r="AO242" s="55">
        <f t="shared" si="198"/>
        <v>0</v>
      </c>
      <c r="AP242" s="41">
        <f>'[2]побудинковий звіт'!AP242+'[1]побудинковий звіт'!AP242</f>
        <v>11887.175314862448</v>
      </c>
      <c r="AQ242" s="41">
        <f>'[2]побудинковий звіт'!AQ242+'[1]побудинковий звіт'!AQ242</f>
        <v>11210.855130962831</v>
      </c>
      <c r="AR242" s="55">
        <f t="shared" si="199"/>
        <v>-676.3201838996174</v>
      </c>
      <c r="AS242" s="41">
        <f>'[2]побудинковий звіт'!AS242+'[1]побудинковий звіт'!AS242</f>
        <v>58268.542960280407</v>
      </c>
      <c r="AT242" s="41">
        <f>'[2]побудинковий звіт'!AT242+'[1]побудинковий звіт'!AT242</f>
        <v>54905.262101964137</v>
      </c>
      <c r="AU242" s="57">
        <f t="shared" si="200"/>
        <v>-3363.2808583162696</v>
      </c>
      <c r="AV242" s="41">
        <f>'[2]побудинковий звіт'!AV242+'[1]побудинковий звіт'!AV242</f>
        <v>1829.2911320332721</v>
      </c>
      <c r="AW242" s="41">
        <f>'[2]побудинковий звіт'!AW242+'[1]побудинковий звіт'!AW242</f>
        <v>0</v>
      </c>
      <c r="AX242" s="58">
        <f t="shared" si="201"/>
        <v>-1829.2911320332721</v>
      </c>
      <c r="AY242" s="41">
        <f>'[2]побудинковий звіт'!AY242+'[1]побудинковий звіт'!AY242</f>
        <v>2820.0619159229973</v>
      </c>
      <c r="AZ242" s="41">
        <f>'[2]побудинковий звіт'!AZ242+'[1]побудинковий звіт'!AZ242</f>
        <v>0</v>
      </c>
      <c r="BA242" s="36">
        <f t="shared" si="202"/>
        <v>-2820.0619159229973</v>
      </c>
      <c r="BB242" s="41">
        <f>'[2]побудинковий звіт'!BB242+'[1]побудинковий звіт'!BB242</f>
        <v>3011.369422189091</v>
      </c>
      <c r="BC242" s="41">
        <f>'[2]побудинковий звіт'!BC242+'[1]побудинковий звіт'!BC242</f>
        <v>0</v>
      </c>
      <c r="BD242" s="58">
        <f t="shared" si="203"/>
        <v>-3011.369422189091</v>
      </c>
      <c r="BE242" s="41">
        <f>'[2]побудинковий звіт'!BE242+'[1]побудинковий звіт'!BE242</f>
        <v>0</v>
      </c>
      <c r="BF242" s="41">
        <f>'[2]побудинковий звіт'!BF242+'[1]побудинковий звіт'!BF242</f>
        <v>0</v>
      </c>
      <c r="BG242" s="38">
        <f t="shared" si="204"/>
        <v>0</v>
      </c>
      <c r="BH242" s="41">
        <f>'[2]побудинковий звіт'!BH242+'[1]побудинковий звіт'!BH242</f>
        <v>110.27308797143304</v>
      </c>
      <c r="BI242" s="41">
        <f>'[2]побудинковий звіт'!BI242+'[1]побудинковий звіт'!BI242</f>
        <v>0</v>
      </c>
      <c r="BJ242" s="58">
        <f t="shared" si="205"/>
        <v>-110.27308797143304</v>
      </c>
      <c r="BK242" s="41">
        <f>'[2]побудинковий звіт'!BK242+'[1]побудинковий звіт'!BK242</f>
        <v>1399.3069126009357</v>
      </c>
      <c r="BL242" s="41">
        <f>'[2]побудинковий звіт'!BL242+'[1]побудинковий звіт'!BL242</f>
        <v>2894.6845856063878</v>
      </c>
      <c r="BM242" s="38">
        <f t="shared" si="206"/>
        <v>1495.3776730054522</v>
      </c>
      <c r="BN242" s="41">
        <f>'[2]побудинковий звіт'!BN242+'[1]побудинковий звіт'!BN242</f>
        <v>20.108726798037644</v>
      </c>
      <c r="BO242" s="41">
        <f>'[2]побудинковий звіт'!BO242+'[1]побудинковий звіт'!BO242</f>
        <v>3947.3587885413904</v>
      </c>
      <c r="BP242" s="58">
        <f t="shared" si="207"/>
        <v>3927.2500617433529</v>
      </c>
      <c r="BQ242" s="84">
        <f t="shared" si="208"/>
        <v>9190.4111975157666</v>
      </c>
      <c r="BR242" s="42">
        <f t="shared" si="209"/>
        <v>6842.0433741477782</v>
      </c>
      <c r="BS242" s="58">
        <f t="shared" si="210"/>
        <v>-2348.3678233679884</v>
      </c>
      <c r="BT242" s="41">
        <f>'[2]побудинковий звіт'!BT242+'[1]побудинковий звіт'!BT242</f>
        <v>15720.857776718018</v>
      </c>
      <c r="BU242" s="41">
        <f>'[2]побудинковий звіт'!BU242+'[1]побудинковий звіт'!BU242</f>
        <v>28612.677941156275</v>
      </c>
      <c r="BV242" s="55">
        <f t="shared" si="211"/>
        <v>12891.820164438257</v>
      </c>
      <c r="BW242" s="41">
        <f>'[2]побудинковий звіт'!BW242+'[1]побудинковий звіт'!BW242</f>
        <v>18661.560584023748</v>
      </c>
      <c r="BX242" s="41">
        <f>'[2]побудинковий звіт'!BX242+'[1]побудинковий звіт'!BX242</f>
        <v>22183.489620739463</v>
      </c>
      <c r="BY242" s="55">
        <f t="shared" si="212"/>
        <v>3521.9290367157155</v>
      </c>
      <c r="BZ242" s="41">
        <f>'[2]побудинковий звіт'!BZ242+'[1]побудинковий звіт'!BZ242</f>
        <v>8793.0528848797767</v>
      </c>
      <c r="CA242" s="41">
        <f>'[2]побудинковий звіт'!CA242+'[1]побудинковий звіт'!CA242</f>
        <v>2883.4559159153059</v>
      </c>
      <c r="CB242" s="55">
        <f t="shared" si="213"/>
        <v>-5909.5969689644708</v>
      </c>
      <c r="CC242" s="41">
        <f>'[2]побудинковий звіт'!CC242+'[1]побудинковий звіт'!CC242</f>
        <v>2219.0240721027949</v>
      </c>
      <c r="CD242" s="41">
        <f>'[2]побудинковий звіт'!CD242+'[1]побудинковий звіт'!CD242</f>
        <v>2226.5485352132077</v>
      </c>
      <c r="CE242" s="55">
        <f t="shared" si="214"/>
        <v>7.524463110412853</v>
      </c>
      <c r="CF242" s="41">
        <f>'[2]побудинковий звіт'!CF242+'[1]побудинковий звіт'!CF242</f>
        <v>274.9252880096509</v>
      </c>
      <c r="CG242" s="41">
        <f>'[2]побудинковий звіт'!CG242+'[1]побудинковий звіт'!CG242</f>
        <v>0</v>
      </c>
      <c r="CH242" s="55">
        <f t="shared" si="215"/>
        <v>-274.9252880096509</v>
      </c>
      <c r="CI242" s="41">
        <f>'[2]побудинковий звіт'!CI242+'[1]побудинковий звіт'!CI242</f>
        <v>11271.737257484016</v>
      </c>
      <c r="CJ242" s="41">
        <f>'[2]побудинковий звіт'!CJ242+'[1]побудинковий звіт'!CJ242</f>
        <v>12689.152249525479</v>
      </c>
      <c r="CK242" s="55">
        <f t="shared" si="216"/>
        <v>1417.4149920414638</v>
      </c>
      <c r="CL242" s="41">
        <f>'[2]побудинковий звіт'!CL242+'[1]побудинковий звіт'!CL242</f>
        <v>0</v>
      </c>
      <c r="CM242" s="41">
        <f>'[2]побудинковий звіт'!CM242+'[1]побудинковий звіт'!CM242</f>
        <v>0</v>
      </c>
      <c r="CN242" s="55">
        <f t="shared" si="217"/>
        <v>0</v>
      </c>
      <c r="CO242" s="41">
        <f t="shared" si="218"/>
        <v>11271.737257484016</v>
      </c>
      <c r="CP242" s="42">
        <f t="shared" si="219"/>
        <v>12689.152249525479</v>
      </c>
      <c r="CQ242" s="55">
        <f t="shared" si="220"/>
        <v>1417.4149920414638</v>
      </c>
      <c r="CR242" s="76">
        <f t="shared" si="221"/>
        <v>179891.10455251313</v>
      </c>
      <c r="CS242" s="5">
        <f t="shared" si="222"/>
        <v>185460.46236550421</v>
      </c>
      <c r="CT242" s="55">
        <f t="shared" si="223"/>
        <v>5569.3578129910748</v>
      </c>
      <c r="CU242" s="84">
        <f t="shared" si="224"/>
        <v>215869.32546301576</v>
      </c>
      <c r="CV242" s="68">
        <f t="shared" si="225"/>
        <v>222552.55483860505</v>
      </c>
      <c r="CW242" s="36">
        <f t="shared" si="226"/>
        <v>6683.2293755892897</v>
      </c>
      <c r="CX242" s="41">
        <f>'[2]побудинковий звіт'!CX242+'[1]побудинковий звіт'!CX242</f>
        <v>9153.7085785705422</v>
      </c>
      <c r="CY242" s="41">
        <f>'[2]побудинковий звіт'!CY242+'[1]побудинковий звіт'!CY242</f>
        <v>2470.479202981187</v>
      </c>
      <c r="CZ242" s="55">
        <f t="shared" si="227"/>
        <v>-6683.2293755893552</v>
      </c>
      <c r="DA242" s="254">
        <f>'[1]побудинковий звіт'!DA242</f>
        <v>-15544.403189837773</v>
      </c>
      <c r="DB242" s="2">
        <v>2</v>
      </c>
      <c r="DC242" s="702">
        <f>'[1]побудинковий звіт'!DC242</f>
        <v>61484.09</v>
      </c>
      <c r="DD242" s="702">
        <f>'[1]побудинковий звіт'!DD242</f>
        <v>0</v>
      </c>
      <c r="DE242" s="702">
        <f>'[1]побудинковий звіт'!DE242</f>
        <v>36625.519999999997</v>
      </c>
      <c r="DF242" s="702">
        <f>'[1]побудинковий звіт'!DF242</f>
        <v>0</v>
      </c>
      <c r="DG242" s="772">
        <v>29406.747524217935</v>
      </c>
      <c r="DH242" s="746">
        <f t="shared" si="239"/>
        <v>2700276.4084990355</v>
      </c>
      <c r="DI242" s="769"/>
      <c r="DJ242" s="5"/>
      <c r="DK242" s="307">
        <f>VLOOKUP($A242,ціни!$A$4:$G$401,5)</f>
        <v>4.9278371046074234</v>
      </c>
      <c r="DL242" s="307"/>
      <c r="DM242" s="307">
        <f>VLOOKUP($A242,ціни!$A$4:$G$401,7)</f>
        <v>4.4113507681397683</v>
      </c>
      <c r="DN242" s="29">
        <f t="shared" si="249"/>
        <v>17602.234137657717</v>
      </c>
      <c r="DO242" s="29">
        <f t="shared" si="250"/>
        <v>0</v>
      </c>
      <c r="DP242" s="306">
        <f t="shared" si="240"/>
        <v>17602.234137657717</v>
      </c>
      <c r="DQ242" s="101"/>
      <c r="DR242" s="29">
        <f>VLOOKUP(A242,'ДЗ нас '!$A$1:$C$359,2)</f>
        <v>17602.150000000001</v>
      </c>
      <c r="DS242" s="733"/>
      <c r="DT242" s="29">
        <f t="shared" si="241"/>
        <v>17602.150000000001</v>
      </c>
      <c r="DU242" s="247">
        <f>VLOOKUP(A242,'новий кошторис с 01.06'!$A$4:$AI$399,35)*1.2</f>
        <v>17734.656492590297</v>
      </c>
      <c r="DV242" s="29">
        <f t="shared" si="242"/>
        <v>-132.50649259029524</v>
      </c>
      <c r="DW242" s="1016">
        <f>'[2]побудинковий звіт'!$DW$9+'[1]побудинковий звіт'!DW242</f>
        <v>1062</v>
      </c>
      <c r="DX242" s="101">
        <f>'[1]побудинковий звіт'!DX242</f>
        <v>0</v>
      </c>
      <c r="DY242" s="5">
        <f t="shared" si="243"/>
        <v>80950.744989355415</v>
      </c>
      <c r="DZ242" s="5">
        <f t="shared" si="244"/>
        <v>74096.766571334287</v>
      </c>
      <c r="EA242" s="737">
        <f t="shared" si="245"/>
        <v>36625.519999999997</v>
      </c>
      <c r="EC242" s="577">
        <f t="shared" si="246"/>
        <v>699222.51552336488</v>
      </c>
      <c r="EE242" s="743">
        <v>-41807</v>
      </c>
      <c r="EF242" s="723">
        <f t="shared" si="247"/>
        <v>-12400.252475782065</v>
      </c>
      <c r="EH242" s="798">
        <v>-14729.242695667563</v>
      </c>
      <c r="EI242" s="101">
        <f>VLOOKUP(A242,'кошти 01.01.24'!$A$9:$D$352,4,FALSE)</f>
        <v>-22227.632565427113</v>
      </c>
    </row>
    <row r="243" spans="1:139" hidden="1" x14ac:dyDescent="0.3">
      <c r="A243" s="318">
        <v>150001046</v>
      </c>
      <c r="B243" s="43" t="s">
        <v>671</v>
      </c>
      <c r="C243" s="44" t="s">
        <v>272</v>
      </c>
      <c r="D243" s="44" t="s">
        <v>272</v>
      </c>
      <c r="E243" s="39">
        <f t="shared" si="185"/>
        <v>2689.9</v>
      </c>
      <c r="F243" s="205">
        <f>'[1]побудинковий звіт'!F243</f>
        <v>2479.3000000000002</v>
      </c>
      <c r="G243" s="29">
        <f>'[1]побудинковий звіт'!G243</f>
        <v>0</v>
      </c>
      <c r="H243" s="148">
        <f>'[1]побудинковий звіт'!H243</f>
        <v>210.60000000000002</v>
      </c>
      <c r="I243" s="41">
        <f>'[2]побудинковий звіт'!I243+'[1]побудинковий звіт'!I243</f>
        <v>9033.652084028945</v>
      </c>
      <c r="J243" s="41">
        <f>'[2]побудинковий звіт'!J243+'[1]побудинковий звіт'!J243</f>
        <v>9300.1627699574929</v>
      </c>
      <c r="K243" s="55">
        <f t="shared" si="186"/>
        <v>266.5106859285479</v>
      </c>
      <c r="L243" s="41">
        <f>'[2]побудинковий звіт'!L243+'[1]побудинковий звіт'!L243</f>
        <v>1889.0204604421251</v>
      </c>
      <c r="M243" s="41">
        <f>'[2]побудинковий звіт'!M243+'[1]побудинковий звіт'!M243</f>
        <v>1985.5026221228702</v>
      </c>
      <c r="N243" s="55">
        <f t="shared" si="187"/>
        <v>96.482161680745094</v>
      </c>
      <c r="O243" s="41">
        <f>'[2]побудинковий звіт'!O243+'[1]побудинковий звіт'!O243</f>
        <v>3704.9941543579271</v>
      </c>
      <c r="P243" s="41">
        <f>'[2]побудинковий звіт'!P243+'[1]побудинковий звіт'!P243</f>
        <v>3715.4406887978175</v>
      </c>
      <c r="Q243" s="55">
        <f t="shared" si="188"/>
        <v>10.446534439890456</v>
      </c>
      <c r="R243" s="41">
        <f>'[2]побудинковий звіт'!R243+'[1]побудинковий звіт'!R243</f>
        <v>0</v>
      </c>
      <c r="S243" s="41">
        <f>'[2]побудинковий звіт'!S243+'[1]побудинковий звіт'!S243</f>
        <v>0</v>
      </c>
      <c r="T243" s="55">
        <f t="shared" si="189"/>
        <v>0</v>
      </c>
      <c r="U243" s="41">
        <f>'[2]побудинковий звіт'!U243+'[1]побудинковий звіт'!U243</f>
        <v>187.10196558541708</v>
      </c>
      <c r="V243" s="41">
        <f>'[2]побудинковий звіт'!V243+'[1]побудинковий звіт'!V243</f>
        <v>107.9445908639935</v>
      </c>
      <c r="W243" s="55">
        <f t="shared" si="190"/>
        <v>-79.157374721423579</v>
      </c>
      <c r="X243" s="41">
        <f>'[2]побудинковий звіт'!X243+'[1]побудинковий звіт'!X243</f>
        <v>5829.8578738219121</v>
      </c>
      <c r="Y243" s="41">
        <f>'[2]побудинковий звіт'!Y243+'[1]побудинковий звіт'!Y243</f>
        <v>5638.7668948044147</v>
      </c>
      <c r="Z243" s="55">
        <f t="shared" si="191"/>
        <v>-191.09097901749738</v>
      </c>
      <c r="AA243" s="41">
        <f>'[2]побудинковий звіт'!AA243+'[1]побудинковий звіт'!AA243</f>
        <v>0</v>
      </c>
      <c r="AB243" s="41">
        <f>'[2]побудинковий звіт'!AB243+'[1]побудинковий звіт'!AB243</f>
        <v>0</v>
      </c>
      <c r="AC243" s="55">
        <f t="shared" si="192"/>
        <v>0</v>
      </c>
      <c r="AD243" s="41">
        <f>'[2]побудинковий звіт'!AD243+'[1]побудинковий звіт'!AD243</f>
        <v>11636.705860999988</v>
      </c>
      <c r="AE243" s="41">
        <f>'[2]побудинковий звіт'!AE243+'[1]побудинковий звіт'!AE243</f>
        <v>11820.519402051585</v>
      </c>
      <c r="AF243" s="36">
        <f t="shared" si="193"/>
        <v>183.81354105159699</v>
      </c>
      <c r="AG243" s="84">
        <f t="shared" si="194"/>
        <v>32281.332399236315</v>
      </c>
      <c r="AH243" s="56">
        <f t="shared" si="195"/>
        <v>32568.336968598174</v>
      </c>
      <c r="AI243" s="55">
        <f t="shared" si="196"/>
        <v>287.00456936185947</v>
      </c>
      <c r="AJ243" s="41">
        <f>'[2]побудинковий звіт'!AJ243+'[1]побудинковий звіт'!AJ243</f>
        <v>0</v>
      </c>
      <c r="AK243" s="41">
        <f>'[2]побудинковий звіт'!AK243+'[1]побудинковий звіт'!AK243</f>
        <v>0</v>
      </c>
      <c r="AL243" s="55">
        <f t="shared" si="197"/>
        <v>0</v>
      </c>
      <c r="AM243" s="41">
        <f>'[2]побудинковий звіт'!AM243+'[1]побудинковий звіт'!AM243</f>
        <v>0</v>
      </c>
      <c r="AN243" s="41">
        <f>'[2]побудинковий звіт'!AN243+'[1]побудинковий звіт'!AN243</f>
        <v>0</v>
      </c>
      <c r="AO243" s="55">
        <f t="shared" si="198"/>
        <v>0</v>
      </c>
      <c r="AP243" s="41">
        <f>'[2]побудинковий звіт'!AP243+'[1]побудинковий звіт'!AP243</f>
        <v>8618.2021032752746</v>
      </c>
      <c r="AQ243" s="41">
        <f>'[2]побудинковий звіт'!AQ243+'[1]побудинковий звіт'!AQ243</f>
        <v>8174.8715656776822</v>
      </c>
      <c r="AR243" s="55">
        <f t="shared" si="199"/>
        <v>-443.33053759759241</v>
      </c>
      <c r="AS243" s="41">
        <f>'[2]побудинковий звіт'!AS243+'[1]побудинковий звіт'!AS243</f>
        <v>32680.910662007795</v>
      </c>
      <c r="AT243" s="41">
        <f>'[2]побудинковий звіт'!AT243+'[1]побудинковий звіт'!AT243</f>
        <v>43764.129032029217</v>
      </c>
      <c r="AU243" s="57">
        <f t="shared" si="200"/>
        <v>11083.218370021423</v>
      </c>
      <c r="AV243" s="41">
        <f>'[2]побудинковий звіт'!AV243+'[1]побудинковий звіт'!AV243</f>
        <v>1410.2648238171137</v>
      </c>
      <c r="AW243" s="41">
        <f>'[2]побудинковий звіт'!AW243+'[1]побудинковий звіт'!AW243</f>
        <v>0</v>
      </c>
      <c r="AX243" s="58">
        <f t="shared" si="201"/>
        <v>-1410.2648238171137</v>
      </c>
      <c r="AY243" s="41">
        <f>'[2]побудинковий звіт'!AY243+'[1]побудинковий звіт'!AY243</f>
        <v>2388.7896112056114</v>
      </c>
      <c r="AZ243" s="41">
        <f>'[2]побудинковий звіт'!AZ243+'[1]побудинковий звіт'!AZ243</f>
        <v>0</v>
      </c>
      <c r="BA243" s="36">
        <f t="shared" si="202"/>
        <v>-2388.7896112056114</v>
      </c>
      <c r="BB243" s="41">
        <f>'[2]побудинковий звіт'!BB243+'[1]побудинковий звіт'!BB243</f>
        <v>1833.2311634147272</v>
      </c>
      <c r="BC243" s="41">
        <f>'[2]побудинковий звіт'!BC243+'[1]побудинковий звіт'!BC243</f>
        <v>0</v>
      </c>
      <c r="BD243" s="58">
        <f t="shared" si="203"/>
        <v>-1833.2311634147272</v>
      </c>
      <c r="BE243" s="41">
        <f>'[2]побудинковий звіт'!BE243+'[1]побудинковий звіт'!BE243</f>
        <v>0</v>
      </c>
      <c r="BF243" s="41">
        <f>'[2]побудинковий звіт'!BF243+'[1]побудинковий звіт'!BF243</f>
        <v>0</v>
      </c>
      <c r="BG243" s="38">
        <f t="shared" si="204"/>
        <v>0</v>
      </c>
      <c r="BH243" s="41">
        <f>'[2]побудинковий звіт'!BH243+'[1]побудинковий звіт'!BH243</f>
        <v>110.27308797143304</v>
      </c>
      <c r="BI243" s="41">
        <f>'[2]побудинковий звіт'!BI243+'[1]побудинковий звіт'!BI243</f>
        <v>1515.502816555887</v>
      </c>
      <c r="BJ243" s="58">
        <f t="shared" si="205"/>
        <v>1405.2297285844538</v>
      </c>
      <c r="BK243" s="41">
        <f>'[2]побудинковий звіт'!BK243+'[1]побудинковий звіт'!BK243</f>
        <v>987.00222784653556</v>
      </c>
      <c r="BL243" s="41">
        <f>'[2]побудинковий звіт'!BL243+'[1]побудинковий звіт'!BL243</f>
        <v>0</v>
      </c>
      <c r="BM243" s="38">
        <f t="shared" si="206"/>
        <v>-987.00222784653556</v>
      </c>
      <c r="BN243" s="41">
        <f>'[2]побудинковий звіт'!BN243+'[1]побудинковий звіт'!BN243</f>
        <v>15.371725633445312</v>
      </c>
      <c r="BO243" s="41">
        <f>'[2]побудинковий звіт'!BO243+'[1]побудинковий звіт'!BO243</f>
        <v>2934.3460105618965</v>
      </c>
      <c r="BP243" s="58">
        <f t="shared" si="207"/>
        <v>2918.9742849284512</v>
      </c>
      <c r="BQ243" s="84">
        <f t="shared" si="208"/>
        <v>6744.932639888867</v>
      </c>
      <c r="BR243" s="42">
        <f t="shared" si="209"/>
        <v>4449.848827117783</v>
      </c>
      <c r="BS243" s="58">
        <f t="shared" si="210"/>
        <v>-2295.083812771084</v>
      </c>
      <c r="BT243" s="41">
        <f>'[2]побудинковий звіт'!BT243+'[1]побудинковий звіт'!BT243</f>
        <v>20976.544693739197</v>
      </c>
      <c r="BU243" s="41">
        <f>'[2]побудинковий звіт'!BU243+'[1]побудинковий звіт'!BU243</f>
        <v>34536.694570441199</v>
      </c>
      <c r="BV243" s="55">
        <f t="shared" si="211"/>
        <v>13560.149876702002</v>
      </c>
      <c r="BW243" s="41">
        <f>'[2]побудинковий звіт'!BW243+'[1]побудинковий звіт'!BW243</f>
        <v>11837.946173239121</v>
      </c>
      <c r="BX243" s="41">
        <f>'[2]побудинковий звіт'!BX243+'[1]побудинковий звіт'!BX243</f>
        <v>14264.107019980882</v>
      </c>
      <c r="BY243" s="55">
        <f t="shared" si="212"/>
        <v>2426.1608467417609</v>
      </c>
      <c r="BZ243" s="41">
        <f>'[2]побудинковий звіт'!BZ243+'[1]побудинковий звіт'!BZ243</f>
        <v>9564.604854236004</v>
      </c>
      <c r="CA243" s="41">
        <f>'[2]побудинковий звіт'!CA243+'[1]побудинковий звіт'!CA243</f>
        <v>3658.7599327756752</v>
      </c>
      <c r="CB243" s="55">
        <f t="shared" si="213"/>
        <v>-5905.8449214603288</v>
      </c>
      <c r="CC243" s="41">
        <f>'[2]побудинковий звіт'!CC243+'[1]побудинковий звіт'!CC243</f>
        <v>720.33545976200548</v>
      </c>
      <c r="CD243" s="41">
        <f>'[2]побудинковий звіт'!CD243+'[1]побудинковий звіт'!CD243</f>
        <v>722.77803695719774</v>
      </c>
      <c r="CE243" s="55">
        <f t="shared" si="214"/>
        <v>2.442577195192257</v>
      </c>
      <c r="CF243" s="41">
        <f>'[2]побудинковий звіт'!CF243+'[1]побудинковий звіт'!CF243</f>
        <v>89.245734748144542</v>
      </c>
      <c r="CG243" s="41">
        <f>'[2]побудинковий звіт'!CG243+'[1]побудинковий звіт'!CG243</f>
        <v>0</v>
      </c>
      <c r="CH243" s="55">
        <f t="shared" si="215"/>
        <v>-89.245734748144542</v>
      </c>
      <c r="CI243" s="41">
        <f>'[2]побудинковий звіт'!CI243+'[1]побудинковий звіт'!CI243</f>
        <v>4691.8543396563427</v>
      </c>
      <c r="CJ243" s="41">
        <f>'[2]побудинковий звіт'!CJ243+'[1]побудинковий звіт'!CJ243</f>
        <v>2917.4239706371691</v>
      </c>
      <c r="CK243" s="55">
        <f t="shared" si="216"/>
        <v>-1774.4303690191737</v>
      </c>
      <c r="CL243" s="41">
        <f>'[2]побудинковий звіт'!CL243+'[1]побудинковий звіт'!CL243</f>
        <v>0</v>
      </c>
      <c r="CM243" s="41">
        <f>'[2]побудинковий звіт'!CM243+'[1]побудинковий звіт'!CM243</f>
        <v>0</v>
      </c>
      <c r="CN243" s="55">
        <f t="shared" si="217"/>
        <v>0</v>
      </c>
      <c r="CO243" s="41">
        <f t="shared" si="218"/>
        <v>4691.8543396563427</v>
      </c>
      <c r="CP243" s="42">
        <f t="shared" si="219"/>
        <v>2917.4239706371691</v>
      </c>
      <c r="CQ243" s="55">
        <f t="shared" si="220"/>
        <v>-1774.4303690191737</v>
      </c>
      <c r="CR243" s="76">
        <f t="shared" si="221"/>
        <v>128205.90905978908</v>
      </c>
      <c r="CS243" s="5">
        <f t="shared" si="222"/>
        <v>145056.94992421495</v>
      </c>
      <c r="CT243" s="55">
        <f t="shared" si="223"/>
        <v>16851.040864425871</v>
      </c>
      <c r="CU243" s="84">
        <f t="shared" si="224"/>
        <v>153847.09087174688</v>
      </c>
      <c r="CV243" s="68">
        <f t="shared" si="225"/>
        <v>174068.33990905792</v>
      </c>
      <c r="CW243" s="36">
        <f t="shared" si="226"/>
        <v>20221.249037311034</v>
      </c>
      <c r="CX243" s="41">
        <f>'[2]побудинковий звіт'!CX243+'[1]побудинковий звіт'!CX243</f>
        <v>4404.7413655857599</v>
      </c>
      <c r="CY243" s="41">
        <f>'[2]побудинковий звіт'!CY243+'[1]побудинковий звіт'!CY243</f>
        <v>-15816.507671725332</v>
      </c>
      <c r="CZ243" s="55">
        <f t="shared" si="227"/>
        <v>-20221.249037311092</v>
      </c>
      <c r="DA243" s="254">
        <f>'[1]побудинковий звіт'!DA243</f>
        <v>25053.147081141804</v>
      </c>
      <c r="DB243" s="2">
        <v>2</v>
      </c>
      <c r="DC243" s="702">
        <f>'[1]побудинковий звіт'!DC243</f>
        <v>51227.23</v>
      </c>
      <c r="DD243" s="702">
        <f>'[1]побудинковий звіт'!DD243</f>
        <v>1445.77</v>
      </c>
      <c r="DE243" s="702">
        <f>'[1]побудинковий звіт'!DE243</f>
        <v>35062.450000000004</v>
      </c>
      <c r="DF243" s="702">
        <f>'[1]побудинковий звіт'!DF243</f>
        <v>210.57999999999993</v>
      </c>
      <c r="DG243" s="772">
        <v>61741.301752452157</v>
      </c>
      <c r="DH243" s="746">
        <f t="shared" si="239"/>
        <v>1899021.9868479918</v>
      </c>
      <c r="DI243" s="769"/>
      <c r="DJ243" s="5"/>
      <c r="DK243" s="307">
        <f>VLOOKUP($A243,ціни!$A$4:$G$401,5)</f>
        <v>4.6448983654265206</v>
      </c>
      <c r="DL243" s="307"/>
      <c r="DM243" s="307">
        <f>VLOOKUP($A243,ціни!$A$4:$G$401,7)</f>
        <v>4.1839873461391299</v>
      </c>
      <c r="DN243" s="29">
        <f t="shared" si="249"/>
        <v>11516.096517401973</v>
      </c>
      <c r="DO243" s="29">
        <f t="shared" si="250"/>
        <v>881.14773509690087</v>
      </c>
      <c r="DP243" s="306">
        <f t="shared" si="240"/>
        <v>12397.244252498875</v>
      </c>
      <c r="DQ243" s="101"/>
      <c r="DR243" s="29">
        <f>VLOOKUP(A243,'ДЗ нас '!$A$1:$C$359,2)</f>
        <v>11509.17</v>
      </c>
      <c r="DS243" s="733">
        <f>VLOOKUP(A243,'ДЗ нежит'!$A$1:$D$153,4,0)</f>
        <v>881.14</v>
      </c>
      <c r="DT243" s="29">
        <f t="shared" si="241"/>
        <v>12390.31</v>
      </c>
      <c r="DU243" s="247">
        <f>VLOOKUP(A243,'новий кошторис с 01.06'!$A$4:$AI$399,35)*1.2</f>
        <v>12406.690741939992</v>
      </c>
      <c r="DV243" s="29">
        <f t="shared" si="242"/>
        <v>-16.380741939992731</v>
      </c>
      <c r="DW243" s="1016">
        <f>'[2]побудинковий звіт'!$DW$9+'[1]побудинковий звіт'!DW243</f>
        <v>1062</v>
      </c>
      <c r="DX243" s="101">
        <f>'[1]побудинковий звіт'!DX243</f>
        <v>0</v>
      </c>
      <c r="DY243" s="5">
        <f t="shared" si="243"/>
        <v>47311.011962275988</v>
      </c>
      <c r="DZ243" s="5">
        <f t="shared" si="244"/>
        <v>57856.773430976398</v>
      </c>
      <c r="EA243" s="737">
        <f t="shared" si="245"/>
        <v>35273.030000000006</v>
      </c>
      <c r="EC243" s="577">
        <f t="shared" si="246"/>
        <v>392170.92794409354</v>
      </c>
      <c r="EE243" s="743">
        <v>-18398</v>
      </c>
      <c r="EF243" s="723">
        <f t="shared" si="247"/>
        <v>43343.301752452157</v>
      </c>
      <c r="EH243" s="798">
        <v>38387.092863366946</v>
      </c>
      <c r="EI243" s="101">
        <f>VLOOKUP(A243,'кошти 01.01.24'!$A$9:$D$352,4,FALSE)</f>
        <v>4831.8980438307208</v>
      </c>
    </row>
    <row r="244" spans="1:139" hidden="1" x14ac:dyDescent="0.3">
      <c r="A244" s="318">
        <v>150001040</v>
      </c>
      <c r="B244" s="43" t="s">
        <v>672</v>
      </c>
      <c r="C244" s="44" t="s">
        <v>216</v>
      </c>
      <c r="D244" s="44" t="s">
        <v>216</v>
      </c>
      <c r="E244" s="39">
        <f t="shared" si="185"/>
        <v>2524.1999999999998</v>
      </c>
      <c r="F244" s="205">
        <f>'[1]побудинковий звіт'!F244</f>
        <v>2013</v>
      </c>
      <c r="G244" s="29">
        <f>'[1]побудинковий звіт'!G244</f>
        <v>0</v>
      </c>
      <c r="H244" s="148">
        <f>'[1]побудинковий звіт'!H244</f>
        <v>511.20000000000005</v>
      </c>
      <c r="I244" s="41">
        <f>'[2]побудинковий звіт'!I244+'[1]побудинковий звіт'!I244</f>
        <v>9370.7189788716223</v>
      </c>
      <c r="J244" s="41">
        <f>'[2]побудинковий звіт'!J244+'[1]побудинковий звіт'!J244</f>
        <v>9583.1157140211872</v>
      </c>
      <c r="K244" s="55">
        <f t="shared" si="186"/>
        <v>212.39673514956485</v>
      </c>
      <c r="L244" s="41">
        <f>'[2]побудинковий звіт'!L244+'[1]побудинковий звіт'!L244</f>
        <v>2378.6880439280994</v>
      </c>
      <c r="M244" s="41">
        <f>'[2]побудинковий звіт'!M244+'[1]побудинковий звіт'!M244</f>
        <v>2491.0091472440299</v>
      </c>
      <c r="N244" s="55">
        <f t="shared" si="187"/>
        <v>112.32110331593049</v>
      </c>
      <c r="O244" s="41">
        <f>'[2]побудинковий звіт'!O244+'[1]побудинковий звіт'!O244</f>
        <v>3607.1892016388656</v>
      </c>
      <c r="P244" s="41">
        <f>'[2]побудинковий звіт'!P244+'[1]побудинковий звіт'!P244</f>
        <v>3617.4891596198586</v>
      </c>
      <c r="Q244" s="55">
        <f t="shared" si="188"/>
        <v>10.299957980992986</v>
      </c>
      <c r="R244" s="41">
        <f>'[2]побудинковий звіт'!R244+'[1]побудинковий звіт'!R244</f>
        <v>0</v>
      </c>
      <c r="S244" s="41">
        <f>'[2]побудинковий звіт'!S244+'[1]побудинковий звіт'!S244</f>
        <v>0</v>
      </c>
      <c r="T244" s="55">
        <f t="shared" si="189"/>
        <v>0</v>
      </c>
      <c r="U244" s="41">
        <f>'[2]побудинковий звіт'!U244+'[1]побудинковий звіт'!U244</f>
        <v>224.52235870250053</v>
      </c>
      <c r="V244" s="41">
        <f>'[2]побудинковий звіт'!V244+'[1]побудинковий звіт'!V244</f>
        <v>129.5335090367922</v>
      </c>
      <c r="W244" s="55">
        <f t="shared" si="190"/>
        <v>-94.988849665708329</v>
      </c>
      <c r="X244" s="41">
        <f>'[2]побудинковий звіт'!X244+'[1]побудинковий звіт'!X244</f>
        <v>9490.2075591761186</v>
      </c>
      <c r="Y244" s="41">
        <f>'[2]побудинковий звіт'!Y244+'[1]побудинковий звіт'!Y244</f>
        <v>9412.8934129871777</v>
      </c>
      <c r="Z244" s="55">
        <f t="shared" si="191"/>
        <v>-77.314146188940867</v>
      </c>
      <c r="AA244" s="41">
        <f>'[2]побудинковий звіт'!AA244+'[1]побудинковий звіт'!AA244</f>
        <v>0</v>
      </c>
      <c r="AB244" s="41">
        <f>'[2]побудинковий звіт'!AB244+'[1]побудинковий звіт'!AB244</f>
        <v>0</v>
      </c>
      <c r="AC244" s="55">
        <f t="shared" si="192"/>
        <v>0</v>
      </c>
      <c r="AD244" s="41">
        <f>'[2]побудинковий звіт'!AD244+'[1]побудинковий звіт'!AD244</f>
        <v>10800.691544540194</v>
      </c>
      <c r="AE244" s="41">
        <f>'[2]побудинковий звіт'!AE244+'[1]побудинковий звіт'!AE244</f>
        <v>10905.662686080528</v>
      </c>
      <c r="AF244" s="36">
        <f t="shared" si="193"/>
        <v>104.97114154033443</v>
      </c>
      <c r="AG244" s="84">
        <f t="shared" si="194"/>
        <v>35872.017686857405</v>
      </c>
      <c r="AH244" s="56">
        <f t="shared" si="195"/>
        <v>36139.70362898957</v>
      </c>
      <c r="AI244" s="55">
        <f t="shared" si="196"/>
        <v>267.6859421321642</v>
      </c>
      <c r="AJ244" s="41">
        <f>'[2]побудинковий звіт'!AJ244+'[1]побудинковий звіт'!AJ244</f>
        <v>0</v>
      </c>
      <c r="AK244" s="41">
        <f>'[2]побудинковий звіт'!AK244+'[1]побудинковий звіт'!AK244</f>
        <v>0</v>
      </c>
      <c r="AL244" s="55">
        <f t="shared" si="197"/>
        <v>0</v>
      </c>
      <c r="AM244" s="41">
        <f>'[2]побудинковий звіт'!AM244+'[1]побудинковий звіт'!AM244</f>
        <v>0</v>
      </c>
      <c r="AN244" s="41">
        <f>'[2]побудинковий звіт'!AN244+'[1]побудинковий звіт'!AN244</f>
        <v>0</v>
      </c>
      <c r="AO244" s="55">
        <f t="shared" si="198"/>
        <v>0</v>
      </c>
      <c r="AP244" s="41">
        <f>'[2]побудинковий звіт'!AP244+'[1]побудинковий звіт'!AP244</f>
        <v>4903.4598173807608</v>
      </c>
      <c r="AQ244" s="41">
        <f>'[2]побудинковий звіт'!AQ244+'[1]побудинковий звіт'!AQ244</f>
        <v>5366.6011988553446</v>
      </c>
      <c r="AR244" s="55">
        <f t="shared" si="199"/>
        <v>463.1413814745838</v>
      </c>
      <c r="AS244" s="41">
        <f>'[2]побудинковий звіт'!AS244+'[1]побудинковий звіт'!AS244</f>
        <v>44274.498340176055</v>
      </c>
      <c r="AT244" s="41">
        <f>'[2]побудинковий звіт'!AT244+'[1]побудинковий звіт'!AT244</f>
        <v>62051.504016462037</v>
      </c>
      <c r="AU244" s="57">
        <f t="shared" si="200"/>
        <v>17777.005676285982</v>
      </c>
      <c r="AV244" s="41">
        <f>'[2]побудинковий звіт'!AV244+'[1]побудинковий звіт'!AV244</f>
        <v>1659.4213630925524</v>
      </c>
      <c r="AW244" s="41">
        <f>'[2]побудинковий звіт'!AW244+'[1]побудинковий звіт'!AW244</f>
        <v>0</v>
      </c>
      <c r="AX244" s="58">
        <f t="shared" si="201"/>
        <v>-1659.4213630925524</v>
      </c>
      <c r="AY244" s="41">
        <f>'[2]побудинковий звіт'!AY244+'[1]побудинковий звіт'!AY244</f>
        <v>3098.7737525295106</v>
      </c>
      <c r="AZ244" s="41">
        <f>'[2]побудинковий звіт'!AZ244+'[1]побудинковий звіт'!AZ244</f>
        <v>0</v>
      </c>
      <c r="BA244" s="36">
        <f t="shared" si="202"/>
        <v>-3098.7737525295106</v>
      </c>
      <c r="BB244" s="41">
        <f>'[2]побудинковий звіт'!BB244+'[1]побудинковий звіт'!BB244</f>
        <v>1524.8322313410599</v>
      </c>
      <c r="BC244" s="41">
        <f>'[2]побудинковий звіт'!BC244+'[1]побудинковий звіт'!BC244</f>
        <v>0</v>
      </c>
      <c r="BD244" s="58">
        <f t="shared" si="203"/>
        <v>-1524.8322313410599</v>
      </c>
      <c r="BE244" s="41">
        <f>'[2]побудинковий звіт'!BE244+'[1]побудинковий звіт'!BE244</f>
        <v>0</v>
      </c>
      <c r="BF244" s="41">
        <f>'[2]побудинковий звіт'!BF244+'[1]побудинковий звіт'!BF244</f>
        <v>0</v>
      </c>
      <c r="BG244" s="38">
        <f t="shared" si="204"/>
        <v>0</v>
      </c>
      <c r="BH244" s="41">
        <f>'[2]побудинковий звіт'!BH244+'[1]побудинковий звіт'!BH244</f>
        <v>132.32770556571961</v>
      </c>
      <c r="BI244" s="41">
        <f>'[2]побудинковий звіт'!BI244+'[1]побудинковий звіт'!BI244</f>
        <v>0</v>
      </c>
      <c r="BJ244" s="58">
        <f t="shared" si="205"/>
        <v>-132.32770556571961</v>
      </c>
      <c r="BK244" s="41">
        <f>'[2]побудинковий звіт'!BK244+'[1]побудинковий звіт'!BK244</f>
        <v>1801.7591955211901</v>
      </c>
      <c r="BL244" s="41">
        <f>'[2]побудинковий звіт'!BL244+'[1]побудинковий звіт'!BL244</f>
        <v>0</v>
      </c>
      <c r="BM244" s="38">
        <f t="shared" si="206"/>
        <v>-1801.7591955211901</v>
      </c>
      <c r="BN244" s="41">
        <f>'[2]побудинковий звіт'!BN244+'[1]побудинковий звіт'!BN244</f>
        <v>27.982814826598393</v>
      </c>
      <c r="BO244" s="41">
        <f>'[2]побудинковий звіт'!BO244+'[1]побудинковий звіт'!BO244</f>
        <v>5519.8044332453574</v>
      </c>
      <c r="BP244" s="58">
        <f t="shared" si="207"/>
        <v>5491.8216184187586</v>
      </c>
      <c r="BQ244" s="84">
        <f t="shared" si="208"/>
        <v>8245.0970628766318</v>
      </c>
      <c r="BR244" s="42">
        <f t="shared" si="209"/>
        <v>5519.8044332453574</v>
      </c>
      <c r="BS244" s="58">
        <f t="shared" si="210"/>
        <v>-2725.2926296312744</v>
      </c>
      <c r="BT244" s="41">
        <f>'[2]побудинковий звіт'!BT244+'[1]побудинковий звіт'!BT244</f>
        <v>16223.533474304757</v>
      </c>
      <c r="BU244" s="41">
        <f>'[2]побудинковий звіт'!BU244+'[1]побудинковий звіт'!BU244</f>
        <v>27278.080850196773</v>
      </c>
      <c r="BV244" s="55">
        <f t="shared" si="211"/>
        <v>11054.547375892016</v>
      </c>
      <c r="BW244" s="41">
        <f>'[2]побудинковий звіт'!BW244+'[1]побудинковий звіт'!BW244</f>
        <v>17792.69529436934</v>
      </c>
      <c r="BX244" s="41">
        <f>'[2]побудинковий звіт'!BX244+'[1]побудинковий звіт'!BX244</f>
        <v>20622.790898849176</v>
      </c>
      <c r="BY244" s="55">
        <f t="shared" si="212"/>
        <v>2830.0956044798368</v>
      </c>
      <c r="BZ244" s="41">
        <f>'[2]побудинковий звіт'!BZ244+'[1]побудинковий звіт'!BZ244</f>
        <v>4903.5640149160272</v>
      </c>
      <c r="CA244" s="41">
        <f>'[2]побудинковий звіт'!CA244+'[1]побудинковий звіт'!CA244</f>
        <v>2753.3860741532494</v>
      </c>
      <c r="CB244" s="55">
        <f t="shared" si="213"/>
        <v>-2150.1779407627778</v>
      </c>
      <c r="CC244" s="41">
        <f>'[2]побудинковий звіт'!CC244+'[1]побудинковий звіт'!CC244</f>
        <v>898.41924108171781</v>
      </c>
      <c r="CD244" s="41">
        <f>'[2]побудинковий звіт'!CD244+'[1]побудинковий звіт'!CD244</f>
        <v>901.46568051524696</v>
      </c>
      <c r="CE244" s="55">
        <f t="shared" si="214"/>
        <v>3.0464394335291445</v>
      </c>
      <c r="CF244" s="41">
        <f>'[2]побудинковий звіт'!CF244+'[1]побудинковий звіт'!CF244</f>
        <v>111.30936870537978</v>
      </c>
      <c r="CG244" s="41">
        <f>'[2]побудинковий звіт'!CG244+'[1]побудинковий звіт'!CG244</f>
        <v>0</v>
      </c>
      <c r="CH244" s="55">
        <f t="shared" si="215"/>
        <v>-111.30936870537978</v>
      </c>
      <c r="CI244" s="41">
        <f>'[2]побудинковий звіт'!CI244+'[1]побудинковий звіт'!CI244</f>
        <v>4660.3465056080704</v>
      </c>
      <c r="CJ244" s="41">
        <f>'[2]побудинковий звіт'!CJ244+'[1]побудинковий звіт'!CJ244</f>
        <v>2237.5491653425006</v>
      </c>
      <c r="CK244" s="55">
        <f t="shared" si="216"/>
        <v>-2422.7973402655698</v>
      </c>
      <c r="CL244" s="41">
        <f>'[2]побудинковий звіт'!CL244+'[1]побудинковий звіт'!CL244</f>
        <v>0</v>
      </c>
      <c r="CM244" s="41">
        <f>'[2]побудинковий звіт'!CM244+'[1]побудинковий звіт'!CM244</f>
        <v>0</v>
      </c>
      <c r="CN244" s="55">
        <f t="shared" si="217"/>
        <v>0</v>
      </c>
      <c r="CO244" s="41">
        <f t="shared" si="218"/>
        <v>4660.3465056080704</v>
      </c>
      <c r="CP244" s="42">
        <f t="shared" si="219"/>
        <v>2237.5491653425006</v>
      </c>
      <c r="CQ244" s="55">
        <f t="shared" si="220"/>
        <v>-2422.7973402655698</v>
      </c>
      <c r="CR244" s="76">
        <f t="shared" si="221"/>
        <v>137884.94080627614</v>
      </c>
      <c r="CS244" s="5">
        <f t="shared" si="222"/>
        <v>162870.88594660923</v>
      </c>
      <c r="CT244" s="55">
        <f t="shared" si="223"/>
        <v>24985.94514033309</v>
      </c>
      <c r="CU244" s="84">
        <f t="shared" si="224"/>
        <v>165461.92896753136</v>
      </c>
      <c r="CV244" s="68">
        <f t="shared" si="225"/>
        <v>195445.06313593106</v>
      </c>
      <c r="CW244" s="36">
        <f t="shared" si="226"/>
        <v>29983.134168399702</v>
      </c>
      <c r="CX244" s="41">
        <f>'[2]побудинковий звіт'!CX244+'[1]побудинковий звіт'!CX244</f>
        <v>4732.1599578793548</v>
      </c>
      <c r="CY244" s="41">
        <f>'[2]побудинковий звіт'!CY244+'[1]побудинковий звіт'!CY244</f>
        <v>-25250.974210520406</v>
      </c>
      <c r="CZ244" s="55">
        <f t="shared" si="227"/>
        <v>-29983.13416839976</v>
      </c>
      <c r="DA244" s="254">
        <f>'[1]побудинковий звіт'!DA244</f>
        <v>-5524.627931625073</v>
      </c>
      <c r="DB244" s="2">
        <v>2</v>
      </c>
      <c r="DC244" s="702">
        <f>'[1]побудинковий звіт'!DC244</f>
        <v>33267.910000000003</v>
      </c>
      <c r="DD244" s="702">
        <f>'[1]побудинковий звіт'!DD244</f>
        <v>5782.6799999999994</v>
      </c>
      <c r="DE244" s="702">
        <f>'[1]побудинковий звіт'!DE244</f>
        <v>17845.500000000004</v>
      </c>
      <c r="DF244" s="702">
        <f>'[1]побудинковий звіт'!DF244</f>
        <v>2477.92</v>
      </c>
      <c r="DG244" s="772">
        <v>57564.449338877632</v>
      </c>
      <c r="DH244" s="746">
        <f t="shared" si="239"/>
        <v>2042329.0671049287</v>
      </c>
      <c r="DI244" s="769"/>
      <c r="DJ244" s="5"/>
      <c r="DK244" s="307">
        <f>VLOOKUP($A244,ціни!$A$4:$G$401,5)</f>
        <v>5.4584264701558043</v>
      </c>
      <c r="DL244" s="307"/>
      <c r="DM244" s="307">
        <f>VLOOKUP($A244,ціни!$A$4:$G$401,7)</f>
        <v>4.6143457503492114</v>
      </c>
      <c r="DN244" s="29">
        <f t="shared" si="249"/>
        <v>10987.812484423634</v>
      </c>
      <c r="DO244" s="29">
        <f t="shared" si="250"/>
        <v>2358.853547578517</v>
      </c>
      <c r="DP244" s="306">
        <f t="shared" si="240"/>
        <v>13346.666032002151</v>
      </c>
      <c r="DQ244" s="101"/>
      <c r="DR244" s="29">
        <f>VLOOKUP(A244,'ДЗ нас '!$A$1:$C$359,2)</f>
        <v>10987.77</v>
      </c>
      <c r="DS244" s="733">
        <f>VLOOKUP(A244,'ДЗ нежит'!$A$1:$D$153,4,0)</f>
        <v>2358.94</v>
      </c>
      <c r="DT244" s="29">
        <f t="shared" si="241"/>
        <v>13346.710000000001</v>
      </c>
      <c r="DU244" s="247">
        <f>VLOOKUP(A244,'новий кошторис с 01.06'!$A$4:$AI$399,35)*1.2</f>
        <v>13183.53226783434</v>
      </c>
      <c r="DV244" s="29">
        <f t="shared" si="242"/>
        <v>163.17773216566093</v>
      </c>
      <c r="DW244" s="1016">
        <f>'[2]побудинковий звіт'!$DW$9+'[1]побудинковий звіт'!DW244</f>
        <v>918</v>
      </c>
      <c r="DX244" s="101">
        <f>'[1]побудинковий звіт'!DX244</f>
        <v>0</v>
      </c>
      <c r="DY244" s="5">
        <f t="shared" si="243"/>
        <v>63023.514483663217</v>
      </c>
      <c r="DZ244" s="5">
        <f t="shared" si="244"/>
        <v>81085.570139648873</v>
      </c>
      <c r="EA244" s="737">
        <f t="shared" si="245"/>
        <v>20323.420000000006</v>
      </c>
      <c r="EC244" s="577">
        <f t="shared" si="246"/>
        <v>531293.9800821126</v>
      </c>
      <c r="EE244" s="743">
        <v>10060</v>
      </c>
      <c r="EF244" s="723">
        <f t="shared" si="247"/>
        <v>67624.449338877632</v>
      </c>
      <c r="EH244" s="798">
        <v>11209.117421579576</v>
      </c>
      <c r="EI244" s="101">
        <f>VLOOKUP(A244,'кошти 01.01.24'!$A$9:$D$352,4,FALSE)</f>
        <v>-35507.762100024825</v>
      </c>
    </row>
    <row r="245" spans="1:139" hidden="1" x14ac:dyDescent="0.3">
      <c r="A245" s="318">
        <v>150001047</v>
      </c>
      <c r="B245" s="43" t="s">
        <v>673</v>
      </c>
      <c r="C245" s="44" t="s">
        <v>179</v>
      </c>
      <c r="D245" s="44" t="s">
        <v>179</v>
      </c>
      <c r="E245" s="39">
        <f t="shared" si="185"/>
        <v>775.96</v>
      </c>
      <c r="F245" s="205">
        <f>'[1]побудинковий звіт'!F245</f>
        <v>648.26</v>
      </c>
      <c r="G245" s="29">
        <f>'[1]побудинковий звіт'!G245</f>
        <v>0</v>
      </c>
      <c r="H245" s="148">
        <f>'[1]побудинковий звіт'!H245</f>
        <v>127.7</v>
      </c>
      <c r="I245" s="41">
        <f>'[2]побудинковий звіт'!I245+'[1]побудинковий звіт'!I245</f>
        <v>2593.0473434078667</v>
      </c>
      <c r="J245" s="41">
        <f>'[2]побудинковий звіт'!J245+'[1]побудинковий звіт'!J245</f>
        <v>2642.414129757587</v>
      </c>
      <c r="K245" s="55">
        <f t="shared" si="186"/>
        <v>49.366786349720314</v>
      </c>
      <c r="L245" s="41">
        <f>'[2]побудинковий звіт'!L245+'[1]побудинковий звіт'!L245</f>
        <v>441.68333557871568</v>
      </c>
      <c r="M245" s="41">
        <f>'[2]побудинковий звіт'!M245+'[1]побудинковий звіт'!M245</f>
        <v>462.65795396600231</v>
      </c>
      <c r="N245" s="55">
        <f t="shared" si="187"/>
        <v>20.974618387286625</v>
      </c>
      <c r="O245" s="41">
        <f>'[2]побудинковий звіт'!O245+'[1]побудинковий звіт'!O245</f>
        <v>1194.045314786373</v>
      </c>
      <c r="P245" s="41">
        <f>'[2]побудинковий звіт'!P245+'[1]побудинковий звіт'!P245</f>
        <v>1197.3233138102171</v>
      </c>
      <c r="Q245" s="55">
        <f t="shared" si="188"/>
        <v>3.2779990238441314</v>
      </c>
      <c r="R245" s="41">
        <f>'[2]побудинковий звіт'!R245+'[1]побудинковий звіт'!R245</f>
        <v>0</v>
      </c>
      <c r="S245" s="41">
        <f>'[2]побудинковий звіт'!S245+'[1]побудинковий звіт'!S245</f>
        <v>0</v>
      </c>
      <c r="T245" s="55">
        <f t="shared" si="189"/>
        <v>0</v>
      </c>
      <c r="U245" s="41">
        <f>'[2]побудинковий звіт'!U245+'[1]побудинковий звіт'!U245</f>
        <v>0</v>
      </c>
      <c r="V245" s="41">
        <f>'[2]побудинковий звіт'!V245+'[1]побудинковий звіт'!V245</f>
        <v>0</v>
      </c>
      <c r="W245" s="55">
        <f t="shared" si="190"/>
        <v>0</v>
      </c>
      <c r="X245" s="41">
        <f>'[2]побудинковий звіт'!X245+'[1]побудинковий звіт'!X245</f>
        <v>1149.683531260469</v>
      </c>
      <c r="Y245" s="41">
        <f>'[2]побудинковий звіт'!Y245+'[1]побудинковий звіт'!Y245</f>
        <v>1394.2459300673677</v>
      </c>
      <c r="Z245" s="55">
        <f t="shared" si="191"/>
        <v>244.56239880689873</v>
      </c>
      <c r="AA245" s="41">
        <f>'[2]побудинковий звіт'!AA245+'[1]побудинковий звіт'!AA245</f>
        <v>0</v>
      </c>
      <c r="AB245" s="41">
        <f>'[2]побудинковий звіт'!AB245+'[1]побудинковий звіт'!AB245</f>
        <v>0</v>
      </c>
      <c r="AC245" s="55">
        <f t="shared" si="192"/>
        <v>0</v>
      </c>
      <c r="AD245" s="41">
        <f>'[2]побудинковий звіт'!AD245+'[1]побудинковий звіт'!AD245</f>
        <v>3318.2561996861195</v>
      </c>
      <c r="AE245" s="41">
        <f>'[2]побудинковий звіт'!AE245+'[1]побудинковий звіт'!AE245</f>
        <v>3820.9246848936154</v>
      </c>
      <c r="AF245" s="36">
        <f t="shared" si="193"/>
        <v>502.66848520749591</v>
      </c>
      <c r="AG245" s="84">
        <f t="shared" si="194"/>
        <v>8696.7157247195428</v>
      </c>
      <c r="AH245" s="56">
        <f t="shared" si="195"/>
        <v>9517.5660124947899</v>
      </c>
      <c r="AI245" s="55">
        <f t="shared" si="196"/>
        <v>820.85028777524712</v>
      </c>
      <c r="AJ245" s="41">
        <f>'[2]побудинковий звіт'!AJ245+'[1]побудинковий звіт'!AJ245</f>
        <v>0</v>
      </c>
      <c r="AK245" s="41">
        <f>'[2]побудинковий звіт'!AK245+'[1]побудинковий звіт'!AK245</f>
        <v>0</v>
      </c>
      <c r="AL245" s="55">
        <f t="shared" si="197"/>
        <v>0</v>
      </c>
      <c r="AM245" s="41">
        <f>'[2]побудинковий звіт'!AM245+'[1]побудинковий звіт'!AM245</f>
        <v>0</v>
      </c>
      <c r="AN245" s="41">
        <f>'[2]побудинковий звіт'!AN245+'[1]побудинковий звіт'!AN245</f>
        <v>0</v>
      </c>
      <c r="AO245" s="55">
        <f t="shared" si="198"/>
        <v>0</v>
      </c>
      <c r="AP245" s="41">
        <f>'[2]побудинковий звіт'!AP245+'[1]побудинковий звіт'!AP245</f>
        <v>49.529897145260207</v>
      </c>
      <c r="AQ245" s="41">
        <f>'[2]побудинковий звіт'!AQ245+'[1]побудинковий звіт'!AQ245</f>
        <v>21.25</v>
      </c>
      <c r="AR245" s="55">
        <f t="shared" si="199"/>
        <v>-28.279897145260207</v>
      </c>
      <c r="AS245" s="41">
        <f>'[2]побудинковий звіт'!AS245+'[1]побудинковий звіт'!AS245</f>
        <v>11001.15070170004</v>
      </c>
      <c r="AT245" s="41">
        <f>'[2]побудинковий звіт'!AT245+'[1]побудинковий звіт'!AT245</f>
        <v>0</v>
      </c>
      <c r="AU245" s="57">
        <f t="shared" si="200"/>
        <v>-11001.15070170004</v>
      </c>
      <c r="AV245" s="41">
        <f>'[2]побудинковий звіт'!AV245+'[1]побудинковий звіт'!AV245</f>
        <v>527.44810441651168</v>
      </c>
      <c r="AW245" s="41">
        <f>'[2]побудинковий звіт'!AW245+'[1]побудинковий звіт'!AW245</f>
        <v>0</v>
      </c>
      <c r="AX245" s="58">
        <f t="shared" si="201"/>
        <v>-527.44810441651168</v>
      </c>
      <c r="AY245" s="41">
        <f>'[2]побудинковий звіт'!AY245+'[1]побудинковий звіт'!AY245</f>
        <v>575.13524287552002</v>
      </c>
      <c r="AZ245" s="41">
        <f>'[2]побудинковий звіт'!AZ245+'[1]побудинковий звіт'!AZ245</f>
        <v>0</v>
      </c>
      <c r="BA245" s="36">
        <f t="shared" si="202"/>
        <v>-575.13524287552002</v>
      </c>
      <c r="BB245" s="41">
        <f>'[2]побудинковий звіт'!BB245+'[1]побудинковий звіт'!BB245</f>
        <v>515.00834271919291</v>
      </c>
      <c r="BC245" s="41">
        <f>'[2]побудинковий звіт'!BC245+'[1]побудинковий звіт'!BC245</f>
        <v>0</v>
      </c>
      <c r="BD245" s="58">
        <f t="shared" si="203"/>
        <v>-515.00834271919291</v>
      </c>
      <c r="BE245" s="41">
        <f>'[2]побудинковий звіт'!BE245+'[1]побудинковий звіт'!BE245</f>
        <v>0</v>
      </c>
      <c r="BF245" s="41">
        <f>'[2]побудинковий звіт'!BF245+'[1]побудинковий звіт'!BF245</f>
        <v>0</v>
      </c>
      <c r="BG245" s="38">
        <f t="shared" si="204"/>
        <v>0</v>
      </c>
      <c r="BH245" s="41">
        <f>'[2]побудинковий звіт'!BH245+'[1]побудинковий звіт'!BH245</f>
        <v>0</v>
      </c>
      <c r="BI245" s="41">
        <f>'[2]побудинковий звіт'!BI245+'[1]побудинковий звіт'!BI245</f>
        <v>0</v>
      </c>
      <c r="BJ245" s="58">
        <f t="shared" si="205"/>
        <v>0</v>
      </c>
      <c r="BK245" s="41">
        <f>'[2]побудинковий звіт'!BK245+'[1]побудинковий звіт'!BK245</f>
        <v>137.08180443759409</v>
      </c>
      <c r="BL245" s="41">
        <f>'[2]побудинковий звіт'!BL245+'[1]побудинковий звіт'!BL245</f>
        <v>0</v>
      </c>
      <c r="BM245" s="38">
        <f t="shared" si="206"/>
        <v>-137.08180443759409</v>
      </c>
      <c r="BN245" s="41">
        <f>'[2]побудинковий звіт'!BN245+'[1]побудинковий звіт'!BN245</f>
        <v>5.8977233042606496</v>
      </c>
      <c r="BO245" s="41">
        <f>'[2]побудинковий звіт'!BO245+'[1]побудинковий звіт'!BO245</f>
        <v>0</v>
      </c>
      <c r="BP245" s="58">
        <f t="shared" si="207"/>
        <v>-5.8977233042606496</v>
      </c>
      <c r="BQ245" s="84">
        <f t="shared" si="208"/>
        <v>1760.5712177530795</v>
      </c>
      <c r="BR245" s="42">
        <f t="shared" si="209"/>
        <v>0</v>
      </c>
      <c r="BS245" s="58">
        <f t="shared" si="210"/>
        <v>-1760.5712177530795</v>
      </c>
      <c r="BT245" s="41">
        <f>'[2]побудинковий звіт'!BT245+'[1]побудинковий звіт'!BT245</f>
        <v>4703.5115856204002</v>
      </c>
      <c r="BU245" s="41">
        <f>'[2]побудинковий звіт'!BU245+'[1]побудинковий звіт'!BU245</f>
        <v>7822.1282602609326</v>
      </c>
      <c r="BV245" s="55">
        <f t="shared" si="211"/>
        <v>3118.6166746405324</v>
      </c>
      <c r="BW245" s="41">
        <f>'[2]побудинковий звіт'!BW245+'[1]побудинковий звіт'!BW245</f>
        <v>296.81322457793715</v>
      </c>
      <c r="BX245" s="41">
        <f>'[2]побудинковий звіт'!BX245+'[1]побудинковий звіт'!BX245</f>
        <v>531.83293689396396</v>
      </c>
      <c r="BY245" s="55">
        <f t="shared" si="212"/>
        <v>235.01971231602681</v>
      </c>
      <c r="BZ245" s="41">
        <f>'[2]побудинковий звіт'!BZ245+'[1]побудинковий звіт'!BZ245</f>
        <v>2232.4877526500964</v>
      </c>
      <c r="CA245" s="41">
        <f>'[2]побудинковий звіт'!CA245+'[1]побудинковий звіт'!CA245</f>
        <v>1182.9876239105254</v>
      </c>
      <c r="CB245" s="55">
        <f t="shared" si="213"/>
        <v>-1049.500128739571</v>
      </c>
      <c r="CC245" s="41">
        <f>'[2]побудинковий звіт'!CC245+'[1]побудинковий звіт'!CC245</f>
        <v>0</v>
      </c>
      <c r="CD245" s="41">
        <f>'[2]побудинковий звіт'!CD245+'[1]побудинковий звіт'!CD245</f>
        <v>0</v>
      </c>
      <c r="CE245" s="55">
        <f t="shared" si="214"/>
        <v>0</v>
      </c>
      <c r="CF245" s="41">
        <f>'[2]побудинковий звіт'!CF245+'[1]побудинковий звіт'!CF245</f>
        <v>0</v>
      </c>
      <c r="CG245" s="41">
        <f>'[2]побудинковий звіт'!CG245+'[1]побудинковий звіт'!CG245</f>
        <v>0</v>
      </c>
      <c r="CH245" s="55">
        <f t="shared" si="215"/>
        <v>0</v>
      </c>
      <c r="CI245" s="41">
        <f>'[2]побудинковий звіт'!CI245+'[1]побудинковий звіт'!CI245</f>
        <v>6871.071282382306</v>
      </c>
      <c r="CJ245" s="41">
        <f>'[2]побудинковий звіт'!CJ245+'[1]побудинковий звіт'!CJ245</f>
        <v>1077.710687406505</v>
      </c>
      <c r="CK245" s="55">
        <f t="shared" si="216"/>
        <v>-5793.3605949758012</v>
      </c>
      <c r="CL245" s="41">
        <f>'[2]побудинковий звіт'!CL245+'[1]побудинковий звіт'!CL245</f>
        <v>0</v>
      </c>
      <c r="CM245" s="41">
        <f>'[2]побудинковий звіт'!CM245+'[1]побудинковий звіт'!CM245</f>
        <v>0</v>
      </c>
      <c r="CN245" s="55">
        <f t="shared" si="217"/>
        <v>0</v>
      </c>
      <c r="CO245" s="41">
        <f t="shared" si="218"/>
        <v>6871.071282382306</v>
      </c>
      <c r="CP245" s="42">
        <f t="shared" si="219"/>
        <v>1077.710687406505</v>
      </c>
      <c r="CQ245" s="55">
        <f t="shared" si="220"/>
        <v>-5793.3605949758012</v>
      </c>
      <c r="CR245" s="76">
        <f t="shared" si="221"/>
        <v>35611.85138654866</v>
      </c>
      <c r="CS245" s="5">
        <f t="shared" si="222"/>
        <v>20153.475520966716</v>
      </c>
      <c r="CT245" s="55">
        <f t="shared" si="223"/>
        <v>-15458.375865581944</v>
      </c>
      <c r="CU245" s="84">
        <f t="shared" si="224"/>
        <v>42734.221663858392</v>
      </c>
      <c r="CV245" s="68">
        <f t="shared" si="225"/>
        <v>24184.170625160059</v>
      </c>
      <c r="CW245" s="36">
        <f t="shared" si="226"/>
        <v>-18550.051038698333</v>
      </c>
      <c r="CX245" s="41">
        <f>'[2]побудинковий звіт'!CX245+'[1]побудинковий звіт'!CX245</f>
        <v>6997.8573668083282</v>
      </c>
      <c r="CY245" s="41">
        <f>'[2]побудинковий звіт'!CY245+'[1]побудинковий звіт'!CY245</f>
        <v>25547.908405506674</v>
      </c>
      <c r="CZ245" s="55">
        <f t="shared" si="227"/>
        <v>18550.051038698344</v>
      </c>
      <c r="DA245" s="254">
        <f>'[1]побудинковий звіт'!DA245</f>
        <v>80449.517283981113</v>
      </c>
      <c r="DB245" s="2">
        <v>2</v>
      </c>
      <c r="DC245" s="702">
        <f>'[1]побудинковий звіт'!DC245</f>
        <v>16215.2</v>
      </c>
      <c r="DD245" s="702">
        <f>'[1]побудинковий звіт'!DD245</f>
        <v>0.06</v>
      </c>
      <c r="DE245" s="702">
        <f>'[1]побудинковий звіт'!DE245</f>
        <v>11288.720000000001</v>
      </c>
      <c r="DF245" s="702">
        <f>'[1]побудинковий звіт'!DF245</f>
        <v>-782.38000000000011</v>
      </c>
      <c r="DG245" s="772">
        <v>-19750.407900704929</v>
      </c>
      <c r="DH245" s="746">
        <f t="shared" si="239"/>
        <v>596784.94836800057</v>
      </c>
      <c r="DI245" s="769"/>
      <c r="DJ245" s="5"/>
      <c r="DK245" s="307">
        <f>VLOOKUP($A245,ціни!$A$4:$G$401,5)</f>
        <v>4.4604448610865148</v>
      </c>
      <c r="DL245" s="307"/>
      <c r="DM245" s="307">
        <f>VLOOKUP($A245,ціни!$A$4:$G$401,7)</f>
        <v>4.4276807929863091</v>
      </c>
      <c r="DN245" s="29">
        <f t="shared" si="249"/>
        <v>2891.5279856479442</v>
      </c>
      <c r="DO245" s="29">
        <f t="shared" si="250"/>
        <v>565.41483726435172</v>
      </c>
      <c r="DP245" s="306">
        <f t="shared" si="240"/>
        <v>3456.9428229122959</v>
      </c>
      <c r="DQ245" s="101"/>
      <c r="DR245" s="29">
        <f>VLOOKUP(A245,'ДЗ нас '!$A$1:$C$359,2)</f>
        <v>3741.56</v>
      </c>
      <c r="DS245" s="733">
        <f>VLOOKUP(A245,'ДЗ нежит'!$A$1:$D$153,4,0)</f>
        <v>565.41999999999996</v>
      </c>
      <c r="DT245" s="29">
        <f t="shared" si="241"/>
        <v>4306.9799999999996</v>
      </c>
      <c r="DU245" s="247">
        <f>VLOOKUP(A245,'новий кошторис с 01.06'!$A$4:$AI$399,35)*1.2</f>
        <v>3405.0172561038385</v>
      </c>
      <c r="DV245" s="29">
        <f t="shared" si="242"/>
        <v>901.9627438961611</v>
      </c>
      <c r="DW245" s="1016">
        <f>'[2]побудинковий звіт'!$DW$9+'[1]побудинковий звіт'!DW245</f>
        <v>0</v>
      </c>
      <c r="DX245" s="101">
        <f>'[1]побудинковий звіт'!DX245</f>
        <v>0</v>
      </c>
      <c r="DY245" s="5">
        <f t="shared" si="243"/>
        <v>15314.066303343745</v>
      </c>
      <c r="DZ245" s="5">
        <f t="shared" si="244"/>
        <v>0</v>
      </c>
      <c r="EA245" s="737">
        <f t="shared" si="245"/>
        <v>10506.34</v>
      </c>
      <c r="EC245" s="577">
        <f t="shared" si="246"/>
        <v>132013.80842040048</v>
      </c>
      <c r="EE245" s="743">
        <v>30691</v>
      </c>
      <c r="EF245" s="723">
        <f t="shared" si="247"/>
        <v>10940.592099295071</v>
      </c>
      <c r="EH245" s="798">
        <v>113641.24063212595</v>
      </c>
      <c r="EI245" s="101">
        <f>VLOOKUP(A245,'кошти 01.01.24'!$A$9:$D$352,4,FALSE)</f>
        <v>98999.568322679435</v>
      </c>
    </row>
    <row r="246" spans="1:139" hidden="1" x14ac:dyDescent="0.3">
      <c r="A246" s="318">
        <v>150001048</v>
      </c>
      <c r="B246" s="43" t="s">
        <v>674</v>
      </c>
      <c r="C246" s="44" t="s">
        <v>125</v>
      </c>
      <c r="D246" s="44" t="s">
        <v>125</v>
      </c>
      <c r="E246" s="39">
        <f t="shared" si="185"/>
        <v>63</v>
      </c>
      <c r="F246" s="205">
        <f>'[1]побудинковий звіт'!F246</f>
        <v>63</v>
      </c>
      <c r="G246" s="29">
        <f>'[1]побудинковий звіт'!G246</f>
        <v>0</v>
      </c>
      <c r="H246" s="148">
        <f>'[1]побудинковий звіт'!H246</f>
        <v>0</v>
      </c>
      <c r="I246" s="41">
        <f>'[2]побудинковий звіт'!I246+'[1]побудинковий звіт'!I246</f>
        <v>0</v>
      </c>
      <c r="J246" s="41">
        <f>'[2]побудинковий звіт'!J246+'[1]побудинковий звіт'!J246</f>
        <v>0</v>
      </c>
      <c r="K246" s="55">
        <f t="shared" si="186"/>
        <v>0</v>
      </c>
      <c r="L246" s="41">
        <f>'[2]побудинковий звіт'!L246+'[1]побудинковий звіт'!L246</f>
        <v>0</v>
      </c>
      <c r="M246" s="41">
        <f>'[2]побудинковий звіт'!M246+'[1]побудинковий звіт'!M246</f>
        <v>0</v>
      </c>
      <c r="N246" s="55">
        <f t="shared" si="187"/>
        <v>0</v>
      </c>
      <c r="O246" s="41">
        <f>'[2]побудинковий звіт'!O246+'[1]побудинковий звіт'!O246</f>
        <v>0</v>
      </c>
      <c r="P246" s="41">
        <f>'[2]побудинковий звіт'!P246+'[1]побудинковий звіт'!P246</f>
        <v>0</v>
      </c>
      <c r="Q246" s="55">
        <f t="shared" si="188"/>
        <v>0</v>
      </c>
      <c r="R246" s="41">
        <f>'[2]побудинковий звіт'!R246+'[1]побудинковий звіт'!R246</f>
        <v>0</v>
      </c>
      <c r="S246" s="41">
        <f>'[2]побудинковий звіт'!S246+'[1]побудинковий звіт'!S246</f>
        <v>0</v>
      </c>
      <c r="T246" s="55">
        <f t="shared" si="189"/>
        <v>0</v>
      </c>
      <c r="U246" s="41">
        <f>'[2]побудинковий звіт'!U246+'[1]побудинковий звіт'!U246</f>
        <v>0</v>
      </c>
      <c r="V246" s="41">
        <f>'[2]побудинковий звіт'!V246+'[1]побудинковий звіт'!V246</f>
        <v>0</v>
      </c>
      <c r="W246" s="55">
        <f t="shared" si="190"/>
        <v>0</v>
      </c>
      <c r="X246" s="41">
        <f>'[2]побудинковий звіт'!X246+'[1]побудинковий звіт'!X246</f>
        <v>0</v>
      </c>
      <c r="Y246" s="41">
        <f>'[2]побудинковий звіт'!Y246+'[1]побудинковий звіт'!Y246</f>
        <v>0</v>
      </c>
      <c r="Z246" s="55">
        <f t="shared" si="191"/>
        <v>0</v>
      </c>
      <c r="AA246" s="41">
        <f>'[2]побудинковий звіт'!AA246+'[1]побудинковий звіт'!AA246</f>
        <v>0</v>
      </c>
      <c r="AB246" s="41">
        <f>'[2]побудинковий звіт'!AB246+'[1]побудинковий звіт'!AB246</f>
        <v>0</v>
      </c>
      <c r="AC246" s="55">
        <f t="shared" si="192"/>
        <v>0</v>
      </c>
      <c r="AD246" s="41">
        <f>'[2]побудинковий звіт'!AD246+'[1]побудинковий звіт'!AD246</f>
        <v>0</v>
      </c>
      <c r="AE246" s="41">
        <f>'[2]побудинковий звіт'!AE246+'[1]побудинковий звіт'!AE246</f>
        <v>0</v>
      </c>
      <c r="AF246" s="36">
        <f t="shared" si="193"/>
        <v>0</v>
      </c>
      <c r="AG246" s="84">
        <f t="shared" si="194"/>
        <v>0</v>
      </c>
      <c r="AH246" s="56">
        <f t="shared" si="195"/>
        <v>0</v>
      </c>
      <c r="AI246" s="55">
        <f t="shared" si="196"/>
        <v>0</v>
      </c>
      <c r="AJ246" s="41">
        <f>'[2]побудинковий звіт'!AJ246+'[1]побудинковий звіт'!AJ246</f>
        <v>0</v>
      </c>
      <c r="AK246" s="41">
        <f>'[2]побудинковий звіт'!AK246+'[1]побудинковий звіт'!AK246</f>
        <v>0</v>
      </c>
      <c r="AL246" s="55">
        <f t="shared" si="197"/>
        <v>0</v>
      </c>
      <c r="AM246" s="41">
        <f>'[2]побудинковий звіт'!AM246+'[1]побудинковий звіт'!AM246</f>
        <v>0</v>
      </c>
      <c r="AN246" s="41">
        <f>'[2]побудинковий звіт'!AN246+'[1]побудинковий звіт'!AN246</f>
        <v>0</v>
      </c>
      <c r="AO246" s="55">
        <f t="shared" si="198"/>
        <v>0</v>
      </c>
      <c r="AP246" s="41">
        <f>'[2]побудинковий звіт'!AP246+'[1]побудинковий звіт'!AP246</f>
        <v>297.17938287156119</v>
      </c>
      <c r="AQ246" s="41">
        <f>'[2]побудинковий звіт'!AQ246+'[1]побудинковий звіт'!AQ246</f>
        <v>140.47538423161123</v>
      </c>
      <c r="AR246" s="55">
        <f t="shared" si="199"/>
        <v>-156.70399863994996</v>
      </c>
      <c r="AS246" s="41">
        <f>'[2]побудинковий звіт'!AS246+'[1]побудинковий звіт'!AS246</f>
        <v>1190.8991148965283</v>
      </c>
      <c r="AT246" s="41">
        <f>'[2]побудинковий звіт'!AT246+'[1]побудинковий звіт'!AT246</f>
        <v>0</v>
      </c>
      <c r="AU246" s="57">
        <f t="shared" si="200"/>
        <v>-1190.8991148965283</v>
      </c>
      <c r="AV246" s="41">
        <f>'[2]побудинковий звіт'!AV246+'[1]побудинковий звіт'!AV246</f>
        <v>0</v>
      </c>
      <c r="AW246" s="41">
        <f>'[2]побудинковий звіт'!AW246+'[1]побудинковий звіт'!AW246</f>
        <v>0</v>
      </c>
      <c r="AX246" s="58">
        <f t="shared" si="201"/>
        <v>0</v>
      </c>
      <c r="AY246" s="41">
        <f>'[2]побудинковий звіт'!AY246+'[1]побудинковий звіт'!AY246</f>
        <v>0</v>
      </c>
      <c r="AZ246" s="41">
        <f>'[2]побудинковий звіт'!AZ246+'[1]побудинковий звіт'!AZ246</f>
        <v>0</v>
      </c>
      <c r="BA246" s="36">
        <f t="shared" si="202"/>
        <v>0</v>
      </c>
      <c r="BB246" s="41">
        <f>'[2]побудинковий звіт'!BB246+'[1]побудинковий звіт'!BB246</f>
        <v>0</v>
      </c>
      <c r="BC246" s="41">
        <f>'[2]побудинковий звіт'!BC246+'[1]побудинковий звіт'!BC246</f>
        <v>0</v>
      </c>
      <c r="BD246" s="58">
        <f t="shared" si="203"/>
        <v>0</v>
      </c>
      <c r="BE246" s="41">
        <f>'[2]побудинковий звіт'!BE246+'[1]побудинковий звіт'!BE246</f>
        <v>0</v>
      </c>
      <c r="BF246" s="41">
        <f>'[2]побудинковий звіт'!BF246+'[1]побудинковий звіт'!BF246</f>
        <v>0</v>
      </c>
      <c r="BG246" s="38">
        <f t="shared" si="204"/>
        <v>0</v>
      </c>
      <c r="BH246" s="41">
        <f>'[2]побудинковий звіт'!BH246+'[1]побудинковий звіт'!BH246</f>
        <v>0</v>
      </c>
      <c r="BI246" s="41">
        <f>'[2]побудинковий звіт'!BI246+'[1]побудинковий звіт'!BI246</f>
        <v>0</v>
      </c>
      <c r="BJ246" s="58">
        <f t="shared" si="205"/>
        <v>0</v>
      </c>
      <c r="BK246" s="41">
        <f>'[2]побудинковий звіт'!BK246+'[1]побудинковий звіт'!BK246</f>
        <v>0</v>
      </c>
      <c r="BL246" s="41">
        <f>'[2]побудинковий звіт'!BL246+'[1]побудинковий звіт'!BL246</f>
        <v>0</v>
      </c>
      <c r="BM246" s="38">
        <f t="shared" si="206"/>
        <v>0</v>
      </c>
      <c r="BN246" s="41">
        <f>'[2]побудинковий звіт'!BN246+'[1]побудинковий звіт'!BN246</f>
        <v>0</v>
      </c>
      <c r="BO246" s="41">
        <f>'[2]побудинковий звіт'!BO246+'[1]побудинковий звіт'!BO246</f>
        <v>0</v>
      </c>
      <c r="BP246" s="58">
        <f t="shared" si="207"/>
        <v>0</v>
      </c>
      <c r="BQ246" s="84">
        <f t="shared" si="208"/>
        <v>0</v>
      </c>
      <c r="BR246" s="42">
        <f t="shared" si="209"/>
        <v>0</v>
      </c>
      <c r="BS246" s="58">
        <f t="shared" si="210"/>
        <v>0</v>
      </c>
      <c r="BT246" s="41">
        <f>'[2]побудинковий звіт'!BT246+'[1]побудинковий звіт'!BT246</f>
        <v>0</v>
      </c>
      <c r="BU246" s="41">
        <f>'[2]побудинковий звіт'!BU246+'[1]побудинковий звіт'!BU246</f>
        <v>0</v>
      </c>
      <c r="BV246" s="55">
        <f t="shared" si="211"/>
        <v>0</v>
      </c>
      <c r="BW246" s="41">
        <f>'[2]побудинковий звіт'!BW246+'[1]побудинковий звіт'!BW246</f>
        <v>0</v>
      </c>
      <c r="BX246" s="41">
        <f>'[2]побудинковий звіт'!BX246+'[1]побудинковий звіт'!BX246</f>
        <v>0.25642840791876897</v>
      </c>
      <c r="BY246" s="55">
        <f t="shared" si="212"/>
        <v>0.25642840791876897</v>
      </c>
      <c r="BZ246" s="41">
        <f>'[2]побудинковий звіт'!BZ246+'[1]побудинковий звіт'!BZ246</f>
        <v>0</v>
      </c>
      <c r="CA246" s="41">
        <f>'[2]побудинковий звіт'!CA246+'[1]побудинковий звіт'!CA246</f>
        <v>0</v>
      </c>
      <c r="CB246" s="55">
        <f t="shared" si="213"/>
        <v>0</v>
      </c>
      <c r="CC246" s="41">
        <f>'[2]побудинковий звіт'!CC246+'[1]побудинковий звіт'!CC246</f>
        <v>0</v>
      </c>
      <c r="CD246" s="41">
        <f>'[2]побудинковий звіт'!CD246+'[1]побудинковий звіт'!CD246</f>
        <v>0</v>
      </c>
      <c r="CE246" s="55">
        <f t="shared" si="214"/>
        <v>0</v>
      </c>
      <c r="CF246" s="41">
        <f>'[2]побудинковий звіт'!CF246+'[1]побудинковий звіт'!CF246</f>
        <v>0</v>
      </c>
      <c r="CG246" s="41">
        <f>'[2]побудинковий звіт'!CG246+'[1]побудинковий звіт'!CG246</f>
        <v>0</v>
      </c>
      <c r="CH246" s="55">
        <f t="shared" si="215"/>
        <v>0</v>
      </c>
      <c r="CI246" s="41">
        <f>'[2]побудинковий звіт'!CI246+'[1]побудинковий звіт'!CI246</f>
        <v>0</v>
      </c>
      <c r="CJ246" s="41">
        <f>'[2]побудинковий звіт'!CJ246+'[1]побудинковий звіт'!CJ246</f>
        <v>0</v>
      </c>
      <c r="CK246" s="55">
        <f t="shared" si="216"/>
        <v>0</v>
      </c>
      <c r="CL246" s="41">
        <f>'[2]побудинковий звіт'!CL246+'[1]побудинковий звіт'!CL246</f>
        <v>0</v>
      </c>
      <c r="CM246" s="41">
        <f>'[2]побудинковий звіт'!CM246+'[1]побудинковий звіт'!CM246</f>
        <v>0</v>
      </c>
      <c r="CN246" s="55">
        <f t="shared" si="217"/>
        <v>0</v>
      </c>
      <c r="CO246" s="41">
        <f t="shared" si="218"/>
        <v>0</v>
      </c>
      <c r="CP246" s="42">
        <f t="shared" si="219"/>
        <v>0</v>
      </c>
      <c r="CQ246" s="55">
        <f t="shared" si="220"/>
        <v>0</v>
      </c>
      <c r="CR246" s="76">
        <f t="shared" si="221"/>
        <v>1488.0784977680896</v>
      </c>
      <c r="CS246" s="5">
        <f t="shared" si="222"/>
        <v>140.73181263953001</v>
      </c>
      <c r="CT246" s="55">
        <f t="shared" si="223"/>
        <v>-1347.3466851285596</v>
      </c>
      <c r="CU246" s="84">
        <f t="shared" si="224"/>
        <v>1785.6941973217074</v>
      </c>
      <c r="CV246" s="68">
        <f t="shared" si="225"/>
        <v>168.87817516743601</v>
      </c>
      <c r="CW246" s="36">
        <f t="shared" si="226"/>
        <v>-1616.8160221542714</v>
      </c>
      <c r="CX246" s="41">
        <f>'[2]побудинковий звіт'!CX246+'[1]побудинковий звіт'!CX246</f>
        <v>17.701289013215476</v>
      </c>
      <c r="CY246" s="41">
        <f>'[2]побудинковий звіт'!CY246+'[1]побудинковий звіт'!CY246</f>
        <v>1634.5173111674867</v>
      </c>
      <c r="CZ246" s="55">
        <f t="shared" si="227"/>
        <v>1616.8160221542712</v>
      </c>
      <c r="DA246" s="254">
        <f>'[1]побудинковий звіт'!DA246</f>
        <v>-5722.7044696344474</v>
      </c>
      <c r="DB246" s="2">
        <v>2</v>
      </c>
      <c r="DC246" s="702">
        <f>'[1]побудинковий звіт'!DC246</f>
        <v>456.27</v>
      </c>
      <c r="DD246" s="702">
        <f>'[1]побудинковий звіт'!DD246</f>
        <v>0</v>
      </c>
      <c r="DE246" s="702">
        <f>'[1]побудинковий звіт'!DE246</f>
        <v>259.57</v>
      </c>
      <c r="DF246" s="702">
        <f>'[1]побудинковий звіт'!DF246</f>
        <v>0</v>
      </c>
      <c r="DG246" s="772">
        <v>-1974.5646149832055</v>
      </c>
      <c r="DH246" s="746">
        <f t="shared" ref="DH246:DH277" si="251">(CU246+CX246)*12</f>
        <v>21640.745836019076</v>
      </c>
      <c r="DI246" s="769"/>
      <c r="DJ246" s="5"/>
      <c r="DK246" s="307">
        <f>VLOOKUP($A246,ціни!$A$4:$G$401,5)</f>
        <v>2.2469760757547279</v>
      </c>
      <c r="DL246" s="307"/>
      <c r="DM246" s="307">
        <f>VLOOKUP($A246,ціни!$A$4:$G$401,7)</f>
        <v>2.2469760757547279</v>
      </c>
      <c r="DN246" s="29">
        <f t="shared" si="249"/>
        <v>141.55949277254786</v>
      </c>
      <c r="DO246" s="29">
        <f t="shared" si="250"/>
        <v>0</v>
      </c>
      <c r="DP246" s="306">
        <f t="shared" ref="DP246:DP277" si="252">DN246+DO246</f>
        <v>141.55949277254786</v>
      </c>
      <c r="DQ246" s="101"/>
      <c r="DR246" s="29">
        <f>VLOOKUP(A246,'ДЗ нас '!$A$1:$C$359,2)</f>
        <v>141.55000000000001</v>
      </c>
      <c r="DS246" s="733"/>
      <c r="DT246" s="29">
        <f t="shared" ref="DT246:DT277" si="253">DR246+DS246</f>
        <v>141.55000000000001</v>
      </c>
      <c r="DU246" s="247">
        <f>VLOOKUP(A246,'новий кошторис с 01.06'!$A$4:$AI$399,35)*1.2</f>
        <v>141.55949277254786</v>
      </c>
      <c r="DV246" s="29">
        <f t="shared" ref="DV246:DV277" si="254">DT246-DU246</f>
        <v>-9.4927725478441971E-3</v>
      </c>
      <c r="DW246" s="1016">
        <f>'[2]побудинковий звіт'!$DW$9+'[1]побудинковий звіт'!DW246</f>
        <v>0</v>
      </c>
      <c r="DX246" s="101">
        <f>'[1]побудинковий звіт'!DX246</f>
        <v>0</v>
      </c>
      <c r="DY246" s="5">
        <f t="shared" ref="DY246:DY277" si="255">(AS246+BQ246)*1.2</f>
        <v>1429.0789378758338</v>
      </c>
      <c r="DZ246" s="5">
        <f t="shared" ref="DZ246:DZ277" si="256">(AT246+BR246)*1.2</f>
        <v>0</v>
      </c>
      <c r="EA246" s="737">
        <f t="shared" ref="EA246:EA277" si="257">DE246+DF246</f>
        <v>259.57</v>
      </c>
      <c r="EC246" s="577">
        <f t="shared" ref="EC246:EC277" si="258">AS246*12</f>
        <v>14290.78937875834</v>
      </c>
      <c r="EE246" s="743">
        <v>-927</v>
      </c>
      <c r="EF246" s="723">
        <f t="shared" ref="EF246:EF277" si="259">EE246+DG246</f>
        <v>-2901.5646149832055</v>
      </c>
      <c r="EH246" s="798">
        <v>-2860.5982898089346</v>
      </c>
      <c r="EI246" s="101">
        <f>VLOOKUP(A246,'кошти 01.01.24'!$A$9:$D$352,4,FALSE)</f>
        <v>-4105.8884474801762</v>
      </c>
    </row>
    <row r="247" spans="1:139" hidden="1" x14ac:dyDescent="0.3">
      <c r="A247" s="318">
        <v>150001049</v>
      </c>
      <c r="B247" s="43" t="s">
        <v>675</v>
      </c>
      <c r="C247" s="44" t="s">
        <v>180</v>
      </c>
      <c r="D247" s="44" t="s">
        <v>180</v>
      </c>
      <c r="E247" s="39">
        <f t="shared" si="185"/>
        <v>253.7</v>
      </c>
      <c r="F247" s="205">
        <f>'[1]побудинковий звіт'!F247</f>
        <v>253.7</v>
      </c>
      <c r="G247" s="29">
        <f>'[1]побудинковий звіт'!G247</f>
        <v>0</v>
      </c>
      <c r="H247" s="148">
        <f>'[1]побудинковий звіт'!H247</f>
        <v>0</v>
      </c>
      <c r="I247" s="41">
        <f>'[2]побудинковий звіт'!I247+'[1]побудинковий звіт'!I247</f>
        <v>723.79823763623472</v>
      </c>
      <c r="J247" s="41">
        <f>'[2]побудинковий звіт'!J247+'[1]побудинковий звіт'!J247</f>
        <v>741.32840917306044</v>
      </c>
      <c r="K247" s="55">
        <f t="shared" si="186"/>
        <v>17.530171536825719</v>
      </c>
      <c r="L247" s="41">
        <f>'[2]побудинковий звіт'!L247+'[1]побудинковий звіт'!L247</f>
        <v>247.6906578585359</v>
      </c>
      <c r="M247" s="41">
        <f>'[2]побудинковий звіт'!M247+'[1]побудинковий звіт'!M247</f>
        <v>259.49719840187083</v>
      </c>
      <c r="N247" s="55">
        <f t="shared" si="187"/>
        <v>11.806540543334933</v>
      </c>
      <c r="O247" s="41">
        <f>'[2]побудинковий звіт'!O247+'[1]побудинковий звіт'!O247</f>
        <v>0</v>
      </c>
      <c r="P247" s="41">
        <f>'[2]побудинковий звіт'!P247+'[1]побудинковий звіт'!P247</f>
        <v>0</v>
      </c>
      <c r="Q247" s="55">
        <f t="shared" si="188"/>
        <v>0</v>
      </c>
      <c r="R247" s="41">
        <f>'[2]побудинковий звіт'!R247+'[1]побудинковий звіт'!R247</f>
        <v>0</v>
      </c>
      <c r="S247" s="41">
        <f>'[2]побудинковий звіт'!S247+'[1]побудинковий звіт'!S247</f>
        <v>0</v>
      </c>
      <c r="T247" s="55">
        <f t="shared" si="189"/>
        <v>0</v>
      </c>
      <c r="U247" s="41">
        <f>'[2]побудинковий звіт'!U247+'[1]побудинковий звіт'!U247</f>
        <v>0</v>
      </c>
      <c r="V247" s="41">
        <f>'[2]побудинковий звіт'!V247+'[1]побудинковий звіт'!V247</f>
        <v>0</v>
      </c>
      <c r="W247" s="55">
        <f t="shared" si="190"/>
        <v>0</v>
      </c>
      <c r="X247" s="41">
        <f>'[2]побудинковий звіт'!X247+'[1]побудинковий звіт'!X247</f>
        <v>431.70231497018585</v>
      </c>
      <c r="Y247" s="41">
        <f>'[2]побудинковий звіт'!Y247+'[1]побудинковий звіт'!Y247</f>
        <v>393.85649967572726</v>
      </c>
      <c r="Z247" s="55">
        <f t="shared" si="191"/>
        <v>-37.845815294458589</v>
      </c>
      <c r="AA247" s="41">
        <f>'[2]побудинковий звіт'!AA247+'[1]побудинковий звіт'!AA247</f>
        <v>0</v>
      </c>
      <c r="AB247" s="41">
        <f>'[2]побудинковий звіт'!AB247+'[1]побудинковий звіт'!AB247</f>
        <v>0</v>
      </c>
      <c r="AC247" s="55">
        <f t="shared" si="192"/>
        <v>0</v>
      </c>
      <c r="AD247" s="41">
        <f>'[2]побудинковий звіт'!AD247+'[1]побудинковий звіт'!AD247</f>
        <v>1100.3760960064358</v>
      </c>
      <c r="AE247" s="41">
        <f>'[2]побудинковий звіт'!AE247+'[1]побудинковий звіт'!AE247</f>
        <v>1096.096435884094</v>
      </c>
      <c r="AF247" s="36">
        <f t="shared" si="193"/>
        <v>-4.2796601223417383</v>
      </c>
      <c r="AG247" s="84">
        <f t="shared" si="194"/>
        <v>2503.5673064713919</v>
      </c>
      <c r="AH247" s="56">
        <f t="shared" si="195"/>
        <v>2490.7785431347529</v>
      </c>
      <c r="AI247" s="55">
        <f t="shared" si="196"/>
        <v>-12.788763336639022</v>
      </c>
      <c r="AJ247" s="41">
        <f>'[2]побудинковий звіт'!AJ247+'[1]побудинковий звіт'!AJ247</f>
        <v>0</v>
      </c>
      <c r="AK247" s="41">
        <f>'[2]побудинковий звіт'!AK247+'[1]побудинковий звіт'!AK247</f>
        <v>0</v>
      </c>
      <c r="AL247" s="55">
        <f t="shared" si="197"/>
        <v>0</v>
      </c>
      <c r="AM247" s="41">
        <f>'[2]побудинковий звіт'!AM247+'[1]побудинковий звіт'!AM247</f>
        <v>0</v>
      </c>
      <c r="AN247" s="41">
        <f>'[2]побудинковий звіт'!AN247+'[1]побудинковий звіт'!AN247</f>
        <v>0</v>
      </c>
      <c r="AO247" s="55">
        <f t="shared" si="198"/>
        <v>0</v>
      </c>
      <c r="AP247" s="41">
        <f>'[2]побудинковий звіт'!AP247+'[1]побудинковий звіт'!AP247</f>
        <v>396.23917716208166</v>
      </c>
      <c r="AQ247" s="41">
        <f>'[2]побудинковий звіт'!AQ247+'[1]побудинковий звіт'!AQ247</f>
        <v>375.84186815509452</v>
      </c>
      <c r="AR247" s="55">
        <f t="shared" si="199"/>
        <v>-20.397309006987143</v>
      </c>
      <c r="AS247" s="41">
        <f>'[2]побудинковий звіт'!AS247+'[1]побудинковий звіт'!AS247</f>
        <v>3771.192165492304</v>
      </c>
      <c r="AT247" s="41">
        <f>'[2]побудинковий звіт'!AT247+'[1]побудинковий звіт'!AT247</f>
        <v>0</v>
      </c>
      <c r="AU247" s="57">
        <f t="shared" si="200"/>
        <v>-3771.192165492304</v>
      </c>
      <c r="AV247" s="41">
        <f>'[2]побудинковий звіт'!AV247+'[1]побудинковий звіт'!AV247</f>
        <v>234.29421894152119</v>
      </c>
      <c r="AW247" s="41">
        <f>'[2]побудинковий звіт'!AW247+'[1]побудинковий звіт'!AW247</f>
        <v>0</v>
      </c>
      <c r="AX247" s="58">
        <f t="shared" si="201"/>
        <v>-234.29421894152119</v>
      </c>
      <c r="AY247" s="41">
        <f>'[2]побудинковий звіт'!AY247+'[1]побудинковий звіт'!AY247</f>
        <v>294.83652532864261</v>
      </c>
      <c r="AZ247" s="41">
        <f>'[2]побудинковий звіт'!AZ247+'[1]побудинковий звіт'!AZ247</f>
        <v>0</v>
      </c>
      <c r="BA247" s="36">
        <f t="shared" si="202"/>
        <v>-294.83652532864261</v>
      </c>
      <c r="BB247" s="41">
        <f>'[2]побудинковий звіт'!BB247+'[1]побудинковий звіт'!BB247</f>
        <v>0</v>
      </c>
      <c r="BC247" s="41">
        <f>'[2]побудинковий звіт'!BC247+'[1]побудинковий звіт'!BC247</f>
        <v>0</v>
      </c>
      <c r="BD247" s="58">
        <f t="shared" si="203"/>
        <v>0</v>
      </c>
      <c r="BE247" s="41">
        <f>'[2]побудинковий звіт'!BE247+'[1]побудинковий звіт'!BE247</f>
        <v>0</v>
      </c>
      <c r="BF247" s="41">
        <f>'[2]побудинковий звіт'!BF247+'[1]побудинковий звіт'!BF247</f>
        <v>0</v>
      </c>
      <c r="BG247" s="38">
        <f t="shared" si="204"/>
        <v>0</v>
      </c>
      <c r="BH247" s="41">
        <f>'[2]побудинковий звіт'!BH247+'[1]побудинковий звіт'!BH247</f>
        <v>0</v>
      </c>
      <c r="BI247" s="41">
        <f>'[2]побудинковий звіт'!BI247+'[1]побудинковий звіт'!BI247</f>
        <v>0</v>
      </c>
      <c r="BJ247" s="58">
        <f t="shared" si="205"/>
        <v>0</v>
      </c>
      <c r="BK247" s="41">
        <f>'[2]побудинковий звіт'!BK247+'[1]побудинковий звіт'!BK247</f>
        <v>102.09151982326476</v>
      </c>
      <c r="BL247" s="41">
        <f>'[2]побудинковий звіт'!BL247+'[1]побудинковий звіт'!BL247</f>
        <v>0</v>
      </c>
      <c r="BM247" s="38">
        <f t="shared" si="206"/>
        <v>-102.09151982326476</v>
      </c>
      <c r="BN247" s="41">
        <f>'[2]побудинковий звіт'!BN247+'[1]побудинковий звіт'!BN247</f>
        <v>31.214014296485885</v>
      </c>
      <c r="BO247" s="41">
        <f>'[2]побудинковий звіт'!BO247+'[1]побудинковий звіт'!BO247</f>
        <v>0</v>
      </c>
      <c r="BP247" s="58">
        <f t="shared" si="207"/>
        <v>-31.214014296485885</v>
      </c>
      <c r="BQ247" s="84">
        <f t="shared" si="208"/>
        <v>662.43627838991449</v>
      </c>
      <c r="BR247" s="42">
        <f t="shared" si="209"/>
        <v>0</v>
      </c>
      <c r="BS247" s="58">
        <f t="shared" si="210"/>
        <v>-662.43627838991449</v>
      </c>
      <c r="BT247" s="41">
        <f>'[2]побудинковий звіт'!BT247+'[1]побудинковий звіт'!BT247</f>
        <v>2947.3460773873053</v>
      </c>
      <c r="BU247" s="41">
        <f>'[2]побудинковий звіт'!BU247+'[1]побудинковий звіт'!BU247</f>
        <v>5236.1099565533859</v>
      </c>
      <c r="BV247" s="55">
        <f t="shared" si="211"/>
        <v>2288.7638791660806</v>
      </c>
      <c r="BW247" s="41">
        <f>'[2]побудинковий звіт'!BW247+'[1]побудинковий звіт'!BW247</f>
        <v>2329.4299952029628</v>
      </c>
      <c r="BX247" s="41">
        <f>'[2]побудинковий звіт'!BX247+'[1]побудинковий звіт'!BX247</f>
        <v>2810.2804130749701</v>
      </c>
      <c r="BY247" s="55">
        <f t="shared" si="212"/>
        <v>480.85041787200726</v>
      </c>
      <c r="BZ247" s="41">
        <f>'[2]побудинковий звіт'!BZ247+'[1]побудинковий звіт'!BZ247</f>
        <v>1704.8990667635658</v>
      </c>
      <c r="CA247" s="41">
        <f>'[2]побудинковий звіт'!CA247+'[1]побудинковий звіт'!CA247</f>
        <v>728.2317023656492</v>
      </c>
      <c r="CB247" s="55">
        <f t="shared" si="213"/>
        <v>-976.66736439791657</v>
      </c>
      <c r="CC247" s="41">
        <f>'[2]побудинковий звіт'!CC247+'[1]побудинковий звіт'!CC247</f>
        <v>0</v>
      </c>
      <c r="CD247" s="41">
        <f>'[2]побудинковий звіт'!CD247+'[1]побудинковий звіт'!CD247</f>
        <v>0</v>
      </c>
      <c r="CE247" s="55">
        <f t="shared" si="214"/>
        <v>0</v>
      </c>
      <c r="CF247" s="41">
        <f>'[2]побудинковий звіт'!CF247+'[1]побудинковий звіт'!CF247</f>
        <v>0</v>
      </c>
      <c r="CG247" s="41">
        <f>'[2]побудинковий звіт'!CG247+'[1]побудинковий звіт'!CG247</f>
        <v>0</v>
      </c>
      <c r="CH247" s="55">
        <f t="shared" si="215"/>
        <v>0</v>
      </c>
      <c r="CI247" s="41">
        <f>'[2]побудинковий звіт'!CI247+'[1]побудинковий звіт'!CI247</f>
        <v>966.68817153137002</v>
      </c>
      <c r="CJ247" s="41">
        <f>'[2]побудинковий звіт'!CJ247+'[1]побудинковий звіт'!CJ247</f>
        <v>105.37007738357474</v>
      </c>
      <c r="CK247" s="55">
        <f t="shared" si="216"/>
        <v>-861.31809414779525</v>
      </c>
      <c r="CL247" s="41">
        <f>'[2]побудинковий звіт'!CL247+'[1]побудинковий звіт'!CL247</f>
        <v>0</v>
      </c>
      <c r="CM247" s="41">
        <f>'[2]побудинковий звіт'!CM247+'[1]побудинковий звіт'!CM247</f>
        <v>0</v>
      </c>
      <c r="CN247" s="55">
        <f t="shared" si="217"/>
        <v>0</v>
      </c>
      <c r="CO247" s="41">
        <f t="shared" si="218"/>
        <v>966.68817153137002</v>
      </c>
      <c r="CP247" s="42">
        <f t="shared" si="219"/>
        <v>105.37007738357474</v>
      </c>
      <c r="CQ247" s="55">
        <f t="shared" si="220"/>
        <v>-861.31809414779525</v>
      </c>
      <c r="CR247" s="76">
        <f t="shared" si="221"/>
        <v>15281.798238400896</v>
      </c>
      <c r="CS247" s="5">
        <f t="shared" si="222"/>
        <v>11746.612560667429</v>
      </c>
      <c r="CT247" s="55">
        <f t="shared" si="223"/>
        <v>-3535.1856777334669</v>
      </c>
      <c r="CU247" s="84">
        <f t="shared" si="224"/>
        <v>18338.157886081073</v>
      </c>
      <c r="CV247" s="68">
        <f t="shared" si="225"/>
        <v>14095.935072800914</v>
      </c>
      <c r="CW247" s="36">
        <f t="shared" si="226"/>
        <v>-4242.2228132801592</v>
      </c>
      <c r="CX247" s="41">
        <f>'[2]побудинковий звіт'!CX247+'[1]побудинковий звіт'!CX247</f>
        <v>183.27513194771743</v>
      </c>
      <c r="CY247" s="41">
        <f>'[2]побудинковий звіт'!CY247+'[1]побудинковий звіт'!CY247</f>
        <v>4425.4979452278758</v>
      </c>
      <c r="CZ247" s="55">
        <f t="shared" si="227"/>
        <v>4242.2228132801583</v>
      </c>
      <c r="DA247" s="254">
        <f>'[1]побудинковий звіт'!DA247</f>
        <v>2474.6042349872914</v>
      </c>
      <c r="DB247" s="2">
        <v>2</v>
      </c>
      <c r="DC247" s="702">
        <f>'[1]побудинковий звіт'!DC247</f>
        <v>3980.24</v>
      </c>
      <c r="DD247" s="702">
        <f>'[1]побудинковий звіт'!DD247</f>
        <v>0</v>
      </c>
      <c r="DE247" s="702">
        <f>'[1]побудинковий звіт'!DE247</f>
        <v>1953.7399999999998</v>
      </c>
      <c r="DF247" s="702">
        <f>'[1]побудинковий звіт'!DF247</f>
        <v>0</v>
      </c>
      <c r="DG247" s="772">
        <v>9308.4219744608999</v>
      </c>
      <c r="DH247" s="746">
        <f t="shared" si="251"/>
        <v>222257.19621634547</v>
      </c>
      <c r="DI247" s="769"/>
      <c r="DJ247" s="5"/>
      <c r="DK247" s="307">
        <f>VLOOKUP($A247,ціни!$A$4:$G$401,5)</f>
        <v>5.7256110785667111</v>
      </c>
      <c r="DL247" s="307"/>
      <c r="DM247" s="307">
        <f>VLOOKUP($A247,ціни!$A$4:$G$401,7)</f>
        <v>4.859066662679175</v>
      </c>
      <c r="DN247" s="29">
        <f t="shared" si="249"/>
        <v>1452.5875306323746</v>
      </c>
      <c r="DO247" s="29">
        <f t="shared" si="250"/>
        <v>0</v>
      </c>
      <c r="DP247" s="306">
        <f t="shared" si="252"/>
        <v>1452.5875306323746</v>
      </c>
      <c r="DQ247" s="101"/>
      <c r="DR247" s="29">
        <f>VLOOKUP(A247,'ДЗ нас '!$A$1:$C$359,2)</f>
        <v>1452.58</v>
      </c>
      <c r="DS247" s="733"/>
      <c r="DT247" s="29">
        <f t="shared" si="253"/>
        <v>1452.58</v>
      </c>
      <c r="DU247" s="247">
        <f>VLOOKUP(A247,'новий кошторис с 01.06'!$A$4:$AI$399,35)*1.2</f>
        <v>1452.5875306323753</v>
      </c>
      <c r="DV247" s="29">
        <f t="shared" si="254"/>
        <v>-7.5306323753920879E-3</v>
      </c>
      <c r="DW247" s="1016">
        <f>'[2]побудинковий звіт'!$DW$9+'[1]побудинковий звіт'!DW247</f>
        <v>0</v>
      </c>
      <c r="DX247" s="101">
        <f>'[1]побудинковий звіт'!DX247</f>
        <v>0</v>
      </c>
      <c r="DY247" s="5">
        <f t="shared" si="255"/>
        <v>5320.3541326586619</v>
      </c>
      <c r="DZ247" s="5">
        <f t="shared" si="256"/>
        <v>0</v>
      </c>
      <c r="EA247" s="737">
        <f t="shared" si="257"/>
        <v>1953.7399999999998</v>
      </c>
      <c r="EC247" s="577">
        <f t="shared" si="258"/>
        <v>45254.305985907646</v>
      </c>
      <c r="EE247" s="743">
        <v>2546</v>
      </c>
      <c r="EF247" s="723">
        <f t="shared" si="259"/>
        <v>11854.4219744609</v>
      </c>
      <c r="EH247" s="798">
        <v>8234.0860538229299</v>
      </c>
      <c r="EI247" s="101">
        <f>VLOOKUP(A247,'кошти 01.01.24'!$A$9:$D$352,4,FALSE)</f>
        <v>6716.8270482674525</v>
      </c>
    </row>
    <row r="248" spans="1:139" hidden="1" x14ac:dyDescent="0.3">
      <c r="A248" s="318">
        <v>150001041</v>
      </c>
      <c r="B248" s="43" t="s">
        <v>676</v>
      </c>
      <c r="C248" s="44" t="s">
        <v>196</v>
      </c>
      <c r="D248" s="44" t="s">
        <v>196</v>
      </c>
      <c r="E248" s="39">
        <f t="shared" si="185"/>
        <v>601.4</v>
      </c>
      <c r="F248" s="205">
        <f>'[1]побудинковий звіт'!F248</f>
        <v>601.4</v>
      </c>
      <c r="G248" s="29">
        <f>'[1]побудинковий звіт'!G248</f>
        <v>0</v>
      </c>
      <c r="H248" s="148">
        <f>'[1]побудинковий звіт'!H248</f>
        <v>0</v>
      </c>
      <c r="I248" s="41">
        <f>'[2]побудинковий звіт'!I248+'[1]побудинковий звіт'!I248</f>
        <v>2555.0746034266931</v>
      </c>
      <c r="J248" s="41">
        <f>'[2]побудинковий звіт'!J248+'[1]побудинковий звіт'!J248</f>
        <v>2608.747774777325</v>
      </c>
      <c r="K248" s="55">
        <f t="shared" si="186"/>
        <v>53.673171350631947</v>
      </c>
      <c r="L248" s="41">
        <f>'[2]побудинковий звіт'!L248+'[1]побудинковий звіт'!L248</f>
        <v>391.45456060966166</v>
      </c>
      <c r="M248" s="41">
        <f>'[2]побудинковий звіт'!M248+'[1]побудинковий звіт'!M248</f>
        <v>410.24154414201166</v>
      </c>
      <c r="N248" s="55">
        <f t="shared" si="187"/>
        <v>18.786983532350007</v>
      </c>
      <c r="O248" s="41">
        <f>'[2]побудинковий звіт'!O248+'[1]побудинковий звіт'!O248</f>
        <v>950.79788940391404</v>
      </c>
      <c r="P248" s="41">
        <f>'[2]побудинковий звіт'!P248+'[1]побудинковий звіт'!P248</f>
        <v>953.59497130236582</v>
      </c>
      <c r="Q248" s="55">
        <f t="shared" si="188"/>
        <v>2.7970818984517791</v>
      </c>
      <c r="R248" s="41">
        <f>'[2]побудинковий звіт'!R248+'[1]побудинковий звіт'!R248</f>
        <v>0</v>
      </c>
      <c r="S248" s="41">
        <f>'[2]побудинковий звіт'!S248+'[1]побудинковий звіт'!S248</f>
        <v>0</v>
      </c>
      <c r="T248" s="55">
        <f t="shared" si="189"/>
        <v>0</v>
      </c>
      <c r="U248" s="41">
        <f>'[2]побудинковий звіт'!U248+'[1]побудинковий звіт'!U248</f>
        <v>56.130589675625131</v>
      </c>
      <c r="V248" s="41">
        <f>'[2]побудинковий звіт'!V248+'[1]побудинковий звіт'!V248</f>
        <v>32.383377259198049</v>
      </c>
      <c r="W248" s="55">
        <f t="shared" si="190"/>
        <v>-23.747212416427082</v>
      </c>
      <c r="X248" s="41">
        <f>'[2]побудинковий звіт'!X248+'[1]побудинковий звіт'!X248</f>
        <v>1384.3682664494595</v>
      </c>
      <c r="Y248" s="41">
        <f>'[2]побудинковий звіт'!Y248+'[1]побудинковий звіт'!Y248</f>
        <v>2854.5490471234916</v>
      </c>
      <c r="Z248" s="55">
        <f t="shared" si="191"/>
        <v>1470.1807806740321</v>
      </c>
      <c r="AA248" s="41">
        <f>'[2]побудинковий звіт'!AA248+'[1]побудинковий звіт'!AA248</f>
        <v>0</v>
      </c>
      <c r="AB248" s="41">
        <f>'[2]побудинковий звіт'!AB248+'[1]побудинковий звіт'!AB248</f>
        <v>0</v>
      </c>
      <c r="AC248" s="55">
        <f t="shared" si="192"/>
        <v>0</v>
      </c>
      <c r="AD248" s="41">
        <f>'[2]побудинковий звіт'!AD248+'[1]побудинковий звіт'!AD248</f>
        <v>2608.4595354287376</v>
      </c>
      <c r="AE248" s="41">
        <f>'[2]побудинковий звіт'!AE248+'[1]побудинковий звіт'!AE248</f>
        <v>2598.31453110246</v>
      </c>
      <c r="AF248" s="36">
        <f t="shared" si="193"/>
        <v>-10.145004326277558</v>
      </c>
      <c r="AG248" s="84">
        <f t="shared" si="194"/>
        <v>7946.2854449940914</v>
      </c>
      <c r="AH248" s="56">
        <f t="shared" si="195"/>
        <v>9457.8312457068532</v>
      </c>
      <c r="AI248" s="55">
        <f t="shared" si="196"/>
        <v>1511.5458007127618</v>
      </c>
      <c r="AJ248" s="41">
        <f>'[2]побудинковий звіт'!AJ248+'[1]побудинковий звіт'!AJ248</f>
        <v>0</v>
      </c>
      <c r="AK248" s="41">
        <f>'[2]побудинковий звіт'!AK248+'[1]побудинковий звіт'!AK248</f>
        <v>0</v>
      </c>
      <c r="AL248" s="55">
        <f t="shared" si="197"/>
        <v>0</v>
      </c>
      <c r="AM248" s="41">
        <f>'[2]побудинковий звіт'!AM248+'[1]побудинковий звіт'!AM248</f>
        <v>0</v>
      </c>
      <c r="AN248" s="41">
        <f>'[2]побудинковий звіт'!AN248+'[1]побудинковий звіт'!AN248</f>
        <v>0</v>
      </c>
      <c r="AO248" s="55">
        <f t="shared" si="198"/>
        <v>0</v>
      </c>
      <c r="AP248" s="41">
        <f>'[2]побудинковий звіт'!AP248+'[1]побудинковий звіт'!AP248</f>
        <v>1783.0762972293671</v>
      </c>
      <c r="AQ248" s="41">
        <f>'[2]побудинковий звіт'!AQ248+'[1]побудинковий звіт'!AQ248</f>
        <v>1980.4565095287521</v>
      </c>
      <c r="AR248" s="55">
        <f t="shared" si="199"/>
        <v>197.38021229938499</v>
      </c>
      <c r="AS248" s="41">
        <f>'[2]побудинковий звіт'!AS248+'[1]побудинковий звіт'!AS248</f>
        <v>8721.6156228867912</v>
      </c>
      <c r="AT248" s="41">
        <f>'[2]побудинковий звіт'!AT248+'[1]побудинковий звіт'!AT248</f>
        <v>116.72791843775435</v>
      </c>
      <c r="AU248" s="57">
        <f t="shared" si="200"/>
        <v>-8604.8877044490364</v>
      </c>
      <c r="AV248" s="41">
        <f>'[2]побудинковий звіт'!AV248+'[1]побудинковий звіт'!AV248</f>
        <v>428.98713093290735</v>
      </c>
      <c r="AW248" s="41">
        <f>'[2]побудинковий звіт'!AW248+'[1]побудинковий звіт'!AW248</f>
        <v>0</v>
      </c>
      <c r="AX248" s="58">
        <f t="shared" si="201"/>
        <v>-428.98713093290735</v>
      </c>
      <c r="AY248" s="41">
        <f>'[2]побудинковий звіт'!AY248+'[1]побудинковий звіт'!AY248</f>
        <v>466.79314930316565</v>
      </c>
      <c r="AZ248" s="41">
        <f>'[2]побудинковий звіт'!AZ248+'[1]побудинковий звіт'!AZ248</f>
        <v>0</v>
      </c>
      <c r="BA248" s="36">
        <f t="shared" si="202"/>
        <v>-466.79314930316565</v>
      </c>
      <c r="BB248" s="41">
        <f>'[2]побудинковий звіт'!BB248+'[1]побудинковий звіт'!BB248</f>
        <v>419.13870397922386</v>
      </c>
      <c r="BC248" s="41">
        <f>'[2]побудинковий звіт'!BC248+'[1]побудинковий звіт'!BC248</f>
        <v>0</v>
      </c>
      <c r="BD248" s="58">
        <f t="shared" si="203"/>
        <v>-419.13870397922386</v>
      </c>
      <c r="BE248" s="41">
        <f>'[2]побудинковий звіт'!BE248+'[1]побудинковий звіт'!BE248</f>
        <v>0</v>
      </c>
      <c r="BF248" s="41">
        <f>'[2]побудинковий звіт'!BF248+'[1]побудинковий звіт'!BF248</f>
        <v>0</v>
      </c>
      <c r="BG248" s="38">
        <f t="shared" si="204"/>
        <v>0</v>
      </c>
      <c r="BH248" s="41">
        <f>'[2]побудинковий звіт'!BH248+'[1]побудинковий звіт'!BH248</f>
        <v>33.081926391429903</v>
      </c>
      <c r="BI248" s="41">
        <f>'[2]побудинковий звіт'!BI248+'[1]побудинковий звіт'!BI248</f>
        <v>0</v>
      </c>
      <c r="BJ248" s="58">
        <f t="shared" si="205"/>
        <v>-33.081926391429903</v>
      </c>
      <c r="BK248" s="41">
        <f>'[2]побудинковий звіт'!BK248+'[1]побудинковий звіт'!BK248</f>
        <v>136.3836482356057</v>
      </c>
      <c r="BL248" s="41">
        <f>'[2]побудинковий звіт'!BL248+'[1]побудинковий звіт'!BL248</f>
        <v>0</v>
      </c>
      <c r="BM248" s="38">
        <f t="shared" si="206"/>
        <v>-136.3836482356057</v>
      </c>
      <c r="BN248" s="41">
        <f>'[2]побудинковий звіт'!BN248+'[1]побудинковий звіт'!BN248</f>
        <v>24.814357093990289</v>
      </c>
      <c r="BO248" s="41">
        <f>'[2]побудинковий звіт'!BO248+'[1]побудинковий звіт'!BO248</f>
        <v>905.68856706307645</v>
      </c>
      <c r="BP248" s="58">
        <f t="shared" si="207"/>
        <v>880.87420996908611</v>
      </c>
      <c r="BQ248" s="84">
        <f t="shared" si="208"/>
        <v>1509.1989159363229</v>
      </c>
      <c r="BR248" s="42">
        <f t="shared" si="209"/>
        <v>905.68856706307645</v>
      </c>
      <c r="BS248" s="58">
        <f t="shared" si="210"/>
        <v>-603.51034887324647</v>
      </c>
      <c r="BT248" s="41">
        <f>'[2]побудинковий звіт'!BT248+'[1]побудинковий звіт'!BT248</f>
        <v>6960.6736143408225</v>
      </c>
      <c r="BU248" s="41">
        <f>'[2]побудинковий звіт'!BU248+'[1]побудинковий звіт'!BU248</f>
        <v>9989.1972938670224</v>
      </c>
      <c r="BV248" s="55">
        <f t="shared" si="211"/>
        <v>3028.5236795261999</v>
      </c>
      <c r="BW248" s="41">
        <f>'[2]побудинковий звіт'!BW248+'[1]побудинковий звіт'!BW248</f>
        <v>5353.7083843020446</v>
      </c>
      <c r="BX248" s="41">
        <f>'[2]побудинковий звіт'!BX248+'[1]побудинковий звіт'!BX248</f>
        <v>6051.2851694548299</v>
      </c>
      <c r="BY248" s="55">
        <f t="shared" si="212"/>
        <v>697.57678515278531</v>
      </c>
      <c r="BZ248" s="41">
        <f>'[2]побудинковий звіт'!BZ248+'[1]побудинковий звіт'!BZ248</f>
        <v>1844.7129735894091</v>
      </c>
      <c r="CA248" s="41">
        <f>'[2]побудинковий звіт'!CA248+'[1]побудинковий звіт'!CA248</f>
        <v>1157.6253777177901</v>
      </c>
      <c r="CB248" s="55">
        <f t="shared" si="213"/>
        <v>-687.08759587161899</v>
      </c>
      <c r="CC248" s="41">
        <f>'[2]побудинковий звіт'!CC248+'[1]побудинковий звіт'!CC248</f>
        <v>0</v>
      </c>
      <c r="CD248" s="41">
        <f>'[2]побудинковий звіт'!CD248+'[1]побудинковий звіт'!CD248</f>
        <v>0</v>
      </c>
      <c r="CE248" s="55">
        <f t="shared" si="214"/>
        <v>0</v>
      </c>
      <c r="CF248" s="41">
        <f>'[2]побудинковий звіт'!CF248+'[1]побудинковий звіт'!CF248</f>
        <v>0</v>
      </c>
      <c r="CG248" s="41">
        <f>'[2]побудинковий звіт'!CG248+'[1]побудинковий звіт'!CG248</f>
        <v>0</v>
      </c>
      <c r="CH248" s="55">
        <f t="shared" si="215"/>
        <v>0</v>
      </c>
      <c r="CI248" s="41">
        <f>'[2]побудинковий звіт'!CI248+'[1]побудинковий звіт'!CI248</f>
        <v>943.99060690360989</v>
      </c>
      <c r="CJ248" s="41">
        <f>'[2]побудинковий звіт'!CJ248+'[1]побудинковий звіт'!CJ248</f>
        <v>31.406268718611937</v>
      </c>
      <c r="CK248" s="55">
        <f t="shared" si="216"/>
        <v>-912.58433818499793</v>
      </c>
      <c r="CL248" s="41">
        <f>'[2]побудинковий звіт'!CL248+'[1]побудинковий звіт'!CL248</f>
        <v>0</v>
      </c>
      <c r="CM248" s="41">
        <f>'[2]побудинковий звіт'!CM248+'[1]побудинковий звіт'!CM248</f>
        <v>0</v>
      </c>
      <c r="CN248" s="55">
        <f t="shared" si="217"/>
        <v>0</v>
      </c>
      <c r="CO248" s="41">
        <f t="shared" si="218"/>
        <v>943.99060690360989</v>
      </c>
      <c r="CP248" s="42">
        <f t="shared" si="219"/>
        <v>31.406268718611937</v>
      </c>
      <c r="CQ248" s="55">
        <f t="shared" si="220"/>
        <v>-912.58433818499793</v>
      </c>
      <c r="CR248" s="76">
        <f t="shared" si="221"/>
        <v>35063.261860182458</v>
      </c>
      <c r="CS248" s="5">
        <f t="shared" si="222"/>
        <v>29690.218350494692</v>
      </c>
      <c r="CT248" s="55">
        <f t="shared" si="223"/>
        <v>-5373.0435096877663</v>
      </c>
      <c r="CU248" s="84">
        <f t="shared" si="224"/>
        <v>42075.914232218951</v>
      </c>
      <c r="CV248" s="68">
        <f t="shared" si="225"/>
        <v>35628.262020593625</v>
      </c>
      <c r="CW248" s="36">
        <f t="shared" si="226"/>
        <v>-6447.6522116253254</v>
      </c>
      <c r="CX248" s="41">
        <f>'[2]побудинковий звіт'!CX248+'[1]побудинковий звіт'!CX248</f>
        <v>420.73914224617914</v>
      </c>
      <c r="CY248" s="41">
        <f>'[2]побудинковий звіт'!CY248+'[1]побудинковий звіт'!CY248</f>
        <v>6868.3913538715042</v>
      </c>
      <c r="CZ248" s="55">
        <f t="shared" si="227"/>
        <v>6447.6522116253254</v>
      </c>
      <c r="DA248" s="254">
        <f>'[1]побудинковий звіт'!DA248</f>
        <v>-25403.007099509654</v>
      </c>
      <c r="DB248" s="2">
        <v>2</v>
      </c>
      <c r="DC248" s="702">
        <f>'[1]побудинковий звіт'!DC248</f>
        <v>4403.04</v>
      </c>
      <c r="DD248" s="702">
        <f>'[1]побудинковий звіт'!DD248</f>
        <v>0</v>
      </c>
      <c r="DE248" s="702">
        <f>'[1]побудинковий звіт'!DE248</f>
        <v>-244.34000000000015</v>
      </c>
      <c r="DF248" s="702">
        <f>'[1]побудинковий звіт'!DF248</f>
        <v>0</v>
      </c>
      <c r="DG248" s="772">
        <v>-3410.6661264579889</v>
      </c>
      <c r="DH248" s="746">
        <f t="shared" si="251"/>
        <v>509959.84049358161</v>
      </c>
      <c r="DI248" s="769"/>
      <c r="DJ248" s="5"/>
      <c r="DK248" s="307">
        <f>VLOOKUP($A248,ціни!$A$4:$G$401,5)</f>
        <v>5.5425740958296386</v>
      </c>
      <c r="DL248" s="307"/>
      <c r="DM248" s="307">
        <f>VLOOKUP($A248,ціни!$A$4:$G$401,7)</f>
        <v>4.6944804630737345</v>
      </c>
      <c r="DN248" s="29">
        <f t="shared" si="249"/>
        <v>3333.3040612319446</v>
      </c>
      <c r="DO248" s="29">
        <f t="shared" si="250"/>
        <v>0</v>
      </c>
      <c r="DP248" s="306">
        <f t="shared" si="252"/>
        <v>3333.3040612319446</v>
      </c>
      <c r="DQ248" s="101"/>
      <c r="DR248" s="29">
        <f>VLOOKUP(A248,'ДЗ нас '!$A$1:$C$359,2)</f>
        <v>3333.33</v>
      </c>
      <c r="DS248" s="733"/>
      <c r="DT248" s="29">
        <f t="shared" si="253"/>
        <v>3333.33</v>
      </c>
      <c r="DU248" s="247">
        <f>VLOOKUP(A248,'новий кошторис с 01.06'!$A$4:$AI$399,35)*1.2</f>
        <v>3333.3040612319442</v>
      </c>
      <c r="DV248" s="29">
        <f t="shared" si="254"/>
        <v>2.5938768055766559E-2</v>
      </c>
      <c r="DW248" s="1016">
        <f>'[2]побудинковий звіт'!$DW$9+'[1]побудинковий звіт'!DW248</f>
        <v>918</v>
      </c>
      <c r="DX248" s="101">
        <f>'[1]побудинковий звіт'!DX248</f>
        <v>0</v>
      </c>
      <c r="DY248" s="5">
        <f t="shared" si="255"/>
        <v>12276.977446587736</v>
      </c>
      <c r="DZ248" s="5">
        <f t="shared" si="256"/>
        <v>1226.899782600997</v>
      </c>
      <c r="EA248" s="737">
        <f t="shared" si="257"/>
        <v>-244.34000000000015</v>
      </c>
      <c r="EC248" s="577">
        <f t="shared" si="258"/>
        <v>104659.38747464149</v>
      </c>
      <c r="EE248" s="743">
        <v>-516</v>
      </c>
      <c r="EF248" s="723">
        <f t="shared" si="259"/>
        <v>-3926.6661264579889</v>
      </c>
      <c r="EH248" s="798">
        <v>-9826.8197113048991</v>
      </c>
      <c r="EI248" s="101">
        <f>VLOOKUP(A248,'кошти 01.01.24'!$A$9:$D$352,4,FALSE)</f>
        <v>-18955.354887884328</v>
      </c>
    </row>
    <row r="249" spans="1:139" hidden="1" x14ac:dyDescent="0.3">
      <c r="A249" s="318">
        <v>150001042</v>
      </c>
      <c r="B249" s="43" t="s">
        <v>677</v>
      </c>
      <c r="C249" s="44" t="s">
        <v>181</v>
      </c>
      <c r="D249" s="44" t="s">
        <v>181</v>
      </c>
      <c r="E249" s="39">
        <f t="shared" si="185"/>
        <v>427.1</v>
      </c>
      <c r="F249" s="205">
        <f>'[1]побудинковий звіт'!F249</f>
        <v>427.1</v>
      </c>
      <c r="G249" s="29">
        <f>'[1]побудинковий звіт'!G249</f>
        <v>0</v>
      </c>
      <c r="H249" s="148">
        <f>'[1]побудинковий звіт'!H249</f>
        <v>0</v>
      </c>
      <c r="I249" s="41">
        <f>'[2]побудинковий звіт'!I249+'[1]побудинковий звіт'!I249</f>
        <v>2290.2374715177516</v>
      </c>
      <c r="J249" s="41">
        <f>'[2]побудинковий звіт'!J249+'[1]побудинковий звіт'!J249</f>
        <v>2327.1682765350834</v>
      </c>
      <c r="K249" s="55">
        <f t="shared" si="186"/>
        <v>36.93080501733175</v>
      </c>
      <c r="L249" s="41">
        <f>'[2]побудинковий звіт'!L249+'[1]побудинковий звіт'!L249</f>
        <v>445.9048684840875</v>
      </c>
      <c r="M249" s="41">
        <f>'[2]побудинковий звіт'!M249+'[1]побудинковий звіт'!M249</f>
        <v>467.05298764554232</v>
      </c>
      <c r="N249" s="55">
        <f t="shared" si="187"/>
        <v>21.148119161454815</v>
      </c>
      <c r="O249" s="41">
        <f>'[2]побудинковий звіт'!O249+'[1]побудинковий звіт'!O249</f>
        <v>656.13536065678318</v>
      </c>
      <c r="P249" s="41">
        <f>'[2]побудинковий звіт'!P249+'[1]побудинковий звіт'!P249</f>
        <v>658.29301121766639</v>
      </c>
      <c r="Q249" s="55">
        <f t="shared" si="188"/>
        <v>2.1576505608832122</v>
      </c>
      <c r="R249" s="41">
        <f>'[2]побудинковий звіт'!R249+'[1]побудинковий звіт'!R249</f>
        <v>0</v>
      </c>
      <c r="S249" s="41">
        <f>'[2]побудинковий звіт'!S249+'[1]побудинковий звіт'!S249</f>
        <v>0</v>
      </c>
      <c r="T249" s="55">
        <f t="shared" si="189"/>
        <v>0</v>
      </c>
      <c r="U249" s="41">
        <f>'[2]побудинковий звіт'!U249+'[1]побудинковий звіт'!U249</f>
        <v>0</v>
      </c>
      <c r="V249" s="41">
        <f>'[2]побудинковий звіт'!V249+'[1]побудинковий звіт'!V249</f>
        <v>0</v>
      </c>
      <c r="W249" s="55">
        <f t="shared" si="190"/>
        <v>0</v>
      </c>
      <c r="X249" s="41">
        <f>'[2]побудинковий звіт'!X249+'[1]побудинковий звіт'!X249</f>
        <v>1294.5360366044279</v>
      </c>
      <c r="Y249" s="41">
        <f>'[2]побудинковий звіт'!Y249+'[1]побудинковий звіт'!Y249</f>
        <v>1240.2982509307894</v>
      </c>
      <c r="Z249" s="55">
        <f t="shared" si="191"/>
        <v>-54.237785673638427</v>
      </c>
      <c r="AA249" s="41">
        <f>'[2]побудинковий звіт'!AA249+'[1]побудинковий звіт'!AA249</f>
        <v>0</v>
      </c>
      <c r="AB249" s="41">
        <f>'[2]побудинковий звіт'!AB249+'[1]побудинковий звіт'!AB249</f>
        <v>0</v>
      </c>
      <c r="AC249" s="55">
        <f t="shared" si="192"/>
        <v>0</v>
      </c>
      <c r="AD249" s="41">
        <f>'[2]побудинковий звіт'!AD249+'[1]побудинковий звіт'!AD249</f>
        <v>1852.4660252437873</v>
      </c>
      <c r="AE249" s="41">
        <f>'[2]побудинковий звіт'!AE249+'[1]побудинковий звіт'!AE249</f>
        <v>1845.2612840602942</v>
      </c>
      <c r="AF249" s="36">
        <f t="shared" si="193"/>
        <v>-7.2047411834930699</v>
      </c>
      <c r="AG249" s="84">
        <f t="shared" si="194"/>
        <v>6539.279762506837</v>
      </c>
      <c r="AH249" s="56">
        <f t="shared" si="195"/>
        <v>6538.0738103893755</v>
      </c>
      <c r="AI249" s="55">
        <f t="shared" si="196"/>
        <v>-1.2059521174614929</v>
      </c>
      <c r="AJ249" s="41">
        <f>'[2]побудинковий звіт'!AJ249+'[1]побудинковий звіт'!AJ249</f>
        <v>0</v>
      </c>
      <c r="AK249" s="41">
        <f>'[2]побудинковий звіт'!AK249+'[1]побудинковий звіт'!AK249</f>
        <v>0</v>
      </c>
      <c r="AL249" s="55">
        <f t="shared" si="197"/>
        <v>0</v>
      </c>
      <c r="AM249" s="41">
        <f>'[2]побудинковий звіт'!AM249+'[1]побудинковий звіт'!AM249</f>
        <v>0</v>
      </c>
      <c r="AN249" s="41">
        <f>'[2]побудинковий звіт'!AN249+'[1]побудинковий звіт'!AN249</f>
        <v>0</v>
      </c>
      <c r="AO249" s="55">
        <f t="shared" si="198"/>
        <v>0</v>
      </c>
      <c r="AP249" s="41">
        <f>'[2]побудинковий звіт'!AP249+'[1]побудинковий звіт'!AP249</f>
        <v>1188.7175314862448</v>
      </c>
      <c r="AQ249" s="41">
        <f>'[2]побудинковий звіт'!AQ249+'[1]побудинковий звіт'!AQ249</f>
        <v>1424.0243832961437</v>
      </c>
      <c r="AR249" s="55">
        <f t="shared" si="199"/>
        <v>235.30685180989894</v>
      </c>
      <c r="AS249" s="41">
        <f>'[2]побудинковий звіт'!AS249+'[1]побудинковий звіт'!AS249</f>
        <v>5238.390068486442</v>
      </c>
      <c r="AT249" s="41">
        <f>'[2]побудинковий звіт'!AT249+'[1]побудинковий звіт'!AT249</f>
        <v>0</v>
      </c>
      <c r="AU249" s="57">
        <f t="shared" si="200"/>
        <v>-5238.390068486442</v>
      </c>
      <c r="AV249" s="41">
        <f>'[2]побудинковий звіт'!AV249+'[1]побудинковий звіт'!AV249</f>
        <v>418.3281129834096</v>
      </c>
      <c r="AW249" s="41">
        <f>'[2]побудинковий звіт'!AW249+'[1]побудинковий звіт'!AW249</f>
        <v>0</v>
      </c>
      <c r="AX249" s="58">
        <f t="shared" si="201"/>
        <v>-418.3281129834096</v>
      </c>
      <c r="AY249" s="41">
        <f>'[2]побудинковий звіт'!AY249+'[1]побудинковий звіт'!AY249</f>
        <v>530.5056092989513</v>
      </c>
      <c r="AZ249" s="41">
        <f>'[2]побудинковий звіт'!AZ249+'[1]побудинковий звіт'!AZ249</f>
        <v>0</v>
      </c>
      <c r="BA249" s="36">
        <f t="shared" si="202"/>
        <v>-530.5056092989513</v>
      </c>
      <c r="BB249" s="41">
        <f>'[2]побудинковий звіт'!BB249+'[1]побудинковий звіт'!BB249</f>
        <v>282.18858334047923</v>
      </c>
      <c r="BC249" s="41">
        <f>'[2]побудинковий звіт'!BC249+'[1]побудинковий звіт'!BC249</f>
        <v>0</v>
      </c>
      <c r="BD249" s="58">
        <f t="shared" si="203"/>
        <v>-282.18858334047923</v>
      </c>
      <c r="BE249" s="41">
        <f>'[2]побудинковий звіт'!BE249+'[1]побудинковий звіт'!BE249</f>
        <v>0</v>
      </c>
      <c r="BF249" s="41">
        <f>'[2]побудинковий звіт'!BF249+'[1]побудинковий звіт'!BF249</f>
        <v>0</v>
      </c>
      <c r="BG249" s="38">
        <f t="shared" si="204"/>
        <v>0</v>
      </c>
      <c r="BH249" s="41">
        <f>'[2]побудинковий звіт'!BH249+'[1]побудинковий звіт'!BH249</f>
        <v>0</v>
      </c>
      <c r="BI249" s="41">
        <f>'[2]побудинковий звіт'!BI249+'[1]побудинковий звіт'!BI249</f>
        <v>0</v>
      </c>
      <c r="BJ249" s="58">
        <f t="shared" si="205"/>
        <v>0</v>
      </c>
      <c r="BK249" s="41">
        <f>'[2]побудинковий звіт'!BK249+'[1]побудинковий звіт'!BK249</f>
        <v>220.29569139558922</v>
      </c>
      <c r="BL249" s="41">
        <f>'[2]побудинковий звіт'!BL249+'[1]побудинковий звіт'!BL249</f>
        <v>0</v>
      </c>
      <c r="BM249" s="38">
        <f t="shared" si="206"/>
        <v>-220.29569139558922</v>
      </c>
      <c r="BN249" s="41">
        <f>'[2]побудинковий звіт'!BN249+'[1]побудинковий звіт'!BN249</f>
        <v>27.982814826598393</v>
      </c>
      <c r="BO249" s="41">
        <f>'[2]побудинковий звіт'!BO249+'[1]побудинковий звіт'!BO249</f>
        <v>0</v>
      </c>
      <c r="BP249" s="58">
        <f t="shared" si="207"/>
        <v>-27.982814826598393</v>
      </c>
      <c r="BQ249" s="84">
        <f t="shared" si="208"/>
        <v>1479.3008118450277</v>
      </c>
      <c r="BR249" s="42">
        <f t="shared" si="209"/>
        <v>0</v>
      </c>
      <c r="BS249" s="58">
        <f t="shared" si="210"/>
        <v>-1479.3008118450277</v>
      </c>
      <c r="BT249" s="41">
        <f>'[2]побудинковий звіт'!BT249+'[1]побудинковий звіт'!BT249</f>
        <v>6636.115156572775</v>
      </c>
      <c r="BU249" s="41">
        <f>'[2]побудинковий звіт'!BU249+'[1]побудинковий звіт'!BU249</f>
        <v>11668.0151494274</v>
      </c>
      <c r="BV249" s="55">
        <f t="shared" si="211"/>
        <v>5031.8999928546245</v>
      </c>
      <c r="BW249" s="41">
        <f>'[2]побудинковий звіт'!BW249+'[1]побудинковий звіт'!BW249</f>
        <v>4803.8121748290923</v>
      </c>
      <c r="BX249" s="41">
        <f>'[2]побудинковий звіт'!BX249+'[1]побудинковий звіт'!BX249</f>
        <v>5435.5914315846285</v>
      </c>
      <c r="BY249" s="55">
        <f t="shared" si="212"/>
        <v>631.77925675553615</v>
      </c>
      <c r="BZ249" s="41">
        <f>'[2]побудинковий звіт'!BZ249+'[1]побудинковий звіт'!BZ249</f>
        <v>2012.9320004739575</v>
      </c>
      <c r="CA249" s="41">
        <f>'[2]побудинковий звіт'!CA249+'[1]побудинковий звіт'!CA249</f>
        <v>1109.9598700763622</v>
      </c>
      <c r="CB249" s="55">
        <f t="shared" si="213"/>
        <v>-902.97213039759527</v>
      </c>
      <c r="CC249" s="41">
        <f>'[2]побудинковий звіт'!CC249+'[1]побудинковий звіт'!CC249</f>
        <v>0</v>
      </c>
      <c r="CD249" s="41">
        <f>'[2]побудинковий звіт'!CD249+'[1]побудинковий звіт'!CD249</f>
        <v>0</v>
      </c>
      <c r="CE249" s="55">
        <f t="shared" si="214"/>
        <v>0</v>
      </c>
      <c r="CF249" s="41">
        <f>'[2]побудинковий звіт'!CF249+'[1]побудинковий звіт'!CF249</f>
        <v>0</v>
      </c>
      <c r="CG249" s="41">
        <f>'[2]побудинковий звіт'!CG249+'[1]побудинковий звіт'!CG249</f>
        <v>0</v>
      </c>
      <c r="CH249" s="55">
        <f t="shared" si="215"/>
        <v>0</v>
      </c>
      <c r="CI249" s="41">
        <f>'[2]побудинковий звіт'!CI249+'[1]побудинковий звіт'!CI249</f>
        <v>920.04862773125649</v>
      </c>
      <c r="CJ249" s="41">
        <f>'[2]побудинковий звіт'!CJ249+'[1]побудинковий звіт'!CJ249</f>
        <v>204.66395664512208</v>
      </c>
      <c r="CK249" s="55">
        <f t="shared" si="216"/>
        <v>-715.3846710861344</v>
      </c>
      <c r="CL249" s="41">
        <f>'[2]побудинковий звіт'!CL249+'[1]побудинковий звіт'!CL249</f>
        <v>0</v>
      </c>
      <c r="CM249" s="41">
        <f>'[2]побудинковий звіт'!CM249+'[1]побудинковий звіт'!CM249</f>
        <v>0</v>
      </c>
      <c r="CN249" s="55">
        <f t="shared" si="217"/>
        <v>0</v>
      </c>
      <c r="CO249" s="41">
        <f t="shared" si="218"/>
        <v>920.04862773125649</v>
      </c>
      <c r="CP249" s="42">
        <f t="shared" si="219"/>
        <v>204.66395664512208</v>
      </c>
      <c r="CQ249" s="55">
        <f t="shared" si="220"/>
        <v>-715.3846710861344</v>
      </c>
      <c r="CR249" s="76">
        <f t="shared" si="221"/>
        <v>28818.596133931631</v>
      </c>
      <c r="CS249" s="5">
        <f t="shared" si="222"/>
        <v>26380.328601419034</v>
      </c>
      <c r="CT249" s="55">
        <f t="shared" si="223"/>
        <v>-2438.2675325125965</v>
      </c>
      <c r="CU249" s="84">
        <f t="shared" si="224"/>
        <v>34582.315360717956</v>
      </c>
      <c r="CV249" s="68">
        <f t="shared" si="225"/>
        <v>31656.394321702839</v>
      </c>
      <c r="CW249" s="36">
        <f t="shared" si="226"/>
        <v>-2925.9210390151165</v>
      </c>
      <c r="CX249" s="41">
        <f>'[2]побудинковий звіт'!CX249+'[1]побудинковий звіт'!CX249</f>
        <v>347.13015639253433</v>
      </c>
      <c r="CY249" s="41">
        <f>'[2]побудинковий звіт'!CY249+'[1]побудинковий звіт'!CY249</f>
        <v>3273.0511954076642</v>
      </c>
      <c r="CZ249" s="55">
        <f t="shared" si="227"/>
        <v>2925.9210390151297</v>
      </c>
      <c r="DA249" s="254">
        <f>'[1]побудинковий звіт'!DA249</f>
        <v>84117.126397210697</v>
      </c>
      <c r="DB249" s="2">
        <v>2</v>
      </c>
      <c r="DC249" s="702">
        <f>'[1]побудинковий звіт'!DC249</f>
        <v>15336.34</v>
      </c>
      <c r="DD249" s="702">
        <f>'[1]побудинковий звіт'!DD249</f>
        <v>0</v>
      </c>
      <c r="DE249" s="702">
        <f>'[1]побудинковий звіт'!DE249</f>
        <v>11502.380000000001</v>
      </c>
      <c r="DF249" s="702">
        <f>'[1]побудинковий звіт'!DF249</f>
        <v>0</v>
      </c>
      <c r="DG249" s="772">
        <v>89268.035260712219</v>
      </c>
      <c r="DH249" s="746">
        <f t="shared" si="251"/>
        <v>419153.34620532591</v>
      </c>
      <c r="DI249" s="769"/>
      <c r="DJ249" s="5"/>
      <c r="DK249" s="307">
        <f>VLOOKUP($A249,ціни!$A$4:$G$401,5)</f>
        <v>6.4085588488890757</v>
      </c>
      <c r="DL249" s="307"/>
      <c r="DM249" s="307">
        <f>VLOOKUP($A249,ціни!$A$4:$G$401,7)</f>
        <v>5.3301031982827869</v>
      </c>
      <c r="DN249" s="29">
        <f t="shared" si="249"/>
        <v>2737.0954843605246</v>
      </c>
      <c r="DO249" s="29">
        <f t="shared" si="250"/>
        <v>0</v>
      </c>
      <c r="DP249" s="306">
        <f t="shared" si="252"/>
        <v>2737.0954843605246</v>
      </c>
      <c r="DQ249" s="101"/>
      <c r="DR249" s="29">
        <f>VLOOKUP(A249,'ДЗ нас '!$A$1:$C$359,2)</f>
        <v>2737.12</v>
      </c>
      <c r="DS249" s="733"/>
      <c r="DT249" s="29">
        <f t="shared" si="253"/>
        <v>2737.12</v>
      </c>
      <c r="DU249" s="247">
        <f>VLOOKUP(A249,'новий кошторис с 01.06'!$A$4:$AI$399,35)*1.2</f>
        <v>2737.0954843605246</v>
      </c>
      <c r="DV249" s="29">
        <f t="shared" si="254"/>
        <v>2.4515639475339412E-2</v>
      </c>
      <c r="DW249" s="1016">
        <f>'[2]побудинковий звіт'!$DW$9+'[1]побудинковий звіт'!DW249</f>
        <v>0</v>
      </c>
      <c r="DX249" s="101">
        <f>'[1]побудинковий звіт'!DX249</f>
        <v>0</v>
      </c>
      <c r="DY249" s="5">
        <f t="shared" si="255"/>
        <v>8061.229056397764</v>
      </c>
      <c r="DZ249" s="5">
        <f t="shared" si="256"/>
        <v>0</v>
      </c>
      <c r="EA249" s="737">
        <f t="shared" si="257"/>
        <v>11502.380000000001</v>
      </c>
      <c r="EC249" s="577">
        <f t="shared" si="258"/>
        <v>62860.680821837304</v>
      </c>
      <c r="EE249" s="743">
        <v>-4913</v>
      </c>
      <c r="EF249" s="723">
        <f t="shared" si="259"/>
        <v>84355.035260712219</v>
      </c>
      <c r="EH249" s="798">
        <v>89090.526635446135</v>
      </c>
      <c r="EI249" s="101">
        <f>VLOOKUP(A249,'кошти 01.01.24'!$A$9:$D$352,4,FALSE)</f>
        <v>87043.047436225825</v>
      </c>
    </row>
    <row r="250" spans="1:139" hidden="1" x14ac:dyDescent="0.3">
      <c r="A250" s="318">
        <v>150001043</v>
      </c>
      <c r="B250" s="43" t="s">
        <v>678</v>
      </c>
      <c r="C250" s="44" t="s">
        <v>217</v>
      </c>
      <c r="D250" s="44" t="s">
        <v>217</v>
      </c>
      <c r="E250" s="39">
        <f t="shared" si="185"/>
        <v>1283.3</v>
      </c>
      <c r="F250" s="205">
        <f>'[1]побудинковий звіт'!F250</f>
        <v>1283.3</v>
      </c>
      <c r="G250" s="29">
        <f>'[1]побудинковий звіт'!G250</f>
        <v>0</v>
      </c>
      <c r="H250" s="148">
        <f>'[1]побудинковий звіт'!H250</f>
        <v>0</v>
      </c>
      <c r="I250" s="41">
        <f>'[2]побудинковий звіт'!I250+'[1]побудинковий звіт'!I250</f>
        <v>4924.4666261846023</v>
      </c>
      <c r="J250" s="41">
        <f>'[2]побудинковий звіт'!J250+'[1]побудинковий звіт'!J250</f>
        <v>5041.167573161054</v>
      </c>
      <c r="K250" s="55">
        <f t="shared" si="186"/>
        <v>116.70094697645163</v>
      </c>
      <c r="L250" s="41">
        <f>'[2]побудинковий звіт'!L250+'[1]побудинковий звіт'!L250</f>
        <v>952.33458214826851</v>
      </c>
      <c r="M250" s="41">
        <f>'[2]побудинковий звіт'!M250+'[1]побудинковий звіт'!M250</f>
        <v>998.97125270860977</v>
      </c>
      <c r="N250" s="55">
        <f t="shared" si="187"/>
        <v>46.636670560341258</v>
      </c>
      <c r="O250" s="41">
        <f>'[2]побудинковий звіт'!O250+'[1]побудинковий звіт'!O250</f>
        <v>2023.4754294900426</v>
      </c>
      <c r="P250" s="41">
        <f>'[2]побудинковий звіт'!P250+'[1]побудинковий звіт'!P250</f>
        <v>2028.9932591123256</v>
      </c>
      <c r="Q250" s="55">
        <f t="shared" si="188"/>
        <v>5.5178296222829886</v>
      </c>
      <c r="R250" s="41">
        <f>'[2]побудинковий звіт'!R250+'[1]побудинковий звіт'!R250</f>
        <v>0</v>
      </c>
      <c r="S250" s="41">
        <f>'[2]побудинковий звіт'!S250+'[1]побудинковий звіт'!S250</f>
        <v>0</v>
      </c>
      <c r="T250" s="55">
        <f t="shared" si="189"/>
        <v>0</v>
      </c>
      <c r="U250" s="41">
        <f>'[2]побудинковий звіт'!U250+'[1]побудинковий звіт'!U250</f>
        <v>0</v>
      </c>
      <c r="V250" s="41">
        <f>'[2]побудинковий звіт'!V250+'[1]побудинковий звіт'!V250</f>
        <v>0</v>
      </c>
      <c r="W250" s="55">
        <f t="shared" si="190"/>
        <v>0</v>
      </c>
      <c r="X250" s="41">
        <f>'[2]побудинковий звіт'!X250+'[1]побудинковий звіт'!X250</f>
        <v>3016.7742906962908</v>
      </c>
      <c r="Y250" s="41">
        <f>'[2]побудинковий звіт'!Y250+'[1]побудинковий звіт'!Y250</f>
        <v>2825.8697842437255</v>
      </c>
      <c r="Z250" s="55">
        <f t="shared" si="191"/>
        <v>-190.90450645256533</v>
      </c>
      <c r="AA250" s="41">
        <f>'[2]побудинковий звіт'!AA250+'[1]побудинковий звіт'!AA250</f>
        <v>0</v>
      </c>
      <c r="AB250" s="41">
        <f>'[2]побудинковий звіт'!AB250+'[1]побудинковий звіт'!AB250</f>
        <v>0</v>
      </c>
      <c r="AC250" s="55">
        <f t="shared" si="192"/>
        <v>0</v>
      </c>
      <c r="AD250" s="41">
        <f>'[2]побудинковий звіт'!AD250+'[1]побудинковий звіт'!AD250</f>
        <v>5561.7541102108225</v>
      </c>
      <c r="AE250" s="41">
        <f>'[2]побудинковий звіт'!AE250+'[1]побудинковий звіт'!AE250</f>
        <v>5540.2869372259911</v>
      </c>
      <c r="AF250" s="36">
        <f t="shared" si="193"/>
        <v>-21.46717298483145</v>
      </c>
      <c r="AG250" s="84">
        <f t="shared" si="194"/>
        <v>16478.805038730025</v>
      </c>
      <c r="AH250" s="56">
        <f t="shared" si="195"/>
        <v>16435.288806451706</v>
      </c>
      <c r="AI250" s="55">
        <f t="shared" si="196"/>
        <v>-43.516232278318057</v>
      </c>
      <c r="AJ250" s="41">
        <f>'[2]побудинковий звіт'!AJ250+'[1]побудинковий звіт'!AJ250</f>
        <v>0</v>
      </c>
      <c r="AK250" s="41">
        <f>'[2]побудинковий звіт'!AK250+'[1]побудинковий звіт'!AK250</f>
        <v>0</v>
      </c>
      <c r="AL250" s="55">
        <f t="shared" si="197"/>
        <v>0</v>
      </c>
      <c r="AM250" s="41">
        <f>'[2]побудинковий звіт'!AM250+'[1]побудинковий звіт'!AM250</f>
        <v>0</v>
      </c>
      <c r="AN250" s="41">
        <f>'[2]побудинковий звіт'!AN250+'[1]побудинковий звіт'!AN250</f>
        <v>0</v>
      </c>
      <c r="AO250" s="55">
        <f t="shared" si="198"/>
        <v>0</v>
      </c>
      <c r="AP250" s="41">
        <f>'[2]побудинковий звіт'!AP250+'[1]побудинковий звіт'!AP250</f>
        <v>3268.973211587173</v>
      </c>
      <c r="AQ250" s="41">
        <f>'[2]побудинковий звіт'!AQ250+'[1]побудинковий звіт'!AQ250</f>
        <v>3694.0664144877096</v>
      </c>
      <c r="AR250" s="55">
        <f t="shared" si="199"/>
        <v>425.09320290053665</v>
      </c>
      <c r="AS250" s="41">
        <f>'[2]побудинковий звіт'!AS250+'[1]побудинковий звіт'!AS250</f>
        <v>12883.065400031857</v>
      </c>
      <c r="AT250" s="41">
        <f>'[2]побудинковий звіт'!AT250+'[1]побудинковий звіт'!AT250</f>
        <v>934.08358859403154</v>
      </c>
      <c r="AU250" s="57">
        <f t="shared" si="200"/>
        <v>-11948.981811437825</v>
      </c>
      <c r="AV250" s="41">
        <f>'[2]побудинковий звіт'!AV250+'[1]побудинковий звіт'!AV250</f>
        <v>846.13505291795866</v>
      </c>
      <c r="AW250" s="41">
        <f>'[2]побудинковий звіт'!AW250+'[1]побудинковий звіт'!AW250</f>
        <v>353.76054788612788</v>
      </c>
      <c r="AX250" s="58">
        <f t="shared" si="201"/>
        <v>-492.37450503183078</v>
      </c>
      <c r="AY250" s="41">
        <f>'[2]побудинковий звіт'!AY250+'[1]побудинковий звіт'!AY250</f>
        <v>1141.2604514294317</v>
      </c>
      <c r="AZ250" s="41">
        <f>'[2]побудинковий звіт'!AZ250+'[1]побудинковий звіт'!AZ250</f>
        <v>0</v>
      </c>
      <c r="BA250" s="36">
        <f t="shared" si="202"/>
        <v>-1141.2604514294317</v>
      </c>
      <c r="BB250" s="41">
        <f>'[2]побудинковий звіт'!BB250+'[1]побудинковий звіт'!BB250</f>
        <v>856.87703891552212</v>
      </c>
      <c r="BC250" s="41">
        <f>'[2]побудинковий звіт'!BC250+'[1]побудинковий звіт'!BC250</f>
        <v>0</v>
      </c>
      <c r="BD250" s="58">
        <f t="shared" si="203"/>
        <v>-856.87703891552212</v>
      </c>
      <c r="BE250" s="41">
        <f>'[2]побудинковий звіт'!BE250+'[1]побудинковий звіт'!BE250</f>
        <v>0</v>
      </c>
      <c r="BF250" s="41">
        <f>'[2]побудинковий звіт'!BF250+'[1]побудинковий звіт'!BF250</f>
        <v>0</v>
      </c>
      <c r="BG250" s="38">
        <f t="shared" si="204"/>
        <v>0</v>
      </c>
      <c r="BH250" s="41">
        <f>'[2]побудинковий звіт'!BH250+'[1]побудинковий звіт'!BH250</f>
        <v>0</v>
      </c>
      <c r="BI250" s="41">
        <f>'[2]побудинковий звіт'!BI250+'[1]побудинковий звіт'!BI250</f>
        <v>479.81746655732121</v>
      </c>
      <c r="BJ250" s="58">
        <f t="shared" si="205"/>
        <v>479.81746655732121</v>
      </c>
      <c r="BK250" s="41">
        <f>'[2]побудинковий звіт'!BK250+'[1]побудинковий звіт'!BK250</f>
        <v>448.5155434190163</v>
      </c>
      <c r="BL250" s="41">
        <f>'[2]побудинковий звіт'!BL250+'[1]побудинковий звіт'!BL250</f>
        <v>0</v>
      </c>
      <c r="BM250" s="38">
        <f t="shared" si="206"/>
        <v>-448.5155434190163</v>
      </c>
      <c r="BN250" s="41">
        <f>'[2]побудинковий звіт'!BN250+'[1]побудинковий звіт'!BN250</f>
        <v>27.982814826598393</v>
      </c>
      <c r="BO250" s="41">
        <f>'[2]побудинковий звіт'!BO250+'[1]побудинковий звіт'!BO250</f>
        <v>0</v>
      </c>
      <c r="BP250" s="58">
        <f t="shared" si="207"/>
        <v>-27.982814826598393</v>
      </c>
      <c r="BQ250" s="84">
        <f t="shared" si="208"/>
        <v>3320.770901508527</v>
      </c>
      <c r="BR250" s="42">
        <f t="shared" si="209"/>
        <v>833.57801444344909</v>
      </c>
      <c r="BS250" s="58">
        <f t="shared" si="210"/>
        <v>-2487.1928870650781</v>
      </c>
      <c r="BT250" s="41">
        <f>'[2]побудинковий звіт'!BT250+'[1]побудинковий звіт'!BT250</f>
        <v>20540.669393875018</v>
      </c>
      <c r="BU250" s="41">
        <f>'[2]побудинковий звіт'!BU250+'[1]побудинковий звіт'!BU250</f>
        <v>34744.969295023868</v>
      </c>
      <c r="BV250" s="55">
        <f t="shared" si="211"/>
        <v>14204.29990114885</v>
      </c>
      <c r="BW250" s="41">
        <f>'[2]побудинковий звіт'!BW250+'[1]побудинковий звіт'!BW250</f>
        <v>7851.283360408409</v>
      </c>
      <c r="BX250" s="41">
        <f>'[2]побудинковий звіт'!BX250+'[1]побудинковий звіт'!BX250</f>
        <v>9141.5495495238083</v>
      </c>
      <c r="BY250" s="55">
        <f t="shared" si="212"/>
        <v>1290.2661891153994</v>
      </c>
      <c r="BZ250" s="41">
        <f>'[2]побудинковий звіт'!BZ250+'[1]побудинковий звіт'!BZ250</f>
        <v>8497.5908401712768</v>
      </c>
      <c r="CA250" s="41">
        <f>'[2]побудинковий звіт'!CA250+'[1]побудинковий звіт'!CA250</f>
        <v>3411.5673379802734</v>
      </c>
      <c r="CB250" s="55">
        <f t="shared" si="213"/>
        <v>-5086.023502191003</v>
      </c>
      <c r="CC250" s="41">
        <f>'[2]побудинковий звіт'!CC250+'[1]побудинковий звіт'!CC250</f>
        <v>929.8098664583747</v>
      </c>
      <c r="CD250" s="41">
        <f>'[2]побудинковий звіт'!CD250+'[1]побудинковий звіт'!CD250</f>
        <v>932.96274800113054</v>
      </c>
      <c r="CE250" s="55">
        <f t="shared" si="214"/>
        <v>3.1528815427558357</v>
      </c>
      <c r="CF250" s="41">
        <f>'[2]побудинковий звіт'!CF250+'[1]побудинковий звіт'!CF250</f>
        <v>115.19850034256046</v>
      </c>
      <c r="CG250" s="41">
        <f>'[2]побудинковий звіт'!CG250+'[1]побудинковий звіт'!CG250</f>
        <v>0</v>
      </c>
      <c r="CH250" s="55">
        <f t="shared" si="215"/>
        <v>-115.19850034256046</v>
      </c>
      <c r="CI250" s="41">
        <f>'[2]побудинковий звіт'!CI250+'[1]побудинковий звіт'!CI250</f>
        <v>1955.6504356349276</v>
      </c>
      <c r="CJ250" s="41">
        <f>'[2]побудинковий звіт'!CJ250+'[1]побудинковий звіт'!CJ250</f>
        <v>2898.9704605878933</v>
      </c>
      <c r="CK250" s="55">
        <f t="shared" si="216"/>
        <v>943.3200249529657</v>
      </c>
      <c r="CL250" s="41">
        <f>'[2]побудинковий звіт'!CL250+'[1]побудинковий звіт'!CL250</f>
        <v>0</v>
      </c>
      <c r="CM250" s="41">
        <f>'[2]побудинковий звіт'!CM250+'[1]побудинковий звіт'!CM250</f>
        <v>0</v>
      </c>
      <c r="CN250" s="55">
        <f t="shared" si="217"/>
        <v>0</v>
      </c>
      <c r="CO250" s="41">
        <f t="shared" si="218"/>
        <v>1955.6504356349276</v>
      </c>
      <c r="CP250" s="42">
        <f t="shared" si="219"/>
        <v>2898.9704605878933</v>
      </c>
      <c r="CQ250" s="55">
        <f t="shared" si="220"/>
        <v>943.3200249529657</v>
      </c>
      <c r="CR250" s="76">
        <f t="shared" si="221"/>
        <v>75841.816948748165</v>
      </c>
      <c r="CS250" s="5">
        <f t="shared" si="222"/>
        <v>73027.036215093874</v>
      </c>
      <c r="CT250" s="55">
        <f t="shared" si="223"/>
        <v>-2814.7807336542901</v>
      </c>
      <c r="CU250" s="84">
        <f t="shared" si="224"/>
        <v>91010.180338497797</v>
      </c>
      <c r="CV250" s="68">
        <f t="shared" si="225"/>
        <v>87632.443458112641</v>
      </c>
      <c r="CW250" s="36">
        <f t="shared" si="226"/>
        <v>-3377.7368803851568</v>
      </c>
      <c r="CX250" s="41">
        <f>'[2]побудинковий звіт'!CX250+'[1]побудинковий звіт'!CX250</f>
        <v>982.76122253421283</v>
      </c>
      <c r="CY250" s="41">
        <f>'[2]побудинковий звіт'!CY250+'[1]побудинковий звіт'!CY250</f>
        <v>4360.498102919355</v>
      </c>
      <c r="CZ250" s="55">
        <f t="shared" si="227"/>
        <v>3377.7368803851423</v>
      </c>
      <c r="DA250" s="254">
        <f>'[1]побудинковий звіт'!DA250</f>
        <v>73787.465032192864</v>
      </c>
      <c r="DB250" s="2">
        <v>2</v>
      </c>
      <c r="DC250" s="702">
        <f>'[1]побудинковий звіт'!DC250</f>
        <v>22430.57</v>
      </c>
      <c r="DD250" s="702">
        <f>'[1]побудинковий звіт'!DD250</f>
        <v>0</v>
      </c>
      <c r="DE250" s="702">
        <f>'[1]побудинковий звіт'!DE250</f>
        <v>12324.19</v>
      </c>
      <c r="DF250" s="702">
        <f>'[1]побудинковий звіт'!DF250</f>
        <v>0</v>
      </c>
      <c r="DG250" s="772">
        <v>72526.116958247731</v>
      </c>
      <c r="DH250" s="746">
        <f t="shared" si="251"/>
        <v>1103915.2987323841</v>
      </c>
      <c r="DI250" s="769"/>
      <c r="DJ250" s="5"/>
      <c r="DK250" s="307">
        <f>VLOOKUP($A250,ціни!$A$4:$G$401,5)</f>
        <v>5.615974057354018</v>
      </c>
      <c r="DL250" s="307"/>
      <c r="DM250" s="307">
        <f>VLOOKUP($A250,ціни!$A$4:$G$401,7)</f>
        <v>5.0380969556443516</v>
      </c>
      <c r="DN250" s="29">
        <f t="shared" si="249"/>
        <v>7206.9795078024108</v>
      </c>
      <c r="DO250" s="29">
        <f t="shared" si="250"/>
        <v>0</v>
      </c>
      <c r="DP250" s="306">
        <f t="shared" si="252"/>
        <v>7206.9795078024108</v>
      </c>
      <c r="DQ250" s="101"/>
      <c r="DR250" s="29">
        <f>VLOOKUP(A250,'ДЗ нас '!$A$1:$C$359,2)</f>
        <v>7207.01</v>
      </c>
      <c r="DS250" s="733"/>
      <c r="DT250" s="29">
        <f t="shared" si="253"/>
        <v>7207.01</v>
      </c>
      <c r="DU250" s="247">
        <f>VLOOKUP(A250,'новий кошторис с 01.06'!$A$4:$AI$399,35)*1.2</f>
        <v>7200.2403389335859</v>
      </c>
      <c r="DV250" s="29">
        <f t="shared" si="254"/>
        <v>6.7696610664143009</v>
      </c>
      <c r="DW250" s="1016">
        <f>'[2]побудинковий звіт'!$DW$9+'[1]побудинковий звіт'!DW250</f>
        <v>918</v>
      </c>
      <c r="DX250" s="101">
        <f>'[1]побудинковий звіт'!DX250</f>
        <v>0</v>
      </c>
      <c r="DY250" s="5">
        <f t="shared" si="255"/>
        <v>19444.60356184846</v>
      </c>
      <c r="DZ250" s="5">
        <f t="shared" si="256"/>
        <v>2121.1939236449766</v>
      </c>
      <c r="EA250" s="737">
        <f t="shared" si="257"/>
        <v>12324.19</v>
      </c>
      <c r="EC250" s="577">
        <f t="shared" si="258"/>
        <v>154596.78480038227</v>
      </c>
      <c r="EE250" s="743">
        <v>-19605</v>
      </c>
      <c r="EF250" s="723">
        <f t="shared" si="259"/>
        <v>52921.116958247731</v>
      </c>
      <c r="EH250" s="798">
        <v>82697.610987443259</v>
      </c>
      <c r="EI250" s="1026">
        <f>VLOOKUP(A250,'кошти 01.01.24'!$A$9:$D$352,4,FALSE)</f>
        <v>77165.201912577992</v>
      </c>
    </row>
    <row r="251" spans="1:139" hidden="1" x14ac:dyDescent="0.3">
      <c r="A251" s="318">
        <v>150000750</v>
      </c>
      <c r="B251" s="43" t="s">
        <v>701</v>
      </c>
      <c r="C251" s="44" t="s">
        <v>129</v>
      </c>
      <c r="D251" s="44" t="s">
        <v>129</v>
      </c>
      <c r="E251" s="39">
        <f t="shared" si="185"/>
        <v>275.8</v>
      </c>
      <c r="F251" s="205">
        <f>'[1]побудинковий звіт'!F251</f>
        <v>275.8</v>
      </c>
      <c r="G251" s="29">
        <f>'[1]побудинковий звіт'!G251</f>
        <v>0</v>
      </c>
      <c r="H251" s="148">
        <f>'[1]побудинковий звіт'!H251</f>
        <v>0</v>
      </c>
      <c r="I251" s="41">
        <f>'[2]побудинковий звіт'!I251+'[1]побудинковий звіт'!I251</f>
        <v>0</v>
      </c>
      <c r="J251" s="41">
        <f>'[2]побудинковий звіт'!J251+'[1]побудинковий звіт'!J251</f>
        <v>0</v>
      </c>
      <c r="K251" s="55">
        <f t="shared" si="186"/>
        <v>0</v>
      </c>
      <c r="L251" s="41">
        <f>'[2]побудинковий звіт'!L251+'[1]побудинковий звіт'!L251</f>
        <v>0</v>
      </c>
      <c r="M251" s="41">
        <f>'[2]побудинковий звіт'!M251+'[1]побудинковий звіт'!M251</f>
        <v>0</v>
      </c>
      <c r="N251" s="55">
        <f t="shared" si="187"/>
        <v>0</v>
      </c>
      <c r="O251" s="41">
        <f>'[2]побудинковий звіт'!O251+'[1]побудинковий звіт'!O251</f>
        <v>0</v>
      </c>
      <c r="P251" s="41">
        <f>'[2]побудинковий звіт'!P251+'[1]побудинковий звіт'!P251</f>
        <v>0</v>
      </c>
      <c r="Q251" s="55">
        <f t="shared" si="188"/>
        <v>0</v>
      </c>
      <c r="R251" s="41">
        <f>'[2]побудинковий звіт'!R251+'[1]побудинковий звіт'!R251</f>
        <v>0</v>
      </c>
      <c r="S251" s="41">
        <f>'[2]побудинковий звіт'!S251+'[1]побудинковий звіт'!S251</f>
        <v>0</v>
      </c>
      <c r="T251" s="55">
        <f t="shared" si="189"/>
        <v>0</v>
      </c>
      <c r="U251" s="41">
        <f>'[2]побудинковий звіт'!U251+'[1]побудинковий звіт'!U251</f>
        <v>0</v>
      </c>
      <c r="V251" s="41">
        <f>'[2]побудинковий звіт'!V251+'[1]побудинковий звіт'!V251</f>
        <v>0</v>
      </c>
      <c r="W251" s="55">
        <f t="shared" si="190"/>
        <v>0</v>
      </c>
      <c r="X251" s="41">
        <f>'[2]побудинковий звіт'!X251+'[1]побудинковий звіт'!X251</f>
        <v>0</v>
      </c>
      <c r="Y251" s="41">
        <f>'[2]побудинковий звіт'!Y251+'[1]побудинковий звіт'!Y251</f>
        <v>0</v>
      </c>
      <c r="Z251" s="55">
        <f t="shared" si="191"/>
        <v>0</v>
      </c>
      <c r="AA251" s="41">
        <f>'[2]побудинковий звіт'!AA251+'[1]побудинковий звіт'!AA251</f>
        <v>0</v>
      </c>
      <c r="AB251" s="41">
        <f>'[2]побудинковий звіт'!AB251+'[1]побудинковий звіт'!AB251</f>
        <v>0</v>
      </c>
      <c r="AC251" s="55">
        <f t="shared" si="192"/>
        <v>0</v>
      </c>
      <c r="AD251" s="41">
        <f>'[2]побудинковий звіт'!AD251+'[1]побудинковий звіт'!AD251</f>
        <v>0</v>
      </c>
      <c r="AE251" s="41">
        <f>'[2]побудинковий звіт'!AE251+'[1]побудинковий звіт'!AE251</f>
        <v>0</v>
      </c>
      <c r="AF251" s="36">
        <f t="shared" si="193"/>
        <v>0</v>
      </c>
      <c r="AG251" s="84">
        <f t="shared" si="194"/>
        <v>0</v>
      </c>
      <c r="AH251" s="56">
        <f t="shared" si="195"/>
        <v>0</v>
      </c>
      <c r="AI251" s="55">
        <f t="shared" si="196"/>
        <v>0</v>
      </c>
      <c r="AJ251" s="41">
        <f>'[2]побудинковий звіт'!AJ251+'[1]побудинковий звіт'!AJ251</f>
        <v>0</v>
      </c>
      <c r="AK251" s="41">
        <f>'[2]побудинковий звіт'!AK251+'[1]побудинковий звіт'!AK251</f>
        <v>0</v>
      </c>
      <c r="AL251" s="55">
        <f t="shared" si="197"/>
        <v>0</v>
      </c>
      <c r="AM251" s="41">
        <f>'[2]побудинковий звіт'!AM251+'[1]побудинковий звіт'!AM251</f>
        <v>0</v>
      </c>
      <c r="AN251" s="41">
        <f>'[2]побудинковий звіт'!AN251+'[1]побудинковий звіт'!AN251</f>
        <v>0</v>
      </c>
      <c r="AO251" s="55">
        <f t="shared" si="198"/>
        <v>0</v>
      </c>
      <c r="AP251" s="41">
        <f>'[2]побудинковий звіт'!AP251+'[1]побудинковий звіт'!AP251</f>
        <v>536.30133770220777</v>
      </c>
      <c r="AQ251" s="41">
        <f>'[2]побудинковий звіт'!AQ251+'[1]побудинковий звіт'!AQ251</f>
        <v>117.06282019300937</v>
      </c>
      <c r="AR251" s="55">
        <f t="shared" si="199"/>
        <v>-419.2385175091984</v>
      </c>
      <c r="AS251" s="41">
        <f>'[2]побудинковий звіт'!AS251+'[1]побудинковий звіт'!AS251</f>
        <v>4097.9077505262558</v>
      </c>
      <c r="AT251" s="41">
        <f>'[2]побудинковий звіт'!AT251+'[1]побудинковий звіт'!AT251</f>
        <v>0</v>
      </c>
      <c r="AU251" s="57">
        <f t="shared" si="200"/>
        <v>-4097.9077505262558</v>
      </c>
      <c r="AV251" s="41">
        <f>'[2]побудинковий звіт'!AV251+'[1]побудинковий звіт'!AV251</f>
        <v>0</v>
      </c>
      <c r="AW251" s="41">
        <f>'[2]побудинковий звіт'!AW251+'[1]побудинковий звіт'!AW251</f>
        <v>0</v>
      </c>
      <c r="AX251" s="58">
        <f t="shared" si="201"/>
        <v>0</v>
      </c>
      <c r="AY251" s="41">
        <f>'[2]побудинковий звіт'!AY251+'[1]побудинковий звіт'!AY251</f>
        <v>0</v>
      </c>
      <c r="AZ251" s="41">
        <f>'[2]побудинковий звіт'!AZ251+'[1]побудинковий звіт'!AZ251</f>
        <v>0</v>
      </c>
      <c r="BA251" s="36">
        <f t="shared" si="202"/>
        <v>0</v>
      </c>
      <c r="BB251" s="41">
        <f>'[2]побудинковий звіт'!BB251+'[1]побудинковий звіт'!BB251</f>
        <v>0</v>
      </c>
      <c r="BC251" s="41">
        <f>'[2]побудинковий звіт'!BC251+'[1]побудинковий звіт'!BC251</f>
        <v>0</v>
      </c>
      <c r="BD251" s="58">
        <f t="shared" si="203"/>
        <v>0</v>
      </c>
      <c r="BE251" s="41">
        <f>'[2]побудинковий звіт'!BE251+'[1]побудинковий звіт'!BE251</f>
        <v>0</v>
      </c>
      <c r="BF251" s="41">
        <f>'[2]побудинковий звіт'!BF251+'[1]побудинковий звіт'!BF251</f>
        <v>0</v>
      </c>
      <c r="BG251" s="38">
        <f t="shared" si="204"/>
        <v>0</v>
      </c>
      <c r="BH251" s="41">
        <f>'[2]побудинковий звіт'!BH251+'[1]побудинковий звіт'!BH251</f>
        <v>0</v>
      </c>
      <c r="BI251" s="41">
        <f>'[2]побудинковий звіт'!BI251+'[1]побудинковий звіт'!BI251</f>
        <v>0</v>
      </c>
      <c r="BJ251" s="58">
        <f t="shared" si="205"/>
        <v>0</v>
      </c>
      <c r="BK251" s="41">
        <f>'[2]побудинковий звіт'!BK251+'[1]побудинковий звіт'!BK251</f>
        <v>0</v>
      </c>
      <c r="BL251" s="41">
        <f>'[2]побудинковий звіт'!BL251+'[1]побудинковий звіт'!BL251</f>
        <v>0</v>
      </c>
      <c r="BM251" s="38">
        <f t="shared" si="206"/>
        <v>0</v>
      </c>
      <c r="BN251" s="41">
        <f>'[2]побудинковий звіт'!BN251+'[1]побудинковий звіт'!BN251</f>
        <v>0</v>
      </c>
      <c r="BO251" s="41">
        <f>'[2]побудинковий звіт'!BO251+'[1]побудинковий звіт'!BO251</f>
        <v>0</v>
      </c>
      <c r="BP251" s="58">
        <f t="shared" si="207"/>
        <v>0</v>
      </c>
      <c r="BQ251" s="84">
        <f t="shared" si="208"/>
        <v>0</v>
      </c>
      <c r="BR251" s="42">
        <f t="shared" si="209"/>
        <v>0</v>
      </c>
      <c r="BS251" s="58">
        <f t="shared" si="210"/>
        <v>0</v>
      </c>
      <c r="BT251" s="41">
        <f>'[2]побудинковий звіт'!BT251+'[1]побудинковий звіт'!BT251</f>
        <v>777.23733115666846</v>
      </c>
      <c r="BU251" s="41">
        <f>'[2]побудинковий звіт'!BU251+'[1]побудинковий звіт'!BU251</f>
        <v>2231.6378745712286</v>
      </c>
      <c r="BV251" s="55">
        <f t="shared" si="211"/>
        <v>1454.4005434145602</v>
      </c>
      <c r="BW251" s="41">
        <f>'[2]побудинковий звіт'!BW251+'[1]побудинковий звіт'!BW251</f>
        <v>0</v>
      </c>
      <c r="BX251" s="41">
        <f>'[2]побудинковий звіт'!BX251+'[1]побудинковий звіт'!BX251</f>
        <v>1.122586585777722</v>
      </c>
      <c r="BY251" s="55">
        <f t="shared" si="212"/>
        <v>1.122586585777722</v>
      </c>
      <c r="BZ251" s="41">
        <f>'[2]побудинковий звіт'!BZ251+'[1]побудинковий звіт'!BZ251</f>
        <v>152.78811863076169</v>
      </c>
      <c r="CA251" s="41">
        <f>'[2]побудинковий звіт'!CA251+'[1]побудинковий звіт'!CA251</f>
        <v>199.93172243572295</v>
      </c>
      <c r="CB251" s="55">
        <f t="shared" si="213"/>
        <v>47.143603804961259</v>
      </c>
      <c r="CC251" s="41">
        <f>'[2]побудинковий звіт'!CC251+'[1]побудинковий звіт'!CC251</f>
        <v>0</v>
      </c>
      <c r="CD251" s="41">
        <f>'[2]побудинковий звіт'!CD251+'[1]побудинковий звіт'!CD251</f>
        <v>0</v>
      </c>
      <c r="CE251" s="55">
        <f t="shared" si="214"/>
        <v>0</v>
      </c>
      <c r="CF251" s="41">
        <f>'[2]побудинковий звіт'!CF251+'[1]побудинковий звіт'!CF251</f>
        <v>0</v>
      </c>
      <c r="CG251" s="41">
        <f>'[2]побудинковий звіт'!CG251+'[1]побудинковий звіт'!CG251</f>
        <v>0</v>
      </c>
      <c r="CH251" s="55">
        <f t="shared" si="215"/>
        <v>0</v>
      </c>
      <c r="CI251" s="41">
        <f>'[2]побудинковий звіт'!CI251+'[1]побудинковий звіт'!CI251</f>
        <v>0</v>
      </c>
      <c r="CJ251" s="41">
        <f>'[2]побудинковий звіт'!CJ251+'[1]побудинковий звіт'!CJ251</f>
        <v>0</v>
      </c>
      <c r="CK251" s="55">
        <f t="shared" si="216"/>
        <v>0</v>
      </c>
      <c r="CL251" s="41">
        <f>'[2]побудинковий звіт'!CL251+'[1]побудинковий звіт'!CL251</f>
        <v>0</v>
      </c>
      <c r="CM251" s="41">
        <f>'[2]побудинковий звіт'!CM251+'[1]побудинковий звіт'!CM251</f>
        <v>0</v>
      </c>
      <c r="CN251" s="55">
        <f t="shared" si="217"/>
        <v>0</v>
      </c>
      <c r="CO251" s="41">
        <f t="shared" si="218"/>
        <v>0</v>
      </c>
      <c r="CP251" s="42">
        <f t="shared" si="219"/>
        <v>0</v>
      </c>
      <c r="CQ251" s="55">
        <f t="shared" si="220"/>
        <v>0</v>
      </c>
      <c r="CR251" s="76">
        <f t="shared" si="221"/>
        <v>5564.234538015894</v>
      </c>
      <c r="CS251" s="5">
        <f t="shared" si="222"/>
        <v>2549.7550037857386</v>
      </c>
      <c r="CT251" s="55">
        <f t="shared" si="223"/>
        <v>-3014.4795342301554</v>
      </c>
      <c r="CU251" s="84">
        <f t="shared" si="224"/>
        <v>6677.0814456190728</v>
      </c>
      <c r="CV251" s="68">
        <f t="shared" si="225"/>
        <v>3059.7060045428861</v>
      </c>
      <c r="CW251" s="36">
        <f t="shared" si="226"/>
        <v>-3617.3754410761867</v>
      </c>
      <c r="CX251" s="41">
        <f>'[2]побудинковий звіт'!CX251+'[1]побудинковий звіт'!CX251</f>
        <v>307.48510305776045</v>
      </c>
      <c r="CY251" s="41">
        <f>'[2]побудинковий звіт'!CY251+'[1]побудинковий звіт'!CY251</f>
        <v>3924.8605441339469</v>
      </c>
      <c r="CZ251" s="55">
        <f t="shared" si="227"/>
        <v>3617.3754410761862</v>
      </c>
      <c r="DA251" s="254">
        <f>'[1]побудинковий звіт'!DA251</f>
        <v>-7384.4288247372324</v>
      </c>
      <c r="DB251" s="2">
        <v>1</v>
      </c>
      <c r="DC251" s="702">
        <f>'[1]побудинковий звіт'!DC251</f>
        <v>1746.88</v>
      </c>
      <c r="DD251" s="702">
        <f>'[1]побудинковий звіт'!DD251</f>
        <v>0</v>
      </c>
      <c r="DE251" s="702">
        <f>'[1]побудинковий звіт'!DE251</f>
        <v>980.17000000000007</v>
      </c>
      <c r="DF251" s="702">
        <f>'[1]побудинковий звіт'!DF251</f>
        <v>0</v>
      </c>
      <c r="DG251" s="772">
        <v>-3200.3781753372077</v>
      </c>
      <c r="DH251" s="746">
        <f t="shared" si="251"/>
        <v>83814.798584121992</v>
      </c>
      <c r="DI251" s="769"/>
      <c r="DJ251" s="5"/>
      <c r="DK251" s="307">
        <f>VLOOKUP($A251,ціни!$A$4:$G$401,5)</f>
        <v>1.9844166737057194</v>
      </c>
      <c r="DL251" s="307"/>
      <c r="DM251" s="307">
        <f>VLOOKUP($A251,ціни!$A$4:$G$401,7)</f>
        <v>1.9844166737057194</v>
      </c>
      <c r="DN251" s="29">
        <f t="shared" si="249"/>
        <v>547.3021186080374</v>
      </c>
      <c r="DO251" s="29">
        <f t="shared" si="250"/>
        <v>0</v>
      </c>
      <c r="DP251" s="306">
        <f t="shared" si="252"/>
        <v>547.3021186080374</v>
      </c>
      <c r="DQ251" s="101"/>
      <c r="DR251" s="29">
        <f>VLOOKUP(A251,'ДЗ нас '!$A$1:$C$359,2)</f>
        <v>547.30999999999995</v>
      </c>
      <c r="DS251" s="733"/>
      <c r="DT251" s="29">
        <f t="shared" si="253"/>
        <v>547.30999999999995</v>
      </c>
      <c r="DU251" s="247">
        <f>VLOOKUP(A251,'новий кошторис с 01.06'!$A$4:$AI$399,35)*1.2</f>
        <v>552.01572537116874</v>
      </c>
      <c r="DV251" s="29">
        <f t="shared" si="254"/>
        <v>-4.7057253711687963</v>
      </c>
      <c r="DW251" s="1016">
        <f>'[2]побудинковий звіт'!$DW$9+'[1]побудинковий звіт'!DW251</f>
        <v>0</v>
      </c>
      <c r="DX251" s="101">
        <f>'[1]побудинковий звіт'!DX251</f>
        <v>0</v>
      </c>
      <c r="DY251" s="5">
        <f t="shared" si="255"/>
        <v>4917.4893006315069</v>
      </c>
      <c r="DZ251" s="5">
        <f t="shared" si="256"/>
        <v>0</v>
      </c>
      <c r="EA251" s="737">
        <f t="shared" si="257"/>
        <v>980.17000000000007</v>
      </c>
      <c r="EC251" s="577">
        <f t="shared" si="258"/>
        <v>49174.893006315069</v>
      </c>
      <c r="EE251" s="743">
        <v>-3303</v>
      </c>
      <c r="EF251" s="723">
        <f t="shared" si="259"/>
        <v>-6503.3781753372077</v>
      </c>
      <c r="EH251" s="798">
        <v>-3865.0494025790426</v>
      </c>
      <c r="EI251" s="101">
        <f>VLOOKUP(A251,'кошти 01.01.24'!$A$9:$D$352,4,FALSE)</f>
        <v>-3767.0533836610466</v>
      </c>
    </row>
    <row r="252" spans="1:139" hidden="1" x14ac:dyDescent="0.3">
      <c r="A252" s="318">
        <v>150000751</v>
      </c>
      <c r="B252" s="43" t="s">
        <v>702</v>
      </c>
      <c r="C252" s="44" t="s">
        <v>130</v>
      </c>
      <c r="D252" s="44" t="s">
        <v>130</v>
      </c>
      <c r="E252" s="39">
        <f t="shared" si="185"/>
        <v>146.1</v>
      </c>
      <c r="F252" s="205">
        <f>'[1]побудинковий звіт'!F252</f>
        <v>146.1</v>
      </c>
      <c r="G252" s="29">
        <f>'[1]побудинковий звіт'!G252</f>
        <v>0</v>
      </c>
      <c r="H252" s="148">
        <f>'[1]побудинковий звіт'!H252</f>
        <v>0</v>
      </c>
      <c r="I252" s="41">
        <f>'[2]побудинковий звіт'!I252+'[1]побудинковий звіт'!I252</f>
        <v>0</v>
      </c>
      <c r="J252" s="41">
        <f>'[2]побудинковий звіт'!J252+'[1]побудинковий звіт'!J252</f>
        <v>0</v>
      </c>
      <c r="K252" s="55">
        <f t="shared" si="186"/>
        <v>0</v>
      </c>
      <c r="L252" s="41">
        <f>'[2]побудинковий звіт'!L252+'[1]побудинковий звіт'!L252</f>
        <v>0</v>
      </c>
      <c r="M252" s="41">
        <f>'[2]побудинковий звіт'!M252+'[1]побудинковий звіт'!M252</f>
        <v>0</v>
      </c>
      <c r="N252" s="55">
        <f t="shared" si="187"/>
        <v>0</v>
      </c>
      <c r="O252" s="41">
        <f>'[2]побудинковий звіт'!O252+'[1]побудинковий звіт'!O252</f>
        <v>0</v>
      </c>
      <c r="P252" s="41">
        <f>'[2]побудинковий звіт'!P252+'[1]побудинковий звіт'!P252</f>
        <v>0</v>
      </c>
      <c r="Q252" s="55">
        <f t="shared" si="188"/>
        <v>0</v>
      </c>
      <c r="R252" s="41">
        <f>'[2]побудинковий звіт'!R252+'[1]побудинковий звіт'!R252</f>
        <v>0</v>
      </c>
      <c r="S252" s="41">
        <f>'[2]побудинковий звіт'!S252+'[1]побудинковий звіт'!S252</f>
        <v>0</v>
      </c>
      <c r="T252" s="55">
        <f t="shared" si="189"/>
        <v>0</v>
      </c>
      <c r="U252" s="41">
        <f>'[2]побудинковий звіт'!U252+'[1]побудинковий звіт'!U252</f>
        <v>0</v>
      </c>
      <c r="V252" s="41">
        <f>'[2]побудинковий звіт'!V252+'[1]побудинковий звіт'!V252</f>
        <v>0</v>
      </c>
      <c r="W252" s="55">
        <f t="shared" si="190"/>
        <v>0</v>
      </c>
      <c r="X252" s="41">
        <f>'[2]побудинковий звіт'!X252+'[1]побудинковий звіт'!X252</f>
        <v>0</v>
      </c>
      <c r="Y252" s="41">
        <f>'[2]побудинковий звіт'!Y252+'[1]побудинковий звіт'!Y252</f>
        <v>0</v>
      </c>
      <c r="Z252" s="55">
        <f t="shared" si="191"/>
        <v>0</v>
      </c>
      <c r="AA252" s="41">
        <f>'[2]побудинковий звіт'!AA252+'[1]побудинковий звіт'!AA252</f>
        <v>0</v>
      </c>
      <c r="AB252" s="41">
        <f>'[2]побудинковий звіт'!AB252+'[1]побудинковий звіт'!AB252</f>
        <v>0</v>
      </c>
      <c r="AC252" s="55">
        <f t="shared" si="192"/>
        <v>0</v>
      </c>
      <c r="AD252" s="41">
        <f>'[2]побудинковий звіт'!AD252+'[1]побудинковий звіт'!AD252</f>
        <v>0</v>
      </c>
      <c r="AE252" s="41">
        <f>'[2]побудинковий звіт'!AE252+'[1]побудинковий звіт'!AE252</f>
        <v>0</v>
      </c>
      <c r="AF252" s="36">
        <f t="shared" si="193"/>
        <v>0</v>
      </c>
      <c r="AG252" s="84">
        <f t="shared" si="194"/>
        <v>0</v>
      </c>
      <c r="AH252" s="56">
        <f t="shared" si="195"/>
        <v>0</v>
      </c>
      <c r="AI252" s="55">
        <f t="shared" si="196"/>
        <v>0</v>
      </c>
      <c r="AJ252" s="41">
        <f>'[2]побудинковий звіт'!AJ252+'[1]побудинковий звіт'!AJ252</f>
        <v>0</v>
      </c>
      <c r="AK252" s="41">
        <f>'[2]побудинковий звіт'!AK252+'[1]побудинковий звіт'!AK252</f>
        <v>0</v>
      </c>
      <c r="AL252" s="55">
        <f t="shared" si="197"/>
        <v>0</v>
      </c>
      <c r="AM252" s="41">
        <f>'[2]побудинковий звіт'!AM252+'[1]побудинковий звіт'!AM252</f>
        <v>0</v>
      </c>
      <c r="AN252" s="41">
        <f>'[2]побудинковий звіт'!AN252+'[1]побудинковий звіт'!AN252</f>
        <v>0</v>
      </c>
      <c r="AO252" s="55">
        <f t="shared" si="198"/>
        <v>0</v>
      </c>
      <c r="AP252" s="41">
        <f>'[2]побудинковий звіт'!AP252+'[1]побудинковий звіт'!AP252</f>
        <v>346.70928001682131</v>
      </c>
      <c r="AQ252" s="41">
        <f>'[2]побудинковий звіт'!AQ252+'[1]побудинковий звіт'!AQ252</f>
        <v>281.88140111632089</v>
      </c>
      <c r="AR252" s="55">
        <f t="shared" si="199"/>
        <v>-64.827878900500423</v>
      </c>
      <c r="AS252" s="41">
        <f>'[2]побудинковий звіт'!AS252+'[1]побудинковий звіт'!AS252</f>
        <v>1849.6863745367432</v>
      </c>
      <c r="AT252" s="41">
        <f>'[2]побудинковий звіт'!AT252+'[1]побудинковий звіт'!AT252</f>
        <v>0</v>
      </c>
      <c r="AU252" s="57">
        <f t="shared" si="200"/>
        <v>-1849.6863745367432</v>
      </c>
      <c r="AV252" s="41">
        <f>'[2]побудинковий звіт'!AV252+'[1]побудинковий звіт'!AV252</f>
        <v>0</v>
      </c>
      <c r="AW252" s="41">
        <f>'[2]побудинковий звіт'!AW252+'[1]побудинковий звіт'!AW252</f>
        <v>0</v>
      </c>
      <c r="AX252" s="58">
        <f t="shared" si="201"/>
        <v>0</v>
      </c>
      <c r="AY252" s="41">
        <f>'[2]побудинковий звіт'!AY252+'[1]побудинковий звіт'!AY252</f>
        <v>0</v>
      </c>
      <c r="AZ252" s="41">
        <f>'[2]побудинковий звіт'!AZ252+'[1]побудинковий звіт'!AZ252</f>
        <v>0</v>
      </c>
      <c r="BA252" s="36">
        <f t="shared" si="202"/>
        <v>0</v>
      </c>
      <c r="BB252" s="41">
        <f>'[2]побудинковий звіт'!BB252+'[1]побудинковий звіт'!BB252</f>
        <v>0</v>
      </c>
      <c r="BC252" s="41">
        <f>'[2]побудинковий звіт'!BC252+'[1]побудинковий звіт'!BC252</f>
        <v>0</v>
      </c>
      <c r="BD252" s="58">
        <f t="shared" si="203"/>
        <v>0</v>
      </c>
      <c r="BE252" s="41">
        <f>'[2]побудинковий звіт'!BE252+'[1]побудинковий звіт'!BE252</f>
        <v>0</v>
      </c>
      <c r="BF252" s="41">
        <f>'[2]побудинковий звіт'!BF252+'[1]побудинковий звіт'!BF252</f>
        <v>0</v>
      </c>
      <c r="BG252" s="38">
        <f t="shared" si="204"/>
        <v>0</v>
      </c>
      <c r="BH252" s="41">
        <f>'[2]побудинковий звіт'!BH252+'[1]побудинковий звіт'!BH252</f>
        <v>0</v>
      </c>
      <c r="BI252" s="41">
        <f>'[2]побудинковий звіт'!BI252+'[1]побудинковий звіт'!BI252</f>
        <v>0</v>
      </c>
      <c r="BJ252" s="58">
        <f t="shared" si="205"/>
        <v>0</v>
      </c>
      <c r="BK252" s="41">
        <f>'[2]побудинковий звіт'!BK252+'[1]побудинковий звіт'!BK252</f>
        <v>0</v>
      </c>
      <c r="BL252" s="41">
        <f>'[2]побудинковий звіт'!BL252+'[1]побудинковий звіт'!BL252</f>
        <v>0</v>
      </c>
      <c r="BM252" s="38">
        <f t="shared" si="206"/>
        <v>0</v>
      </c>
      <c r="BN252" s="41">
        <f>'[2]побудинковий звіт'!BN252+'[1]побудинковий звіт'!BN252</f>
        <v>0</v>
      </c>
      <c r="BO252" s="41">
        <f>'[2]побудинковий звіт'!BO252+'[1]побудинковий звіт'!BO252</f>
        <v>0</v>
      </c>
      <c r="BP252" s="58">
        <f t="shared" si="207"/>
        <v>0</v>
      </c>
      <c r="BQ252" s="84">
        <f t="shared" si="208"/>
        <v>0</v>
      </c>
      <c r="BR252" s="42">
        <f t="shared" si="209"/>
        <v>0</v>
      </c>
      <c r="BS252" s="58">
        <f t="shared" si="210"/>
        <v>0</v>
      </c>
      <c r="BT252" s="41">
        <f>'[2]побудинковий звіт'!BT252+'[1]побудинковий звіт'!BT252</f>
        <v>410.89347543850181</v>
      </c>
      <c r="BU252" s="41">
        <f>'[2]побудинковий звіт'!BU252+'[1]побудинковий звіт'!BU252</f>
        <v>1443.9536876730331</v>
      </c>
      <c r="BV252" s="55">
        <f t="shared" si="211"/>
        <v>1033.0602122345313</v>
      </c>
      <c r="BW252" s="41">
        <f>'[2]побудинковий звіт'!BW252+'[1]побудинковий звіт'!BW252</f>
        <v>0</v>
      </c>
      <c r="BX252" s="41">
        <f>'[2]побудинковий звіт'!BX252+'[1]побудинковий звіт'!BX252</f>
        <v>0.59466968884019267</v>
      </c>
      <c r="BY252" s="55">
        <f t="shared" si="212"/>
        <v>0.59466968884019267</v>
      </c>
      <c r="BZ252" s="41">
        <f>'[2]побудинковий звіт'!BZ252+'[1]побудинковий звіт'!BZ252</f>
        <v>81.168688022592136</v>
      </c>
      <c r="CA252" s="41">
        <f>'[2]побудинковий звіт'!CA252+'[1]побудинковий звіт'!CA252</f>
        <v>129.36369520187435</v>
      </c>
      <c r="CB252" s="55">
        <f t="shared" si="213"/>
        <v>48.195007179282214</v>
      </c>
      <c r="CC252" s="41">
        <f>'[2]побудинковий звіт'!CC252+'[1]побудинковий звіт'!CC252</f>
        <v>0</v>
      </c>
      <c r="CD252" s="41">
        <f>'[2]побудинковий звіт'!CD252+'[1]побудинковий звіт'!CD252</f>
        <v>0</v>
      </c>
      <c r="CE252" s="55">
        <f t="shared" si="214"/>
        <v>0</v>
      </c>
      <c r="CF252" s="41">
        <f>'[2]побудинковий звіт'!CF252+'[1]побудинковий звіт'!CF252</f>
        <v>0</v>
      </c>
      <c r="CG252" s="41">
        <f>'[2]побудинковий звіт'!CG252+'[1]побудинковий звіт'!CG252</f>
        <v>0</v>
      </c>
      <c r="CH252" s="55">
        <f t="shared" si="215"/>
        <v>0</v>
      </c>
      <c r="CI252" s="41">
        <f>'[2]побудинковий звіт'!CI252+'[1]побудинковий звіт'!CI252</f>
        <v>0</v>
      </c>
      <c r="CJ252" s="41">
        <f>'[2]побудинковий звіт'!CJ252+'[1]побудинковий звіт'!CJ252</f>
        <v>0</v>
      </c>
      <c r="CK252" s="55">
        <f t="shared" si="216"/>
        <v>0</v>
      </c>
      <c r="CL252" s="41">
        <f>'[2]побудинковий звіт'!CL252+'[1]побудинковий звіт'!CL252</f>
        <v>0</v>
      </c>
      <c r="CM252" s="41">
        <f>'[2]побудинковий звіт'!CM252+'[1]побудинковий звіт'!CM252</f>
        <v>0</v>
      </c>
      <c r="CN252" s="55">
        <f t="shared" si="217"/>
        <v>0</v>
      </c>
      <c r="CO252" s="41">
        <f t="shared" si="218"/>
        <v>0</v>
      </c>
      <c r="CP252" s="42">
        <f t="shared" si="219"/>
        <v>0</v>
      </c>
      <c r="CQ252" s="55">
        <f t="shared" si="220"/>
        <v>0</v>
      </c>
      <c r="CR252" s="76">
        <f t="shared" si="221"/>
        <v>2688.4578180146582</v>
      </c>
      <c r="CS252" s="5">
        <f t="shared" si="222"/>
        <v>1855.7934536800685</v>
      </c>
      <c r="CT252" s="55">
        <f t="shared" si="223"/>
        <v>-832.66436433458966</v>
      </c>
      <c r="CU252" s="84">
        <f t="shared" si="224"/>
        <v>3226.1493816175898</v>
      </c>
      <c r="CV252" s="68">
        <f t="shared" si="225"/>
        <v>2226.9521444160823</v>
      </c>
      <c r="CW252" s="36">
        <f t="shared" si="226"/>
        <v>-999.19723720150751</v>
      </c>
      <c r="CX252" s="41">
        <f>'[2]побудинковий звіт'!CX252+'[1]побудинковий звіт'!CX252</f>
        <v>71.166452600503021</v>
      </c>
      <c r="CY252" s="41">
        <f>'[2]побудинковий звіт'!CY252+'[1]побудинковий звіт'!CY252</f>
        <v>1070.3636898020113</v>
      </c>
      <c r="CZ252" s="55">
        <f t="shared" si="227"/>
        <v>999.1972372015083</v>
      </c>
      <c r="DA252" s="254">
        <f>'[1]побудинковий звіт'!DA252</f>
        <v>-503.14815003592685</v>
      </c>
      <c r="DB252" s="2">
        <v>1</v>
      </c>
      <c r="DC252" s="702">
        <f>'[1]побудинковий звіт'!DC252</f>
        <v>-156.97</v>
      </c>
      <c r="DD252" s="702">
        <f>'[1]побудинковий звіт'!DD252</f>
        <v>0</v>
      </c>
      <c r="DE252" s="702">
        <f>'[1]побудинковий звіт'!DE252</f>
        <v>-517.25</v>
      </c>
      <c r="DF252" s="702">
        <f>'[1]побудинковий звіт'!DF252</f>
        <v>0</v>
      </c>
      <c r="DG252" s="772">
        <v>863.22216276737709</v>
      </c>
      <c r="DH252" s="746">
        <f t="shared" si="251"/>
        <v>39567.790010617115</v>
      </c>
      <c r="DI252" s="769"/>
      <c r="DJ252" s="5"/>
      <c r="DK252" s="307">
        <f>VLOOKUP($A252,ціни!$A$4:$G$401,5)</f>
        <v>1.7706663792811317</v>
      </c>
      <c r="DL252" s="307"/>
      <c r="DM252" s="307">
        <f>VLOOKUP($A252,ціни!$A$4:$G$401,7)</f>
        <v>1.7706663792811317</v>
      </c>
      <c r="DN252" s="29">
        <f t="shared" si="249"/>
        <v>258.69435801297334</v>
      </c>
      <c r="DO252" s="29">
        <f t="shared" si="250"/>
        <v>0</v>
      </c>
      <c r="DP252" s="306">
        <f t="shared" si="252"/>
        <v>258.69435801297334</v>
      </c>
      <c r="DQ252" s="101"/>
      <c r="DR252" s="29">
        <f>VLOOKUP(A252,'ДЗ нас '!$A$1:$C$359,2)</f>
        <v>258.69</v>
      </c>
      <c r="DS252" s="733"/>
      <c r="DT252" s="29">
        <f t="shared" si="253"/>
        <v>258.69</v>
      </c>
      <c r="DU252" s="247">
        <f>VLOOKUP(A252,'новий кошторис с 01.06'!$A$4:$AI$399,35)*1.2</f>
        <v>259.45897187902153</v>
      </c>
      <c r="DV252" s="29">
        <f t="shared" si="254"/>
        <v>-0.76897187902153519</v>
      </c>
      <c r="DW252" s="1016">
        <f>'[2]побудинковий звіт'!$DW$9+'[1]побудинковий звіт'!DW252</f>
        <v>0</v>
      </c>
      <c r="DX252" s="101">
        <f>'[1]побудинковий звіт'!DX252</f>
        <v>0</v>
      </c>
      <c r="DY252" s="5">
        <f t="shared" si="255"/>
        <v>2219.6236494440918</v>
      </c>
      <c r="DZ252" s="5">
        <f t="shared" si="256"/>
        <v>0</v>
      </c>
      <c r="EA252" s="737">
        <f t="shared" si="257"/>
        <v>-517.25</v>
      </c>
      <c r="EC252" s="577">
        <f t="shared" si="258"/>
        <v>22196.23649444092</v>
      </c>
      <c r="EE252" s="743">
        <v>-1249</v>
      </c>
      <c r="EF252" s="723">
        <f t="shared" si="259"/>
        <v>-385.77783723262291</v>
      </c>
      <c r="EH252" s="798">
        <v>1401.8900949620377</v>
      </c>
      <c r="EI252" s="101">
        <f>VLOOKUP(A252,'кошти 01.01.24'!$A$9:$D$352,4,FALSE)</f>
        <v>496.04908716558111</v>
      </c>
    </row>
    <row r="253" spans="1:139" hidden="1" x14ac:dyDescent="0.3">
      <c r="A253" s="318">
        <v>150000752</v>
      </c>
      <c r="B253" s="43" t="s">
        <v>703</v>
      </c>
      <c r="C253" s="44" t="s">
        <v>386</v>
      </c>
      <c r="D253" s="44" t="s">
        <v>386</v>
      </c>
      <c r="E253" s="39">
        <f t="shared" si="185"/>
        <v>3990.61</v>
      </c>
      <c r="F253" s="205">
        <f>'[1]побудинковий звіт'!F253</f>
        <v>3818.3</v>
      </c>
      <c r="G253" s="29">
        <f>'[1]побудинковий звіт'!G253</f>
        <v>276.3</v>
      </c>
      <c r="H253" s="148">
        <f>'[1]побудинковий звіт'!H253</f>
        <v>172.31</v>
      </c>
      <c r="I253" s="41">
        <f>'[2]побудинковий звіт'!I253+'[1]побудинковий звіт'!I253</f>
        <v>11785.593982068791</v>
      </c>
      <c r="J253" s="41">
        <f>'[2]побудинковий звіт'!J253+'[1]побудинковий звіт'!J253</f>
        <v>9259.9796267651709</v>
      </c>
      <c r="K253" s="55">
        <f t="shared" si="186"/>
        <v>-2525.61435530362</v>
      </c>
      <c r="L253" s="41">
        <f>'[2]побудинковий звіт'!L253+'[1]побудинковий звіт'!L253</f>
        <v>2023.9027023792073</v>
      </c>
      <c r="M253" s="41">
        <f>'[2]побудинковий звіт'!M253+'[1]побудинковий звіт'!M253</f>
        <v>1746.6923378585882</v>
      </c>
      <c r="N253" s="55">
        <f t="shared" si="187"/>
        <v>-277.21036452061912</v>
      </c>
      <c r="O253" s="41">
        <f>'[2]побудинковий звіт'!O253+'[1]побудинковий звіт'!O253</f>
        <v>6184.2242531719921</v>
      </c>
      <c r="P253" s="41">
        <f>'[2]побудинковий звіт'!P253+'[1]побудинковий звіт'!P253</f>
        <v>6201.8925471985885</v>
      </c>
      <c r="Q253" s="55">
        <f t="shared" si="188"/>
        <v>17.668294026596413</v>
      </c>
      <c r="R253" s="41">
        <f>'[2]побудинковий звіт'!R253+'[1]побудинковий звіт'!R253</f>
        <v>1328.2952340262984</v>
      </c>
      <c r="S253" s="41">
        <f>'[2]побудинковий звіт'!S253+'[1]побудинковий звіт'!S253</f>
        <v>1331.8983165189109</v>
      </c>
      <c r="T253" s="55">
        <f t="shared" si="189"/>
        <v>3.6030824926124296</v>
      </c>
      <c r="U253" s="41">
        <f>'[2]побудинковий звіт'!U253+'[1]побудинковий звіт'!U253</f>
        <v>871.7159457377295</v>
      </c>
      <c r="V253" s="41">
        <f>'[2]побудинковий звіт'!V253+'[1]побудинковий звіт'!V253</f>
        <v>399.49502715385631</v>
      </c>
      <c r="W253" s="55">
        <f t="shared" si="190"/>
        <v>-472.22091858387319</v>
      </c>
      <c r="X253" s="41">
        <f>'[2]побудинковий звіт'!X253+'[1]побудинковий звіт'!X253</f>
        <v>8339.534549819793</v>
      </c>
      <c r="Y253" s="41">
        <f>'[2]побудинковий звіт'!Y253+'[1]побудинковий звіт'!Y253</f>
        <v>5517.4221614410289</v>
      </c>
      <c r="Z253" s="55">
        <f t="shared" si="191"/>
        <v>-2822.1123883787641</v>
      </c>
      <c r="AA253" s="41">
        <f>'[2]побудинковий звіт'!AA253+'[1]побудинковий звіт'!AA253</f>
        <v>0</v>
      </c>
      <c r="AB253" s="41">
        <f>'[2]побудинковий звіт'!AB253+'[1]побудинковий звіт'!AB253</f>
        <v>0</v>
      </c>
      <c r="AC253" s="55">
        <f t="shared" si="192"/>
        <v>0</v>
      </c>
      <c r="AD253" s="41">
        <f>'[2]побудинковий звіт'!AD253+'[1]побудинковий звіт'!AD253</f>
        <v>17308.845189012955</v>
      </c>
      <c r="AE253" s="41">
        <f>'[2]побудинковий звіт'!AE253+'[1]побудинковий звіт'!AE253</f>
        <v>17241.548592903997</v>
      </c>
      <c r="AF253" s="36">
        <f t="shared" si="193"/>
        <v>-67.296596108957601</v>
      </c>
      <c r="AG253" s="84">
        <f t="shared" si="194"/>
        <v>47842.111856216769</v>
      </c>
      <c r="AH253" s="56">
        <f t="shared" si="195"/>
        <v>41698.928609840135</v>
      </c>
      <c r="AI253" s="55">
        <f t="shared" si="196"/>
        <v>-6143.1832463766332</v>
      </c>
      <c r="AJ253" s="41">
        <f>'[2]побудинковий звіт'!AJ253+'[1]побудинковий звіт'!AJ253</f>
        <v>42981.900844971984</v>
      </c>
      <c r="AK253" s="41">
        <f>'[2]побудинковий звіт'!AK253+'[1]побудинковий звіт'!AK253</f>
        <v>41472.929982993068</v>
      </c>
      <c r="AL253" s="55">
        <f t="shared" si="197"/>
        <v>-1508.9708619789162</v>
      </c>
      <c r="AM253" s="41">
        <f>'[2]побудинковий звіт'!AM253+'[1]побудинковий звіт'!AM253</f>
        <v>0</v>
      </c>
      <c r="AN253" s="41">
        <f>'[2]побудинковий звіт'!AN253+'[1]побудинковий звіт'!AN253</f>
        <v>0</v>
      </c>
      <c r="AO253" s="55">
        <f t="shared" si="198"/>
        <v>0</v>
      </c>
      <c r="AP253" s="41">
        <f>'[2]побудинковий звіт'!AP253+'[1]побудинковий звіт'!AP253</f>
        <v>3368.033005877694</v>
      </c>
      <c r="AQ253" s="41">
        <f>'[2]побудинковий звіт'!AQ253+'[1]побудинковий звіт'!AQ253</f>
        <v>2970.6102932325293</v>
      </c>
      <c r="AR253" s="55">
        <f t="shared" si="199"/>
        <v>-397.42271264516467</v>
      </c>
      <c r="AS253" s="41">
        <f>'[2]побудинковий звіт'!AS253+'[1]побудинковий звіт'!AS253</f>
        <v>78388.281765543637</v>
      </c>
      <c r="AT253" s="41">
        <f>'[2]побудинковий звіт'!AT253+'[1]побудинковий звіт'!AT253</f>
        <v>67502.399864330684</v>
      </c>
      <c r="AU253" s="57">
        <f t="shared" si="200"/>
        <v>-10885.881901212953</v>
      </c>
      <c r="AV253" s="41">
        <f>'[2]побудинковий звіт'!AV253+'[1]побудинковий звіт'!AV253</f>
        <v>1212.1544734917611</v>
      </c>
      <c r="AW253" s="41">
        <f>'[2]побудинковий звіт'!AW253+'[1]побудинковий звіт'!AW253</f>
        <v>1112.5486985183848</v>
      </c>
      <c r="AX253" s="58">
        <f t="shared" si="201"/>
        <v>-99.605774973376356</v>
      </c>
      <c r="AY253" s="41">
        <f>'[2]побудинковий звіт'!AY253+'[1]побудинковий звіт'!AY253</f>
        <v>1321.3679806233397</v>
      </c>
      <c r="AZ253" s="41">
        <f>'[2]побудинковий звіт'!AZ253+'[1]побудинковий звіт'!AZ253</f>
        <v>0</v>
      </c>
      <c r="BA253" s="36">
        <f t="shared" si="202"/>
        <v>-1321.3679806233397</v>
      </c>
      <c r="BB253" s="41">
        <f>'[2]побудинковий звіт'!BB253+'[1]побудинковий звіт'!BB253</f>
        <v>1884.087818357978</v>
      </c>
      <c r="BC253" s="41">
        <f>'[2]побудинковий звіт'!BC253+'[1]побудинковий звіт'!BC253</f>
        <v>0</v>
      </c>
      <c r="BD253" s="58">
        <f t="shared" si="203"/>
        <v>-1884.087818357978</v>
      </c>
      <c r="BE253" s="41">
        <f>'[2]побудинковий звіт'!BE253+'[1]побудинковий звіт'!BE253</f>
        <v>611.98051707927141</v>
      </c>
      <c r="BF253" s="41">
        <f>'[2]побудинковий звіт'!BF253+'[1]побудинковий звіт'!BF253</f>
        <v>0</v>
      </c>
      <c r="BG253" s="38">
        <f t="shared" si="204"/>
        <v>-611.98051707927141</v>
      </c>
      <c r="BH253" s="41">
        <f>'[2]побудинковий звіт'!BH253+'[1]побудинковий звіт'!BH253</f>
        <v>459.91828950983103</v>
      </c>
      <c r="BI253" s="41">
        <f>'[2]побудинковий звіт'!BI253+'[1]побудинковий звіт'!BI253</f>
        <v>0</v>
      </c>
      <c r="BJ253" s="58">
        <f t="shared" si="205"/>
        <v>-459.91828950983103</v>
      </c>
      <c r="BK253" s="41">
        <f>'[2]побудинковий звіт'!BK253+'[1]побудинковий звіт'!BK253</f>
        <v>1609.7890531156065</v>
      </c>
      <c r="BL253" s="41">
        <f>'[2]побудинковий звіт'!BL253+'[1]побудинковий звіт'!BL253</f>
        <v>4133.8344522758753</v>
      </c>
      <c r="BM253" s="38">
        <f t="shared" si="206"/>
        <v>2524.045399160269</v>
      </c>
      <c r="BN253" s="41">
        <f>'[2]побудинковий звіт'!BN253+'[1]побудинковий звіт'!BN253</f>
        <v>501.71014185675898</v>
      </c>
      <c r="BO253" s="41">
        <f>'[2]побудинковий звіт'!BO253+'[1]побудинковий звіт'!BO253</f>
        <v>12702.530811934001</v>
      </c>
      <c r="BP253" s="58">
        <f t="shared" si="207"/>
        <v>12200.820670077243</v>
      </c>
      <c r="BQ253" s="84">
        <f t="shared" si="208"/>
        <v>7601.008274034547</v>
      </c>
      <c r="BR253" s="42">
        <f t="shared" si="209"/>
        <v>17948.91396272826</v>
      </c>
      <c r="BS253" s="58">
        <f t="shared" si="210"/>
        <v>10347.905688693714</v>
      </c>
      <c r="BT253" s="41">
        <f>'[2]побудинковий звіт'!BT253+'[1]побудинковий звіт'!BT253</f>
        <v>48185.519720830169</v>
      </c>
      <c r="BU253" s="41">
        <f>'[2]побудинковий звіт'!BU253+'[1]побудинковий звіт'!BU253</f>
        <v>63838.257290747541</v>
      </c>
      <c r="BV253" s="55">
        <f t="shared" si="211"/>
        <v>15652.737569917372</v>
      </c>
      <c r="BW253" s="41">
        <f>'[2]побудинковий звіт'!BW253+'[1]побудинковий звіт'!BW253</f>
        <v>50927.657735483343</v>
      </c>
      <c r="BX253" s="41">
        <f>'[2]побудинковий звіт'!BX253+'[1]побудинковий звіт'!BX253</f>
        <v>52644.555615385696</v>
      </c>
      <c r="BY253" s="55">
        <f t="shared" si="212"/>
        <v>1716.8978799023535</v>
      </c>
      <c r="BZ253" s="41">
        <f>'[2]побудинковий звіт'!BZ253+'[1]побудинковий звіт'!BZ253</f>
        <v>7062.0323196033833</v>
      </c>
      <c r="CA253" s="41">
        <f>'[2]побудинковий звіт'!CA253+'[1]побудинковий звіт'!CA253</f>
        <v>2057.2648189809702</v>
      </c>
      <c r="CB253" s="55">
        <f t="shared" si="213"/>
        <v>-5004.7675006224126</v>
      </c>
      <c r="CC253" s="41">
        <f>'[2]побудинковий звіт'!CC253+'[1]побудинковий звіт'!CC253</f>
        <v>1530.4456652510262</v>
      </c>
      <c r="CD253" s="41">
        <f>'[2]побудинковий звіт'!CD253+'[1]побудинковий звіт'!CD253</f>
        <v>1535.6352357903666</v>
      </c>
      <c r="CE253" s="55">
        <f t="shared" si="214"/>
        <v>5.1895705393403659</v>
      </c>
      <c r="CF253" s="41">
        <f>'[2]побудинковий звіт'!CF253+'[1]побудинковий звіт'!CF253</f>
        <v>189.61408332246737</v>
      </c>
      <c r="CG253" s="41">
        <f>'[2]побудинковий звіт'!CG253+'[1]побудинковий звіт'!CG253</f>
        <v>0</v>
      </c>
      <c r="CH253" s="55">
        <f t="shared" si="215"/>
        <v>-189.61408332246737</v>
      </c>
      <c r="CI253" s="41">
        <f>'[2]побудинковий звіт'!CI253+'[1]побудинковий звіт'!CI253</f>
        <v>5000.5852381856257</v>
      </c>
      <c r="CJ253" s="41">
        <f>'[2]побудинковий звіт'!CJ253+'[1]побудинковий звіт'!CJ253</f>
        <v>9335.6980204700703</v>
      </c>
      <c r="CK253" s="55">
        <f t="shared" si="216"/>
        <v>4335.1127822844446</v>
      </c>
      <c r="CL253" s="41">
        <f>'[2]побудинковий звіт'!CL253+'[1]побудинковий звіт'!CL253</f>
        <v>12060.330896326213</v>
      </c>
      <c r="CM253" s="41">
        <f>'[2]побудинковий звіт'!CM253+'[1]побудинковий звіт'!CM253</f>
        <v>8689.8847754500512</v>
      </c>
      <c r="CN253" s="55">
        <f t="shared" si="217"/>
        <v>-3370.4461208761622</v>
      </c>
      <c r="CO253" s="41">
        <f t="shared" si="218"/>
        <v>17060.916134511841</v>
      </c>
      <c r="CP253" s="42">
        <f t="shared" si="219"/>
        <v>18025.58279592012</v>
      </c>
      <c r="CQ253" s="55">
        <f t="shared" si="220"/>
        <v>964.66666140827874</v>
      </c>
      <c r="CR253" s="76">
        <f t="shared" si="221"/>
        <v>305137.52140564681</v>
      </c>
      <c r="CS253" s="5">
        <f t="shared" si="222"/>
        <v>309695.07846994937</v>
      </c>
      <c r="CT253" s="55">
        <f t="shared" si="223"/>
        <v>4557.5570643025567</v>
      </c>
      <c r="CU253" s="84">
        <f t="shared" si="224"/>
        <v>366165.02568677615</v>
      </c>
      <c r="CV253" s="68">
        <f t="shared" si="225"/>
        <v>371634.09416393924</v>
      </c>
      <c r="CW253" s="36">
        <f t="shared" si="226"/>
        <v>5469.0684771630913</v>
      </c>
      <c r="CX253" s="41">
        <f>'[2]побудинковий звіт'!CX253+'[1]побудинковий звіт'!CX253</f>
        <v>10995.395389286226</v>
      </c>
      <c r="CY253" s="41">
        <f>'[2]побудинковий звіт'!CY253+'[1]побудинковий звіт'!CY253</f>
        <v>5526.3269121232152</v>
      </c>
      <c r="CZ253" s="55">
        <f t="shared" si="227"/>
        <v>-5469.0684771630113</v>
      </c>
      <c r="DA253" s="254">
        <f>'[1]побудинковий звіт'!DA253</f>
        <v>-38462.526123416814</v>
      </c>
      <c r="DB253" s="2">
        <v>1</v>
      </c>
      <c r="DC253" s="702">
        <f>'[1]побудинковий звіт'!DC253</f>
        <v>65845.61</v>
      </c>
      <c r="DD253" s="702">
        <f>'[1]побудинковий звіт'!DD253</f>
        <v>1184.0999999999999</v>
      </c>
      <c r="DE253" s="702">
        <f>'[1]побудинковий звіт'!DE253</f>
        <v>26195.599999999999</v>
      </c>
      <c r="DF253" s="702">
        <f>'[1]побудинковий звіт'!DF253</f>
        <v>0.16999999999984539</v>
      </c>
      <c r="DG253" s="772">
        <v>47162.048386743409</v>
      </c>
      <c r="DH253" s="746">
        <f t="shared" si="251"/>
        <v>4525925.0529127484</v>
      </c>
      <c r="DI253" s="769"/>
      <c r="DJ253" s="5"/>
      <c r="DK253" s="307">
        <f>VLOOKUP($A253,ціни!$A$4:$G$401,5)</f>
        <v>6.1147289173784554</v>
      </c>
      <c r="DL253" s="307">
        <f>VLOOKUP($A253,ціни!$A$4:$G$401,6)</f>
        <v>7.6627541647294617</v>
      </c>
      <c r="DM253" s="307">
        <f>VLOOKUP($A253,ціни!$A$4:$G$401,7)</f>
        <v>4.8161420196182156</v>
      </c>
      <c r="DN253" s="29">
        <f>DK253*G253+(F253-G253)*DL253</f>
        <v>28830.974851343421</v>
      </c>
      <c r="DO253" s="29">
        <f>DM253*H253</f>
        <v>829.86943140041478</v>
      </c>
      <c r="DP253" s="306">
        <f t="shared" si="252"/>
        <v>29660.844282743834</v>
      </c>
      <c r="DQ253" s="101"/>
      <c r="DR253" s="29">
        <f>VLOOKUP(A253,'ДЗ нас '!$A$1:$C$359,2)</f>
        <v>28831.1</v>
      </c>
      <c r="DS253" s="733">
        <f>VLOOKUP(A253,'ДЗ нежит'!$A$1:$D$153,4,0)</f>
        <v>829.87</v>
      </c>
      <c r="DT253" s="29">
        <f t="shared" si="253"/>
        <v>29660.969999999998</v>
      </c>
      <c r="DU253" s="247">
        <f>VLOOKUP(A253,'новий кошторис с 01.06'!$A$4:$AI$399,35)*1.2</f>
        <v>29806.252945016891</v>
      </c>
      <c r="DV253" s="29">
        <f t="shared" si="254"/>
        <v>-145.28294501689379</v>
      </c>
      <c r="DW253" s="1016">
        <f>'[2]побудинковий звіт'!$DW$9+'[1]побудинковий звіт'!DW253</f>
        <v>909</v>
      </c>
      <c r="DX253" s="101">
        <f>'[1]побудинковий звіт'!DX253</f>
        <v>0</v>
      </c>
      <c r="DY253" s="5">
        <f t="shared" si="255"/>
        <v>103187.14804749383</v>
      </c>
      <c r="DZ253" s="5">
        <f t="shared" si="256"/>
        <v>102541.57659247072</v>
      </c>
      <c r="EA253" s="737">
        <f t="shared" si="257"/>
        <v>26195.769999999997</v>
      </c>
      <c r="EC253" s="577">
        <f t="shared" si="258"/>
        <v>940659.38118652371</v>
      </c>
      <c r="EE253" s="743">
        <v>28560</v>
      </c>
      <c r="EF253" s="723">
        <f t="shared" si="259"/>
        <v>75722.048386743409</v>
      </c>
      <c r="EH253" s="798">
        <v>-76801.120760064601</v>
      </c>
      <c r="EI253" s="101">
        <f>VLOOKUP(A253,'кошти 01.01.24'!$A$9:$D$352,4,FALSE)</f>
        <v>-43931.594600579818</v>
      </c>
    </row>
    <row r="254" spans="1:139" hidden="1" x14ac:dyDescent="0.3">
      <c r="A254" s="318">
        <v>150001094</v>
      </c>
      <c r="B254" s="43" t="s">
        <v>719</v>
      </c>
      <c r="C254" s="44" t="s">
        <v>185</v>
      </c>
      <c r="D254" s="44" t="s">
        <v>185</v>
      </c>
      <c r="E254" s="39">
        <f t="shared" si="185"/>
        <v>319.39999999999998</v>
      </c>
      <c r="F254" s="205">
        <f>'[1]побудинковий звіт'!F254</f>
        <v>319.39999999999998</v>
      </c>
      <c r="G254" s="29">
        <f>'[1]побудинковий звіт'!G254</f>
        <v>0</v>
      </c>
      <c r="H254" s="148">
        <f>'[1]побудинковий звіт'!H254</f>
        <v>0</v>
      </c>
      <c r="I254" s="41">
        <f>'[2]побудинковий звіт'!I254+'[1]побудинковий звіт'!I254</f>
        <v>109.79397526725238</v>
      </c>
      <c r="J254" s="41">
        <f>'[2]побудинковий звіт'!J254+'[1]побудинковий звіт'!J254</f>
        <v>108.92847585655772</v>
      </c>
      <c r="K254" s="55">
        <f t="shared" si="186"/>
        <v>-0.86549941069465319</v>
      </c>
      <c r="L254" s="41">
        <f>'[2]побудинковий звіт'!L254+'[1]побудинковий звіт'!L254</f>
        <v>99.160839096336915</v>
      </c>
      <c r="M254" s="41">
        <f>'[2]побудинковий звіт'!M254+'[1]побудинковий звіт'!M254</f>
        <v>97.568564817925221</v>
      </c>
      <c r="N254" s="55">
        <f t="shared" si="187"/>
        <v>-1.5922742784116934</v>
      </c>
      <c r="O254" s="41">
        <f>'[2]побудинковий звіт'!O254+'[1]побудинковий звіт'!O254</f>
        <v>94.320573766469408</v>
      </c>
      <c r="P254" s="41">
        <f>'[2]побудинковий звіт'!P254+'[1]побудинковий звіт'!P254</f>
        <v>0</v>
      </c>
      <c r="Q254" s="55">
        <f t="shared" si="188"/>
        <v>-94.320573766469408</v>
      </c>
      <c r="R254" s="41">
        <f>'[2]побудинковий звіт'!R254+'[1]побудинковий звіт'!R254</f>
        <v>33.251150266025888</v>
      </c>
      <c r="S254" s="41">
        <f>'[2]побудинковий звіт'!S254+'[1]побудинковий звіт'!S254</f>
        <v>0</v>
      </c>
      <c r="T254" s="55">
        <f t="shared" si="189"/>
        <v>-33.251150266025888</v>
      </c>
      <c r="U254" s="41">
        <f>'[2]побудинковий звіт'!U254+'[1]побудинковий звіт'!U254</f>
        <v>0</v>
      </c>
      <c r="V254" s="41">
        <f>'[2]побудинковий звіт'!V254+'[1]побудинковий звіт'!V254</f>
        <v>0</v>
      </c>
      <c r="W254" s="55">
        <f t="shared" si="190"/>
        <v>0</v>
      </c>
      <c r="X254" s="41">
        <f>'[2]побудинковий звіт'!X254+'[1]побудинковий звіт'!X254</f>
        <v>530.78300246820845</v>
      </c>
      <c r="Y254" s="41">
        <f>'[2]побудинковий звіт'!Y254+'[1]побудинковий звіт'!Y254</f>
        <v>825.23551264943751</v>
      </c>
      <c r="Z254" s="55">
        <f t="shared" si="191"/>
        <v>294.45251018122906</v>
      </c>
      <c r="AA254" s="41">
        <f>'[2]побудинковий звіт'!AA254+'[1]побудинковий звіт'!AA254</f>
        <v>0</v>
      </c>
      <c r="AB254" s="41">
        <f>'[2]побудинковий звіт'!AB254+'[1]побудинковий звіт'!AB254</f>
        <v>0</v>
      </c>
      <c r="AC254" s="55">
        <f t="shared" si="192"/>
        <v>0</v>
      </c>
      <c r="AD254" s="41">
        <f>'[2]побудинковий звіт'!AD254+'[1]побудинковий звіт'!AD254</f>
        <v>1333.1545445113309</v>
      </c>
      <c r="AE254" s="41">
        <f>'[2]побудинковий звіт'!AE254+'[1]побудинковий звіт'!AE254</f>
        <v>1329.9511204382147</v>
      </c>
      <c r="AF254" s="36">
        <f t="shared" si="193"/>
        <v>-3.203424073116139</v>
      </c>
      <c r="AG254" s="84">
        <f t="shared" si="194"/>
        <v>2200.4640853756237</v>
      </c>
      <c r="AH254" s="56">
        <f t="shared" si="195"/>
        <v>2361.6836737621352</v>
      </c>
      <c r="AI254" s="55">
        <f t="shared" si="196"/>
        <v>161.21958838651153</v>
      </c>
      <c r="AJ254" s="41">
        <f>'[2]побудинковий звіт'!AJ254+'[1]побудинковий звіт'!AJ254</f>
        <v>0</v>
      </c>
      <c r="AK254" s="41">
        <f>'[2]побудинковий звіт'!AK254+'[1]побудинковий звіт'!AK254</f>
        <v>0</v>
      </c>
      <c r="AL254" s="55">
        <f t="shared" si="197"/>
        <v>0</v>
      </c>
      <c r="AM254" s="41">
        <f>'[2]побудинковий звіт'!AM254+'[1]побудинковий звіт'!AM254</f>
        <v>0</v>
      </c>
      <c r="AN254" s="41">
        <f>'[2]побудинковий звіт'!AN254+'[1]побудинковий звіт'!AN254</f>
        <v>0</v>
      </c>
      <c r="AO254" s="55">
        <f t="shared" si="198"/>
        <v>0</v>
      </c>
      <c r="AP254" s="41">
        <f>'[2]побудинковий звіт'!AP254+'[1]побудинковий звіт'!AP254</f>
        <v>0</v>
      </c>
      <c r="AQ254" s="41">
        <f>'[2]побудинковий звіт'!AQ254+'[1]побудинковий звіт'!AQ254</f>
        <v>0</v>
      </c>
      <c r="AR254" s="55">
        <f t="shared" si="199"/>
        <v>0</v>
      </c>
      <c r="AS254" s="41">
        <f>'[2]побудинковий звіт'!AS254+'[1]побудинковий звіт'!AS254</f>
        <v>5146.7445355299751</v>
      </c>
      <c r="AT254" s="41">
        <f>'[2]побудинковий звіт'!AT254+'[1]побудинковий звіт'!AT254</f>
        <v>0</v>
      </c>
      <c r="AU254" s="57">
        <f t="shared" si="200"/>
        <v>-5146.7445355299751</v>
      </c>
      <c r="AV254" s="41">
        <f>'[2]побудинковий звіт'!AV254+'[1]побудинковий звіт'!AV254</f>
        <v>22.580731105454387</v>
      </c>
      <c r="AW254" s="41">
        <f>'[2]побудинковий звіт'!AW254+'[1]побудинковий звіт'!AW254</f>
        <v>0</v>
      </c>
      <c r="AX254" s="58">
        <f t="shared" si="201"/>
        <v>-22.580731105454387</v>
      </c>
      <c r="AY254" s="41">
        <f>'[2]побудинковий звіт'!AY254+'[1]побудинковий звіт'!AY254</f>
        <v>81.705705420490091</v>
      </c>
      <c r="AZ254" s="41">
        <f>'[2]побудинковий звіт'!AZ254+'[1]побудинковий звіт'!AZ254</f>
        <v>0</v>
      </c>
      <c r="BA254" s="36">
        <f t="shared" si="202"/>
        <v>-81.705705420490091</v>
      </c>
      <c r="BB254" s="41">
        <f>'[2]побудинковий звіт'!BB254+'[1]побудинковий звіт'!BB254</f>
        <v>21.381028007629617</v>
      </c>
      <c r="BC254" s="41">
        <f>'[2]побудинковий звіт'!BC254+'[1]побудинковий звіт'!BC254</f>
        <v>0</v>
      </c>
      <c r="BD254" s="58">
        <f t="shared" si="203"/>
        <v>-21.381028007629617</v>
      </c>
      <c r="BE254" s="41">
        <f>'[2]побудинковий звіт'!BE254+'[1]побудинковий звіт'!BE254</f>
        <v>9.6842333827027165</v>
      </c>
      <c r="BF254" s="41">
        <f>'[2]побудинковий звіт'!BF254+'[1]побудинковий звіт'!BF254</f>
        <v>0</v>
      </c>
      <c r="BG254" s="38">
        <f t="shared" si="204"/>
        <v>-9.6842333827027165</v>
      </c>
      <c r="BH254" s="41">
        <f>'[2]побудинковий звіт'!BH254+'[1]побудинковий звіт'!BH254</f>
        <v>0</v>
      </c>
      <c r="BI254" s="41">
        <f>'[2]побудинковий звіт'!BI254+'[1]побудинковий звіт'!BI254</f>
        <v>0</v>
      </c>
      <c r="BJ254" s="58">
        <f t="shared" si="205"/>
        <v>0</v>
      </c>
      <c r="BK254" s="41">
        <f>'[2]побудинковий звіт'!BK254+'[1]побудинковий звіт'!BK254</f>
        <v>192.55555856587313</v>
      </c>
      <c r="BL254" s="41">
        <f>'[2]побудинковий звіт'!BL254+'[1]побудинковий звіт'!BL254</f>
        <v>0</v>
      </c>
      <c r="BM254" s="38">
        <f t="shared" si="206"/>
        <v>-192.55555856587313</v>
      </c>
      <c r="BN254" s="41">
        <f>'[2]побудинковий звіт'!BN254+'[1]побудинковий звіт'!BN254</f>
        <v>0</v>
      </c>
      <c r="BO254" s="41">
        <f>'[2]побудинковий звіт'!BO254+'[1]побудинковий звіт'!BO254</f>
        <v>0</v>
      </c>
      <c r="BP254" s="58">
        <f t="shared" si="207"/>
        <v>0</v>
      </c>
      <c r="BQ254" s="84">
        <f t="shared" si="208"/>
        <v>327.90725648214993</v>
      </c>
      <c r="BR254" s="42">
        <f t="shared" si="209"/>
        <v>0</v>
      </c>
      <c r="BS254" s="58">
        <f t="shared" si="210"/>
        <v>-327.90725648214993</v>
      </c>
      <c r="BT254" s="41">
        <f>'[2]побудинковий звіт'!BT254+'[1]побудинковий звіт'!BT254</f>
        <v>0</v>
      </c>
      <c r="BU254" s="41">
        <f>'[2]побудинковий звіт'!BU254+'[1]побудинковий звіт'!BU254</f>
        <v>0</v>
      </c>
      <c r="BV254" s="55">
        <f t="shared" si="211"/>
        <v>0</v>
      </c>
      <c r="BW254" s="41">
        <f>'[2]побудинковий звіт'!BW254+'[1]побудинковий звіт'!BW254</f>
        <v>196.7630653709775</v>
      </c>
      <c r="BX254" s="41">
        <f>'[2]побудинковий звіт'!BX254+'[1]побудинковий звіт'!BX254</f>
        <v>1.2410320884830579</v>
      </c>
      <c r="BY254" s="55">
        <f t="shared" si="212"/>
        <v>-195.52203328249445</v>
      </c>
      <c r="BZ254" s="41">
        <f>'[2]побудинковий звіт'!BZ254+'[1]побудинковий звіт'!BZ254</f>
        <v>0</v>
      </c>
      <c r="CA254" s="41">
        <f>'[2]побудинковий звіт'!CA254+'[1]побудинковий звіт'!CA254</f>
        <v>0</v>
      </c>
      <c r="CB254" s="55">
        <f t="shared" si="213"/>
        <v>0</v>
      </c>
      <c r="CC254" s="41">
        <f>'[2]побудинковий звіт'!CC254+'[1]побудинковий звіт'!CC254</f>
        <v>0</v>
      </c>
      <c r="CD254" s="41">
        <f>'[2]побудинковий звіт'!CD254+'[1]побудинковий звіт'!CD254</f>
        <v>0</v>
      </c>
      <c r="CE254" s="55">
        <f t="shared" si="214"/>
        <v>0</v>
      </c>
      <c r="CF254" s="41">
        <f>'[2]побудинковий звіт'!CF254+'[1]побудинковий звіт'!CF254</f>
        <v>0</v>
      </c>
      <c r="CG254" s="41">
        <f>'[2]побудинковий звіт'!CG254+'[1]побудинковий звіт'!CG254</f>
        <v>0</v>
      </c>
      <c r="CH254" s="55">
        <f t="shared" si="215"/>
        <v>0</v>
      </c>
      <c r="CI254" s="41">
        <f>'[2]побудинковий звіт'!CI254+'[1]побудинковий звіт'!CI254</f>
        <v>169.55984363172473</v>
      </c>
      <c r="CJ254" s="41">
        <f>'[2]побудинковий звіт'!CJ254+'[1]побудинковий звіт'!CJ254</f>
        <v>479.24084238535954</v>
      </c>
      <c r="CK254" s="55">
        <f t="shared" si="216"/>
        <v>309.68099875363481</v>
      </c>
      <c r="CL254" s="41">
        <f>'[2]побудинковий звіт'!CL254+'[1]побудинковий звіт'!CL254</f>
        <v>0</v>
      </c>
      <c r="CM254" s="41">
        <f>'[2]побудинковий звіт'!CM254+'[1]побудинковий звіт'!CM254</f>
        <v>0</v>
      </c>
      <c r="CN254" s="55">
        <f t="shared" si="217"/>
        <v>0</v>
      </c>
      <c r="CO254" s="41">
        <f t="shared" si="218"/>
        <v>169.55984363172473</v>
      </c>
      <c r="CP254" s="42">
        <f t="shared" si="219"/>
        <v>479.24084238535954</v>
      </c>
      <c r="CQ254" s="55">
        <f t="shared" si="220"/>
        <v>309.68099875363481</v>
      </c>
      <c r="CR254" s="76">
        <f t="shared" si="221"/>
        <v>8041.4387863904512</v>
      </c>
      <c r="CS254" s="5">
        <f t="shared" si="222"/>
        <v>2842.1655482359779</v>
      </c>
      <c r="CT254" s="55">
        <f t="shared" si="223"/>
        <v>-5199.2732381544738</v>
      </c>
      <c r="CU254" s="84">
        <f t="shared" si="224"/>
        <v>9649.7265436685411</v>
      </c>
      <c r="CV254" s="68">
        <f t="shared" si="225"/>
        <v>3410.5986578831735</v>
      </c>
      <c r="CW254" s="36">
        <f t="shared" si="226"/>
        <v>-6239.1278857853677</v>
      </c>
      <c r="CX254" s="41">
        <f>'[2]побудинковий звіт'!CX254+'[1]побудинковий звіт'!CX254</f>
        <v>658.69050383777835</v>
      </c>
      <c r="CY254" s="41">
        <f>'[2]побудинковий звіт'!CY254+'[1]побудинковий звіт'!CY254</f>
        <v>6897.8183896231458</v>
      </c>
      <c r="CZ254" s="55">
        <f t="shared" si="227"/>
        <v>6239.1278857853677</v>
      </c>
      <c r="DA254" s="254">
        <f>'[1]побудинковий звіт'!DA254</f>
        <v>24315.711946799762</v>
      </c>
      <c r="DB254" s="2">
        <v>1</v>
      </c>
      <c r="DC254" s="702">
        <f>'[1]побудинковий звіт'!DC254</f>
        <v>1232.6199999999999</v>
      </c>
      <c r="DD254" s="702">
        <f>'[1]побудинковий звіт'!DD254</f>
        <v>0</v>
      </c>
      <c r="DE254" s="702">
        <f>'[1]побудинковий звіт'!DE254</f>
        <v>0.65999999999985448</v>
      </c>
      <c r="DF254" s="702">
        <f>'[1]побудинковий звіт'!DF254</f>
        <v>0</v>
      </c>
      <c r="DG254" s="772">
        <v>-11644.458671334247</v>
      </c>
      <c r="DH254" s="746">
        <f t="shared" si="251"/>
        <v>123701.00457007583</v>
      </c>
      <c r="DI254" s="769"/>
      <c r="DJ254" s="5"/>
      <c r="DK254" s="307">
        <f>VLOOKUP($A254,ціни!$A$4:$G$401,5)</f>
        <v>2.4698805922598757</v>
      </c>
      <c r="DL254" s="307"/>
      <c r="DM254" s="307">
        <f>VLOOKUP($A254,ціни!$A$4:$G$401,7)</f>
        <v>2.391290120978494</v>
      </c>
      <c r="DN254" s="29">
        <f>F254*DK254</f>
        <v>788.87986116780428</v>
      </c>
      <c r="DO254" s="29">
        <f>H254*DM254</f>
        <v>0</v>
      </c>
      <c r="DP254" s="306">
        <f t="shared" si="252"/>
        <v>788.87986116780428</v>
      </c>
      <c r="DQ254" s="101"/>
      <c r="DR254" s="29">
        <f>VLOOKUP(A254,'ДЗ нас '!$A$1:$C$359,2)</f>
        <v>788.88</v>
      </c>
      <c r="DS254" s="733"/>
      <c r="DT254" s="29">
        <f t="shared" si="253"/>
        <v>788.88</v>
      </c>
      <c r="DU254" s="247">
        <f>VLOOKUP(A254,'новий кошторис с 01.06'!$A$4:$AI$399,35)*1.2</f>
        <v>756.74008815359718</v>
      </c>
      <c r="DV254" s="29">
        <f t="shared" si="254"/>
        <v>32.139911846402811</v>
      </c>
      <c r="DW254" s="1016">
        <f>'[2]побудинковий звіт'!$DW$9+'[1]побудинковий звіт'!DW254</f>
        <v>0</v>
      </c>
      <c r="DX254" s="101">
        <f>'[1]побудинковий звіт'!DX254</f>
        <v>0</v>
      </c>
      <c r="DY254" s="5">
        <f t="shared" si="255"/>
        <v>6569.5821504145497</v>
      </c>
      <c r="DZ254" s="5">
        <f t="shared" si="256"/>
        <v>0</v>
      </c>
      <c r="EA254" s="737">
        <f t="shared" si="257"/>
        <v>0.65999999999985448</v>
      </c>
      <c r="EC254" s="577">
        <f t="shared" si="258"/>
        <v>61760.934426359701</v>
      </c>
      <c r="EE254" s="743">
        <v>5468</v>
      </c>
      <c r="EF254" s="723">
        <f t="shared" si="259"/>
        <v>-6176.4586713342469</v>
      </c>
      <c r="EH254" s="798">
        <v>-11207.849980993706</v>
      </c>
      <c r="EI254" s="101">
        <f>VLOOKUP(A254,'кошти 01.01.24'!$A$9:$D$352,4,FALSE)</f>
        <v>30554.839832585127</v>
      </c>
    </row>
    <row r="255" spans="1:139" hidden="1" x14ac:dyDescent="0.3">
      <c r="A255" s="318">
        <v>150000795</v>
      </c>
      <c r="B255" s="43" t="s">
        <v>721</v>
      </c>
      <c r="C255" s="44" t="s">
        <v>1834</v>
      </c>
      <c r="D255" s="44" t="s">
        <v>291</v>
      </c>
      <c r="E255" s="39">
        <f t="shared" si="185"/>
        <v>2762.6</v>
      </c>
      <c r="F255" s="205">
        <f>'[1]побудинковий звіт'!F255</f>
        <v>2762.6</v>
      </c>
      <c r="G255" s="29">
        <f>'[1]побудинковий звіт'!G255</f>
        <v>0</v>
      </c>
      <c r="H255" s="148">
        <f>'[1]побудинковий звіт'!H255</f>
        <v>0</v>
      </c>
      <c r="I255" s="41">
        <f>'[2]побудинковий звіт'!I255+'[1]побудинковий звіт'!I255</f>
        <v>11055.244194984009</v>
      </c>
      <c r="J255" s="41">
        <f>'[2]побудинковий звіт'!J255+'[1]побудинковий звіт'!J255</f>
        <v>11460.93479562124</v>
      </c>
      <c r="K255" s="55">
        <f t="shared" si="186"/>
        <v>405.69060063723191</v>
      </c>
      <c r="L255" s="41">
        <f>'[2]побудинковий звіт'!L255+'[1]побудинковий звіт'!L255</f>
        <v>2100.3335162980125</v>
      </c>
      <c r="M255" s="41">
        <f>'[2]побудинковий звіт'!M255+'[1]побудинковий звіт'!M255</f>
        <v>2309.4056190797091</v>
      </c>
      <c r="N255" s="55">
        <f t="shared" si="187"/>
        <v>209.07210278169669</v>
      </c>
      <c r="O255" s="41">
        <f>'[2]побудинковий звіт'!O255+'[1]побудинковий звіт'!O255</f>
        <v>0</v>
      </c>
      <c r="P255" s="41">
        <f>'[2]побудинковий звіт'!P255+'[1]побудинковий звіт'!P255</f>
        <v>0</v>
      </c>
      <c r="Q255" s="55">
        <f t="shared" si="188"/>
        <v>0</v>
      </c>
      <c r="R255" s="41">
        <f>'[2]побудинковий звіт'!R255+'[1]побудинковий звіт'!R255</f>
        <v>0</v>
      </c>
      <c r="S255" s="41">
        <f>'[2]побудинковий звіт'!S255+'[1]побудинковий звіт'!S255</f>
        <v>0</v>
      </c>
      <c r="T255" s="55">
        <f t="shared" si="189"/>
        <v>0</v>
      </c>
      <c r="U255" s="41">
        <f>'[2]побудинковий звіт'!U255+'[1]побудинковий звіт'!U255</f>
        <v>0</v>
      </c>
      <c r="V255" s="41">
        <f>'[2]побудинковий звіт'!V255+'[1]побудинковий звіт'!V255</f>
        <v>0</v>
      </c>
      <c r="W255" s="55">
        <f t="shared" si="190"/>
        <v>0</v>
      </c>
      <c r="X255" s="41">
        <f>'[2]побудинковий звіт'!X255+'[1]побудинковий звіт'!X255</f>
        <v>7286.3694199699148</v>
      </c>
      <c r="Y255" s="41">
        <f>'[2]побудинковий звіт'!Y255+'[1]побудинковий звіт'!Y255</f>
        <v>7251.7315774614017</v>
      </c>
      <c r="Z255" s="55">
        <f t="shared" si="191"/>
        <v>-34.637842508513131</v>
      </c>
      <c r="AA255" s="41">
        <f>'[2]побудинковий звіт'!AA255+'[1]побудинковий звіт'!AA255</f>
        <v>0</v>
      </c>
      <c r="AB255" s="41">
        <f>'[2]побудинковий звіт'!AB255+'[1]побудинковий звіт'!AB255</f>
        <v>0</v>
      </c>
      <c r="AC255" s="55">
        <f t="shared" si="192"/>
        <v>0</v>
      </c>
      <c r="AD255" s="41">
        <f>'[2]побудинковий звіт'!AD255+'[1]побудинковий звіт'!AD255</f>
        <v>11980.963007307873</v>
      </c>
      <c r="AE255" s="41">
        <f>'[2]побудинковий звіт'!AE255+'[1]побудинковий звіт'!AE255</f>
        <v>11934.415000846082</v>
      </c>
      <c r="AF255" s="36">
        <f t="shared" si="193"/>
        <v>-46.548006461791374</v>
      </c>
      <c r="AG255" s="84">
        <f t="shared" si="194"/>
        <v>32422.910138559811</v>
      </c>
      <c r="AH255" s="56">
        <f t="shared" si="195"/>
        <v>32956.486993008439</v>
      </c>
      <c r="AI255" s="55">
        <f t="shared" si="196"/>
        <v>533.57685444862727</v>
      </c>
      <c r="AJ255" s="41">
        <f>'[2]побудинковий звіт'!AJ255+'[1]побудинковий звіт'!AJ255</f>
        <v>0</v>
      </c>
      <c r="AK255" s="41">
        <f>'[2]побудинковий звіт'!AK255+'[1]побудинковий звіт'!AK255</f>
        <v>0</v>
      </c>
      <c r="AL255" s="55">
        <f t="shared" si="197"/>
        <v>0</v>
      </c>
      <c r="AM255" s="41">
        <f>'[2]побудинковий звіт'!AM255+'[1]побудинковий звіт'!AM255</f>
        <v>0</v>
      </c>
      <c r="AN255" s="41">
        <f>'[2]побудинковий звіт'!AN255+'[1]побудинковий звіт'!AN255</f>
        <v>0</v>
      </c>
      <c r="AO255" s="55">
        <f t="shared" si="198"/>
        <v>0</v>
      </c>
      <c r="AP255" s="41">
        <f>'[2]побудинковий звіт'!AP255+'[1]побудинковий звіт'!AP255</f>
        <v>2971.7938287156121</v>
      </c>
      <c r="AQ255" s="41">
        <f>'[2]побудинковий звіт'!AQ255+'[1]побудинковий звіт'!AQ255</f>
        <v>3978.1969736687147</v>
      </c>
      <c r="AR255" s="55">
        <f t="shared" si="199"/>
        <v>1006.4031449531026</v>
      </c>
      <c r="AS255" s="41">
        <f>'[2]побудинковий звіт'!AS255+'[1]побудинковий звіт'!AS255</f>
        <v>39025.332329588542</v>
      </c>
      <c r="AT255" s="41">
        <f>'[2]побудинковий звіт'!AT255+'[1]побудинковий звіт'!AT255</f>
        <v>18250.455600203022</v>
      </c>
      <c r="AU255" s="57">
        <f t="shared" si="200"/>
        <v>-20774.87672938552</v>
      </c>
      <c r="AV255" s="41">
        <f>'[2]побудинковий звіт'!AV255+'[1]побудинковий звіт'!AV255</f>
        <v>1828.3680718381661</v>
      </c>
      <c r="AW255" s="41">
        <f>'[2]побудинковий звіт'!AW255+'[1]побудинковий звіт'!AW255</f>
        <v>1561.1476444170294</v>
      </c>
      <c r="AX255" s="58">
        <f t="shared" si="201"/>
        <v>-267.22042742113672</v>
      </c>
      <c r="AY255" s="41">
        <f>'[2]побудинковий звіт'!AY255+'[1]побудинковий звіт'!AY255</f>
        <v>2737.0819162531529</v>
      </c>
      <c r="AZ255" s="41">
        <f>'[2]побудинковий звіт'!AZ255+'[1]побудинковий звіт'!AZ255</f>
        <v>0</v>
      </c>
      <c r="BA255" s="36">
        <f t="shared" si="202"/>
        <v>-2737.0819162531529</v>
      </c>
      <c r="BB255" s="41">
        <f>'[2]побудинковий звіт'!BB255+'[1]побудинковий звіт'!BB255</f>
        <v>0</v>
      </c>
      <c r="BC255" s="41">
        <f>'[2]побудинковий звіт'!BC255+'[1]побудинковий звіт'!BC255</f>
        <v>0</v>
      </c>
      <c r="BD255" s="58">
        <f t="shared" si="203"/>
        <v>0</v>
      </c>
      <c r="BE255" s="41">
        <f>'[2]побудинковий звіт'!BE255+'[1]побудинковий звіт'!BE255</f>
        <v>0</v>
      </c>
      <c r="BF255" s="41">
        <f>'[2]побудинковий звіт'!BF255+'[1]побудинковий звіт'!BF255</f>
        <v>0</v>
      </c>
      <c r="BG255" s="38">
        <f t="shared" si="204"/>
        <v>0</v>
      </c>
      <c r="BH255" s="41">
        <f>'[2]побудинковий звіт'!BH255+'[1]побудинковий звіт'!BH255</f>
        <v>0</v>
      </c>
      <c r="BI255" s="41">
        <f>'[2]побудинковий звіт'!BI255+'[1]побудинковий звіт'!BI255</f>
        <v>0</v>
      </c>
      <c r="BJ255" s="58">
        <f t="shared" si="205"/>
        <v>0</v>
      </c>
      <c r="BK255" s="41">
        <f>'[2]побудинковий звіт'!BK255+'[1]побудинковий звіт'!BK255</f>
        <v>1813.5349129520853</v>
      </c>
      <c r="BL255" s="41">
        <f>'[2]побудинковий звіт'!BL255+'[1]побудинковий звіт'!BL255</f>
        <v>0</v>
      </c>
      <c r="BM255" s="38">
        <f t="shared" si="206"/>
        <v>-1813.5349129520853</v>
      </c>
      <c r="BN255" s="41">
        <f>'[2]побудинковий звіт'!BN255+'[1]побудинковий звіт'!BN255</f>
        <v>75.290084735242345</v>
      </c>
      <c r="BO255" s="41">
        <f>'[2]побудинковий звіт'!BO255+'[1]побудинковий звіт'!BO255</f>
        <v>0</v>
      </c>
      <c r="BP255" s="58">
        <f t="shared" si="207"/>
        <v>-75.290084735242345</v>
      </c>
      <c r="BQ255" s="84">
        <f t="shared" si="208"/>
        <v>6454.2749857786466</v>
      </c>
      <c r="BR255" s="42">
        <f t="shared" si="209"/>
        <v>1561.1476444170294</v>
      </c>
      <c r="BS255" s="58">
        <f t="shared" si="210"/>
        <v>-4893.1273413616173</v>
      </c>
      <c r="BT255" s="41">
        <f>'[2]побудинковий звіт'!BT255+'[1]побудинковий звіт'!BT255</f>
        <v>47846.443146231897</v>
      </c>
      <c r="BU255" s="41">
        <f>'[2]побудинковий звіт'!BU255+'[1]побудинковий звіт'!BU255</f>
        <v>65983.145292457601</v>
      </c>
      <c r="BV255" s="55">
        <f t="shared" si="211"/>
        <v>18136.702146225703</v>
      </c>
      <c r="BW255" s="41">
        <f>'[2]побудинковий звіт'!BW255+'[1]побудинковий звіт'!BW255</f>
        <v>18621.016564066893</v>
      </c>
      <c r="BX255" s="41">
        <f>'[2]побудинковий звіт'!BX255+'[1]побудинковий звіт'!BX255</f>
        <v>21480.745739581726</v>
      </c>
      <c r="BY255" s="55">
        <f t="shared" si="212"/>
        <v>2859.7291755148326</v>
      </c>
      <c r="BZ255" s="41">
        <f>'[2]побудинковий звіт'!BZ255+'[1]побудинковий звіт'!BZ255</f>
        <v>9726.0583714598415</v>
      </c>
      <c r="CA255" s="41">
        <f>'[2]побудинковий звіт'!CA255+'[1]побудинковий звіт'!CA255</f>
        <v>5730.4772067151935</v>
      </c>
      <c r="CB255" s="55">
        <f t="shared" si="213"/>
        <v>-3995.581164744648</v>
      </c>
      <c r="CC255" s="41">
        <f>'[2]побудинковий звіт'!CC255+'[1]побудинковий звіт'!CC255</f>
        <v>1789.387788980649</v>
      </c>
      <c r="CD255" s="41">
        <f>'[2]побудинковий звіт'!CD255+'[1]побудинковий звіт'!CD255</f>
        <v>1795.4554033782022</v>
      </c>
      <c r="CE255" s="55">
        <f t="shared" si="214"/>
        <v>6.0676143975531431</v>
      </c>
      <c r="CF255" s="41">
        <f>'[2]побудинковий звіт'!CF255+'[1]побудинковий звіт'!CF255</f>
        <v>221.69563612722638</v>
      </c>
      <c r="CG255" s="41">
        <f>'[2]побудинковий звіт'!CG255+'[1]побудинковий звіт'!CG255</f>
        <v>0</v>
      </c>
      <c r="CH255" s="55">
        <f t="shared" si="215"/>
        <v>-221.69563612722638</v>
      </c>
      <c r="CI255" s="41">
        <f>'[2]побудинковий звіт'!CI255+'[1]побудинковий звіт'!CI255</f>
        <v>6274.8118969459347</v>
      </c>
      <c r="CJ255" s="41">
        <f>'[2]побудинковий звіт'!CJ255+'[1]побудинковий звіт'!CJ255</f>
        <v>2485.7681016097304</v>
      </c>
      <c r="CK255" s="55">
        <f t="shared" si="216"/>
        <v>-3789.0437953362043</v>
      </c>
      <c r="CL255" s="41">
        <f>'[2]побудинковий звіт'!CL255+'[1]побудинковий звіт'!CL255</f>
        <v>0</v>
      </c>
      <c r="CM255" s="41">
        <f>'[2]побудинковий звіт'!CM255+'[1]побудинковий звіт'!CM255</f>
        <v>0</v>
      </c>
      <c r="CN255" s="55">
        <f t="shared" si="217"/>
        <v>0</v>
      </c>
      <c r="CO255" s="41">
        <f t="shared" si="218"/>
        <v>6274.8118969459347</v>
      </c>
      <c r="CP255" s="42">
        <f t="shared" si="219"/>
        <v>2485.7681016097304</v>
      </c>
      <c r="CQ255" s="55">
        <f t="shared" si="220"/>
        <v>-3789.0437953362043</v>
      </c>
      <c r="CR255" s="76">
        <f t="shared" si="221"/>
        <v>165353.72468645504</v>
      </c>
      <c r="CS255" s="5">
        <f t="shared" si="222"/>
        <v>154221.87895503963</v>
      </c>
      <c r="CT255" s="55">
        <f t="shared" si="223"/>
        <v>-11131.845731415407</v>
      </c>
      <c r="CU255" s="84">
        <f t="shared" si="224"/>
        <v>198424.46962374603</v>
      </c>
      <c r="CV255" s="68">
        <f t="shared" si="225"/>
        <v>185066.25474604755</v>
      </c>
      <c r="CW255" s="36">
        <f t="shared" si="226"/>
        <v>-13358.214877698483</v>
      </c>
      <c r="CX255" s="41">
        <f>'[2]побудинковий звіт'!CX255+'[1]побудинковий звіт'!CX255</f>
        <v>2026.6467077166672</v>
      </c>
      <c r="CY255" s="41">
        <f>'[2]побудинковий звіт'!CY255+'[1]побудинковий звіт'!CY255</f>
        <v>15384.861585415118</v>
      </c>
      <c r="CZ255" s="55">
        <f t="shared" si="227"/>
        <v>13358.21487769845</v>
      </c>
      <c r="DA255" s="254">
        <f>'[1]побудинковий звіт'!DA255</f>
        <v>241676.24631814513</v>
      </c>
      <c r="DB255" s="2">
        <v>3</v>
      </c>
      <c r="DC255" s="702">
        <f>'[1]побудинковий звіт'!DC255</f>
        <v>58697.31</v>
      </c>
      <c r="DD255" s="702">
        <f>'[1]побудинковий звіт'!DD255</f>
        <v>0</v>
      </c>
      <c r="DE255" s="702">
        <f>'[1]побудинковий звіт'!DE255</f>
        <v>36528.92</v>
      </c>
      <c r="DF255" s="702">
        <f>'[1]побудинковий звіт'!DF255</f>
        <v>0</v>
      </c>
      <c r="DG255" s="772">
        <v>-2135.6240790478769</v>
      </c>
      <c r="DH255" s="746">
        <f t="shared" si="251"/>
        <v>2405413.395977552</v>
      </c>
      <c r="DI255" s="769"/>
      <c r="DJ255" s="5"/>
      <c r="DK255" s="307">
        <f>VLOOKUP($A255,ціни!$A$4:$G$401,5)</f>
        <v>5.674494394366671</v>
      </c>
      <c r="DL255" s="307"/>
      <c r="DM255" s="307">
        <f>VLOOKUP($A255,ціни!$A$4:$G$401,7)</f>
        <v>5.0270406300424497</v>
      </c>
      <c r="DN255" s="29">
        <f>F255*DK255</f>
        <v>15676.358213877365</v>
      </c>
      <c r="DO255" s="29">
        <f>H255*DM255</f>
        <v>0</v>
      </c>
      <c r="DP255" s="306">
        <f t="shared" si="252"/>
        <v>15676.358213877365</v>
      </c>
      <c r="DQ255" s="101"/>
      <c r="DR255" s="29">
        <f>VLOOKUP(A255,'ДЗ нас '!$A$1:$C$359,2)</f>
        <v>15676.38</v>
      </c>
      <c r="DS255" s="733"/>
      <c r="DT255" s="29">
        <f t="shared" si="253"/>
        <v>15676.38</v>
      </c>
      <c r="DU255" s="247">
        <f>VLOOKUP(A255,'новий кошторис с 01.06'!$A$4:$AI$399,35)*1.2</f>
        <v>15674.315395895392</v>
      </c>
      <c r="DV255" s="29">
        <f t="shared" si="254"/>
        <v>2.064604104607497</v>
      </c>
      <c r="DW255" s="1016">
        <f>'[2]побудинковий звіт'!$DW$9+'[1]побудинковий звіт'!DW255</f>
        <v>918</v>
      </c>
      <c r="DX255" s="101">
        <f>'[1]побудинковий звіт'!DX255</f>
        <v>0</v>
      </c>
      <c r="DY255" s="5">
        <f t="shared" si="255"/>
        <v>54575.528778440625</v>
      </c>
      <c r="DZ255" s="5">
        <f t="shared" si="256"/>
        <v>23773.923893544063</v>
      </c>
      <c r="EA255" s="737">
        <f t="shared" si="257"/>
        <v>36528.92</v>
      </c>
      <c r="EC255" s="577">
        <f t="shared" si="258"/>
        <v>468303.98795506253</v>
      </c>
      <c r="EE255" s="743">
        <v>8483</v>
      </c>
      <c r="EF255" s="723">
        <f t="shared" si="259"/>
        <v>6347.3759209521231</v>
      </c>
      <c r="EH255" s="798">
        <v>229837.90268425978</v>
      </c>
      <c r="EI255" s="101">
        <f>VLOOKUP(A255,'кошти 01.01.24'!$A$9:$D$352,4,FALSE)</f>
        <v>255034.46119584361</v>
      </c>
    </row>
    <row r="256" spans="1:139" ht="13.95" hidden="1" customHeight="1" x14ac:dyDescent="0.3">
      <c r="A256" s="318">
        <v>150000798</v>
      </c>
      <c r="B256" s="43" t="s">
        <v>733</v>
      </c>
      <c r="C256" s="44" t="s">
        <v>225</v>
      </c>
      <c r="D256" s="44" t="s">
        <v>225</v>
      </c>
      <c r="E256" s="39">
        <f t="shared" si="185"/>
        <v>1317.8000000000002</v>
      </c>
      <c r="F256" s="205">
        <f>'[1]побудинковий звіт'!F256</f>
        <v>996.2</v>
      </c>
      <c r="G256" s="29">
        <f>'[1]побудинковий звіт'!G256</f>
        <v>0</v>
      </c>
      <c r="H256" s="148">
        <f>'[1]побудинковий звіт'!H256</f>
        <v>321.60000000000002</v>
      </c>
      <c r="I256" s="41">
        <f>'[2]побудинковий звіт'!I256+'[1]побудинковий звіт'!I256</f>
        <v>4126.3505305408935</v>
      </c>
      <c r="J256" s="41">
        <f>'[2]побудинковий звіт'!J256+'[1]побудинковий звіт'!J256</f>
        <v>4234.7774808825907</v>
      </c>
      <c r="K256" s="55">
        <f t="shared" si="186"/>
        <v>108.42695034169719</v>
      </c>
      <c r="L256" s="41">
        <f>'[2]побудинковий звіт'!L256+'[1]побудинковий звіт'!L256</f>
        <v>751.54619319912308</v>
      </c>
      <c r="M256" s="41">
        <f>'[2]побудинковий звіт'!M256+'[1]побудинковий звіт'!M256</f>
        <v>785.91588695222833</v>
      </c>
      <c r="N256" s="55">
        <f t="shared" si="187"/>
        <v>34.369693753105253</v>
      </c>
      <c r="O256" s="41">
        <f>'[2]побудинковий звіт'!O256+'[1]побудинковий звіт'!O256</f>
        <v>1997.614662955692</v>
      </c>
      <c r="P256" s="41">
        <f>'[2]побудинковий звіт'!P256+'[1]побудинковий звіт'!P256</f>
        <v>2003.3331539884477</v>
      </c>
      <c r="Q256" s="55">
        <f t="shared" si="188"/>
        <v>5.7184910327557645</v>
      </c>
      <c r="R256" s="41">
        <f>'[2]побудинковий звіт'!R256+'[1]побудинковий звіт'!R256</f>
        <v>0</v>
      </c>
      <c r="S256" s="41">
        <f>'[2]побудинковий звіт'!S256+'[1]побудинковий звіт'!S256</f>
        <v>0</v>
      </c>
      <c r="T256" s="55">
        <f t="shared" si="189"/>
        <v>0</v>
      </c>
      <c r="U256" s="41">
        <f>'[2]побудинковий звіт'!U256+'[1]побудинковий звіт'!U256</f>
        <v>112.26117935125026</v>
      </c>
      <c r="V256" s="41">
        <f>'[2]побудинковий звіт'!V256+'[1]побудинковий звіт'!V256</f>
        <v>64.766754518396098</v>
      </c>
      <c r="W256" s="55">
        <f t="shared" si="190"/>
        <v>-47.494424832854165</v>
      </c>
      <c r="X256" s="41">
        <f>'[2]побудинковий звіт'!X256+'[1]побудинковий звіт'!X256</f>
        <v>3036.8026308097164</v>
      </c>
      <c r="Y256" s="41">
        <f>'[2]побудинковий звіт'!Y256+'[1]побудинковий звіт'!Y256</f>
        <v>2778.8825941813434</v>
      </c>
      <c r="Z256" s="55">
        <f t="shared" si="191"/>
        <v>-257.92003662837305</v>
      </c>
      <c r="AA256" s="41">
        <f>'[2]побудинковий звіт'!AA256+'[1]побудинковий звіт'!AA256</f>
        <v>0</v>
      </c>
      <c r="AB256" s="41">
        <f>'[2]побудинковий звіт'!AB256+'[1]побудинковий звіт'!AB256</f>
        <v>0</v>
      </c>
      <c r="AC256" s="55">
        <f t="shared" si="192"/>
        <v>0</v>
      </c>
      <c r="AD256" s="41">
        <f>'[2]побудинковий звіт'!AD256+'[1]побудинковий звіт'!AD256</f>
        <v>5716.069852204686</v>
      </c>
      <c r="AE256" s="41">
        <f>'[2]побудинковий звіт'!AE256+'[1]побудинковий звіт'!AE256</f>
        <v>5693.8248451887184</v>
      </c>
      <c r="AF256" s="36">
        <f t="shared" si="193"/>
        <v>-22.245007015967531</v>
      </c>
      <c r="AG256" s="84">
        <f t="shared" si="194"/>
        <v>15740.645049061362</v>
      </c>
      <c r="AH256" s="56">
        <f t="shared" si="195"/>
        <v>15561.500715711725</v>
      </c>
      <c r="AI256" s="55">
        <f t="shared" si="196"/>
        <v>-179.14433334963724</v>
      </c>
      <c r="AJ256" s="41">
        <f>'[2]побудинковий звіт'!AJ256+'[1]побудинковий звіт'!AJ256</f>
        <v>0</v>
      </c>
      <c r="AK256" s="41">
        <f>'[2]побудинковий звіт'!AK256+'[1]побудинковий звіт'!AK256</f>
        <v>0</v>
      </c>
      <c r="AL256" s="55">
        <f t="shared" si="197"/>
        <v>0</v>
      </c>
      <c r="AM256" s="41">
        <f>'[2]побудинковий звіт'!AM256+'[1]побудинковий звіт'!AM256</f>
        <v>0</v>
      </c>
      <c r="AN256" s="41">
        <f>'[2]побудинковий звіт'!AN256+'[1]побудинковий звіт'!AN256</f>
        <v>0</v>
      </c>
      <c r="AO256" s="55">
        <f t="shared" si="198"/>
        <v>0</v>
      </c>
      <c r="AP256" s="41">
        <f>'[2]побудинковий звіт'!AP256+'[1]побудинковий звіт'!AP256</f>
        <v>2674.6144458440508</v>
      </c>
      <c r="AQ256" s="41">
        <f>'[2]побудинковий звіт'!AQ256+'[1]побудинковий звіт'!AQ256</f>
        <v>2042.5963671809852</v>
      </c>
      <c r="AR256" s="55">
        <f t="shared" si="199"/>
        <v>-632.01807866306558</v>
      </c>
      <c r="AS256" s="41">
        <f>'[2]побудинковий звіт'!AS256+'[1]побудинковий звіт'!AS256</f>
        <v>17067.433313088692</v>
      </c>
      <c r="AT256" s="41">
        <f>'[2]побудинковий звіт'!AT256+'[1]побудинковий звіт'!AT256</f>
        <v>1969.9512505194612</v>
      </c>
      <c r="AU256" s="57">
        <f t="shared" si="200"/>
        <v>-15097.48206256923</v>
      </c>
      <c r="AV256" s="41">
        <f>'[2]побудинковий звіт'!AV256+'[1]побудинковий звіт'!AV256</f>
        <v>776.62723427238473</v>
      </c>
      <c r="AW256" s="41">
        <f>'[2]побудинковий звіт'!AW256+'[1]побудинковий звіт'!AW256</f>
        <v>0</v>
      </c>
      <c r="AX256" s="58">
        <f t="shared" si="201"/>
        <v>-776.62723427238473</v>
      </c>
      <c r="AY256" s="41">
        <f>'[2]побудинковий звіт'!AY256+'[1]побудинковий звіт'!AY256</f>
        <v>979.98071254496779</v>
      </c>
      <c r="AZ256" s="41">
        <f>'[2]побудинковий звіт'!AZ256+'[1]побудинковий звіт'!AZ256</f>
        <v>0</v>
      </c>
      <c r="BA256" s="36">
        <f t="shared" si="202"/>
        <v>-979.98071254496779</v>
      </c>
      <c r="BB256" s="41">
        <f>'[2]побудинковий звіт'!BB256+'[1]побудинковий звіт'!BB256</f>
        <v>936.27190991050782</v>
      </c>
      <c r="BC256" s="41">
        <f>'[2]побудинковий звіт'!BC256+'[1]побудинковий звіт'!BC256</f>
        <v>0</v>
      </c>
      <c r="BD256" s="58">
        <f t="shared" si="203"/>
        <v>-936.27190991050782</v>
      </c>
      <c r="BE256" s="41">
        <f>'[2]побудинковий звіт'!BE256+'[1]побудинковий звіт'!BE256</f>
        <v>0</v>
      </c>
      <c r="BF256" s="41">
        <f>'[2]побудинковий звіт'!BF256+'[1]побудинковий звіт'!BF256</f>
        <v>0</v>
      </c>
      <c r="BG256" s="38">
        <f t="shared" si="204"/>
        <v>0</v>
      </c>
      <c r="BH256" s="41">
        <f>'[2]побудинковий звіт'!BH256+'[1]побудинковий звіт'!BH256</f>
        <v>66.163852782859806</v>
      </c>
      <c r="BI256" s="41">
        <f>'[2]побудинковий звіт'!BI256+'[1]побудинковий звіт'!BI256</f>
        <v>0</v>
      </c>
      <c r="BJ256" s="58">
        <f t="shared" si="205"/>
        <v>-66.163852782859806</v>
      </c>
      <c r="BK256" s="41">
        <f>'[2]побудинковий звіт'!BK256+'[1]побудинковий звіт'!BK256</f>
        <v>454.80709358525326</v>
      </c>
      <c r="BL256" s="41">
        <f>'[2]побудинковий звіт'!BL256+'[1]побудинковий звіт'!BL256</f>
        <v>366.48772601357666</v>
      </c>
      <c r="BM256" s="38">
        <f t="shared" si="206"/>
        <v>-88.319367571676594</v>
      </c>
      <c r="BN256" s="41">
        <f>'[2]побудинковий звіт'!BN256+'[1]побудинковий звіт'!BN256</f>
        <v>25.222178386306183</v>
      </c>
      <c r="BO256" s="41">
        <f>'[2]побудинковий звіт'!BO256+'[1]побудинковий звіт'!BO256</f>
        <v>0</v>
      </c>
      <c r="BP256" s="58">
        <f t="shared" si="207"/>
        <v>-25.222178386306183</v>
      </c>
      <c r="BQ256" s="84">
        <f t="shared" si="208"/>
        <v>3239.0729814822798</v>
      </c>
      <c r="BR256" s="42">
        <f t="shared" si="209"/>
        <v>366.48772601357666</v>
      </c>
      <c r="BS256" s="58">
        <f t="shared" si="210"/>
        <v>-2872.5852554687031</v>
      </c>
      <c r="BT256" s="41">
        <f>'[2]побудинковий звіт'!BT256+'[1]побудинковий звіт'!BT256</f>
        <v>10478.256386485584</v>
      </c>
      <c r="BU256" s="41">
        <f>'[2]побудинковий звіт'!BU256+'[1]побудинковий звіт'!BU256</f>
        <v>18704.051107289502</v>
      </c>
      <c r="BV256" s="55">
        <f t="shared" si="211"/>
        <v>8225.7947208039186</v>
      </c>
      <c r="BW256" s="41">
        <f>'[2]побудинковий звіт'!BW256+'[1]побудинковий звіт'!BW256</f>
        <v>9386.2908638126191</v>
      </c>
      <c r="BX256" s="41">
        <f>'[2]побудинковий звіт'!BX256+'[1]побудинковий звіт'!BX256</f>
        <v>11021.222844640735</v>
      </c>
      <c r="BY256" s="55">
        <f t="shared" si="212"/>
        <v>1634.9319808281161</v>
      </c>
      <c r="BZ256" s="41">
        <f>'[2]побудинковий звіт'!BZ256+'[1]побудинковий звіт'!BZ256</f>
        <v>5622.3434265445057</v>
      </c>
      <c r="CA256" s="41">
        <f>'[2]побудинковий звіт'!CA256+'[1]побудинковий звіт'!CA256</f>
        <v>1952.7583833749286</v>
      </c>
      <c r="CB256" s="55">
        <f t="shared" si="213"/>
        <v>-3669.5850431695771</v>
      </c>
      <c r="CC256" s="41">
        <f>'[2]побудинковий звіт'!CC256+'[1]побудинковий звіт'!CC256</f>
        <v>1458.9922962029934</v>
      </c>
      <c r="CD256" s="41">
        <f>'[2]побудинковий звіт'!CD256+'[1]побудинковий звіт'!CD256</f>
        <v>1463.9395763380633</v>
      </c>
      <c r="CE256" s="55">
        <f t="shared" si="214"/>
        <v>4.9472801350698319</v>
      </c>
      <c r="CF256" s="41">
        <f>'[2]побудинковий звіт'!CF256+'[1]побудинковий звіт'!CF256</f>
        <v>180.76139068530503</v>
      </c>
      <c r="CG256" s="41">
        <f>'[2]побудинковий звіт'!CG256+'[1]побудинковий звіт'!CG256</f>
        <v>0</v>
      </c>
      <c r="CH256" s="55">
        <f t="shared" si="215"/>
        <v>-180.76139068530503</v>
      </c>
      <c r="CI256" s="41">
        <f>'[2]побудинковий звіт'!CI256+'[1]побудинковий звіт'!CI256</f>
        <v>2886.8987942675208</v>
      </c>
      <c r="CJ256" s="41">
        <f>'[2]побудинковий звіт'!CJ256+'[1]побудинковий звіт'!CJ256</f>
        <v>1263.4069693651334</v>
      </c>
      <c r="CK256" s="55">
        <f t="shared" si="216"/>
        <v>-1623.4918249023874</v>
      </c>
      <c r="CL256" s="41">
        <f>'[2]побудинковий звіт'!CL256+'[1]побудинковий звіт'!CL256</f>
        <v>0</v>
      </c>
      <c r="CM256" s="41">
        <f>'[2]побудинковий звіт'!CM256+'[1]побудинковий звіт'!CM256</f>
        <v>0</v>
      </c>
      <c r="CN256" s="55">
        <f t="shared" si="217"/>
        <v>0</v>
      </c>
      <c r="CO256" s="41">
        <f t="shared" si="218"/>
        <v>2886.8987942675208</v>
      </c>
      <c r="CP256" s="42">
        <f t="shared" si="219"/>
        <v>1263.4069693651334</v>
      </c>
      <c r="CQ256" s="55">
        <f t="shared" si="220"/>
        <v>-1623.4918249023874</v>
      </c>
      <c r="CR256" s="76">
        <f t="shared" si="221"/>
        <v>68735.308947474899</v>
      </c>
      <c r="CS256" s="5">
        <f t="shared" si="222"/>
        <v>54345.914940434115</v>
      </c>
      <c r="CT256" s="55">
        <f t="shared" si="223"/>
        <v>-14389.394007040784</v>
      </c>
      <c r="CU256" s="84">
        <f t="shared" si="224"/>
        <v>82482.370736969882</v>
      </c>
      <c r="CV256" s="68">
        <f t="shared" si="225"/>
        <v>65215.097928520932</v>
      </c>
      <c r="CW256" s="36">
        <f t="shared" si="226"/>
        <v>-17267.27280844895</v>
      </c>
      <c r="CX256" s="41">
        <f>'[2]побудинковий звіт'!CX256+'[1]побудинковий звіт'!CX256</f>
        <v>2479.0100637494329</v>
      </c>
      <c r="CY256" s="41">
        <f>'[2]побудинковий звіт'!CY256+'[1]побудинковий звіт'!CY256</f>
        <v>19746.282872198404</v>
      </c>
      <c r="CZ256" s="55">
        <f t="shared" si="227"/>
        <v>17267.272808448972</v>
      </c>
      <c r="DA256" s="254">
        <f>'[1]побудинковий звіт'!DA256</f>
        <v>67672.225528609502</v>
      </c>
      <c r="DB256" s="2">
        <v>2</v>
      </c>
      <c r="DC256" s="702">
        <f>'[1]побудинковий звіт'!DC256</f>
        <v>29626.47</v>
      </c>
      <c r="DD256" s="702">
        <f>'[1]побудинковий звіт'!DD256</f>
        <v>1974.18</v>
      </c>
      <c r="DE256" s="702">
        <f>'[1]побудинковий звіт'!DE256</f>
        <v>22268.030000000002</v>
      </c>
      <c r="DF256" s="702">
        <f>'[1]побудинковий звіт'!DF256</f>
        <v>-1399.03</v>
      </c>
      <c r="DG256" s="772">
        <v>96299.250653039519</v>
      </c>
      <c r="DH256" s="746">
        <f t="shared" si="251"/>
        <v>1019536.5696086318</v>
      </c>
      <c r="DI256" s="769"/>
      <c r="DJ256" s="5"/>
      <c r="DK256" s="307">
        <f>VLOOKUP($A256,ціни!$A$4:$G$401,5)</f>
        <v>5.2752042217648372</v>
      </c>
      <c r="DL256" s="307"/>
      <c r="DM256" s="307">
        <f>VLOOKUP($A256,ціни!$A$4:$G$401,7)</f>
        <v>4.3538781191186189</v>
      </c>
      <c r="DN256" s="29">
        <f>F256*DK256</f>
        <v>5255.1584457221306</v>
      </c>
      <c r="DO256" s="29">
        <f>H256*DM256</f>
        <v>1400.2072031085479</v>
      </c>
      <c r="DP256" s="306">
        <f t="shared" si="252"/>
        <v>6655.3656488306788</v>
      </c>
      <c r="DQ256" s="101"/>
      <c r="DR256" s="29">
        <f>VLOOKUP(A256,'ДЗ нас '!$A$1:$C$359,2)</f>
        <v>5255.14</v>
      </c>
      <c r="DS256" s="733">
        <f>VLOOKUP(A256,'ДЗ нежит'!$A$1:$D$153,4,0)</f>
        <v>1400.21</v>
      </c>
      <c r="DT256" s="29">
        <f t="shared" si="253"/>
        <v>6655.35</v>
      </c>
      <c r="DU256" s="247">
        <f>VLOOKUP(A256,'новий кошторис с 01.06'!$A$4:$AI$399,35)*1.2</f>
        <v>6688.3609408101875</v>
      </c>
      <c r="DV256" s="29">
        <f t="shared" si="254"/>
        <v>-33.010940810187094</v>
      </c>
      <c r="DW256" s="1016">
        <f>'[2]побудинковий звіт'!$DW$9+'[1]побудинковий звіт'!DW256</f>
        <v>1062</v>
      </c>
      <c r="DX256" s="101">
        <f>'[1]побудинковий звіт'!DX256</f>
        <v>0</v>
      </c>
      <c r="DY256" s="5">
        <f t="shared" si="255"/>
        <v>24367.807553485167</v>
      </c>
      <c r="DZ256" s="5">
        <f t="shared" si="256"/>
        <v>2803.7267718396456</v>
      </c>
      <c r="EA256" s="737">
        <f t="shared" si="257"/>
        <v>20869.000000000004</v>
      </c>
      <c r="EC256" s="577">
        <f t="shared" si="258"/>
        <v>204809.19975706429</v>
      </c>
      <c r="EE256" s="743">
        <v>24456</v>
      </c>
      <c r="EF256" s="723">
        <f t="shared" si="259"/>
        <v>120755.25065303952</v>
      </c>
      <c r="EH256" s="798">
        <v>85907.952975026245</v>
      </c>
      <c r="EI256" s="101">
        <f>VLOOKUP(A256,'кошти 01.01.24'!$A$9:$D$352,4,FALSE)</f>
        <v>84939.498337058452</v>
      </c>
    </row>
    <row r="257" spans="1:139" hidden="1" x14ac:dyDescent="0.3">
      <c r="A257" s="318">
        <v>150000819</v>
      </c>
      <c r="B257" s="43" t="s">
        <v>734</v>
      </c>
      <c r="C257" s="44" t="s">
        <v>423</v>
      </c>
      <c r="D257" s="44" t="s">
        <v>423</v>
      </c>
      <c r="E257" s="39">
        <f t="shared" si="185"/>
        <v>7070.85</v>
      </c>
      <c r="F257" s="205">
        <f>'[1]побудинковий звіт'!F257</f>
        <v>6584.75</v>
      </c>
      <c r="G257" s="29">
        <f>'[1]побудинковий звіт'!G257</f>
        <v>226.3</v>
      </c>
      <c r="H257" s="148">
        <f>'[1]побудинковий звіт'!H257</f>
        <v>486.1</v>
      </c>
      <c r="I257" s="41">
        <f>'[2]побудинковий звіт'!I257+'[1]побудинковий звіт'!I257</f>
        <v>27978.142736743455</v>
      </c>
      <c r="J257" s="41">
        <f>'[2]побудинковий звіт'!J257+'[1]побудинковий звіт'!J257</f>
        <v>29049.443319279897</v>
      </c>
      <c r="K257" s="55">
        <f t="shared" si="186"/>
        <v>1071.3005825364417</v>
      </c>
      <c r="L257" s="41">
        <f>'[2]побудинковий звіт'!L257+'[1]побудинковий звіт'!L257</f>
        <v>4775.6907772858367</v>
      </c>
      <c r="M257" s="41">
        <f>'[2]побудинковий звіт'!M257+'[1]побудинковий звіт'!M257</f>
        <v>5228.8133496447481</v>
      </c>
      <c r="N257" s="55">
        <f t="shared" si="187"/>
        <v>453.12257235891138</v>
      </c>
      <c r="O257" s="41">
        <f>'[2]побудинковий звіт'!O257+'[1]побудинковий звіт'!O257</f>
        <v>9057.0159787319153</v>
      </c>
      <c r="P257" s="41">
        <f>'[2]побудинковий звіт'!P257+'[1]побудинковий звіт'!P257</f>
        <v>9084.4052407704366</v>
      </c>
      <c r="Q257" s="55">
        <f t="shared" si="188"/>
        <v>27.389262038521338</v>
      </c>
      <c r="R257" s="41">
        <f>'[2]побудинковий звіт'!R257+'[1]побудинковий звіт'!R257</f>
        <v>2296.2912637090294</v>
      </c>
      <c r="S257" s="41">
        <f>'[2]побудинковий звіт'!S257+'[1]побудинковий звіт'!S257</f>
        <v>2304.4265933779257</v>
      </c>
      <c r="T257" s="55">
        <f t="shared" si="189"/>
        <v>8.1353296688962473</v>
      </c>
      <c r="U257" s="41">
        <f>'[2]побудинковий звіт'!U257+'[1]побудинковий звіт'!U257</f>
        <v>1272.0124507108112</v>
      </c>
      <c r="V257" s="41">
        <f>'[2]побудинковий звіт'!V257+'[1]побудинковий звіт'!V257</f>
        <v>880.75085930275168</v>
      </c>
      <c r="W257" s="55">
        <f t="shared" si="190"/>
        <v>-391.26159140805953</v>
      </c>
      <c r="X257" s="41">
        <f>'[2]побудинковий звіт'!X257+'[1]побудинковий звіт'!X257</f>
        <v>10172.15632045351</v>
      </c>
      <c r="Y257" s="41">
        <f>'[2]побудинковий звіт'!Y257+'[1]побудинковий звіт'!Y257</f>
        <v>11216.390544861952</v>
      </c>
      <c r="Z257" s="55">
        <f t="shared" si="191"/>
        <v>1044.2342244084412</v>
      </c>
      <c r="AA257" s="41">
        <f>'[2]побудинковий звіт'!AA257+'[1]побудинковий звіт'!AA257</f>
        <v>0</v>
      </c>
      <c r="AB257" s="41">
        <f>'[2]побудинковий звіт'!AB257+'[1]побудинковий звіт'!AB257</f>
        <v>0</v>
      </c>
      <c r="AC257" s="55">
        <f t="shared" si="192"/>
        <v>0</v>
      </c>
      <c r="AD257" s="41">
        <f>'[2]побудинковий звіт'!AD257+'[1]побудинковий звіт'!AD257</f>
        <v>29342.006757343846</v>
      </c>
      <c r="AE257" s="41">
        <f>'[2]побудинковий звіт'!AE257+'[1]побудинковий звіт'!AE257</f>
        <v>29543.697945858981</v>
      </c>
      <c r="AF257" s="36">
        <f t="shared" si="193"/>
        <v>201.69118851513485</v>
      </c>
      <c r="AG257" s="84">
        <f t="shared" si="194"/>
        <v>84893.316284978398</v>
      </c>
      <c r="AH257" s="56">
        <f t="shared" si="195"/>
        <v>87307.927853096684</v>
      </c>
      <c r="AI257" s="55">
        <f t="shared" si="196"/>
        <v>2414.6115681182855</v>
      </c>
      <c r="AJ257" s="41">
        <f>'[2]побудинковий звіт'!AJ257+'[1]побудинковий звіт'!AJ257</f>
        <v>55853.198035927839</v>
      </c>
      <c r="AK257" s="41">
        <f>'[2]побудинковий звіт'!AK257+'[1]побудинковий звіт'!AK257</f>
        <v>51087.168994291445</v>
      </c>
      <c r="AL257" s="55">
        <f t="shared" si="197"/>
        <v>-4766.0290416363932</v>
      </c>
      <c r="AM257" s="41">
        <f>'[2]побудинковий звіт'!AM257+'[1]побудинковий звіт'!AM257</f>
        <v>1328.5053170497004</v>
      </c>
      <c r="AN257" s="41">
        <f>'[2]побудинковий звіт'!AN257+'[1]побудинковий звіт'!AN257</f>
        <v>392.7413999697078</v>
      </c>
      <c r="AO257" s="55">
        <f t="shared" si="198"/>
        <v>-935.76391707999255</v>
      </c>
      <c r="AP257" s="41">
        <f>'[2]побудинковий звіт'!AP257+'[1]побудинковий звіт'!AP257</f>
        <v>5547.348480269141</v>
      </c>
      <c r="AQ257" s="41">
        <f>'[2]побудинковий звіт'!AQ257+'[1]побудинковий звіт'!AQ257</f>
        <v>5124.999693594531</v>
      </c>
      <c r="AR257" s="55">
        <f t="shared" si="199"/>
        <v>-422.34878667460998</v>
      </c>
      <c r="AS257" s="41">
        <f>'[2]побудинковий звіт'!AS257+'[1]побудинковий звіт'!AS257</f>
        <v>143948.84396940528</v>
      </c>
      <c r="AT257" s="41">
        <f>'[2]побудинковий звіт'!AT257+'[1]побудинковий звіт'!AT257</f>
        <v>63682.626636253757</v>
      </c>
      <c r="AU257" s="57">
        <f t="shared" si="200"/>
        <v>-80266.217333151522</v>
      </c>
      <c r="AV257" s="41">
        <f>'[2]побудинковий звіт'!AV257+'[1]побудинковий звіт'!AV257</f>
        <v>2653.2781458094464</v>
      </c>
      <c r="AW257" s="41">
        <f>'[2]побудинковий звіт'!AW257+'[1]побудинковий звіт'!AW257</f>
        <v>3003.0971357121953</v>
      </c>
      <c r="AX257" s="58">
        <f t="shared" si="201"/>
        <v>349.81898990274885</v>
      </c>
      <c r="AY257" s="41">
        <f>'[2]побудинковий звіт'!AY257+'[1]побудинковий звіт'!AY257</f>
        <v>3153.4584112951429</v>
      </c>
      <c r="AZ257" s="41">
        <f>'[2]побудинковий звіт'!AZ257+'[1]побудинковий звіт'!AZ257</f>
        <v>0</v>
      </c>
      <c r="BA257" s="36">
        <f t="shared" si="202"/>
        <v>-3153.4584112951429</v>
      </c>
      <c r="BB257" s="41">
        <f>'[2]побудинковий звіт'!BB257+'[1]побудинковий звіт'!BB257</f>
        <v>3679.9769702817998</v>
      </c>
      <c r="BC257" s="41">
        <f>'[2]побудинковий звіт'!BC257+'[1]побудинковий звіт'!BC257</f>
        <v>1656.0087223434757</v>
      </c>
      <c r="BD257" s="58">
        <f t="shared" si="203"/>
        <v>-2023.9682479383241</v>
      </c>
      <c r="BE257" s="41">
        <f>'[2]побудинковий звіт'!BE257+'[1]побудинковий звіт'!BE257</f>
        <v>1124.1156435860044</v>
      </c>
      <c r="BF257" s="41">
        <f>'[2]побудинковий звіт'!BF257+'[1]побудинковий звіт'!BF257</f>
        <v>0</v>
      </c>
      <c r="BG257" s="38">
        <f t="shared" si="204"/>
        <v>-1124.1156435860044</v>
      </c>
      <c r="BH257" s="41">
        <f>'[2]побудинковий звіт'!BH257+'[1]побудинковий звіт'!BH257</f>
        <v>663.27519700208813</v>
      </c>
      <c r="BI257" s="41">
        <f>'[2]побудинковий звіт'!BI257+'[1]побудинковий звіт'!BI257</f>
        <v>1241.6980407141316</v>
      </c>
      <c r="BJ257" s="58">
        <f t="shared" si="205"/>
        <v>578.42284371204346</v>
      </c>
      <c r="BK257" s="41">
        <f>'[2]побудинковий звіт'!BK257+'[1]побудинковий звіт'!BK257</f>
        <v>1476.972655749662</v>
      </c>
      <c r="BL257" s="41">
        <f>'[2]побудинковий звіт'!BL257+'[1]побудинковий звіт'!BL257</f>
        <v>4079.5358971971282</v>
      </c>
      <c r="BM257" s="38">
        <f t="shared" si="206"/>
        <v>2602.5632414474662</v>
      </c>
      <c r="BN257" s="41">
        <f>'[2]побудинковий звіт'!BN257+'[1]побудинковий звіт'!BN257</f>
        <v>159.99143006238995</v>
      </c>
      <c r="BO257" s="41">
        <f>'[2]побудинковий звіт'!BO257+'[1]побудинковий звіт'!BO257</f>
        <v>0</v>
      </c>
      <c r="BP257" s="58">
        <f t="shared" si="207"/>
        <v>-159.99143006238995</v>
      </c>
      <c r="BQ257" s="84">
        <f t="shared" si="208"/>
        <v>12911.068453786535</v>
      </c>
      <c r="BR257" s="42">
        <f t="shared" si="209"/>
        <v>9980.339795966931</v>
      </c>
      <c r="BS257" s="58">
        <f t="shared" si="210"/>
        <v>-2930.7286578196035</v>
      </c>
      <c r="BT257" s="41">
        <f>'[2]побудинковий звіт'!BT257+'[1]побудинковий звіт'!BT257</f>
        <v>45565.472093089236</v>
      </c>
      <c r="BU257" s="41">
        <f>'[2]побудинковий звіт'!BU257+'[1]побудинковий звіт'!BU257</f>
        <v>73431.432512704094</v>
      </c>
      <c r="BV257" s="55">
        <f t="shared" si="211"/>
        <v>27865.960419614858</v>
      </c>
      <c r="BW257" s="41">
        <f>'[2]побудинковий звіт'!BW257+'[1]побудинковий звіт'!BW257</f>
        <v>55908.163846209201</v>
      </c>
      <c r="BX257" s="41">
        <f>'[2]побудинковий звіт'!BX257+'[1]побудинковий звіт'!BX257</f>
        <v>60543.301701190692</v>
      </c>
      <c r="BY257" s="55">
        <f t="shared" si="212"/>
        <v>4635.1378549814908</v>
      </c>
      <c r="BZ257" s="41">
        <f>'[2]побудинковий звіт'!BZ257+'[1]побудинковий звіт'!BZ257</f>
        <v>18430.94036657488</v>
      </c>
      <c r="CA257" s="41">
        <f>'[2]побудинковий звіт'!CA257+'[1]побудинковий звіт'!CA257</f>
        <v>6522.7966474002396</v>
      </c>
      <c r="CB257" s="55">
        <f t="shared" si="213"/>
        <v>-11908.143719174641</v>
      </c>
      <c r="CC257" s="41">
        <f>'[2]побудинковий звіт'!CC257+'[1]побудинковий звіт'!CC257</f>
        <v>671.78381156270109</v>
      </c>
      <c r="CD257" s="41">
        <f>'[2]побудинковий звіт'!CD257+'[1]побудинковий звіт'!CD257</f>
        <v>674.06175553447872</v>
      </c>
      <c r="CE257" s="55">
        <f t="shared" si="214"/>
        <v>2.2779439717776313</v>
      </c>
      <c r="CF257" s="41">
        <f>'[2]побудинковий звіт'!CF257+'[1]побудинковий звіт'!CF257</f>
        <v>83.230443597252219</v>
      </c>
      <c r="CG257" s="41">
        <f>'[2]побудинковий звіт'!CG257+'[1]побудинковий звіт'!CG257</f>
        <v>0</v>
      </c>
      <c r="CH257" s="55">
        <f t="shared" si="215"/>
        <v>-83.230443597252219</v>
      </c>
      <c r="CI257" s="41">
        <f>'[2]побудинковий звіт'!CI257+'[1]побудинковий звіт'!CI257</f>
        <v>14937.945105593433</v>
      </c>
      <c r="CJ257" s="41">
        <f>'[2]побудинковий звіт'!CJ257+'[1]побудинковий звіт'!CJ257</f>
        <v>20404.041679829508</v>
      </c>
      <c r="CK257" s="55">
        <f t="shared" si="216"/>
        <v>5466.096574236075</v>
      </c>
      <c r="CL257" s="41">
        <f>'[2]побудинковий звіт'!CL257+'[1]побудинковий звіт'!CL257</f>
        <v>22685.189800726494</v>
      </c>
      <c r="CM257" s="41">
        <f>'[2]побудинковий звіт'!CM257+'[1]побудинковий звіт'!CM257</f>
        <v>30605.131657735728</v>
      </c>
      <c r="CN257" s="55">
        <f t="shared" si="217"/>
        <v>7919.9418570092348</v>
      </c>
      <c r="CO257" s="41">
        <f t="shared" si="218"/>
        <v>37623.13490631993</v>
      </c>
      <c r="CP257" s="42">
        <f t="shared" si="219"/>
        <v>51009.17333756524</v>
      </c>
      <c r="CQ257" s="55">
        <f t="shared" si="220"/>
        <v>13386.03843124531</v>
      </c>
      <c r="CR257" s="76">
        <f t="shared" si="221"/>
        <v>462765.00600877008</v>
      </c>
      <c r="CS257" s="5">
        <f t="shared" si="222"/>
        <v>409756.57032756787</v>
      </c>
      <c r="CT257" s="55">
        <f t="shared" si="223"/>
        <v>-53008.435681202216</v>
      </c>
      <c r="CU257" s="84">
        <f t="shared" si="224"/>
        <v>555318.00721052405</v>
      </c>
      <c r="CV257" s="68">
        <f t="shared" si="225"/>
        <v>491707.88439308142</v>
      </c>
      <c r="CW257" s="36">
        <f t="shared" si="226"/>
        <v>-63610.122817442636</v>
      </c>
      <c r="CX257" s="41">
        <f>'[2]побудинковий звіт'!CX257+'[1]побудинковий звіт'!CX257</f>
        <v>18040.199339792016</v>
      </c>
      <c r="CY257" s="41">
        <f>'[2]побудинковий звіт'!CY257+'[1]побудинковий звіт'!CY257</f>
        <v>81650.322157234812</v>
      </c>
      <c r="CZ257" s="55">
        <f t="shared" si="227"/>
        <v>63610.122817442796</v>
      </c>
      <c r="DA257" s="254">
        <f>'[1]побудинковий звіт'!DA257</f>
        <v>-4303.9463398244261</v>
      </c>
      <c r="DB257" s="2">
        <v>3</v>
      </c>
      <c r="DC257" s="702">
        <f>'[1]побудинковий звіт'!DC257</f>
        <v>79789.91</v>
      </c>
      <c r="DD257" s="702">
        <f>'[1]побудинковий звіт'!DD257</f>
        <v>24767.61</v>
      </c>
      <c r="DE257" s="702">
        <f>'[1]побудинковий звіт'!DE257</f>
        <v>18432.810000000005</v>
      </c>
      <c r="DF257" s="702">
        <f>'[1]побудинковий звіт'!DF257</f>
        <v>21621.57</v>
      </c>
      <c r="DG257" s="772">
        <v>-14458.324605910806</v>
      </c>
      <c r="DH257" s="746">
        <f t="shared" si="251"/>
        <v>6880298.4786037933</v>
      </c>
      <c r="DI257" s="769"/>
      <c r="DJ257" s="5"/>
      <c r="DK257" s="307">
        <f>VLOOKUP($A257,ціни!$A$4:$G$401,5)</f>
        <v>5.5386908077964438</v>
      </c>
      <c r="DL257" s="307">
        <f>VLOOKUP($A257,ціни!$A$4:$G$401,6)</f>
        <v>6.7255476956885545</v>
      </c>
      <c r="DM257" s="307">
        <f>VLOOKUP($A257,ціни!$A$4:$G$401,7)</f>
        <v>4.5745983957241814</v>
      </c>
      <c r="DN257" s="29">
        <f>DK257*G257+(F257-G257)*DL257</f>
        <v>44017.464475455221</v>
      </c>
      <c r="DO257" s="29">
        <f>DM257*H257</f>
        <v>2223.7122801615246</v>
      </c>
      <c r="DP257" s="306">
        <f t="shared" si="252"/>
        <v>46241.176755616747</v>
      </c>
      <c r="DQ257" s="101"/>
      <c r="DR257" s="29">
        <f>VLOOKUP(A257,'ДЗ нас '!$A$1:$C$359,2)</f>
        <v>44017.19</v>
      </c>
      <c r="DS257" s="733">
        <f>VLOOKUP(A257,'ДЗ нежит'!$A$1:$D$153,4,0)</f>
        <v>705.8599999999999</v>
      </c>
      <c r="DT257" s="29">
        <f t="shared" si="253"/>
        <v>44723.05</v>
      </c>
      <c r="DU257" s="247">
        <f>VLOOKUP(A257,'новий кошторис с 01.06'!$A$4:$AI$399,35)*1.2</f>
        <v>45085.80325013509</v>
      </c>
      <c r="DV257" s="29">
        <f t="shared" si="254"/>
        <v>-362.753250135087</v>
      </c>
      <c r="DW257" s="1016">
        <f>'[2]побудинковий звіт'!$DW$9+'[1]побудинковий звіт'!DW257</f>
        <v>1242</v>
      </c>
      <c r="DX257" s="101">
        <f>'[1]побудинковий звіт'!DX257</f>
        <v>0</v>
      </c>
      <c r="DY257" s="5">
        <f t="shared" si="255"/>
        <v>188231.8949078302</v>
      </c>
      <c r="DZ257" s="5">
        <f t="shared" si="256"/>
        <v>88395.559718664808</v>
      </c>
      <c r="EA257" s="737">
        <f t="shared" si="257"/>
        <v>40054.380000000005</v>
      </c>
      <c r="EC257" s="577">
        <f t="shared" si="258"/>
        <v>1727386.1276328634</v>
      </c>
      <c r="EE257" s="743">
        <v>40933</v>
      </c>
      <c r="EF257" s="723">
        <f t="shared" si="259"/>
        <v>26474.675394089194</v>
      </c>
      <c r="EH257" s="798">
        <v>79599.628382698153</v>
      </c>
      <c r="EI257" s="101">
        <f>VLOOKUP(A257,'кошти 01.01.24'!$A$9:$D$352,4,FALSE)</f>
        <v>59306.176477618355</v>
      </c>
    </row>
    <row r="258" spans="1:139" hidden="1" x14ac:dyDescent="0.3">
      <c r="A258" s="318">
        <v>150000820</v>
      </c>
      <c r="B258" s="43" t="s">
        <v>735</v>
      </c>
      <c r="C258" s="44" t="s">
        <v>394</v>
      </c>
      <c r="D258" s="44" t="s">
        <v>394</v>
      </c>
      <c r="E258" s="39">
        <f t="shared" si="185"/>
        <v>4189.33</v>
      </c>
      <c r="F258" s="205">
        <f>'[1]побудинковий звіт'!F258</f>
        <v>4139.33</v>
      </c>
      <c r="G258" s="29">
        <f>'[1]побудинковий звіт'!G258</f>
        <v>406.76</v>
      </c>
      <c r="H258" s="148">
        <f>'[1]побудинковий звіт'!H258</f>
        <v>50</v>
      </c>
      <c r="I258" s="41">
        <f>'[2]побудинковий звіт'!I258+'[1]побудинковий звіт'!I258</f>
        <v>15254.588584029734</v>
      </c>
      <c r="J258" s="41">
        <f>'[2]побудинковий звіт'!J258+'[1]побудинковий звіт'!J258</f>
        <v>16155.175912654455</v>
      </c>
      <c r="K258" s="55">
        <f t="shared" si="186"/>
        <v>900.58732862472061</v>
      </c>
      <c r="L258" s="41">
        <f>'[2]побудинковий звіт'!L258+'[1]побудинковий звіт'!L258</f>
        <v>2868.8445136049504</v>
      </c>
      <c r="M258" s="41">
        <f>'[2]побудинковий звіт'!M258+'[1]побудинковий звіт'!M258</f>
        <v>3147.4564631194658</v>
      </c>
      <c r="N258" s="55">
        <f t="shared" si="187"/>
        <v>278.61194951451535</v>
      </c>
      <c r="O258" s="41">
        <f>'[2]побудинковий звіт'!O258+'[1]побудинковий звіт'!O258</f>
        <v>5815.1888260744181</v>
      </c>
      <c r="P258" s="41">
        <f>'[2]побудинковий звіт'!P258+'[1]побудинковий звіт'!P258</f>
        <v>5832.8229748151753</v>
      </c>
      <c r="Q258" s="55">
        <f t="shared" si="188"/>
        <v>17.634148740757155</v>
      </c>
      <c r="R258" s="41">
        <f>'[2]побудинковий звіт'!R258+'[1]побудинковий звіт'!R258</f>
        <v>1587.5459673996447</v>
      </c>
      <c r="S258" s="41">
        <f>'[2]побудинковий звіт'!S258+'[1]побудинковий звіт'!S258</f>
        <v>1592.6810183154153</v>
      </c>
      <c r="T258" s="55">
        <f t="shared" si="189"/>
        <v>5.1350509157705346</v>
      </c>
      <c r="U258" s="41">
        <f>'[2]побудинковий звіт'!U258+'[1]побудинковий звіт'!U258</f>
        <v>793.75679341047226</v>
      </c>
      <c r="V258" s="41">
        <f>'[2]побудинковий звіт'!V258+'[1]побудинковий звіт'!V258</f>
        <v>549.59864723086082</v>
      </c>
      <c r="W258" s="55">
        <f t="shared" si="190"/>
        <v>-244.15814617961144</v>
      </c>
      <c r="X258" s="41">
        <f>'[2]побудинковий звіт'!X258+'[1]побудинковий звіт'!X258</f>
        <v>6316.3623748538248</v>
      </c>
      <c r="Y258" s="41">
        <f>'[2]побудинковий звіт'!Y258+'[1]побудинковий звіт'!Y258</f>
        <v>6620.7055751876796</v>
      </c>
      <c r="Z258" s="55">
        <f t="shared" si="191"/>
        <v>304.34320033385484</v>
      </c>
      <c r="AA258" s="41">
        <f>'[2]побудинковий звіт'!AA258+'[1]побудинковий звіт'!AA258</f>
        <v>0</v>
      </c>
      <c r="AB258" s="41">
        <f>'[2]побудинковий звіт'!AB258+'[1]побудинковий звіт'!AB258</f>
        <v>0</v>
      </c>
      <c r="AC258" s="55">
        <f t="shared" si="192"/>
        <v>0</v>
      </c>
      <c r="AD258" s="41">
        <f>'[2]побудинковий звіт'!AD258+'[1]побудинковий звіт'!AD258</f>
        <v>18167.912790592465</v>
      </c>
      <c r="AE258" s="41">
        <f>'[2]побудинковий звіт'!AE258+'[1]побудинковий звіт'!AE258</f>
        <v>18097.34852829358</v>
      </c>
      <c r="AF258" s="36">
        <f t="shared" si="193"/>
        <v>-70.564262298885296</v>
      </c>
      <c r="AG258" s="84">
        <f t="shared" si="194"/>
        <v>50804.199849965502</v>
      </c>
      <c r="AH258" s="56">
        <f t="shared" si="195"/>
        <v>51995.789119616631</v>
      </c>
      <c r="AI258" s="55">
        <f t="shared" si="196"/>
        <v>1191.5892696511291</v>
      </c>
      <c r="AJ258" s="41">
        <f>'[2]побудинковий звіт'!AJ258+'[1]побудинковий звіт'!AJ258</f>
        <v>43456.658238435972</v>
      </c>
      <c r="AK258" s="41">
        <f>'[2]побудинковий звіт'!AK258+'[1]побудинковий звіт'!AK258</f>
        <v>41472.929982993068</v>
      </c>
      <c r="AL258" s="55">
        <f t="shared" si="197"/>
        <v>-1983.7282554429039</v>
      </c>
      <c r="AM258" s="41">
        <f>'[2]побудинковий звіт'!AM258+'[1]побудинковий звіт'!AM258</f>
        <v>0</v>
      </c>
      <c r="AN258" s="41">
        <f>'[2]побудинковий звіт'!AN258+'[1]побудинковий звіт'!AN258</f>
        <v>0</v>
      </c>
      <c r="AO258" s="55">
        <f t="shared" si="198"/>
        <v>0</v>
      </c>
      <c r="AP258" s="41">
        <f>'[2]побудинковий звіт'!AP258+'[1]побудинковий звіт'!AP258</f>
        <v>3516.622697313474</v>
      </c>
      <c r="AQ258" s="41">
        <f>'[2]побудинковий звіт'!AQ258+'[1]побудинковий звіт'!AQ258</f>
        <v>3251.7553004876195</v>
      </c>
      <c r="AR258" s="55">
        <f t="shared" si="199"/>
        <v>-264.86739682585448</v>
      </c>
      <c r="AS258" s="41">
        <f>'[2]побудинковий звіт'!AS258+'[1]побудинковий звіт'!AS258</f>
        <v>95838.711877779337</v>
      </c>
      <c r="AT258" s="41">
        <f>'[2]побудинковий звіт'!AT258+'[1]побудинковий звіт'!AT258</f>
        <v>82199.873195709588</v>
      </c>
      <c r="AU258" s="57">
        <f t="shared" si="200"/>
        <v>-13638.838682069749</v>
      </c>
      <c r="AV258" s="41">
        <f>'[2]побудинковий звіт'!AV258+'[1]побудинковий звіт'!AV258</f>
        <v>1582.188903685259</v>
      </c>
      <c r="AW258" s="41">
        <f>'[2]побудинковий звіт'!AW258+'[1]побудинковий звіт'!AW258</f>
        <v>2403.8535805925976</v>
      </c>
      <c r="AX258" s="58">
        <f t="shared" si="201"/>
        <v>821.66467690733862</v>
      </c>
      <c r="AY258" s="41">
        <f>'[2]побудинковий звіт'!AY258+'[1]побудинковий звіт'!AY258</f>
        <v>1986.7535151564075</v>
      </c>
      <c r="AZ258" s="41">
        <f>'[2]побудинковий звіт'!AZ258+'[1]побудинковий звіт'!AZ258</f>
        <v>1830.6058002981117</v>
      </c>
      <c r="BA258" s="36">
        <f t="shared" si="202"/>
        <v>-156.14771485829579</v>
      </c>
      <c r="BB258" s="41">
        <f>'[2]побудинковий звіт'!BB258+'[1]побудинковий звіт'!BB258</f>
        <v>2332.4375507906498</v>
      </c>
      <c r="BC258" s="41">
        <f>'[2]побудинковий звіт'!BC258+'[1]побудинковий звіт'!BC258</f>
        <v>0</v>
      </c>
      <c r="BD258" s="58">
        <f t="shared" si="203"/>
        <v>-2332.4375507906498</v>
      </c>
      <c r="BE258" s="41">
        <f>'[2]побудинковий звіт'!BE258+'[1]побудинковий звіт'!BE258</f>
        <v>798.16469650764009</v>
      </c>
      <c r="BF258" s="41">
        <f>'[2]побудинковий звіт'!BF258+'[1]побудинковий звіт'!BF258</f>
        <v>0</v>
      </c>
      <c r="BG258" s="38">
        <f t="shared" si="204"/>
        <v>-798.16469650764009</v>
      </c>
      <c r="BH258" s="41">
        <f>'[2]побудинковий звіт'!BH258+'[1]побудинковий звіт'!BH258</f>
        <v>413.971169521734</v>
      </c>
      <c r="BI258" s="41">
        <f>'[2]побудинковий звіт'!BI258+'[1]побудинковий звіт'!BI258</f>
        <v>2736.2859111191829</v>
      </c>
      <c r="BJ258" s="58">
        <f t="shared" si="205"/>
        <v>2322.314741597449</v>
      </c>
      <c r="BK258" s="41">
        <f>'[2]побудинковий звіт'!BK258+'[1]побудинковий звіт'!BK258</f>
        <v>780.94609387154799</v>
      </c>
      <c r="BL258" s="41">
        <f>'[2]побудинковий звіт'!BL258+'[1]побудинковий звіт'!BL258</f>
        <v>6835.0607671865073</v>
      </c>
      <c r="BM258" s="38">
        <f t="shared" si="206"/>
        <v>6054.114673314959</v>
      </c>
      <c r="BN258" s="41">
        <f>'[2]побудинковий звіт'!BN258+'[1]побудинковий звіт'!BN258</f>
        <v>81.564258463179186</v>
      </c>
      <c r="BO258" s="41">
        <f>'[2]побудинковий звіт'!BO258+'[1]побудинковий звіт'!BO258</f>
        <v>4932.1680519975707</v>
      </c>
      <c r="BP258" s="58">
        <f t="shared" si="207"/>
        <v>4850.6037935343911</v>
      </c>
      <c r="BQ258" s="84">
        <f t="shared" si="208"/>
        <v>7976.0261879964182</v>
      </c>
      <c r="BR258" s="42">
        <f t="shared" si="209"/>
        <v>18737.974111193969</v>
      </c>
      <c r="BS258" s="58">
        <f t="shared" si="210"/>
        <v>10761.947923197551</v>
      </c>
      <c r="BT258" s="41">
        <f>'[2]побудинковий звіт'!BT258+'[1]побудинковий звіт'!BT258</f>
        <v>49936.701484003563</v>
      </c>
      <c r="BU258" s="41">
        <f>'[2]побудинковий звіт'!BU258+'[1]побудинковий звіт'!BU258</f>
        <v>68377.202846750908</v>
      </c>
      <c r="BV258" s="55">
        <f t="shared" si="211"/>
        <v>18440.501362747345</v>
      </c>
      <c r="BW258" s="41">
        <f>'[2]побудинковий звіт'!BW258+'[1]побудинковий звіт'!BW258</f>
        <v>36550.581541707164</v>
      </c>
      <c r="BX258" s="41">
        <f>'[2]побудинковий звіт'!BX258+'[1]побудинковий звіт'!BX258</f>
        <v>39530.471883784252</v>
      </c>
      <c r="BY258" s="55">
        <f t="shared" si="212"/>
        <v>2979.8903420770876</v>
      </c>
      <c r="BZ258" s="41">
        <f>'[2]побудинковий звіт'!BZ258+'[1]побудинковий звіт'!BZ258</f>
        <v>12200.256442118131</v>
      </c>
      <c r="CA258" s="41">
        <f>'[2]побудинковий звіт'!CA258+'[1]побудинковий звіт'!CA258</f>
        <v>6071.8581103777615</v>
      </c>
      <c r="CB258" s="55">
        <f t="shared" si="213"/>
        <v>-6128.398331740369</v>
      </c>
      <c r="CC258" s="41">
        <f>'[2]побудинковий звіт'!CC258+'[1]побудинковий звіт'!CC258</f>
        <v>1374.1032509237068</v>
      </c>
      <c r="CD258" s="41">
        <f>'[2]побудинковий звіт'!CD258+'[1]побудинковий звіт'!CD258</f>
        <v>1378.76268177507</v>
      </c>
      <c r="CE258" s="55">
        <f t="shared" si="214"/>
        <v>4.6594308513631404</v>
      </c>
      <c r="CF258" s="41">
        <f>'[2]побудинковий звіт'!CF258+'[1]побудинковий звіт'!CF258</f>
        <v>170.24408917619772</v>
      </c>
      <c r="CG258" s="41">
        <f>'[2]побудинковий звіт'!CG258+'[1]побудинковий звіт'!CG258</f>
        <v>0</v>
      </c>
      <c r="CH258" s="55">
        <f t="shared" si="215"/>
        <v>-170.24408917619772</v>
      </c>
      <c r="CI258" s="41">
        <f>'[2]побудинковий звіт'!CI258+'[1]побудинковий звіт'!CI258</f>
        <v>29619.398721908365</v>
      </c>
      <c r="CJ258" s="41">
        <f>'[2]побудинковий звіт'!CJ258+'[1]побудинковий звіт'!CJ258</f>
        <v>34405.283746337562</v>
      </c>
      <c r="CK258" s="55">
        <f t="shared" si="216"/>
        <v>4785.8850244291971</v>
      </c>
      <c r="CL258" s="41">
        <f>'[2]побудинковий звіт'!CL258+'[1]побудинковий звіт'!CL258</f>
        <v>11159.772774025245</v>
      </c>
      <c r="CM258" s="41">
        <f>'[2]побудинковий звіт'!CM258+'[1]побудинковий звіт'!CM258</f>
        <v>17732.284569810639</v>
      </c>
      <c r="CN258" s="55">
        <f t="shared" si="217"/>
        <v>6572.5117957853945</v>
      </c>
      <c r="CO258" s="41">
        <f t="shared" si="218"/>
        <v>40779.17149593361</v>
      </c>
      <c r="CP258" s="42">
        <f t="shared" si="219"/>
        <v>52137.568316148201</v>
      </c>
      <c r="CQ258" s="55">
        <f t="shared" si="220"/>
        <v>11358.396820214592</v>
      </c>
      <c r="CR258" s="76">
        <f t="shared" si="221"/>
        <v>342603.27715535305</v>
      </c>
      <c r="CS258" s="5">
        <f t="shared" si="222"/>
        <v>365154.18554883701</v>
      </c>
      <c r="CT258" s="55">
        <f t="shared" si="223"/>
        <v>22550.908393483958</v>
      </c>
      <c r="CU258" s="84">
        <f t="shared" si="224"/>
        <v>411123.93258642365</v>
      </c>
      <c r="CV258" s="68">
        <f t="shared" si="225"/>
        <v>438185.02265860437</v>
      </c>
      <c r="CW258" s="36">
        <f t="shared" si="226"/>
        <v>27061.090072180727</v>
      </c>
      <c r="CX258" s="41">
        <f>'[2]побудинковий звіт'!CX258+'[1]побудинковий звіт'!CX258</f>
        <v>9101.924614661737</v>
      </c>
      <c r="CY258" s="41">
        <f>'[2]побудинковий звіт'!CY258+'[1]побудинковий звіт'!CY258</f>
        <v>-17959.165457519117</v>
      </c>
      <c r="CZ258" s="55">
        <f t="shared" si="227"/>
        <v>-27061.090072180854</v>
      </c>
      <c r="DA258" s="254">
        <f>'[1]побудинковий звіт'!DA258</f>
        <v>-13383.377394929441</v>
      </c>
      <c r="DB258" s="2">
        <v>3</v>
      </c>
      <c r="DC258" s="702">
        <f>'[1]побудинковий звіт'!DC258</f>
        <v>52284.73</v>
      </c>
      <c r="DD258" s="702">
        <f>'[1]побудинковий звіт'!DD258</f>
        <v>-0.85</v>
      </c>
      <c r="DE258" s="702">
        <f>'[1]побудинковий звіт'!DE258</f>
        <v>6662.4700000000012</v>
      </c>
      <c r="DF258" s="702">
        <f>'[1]побудинковий звіт'!DF258</f>
        <v>-398.77000000000004</v>
      </c>
      <c r="DG258" s="772">
        <v>-42845.231504675932</v>
      </c>
      <c r="DH258" s="746">
        <f t="shared" si="251"/>
        <v>5042710.2864130242</v>
      </c>
      <c r="DI258" s="769"/>
      <c r="DJ258" s="5"/>
      <c r="DK258" s="307">
        <f>VLOOKUP($A258,ціни!$A$4:$G$401,5)</f>
        <v>6.6549573341133863</v>
      </c>
      <c r="DL258" s="307">
        <f>VLOOKUP($A258,ціни!$A$4:$G$401,6)</f>
        <v>8.03051213994625</v>
      </c>
      <c r="DM258" s="307">
        <f>VLOOKUP($A258,ціни!$A$4:$G$401,7)</f>
        <v>5.6622874178296785</v>
      </c>
      <c r="DN258" s="29">
        <f>DK258*G258+(F258-G258)*DL258</f>
        <v>32681.419143423132</v>
      </c>
      <c r="DO258" s="29">
        <f>DM258*H258</f>
        <v>283.11437089148393</v>
      </c>
      <c r="DP258" s="306">
        <f t="shared" si="252"/>
        <v>32964.533514314615</v>
      </c>
      <c r="DQ258" s="101"/>
      <c r="DR258" s="29">
        <f>VLOOKUP(A258,'ДЗ нас '!$A$1:$C$359,2)</f>
        <v>32678.29</v>
      </c>
      <c r="DS258" s="733">
        <f>VLOOKUP(A258,'ДЗ нежит'!$A$1:$D$153,4,0)</f>
        <v>283.12</v>
      </c>
      <c r="DT258" s="29">
        <f t="shared" si="253"/>
        <v>32961.410000000003</v>
      </c>
      <c r="DU258" s="247">
        <f>VLOOKUP(A258,'новий кошторис с 01.06'!$A$4:$AI$399,35)*1.2</f>
        <v>33056.327659725473</v>
      </c>
      <c r="DV258" s="29">
        <f t="shared" si="254"/>
        <v>-94.917659725470003</v>
      </c>
      <c r="DW258" s="1016">
        <f>'[2]побудинковий звіт'!$DW$9+'[1]побудинковий звіт'!DW258</f>
        <v>909</v>
      </c>
      <c r="DX258" s="101">
        <f>'[1]побудинковий звіт'!DX258</f>
        <v>0</v>
      </c>
      <c r="DY258" s="5">
        <f t="shared" si="255"/>
        <v>124577.68567893091</v>
      </c>
      <c r="DZ258" s="5">
        <f t="shared" si="256"/>
        <v>121125.41676828425</v>
      </c>
      <c r="EA258" s="737">
        <f t="shared" si="257"/>
        <v>6263.7000000000007</v>
      </c>
      <c r="EC258" s="577">
        <f t="shared" si="258"/>
        <v>1150064.542533352</v>
      </c>
      <c r="EE258" s="743">
        <v>39983</v>
      </c>
      <c r="EF258" s="723">
        <f t="shared" si="259"/>
        <v>-2862.2315046759322</v>
      </c>
      <c r="EH258" s="798">
        <v>-110709.32275638785</v>
      </c>
      <c r="EI258" s="101">
        <f>VLOOKUP(A258,'кошти 01.01.24'!$A$9:$D$352,4,FALSE)</f>
        <v>-40444.467467110284</v>
      </c>
    </row>
    <row r="259" spans="1:139" hidden="1" x14ac:dyDescent="0.3">
      <c r="A259" s="318">
        <v>150000799</v>
      </c>
      <c r="B259" s="43" t="s">
        <v>736</v>
      </c>
      <c r="C259" s="44" t="s">
        <v>292</v>
      </c>
      <c r="D259" s="44" t="s">
        <v>292</v>
      </c>
      <c r="E259" s="39">
        <f t="shared" si="185"/>
        <v>2066.5</v>
      </c>
      <c r="F259" s="205">
        <f>'[1]побудинковий звіт'!F259</f>
        <v>1762.3</v>
      </c>
      <c r="G259" s="29">
        <f>'[1]побудинковий звіт'!G259</f>
        <v>0</v>
      </c>
      <c r="H259" s="148">
        <f>'[1]побудинковий звіт'!H259</f>
        <v>304.2</v>
      </c>
      <c r="I259" s="41">
        <f>'[2]побудинковий звіт'!I259+'[1]побудинковий звіт'!I259</f>
        <v>6817.1157748364349</v>
      </c>
      <c r="J259" s="41">
        <f>'[2]побудинковий звіт'!J259+'[1]побудинковий звіт'!J259</f>
        <v>7008.0319733039023</v>
      </c>
      <c r="K259" s="55">
        <f t="shared" si="186"/>
        <v>190.91619846746744</v>
      </c>
      <c r="L259" s="41">
        <f>'[2]побудинковий звіт'!L259+'[1]побудинковий звіт'!L259</f>
        <v>1326.307172822857</v>
      </c>
      <c r="M259" s="41">
        <f>'[2]побудинковий звіт'!M259+'[1]побудинковий звіт'!M259</f>
        <v>1390.0244855653884</v>
      </c>
      <c r="N259" s="55">
        <f t="shared" si="187"/>
        <v>63.717312742531476</v>
      </c>
      <c r="O259" s="41">
        <f>'[2]побудинковий звіт'!O259+'[1]побудинковий звіт'!O259</f>
        <v>2917.8910369807313</v>
      </c>
      <c r="P259" s="41">
        <f>'[2]побудинковий звіт'!P259+'[1]побудинковий звіт'!P259</f>
        <v>2926.0346003305945</v>
      </c>
      <c r="Q259" s="55">
        <f t="shared" si="188"/>
        <v>8.1435633498631432</v>
      </c>
      <c r="R259" s="41">
        <f>'[2]побудинковий звіт'!R259+'[1]побудинковий звіт'!R259</f>
        <v>0</v>
      </c>
      <c r="S259" s="41">
        <f>'[2]побудинковий звіт'!S259+'[1]побудинковий звіт'!S259</f>
        <v>0</v>
      </c>
      <c r="T259" s="55">
        <f t="shared" si="189"/>
        <v>0</v>
      </c>
      <c r="U259" s="41">
        <f>'[2]побудинковий звіт'!U259+'[1]побудинковий звіт'!U259</f>
        <v>140.32647418906288</v>
      </c>
      <c r="V259" s="41">
        <f>'[2]побудинковий звіт'!V259+'[1]побудинковий звіт'!V259</f>
        <v>80.958443147995155</v>
      </c>
      <c r="W259" s="55">
        <f t="shared" si="190"/>
        <v>-59.368031041067724</v>
      </c>
      <c r="X259" s="41">
        <f>'[2]побудинковий звіт'!X259+'[1]побудинковий звіт'!X259</f>
        <v>3749.624257559467</v>
      </c>
      <c r="Y259" s="41">
        <f>'[2]побудинковий звіт'!Y259+'[1]побудинковий звіт'!Y259</f>
        <v>3524.1031083501566</v>
      </c>
      <c r="Z259" s="55">
        <f t="shared" si="191"/>
        <v>-225.52114920931035</v>
      </c>
      <c r="AA259" s="41">
        <f>'[2]побудинковий звіт'!AA259+'[1]побудинковий звіт'!AA259</f>
        <v>0</v>
      </c>
      <c r="AB259" s="41">
        <f>'[2]побудинковий звіт'!AB259+'[1]побудинковий звіт'!AB259</f>
        <v>0</v>
      </c>
      <c r="AC259" s="55">
        <f t="shared" si="192"/>
        <v>0</v>
      </c>
      <c r="AD259" s="41">
        <f>'[2]побудинковий звіт'!AD259+'[1]побудинковий звіт'!AD259</f>
        <v>8963.0555869030341</v>
      </c>
      <c r="AE259" s="41">
        <f>'[2]побудинковий звіт'!AE259+'[1]побудинковий звіт'!AE259</f>
        <v>8928.1958405773748</v>
      </c>
      <c r="AF259" s="36">
        <f t="shared" si="193"/>
        <v>-34.859746325659216</v>
      </c>
      <c r="AG259" s="84">
        <f t="shared" si="194"/>
        <v>23914.320303291584</v>
      </c>
      <c r="AH259" s="56">
        <f t="shared" si="195"/>
        <v>23857.348451275411</v>
      </c>
      <c r="AI259" s="55">
        <f t="shared" si="196"/>
        <v>-56.971852016173216</v>
      </c>
      <c r="AJ259" s="41">
        <f>'[2]побудинковий звіт'!AJ259+'[1]побудинковий звіт'!AJ259</f>
        <v>0</v>
      </c>
      <c r="AK259" s="41">
        <f>'[2]побудинковий звіт'!AK259+'[1]побудинковий звіт'!AK259</f>
        <v>0</v>
      </c>
      <c r="AL259" s="55">
        <f t="shared" si="197"/>
        <v>0</v>
      </c>
      <c r="AM259" s="41">
        <f>'[2]побудинковий звіт'!AM259+'[1]побудинковий звіт'!AM259</f>
        <v>0</v>
      </c>
      <c r="AN259" s="41">
        <f>'[2]побудинковий звіт'!AN259+'[1]побудинковий звіт'!AN259</f>
        <v>0</v>
      </c>
      <c r="AO259" s="55">
        <f t="shared" si="198"/>
        <v>0</v>
      </c>
      <c r="AP259" s="41">
        <f>'[2]побудинковий звіт'!AP259+'[1]побудинковий звіт'!AP259</f>
        <v>5349.2288916881016</v>
      </c>
      <c r="AQ259" s="41">
        <f>'[2]побудинковий звіт'!AQ259+'[1]побудинковий звіт'!AQ259</f>
        <v>5023.2209713673928</v>
      </c>
      <c r="AR259" s="55">
        <f t="shared" si="199"/>
        <v>-326.00792032070876</v>
      </c>
      <c r="AS259" s="41">
        <f>'[2]побудинковий звіт'!AS259+'[1]побудинковий звіт'!AS259</f>
        <v>18611.531083118145</v>
      </c>
      <c r="AT259" s="41">
        <f>'[2]побудинковий звіт'!AT259+'[1]побудинковий звіт'!AT259</f>
        <v>0</v>
      </c>
      <c r="AU259" s="57">
        <f t="shared" si="200"/>
        <v>-18611.531083118145</v>
      </c>
      <c r="AV259" s="41">
        <f>'[2]побудинковий звіт'!AV259+'[1]побудинковий звіт'!AV259</f>
        <v>1193.2902460901491</v>
      </c>
      <c r="AW259" s="41">
        <f>'[2]побудинковий звіт'!AW259+'[1]побудинковий звіт'!AW259</f>
        <v>0</v>
      </c>
      <c r="AX259" s="58">
        <f t="shared" si="201"/>
        <v>-1193.2902460901491</v>
      </c>
      <c r="AY259" s="41">
        <f>'[2]побудинковий звіт'!AY259+'[1]побудинковий звіт'!AY259</f>
        <v>1640.6357624581988</v>
      </c>
      <c r="AZ259" s="41">
        <f>'[2]побудинковий звіт'!AZ259+'[1]побудинковий звіт'!AZ259</f>
        <v>0</v>
      </c>
      <c r="BA259" s="36">
        <f t="shared" si="202"/>
        <v>-1640.6357624581988</v>
      </c>
      <c r="BB259" s="41">
        <f>'[2]побудинковий звіт'!BB259+'[1]побудинковий звіт'!BB259</f>
        <v>1637.7642404839034</v>
      </c>
      <c r="BC259" s="41">
        <f>'[2]побудинковий звіт'!BC259+'[1]побудинковий звіт'!BC259</f>
        <v>378.07232362048796</v>
      </c>
      <c r="BD259" s="58">
        <f t="shared" si="203"/>
        <v>-1259.6919168634154</v>
      </c>
      <c r="BE259" s="41">
        <f>'[2]побудинковий звіт'!BE259+'[1]побудинковий звіт'!BE259</f>
        <v>0</v>
      </c>
      <c r="BF259" s="41">
        <f>'[2]побудинковий звіт'!BF259+'[1]побудинковий звіт'!BF259</f>
        <v>0</v>
      </c>
      <c r="BG259" s="38">
        <f t="shared" si="204"/>
        <v>0</v>
      </c>
      <c r="BH259" s="41">
        <f>'[2]побудинковий звіт'!BH259+'[1]побудинковий звіт'!BH259</f>
        <v>82.704815978574771</v>
      </c>
      <c r="BI259" s="41">
        <f>'[2]побудинковий звіт'!BI259+'[1]побудинковий звіт'!BI259</f>
        <v>0</v>
      </c>
      <c r="BJ259" s="58">
        <f t="shared" si="205"/>
        <v>-82.704815978574771</v>
      </c>
      <c r="BK259" s="41">
        <f>'[2]побудинковий звіт'!BK259+'[1]побудинковий звіт'!BK259</f>
        <v>585.62565538032072</v>
      </c>
      <c r="BL259" s="41">
        <f>'[2]побудинковий звіт'!BL259+'[1]побудинковий звіт'!BL259</f>
        <v>0</v>
      </c>
      <c r="BM259" s="38">
        <f t="shared" si="206"/>
        <v>-585.62565538032072</v>
      </c>
      <c r="BN259" s="41">
        <f>'[2]побудинковий звіт'!BN259+'[1]побудинковий звіт'!BN259</f>
        <v>6.7133658888924428</v>
      </c>
      <c r="BO259" s="41">
        <f>'[2]побудинковий звіт'!BO259+'[1]побудинковий звіт'!BO259</f>
        <v>3871.0066633910001</v>
      </c>
      <c r="BP259" s="58">
        <f t="shared" si="207"/>
        <v>3864.2932975021076</v>
      </c>
      <c r="BQ259" s="84">
        <f t="shared" si="208"/>
        <v>5146.7340862800393</v>
      </c>
      <c r="BR259" s="42">
        <f t="shared" si="209"/>
        <v>4249.0789870114877</v>
      </c>
      <c r="BS259" s="58">
        <f t="shared" si="210"/>
        <v>-897.65509926855157</v>
      </c>
      <c r="BT259" s="41">
        <f>'[2]побудинковий звіт'!BT259+'[1]побудинковий звіт'!BT259</f>
        <v>6780.7178307658687</v>
      </c>
      <c r="BU259" s="41">
        <f>'[2]побудинковий звіт'!BU259+'[1]побудинковий звіт'!BU259</f>
        <v>13201.029337961871</v>
      </c>
      <c r="BV259" s="55">
        <f t="shared" si="211"/>
        <v>6420.3115071960019</v>
      </c>
      <c r="BW259" s="41">
        <f>'[2]побудинковий звіт'!BW259+'[1]побудинковий звіт'!BW259</f>
        <v>10837.636720470688</v>
      </c>
      <c r="BX259" s="41">
        <f>'[2]побудинковий звіт'!BX259+'[1]побудинковий звіт'!BX259</f>
        <v>12877.612968614802</v>
      </c>
      <c r="BY259" s="55">
        <f t="shared" si="212"/>
        <v>2039.9762481441139</v>
      </c>
      <c r="BZ259" s="41">
        <f>'[2]побудинковий звіт'!BZ259+'[1]побудинковий звіт'!BZ259</f>
        <v>4844.2179691140627</v>
      </c>
      <c r="CA259" s="41">
        <f>'[2]побудинковий звіт'!CA259+'[1]побудинковий звіт'!CA259</f>
        <v>1734.8565425699005</v>
      </c>
      <c r="CB259" s="55">
        <f t="shared" si="213"/>
        <v>-3109.361426544162</v>
      </c>
      <c r="CC259" s="41">
        <f>'[2]побудинковий звіт'!CC259+'[1]побудинковий звіт'!CC259</f>
        <v>765.83354518147917</v>
      </c>
      <c r="CD259" s="41">
        <f>'[2]побудинковий звіт'!CD259+'[1]побудинковий звіт'!CD259</f>
        <v>768.43040130930569</v>
      </c>
      <c r="CE259" s="55">
        <f t="shared" si="214"/>
        <v>2.596856127826527</v>
      </c>
      <c r="CF259" s="41">
        <f>'[2]побудинковий звіт'!CF259+'[1]побудинковий звіт'!CF259</f>
        <v>94.882705700867547</v>
      </c>
      <c r="CG259" s="41">
        <f>'[2]побудинковий звіт'!CG259+'[1]побудинковий звіт'!CG259</f>
        <v>0</v>
      </c>
      <c r="CH259" s="55">
        <f t="shared" si="215"/>
        <v>-94.882705700867547</v>
      </c>
      <c r="CI259" s="41">
        <f>'[2]побудинковий звіт'!CI259+'[1]побудинковий звіт'!CI259</f>
        <v>3100.0865129462391</v>
      </c>
      <c r="CJ259" s="41">
        <f>'[2]побудинковий звіт'!CJ259+'[1]побудинковий звіт'!CJ259</f>
        <v>2812.6746800143342</v>
      </c>
      <c r="CK259" s="55">
        <f t="shared" si="216"/>
        <v>-287.41183293190488</v>
      </c>
      <c r="CL259" s="41">
        <f>'[2]побудинковий звіт'!CL259+'[1]побудинковий звіт'!CL259</f>
        <v>0</v>
      </c>
      <c r="CM259" s="41">
        <f>'[2]побудинковий звіт'!CM259+'[1]побудинковий звіт'!CM259</f>
        <v>0</v>
      </c>
      <c r="CN259" s="55">
        <f t="shared" si="217"/>
        <v>0</v>
      </c>
      <c r="CO259" s="41">
        <f t="shared" si="218"/>
        <v>3100.0865129462391</v>
      </c>
      <c r="CP259" s="42">
        <f t="shared" si="219"/>
        <v>2812.6746800143342</v>
      </c>
      <c r="CQ259" s="55">
        <f t="shared" si="220"/>
        <v>-287.41183293190488</v>
      </c>
      <c r="CR259" s="76">
        <f t="shared" si="221"/>
        <v>79445.189648557076</v>
      </c>
      <c r="CS259" s="5">
        <f t="shared" si="222"/>
        <v>64524.252340124513</v>
      </c>
      <c r="CT259" s="55">
        <f t="shared" si="223"/>
        <v>-14920.937308432563</v>
      </c>
      <c r="CU259" s="84">
        <f t="shared" si="224"/>
        <v>95334.227578268488</v>
      </c>
      <c r="CV259" s="68">
        <f t="shared" si="225"/>
        <v>77429.102808149415</v>
      </c>
      <c r="CW259" s="36">
        <f t="shared" si="226"/>
        <v>-17905.124770119073</v>
      </c>
      <c r="CX259" s="41">
        <f>'[2]побудинковий звіт'!CX259+'[1]побудинковий звіт'!CX259</f>
        <v>2493.6914933817538</v>
      </c>
      <c r="CY259" s="41">
        <f>'[2]побудинковий звіт'!CY259+'[1]побудинковий звіт'!CY259</f>
        <v>20398.816263500827</v>
      </c>
      <c r="CZ259" s="55">
        <f t="shared" si="227"/>
        <v>17905.124770119073</v>
      </c>
      <c r="DA259" s="254">
        <f>'[1]побудинковий звіт'!DA259</f>
        <v>-39481.854296613797</v>
      </c>
      <c r="DB259" s="2">
        <v>2</v>
      </c>
      <c r="DC259" s="702">
        <f>'[1]побудинковий звіт'!DC259</f>
        <v>33374.959999999999</v>
      </c>
      <c r="DD259" s="702">
        <f>'[1]побудинковий звіт'!DD259</f>
        <v>1378.24</v>
      </c>
      <c r="DE259" s="702">
        <f>'[1]побудинковий звіт'!DE259</f>
        <v>23953.879999999997</v>
      </c>
      <c r="DF259" s="702">
        <f>'[1]побудинковий звіт'!DF259</f>
        <v>0</v>
      </c>
      <c r="DG259" s="772">
        <v>1691.3426617015211</v>
      </c>
      <c r="DH259" s="746">
        <f t="shared" si="251"/>
        <v>1173935.028859803</v>
      </c>
      <c r="DI259" s="769"/>
      <c r="DJ259" s="5"/>
      <c r="DK259" s="307">
        <f>VLOOKUP($A259,ціни!$A$4:$G$401,5)</f>
        <v>3.7917691659095452</v>
      </c>
      <c r="DL259" s="307"/>
      <c r="DM259" s="307">
        <f>VLOOKUP($A259,ціни!$A$4:$G$401,7)</f>
        <v>3.1954646446723847</v>
      </c>
      <c r="DN259" s="29">
        <f t="shared" ref="DN259:DN290" si="260">F259*DK259</f>
        <v>6682.2348010823916</v>
      </c>
      <c r="DO259" s="29">
        <f t="shared" ref="DO259:DO266" si="261">H259*DM259</f>
        <v>972.06034490933939</v>
      </c>
      <c r="DP259" s="306">
        <f t="shared" si="252"/>
        <v>7654.2951459917313</v>
      </c>
      <c r="DQ259" s="101"/>
      <c r="DR259" s="29">
        <f>VLOOKUP(A259,'ДЗ нас '!$A$1:$C$359,2)</f>
        <v>6682.3</v>
      </c>
      <c r="DS259" s="733">
        <f>VLOOKUP(A259,'ДЗ нежит'!$A$1:$D$153,4,0)</f>
        <v>972.07</v>
      </c>
      <c r="DT259" s="29">
        <f t="shared" si="253"/>
        <v>7654.37</v>
      </c>
      <c r="DU259" s="247">
        <f>VLOOKUP(A259,'новий кошторис с 01.06'!$A$4:$AI$399,35)*1.2</f>
        <v>7684.3119897015022</v>
      </c>
      <c r="DV259" s="29">
        <f t="shared" si="254"/>
        <v>-29.94198970150228</v>
      </c>
      <c r="DW259" s="1016">
        <f>'[2]побудинковий звіт'!$DW$9+'[1]побудинковий звіт'!DW259</f>
        <v>918</v>
      </c>
      <c r="DX259" s="101">
        <f>'[1]побудинковий звіт'!DX259</f>
        <v>0</v>
      </c>
      <c r="DY259" s="5">
        <f t="shared" si="255"/>
        <v>28509.918203277819</v>
      </c>
      <c r="DZ259" s="5">
        <f t="shared" si="256"/>
        <v>5098.8947844137847</v>
      </c>
      <c r="EA259" s="737">
        <f t="shared" si="257"/>
        <v>23953.879999999997</v>
      </c>
      <c r="EC259" s="577">
        <f t="shared" si="258"/>
        <v>223338.37299741775</v>
      </c>
      <c r="EE259" s="743">
        <v>5734</v>
      </c>
      <c r="EF259" s="723">
        <f t="shared" si="259"/>
        <v>7425.3426617015211</v>
      </c>
      <c r="EH259" s="798">
        <v>-8515.5468923725639</v>
      </c>
      <c r="EI259" s="101">
        <f>VLOOKUP(A259,'кошти 01.01.24'!$A$9:$D$352,4,FALSE)</f>
        <v>-21576.729526494713</v>
      </c>
    </row>
    <row r="260" spans="1:139" hidden="1" x14ac:dyDescent="0.3">
      <c r="A260" s="318">
        <v>150000830</v>
      </c>
      <c r="B260" s="43" t="s">
        <v>737</v>
      </c>
      <c r="C260" s="44" t="s">
        <v>293</v>
      </c>
      <c r="D260" s="44" t="s">
        <v>293</v>
      </c>
      <c r="E260" s="39">
        <f t="shared" si="185"/>
        <v>6669.7999999999993</v>
      </c>
      <c r="F260" s="205">
        <f>'[1]побудинковий звіт'!F260</f>
        <v>4445.7</v>
      </c>
      <c r="G260" s="29">
        <f>'[1]побудинковий звіт'!G260</f>
        <v>0</v>
      </c>
      <c r="H260" s="148">
        <f>'[1]побудинковий звіт'!H260</f>
        <v>2224.0999999999995</v>
      </c>
      <c r="I260" s="41">
        <f>'[2]побудинковий звіт'!I260+'[1]побудинковий звіт'!I260</f>
        <v>17079.886593896306</v>
      </c>
      <c r="J260" s="41">
        <f>'[2]побудинковий звіт'!J260+'[1]побудинковий звіт'!J260</f>
        <v>17855.516189532955</v>
      </c>
      <c r="K260" s="55">
        <f t="shared" si="186"/>
        <v>775.62959563664845</v>
      </c>
      <c r="L260" s="41">
        <f>'[2]побудинковий звіт'!L260+'[1]побудинковий звіт'!L260</f>
        <v>3506.5528847600272</v>
      </c>
      <c r="M260" s="41">
        <f>'[2]побудинковий звіт'!M260+'[1]побудинковий звіт'!M260</f>
        <v>3839.0641611976798</v>
      </c>
      <c r="N260" s="55">
        <f t="shared" si="187"/>
        <v>332.51127643765267</v>
      </c>
      <c r="O260" s="41">
        <f>'[2]побудинковий звіт'!O260+'[1]побудинковий звіт'!O260</f>
        <v>7408.2637695361282</v>
      </c>
      <c r="P260" s="41">
        <f>'[2]побудинковий звіт'!P260+'[1]побудинковий звіт'!P260</f>
        <v>7428.453441616979</v>
      </c>
      <c r="Q260" s="55">
        <f t="shared" si="188"/>
        <v>20.189672080850869</v>
      </c>
      <c r="R260" s="41">
        <f>'[2]побудинковий звіт'!R260+'[1]побудинковий звіт'!R260</f>
        <v>0</v>
      </c>
      <c r="S260" s="41">
        <f>'[2]побудинковий звіт'!S260+'[1]побудинковий звіт'!S260</f>
        <v>0</v>
      </c>
      <c r="T260" s="55">
        <f t="shared" si="189"/>
        <v>0</v>
      </c>
      <c r="U260" s="41">
        <f>'[2]побудинковий звіт'!U260+'[1]побудинковий звіт'!U260</f>
        <v>1089.513177383317</v>
      </c>
      <c r="V260" s="41">
        <f>'[2]побудинковий звіт'!V260+'[1]побудинковий звіт'!V260</f>
        <v>780.675878609645</v>
      </c>
      <c r="W260" s="55">
        <f t="shared" si="190"/>
        <v>-308.83729877367205</v>
      </c>
      <c r="X260" s="41">
        <f>'[2]побудинковий звіт'!X260+'[1]побудинковий звіт'!X260</f>
        <v>14002.14477063921</v>
      </c>
      <c r="Y260" s="41">
        <f>'[2]побудинковий звіт'!Y260+'[1]побудинковий звіт'!Y260</f>
        <v>14078.828134633015</v>
      </c>
      <c r="Z260" s="55">
        <f t="shared" si="191"/>
        <v>76.68336399380496</v>
      </c>
      <c r="AA260" s="41">
        <f>'[2]побудинковий звіт'!AA260+'[1]побудинковий звіт'!AA260</f>
        <v>0</v>
      </c>
      <c r="AB260" s="41">
        <f>'[2]побудинковий звіт'!AB260+'[1]побудинковий звіт'!AB260</f>
        <v>0</v>
      </c>
      <c r="AC260" s="55">
        <f t="shared" si="192"/>
        <v>0</v>
      </c>
      <c r="AD260" s="41">
        <f>'[2]побудинковий звіт'!AD260+'[1]побудинковий звіт'!AD260</f>
        <v>25629.820346250723</v>
      </c>
      <c r="AE260" s="41">
        <f>'[2]побудинковий звіт'!AE260+'[1]побудинковий звіт'!AE260</f>
        <v>26945.171302713468</v>
      </c>
      <c r="AF260" s="36">
        <f t="shared" si="193"/>
        <v>1315.3509564627457</v>
      </c>
      <c r="AG260" s="84">
        <f t="shared" si="194"/>
        <v>68716.181542465711</v>
      </c>
      <c r="AH260" s="56">
        <f t="shared" si="195"/>
        <v>70927.709108303738</v>
      </c>
      <c r="AI260" s="55">
        <f t="shared" si="196"/>
        <v>2211.5275658380269</v>
      </c>
      <c r="AJ260" s="41">
        <f>'[2]побудинковий звіт'!AJ260+'[1]побудинковий звіт'!AJ260</f>
        <v>0</v>
      </c>
      <c r="AK260" s="41">
        <f>'[2]побудинковий звіт'!AK260+'[1]побудинковий звіт'!AK260</f>
        <v>0</v>
      </c>
      <c r="AL260" s="55">
        <f t="shared" si="197"/>
        <v>0</v>
      </c>
      <c r="AM260" s="41">
        <f>'[2]побудинковий звіт'!AM260+'[1]побудинковий звіт'!AM260</f>
        <v>0</v>
      </c>
      <c r="AN260" s="41">
        <f>'[2]побудинковий звіт'!AN260+'[1]побудинковий звіт'!AN260</f>
        <v>0</v>
      </c>
      <c r="AO260" s="55">
        <f t="shared" si="198"/>
        <v>0</v>
      </c>
      <c r="AP260" s="41">
        <f>'[2]побудинковий звіт'!AP260+'[1]побудинковий звіт'!AP260</f>
        <v>13967.430994963373</v>
      </c>
      <c r="AQ260" s="41">
        <f>'[2]побудинковий звіт'!AQ260+'[1]побудинковий звіт'!AQ260</f>
        <v>10904.187937616351</v>
      </c>
      <c r="AR260" s="55">
        <f t="shared" si="199"/>
        <v>-3063.2430573470228</v>
      </c>
      <c r="AS260" s="41">
        <f>'[2]побудинковий звіт'!AS260+'[1]побудинковий звіт'!AS260</f>
        <v>75339.586371942132</v>
      </c>
      <c r="AT260" s="41">
        <f>'[2]побудинковий звіт'!AT260+'[1]побудинковий звіт'!AT260</f>
        <v>10473.199453703359</v>
      </c>
      <c r="AU260" s="57">
        <f t="shared" si="200"/>
        <v>-64866.386918238772</v>
      </c>
      <c r="AV260" s="41">
        <f>'[2]побудинковий звіт'!AV260+'[1]побудинковий звіт'!AV260</f>
        <v>2806.4099416841668</v>
      </c>
      <c r="AW260" s="41">
        <f>'[2]побудинковий звіт'!AW260+'[1]побудинковий звіт'!AW260</f>
        <v>2224.4628013282272</v>
      </c>
      <c r="AX260" s="58">
        <f t="shared" si="201"/>
        <v>-581.94714035593961</v>
      </c>
      <c r="AY260" s="41">
        <f>'[2]побудинковий звіт'!AY260+'[1]побудинковий звіт'!AY260</f>
        <v>4531.7147851616974</v>
      </c>
      <c r="AZ260" s="41">
        <f>'[2]побудинковий звіт'!AZ260+'[1]побудинковий звіт'!AZ260</f>
        <v>8861.8774847398545</v>
      </c>
      <c r="BA260" s="36">
        <f t="shared" si="202"/>
        <v>4330.1626995781571</v>
      </c>
      <c r="BB260" s="41">
        <f>'[2]побудинковий звіт'!BB260+'[1]побудинковий звіт'!BB260</f>
        <v>2729.0623769025096</v>
      </c>
      <c r="BC260" s="41">
        <f>'[2]побудинковий звіт'!BC260+'[1]побудинковий звіт'!BC260</f>
        <v>8101.2131585628849</v>
      </c>
      <c r="BD260" s="58">
        <f t="shared" si="203"/>
        <v>5372.1507816603753</v>
      </c>
      <c r="BE260" s="41">
        <f>'[2]побудинковий звіт'!BE260+'[1]побудинковий звіт'!BE260</f>
        <v>0</v>
      </c>
      <c r="BF260" s="41">
        <f>'[2]побудинковий звіт'!BF260+'[1]побудинковий звіт'!BF260</f>
        <v>0</v>
      </c>
      <c r="BG260" s="38">
        <f t="shared" si="204"/>
        <v>0</v>
      </c>
      <c r="BH260" s="41">
        <f>'[2]побудинковий звіт'!BH260+'[1]побудинковий звіт'!BH260</f>
        <v>1105.2668502747176</v>
      </c>
      <c r="BI260" s="41">
        <f>'[2]побудинковий звіт'!BI260+'[1]побудинковий звіт'!BI260</f>
        <v>0</v>
      </c>
      <c r="BJ260" s="58">
        <f t="shared" si="205"/>
        <v>-1105.2668502747176</v>
      </c>
      <c r="BK260" s="41">
        <f>'[2]побудинковий звіт'!BK260+'[1]побудинковий звіт'!BK260</f>
        <v>2632.0693443806335</v>
      </c>
      <c r="BL260" s="41">
        <f>'[2]побудинковий звіт'!BL260+'[1]побудинковий звіт'!BL260</f>
        <v>3665.3860014140901</v>
      </c>
      <c r="BM260" s="38">
        <f t="shared" si="206"/>
        <v>1033.3166570334565</v>
      </c>
      <c r="BN260" s="41">
        <f>'[2]побудинковий звіт'!BN260+'[1]побудинковий звіт'!BN260</f>
        <v>112.9351271028635</v>
      </c>
      <c r="BO260" s="41">
        <f>'[2]побудинковий звіт'!BO260+'[1]побудинковий звіт'!BO260</f>
        <v>5178.1997684099997</v>
      </c>
      <c r="BP260" s="58">
        <f t="shared" si="207"/>
        <v>5065.2646413071361</v>
      </c>
      <c r="BQ260" s="84">
        <f t="shared" si="208"/>
        <v>13917.458425506589</v>
      </c>
      <c r="BR260" s="42">
        <f t="shared" si="209"/>
        <v>28031.139214455055</v>
      </c>
      <c r="BS260" s="58">
        <f t="shared" si="210"/>
        <v>14113.680788948466</v>
      </c>
      <c r="BT260" s="41">
        <f>'[2]побудинковий звіт'!BT260+'[1]побудинковий звіт'!BT260</f>
        <v>45702.84484914397</v>
      </c>
      <c r="BU260" s="41">
        <f>'[2]побудинковий звіт'!BU260+'[1]побудинковий звіт'!BU260</f>
        <v>67798.255494773999</v>
      </c>
      <c r="BV260" s="55">
        <f t="shared" si="211"/>
        <v>22095.410645630029</v>
      </c>
      <c r="BW260" s="41">
        <f>'[2]побудинковий звіт'!BW260+'[1]побудинковий звіт'!BW260</f>
        <v>27528.698822633953</v>
      </c>
      <c r="BX260" s="41">
        <f>'[2]побудинковий звіт'!BX260+'[1]побудинковий звіт'!BX260</f>
        <v>30513.34465814718</v>
      </c>
      <c r="BY260" s="55">
        <f t="shared" si="212"/>
        <v>2984.6458355132272</v>
      </c>
      <c r="BZ260" s="41">
        <f>'[2]побудинковий звіт'!BZ260+'[1]побудинковий звіт'!BZ260</f>
        <v>11133.015704642976</v>
      </c>
      <c r="CA260" s="41">
        <f>'[2]побудинковий звіт'!CA260+'[1]побудинковий звіт'!CA260</f>
        <v>6280.230629441171</v>
      </c>
      <c r="CB260" s="55">
        <f t="shared" si="213"/>
        <v>-4852.7850752018048</v>
      </c>
      <c r="CC260" s="41">
        <f>'[2]побудинковий звіт'!CC260+'[1]побудинковий звіт'!CC260</f>
        <v>1114.5504146381174</v>
      </c>
      <c r="CD260" s="41">
        <f>'[2]побудинковий звіт'!CD260+'[1]побудинковий звіт'!CD260</f>
        <v>1118.3297307731123</v>
      </c>
      <c r="CE260" s="55">
        <f t="shared" si="214"/>
        <v>3.779316134994815</v>
      </c>
      <c r="CF260" s="41">
        <f>'[2]побудинковий звіт'!CF260+'[1]побудинковий звіт'!CF260</f>
        <v>138.08687233180478</v>
      </c>
      <c r="CG260" s="41">
        <f>'[2]побудинковий звіт'!CG260+'[1]побудинковий звіт'!CG260</f>
        <v>0</v>
      </c>
      <c r="CH260" s="55">
        <f t="shared" si="215"/>
        <v>-138.08687233180478</v>
      </c>
      <c r="CI260" s="41">
        <f>'[2]побудинковий звіт'!CI260+'[1]побудинковий звіт'!CI260</f>
        <v>1686.0665920160759</v>
      </c>
      <c r="CJ260" s="41">
        <f>'[2]побудинковий звіт'!CJ260+'[1]побудинковий звіт'!CJ260</f>
        <v>3442.766511517601</v>
      </c>
      <c r="CK260" s="55">
        <f t="shared" si="216"/>
        <v>1756.6999195015251</v>
      </c>
      <c r="CL260" s="41">
        <f>'[2]побудинковий звіт'!CL260+'[1]побудинковий звіт'!CL260</f>
        <v>0</v>
      </c>
      <c r="CM260" s="41">
        <f>'[2]побудинковий звіт'!CM260+'[1]побудинковий звіт'!CM260</f>
        <v>0</v>
      </c>
      <c r="CN260" s="55">
        <f t="shared" si="217"/>
        <v>0</v>
      </c>
      <c r="CO260" s="41">
        <f t="shared" si="218"/>
        <v>1686.0665920160759</v>
      </c>
      <c r="CP260" s="42">
        <f t="shared" si="219"/>
        <v>3442.766511517601</v>
      </c>
      <c r="CQ260" s="55">
        <f t="shared" si="220"/>
        <v>1756.6999195015251</v>
      </c>
      <c r="CR260" s="76">
        <f t="shared" si="221"/>
        <v>259243.92059028472</v>
      </c>
      <c r="CS260" s="5">
        <f t="shared" si="222"/>
        <v>229489.1627387316</v>
      </c>
      <c r="CT260" s="55">
        <f t="shared" si="223"/>
        <v>-29754.75785155312</v>
      </c>
      <c r="CU260" s="84">
        <f t="shared" si="224"/>
        <v>311092.70470834163</v>
      </c>
      <c r="CV260" s="68">
        <f t="shared" si="225"/>
        <v>275386.9952864779</v>
      </c>
      <c r="CW260" s="36">
        <f t="shared" si="226"/>
        <v>-35705.709421863721</v>
      </c>
      <c r="CX260" s="41">
        <f>'[2]побудинковий звіт'!CX260+'[1]побудинковий звіт'!CX260</f>
        <v>19286.112790128973</v>
      </c>
      <c r="CY260" s="41">
        <f>'[2]побудинковий звіт'!CY260+'[1]побудинковий звіт'!CY260</f>
        <v>54991.822211992716</v>
      </c>
      <c r="CZ260" s="55">
        <f t="shared" si="227"/>
        <v>35705.709421863743</v>
      </c>
      <c r="DA260" s="254">
        <f>'[1]побудинковий звіт'!DA260</f>
        <v>-139915.99629462918</v>
      </c>
      <c r="DB260" s="2">
        <v>3</v>
      </c>
      <c r="DC260" s="702">
        <f>'[1]побудинковий звіт'!DC260</f>
        <v>39676.300000000003</v>
      </c>
      <c r="DD260" s="702">
        <f>'[1]побудинковий звіт'!DD260</f>
        <v>138788.18999999997</v>
      </c>
      <c r="DE260" s="702">
        <f>'[1]побудинковий звіт'!DE260</f>
        <v>11895.960000000003</v>
      </c>
      <c r="DF260" s="702">
        <f>'[1]побудинковий звіт'!DF260</f>
        <v>129626.00999999998</v>
      </c>
      <c r="DG260" s="772">
        <v>-74652.365750803496</v>
      </c>
      <c r="DH260" s="746">
        <f t="shared" si="251"/>
        <v>3964545.8099816469</v>
      </c>
      <c r="DI260" s="769"/>
      <c r="DJ260" s="5"/>
      <c r="DK260" s="307">
        <f>VLOOKUP($A260,ціни!$A$4:$G$401,5)</f>
        <v>4.4507393775632353</v>
      </c>
      <c r="DL260" s="307"/>
      <c r="DM260" s="307">
        <f>VLOOKUP($A260,ціни!$A$4:$G$401,7)</f>
        <v>3.8401268147631495</v>
      </c>
      <c r="DN260" s="29">
        <f t="shared" si="260"/>
        <v>19786.652050832876</v>
      </c>
      <c r="DO260" s="29">
        <f t="shared" si="261"/>
        <v>8540.8260487147181</v>
      </c>
      <c r="DP260" s="306">
        <f t="shared" si="252"/>
        <v>28327.478099547596</v>
      </c>
      <c r="DQ260" s="101"/>
      <c r="DR260" s="29">
        <f>VLOOKUP(A260,'ДЗ нас '!$A$1:$C$359,2)</f>
        <v>19786.55</v>
      </c>
      <c r="DS260" s="733">
        <f>VLOOKUP(A260,'ДЗ нежит'!$A$1:$D$153,4,0)</f>
        <v>6459.05</v>
      </c>
      <c r="DT260" s="29">
        <f t="shared" si="253"/>
        <v>26245.599999999999</v>
      </c>
      <c r="DU260" s="247">
        <f>VLOOKUP(A260,'новий кошторис с 01.06'!$A$4:$AI$399,35)*1.2</f>
        <v>25826.858878138792</v>
      </c>
      <c r="DV260" s="29">
        <f t="shared" si="254"/>
        <v>418.74112186120692</v>
      </c>
      <c r="DW260" s="1016">
        <f>'[2]побудинковий звіт'!$DW$9+'[1]побудинковий звіт'!DW260</f>
        <v>1359</v>
      </c>
      <c r="DX260" s="101">
        <f>'[1]побудинковий звіт'!DX260</f>
        <v>0</v>
      </c>
      <c r="DY260" s="5">
        <f t="shared" si="255"/>
        <v>107108.45375693846</v>
      </c>
      <c r="DZ260" s="5">
        <f t="shared" si="256"/>
        <v>46205.206401790099</v>
      </c>
      <c r="EA260" s="737">
        <f t="shared" si="257"/>
        <v>141521.96999999997</v>
      </c>
      <c r="EC260" s="577">
        <f t="shared" si="258"/>
        <v>904075.03646330559</v>
      </c>
      <c r="EE260" s="743">
        <v>26098</v>
      </c>
      <c r="EF260" s="723">
        <f t="shared" si="259"/>
        <v>-48554.365750803496</v>
      </c>
      <c r="EH260" s="798">
        <v>-70921.341357590994</v>
      </c>
      <c r="EI260" s="101">
        <f>VLOOKUP(A260,'кошти 01.01.24'!$A$9:$D$352,4,FALSE)</f>
        <v>-104210.2868727654</v>
      </c>
    </row>
    <row r="261" spans="1:139" hidden="1" x14ac:dyDescent="0.3">
      <c r="A261" s="318">
        <v>150000800</v>
      </c>
      <c r="B261" s="43" t="s">
        <v>738</v>
      </c>
      <c r="C261" s="44" t="s">
        <v>226</v>
      </c>
      <c r="D261" s="44" t="s">
        <v>226</v>
      </c>
      <c r="E261" s="39">
        <f t="shared" si="185"/>
        <v>1452.6</v>
      </c>
      <c r="F261" s="205">
        <f>'[1]побудинковий звіт'!F261</f>
        <v>1452.6</v>
      </c>
      <c r="G261" s="29">
        <f>'[1]побудинковий звіт'!G261</f>
        <v>0</v>
      </c>
      <c r="H261" s="148">
        <f>'[1]побудинковий звіт'!H261</f>
        <v>0</v>
      </c>
      <c r="I261" s="41">
        <f>'[2]побудинковий звіт'!I261+'[1]побудинковий звіт'!I261</f>
        <v>4819.8147792997133</v>
      </c>
      <c r="J261" s="41">
        <f>'[2]побудинковий звіт'!J261+'[1]побудинковий звіт'!J261</f>
        <v>4953.8560706642847</v>
      </c>
      <c r="K261" s="55">
        <f t="shared" si="186"/>
        <v>134.04129136457141</v>
      </c>
      <c r="L261" s="41">
        <f>'[2]побудинковий звіт'!L261+'[1]побудинковий звіт'!L261</f>
        <v>758.26711754026587</v>
      </c>
      <c r="M261" s="41">
        <f>'[2]побудинковий звіт'!M261+'[1]побудинковий звіт'!M261</f>
        <v>794.66594508216861</v>
      </c>
      <c r="N261" s="55">
        <f t="shared" si="187"/>
        <v>36.398827541902733</v>
      </c>
      <c r="O261" s="41">
        <f>'[2]побудинковий звіт'!O261+'[1]побудинковий звіт'!O261</f>
        <v>2192.0223265940685</v>
      </c>
      <c r="P261" s="41">
        <f>'[2]побудинковий звіт'!P261+'[1]побудинковий звіт'!P261</f>
        <v>2198.2406946604233</v>
      </c>
      <c r="Q261" s="55">
        <f t="shared" si="188"/>
        <v>6.218368066354742</v>
      </c>
      <c r="R261" s="41">
        <f>'[2]побудинковий звіт'!R261+'[1]побудинковий звіт'!R261</f>
        <v>0</v>
      </c>
      <c r="S261" s="41">
        <f>'[2]побудинковий звіт'!S261+'[1]побудинковий звіт'!S261</f>
        <v>0</v>
      </c>
      <c r="T261" s="55">
        <f t="shared" si="189"/>
        <v>0</v>
      </c>
      <c r="U261" s="41">
        <f>'[2]побудинковий звіт'!U261+'[1]побудинковий звіт'!U261</f>
        <v>112.26117935125026</v>
      </c>
      <c r="V261" s="41">
        <f>'[2]побудинковий звіт'!V261+'[1]побудинковий звіт'!V261</f>
        <v>64.766754518396098</v>
      </c>
      <c r="W261" s="55">
        <f t="shared" si="190"/>
        <v>-47.494424832854165</v>
      </c>
      <c r="X261" s="41">
        <f>'[2]побудинковий звіт'!X261+'[1]побудинковий звіт'!X261</f>
        <v>3121.698468372821</v>
      </c>
      <c r="Y261" s="41">
        <f>'[2]побудинковий звіт'!Y261+'[1]побудинковий звіт'!Y261</f>
        <v>3010.2052170668071</v>
      </c>
      <c r="Z261" s="55">
        <f t="shared" si="191"/>
        <v>-111.49325130601392</v>
      </c>
      <c r="AA261" s="41">
        <f>'[2]побудинковий звіт'!AA261+'[1]побудинковий звіт'!AA261</f>
        <v>0</v>
      </c>
      <c r="AB261" s="41">
        <f>'[2]побудинковий звіт'!AB261+'[1]побудинковий звіт'!AB261</f>
        <v>0</v>
      </c>
      <c r="AC261" s="55">
        <f t="shared" si="192"/>
        <v>0</v>
      </c>
      <c r="AD261" s="41">
        <f>'[2]побудинковий звіт'!AD261+'[1]побудинковий звіт'!AD261</f>
        <v>6301.0994143990711</v>
      </c>
      <c r="AE261" s="41">
        <f>'[2]побудинковий звіт'!AE261+'[1]побудинковий звіт'!AE261</f>
        <v>6276.5654032237762</v>
      </c>
      <c r="AF261" s="36">
        <f t="shared" si="193"/>
        <v>-24.534011175294836</v>
      </c>
      <c r="AG261" s="84">
        <f t="shared" si="194"/>
        <v>17305.163285557192</v>
      </c>
      <c r="AH261" s="56">
        <f t="shared" si="195"/>
        <v>17298.300085215858</v>
      </c>
      <c r="AI261" s="55">
        <f t="shared" si="196"/>
        <v>-6.8632003413331404</v>
      </c>
      <c r="AJ261" s="41">
        <f>'[2]побудинковий звіт'!AJ261+'[1]побудинковий звіт'!AJ261</f>
        <v>0</v>
      </c>
      <c r="AK261" s="41">
        <f>'[2]побудинковий звіт'!AK261+'[1]побудинковий звіт'!AK261</f>
        <v>0</v>
      </c>
      <c r="AL261" s="55">
        <f t="shared" si="197"/>
        <v>0</v>
      </c>
      <c r="AM261" s="41">
        <f>'[2]побудинковий звіт'!AM261+'[1]побудинковий звіт'!AM261</f>
        <v>0</v>
      </c>
      <c r="AN261" s="41">
        <f>'[2]побудинковий звіт'!AN261+'[1]побудинковий звіт'!AN261</f>
        <v>0</v>
      </c>
      <c r="AO261" s="55">
        <f t="shared" si="198"/>
        <v>0</v>
      </c>
      <c r="AP261" s="41">
        <f>'[2]побудинковий звіт'!AP261+'[1]побудинковий звіт'!AP261</f>
        <v>4754.870125944979</v>
      </c>
      <c r="AQ261" s="41">
        <f>'[2]побудинковий звіт'!AQ261+'[1]побудинковий звіт'!AQ261</f>
        <v>4525.2171543610739</v>
      </c>
      <c r="AR261" s="55">
        <f t="shared" si="199"/>
        <v>-229.65297158390513</v>
      </c>
      <c r="AS261" s="41">
        <f>'[2]побудинковий звіт'!AS261+'[1]побудинковий звіт'!AS261</f>
        <v>17360.245322382634</v>
      </c>
      <c r="AT261" s="41">
        <f>'[2]побудинковий звіт'!AT261+'[1]побудинковий звіт'!AT261</f>
        <v>6609.469620531896</v>
      </c>
      <c r="AU261" s="57">
        <f t="shared" si="200"/>
        <v>-10750.775701850738</v>
      </c>
      <c r="AV261" s="41">
        <f>'[2]побудинковий звіт'!AV261+'[1]побудинковий звіт'!AV261</f>
        <v>770.59237120356045</v>
      </c>
      <c r="AW261" s="41">
        <f>'[2]побудинковий звіт'!AW261+'[1]побудинковий звіт'!AW261</f>
        <v>1269.419559694481</v>
      </c>
      <c r="AX261" s="58">
        <f t="shared" si="201"/>
        <v>498.82718849092055</v>
      </c>
      <c r="AY261" s="41">
        <f>'[2]побудинковий звіт'!AY261+'[1]побудинковий звіт'!AY261</f>
        <v>904.76382771169688</v>
      </c>
      <c r="AZ261" s="41">
        <f>'[2]побудинковий звіт'!AZ261+'[1]побудинковий звіт'!AZ261</f>
        <v>0</v>
      </c>
      <c r="BA261" s="36">
        <f t="shared" si="202"/>
        <v>-904.76382771169688</v>
      </c>
      <c r="BB261" s="41">
        <f>'[2]побудинковий звіт'!BB261+'[1]побудинковий звіт'!BB261</f>
        <v>1001.8464692104574</v>
      </c>
      <c r="BC261" s="41">
        <f>'[2]побудинковий звіт'!BC261+'[1]побудинковий звіт'!BC261</f>
        <v>0</v>
      </c>
      <c r="BD261" s="58">
        <f t="shared" si="203"/>
        <v>-1001.8464692104574</v>
      </c>
      <c r="BE261" s="41">
        <f>'[2]побудинковий звіт'!BE261+'[1]побудинковий звіт'!BE261</f>
        <v>0</v>
      </c>
      <c r="BF261" s="41">
        <f>'[2]побудинковий звіт'!BF261+'[1]побудинковий звіт'!BF261</f>
        <v>0</v>
      </c>
      <c r="BG261" s="38">
        <f t="shared" si="204"/>
        <v>0</v>
      </c>
      <c r="BH261" s="41">
        <f>'[2]побудинковий звіт'!BH261+'[1]побудинковий звіт'!BH261</f>
        <v>66.163852782859806</v>
      </c>
      <c r="BI261" s="41">
        <f>'[2]побудинковий звіт'!BI261+'[1]побудинковий звіт'!BI261</f>
        <v>0</v>
      </c>
      <c r="BJ261" s="58">
        <f t="shared" si="205"/>
        <v>-66.163852782859806</v>
      </c>
      <c r="BK261" s="41">
        <f>'[2]побудинковий звіт'!BK261+'[1]побудинковий звіт'!BK261</f>
        <v>473.6254414042063</v>
      </c>
      <c r="BL261" s="41">
        <f>'[2]побудинковий звіт'!BL261+'[1]побудинковий звіт'!BL261</f>
        <v>938.16598089821059</v>
      </c>
      <c r="BM261" s="38">
        <f t="shared" si="206"/>
        <v>464.54053949400429</v>
      </c>
      <c r="BN261" s="41">
        <f>'[2]побудинковий звіт'!BN261+'[1]побудинковий звіт'!BN261</f>
        <v>81.940708886855418</v>
      </c>
      <c r="BO261" s="41">
        <f>'[2]побудинковий звіт'!BO261+'[1]побудинковий звіт'!BO261</f>
        <v>0</v>
      </c>
      <c r="BP261" s="58">
        <f t="shared" si="207"/>
        <v>-81.940708886855418</v>
      </c>
      <c r="BQ261" s="84">
        <f t="shared" si="208"/>
        <v>3298.9326711996364</v>
      </c>
      <c r="BR261" s="42">
        <f t="shared" si="209"/>
        <v>2207.5855405926914</v>
      </c>
      <c r="BS261" s="58">
        <f t="shared" si="210"/>
        <v>-1091.347130606945</v>
      </c>
      <c r="BT261" s="41">
        <f>'[2]побудинковий звіт'!BT261+'[1]побудинковий звіт'!BT261</f>
        <v>10076.343104012583</v>
      </c>
      <c r="BU261" s="41">
        <f>'[2]побудинковий звіт'!BU261+'[1]побудинковий звіт'!BU261</f>
        <v>17663.52977268153</v>
      </c>
      <c r="BV261" s="55">
        <f t="shared" si="211"/>
        <v>7587.1866686689464</v>
      </c>
      <c r="BW261" s="41">
        <f>'[2]побудинковий звіт'!BW261+'[1]побудинковий звіт'!BW261</f>
        <v>9973.8065823719007</v>
      </c>
      <c r="BX261" s="41">
        <f>'[2]побудинковий звіт'!BX261+'[1]побудинковий звіт'!BX261</f>
        <v>11755.810105100296</v>
      </c>
      <c r="BY261" s="55">
        <f t="shared" si="212"/>
        <v>1782.0035227283952</v>
      </c>
      <c r="BZ261" s="41">
        <f>'[2]побудинковий звіт'!BZ261+'[1]побудинковий звіт'!BZ261</f>
        <v>5180.8793374846382</v>
      </c>
      <c r="CA261" s="41">
        <f>'[2]побудинковий звіт'!CA261+'[1]побудинковий звіт'!CA261</f>
        <v>1855.0258470546728</v>
      </c>
      <c r="CB261" s="55">
        <f t="shared" si="213"/>
        <v>-3325.8534904299654</v>
      </c>
      <c r="CC261" s="41">
        <f>'[2]побудинковий звіт'!CC261+'[1]побудинковий звіт'!CC261</f>
        <v>1503.879669066501</v>
      </c>
      <c r="CD261" s="41">
        <f>'[2]побудинковий звіт'!CD261+'[1]побудинковий звіт'!CD261</f>
        <v>1508.9791572760487</v>
      </c>
      <c r="CE261" s="55">
        <f t="shared" si="214"/>
        <v>5.0994882095476441</v>
      </c>
      <c r="CF261" s="41">
        <f>'[2]побудинковий звіт'!CF261+'[1]побудинковий звіт'!CF261</f>
        <v>186.32269759839417</v>
      </c>
      <c r="CG261" s="41">
        <f>'[2]побудинковий звіт'!CG261+'[1]побудинковий звіт'!CG261</f>
        <v>0</v>
      </c>
      <c r="CH261" s="55">
        <f t="shared" si="215"/>
        <v>-186.32269759839417</v>
      </c>
      <c r="CI261" s="41">
        <f>'[2]побудинковий звіт'!CI261+'[1]побудинковий звіт'!CI261</f>
        <v>3432.8847598783614</v>
      </c>
      <c r="CJ261" s="41">
        <f>'[2]побудинковий звіт'!CJ261+'[1]побудинковий звіт'!CJ261</f>
        <v>2978.2296574891943</v>
      </c>
      <c r="CK261" s="55">
        <f t="shared" si="216"/>
        <v>-454.65510238916704</v>
      </c>
      <c r="CL261" s="41">
        <f>'[2]побудинковий звіт'!CL261+'[1]побудинковий звіт'!CL261</f>
        <v>0</v>
      </c>
      <c r="CM261" s="41">
        <f>'[2]побудинковий звіт'!CM261+'[1]побудинковий звіт'!CM261</f>
        <v>0</v>
      </c>
      <c r="CN261" s="55">
        <f t="shared" si="217"/>
        <v>0</v>
      </c>
      <c r="CO261" s="41">
        <f t="shared" si="218"/>
        <v>3432.8847598783614</v>
      </c>
      <c r="CP261" s="42">
        <f t="shared" si="219"/>
        <v>2978.2296574891943</v>
      </c>
      <c r="CQ261" s="55">
        <f t="shared" si="220"/>
        <v>-454.65510238916704</v>
      </c>
      <c r="CR261" s="76">
        <f t="shared" si="221"/>
        <v>73073.327555496828</v>
      </c>
      <c r="CS261" s="5">
        <f t="shared" si="222"/>
        <v>66402.146940303268</v>
      </c>
      <c r="CT261" s="55">
        <f t="shared" si="223"/>
        <v>-6671.1806151935598</v>
      </c>
      <c r="CU261" s="84">
        <f t="shared" si="224"/>
        <v>87687.993066596187</v>
      </c>
      <c r="CV261" s="68">
        <f t="shared" si="225"/>
        <v>79682.576328363924</v>
      </c>
      <c r="CW261" s="36">
        <f t="shared" si="226"/>
        <v>-8005.416738232263</v>
      </c>
      <c r="CX261" s="41">
        <f>'[2]побудинковий звіт'!CX261+'[1]побудинковий звіт'!CX261</f>
        <v>1928.3272219061905</v>
      </c>
      <c r="CY261" s="41">
        <f>'[2]побудинковий звіт'!CY261+'[1]побудинковий звіт'!CY261</f>
        <v>9933.7439601384613</v>
      </c>
      <c r="CZ261" s="55">
        <f t="shared" si="227"/>
        <v>8005.4167382322703</v>
      </c>
      <c r="DA261" s="254">
        <f>'[1]побудинковий звіт'!DA261</f>
        <v>-66746.456424829667</v>
      </c>
      <c r="DB261" s="2">
        <v>2</v>
      </c>
      <c r="DC261" s="702">
        <f>'[1]побудинковий звіт'!DC261</f>
        <v>20781.7</v>
      </c>
      <c r="DD261" s="702">
        <f>'[1]побудинковий звіт'!DD261</f>
        <v>0</v>
      </c>
      <c r="DE261" s="702">
        <f>'[1]побудинковий звіт'!DE261</f>
        <v>10958.900000000001</v>
      </c>
      <c r="DF261" s="702">
        <f>'[1]побудинковий звіт'!DF261</f>
        <v>0</v>
      </c>
      <c r="DG261" s="772">
        <v>-40354.737610434298</v>
      </c>
      <c r="DH261" s="746">
        <f t="shared" si="251"/>
        <v>1075395.8434620285</v>
      </c>
      <c r="DI261" s="769"/>
      <c r="DJ261" s="5"/>
      <c r="DK261" s="307">
        <f>VLOOKUP($A261,ціни!$A$4:$G$401,5)</f>
        <v>4.8361515500994212</v>
      </c>
      <c r="DL261" s="307"/>
      <c r="DM261" s="307">
        <f>VLOOKUP($A261,ціни!$A$4:$G$401,7)</f>
        <v>4.1680281540345065</v>
      </c>
      <c r="DN261" s="29">
        <f t="shared" si="260"/>
        <v>7024.9937416744187</v>
      </c>
      <c r="DO261" s="29">
        <f t="shared" si="261"/>
        <v>0</v>
      </c>
      <c r="DP261" s="306">
        <f t="shared" si="252"/>
        <v>7024.9937416744187</v>
      </c>
      <c r="DQ261" s="101"/>
      <c r="DR261" s="29">
        <f>VLOOKUP(A261,'ДЗ нас '!$A$1:$C$359,2)</f>
        <v>7025.06</v>
      </c>
      <c r="DS261" s="733"/>
      <c r="DT261" s="29">
        <f t="shared" si="253"/>
        <v>7025.06</v>
      </c>
      <c r="DU261" s="247">
        <f>VLOOKUP(A261,'новий кошторис с 01.06'!$A$4:$AI$399,35)*1.2</f>
        <v>7046.727359093753</v>
      </c>
      <c r="DV261" s="29">
        <f t="shared" si="254"/>
        <v>-21.667359093752566</v>
      </c>
      <c r="DW261" s="1016">
        <f>'[2]побудинковий звіт'!$DW$9+'[1]побудинковий звіт'!DW261</f>
        <v>1062</v>
      </c>
      <c r="DX261" s="101">
        <f>'[1]побудинковий звіт'!DX261</f>
        <v>0</v>
      </c>
      <c r="DY261" s="5">
        <f t="shared" si="255"/>
        <v>24791.013592298725</v>
      </c>
      <c r="DZ261" s="5">
        <f t="shared" si="256"/>
        <v>10580.466193349503</v>
      </c>
      <c r="EA261" s="737">
        <f t="shared" si="257"/>
        <v>10958.900000000001</v>
      </c>
      <c r="EC261" s="577">
        <f t="shared" si="258"/>
        <v>208322.94386859162</v>
      </c>
      <c r="EE261" s="743">
        <v>39510</v>
      </c>
      <c r="EF261" s="723">
        <f t="shared" si="259"/>
        <v>-844.7376104342984</v>
      </c>
      <c r="EH261" s="798">
        <v>-43786.629159161886</v>
      </c>
      <c r="EI261" s="101">
        <f>VLOOKUP(A261,'кошти 01.01.24'!$A$9:$D$352,4,FALSE)</f>
        <v>-58741.039686597396</v>
      </c>
    </row>
    <row r="262" spans="1:139" hidden="1" x14ac:dyDescent="0.3">
      <c r="A262" s="318">
        <v>150000801</v>
      </c>
      <c r="B262" s="43" t="s">
        <v>739</v>
      </c>
      <c r="C262" s="44" t="s">
        <v>294</v>
      </c>
      <c r="D262" s="44" t="s">
        <v>294</v>
      </c>
      <c r="E262" s="39">
        <f t="shared" si="185"/>
        <v>4212.2</v>
      </c>
      <c r="F262" s="205">
        <f>'[1]побудинковий звіт'!F262</f>
        <v>3766.6</v>
      </c>
      <c r="G262" s="29">
        <f>'[1]побудинковий звіт'!G262</f>
        <v>0</v>
      </c>
      <c r="H262" s="148">
        <f>'[1]побудинковий звіт'!H262</f>
        <v>445.6</v>
      </c>
      <c r="I262" s="41">
        <f>'[2]побудинковий звіт'!I262+'[1]побудинковий звіт'!I262</f>
        <v>15165.846106691359</v>
      </c>
      <c r="J262" s="41">
        <f>'[2]побудинковий звіт'!J262+'[1]побудинковий звіт'!J262</f>
        <v>15593.951101929246</v>
      </c>
      <c r="K262" s="55">
        <f t="shared" si="186"/>
        <v>428.10499523788712</v>
      </c>
      <c r="L262" s="41">
        <f>'[2]побудинковий звіт'!L262+'[1]побудинковий звіт'!L262</f>
        <v>2988.8184842645323</v>
      </c>
      <c r="M262" s="41">
        <f>'[2]побудинковий звіт'!M262+'[1]побудинковий звіт'!M262</f>
        <v>3139.3234933584999</v>
      </c>
      <c r="N262" s="55">
        <f t="shared" si="187"/>
        <v>150.5050090939676</v>
      </c>
      <c r="O262" s="41">
        <f>'[2]побудинковий звіт'!O262+'[1]побудинковий звіт'!O262</f>
        <v>5841.0297932868216</v>
      </c>
      <c r="P262" s="41">
        <f>'[2]побудинковий звіт'!P262+'[1]побудинковий звіт'!P262</f>
        <v>5857.3375017054259</v>
      </c>
      <c r="Q262" s="55">
        <f t="shared" si="188"/>
        <v>16.307708418604307</v>
      </c>
      <c r="R262" s="41">
        <f>'[2]побудинковий звіт'!R262+'[1]побудинковий звіт'!R262</f>
        <v>0</v>
      </c>
      <c r="S262" s="41">
        <f>'[2]побудинковий звіт'!S262+'[1]побудинковий звіт'!S262</f>
        <v>0</v>
      </c>
      <c r="T262" s="55">
        <f t="shared" si="189"/>
        <v>0</v>
      </c>
      <c r="U262" s="41">
        <f>'[2]побудинковий звіт'!U262+'[1]побудинковий звіт'!U262</f>
        <v>280.65294837812576</v>
      </c>
      <c r="V262" s="41">
        <f>'[2]побудинковий звіт'!V262+'[1]побудинковий звіт'!V262</f>
        <v>161.91688629599031</v>
      </c>
      <c r="W262" s="55">
        <f t="shared" si="190"/>
        <v>-118.73606208213545</v>
      </c>
      <c r="X262" s="41">
        <f>'[2]побудинковий звіт'!X262+'[1]побудинковий звіт'!X262</f>
        <v>10598.952124437161</v>
      </c>
      <c r="Y262" s="41">
        <f>'[2]побудинковий звіт'!Y262+'[1]побудинковий звіт'!Y262</f>
        <v>10557.151313689488</v>
      </c>
      <c r="Z262" s="55">
        <f t="shared" si="191"/>
        <v>-41.800810747672585</v>
      </c>
      <c r="AA262" s="41">
        <f>'[2]побудинковий звіт'!AA262+'[1]побудинковий звіт'!AA262</f>
        <v>0</v>
      </c>
      <c r="AB262" s="41">
        <f>'[2]побудинковий звіт'!AB262+'[1]побудинковий звіт'!AB262</f>
        <v>0</v>
      </c>
      <c r="AC262" s="55">
        <f t="shared" si="192"/>
        <v>0</v>
      </c>
      <c r="AD262" s="41">
        <f>'[2]побудинковий звіт'!AD262+'[1]побудинковий звіт'!AD262</f>
        <v>18269.302402956113</v>
      </c>
      <c r="AE262" s="41">
        <f>'[2]побудинковий звіт'!AE262+'[1]побудинковий звіт'!AE262</f>
        <v>18197.191514251899</v>
      </c>
      <c r="AF262" s="36">
        <f t="shared" si="193"/>
        <v>-72.110888704213721</v>
      </c>
      <c r="AG262" s="84">
        <f t="shared" si="194"/>
        <v>53144.601860014118</v>
      </c>
      <c r="AH262" s="56">
        <f t="shared" si="195"/>
        <v>53506.871811230551</v>
      </c>
      <c r="AI262" s="55">
        <f t="shared" si="196"/>
        <v>362.26995121643267</v>
      </c>
      <c r="AJ262" s="41">
        <f>'[2]побудинковий звіт'!AJ262+'[1]побудинковий звіт'!AJ262</f>
        <v>0</v>
      </c>
      <c r="AK262" s="41">
        <f>'[2]побудинковий звіт'!AK262+'[1]побудинковий звіт'!AK262</f>
        <v>0</v>
      </c>
      <c r="AL262" s="55">
        <f t="shared" si="197"/>
        <v>0</v>
      </c>
      <c r="AM262" s="41">
        <f>'[2]побудинковий звіт'!AM262+'[1]побудинковий звіт'!AM262</f>
        <v>0</v>
      </c>
      <c r="AN262" s="41">
        <f>'[2]побудинковий звіт'!AN262+'[1]побудинковий звіт'!AN262</f>
        <v>0</v>
      </c>
      <c r="AO262" s="55">
        <f t="shared" si="198"/>
        <v>0</v>
      </c>
      <c r="AP262" s="41">
        <f>'[2]побудинковий звіт'!AP262+'[1]побудинковий звіт'!AP262</f>
        <v>13344.043515199795</v>
      </c>
      <c r="AQ262" s="41">
        <f>'[2]побудинковий звіт'!AQ262+'[1]побудинковий звіт'!AQ262</f>
        <v>11950.373052067913</v>
      </c>
      <c r="AR262" s="55">
        <f t="shared" si="199"/>
        <v>-1393.6704631318826</v>
      </c>
      <c r="AS262" s="41">
        <f>'[2]побудинковий звіт'!AS262+'[1]побудинковий звіт'!AS262</f>
        <v>56299.33973013745</v>
      </c>
      <c r="AT262" s="41">
        <f>'[2]побудинковий звіт'!AT262+'[1]побудинковий звіт'!AT262</f>
        <v>10244.600853650336</v>
      </c>
      <c r="AU262" s="57">
        <f t="shared" si="200"/>
        <v>-46054.738876487114</v>
      </c>
      <c r="AV262" s="41">
        <f>'[2]побудинковий звіт'!AV262+'[1]побудинковий звіт'!AV262</f>
        <v>2434.0219414629314</v>
      </c>
      <c r="AW262" s="41">
        <f>'[2]побудинковий звіт'!AW262+'[1]побудинковий звіт'!AW262</f>
        <v>2623.5444295781217</v>
      </c>
      <c r="AX262" s="58">
        <f t="shared" si="201"/>
        <v>189.5224881151903</v>
      </c>
      <c r="AY262" s="41">
        <f>'[2]побудинковий звіт'!AY262+'[1]побудинковий звіт'!AY262</f>
        <v>3737.8154531731625</v>
      </c>
      <c r="AZ262" s="41">
        <f>'[2]побудинковий звіт'!AZ262+'[1]побудинковий звіт'!AZ262</f>
        <v>579.71223035203479</v>
      </c>
      <c r="BA262" s="36">
        <f t="shared" si="202"/>
        <v>-3158.1032228211279</v>
      </c>
      <c r="BB262" s="41">
        <f>'[2]побудинковий звіт'!BB262+'[1]побудинковий звіт'!BB262</f>
        <v>3045.6562647049468</v>
      </c>
      <c r="BC262" s="41">
        <f>'[2]побудинковий звіт'!BC262+'[1]побудинковий звіт'!BC262</f>
        <v>0</v>
      </c>
      <c r="BD262" s="58">
        <f t="shared" si="203"/>
        <v>-3045.6562647049468</v>
      </c>
      <c r="BE262" s="41">
        <f>'[2]побудинковий звіт'!BE262+'[1]побудинковий звіт'!BE262</f>
        <v>0</v>
      </c>
      <c r="BF262" s="41">
        <f>'[2]побудинковий звіт'!BF262+'[1]побудинковий звіт'!BF262</f>
        <v>0</v>
      </c>
      <c r="BG262" s="38">
        <f t="shared" si="204"/>
        <v>0</v>
      </c>
      <c r="BH262" s="41">
        <f>'[2]побудинковий звіт'!BH262+'[1]побудинковий звіт'!BH262</f>
        <v>165.40963195714954</v>
      </c>
      <c r="BI262" s="41">
        <f>'[2]побудинковий звіт'!BI262+'[1]побудинковий звіт'!BI262</f>
        <v>0</v>
      </c>
      <c r="BJ262" s="58">
        <f t="shared" si="205"/>
        <v>-165.40963195714954</v>
      </c>
      <c r="BK262" s="41">
        <f>'[2]побудинковий звіт'!BK262+'[1]побудинковий звіт'!BK262</f>
        <v>1848.630961838197</v>
      </c>
      <c r="BL262" s="41">
        <f>'[2]побудинковий звіт'!BL262+'[1]побудинковий звіт'!BL262</f>
        <v>121.68657532546392</v>
      </c>
      <c r="BM262" s="38">
        <f t="shared" si="206"/>
        <v>-1726.944386512733</v>
      </c>
      <c r="BN262" s="41">
        <f>'[2]побудинковий звіт'!BN262+'[1]побудинковий звіт'!BN262</f>
        <v>95.932116300154604</v>
      </c>
      <c r="BO262" s="41">
        <f>'[2]побудинковий звіт'!BO262+'[1]побудинковий звіт'!BO262</f>
        <v>0</v>
      </c>
      <c r="BP262" s="58">
        <f t="shared" si="207"/>
        <v>-95.932116300154604</v>
      </c>
      <c r="BQ262" s="84">
        <f t="shared" si="208"/>
        <v>11327.466369436541</v>
      </c>
      <c r="BR262" s="42">
        <f t="shared" si="209"/>
        <v>3324.94323525562</v>
      </c>
      <c r="BS262" s="58">
        <f t="shared" si="210"/>
        <v>-8002.5231341809213</v>
      </c>
      <c r="BT262" s="41">
        <f>'[2]побудинковий звіт'!BT262+'[1]побудинковий звіт'!BT262</f>
        <v>34169.429197512349</v>
      </c>
      <c r="BU262" s="41">
        <f>'[2]побудинковий звіт'!BU262+'[1]побудинковий звіт'!BU262</f>
        <v>57762.730315229441</v>
      </c>
      <c r="BV262" s="55">
        <f t="shared" si="211"/>
        <v>23593.301117717092</v>
      </c>
      <c r="BW262" s="41">
        <f>'[2]побудинковий звіт'!BW262+'[1]побудинковий звіт'!BW262</f>
        <v>22484.539446779036</v>
      </c>
      <c r="BX262" s="41">
        <f>'[2]побудинковий звіт'!BX262+'[1]побудинковий звіт'!BX262</f>
        <v>26750.882767313506</v>
      </c>
      <c r="BY262" s="55">
        <f t="shared" si="212"/>
        <v>4266.34332053447</v>
      </c>
      <c r="BZ262" s="41">
        <f>'[2]побудинковий звіт'!BZ262+'[1]побудинковий звіт'!BZ262</f>
        <v>14763.021152302585</v>
      </c>
      <c r="CA262" s="41">
        <f>'[2]побудинковий звіт'!CA262+'[1]побудинковий звіт'!CA262</f>
        <v>5601.7931287582687</v>
      </c>
      <c r="CB262" s="55">
        <f t="shared" si="213"/>
        <v>-9161.2280235443159</v>
      </c>
      <c r="CC262" s="41">
        <f>'[2]побудинковий звіт'!CC262+'[1]побудинковий звіт'!CC262</f>
        <v>802.17094226146162</v>
      </c>
      <c r="CD262" s="41">
        <f>'[2]побудинковий звіт'!CD262+'[1]побудинковий звіт'!CD262</f>
        <v>804.89101444957976</v>
      </c>
      <c r="CE262" s="55">
        <f t="shared" si="214"/>
        <v>2.720072188118138</v>
      </c>
      <c r="CF262" s="41">
        <f>'[2]побудинковий звіт'!CF262+'[1]побудинковий звіт'!CF262</f>
        <v>99.384716059082521</v>
      </c>
      <c r="CG262" s="41">
        <f>'[2]побудинковий звіт'!CG262+'[1]побудинковий звіт'!CG262</f>
        <v>0</v>
      </c>
      <c r="CH262" s="55">
        <f t="shared" si="215"/>
        <v>-99.384716059082521</v>
      </c>
      <c r="CI262" s="41">
        <f>'[2]побудинковий звіт'!CI262+'[1]побудинковий звіт'!CI262</f>
        <v>4344.7453254614011</v>
      </c>
      <c r="CJ262" s="41">
        <f>'[2]побудинковий звіт'!CJ262+'[1]побудинковий звіт'!CJ262</f>
        <v>3396.5220491531227</v>
      </c>
      <c r="CK262" s="55">
        <f t="shared" si="216"/>
        <v>-948.2232763082784</v>
      </c>
      <c r="CL262" s="41">
        <f>'[2]побудинковий звіт'!CL262+'[1]побудинковий звіт'!CL262</f>
        <v>0</v>
      </c>
      <c r="CM262" s="41">
        <f>'[2]побудинковий звіт'!CM262+'[1]побудинковий звіт'!CM262</f>
        <v>0</v>
      </c>
      <c r="CN262" s="55">
        <f t="shared" si="217"/>
        <v>0</v>
      </c>
      <c r="CO262" s="41">
        <f t="shared" si="218"/>
        <v>4344.7453254614011</v>
      </c>
      <c r="CP262" s="42">
        <f t="shared" si="219"/>
        <v>3396.5220491531227</v>
      </c>
      <c r="CQ262" s="55">
        <f t="shared" si="220"/>
        <v>-948.2232763082784</v>
      </c>
      <c r="CR262" s="76">
        <f t="shared" si="221"/>
        <v>210778.74225516382</v>
      </c>
      <c r="CS262" s="5">
        <f t="shared" si="222"/>
        <v>173343.60822710834</v>
      </c>
      <c r="CT262" s="55">
        <f t="shared" si="223"/>
        <v>-37435.134028055472</v>
      </c>
      <c r="CU262" s="84">
        <f t="shared" si="224"/>
        <v>252934.49070619658</v>
      </c>
      <c r="CV262" s="68">
        <f t="shared" si="225"/>
        <v>208012.32987253001</v>
      </c>
      <c r="CW262" s="36">
        <f t="shared" si="226"/>
        <v>-44922.160833666567</v>
      </c>
      <c r="CX262" s="41">
        <f>'[2]побудинковий звіт'!CX262+'[1]побудинковий звіт'!CX262</f>
        <v>2537.0694426289583</v>
      </c>
      <c r="CY262" s="41">
        <f>'[2]побудинковий звіт'!CY262+'[1]побудинковий звіт'!CY262</f>
        <v>47459.230276295515</v>
      </c>
      <c r="CZ262" s="55">
        <f t="shared" si="227"/>
        <v>44922.160833666559</v>
      </c>
      <c r="DA262" s="254">
        <f>'[1]побудинковий звіт'!DA262</f>
        <v>41330.466761195246</v>
      </c>
      <c r="DB262" s="2">
        <v>2</v>
      </c>
      <c r="DC262" s="702">
        <f>'[1]побудинковий звіт'!DC262</f>
        <v>65858.58</v>
      </c>
      <c r="DD262" s="702">
        <f>'[1]побудинковий звіт'!DD262</f>
        <v>8683.33</v>
      </c>
      <c r="DE262" s="702">
        <f>'[1]побудинковий звіт'!DE262</f>
        <v>40504.380000000005</v>
      </c>
      <c r="DF262" s="702">
        <f>'[1]побудинковий звіт'!DF262</f>
        <v>6035.13</v>
      </c>
      <c r="DG262" s="772">
        <v>149469.92573048221</v>
      </c>
      <c r="DH262" s="746">
        <f t="shared" si="251"/>
        <v>3065658.7217859067</v>
      </c>
      <c r="DI262" s="769"/>
      <c r="DJ262" s="5"/>
      <c r="DK262" s="307">
        <f>VLOOKUP($A262,ціни!$A$4:$G$401,5)</f>
        <v>4.8145216258326915</v>
      </c>
      <c r="DL262" s="307"/>
      <c r="DM262" s="307">
        <f>VLOOKUP($A262,ціни!$A$4:$G$401,7)</f>
        <v>4.2464994781914625</v>
      </c>
      <c r="DN262" s="29">
        <f t="shared" si="260"/>
        <v>18134.377155861417</v>
      </c>
      <c r="DO262" s="29">
        <f t="shared" si="261"/>
        <v>1892.2401674821158</v>
      </c>
      <c r="DP262" s="306">
        <f t="shared" si="252"/>
        <v>20026.617323343533</v>
      </c>
      <c r="DQ262" s="101"/>
      <c r="DR262" s="29">
        <f>VLOOKUP(A262,'ДЗ нас '!$A$1:$C$359,2)</f>
        <v>18134.3</v>
      </c>
      <c r="DS262" s="733">
        <f>VLOOKUP(A262,'ДЗ нежит'!$A$1:$D$153,4,0)</f>
        <v>1892.29</v>
      </c>
      <c r="DT262" s="29">
        <f t="shared" si="253"/>
        <v>20026.59</v>
      </c>
      <c r="DU262" s="247">
        <f>VLOOKUP(A262,'новий кошторис с 01.06'!$A$4:$AI$399,35)*1.2</f>
        <v>20026.007929531435</v>
      </c>
      <c r="DV262" s="29">
        <f t="shared" si="254"/>
        <v>0.58207046856477973</v>
      </c>
      <c r="DW262" s="1016">
        <f>'[2]побудинковий звіт'!$DW$9+'[1]побудинковий звіт'!DW262</f>
        <v>1062</v>
      </c>
      <c r="DX262" s="101">
        <f>'[1]побудинковий звіт'!DX262</f>
        <v>0</v>
      </c>
      <c r="DY262" s="5">
        <f t="shared" si="255"/>
        <v>81152.167319488784</v>
      </c>
      <c r="DZ262" s="5">
        <f t="shared" si="256"/>
        <v>16283.452906687146</v>
      </c>
      <c r="EA262" s="737">
        <f t="shared" si="257"/>
        <v>46539.51</v>
      </c>
      <c r="EC262" s="577">
        <f t="shared" si="258"/>
        <v>675592.07676164946</v>
      </c>
      <c r="EE262" s="743">
        <v>-71650</v>
      </c>
      <c r="EF262" s="723">
        <f t="shared" si="259"/>
        <v>77819.925730482209</v>
      </c>
      <c r="EH262" s="798">
        <v>125056.10046782269</v>
      </c>
      <c r="EI262" s="101">
        <f>VLOOKUP(A262,'кошти 01.01.24'!$A$9:$D$352,4,FALSE)</f>
        <v>86252.627594861813</v>
      </c>
    </row>
    <row r="263" spans="1:139" hidden="1" x14ac:dyDescent="0.3">
      <c r="A263" s="318">
        <v>150000802</v>
      </c>
      <c r="B263" s="43" t="s">
        <v>740</v>
      </c>
      <c r="C263" s="44" t="s">
        <v>295</v>
      </c>
      <c r="D263" s="44" t="s">
        <v>295</v>
      </c>
      <c r="E263" s="39">
        <f t="shared" si="185"/>
        <v>3203.5</v>
      </c>
      <c r="F263" s="205">
        <f>'[1]побудинковий звіт'!F263</f>
        <v>3203.5</v>
      </c>
      <c r="G263" s="29">
        <f>'[1]побудинковий звіт'!G263</f>
        <v>0</v>
      </c>
      <c r="H263" s="148">
        <f>'[1]побудинковий звіт'!H263</f>
        <v>0</v>
      </c>
      <c r="I263" s="41">
        <f>'[2]побудинковий звіт'!I263+'[1]побудинковий звіт'!I263</f>
        <v>12648.369972568498</v>
      </c>
      <c r="J263" s="41">
        <f>'[2]побудинковий звіт'!J263+'[1]побудинковий звіт'!J263</f>
        <v>12977.633870531901</v>
      </c>
      <c r="K263" s="55">
        <f t="shared" si="186"/>
        <v>329.263897963403</v>
      </c>
      <c r="L263" s="41">
        <f>'[2]побудинковий звіт'!L263+'[1]побудинковий звіт'!L263</f>
        <v>2339.1581734863853</v>
      </c>
      <c r="M263" s="41">
        <f>'[2]побудинковий звіт'!M263+'[1]побудинковий звіт'!M263</f>
        <v>2456.7376925056965</v>
      </c>
      <c r="N263" s="55">
        <f t="shared" si="187"/>
        <v>117.57951901931119</v>
      </c>
      <c r="O263" s="41">
        <f>'[2]побудинковий звіт'!O263+'[1]побудинковий звіт'!O263</f>
        <v>4390.8396360361148</v>
      </c>
      <c r="P263" s="41">
        <f>'[2]побудинковий звіт'!P263+'[1]побудинковий звіт'!P263</f>
        <v>4403.0713712660854</v>
      </c>
      <c r="Q263" s="55">
        <f t="shared" si="188"/>
        <v>12.231735229970582</v>
      </c>
      <c r="R263" s="41">
        <f>'[2]побудинковий звіт'!R263+'[1]побудинковий звіт'!R263</f>
        <v>0</v>
      </c>
      <c r="S263" s="41">
        <f>'[2]побудинковий звіт'!S263+'[1]побудинковий звіт'!S263</f>
        <v>0</v>
      </c>
      <c r="T263" s="55">
        <f t="shared" si="189"/>
        <v>0</v>
      </c>
      <c r="U263" s="41">
        <f>'[2]побудинковий звіт'!U263+'[1]побудинковий звіт'!U263</f>
        <v>233.87745698177133</v>
      </c>
      <c r="V263" s="41">
        <f>'[2]побудинковий звіт'!V263+'[1]побудинковий звіт'!V263</f>
        <v>134.93073857999187</v>
      </c>
      <c r="W263" s="55">
        <f t="shared" si="190"/>
        <v>-98.946718401779464</v>
      </c>
      <c r="X263" s="41">
        <f>'[2]побудинковий звіт'!X263+'[1]побудинковий звіт'!X263</f>
        <v>7768.6610598756361</v>
      </c>
      <c r="Y263" s="41">
        <f>'[2]побудинковий звіт'!Y263+'[1]побудинковий звіт'!Y263</f>
        <v>7588.8100944594426</v>
      </c>
      <c r="Z263" s="55">
        <f t="shared" si="191"/>
        <v>-179.8509654161935</v>
      </c>
      <c r="AA263" s="41">
        <f>'[2]побудинковий звіт'!AA263+'[1]побудинковий звіт'!AA263</f>
        <v>0</v>
      </c>
      <c r="AB263" s="41">
        <f>'[2]побудинковий звіт'!AB263+'[1]побудинковий звіт'!AB263</f>
        <v>0</v>
      </c>
      <c r="AC263" s="55">
        <f t="shared" si="192"/>
        <v>0</v>
      </c>
      <c r="AD263" s="41">
        <f>'[2]побудинковий звіт'!AD263+'[1]побудинковий звіт'!AD263</f>
        <v>13894.939399856781</v>
      </c>
      <c r="AE263" s="41">
        <f>'[2]побудинковий звіт'!AE263+'[1]побудинковий звіт'!AE263</f>
        <v>13840.884558025282</v>
      </c>
      <c r="AF263" s="36">
        <f t="shared" si="193"/>
        <v>-54.054841831499289</v>
      </c>
      <c r="AG263" s="84">
        <f t="shared" si="194"/>
        <v>41275.845698805191</v>
      </c>
      <c r="AH263" s="56">
        <f t="shared" si="195"/>
        <v>41402.068325368396</v>
      </c>
      <c r="AI263" s="55">
        <f t="shared" si="196"/>
        <v>126.22262656320527</v>
      </c>
      <c r="AJ263" s="41">
        <f>'[2]побудинковий звіт'!AJ263+'[1]побудинковий звіт'!AJ263</f>
        <v>0</v>
      </c>
      <c r="AK263" s="41">
        <f>'[2]побудинковий звіт'!AK263+'[1]побудинковий звіт'!AK263</f>
        <v>0</v>
      </c>
      <c r="AL263" s="55">
        <f t="shared" si="197"/>
        <v>0</v>
      </c>
      <c r="AM263" s="41">
        <f>'[2]побудинковий звіт'!AM263+'[1]побудинковий звіт'!AM263</f>
        <v>0</v>
      </c>
      <c r="AN263" s="41">
        <f>'[2]побудинковий звіт'!AN263+'[1]побудинковий звіт'!AN263</f>
        <v>0</v>
      </c>
      <c r="AO263" s="55">
        <f t="shared" si="198"/>
        <v>0</v>
      </c>
      <c r="AP263" s="41">
        <f>'[2]побудинковий звіт'!AP263+'[1]побудинковий звіт'!AP263</f>
        <v>11887.175314862448</v>
      </c>
      <c r="AQ263" s="41">
        <f>'[2]побудинковий звіт'!AQ263+'[1]побудинковий звіт'!AQ263</f>
        <v>12761.930002951285</v>
      </c>
      <c r="AR263" s="55">
        <f t="shared" si="199"/>
        <v>874.7546880888367</v>
      </c>
      <c r="AS263" s="41">
        <f>'[2]побудинковий звіт'!AS263+'[1]побудинковий звіт'!AS263</f>
        <v>39964.060374507091</v>
      </c>
      <c r="AT263" s="41">
        <f>'[2]побудинковий звіт'!AT263+'[1]побудинковий звіт'!AT263</f>
        <v>4918.8989803965924</v>
      </c>
      <c r="AU263" s="57">
        <f t="shared" si="200"/>
        <v>-35045.161394110502</v>
      </c>
      <c r="AV263" s="41">
        <f>'[2]побудинковий звіт'!AV263+'[1]побудинковий звіт'!AV263</f>
        <v>1987.189207680651</v>
      </c>
      <c r="AW263" s="41">
        <f>'[2]побудинковий звіт'!AW263+'[1]побудинковий звіт'!AW263</f>
        <v>0</v>
      </c>
      <c r="AX263" s="58">
        <f t="shared" si="201"/>
        <v>-1987.189207680651</v>
      </c>
      <c r="AY263" s="41">
        <f>'[2]побудинковий звіт'!AY263+'[1]побудинковий звіт'!AY263</f>
        <v>2820.6731368925016</v>
      </c>
      <c r="AZ263" s="41">
        <f>'[2]побудинковий звіт'!AZ263+'[1]побудинковий звіт'!AZ263</f>
        <v>0</v>
      </c>
      <c r="BA263" s="36">
        <f t="shared" si="202"/>
        <v>-2820.6731368925016</v>
      </c>
      <c r="BB263" s="41">
        <f>'[2]побудинковий звіт'!BB263+'[1]побудинковий звіт'!BB263</f>
        <v>2530.6862255331916</v>
      </c>
      <c r="BC263" s="41">
        <f>'[2]побудинковий звіт'!BC263+'[1]побудинковий звіт'!BC263</f>
        <v>0</v>
      </c>
      <c r="BD263" s="58">
        <f t="shared" si="203"/>
        <v>-2530.6862255331916</v>
      </c>
      <c r="BE263" s="41">
        <f>'[2]побудинковий звіт'!BE263+'[1]побудинковий звіт'!BE263</f>
        <v>0</v>
      </c>
      <c r="BF263" s="41">
        <f>'[2]побудинковий звіт'!BF263+'[1]побудинковий звіт'!BF263</f>
        <v>0</v>
      </c>
      <c r="BG263" s="38">
        <f t="shared" si="204"/>
        <v>0</v>
      </c>
      <c r="BH263" s="41">
        <f>'[2]побудинковий звіт'!BH263+'[1]побудинковий звіт'!BH263</f>
        <v>137.84135996429129</v>
      </c>
      <c r="BI263" s="41">
        <f>'[2]побудинковий звіт'!BI263+'[1]побудинковий звіт'!BI263</f>
        <v>0</v>
      </c>
      <c r="BJ263" s="58">
        <f t="shared" si="205"/>
        <v>-137.84135996429129</v>
      </c>
      <c r="BK263" s="41">
        <f>'[2]побудинковий звіт'!BK263+'[1]побудинковий звіт'!BK263</f>
        <v>1385.2632580856866</v>
      </c>
      <c r="BL263" s="41">
        <f>'[2]побудинковий звіт'!BL263+'[1]побудинковий звіт'!BL263</f>
        <v>1102.1574769873018</v>
      </c>
      <c r="BM263" s="38">
        <f t="shared" si="206"/>
        <v>-283.1057810983848</v>
      </c>
      <c r="BN263" s="41">
        <f>'[2]побудинковий звіт'!BN263+'[1]побудинковий звіт'!BN263</f>
        <v>70.521712702010319</v>
      </c>
      <c r="BO263" s="41">
        <f>'[2]побудинковий звіт'!BO263+'[1]побудинковий звіт'!BO263</f>
        <v>0</v>
      </c>
      <c r="BP263" s="58">
        <f t="shared" si="207"/>
        <v>-70.521712702010319</v>
      </c>
      <c r="BQ263" s="84">
        <f t="shared" si="208"/>
        <v>8932.174900858332</v>
      </c>
      <c r="BR263" s="42">
        <f t="shared" si="209"/>
        <v>1102.1574769873018</v>
      </c>
      <c r="BS263" s="58">
        <f t="shared" si="210"/>
        <v>-7830.0174238710297</v>
      </c>
      <c r="BT263" s="41">
        <f>'[2]побудинковий звіт'!BT263+'[1]побудинковий звіт'!BT263</f>
        <v>36561.392201832845</v>
      </c>
      <c r="BU263" s="41">
        <f>'[2]побудинковий звіт'!BU263+'[1]побудинковий звіт'!BU263</f>
        <v>59633.439588086985</v>
      </c>
      <c r="BV263" s="55">
        <f t="shared" si="211"/>
        <v>23072.04738625414</v>
      </c>
      <c r="BW263" s="41">
        <f>'[2]побудинковий звіт'!BW263+'[1]побудинковий звіт'!BW263</f>
        <v>18329.10289009914</v>
      </c>
      <c r="BX263" s="41">
        <f>'[2]побудинковий звіт'!BX263+'[1]побудинковий звіт'!BX263</f>
        <v>22017.784277162002</v>
      </c>
      <c r="BY263" s="55">
        <f t="shared" si="212"/>
        <v>3688.6813870628612</v>
      </c>
      <c r="BZ263" s="41">
        <f>'[2]побудинковий звіт'!BZ263+'[1]побудинковий звіт'!BZ263</f>
        <v>11591.229861929658</v>
      </c>
      <c r="CA263" s="41">
        <f>'[2]побудинковий звіт'!CA263+'[1]побудинковий звіт'!CA263</f>
        <v>5206.3816514611044</v>
      </c>
      <c r="CB263" s="55">
        <f t="shared" si="213"/>
        <v>-6384.8482104685536</v>
      </c>
      <c r="CC263" s="41">
        <f>'[2]побудинковий звіт'!CC263+'[1]побудинковий звіт'!CC263</f>
        <v>2158.8688853401345</v>
      </c>
      <c r="CD263" s="41">
        <f>'[2]побудинковий звіт'!CD263+'[1]побудинковий звіт'!CD263</f>
        <v>2166.1893689221652</v>
      </c>
      <c r="CE263" s="55">
        <f t="shared" si="214"/>
        <v>7.3204835820306471</v>
      </c>
      <c r="CF263" s="41">
        <f>'[2]побудинковий звіт'!CF263+'[1]побудинковий звіт'!CF263</f>
        <v>267.47238010571505</v>
      </c>
      <c r="CG263" s="41">
        <f>'[2]побудинковий звіт'!CG263+'[1]побудинковий звіт'!CG263</f>
        <v>0</v>
      </c>
      <c r="CH263" s="55">
        <f t="shared" si="215"/>
        <v>-267.47238010571505</v>
      </c>
      <c r="CI263" s="41">
        <f>'[2]побудинковий звіт'!CI263+'[1]побудинковий звіт'!CI263</f>
        <v>3081.843766832917</v>
      </c>
      <c r="CJ263" s="41">
        <f>'[2]побудинковий звіт'!CJ263+'[1]побудинковий звіт'!CJ263</f>
        <v>3279.5479037705309</v>
      </c>
      <c r="CK263" s="55">
        <f t="shared" si="216"/>
        <v>197.70413693761384</v>
      </c>
      <c r="CL263" s="41">
        <f>'[2]побудинковий звіт'!CL263+'[1]побудинковий звіт'!CL263</f>
        <v>0</v>
      </c>
      <c r="CM263" s="41">
        <f>'[2]побудинковий звіт'!CM263+'[1]побудинковий звіт'!CM263</f>
        <v>0</v>
      </c>
      <c r="CN263" s="55">
        <f t="shared" si="217"/>
        <v>0</v>
      </c>
      <c r="CO263" s="41">
        <f t="shared" si="218"/>
        <v>3081.843766832917</v>
      </c>
      <c r="CP263" s="42">
        <f t="shared" si="219"/>
        <v>3279.5479037705309</v>
      </c>
      <c r="CQ263" s="55">
        <f t="shared" si="220"/>
        <v>197.70413693761384</v>
      </c>
      <c r="CR263" s="76">
        <f t="shared" si="221"/>
        <v>174049.16627517348</v>
      </c>
      <c r="CS263" s="5">
        <f t="shared" si="222"/>
        <v>152488.39757510636</v>
      </c>
      <c r="CT263" s="55">
        <f t="shared" si="223"/>
        <v>-21560.768700067129</v>
      </c>
      <c r="CU263" s="84">
        <f t="shared" si="224"/>
        <v>208858.99953020818</v>
      </c>
      <c r="CV263" s="68">
        <f t="shared" si="225"/>
        <v>182986.07709012763</v>
      </c>
      <c r="CW263" s="36">
        <f t="shared" si="226"/>
        <v>-25872.922440080554</v>
      </c>
      <c r="CX263" s="41">
        <f>'[2]побудинковий звіт'!CX263+'[1]побудинковий звіт'!CX263</f>
        <v>2083.8210681737423</v>
      </c>
      <c r="CY263" s="41">
        <f>'[2]побудинковий звіт'!CY263+'[1]побудинковий звіт'!CY263</f>
        <v>27956.743508254265</v>
      </c>
      <c r="CZ263" s="55">
        <f t="shared" si="227"/>
        <v>25872.922440080521</v>
      </c>
      <c r="DA263" s="254">
        <f>'[1]побудинковий звіт'!DA263</f>
        <v>-32650.754511267995</v>
      </c>
      <c r="DB263" s="2">
        <v>2</v>
      </c>
      <c r="DC263" s="702">
        <f>'[1]побудинковий звіт'!DC263</f>
        <v>42082.62</v>
      </c>
      <c r="DD263" s="702">
        <f>'[1]побудинковий звіт'!DD263</f>
        <v>0</v>
      </c>
      <c r="DE263" s="702">
        <f>'[1]побудинковий звіт'!DE263</f>
        <v>18977.950000000004</v>
      </c>
      <c r="DF263" s="702">
        <f>'[1]побудинковий звіт'!DF263</f>
        <v>0</v>
      </c>
      <c r="DG263" s="772">
        <v>-31536.086974287115</v>
      </c>
      <c r="DH263" s="746">
        <f t="shared" si="251"/>
        <v>2531313.847180583</v>
      </c>
      <c r="DI263" s="769"/>
      <c r="DJ263" s="5"/>
      <c r="DK263" s="307">
        <f>VLOOKUP($A263,ціни!$A$4:$G$401,5)</f>
        <v>5.1628425537870744</v>
      </c>
      <c r="DL263" s="307"/>
      <c r="DM263" s="307">
        <f>VLOOKUP($A263,ціни!$A$4:$G$401,7)</f>
        <v>4.6165674077947267</v>
      </c>
      <c r="DN263" s="29">
        <f t="shared" si="260"/>
        <v>16539.166121056893</v>
      </c>
      <c r="DO263" s="29">
        <f t="shared" si="261"/>
        <v>0</v>
      </c>
      <c r="DP263" s="306">
        <f t="shared" si="252"/>
        <v>16539.166121056893</v>
      </c>
      <c r="DQ263" s="101"/>
      <c r="DR263" s="29">
        <f>VLOOKUP(A263,'ДЗ нас '!$A$1:$C$359,2)</f>
        <v>16539.03</v>
      </c>
      <c r="DS263" s="733"/>
      <c r="DT263" s="29">
        <f t="shared" si="253"/>
        <v>16539.03</v>
      </c>
      <c r="DU263" s="247">
        <f>VLOOKUP(A263,'новий кошторис с 01.06'!$A$4:$AI$399,35)*1.2</f>
        <v>16539.682405312273</v>
      </c>
      <c r="DV263" s="29">
        <f t="shared" si="254"/>
        <v>-0.6524053122739133</v>
      </c>
      <c r="DW263" s="1016">
        <f>'[2]побудинковий звіт'!$DW$9+'[1]побудинковий звіт'!DW263</f>
        <v>1062</v>
      </c>
      <c r="DX263" s="101">
        <f>'[1]побудинковий звіт'!DX263</f>
        <v>0</v>
      </c>
      <c r="DY263" s="5">
        <f t="shared" si="255"/>
        <v>58675.482330438514</v>
      </c>
      <c r="DZ263" s="5">
        <f t="shared" si="256"/>
        <v>7225.2677488606732</v>
      </c>
      <c r="EA263" s="737">
        <f t="shared" si="257"/>
        <v>18977.950000000004</v>
      </c>
      <c r="EC263" s="577">
        <f t="shared" si="258"/>
        <v>479568.72449408507</v>
      </c>
      <c r="EE263" s="743">
        <v>24295</v>
      </c>
      <c r="EF263" s="723">
        <f t="shared" si="259"/>
        <v>-7241.0869742871146</v>
      </c>
      <c r="EH263" s="798">
        <v>12187.165646685666</v>
      </c>
      <c r="EI263" s="101">
        <f>VLOOKUP(A263,'кошти 01.01.24'!$A$9:$D$352,4,FALSE)</f>
        <v>-6777.8320711875112</v>
      </c>
    </row>
    <row r="264" spans="1:139" hidden="1" x14ac:dyDescent="0.3">
      <c r="A264" s="318">
        <v>150000803</v>
      </c>
      <c r="B264" s="43" t="s">
        <v>741</v>
      </c>
      <c r="C264" s="44" t="s">
        <v>227</v>
      </c>
      <c r="D264" s="44" t="s">
        <v>227</v>
      </c>
      <c r="E264" s="39">
        <f t="shared" si="185"/>
        <v>1563</v>
      </c>
      <c r="F264" s="205">
        <f>'[1]побудинковий звіт'!F264</f>
        <v>1311.9</v>
      </c>
      <c r="G264" s="29">
        <f>'[1]побудинковий звіт'!G264</f>
        <v>0</v>
      </c>
      <c r="H264" s="148">
        <f>'[1]побудинковий звіт'!H264</f>
        <v>251.1</v>
      </c>
      <c r="I264" s="41">
        <f>'[2]побудинковий звіт'!I264+'[1]побудинковий звіт'!I264</f>
        <v>5194.9384315889547</v>
      </c>
      <c r="J264" s="41">
        <f>'[2]побудинковий звіт'!J264+'[1]побудинковий звіт'!J264</f>
        <v>5347.5480801365857</v>
      </c>
      <c r="K264" s="55">
        <f t="shared" si="186"/>
        <v>152.60964854763097</v>
      </c>
      <c r="L264" s="41">
        <f>'[2]побудинковий звіт'!L264+'[1]побудинковий звіт'!L264</f>
        <v>935.92759194405858</v>
      </c>
      <c r="M264" s="41">
        <f>'[2]побудинковий звіт'!M264+'[1]побудинковий звіт'!M264</f>
        <v>979.61506351207549</v>
      </c>
      <c r="N264" s="55">
        <f t="shared" si="187"/>
        <v>43.687471568016917</v>
      </c>
      <c r="O264" s="41">
        <f>'[2]побудинковий звіт'!O264+'[1]побудинковий звіт'!O264</f>
        <v>2450.8694627221794</v>
      </c>
      <c r="P264" s="41">
        <f>'[2]побудинковий звіт'!P264+'[1]побудинковий звіт'!P264</f>
        <v>2458.0711888303649</v>
      </c>
      <c r="Q264" s="55">
        <f t="shared" si="188"/>
        <v>7.2017261081855395</v>
      </c>
      <c r="R264" s="41">
        <f>'[2]побудинковий звіт'!R264+'[1]побудинковий звіт'!R264</f>
        <v>0</v>
      </c>
      <c r="S264" s="41">
        <f>'[2]побудинковий звіт'!S264+'[1]побудинковий звіт'!S264</f>
        <v>0</v>
      </c>
      <c r="T264" s="55">
        <f t="shared" si="189"/>
        <v>0</v>
      </c>
      <c r="U264" s="41">
        <f>'[2]побудинковий звіт'!U264+'[1]побудинковий звіт'!U264</f>
        <v>112.26117935125026</v>
      </c>
      <c r="V264" s="41">
        <f>'[2]побудинковий звіт'!V264+'[1]побудинковий звіт'!V264</f>
        <v>64.766754518396098</v>
      </c>
      <c r="W264" s="55">
        <f t="shared" si="190"/>
        <v>-47.494424832854165</v>
      </c>
      <c r="X264" s="41">
        <f>'[2]побудинковий звіт'!X264+'[1]побудинковий звіт'!X264</f>
        <v>2986.5419618743877</v>
      </c>
      <c r="Y264" s="41">
        <f>'[2]побудинковий звіт'!Y264+'[1]побудинковий звіт'!Y264</f>
        <v>2707.9732097587089</v>
      </c>
      <c r="Z264" s="55">
        <f t="shared" si="191"/>
        <v>-278.56875211567876</v>
      </c>
      <c r="AA264" s="41">
        <f>'[2]побудинковий звіт'!AA264+'[1]побудинковий звіт'!AA264</f>
        <v>0</v>
      </c>
      <c r="AB264" s="41">
        <f>'[2]побудинковий звіт'!AB264+'[1]побудинковий звіт'!AB264</f>
        <v>0</v>
      </c>
      <c r="AC264" s="55">
        <f t="shared" si="192"/>
        <v>0</v>
      </c>
      <c r="AD264" s="41">
        <f>'[2]побудинковий звіт'!AD264+'[1]побудинковий звіт'!AD264</f>
        <v>6938.2869717508365</v>
      </c>
      <c r="AE264" s="41">
        <f>'[2]побудинковий звіт'!AE264+'[1]побудинковий звіт'!AE264</f>
        <v>6752.8526972283762</v>
      </c>
      <c r="AF264" s="36">
        <f t="shared" si="193"/>
        <v>-185.43427452246033</v>
      </c>
      <c r="AG264" s="84">
        <f t="shared" si="194"/>
        <v>18618.825599231666</v>
      </c>
      <c r="AH264" s="56">
        <f t="shared" si="195"/>
        <v>18310.826993984509</v>
      </c>
      <c r="AI264" s="55">
        <f t="shared" si="196"/>
        <v>-307.99860524715768</v>
      </c>
      <c r="AJ264" s="41">
        <f>'[2]побудинковий звіт'!AJ264+'[1]побудинковий звіт'!AJ264</f>
        <v>0</v>
      </c>
      <c r="AK264" s="41">
        <f>'[2]побудинковий звіт'!AK264+'[1]побудинковий звіт'!AK264</f>
        <v>0</v>
      </c>
      <c r="AL264" s="55">
        <f t="shared" si="197"/>
        <v>0</v>
      </c>
      <c r="AM264" s="41">
        <f>'[2]побудинковий звіт'!AM264+'[1]побудинковий звіт'!AM264</f>
        <v>0</v>
      </c>
      <c r="AN264" s="41">
        <f>'[2]побудинковий звіт'!AN264+'[1]побудинковий звіт'!AN264</f>
        <v>0</v>
      </c>
      <c r="AO264" s="55">
        <f t="shared" si="198"/>
        <v>0</v>
      </c>
      <c r="AP264" s="41">
        <f>'[2]побудинковий звіт'!AP264+'[1]побудинковий звіт'!AP264</f>
        <v>4011.921668766076</v>
      </c>
      <c r="AQ264" s="41">
        <f>'[2]побудинковий звіт'!AQ264+'[1]побудинковий звіт'!AQ264</f>
        <v>3804.5344420648653</v>
      </c>
      <c r="AR264" s="55">
        <f t="shared" si="199"/>
        <v>-207.38722670121069</v>
      </c>
      <c r="AS264" s="41">
        <f>'[2]побудинковий звіт'!AS264+'[1]побудинковий звіт'!AS264</f>
        <v>14738.454069251176</v>
      </c>
      <c r="AT264" s="41">
        <f>'[2]побудинковий звіт'!AT264+'[1]побудинковий звіт'!AT264</f>
        <v>1258.2741498705154</v>
      </c>
      <c r="AU264" s="57">
        <f t="shared" si="200"/>
        <v>-13480.179919380662</v>
      </c>
      <c r="AV264" s="41">
        <f>'[2]побудинковий звіт'!AV264+'[1]побудинковий звіт'!AV264</f>
        <v>849.62817786495896</v>
      </c>
      <c r="AW264" s="41">
        <f>'[2]побудинковий звіт'!AW264+'[1]побудинковий звіт'!AW264</f>
        <v>0</v>
      </c>
      <c r="AX264" s="58">
        <f t="shared" si="201"/>
        <v>-849.62817786495896</v>
      </c>
      <c r="AY264" s="41">
        <f>'[2]побудинковий звіт'!AY264+'[1]побудинковий звіт'!AY264</f>
        <v>1219.5917384434579</v>
      </c>
      <c r="AZ264" s="41">
        <f>'[2]побудинковий звіт'!AZ264+'[1]побудинковий звіт'!AZ264</f>
        <v>408.24941022231127</v>
      </c>
      <c r="BA264" s="36">
        <f t="shared" si="202"/>
        <v>-811.34232822114654</v>
      </c>
      <c r="BB264" s="41">
        <f>'[2]побудинковий звіт'!BB264+'[1]побудинковий звіт'!BB264</f>
        <v>1009.1307558179706</v>
      </c>
      <c r="BC264" s="41">
        <f>'[2]побудинковий звіт'!BC264+'[1]побудинковий звіт'!BC264</f>
        <v>0</v>
      </c>
      <c r="BD264" s="58">
        <f t="shared" si="203"/>
        <v>-1009.1307558179706</v>
      </c>
      <c r="BE264" s="41">
        <f>'[2]побудинковий звіт'!BE264+'[1]побудинковий звіт'!BE264</f>
        <v>0</v>
      </c>
      <c r="BF264" s="41">
        <f>'[2]побудинковий звіт'!BF264+'[1]побудинковий звіт'!BF264</f>
        <v>0</v>
      </c>
      <c r="BG264" s="38">
        <f t="shared" si="204"/>
        <v>0</v>
      </c>
      <c r="BH264" s="41">
        <f>'[2]побудинковий звіт'!BH264+'[1]побудинковий звіт'!BH264</f>
        <v>66.163852782859806</v>
      </c>
      <c r="BI264" s="41">
        <f>'[2]побудинковий звіт'!BI264+'[1]побудинковий звіт'!BI264</f>
        <v>1255.0218409575091</v>
      </c>
      <c r="BJ264" s="58">
        <f t="shared" si="205"/>
        <v>1188.8579881746493</v>
      </c>
      <c r="BK264" s="41">
        <f>'[2]побудинковий звіт'!BK264+'[1]побудинковий звіт'!BK264</f>
        <v>450.90351344279952</v>
      </c>
      <c r="BL264" s="41">
        <f>'[2]побудинковий звіт'!BL264+'[1]побудинковий звіт'!BL264</f>
        <v>0</v>
      </c>
      <c r="BM264" s="38">
        <f t="shared" si="206"/>
        <v>-450.90351344279952</v>
      </c>
      <c r="BN264" s="41">
        <f>'[2]побудинковий звіт'!BN264+'[1]побудинковий звіт'!BN264</f>
        <v>11.042545761168878</v>
      </c>
      <c r="BO264" s="41">
        <f>'[2]побудинковий звіт'!BO264+'[1]побудинковий звіт'!BO264</f>
        <v>0</v>
      </c>
      <c r="BP264" s="58">
        <f t="shared" si="207"/>
        <v>-11.042545761168878</v>
      </c>
      <c r="BQ264" s="84">
        <f t="shared" si="208"/>
        <v>3606.4605841132161</v>
      </c>
      <c r="BR264" s="42">
        <f t="shared" si="209"/>
        <v>1663.2712511798204</v>
      </c>
      <c r="BS264" s="58">
        <f t="shared" si="210"/>
        <v>-1943.1893329333957</v>
      </c>
      <c r="BT264" s="41">
        <f>'[2]побудинковий звіт'!BT264+'[1]побудинковий звіт'!BT264</f>
        <v>5606.7008514859099</v>
      </c>
      <c r="BU264" s="41">
        <f>'[2]побудинковий звіт'!BU264+'[1]побудинковий звіт'!BU264</f>
        <v>10986.948297655028</v>
      </c>
      <c r="BV264" s="55">
        <f t="shared" si="211"/>
        <v>5380.2474461691181</v>
      </c>
      <c r="BW264" s="41">
        <f>'[2]побудинковий звіт'!BW264+'[1]побудинковий звіт'!BW264</f>
        <v>11721.591293327034</v>
      </c>
      <c r="BX264" s="41">
        <f>'[2]побудинковий звіт'!BX264+'[1]побудинковий звіт'!BX264</f>
        <v>13653.415933088439</v>
      </c>
      <c r="BY264" s="55">
        <f t="shared" si="212"/>
        <v>1931.8246397614057</v>
      </c>
      <c r="BZ264" s="41">
        <f>'[2]побудинковий звіт'!BZ264+'[1]побудинковий звіт'!BZ264</f>
        <v>3769.1733447722663</v>
      </c>
      <c r="CA264" s="41">
        <f>'[2]побудинковий звіт'!CA264+'[1]побудинковий звіт'!CA264</f>
        <v>1311.3924874962793</v>
      </c>
      <c r="CB264" s="55">
        <f t="shared" si="213"/>
        <v>-2457.7808572759868</v>
      </c>
      <c r="CC264" s="41">
        <f>'[2]побудинковий звіт'!CC264+'[1]побудинковий звіт'!CC264</f>
        <v>1525.8653210812804</v>
      </c>
      <c r="CD264" s="41">
        <f>'[2]побудинковий звіт'!CD264+'[1]побудинковий звіт'!CD264</f>
        <v>1531.0393601844498</v>
      </c>
      <c r="CE264" s="55">
        <f t="shared" si="214"/>
        <v>5.1740391031694344</v>
      </c>
      <c r="CF264" s="41">
        <f>'[2]побудинковий звіт'!CF264+'[1]побудинковий звіт'!CF264</f>
        <v>189.0466030252133</v>
      </c>
      <c r="CG264" s="41">
        <f>'[2]побудинковий звіт'!CG264+'[1]побудинковий звіт'!CG264</f>
        <v>0</v>
      </c>
      <c r="CH264" s="55">
        <f t="shared" si="215"/>
        <v>-189.0466030252133</v>
      </c>
      <c r="CI264" s="41">
        <f>'[2]побудинковий звіт'!CI264+'[1]побудинковий звіт'!CI264</f>
        <v>1034.2580257507163</v>
      </c>
      <c r="CJ264" s="41">
        <f>'[2]побудинковий звіт'!CJ264+'[1]побудинковий звіт'!CJ264</f>
        <v>1786.4855511100945</v>
      </c>
      <c r="CK264" s="55">
        <f t="shared" si="216"/>
        <v>752.22752535937821</v>
      </c>
      <c r="CL264" s="41">
        <f>'[2]побудинковий звіт'!CL264+'[1]побудинковий звіт'!CL264</f>
        <v>0</v>
      </c>
      <c r="CM264" s="41">
        <f>'[2]побудинковий звіт'!CM264+'[1]побудинковий звіт'!CM264</f>
        <v>0</v>
      </c>
      <c r="CN264" s="55">
        <f t="shared" si="217"/>
        <v>0</v>
      </c>
      <c r="CO264" s="41">
        <f t="shared" si="218"/>
        <v>1034.2580257507163</v>
      </c>
      <c r="CP264" s="42">
        <f t="shared" si="219"/>
        <v>1786.4855511100945</v>
      </c>
      <c r="CQ264" s="55">
        <f t="shared" si="220"/>
        <v>752.22752535937821</v>
      </c>
      <c r="CR264" s="76">
        <f t="shared" si="221"/>
        <v>64822.29736080455</v>
      </c>
      <c r="CS264" s="5">
        <f t="shared" si="222"/>
        <v>54306.188466633997</v>
      </c>
      <c r="CT264" s="55">
        <f t="shared" si="223"/>
        <v>-10516.108894170553</v>
      </c>
      <c r="CU264" s="84">
        <f t="shared" si="224"/>
        <v>77786.75683296546</v>
      </c>
      <c r="CV264" s="68">
        <f t="shared" si="225"/>
        <v>65167.426159960793</v>
      </c>
      <c r="CW264" s="36">
        <f t="shared" si="226"/>
        <v>-12619.330673004668</v>
      </c>
      <c r="CX264" s="41">
        <f>'[2]побудинковий звіт'!CX264+'[1]побудинковий звіт'!CX264</f>
        <v>889.75069775169163</v>
      </c>
      <c r="CY264" s="41">
        <f>'[2]побудинковий звіт'!CY264+'[1]побудинковий звіт'!CY264</f>
        <v>13509.081370756354</v>
      </c>
      <c r="CZ264" s="55">
        <f t="shared" si="227"/>
        <v>12619.330673004662</v>
      </c>
      <c r="DA264" s="254">
        <f>'[1]побудинковий звіт'!DA264</f>
        <v>23582.507046598104</v>
      </c>
      <c r="DB264" s="2">
        <v>2</v>
      </c>
      <c r="DC264" s="702">
        <f>'[1]побудинковий звіт'!DC264</f>
        <v>35329.71</v>
      </c>
      <c r="DD264" s="702">
        <f>'[1]побудинковий звіт'!DD264</f>
        <v>4300.6099999999997</v>
      </c>
      <c r="DE264" s="702">
        <f>'[1]побудинковий звіт'!DE264</f>
        <v>27859.22</v>
      </c>
      <c r="DF264" s="702">
        <f>'[1]побудинковий звіт'!DF264</f>
        <v>3159.4399999999996</v>
      </c>
      <c r="DG264" s="772">
        <v>61854.275329544442</v>
      </c>
      <c r="DH264" s="746">
        <f t="shared" si="251"/>
        <v>944118.0903686058</v>
      </c>
      <c r="DI264" s="769"/>
      <c r="DJ264" s="5"/>
      <c r="DK264" s="307">
        <f>VLOOKUP($A264,ціни!$A$4:$G$401,5)</f>
        <v>4.0870949915294226</v>
      </c>
      <c r="DL264" s="307"/>
      <c r="DM264" s="307">
        <f>VLOOKUP($A264,ціни!$A$4:$G$401,7)</f>
        <v>3.2119647868117376</v>
      </c>
      <c r="DN264" s="29">
        <f t="shared" si="260"/>
        <v>5361.8599193874497</v>
      </c>
      <c r="DO264" s="29">
        <f t="shared" si="261"/>
        <v>806.52435796842724</v>
      </c>
      <c r="DP264" s="306">
        <f t="shared" si="252"/>
        <v>6168.3842773558772</v>
      </c>
      <c r="DQ264" s="101"/>
      <c r="DR264" s="29">
        <f>VLOOKUP(A264,'ДЗ нас '!$A$1:$C$359,2)</f>
        <v>5361.88</v>
      </c>
      <c r="DS264" s="733">
        <f>VLOOKUP(A264,'ДЗ нежит'!$A$1:$D$153,4,0)</f>
        <v>806.53</v>
      </c>
      <c r="DT264" s="29">
        <f t="shared" si="253"/>
        <v>6168.41</v>
      </c>
      <c r="DU264" s="247">
        <f>VLOOKUP(A264,'новий кошторис с 01.06'!$A$4:$AI$399,35)*1.2</f>
        <v>6341.1353312789697</v>
      </c>
      <c r="DV264" s="29">
        <f t="shared" si="254"/>
        <v>-172.72533127896986</v>
      </c>
      <c r="DW264" s="1016">
        <f>'[2]побудинковий звіт'!$DW$9+'[1]побудинковий звіт'!DW264</f>
        <v>918</v>
      </c>
      <c r="DX264" s="101">
        <f>'[1]побудинковий звіт'!DX264</f>
        <v>0</v>
      </c>
      <c r="DY264" s="5">
        <f t="shared" si="255"/>
        <v>22013.897584037273</v>
      </c>
      <c r="DZ264" s="5">
        <f t="shared" si="256"/>
        <v>3505.8544812604027</v>
      </c>
      <c r="EA264" s="737">
        <f t="shared" si="257"/>
        <v>31018.66</v>
      </c>
      <c r="EC264" s="577">
        <f t="shared" si="258"/>
        <v>176861.4488310141</v>
      </c>
      <c r="EE264" s="743">
        <v>-7880</v>
      </c>
      <c r="EF264" s="723">
        <f t="shared" si="259"/>
        <v>53974.275329544442</v>
      </c>
      <c r="EH264" s="798">
        <v>49462.816871492338</v>
      </c>
      <c r="EI264" s="101">
        <f>VLOOKUP(A264,'кошти 01.01.24'!$A$9:$D$352,4,FALSE)</f>
        <v>36201.83771960278</v>
      </c>
    </row>
    <row r="265" spans="1:139" hidden="1" x14ac:dyDescent="0.3">
      <c r="A265" s="318">
        <v>150000805</v>
      </c>
      <c r="B265" s="43" t="s">
        <v>742</v>
      </c>
      <c r="C265" s="44" t="s">
        <v>296</v>
      </c>
      <c r="D265" s="44" t="s">
        <v>296</v>
      </c>
      <c r="E265" s="39">
        <f t="shared" ref="E265:E328" si="262">F265+H265</f>
        <v>3710.3599999999997</v>
      </c>
      <c r="F265" s="205">
        <f>'[1]побудинковий звіт'!F265</f>
        <v>2920.66</v>
      </c>
      <c r="G265" s="29">
        <f>'[1]побудинковий звіт'!G265</f>
        <v>0</v>
      </c>
      <c r="H265" s="148">
        <f>'[1]побудинковий звіт'!H265</f>
        <v>789.7</v>
      </c>
      <c r="I265" s="41">
        <f>'[2]побудинковий звіт'!I265+'[1]побудинковий звіт'!I265</f>
        <v>12027.937090917545</v>
      </c>
      <c r="J265" s="41">
        <f>'[2]побудинковий звіт'!J265+'[1]побудинковий звіт'!J265</f>
        <v>12520.347446940503</v>
      </c>
      <c r="K265" s="55">
        <f t="shared" ref="K265:K328" si="263">J265-I265</f>
        <v>492.41035602295779</v>
      </c>
      <c r="L265" s="41">
        <f>'[2]побудинковий звіт'!L265+'[1]побудинковий звіт'!L265</f>
        <v>2352.8581114395374</v>
      </c>
      <c r="M265" s="41">
        <f>'[2]побудинковий звіт'!M265+'[1]побудинковий звіт'!M265</f>
        <v>2550.3229389594962</v>
      </c>
      <c r="N265" s="55">
        <f t="shared" ref="N265:N328" si="264">M265-L265</f>
        <v>197.46482751995882</v>
      </c>
      <c r="O265" s="41">
        <f>'[2]побудинковий звіт'!O265+'[1]побудинковий звіт'!O265</f>
        <v>5477.8294836799259</v>
      </c>
      <c r="P265" s="41">
        <f>'[2]побудинковий звіт'!P265+'[1]побудинковий звіт'!P265</f>
        <v>5493.8636670315018</v>
      </c>
      <c r="Q265" s="55">
        <f t="shared" ref="Q265:Q328" si="265">P265-O265</f>
        <v>16.034183351575848</v>
      </c>
      <c r="R265" s="41">
        <f>'[2]побудинковий звіт'!R265+'[1]побудинковий звіт'!R265</f>
        <v>0</v>
      </c>
      <c r="S265" s="41">
        <f>'[2]побудинковий звіт'!S265+'[1]побудинковий звіт'!S265</f>
        <v>0</v>
      </c>
      <c r="T265" s="55">
        <f t="shared" ref="T265:T328" si="266">S265-R265</f>
        <v>0</v>
      </c>
      <c r="U265" s="41">
        <f>'[2]побудинковий звіт'!U265+'[1]побудинковий звіт'!U265</f>
        <v>187.10196558541708</v>
      </c>
      <c r="V265" s="41">
        <f>'[2]побудинковий звіт'!V265+'[1]побудинковий звіт'!V265</f>
        <v>107.9445908639935</v>
      </c>
      <c r="W265" s="55">
        <f t="shared" ref="W265:W328" si="267">V265-U265</f>
        <v>-79.157374721423579</v>
      </c>
      <c r="X265" s="41">
        <f>'[2]побудинковий звіт'!X265+'[1]побудинковий звіт'!X265</f>
        <v>8531.5089099648994</v>
      </c>
      <c r="Y265" s="41">
        <f>'[2]побудинковий звіт'!Y265+'[1]побудинковий звіт'!Y265</f>
        <v>8500.0470891849145</v>
      </c>
      <c r="Z265" s="55">
        <f t="shared" ref="Z265:Z328" si="268">Y265-X265</f>
        <v>-31.461820779984919</v>
      </c>
      <c r="AA265" s="41">
        <f>'[2]побудинковий звіт'!AA265+'[1]побудинковий звіт'!AA265</f>
        <v>0</v>
      </c>
      <c r="AB265" s="41">
        <f>'[2]побудинковий звіт'!AB265+'[1]побудинковий звіт'!AB265</f>
        <v>0</v>
      </c>
      <c r="AC265" s="55">
        <f t="shared" ref="AC265:AC328" si="269">AB265-AA265</f>
        <v>0</v>
      </c>
      <c r="AD265" s="41">
        <f>'[2]побудинковий звіт'!AD265+'[1]побудинковий звіт'!AD265</f>
        <v>16091.478054366729</v>
      </c>
      <c r="AE265" s="41">
        <f>'[2]побудинковий звіт'!AE265+'[1]побудинковий звіт'!AE265</f>
        <v>16030.675427118495</v>
      </c>
      <c r="AF265" s="36">
        <f t="shared" ref="AF265:AF328" si="270">AE265-AD265</f>
        <v>-60.802627248234785</v>
      </c>
      <c r="AG265" s="84">
        <f t="shared" ref="AG265:AG328" si="271">I265+L265+O265+R265+U265+X265+AA265+AD265</f>
        <v>44668.713615954053</v>
      </c>
      <c r="AH265" s="56">
        <f t="shared" ref="AH265:AH328" si="272">J265+M265+P265+S265+V265+Y265+AB265+AE265</f>
        <v>45203.201160098906</v>
      </c>
      <c r="AI265" s="55">
        <f t="shared" ref="AI265:AI328" si="273">AH265-AG265</f>
        <v>534.48754414485302</v>
      </c>
      <c r="AJ265" s="41">
        <f>'[2]побудинковий звіт'!AJ265+'[1]побудинковий звіт'!AJ265</f>
        <v>0</v>
      </c>
      <c r="AK265" s="41">
        <f>'[2]побудинковий звіт'!AK265+'[1]побудинковий звіт'!AK265</f>
        <v>0</v>
      </c>
      <c r="AL265" s="55">
        <f t="shared" ref="AL265:AL328" si="274">AK265-AJ265</f>
        <v>0</v>
      </c>
      <c r="AM265" s="41">
        <f>'[2]побудинковий звіт'!AM265+'[1]побудинковий звіт'!AM265</f>
        <v>0</v>
      </c>
      <c r="AN265" s="41">
        <f>'[2]побудинковий звіт'!AN265+'[1]побудинковий звіт'!AN265</f>
        <v>0</v>
      </c>
      <c r="AO265" s="55">
        <f t="shared" ref="AO265:AO328" si="275">AN265-AM265</f>
        <v>0</v>
      </c>
      <c r="AP265" s="41">
        <f>'[2]побудинковий звіт'!AP265+'[1]побудинковий звіт'!AP265</f>
        <v>9806.9196347615216</v>
      </c>
      <c r="AQ265" s="41">
        <f>'[2]побудинковий звіт'!AQ265+'[1]побудинковий звіт'!AQ265</f>
        <v>8908.9012455731263</v>
      </c>
      <c r="AR265" s="55">
        <f t="shared" ref="AR265:AR328" si="276">AQ265-AP265</f>
        <v>-898.0183891883953</v>
      </c>
      <c r="AS265" s="41">
        <f>'[2]побудинковий звіт'!AS265+'[1]побудинковий звіт'!AS265</f>
        <v>41700.528164556366</v>
      </c>
      <c r="AT265" s="41">
        <f>'[2]побудинковий звіт'!AT265+'[1]побудинковий звіт'!AT265</f>
        <v>6124.0839810242323</v>
      </c>
      <c r="AU265" s="57">
        <f t="shared" ref="AU265:AU328" si="277">AT265-AS265</f>
        <v>-35576.444183532134</v>
      </c>
      <c r="AV265" s="41">
        <f>'[2]побудинковий звіт'!AV265+'[1]побудинковий звіт'!AV265</f>
        <v>1937.5900631338595</v>
      </c>
      <c r="AW265" s="41">
        <f>'[2]побудинковий звіт'!AW265+'[1]побудинковий звіт'!AW265</f>
        <v>2852.4612485607522</v>
      </c>
      <c r="AX265" s="58">
        <f t="shared" ref="AX265:AX328" si="278">AW265-AV265</f>
        <v>914.87118542689268</v>
      </c>
      <c r="AY265" s="41">
        <f>'[2]побудинковий звіт'!AY265+'[1]побудинковий звіт'!AY265</f>
        <v>2922.470337410854</v>
      </c>
      <c r="AZ265" s="41">
        <f>'[2]побудинковий звіт'!AZ265+'[1]побудинковий звіт'!AZ265</f>
        <v>0</v>
      </c>
      <c r="BA265" s="36">
        <f t="shared" ref="BA265:BA328" si="279">AZ265-AY265</f>
        <v>-2922.470337410854</v>
      </c>
      <c r="BB265" s="41">
        <f>'[2]побудинковий звіт'!BB265+'[1]побудинковий звіт'!BB265</f>
        <v>1987.1662169470662</v>
      </c>
      <c r="BC265" s="41">
        <f>'[2]побудинковий звіт'!BC265+'[1]побудинковий звіт'!BC265</f>
        <v>0</v>
      </c>
      <c r="BD265" s="58">
        <f t="shared" ref="BD265:BD328" si="280">BC265-BB265</f>
        <v>-1987.1662169470662</v>
      </c>
      <c r="BE265" s="41">
        <f>'[2]побудинковий звіт'!BE265+'[1]побудинковий звіт'!BE265</f>
        <v>0</v>
      </c>
      <c r="BF265" s="41">
        <f>'[2]побудинковий звіт'!BF265+'[1]побудинковий звіт'!BF265</f>
        <v>0</v>
      </c>
      <c r="BG265" s="38">
        <f t="shared" ref="BG265:BG328" si="281">BF265-BE265</f>
        <v>0</v>
      </c>
      <c r="BH265" s="41">
        <f>'[2]побудинковий звіт'!BH265+'[1]побудинковий звіт'!BH265</f>
        <v>110.27308797143304</v>
      </c>
      <c r="BI265" s="41">
        <f>'[2]побудинковий звіт'!BI265+'[1]побудинковий звіт'!BI265</f>
        <v>0</v>
      </c>
      <c r="BJ265" s="58">
        <f t="shared" ref="BJ265:BJ328" si="282">BI265-BH265</f>
        <v>-110.27308797143304</v>
      </c>
      <c r="BK265" s="41">
        <f>'[2]побудинковий звіт'!BK265+'[1]побудинковий звіт'!BK265</f>
        <v>1787.3421261865394</v>
      </c>
      <c r="BL265" s="41">
        <f>'[2]побудинковий звіт'!BL265+'[1]побудинковий звіт'!BL265</f>
        <v>0</v>
      </c>
      <c r="BM265" s="38">
        <f t="shared" ref="BM265:BM328" si="283">BL265-BK265</f>
        <v>-1787.3421261865394</v>
      </c>
      <c r="BN265" s="41">
        <f>'[2]побудинковий звіт'!BN265+'[1]побудинковий звіт'!BN265</f>
        <v>100.38677964698979</v>
      </c>
      <c r="BO265" s="41">
        <f>'[2]побудинковий звіт'!BO265+'[1]побудинковий звіт'!BO265</f>
        <v>371.38792017384003</v>
      </c>
      <c r="BP265" s="58">
        <f t="shared" ref="BP265:BP328" si="284">BO265-BN265</f>
        <v>271.00114052685024</v>
      </c>
      <c r="BQ265" s="84">
        <f t="shared" ref="BQ265:BQ328" si="285">AV265+AY265+BB265+BE265+BH265+BK265+BN265</f>
        <v>8845.2286112967413</v>
      </c>
      <c r="BR265" s="42">
        <f t="shared" ref="BR265:BR328" si="286">AW265+AZ265+BC265+BF265+BI265+BL265+BO265</f>
        <v>3223.8491687345922</v>
      </c>
      <c r="BS265" s="58">
        <f t="shared" ref="BS265:BS328" si="287">BR265-BQ265</f>
        <v>-5621.3794425621491</v>
      </c>
      <c r="BT265" s="41">
        <f>'[2]побудинковий звіт'!BT265+'[1]побудинковий звіт'!BT265</f>
        <v>27422.344871972175</v>
      </c>
      <c r="BU265" s="41">
        <f>'[2]побудинковий звіт'!BU265+'[1]побудинковий звіт'!BU265</f>
        <v>45912.177947055745</v>
      </c>
      <c r="BV265" s="55">
        <f t="shared" ref="BV265:BV328" si="288">BU265-BT265</f>
        <v>18489.83307508357</v>
      </c>
      <c r="BW265" s="41">
        <f>'[2]побудинковий звіт'!BW265+'[1]побудинковий звіт'!BW265</f>
        <v>17995.915427231746</v>
      </c>
      <c r="BX265" s="41">
        <f>'[2]побудинковий звіт'!BX265+'[1]побудинковий звіт'!BX265</f>
        <v>20079.659354691034</v>
      </c>
      <c r="BY265" s="55">
        <f t="shared" ref="BY265:BY328" si="289">BX265-BW265</f>
        <v>2083.7439274592871</v>
      </c>
      <c r="BZ265" s="41">
        <f>'[2]побудинковий звіт'!BZ265+'[1]побудинковий звіт'!BZ265</f>
        <v>7310.5494342640386</v>
      </c>
      <c r="CA265" s="41">
        <f>'[2]побудинковий звіт'!CA265+'[1]побудинковий звіт'!CA265</f>
        <v>2329.9939339293046</v>
      </c>
      <c r="CB265" s="55">
        <f t="shared" ref="CB265:CB328" si="290">CA265-BZ265</f>
        <v>-4980.5555003347345</v>
      </c>
      <c r="CC265" s="41">
        <f>'[2]побудинковий звіт'!CC265+'[1]побудинковий звіт'!CC265</f>
        <v>1295.7793656210554</v>
      </c>
      <c r="CD265" s="41">
        <f>'[2]побудинковий звіт'!CD265+'[1]побудинковий звіт'!CD265</f>
        <v>1300.1732089138911</v>
      </c>
      <c r="CE265" s="55">
        <f t="shared" ref="CE265:CE328" si="291">CD265-CC265</f>
        <v>4.3938432928357543</v>
      </c>
      <c r="CF265" s="41">
        <f>'[2]побудинковий звіт'!CF265+'[1]побудинковий звіт'!CF265</f>
        <v>160.54017609315446</v>
      </c>
      <c r="CG265" s="41">
        <f>'[2]побудинковий звіт'!CG265+'[1]побудинковий звіт'!CG265</f>
        <v>0</v>
      </c>
      <c r="CH265" s="55">
        <f t="shared" ref="CH265:CH328" si="292">CG265-CF265</f>
        <v>-160.54017609315446</v>
      </c>
      <c r="CI265" s="41">
        <f>'[2]побудинковий звіт'!CI265+'[1]побудинковий звіт'!CI265</f>
        <v>3872.3265499540234</v>
      </c>
      <c r="CJ265" s="41">
        <f>'[2]побудинковий звіт'!CJ265+'[1]побудинковий звіт'!CJ265</f>
        <v>3896.3827642499009</v>
      </c>
      <c r="CK265" s="55">
        <f t="shared" ref="CK265:CK328" si="293">CJ265-CI265</f>
        <v>24.056214295877453</v>
      </c>
      <c r="CL265" s="41">
        <f>'[2]побудинковий звіт'!CL265+'[1]побудинковий звіт'!CL265</f>
        <v>0</v>
      </c>
      <c r="CM265" s="41">
        <f>'[2]побудинковий звіт'!CM265+'[1]побудинковий звіт'!CM265</f>
        <v>0</v>
      </c>
      <c r="CN265" s="55">
        <f t="shared" ref="CN265:CN328" si="294">CM265-CL265</f>
        <v>0</v>
      </c>
      <c r="CO265" s="41">
        <f t="shared" ref="CO265:CO328" si="295">CI265+CL265</f>
        <v>3872.3265499540234</v>
      </c>
      <c r="CP265" s="42">
        <f t="shared" ref="CP265:CP328" si="296">CJ265+CM265</f>
        <v>3896.3827642499009</v>
      </c>
      <c r="CQ265" s="55">
        <f t="shared" ref="CQ265:CQ328" si="297">CP265-CO265</f>
        <v>24.056214295877453</v>
      </c>
      <c r="CR265" s="76">
        <f t="shared" ref="CR265:CR328" si="298">AG265+AJ265+AM265+AP265+AS265+BQ265+BT265+BW265+BZ265+CC265+CF265+CO265</f>
        <v>163078.84585170486</v>
      </c>
      <c r="CS265" s="5">
        <f t="shared" ref="CS265:CS328" si="299">AH265+AK265+AN265+AQ265+AT265+BR265+BU265+BX265+CA265+CD265+CG265+CP265</f>
        <v>136978.42276427071</v>
      </c>
      <c r="CT265" s="55">
        <f t="shared" ref="CT265:CT328" si="300">CS265-CR265</f>
        <v>-26100.423087434145</v>
      </c>
      <c r="CU265" s="84">
        <f t="shared" ref="CU265:CU328" si="301">CR265*1.2</f>
        <v>195694.61502204582</v>
      </c>
      <c r="CV265" s="68">
        <f t="shared" ref="CV265:CV328" si="302">CS265*1.2</f>
        <v>164374.10731712484</v>
      </c>
      <c r="CW265" s="36">
        <f t="shared" ref="CW265:CW328" si="303">CV265-CU265</f>
        <v>-31320.507704920979</v>
      </c>
      <c r="CX265" s="41">
        <f>'[2]побудинковий звіт'!CX265+'[1]побудинковий звіт'!CX265</f>
        <v>9797.6507029185686</v>
      </c>
      <c r="CY265" s="41">
        <f>'[2]побудинковий звіт'!CY265+'[1]побудинковий звіт'!CY265</f>
        <v>41118.158407839532</v>
      </c>
      <c r="CZ265" s="55">
        <f t="shared" ref="CZ265:CZ328" si="304">CY265-CX265</f>
        <v>31320.507704920965</v>
      </c>
      <c r="DA265" s="254">
        <f>'[1]побудинковий звіт'!DA265</f>
        <v>111058.69466661583</v>
      </c>
      <c r="DB265" s="2">
        <v>3</v>
      </c>
      <c r="DC265" s="702">
        <f>'[1]побудинковий звіт'!DC265</f>
        <v>44074.44</v>
      </c>
      <c r="DD265" s="702">
        <f>'[1]побудинковий звіт'!DD265</f>
        <v>2192.7599999999998</v>
      </c>
      <c r="DE265" s="702">
        <f>'[1]побудинковий звіт'!DE265</f>
        <v>25652.910000000003</v>
      </c>
      <c r="DF265" s="702">
        <f>'[1]побудинковий звіт'!DF265</f>
        <v>-2152.2499999999995</v>
      </c>
      <c r="DG265" s="772">
        <v>-33526.914433825237</v>
      </c>
      <c r="DH265" s="746">
        <f t="shared" si="251"/>
        <v>2465907.1886995723</v>
      </c>
      <c r="DI265" s="769"/>
      <c r="DJ265" s="5"/>
      <c r="DK265" s="307">
        <f>VLOOKUP($A265,ціни!$A$4:$G$401,5)</f>
        <v>4.4606305881309396</v>
      </c>
      <c r="DL265" s="307"/>
      <c r="DM265" s="307">
        <f>VLOOKUP($A265,ціни!$A$4:$G$401,7)</f>
        <v>3.8434720195423342</v>
      </c>
      <c r="DN265" s="29">
        <f t="shared" si="260"/>
        <v>13027.985333530509</v>
      </c>
      <c r="DO265" s="29">
        <f t="shared" si="261"/>
        <v>3035.1898538325813</v>
      </c>
      <c r="DP265" s="306">
        <f t="shared" si="252"/>
        <v>16063.175187363089</v>
      </c>
      <c r="DQ265" s="101"/>
      <c r="DR265" s="29">
        <f>VLOOKUP(A265,'ДЗ нас '!$A$1:$C$359,2)</f>
        <v>13027.89</v>
      </c>
      <c r="DS265" s="733">
        <f>VLOOKUP(A265,'ДЗ нежит'!$A$1:$D$153,4,0)</f>
        <v>3035.05</v>
      </c>
      <c r="DT265" s="29">
        <f t="shared" si="253"/>
        <v>16062.939999999999</v>
      </c>
      <c r="DU265" s="247">
        <f>VLOOKUP(A265,'новий кошторис с 01.06'!$A$4:$AI$399,35)*1.2</f>
        <v>16214.578018960372</v>
      </c>
      <c r="DV265" s="29">
        <f t="shared" si="254"/>
        <v>-151.6380189603733</v>
      </c>
      <c r="DW265" s="1016">
        <f>'[2]побудинковий звіт'!$DW$9+'[1]побудинковий звіт'!DW265</f>
        <v>909</v>
      </c>
      <c r="DX265" s="101">
        <f>'[1]побудинковий звіт'!DX265</f>
        <v>0</v>
      </c>
      <c r="DY265" s="5">
        <f t="shared" si="255"/>
        <v>60654.908131023723</v>
      </c>
      <c r="DZ265" s="5">
        <f t="shared" si="256"/>
        <v>11217.519779710588</v>
      </c>
      <c r="EA265" s="737">
        <f t="shared" si="257"/>
        <v>23500.660000000003</v>
      </c>
      <c r="EC265" s="577">
        <f t="shared" si="258"/>
        <v>500406.3379746764</v>
      </c>
      <c r="EE265" s="743">
        <v>-31910</v>
      </c>
      <c r="EF265" s="723">
        <f t="shared" si="259"/>
        <v>-65436.914433825237</v>
      </c>
      <c r="EH265" s="798">
        <v>-52510.359010934291</v>
      </c>
      <c r="EI265" s="101">
        <f>VLOOKUP(A265,'кошти 01.01.24'!$A$9:$D$352,4,FALSE)</f>
        <v>142379.20237153687</v>
      </c>
    </row>
    <row r="266" spans="1:139" hidden="1" x14ac:dyDescent="0.3">
      <c r="A266" s="318">
        <v>150000806</v>
      </c>
      <c r="B266" s="43" t="s">
        <v>743</v>
      </c>
      <c r="C266" s="44" t="s">
        <v>228</v>
      </c>
      <c r="D266" s="44" t="s">
        <v>228</v>
      </c>
      <c r="E266" s="39">
        <f t="shared" si="262"/>
        <v>2749.6000000000004</v>
      </c>
      <c r="F266" s="205">
        <f>'[1]побудинковий звіт'!F266</f>
        <v>2012.4</v>
      </c>
      <c r="G266" s="29">
        <f>'[1]побудинковий звіт'!G266</f>
        <v>0</v>
      </c>
      <c r="H266" s="148">
        <f>'[1]побудинковий звіт'!H266</f>
        <v>737.2</v>
      </c>
      <c r="I266" s="41">
        <f>'[2]побудинковий звіт'!I266+'[1]побудинковий звіт'!I266</f>
        <v>8618.7395745163813</v>
      </c>
      <c r="J266" s="41">
        <f>'[2]побудинковий звіт'!J266+'[1]побудинковий звіт'!J266</f>
        <v>8837.7174908841807</v>
      </c>
      <c r="K266" s="55">
        <f t="shared" si="263"/>
        <v>218.97791636779948</v>
      </c>
      <c r="L266" s="41">
        <f>'[2]побудинковий звіт'!L266+'[1]побудинковий звіт'!L266</f>
        <v>1810.2851965212596</v>
      </c>
      <c r="M266" s="41">
        <f>'[2]побудинковий звіт'!M266+'[1]побудинковий звіт'!M266</f>
        <v>1897.4494135612404</v>
      </c>
      <c r="N266" s="55">
        <f t="shared" si="264"/>
        <v>87.164217039980713</v>
      </c>
      <c r="O266" s="41">
        <f>'[2]побудинковий звіт'!O266+'[1]побудинковий звіт'!O266</f>
        <v>3445.9354999074912</v>
      </c>
      <c r="P266" s="41">
        <f>'[2]побудинковий звіт'!P266+'[1]побудинковий звіт'!P266</f>
        <v>3455.7321051657805</v>
      </c>
      <c r="Q266" s="55">
        <f t="shared" si="265"/>
        <v>9.7966052582892189</v>
      </c>
      <c r="R266" s="41">
        <f>'[2]побудинковий звіт'!R266+'[1]побудинковий звіт'!R266</f>
        <v>0</v>
      </c>
      <c r="S266" s="41">
        <f>'[2]побудинковий звіт'!S266+'[1]побудинковий звіт'!S266</f>
        <v>0</v>
      </c>
      <c r="T266" s="55">
        <f t="shared" si="266"/>
        <v>0</v>
      </c>
      <c r="U266" s="41">
        <f>'[2]побудинковий звіт'!U266+'[1]побудинковий звіт'!U266</f>
        <v>187.10196558541708</v>
      </c>
      <c r="V266" s="41">
        <f>'[2]побудинковий звіт'!V266+'[1]побудинковий звіт'!V266</f>
        <v>107.9445908639935</v>
      </c>
      <c r="W266" s="55">
        <f t="shared" si="267"/>
        <v>-79.157374721423579</v>
      </c>
      <c r="X266" s="41">
        <f>'[2]побудинковий звіт'!X266+'[1]побудинковий звіт'!X266</f>
        <v>7437.1164540123173</v>
      </c>
      <c r="Y266" s="41">
        <f>'[2]побудинковий звіт'!Y266+'[1]побудинковий звіт'!Y266</f>
        <v>7196.7532871651129</v>
      </c>
      <c r="Z266" s="55">
        <f t="shared" si="268"/>
        <v>-240.36316684720441</v>
      </c>
      <c r="AA266" s="41">
        <f>'[2]побудинковий звіт'!AA266+'[1]побудинковий звіт'!AA266</f>
        <v>0</v>
      </c>
      <c r="AB266" s="41">
        <f>'[2]побудинковий звіт'!AB266+'[1]побудинковий звіт'!AB266</f>
        <v>0</v>
      </c>
      <c r="AC266" s="55">
        <f t="shared" si="269"/>
        <v>0</v>
      </c>
      <c r="AD266" s="41">
        <f>'[2]побудинковий звіт'!AD266+'[1]побудинковий звіт'!AD266</f>
        <v>11804.953010371444</v>
      </c>
      <c r="AE266" s="41">
        <f>'[2]побудинковий звіт'!AE266+'[1]побудинковий звіт'!AE266</f>
        <v>11885.007648277508</v>
      </c>
      <c r="AF266" s="36">
        <f t="shared" si="270"/>
        <v>80.054637906063363</v>
      </c>
      <c r="AG266" s="84">
        <f t="shared" si="271"/>
        <v>33304.131700914309</v>
      </c>
      <c r="AH266" s="56">
        <f t="shared" si="272"/>
        <v>33380.60453591781</v>
      </c>
      <c r="AI266" s="55">
        <f t="shared" si="273"/>
        <v>76.472835003500222</v>
      </c>
      <c r="AJ266" s="41">
        <f>'[2]побудинковий звіт'!AJ266+'[1]побудинковий звіт'!AJ266</f>
        <v>0</v>
      </c>
      <c r="AK266" s="41">
        <f>'[2]побудинковий звіт'!AK266+'[1]побудинковий звіт'!AK266</f>
        <v>0</v>
      </c>
      <c r="AL266" s="55">
        <f t="shared" si="274"/>
        <v>0</v>
      </c>
      <c r="AM266" s="41">
        <f>'[2]побудинковий звіт'!AM266+'[1]побудинковий звіт'!AM266</f>
        <v>0</v>
      </c>
      <c r="AN266" s="41">
        <f>'[2]побудинковий звіт'!AN266+'[1]побудинковий звіт'!AN266</f>
        <v>0</v>
      </c>
      <c r="AO266" s="55">
        <f t="shared" si="275"/>
        <v>0</v>
      </c>
      <c r="AP266" s="41">
        <f>'[2]побудинковий звіт'!AP266+'[1]побудинковий звіт'!AP266</f>
        <v>4903.4598173807608</v>
      </c>
      <c r="AQ266" s="41">
        <f>'[2]побудинковий звіт'!AQ266+'[1]побудинковий звіт'!AQ266</f>
        <v>4488.7868723839483</v>
      </c>
      <c r="AR266" s="55">
        <f t="shared" si="276"/>
        <v>-414.67294499681248</v>
      </c>
      <c r="AS266" s="41">
        <f>'[2]побудинковий звіт'!AS266+'[1]побудинковий звіт'!AS266</f>
        <v>33715.755775910082</v>
      </c>
      <c r="AT266" s="41">
        <f>'[2]побудинковий звіт'!AT266+'[1]побудинковий звіт'!AT266</f>
        <v>0</v>
      </c>
      <c r="AU266" s="57">
        <f t="shared" si="277"/>
        <v>-33715.755775910082</v>
      </c>
      <c r="AV266" s="41">
        <f>'[2]побудинковий звіт'!AV266+'[1]побудинковий звіт'!AV266</f>
        <v>1536.4380892539014</v>
      </c>
      <c r="AW266" s="41">
        <f>'[2]побудинковий звіт'!AW266+'[1]побудинковий звіт'!AW266</f>
        <v>0</v>
      </c>
      <c r="AX266" s="58">
        <f t="shared" si="278"/>
        <v>-1536.4380892539014</v>
      </c>
      <c r="AY266" s="41">
        <f>'[2]побудинковий звіт'!AY266+'[1]побудинковий звіт'!AY266</f>
        <v>2161.0913698887816</v>
      </c>
      <c r="AZ266" s="41">
        <f>'[2]побудинковий звіт'!AZ266+'[1]побудинковий звіт'!AZ266</f>
        <v>0</v>
      </c>
      <c r="BA266" s="36">
        <f t="shared" si="279"/>
        <v>-2161.0913698887816</v>
      </c>
      <c r="BB266" s="41">
        <f>'[2]побудинковий звіт'!BB266+'[1]побудинковий звіт'!BB266</f>
        <v>1419.6168399143071</v>
      </c>
      <c r="BC266" s="41">
        <f>'[2]побудинковий звіт'!BC266+'[1]побудинковий звіт'!BC266</f>
        <v>480.39198214586401</v>
      </c>
      <c r="BD266" s="58">
        <f t="shared" si="280"/>
        <v>-939.22485776844314</v>
      </c>
      <c r="BE266" s="41">
        <f>'[2]побудинковий звіт'!BE266+'[1]побудинковий звіт'!BE266</f>
        <v>0</v>
      </c>
      <c r="BF266" s="41">
        <f>'[2]побудинковий звіт'!BF266+'[1]побудинковий звіт'!BF266</f>
        <v>0</v>
      </c>
      <c r="BG266" s="38">
        <f t="shared" si="281"/>
        <v>0</v>
      </c>
      <c r="BH266" s="41">
        <f>'[2]побудинковий звіт'!BH266+'[1]побудинковий звіт'!BH266</f>
        <v>110.27308797143304</v>
      </c>
      <c r="BI266" s="41">
        <f>'[2]побудинковий звіт'!BI266+'[1]побудинковий звіт'!BI266</f>
        <v>462.73662468131209</v>
      </c>
      <c r="BJ266" s="58">
        <f t="shared" si="282"/>
        <v>352.46353670987907</v>
      </c>
      <c r="BK266" s="41">
        <f>'[2]побудинковий звіт'!BK266+'[1]побудинковий звіт'!BK266</f>
        <v>1373.6583072560163</v>
      </c>
      <c r="BL266" s="41">
        <f>'[2]побудинковий звіт'!BL266+'[1]побудинковий звіт'!BL266</f>
        <v>0</v>
      </c>
      <c r="BM266" s="38">
        <f t="shared" si="283"/>
        <v>-1373.6583072560163</v>
      </c>
      <c r="BN266" s="41">
        <f>'[2]побудинковий звіт'!BN266+'[1]побудинковий звіт'!BN266</f>
        <v>89.28149214854156</v>
      </c>
      <c r="BO266" s="41">
        <f>'[2]побудинковий звіт'!BO266+'[1]побудинковий звіт'!BO266</f>
        <v>0</v>
      </c>
      <c r="BP266" s="58">
        <f t="shared" si="284"/>
        <v>-89.28149214854156</v>
      </c>
      <c r="BQ266" s="84">
        <f t="shared" si="285"/>
        <v>6690.3591864329801</v>
      </c>
      <c r="BR266" s="42">
        <f t="shared" si="286"/>
        <v>943.1286068271761</v>
      </c>
      <c r="BS266" s="58">
        <f t="shared" si="287"/>
        <v>-5747.2305796058045</v>
      </c>
      <c r="BT266" s="41">
        <f>'[2]побудинковий звіт'!BT266+'[1]побудинковий звіт'!BT266</f>
        <v>20876.755719241548</v>
      </c>
      <c r="BU266" s="41">
        <f>'[2]побудинковий звіт'!BU266+'[1]побудинковий звіт'!BU266</f>
        <v>34939.982318027207</v>
      </c>
      <c r="BV266" s="55">
        <f t="shared" si="288"/>
        <v>14063.226598785659</v>
      </c>
      <c r="BW266" s="41">
        <f>'[2]побудинковий звіт'!BW266+'[1]побудинковий звіт'!BW266</f>
        <v>15585.563076532098</v>
      </c>
      <c r="BX266" s="41">
        <f>'[2]побудинковий звіт'!BX266+'[1]побудинковий звіт'!BX266</f>
        <v>18500.180563300179</v>
      </c>
      <c r="BY266" s="55">
        <f t="shared" si="289"/>
        <v>2914.6174867680802</v>
      </c>
      <c r="BZ266" s="41">
        <f>'[2]побудинковий звіт'!BZ266+'[1]побудинковий звіт'!BZ266</f>
        <v>11252.991535463127</v>
      </c>
      <c r="CA266" s="41">
        <f>'[2]побудинковий звіт'!CA266+'[1]побудинковий звіт'!CA266</f>
        <v>3933.808284572382</v>
      </c>
      <c r="CB266" s="55">
        <f t="shared" si="290"/>
        <v>-7319.1832508907446</v>
      </c>
      <c r="CC266" s="41">
        <f>'[2]побудинковий звіт'!CC266+'[1]побудинковий звіт'!CC266</f>
        <v>1831.2215990643265</v>
      </c>
      <c r="CD266" s="41">
        <f>'[2]побудинковий звіт'!CD266+'[1]побудинковий звіт'!CD266</f>
        <v>1837.4310672455763</v>
      </c>
      <c r="CE266" s="55">
        <f t="shared" si="291"/>
        <v>6.2094681812498038</v>
      </c>
      <c r="CF266" s="41">
        <f>'[2]побудинковий звіт'!CF266+'[1]побудинковий звіт'!CF266</f>
        <v>226.87862284214617</v>
      </c>
      <c r="CG266" s="41">
        <f>'[2]побудинковий звіт'!CG266+'[1]побудинковий звіт'!CG266</f>
        <v>0</v>
      </c>
      <c r="CH266" s="55">
        <f t="shared" si="292"/>
        <v>-226.87862284214617</v>
      </c>
      <c r="CI266" s="41">
        <f>'[2]побудинковий звіт'!CI266+'[1]побудинковий звіт'!CI266</f>
        <v>4148.5559383514137</v>
      </c>
      <c r="CJ266" s="41">
        <f>'[2]побудинковий звіт'!CJ266+'[1]побудинковий звіт'!CJ266</f>
        <v>1912.1582968182061</v>
      </c>
      <c r="CK266" s="55">
        <f t="shared" si="293"/>
        <v>-2236.3976415332077</v>
      </c>
      <c r="CL266" s="41">
        <f>'[2]побудинковий звіт'!CL266+'[1]побудинковий звіт'!CL266</f>
        <v>0</v>
      </c>
      <c r="CM266" s="41">
        <f>'[2]побудинковий звіт'!CM266+'[1]побудинковий звіт'!CM266</f>
        <v>0</v>
      </c>
      <c r="CN266" s="55">
        <f t="shared" si="294"/>
        <v>0</v>
      </c>
      <c r="CO266" s="41">
        <f t="shared" si="295"/>
        <v>4148.5559383514137</v>
      </c>
      <c r="CP266" s="42">
        <f t="shared" si="296"/>
        <v>1912.1582968182061</v>
      </c>
      <c r="CQ266" s="55">
        <f t="shared" si="297"/>
        <v>-2236.3976415332077</v>
      </c>
      <c r="CR266" s="76">
        <f t="shared" si="298"/>
        <v>132535.6729721328</v>
      </c>
      <c r="CS266" s="5">
        <f t="shared" si="299"/>
        <v>99936.080545092482</v>
      </c>
      <c r="CT266" s="55">
        <f t="shared" si="300"/>
        <v>-32599.592427040319</v>
      </c>
      <c r="CU266" s="84">
        <f t="shared" si="301"/>
        <v>159042.80756655935</v>
      </c>
      <c r="CV266" s="68">
        <f t="shared" si="302"/>
        <v>119923.29665411098</v>
      </c>
      <c r="CW266" s="36">
        <f t="shared" si="303"/>
        <v>-39119.510912448372</v>
      </c>
      <c r="CX266" s="41">
        <f>'[2]побудинковий звіт'!CX266+'[1]побудинковий звіт'!CX266</f>
        <v>5938.940804077889</v>
      </c>
      <c r="CY266" s="41">
        <f>'[2]побудинковий звіт'!CY266+'[1]побудинковий звіт'!CY266</f>
        <v>45058.451716526222</v>
      </c>
      <c r="CZ266" s="55">
        <f t="shared" si="304"/>
        <v>39119.510912448335</v>
      </c>
      <c r="DA266" s="254">
        <f>'[1]побудинковий звіт'!DA266</f>
        <v>74133.822096127798</v>
      </c>
      <c r="DB266" s="2">
        <v>2</v>
      </c>
      <c r="DC266" s="702">
        <f>'[1]побудинковий звіт'!DC266</f>
        <v>55253.45</v>
      </c>
      <c r="DD266" s="702">
        <f>'[1]побудинковий звіт'!DD266</f>
        <v>10468.700000000001</v>
      </c>
      <c r="DE266" s="702">
        <f>'[1]побудинковий звіт'!DE266</f>
        <v>41448</v>
      </c>
      <c r="DF266" s="702">
        <f>'[1]побудинковий звіт'!DF266</f>
        <v>6163.4600000000009</v>
      </c>
      <c r="DG266" s="772">
        <v>-37952.338371283899</v>
      </c>
      <c r="DH266" s="746">
        <f t="shared" si="251"/>
        <v>1979780.9804476469</v>
      </c>
      <c r="DI266" s="769"/>
      <c r="DJ266" s="5"/>
      <c r="DK266" s="307">
        <f>VLOOKUP($A266,ціни!$A$4:$G$401,5)</f>
        <v>4.903809189333252</v>
      </c>
      <c r="DL266" s="307"/>
      <c r="DM266" s="307">
        <f>VLOOKUP($A266,ціни!$A$4:$G$401,7)</f>
        <v>4.1500698164682417</v>
      </c>
      <c r="DN266" s="29">
        <f t="shared" si="260"/>
        <v>9868.4256126142373</v>
      </c>
      <c r="DO266" s="29">
        <f t="shared" si="261"/>
        <v>3059.431468700388</v>
      </c>
      <c r="DP266" s="306">
        <f t="shared" si="252"/>
        <v>12927.857081314625</v>
      </c>
      <c r="DQ266" s="101"/>
      <c r="DR266" s="29">
        <f>VLOOKUP(A266,'ДЗ нас '!$A$1:$C$359,2)</f>
        <v>9868.3700000000008</v>
      </c>
      <c r="DS266" s="733">
        <f>VLOOKUP(A266,'ДЗ нежит'!$A$1:$D$153,4,0)</f>
        <v>3059.48</v>
      </c>
      <c r="DT266" s="29">
        <f t="shared" si="253"/>
        <v>12927.85</v>
      </c>
      <c r="DU266" s="247">
        <f>VLOOKUP(A266,'новий кошторис с 01.06'!$A$4:$AI$399,35)*1.2</f>
        <v>12847.130254455389</v>
      </c>
      <c r="DV266" s="29">
        <f t="shared" si="254"/>
        <v>80.719745544611214</v>
      </c>
      <c r="DW266" s="1016">
        <f>'[2]побудинковий звіт'!$DW$9+'[1]побудинковий звіт'!DW266</f>
        <v>1062</v>
      </c>
      <c r="DX266" s="101">
        <f>'[1]побудинковий звіт'!DX266</f>
        <v>0</v>
      </c>
      <c r="DY266" s="5">
        <f t="shared" si="255"/>
        <v>48487.337954811672</v>
      </c>
      <c r="DZ266" s="5">
        <f t="shared" si="256"/>
        <v>1131.7543281926112</v>
      </c>
      <c r="EA266" s="737">
        <f t="shared" si="257"/>
        <v>47611.46</v>
      </c>
      <c r="EC266" s="577">
        <f t="shared" si="258"/>
        <v>404589.06931092101</v>
      </c>
      <c r="EE266" s="743">
        <v>9575</v>
      </c>
      <c r="EF266" s="723">
        <f t="shared" si="259"/>
        <v>-28377.338371283899</v>
      </c>
      <c r="EH266" s="798">
        <v>5501.0860621234096</v>
      </c>
      <c r="EI266" s="101">
        <f>VLOOKUP(A266,'кошти 01.01.24'!$A$9:$D$352,4,FALSE)</f>
        <v>113253.33300857614</v>
      </c>
    </row>
    <row r="267" spans="1:139" hidden="1" x14ac:dyDescent="0.3">
      <c r="A267" s="318">
        <v>150000807</v>
      </c>
      <c r="B267" s="43" t="s">
        <v>744</v>
      </c>
      <c r="C267" s="44" t="s">
        <v>187</v>
      </c>
      <c r="D267" s="44" t="s">
        <v>187</v>
      </c>
      <c r="E267" s="39">
        <f t="shared" si="262"/>
        <v>300.10000000000002</v>
      </c>
      <c r="F267" s="205">
        <f>'[1]побудинковий звіт'!F267</f>
        <v>194.6</v>
      </c>
      <c r="G267" s="29">
        <f>'[1]побудинковий звіт'!G267</f>
        <v>0</v>
      </c>
      <c r="H267" s="148">
        <f>'[1]побудинковий звіт'!H267</f>
        <v>105.5</v>
      </c>
      <c r="I267" s="41">
        <f>'[2]побудинковий звіт'!I267+'[1]побудинковий звіт'!I267</f>
        <v>2051.9549373764971</v>
      </c>
      <c r="J267" s="41">
        <f>'[2]побудинковий звіт'!J267+'[1]побудинковий звіт'!J267</f>
        <v>2097.4393968865907</v>
      </c>
      <c r="K267" s="55">
        <f t="shared" si="263"/>
        <v>45.484459510093529</v>
      </c>
      <c r="L267" s="41">
        <f>'[2]побудинковий звіт'!L267+'[1]побудинковий звіт'!L267</f>
        <v>351.23412977834471</v>
      </c>
      <c r="M267" s="41">
        <f>'[2]побудинковий звіт'!M267+'[1]побудинковий звіт'!M267</f>
        <v>379.39267964834255</v>
      </c>
      <c r="N267" s="55">
        <f t="shared" si="264"/>
        <v>28.158549869997842</v>
      </c>
      <c r="O267" s="41">
        <f>'[2]побудинковий звіт'!O267+'[1]побудинковий звіт'!O267</f>
        <v>0</v>
      </c>
      <c r="P267" s="41">
        <f>'[2]побудинковий звіт'!P267+'[1]побудинковий звіт'!P267</f>
        <v>0</v>
      </c>
      <c r="Q267" s="55">
        <f t="shared" si="265"/>
        <v>0</v>
      </c>
      <c r="R267" s="41">
        <f>'[2]побудинковий звіт'!R267+'[1]побудинковий звіт'!R267</f>
        <v>0</v>
      </c>
      <c r="S267" s="41">
        <f>'[2]побудинковий звіт'!S267+'[1]побудинковий звіт'!S267</f>
        <v>0</v>
      </c>
      <c r="T267" s="55">
        <f t="shared" si="266"/>
        <v>0</v>
      </c>
      <c r="U267" s="41">
        <f>'[2]побудинковий звіт'!U267+'[1]побудинковий звіт'!U267</f>
        <v>0</v>
      </c>
      <c r="V267" s="41">
        <f>'[2]побудинковий звіт'!V267+'[1]побудинковий звіт'!V267</f>
        <v>0</v>
      </c>
      <c r="W267" s="55">
        <f t="shared" si="267"/>
        <v>0</v>
      </c>
      <c r="X267" s="41">
        <f>'[2]побудинковий звіт'!X267+'[1]побудинковий звіт'!X267</f>
        <v>427.41563853177018</v>
      </c>
      <c r="Y267" s="41">
        <f>'[2]побудинковий звіт'!Y267+'[1]побудинковий звіт'!Y267</f>
        <v>425.01115191270975</v>
      </c>
      <c r="Z267" s="55">
        <f t="shared" si="268"/>
        <v>-2.4044866190604353</v>
      </c>
      <c r="AA267" s="41">
        <f>'[2]побудинковий звіт'!AA267+'[1]побудинковий звіт'!AA267</f>
        <v>0</v>
      </c>
      <c r="AB267" s="41">
        <f>'[2]побудинковий звіт'!AB267+'[1]побудинковий звіт'!AB267</f>
        <v>0</v>
      </c>
      <c r="AC267" s="55">
        <f t="shared" si="269"/>
        <v>0</v>
      </c>
      <c r="AD267" s="41">
        <f>'[2]побудинковий звіт'!AD267+'[1]побудинковий звіт'!AD267</f>
        <v>1303.7866753402377</v>
      </c>
      <c r="AE267" s="41">
        <f>'[2]побудинковий звіт'!AE267+'[1]побудинковий звіт'!AE267</f>
        <v>1295.8753660866353</v>
      </c>
      <c r="AF267" s="36">
        <f t="shared" si="270"/>
        <v>-7.9113092536024396</v>
      </c>
      <c r="AG267" s="84">
        <f t="shared" si="271"/>
        <v>4134.3913810268496</v>
      </c>
      <c r="AH267" s="56">
        <f t="shared" si="272"/>
        <v>4197.7185945342781</v>
      </c>
      <c r="AI267" s="55">
        <f t="shared" si="273"/>
        <v>63.327213507428496</v>
      </c>
      <c r="AJ267" s="41">
        <f>'[2]побудинковий звіт'!AJ267+'[1]побудинковий звіт'!AJ267</f>
        <v>0</v>
      </c>
      <c r="AK267" s="41">
        <f>'[2]побудинковий звіт'!AK267+'[1]побудинковий звіт'!AK267</f>
        <v>0</v>
      </c>
      <c r="AL267" s="55">
        <f t="shared" si="274"/>
        <v>0</v>
      </c>
      <c r="AM267" s="41">
        <f>'[2]побудинковий звіт'!AM267+'[1]побудинковий звіт'!AM267</f>
        <v>0</v>
      </c>
      <c r="AN267" s="41">
        <f>'[2]побудинковий звіт'!AN267+'[1]побудинковий звіт'!AN267</f>
        <v>0</v>
      </c>
      <c r="AO267" s="55">
        <f t="shared" si="275"/>
        <v>0</v>
      </c>
      <c r="AP267" s="41">
        <f>'[2]побудинковий звіт'!AP267+'[1]побудинковий звіт'!AP267</f>
        <v>874.48308682337461</v>
      </c>
      <c r="AQ267" s="41">
        <f>'[2]побудинковий звіт'!AQ267+'[1]побудинковий звіт'!AQ267</f>
        <v>219.56681842012287</v>
      </c>
      <c r="AR267" s="55">
        <f t="shared" si="276"/>
        <v>-654.91626840325171</v>
      </c>
      <c r="AS267" s="41">
        <f>'[2]побудинковий звіт'!AS267+'[1]побудинковий звіт'!AS267</f>
        <v>3978.3825582337272</v>
      </c>
      <c r="AT267" s="41">
        <f>'[2]побудинковий звіт'!AT267+'[1]побудинковий звіт'!AT267</f>
        <v>0</v>
      </c>
      <c r="AU267" s="57">
        <f t="shared" si="277"/>
        <v>-3978.3825582337272</v>
      </c>
      <c r="AV267" s="41">
        <f>'[2]побудинковий звіт'!AV267+'[1]побудинковий звіт'!AV267</f>
        <v>399.79337945387545</v>
      </c>
      <c r="AW267" s="41">
        <f>'[2]побудинковий звіт'!AW267+'[1]побудинковий звіт'!AW267</f>
        <v>0</v>
      </c>
      <c r="AX267" s="58">
        <f t="shared" si="278"/>
        <v>-399.79337945387545</v>
      </c>
      <c r="AY267" s="41">
        <f>'[2]побудинковий звіт'!AY267+'[1]побудинковий звіт'!AY267</f>
        <v>457.68361755895404</v>
      </c>
      <c r="AZ267" s="41">
        <f>'[2]побудинковий звіт'!AZ267+'[1]побудинковий звіт'!AZ267</f>
        <v>0</v>
      </c>
      <c r="BA267" s="36">
        <f t="shared" si="279"/>
        <v>-457.68361755895404</v>
      </c>
      <c r="BB267" s="41">
        <f>'[2]побудинковий звіт'!BB267+'[1]побудинковий звіт'!BB267</f>
        <v>0</v>
      </c>
      <c r="BC267" s="41">
        <f>'[2]побудинковий звіт'!BC267+'[1]побудинковий звіт'!BC267</f>
        <v>0</v>
      </c>
      <c r="BD267" s="58">
        <f t="shared" si="280"/>
        <v>0</v>
      </c>
      <c r="BE267" s="41">
        <f>'[2]побудинковий звіт'!BE267+'[1]побудинковий звіт'!BE267</f>
        <v>0</v>
      </c>
      <c r="BF267" s="41">
        <f>'[2]побудинковий звіт'!BF267+'[1]побудинковий звіт'!BF267</f>
        <v>0</v>
      </c>
      <c r="BG267" s="38">
        <f t="shared" si="281"/>
        <v>0</v>
      </c>
      <c r="BH267" s="41">
        <f>'[2]побудинковий звіт'!BH267+'[1]побудинковий звіт'!BH267</f>
        <v>0</v>
      </c>
      <c r="BI267" s="41">
        <f>'[2]побудинковий звіт'!BI267+'[1]побудинковий звіт'!BI267</f>
        <v>0</v>
      </c>
      <c r="BJ267" s="58">
        <f t="shared" si="282"/>
        <v>0</v>
      </c>
      <c r="BK267" s="41">
        <f>'[2]побудинковий звіт'!BK267+'[1]побудинковий звіт'!BK267</f>
        <v>105.84721712738019</v>
      </c>
      <c r="BL267" s="41">
        <f>'[2]побудинковий звіт'!BL267+'[1]побудинковий звіт'!BL267</f>
        <v>0</v>
      </c>
      <c r="BM267" s="38">
        <f t="shared" si="283"/>
        <v>-105.84721712738019</v>
      </c>
      <c r="BN267" s="41">
        <f>'[2]побудинковий звіт'!BN267+'[1]побудинковий звіт'!BN267</f>
        <v>12.548347455873724</v>
      </c>
      <c r="BO267" s="41">
        <f>'[2]побудинковий звіт'!BO267+'[1]побудинковий звіт'!BO267</f>
        <v>514.52176042799999</v>
      </c>
      <c r="BP267" s="58">
        <f t="shared" si="284"/>
        <v>501.97341297212625</v>
      </c>
      <c r="BQ267" s="84">
        <f t="shared" si="285"/>
        <v>975.87256159608341</v>
      </c>
      <c r="BR267" s="42">
        <f t="shared" si="286"/>
        <v>514.52176042799999</v>
      </c>
      <c r="BS267" s="58">
        <f t="shared" si="287"/>
        <v>-461.35080116808342</v>
      </c>
      <c r="BT267" s="41">
        <f>'[2]побудинковий звіт'!BT267+'[1]побудинковий звіт'!BT267</f>
        <v>3897.7547998332484</v>
      </c>
      <c r="BU267" s="41">
        <f>'[2]побудинковий звіт'!BU267+'[1]побудинковий звіт'!BU267</f>
        <v>5309.1761987989075</v>
      </c>
      <c r="BV267" s="55">
        <f t="shared" si="288"/>
        <v>1411.4213989656591</v>
      </c>
      <c r="BW267" s="41">
        <f>'[2]побудинковий звіт'!BW267+'[1]побудинковий звіт'!BW267</f>
        <v>2283.2004471151822</v>
      </c>
      <c r="BX267" s="41">
        <f>'[2]побудинковий звіт'!BX267+'[1]побудинковий звіт'!BX267</f>
        <v>2540.9401746888561</v>
      </c>
      <c r="BY267" s="55">
        <f t="shared" si="289"/>
        <v>257.73972757367392</v>
      </c>
      <c r="BZ267" s="41">
        <f>'[2]побудинковий звіт'!BZ267+'[1]побудинковий звіт'!BZ267</f>
        <v>380.15720707597268</v>
      </c>
      <c r="CA267" s="41">
        <f>'[2]побудинковий звіт'!CA267+'[1]побудинковий звіт'!CA267</f>
        <v>493.95225458281635</v>
      </c>
      <c r="CB267" s="55">
        <f t="shared" si="290"/>
        <v>113.79504750684367</v>
      </c>
      <c r="CC267" s="41">
        <f>'[2]побудинковий звіт'!CC267+'[1]побудинковий звіт'!CC267</f>
        <v>0</v>
      </c>
      <c r="CD267" s="41">
        <f>'[2]побудинковий звіт'!CD267+'[1]побудинковий звіт'!CD267</f>
        <v>0</v>
      </c>
      <c r="CE267" s="55">
        <f t="shared" si="291"/>
        <v>0</v>
      </c>
      <c r="CF267" s="41">
        <f>'[2]побудинковий звіт'!CF267+'[1]побудинковий звіт'!CF267</f>
        <v>0</v>
      </c>
      <c r="CG267" s="41">
        <f>'[2]побудинковий звіт'!CG267+'[1]побудинковий звіт'!CG267</f>
        <v>0</v>
      </c>
      <c r="CH267" s="55">
        <f t="shared" si="292"/>
        <v>0</v>
      </c>
      <c r="CI267" s="41">
        <f>'[2]побудинковий звіт'!CI267+'[1]побудинковий звіт'!CI267</f>
        <v>0</v>
      </c>
      <c r="CJ267" s="41">
        <f>'[2]побудинковий звіт'!CJ267+'[1]побудинковий звіт'!CJ267</f>
        <v>0</v>
      </c>
      <c r="CK267" s="55">
        <f t="shared" si="293"/>
        <v>0</v>
      </c>
      <c r="CL267" s="41">
        <f>'[2]побудинковий звіт'!CL267+'[1]побудинковий звіт'!CL267</f>
        <v>0</v>
      </c>
      <c r="CM267" s="41">
        <f>'[2]побудинковий звіт'!CM267+'[1]побудинковий звіт'!CM267</f>
        <v>0</v>
      </c>
      <c r="CN267" s="55">
        <f t="shared" si="294"/>
        <v>0</v>
      </c>
      <c r="CO267" s="41">
        <f t="shared" si="295"/>
        <v>0</v>
      </c>
      <c r="CP267" s="42">
        <f t="shared" si="296"/>
        <v>0</v>
      </c>
      <c r="CQ267" s="55">
        <f t="shared" si="297"/>
        <v>0</v>
      </c>
      <c r="CR267" s="76">
        <f t="shared" si="298"/>
        <v>16524.242041704438</v>
      </c>
      <c r="CS267" s="5">
        <f t="shared" si="299"/>
        <v>13275.875801452981</v>
      </c>
      <c r="CT267" s="55">
        <f t="shared" si="300"/>
        <v>-3248.3662402514565</v>
      </c>
      <c r="CU267" s="84">
        <f t="shared" si="301"/>
        <v>19829.090450045325</v>
      </c>
      <c r="CV267" s="68">
        <f t="shared" si="302"/>
        <v>15931.050961743576</v>
      </c>
      <c r="CW267" s="36">
        <f t="shared" si="303"/>
        <v>-3898.0394883017489</v>
      </c>
      <c r="CX267" s="41">
        <f>'[2]побудинковий звіт'!CX267+'[1]побудинковий звіт'!CX267</f>
        <v>570.45434038052917</v>
      </c>
      <c r="CY267" s="41">
        <f>'[2]побудинковий звіт'!CY267+'[1]побудинковий звіт'!CY267</f>
        <v>4468.493828682278</v>
      </c>
      <c r="CZ267" s="55">
        <f t="shared" si="304"/>
        <v>3898.0394883017489</v>
      </c>
      <c r="DA267" s="254">
        <f>'[1]побудинковий звіт'!DA267</f>
        <v>-23518.052610325387</v>
      </c>
      <c r="DB267" s="2">
        <v>3</v>
      </c>
      <c r="DC267" s="702">
        <f>'[1]побудинковий звіт'!DC267</f>
        <v>11190.38</v>
      </c>
      <c r="DD267" s="702">
        <f>'[1]побудинковий звіт'!DD267</f>
        <v>0</v>
      </c>
      <c r="DE267" s="702">
        <f>'[1]побудинковий звіт'!DE267</f>
        <v>9635.41</v>
      </c>
      <c r="DF267" s="702">
        <f>'[1]побудинковий звіт'!DF267</f>
        <v>-685.9</v>
      </c>
      <c r="DG267" s="772">
        <v>-13156.756559816407</v>
      </c>
      <c r="DH267" s="746">
        <f t="shared" si="251"/>
        <v>244794.53748511025</v>
      </c>
      <c r="DI267" s="769"/>
      <c r="DJ267" s="5"/>
      <c r="DK267" s="307">
        <f>VLOOKUP($A267,ціни!$A$4:$G$401,5)</f>
        <v>5.732574189327484</v>
      </c>
      <c r="DL267" s="307"/>
      <c r="DM267" s="307">
        <f>VLOOKUP($A267,ціни!$A$4:$G$401,7)</f>
        <v>4.5760266102731739</v>
      </c>
      <c r="DN267" s="29">
        <f t="shared" si="260"/>
        <v>1115.5589372431284</v>
      </c>
      <c r="DO267" s="29">
        <v>432.34</v>
      </c>
      <c r="DP267" s="306">
        <f t="shared" si="252"/>
        <v>1547.8989372431283</v>
      </c>
      <c r="DQ267" s="101"/>
      <c r="DR267" s="29">
        <f>VLOOKUP(A267,'ДЗ нас '!$A$1:$C$359,2)</f>
        <v>1115.56</v>
      </c>
      <c r="DS267" s="733">
        <f>VLOOKUP(A267,'ДЗ нежит'!$A$1:$D$153,4,0)</f>
        <v>482.77</v>
      </c>
      <c r="DT267" s="29">
        <f t="shared" si="253"/>
        <v>1598.33</v>
      </c>
      <c r="DU267" s="247">
        <f>VLOOKUP(A267,'новий кошторис с 01.06'!$A$4:$AI$399,35)*1.2</f>
        <v>1608.6530464484099</v>
      </c>
      <c r="DV267" s="29">
        <f t="shared" si="254"/>
        <v>-10.323046448409968</v>
      </c>
      <c r="DW267" s="1016">
        <f>'[2]побудинковий звіт'!$DW$9+'[1]побудинковий звіт'!DW267</f>
        <v>0</v>
      </c>
      <c r="DX267" s="101">
        <f>'[1]побудинковий звіт'!DX267</f>
        <v>0</v>
      </c>
      <c r="DY267" s="5">
        <f t="shared" si="255"/>
        <v>5945.1061437957724</v>
      </c>
      <c r="DZ267" s="5">
        <f t="shared" si="256"/>
        <v>617.42611251359995</v>
      </c>
      <c r="EA267" s="737">
        <f t="shared" si="257"/>
        <v>8949.51</v>
      </c>
      <c r="EC267" s="577">
        <f t="shared" si="258"/>
        <v>47740.590698804728</v>
      </c>
      <c r="EE267" s="743">
        <v>10015</v>
      </c>
      <c r="EF267" s="723">
        <f t="shared" si="259"/>
        <v>-3141.7565598164074</v>
      </c>
      <c r="EH267" s="798">
        <v>-17403.272562748196</v>
      </c>
      <c r="EI267" s="101">
        <f>VLOOKUP(A267,'кошти 01.01.24'!$A$9:$D$352,4,FALSE)</f>
        <v>-19620.013122023644</v>
      </c>
    </row>
    <row r="268" spans="1:139" hidden="1" x14ac:dyDescent="0.3">
      <c r="A268" s="318">
        <v>150000808</v>
      </c>
      <c r="B268" s="43" t="s">
        <v>745</v>
      </c>
      <c r="C268" s="44" t="s">
        <v>297</v>
      </c>
      <c r="D268" s="44" t="s">
        <v>297</v>
      </c>
      <c r="E268" s="39">
        <f t="shared" si="262"/>
        <v>1950.8</v>
      </c>
      <c r="F268" s="205">
        <f>'[1]побудинковий звіт'!F268</f>
        <v>1754.6</v>
      </c>
      <c r="G268" s="29">
        <f>'[1]побудинковий звіт'!G268</f>
        <v>0</v>
      </c>
      <c r="H268" s="148">
        <f>'[1]побудинковий звіт'!H268</f>
        <v>196.2</v>
      </c>
      <c r="I268" s="41">
        <f>'[2]побудинковий звіт'!I268+'[1]побудинковий звіт'!I268</f>
        <v>6364.4960100130456</v>
      </c>
      <c r="J268" s="41">
        <f>'[2]побудинковий звіт'!J268+'[1]побудинковий звіт'!J268</f>
        <v>6551.9521640432431</v>
      </c>
      <c r="K268" s="55">
        <f t="shared" si="263"/>
        <v>187.45615403019747</v>
      </c>
      <c r="L268" s="41">
        <f>'[2]побудинковий звіт'!L268+'[1]побудинковий звіт'!L268</f>
        <v>1243.3891155027882</v>
      </c>
      <c r="M268" s="41">
        <f>'[2]побудинковий звіт'!M268+'[1]побудинковий звіт'!M268</f>
        <v>1307.4840498871181</v>
      </c>
      <c r="N268" s="55">
        <f t="shared" si="264"/>
        <v>64.094934384329918</v>
      </c>
      <c r="O268" s="41">
        <f>'[2]побудинковий звіт'!O268+'[1]побудинковий звіт'!O268</f>
        <v>2900.1859372292452</v>
      </c>
      <c r="P268" s="41">
        <f>'[2]побудинковий звіт'!P268+'[1]побудинковий звіт'!P268</f>
        <v>2908.7153725220128</v>
      </c>
      <c r="Q268" s="55">
        <f t="shared" si="265"/>
        <v>8.52943529276763</v>
      </c>
      <c r="R268" s="41">
        <f>'[2]побудинковий звіт'!R268+'[1]побудинковий звіт'!R268</f>
        <v>0</v>
      </c>
      <c r="S268" s="41">
        <f>'[2]побудинковий звіт'!S268+'[1]побудинковий звіт'!S268</f>
        <v>0</v>
      </c>
      <c r="T268" s="55">
        <f t="shared" si="266"/>
        <v>0</v>
      </c>
      <c r="U268" s="41">
        <f>'[2]побудинковий звіт'!U268+'[1]побудинковий звіт'!U268</f>
        <v>140.32647418906288</v>
      </c>
      <c r="V268" s="41">
        <f>'[2]побудинковий звіт'!V268+'[1]побудинковий звіт'!V268</f>
        <v>80.958443147995155</v>
      </c>
      <c r="W268" s="55">
        <f t="shared" si="267"/>
        <v>-59.368031041067724</v>
      </c>
      <c r="X268" s="41">
        <f>'[2]побудинковий звіт'!X268+'[1]побудинковий звіт'!X268</f>
        <v>3430.635056981062</v>
      </c>
      <c r="Y268" s="41">
        <f>'[2]побудинковий звіт'!Y268+'[1]побудинковий звіт'!Y268</f>
        <v>3206.7645568183248</v>
      </c>
      <c r="Z268" s="55">
        <f t="shared" si="268"/>
        <v>-223.87050016273724</v>
      </c>
      <c r="AA268" s="41">
        <f>'[2]побудинковий звіт'!AA268+'[1]побудинковий звіт'!AA268</f>
        <v>0</v>
      </c>
      <c r="AB268" s="41">
        <f>'[2]побудинковий звіт'!AB268+'[1]побудинковий звіт'!AB268</f>
        <v>0</v>
      </c>
      <c r="AC268" s="55">
        <f t="shared" si="269"/>
        <v>0</v>
      </c>
      <c r="AD268" s="41">
        <f>'[2]побудинковий звіт'!AD268+'[1]побудинковий звіт'!AD268</f>
        <v>8461.2285695284008</v>
      </c>
      <c r="AE268" s="41">
        <f>'[2]побудинковий звіт'!AE268+'[1]побудинковий звіт'!AE268</f>
        <v>8428.3205641414697</v>
      </c>
      <c r="AF268" s="36">
        <f t="shared" si="270"/>
        <v>-32.908005386931109</v>
      </c>
      <c r="AG268" s="84">
        <f t="shared" si="271"/>
        <v>22540.261163443603</v>
      </c>
      <c r="AH268" s="56">
        <f t="shared" si="272"/>
        <v>22484.195150560161</v>
      </c>
      <c r="AI268" s="55">
        <f t="shared" si="273"/>
        <v>-56.066012883442454</v>
      </c>
      <c r="AJ268" s="41">
        <f>'[2]побудинковий звіт'!AJ268+'[1]побудинковий звіт'!AJ268</f>
        <v>0</v>
      </c>
      <c r="AK268" s="41">
        <f>'[2]побудинковий звіт'!AK268+'[1]побудинковий звіт'!AK268</f>
        <v>0</v>
      </c>
      <c r="AL268" s="55">
        <f t="shared" si="274"/>
        <v>0</v>
      </c>
      <c r="AM268" s="41">
        <f>'[2]побудинковий звіт'!AM268+'[1]побудинковий звіт'!AM268</f>
        <v>0</v>
      </c>
      <c r="AN268" s="41">
        <f>'[2]побудинковий звіт'!AN268+'[1]побудинковий звіт'!AN268</f>
        <v>0</v>
      </c>
      <c r="AO268" s="55">
        <f t="shared" si="275"/>
        <v>0</v>
      </c>
      <c r="AP268" s="41">
        <f>'[2]побудинковий звіт'!AP268+'[1]побудинковий звіт'!AP268</f>
        <v>5646.4082745596625</v>
      </c>
      <c r="AQ268" s="41">
        <f>'[2]побудинковий звіт'!AQ268+'[1]побудинковий звіт'!AQ268</f>
        <v>5377.0028522332359</v>
      </c>
      <c r="AR268" s="55">
        <f t="shared" si="276"/>
        <v>-269.40542232642656</v>
      </c>
      <c r="AS268" s="41">
        <f>'[2]побудинковий звіт'!AS268+'[1]побудинковий звіт'!AS268</f>
        <v>15087.048128938524</v>
      </c>
      <c r="AT268" s="41">
        <f>'[2]побудинковий звіт'!AT268+'[1]побудинковий звіт'!AT268</f>
        <v>81762.949332745149</v>
      </c>
      <c r="AU268" s="57">
        <f t="shared" si="277"/>
        <v>66675.901203806628</v>
      </c>
      <c r="AV268" s="41">
        <f>'[2]побудинковий звіт'!AV268+'[1]побудинковий звіт'!AV268</f>
        <v>1103.7394085902804</v>
      </c>
      <c r="AW268" s="41">
        <f>'[2]побудинковий звіт'!AW268+'[1]побудинковий звіт'!AW268</f>
        <v>0</v>
      </c>
      <c r="AX268" s="58">
        <f t="shared" si="278"/>
        <v>-1103.7394085902804</v>
      </c>
      <c r="AY268" s="41">
        <f>'[2]побудинковий звіт'!AY268+'[1]побудинковий звіт'!AY268</f>
        <v>1552.1316067770283</v>
      </c>
      <c r="AZ268" s="41">
        <f>'[2]побудинковий звіт'!AZ268+'[1]побудинковий звіт'!AZ268</f>
        <v>0</v>
      </c>
      <c r="BA268" s="36">
        <f t="shared" si="279"/>
        <v>-1552.1316067770283</v>
      </c>
      <c r="BB268" s="41">
        <f>'[2]побудинковий звіт'!BB268+'[1]побудинковий звіт'!BB268</f>
        <v>1523.0147050902435</v>
      </c>
      <c r="BC268" s="41">
        <f>'[2]побудинковий звіт'!BC268+'[1]побудинковий звіт'!BC268</f>
        <v>0</v>
      </c>
      <c r="BD268" s="58">
        <f t="shared" si="280"/>
        <v>-1523.0147050902435</v>
      </c>
      <c r="BE268" s="41">
        <f>'[2]побудинковий звіт'!BE268+'[1]побудинковий звіт'!BE268</f>
        <v>0</v>
      </c>
      <c r="BF268" s="41">
        <f>'[2]побудинковий звіт'!BF268+'[1]побудинковий звіт'!BF268</f>
        <v>0</v>
      </c>
      <c r="BG268" s="38">
        <f t="shared" si="281"/>
        <v>0</v>
      </c>
      <c r="BH268" s="41">
        <f>'[2]побудинковий звіт'!BH268+'[1]побудинковий звіт'!BH268</f>
        <v>82.704815978574771</v>
      </c>
      <c r="BI268" s="41">
        <f>'[2]побудинковий звіт'!BI268+'[1]побудинковий звіт'!BI268</f>
        <v>1102.036601290617</v>
      </c>
      <c r="BJ268" s="58">
        <f t="shared" si="282"/>
        <v>1019.3317853120423</v>
      </c>
      <c r="BK268" s="41">
        <f>'[2]побудинковий звіт'!BK268+'[1]побудинковий звіт'!BK268</f>
        <v>538.82944831851728</v>
      </c>
      <c r="BL268" s="41">
        <f>'[2]побудинковий звіт'!BL268+'[1]побудинковий звіт'!BL268</f>
        <v>863.2953249895204</v>
      </c>
      <c r="BM268" s="38">
        <f t="shared" si="283"/>
        <v>324.46587667100312</v>
      </c>
      <c r="BN268" s="41">
        <f>'[2]побудинковий звіт'!BN268+'[1]побудинковий звіт'!BN268</f>
        <v>81.940708886855418</v>
      </c>
      <c r="BO268" s="41">
        <f>'[2]побудинковий звіт'!BO268+'[1]побудинковий звіт'!BO268</f>
        <v>0</v>
      </c>
      <c r="BP268" s="58">
        <f t="shared" si="284"/>
        <v>-81.940708886855418</v>
      </c>
      <c r="BQ268" s="84">
        <f t="shared" si="285"/>
        <v>4882.3606936414999</v>
      </c>
      <c r="BR268" s="42">
        <f t="shared" si="286"/>
        <v>1965.3319262801374</v>
      </c>
      <c r="BS268" s="58">
        <f t="shared" si="287"/>
        <v>-2917.0287673613625</v>
      </c>
      <c r="BT268" s="41">
        <f>'[2]побудинковий звіт'!BT268+'[1]побудинковий звіт'!BT268</f>
        <v>22189.479231946872</v>
      </c>
      <c r="BU268" s="41">
        <f>'[2]побудинковий звіт'!BU268+'[1]побудинковий звіт'!BU268</f>
        <v>34760.899262038271</v>
      </c>
      <c r="BV268" s="55">
        <f t="shared" si="288"/>
        <v>12571.420030091398</v>
      </c>
      <c r="BW268" s="41">
        <f>'[2]побудинковий звіт'!BW268+'[1]побудинковий звіт'!BW268</f>
        <v>9508.5457610895264</v>
      </c>
      <c r="BX268" s="41">
        <f>'[2]побудинковий звіт'!BX268+'[1]побудинковий звіт'!BX268</f>
        <v>11684.527856959441</v>
      </c>
      <c r="BY268" s="55">
        <f t="shared" si="289"/>
        <v>2175.9820958699147</v>
      </c>
      <c r="BZ268" s="41">
        <f>'[2]побудинковий звіт'!BZ268+'[1]побудинковий звіт'!BZ268</f>
        <v>7718.5932208617542</v>
      </c>
      <c r="CA268" s="41">
        <f>'[2]побудинковий звіт'!CA268+'[1]побудинковий звіт'!CA268</f>
        <v>3414.7296987638333</v>
      </c>
      <c r="CB268" s="55">
        <f t="shared" si="290"/>
        <v>-4303.8635220979213</v>
      </c>
      <c r="CC268" s="41">
        <f>'[2]побудинковий звіт'!CC268+'[1]побудинковий звіт'!CC268</f>
        <v>864.15826669201999</v>
      </c>
      <c r="CD268" s="41">
        <f>'[2]побудинковий звіт'!CD268+'[1]побудинковий звіт'!CD268</f>
        <v>867.08853098298835</v>
      </c>
      <c r="CE268" s="55">
        <f t="shared" si="291"/>
        <v>2.9302642909683527</v>
      </c>
      <c r="CF268" s="41">
        <f>'[2]побудинковий звіт'!CF268+'[1]побудинковий звіт'!CF268</f>
        <v>107.06461608191987</v>
      </c>
      <c r="CG268" s="41">
        <f>'[2]побудинковий звіт'!CG268+'[1]побудинковий звіт'!CG268</f>
        <v>0</v>
      </c>
      <c r="CH268" s="55">
        <f t="shared" si="292"/>
        <v>-107.06461608191987</v>
      </c>
      <c r="CI268" s="41">
        <f>'[2]побудинковий звіт'!CI268+'[1]побудинковий звіт'!CI268</f>
        <v>6636.5297812287836</v>
      </c>
      <c r="CJ268" s="41">
        <f>'[2]побудинковий звіт'!CJ268+'[1]побудинковий звіт'!CJ268</f>
        <v>2602.4875066846753</v>
      </c>
      <c r="CK268" s="55">
        <f t="shared" si="293"/>
        <v>-4034.0422745441083</v>
      </c>
      <c r="CL268" s="41">
        <f>'[2]побудинковий звіт'!CL268+'[1]побудинковий звіт'!CL268</f>
        <v>0</v>
      </c>
      <c r="CM268" s="41">
        <f>'[2]побудинковий звіт'!CM268+'[1]побудинковий звіт'!CM268</f>
        <v>0</v>
      </c>
      <c r="CN268" s="55">
        <f t="shared" si="294"/>
        <v>0</v>
      </c>
      <c r="CO268" s="41">
        <f t="shared" si="295"/>
        <v>6636.5297812287836</v>
      </c>
      <c r="CP268" s="42">
        <f t="shared" si="296"/>
        <v>2602.4875066846753</v>
      </c>
      <c r="CQ268" s="55">
        <f t="shared" si="297"/>
        <v>-4034.0422745441083</v>
      </c>
      <c r="CR268" s="76">
        <f t="shared" si="298"/>
        <v>95180.449138484168</v>
      </c>
      <c r="CS268" s="5">
        <f t="shared" si="299"/>
        <v>164919.21211724789</v>
      </c>
      <c r="CT268" s="55">
        <f t="shared" si="300"/>
        <v>69738.762978763727</v>
      </c>
      <c r="CU268" s="84">
        <f t="shared" si="301"/>
        <v>114216.538966181</v>
      </c>
      <c r="CV268" s="68">
        <f t="shared" si="302"/>
        <v>197903.05454069746</v>
      </c>
      <c r="CW268" s="36">
        <f t="shared" si="303"/>
        <v>83686.515574516452</v>
      </c>
      <c r="CX268" s="41">
        <f>'[2]побудинковий звіт'!CX268+'[1]побудинковий звіт'!CX268</f>
        <v>2982.2743794188855</v>
      </c>
      <c r="CY268" s="41">
        <f>'[2]побудинковий звіт'!CY268+'[1]побудинковий звіт'!CY268</f>
        <v>-80704.241195097551</v>
      </c>
      <c r="CZ268" s="55">
        <f t="shared" si="304"/>
        <v>-83686.515574516437</v>
      </c>
      <c r="DA268" s="254">
        <f>'[1]побудинковий звіт'!DA268</f>
        <v>75340.09406913603</v>
      </c>
      <c r="DB268" s="2">
        <v>2</v>
      </c>
      <c r="DC268" s="702">
        <f>'[1]побудинковий звіт'!DC268</f>
        <v>25805.03</v>
      </c>
      <c r="DD268" s="702">
        <f>'[1]побудинковий звіт'!DD268</f>
        <v>33.65</v>
      </c>
      <c r="DE268" s="702">
        <f>'[1]побудинковий звіт'!DE268</f>
        <v>14114.679999999998</v>
      </c>
      <c r="DF268" s="702">
        <f>'[1]побудинковий звіт'!DF268</f>
        <v>-1133.6299999999999</v>
      </c>
      <c r="DG268" s="772">
        <v>12663.564467620803</v>
      </c>
      <c r="DH268" s="746">
        <f t="shared" si="251"/>
        <v>1406385.7601471986</v>
      </c>
      <c r="DI268" s="769"/>
      <c r="DJ268" s="5"/>
      <c r="DK268" s="307">
        <f>VLOOKUP($A268,ціни!$A$4:$G$401,5)</f>
        <v>4.7613040774596502</v>
      </c>
      <c r="DL268" s="307"/>
      <c r="DM268" s="307">
        <f>VLOOKUP($A268,ціни!$A$4:$G$401,7)</f>
        <v>4.2349150675195375</v>
      </c>
      <c r="DN268" s="29">
        <f t="shared" si="260"/>
        <v>8354.1841343107026</v>
      </c>
      <c r="DO268" s="29">
        <f t="shared" ref="DO268:DO309" si="305">H268*DM268</f>
        <v>830.89033624733327</v>
      </c>
      <c r="DP268" s="306">
        <f t="shared" si="252"/>
        <v>9185.0744705580364</v>
      </c>
      <c r="DQ268" s="101"/>
      <c r="DR268" s="29">
        <f>VLOOKUP(A268,'ДЗ нас '!$A$1:$C$359,2)</f>
        <v>8354.18</v>
      </c>
      <c r="DS268" s="733">
        <f>VLOOKUP(A268,'ДЗ нежит'!$A$1:$D$153,4,0)</f>
        <v>830.89</v>
      </c>
      <c r="DT268" s="29">
        <f t="shared" si="253"/>
        <v>9185.07</v>
      </c>
      <c r="DU268" s="247">
        <f>VLOOKUP(A268,'новий кошторис с 01.06'!$A$4:$AI$399,35)*1.2</f>
        <v>9221.0943704425754</v>
      </c>
      <c r="DV268" s="29">
        <f t="shared" si="254"/>
        <v>-36.024370442575673</v>
      </c>
      <c r="DW268" s="1016">
        <f>'[2]побудинковий звіт'!$DW$9+'[1]побудинковий звіт'!DW268</f>
        <v>1062</v>
      </c>
      <c r="DX268" s="101">
        <f>'[1]побудинковий звіт'!DX268</f>
        <v>0</v>
      </c>
      <c r="DY268" s="5">
        <f t="shared" si="255"/>
        <v>23963.290587096028</v>
      </c>
      <c r="DZ268" s="5">
        <f t="shared" si="256"/>
        <v>100473.93751083034</v>
      </c>
      <c r="EA268" s="737">
        <f t="shared" si="257"/>
        <v>12981.05</v>
      </c>
      <c r="EC268" s="577">
        <f t="shared" si="258"/>
        <v>181044.57754726231</v>
      </c>
      <c r="EE268" s="743">
        <v>-32162</v>
      </c>
      <c r="EF268" s="723">
        <f t="shared" si="259"/>
        <v>-19498.435532379197</v>
      </c>
      <c r="EH268" s="798">
        <v>2997.051260575905</v>
      </c>
      <c r="EI268" s="101">
        <f>VLOOKUP(A268,'кошти 01.01.24'!$A$9:$D$352,4,FALSE)</f>
        <v>-8346.4215053804328</v>
      </c>
    </row>
    <row r="269" spans="1:139" hidden="1" x14ac:dyDescent="0.3">
      <c r="A269" s="318">
        <v>150000827</v>
      </c>
      <c r="B269" s="43" t="s">
        <v>746</v>
      </c>
      <c r="C269" s="44" t="s">
        <v>298</v>
      </c>
      <c r="D269" s="44" t="s">
        <v>298</v>
      </c>
      <c r="E269" s="39">
        <f t="shared" si="262"/>
        <v>4491.7</v>
      </c>
      <c r="F269" s="205">
        <f>'[1]побудинковий звіт'!F269</f>
        <v>3684.6</v>
      </c>
      <c r="G269" s="29">
        <f>'[1]побудинковий звіт'!G269</f>
        <v>0</v>
      </c>
      <c r="H269" s="148">
        <f>'[1]побудинковий звіт'!H269</f>
        <v>807.1</v>
      </c>
      <c r="I269" s="41">
        <f>'[2]побудинковий звіт'!I269+'[1]побудинковий звіт'!I269</f>
        <v>15160.229221568377</v>
      </c>
      <c r="J269" s="41">
        <f>'[2]побудинковий звіт'!J269+'[1]побудинковий звіт'!J269</f>
        <v>15604.208903245702</v>
      </c>
      <c r="K269" s="55">
        <f t="shared" si="263"/>
        <v>443.97968167732506</v>
      </c>
      <c r="L269" s="41">
        <f>'[2]побудинковий звіт'!L269+'[1]побудинковий звіт'!L269</f>
        <v>2929.1915576880633</v>
      </c>
      <c r="M269" s="41">
        <f>'[2]побудинковий звіт'!M269+'[1]побудинковий звіт'!M269</f>
        <v>3071.1872689087859</v>
      </c>
      <c r="N269" s="55">
        <f t="shared" si="264"/>
        <v>141.99571122072257</v>
      </c>
      <c r="O269" s="41">
        <f>'[2]побудинковий звіт'!O269+'[1]побудинковий звіт'!O269</f>
        <v>6089.3666859133009</v>
      </c>
      <c r="P269" s="41">
        <f>'[2]побудинковий звіт'!P269+'[1]побудинковий звіт'!P269</f>
        <v>6106.4865114876857</v>
      </c>
      <c r="Q269" s="55">
        <f t="shared" si="265"/>
        <v>17.119825574384777</v>
      </c>
      <c r="R269" s="41">
        <f>'[2]побудинковий звіт'!R269+'[1]побудинковий звіт'!R269</f>
        <v>0</v>
      </c>
      <c r="S269" s="41">
        <f>'[2]побудинковий звіт'!S269+'[1]побудинковий звіт'!S269</f>
        <v>0</v>
      </c>
      <c r="T269" s="55">
        <f t="shared" si="266"/>
        <v>0</v>
      </c>
      <c r="U269" s="41">
        <f>'[2]побудинковий звіт'!U269+'[1]побудинковий звіт'!U269</f>
        <v>280.65294837812576</v>
      </c>
      <c r="V269" s="41">
        <f>'[2]побудинковий звіт'!V269+'[1]побудинковий звіт'!V269</f>
        <v>161.91688629599031</v>
      </c>
      <c r="W269" s="55">
        <f t="shared" si="267"/>
        <v>-118.73606208213545</v>
      </c>
      <c r="X269" s="41">
        <f>'[2]побудинковий звіт'!X269+'[1]побудинковий звіт'!X269</f>
        <v>10862.268099353963</v>
      </c>
      <c r="Y269" s="41">
        <f>'[2]побудинковий звіт'!Y269+'[1]побудинковий звіт'!Y269</f>
        <v>10802.011868719686</v>
      </c>
      <c r="Z269" s="55">
        <f t="shared" si="268"/>
        <v>-60.256230634277017</v>
      </c>
      <c r="AA269" s="41">
        <f>'[2]побудинковий звіт'!AA269+'[1]побудинковий звіт'!AA269</f>
        <v>0</v>
      </c>
      <c r="AB269" s="41">
        <f>'[2]побудинковий звіт'!AB269+'[1]побудинковий звіт'!AB269</f>
        <v>0</v>
      </c>
      <c r="AC269" s="55">
        <f t="shared" si="269"/>
        <v>0</v>
      </c>
      <c r="AD269" s="41">
        <f>'[2]побудинковий звіт'!AD269+'[1]побудинковий звіт'!AD269</f>
        <v>19101.214885301932</v>
      </c>
      <c r="AE269" s="41">
        <f>'[2]побудинковий звіт'!AE269+'[1]побудинковий звіт'!AE269</f>
        <v>19620.610686680277</v>
      </c>
      <c r="AF269" s="36">
        <f t="shared" si="270"/>
        <v>519.39580137834491</v>
      </c>
      <c r="AG269" s="84">
        <f t="shared" si="271"/>
        <v>54422.923398203762</v>
      </c>
      <c r="AH269" s="56">
        <f t="shared" si="272"/>
        <v>55366.422125338126</v>
      </c>
      <c r="AI269" s="55">
        <f t="shared" si="273"/>
        <v>943.49872713436343</v>
      </c>
      <c r="AJ269" s="41">
        <f>'[2]побудинковий звіт'!AJ269+'[1]побудинковий звіт'!AJ269</f>
        <v>0</v>
      </c>
      <c r="AK269" s="41">
        <f>'[2]побудинковий звіт'!AK269+'[1]побудинковий звіт'!AK269</f>
        <v>0</v>
      </c>
      <c r="AL269" s="55">
        <f t="shared" si="274"/>
        <v>0</v>
      </c>
      <c r="AM269" s="41">
        <f>'[2]побудинковий звіт'!AM269+'[1]побудинковий звіт'!AM269</f>
        <v>0</v>
      </c>
      <c r="AN269" s="41">
        <f>'[2]побудинковий звіт'!AN269+'[1]побудинковий звіт'!AN269</f>
        <v>0</v>
      </c>
      <c r="AO269" s="55">
        <f t="shared" si="275"/>
        <v>0</v>
      </c>
      <c r="AP269" s="41">
        <f>'[2]побудинковий звіт'!AP269+'[1]побудинковий звіт'!AP269</f>
        <v>13224.482537784474</v>
      </c>
      <c r="AQ269" s="41">
        <f>'[2]побудинковий звіт'!AQ269+'[1]побудинковий звіт'!AQ269</f>
        <v>13898.934009735203</v>
      </c>
      <c r="AR269" s="55">
        <f t="shared" si="276"/>
        <v>674.45147195072968</v>
      </c>
      <c r="AS269" s="41">
        <f>'[2]побудинковий звіт'!AS269+'[1]побудинковий звіт'!AS269</f>
        <v>51516.943765796241</v>
      </c>
      <c r="AT269" s="41">
        <f>'[2]побудинковий звіт'!AT269+'[1]побудинковий звіт'!AT269</f>
        <v>141776.94026140828</v>
      </c>
      <c r="AU269" s="57">
        <f t="shared" si="277"/>
        <v>90259.996495612038</v>
      </c>
      <c r="AV269" s="41">
        <f>'[2]побудинковий звіт'!AV269+'[1]побудинковий звіт'!AV269</f>
        <v>2390.5317344002228</v>
      </c>
      <c r="AW269" s="41">
        <f>'[2]побудинковий звіт'!AW269+'[1]побудинковий звіт'!AW269</f>
        <v>978.53170462048797</v>
      </c>
      <c r="AX269" s="58">
        <f t="shared" si="278"/>
        <v>-1412.0000297797349</v>
      </c>
      <c r="AY269" s="41">
        <f>'[2]побудинковий звіт'!AY269+'[1]побудинковий звіт'!AY269</f>
        <v>3812.9204901633061</v>
      </c>
      <c r="AZ269" s="41">
        <f>'[2]побудинковий звіт'!AZ269+'[1]побудинковий звіт'!AZ269</f>
        <v>0</v>
      </c>
      <c r="BA269" s="36">
        <f t="shared" si="279"/>
        <v>-3812.9204901633061</v>
      </c>
      <c r="BB269" s="41">
        <f>'[2]побудинковий звіт'!BB269+'[1]побудинковий звіт'!BB269</f>
        <v>2862.3592787007296</v>
      </c>
      <c r="BC269" s="41">
        <f>'[2]побудинковий звіт'!BC269+'[1]побудинковий звіт'!BC269</f>
        <v>0</v>
      </c>
      <c r="BD269" s="58">
        <f t="shared" si="280"/>
        <v>-2862.3592787007296</v>
      </c>
      <c r="BE269" s="41">
        <f>'[2]побудинковий звіт'!BE269+'[1]побудинковий звіт'!BE269</f>
        <v>0</v>
      </c>
      <c r="BF269" s="41">
        <f>'[2]побудинковий звіт'!BF269+'[1]побудинковий звіт'!BF269</f>
        <v>0</v>
      </c>
      <c r="BG269" s="38">
        <f t="shared" si="281"/>
        <v>0</v>
      </c>
      <c r="BH269" s="41">
        <f>'[2]побудинковий звіт'!BH269+'[1]побудинковий звіт'!BH269</f>
        <v>165.40963195714954</v>
      </c>
      <c r="BI269" s="41">
        <f>'[2]побудинковий звіт'!BI269+'[1]побудинковий звіт'!BI269</f>
        <v>755.30966191292123</v>
      </c>
      <c r="BJ269" s="58">
        <f t="shared" si="282"/>
        <v>589.90002995577174</v>
      </c>
      <c r="BK269" s="41">
        <f>'[2]побудинковий звіт'!BK269+'[1]побудинковий звіт'!BK269</f>
        <v>1771.6629582026346</v>
      </c>
      <c r="BL269" s="41">
        <f>'[2]побудинковий звіт'!BL269+'[1]побудинковий звіт'!BL269</f>
        <v>0</v>
      </c>
      <c r="BM269" s="38">
        <f t="shared" si="283"/>
        <v>-1771.6629582026346</v>
      </c>
      <c r="BN269" s="41">
        <f>'[2]побудинковий звіт'!BN269+'[1]побудинковий звіт'!BN269</f>
        <v>134.5182847269663</v>
      </c>
      <c r="BO269" s="41">
        <f>'[2]побудинковий звіт'!BO269+'[1]побудинковий звіт'!BO269</f>
        <v>0</v>
      </c>
      <c r="BP269" s="58">
        <f t="shared" si="284"/>
        <v>-134.5182847269663</v>
      </c>
      <c r="BQ269" s="84">
        <f t="shared" si="285"/>
        <v>11137.402378151008</v>
      </c>
      <c r="BR269" s="42">
        <f t="shared" si="286"/>
        <v>1733.8413665334092</v>
      </c>
      <c r="BS269" s="58">
        <f t="shared" si="287"/>
        <v>-9403.5610116175994</v>
      </c>
      <c r="BT269" s="41">
        <f>'[2]побудинковий звіт'!BT269+'[1]побудинковий звіт'!BT269</f>
        <v>30562.191564516597</v>
      </c>
      <c r="BU269" s="41">
        <f>'[2]побудинковий звіт'!BU269+'[1]побудинковий звіт'!BU269</f>
        <v>55684.405591302711</v>
      </c>
      <c r="BV269" s="55">
        <f t="shared" si="288"/>
        <v>25122.214026786114</v>
      </c>
      <c r="BW269" s="41">
        <f>'[2]побудинковий звіт'!BW269+'[1]побудинковий звіт'!BW269</f>
        <v>22648.466901355598</v>
      </c>
      <c r="BX269" s="41">
        <f>'[2]побудинковий звіт'!BX269+'[1]побудинковий звіт'!BX269</f>
        <v>26952.370885314667</v>
      </c>
      <c r="BY269" s="55">
        <f t="shared" si="289"/>
        <v>4303.9039839590696</v>
      </c>
      <c r="BZ269" s="41">
        <f>'[2]побудинковий звіт'!BZ269+'[1]побудинковий звіт'!BZ269</f>
        <v>14217.686818418151</v>
      </c>
      <c r="CA269" s="41">
        <f>'[2]побудинковий звіт'!CA269+'[1]побудинковий звіт'!CA269</f>
        <v>5289.1264091248795</v>
      </c>
      <c r="CB269" s="55">
        <f t="shared" si="290"/>
        <v>-8928.5604092932717</v>
      </c>
      <c r="CC269" s="41">
        <f>'[2]побудинковий звіт'!CC269+'[1]побудинковий звіт'!CC269</f>
        <v>2104.8208241371358</v>
      </c>
      <c r="CD269" s="41">
        <f>'[2]побудинковий звіт'!CD269+'[1]побудинковий звіт'!CD269</f>
        <v>2111.9580367723456</v>
      </c>
      <c r="CE269" s="55">
        <f t="shared" si="291"/>
        <v>7.1372126352098348</v>
      </c>
      <c r="CF269" s="41">
        <f>'[2]побудинковий звіт'!CF269+'[1]побудинковий звіт'!CF269</f>
        <v>260.77611259811795</v>
      </c>
      <c r="CG269" s="41">
        <f>'[2]побудинковий звіт'!CG269+'[1]побудинковий звіт'!CG269</f>
        <v>0</v>
      </c>
      <c r="CH269" s="55">
        <f t="shared" si="292"/>
        <v>-260.77611259811795</v>
      </c>
      <c r="CI269" s="41">
        <f>'[2]побудинковий звіт'!CI269+'[1]побудинковий звіт'!CI269</f>
        <v>5990.8179184559012</v>
      </c>
      <c r="CJ269" s="41">
        <f>'[2]побудинковий звіт'!CJ269+'[1]побудинковий звіт'!CJ269</f>
        <v>5685.3356820893177</v>
      </c>
      <c r="CK269" s="55">
        <f t="shared" si="293"/>
        <v>-305.48223636658349</v>
      </c>
      <c r="CL269" s="41">
        <f>'[2]побудинковий звіт'!CL269+'[1]побудинковий звіт'!CL269</f>
        <v>0</v>
      </c>
      <c r="CM269" s="41">
        <f>'[2]побудинковий звіт'!CM269+'[1]побудинковий звіт'!CM269</f>
        <v>0</v>
      </c>
      <c r="CN269" s="55">
        <f t="shared" si="294"/>
        <v>0</v>
      </c>
      <c r="CO269" s="41">
        <f t="shared" si="295"/>
        <v>5990.8179184559012</v>
      </c>
      <c r="CP269" s="42">
        <f t="shared" si="296"/>
        <v>5685.3356820893177</v>
      </c>
      <c r="CQ269" s="55">
        <f t="shared" si="297"/>
        <v>-305.48223636658349</v>
      </c>
      <c r="CR269" s="76">
        <f t="shared" si="298"/>
        <v>206086.51221941697</v>
      </c>
      <c r="CS269" s="5">
        <f t="shared" si="299"/>
        <v>308499.3343676189</v>
      </c>
      <c r="CT269" s="55">
        <f t="shared" si="300"/>
        <v>102412.82214820193</v>
      </c>
      <c r="CU269" s="84">
        <f t="shared" si="301"/>
        <v>247303.81466330035</v>
      </c>
      <c r="CV269" s="68">
        <f t="shared" si="302"/>
        <v>370199.20124114264</v>
      </c>
      <c r="CW269" s="36">
        <f t="shared" si="303"/>
        <v>122895.38657784229</v>
      </c>
      <c r="CX269" s="41">
        <f>'[2]побудинковий звіт'!CX269+'[1]побудинковий звіт'!CX269</f>
        <v>12196.510812500161</v>
      </c>
      <c r="CY269" s="41">
        <f>'[2]побудинковий звіт'!CY269+'[1]побудинковий звіт'!CY269</f>
        <v>-113802.03576534212</v>
      </c>
      <c r="CZ269" s="55">
        <f t="shared" si="304"/>
        <v>-125998.54657784228</v>
      </c>
      <c r="DA269" s="254">
        <f>'[1]побудинковий звіт'!DA269</f>
        <v>86937.719147165713</v>
      </c>
      <c r="DB269" s="2">
        <v>2</v>
      </c>
      <c r="DC269" s="702">
        <f>'[1]побудинковий звіт'!DC269</f>
        <v>88880.44</v>
      </c>
      <c r="DD269" s="702">
        <f>'[1]побудинковий звіт'!DD269</f>
        <v>27798.84</v>
      </c>
      <c r="DE269" s="702">
        <f>'[1]побудинковий звіт'!DE269</f>
        <v>64430.590000000004</v>
      </c>
      <c r="DF269" s="702">
        <f>'[1]побудинковий звіт'!DF269</f>
        <v>23097.07</v>
      </c>
      <c r="DG269" s="772">
        <v>4142.5400790908607</v>
      </c>
      <c r="DH269" s="746">
        <f t="shared" si="251"/>
        <v>3114003.9057096061</v>
      </c>
      <c r="DI269" s="769"/>
      <c r="DJ269" s="5"/>
      <c r="DK269" s="307">
        <f>VLOOKUP($A269,ціни!$A$4:$G$401,5)</f>
        <v>4.7125515217207568</v>
      </c>
      <c r="DL269" s="307"/>
      <c r="DM269" s="307">
        <f>VLOOKUP($A269,ціни!$A$4:$G$401,7)</f>
        <v>4.1051637053992236</v>
      </c>
      <c r="DN269" s="29">
        <f t="shared" si="260"/>
        <v>17363.867336932301</v>
      </c>
      <c r="DO269" s="29">
        <f t="shared" si="305"/>
        <v>3313.2776266277133</v>
      </c>
      <c r="DP269" s="306">
        <f t="shared" si="252"/>
        <v>20677.144963560015</v>
      </c>
      <c r="DQ269" s="101"/>
      <c r="DR269" s="29">
        <f>VLOOKUP(A269,'ДЗ нас '!$A$1:$C$359,2)</f>
        <v>17364.07</v>
      </c>
      <c r="DS269" s="733">
        <f>VLOOKUP(A269,'ДЗ нежит'!$A$1:$D$153,4,0)</f>
        <v>3393.7899999999995</v>
      </c>
      <c r="DT269" s="29">
        <f t="shared" si="253"/>
        <v>20757.86</v>
      </c>
      <c r="DU269" s="247">
        <f>VLOOKUP(A269,'новий кошторис с 01.06'!$A$4:$AI$399,35)*1.2</f>
        <v>20605.948804894368</v>
      </c>
      <c r="DV269" s="29">
        <f t="shared" si="254"/>
        <v>151.91119510563294</v>
      </c>
      <c r="DW269" s="1016">
        <f>'[2]побудинковий звіт'!$DW$9+'[1]побудинковий звіт'!DW269</f>
        <v>1062</v>
      </c>
      <c r="DX269" s="101">
        <f>'[1]побудинковий звіт'!DX269</f>
        <v>0</v>
      </c>
      <c r="DY269" s="5">
        <f t="shared" si="255"/>
        <v>75185.215372736697</v>
      </c>
      <c r="DZ269" s="5">
        <f t="shared" si="256"/>
        <v>172212.93795353002</v>
      </c>
      <c r="EA269" s="737">
        <f t="shared" si="257"/>
        <v>87527.66</v>
      </c>
      <c r="EC269" s="577">
        <f t="shared" si="258"/>
        <v>618203.32518955483</v>
      </c>
      <c r="EE269" s="743">
        <v>29295</v>
      </c>
      <c r="EF269" s="723">
        <f t="shared" si="259"/>
        <v>33437.540079090861</v>
      </c>
      <c r="EH269" s="798">
        <v>-16782.40518385305</v>
      </c>
      <c r="EI269" s="101">
        <f>VLOOKUP(A269,'кошти 01.01.24'!$A$9:$D$352,4,FALSE)</f>
        <v>-35957.667430676665</v>
      </c>
    </row>
    <row r="270" spans="1:139" hidden="1" x14ac:dyDescent="0.3">
      <c r="A270" s="318">
        <v>150000809</v>
      </c>
      <c r="B270" s="43" t="s">
        <v>747</v>
      </c>
      <c r="C270" s="44" t="s">
        <v>299</v>
      </c>
      <c r="D270" s="44" t="s">
        <v>299</v>
      </c>
      <c r="E270" s="39">
        <f t="shared" si="262"/>
        <v>2575.88</v>
      </c>
      <c r="F270" s="205">
        <f>'[1]побудинковий звіт'!F270</f>
        <v>2137.38</v>
      </c>
      <c r="G270" s="29">
        <f>'[1]побудинковий звіт'!G270</f>
        <v>0</v>
      </c>
      <c r="H270" s="148">
        <f>'[1]побудинковий звіт'!H270</f>
        <v>438.5</v>
      </c>
      <c r="I270" s="41">
        <f>'[2]побудинковий звіт'!I270+'[1]побудинковий звіт'!I270</f>
        <v>8598.2609468320261</v>
      </c>
      <c r="J270" s="41">
        <f>'[2]побудинковий звіт'!J270+'[1]побудинковий звіт'!J270</f>
        <v>8850.5941400618431</v>
      </c>
      <c r="K270" s="55">
        <f t="shared" si="263"/>
        <v>252.33319322981697</v>
      </c>
      <c r="L270" s="41">
        <f>'[2]побудинковий звіт'!L270+'[1]побудинковий звіт'!L270</f>
        <v>1610.1772853094071</v>
      </c>
      <c r="M270" s="41">
        <f>'[2]побудинковий звіт'!M270+'[1]побудинковий звіт'!M270</f>
        <v>1685.847682870344</v>
      </c>
      <c r="N270" s="55">
        <f t="shared" si="264"/>
        <v>75.670397560936863</v>
      </c>
      <c r="O270" s="41">
        <f>'[2]побудинковий звіт'!O270+'[1]побудинковий звіт'!O270</f>
        <v>3687.5865088639493</v>
      </c>
      <c r="P270" s="41">
        <f>'[2]побудинковий звіт'!P270+'[1]побудинковий звіт'!P270</f>
        <v>3698.8131672252093</v>
      </c>
      <c r="Q270" s="55">
        <f t="shared" si="265"/>
        <v>11.226658361259979</v>
      </c>
      <c r="R270" s="41">
        <f>'[2]побудинковий звіт'!R270+'[1]побудинковий звіт'!R270</f>
        <v>0</v>
      </c>
      <c r="S270" s="41">
        <f>'[2]побудинковий звіт'!S270+'[1]побудинковий звіт'!S270</f>
        <v>0</v>
      </c>
      <c r="T270" s="55">
        <f t="shared" si="266"/>
        <v>0</v>
      </c>
      <c r="U270" s="41">
        <f>'[2]побудинковий звіт'!U270+'[1]побудинковий звіт'!U270</f>
        <v>93.550982792708538</v>
      </c>
      <c r="V270" s="41">
        <f>'[2]побудинковий звіт'!V270+'[1]побудинковий звіт'!V270</f>
        <v>53.972295431996749</v>
      </c>
      <c r="W270" s="55">
        <f t="shared" si="267"/>
        <v>-39.57868736071179</v>
      </c>
      <c r="X270" s="41">
        <f>'[2]побудинковий звіт'!X270+'[1]побудинковий звіт'!X270</f>
        <v>5059.0640173999072</v>
      </c>
      <c r="Y270" s="41">
        <f>'[2]побудинковий звіт'!Y270+'[1]побудинковий звіт'!Y270</f>
        <v>4952.8201822507745</v>
      </c>
      <c r="Z270" s="55">
        <f t="shared" si="268"/>
        <v>-106.24383514913279</v>
      </c>
      <c r="AA270" s="41">
        <f>'[2]побудинковий звіт'!AA270+'[1]побудинковий звіт'!AA270</f>
        <v>0</v>
      </c>
      <c r="AB270" s="41">
        <f>'[2]побудинковий звіт'!AB270+'[1]побудинковий звіт'!AB270</f>
        <v>0</v>
      </c>
      <c r="AC270" s="55">
        <f t="shared" si="269"/>
        <v>0</v>
      </c>
      <c r="AD270" s="41">
        <f>'[2]побудинковий звіт'!AD270+'[1]побудинковий звіт'!AD270</f>
        <v>11054.570130633063</v>
      </c>
      <c r="AE270" s="41">
        <f>'[2]побудинковий звіт'!AE270+'[1]побудинковий звіт'!AE270</f>
        <v>11016.050177068953</v>
      </c>
      <c r="AF270" s="36">
        <f t="shared" si="270"/>
        <v>-38.519953564109528</v>
      </c>
      <c r="AG270" s="84">
        <f t="shared" si="271"/>
        <v>30103.209871831063</v>
      </c>
      <c r="AH270" s="56">
        <f t="shared" si="272"/>
        <v>30258.097644909118</v>
      </c>
      <c r="AI270" s="55">
        <f t="shared" si="273"/>
        <v>154.88777307805503</v>
      </c>
      <c r="AJ270" s="41">
        <f>'[2]побудинковий звіт'!AJ270+'[1]побудинковий звіт'!AJ270</f>
        <v>0</v>
      </c>
      <c r="AK270" s="41">
        <f>'[2]побудинковий звіт'!AK270+'[1]побудинковий звіт'!AK270</f>
        <v>0</v>
      </c>
      <c r="AL270" s="55">
        <f t="shared" si="274"/>
        <v>0</v>
      </c>
      <c r="AM270" s="41">
        <f>'[2]побудинковий звіт'!AM270+'[1]побудинковий звіт'!AM270</f>
        <v>0</v>
      </c>
      <c r="AN270" s="41">
        <f>'[2]побудинковий звіт'!AN270+'[1]побудинковий звіт'!AN270</f>
        <v>0</v>
      </c>
      <c r="AO270" s="55">
        <f t="shared" si="275"/>
        <v>0</v>
      </c>
      <c r="AP270" s="41">
        <f>'[2]побудинковий звіт'!AP270+'[1]побудинковий звіт'!AP270</f>
        <v>6835.1258060459077</v>
      </c>
      <c r="AQ270" s="41">
        <f>'[2]побудинковий звіт'!AQ270+'[1]побудинковий звіт'!AQ270</f>
        <v>6095.0908116995051</v>
      </c>
      <c r="AR270" s="55">
        <f t="shared" si="276"/>
        <v>-740.03499434640253</v>
      </c>
      <c r="AS270" s="41">
        <f>'[2]побудинковий звіт'!AS270+'[1]побудинковий звіт'!AS270</f>
        <v>39134.618412967829</v>
      </c>
      <c r="AT270" s="41">
        <f>'[2]побудинковий звіт'!AT270+'[1]побудинковий звіт'!AT270</f>
        <v>13496.293993462696</v>
      </c>
      <c r="AU270" s="57">
        <f t="shared" si="277"/>
        <v>-25638.324419505134</v>
      </c>
      <c r="AV270" s="41">
        <f>'[2]побудинковий звіт'!AV270+'[1]побудинковий звіт'!AV270</f>
        <v>1424.0349168046132</v>
      </c>
      <c r="AW270" s="41">
        <f>'[2]побудинковий звіт'!AW270+'[1]побудинковий звіт'!AW270</f>
        <v>1924.558381233958</v>
      </c>
      <c r="AX270" s="58">
        <f t="shared" si="278"/>
        <v>500.52346442934481</v>
      </c>
      <c r="AY270" s="41">
        <f>'[2]побудинковий звіт'!AY270+'[1]побудинковий звіт'!AY270</f>
        <v>2097.7219949750242</v>
      </c>
      <c r="AZ270" s="41">
        <f>'[2]побудинковий звіт'!AZ270+'[1]побудинковий звіт'!AZ270</f>
        <v>4069.0025503700049</v>
      </c>
      <c r="BA270" s="36">
        <f t="shared" si="279"/>
        <v>1971.2805553949806</v>
      </c>
      <c r="BB270" s="41">
        <f>'[2]побудинковий звіт'!BB270+'[1]побудинковий звіт'!BB270</f>
        <v>1744.6595263512154</v>
      </c>
      <c r="BC270" s="41">
        <f>'[2]побудинковий звіт'!BC270+'[1]побудинковий звіт'!BC270</f>
        <v>0</v>
      </c>
      <c r="BD270" s="58">
        <f t="shared" si="280"/>
        <v>-1744.6595263512154</v>
      </c>
      <c r="BE270" s="41">
        <f>'[2]побудинковий звіт'!BE270+'[1]побудинковий звіт'!BE270</f>
        <v>0</v>
      </c>
      <c r="BF270" s="41">
        <f>'[2]побудинковий звіт'!BF270+'[1]побудинковий звіт'!BF270</f>
        <v>0</v>
      </c>
      <c r="BG270" s="38">
        <f t="shared" si="281"/>
        <v>0</v>
      </c>
      <c r="BH270" s="41">
        <f>'[2]побудинковий звіт'!BH270+'[1]побудинковий звіт'!BH270</f>
        <v>55.136543985716521</v>
      </c>
      <c r="BI270" s="41">
        <f>'[2]побудинковий звіт'!BI270+'[1]побудинковий звіт'!BI270</f>
        <v>0</v>
      </c>
      <c r="BJ270" s="58">
        <f t="shared" si="282"/>
        <v>-55.136543985716521</v>
      </c>
      <c r="BK270" s="41">
        <f>'[2]побудинковий звіт'!BK270+'[1]побудинковий звіт'!BK270</f>
        <v>879.37145516226724</v>
      </c>
      <c r="BL270" s="41">
        <f>'[2]побудинковий звіт'!BL270+'[1]побудинковий звіт'!BL270</f>
        <v>166.38317306659178</v>
      </c>
      <c r="BM270" s="38">
        <f t="shared" si="283"/>
        <v>-712.98828209567546</v>
      </c>
      <c r="BN270" s="41">
        <f>'[2]побудинковий звіт'!BN270+'[1]побудинковий звіт'!BN270</f>
        <v>51.416853700442587</v>
      </c>
      <c r="BO270" s="41">
        <f>'[2]побудинковий звіт'!BO270+'[1]побудинковий звіт'!BO270</f>
        <v>2823.3489029615021</v>
      </c>
      <c r="BP270" s="58">
        <f t="shared" si="284"/>
        <v>2771.9320492610595</v>
      </c>
      <c r="BQ270" s="84">
        <f t="shared" si="285"/>
        <v>6252.3412909792787</v>
      </c>
      <c r="BR270" s="42">
        <f t="shared" si="286"/>
        <v>8983.2930076320554</v>
      </c>
      <c r="BS270" s="58">
        <f t="shared" si="287"/>
        <v>2730.9517166527767</v>
      </c>
      <c r="BT270" s="41">
        <f>'[2]побудинковий звіт'!BT270+'[1]побудинковий звіт'!BT270</f>
        <v>20270.671084533944</v>
      </c>
      <c r="BU270" s="41">
        <f>'[2]побудинковий звіт'!BU270+'[1]побудинковий звіт'!BU270</f>
        <v>36246.22903807793</v>
      </c>
      <c r="BV270" s="55">
        <f t="shared" si="288"/>
        <v>15975.557953543987</v>
      </c>
      <c r="BW270" s="41">
        <f>'[2]побудинковий звіт'!BW270+'[1]побудинковий звіт'!BW270</f>
        <v>10076.398410818647</v>
      </c>
      <c r="BX270" s="41">
        <f>'[2]побудинковий звіт'!BX270+'[1]побудинковий звіт'!BX270</f>
        <v>12246.387002940661</v>
      </c>
      <c r="BY270" s="55">
        <f t="shared" si="289"/>
        <v>2169.9885921220139</v>
      </c>
      <c r="BZ270" s="41">
        <f>'[2]побудинковий звіт'!BZ270+'[1]побудинковий звіт'!BZ270</f>
        <v>12870.838009248666</v>
      </c>
      <c r="CA270" s="41">
        <f>'[2]побудинковий звіт'!CA270+'[1]побудинковий звіт'!CA270</f>
        <v>3193.3275919566017</v>
      </c>
      <c r="CB270" s="55">
        <f t="shared" si="290"/>
        <v>-9677.5104172920637</v>
      </c>
      <c r="CC270" s="41">
        <f>'[2]побудинковий звіт'!CC270+'[1]побудинковий звіт'!CC270</f>
        <v>0</v>
      </c>
      <c r="CD270" s="41">
        <f>'[2]побудинковий звіт'!CD270+'[1]побудинковий звіт'!CD270</f>
        <v>0</v>
      </c>
      <c r="CE270" s="55">
        <f t="shared" si="291"/>
        <v>0</v>
      </c>
      <c r="CF270" s="41">
        <f>'[2]побудинковий звіт'!CF270+'[1]побудинковий звіт'!CF270</f>
        <v>0</v>
      </c>
      <c r="CG270" s="41">
        <f>'[2]побудинковий звіт'!CG270+'[1]побудинковий звіт'!CG270</f>
        <v>0</v>
      </c>
      <c r="CH270" s="55">
        <f t="shared" si="292"/>
        <v>0</v>
      </c>
      <c r="CI270" s="41">
        <f>'[2]побудинковий звіт'!CI270+'[1]побудинковий звіт'!CI270</f>
        <v>6236.5591505107604</v>
      </c>
      <c r="CJ270" s="41">
        <f>'[2]побудинковий звіт'!CJ270+'[1]побудинковий звіт'!CJ270</f>
        <v>4187.3247412618521</v>
      </c>
      <c r="CK270" s="55">
        <f t="shared" si="293"/>
        <v>-2049.2344092489084</v>
      </c>
      <c r="CL270" s="41">
        <f>'[2]побудинковий звіт'!CL270+'[1]побудинковий звіт'!CL270</f>
        <v>0</v>
      </c>
      <c r="CM270" s="41">
        <f>'[2]побудинковий звіт'!CM270+'[1]побудинковий звіт'!CM270</f>
        <v>0</v>
      </c>
      <c r="CN270" s="55">
        <f t="shared" si="294"/>
        <v>0</v>
      </c>
      <c r="CO270" s="41">
        <f t="shared" si="295"/>
        <v>6236.5591505107604</v>
      </c>
      <c r="CP270" s="42">
        <f t="shared" si="296"/>
        <v>4187.3247412618521</v>
      </c>
      <c r="CQ270" s="55">
        <f t="shared" si="297"/>
        <v>-2049.2344092489084</v>
      </c>
      <c r="CR270" s="76">
        <f t="shared" si="298"/>
        <v>131779.7620369361</v>
      </c>
      <c r="CS270" s="5">
        <f t="shared" si="299"/>
        <v>114706.04383194042</v>
      </c>
      <c r="CT270" s="55">
        <f t="shared" si="300"/>
        <v>-17073.718204995675</v>
      </c>
      <c r="CU270" s="84">
        <f t="shared" si="301"/>
        <v>158135.7144443233</v>
      </c>
      <c r="CV270" s="68">
        <f t="shared" si="302"/>
        <v>137647.25259832849</v>
      </c>
      <c r="CW270" s="36">
        <f t="shared" si="303"/>
        <v>-20488.461845994811</v>
      </c>
      <c r="CX270" s="41">
        <f>'[2]побудинковий звіт'!CX270+'[1]побудинковий звіт'!CX270</f>
        <v>7342.195937564512</v>
      </c>
      <c r="CY270" s="41">
        <f>'[2]побудинковий звіт'!CY270+'[1]побудинковий звіт'!CY270</f>
        <v>27830.657783559313</v>
      </c>
      <c r="CZ270" s="55">
        <f t="shared" si="304"/>
        <v>20488.4618459948</v>
      </c>
      <c r="DA270" s="254">
        <f>'[1]побудинковий звіт'!DA270</f>
        <v>-79368.781077859865</v>
      </c>
      <c r="DB270" s="2">
        <v>2</v>
      </c>
      <c r="DC270" s="702">
        <f>'[1]побудинковий звіт'!DC270</f>
        <v>24481.1</v>
      </c>
      <c r="DD270" s="702">
        <f>'[1]побудинковий звіт'!DD270</f>
        <v>173.78</v>
      </c>
      <c r="DE270" s="702">
        <f>'[1]побудинковий звіт'!DE270</f>
        <v>9218.489999999998</v>
      </c>
      <c r="DF270" s="702">
        <f>'[1]побудинковий звіт'!DF270</f>
        <v>-2685.0099999999998</v>
      </c>
      <c r="DG270" s="772">
        <v>-46193.167761577293</v>
      </c>
      <c r="DH270" s="746">
        <f t="shared" si="251"/>
        <v>1985734.9245826537</v>
      </c>
      <c r="DI270" s="769"/>
      <c r="DJ270" s="5"/>
      <c r="DK270" s="307">
        <f>VLOOKUP($A270,ціни!$A$4:$G$401,5)</f>
        <v>5.1171917827416857</v>
      </c>
      <c r="DL270" s="307"/>
      <c r="DM270" s="307">
        <f>VLOOKUP($A270,ціни!$A$4:$G$401,7)</f>
        <v>4.6468125290441584</v>
      </c>
      <c r="DN270" s="29">
        <f t="shared" si="260"/>
        <v>10937.383372596425</v>
      </c>
      <c r="DO270" s="29">
        <f t="shared" si="305"/>
        <v>2037.6272939858634</v>
      </c>
      <c r="DP270" s="306">
        <f t="shared" si="252"/>
        <v>12975.010666582288</v>
      </c>
      <c r="DQ270" s="101"/>
      <c r="DR270" s="29">
        <f>VLOOKUP(A270,'ДЗ нас '!$A$1:$C$359,2)</f>
        <v>10937.34</v>
      </c>
      <c r="DS270" s="733">
        <f>VLOOKUP(A270,'ДЗ нежит'!$A$1:$D$153,4,0)</f>
        <v>2037.62</v>
      </c>
      <c r="DT270" s="29">
        <f t="shared" si="253"/>
        <v>12974.96</v>
      </c>
      <c r="DU270" s="247">
        <f>VLOOKUP(A270,'новий кошторис с 01.06'!$A$4:$AI$399,35)*1.2</f>
        <v>12886.900001771077</v>
      </c>
      <c r="DV270" s="29">
        <f t="shared" si="254"/>
        <v>88.059998228922268</v>
      </c>
      <c r="DW270" s="1016">
        <f>'[2]побудинковий звіт'!$DW$9+'[1]побудинковий звіт'!DW270</f>
        <v>1062</v>
      </c>
      <c r="DX270" s="101">
        <f>'[1]побудинковий звіт'!DX270</f>
        <v>0</v>
      </c>
      <c r="DY270" s="5">
        <f t="shared" si="255"/>
        <v>54464.351644736533</v>
      </c>
      <c r="DZ270" s="5">
        <f t="shared" si="256"/>
        <v>26975.504401313701</v>
      </c>
      <c r="EA270" s="737">
        <f t="shared" si="257"/>
        <v>6533.4799999999977</v>
      </c>
      <c r="EC270" s="577">
        <f t="shared" si="258"/>
        <v>469615.42095561395</v>
      </c>
      <c r="EE270" s="743">
        <v>62102</v>
      </c>
      <c r="EF270" s="723">
        <f t="shared" si="259"/>
        <v>15908.832238422707</v>
      </c>
      <c r="EH270" s="798">
        <v>-26931.414497108664</v>
      </c>
      <c r="EI270" s="101">
        <f>VLOOKUP(A270,'кошти 01.01.24'!$A$9:$D$352,4,FALSE)</f>
        <v>-58880.319231865054</v>
      </c>
    </row>
    <row r="271" spans="1:139" hidden="1" x14ac:dyDescent="0.3">
      <c r="A271" s="318">
        <v>150000810</v>
      </c>
      <c r="B271" s="43" t="s">
        <v>748</v>
      </c>
      <c r="C271" s="44" t="s">
        <v>300</v>
      </c>
      <c r="D271" s="44" t="s">
        <v>300</v>
      </c>
      <c r="E271" s="39">
        <f t="shared" si="262"/>
        <v>3000.29</v>
      </c>
      <c r="F271" s="205">
        <f>'[1]побудинковий звіт'!F271</f>
        <v>2551.9899999999998</v>
      </c>
      <c r="G271" s="29">
        <f>'[1]побудинковий звіт'!G271</f>
        <v>0</v>
      </c>
      <c r="H271" s="148">
        <f>'[1]побудинковий звіт'!H271</f>
        <v>448.3</v>
      </c>
      <c r="I271" s="41">
        <f>'[2]побудинковий звіт'!I271+'[1]побудинковий звіт'!I271</f>
        <v>10528.639299006041</v>
      </c>
      <c r="J271" s="41">
        <f>'[2]побудинковий звіт'!J271+'[1]побудинковий звіт'!J271</f>
        <v>10840.571396399318</v>
      </c>
      <c r="K271" s="55">
        <f t="shared" si="263"/>
        <v>311.93209739327722</v>
      </c>
      <c r="L271" s="41">
        <f>'[2]побудинковий звіт'!L271+'[1]побудинковий звіт'!L271</f>
        <v>2083.8943451578357</v>
      </c>
      <c r="M271" s="41">
        <f>'[2]побудинковий звіт'!M271+'[1]побудинковий звіт'!M271</f>
        <v>2181.7737446042438</v>
      </c>
      <c r="N271" s="55">
        <f t="shared" si="264"/>
        <v>97.879399446408115</v>
      </c>
      <c r="O271" s="41">
        <f>'[2]побудинковий звіт'!O271+'[1]побудинковий звіт'!O271</f>
        <v>3856.3901262067502</v>
      </c>
      <c r="P271" s="41">
        <f>'[2]побудинковий звіт'!P271+'[1]побудинковий звіт'!P271</f>
        <v>3866.300132849211</v>
      </c>
      <c r="Q271" s="55">
        <f t="shared" si="265"/>
        <v>9.9100066424607576</v>
      </c>
      <c r="R271" s="41">
        <f>'[2]побудинковий звіт'!R271+'[1]побудинковий звіт'!R271</f>
        <v>0</v>
      </c>
      <c r="S271" s="41">
        <f>'[2]побудинковий звіт'!S271+'[1]побудинковий звіт'!S271</f>
        <v>0</v>
      </c>
      <c r="T271" s="55">
        <f t="shared" si="266"/>
        <v>0</v>
      </c>
      <c r="U271" s="41">
        <f>'[2]побудинковий звіт'!U271+'[1]побудинковий звіт'!U271</f>
        <v>233.87745698177133</v>
      </c>
      <c r="V271" s="41">
        <f>'[2]побудинковий звіт'!V271+'[1]побудинковий звіт'!V271</f>
        <v>134.93073857999187</v>
      </c>
      <c r="W271" s="55">
        <f t="shared" si="267"/>
        <v>-98.946718401779464</v>
      </c>
      <c r="X271" s="41">
        <f>'[2]побудинковий звіт'!X271+'[1]побудинковий звіт'!X271</f>
        <v>6905.5655321069262</v>
      </c>
      <c r="Y271" s="41">
        <f>'[2]побудинковий звіт'!Y271+'[1]побудинковий звіт'!Y271</f>
        <v>6722.6489083248234</v>
      </c>
      <c r="Z271" s="55">
        <f t="shared" si="268"/>
        <v>-182.91662378210276</v>
      </c>
      <c r="AA271" s="41">
        <f>'[2]побудинковий звіт'!AA271+'[1]побудинковий звіт'!AA271</f>
        <v>0</v>
      </c>
      <c r="AB271" s="41">
        <f>'[2]побудинковий звіт'!AB271+'[1]побудинковий звіт'!AB271</f>
        <v>0</v>
      </c>
      <c r="AC271" s="55">
        <f t="shared" si="269"/>
        <v>0</v>
      </c>
      <c r="AD271" s="41">
        <f>'[2]побудинковий звіт'!AD271+'[1]побудинковий звіт'!AD271</f>
        <v>13007.688110466375</v>
      </c>
      <c r="AE271" s="41">
        <f>'[2]побудинковий звіт'!AE271+'[1]побудинковий звіт'!AE271</f>
        <v>12963.858303819739</v>
      </c>
      <c r="AF271" s="36">
        <f t="shared" si="270"/>
        <v>-43.829806646635916</v>
      </c>
      <c r="AG271" s="84">
        <f t="shared" si="271"/>
        <v>36616.054869925705</v>
      </c>
      <c r="AH271" s="56">
        <f t="shared" si="272"/>
        <v>36710.083224577327</v>
      </c>
      <c r="AI271" s="55">
        <f t="shared" si="273"/>
        <v>94.028354651622067</v>
      </c>
      <c r="AJ271" s="41">
        <f>'[2]побудинковий звіт'!AJ271+'[1]побудинковий звіт'!AJ271</f>
        <v>0</v>
      </c>
      <c r="AK271" s="41">
        <f>'[2]побудинковий звіт'!AK271+'[1]побудинковий звіт'!AK271</f>
        <v>0</v>
      </c>
      <c r="AL271" s="55">
        <f t="shared" si="274"/>
        <v>0</v>
      </c>
      <c r="AM271" s="41">
        <f>'[2]побудинковий звіт'!AM271+'[1]побудинковий звіт'!AM271</f>
        <v>0</v>
      </c>
      <c r="AN271" s="41">
        <f>'[2]побудинковий звіт'!AN271+'[1]побудинковий звіт'!AN271</f>
        <v>0</v>
      </c>
      <c r="AO271" s="55">
        <f t="shared" si="275"/>
        <v>0</v>
      </c>
      <c r="AP271" s="41">
        <f>'[2]побудинковий звіт'!AP271+'[1]побудинковий звіт'!AP271</f>
        <v>9509.740251889958</v>
      </c>
      <c r="AQ271" s="41">
        <f>'[2]побудинковий звіт'!AQ271+'[1]побудинковий звіт'!AQ271</f>
        <v>10144.523667321759</v>
      </c>
      <c r="AR271" s="55">
        <f t="shared" si="276"/>
        <v>634.78341543180068</v>
      </c>
      <c r="AS271" s="41">
        <f>'[2]побудинковий звіт'!AS271+'[1]побудинковий звіт'!AS271</f>
        <v>35036.581494791455</v>
      </c>
      <c r="AT271" s="41">
        <f>'[2]побудинковий звіт'!AT271+'[1]побудинковий звіт'!AT271</f>
        <v>10418.28783984296</v>
      </c>
      <c r="AU271" s="57">
        <f t="shared" si="277"/>
        <v>-24618.293654948495</v>
      </c>
      <c r="AV271" s="41">
        <f>'[2]побудинковий звіт'!AV271+'[1]побудинковий звіт'!AV271</f>
        <v>1668.1873439838773</v>
      </c>
      <c r="AW271" s="41">
        <f>'[2]побудинковий звіт'!AW271+'[1]побудинковий звіт'!AW271</f>
        <v>827.64827069082219</v>
      </c>
      <c r="AX271" s="58">
        <f t="shared" si="278"/>
        <v>-840.53907329305514</v>
      </c>
      <c r="AY271" s="41">
        <f>'[2]побудинковий звіт'!AY271+'[1]побудинковий звіт'!AY271</f>
        <v>2659.9801766323062</v>
      </c>
      <c r="AZ271" s="41">
        <f>'[2]побудинковий звіт'!AZ271+'[1]побудинковий звіт'!AZ271</f>
        <v>0</v>
      </c>
      <c r="BA271" s="36">
        <f t="shared" si="279"/>
        <v>-2659.9801766323062</v>
      </c>
      <c r="BB271" s="41">
        <f>'[2]побудинковий звіт'!BB271+'[1]побудинковий звіт'!BB271</f>
        <v>1689.7894757941829</v>
      </c>
      <c r="BC271" s="41">
        <f>'[2]побудинковий звіт'!BC271+'[1]побудинковий звіт'!BC271</f>
        <v>6139.6882044226613</v>
      </c>
      <c r="BD271" s="58">
        <f t="shared" si="280"/>
        <v>4449.8987286284782</v>
      </c>
      <c r="BE271" s="41">
        <f>'[2]побудинковий звіт'!BE271+'[1]побудинковий звіт'!BE271</f>
        <v>0</v>
      </c>
      <c r="BF271" s="41">
        <f>'[2]побудинковий звіт'!BF271+'[1]побудинковий звіт'!BF271</f>
        <v>0</v>
      </c>
      <c r="BG271" s="38">
        <f t="shared" si="281"/>
        <v>0</v>
      </c>
      <c r="BH271" s="41">
        <f>'[2]побудинковий звіт'!BH271+'[1]побудинковий звіт'!BH271</f>
        <v>137.84135996429129</v>
      </c>
      <c r="BI271" s="41">
        <f>'[2]побудинковий звіт'!BI271+'[1]побудинковий звіт'!BI271</f>
        <v>0</v>
      </c>
      <c r="BJ271" s="58">
        <f t="shared" si="282"/>
        <v>-137.84135996429129</v>
      </c>
      <c r="BK271" s="41">
        <f>'[2]побудинковий звіт'!BK271+'[1]побудинковий звіт'!BK271</f>
        <v>1267.0092849100051</v>
      </c>
      <c r="BL271" s="41">
        <f>'[2]побудинковий звіт'!BL271+'[1]побудинковий звіт'!BL271</f>
        <v>2422.0845783130308</v>
      </c>
      <c r="BM271" s="38">
        <f t="shared" si="283"/>
        <v>1155.0752934030256</v>
      </c>
      <c r="BN271" s="41">
        <f>'[2]побудинковий звіт'!BN271+'[1]побудинковий звіт'!BN271</f>
        <v>36.264724147475064</v>
      </c>
      <c r="BO271" s="41">
        <f>'[2]побудинковий звіт'!BO271+'[1]побудинковий звіт'!BO271</f>
        <v>3201.0891275874701</v>
      </c>
      <c r="BP271" s="58">
        <f t="shared" si="284"/>
        <v>3164.824403439995</v>
      </c>
      <c r="BQ271" s="84">
        <f t="shared" si="285"/>
        <v>7459.0723654321373</v>
      </c>
      <c r="BR271" s="42">
        <f t="shared" si="286"/>
        <v>12590.510181013986</v>
      </c>
      <c r="BS271" s="58">
        <f t="shared" si="287"/>
        <v>5131.4378155818486</v>
      </c>
      <c r="BT271" s="41">
        <f>'[2]побудинковий звіт'!BT271+'[1]побудинковий звіт'!BT271</f>
        <v>23273.818472895189</v>
      </c>
      <c r="BU271" s="41">
        <f>'[2]побудинковий звіт'!BU271+'[1]побудинковий звіт'!BU271</f>
        <v>42766.739651272801</v>
      </c>
      <c r="BV271" s="55">
        <f t="shared" si="288"/>
        <v>19492.921178377612</v>
      </c>
      <c r="BW271" s="41">
        <f>'[2]побудинковий звіт'!BW271+'[1]побудинковий звіт'!BW271</f>
        <v>13075.582097131144</v>
      </c>
      <c r="BX271" s="41">
        <f>'[2]побудинковий звіт'!BX271+'[1]побудинковий звіт'!BX271</f>
        <v>15465.715961563301</v>
      </c>
      <c r="BY271" s="55">
        <f t="shared" si="289"/>
        <v>2390.1338644321568</v>
      </c>
      <c r="BZ271" s="41">
        <f>'[2]побудинковий звіт'!BZ271+'[1]побудинковий звіт'!BZ271</f>
        <v>12357.090123833827</v>
      </c>
      <c r="CA271" s="41">
        <f>'[2]побудинковий звіт'!CA271+'[1]побудинковий звіт'!CA271</f>
        <v>3389.550653710261</v>
      </c>
      <c r="CB271" s="55">
        <f t="shared" si="290"/>
        <v>-8967.5394701235655</v>
      </c>
      <c r="CC271" s="41">
        <f>'[2]побудинковий звіт'!CC271+'[1]побудинковий звіт'!CC271</f>
        <v>0</v>
      </c>
      <c r="CD271" s="41">
        <f>'[2]побудинковий звіт'!CD271+'[1]побудинковий звіт'!CD271</f>
        <v>0</v>
      </c>
      <c r="CE271" s="55">
        <f t="shared" si="291"/>
        <v>0</v>
      </c>
      <c r="CF271" s="41">
        <f>'[2]побудинковий звіт'!CF271+'[1]побудинковий звіт'!CF271</f>
        <v>0</v>
      </c>
      <c r="CG271" s="41">
        <f>'[2]побудинковий звіт'!CG271+'[1]побудинковий звіт'!CG271</f>
        <v>0</v>
      </c>
      <c r="CH271" s="55">
        <f t="shared" si="292"/>
        <v>0</v>
      </c>
      <c r="CI271" s="41">
        <f>'[2]побудинковий звіт'!CI271+'[1]побудинковий звіт'!CI271</f>
        <v>4200.4712431549842</v>
      </c>
      <c r="CJ271" s="41">
        <f>'[2]побудинковий звіт'!CJ271+'[1]побудинковий звіт'!CJ271</f>
        <v>3513.8780668147992</v>
      </c>
      <c r="CK271" s="55">
        <f t="shared" si="293"/>
        <v>-686.59317634018498</v>
      </c>
      <c r="CL271" s="41">
        <f>'[2]побудинковий звіт'!CL271+'[1]побудинковий звіт'!CL271</f>
        <v>0</v>
      </c>
      <c r="CM271" s="41">
        <f>'[2]побудинковий звіт'!CM271+'[1]побудинковий звіт'!CM271</f>
        <v>0</v>
      </c>
      <c r="CN271" s="55">
        <f t="shared" si="294"/>
        <v>0</v>
      </c>
      <c r="CO271" s="41">
        <f t="shared" si="295"/>
        <v>4200.4712431549842</v>
      </c>
      <c r="CP271" s="42">
        <f t="shared" si="296"/>
        <v>3513.8780668147992</v>
      </c>
      <c r="CQ271" s="55">
        <f t="shared" si="297"/>
        <v>-686.59317634018498</v>
      </c>
      <c r="CR271" s="76">
        <f t="shared" si="298"/>
        <v>141528.41091905441</v>
      </c>
      <c r="CS271" s="5">
        <f t="shared" si="299"/>
        <v>134999.28924611717</v>
      </c>
      <c r="CT271" s="55">
        <f t="shared" si="300"/>
        <v>-6529.1216729372391</v>
      </c>
      <c r="CU271" s="84">
        <f t="shared" si="301"/>
        <v>169834.0931028653</v>
      </c>
      <c r="CV271" s="68">
        <f t="shared" si="302"/>
        <v>161999.1470953406</v>
      </c>
      <c r="CW271" s="36">
        <f t="shared" si="303"/>
        <v>-7834.9460075247043</v>
      </c>
      <c r="CX271" s="41">
        <f>'[2]побудинковий звіт'!CX271+'[1]побудинковий звіт'!CX271</f>
        <v>7883.6550829579828</v>
      </c>
      <c r="CY271" s="41">
        <f>'[2]побудинковий звіт'!CY271+'[1]побудинковий звіт'!CY271</f>
        <v>15718.601090482622</v>
      </c>
      <c r="CZ271" s="55">
        <f t="shared" si="304"/>
        <v>7834.9460075246388</v>
      </c>
      <c r="DA271" s="254">
        <f>'[1]побудинковий звіт'!DA271</f>
        <v>-52213.331298868805</v>
      </c>
      <c r="DB271" s="2">
        <v>2</v>
      </c>
      <c r="DC271" s="702">
        <f>'[1]побудинковий звіт'!DC271</f>
        <v>65404.42</v>
      </c>
      <c r="DD271" s="702">
        <f>'[1]побудинковий звіт'!DD271</f>
        <v>5289.29</v>
      </c>
      <c r="DE271" s="702">
        <f>'[1]побудинковий звіт'!DE271</f>
        <v>48477.599999999999</v>
      </c>
      <c r="DF271" s="702">
        <f>'[1]побудинковий звіт'!DF271</f>
        <v>2604.4699999999998</v>
      </c>
      <c r="DG271" s="772">
        <v>-1686.037702712405</v>
      </c>
      <c r="DH271" s="746">
        <f t="shared" si="251"/>
        <v>2132612.9782298794</v>
      </c>
      <c r="DI271" s="769"/>
      <c r="DJ271" s="5"/>
      <c r="DK271" s="307">
        <f>VLOOKUP($A271,ціни!$A$4:$G$401,5)</f>
        <v>4.712047123641339</v>
      </c>
      <c r="DL271" s="307"/>
      <c r="DM271" s="307">
        <f>VLOOKUP($A271,ціни!$A$4:$G$401,7)</f>
        <v>4.1965383325561358</v>
      </c>
      <c r="DN271" s="29">
        <f t="shared" si="260"/>
        <v>12025.09713906146</v>
      </c>
      <c r="DO271" s="29">
        <f t="shared" si="305"/>
        <v>1881.3081344849159</v>
      </c>
      <c r="DP271" s="306">
        <f t="shared" si="252"/>
        <v>13906.405273546376</v>
      </c>
      <c r="DQ271" s="101"/>
      <c r="DR271" s="29">
        <f>VLOOKUP(A271,'ДЗ нас '!$A$1:$C$359,2)</f>
        <v>12024.99</v>
      </c>
      <c r="DS271" s="733">
        <f>VLOOKUP(A271,'ДЗ нежит'!$A$1:$D$153,4,0)</f>
        <v>1881.29</v>
      </c>
      <c r="DT271" s="29">
        <f t="shared" si="253"/>
        <v>13906.279999999999</v>
      </c>
      <c r="DU271" s="247">
        <f>VLOOKUP(A271,'новий кошторис с 01.06'!$A$4:$AI$399,35)*1.2</f>
        <v>14019.889736641517</v>
      </c>
      <c r="DV271" s="29">
        <f t="shared" si="254"/>
        <v>-113.60973664151788</v>
      </c>
      <c r="DW271" s="1016">
        <f>'[2]побудинковий звіт'!$DW$9+'[1]побудинковий звіт'!DW271</f>
        <v>1062</v>
      </c>
      <c r="DX271" s="101">
        <f>'[1]побудинковий звіт'!DX271</f>
        <v>0</v>
      </c>
      <c r="DY271" s="5">
        <f t="shared" si="255"/>
        <v>50994.784632268311</v>
      </c>
      <c r="DZ271" s="5">
        <f t="shared" si="256"/>
        <v>27610.557625028334</v>
      </c>
      <c r="EA271" s="737">
        <f t="shared" si="257"/>
        <v>51082.07</v>
      </c>
      <c r="EC271" s="577">
        <f t="shared" si="258"/>
        <v>420438.97793749743</v>
      </c>
      <c r="EE271" s="743">
        <v>37754</v>
      </c>
      <c r="EF271" s="723">
        <f t="shared" si="259"/>
        <v>36067.962297287595</v>
      </c>
      <c r="EH271" s="798">
        <v>-24594.647770305506</v>
      </c>
      <c r="EI271" s="101">
        <f>VLOOKUP(A271,'кошти 01.01.24'!$A$9:$D$352,4,FALSE)</f>
        <v>-44378.385291344151</v>
      </c>
    </row>
    <row r="272" spans="1:139" hidden="1" x14ac:dyDescent="0.3">
      <c r="A272" s="318">
        <v>150000811</v>
      </c>
      <c r="B272" s="43" t="s">
        <v>749</v>
      </c>
      <c r="C272" s="44" t="s">
        <v>301</v>
      </c>
      <c r="D272" s="44" t="s">
        <v>301</v>
      </c>
      <c r="E272" s="39">
        <f t="shared" si="262"/>
        <v>2617.6</v>
      </c>
      <c r="F272" s="205">
        <f>'[1]побудинковий звіт'!F272</f>
        <v>2563.4</v>
      </c>
      <c r="G272" s="29">
        <f>'[1]побудинковий звіт'!G272</f>
        <v>0</v>
      </c>
      <c r="H272" s="148">
        <f>'[1]побудинковий звіт'!H272</f>
        <v>54.2</v>
      </c>
      <c r="I272" s="41">
        <f>'[2]побудинковий звіт'!I272+'[1]побудинковий звіт'!I272</f>
        <v>9553.4936182217389</v>
      </c>
      <c r="J272" s="41">
        <f>'[2]побудинковий звіт'!J272+'[1]побудинковий звіт'!J272</f>
        <v>9815.8438351321674</v>
      </c>
      <c r="K272" s="55">
        <f t="shared" si="263"/>
        <v>262.35021691042857</v>
      </c>
      <c r="L272" s="41">
        <f>'[2]побудинковий звіт'!L272+'[1]побудинковий звіт'!L272</f>
        <v>1615.8987902955002</v>
      </c>
      <c r="M272" s="41">
        <f>'[2]побудинковий звіт'!M272+'[1]побудинковий звіт'!M272</f>
        <v>1695.1280475536139</v>
      </c>
      <c r="N272" s="55">
        <f t="shared" si="264"/>
        <v>79.229257258113648</v>
      </c>
      <c r="O272" s="41">
        <f>'[2]побудинковий звіт'!O272+'[1]побудинковий звіт'!O272</f>
        <v>3749.8931648684597</v>
      </c>
      <c r="P272" s="41">
        <f>'[2]побудинковий звіт'!P272+'[1]побудинковий звіт'!P272</f>
        <v>3760.6654367036413</v>
      </c>
      <c r="Q272" s="55">
        <f t="shared" si="265"/>
        <v>10.772271835181527</v>
      </c>
      <c r="R272" s="41">
        <f>'[2]побудинковий звіт'!R272+'[1]побудинковий звіт'!R272</f>
        <v>0</v>
      </c>
      <c r="S272" s="41">
        <f>'[2]побудинковий звіт'!S272+'[1]побудинковий звіт'!S272</f>
        <v>0</v>
      </c>
      <c r="T272" s="55">
        <f t="shared" si="266"/>
        <v>0</v>
      </c>
      <c r="U272" s="41">
        <f>'[2]побудинковий звіт'!U272+'[1]побудинковий звіт'!U272</f>
        <v>187.10196558541708</v>
      </c>
      <c r="V272" s="41">
        <f>'[2]побудинковий звіт'!V272+'[1]побудинковий звіт'!V272</f>
        <v>107.9445908639935</v>
      </c>
      <c r="W272" s="55">
        <f t="shared" si="267"/>
        <v>-79.157374721423579</v>
      </c>
      <c r="X272" s="41">
        <f>'[2]побудинковий звіт'!X272+'[1]побудинковий звіт'!X272</f>
        <v>5359.3470196139342</v>
      </c>
      <c r="Y272" s="41">
        <f>'[2]побудинковий звіт'!Y272+'[1]побудинковий звіт'!Y272</f>
        <v>5146.6560462957359</v>
      </c>
      <c r="Z272" s="55">
        <f t="shared" si="268"/>
        <v>-212.6909733181983</v>
      </c>
      <c r="AA272" s="41">
        <f>'[2]побудинковий звіт'!AA272+'[1]побудинковий звіт'!AA272</f>
        <v>0</v>
      </c>
      <c r="AB272" s="41">
        <f>'[2]побудинковий звіт'!AB272+'[1]побудинковий звіт'!AB272</f>
        <v>0</v>
      </c>
      <c r="AC272" s="55">
        <f t="shared" si="269"/>
        <v>0</v>
      </c>
      <c r="AD272" s="41">
        <f>'[2]побудинковий звіт'!AD272+'[1]побудинковий звіт'!AD272</f>
        <v>11304.404302199233</v>
      </c>
      <c r="AE272" s="41">
        <f>'[2]побудинковий звіт'!AE272+'[1]побудинковий звіт'!AE272</f>
        <v>11304.364644626501</v>
      </c>
      <c r="AF272" s="36">
        <f t="shared" si="270"/>
        <v>-3.9657572731812252E-2</v>
      </c>
      <c r="AG272" s="84">
        <f t="shared" si="271"/>
        <v>31770.138860784282</v>
      </c>
      <c r="AH272" s="56">
        <f t="shared" si="272"/>
        <v>31830.602601175651</v>
      </c>
      <c r="AI272" s="55">
        <f t="shared" si="273"/>
        <v>60.463740391369356</v>
      </c>
      <c r="AJ272" s="41">
        <f>'[2]побудинковий звіт'!AJ272+'[1]побудинковий звіт'!AJ272</f>
        <v>0</v>
      </c>
      <c r="AK272" s="41">
        <f>'[2]побудинковий звіт'!AK272+'[1]побудинковий звіт'!AK272</f>
        <v>0</v>
      </c>
      <c r="AL272" s="55">
        <f t="shared" si="274"/>
        <v>0</v>
      </c>
      <c r="AM272" s="41">
        <f>'[2]побудинковий звіт'!AM272+'[1]побудинковий звіт'!AM272</f>
        <v>0</v>
      </c>
      <c r="AN272" s="41">
        <f>'[2]побудинковий звіт'!AN272+'[1]побудинковий звіт'!AN272</f>
        <v>0</v>
      </c>
      <c r="AO272" s="55">
        <f t="shared" si="275"/>
        <v>0</v>
      </c>
      <c r="AP272" s="41">
        <f>'[2]побудинковий звіт'!AP272+'[1]побудинковий звіт'!AP272</f>
        <v>8766.7917947110527</v>
      </c>
      <c r="AQ272" s="41">
        <f>'[2]побудинковий звіт'!AQ272+'[1]побудинковий звіт'!AQ272</f>
        <v>8181.0606157232396</v>
      </c>
      <c r="AR272" s="55">
        <f t="shared" si="276"/>
        <v>-585.73117898781311</v>
      </c>
      <c r="AS272" s="41">
        <f>'[2]побудинковий звіт'!AS272+'[1]побудинковий звіт'!AS272</f>
        <v>39986.803238613851</v>
      </c>
      <c r="AT272" s="41">
        <f>'[2]побудинковий звіт'!AT272+'[1]побудинковий звіт'!AT272</f>
        <v>30619.510709616923</v>
      </c>
      <c r="AU272" s="57">
        <f t="shared" si="277"/>
        <v>-9367.292528996928</v>
      </c>
      <c r="AV272" s="41">
        <f>'[2]побудинковий звіт'!AV272+'[1]побудинковий звіт'!AV272</f>
        <v>1517.5646956833396</v>
      </c>
      <c r="AW272" s="41">
        <f>'[2]побудинковий звіт'!AW272+'[1]побудинковий звіт'!AW272</f>
        <v>0</v>
      </c>
      <c r="AX272" s="58">
        <f t="shared" si="278"/>
        <v>-1517.5646956833396</v>
      </c>
      <c r="AY272" s="41">
        <f>'[2]побудинковий звіт'!AY272+'[1]побудинковий звіт'!AY272</f>
        <v>1937.0389465384073</v>
      </c>
      <c r="AZ272" s="41">
        <f>'[2]побудинковий звіт'!AZ272+'[1]побудинковий звіт'!AZ272</f>
        <v>0</v>
      </c>
      <c r="BA272" s="36">
        <f t="shared" si="279"/>
        <v>-1937.0389465384073</v>
      </c>
      <c r="BB272" s="41">
        <f>'[2]побудинковий звіт'!BB272+'[1]побудинковий звіт'!BB272</f>
        <v>1921.3260897408413</v>
      </c>
      <c r="BC272" s="41">
        <f>'[2]побудинковий звіт'!BC272+'[1]побудинковий звіт'!BC272</f>
        <v>0</v>
      </c>
      <c r="BD272" s="58">
        <f t="shared" si="280"/>
        <v>-1921.3260897408413</v>
      </c>
      <c r="BE272" s="41">
        <f>'[2]побудинковий звіт'!BE272+'[1]побудинковий звіт'!BE272</f>
        <v>0</v>
      </c>
      <c r="BF272" s="41">
        <f>'[2]побудинковий звіт'!BF272+'[1]побудинковий звіт'!BF272</f>
        <v>0</v>
      </c>
      <c r="BG272" s="38">
        <f t="shared" si="281"/>
        <v>0</v>
      </c>
      <c r="BH272" s="41">
        <f>'[2]побудинковий звіт'!BH272+'[1]побудинковий звіт'!BH272</f>
        <v>110.27308797143304</v>
      </c>
      <c r="BI272" s="41">
        <f>'[2]побудинковий звіт'!BI272+'[1]побудинковий звіт'!BI272</f>
        <v>978.23542855730432</v>
      </c>
      <c r="BJ272" s="58">
        <f t="shared" si="282"/>
        <v>867.96234058587129</v>
      </c>
      <c r="BK272" s="41">
        <f>'[2]побудинковий звіт'!BK272+'[1]побудинковий звіт'!BK272</f>
        <v>895.39819027629494</v>
      </c>
      <c r="BL272" s="41">
        <f>'[2]побудинковий звіт'!BL272+'[1]побудинковий звіт'!BL272</f>
        <v>0</v>
      </c>
      <c r="BM272" s="38">
        <f t="shared" si="283"/>
        <v>-895.39819027629494</v>
      </c>
      <c r="BN272" s="41">
        <f>'[2]побудинковий звіт'!BN272+'[1]побудинковий звіт'!BN272</f>
        <v>35.072631139167051</v>
      </c>
      <c r="BO272" s="41">
        <f>'[2]побудинковий звіт'!BO272+'[1]побудинковий звіт'!BO272</f>
        <v>2962.0098678149147</v>
      </c>
      <c r="BP272" s="58">
        <f t="shared" si="284"/>
        <v>2926.9372366757475</v>
      </c>
      <c r="BQ272" s="84">
        <f t="shared" si="285"/>
        <v>6416.6736413494828</v>
      </c>
      <c r="BR272" s="42">
        <f t="shared" si="286"/>
        <v>3940.2452963722189</v>
      </c>
      <c r="BS272" s="58">
        <f t="shared" si="287"/>
        <v>-2476.4283449772638</v>
      </c>
      <c r="BT272" s="41">
        <f>'[2]побудинковий звіт'!BT272+'[1]побудинковий звіт'!BT272</f>
        <v>32732.983157642484</v>
      </c>
      <c r="BU272" s="41">
        <f>'[2]побудинковий звіт'!BU272+'[1]побудинковий звіт'!BU272</f>
        <v>64894.446755393277</v>
      </c>
      <c r="BV272" s="55">
        <f t="shared" si="288"/>
        <v>32161.463597750793</v>
      </c>
      <c r="BW272" s="41">
        <f>'[2]побудинковий звіт'!BW272+'[1]побудинковий звіт'!BW272</f>
        <v>14449.443824504089</v>
      </c>
      <c r="BX272" s="41">
        <f>'[2]побудинковий звіт'!BX272+'[1]побудинковий звіт'!BX272</f>
        <v>16324.039702071865</v>
      </c>
      <c r="BY272" s="55">
        <f t="shared" si="289"/>
        <v>1874.5958775677755</v>
      </c>
      <c r="BZ272" s="41">
        <f>'[2]побудинковий звіт'!BZ272+'[1]побудинковий звіт'!BZ272</f>
        <v>16653.520024524641</v>
      </c>
      <c r="CA272" s="41">
        <f>'[2]побудинковий звіт'!CA272+'[1]побудинковий звіт'!CA272</f>
        <v>4509.4500343142208</v>
      </c>
      <c r="CB272" s="55">
        <f t="shared" si="290"/>
        <v>-12144.069990210421</v>
      </c>
      <c r="CC272" s="41">
        <f>'[2]побудинковий звіт'!CC272+'[1]побудинковий звіт'!CC272</f>
        <v>1415.9370610073836</v>
      </c>
      <c r="CD272" s="41">
        <f>'[2]побудинковий звіт'!CD272+'[1]побудинковий звіт'!CD272</f>
        <v>1420.7383456424441</v>
      </c>
      <c r="CE272" s="55">
        <f t="shared" si="291"/>
        <v>4.8012846350604832</v>
      </c>
      <c r="CF272" s="41">
        <f>'[2]побудинковий звіт'!CF272+'[1]побудинковий звіт'!CF272</f>
        <v>175.42707589111754</v>
      </c>
      <c r="CG272" s="41">
        <f>'[2]побудинковий звіт'!CG272+'[1]побудинковий звіт'!CG272</f>
        <v>0</v>
      </c>
      <c r="CH272" s="55">
        <f t="shared" si="292"/>
        <v>-175.42707589111754</v>
      </c>
      <c r="CI272" s="41">
        <f>'[2]побудинковий звіт'!CI272+'[1]побудинковий звіт'!CI272</f>
        <v>2717.4383182441588</v>
      </c>
      <c r="CJ272" s="41">
        <f>'[2]побудинковий звіт'!CJ272+'[1]побудинковий звіт'!CJ272</f>
        <v>1857.414775077928</v>
      </c>
      <c r="CK272" s="55">
        <f t="shared" si="293"/>
        <v>-860.02354316623087</v>
      </c>
      <c r="CL272" s="41">
        <f>'[2]побудинковий звіт'!CL272+'[1]побудинковий звіт'!CL272</f>
        <v>0</v>
      </c>
      <c r="CM272" s="41">
        <f>'[2]побудинковий звіт'!CM272+'[1]побудинковий звіт'!CM272</f>
        <v>0</v>
      </c>
      <c r="CN272" s="55">
        <f t="shared" si="294"/>
        <v>0</v>
      </c>
      <c r="CO272" s="41">
        <f t="shared" si="295"/>
        <v>2717.4383182441588</v>
      </c>
      <c r="CP272" s="42">
        <f t="shared" si="296"/>
        <v>1857.414775077928</v>
      </c>
      <c r="CQ272" s="55">
        <f t="shared" si="297"/>
        <v>-860.02354316623087</v>
      </c>
      <c r="CR272" s="76">
        <f t="shared" si="298"/>
        <v>155085.15699727257</v>
      </c>
      <c r="CS272" s="5">
        <f t="shared" si="299"/>
        <v>163577.50883538777</v>
      </c>
      <c r="CT272" s="55">
        <f t="shared" si="300"/>
        <v>8492.3518381151953</v>
      </c>
      <c r="CU272" s="84">
        <f t="shared" si="301"/>
        <v>186102.18839672708</v>
      </c>
      <c r="CV272" s="68">
        <f t="shared" si="302"/>
        <v>196293.01060246531</v>
      </c>
      <c r="CW272" s="36">
        <f t="shared" si="303"/>
        <v>10190.822205738223</v>
      </c>
      <c r="CX272" s="41">
        <f>'[2]побудинковий звіт'!CX272+'[1]побудинковий звіт'!CX272</f>
        <v>4101.7526559562002</v>
      </c>
      <c r="CY272" s="41">
        <f>'[2]побудинковий звіт'!CY272+'[1]побудинковий звіт'!CY272</f>
        <v>-6089.0695497820689</v>
      </c>
      <c r="CZ272" s="55">
        <f t="shared" si="304"/>
        <v>-10190.82220573827</v>
      </c>
      <c r="DA272" s="254">
        <f>'[1]побудинковий звіт'!DA272</f>
        <v>31973.137445785724</v>
      </c>
      <c r="DB272" s="2">
        <v>2</v>
      </c>
      <c r="DC272" s="702">
        <f>'[1]побудинковий звіт'!DC272</f>
        <v>37642.379999999997</v>
      </c>
      <c r="DD272" s="702">
        <f>'[1]побудинковий звіт'!DD272</f>
        <v>12739.78</v>
      </c>
      <c r="DE272" s="702">
        <f>'[1]побудинковий звіт'!DE272</f>
        <v>17168.949999999997</v>
      </c>
      <c r="DF272" s="702">
        <f>'[1]побудинковий звіт'!DF272</f>
        <v>12346.17</v>
      </c>
      <c r="DG272" s="772">
        <v>79768.687443127972</v>
      </c>
      <c r="DH272" s="746">
        <f t="shared" si="251"/>
        <v>2282447.2926321994</v>
      </c>
      <c r="DI272" s="769"/>
      <c r="DJ272" s="5"/>
      <c r="DK272" s="307">
        <f>VLOOKUP($A272,ціни!$A$4:$G$401,5)</f>
        <v>5.7061555803966506</v>
      </c>
      <c r="DL272" s="307"/>
      <c r="DM272" s="307">
        <f>VLOOKUP($A272,ціни!$A$4:$G$401,7)</f>
        <v>5.1599262939453032</v>
      </c>
      <c r="DN272" s="29">
        <f t="shared" si="260"/>
        <v>14627.159214788775</v>
      </c>
      <c r="DO272" s="29">
        <f t="shared" si="305"/>
        <v>279.66800513183546</v>
      </c>
      <c r="DP272" s="306">
        <f t="shared" si="252"/>
        <v>14906.827219920611</v>
      </c>
      <c r="DQ272" s="101"/>
      <c r="DR272" s="29">
        <f>VLOOKUP(A272,'ДЗ нас '!$A$1:$C$359,2)</f>
        <v>14627.35</v>
      </c>
      <c r="DS272" s="733">
        <f>VLOOKUP(A272,'ДЗ нежит'!$A$1:$D$153,4,0)</f>
        <v>279.67</v>
      </c>
      <c r="DT272" s="29">
        <f t="shared" si="253"/>
        <v>14907.02</v>
      </c>
      <c r="DU272" s="247">
        <f>VLOOKUP(A272,'новий кошторис с 01.06'!$A$4:$AI$399,35)*1.2</f>
        <v>14865.265496374042</v>
      </c>
      <c r="DV272" s="29">
        <f t="shared" si="254"/>
        <v>41.754503625958023</v>
      </c>
      <c r="DW272" s="1016">
        <f>'[2]побудинковий звіт'!$DW$9+'[1]побудинковий звіт'!DW272</f>
        <v>1062</v>
      </c>
      <c r="DX272" s="101">
        <f>'[1]побудинковий звіт'!DX272</f>
        <v>0</v>
      </c>
      <c r="DY272" s="5">
        <f t="shared" si="255"/>
        <v>55684.172255955993</v>
      </c>
      <c r="DZ272" s="5">
        <f t="shared" si="256"/>
        <v>41471.70720718697</v>
      </c>
      <c r="EA272" s="737">
        <f t="shared" si="257"/>
        <v>29515.119999999995</v>
      </c>
      <c r="EC272" s="577">
        <f t="shared" si="258"/>
        <v>479841.63886336621</v>
      </c>
      <c r="EE272" s="743">
        <v>-11339</v>
      </c>
      <c r="EF272" s="723">
        <f t="shared" si="259"/>
        <v>68429.687443127972</v>
      </c>
      <c r="EH272" s="798">
        <v>49228.494024589956</v>
      </c>
      <c r="EI272" s="101">
        <f>VLOOKUP(A272,'кошти 01.01.24'!$A$9:$D$352,4,FALSE)</f>
        <v>21782.315240047479</v>
      </c>
    </row>
    <row r="273" spans="1:139" hidden="1" x14ac:dyDescent="0.3">
      <c r="A273" s="318">
        <v>150000812</v>
      </c>
      <c r="B273" s="43" t="s">
        <v>750</v>
      </c>
      <c r="C273" s="44" t="s">
        <v>302</v>
      </c>
      <c r="D273" s="44" t="s">
        <v>302</v>
      </c>
      <c r="E273" s="39">
        <f t="shared" si="262"/>
        <v>2951.96</v>
      </c>
      <c r="F273" s="205">
        <f>'[1]побудинковий звіт'!F273</f>
        <v>2295.46</v>
      </c>
      <c r="G273" s="29">
        <f>'[1]побудинковий звіт'!G273</f>
        <v>0</v>
      </c>
      <c r="H273" s="148">
        <f>'[1]побудинковий звіт'!H273</f>
        <v>656.5</v>
      </c>
      <c r="I273" s="41">
        <f>'[2]побудинковий звіт'!I273+'[1]побудинковий звіт'!I273</f>
        <v>6141.0770489650622</v>
      </c>
      <c r="J273" s="41">
        <f>'[2]побудинковий звіт'!J273+'[1]побудинковий звіт'!J273</f>
        <v>6387.5336611042749</v>
      </c>
      <c r="K273" s="55">
        <f t="shared" si="263"/>
        <v>246.45661213921267</v>
      </c>
      <c r="L273" s="41">
        <f>'[2]побудинковий звіт'!L273+'[1]побудинковий звіт'!L273</f>
        <v>1222.5536817761833</v>
      </c>
      <c r="M273" s="41">
        <f>'[2]побудинковий звіт'!M273+'[1]побудинковий звіт'!M273</f>
        <v>1281.1037549923574</v>
      </c>
      <c r="N273" s="55">
        <f t="shared" si="264"/>
        <v>58.550073216174042</v>
      </c>
      <c r="O273" s="41">
        <f>'[2]побудинковий звіт'!O273+'[1]побудинковий звіт'!O273</f>
        <v>4409.492348123269</v>
      </c>
      <c r="P273" s="41">
        <f>'[2]побудинковий звіт'!P273+'[1]побудинковий звіт'!P273</f>
        <v>4421.5898401297572</v>
      </c>
      <c r="Q273" s="55">
        <f t="shared" si="265"/>
        <v>12.09749200648821</v>
      </c>
      <c r="R273" s="41">
        <f>'[2]побудинковий звіт'!R273+'[1]побудинковий звіт'!R273</f>
        <v>0</v>
      </c>
      <c r="S273" s="41">
        <f>'[2]побудинковий звіт'!S273+'[1]побудинковий звіт'!S273</f>
        <v>0</v>
      </c>
      <c r="T273" s="55">
        <f t="shared" si="266"/>
        <v>0</v>
      </c>
      <c r="U273" s="41">
        <f>'[2]побудинковий звіт'!U273+'[1]побудинковий звіт'!U273</f>
        <v>0</v>
      </c>
      <c r="V273" s="41">
        <f>'[2]побудинковий звіт'!V273+'[1]побудинковий звіт'!V273</f>
        <v>0</v>
      </c>
      <c r="W273" s="55">
        <f t="shared" si="267"/>
        <v>0</v>
      </c>
      <c r="X273" s="41">
        <f>'[2]побудинковий звіт'!X273+'[1]побудинковий звіт'!X273</f>
        <v>5221.4307484372703</v>
      </c>
      <c r="Y273" s="41">
        <f>'[2]побудинковий звіт'!Y273+'[1]побудинковий звіт'!Y273</f>
        <v>5055.1185460465022</v>
      </c>
      <c r="Z273" s="55">
        <f t="shared" si="268"/>
        <v>-166.31220239076811</v>
      </c>
      <c r="AA273" s="41">
        <f>'[2]побудинковий звіт'!AA273+'[1]побудинковий звіт'!AA273</f>
        <v>0</v>
      </c>
      <c r="AB273" s="41">
        <f>'[2]побудинковий звіт'!AB273+'[1]побудинковий звіт'!AB273</f>
        <v>0</v>
      </c>
      <c r="AC273" s="55">
        <f t="shared" si="269"/>
        <v>0</v>
      </c>
      <c r="AD273" s="41">
        <f>'[2]побудинковий звіт'!AD273+'[1]побудинковий звіт'!AD273</f>
        <v>12187.957032728391</v>
      </c>
      <c r="AE273" s="41">
        <f>'[2]побудинковий звіт'!AE273+'[1]побудинковий звіт'!AE273</f>
        <v>12753.223755799372</v>
      </c>
      <c r="AF273" s="36">
        <f t="shared" si="270"/>
        <v>565.26672307098124</v>
      </c>
      <c r="AG273" s="84">
        <f t="shared" si="271"/>
        <v>29182.510860030176</v>
      </c>
      <c r="AH273" s="56">
        <f t="shared" si="272"/>
        <v>29898.569558072264</v>
      </c>
      <c r="AI273" s="55">
        <f t="shared" si="273"/>
        <v>716.05869804208851</v>
      </c>
      <c r="AJ273" s="41">
        <f>'[2]побудинковий звіт'!AJ273+'[1]побудинковий звіт'!AJ273</f>
        <v>0</v>
      </c>
      <c r="AK273" s="41">
        <f>'[2]побудинковий звіт'!AK273+'[1]побудинковий звіт'!AK273</f>
        <v>0</v>
      </c>
      <c r="AL273" s="55">
        <f t="shared" si="274"/>
        <v>0</v>
      </c>
      <c r="AM273" s="41">
        <f>'[2]побудинковий звіт'!AM273+'[1]побудинковий звіт'!AM273</f>
        <v>0</v>
      </c>
      <c r="AN273" s="41">
        <f>'[2]побудинковий звіт'!AN273+'[1]побудинковий звіт'!AN273</f>
        <v>0</v>
      </c>
      <c r="AO273" s="55">
        <f t="shared" si="275"/>
        <v>0</v>
      </c>
      <c r="AP273" s="41">
        <f>'[2]побудинковий звіт'!AP273+'[1]побудинковий звіт'!AP273</f>
        <v>1278.1010877699459</v>
      </c>
      <c r="AQ273" s="41">
        <f>'[2]побудинковий звіт'!AQ273+'[1]побудинковий звіт'!AQ273</f>
        <v>1036.0557569850203</v>
      </c>
      <c r="AR273" s="55">
        <f t="shared" si="276"/>
        <v>-242.04533078492568</v>
      </c>
      <c r="AS273" s="41">
        <f>'[2]побудинковий звіт'!AS273+'[1]побудинковий звіт'!AS273</f>
        <v>29304.282164406875</v>
      </c>
      <c r="AT273" s="41">
        <f>'[2]побудинковий звіт'!AT273+'[1]побудинковий звіт'!AT273</f>
        <v>2561.3759926790335</v>
      </c>
      <c r="AU273" s="57">
        <f t="shared" si="277"/>
        <v>-26742.906171727842</v>
      </c>
      <c r="AV273" s="41">
        <f>'[2]побудинковий звіт'!AV273+'[1]побудинковий звіт'!AV273</f>
        <v>1089.5305815082838</v>
      </c>
      <c r="AW273" s="41">
        <f>'[2]побудинковий звіт'!AW273+'[1]побудинковий звіт'!AW273</f>
        <v>0</v>
      </c>
      <c r="AX273" s="58">
        <f t="shared" si="278"/>
        <v>-1089.5305815082838</v>
      </c>
      <c r="AY273" s="41">
        <f>'[2]побудинковий звіт'!AY273+'[1]побудинковий звіт'!AY273</f>
        <v>1511.7217912527008</v>
      </c>
      <c r="AZ273" s="41">
        <f>'[2]побудинковий звіт'!AZ273+'[1]побудинковий звіт'!AZ273</f>
        <v>0</v>
      </c>
      <c r="BA273" s="36">
        <f t="shared" si="279"/>
        <v>-1511.7217912527008</v>
      </c>
      <c r="BB273" s="41">
        <f>'[2]побудинковий звіт'!BB273+'[1]побудинковий звіт'!BB273</f>
        <v>1955.0799044863952</v>
      </c>
      <c r="BC273" s="41">
        <f>'[2]побудинковий звіт'!BC273+'[1]побудинковий звіт'!BC273</f>
        <v>0</v>
      </c>
      <c r="BD273" s="58">
        <f t="shared" si="280"/>
        <v>-1955.0799044863952</v>
      </c>
      <c r="BE273" s="41">
        <f>'[2]побудинковий звіт'!BE273+'[1]побудинковий звіт'!BE273</f>
        <v>0</v>
      </c>
      <c r="BF273" s="41">
        <f>'[2]побудинковий звіт'!BF273+'[1]побудинковий звіт'!BF273</f>
        <v>0</v>
      </c>
      <c r="BG273" s="38">
        <f t="shared" si="281"/>
        <v>0</v>
      </c>
      <c r="BH273" s="41">
        <f>'[2]побудинковий звіт'!BH273+'[1]побудинковий звіт'!BH273</f>
        <v>0</v>
      </c>
      <c r="BI273" s="41">
        <f>'[2]побудинковий звіт'!BI273+'[1]побудинковий звіт'!BI273</f>
        <v>0</v>
      </c>
      <c r="BJ273" s="58">
        <f t="shared" si="282"/>
        <v>0</v>
      </c>
      <c r="BK273" s="41">
        <f>'[2]побудинковий звіт'!BK273+'[1]побудинковий звіт'!BK273</f>
        <v>883.7507311307013</v>
      </c>
      <c r="BL273" s="41">
        <f>'[2]побудинковий звіт'!BL273+'[1]побудинковий звіт'!BL273</f>
        <v>0</v>
      </c>
      <c r="BM273" s="38">
        <f t="shared" si="283"/>
        <v>-883.7507311307013</v>
      </c>
      <c r="BN273" s="41">
        <f>'[2]побудинковий звіт'!BN273+'[1]побудинковий звіт'!BN273</f>
        <v>35.856902855159163</v>
      </c>
      <c r="BO273" s="41">
        <f>'[2]побудинковий звіт'!BO273+'[1]побудинковий звіт'!BO273</f>
        <v>2940.3973301922965</v>
      </c>
      <c r="BP273" s="58">
        <f t="shared" si="284"/>
        <v>2904.5404273371373</v>
      </c>
      <c r="BQ273" s="84">
        <f t="shared" si="285"/>
        <v>5475.9399112332412</v>
      </c>
      <c r="BR273" s="42">
        <f t="shared" si="286"/>
        <v>2940.3973301922965</v>
      </c>
      <c r="BS273" s="58">
        <f t="shared" si="287"/>
        <v>-2535.5425810409447</v>
      </c>
      <c r="BT273" s="41">
        <f>'[2]побудинковий звіт'!BT273+'[1]побудинковий звіт'!BT273</f>
        <v>33523.790577315362</v>
      </c>
      <c r="BU273" s="41">
        <f>'[2]побудинковий звіт'!BU273+'[1]побудинковий звіт'!BU273</f>
        <v>59446.53469576015</v>
      </c>
      <c r="BV273" s="55">
        <f t="shared" si="288"/>
        <v>25922.744118444789</v>
      </c>
      <c r="BW273" s="41">
        <f>'[2]побудинковий звіт'!BW273+'[1]побудинковий звіт'!BW273</f>
        <v>12524.82697466952</v>
      </c>
      <c r="BX273" s="41">
        <f>'[2]побудинковий звіт'!BX273+'[1]побудинковий звіт'!BX273</f>
        <v>14662.8648111111</v>
      </c>
      <c r="BY273" s="55">
        <f t="shared" si="289"/>
        <v>2138.0378364415792</v>
      </c>
      <c r="BZ273" s="41">
        <f>'[2]побудинковий звіт'!BZ273+'[1]побудинковий звіт'!BZ273</f>
        <v>19475.196859821597</v>
      </c>
      <c r="CA273" s="41">
        <f>'[2]побудинковий звіт'!CA273+'[1]побудинковий звіт'!CA273</f>
        <v>5065.8369989338698</v>
      </c>
      <c r="CB273" s="55">
        <f t="shared" si="290"/>
        <v>-14409.359860887727</v>
      </c>
      <c r="CC273" s="41">
        <f>'[2]побудинковий звіт'!CC273+'[1]побудинковий звіт'!CC273</f>
        <v>0</v>
      </c>
      <c r="CD273" s="41">
        <f>'[2]побудинковий звіт'!CD273+'[1]побудинковий звіт'!CD273</f>
        <v>0</v>
      </c>
      <c r="CE273" s="55">
        <f t="shared" si="291"/>
        <v>0</v>
      </c>
      <c r="CF273" s="41">
        <f>'[2]побудинковий звіт'!CF273+'[1]побудинковий звіт'!CF273</f>
        <v>0</v>
      </c>
      <c r="CG273" s="41">
        <f>'[2]побудинковий звіт'!CG273+'[1]побудинковий звіт'!CG273</f>
        <v>0</v>
      </c>
      <c r="CH273" s="55">
        <f t="shared" si="292"/>
        <v>0</v>
      </c>
      <c r="CI273" s="41">
        <f>'[2]побудинковий звіт'!CI273+'[1]побудинковий звіт'!CI273</f>
        <v>6163.5881660574705</v>
      </c>
      <c r="CJ273" s="41">
        <f>'[2]побудинковий звіт'!CJ273+'[1]побудинковий звіт'!CJ273</f>
        <v>4803.1190479219231</v>
      </c>
      <c r="CK273" s="55">
        <f t="shared" si="293"/>
        <v>-1360.4691181355474</v>
      </c>
      <c r="CL273" s="41">
        <f>'[2]побудинковий звіт'!CL273+'[1]побудинковий звіт'!CL273</f>
        <v>0</v>
      </c>
      <c r="CM273" s="41">
        <f>'[2]побудинковий звіт'!CM273+'[1]побудинковий звіт'!CM273</f>
        <v>0</v>
      </c>
      <c r="CN273" s="55">
        <f t="shared" si="294"/>
        <v>0</v>
      </c>
      <c r="CO273" s="41">
        <f t="shared" si="295"/>
        <v>6163.5881660574705</v>
      </c>
      <c r="CP273" s="42">
        <f t="shared" si="296"/>
        <v>4803.1190479219231</v>
      </c>
      <c r="CQ273" s="55">
        <f t="shared" si="297"/>
        <v>-1360.4691181355474</v>
      </c>
      <c r="CR273" s="76">
        <f t="shared" si="298"/>
        <v>136928.2366013042</v>
      </c>
      <c r="CS273" s="5">
        <f t="shared" si="299"/>
        <v>120414.75419165565</v>
      </c>
      <c r="CT273" s="55">
        <f t="shared" si="300"/>
        <v>-16513.482409648554</v>
      </c>
      <c r="CU273" s="84">
        <f t="shared" si="301"/>
        <v>164313.88392156505</v>
      </c>
      <c r="CV273" s="68">
        <f t="shared" si="302"/>
        <v>144497.70502998677</v>
      </c>
      <c r="CW273" s="36">
        <f t="shared" si="303"/>
        <v>-19816.178891578282</v>
      </c>
      <c r="CX273" s="41">
        <f>'[2]побудинковий звіт'!CX273+'[1]побудинковий звіт'!CX273</f>
        <v>8969.0863959681192</v>
      </c>
      <c r="CY273" s="41">
        <f>'[2]побудинковий звіт'!CY273+'[1]побудинковий звіт'!CY273</f>
        <v>28785.265287546354</v>
      </c>
      <c r="CZ273" s="55">
        <f t="shared" si="304"/>
        <v>19816.178891578234</v>
      </c>
      <c r="DA273" s="254">
        <f>'[1]побудинковий звіт'!DA273</f>
        <v>-1507.1636646315455</v>
      </c>
      <c r="DB273" s="2">
        <v>2</v>
      </c>
      <c r="DC273" s="702">
        <f>'[1]побудинковий звіт'!DC273</f>
        <v>79220.34</v>
      </c>
      <c r="DD273" s="702">
        <f>'[1]побудинковий звіт'!DD273</f>
        <v>6852.16</v>
      </c>
      <c r="DE273" s="702">
        <f>'[1]побудинковий звіт'!DE273</f>
        <v>64079.119999999995</v>
      </c>
      <c r="DF273" s="702">
        <f>'[1]побудинковий звіт'!DF273</f>
        <v>2985.3799999999997</v>
      </c>
      <c r="DG273" s="772">
        <v>48582.251231609902</v>
      </c>
      <c r="DH273" s="746">
        <f t="shared" si="251"/>
        <v>2079395.6438103982</v>
      </c>
      <c r="DI273" s="769"/>
      <c r="DJ273" s="5"/>
      <c r="DK273" s="307">
        <f>VLOOKUP($A273,ціни!$A$4:$G$401,5)</f>
        <v>4.716661081670888</v>
      </c>
      <c r="DL273" s="307"/>
      <c r="DM273" s="307">
        <f>VLOOKUP($A273,ціни!$A$4:$G$401,7)</f>
        <v>4.1948833472676768</v>
      </c>
      <c r="DN273" s="29">
        <f t="shared" si="260"/>
        <v>10826.906846532256</v>
      </c>
      <c r="DO273" s="29">
        <f t="shared" si="305"/>
        <v>2753.9409174812299</v>
      </c>
      <c r="DP273" s="306">
        <f t="shared" si="252"/>
        <v>13580.847764013486</v>
      </c>
      <c r="DQ273" s="101"/>
      <c r="DR273" s="29">
        <f>VLOOKUP(A273,'ДЗ нас '!$A$1:$C$359,2)</f>
        <v>10827</v>
      </c>
      <c r="DS273" s="733">
        <f>VLOOKUP(A273,'ДЗ нежит'!$A$1:$D$153,4,0)</f>
        <v>2753.96</v>
      </c>
      <c r="DT273" s="29">
        <f t="shared" si="253"/>
        <v>13580.96</v>
      </c>
      <c r="DU273" s="247">
        <f>VLOOKUP(A273,'новий кошторис с 01.06'!$A$4:$AI$399,35)*1.2</f>
        <v>12863.187534192373</v>
      </c>
      <c r="DV273" s="29">
        <f t="shared" si="254"/>
        <v>717.77246580762585</v>
      </c>
      <c r="DW273" s="1016">
        <f>'[2]побудинковий звіт'!$DW$9+'[1]побудинковий звіт'!DW273</f>
        <v>1062</v>
      </c>
      <c r="DX273" s="101">
        <f>'[1]побудинковий звіт'!DX273</f>
        <v>0</v>
      </c>
      <c r="DY273" s="5">
        <f t="shared" si="255"/>
        <v>41736.266490768139</v>
      </c>
      <c r="DZ273" s="5">
        <f t="shared" si="256"/>
        <v>6602.127987445595</v>
      </c>
      <c r="EA273" s="737">
        <f t="shared" si="257"/>
        <v>67064.5</v>
      </c>
      <c r="EC273" s="577">
        <f t="shared" si="258"/>
        <v>351651.3859728825</v>
      </c>
      <c r="EE273" s="743">
        <v>-39756</v>
      </c>
      <c r="EF273" s="723">
        <f t="shared" si="259"/>
        <v>8826.2512316099019</v>
      </c>
      <c r="EH273" s="798">
        <v>36330.082442815517</v>
      </c>
      <c r="EI273" s="101">
        <f>VLOOKUP(A273,'кошти 01.01.24'!$A$9:$D$352,4,FALSE)</f>
        <v>18309.015226946703</v>
      </c>
    </row>
    <row r="274" spans="1:139" hidden="1" x14ac:dyDescent="0.3">
      <c r="A274" s="318">
        <v>150000828</v>
      </c>
      <c r="B274" s="43" t="s">
        <v>751</v>
      </c>
      <c r="C274" s="44" t="s">
        <v>303</v>
      </c>
      <c r="D274" s="44" t="s">
        <v>303</v>
      </c>
      <c r="E274" s="39">
        <f t="shared" si="262"/>
        <v>2595.42</v>
      </c>
      <c r="F274" s="205">
        <f>'[1]побудинковий звіт'!F274</f>
        <v>2595.42</v>
      </c>
      <c r="G274" s="29">
        <f>'[1]побудинковий звіт'!G274</f>
        <v>0</v>
      </c>
      <c r="H274" s="148">
        <f>'[1]побудинковий звіт'!H274</f>
        <v>0</v>
      </c>
      <c r="I274" s="41">
        <f>'[2]побудинковий звіт'!I274+'[1]побудинковий звіт'!I274</f>
        <v>9536.2492380030126</v>
      </c>
      <c r="J274" s="41">
        <f>'[2]побудинковий звіт'!J274+'[1]побудинковий звіт'!J274</f>
        <v>9798.801085413601</v>
      </c>
      <c r="K274" s="55">
        <f t="shared" si="263"/>
        <v>262.55184741058838</v>
      </c>
      <c r="L274" s="41">
        <f>'[2]побудинковий звіт'!L274+'[1]побудинковий звіт'!L274</f>
        <v>1615.8987902955002</v>
      </c>
      <c r="M274" s="41">
        <f>'[2]побудинковий звіт'!M274+'[1]побудинковий звіт'!M274</f>
        <v>1695.1280475536139</v>
      </c>
      <c r="N274" s="55">
        <f t="shared" si="264"/>
        <v>79.229257258113648</v>
      </c>
      <c r="O274" s="41">
        <f>'[2]побудинковий звіт'!O274+'[1]побудинковий звіт'!O274</f>
        <v>3748.2788426915513</v>
      </c>
      <c r="P274" s="41">
        <f>'[2]побудинковий звіт'!P274+'[1]побудинковий звіт'!P274</f>
        <v>3757.9935186226853</v>
      </c>
      <c r="Q274" s="55">
        <f t="shared" si="265"/>
        <v>9.7146759311340247</v>
      </c>
      <c r="R274" s="41">
        <f>'[2]побудинковий звіт'!R274+'[1]побудинковий звіт'!R274</f>
        <v>0</v>
      </c>
      <c r="S274" s="41">
        <f>'[2]побудинковий звіт'!S274+'[1]побудинковий звіт'!S274</f>
        <v>0</v>
      </c>
      <c r="T274" s="55">
        <f t="shared" si="266"/>
        <v>0</v>
      </c>
      <c r="U274" s="41">
        <f>'[2]побудинковий звіт'!U274+'[1]побудинковий звіт'!U274</f>
        <v>187.10196558541708</v>
      </c>
      <c r="V274" s="41">
        <f>'[2]побудинковий звіт'!V274+'[1]побудинковий звіт'!V274</f>
        <v>107.9445908639935</v>
      </c>
      <c r="W274" s="55">
        <f t="shared" si="267"/>
        <v>-79.157374721423579</v>
      </c>
      <c r="X274" s="41">
        <f>'[2]побудинковий звіт'!X274+'[1]побудинковий звіт'!X274</f>
        <v>5267.2456533566174</v>
      </c>
      <c r="Y274" s="41">
        <f>'[2]побудинковий звіт'!Y274+'[1]побудинковий звіт'!Y274</f>
        <v>5082.1045637242532</v>
      </c>
      <c r="Z274" s="55">
        <f t="shared" si="268"/>
        <v>-185.14108963236413</v>
      </c>
      <c r="AA274" s="41">
        <f>'[2]побудинковий звіт'!AA274+'[1]побудинковий звіт'!AA274</f>
        <v>0</v>
      </c>
      <c r="AB274" s="41">
        <f>'[2]побудинковий звіт'!AB274+'[1]побудинковий звіт'!AB274</f>
        <v>0</v>
      </c>
      <c r="AC274" s="55">
        <f t="shared" si="269"/>
        <v>0</v>
      </c>
      <c r="AD274" s="41">
        <f>'[2]побудинковий звіт'!AD274+'[1]побудинковий звіт'!AD274</f>
        <v>11257.506619172533</v>
      </c>
      <c r="AE274" s="41">
        <f>'[2]побудинковий звіт'!AE274+'[1]побудинковий звіт'!AE274</f>
        <v>11213.709466450982</v>
      </c>
      <c r="AF274" s="36">
        <f t="shared" si="270"/>
        <v>-43.797152721550447</v>
      </c>
      <c r="AG274" s="84">
        <f t="shared" si="271"/>
        <v>31612.281109104631</v>
      </c>
      <c r="AH274" s="56">
        <f t="shared" si="272"/>
        <v>31655.681272629128</v>
      </c>
      <c r="AI274" s="55">
        <f t="shared" si="273"/>
        <v>43.400163524496747</v>
      </c>
      <c r="AJ274" s="41">
        <f>'[2]побудинковий звіт'!AJ274+'[1]побудинковий звіт'!AJ274</f>
        <v>0</v>
      </c>
      <c r="AK274" s="41">
        <f>'[2]побудинковий звіт'!AK274+'[1]побудинковий звіт'!AK274</f>
        <v>0</v>
      </c>
      <c r="AL274" s="55">
        <f t="shared" si="274"/>
        <v>0</v>
      </c>
      <c r="AM274" s="41">
        <f>'[2]побудинковий звіт'!AM274+'[1]побудинковий звіт'!AM274</f>
        <v>0</v>
      </c>
      <c r="AN274" s="41">
        <f>'[2]побудинковий звіт'!AN274+'[1]побудинковий звіт'!AN274</f>
        <v>0</v>
      </c>
      <c r="AO274" s="55">
        <f t="shared" si="275"/>
        <v>0</v>
      </c>
      <c r="AP274" s="41">
        <f>'[2]побудинковий звіт'!AP274+'[1]побудинковий звіт'!AP274</f>
        <v>8915.3814861468363</v>
      </c>
      <c r="AQ274" s="41">
        <f>'[2]побудинковий звіт'!AQ274+'[1]побудинковий звіт'!AQ274</f>
        <v>7096.7122955992818</v>
      </c>
      <c r="AR274" s="55">
        <f t="shared" si="276"/>
        <v>-1818.6691905475545</v>
      </c>
      <c r="AS274" s="41">
        <f>'[2]побудинковий звіт'!AS274+'[1]побудинковий звіт'!AS274</f>
        <v>42650.441550123272</v>
      </c>
      <c r="AT274" s="41">
        <f>'[2]побудинковий звіт'!AT274+'[1]побудинковий звіт'!AT274</f>
        <v>132657.83369465396</v>
      </c>
      <c r="AU274" s="57">
        <f t="shared" si="277"/>
        <v>90007.392144530691</v>
      </c>
      <c r="AV274" s="41">
        <f>'[2]побудинковий звіт'!AV274+'[1]побудинковий звіт'!AV274</f>
        <v>1517.7940053084733</v>
      </c>
      <c r="AW274" s="41">
        <f>'[2]побудинковий звіт'!AW274+'[1]побудинковий звіт'!AW274</f>
        <v>0</v>
      </c>
      <c r="AX274" s="58">
        <f t="shared" si="278"/>
        <v>-1517.7940053084733</v>
      </c>
      <c r="AY274" s="41">
        <f>'[2]побудинковий звіт'!AY274+'[1]побудинковий звіт'!AY274</f>
        <v>1937.0389465384073</v>
      </c>
      <c r="AZ274" s="41">
        <f>'[2]побудинковий звіт'!AZ274+'[1]побудинковий звіт'!AZ274</f>
        <v>3848.0344440966592</v>
      </c>
      <c r="BA274" s="36">
        <f t="shared" si="279"/>
        <v>1910.9954975582518</v>
      </c>
      <c r="BB274" s="41">
        <f>'[2]побудинковий звіт'!BB274+'[1]побудинковий звіт'!BB274</f>
        <v>1932.7914416404299</v>
      </c>
      <c r="BC274" s="41">
        <f>'[2]побудинковий звіт'!BC274+'[1]побудинковий звіт'!BC274</f>
        <v>0</v>
      </c>
      <c r="BD274" s="58">
        <f t="shared" si="280"/>
        <v>-1932.7914416404299</v>
      </c>
      <c r="BE274" s="41">
        <f>'[2]побудинковий звіт'!BE274+'[1]побудинковий звіт'!BE274</f>
        <v>0</v>
      </c>
      <c r="BF274" s="41">
        <f>'[2]побудинковий звіт'!BF274+'[1]побудинковий звіт'!BF274</f>
        <v>0</v>
      </c>
      <c r="BG274" s="38">
        <f t="shared" si="281"/>
        <v>0</v>
      </c>
      <c r="BH274" s="41">
        <f>'[2]побудинковий звіт'!BH274+'[1]побудинковий звіт'!BH274</f>
        <v>110.27308797143304</v>
      </c>
      <c r="BI274" s="41">
        <f>'[2]побудинковий звіт'!BI274+'[1]побудинковий звіт'!BI274</f>
        <v>982.39936882725226</v>
      </c>
      <c r="BJ274" s="58">
        <f t="shared" si="282"/>
        <v>872.12628085581923</v>
      </c>
      <c r="BK274" s="41">
        <f>'[2]побудинковий звіт'!BK274+'[1]побудинковий звіт'!BK274</f>
        <v>895.39827654728106</v>
      </c>
      <c r="BL274" s="41">
        <f>'[2]побудинковий звіт'!BL274+'[1]побудинковий звіт'!BL274</f>
        <v>8103.0437461900101</v>
      </c>
      <c r="BM274" s="38">
        <f t="shared" si="283"/>
        <v>7207.645469642729</v>
      </c>
      <c r="BN274" s="41">
        <f>'[2]побудинковий звіт'!BN274+'[1]побудинковий звіт'!BN274</f>
        <v>35.072631139167051</v>
      </c>
      <c r="BO274" s="41">
        <f>'[2]побудинковий звіт'!BO274+'[1]побудинковий звіт'!BO274</f>
        <v>3082.7976227439285</v>
      </c>
      <c r="BP274" s="58">
        <f t="shared" si="284"/>
        <v>3047.7249916047613</v>
      </c>
      <c r="BQ274" s="84">
        <f t="shared" si="285"/>
        <v>6428.3683891451919</v>
      </c>
      <c r="BR274" s="42">
        <f t="shared" si="286"/>
        <v>16016.275181857851</v>
      </c>
      <c r="BS274" s="58">
        <f t="shared" si="287"/>
        <v>9587.9067927126598</v>
      </c>
      <c r="BT274" s="41">
        <f>'[2]побудинковий звіт'!BT274+'[1]побудинковий звіт'!BT274</f>
        <v>25577.838298190218</v>
      </c>
      <c r="BU274" s="41">
        <f>'[2]побудинковий звіт'!BU274+'[1]побудинковий звіт'!BU274</f>
        <v>48958.079556904355</v>
      </c>
      <c r="BV274" s="55">
        <f t="shared" si="288"/>
        <v>23380.241258714137</v>
      </c>
      <c r="BW274" s="41">
        <f>'[2]побудинковий звіт'!BW274+'[1]побудинковий звіт'!BW274</f>
        <v>14700.925017381503</v>
      </c>
      <c r="BX274" s="41">
        <f>'[2]побудинковий звіт'!BX274+'[1]побудинковий звіт'!BX274</f>
        <v>17796.85084096709</v>
      </c>
      <c r="BY274" s="55">
        <f t="shared" si="289"/>
        <v>3095.9258235855868</v>
      </c>
      <c r="BZ274" s="41">
        <f>'[2]побудинковий звіт'!BZ274+'[1]побудинковий звіт'!BZ274</f>
        <v>14385.728543925401</v>
      </c>
      <c r="CA274" s="41">
        <f>'[2]побудинковий звіт'!CA274+'[1]побудинковий звіт'!CA274</f>
        <v>4412.1374299223589</v>
      </c>
      <c r="CB274" s="55">
        <f t="shared" si="290"/>
        <v>-9973.5911140030421</v>
      </c>
      <c r="CC274" s="41">
        <f>'[2]побудинковий звіт'!CC274+'[1]побудинковий звіт'!CC274</f>
        <v>1709.6287291714775</v>
      </c>
      <c r="CD274" s="41">
        <f>'[2]побудинковий звіт'!CD274+'[1]побудинковий звіт'!CD274</f>
        <v>1715.4258894938359</v>
      </c>
      <c r="CE274" s="55">
        <f t="shared" si="291"/>
        <v>5.7971603223584225</v>
      </c>
      <c r="CF274" s="41">
        <f>'[2]побудинковий звіт'!CF274+'[1]побудинковий звіт'!CF274</f>
        <v>211.81391255104356</v>
      </c>
      <c r="CG274" s="41">
        <f>'[2]побудинковий звіт'!CG274+'[1]побудинковий звіт'!CG274</f>
        <v>0</v>
      </c>
      <c r="CH274" s="55">
        <f t="shared" si="292"/>
        <v>-211.81391255104356</v>
      </c>
      <c r="CI274" s="41">
        <f>'[2]побудинковий звіт'!CI274+'[1]побудинковий звіт'!CI274</f>
        <v>4264.5325905794007</v>
      </c>
      <c r="CJ274" s="41">
        <f>'[2]побудинковий звіт'!CJ274+'[1]побудинковий звіт'!CJ274</f>
        <v>1954.5754413397401</v>
      </c>
      <c r="CK274" s="55">
        <f t="shared" si="293"/>
        <v>-2309.9571492396608</v>
      </c>
      <c r="CL274" s="41">
        <f>'[2]побудинковий звіт'!CL274+'[1]побудинковий звіт'!CL274</f>
        <v>0</v>
      </c>
      <c r="CM274" s="41">
        <f>'[2]побудинковий звіт'!CM274+'[1]побудинковий звіт'!CM274</f>
        <v>0</v>
      </c>
      <c r="CN274" s="55">
        <f t="shared" si="294"/>
        <v>0</v>
      </c>
      <c r="CO274" s="41">
        <f t="shared" si="295"/>
        <v>4264.5325905794007</v>
      </c>
      <c r="CP274" s="42">
        <f t="shared" si="296"/>
        <v>1954.5754413397401</v>
      </c>
      <c r="CQ274" s="55">
        <f t="shared" si="297"/>
        <v>-2309.9571492396608</v>
      </c>
      <c r="CR274" s="76">
        <f t="shared" si="298"/>
        <v>150456.93962631896</v>
      </c>
      <c r="CS274" s="5">
        <f t="shared" si="299"/>
        <v>262263.57160336757</v>
      </c>
      <c r="CT274" s="55">
        <f t="shared" si="300"/>
        <v>111806.63197704862</v>
      </c>
      <c r="CU274" s="84">
        <f t="shared" si="301"/>
        <v>180548.32755158274</v>
      </c>
      <c r="CV274" s="68">
        <f t="shared" si="302"/>
        <v>314716.28592404106</v>
      </c>
      <c r="CW274" s="36">
        <f t="shared" si="303"/>
        <v>134167.95837245832</v>
      </c>
      <c r="CX274" s="41">
        <f>'[2]побудинковий звіт'!CX274+'[1]побудинковий звіт'!CX274</f>
        <v>4710.3688415013694</v>
      </c>
      <c r="CY274" s="41">
        <f>'[2]побудинковий звіт'!CY274+'[1]побудинковий звіт'!CY274</f>
        <v>-129457.58953095693</v>
      </c>
      <c r="CZ274" s="55">
        <f t="shared" si="304"/>
        <v>-134167.95837245829</v>
      </c>
      <c r="DA274" s="254">
        <f>'[1]побудинковий звіт'!DA274</f>
        <v>71197.961841830926</v>
      </c>
      <c r="DB274" s="2">
        <v>2</v>
      </c>
      <c r="DC274" s="702">
        <f>'[1]побудинковий звіт'!DC274</f>
        <v>60112.23</v>
      </c>
      <c r="DD274" s="702">
        <f>'[1]побудинковий звіт'!DD274</f>
        <v>0</v>
      </c>
      <c r="DE274" s="702">
        <f>'[1]побудинковий звіт'!DE274</f>
        <v>39764.42</v>
      </c>
      <c r="DF274" s="702">
        <f>'[1]побудинковий звіт'!DF274</f>
        <v>0</v>
      </c>
      <c r="DG274" s="772">
        <v>-13136.11107513227</v>
      </c>
      <c r="DH274" s="746">
        <f t="shared" si="251"/>
        <v>2223104.3567170091</v>
      </c>
      <c r="DI274" s="769"/>
      <c r="DJ274" s="5"/>
      <c r="DK274" s="307">
        <f>VLOOKUP($A274,ціни!$A$4:$G$401,5)</f>
        <v>5.5923802251568073</v>
      </c>
      <c r="DL274" s="307"/>
      <c r="DM274" s="307">
        <f>VLOOKUP($A274,ціни!$A$4:$G$401,7)</f>
        <v>5.0369452414504492</v>
      </c>
      <c r="DN274" s="29">
        <f t="shared" si="260"/>
        <v>14514.575483976481</v>
      </c>
      <c r="DO274" s="29">
        <f t="shared" si="305"/>
        <v>0</v>
      </c>
      <c r="DP274" s="306">
        <f t="shared" si="252"/>
        <v>14514.575483976481</v>
      </c>
      <c r="DQ274" s="101"/>
      <c r="DR274" s="29">
        <f>VLOOKUP(A274,'ДЗ нас '!$A$1:$C$359,2)</f>
        <v>14514.62</v>
      </c>
      <c r="DS274" s="733"/>
      <c r="DT274" s="29">
        <f t="shared" si="253"/>
        <v>14514.62</v>
      </c>
      <c r="DU274" s="247">
        <f>VLOOKUP(A274,'новий кошторис с 01.06'!$A$4:$AI$399,35)*1.2</f>
        <v>14572.056818948011</v>
      </c>
      <c r="DV274" s="29">
        <f t="shared" si="254"/>
        <v>-57.436818948010114</v>
      </c>
      <c r="DW274" s="1016">
        <f>'[2]побудинковий звіт'!$DW$9+'[1]побудинковий звіт'!DW274</f>
        <v>918</v>
      </c>
      <c r="DX274" s="101">
        <f>'[1]побудинковий звіт'!DX274</f>
        <v>0</v>
      </c>
      <c r="DY274" s="5">
        <f t="shared" si="255"/>
        <v>58894.571927122161</v>
      </c>
      <c r="DZ274" s="5">
        <f t="shared" si="256"/>
        <v>178408.93065181415</v>
      </c>
      <c r="EA274" s="737">
        <f t="shared" si="257"/>
        <v>39764.42</v>
      </c>
      <c r="EC274" s="577">
        <f t="shared" si="258"/>
        <v>511805.29860147927</v>
      </c>
      <c r="EE274" s="743">
        <v>-11472</v>
      </c>
      <c r="EF274" s="723">
        <f t="shared" si="259"/>
        <v>-24608.11107513227</v>
      </c>
      <c r="EH274" s="798">
        <v>-49752.839421503428</v>
      </c>
      <c r="EI274" s="101">
        <f>VLOOKUP(A274,'кошти 01.01.24'!$A$9:$D$352,4,FALSE)</f>
        <v>-62969.996530627366</v>
      </c>
    </row>
    <row r="275" spans="1:139" hidden="1" x14ac:dyDescent="0.3">
      <c r="A275" s="318">
        <v>150000813</v>
      </c>
      <c r="B275" s="43" t="s">
        <v>752</v>
      </c>
      <c r="C275" s="44" t="s">
        <v>188</v>
      </c>
      <c r="D275" s="44" t="s">
        <v>188</v>
      </c>
      <c r="E275" s="39">
        <f t="shared" si="262"/>
        <v>374.5</v>
      </c>
      <c r="F275" s="205">
        <f>'[1]побудинковий звіт'!F275</f>
        <v>374.5</v>
      </c>
      <c r="G275" s="29">
        <f>'[1]побудинковий звіт'!G275</f>
        <v>0</v>
      </c>
      <c r="H275" s="148">
        <f>'[1]побудинковий звіт'!H275</f>
        <v>0</v>
      </c>
      <c r="I275" s="41">
        <f>'[2]побудинковий звіт'!I275+'[1]побудинковий звіт'!I275</f>
        <v>1014.9440620311976</v>
      </c>
      <c r="J275" s="41">
        <f>'[2]побудинковий звіт'!J275+'[1]побудинковий звіт'!J275</f>
        <v>1063.7338812390381</v>
      </c>
      <c r="K275" s="55">
        <f t="shared" si="263"/>
        <v>48.789819207840424</v>
      </c>
      <c r="L275" s="41">
        <f>'[2]побудинковий звіт'!L275+'[1]побудинковий звіт'!L275</f>
        <v>356.55121111324763</v>
      </c>
      <c r="M275" s="41">
        <f>'[2]побудинковий звіт'!M275+'[1]побудинковий звіт'!M275</f>
        <v>386.00545367291375</v>
      </c>
      <c r="N275" s="55">
        <f t="shared" si="264"/>
        <v>29.454242559666113</v>
      </c>
      <c r="O275" s="41">
        <f>'[2]побудинковий звіт'!O275+'[1]побудинковий звіт'!O275</f>
        <v>0</v>
      </c>
      <c r="P275" s="41">
        <f>'[2]побудинковий звіт'!P275+'[1]побудинковий звіт'!P275</f>
        <v>0</v>
      </c>
      <c r="Q275" s="55">
        <f t="shared" si="265"/>
        <v>0</v>
      </c>
      <c r="R275" s="41">
        <f>'[2]побудинковий звіт'!R275+'[1]побудинковий звіт'!R275</f>
        <v>0</v>
      </c>
      <c r="S275" s="41">
        <f>'[2]побудинковий звіт'!S275+'[1]побудинковий звіт'!S275</f>
        <v>0</v>
      </c>
      <c r="T275" s="55">
        <f t="shared" si="266"/>
        <v>0</v>
      </c>
      <c r="U275" s="41">
        <f>'[2]побудинковий звіт'!U275+'[1]побудинковий звіт'!U275</f>
        <v>0</v>
      </c>
      <c r="V275" s="41">
        <f>'[2]побудинковий звіт'!V275+'[1]побудинковий звіт'!V275</f>
        <v>0</v>
      </c>
      <c r="W275" s="55">
        <f t="shared" si="267"/>
        <v>0</v>
      </c>
      <c r="X275" s="41">
        <f>'[2]побудинковий звіт'!X275+'[1]побудинковий звіт'!X275</f>
        <v>616.36039589915003</v>
      </c>
      <c r="Y275" s="41">
        <f>'[2]побудинковий звіт'!Y275+'[1]побудинковий звіт'!Y275</f>
        <v>591.45394699816393</v>
      </c>
      <c r="Z275" s="55">
        <f t="shared" si="268"/>
        <v>-24.906448900986106</v>
      </c>
      <c r="AA275" s="41">
        <f>'[2]побудинковий звіт'!AA275+'[1]побудинковий звіт'!AA275</f>
        <v>0</v>
      </c>
      <c r="AB275" s="41">
        <f>'[2]побудинковий звіт'!AB275+'[1]побудинковий звіт'!AB275</f>
        <v>0</v>
      </c>
      <c r="AC275" s="55">
        <f t="shared" si="269"/>
        <v>0</v>
      </c>
      <c r="AD275" s="41">
        <f>'[2]побудинковий звіт'!AD275+'[1]побудинковий звіт'!AD275</f>
        <v>1620.0048155689265</v>
      </c>
      <c r="AE275" s="41">
        <f>'[2]побудинковий звіт'!AE275+'[1]побудинковий звіт'!AE275</f>
        <v>1613.8681712367732</v>
      </c>
      <c r="AF275" s="36">
        <f t="shared" si="270"/>
        <v>-6.1366443321533097</v>
      </c>
      <c r="AG275" s="84">
        <f t="shared" si="271"/>
        <v>3607.8604846125218</v>
      </c>
      <c r="AH275" s="56">
        <f t="shared" si="272"/>
        <v>3655.0614531468891</v>
      </c>
      <c r="AI275" s="55">
        <f t="shared" si="273"/>
        <v>47.200968534367348</v>
      </c>
      <c r="AJ275" s="41">
        <f>'[2]побудинковий звіт'!AJ275+'[1]побудинковий звіт'!AJ275</f>
        <v>0</v>
      </c>
      <c r="AK275" s="41">
        <f>'[2]побудинковий звіт'!AK275+'[1]побудинковий звіт'!AK275</f>
        <v>0</v>
      </c>
      <c r="AL275" s="55">
        <f t="shared" si="274"/>
        <v>0</v>
      </c>
      <c r="AM275" s="41">
        <f>'[2]побудинковий звіт'!AM275+'[1]побудинковий звіт'!AM275</f>
        <v>0</v>
      </c>
      <c r="AN275" s="41">
        <f>'[2]побудинковий звіт'!AN275+'[1]побудинковий звіт'!AN275</f>
        <v>0</v>
      </c>
      <c r="AO275" s="55">
        <f t="shared" si="275"/>
        <v>0</v>
      </c>
      <c r="AP275" s="41">
        <f>'[2]побудинковий звіт'!AP275+'[1]побудинковий звіт'!AP275</f>
        <v>522.03027125072992</v>
      </c>
      <c r="AQ275" s="41">
        <f>'[2]побудинковий звіт'!AQ275+'[1]побудинковий звіт'!AQ275</f>
        <v>646.27080010527129</v>
      </c>
      <c r="AR275" s="55">
        <f t="shared" si="276"/>
        <v>124.24052885454137</v>
      </c>
      <c r="AS275" s="41">
        <f>'[2]побудинковий звіт'!AS275+'[1]побудинковий звіт'!AS275</f>
        <v>4929.5991838853952</v>
      </c>
      <c r="AT275" s="41">
        <f>'[2]побудинковий звіт'!AT275+'[1]побудинковий звіт'!AT275</f>
        <v>1995.3795536091852</v>
      </c>
      <c r="AU275" s="57">
        <f t="shared" si="277"/>
        <v>-2934.21963027621</v>
      </c>
      <c r="AV275" s="41">
        <f>'[2]побудинковий звіт'!AV275+'[1]побудинковий звіт'!AV275</f>
        <v>340.07874269596488</v>
      </c>
      <c r="AW275" s="41">
        <f>'[2]побудинковий звіт'!AW275+'[1]побудинковий звіт'!AW275</f>
        <v>0</v>
      </c>
      <c r="AX275" s="58">
        <f t="shared" si="278"/>
        <v>-340.07874269596488</v>
      </c>
      <c r="AY275" s="41">
        <f>'[2]побудинковий звіт'!AY275+'[1]побудинковий звіт'!AY275</f>
        <v>427.3485107596922</v>
      </c>
      <c r="AZ275" s="41">
        <f>'[2]побудинковий звіт'!AZ275+'[1]побудинковий звіт'!AZ275</f>
        <v>0</v>
      </c>
      <c r="BA275" s="36">
        <f t="shared" si="279"/>
        <v>-427.3485107596922</v>
      </c>
      <c r="BB275" s="41">
        <f>'[2]побудинковий звіт'!BB275+'[1]побудинковий звіт'!BB275</f>
        <v>0</v>
      </c>
      <c r="BC275" s="41">
        <f>'[2]побудинковий звіт'!BC275+'[1]побудинковий звіт'!BC275</f>
        <v>0</v>
      </c>
      <c r="BD275" s="58">
        <f t="shared" si="280"/>
        <v>0</v>
      </c>
      <c r="BE275" s="41">
        <f>'[2]побудинковий звіт'!BE275+'[1]побудинковий звіт'!BE275</f>
        <v>0</v>
      </c>
      <c r="BF275" s="41">
        <f>'[2]побудинковий звіт'!BF275+'[1]побудинковий звіт'!BF275</f>
        <v>0</v>
      </c>
      <c r="BG275" s="38">
        <f t="shared" si="281"/>
        <v>0</v>
      </c>
      <c r="BH275" s="41">
        <f>'[2]побудинковий звіт'!BH275+'[1]побудинковий звіт'!BH275</f>
        <v>0</v>
      </c>
      <c r="BI275" s="41">
        <f>'[2]побудинковий звіт'!BI275+'[1]побудинковий звіт'!BI275</f>
        <v>0</v>
      </c>
      <c r="BJ275" s="58">
        <f t="shared" si="282"/>
        <v>0</v>
      </c>
      <c r="BK275" s="41">
        <f>'[2]побудинковий звіт'!BK275+'[1]побудинковий звіт'!BK275</f>
        <v>178.2301241770825</v>
      </c>
      <c r="BL275" s="41">
        <f>'[2]побудинковий звіт'!BL275+'[1]побудинковий звіт'!BL275</f>
        <v>0</v>
      </c>
      <c r="BM275" s="38">
        <f t="shared" si="283"/>
        <v>-178.2301241770825</v>
      </c>
      <c r="BN275" s="41">
        <f>'[2]побудинковий звіт'!BN275+'[1]побудинковий звіт'!BN275</f>
        <v>18.822521183810586</v>
      </c>
      <c r="BO275" s="41">
        <f>'[2]побудинковий звіт'!BO275+'[1]побудинковий звіт'!BO275</f>
        <v>0</v>
      </c>
      <c r="BP275" s="58">
        <f t="shared" si="284"/>
        <v>-18.822521183810586</v>
      </c>
      <c r="BQ275" s="84">
        <f t="shared" si="285"/>
        <v>964.4798988165503</v>
      </c>
      <c r="BR275" s="42">
        <f t="shared" si="286"/>
        <v>0</v>
      </c>
      <c r="BS275" s="58">
        <f t="shared" si="287"/>
        <v>-964.4798988165503</v>
      </c>
      <c r="BT275" s="41">
        <f>'[2]побудинковий звіт'!BT275+'[1]побудинковий звіт'!BT275</f>
        <v>3441.7809996054198</v>
      </c>
      <c r="BU275" s="41">
        <f>'[2]побудинковий звіт'!BU275+'[1]побудинковий звіт'!BU275</f>
        <v>10731.149349838139</v>
      </c>
      <c r="BV275" s="55">
        <f t="shared" si="288"/>
        <v>7289.3683502327185</v>
      </c>
      <c r="BW275" s="41">
        <f>'[2]побудинковий звіт'!BW275+'[1]побудинковий звіт'!BW275</f>
        <v>2718.9362809862005</v>
      </c>
      <c r="BX275" s="41">
        <f>'[2]побудинковий звіт'!BX275+'[1]побудинковий звіт'!BX275</f>
        <v>2959.480028522918</v>
      </c>
      <c r="BY275" s="55">
        <f t="shared" si="289"/>
        <v>240.54374753671755</v>
      </c>
      <c r="BZ275" s="41">
        <f>'[2]побудинковий звіт'!BZ275+'[1]побудинковий звіт'!BZ275</f>
        <v>1430.8772004726243</v>
      </c>
      <c r="CA275" s="41">
        <f>'[2]побудинковий звіт'!CA275+'[1]побудинковий звіт'!CA275</f>
        <v>423.80168049523115</v>
      </c>
      <c r="CB275" s="55">
        <f t="shared" si="290"/>
        <v>-1007.0755199773931</v>
      </c>
      <c r="CC275" s="41">
        <f>'[2]побудинковий звіт'!CC275+'[1]побудинковий звіт'!CC275</f>
        <v>0</v>
      </c>
      <c r="CD275" s="41">
        <f>'[2]побудинковий звіт'!CD275+'[1]побудинковий звіт'!CD275</f>
        <v>0</v>
      </c>
      <c r="CE275" s="55">
        <f t="shared" si="291"/>
        <v>0</v>
      </c>
      <c r="CF275" s="41">
        <f>'[2]побудинковий звіт'!CF275+'[1]побудинковий звіт'!CF275</f>
        <v>0</v>
      </c>
      <c r="CG275" s="41">
        <f>'[2]побудинковий звіт'!CG275+'[1]побудинковий звіт'!CG275</f>
        <v>0</v>
      </c>
      <c r="CH275" s="55">
        <f t="shared" si="292"/>
        <v>0</v>
      </c>
      <c r="CI275" s="41">
        <f>'[2]побудинковий звіт'!CI275+'[1]побудинковий звіт'!CI275</f>
        <v>939.01294872523772</v>
      </c>
      <c r="CJ275" s="41">
        <f>'[2]побудинковий звіт'!CJ275+'[1]побудинковий звіт'!CJ275</f>
        <v>855.9782008095051</v>
      </c>
      <c r="CK275" s="55">
        <f t="shared" si="293"/>
        <v>-83.034747915732623</v>
      </c>
      <c r="CL275" s="41">
        <f>'[2]побудинковий звіт'!CL275+'[1]побудинковий звіт'!CL275</f>
        <v>0</v>
      </c>
      <c r="CM275" s="41">
        <f>'[2]побудинковий звіт'!CM275+'[1]побудинковий звіт'!CM275</f>
        <v>0</v>
      </c>
      <c r="CN275" s="55">
        <f t="shared" si="294"/>
        <v>0</v>
      </c>
      <c r="CO275" s="41">
        <f t="shared" si="295"/>
        <v>939.01294872523772</v>
      </c>
      <c r="CP275" s="42">
        <f t="shared" si="296"/>
        <v>855.9782008095051</v>
      </c>
      <c r="CQ275" s="55">
        <f t="shared" si="297"/>
        <v>-83.034747915732623</v>
      </c>
      <c r="CR275" s="76">
        <f t="shared" si="298"/>
        <v>18554.577268354678</v>
      </c>
      <c r="CS275" s="5">
        <f t="shared" si="299"/>
        <v>21267.121066527139</v>
      </c>
      <c r="CT275" s="55">
        <f t="shared" si="300"/>
        <v>2712.5437981724608</v>
      </c>
      <c r="CU275" s="84">
        <f t="shared" si="301"/>
        <v>22265.492722025614</v>
      </c>
      <c r="CV275" s="68">
        <f t="shared" si="302"/>
        <v>25520.545279832568</v>
      </c>
      <c r="CW275" s="36">
        <f t="shared" si="303"/>
        <v>3255.0525578069537</v>
      </c>
      <c r="CX275" s="41">
        <f>'[2]побудинковий звіт'!CX275+'[1]побудинковий звіт'!CX275</f>
        <v>550.63376092623082</v>
      </c>
      <c r="CY275" s="41">
        <f>'[2]побудинковий звіт'!CY275+'[1]побудинковий звіт'!CY275</f>
        <v>-2704.4187968807232</v>
      </c>
      <c r="CZ275" s="55">
        <f t="shared" si="304"/>
        <v>-3255.0525578069542</v>
      </c>
      <c r="DA275" s="254">
        <f>'[1]побудинковий звіт'!DA275</f>
        <v>36853.999367379103</v>
      </c>
      <c r="DB275" s="2">
        <v>3</v>
      </c>
      <c r="DC275" s="702">
        <f>'[1]побудинковий звіт'!DC275</f>
        <v>7546.21</v>
      </c>
      <c r="DD275" s="702">
        <f>'[1]побудинковий звіт'!DD275</f>
        <v>0</v>
      </c>
      <c r="DE275" s="702">
        <f>'[1]побудинковий звіт'!DE275</f>
        <v>5042.3099999999995</v>
      </c>
      <c r="DF275" s="702">
        <f>'[1]побудинковий звіт'!DF275</f>
        <v>0</v>
      </c>
      <c r="DG275" s="772">
        <v>-7938.8290392756098</v>
      </c>
      <c r="DH275" s="746">
        <f t="shared" si="251"/>
        <v>273793.51779542211</v>
      </c>
      <c r="DI275" s="769"/>
      <c r="DJ275" s="5"/>
      <c r="DK275" s="307">
        <f>VLOOKUP($A275,ціни!$A$4:$G$401,5)</f>
        <v>4.7742846238930143</v>
      </c>
      <c r="DL275" s="307"/>
      <c r="DM275" s="307">
        <f>VLOOKUP($A275,ціни!$A$4:$G$401,7)</f>
        <v>4.0822833867114667</v>
      </c>
      <c r="DN275" s="29">
        <f t="shared" si="260"/>
        <v>1787.9695916479338</v>
      </c>
      <c r="DO275" s="29">
        <f t="shared" si="305"/>
        <v>0</v>
      </c>
      <c r="DP275" s="306">
        <f t="shared" si="252"/>
        <v>1787.9695916479338</v>
      </c>
      <c r="DQ275" s="101"/>
      <c r="DR275" s="29">
        <f>VLOOKUP(A275,'ДЗ нас '!$A$1:$C$359,2)</f>
        <v>1787.99</v>
      </c>
      <c r="DS275" s="733"/>
      <c r="DT275" s="29">
        <f t="shared" si="253"/>
        <v>1787.99</v>
      </c>
      <c r="DU275" s="247">
        <f>VLOOKUP(A275,'новий кошторис с 01.06'!$A$4:$AI$399,35)*1.2</f>
        <v>1787.5081558631025</v>
      </c>
      <c r="DV275" s="29">
        <f t="shared" si="254"/>
        <v>0.48184413689750727</v>
      </c>
      <c r="DW275" s="1016">
        <f>'[2]побудинковий звіт'!$DW$9+'[1]побудинковий звіт'!DW275</f>
        <v>0</v>
      </c>
      <c r="DX275" s="101">
        <f>'[1]побудинковий звіт'!DX275</f>
        <v>0</v>
      </c>
      <c r="DY275" s="5">
        <f t="shared" si="255"/>
        <v>7072.8948992423348</v>
      </c>
      <c r="DZ275" s="5">
        <f t="shared" si="256"/>
        <v>2394.4554643310221</v>
      </c>
      <c r="EA275" s="737">
        <f t="shared" si="257"/>
        <v>5042.3099999999995</v>
      </c>
      <c r="EC275" s="577">
        <f t="shared" si="258"/>
        <v>59155.190206624742</v>
      </c>
      <c r="EE275" s="743">
        <v>1155</v>
      </c>
      <c r="EF275" s="723">
        <f t="shared" si="259"/>
        <v>-6783.8290392756098</v>
      </c>
      <c r="EH275" s="798">
        <v>30742.156936915409</v>
      </c>
      <c r="EI275" s="101">
        <f>VLOOKUP(A275,'кошти 01.01.24'!$A$9:$D$352,4,FALSE)</f>
        <v>33598.946809572153</v>
      </c>
    </row>
    <row r="276" spans="1:139" hidden="1" x14ac:dyDescent="0.3">
      <c r="A276" s="318">
        <v>150000814</v>
      </c>
      <c r="B276" s="43" t="s">
        <v>753</v>
      </c>
      <c r="C276" s="44" t="s">
        <v>304</v>
      </c>
      <c r="D276" s="44" t="s">
        <v>304</v>
      </c>
      <c r="E276" s="39">
        <f t="shared" si="262"/>
        <v>3609.1000000000004</v>
      </c>
      <c r="F276" s="205">
        <f>'[1]побудинковий звіт'!F276</f>
        <v>2559.3000000000002</v>
      </c>
      <c r="G276" s="29">
        <f>'[1]побудинковий звіт'!G276</f>
        <v>0</v>
      </c>
      <c r="H276" s="148">
        <f>'[1]побудинковий звіт'!H276</f>
        <v>1049.8</v>
      </c>
      <c r="I276" s="41">
        <f>'[2]побудинковий звіт'!I276+'[1]побудинковий звіт'!I276</f>
        <v>11059.523776462387</v>
      </c>
      <c r="J276" s="41">
        <f>'[2]побудинковий звіт'!J276+'[1]побудинковий звіт'!J276</f>
        <v>11389.272016376424</v>
      </c>
      <c r="K276" s="55">
        <f t="shared" si="263"/>
        <v>329.74823991403719</v>
      </c>
      <c r="L276" s="41">
        <f>'[2]побудинковий звіт'!L276+'[1]побудинковий звіт'!L276</f>
        <v>2275.6698060791382</v>
      </c>
      <c r="M276" s="41">
        <f>'[2]побудинковий звіт'!M276+'[1]побудинковий звіт'!M276</f>
        <v>2382.2296217628727</v>
      </c>
      <c r="N276" s="55">
        <f t="shared" si="264"/>
        <v>106.55981568373454</v>
      </c>
      <c r="O276" s="41">
        <f>'[2]побудинковий звіт'!O276+'[1]побудинковий звіт'!O276</f>
        <v>4047.1328056260772</v>
      </c>
      <c r="P276" s="41">
        <f>'[2]побудинковий звіт'!P276+'[1]побудинковий звіт'!P276</f>
        <v>4059.432426974819</v>
      </c>
      <c r="Q276" s="55">
        <f t="shared" si="265"/>
        <v>12.299621348741766</v>
      </c>
      <c r="R276" s="41">
        <f>'[2]побудинковий звіт'!R276+'[1]побудинковий звіт'!R276</f>
        <v>0</v>
      </c>
      <c r="S276" s="41">
        <f>'[2]побудинковий звіт'!S276+'[1]побудинковий звіт'!S276</f>
        <v>0</v>
      </c>
      <c r="T276" s="55">
        <f t="shared" si="266"/>
        <v>0</v>
      </c>
      <c r="U276" s="41">
        <f>'[2]побудинковий звіт'!U276+'[1]побудинковий звіт'!U276</f>
        <v>233.87745698177133</v>
      </c>
      <c r="V276" s="41">
        <f>'[2]побудинковий звіт'!V276+'[1]побудинковий звіт'!V276</f>
        <v>134.93073857999187</v>
      </c>
      <c r="W276" s="55">
        <f t="shared" si="267"/>
        <v>-98.946718401779464</v>
      </c>
      <c r="X276" s="41">
        <f>'[2]побудинковий звіт'!X276+'[1]побудинковий звіт'!X276</f>
        <v>7038.6809637076167</v>
      </c>
      <c r="Y276" s="41">
        <f>'[2]побудинковий звіт'!Y276+'[1]побудинковий звіт'!Y276</f>
        <v>7019.0000921930314</v>
      </c>
      <c r="Z276" s="55">
        <f t="shared" si="268"/>
        <v>-19.680871514585306</v>
      </c>
      <c r="AA276" s="41">
        <f>'[2]побудинковий звіт'!AA276+'[1]побудинковий звіт'!AA276</f>
        <v>0</v>
      </c>
      <c r="AB276" s="41">
        <f>'[2]побудинковий звіт'!AB276+'[1]побудинковий звіт'!AB276</f>
        <v>0</v>
      </c>
      <c r="AC276" s="55">
        <f t="shared" si="269"/>
        <v>0</v>
      </c>
      <c r="AD276" s="41">
        <f>'[2]побудинковий звіт'!AD276+'[1]побудинковий звіт'!AD276</f>
        <v>14307.472945806103</v>
      </c>
      <c r="AE276" s="41">
        <f>'[2]побудинковий звіт'!AE276+'[1]побудинковий звіт'!AE276</f>
        <v>15592.911496843848</v>
      </c>
      <c r="AF276" s="36">
        <f t="shared" si="270"/>
        <v>1285.4385510377451</v>
      </c>
      <c r="AG276" s="84">
        <f t="shared" si="271"/>
        <v>38962.357754663099</v>
      </c>
      <c r="AH276" s="56">
        <f t="shared" si="272"/>
        <v>40577.776392730986</v>
      </c>
      <c r="AI276" s="55">
        <f t="shared" si="273"/>
        <v>1615.4186380678875</v>
      </c>
      <c r="AJ276" s="41">
        <f>'[2]побудинковий звіт'!AJ276+'[1]побудинковий звіт'!AJ276</f>
        <v>0</v>
      </c>
      <c r="AK276" s="41">
        <f>'[2]побудинковий звіт'!AK276+'[1]побудинковий звіт'!AK276</f>
        <v>0</v>
      </c>
      <c r="AL276" s="55">
        <f t="shared" si="274"/>
        <v>0</v>
      </c>
      <c r="AM276" s="41">
        <f>'[2]побудинковий звіт'!AM276+'[1]побудинковий звіт'!AM276</f>
        <v>0</v>
      </c>
      <c r="AN276" s="41">
        <f>'[2]побудинковий звіт'!AN276+'[1]побудинковий звіт'!AN276</f>
        <v>0</v>
      </c>
      <c r="AO276" s="55">
        <f t="shared" si="275"/>
        <v>0</v>
      </c>
      <c r="AP276" s="41">
        <f>'[2]побудинковий звіт'!AP276+'[1]побудинковий звіт'!AP276</f>
        <v>9509.740251889958</v>
      </c>
      <c r="AQ276" s="41">
        <f>'[2]побудинковий звіт'!AQ276+'[1]побудинковий звіт'!AQ276</f>
        <v>9141.3903759144741</v>
      </c>
      <c r="AR276" s="55">
        <f t="shared" si="276"/>
        <v>-368.34987597548388</v>
      </c>
      <c r="AS276" s="41">
        <f>'[2]побудинковий звіт'!AS276+'[1]побудинковий звіт'!AS276</f>
        <v>35148.438146649714</v>
      </c>
      <c r="AT276" s="41">
        <f>'[2]побудинковий звіт'!AT276+'[1]побудинковий звіт'!AT276</f>
        <v>26543.368456789285</v>
      </c>
      <c r="AU276" s="57">
        <f t="shared" si="277"/>
        <v>-8605.0696898604292</v>
      </c>
      <c r="AV276" s="41">
        <f>'[2]побудинковий звіт'!AV276+'[1]побудинковий звіт'!AV276</f>
        <v>1820.6294771314051</v>
      </c>
      <c r="AW276" s="41">
        <f>'[2]побудинковий звіт'!AW276+'[1]побудинковий звіт'!AW276</f>
        <v>3528.3834209953352</v>
      </c>
      <c r="AX276" s="58">
        <f t="shared" si="278"/>
        <v>1707.7539438639301</v>
      </c>
      <c r="AY276" s="41">
        <f>'[2]побудинковий звіт'!AY276+'[1]побудинковий звіт'!AY276</f>
        <v>3103.2743791248936</v>
      </c>
      <c r="AZ276" s="41">
        <f>'[2]побудинковий звіт'!AZ276+'[1]побудинковий звіт'!AZ276</f>
        <v>0</v>
      </c>
      <c r="BA276" s="36">
        <f t="shared" si="279"/>
        <v>-3103.2743791248936</v>
      </c>
      <c r="BB276" s="41">
        <f>'[2]побудинковий звіт'!BB276+'[1]побудинковий звіт'!BB276</f>
        <v>1921.371717658863</v>
      </c>
      <c r="BC276" s="41">
        <f>'[2]побудинковий звіт'!BC276+'[1]побудинковий звіт'!BC276</f>
        <v>0</v>
      </c>
      <c r="BD276" s="58">
        <f t="shared" si="280"/>
        <v>-1921.371717658863</v>
      </c>
      <c r="BE276" s="41">
        <f>'[2]побудинковий звіт'!BE276+'[1]побудинковий звіт'!BE276</f>
        <v>0</v>
      </c>
      <c r="BF276" s="41">
        <f>'[2]побудинковий звіт'!BF276+'[1]побудинковий звіт'!BF276</f>
        <v>0</v>
      </c>
      <c r="BG276" s="38">
        <f t="shared" si="281"/>
        <v>0</v>
      </c>
      <c r="BH276" s="41">
        <f>'[2]побудинковий звіт'!BH276+'[1]побудинковий звіт'!BH276</f>
        <v>137.84135996429129</v>
      </c>
      <c r="BI276" s="41">
        <f>'[2]побудинковий звіт'!BI276+'[1]побудинковий звіт'!BI276</f>
        <v>0</v>
      </c>
      <c r="BJ276" s="58">
        <f t="shared" si="282"/>
        <v>-137.84135996429129</v>
      </c>
      <c r="BK276" s="41">
        <f>'[2]побудинковий звіт'!BK276+'[1]побудинковий звіт'!BK276</f>
        <v>1279.8666570895941</v>
      </c>
      <c r="BL276" s="41">
        <f>'[2]побудинковий звіт'!BL276+'[1]побудинковий звіт'!BL276</f>
        <v>938.16598089821059</v>
      </c>
      <c r="BM276" s="38">
        <f t="shared" si="283"/>
        <v>-341.70067619138354</v>
      </c>
      <c r="BN276" s="41">
        <f>'[2]побудинковий звіт'!BN276+'[1]побудинковий звіт'!BN276</f>
        <v>30.743451266890624</v>
      </c>
      <c r="BO276" s="41">
        <f>'[2]побудинковий звіт'!BO276+'[1]побудинковий звіт'!BO276</f>
        <v>4348.6091856311832</v>
      </c>
      <c r="BP276" s="58">
        <f t="shared" si="284"/>
        <v>4317.8657343642926</v>
      </c>
      <c r="BQ276" s="84">
        <f t="shared" si="285"/>
        <v>8293.7270422359379</v>
      </c>
      <c r="BR276" s="42">
        <f t="shared" si="286"/>
        <v>8815.1585875247292</v>
      </c>
      <c r="BS276" s="58">
        <f t="shared" si="287"/>
        <v>521.43154528879131</v>
      </c>
      <c r="BT276" s="41">
        <f>'[2]побудинковий звіт'!BT276+'[1]побудинковий звіт'!BT276</f>
        <v>36704.437020746722</v>
      </c>
      <c r="BU276" s="41">
        <f>'[2]побудинковий звіт'!BU276+'[1]побудинковий звіт'!BU276</f>
        <v>56534.393710754826</v>
      </c>
      <c r="BV276" s="55">
        <f t="shared" si="288"/>
        <v>19829.956690008104</v>
      </c>
      <c r="BW276" s="41">
        <f>'[2]побудинковий звіт'!BW276+'[1]побудинковий звіт'!BW276</f>
        <v>13659.859277512382</v>
      </c>
      <c r="BX276" s="41">
        <f>'[2]побудинковий звіт'!BX276+'[1]побудинковий звіт'!BX276</f>
        <v>16151.475702519547</v>
      </c>
      <c r="BY276" s="55">
        <f t="shared" si="289"/>
        <v>2491.6164250071652</v>
      </c>
      <c r="BZ276" s="41">
        <f>'[2]побудинковий звіт'!BZ276+'[1]побудинковий звіт'!BZ276</f>
        <v>15670.996324520815</v>
      </c>
      <c r="CA276" s="41">
        <f>'[2]побудинковий звіт'!CA276+'[1]побудинковий звіт'!CA276</f>
        <v>6146.8784816635116</v>
      </c>
      <c r="CB276" s="55">
        <f t="shared" si="290"/>
        <v>-9524.1178428573039</v>
      </c>
      <c r="CC276" s="41">
        <f>'[2]побудинковий звіт'!CC276+'[1]побудинковий звіт'!CC276</f>
        <v>38.169534747880746</v>
      </c>
      <c r="CD276" s="41">
        <f>'[2]побудинковий звіт'!CD276+'[1]побудинковий звіт'!CD276</f>
        <v>38.298963382640828</v>
      </c>
      <c r="CE276" s="55">
        <f t="shared" si="291"/>
        <v>0.12942863476008171</v>
      </c>
      <c r="CF276" s="41">
        <f>'[2]побудинковий звіт'!CF276+'[1]побудинковий звіт'!CF276</f>
        <v>4.7290024771166035</v>
      </c>
      <c r="CG276" s="41">
        <f>'[2]побудинковий звіт'!CG276+'[1]побудинковий звіт'!CG276</f>
        <v>0</v>
      </c>
      <c r="CH276" s="55">
        <f t="shared" si="292"/>
        <v>-4.7290024771166035</v>
      </c>
      <c r="CI276" s="41">
        <f>'[2]побудинковий звіт'!CI276+'[1]побудинковий звіт'!CI276</f>
        <v>6196.2410470419745</v>
      </c>
      <c r="CJ276" s="41">
        <f>'[2]побудинковий звіт'!CJ276+'[1]побудинковий звіт'!CJ276</f>
        <v>3566.9555653701573</v>
      </c>
      <c r="CK276" s="55">
        <f t="shared" si="293"/>
        <v>-2629.2854816718173</v>
      </c>
      <c r="CL276" s="41">
        <f>'[2]побудинковий звіт'!CL276+'[1]побудинковий звіт'!CL276</f>
        <v>0</v>
      </c>
      <c r="CM276" s="41">
        <f>'[2]побудинковий звіт'!CM276+'[1]побудинковий звіт'!CM276</f>
        <v>0</v>
      </c>
      <c r="CN276" s="55">
        <f t="shared" si="294"/>
        <v>0</v>
      </c>
      <c r="CO276" s="41">
        <f t="shared" si="295"/>
        <v>6196.2410470419745</v>
      </c>
      <c r="CP276" s="42">
        <f t="shared" si="296"/>
        <v>3566.9555653701573</v>
      </c>
      <c r="CQ276" s="55">
        <f t="shared" si="297"/>
        <v>-2629.2854816718173</v>
      </c>
      <c r="CR276" s="76">
        <f t="shared" si="298"/>
        <v>164188.69540248561</v>
      </c>
      <c r="CS276" s="5">
        <f t="shared" si="299"/>
        <v>167515.69623665014</v>
      </c>
      <c r="CT276" s="55">
        <f t="shared" si="300"/>
        <v>3327.0008341645298</v>
      </c>
      <c r="CU276" s="84">
        <f t="shared" si="301"/>
        <v>197026.43448298273</v>
      </c>
      <c r="CV276" s="68">
        <f t="shared" si="302"/>
        <v>201018.83548398016</v>
      </c>
      <c r="CW276" s="36">
        <f t="shared" si="303"/>
        <v>3992.4010009974299</v>
      </c>
      <c r="CX276" s="41">
        <f>'[2]побудинковий звіт'!CX276+'[1]побудинковий звіт'!CX276</f>
        <v>18458.292999851532</v>
      </c>
      <c r="CY276" s="41">
        <f>'[2]побудинковий звіт'!CY276+'[1]побудинковий звіт'!CY276</f>
        <v>14465.891998854084</v>
      </c>
      <c r="CZ276" s="55">
        <f t="shared" si="304"/>
        <v>-3992.4010009974481</v>
      </c>
      <c r="DA276" s="254">
        <f>'[1]побудинковий звіт'!DA276</f>
        <v>28707.082449025853</v>
      </c>
      <c r="DB276" s="2">
        <v>2</v>
      </c>
      <c r="DC276" s="702">
        <f>'[1]побудинковий звіт'!DC276</f>
        <v>58516.3</v>
      </c>
      <c r="DD276" s="702">
        <f>'[1]побудинковий звіт'!DD276</f>
        <v>10803.449999999999</v>
      </c>
      <c r="DE276" s="702">
        <f>'[1]побудинковий звіт'!DE276</f>
        <v>41234.9</v>
      </c>
      <c r="DF276" s="702">
        <f>'[1]побудинковий звіт'!DF276</f>
        <v>4450.369999999999</v>
      </c>
      <c r="DG276" s="772">
        <v>43400.176049859903</v>
      </c>
      <c r="DH276" s="746">
        <f t="shared" si="251"/>
        <v>2585816.729794011</v>
      </c>
      <c r="DI276" s="769"/>
      <c r="DJ276" s="5"/>
      <c r="DK276" s="307">
        <f>VLOOKUP($A276,ціни!$A$4:$G$401,5)</f>
        <v>4.8274624107530091</v>
      </c>
      <c r="DL276" s="307"/>
      <c r="DM276" s="307">
        <f>VLOOKUP($A276,ціни!$A$4:$G$401,7)</f>
        <v>4.3188564253450021</v>
      </c>
      <c r="DN276" s="29">
        <f t="shared" si="260"/>
        <v>12354.924547840177</v>
      </c>
      <c r="DO276" s="29">
        <f t="shared" si="305"/>
        <v>4533.9354753271828</v>
      </c>
      <c r="DP276" s="306">
        <f t="shared" si="252"/>
        <v>16888.860023167359</v>
      </c>
      <c r="DQ276" s="101"/>
      <c r="DR276" s="29">
        <f>VLOOKUP(A276,'ДЗ нас '!$A$1:$C$359,2)</f>
        <v>12355.03</v>
      </c>
      <c r="DS276" s="733">
        <f>VLOOKUP(A276,'ДЗ нежит'!$A$1:$D$153,4,0)</f>
        <v>4533.9799999999996</v>
      </c>
      <c r="DT276" s="29">
        <f t="shared" si="253"/>
        <v>16889.010000000002</v>
      </c>
      <c r="DU276" s="247">
        <f>VLOOKUP(A276,'новий кошторис с 01.06'!$A$4:$AI$399,35)*1.2</f>
        <v>15273.175834445792</v>
      </c>
      <c r="DV276" s="29">
        <f t="shared" si="254"/>
        <v>1615.8341655542099</v>
      </c>
      <c r="DW276" s="1016">
        <f>'[2]побудинковий звіт'!$DW$9+'[1]побудинковий звіт'!DW276</f>
        <v>1062</v>
      </c>
      <c r="DX276" s="101">
        <f>'[1]побудинковий звіт'!DX276</f>
        <v>0</v>
      </c>
      <c r="DY276" s="5">
        <f t="shared" si="255"/>
        <v>52130.598226662776</v>
      </c>
      <c r="DZ276" s="5">
        <f t="shared" si="256"/>
        <v>42430.232453176817</v>
      </c>
      <c r="EA276" s="737">
        <f t="shared" si="257"/>
        <v>45685.270000000004</v>
      </c>
      <c r="EC276" s="577">
        <f t="shared" si="258"/>
        <v>421781.25775979657</v>
      </c>
      <c r="EE276" s="743">
        <v>-16220</v>
      </c>
      <c r="EF276" s="723">
        <f t="shared" si="259"/>
        <v>27180.176049859903</v>
      </c>
      <c r="EH276" s="798">
        <v>22107.536417903841</v>
      </c>
      <c r="EI276" s="101">
        <f>VLOOKUP(A276,'кошти 01.01.24'!$A$9:$D$352,4,FALSE)</f>
        <v>24714.681448028383</v>
      </c>
    </row>
    <row r="277" spans="1:139" ht="15" hidden="1" customHeight="1" x14ac:dyDescent="0.3">
      <c r="A277" s="318">
        <v>150000816</v>
      </c>
      <c r="B277" s="43" t="s">
        <v>754</v>
      </c>
      <c r="C277" s="44" t="s">
        <v>229</v>
      </c>
      <c r="D277" s="44" t="s">
        <v>229</v>
      </c>
      <c r="E277" s="39">
        <f t="shared" si="262"/>
        <v>2652.84</v>
      </c>
      <c r="F277" s="205">
        <f>'[1]побудинковий звіт'!F277</f>
        <v>2057.54</v>
      </c>
      <c r="G277" s="29">
        <f>'[1]побудинковий звіт'!G277</f>
        <v>0</v>
      </c>
      <c r="H277" s="148">
        <f>'[1]побудинковий звіт'!H277</f>
        <v>595.29999999999995</v>
      </c>
      <c r="I277" s="41">
        <f>'[2]побудинковий звіт'!I277+'[1]побудинковий звіт'!I277</f>
        <v>9752.3155938841373</v>
      </c>
      <c r="J277" s="41">
        <f>'[2]побудинковий звіт'!J277+'[1]побудинковий звіт'!J277</f>
        <v>10004.529002120151</v>
      </c>
      <c r="K277" s="55">
        <f t="shared" si="263"/>
        <v>252.21340823601349</v>
      </c>
      <c r="L277" s="41">
        <f>'[2]побудинковий звіт'!L277+'[1]побудинковий звіт'!L277</f>
        <v>1604.6354230458182</v>
      </c>
      <c r="M277" s="41">
        <f>'[2]побудинковий звіт'!M277+'[1]побудинковий звіт'!M277</f>
        <v>1681.0309941638661</v>
      </c>
      <c r="N277" s="55">
        <f t="shared" si="264"/>
        <v>76.395571118047883</v>
      </c>
      <c r="O277" s="41">
        <f>'[2]побудинковий звіт'!O277+'[1]побудинковий звіт'!O277</f>
        <v>3647.7647100877084</v>
      </c>
      <c r="P277" s="41">
        <f>'[2]побудинковий звіт'!P277+'[1]побудинковий звіт'!P277</f>
        <v>3657.311273776535</v>
      </c>
      <c r="Q277" s="55">
        <f t="shared" si="265"/>
        <v>9.546563688826609</v>
      </c>
      <c r="R277" s="41">
        <f>'[2]побудинковий звіт'!R277+'[1]побудинковий звіт'!R277</f>
        <v>934.88607085225362</v>
      </c>
      <c r="S277" s="41">
        <f>'[2]побудинковий звіт'!S277+'[1]побудинковий звіт'!S277</f>
        <v>937.31481142342489</v>
      </c>
      <c r="T277" s="55">
        <f t="shared" si="266"/>
        <v>2.4287405711712609</v>
      </c>
      <c r="U277" s="41">
        <f>'[2]побудинковий звіт'!U277+'[1]побудинковий звіт'!U277</f>
        <v>187.10196558541708</v>
      </c>
      <c r="V277" s="41">
        <f>'[2]побудинковий звіт'!V277+'[1]побудинковий звіт'!V277</f>
        <v>107.9445908639935</v>
      </c>
      <c r="W277" s="55">
        <f t="shared" si="267"/>
        <v>-79.157374721423579</v>
      </c>
      <c r="X277" s="41">
        <f>'[2]побудинковий звіт'!X277+'[1]побудинковий звіт'!X277</f>
        <v>6361.5628984707919</v>
      </c>
      <c r="Y277" s="41">
        <f>'[2]побудинковий звіт'!Y277+'[1]побудинковий звіт'!Y277</f>
        <v>6123.1454617720156</v>
      </c>
      <c r="Z277" s="55">
        <f t="shared" si="268"/>
        <v>-238.41743669877633</v>
      </c>
      <c r="AA277" s="41">
        <f>'[2]побудинковий звіт'!AA277+'[1]побудинковий звіт'!AA277</f>
        <v>0</v>
      </c>
      <c r="AB277" s="41">
        <f>'[2]побудинковий звіт'!AB277+'[1]побудинковий звіт'!AB277</f>
        <v>0</v>
      </c>
      <c r="AC277" s="55">
        <f t="shared" si="269"/>
        <v>0</v>
      </c>
      <c r="AD277" s="41">
        <f>'[2]побудинковий звіт'!AD277+'[1]побудинковий звіт'!AD277</f>
        <v>10914.188509405138</v>
      </c>
      <c r="AE277" s="41">
        <f>'[2]побудинковий звіт'!AE277+'[1]побудинковий звіт'!AE277</f>
        <v>11609.026077868126</v>
      </c>
      <c r="AF277" s="36">
        <f t="shared" si="270"/>
        <v>694.8375684629882</v>
      </c>
      <c r="AG277" s="84">
        <f t="shared" si="271"/>
        <v>33402.455171331269</v>
      </c>
      <c r="AH277" s="56">
        <f t="shared" si="272"/>
        <v>34120.302211988106</v>
      </c>
      <c r="AI277" s="55">
        <f t="shared" si="273"/>
        <v>717.84704065683763</v>
      </c>
      <c r="AJ277" s="41">
        <f>'[2]побудинковий звіт'!AJ277+'[1]побудинковий звіт'!AJ277</f>
        <v>0</v>
      </c>
      <c r="AK277" s="41">
        <f>'[2]побудинковий звіт'!AK277+'[1]побудинковий звіт'!AK277</f>
        <v>0</v>
      </c>
      <c r="AL277" s="55">
        <f t="shared" si="274"/>
        <v>0</v>
      </c>
      <c r="AM277" s="41">
        <f>'[2]побудинковий звіт'!AM277+'[1]побудинковий звіт'!AM277</f>
        <v>0</v>
      </c>
      <c r="AN277" s="41">
        <f>'[2]побудинковий звіт'!AN277+'[1]побудинковий звіт'!AN277</f>
        <v>0</v>
      </c>
      <c r="AO277" s="55">
        <f t="shared" si="275"/>
        <v>0</v>
      </c>
      <c r="AP277" s="41">
        <f>'[2]побудинковий звіт'!AP277+'[1]побудинковий звіт'!AP277</f>
        <v>2625.0845486987905</v>
      </c>
      <c r="AQ277" s="41">
        <f>'[2]побудинковий звіт'!AQ277+'[1]побудинковий звіт'!AQ277</f>
        <v>2445.5861110285923</v>
      </c>
      <c r="AR277" s="55">
        <f t="shared" si="276"/>
        <v>-179.4984376701982</v>
      </c>
      <c r="AS277" s="41">
        <f>'[2]побудинковий звіт'!AS277+'[1]побудинковий звіт'!AS277</f>
        <v>26190.61495492563</v>
      </c>
      <c r="AT277" s="41">
        <f>'[2]побудинковий звіт'!AT277+'[1]побудинковий звіт'!AT277</f>
        <v>4085.2216717095589</v>
      </c>
      <c r="AU277" s="57">
        <f t="shared" si="277"/>
        <v>-22105.393283216072</v>
      </c>
      <c r="AV277" s="41">
        <f>'[2]побудинковий звіт'!AV277+'[1]побудинковий звіт'!AV277</f>
        <v>1585.7870804366148</v>
      </c>
      <c r="AW277" s="41">
        <f>'[2]побудинковий звіт'!AW277+'[1]побудинковий звіт'!AW277</f>
        <v>0</v>
      </c>
      <c r="AX277" s="58">
        <f t="shared" si="278"/>
        <v>-1585.7870804366148</v>
      </c>
      <c r="AY277" s="41">
        <f>'[2]побудинковий звіт'!AY277+'[1]побудинковий звіт'!AY277</f>
        <v>1910.331485136647</v>
      </c>
      <c r="AZ277" s="41">
        <f>'[2]побудинковий звіт'!AZ277+'[1]побудинковий звіт'!AZ277</f>
        <v>0</v>
      </c>
      <c r="BA277" s="36">
        <f t="shared" si="279"/>
        <v>-1910.331485136647</v>
      </c>
      <c r="BB277" s="41">
        <f>'[2]побудинковий звіт'!BB277+'[1]побудинковий звіт'!BB277</f>
        <v>1821.618791693475</v>
      </c>
      <c r="BC277" s="41">
        <f>'[2]побудинковий звіт'!BC277+'[1]побудинковий звіт'!BC277</f>
        <v>0</v>
      </c>
      <c r="BD277" s="58">
        <f t="shared" si="280"/>
        <v>-1821.618791693475</v>
      </c>
      <c r="BE277" s="41">
        <f>'[2]побудинковий звіт'!BE277+'[1]побудинковий звіт'!BE277</f>
        <v>790.28490731634997</v>
      </c>
      <c r="BF277" s="41">
        <f>'[2]побудинковий звіт'!BF277+'[1]побудинковий звіт'!BF277</f>
        <v>858.89868450435006</v>
      </c>
      <c r="BG277" s="38">
        <f t="shared" si="281"/>
        <v>68.613777188000086</v>
      </c>
      <c r="BH277" s="41">
        <f>'[2]побудинковий звіт'!BH277+'[1]побудинковий звіт'!BH277</f>
        <v>110.27308797143304</v>
      </c>
      <c r="BI277" s="41">
        <f>'[2]побудинковий звіт'!BI277+'[1]побудинковий звіт'!BI277</f>
        <v>647.41536177161379</v>
      </c>
      <c r="BJ277" s="58">
        <f t="shared" si="282"/>
        <v>537.14227380018076</v>
      </c>
      <c r="BK277" s="41">
        <f>'[2]побудинковий звіт'!BK277+'[1]побудинковий звіт'!BK277</f>
        <v>1144.7181753985105</v>
      </c>
      <c r="BL277" s="41">
        <f>'[2]побудинковий звіт'!BL277+'[1]побудинковий звіт'!BL277</f>
        <v>0</v>
      </c>
      <c r="BM277" s="38">
        <f t="shared" si="283"/>
        <v>-1144.7181753985105</v>
      </c>
      <c r="BN277" s="41">
        <f>'[2]побудинковий звіт'!BN277+'[1]побудинковий звіт'!BN277</f>
        <v>35.072631139167051</v>
      </c>
      <c r="BO277" s="41">
        <f>'[2]побудинковий звіт'!BO277+'[1]побудинковий звіт'!BO277</f>
        <v>5017.8391734122933</v>
      </c>
      <c r="BP277" s="58">
        <f t="shared" si="284"/>
        <v>4982.7665422731261</v>
      </c>
      <c r="BQ277" s="84">
        <f t="shared" si="285"/>
        <v>7398.0861590921968</v>
      </c>
      <c r="BR277" s="42">
        <f t="shared" si="286"/>
        <v>6524.1532196882572</v>
      </c>
      <c r="BS277" s="58">
        <f t="shared" si="287"/>
        <v>-873.9329394039396</v>
      </c>
      <c r="BT277" s="41">
        <f>'[2]побудинковий звіт'!BT277+'[1]побудинковий звіт'!BT277</f>
        <v>34530.44432990448</v>
      </c>
      <c r="BU277" s="41">
        <f>'[2]побудинковий звіт'!BU277+'[1]побудинковий звіт'!BU277</f>
        <v>62987.92434775002</v>
      </c>
      <c r="BV277" s="55">
        <f t="shared" si="288"/>
        <v>28457.480017845541</v>
      </c>
      <c r="BW277" s="41">
        <f>'[2]побудинковий звіт'!BW277+'[1]побудинковий звіт'!BW277</f>
        <v>14749.019723020918</v>
      </c>
      <c r="BX277" s="41">
        <f>'[2]побудинковий звіт'!BX277+'[1]побудинковий звіт'!BX277</f>
        <v>16053.313047377045</v>
      </c>
      <c r="BY277" s="55">
        <f t="shared" si="289"/>
        <v>1304.2933243561274</v>
      </c>
      <c r="BZ277" s="41">
        <f>'[2]побудинковий звіт'!BZ277+'[1]побудинковий звіт'!BZ277</f>
        <v>19000.983707128817</v>
      </c>
      <c r="CA277" s="41">
        <f>'[2]побудинковий звіт'!CA277+'[1]побудинковий звіт'!CA277</f>
        <v>3486.8515825432623</v>
      </c>
      <c r="CB277" s="55">
        <f t="shared" si="290"/>
        <v>-15514.132124585554</v>
      </c>
      <c r="CC277" s="41">
        <f>'[2]побудинковий звіт'!CC277+'[1]побудинковий звіт'!CC277</f>
        <v>0</v>
      </c>
      <c r="CD277" s="41">
        <f>'[2]побудинковий звіт'!CD277+'[1]побудинковий звіт'!CD277</f>
        <v>0</v>
      </c>
      <c r="CE277" s="55">
        <f t="shared" si="291"/>
        <v>0</v>
      </c>
      <c r="CF277" s="41">
        <f>'[2]побудинковий звіт'!CF277+'[1]побудинковий звіт'!CF277</f>
        <v>0</v>
      </c>
      <c r="CG277" s="41">
        <f>'[2]побудинковий звіт'!CG277+'[1]побудинковий звіт'!CG277</f>
        <v>0</v>
      </c>
      <c r="CH277" s="55">
        <f t="shared" si="292"/>
        <v>0</v>
      </c>
      <c r="CI277" s="41">
        <f>'[2]побудинковий звіт'!CI277+'[1]побудинковий звіт'!CI277</f>
        <v>2836.7247420503527</v>
      </c>
      <c r="CJ277" s="41">
        <f>'[2]побудинковий звіт'!CJ277+'[1]побудинковий звіт'!CJ277</f>
        <v>3524.5430343167286</v>
      </c>
      <c r="CK277" s="55">
        <f t="shared" si="293"/>
        <v>687.81829226637592</v>
      </c>
      <c r="CL277" s="41">
        <f>'[2]побудинковий звіт'!CL277+'[1]побудинковий звіт'!CL277</f>
        <v>0</v>
      </c>
      <c r="CM277" s="41">
        <f>'[2]побудинковий звіт'!CM277+'[1]побудинковий звіт'!CM277</f>
        <v>0</v>
      </c>
      <c r="CN277" s="55">
        <f t="shared" si="294"/>
        <v>0</v>
      </c>
      <c r="CO277" s="41">
        <f t="shared" si="295"/>
        <v>2836.7247420503527</v>
      </c>
      <c r="CP277" s="42">
        <f t="shared" si="296"/>
        <v>3524.5430343167286</v>
      </c>
      <c r="CQ277" s="55">
        <f t="shared" si="297"/>
        <v>687.81829226637592</v>
      </c>
      <c r="CR277" s="76">
        <f t="shared" si="298"/>
        <v>140733.41333615244</v>
      </c>
      <c r="CS277" s="5">
        <f t="shared" si="299"/>
        <v>133227.89522640157</v>
      </c>
      <c r="CT277" s="55">
        <f t="shared" si="300"/>
        <v>-7505.5181097508757</v>
      </c>
      <c r="CU277" s="84">
        <f t="shared" si="301"/>
        <v>168880.09600338293</v>
      </c>
      <c r="CV277" s="68">
        <f t="shared" si="302"/>
        <v>159873.47427168189</v>
      </c>
      <c r="CW277" s="36">
        <f t="shared" si="303"/>
        <v>-9006.6217317010451</v>
      </c>
      <c r="CX277" s="41">
        <f>'[2]побудинковий звіт'!CX277+'[1]побудинковий звіт'!CX277</f>
        <v>12860.658824865517</v>
      </c>
      <c r="CY277" s="41">
        <f>'[2]побудинковий звіт'!CY277+'[1]побудинковий звіт'!CY277</f>
        <v>21867.280556566562</v>
      </c>
      <c r="CZ277" s="55">
        <f t="shared" si="304"/>
        <v>9006.6217317010451</v>
      </c>
      <c r="DA277" s="254">
        <f>'[1]побудинковий звіт'!DA277</f>
        <v>41585.861358174006</v>
      </c>
      <c r="DB277" s="2">
        <v>2</v>
      </c>
      <c r="DC277" s="702">
        <f>'[1]побудинковий звіт'!DC277</f>
        <v>15633.26</v>
      </c>
      <c r="DD277" s="702">
        <f>'[1]побудинковий звіт'!DD277</f>
        <v>57575.86</v>
      </c>
      <c r="DE277" s="702">
        <f>'[1]побудинковий звіт'!DE277</f>
        <v>-261.04999999999927</v>
      </c>
      <c r="DF277" s="702">
        <f>'[1]побудинковий звіт'!DF277</f>
        <v>53529.83</v>
      </c>
      <c r="DG277" s="772">
        <v>86624.789309778891</v>
      </c>
      <c r="DH277" s="746">
        <f t="shared" si="251"/>
        <v>2180889.0579389818</v>
      </c>
      <c r="DI277" s="769"/>
      <c r="DJ277" s="5"/>
      <c r="DK277" s="307">
        <f>VLOOKUP($A277,ціни!$A$4:$G$401,5)</f>
        <v>5.5233537686495229</v>
      </c>
      <c r="DL277" s="307"/>
      <c r="DM277" s="307">
        <f>VLOOKUP($A277,ціни!$A$4:$G$401,7)</f>
        <v>4.8351805674947572</v>
      </c>
      <c r="DN277" s="29">
        <f t="shared" si="260"/>
        <v>11364.521313147139</v>
      </c>
      <c r="DO277" s="29">
        <f t="shared" si="305"/>
        <v>2878.3829918296287</v>
      </c>
      <c r="DP277" s="306">
        <f t="shared" si="252"/>
        <v>14242.904304976768</v>
      </c>
      <c r="DQ277" s="101"/>
      <c r="DR277" s="29">
        <f>VLOOKUP(A277,'ДЗ нас '!$A$1:$C$359,2)</f>
        <v>11364.56</v>
      </c>
      <c r="DS277" s="733">
        <f>VLOOKUP(A277,'ДЗ нежит'!$A$1:$D$153,4,0)</f>
        <v>2878.41</v>
      </c>
      <c r="DT277" s="29">
        <f t="shared" si="253"/>
        <v>14242.97</v>
      </c>
      <c r="DU277" s="247">
        <f>VLOOKUP(A277,'новий кошторис с 01.06'!$A$4:$AI$399,35)*1.2</f>
        <v>13542.712236168103</v>
      </c>
      <c r="DV277" s="29">
        <f t="shared" si="254"/>
        <v>700.25776383189623</v>
      </c>
      <c r="DW277" s="1016">
        <f>'[2]побудинковий звіт'!$DW$9+'[1]побудинковий звіт'!DW277</f>
        <v>1062</v>
      </c>
      <c r="DX277" s="101">
        <f>'[1]побудинковий звіт'!DX277</f>
        <v>0</v>
      </c>
      <c r="DY277" s="5">
        <f t="shared" si="255"/>
        <v>40306.441336821394</v>
      </c>
      <c r="DZ277" s="5">
        <f t="shared" si="256"/>
        <v>12731.249869677378</v>
      </c>
      <c r="EA277" s="737">
        <f t="shared" si="257"/>
        <v>53268.78</v>
      </c>
      <c r="EC277" s="577">
        <f t="shared" si="258"/>
        <v>314287.37945910753</v>
      </c>
      <c r="EE277" s="743">
        <v>-51902</v>
      </c>
      <c r="EF277" s="723">
        <f t="shared" si="259"/>
        <v>34722.789309778891</v>
      </c>
      <c r="EH277" s="798">
        <v>68716.889594625129</v>
      </c>
      <c r="EI277" s="101">
        <f>VLOOKUP(A277,'кошти 01.01.24'!$A$9:$D$352,4,FALSE)</f>
        <v>50592.48308987503</v>
      </c>
    </row>
    <row r="278" spans="1:139" hidden="1" x14ac:dyDescent="0.3">
      <c r="A278" s="318">
        <v>150000829</v>
      </c>
      <c r="B278" s="43" t="s">
        <v>755</v>
      </c>
      <c r="C278" s="44" t="s">
        <v>230</v>
      </c>
      <c r="D278" s="44" t="s">
        <v>230</v>
      </c>
      <c r="E278" s="39">
        <f t="shared" si="262"/>
        <v>2582.5</v>
      </c>
      <c r="F278" s="205">
        <f>'[1]побудинковий звіт'!F278</f>
        <v>2582.5</v>
      </c>
      <c r="G278" s="29">
        <f>'[1]побудинковий звіт'!G278</f>
        <v>0</v>
      </c>
      <c r="H278" s="148">
        <f>'[1]побудинковий звіт'!H278</f>
        <v>0</v>
      </c>
      <c r="I278" s="41">
        <f>'[2]побудинковий звіт'!I278+'[1]побудинковий звіт'!I278</f>
        <v>10108.253060279538</v>
      </c>
      <c r="J278" s="41">
        <f>'[2]побудинковий звіт'!J278+'[1]побудинковий звіт'!J278</f>
        <v>10380.111958201473</v>
      </c>
      <c r="K278" s="55">
        <f t="shared" si="263"/>
        <v>271.85889792193484</v>
      </c>
      <c r="L278" s="41">
        <f>'[2]побудинковий звіт'!L278+'[1]побудинковий звіт'!L278</f>
        <v>1557.1813768194854</v>
      </c>
      <c r="M278" s="41">
        <f>'[2]побудинковий звіт'!M278+'[1]побудинковий звіт'!M278</f>
        <v>1634.7170302005377</v>
      </c>
      <c r="N278" s="55">
        <f t="shared" si="264"/>
        <v>77.535653381052271</v>
      </c>
      <c r="O278" s="41">
        <f>'[2]побудинковий звіт'!O278+'[1]побудинковий звіт'!O278</f>
        <v>4023.2922010196094</v>
      </c>
      <c r="P278" s="41">
        <f>'[2]побудинковий звіт'!P278+'[1]побудинковий звіт'!P278</f>
        <v>4035.5254747574836</v>
      </c>
      <c r="Q278" s="55">
        <f t="shared" si="265"/>
        <v>12.233273737874242</v>
      </c>
      <c r="R278" s="41">
        <f>'[2]побудинковий звіт'!R278+'[1]побудинковий звіт'!R278</f>
        <v>0</v>
      </c>
      <c r="S278" s="41">
        <f>'[2]побудинковий звіт'!S278+'[1]побудинковий звіт'!S278</f>
        <v>0</v>
      </c>
      <c r="T278" s="55">
        <f t="shared" si="266"/>
        <v>0</v>
      </c>
      <c r="U278" s="41">
        <f>'[2]побудинковий звіт'!U278+'[1]побудинковий звіт'!U278</f>
        <v>187.10196558541708</v>
      </c>
      <c r="V278" s="41">
        <f>'[2]побудинковий звіт'!V278+'[1]побудинковий звіт'!V278</f>
        <v>107.9445908639935</v>
      </c>
      <c r="W278" s="55">
        <f t="shared" si="267"/>
        <v>-79.157374721423579</v>
      </c>
      <c r="X278" s="41">
        <f>'[2]побудинковий звіт'!X278+'[1]побудинковий звіт'!X278</f>
        <v>6345.6018005026181</v>
      </c>
      <c r="Y278" s="41">
        <f>'[2]побудинковий звіт'!Y278+'[1]побудинковий звіт'!Y278</f>
        <v>6209.5766382134771</v>
      </c>
      <c r="Z278" s="55">
        <f t="shared" si="268"/>
        <v>-136.02516228914101</v>
      </c>
      <c r="AA278" s="41">
        <f>'[2]побудинковий звіт'!AA278+'[1]побудинковий звіт'!AA278</f>
        <v>0</v>
      </c>
      <c r="AB278" s="41">
        <f>'[2]побудинковий звіт'!AB278+'[1]побудинковий звіт'!AB278</f>
        <v>0</v>
      </c>
      <c r="AC278" s="55">
        <f t="shared" si="269"/>
        <v>0</v>
      </c>
      <c r="AD278" s="41">
        <f>'[2]побудинковий звіт'!AD278+'[1]побудинковий звіт'!AD278</f>
        <v>11196.43019119038</v>
      </c>
      <c r="AE278" s="41">
        <f>'[2]побудинковий звіт'!AE278+'[1]побудинковий звіт'!AE278</f>
        <v>11153.061905630784</v>
      </c>
      <c r="AF278" s="36">
        <f t="shared" si="270"/>
        <v>-43.368285559596188</v>
      </c>
      <c r="AG278" s="84">
        <f t="shared" si="271"/>
        <v>33417.860595397047</v>
      </c>
      <c r="AH278" s="56">
        <f t="shared" si="272"/>
        <v>33520.937597867749</v>
      </c>
      <c r="AI278" s="55">
        <f t="shared" si="273"/>
        <v>103.0770024707017</v>
      </c>
      <c r="AJ278" s="41">
        <f>'[2]побудинковий звіт'!AJ278+'[1]побудинковий звіт'!AJ278</f>
        <v>0</v>
      </c>
      <c r="AK278" s="41">
        <f>'[2]побудинковий звіт'!AK278+'[1]побудинковий звіт'!AK278</f>
        <v>0</v>
      </c>
      <c r="AL278" s="55">
        <f t="shared" si="274"/>
        <v>0</v>
      </c>
      <c r="AM278" s="41">
        <f>'[2]побудинковий звіт'!AM278+'[1]побудинковий звіт'!AM278</f>
        <v>0</v>
      </c>
      <c r="AN278" s="41">
        <f>'[2]побудинковий звіт'!AN278+'[1]побудинковий звіт'!AN278</f>
        <v>0</v>
      </c>
      <c r="AO278" s="55">
        <f t="shared" si="275"/>
        <v>0</v>
      </c>
      <c r="AP278" s="41">
        <f>'[2]побудинковий звіт'!AP278+'[1]побудинковий звіт'!AP278</f>
        <v>9509.740251889958</v>
      </c>
      <c r="AQ278" s="41">
        <f>'[2]побудинковий звіт'!AQ278+'[1]побудинковий звіт'!AQ278</f>
        <v>8988.0631140095575</v>
      </c>
      <c r="AR278" s="55">
        <f t="shared" si="276"/>
        <v>-521.67713788040055</v>
      </c>
      <c r="AS278" s="41">
        <f>'[2]побудинковий звіт'!AS278+'[1]побудинковий звіт'!AS278</f>
        <v>30664.42837764664</v>
      </c>
      <c r="AT278" s="41">
        <f>'[2]побудинковий звіт'!AT278+'[1]побудинковий звіт'!AT278</f>
        <v>3516.5213478740789</v>
      </c>
      <c r="AU278" s="57">
        <f t="shared" si="277"/>
        <v>-27147.907029772563</v>
      </c>
      <c r="AV278" s="41">
        <f>'[2]побудинковий звіт'!AV278+'[1]побудинковий звіт'!AV278</f>
        <v>1550.2343352522209</v>
      </c>
      <c r="AW278" s="41">
        <f>'[2]побудинковий звіт'!AW278+'[1]побудинковий звіт'!AW278</f>
        <v>0</v>
      </c>
      <c r="AX278" s="58">
        <f t="shared" si="278"/>
        <v>-1550.2343352522209</v>
      </c>
      <c r="AY278" s="41">
        <f>'[2]побудинковий звіт'!AY278+'[1]побудинковий звіт'!AY278</f>
        <v>1873.6549587808513</v>
      </c>
      <c r="AZ278" s="41">
        <f>'[2]побудинковий звіт'!AZ278+'[1]побудинковий звіт'!AZ278</f>
        <v>0</v>
      </c>
      <c r="BA278" s="36">
        <f t="shared" si="279"/>
        <v>-1873.6549587808513</v>
      </c>
      <c r="BB278" s="41">
        <f>'[2]побудинковий звіт'!BB278+'[1]побудинковий звіт'!BB278</f>
        <v>1698.2848313859945</v>
      </c>
      <c r="BC278" s="41">
        <f>'[2]побудинковий звіт'!BC278+'[1]побудинковий звіт'!BC278</f>
        <v>0</v>
      </c>
      <c r="BD278" s="58">
        <f t="shared" si="280"/>
        <v>-1698.2848313859945</v>
      </c>
      <c r="BE278" s="41">
        <f>'[2]побудинковий звіт'!BE278+'[1]побудинковий звіт'!BE278</f>
        <v>0</v>
      </c>
      <c r="BF278" s="41">
        <f>'[2]побудинковий звіт'!BF278+'[1]побудинковий звіт'!BF278</f>
        <v>0</v>
      </c>
      <c r="BG278" s="38">
        <f t="shared" si="281"/>
        <v>0</v>
      </c>
      <c r="BH278" s="41">
        <f>'[2]побудинковий звіт'!BH278+'[1]побудинковий звіт'!BH278</f>
        <v>110.27308797143304</v>
      </c>
      <c r="BI278" s="41">
        <f>'[2]побудинковий звіт'!BI278+'[1]побудинковий звіт'!BI278</f>
        <v>906.38731658514666</v>
      </c>
      <c r="BJ278" s="58">
        <f t="shared" si="282"/>
        <v>796.11422861371364</v>
      </c>
      <c r="BK278" s="41">
        <f>'[2]побудинковий звіт'!BK278+'[1]побудинковий звіт'!BK278</f>
        <v>1153.0556232648814</v>
      </c>
      <c r="BL278" s="41">
        <f>'[2]побудинковий звіт'!BL278+'[1]побудинковий звіт'!BL278</f>
        <v>0</v>
      </c>
      <c r="BM278" s="38">
        <f t="shared" si="283"/>
        <v>-1153.0556232648814</v>
      </c>
      <c r="BN278" s="41">
        <f>'[2]побудинковий звіт'!BN278+'[1]побудинковий звіт'!BN278</f>
        <v>45.299534315704136</v>
      </c>
      <c r="BO278" s="41">
        <f>'[2]побудинковий звіт'!BO278+'[1]побудинковий звіт'!BO278</f>
        <v>3722.294962106077</v>
      </c>
      <c r="BP278" s="58">
        <f t="shared" si="284"/>
        <v>3676.995427790373</v>
      </c>
      <c r="BQ278" s="84">
        <f t="shared" si="285"/>
        <v>6430.802370971086</v>
      </c>
      <c r="BR278" s="42">
        <f t="shared" si="286"/>
        <v>4628.6822786912235</v>
      </c>
      <c r="BS278" s="58">
        <f t="shared" si="287"/>
        <v>-1802.1200922798625</v>
      </c>
      <c r="BT278" s="41">
        <f>'[2]побудинковий звіт'!BT278+'[1]побудинковий звіт'!BT278</f>
        <v>33422.182316120401</v>
      </c>
      <c r="BU278" s="41">
        <f>'[2]побудинковий звіт'!BU278+'[1]побудинковий звіт'!BU278</f>
        <v>49049.700599403681</v>
      </c>
      <c r="BV278" s="55">
        <f t="shared" si="288"/>
        <v>15627.51828328328</v>
      </c>
      <c r="BW278" s="41">
        <f>'[2]побудинковий звіт'!BW278+'[1]побудинковий звіт'!BW278</f>
        <v>14407.688947564555</v>
      </c>
      <c r="BX278" s="41">
        <f>'[2]побудинковий звіт'!BX278+'[1]побудинковий звіт'!BX278</f>
        <v>16766.819740073064</v>
      </c>
      <c r="BY278" s="55">
        <f t="shared" si="289"/>
        <v>2359.1307925085093</v>
      </c>
      <c r="BZ278" s="41">
        <f>'[2]побудинковий звіт'!BZ278+'[1]побудинковий звіт'!BZ278</f>
        <v>11760.111643515298</v>
      </c>
      <c r="CA278" s="41">
        <f>'[2]побудинковий звіт'!CA278+'[1]побудинковий звіт'!CA278</f>
        <v>5180.6778604829196</v>
      </c>
      <c r="CB278" s="55">
        <f t="shared" si="290"/>
        <v>-6579.4337830323784</v>
      </c>
      <c r="CC278" s="41">
        <f>'[2]побудинковий звіт'!CC278+'[1]побудинковий звіт'!CC278</f>
        <v>0</v>
      </c>
      <c r="CD278" s="41">
        <f>'[2]побудинковий звіт'!CD278+'[1]побудинковий звіт'!CD278</f>
        <v>0</v>
      </c>
      <c r="CE278" s="55">
        <f t="shared" si="291"/>
        <v>0</v>
      </c>
      <c r="CF278" s="41">
        <f>'[2]побудинковий звіт'!CF278+'[1]побудинковий звіт'!CF278</f>
        <v>0</v>
      </c>
      <c r="CG278" s="41">
        <f>'[2]побудинковий звіт'!CG278+'[1]побудинковий звіт'!CG278</f>
        <v>0</v>
      </c>
      <c r="CH278" s="55">
        <f t="shared" si="292"/>
        <v>0</v>
      </c>
      <c r="CI278" s="41">
        <f>'[2]побудинковий звіт'!CI278+'[1]побудинковий звіт'!CI278</f>
        <v>4512.961386940171</v>
      </c>
      <c r="CJ278" s="41">
        <f>'[2]побудинковий звіт'!CJ278+'[1]побудинковий звіт'!CJ278</f>
        <v>3112.6598165785372</v>
      </c>
      <c r="CK278" s="55">
        <f t="shared" si="293"/>
        <v>-1400.3015703616338</v>
      </c>
      <c r="CL278" s="41">
        <f>'[2]побудинковий звіт'!CL278+'[1]побудинковий звіт'!CL278</f>
        <v>0</v>
      </c>
      <c r="CM278" s="41">
        <f>'[2]побудинковий звіт'!CM278+'[1]побудинковий звіт'!CM278</f>
        <v>0</v>
      </c>
      <c r="CN278" s="55">
        <f t="shared" si="294"/>
        <v>0</v>
      </c>
      <c r="CO278" s="41">
        <f t="shared" si="295"/>
        <v>4512.961386940171</v>
      </c>
      <c r="CP278" s="42">
        <f t="shared" si="296"/>
        <v>3112.6598165785372</v>
      </c>
      <c r="CQ278" s="55">
        <f t="shared" si="297"/>
        <v>-1400.3015703616338</v>
      </c>
      <c r="CR278" s="76">
        <f t="shared" si="298"/>
        <v>144125.77589004519</v>
      </c>
      <c r="CS278" s="5">
        <f t="shared" si="299"/>
        <v>124764.06235498081</v>
      </c>
      <c r="CT278" s="55">
        <f t="shared" si="300"/>
        <v>-19361.71353506438</v>
      </c>
      <c r="CU278" s="84">
        <f t="shared" si="301"/>
        <v>172950.93106805423</v>
      </c>
      <c r="CV278" s="68">
        <f t="shared" si="302"/>
        <v>149716.87482597696</v>
      </c>
      <c r="CW278" s="36">
        <f t="shared" si="303"/>
        <v>-23234.056242077262</v>
      </c>
      <c r="CX278" s="41">
        <f>'[2]побудинковий звіт'!CX278+'[1]побудинковий звіт'!CX278</f>
        <v>3894.1854260415521</v>
      </c>
      <c r="CY278" s="41">
        <f>'[2]побудинковий звіт'!CY278+'[1]побудинковий звіт'!CY278</f>
        <v>27128.241668118757</v>
      </c>
      <c r="CZ278" s="55">
        <f t="shared" si="304"/>
        <v>23234.056242077204</v>
      </c>
      <c r="DA278" s="254">
        <f>'[1]побудинковий звіт'!DA278</f>
        <v>-77959.885910597543</v>
      </c>
      <c r="DB278" s="2">
        <v>2</v>
      </c>
      <c r="DC278" s="702">
        <f>'[1]побудинковий звіт'!DC278</f>
        <v>50604.34</v>
      </c>
      <c r="DD278" s="702">
        <f>'[1]побудинковий звіт'!DD278</f>
        <v>0</v>
      </c>
      <c r="DE278" s="702">
        <f>'[1]побудинковий звіт'!DE278</f>
        <v>31184.449999999997</v>
      </c>
      <c r="DF278" s="702">
        <f>'[1]побудинковий звіт'!DF278</f>
        <v>0</v>
      </c>
      <c r="DG278" s="772">
        <v>-33867.595447996689</v>
      </c>
      <c r="DH278" s="746">
        <f t="shared" ref="DH278:DH309" si="306">(CU278+CX278)*12</f>
        <v>2122141.3979291492</v>
      </c>
      <c r="DI278" s="769"/>
      <c r="DJ278" s="5"/>
      <c r="DK278" s="307">
        <f>VLOOKUP($A278,ціни!$A$4:$G$401,5)</f>
        <v>5.3654231187447206</v>
      </c>
      <c r="DL278" s="307"/>
      <c r="DM278" s="307">
        <f>VLOOKUP($A278,ціни!$A$4:$G$401,7)</f>
        <v>4.8258439438760563</v>
      </c>
      <c r="DN278" s="29">
        <f t="shared" si="260"/>
        <v>13856.205204158241</v>
      </c>
      <c r="DO278" s="29">
        <f t="shared" si="305"/>
        <v>0</v>
      </c>
      <c r="DP278" s="306">
        <f t="shared" ref="DP278:DP309" si="307">DN278+DO278</f>
        <v>13856.205204158241</v>
      </c>
      <c r="DQ278" s="101"/>
      <c r="DR278" s="29">
        <f>VLOOKUP(A278,'ДЗ нас '!$A$1:$C$359,2)</f>
        <v>13856.16</v>
      </c>
      <c r="DS278" s="733"/>
      <c r="DT278" s="29">
        <f t="shared" ref="DT278:DT309" si="308">DR278+DS278</f>
        <v>13856.16</v>
      </c>
      <c r="DU278" s="247">
        <f>VLOOKUP(A278,'новий кошторис с 01.06'!$A$4:$AI$399,35)*1.2</f>
        <v>13890.163839288418</v>
      </c>
      <c r="DV278" s="29">
        <f t="shared" ref="DV278:DV309" si="309">DT278-DU278</f>
        <v>-34.003839288418021</v>
      </c>
      <c r="DW278" s="1016">
        <f>'[2]побудинковий звіт'!$DW$9+'[1]побудинковий звіт'!DW278</f>
        <v>1062</v>
      </c>
      <c r="DX278" s="101">
        <f>'[1]побудинковий звіт'!DX278</f>
        <v>0</v>
      </c>
      <c r="DY278" s="5">
        <f t="shared" ref="DY278:DY309" si="310">(AS278+BQ278)*1.2</f>
        <v>44514.276898341268</v>
      </c>
      <c r="DZ278" s="5">
        <f t="shared" ref="DZ278:DZ309" si="311">(AT278+BR278)*1.2</f>
        <v>9774.2443518783621</v>
      </c>
      <c r="EA278" s="737">
        <f t="shared" ref="EA278:EA309" si="312">DE278+DF278</f>
        <v>31184.449999999997</v>
      </c>
      <c r="EC278" s="577">
        <f t="shared" ref="EC278:EC309" si="313">AS278*12</f>
        <v>367973.14053175971</v>
      </c>
      <c r="EE278" s="743">
        <v>66594</v>
      </c>
      <c r="EF278" s="723">
        <f t="shared" ref="EF278:EF309" si="314">EE278+DG278</f>
        <v>32726.404552003311</v>
      </c>
      <c r="EH278" s="798">
        <v>-48150.527000843103</v>
      </c>
      <c r="EI278" s="101">
        <f>VLOOKUP(A278,'кошти 01.01.24'!$A$9:$D$352,4,FALSE)</f>
        <v>-54725.829668520331</v>
      </c>
    </row>
    <row r="279" spans="1:139" hidden="1" x14ac:dyDescent="0.3">
      <c r="A279" s="318">
        <v>150000797</v>
      </c>
      <c r="B279" s="43" t="s">
        <v>756</v>
      </c>
      <c r="C279" s="44" t="s">
        <v>231</v>
      </c>
      <c r="D279" s="44" t="s">
        <v>231</v>
      </c>
      <c r="E279" s="39">
        <f t="shared" si="262"/>
        <v>5707.2000000000007</v>
      </c>
      <c r="F279" s="205">
        <f>'[1]побудинковий звіт'!F279</f>
        <v>3994.9</v>
      </c>
      <c r="G279" s="29">
        <f>'[1]побудинковий звіт'!G279</f>
        <v>0</v>
      </c>
      <c r="H279" s="148">
        <f>'[1]побудинковий звіт'!H279</f>
        <v>1712.3000000000002</v>
      </c>
      <c r="I279" s="41">
        <f>'[2]побудинковий звіт'!I279+'[1]побудинковий звіт'!I279</f>
        <v>18448.580225986116</v>
      </c>
      <c r="J279" s="41">
        <f>'[2]побудинковий звіт'!J279+'[1]побудинковий звіт'!J279</f>
        <v>18878.268416030685</v>
      </c>
      <c r="K279" s="55">
        <f t="shared" si="263"/>
        <v>429.68819004456964</v>
      </c>
      <c r="L279" s="41">
        <f>'[2]побудинковий звіт'!L279+'[1]побудинковий звіт'!L279</f>
        <v>3861.7641926201673</v>
      </c>
      <c r="M279" s="41">
        <f>'[2]побудинковий звіт'!M279+'[1]побудинковий звіт'!M279</f>
        <v>4044.1429071874427</v>
      </c>
      <c r="N279" s="55">
        <f t="shared" si="264"/>
        <v>182.37871456727544</v>
      </c>
      <c r="O279" s="41">
        <f>'[2]побудинковий звіт'!O279+'[1]побудинковий звіт'!O279</f>
        <v>6256.7513552479832</v>
      </c>
      <c r="P279" s="41">
        <f>'[2]побудинковий звіт'!P279+'[1]побудинковий звіт'!P279</f>
        <v>6274.275110787351</v>
      </c>
      <c r="Q279" s="55">
        <f t="shared" si="265"/>
        <v>17.523755539367812</v>
      </c>
      <c r="R279" s="41">
        <f>'[2]побудинковий звіт'!R279+'[1]побудинковий звіт'!R279</f>
        <v>0</v>
      </c>
      <c r="S279" s="41">
        <f>'[2]побудинковий звіт'!S279+'[1]побудинковий звіт'!S279</f>
        <v>0</v>
      </c>
      <c r="T279" s="55">
        <f t="shared" si="266"/>
        <v>0</v>
      </c>
      <c r="U279" s="41">
        <f>'[2]побудинковий звіт'!U279+'[1]побудинковий звіт'!U279</f>
        <v>336.78353805375082</v>
      </c>
      <c r="V279" s="41">
        <f>'[2]побудинковий звіт'!V279+'[1]побудинковий звіт'!V279</f>
        <v>194.30026355518834</v>
      </c>
      <c r="W279" s="55">
        <f t="shared" si="267"/>
        <v>-142.48327449856248</v>
      </c>
      <c r="X279" s="41">
        <f>'[2]побудинковий звіт'!X279+'[1]побудинковий звіт'!X279</f>
        <v>20485.546620076344</v>
      </c>
      <c r="Y279" s="41">
        <f>'[2]побудинковий звіт'!Y279+'[1]побудинковий звіт'!Y279</f>
        <v>20797.64941240221</v>
      </c>
      <c r="Z279" s="55">
        <f t="shared" si="268"/>
        <v>312.10279232586618</v>
      </c>
      <c r="AA279" s="41">
        <f>'[2]побудинковий звіт'!AA279+'[1]побудинковий звіт'!AA279</f>
        <v>0</v>
      </c>
      <c r="AB279" s="41">
        <f>'[2]побудинковий звіт'!AB279+'[1]побудинковий звіт'!AB279</f>
        <v>0</v>
      </c>
      <c r="AC279" s="55">
        <f t="shared" si="269"/>
        <v>0</v>
      </c>
      <c r="AD279" s="41">
        <f>'[2]побудинковий звіт'!AD279+'[1]побудинковий звіт'!AD279</f>
        <v>22065.225919171538</v>
      </c>
      <c r="AE279" s="41">
        <f>'[2]побудинковий звіт'!AE279+'[1]побудинковий звіт'!AE279</f>
        <v>24277.300437044651</v>
      </c>
      <c r="AF279" s="36">
        <f t="shared" si="270"/>
        <v>2212.0745178731122</v>
      </c>
      <c r="AG279" s="84">
        <f t="shared" si="271"/>
        <v>71454.651851155897</v>
      </c>
      <c r="AH279" s="56">
        <f t="shared" si="272"/>
        <v>74465.936547007528</v>
      </c>
      <c r="AI279" s="55">
        <f t="shared" si="273"/>
        <v>3011.2846958516311</v>
      </c>
      <c r="AJ279" s="41">
        <f>'[2]побудинковий звіт'!AJ279+'[1]побудинковий звіт'!AJ279</f>
        <v>0</v>
      </c>
      <c r="AK279" s="41">
        <f>'[2]побудинковий звіт'!AK279+'[1]побудинковий звіт'!AK279</f>
        <v>0</v>
      </c>
      <c r="AL279" s="55">
        <f t="shared" si="274"/>
        <v>0</v>
      </c>
      <c r="AM279" s="41">
        <f>'[2]побудинковий звіт'!AM279+'[1]побудинковий звіт'!AM279</f>
        <v>0</v>
      </c>
      <c r="AN279" s="41">
        <f>'[2]побудинковий звіт'!AN279+'[1]побудинковий звіт'!AN279</f>
        <v>0</v>
      </c>
      <c r="AO279" s="55">
        <f t="shared" si="275"/>
        <v>0</v>
      </c>
      <c r="AP279" s="41">
        <f>'[2]побудинковий звіт'!AP279+'[1]побудинковий звіт'!AP279</f>
        <v>10995.637166247765</v>
      </c>
      <c r="AQ279" s="41">
        <f>'[2]побудинковий звіт'!AQ279+'[1]побудинковий звіт'!AQ279</f>
        <v>10399.21114940052</v>
      </c>
      <c r="AR279" s="55">
        <f t="shared" si="276"/>
        <v>-596.42601684724468</v>
      </c>
      <c r="AS279" s="41">
        <f>'[2]побудинковий звіт'!AS279+'[1]побудинковий звіт'!AS279</f>
        <v>94636.603597041001</v>
      </c>
      <c r="AT279" s="41">
        <f>'[2]побудинковий звіт'!AT279+'[1]побудинковий звіт'!AT279</f>
        <v>2395.6133424702598</v>
      </c>
      <c r="AU279" s="57">
        <f t="shared" si="277"/>
        <v>-92240.990254570745</v>
      </c>
      <c r="AV279" s="41">
        <f>'[2]побудинковий звіт'!AV279+'[1]побудинковий звіт'!AV279</f>
        <v>3168.146693227312</v>
      </c>
      <c r="AW279" s="41">
        <f>'[2]побудинковий звіт'!AW279+'[1]побудинковий звіт'!AW279</f>
        <v>0</v>
      </c>
      <c r="AX279" s="58">
        <f t="shared" si="278"/>
        <v>-3168.146693227312</v>
      </c>
      <c r="AY279" s="41">
        <f>'[2]побудинковий звіт'!AY279+'[1]побудинковий звіт'!AY279</f>
        <v>5030.8898522025147</v>
      </c>
      <c r="AZ279" s="41">
        <f>'[2]побудинковий звіт'!AZ279+'[1]побудинковий звіт'!AZ279</f>
        <v>0</v>
      </c>
      <c r="BA279" s="36">
        <f t="shared" si="279"/>
        <v>-5030.8898522025147</v>
      </c>
      <c r="BB279" s="41">
        <f>'[2]побудинковий звіт'!BB279+'[1]побудинковий звіт'!BB279</f>
        <v>3107.0824182396282</v>
      </c>
      <c r="BC279" s="41">
        <f>'[2]побудинковий звіт'!BC279+'[1]побудинковий звіт'!BC279</f>
        <v>378.07232362048796</v>
      </c>
      <c r="BD279" s="58">
        <f t="shared" si="280"/>
        <v>-2729.0100946191401</v>
      </c>
      <c r="BE279" s="41">
        <f>'[2]побудинковий звіт'!BE279+'[1]побудинковий звіт'!BE279</f>
        <v>0</v>
      </c>
      <c r="BF279" s="41">
        <f>'[2]побудинковий звіт'!BF279+'[1]побудинковий звіт'!BF279</f>
        <v>0</v>
      </c>
      <c r="BG279" s="38">
        <f t="shared" si="281"/>
        <v>0</v>
      </c>
      <c r="BH279" s="41">
        <f>'[2]побудинковий звіт'!BH279+'[1]побудинковий звіт'!BH279</f>
        <v>198.4915583485795</v>
      </c>
      <c r="BI279" s="41">
        <f>'[2]побудинковий звіт'!BI279+'[1]побудинковий звіт'!BI279</f>
        <v>0</v>
      </c>
      <c r="BJ279" s="58">
        <f t="shared" si="282"/>
        <v>-198.4915583485795</v>
      </c>
      <c r="BK279" s="41">
        <f>'[2]побудинковий звіт'!BK279+'[1]побудинковий звіт'!BK279</f>
        <v>4049.2250009185755</v>
      </c>
      <c r="BL279" s="41">
        <f>'[2]побудинковий звіт'!BL279+'[1]побудинковий звіт'!BL279</f>
        <v>366.48772601357666</v>
      </c>
      <c r="BM279" s="38">
        <f t="shared" si="283"/>
        <v>-3682.7372749049987</v>
      </c>
      <c r="BN279" s="41">
        <f>'[2]побудинковий звіт'!BN279+'[1]побудинковий звіт'!BN279</f>
        <v>59.886988233157339</v>
      </c>
      <c r="BO279" s="41">
        <f>'[2]побудинковий звіт'!BO279+'[1]побудинковий звіт'!BO279</f>
        <v>0</v>
      </c>
      <c r="BP279" s="58">
        <f t="shared" si="284"/>
        <v>-59.886988233157339</v>
      </c>
      <c r="BQ279" s="84">
        <f t="shared" si="285"/>
        <v>15613.722511169766</v>
      </c>
      <c r="BR279" s="42">
        <f t="shared" si="286"/>
        <v>744.56004963406463</v>
      </c>
      <c r="BS279" s="58">
        <f t="shared" si="287"/>
        <v>-14869.162461535701</v>
      </c>
      <c r="BT279" s="41">
        <f>'[2]побудинковий звіт'!BT279+'[1]побудинковий звіт'!BT279</f>
        <v>28428.589217438323</v>
      </c>
      <c r="BU279" s="41">
        <f>'[2]побудинковий звіт'!BU279+'[1]побудинковий звіт'!BU279</f>
        <v>58437.103771132883</v>
      </c>
      <c r="BV279" s="55">
        <f t="shared" si="288"/>
        <v>30008.51455369456</v>
      </c>
      <c r="BW279" s="41">
        <f>'[2]побудинковий звіт'!BW279+'[1]побудинковий звіт'!BW279</f>
        <v>48861.37144581585</v>
      </c>
      <c r="BX279" s="41">
        <f>'[2]побудинковий звіт'!BX279+'[1]побудинковий звіт'!BX279</f>
        <v>49767.900035171879</v>
      </c>
      <c r="BY279" s="55">
        <f t="shared" si="289"/>
        <v>906.52858935602853</v>
      </c>
      <c r="BZ279" s="41">
        <f>'[2]побудинковий звіт'!BZ279+'[1]побудинковий звіт'!BZ279</f>
        <v>13041.440731490899</v>
      </c>
      <c r="CA279" s="41">
        <f>'[2]побудинковий звіт'!CA279+'[1]побудинковий звіт'!CA279</f>
        <v>3555.5329525108909</v>
      </c>
      <c r="CB279" s="55">
        <f t="shared" si="290"/>
        <v>-9485.9077789800067</v>
      </c>
      <c r="CC279" s="41">
        <f>'[2]побудинковий звіт'!CC279+'[1]побудинковий звіт'!CC279</f>
        <v>854.99757835252865</v>
      </c>
      <c r="CD279" s="41">
        <f>'[2]побудинковий звіт'!CD279+'[1]побудинковий звіт'!CD279</f>
        <v>857.89677977115468</v>
      </c>
      <c r="CE279" s="55">
        <f t="shared" si="291"/>
        <v>2.8992014186260349</v>
      </c>
      <c r="CF279" s="41">
        <f>'[2]побудинковий звіт'!CF279+'[1]побудинковий звіт'!CF279</f>
        <v>105.92965548741191</v>
      </c>
      <c r="CG279" s="41">
        <f>'[2]побудинковий звіт'!CG279+'[1]побудинковий звіт'!CG279</f>
        <v>0</v>
      </c>
      <c r="CH279" s="55">
        <f t="shared" si="292"/>
        <v>-105.92965548741191</v>
      </c>
      <c r="CI279" s="41">
        <f>'[2]побудинковий звіт'!CI279+'[1]побудинковий звіт'!CI279</f>
        <v>5593.534852043791</v>
      </c>
      <c r="CJ279" s="41">
        <f>'[2]побудинковий звіт'!CJ279+'[1]побудинковий звіт'!CJ279</f>
        <v>7747.7368024205416</v>
      </c>
      <c r="CK279" s="55">
        <f t="shared" si="293"/>
        <v>2154.2019503767506</v>
      </c>
      <c r="CL279" s="41">
        <f>'[2]побудинковий звіт'!CL279+'[1]побудинковий звіт'!CL279</f>
        <v>0</v>
      </c>
      <c r="CM279" s="41">
        <f>'[2]побудинковий звіт'!CM279+'[1]побудинковий звіт'!CM279</f>
        <v>0</v>
      </c>
      <c r="CN279" s="55">
        <f t="shared" si="294"/>
        <v>0</v>
      </c>
      <c r="CO279" s="41">
        <f t="shared" si="295"/>
        <v>5593.534852043791</v>
      </c>
      <c r="CP279" s="42">
        <f t="shared" si="296"/>
        <v>7747.7368024205416</v>
      </c>
      <c r="CQ279" s="55">
        <f t="shared" si="297"/>
        <v>2154.2019503767506</v>
      </c>
      <c r="CR279" s="76">
        <f t="shared" si="298"/>
        <v>289586.47860624321</v>
      </c>
      <c r="CS279" s="5">
        <f t="shared" si="299"/>
        <v>208371.49142951975</v>
      </c>
      <c r="CT279" s="55">
        <f t="shared" si="300"/>
        <v>-81214.987176723458</v>
      </c>
      <c r="CU279" s="84">
        <f t="shared" si="301"/>
        <v>347503.77432749182</v>
      </c>
      <c r="CV279" s="68">
        <f t="shared" si="302"/>
        <v>250045.78971542369</v>
      </c>
      <c r="CW279" s="36">
        <f t="shared" si="303"/>
        <v>-97457.984612068132</v>
      </c>
      <c r="CX279" s="41">
        <f>'[2]побудинковий звіт'!CX279+'[1]побудинковий звіт'!CX279</f>
        <v>39055.056719001244</v>
      </c>
      <c r="CY279" s="41">
        <f>'[2]побудинковий звіт'!CY279+'[1]побудинковий звіт'!CY279</f>
        <v>136513.04133106946</v>
      </c>
      <c r="CZ279" s="55">
        <f t="shared" si="304"/>
        <v>97457.98461206822</v>
      </c>
      <c r="DA279" s="254">
        <f>'[1]побудинковий звіт'!DA279</f>
        <v>-150122.22963069443</v>
      </c>
      <c r="DB279" s="2">
        <v>2</v>
      </c>
      <c r="DC279" s="702">
        <f>'[1]побудинковий звіт'!DC279</f>
        <v>114499.12</v>
      </c>
      <c r="DD279" s="702">
        <f>'[1]побудинковий звіт'!DD279</f>
        <v>25141.780000000002</v>
      </c>
      <c r="DE279" s="702">
        <f>'[1]побудинковий звіт'!DE279</f>
        <v>82643.39</v>
      </c>
      <c r="DF279" s="702">
        <f>'[1]побудинковий звіт'!DF279</f>
        <v>14182.890000000001</v>
      </c>
      <c r="DG279" s="772">
        <v>-118137.9118830855</v>
      </c>
      <c r="DH279" s="746">
        <f t="shared" si="306"/>
        <v>4638705.9725579172</v>
      </c>
      <c r="DI279" s="769"/>
      <c r="DJ279" s="5"/>
      <c r="DK279" s="307">
        <f>VLOOKUP($A279,ціни!$A$4:$G$401,5)</f>
        <v>5.7036347198296253</v>
      </c>
      <c r="DL279" s="307"/>
      <c r="DM279" s="307">
        <f>VLOOKUP($A279,ціни!$A$4:$G$401,7)</f>
        <v>4.5135526400458943</v>
      </c>
      <c r="DN279" s="29">
        <f t="shared" si="260"/>
        <v>22785.450342247372</v>
      </c>
      <c r="DO279" s="29">
        <f t="shared" si="305"/>
        <v>7728.5561855505857</v>
      </c>
      <c r="DP279" s="306">
        <f t="shared" si="307"/>
        <v>30514.006527797959</v>
      </c>
      <c r="DQ279" s="101"/>
      <c r="DR279" s="29">
        <f>VLOOKUP(A279,'ДЗ нас '!$A$1:$C$359,2)</f>
        <v>22785.33</v>
      </c>
      <c r="DS279" s="733">
        <f>VLOOKUP(A279,'ДЗ нежит'!$A$1:$D$153,4,0)</f>
        <v>7239.3600000000015</v>
      </c>
      <c r="DT279" s="29">
        <f t="shared" si="308"/>
        <v>30024.690000000002</v>
      </c>
      <c r="DU279" s="247">
        <f>VLOOKUP(A279,'новий кошторис с 01.06'!$A$4:$AI$399,35)*1.2</f>
        <v>29796.969968441877</v>
      </c>
      <c r="DV279" s="29">
        <f t="shared" si="309"/>
        <v>227.7200315581249</v>
      </c>
      <c r="DW279" s="1016">
        <f>'[2]побудинковий звіт'!$DW$9+'[1]побудинковий звіт'!DW279</f>
        <v>1062</v>
      </c>
      <c r="DX279" s="101">
        <f>'[1]побудинковий звіт'!DX279</f>
        <v>0</v>
      </c>
      <c r="DY279" s="5">
        <f t="shared" si="310"/>
        <v>132300.39132985292</v>
      </c>
      <c r="DZ279" s="5">
        <f t="shared" si="311"/>
        <v>3768.2080705251888</v>
      </c>
      <c r="EA279" s="737">
        <f t="shared" si="312"/>
        <v>96826.28</v>
      </c>
      <c r="EC279" s="577">
        <f t="shared" si="313"/>
        <v>1135639.2431644921</v>
      </c>
      <c r="EE279" s="743">
        <v>91157</v>
      </c>
      <c r="EF279" s="723">
        <f t="shared" si="314"/>
        <v>-26980.9118830855</v>
      </c>
      <c r="EH279" s="798">
        <v>-14384.474989482478</v>
      </c>
      <c r="EI279" s="101">
        <f>VLOOKUP(A279,'кошти 01.01.24'!$A$9:$D$352,4,FALSE)</f>
        <v>-52664.245018626279</v>
      </c>
    </row>
    <row r="280" spans="1:139" hidden="1" x14ac:dyDescent="0.3">
      <c r="A280" s="318">
        <v>150000709</v>
      </c>
      <c r="B280" s="43" t="s">
        <v>757</v>
      </c>
      <c r="C280" s="44" t="s">
        <v>1835</v>
      </c>
      <c r="D280" s="44" t="s">
        <v>142</v>
      </c>
      <c r="E280" s="39">
        <f t="shared" si="262"/>
        <v>201.1</v>
      </c>
      <c r="F280" s="205">
        <f>'[1]побудинковий звіт'!F280</f>
        <v>201.1</v>
      </c>
      <c r="G280" s="29">
        <f>'[1]побудинковий звіт'!G280</f>
        <v>0</v>
      </c>
      <c r="H280" s="148">
        <f>'[1]побудинковий звіт'!H280</f>
        <v>0</v>
      </c>
      <c r="I280" s="41">
        <f>'[2]побудинковий звіт'!I280+'[1]побудинковий звіт'!I280</f>
        <v>0</v>
      </c>
      <c r="J280" s="41">
        <f>'[2]побудинковий звіт'!J280+'[1]побудинковий звіт'!J280</f>
        <v>0</v>
      </c>
      <c r="K280" s="55">
        <f t="shared" si="263"/>
        <v>0</v>
      </c>
      <c r="L280" s="41">
        <f>'[2]побудинковий звіт'!L280+'[1]побудинковий звіт'!L280</f>
        <v>0</v>
      </c>
      <c r="M280" s="41">
        <f>'[2]побудинковий звіт'!M280+'[1]побудинковий звіт'!M280</f>
        <v>0</v>
      </c>
      <c r="N280" s="55">
        <f t="shared" si="264"/>
        <v>0</v>
      </c>
      <c r="O280" s="41">
        <f>'[2]побудинковий звіт'!O280+'[1]побудинковий звіт'!O280</f>
        <v>0</v>
      </c>
      <c r="P280" s="41">
        <f>'[2]побудинковий звіт'!P280+'[1]побудинковий звіт'!P280</f>
        <v>0</v>
      </c>
      <c r="Q280" s="55">
        <f t="shared" si="265"/>
        <v>0</v>
      </c>
      <c r="R280" s="41">
        <f>'[2]побудинковий звіт'!R280+'[1]побудинковий звіт'!R280</f>
        <v>0</v>
      </c>
      <c r="S280" s="41">
        <f>'[2]побудинковий звіт'!S280+'[1]побудинковий звіт'!S280</f>
        <v>0</v>
      </c>
      <c r="T280" s="55">
        <f t="shared" si="266"/>
        <v>0</v>
      </c>
      <c r="U280" s="41">
        <f>'[2]побудинковий звіт'!U280+'[1]побудинковий звіт'!U280</f>
        <v>0</v>
      </c>
      <c r="V280" s="41">
        <f>'[2]побудинковий звіт'!V280+'[1]побудинковий звіт'!V280</f>
        <v>0</v>
      </c>
      <c r="W280" s="55">
        <f t="shared" si="267"/>
        <v>0</v>
      </c>
      <c r="X280" s="41">
        <f>'[2]побудинковий звіт'!X280+'[1]побудинковий звіт'!X280</f>
        <v>0</v>
      </c>
      <c r="Y280" s="41">
        <f>'[2]побудинковий звіт'!Y280+'[1]побудинковий звіт'!Y280</f>
        <v>0</v>
      </c>
      <c r="Z280" s="55">
        <f t="shared" si="268"/>
        <v>0</v>
      </c>
      <c r="AA280" s="41">
        <f>'[2]побудинковий звіт'!AA280+'[1]побудинковий звіт'!AA280</f>
        <v>0</v>
      </c>
      <c r="AB280" s="41">
        <f>'[2]побудинковий звіт'!AB280+'[1]побудинковий звіт'!AB280</f>
        <v>0</v>
      </c>
      <c r="AC280" s="55">
        <f t="shared" si="269"/>
        <v>0</v>
      </c>
      <c r="AD280" s="41">
        <f>'[2]побудинковий звіт'!AD280+'[1]побудинковий звіт'!AD280</f>
        <v>0</v>
      </c>
      <c r="AE280" s="41">
        <f>'[2]побудинковий звіт'!AE280+'[1]побудинковий звіт'!AE280</f>
        <v>0</v>
      </c>
      <c r="AF280" s="36">
        <f t="shared" si="270"/>
        <v>0</v>
      </c>
      <c r="AG280" s="84">
        <f t="shared" si="271"/>
        <v>0</v>
      </c>
      <c r="AH280" s="56">
        <f t="shared" si="272"/>
        <v>0</v>
      </c>
      <c r="AI280" s="55">
        <f t="shared" si="273"/>
        <v>0</v>
      </c>
      <c r="AJ280" s="41">
        <f>'[2]побудинковий звіт'!AJ280+'[1]побудинковий звіт'!AJ280</f>
        <v>0</v>
      </c>
      <c r="AK280" s="41">
        <f>'[2]побудинковий звіт'!AK280+'[1]побудинковий звіт'!AK280</f>
        <v>0</v>
      </c>
      <c r="AL280" s="55">
        <f t="shared" si="274"/>
        <v>0</v>
      </c>
      <c r="AM280" s="41">
        <f>'[2]побудинковий звіт'!AM280+'[1]побудинковий звіт'!AM280</f>
        <v>0</v>
      </c>
      <c r="AN280" s="41">
        <f>'[2]побудинковий звіт'!AN280+'[1]побудинковий звіт'!AN280</f>
        <v>0</v>
      </c>
      <c r="AO280" s="55">
        <f t="shared" si="275"/>
        <v>0</v>
      </c>
      <c r="AP280" s="41">
        <f>'[2]побудинковий звіт'!AP280+'[1]побудинковий звіт'!AP280</f>
        <v>357.53422513480518</v>
      </c>
      <c r="AQ280" s="41">
        <f>'[2]побудинковий звіт'!AQ280+'[1]побудинковий звіт'!AQ280</f>
        <v>187.30051230881497</v>
      </c>
      <c r="AR280" s="55">
        <f t="shared" si="276"/>
        <v>-170.23371282599021</v>
      </c>
      <c r="AS280" s="41">
        <f>'[2]побудинковий звіт'!AS280+'[1]побудинковий звіт'!AS280</f>
        <v>2579.0426666385702</v>
      </c>
      <c r="AT280" s="41">
        <f>'[2]побудинковий звіт'!AT280+'[1]побудинковий звіт'!AT280</f>
        <v>0</v>
      </c>
      <c r="AU280" s="57">
        <f t="shared" si="277"/>
        <v>-2579.0426666385702</v>
      </c>
      <c r="AV280" s="41">
        <f>'[2]побудинковий звіт'!AV280+'[1]побудинковий звіт'!AV280</f>
        <v>0</v>
      </c>
      <c r="AW280" s="41">
        <f>'[2]побудинковий звіт'!AW280+'[1]побудинковий звіт'!AW280</f>
        <v>0</v>
      </c>
      <c r="AX280" s="58">
        <f t="shared" si="278"/>
        <v>0</v>
      </c>
      <c r="AY280" s="41">
        <f>'[2]побудинковий звіт'!AY280+'[1]побудинковий звіт'!AY280</f>
        <v>0</v>
      </c>
      <c r="AZ280" s="41">
        <f>'[2]побудинковий звіт'!AZ280+'[1]побудинковий звіт'!AZ280</f>
        <v>0</v>
      </c>
      <c r="BA280" s="36">
        <f t="shared" si="279"/>
        <v>0</v>
      </c>
      <c r="BB280" s="41">
        <f>'[2]побудинковий звіт'!BB280+'[1]побудинковий звіт'!BB280</f>
        <v>0</v>
      </c>
      <c r="BC280" s="41">
        <f>'[2]побудинковий звіт'!BC280+'[1]побудинковий звіт'!BC280</f>
        <v>0</v>
      </c>
      <c r="BD280" s="58">
        <f t="shared" si="280"/>
        <v>0</v>
      </c>
      <c r="BE280" s="41">
        <f>'[2]побудинковий звіт'!BE280+'[1]побудинковий звіт'!BE280</f>
        <v>0</v>
      </c>
      <c r="BF280" s="41">
        <f>'[2]побудинковий звіт'!BF280+'[1]побудинковий звіт'!BF280</f>
        <v>0</v>
      </c>
      <c r="BG280" s="38">
        <f t="shared" si="281"/>
        <v>0</v>
      </c>
      <c r="BH280" s="41">
        <f>'[2]побудинковий звіт'!BH280+'[1]побудинковий звіт'!BH280</f>
        <v>0</v>
      </c>
      <c r="BI280" s="41">
        <f>'[2]побудинковий звіт'!BI280+'[1]побудинковий звіт'!BI280</f>
        <v>0</v>
      </c>
      <c r="BJ280" s="58">
        <f t="shared" si="282"/>
        <v>0</v>
      </c>
      <c r="BK280" s="41">
        <f>'[2]побудинковий звіт'!BK280+'[1]побудинковий звіт'!BK280</f>
        <v>0</v>
      </c>
      <c r="BL280" s="41">
        <f>'[2]побудинковий звіт'!BL280+'[1]побудинковий звіт'!BL280</f>
        <v>0</v>
      </c>
      <c r="BM280" s="38">
        <f t="shared" si="283"/>
        <v>0</v>
      </c>
      <c r="BN280" s="41">
        <f>'[2]побудинковий звіт'!BN280+'[1]побудинковий звіт'!BN280</f>
        <v>0</v>
      </c>
      <c r="BO280" s="41">
        <f>'[2]побудинковий звіт'!BO280+'[1]побудинковий звіт'!BO280</f>
        <v>1774.8169317575841</v>
      </c>
      <c r="BP280" s="58">
        <f t="shared" si="284"/>
        <v>1774.8169317575841</v>
      </c>
      <c r="BQ280" s="84">
        <f t="shared" si="285"/>
        <v>0</v>
      </c>
      <c r="BR280" s="42">
        <f t="shared" si="286"/>
        <v>1774.8169317575841</v>
      </c>
      <c r="BS280" s="58">
        <f t="shared" si="287"/>
        <v>1774.8169317575841</v>
      </c>
      <c r="BT280" s="41">
        <f>'[2]побудинковий звіт'!BT280+'[1]побудинковий звіт'!BT280</f>
        <v>194.30933278916712</v>
      </c>
      <c r="BU280" s="41">
        <f>'[2]побудинковий звіт'!BU280+'[1]побудинковий звіт'!BU280</f>
        <v>393.97546328260717</v>
      </c>
      <c r="BV280" s="55">
        <f t="shared" si="288"/>
        <v>199.66613049344005</v>
      </c>
      <c r="BW280" s="41">
        <f>'[2]побудинковий звіт'!BW280+'[1]побудинковий звіт'!BW280</f>
        <v>0</v>
      </c>
      <c r="BX280" s="41">
        <f>'[2]побудинковий звіт'!BX280+'[1]побудинковий звіт'!BX280</f>
        <v>0.81853575924546718</v>
      </c>
      <c r="BY280" s="55">
        <f t="shared" si="289"/>
        <v>0.81853575924546718</v>
      </c>
      <c r="BZ280" s="41">
        <f>'[2]побудинковий звіт'!BZ280+'[1]побудинковий звіт'!BZ280</f>
        <v>38.197029657690422</v>
      </c>
      <c r="CA280" s="41">
        <f>'[2]побудинковий звіт'!CA280+'[1]побудинковий звіт'!CA280</f>
        <v>35.299562127738398</v>
      </c>
      <c r="CB280" s="55">
        <f t="shared" si="290"/>
        <v>-2.8974675299520243</v>
      </c>
      <c r="CC280" s="41">
        <f>'[2]побудинковий звіт'!CC280+'[1]побудинковий звіт'!CC280</f>
        <v>0</v>
      </c>
      <c r="CD280" s="41">
        <f>'[2]побудинковий звіт'!CD280+'[1]побудинковий звіт'!CD280</f>
        <v>0</v>
      </c>
      <c r="CE280" s="55">
        <f t="shared" si="291"/>
        <v>0</v>
      </c>
      <c r="CF280" s="41">
        <f>'[2]побудинковий звіт'!CF280+'[1]побудинковий звіт'!CF280</f>
        <v>0</v>
      </c>
      <c r="CG280" s="41">
        <f>'[2]побудинковий звіт'!CG280+'[1]побудинковий звіт'!CG280</f>
        <v>0</v>
      </c>
      <c r="CH280" s="55">
        <f t="shared" si="292"/>
        <v>0</v>
      </c>
      <c r="CI280" s="41">
        <f>'[2]побудинковий звіт'!CI280+'[1]побудинковий звіт'!CI280</f>
        <v>0</v>
      </c>
      <c r="CJ280" s="41">
        <f>'[2]побудинковий звіт'!CJ280+'[1]побудинковий звіт'!CJ280</f>
        <v>0</v>
      </c>
      <c r="CK280" s="55">
        <f t="shared" si="293"/>
        <v>0</v>
      </c>
      <c r="CL280" s="41">
        <f>'[2]побудинковий звіт'!CL280+'[1]побудинковий звіт'!CL280</f>
        <v>0</v>
      </c>
      <c r="CM280" s="41">
        <f>'[2]побудинковий звіт'!CM280+'[1]побудинковий звіт'!CM280</f>
        <v>0</v>
      </c>
      <c r="CN280" s="55">
        <f t="shared" si="294"/>
        <v>0</v>
      </c>
      <c r="CO280" s="41">
        <f t="shared" si="295"/>
        <v>0</v>
      </c>
      <c r="CP280" s="42">
        <f t="shared" si="296"/>
        <v>0</v>
      </c>
      <c r="CQ280" s="55">
        <f t="shared" si="297"/>
        <v>0</v>
      </c>
      <c r="CR280" s="76">
        <f t="shared" si="298"/>
        <v>3169.0832542202329</v>
      </c>
      <c r="CS280" s="5">
        <f t="shared" si="299"/>
        <v>2392.2110052359899</v>
      </c>
      <c r="CT280" s="55">
        <f t="shared" si="300"/>
        <v>-776.87224898424302</v>
      </c>
      <c r="CU280" s="84">
        <f t="shared" si="301"/>
        <v>3802.8999050642792</v>
      </c>
      <c r="CV280" s="68">
        <f t="shared" si="302"/>
        <v>2870.653206283188</v>
      </c>
      <c r="CW280" s="36">
        <f t="shared" si="303"/>
        <v>-932.24669878109125</v>
      </c>
      <c r="CX280" s="41">
        <f>'[2]побудинковий звіт'!CX280+'[1]побудинковий звіт'!CX280</f>
        <v>114.45055665880081</v>
      </c>
      <c r="CY280" s="41">
        <f>'[2]побудинковий звіт'!CY280+'[1]побудинковий звіт'!CY280</f>
        <v>1046.6972554398913</v>
      </c>
      <c r="CZ280" s="55">
        <f t="shared" si="304"/>
        <v>932.24669878109046</v>
      </c>
      <c r="DA280" s="254">
        <f>'[1]побудинковий звіт'!DA280</f>
        <v>-5924.4465360949325</v>
      </c>
      <c r="DB280" s="2">
        <v>3</v>
      </c>
      <c r="DC280" s="702">
        <f>'[1]побудинковий звіт'!DC280</f>
        <v>426.83</v>
      </c>
      <c r="DD280" s="702">
        <f>'[1]побудинковий звіт'!DD280</f>
        <v>0</v>
      </c>
      <c r="DE280" s="702">
        <f>'[1]побудинковий звіт'!DE280</f>
        <v>0</v>
      </c>
      <c r="DF280" s="702">
        <f>'[1]побудинковий звіт'!DF280</f>
        <v>0</v>
      </c>
      <c r="DG280" s="772">
        <v>-4204.3344799862643</v>
      </c>
      <c r="DH280" s="746">
        <f t="shared" si="306"/>
        <v>47008.205540676965</v>
      </c>
      <c r="DI280" s="769"/>
      <c r="DJ280" s="5"/>
      <c r="DK280" s="307">
        <f>VLOOKUP($A280,ціни!$A$4:$G$401,5)</f>
        <v>1.5293545563330364</v>
      </c>
      <c r="DL280" s="307"/>
      <c r="DM280" s="307">
        <f>VLOOKUP($A280,ціни!$A$4:$G$401,7)</f>
        <v>1.5293545563330364</v>
      </c>
      <c r="DN280" s="29">
        <f t="shared" si="260"/>
        <v>307.55320127857362</v>
      </c>
      <c r="DO280" s="29">
        <f t="shared" si="305"/>
        <v>0</v>
      </c>
      <c r="DP280" s="306">
        <f t="shared" si="307"/>
        <v>307.55320127857362</v>
      </c>
      <c r="DQ280" s="101"/>
      <c r="DR280" s="29">
        <f>VLOOKUP(A280,'ДЗ нас '!$A$1:$C$359,2)</f>
        <v>307.56</v>
      </c>
      <c r="DS280" s="733"/>
      <c r="DT280" s="29">
        <f t="shared" si="308"/>
        <v>307.56</v>
      </c>
      <c r="DU280" s="247">
        <f>VLOOKUP(A280,'новий кошторис с 01.06'!$A$4:$AI$399,35)*1.2</f>
        <v>309.0534607970057</v>
      </c>
      <c r="DV280" s="29">
        <f t="shared" si="309"/>
        <v>-1.4934607970056959</v>
      </c>
      <c r="DW280" s="1016">
        <f>'[2]побудинковий звіт'!$DW$9+'[1]побудинковий звіт'!DW280</f>
        <v>0</v>
      </c>
      <c r="DX280" s="101">
        <f>'[1]побудинковий звіт'!DX280</f>
        <v>0</v>
      </c>
      <c r="DY280" s="5">
        <f t="shared" si="310"/>
        <v>3094.8511999662842</v>
      </c>
      <c r="DZ280" s="5">
        <f t="shared" si="311"/>
        <v>2129.7803181091008</v>
      </c>
      <c r="EA280" s="737">
        <f t="shared" si="312"/>
        <v>0</v>
      </c>
      <c r="EC280" s="577">
        <f t="shared" si="313"/>
        <v>30948.511999662842</v>
      </c>
      <c r="EE280" s="743">
        <v>-1611</v>
      </c>
      <c r="EF280" s="723">
        <f t="shared" si="314"/>
        <v>-5815.3344799862643</v>
      </c>
      <c r="EH280" s="798">
        <v>-3608.5675937846877</v>
      </c>
      <c r="EI280" s="101">
        <f>VLOOKUP(A280,'кошти 01.01.24'!$A$9:$D$352,4,FALSE)</f>
        <v>-4992.1998373138404</v>
      </c>
    </row>
    <row r="281" spans="1:139" hidden="1" x14ac:dyDescent="0.3">
      <c r="A281" s="318">
        <v>150000706</v>
      </c>
      <c r="B281" s="43" t="s">
        <v>758</v>
      </c>
      <c r="C281" s="44" t="s">
        <v>1836</v>
      </c>
      <c r="D281" s="44" t="s">
        <v>143</v>
      </c>
      <c r="E281" s="39">
        <f t="shared" si="262"/>
        <v>243.32</v>
      </c>
      <c r="F281" s="205">
        <f>'[1]побудинковий звіт'!F281</f>
        <v>243.32</v>
      </c>
      <c r="G281" s="29">
        <f>'[1]побудинковий звіт'!G281</f>
        <v>0</v>
      </c>
      <c r="H281" s="148">
        <f>'[1]побудинковий звіт'!H281</f>
        <v>0</v>
      </c>
      <c r="I281" s="41">
        <f>'[2]побудинковий звіт'!I281+'[1]побудинковий звіт'!I281</f>
        <v>0</v>
      </c>
      <c r="J281" s="41">
        <f>'[2]побудинковий звіт'!J281+'[1]побудинковий звіт'!J281</f>
        <v>0</v>
      </c>
      <c r="K281" s="55">
        <f t="shared" si="263"/>
        <v>0</v>
      </c>
      <c r="L281" s="41">
        <f>'[2]побудинковий звіт'!L281+'[1]побудинковий звіт'!L281</f>
        <v>0</v>
      </c>
      <c r="M281" s="41">
        <f>'[2]побудинковий звіт'!M281+'[1]побудинковий звіт'!M281</f>
        <v>0</v>
      </c>
      <c r="N281" s="55">
        <f t="shared" si="264"/>
        <v>0</v>
      </c>
      <c r="O281" s="41">
        <f>'[2]побудинковий звіт'!O281+'[1]побудинковий звіт'!O281</f>
        <v>0</v>
      </c>
      <c r="P281" s="41">
        <f>'[2]побудинковий звіт'!P281+'[1]побудинковий звіт'!P281</f>
        <v>0</v>
      </c>
      <c r="Q281" s="55">
        <f t="shared" si="265"/>
        <v>0</v>
      </c>
      <c r="R281" s="41">
        <f>'[2]побудинковий звіт'!R281+'[1]побудинковий звіт'!R281</f>
        <v>0</v>
      </c>
      <c r="S281" s="41">
        <f>'[2]побудинковий звіт'!S281+'[1]побудинковий звіт'!S281</f>
        <v>0</v>
      </c>
      <c r="T281" s="55">
        <f t="shared" si="266"/>
        <v>0</v>
      </c>
      <c r="U281" s="41">
        <f>'[2]побудинковий звіт'!U281+'[1]побудинковий звіт'!U281</f>
        <v>0</v>
      </c>
      <c r="V281" s="41">
        <f>'[2]побудинковий звіт'!V281+'[1]побудинковий звіт'!V281</f>
        <v>0</v>
      </c>
      <c r="W281" s="55">
        <f t="shared" si="267"/>
        <v>0</v>
      </c>
      <c r="X281" s="41">
        <f>'[2]побудинковий звіт'!X281+'[1]побудинковий звіт'!X281</f>
        <v>0</v>
      </c>
      <c r="Y281" s="41">
        <f>'[2]побудинковий звіт'!Y281+'[1]побудинковий звіт'!Y281</f>
        <v>0</v>
      </c>
      <c r="Z281" s="55">
        <f t="shared" si="268"/>
        <v>0</v>
      </c>
      <c r="AA281" s="41">
        <f>'[2]побудинковий звіт'!AA281+'[1]побудинковий звіт'!AA281</f>
        <v>0</v>
      </c>
      <c r="AB281" s="41">
        <f>'[2]побудинковий звіт'!AB281+'[1]побудинковий звіт'!AB281</f>
        <v>0</v>
      </c>
      <c r="AC281" s="55">
        <f t="shared" si="269"/>
        <v>0</v>
      </c>
      <c r="AD281" s="41">
        <f>'[2]побудинковий звіт'!AD281+'[1]побудинковий звіт'!AD281</f>
        <v>0</v>
      </c>
      <c r="AE281" s="41">
        <f>'[2]побудинковий звіт'!AE281+'[1]побудинковий звіт'!AE281</f>
        <v>0</v>
      </c>
      <c r="AF281" s="36">
        <f t="shared" si="270"/>
        <v>0</v>
      </c>
      <c r="AG281" s="84">
        <f t="shared" si="271"/>
        <v>0</v>
      </c>
      <c r="AH281" s="56">
        <f t="shared" si="272"/>
        <v>0</v>
      </c>
      <c r="AI281" s="55">
        <f t="shared" si="273"/>
        <v>0</v>
      </c>
      <c r="AJ281" s="41">
        <f>'[2]побудинковий звіт'!AJ281+'[1]побудинковий звіт'!AJ281</f>
        <v>0</v>
      </c>
      <c r="AK281" s="41">
        <f>'[2]побудинковий звіт'!AK281+'[1]побудинковий звіт'!AK281</f>
        <v>0</v>
      </c>
      <c r="AL281" s="55">
        <f t="shared" si="274"/>
        <v>0</v>
      </c>
      <c r="AM281" s="41">
        <f>'[2]побудинковий звіт'!AM281+'[1]побудинковий звіт'!AM281</f>
        <v>0</v>
      </c>
      <c r="AN281" s="41">
        <f>'[2]побудинковий звіт'!AN281+'[1]побудинковий звіт'!AN281</f>
        <v>0</v>
      </c>
      <c r="AO281" s="55">
        <f t="shared" si="275"/>
        <v>0</v>
      </c>
      <c r="AP281" s="41">
        <f>'[2]побудинковий звіт'!AP281+'[1]побудинковий звіт'!AP281</f>
        <v>536.30133770220777</v>
      </c>
      <c r="AQ281" s="41">
        <f>'[2]побудинковий звіт'!AQ281+'[1]побудинковий звіт'!AQ281</f>
        <v>234.12564038601874</v>
      </c>
      <c r="AR281" s="55">
        <f t="shared" si="276"/>
        <v>-302.17569731618903</v>
      </c>
      <c r="AS281" s="41">
        <f>'[2]побудинковий звіт'!AS281+'[1]побудинковий звіт'!AS281</f>
        <v>3164.2652746135677</v>
      </c>
      <c r="AT281" s="41">
        <f>'[2]побудинковий звіт'!AT281+'[1]побудинковий звіт'!AT281</f>
        <v>8796.4145347751128</v>
      </c>
      <c r="AU281" s="57">
        <f t="shared" si="277"/>
        <v>5632.1492601615446</v>
      </c>
      <c r="AV281" s="41">
        <f>'[2]побудинковий звіт'!AV281+'[1]побудинковий звіт'!AV281</f>
        <v>0</v>
      </c>
      <c r="AW281" s="41">
        <f>'[2]побудинковий звіт'!AW281+'[1]побудинковий звіт'!AW281</f>
        <v>0</v>
      </c>
      <c r="AX281" s="58">
        <f t="shared" si="278"/>
        <v>0</v>
      </c>
      <c r="AY281" s="41">
        <f>'[2]побудинковий звіт'!AY281+'[1]побудинковий звіт'!AY281</f>
        <v>0</v>
      </c>
      <c r="AZ281" s="41">
        <f>'[2]побудинковий звіт'!AZ281+'[1]побудинковий звіт'!AZ281</f>
        <v>0</v>
      </c>
      <c r="BA281" s="36">
        <f t="shared" si="279"/>
        <v>0</v>
      </c>
      <c r="BB281" s="41">
        <f>'[2]побудинковий звіт'!BB281+'[1]побудинковий звіт'!BB281</f>
        <v>0</v>
      </c>
      <c r="BC281" s="41">
        <f>'[2]побудинковий звіт'!BC281+'[1]побудинковий звіт'!BC281</f>
        <v>0</v>
      </c>
      <c r="BD281" s="58">
        <f t="shared" si="280"/>
        <v>0</v>
      </c>
      <c r="BE281" s="41">
        <f>'[2]побудинковий звіт'!BE281+'[1]побудинковий звіт'!BE281</f>
        <v>0</v>
      </c>
      <c r="BF281" s="41">
        <f>'[2]побудинковий звіт'!BF281+'[1]побудинковий звіт'!BF281</f>
        <v>0</v>
      </c>
      <c r="BG281" s="38">
        <f t="shared" si="281"/>
        <v>0</v>
      </c>
      <c r="BH281" s="41">
        <f>'[2]побудинковий звіт'!BH281+'[1]побудинковий звіт'!BH281</f>
        <v>0</v>
      </c>
      <c r="BI281" s="41">
        <f>'[2]побудинковий звіт'!BI281+'[1]побудинковий звіт'!BI281</f>
        <v>0</v>
      </c>
      <c r="BJ281" s="58">
        <f t="shared" si="282"/>
        <v>0</v>
      </c>
      <c r="BK281" s="41">
        <f>'[2]побудинковий звіт'!BK281+'[1]побудинковий звіт'!BK281</f>
        <v>0</v>
      </c>
      <c r="BL281" s="41">
        <f>'[2]побудинковий звіт'!BL281+'[1]побудинковий звіт'!BL281</f>
        <v>0</v>
      </c>
      <c r="BM281" s="38">
        <f t="shared" si="283"/>
        <v>0</v>
      </c>
      <c r="BN281" s="41">
        <f>'[2]побудинковий звіт'!BN281+'[1]побудинковий звіт'!BN281</f>
        <v>0</v>
      </c>
      <c r="BO281" s="41">
        <f>'[2]побудинковий звіт'!BO281+'[1]побудинковий звіт'!BO281</f>
        <v>0</v>
      </c>
      <c r="BP281" s="58">
        <f t="shared" si="284"/>
        <v>0</v>
      </c>
      <c r="BQ281" s="84">
        <f t="shared" si="285"/>
        <v>0</v>
      </c>
      <c r="BR281" s="42">
        <f t="shared" si="286"/>
        <v>0</v>
      </c>
      <c r="BS281" s="58">
        <f t="shared" si="287"/>
        <v>0</v>
      </c>
      <c r="BT281" s="41">
        <f>'[2]побудинковий звіт'!BT281+'[1]побудинковий звіт'!BT281</f>
        <v>121.44333299322945</v>
      </c>
      <c r="BU281" s="41">
        <f>'[2]побудинковий звіт'!BU281+'[1]побудинковий звіт'!BU281</f>
        <v>433.33406502471769</v>
      </c>
      <c r="BV281" s="55">
        <f t="shared" si="288"/>
        <v>311.89073203148826</v>
      </c>
      <c r="BW281" s="41">
        <f>'[2]побудинковий звіт'!BW281+'[1]побудинковий звіт'!BW281</f>
        <v>0</v>
      </c>
      <c r="BX281" s="41">
        <f>'[2]побудинковий звіт'!BX281+'[1]побудинковий звіт'!BX281</f>
        <v>0.99038349547293414</v>
      </c>
      <c r="BY281" s="55">
        <f t="shared" si="289"/>
        <v>0.99038349547293414</v>
      </c>
      <c r="BZ281" s="41">
        <f>'[2]побудинковий звіт'!BZ281+'[1]побудинковий звіт'!BZ281</f>
        <v>23.873143536056517</v>
      </c>
      <c r="CA281" s="41">
        <f>'[2]побудинковий звіт'!CA281+'[1]побудинковий звіт'!CA281</f>
        <v>38.824610741911343</v>
      </c>
      <c r="CB281" s="55">
        <f t="shared" si="290"/>
        <v>14.951467205854826</v>
      </c>
      <c r="CC281" s="41">
        <f>'[2]побудинковий звіт'!CC281+'[1]побудинковий звіт'!CC281</f>
        <v>0</v>
      </c>
      <c r="CD281" s="41">
        <f>'[2]побудинковий звіт'!CD281+'[1]побудинковий звіт'!CD281</f>
        <v>0</v>
      </c>
      <c r="CE281" s="55">
        <f t="shared" si="291"/>
        <v>0</v>
      </c>
      <c r="CF281" s="41">
        <f>'[2]побудинковий звіт'!CF281+'[1]побудинковий звіт'!CF281</f>
        <v>0</v>
      </c>
      <c r="CG281" s="41">
        <f>'[2]побудинковий звіт'!CG281+'[1]побудинковий звіт'!CG281</f>
        <v>0</v>
      </c>
      <c r="CH281" s="55">
        <f t="shared" si="292"/>
        <v>0</v>
      </c>
      <c r="CI281" s="41">
        <f>'[2]побудинковий звіт'!CI281+'[1]побудинковий звіт'!CI281</f>
        <v>0</v>
      </c>
      <c r="CJ281" s="41">
        <f>'[2]побудинковий звіт'!CJ281+'[1]побудинковий звіт'!CJ281</f>
        <v>0</v>
      </c>
      <c r="CK281" s="55">
        <f t="shared" si="293"/>
        <v>0</v>
      </c>
      <c r="CL281" s="41">
        <f>'[2]побудинковий звіт'!CL281+'[1]побудинковий звіт'!CL281</f>
        <v>0</v>
      </c>
      <c r="CM281" s="41">
        <f>'[2]побудинковий звіт'!CM281+'[1]побудинковий звіт'!CM281</f>
        <v>0</v>
      </c>
      <c r="CN281" s="55">
        <f t="shared" si="294"/>
        <v>0</v>
      </c>
      <c r="CO281" s="41">
        <f t="shared" si="295"/>
        <v>0</v>
      </c>
      <c r="CP281" s="42">
        <f t="shared" si="296"/>
        <v>0</v>
      </c>
      <c r="CQ281" s="55">
        <f t="shared" si="297"/>
        <v>0</v>
      </c>
      <c r="CR281" s="76">
        <f t="shared" si="298"/>
        <v>3845.8830888450611</v>
      </c>
      <c r="CS281" s="5">
        <f t="shared" si="299"/>
        <v>9503.6892344232328</v>
      </c>
      <c r="CT281" s="55">
        <f t="shared" si="300"/>
        <v>5657.8061455781717</v>
      </c>
      <c r="CU281" s="84">
        <f t="shared" si="301"/>
        <v>4615.0597066140735</v>
      </c>
      <c r="CV281" s="68">
        <f t="shared" si="302"/>
        <v>11404.427081307878</v>
      </c>
      <c r="CW281" s="36">
        <f t="shared" si="303"/>
        <v>6789.3673746938048</v>
      </c>
      <c r="CX281" s="41">
        <f>'[2]побудинковий звіт'!CX281+'[1]побудинковий звіт'!CX281</f>
        <v>138.74207788941388</v>
      </c>
      <c r="CY281" s="41">
        <f>'[2]побудинковий звіт'!CY281+'[1]побудинковий звіт'!CY281</f>
        <v>-6650.6252968043937</v>
      </c>
      <c r="CZ281" s="55">
        <f t="shared" si="304"/>
        <v>-6789.3673746938075</v>
      </c>
      <c r="DA281" s="254">
        <f>'[1]побудинковий звіт'!DA281</f>
        <v>-1522.7027064360846</v>
      </c>
      <c r="DB281" s="2">
        <v>3</v>
      </c>
      <c r="DC281" s="702">
        <f>'[1]побудинковий звіт'!DC281</f>
        <v>834.01</v>
      </c>
      <c r="DD281" s="702">
        <f>'[1]побудинковий звіт'!DD281</f>
        <v>0</v>
      </c>
      <c r="DE281" s="702">
        <f>'[1]побудинковий звіт'!DE281</f>
        <v>318.10000000000002</v>
      </c>
      <c r="DF281" s="702">
        <f>'[1]побудинковий звіт'!DF281</f>
        <v>0</v>
      </c>
      <c r="DG281" s="772">
        <v>-4437.2755959188898</v>
      </c>
      <c r="DH281" s="746">
        <f t="shared" si="306"/>
        <v>57045.621414041845</v>
      </c>
      <c r="DI281" s="769"/>
      <c r="DJ281" s="5"/>
      <c r="DK281" s="307">
        <f>VLOOKUP($A281,ціни!$A$4:$G$401,5)</f>
        <v>1.5354979944367424</v>
      </c>
      <c r="DL281" s="307"/>
      <c r="DM281" s="307">
        <f>VLOOKUP($A281,ціни!$A$4:$G$401,7)</f>
        <v>1.5354979944367424</v>
      </c>
      <c r="DN281" s="29">
        <f t="shared" si="260"/>
        <v>373.61737200634815</v>
      </c>
      <c r="DO281" s="29">
        <f t="shared" si="305"/>
        <v>0</v>
      </c>
      <c r="DP281" s="306">
        <f t="shared" si="307"/>
        <v>373.61737200634815</v>
      </c>
      <c r="DQ281" s="101"/>
      <c r="DR281" s="29">
        <f>VLOOKUP(A281,'ДЗ нас '!$A$1:$C$359,2)</f>
        <v>373.62</v>
      </c>
      <c r="DS281" s="733"/>
      <c r="DT281" s="29">
        <f t="shared" si="308"/>
        <v>373.62</v>
      </c>
      <c r="DU281" s="247">
        <f>VLOOKUP(A281,'новий кошторис с 01.06'!$A$4:$AI$399,35)*1.2</f>
        <v>375.43989577223277</v>
      </c>
      <c r="DV281" s="29">
        <f t="shared" si="309"/>
        <v>-1.8198957722327691</v>
      </c>
      <c r="DW281" s="1016">
        <f>'[2]побудинковий звіт'!$DW$9+'[1]побудинковий звіт'!DW281</f>
        <v>0</v>
      </c>
      <c r="DX281" s="101">
        <f>'[1]побудинковий звіт'!DX281</f>
        <v>0</v>
      </c>
      <c r="DY281" s="5">
        <f t="shared" si="310"/>
        <v>3797.1183295362812</v>
      </c>
      <c r="DZ281" s="5">
        <f t="shared" si="311"/>
        <v>10555.697441730135</v>
      </c>
      <c r="EA281" s="737">
        <f t="shared" si="312"/>
        <v>318.10000000000002</v>
      </c>
      <c r="EC281" s="577">
        <f t="shared" si="313"/>
        <v>37971.183295362811</v>
      </c>
      <c r="EE281" s="743">
        <v>3631</v>
      </c>
      <c r="EF281" s="723">
        <f t="shared" si="314"/>
        <v>-806.27559591888985</v>
      </c>
      <c r="EH281" s="798">
        <v>-6045.2662182104214</v>
      </c>
      <c r="EI281" s="101">
        <f>VLOOKUP(A281,'кошти 01.01.24'!$A$9:$D$352,4,FALSE)</f>
        <v>-8312.0700811298921</v>
      </c>
    </row>
    <row r="282" spans="1:139" hidden="1" x14ac:dyDescent="0.3">
      <c r="A282" s="318">
        <v>150000707</v>
      </c>
      <c r="B282" s="43" t="s">
        <v>759</v>
      </c>
      <c r="C282" s="44" t="s">
        <v>1837</v>
      </c>
      <c r="D282" s="44" t="s">
        <v>144</v>
      </c>
      <c r="E282" s="39">
        <f t="shared" si="262"/>
        <v>325</v>
      </c>
      <c r="F282" s="205">
        <f>'[1]побудинковий звіт'!F282</f>
        <v>325</v>
      </c>
      <c r="G282" s="29">
        <f>'[1]побудинковий звіт'!G282</f>
        <v>0</v>
      </c>
      <c r="H282" s="148">
        <f>'[1]побудинковий звіт'!H282</f>
        <v>0</v>
      </c>
      <c r="I282" s="41">
        <f>'[2]побудинковий звіт'!I282+'[1]побудинковий звіт'!I282</f>
        <v>0</v>
      </c>
      <c r="J282" s="41">
        <f>'[2]побудинковий звіт'!J282+'[1]побудинковий звіт'!J282</f>
        <v>0</v>
      </c>
      <c r="K282" s="55">
        <f t="shared" si="263"/>
        <v>0</v>
      </c>
      <c r="L282" s="41">
        <f>'[2]побудинковий звіт'!L282+'[1]побудинковий звіт'!L282</f>
        <v>0</v>
      </c>
      <c r="M282" s="41">
        <f>'[2]побудинковий звіт'!M282+'[1]побудинковий звіт'!M282</f>
        <v>0</v>
      </c>
      <c r="N282" s="55">
        <f t="shared" si="264"/>
        <v>0</v>
      </c>
      <c r="O282" s="41">
        <f>'[2]побудинковий звіт'!O282+'[1]побудинковий звіт'!O282</f>
        <v>0</v>
      </c>
      <c r="P282" s="41">
        <f>'[2]побудинковий звіт'!P282+'[1]побудинковий звіт'!P282</f>
        <v>0</v>
      </c>
      <c r="Q282" s="55">
        <f t="shared" si="265"/>
        <v>0</v>
      </c>
      <c r="R282" s="41">
        <f>'[2]побудинковий звіт'!R282+'[1]побудинковий звіт'!R282</f>
        <v>0</v>
      </c>
      <c r="S282" s="41">
        <f>'[2]побудинковий звіт'!S282+'[1]побудинковий звіт'!S282</f>
        <v>0</v>
      </c>
      <c r="T282" s="55">
        <f t="shared" si="266"/>
        <v>0</v>
      </c>
      <c r="U282" s="41">
        <f>'[2]побудинковий звіт'!U282+'[1]побудинковий звіт'!U282</f>
        <v>0</v>
      </c>
      <c r="V282" s="41">
        <f>'[2]побудинковий звіт'!V282+'[1]побудинковий звіт'!V282</f>
        <v>0</v>
      </c>
      <c r="W282" s="55">
        <f t="shared" si="267"/>
        <v>0</v>
      </c>
      <c r="X282" s="41">
        <f>'[2]побудинковий звіт'!X282+'[1]побудинковий звіт'!X282</f>
        <v>0</v>
      </c>
      <c r="Y282" s="41">
        <f>'[2]побудинковий звіт'!Y282+'[1]побудинковий звіт'!Y282</f>
        <v>0</v>
      </c>
      <c r="Z282" s="55">
        <f t="shared" si="268"/>
        <v>0</v>
      </c>
      <c r="AA282" s="41">
        <f>'[2]побудинковий звіт'!AA282+'[1]побудинковий звіт'!AA282</f>
        <v>0</v>
      </c>
      <c r="AB282" s="41">
        <f>'[2]побудинковий звіт'!AB282+'[1]побудинковий звіт'!AB282</f>
        <v>0</v>
      </c>
      <c r="AC282" s="55">
        <f t="shared" si="269"/>
        <v>0</v>
      </c>
      <c r="AD282" s="41">
        <f>'[2]побудинковий звіт'!AD282+'[1]побудинковий звіт'!AD282</f>
        <v>0</v>
      </c>
      <c r="AE282" s="41">
        <f>'[2]побудинковий звіт'!AE282+'[1]побудинковий звіт'!AE282</f>
        <v>0</v>
      </c>
      <c r="AF282" s="36">
        <f t="shared" si="270"/>
        <v>0</v>
      </c>
      <c r="AG282" s="84">
        <f t="shared" si="271"/>
        <v>0</v>
      </c>
      <c r="AH282" s="56">
        <f t="shared" si="272"/>
        <v>0</v>
      </c>
      <c r="AI282" s="55">
        <f t="shared" si="273"/>
        <v>0</v>
      </c>
      <c r="AJ282" s="41">
        <f>'[2]побудинковий звіт'!AJ282+'[1]побудинковий звіт'!AJ282</f>
        <v>0</v>
      </c>
      <c r="AK282" s="41">
        <f>'[2]побудинковий звіт'!AK282+'[1]побудинковий звіт'!AK282</f>
        <v>0</v>
      </c>
      <c r="AL282" s="55">
        <f t="shared" si="274"/>
        <v>0</v>
      </c>
      <c r="AM282" s="41">
        <f>'[2]побудинковий звіт'!AM282+'[1]побудинковий звіт'!AM282</f>
        <v>0</v>
      </c>
      <c r="AN282" s="41">
        <f>'[2]побудинковий звіт'!AN282+'[1]побудинковий звіт'!AN282</f>
        <v>0</v>
      </c>
      <c r="AO282" s="55">
        <f t="shared" si="275"/>
        <v>0</v>
      </c>
      <c r="AP282" s="41">
        <f>'[2]побудинковий звіт'!AP282+'[1]побудинковий звіт'!AP282</f>
        <v>446.91778141850642</v>
      </c>
      <c r="AQ282" s="41">
        <f>'[2]побудинковий звіт'!AQ282+'[1]побудинковий звіт'!AQ282</f>
        <v>140.47538423161123</v>
      </c>
      <c r="AR282" s="55">
        <f t="shared" si="276"/>
        <v>-306.44239718689516</v>
      </c>
      <c r="AS282" s="41">
        <f>'[2]побудинковий звіт'!AS282+'[1]побудинковий звіт'!AS282</f>
        <v>4029.4771764993693</v>
      </c>
      <c r="AT282" s="41">
        <f>'[2]побудинковий звіт'!AT282+'[1]побудинковий звіт'!AT282</f>
        <v>2529.2765410601078</v>
      </c>
      <c r="AU282" s="57">
        <f t="shared" si="277"/>
        <v>-1500.2006354392615</v>
      </c>
      <c r="AV282" s="41">
        <f>'[2]побудинковий звіт'!AV282+'[1]побудинковий звіт'!AV282</f>
        <v>0</v>
      </c>
      <c r="AW282" s="41">
        <f>'[2]побудинковий звіт'!AW282+'[1]побудинковий звіт'!AW282</f>
        <v>0</v>
      </c>
      <c r="AX282" s="58">
        <f t="shared" si="278"/>
        <v>0</v>
      </c>
      <c r="AY282" s="41">
        <f>'[2]побудинковий звіт'!AY282+'[1]побудинковий звіт'!AY282</f>
        <v>0</v>
      </c>
      <c r="AZ282" s="41">
        <f>'[2]побудинковий звіт'!AZ282+'[1]побудинковий звіт'!AZ282</f>
        <v>0</v>
      </c>
      <c r="BA282" s="36">
        <f t="shared" si="279"/>
        <v>0</v>
      </c>
      <c r="BB282" s="41">
        <f>'[2]побудинковий звіт'!BB282+'[1]побудинковий звіт'!BB282</f>
        <v>0</v>
      </c>
      <c r="BC282" s="41">
        <f>'[2]побудинковий звіт'!BC282+'[1]побудинковий звіт'!BC282</f>
        <v>0</v>
      </c>
      <c r="BD282" s="58">
        <f t="shared" si="280"/>
        <v>0</v>
      </c>
      <c r="BE282" s="41">
        <f>'[2]побудинковий звіт'!BE282+'[1]побудинковий звіт'!BE282</f>
        <v>0</v>
      </c>
      <c r="BF282" s="41">
        <f>'[2]побудинковий звіт'!BF282+'[1]побудинковий звіт'!BF282</f>
        <v>0</v>
      </c>
      <c r="BG282" s="38">
        <f t="shared" si="281"/>
        <v>0</v>
      </c>
      <c r="BH282" s="41">
        <f>'[2]побудинковий звіт'!BH282+'[1]побудинковий звіт'!BH282</f>
        <v>0</v>
      </c>
      <c r="BI282" s="41">
        <f>'[2]побудинковий звіт'!BI282+'[1]побудинковий звіт'!BI282</f>
        <v>0</v>
      </c>
      <c r="BJ282" s="58">
        <f t="shared" si="282"/>
        <v>0</v>
      </c>
      <c r="BK282" s="41">
        <f>'[2]побудинковий звіт'!BK282+'[1]побудинковий звіт'!BK282</f>
        <v>0</v>
      </c>
      <c r="BL282" s="41">
        <f>'[2]побудинковий звіт'!BL282+'[1]побудинковий звіт'!BL282</f>
        <v>0</v>
      </c>
      <c r="BM282" s="38">
        <f t="shared" si="283"/>
        <v>0</v>
      </c>
      <c r="BN282" s="41">
        <f>'[2]побудинковий звіт'!BN282+'[1]побудинковий звіт'!BN282</f>
        <v>0</v>
      </c>
      <c r="BO282" s="41">
        <f>'[2]побудинковий звіт'!BO282+'[1]побудинковий звіт'!BO282</f>
        <v>511.88292117934719</v>
      </c>
      <c r="BP282" s="58">
        <f t="shared" si="284"/>
        <v>511.88292117934719</v>
      </c>
      <c r="BQ282" s="84">
        <f t="shared" si="285"/>
        <v>0</v>
      </c>
      <c r="BR282" s="42">
        <f t="shared" si="286"/>
        <v>511.88292117934719</v>
      </c>
      <c r="BS282" s="58">
        <f t="shared" si="287"/>
        <v>511.88292117934719</v>
      </c>
      <c r="BT282" s="41">
        <f>'[2]побудинковий звіт'!BT282+'[1]побудинковий звіт'!BT282</f>
        <v>534.35066517020971</v>
      </c>
      <c r="BU282" s="41">
        <f>'[2]побудинковий звіт'!BU282+'[1]побудинковий звіт'!BU282</f>
        <v>945.38533353365608</v>
      </c>
      <c r="BV282" s="55">
        <f t="shared" si="288"/>
        <v>411.03466836344637</v>
      </c>
      <c r="BW282" s="41">
        <f>'[2]побудинковий звіт'!BW282+'[1]побудинковий звіт'!BW282</f>
        <v>0</v>
      </c>
      <c r="BX282" s="41">
        <f>'[2]побудинковий звіт'!BX282+'[1]побудинковий звіт'!BX282</f>
        <v>1.3273222828938183</v>
      </c>
      <c r="BY282" s="55">
        <f t="shared" si="289"/>
        <v>1.3273222828938183</v>
      </c>
      <c r="BZ282" s="41">
        <f>'[2]побудинковий звіт'!BZ282+'[1]побудинковий звіт'!BZ282</f>
        <v>105.04183155864868</v>
      </c>
      <c r="CA282" s="41">
        <f>'[2]побудинковий звіт'!CA282+'[1]побудинковий звіт'!CA282</f>
        <v>84.699318712168562</v>
      </c>
      <c r="CB282" s="55">
        <f t="shared" si="290"/>
        <v>-20.342512846480119</v>
      </c>
      <c r="CC282" s="41">
        <f>'[2]побудинковий звіт'!CC282+'[1]побудинковий звіт'!CC282</f>
        <v>0</v>
      </c>
      <c r="CD282" s="41">
        <f>'[2]побудинковий звіт'!CD282+'[1]побудинковий звіт'!CD282</f>
        <v>0</v>
      </c>
      <c r="CE282" s="55">
        <f t="shared" si="291"/>
        <v>0</v>
      </c>
      <c r="CF282" s="41">
        <f>'[2]побудинковий звіт'!CF282+'[1]побудинковий звіт'!CF282</f>
        <v>0</v>
      </c>
      <c r="CG282" s="41">
        <f>'[2]побудинковий звіт'!CG282+'[1]побудинковий звіт'!CG282</f>
        <v>0</v>
      </c>
      <c r="CH282" s="55">
        <f t="shared" si="292"/>
        <v>0</v>
      </c>
      <c r="CI282" s="41">
        <f>'[2]побудинковий звіт'!CI282+'[1]побудинковий звіт'!CI282</f>
        <v>0</v>
      </c>
      <c r="CJ282" s="41">
        <f>'[2]побудинковий звіт'!CJ282+'[1]побудинковий звіт'!CJ282</f>
        <v>0</v>
      </c>
      <c r="CK282" s="55">
        <f t="shared" si="293"/>
        <v>0</v>
      </c>
      <c r="CL282" s="41">
        <f>'[2]побудинковий звіт'!CL282+'[1]побудинковий звіт'!CL282</f>
        <v>0</v>
      </c>
      <c r="CM282" s="41">
        <f>'[2]побудинковий звіт'!CM282+'[1]побудинковий звіт'!CM282</f>
        <v>0</v>
      </c>
      <c r="CN282" s="55">
        <f t="shared" si="294"/>
        <v>0</v>
      </c>
      <c r="CO282" s="41">
        <f t="shared" si="295"/>
        <v>0</v>
      </c>
      <c r="CP282" s="42">
        <f t="shared" si="296"/>
        <v>0</v>
      </c>
      <c r="CQ282" s="55">
        <f t="shared" si="297"/>
        <v>0</v>
      </c>
      <c r="CR282" s="76">
        <f t="shared" si="298"/>
        <v>5115.7874546467347</v>
      </c>
      <c r="CS282" s="5">
        <f t="shared" si="299"/>
        <v>4213.0468209997853</v>
      </c>
      <c r="CT282" s="55">
        <f t="shared" si="300"/>
        <v>-902.74063364694939</v>
      </c>
      <c r="CU282" s="84">
        <f t="shared" si="301"/>
        <v>6138.9449455760814</v>
      </c>
      <c r="CV282" s="68">
        <f t="shared" si="302"/>
        <v>5055.6561851997421</v>
      </c>
      <c r="CW282" s="36">
        <f t="shared" si="303"/>
        <v>-1083.2887603763393</v>
      </c>
      <c r="CX282" s="41">
        <f>'[2]побудинковий звіт'!CX282+'[1]побудинковий звіт'!CX282</f>
        <v>167.45313242379876</v>
      </c>
      <c r="CY282" s="41">
        <f>'[2]побудинковий звіт'!CY282+'[1]побудинковий звіт'!CY282</f>
        <v>1250.7418928001375</v>
      </c>
      <c r="CZ282" s="55">
        <f t="shared" si="304"/>
        <v>1083.2887603763388</v>
      </c>
      <c r="DA282" s="254">
        <f>'[1]побудинковий звіт'!DA282</f>
        <v>-13217.028524764421</v>
      </c>
      <c r="DB282" s="2">
        <v>3</v>
      </c>
      <c r="DC282" s="702">
        <f>'[1]побудинковий звіт'!DC282</f>
        <v>716.16</v>
      </c>
      <c r="DD282" s="702">
        <f>'[1]побудинковий звіт'!DD282</f>
        <v>0</v>
      </c>
      <c r="DE282" s="702">
        <f>'[1]побудинковий звіт'!DE282</f>
        <v>29.92999999999995</v>
      </c>
      <c r="DF282" s="702">
        <f>'[1]побудинковий звіт'!DF282</f>
        <v>0</v>
      </c>
      <c r="DG282" s="772">
        <v>-6660.7869535530126</v>
      </c>
      <c r="DH282" s="746">
        <f t="shared" si="306"/>
        <v>75676.776935998554</v>
      </c>
      <c r="DI282" s="769"/>
      <c r="DJ282" s="5"/>
      <c r="DK282" s="307">
        <f>VLOOKUP($A282,ціни!$A$4:$G$401,5)</f>
        <v>1.5240404811933463</v>
      </c>
      <c r="DL282" s="307"/>
      <c r="DM282" s="307">
        <f>VLOOKUP($A282,ціни!$A$4:$G$401,7)</f>
        <v>1.5240404811933463</v>
      </c>
      <c r="DN282" s="29">
        <f t="shared" si="260"/>
        <v>495.31315638783758</v>
      </c>
      <c r="DO282" s="29">
        <f t="shared" si="305"/>
        <v>0</v>
      </c>
      <c r="DP282" s="306">
        <f t="shared" si="307"/>
        <v>495.31315638783758</v>
      </c>
      <c r="DQ282" s="101"/>
      <c r="DR282" s="29">
        <f>VLOOKUP(A282,'ДЗ нас '!$A$1:$C$359,2)</f>
        <v>495.3</v>
      </c>
      <c r="DS282" s="733"/>
      <c r="DT282" s="29">
        <f t="shared" si="308"/>
        <v>495.3</v>
      </c>
      <c r="DU282" s="247">
        <f>VLOOKUP(A282,'новий кошторис с 01.06'!$A$4:$AI$399,35)*1.2</f>
        <v>499.41394043381945</v>
      </c>
      <c r="DV282" s="29">
        <f t="shared" si="309"/>
        <v>-4.1139404338194367</v>
      </c>
      <c r="DW282" s="1016">
        <f>'[2]побудинковий звіт'!$DW$9+'[1]побудинковий звіт'!DW282</f>
        <v>0</v>
      </c>
      <c r="DX282" s="101">
        <f>'[1]побудинковий звіт'!DX282</f>
        <v>0</v>
      </c>
      <c r="DY282" s="5">
        <f t="shared" si="310"/>
        <v>4835.3726117992428</v>
      </c>
      <c r="DZ282" s="5">
        <f t="shared" si="311"/>
        <v>3649.3913546873459</v>
      </c>
      <c r="EA282" s="737">
        <f t="shared" si="312"/>
        <v>29.92999999999995</v>
      </c>
      <c r="EC282" s="577">
        <f t="shared" si="313"/>
        <v>48353.726117992432</v>
      </c>
      <c r="EE282" s="743">
        <v>-2806</v>
      </c>
      <c r="EF282" s="723">
        <f t="shared" si="314"/>
        <v>-9466.7869535530117</v>
      </c>
      <c r="EH282" s="798">
        <v>-8313.6228676968531</v>
      </c>
      <c r="EI282" s="101">
        <f>VLOOKUP(A282,'кошти 01.01.24'!$A$9:$D$352,4,FALSE)</f>
        <v>-12133.739764388083</v>
      </c>
    </row>
    <row r="283" spans="1:139" hidden="1" x14ac:dyDescent="0.3">
      <c r="A283" s="318">
        <v>150000708</v>
      </c>
      <c r="B283" s="43" t="s">
        <v>760</v>
      </c>
      <c r="C283" s="44" t="s">
        <v>1838</v>
      </c>
      <c r="D283" s="44" t="s">
        <v>145</v>
      </c>
      <c r="E283" s="39">
        <f t="shared" si="262"/>
        <v>241.4</v>
      </c>
      <c r="F283" s="205">
        <f>'[1]побудинковий звіт'!F283</f>
        <v>241.4</v>
      </c>
      <c r="G283" s="29">
        <f>'[1]побудинковий звіт'!G283</f>
        <v>0</v>
      </c>
      <c r="H283" s="148">
        <f>'[1]побудинковий звіт'!H283</f>
        <v>0</v>
      </c>
      <c r="I283" s="41">
        <f>'[2]побудинковий звіт'!I283+'[1]побудинковий звіт'!I283</f>
        <v>0</v>
      </c>
      <c r="J283" s="41">
        <f>'[2]побудинковий звіт'!J283+'[1]побудинковий звіт'!J283</f>
        <v>0</v>
      </c>
      <c r="K283" s="55">
        <f t="shared" si="263"/>
        <v>0</v>
      </c>
      <c r="L283" s="41">
        <f>'[2]побудинковий звіт'!L283+'[1]побудинковий звіт'!L283</f>
        <v>0</v>
      </c>
      <c r="M283" s="41">
        <f>'[2]побудинковий звіт'!M283+'[1]побудинковий звіт'!M283</f>
        <v>0</v>
      </c>
      <c r="N283" s="55">
        <f t="shared" si="264"/>
        <v>0</v>
      </c>
      <c r="O283" s="41">
        <f>'[2]побудинковий звіт'!O283+'[1]побудинковий звіт'!O283</f>
        <v>0</v>
      </c>
      <c r="P283" s="41">
        <f>'[2]побудинковий звіт'!P283+'[1]побудинковий звіт'!P283</f>
        <v>0</v>
      </c>
      <c r="Q283" s="55">
        <f t="shared" si="265"/>
        <v>0</v>
      </c>
      <c r="R283" s="41">
        <f>'[2]побудинковий звіт'!R283+'[1]побудинковий звіт'!R283</f>
        <v>0</v>
      </c>
      <c r="S283" s="41">
        <f>'[2]побудинковий звіт'!S283+'[1]побудинковий звіт'!S283</f>
        <v>0</v>
      </c>
      <c r="T283" s="55">
        <f t="shared" si="266"/>
        <v>0</v>
      </c>
      <c r="U283" s="41">
        <f>'[2]побудинковий звіт'!U283+'[1]побудинковий звіт'!U283</f>
        <v>0</v>
      </c>
      <c r="V283" s="41">
        <f>'[2]побудинковий звіт'!V283+'[1]побудинковий звіт'!V283</f>
        <v>0</v>
      </c>
      <c r="W283" s="55">
        <f t="shared" si="267"/>
        <v>0</v>
      </c>
      <c r="X283" s="41">
        <f>'[2]побудинковий звіт'!X283+'[1]побудинковий звіт'!X283</f>
        <v>0</v>
      </c>
      <c r="Y283" s="41">
        <f>'[2]побудинковий звіт'!Y283+'[1]побудинковий звіт'!Y283</f>
        <v>0</v>
      </c>
      <c r="Z283" s="55">
        <f t="shared" si="268"/>
        <v>0</v>
      </c>
      <c r="AA283" s="41">
        <f>'[2]побудинковий звіт'!AA283+'[1]побудинковий звіт'!AA283</f>
        <v>0</v>
      </c>
      <c r="AB283" s="41">
        <f>'[2]побудинковий звіт'!AB283+'[1]побудинковий звіт'!AB283</f>
        <v>0</v>
      </c>
      <c r="AC283" s="55">
        <f t="shared" si="269"/>
        <v>0</v>
      </c>
      <c r="AD283" s="41">
        <f>'[2]побудинковий звіт'!AD283+'[1]побудинковий звіт'!AD283</f>
        <v>0</v>
      </c>
      <c r="AE283" s="41">
        <f>'[2]побудинковий звіт'!AE283+'[1]побудинковий звіт'!AE283</f>
        <v>0</v>
      </c>
      <c r="AF283" s="36">
        <f t="shared" si="270"/>
        <v>0</v>
      </c>
      <c r="AG283" s="84">
        <f t="shared" si="271"/>
        <v>0</v>
      </c>
      <c r="AH283" s="56">
        <f t="shared" si="272"/>
        <v>0</v>
      </c>
      <c r="AI283" s="55">
        <f t="shared" si="273"/>
        <v>0</v>
      </c>
      <c r="AJ283" s="41">
        <f>'[2]побудинковий звіт'!AJ283+'[1]побудинковий звіт'!AJ283</f>
        <v>0</v>
      </c>
      <c r="AK283" s="41">
        <f>'[2]побудинковий звіт'!AK283+'[1]побудинковий звіт'!AK283</f>
        <v>0</v>
      </c>
      <c r="AL283" s="55">
        <f t="shared" si="274"/>
        <v>0</v>
      </c>
      <c r="AM283" s="41">
        <f>'[2]побудинковий звіт'!AM283+'[1]побудинковий звіт'!AM283</f>
        <v>0</v>
      </c>
      <c r="AN283" s="41">
        <f>'[2]побудинковий звіт'!AN283+'[1]побудинковий звіт'!AN283</f>
        <v>0</v>
      </c>
      <c r="AO283" s="55">
        <f t="shared" si="275"/>
        <v>0</v>
      </c>
      <c r="AP283" s="41">
        <f>'[2]побудинковий звіт'!AP283+'[1]побудинковий звіт'!AP283</f>
        <v>491.60955956035713</v>
      </c>
      <c r="AQ283" s="41">
        <f>'[2]побудинковий звіт'!AQ283+'[1]побудинковий звіт'!AQ283</f>
        <v>140.47538423161123</v>
      </c>
      <c r="AR283" s="55">
        <f t="shared" si="276"/>
        <v>-351.13417532874587</v>
      </c>
      <c r="AS283" s="41">
        <f>'[2]побудинковий звіт'!AS283+'[1]побудинковий звіт'!AS283</f>
        <v>3141.915701234826</v>
      </c>
      <c r="AT283" s="41">
        <f>'[2]побудинковий звіт'!AT283+'[1]побудинковий звіт'!AT283</f>
        <v>0</v>
      </c>
      <c r="AU283" s="57">
        <f t="shared" si="277"/>
        <v>-3141.915701234826</v>
      </c>
      <c r="AV283" s="41">
        <f>'[2]побудинковий звіт'!AV283+'[1]побудинковий звіт'!AV283</f>
        <v>0</v>
      </c>
      <c r="AW283" s="41">
        <f>'[2]побудинковий звіт'!AW283+'[1]побудинковий звіт'!AW283</f>
        <v>0</v>
      </c>
      <c r="AX283" s="58">
        <f t="shared" si="278"/>
        <v>0</v>
      </c>
      <c r="AY283" s="41">
        <f>'[2]побудинковий звіт'!AY283+'[1]побудинковий звіт'!AY283</f>
        <v>0</v>
      </c>
      <c r="AZ283" s="41">
        <f>'[2]побудинковий звіт'!AZ283+'[1]побудинковий звіт'!AZ283</f>
        <v>0</v>
      </c>
      <c r="BA283" s="36">
        <f t="shared" si="279"/>
        <v>0</v>
      </c>
      <c r="BB283" s="41">
        <f>'[2]побудинковий звіт'!BB283+'[1]побудинковий звіт'!BB283</f>
        <v>0</v>
      </c>
      <c r="BC283" s="41">
        <f>'[2]побудинковий звіт'!BC283+'[1]побудинковий звіт'!BC283</f>
        <v>0</v>
      </c>
      <c r="BD283" s="58">
        <f t="shared" si="280"/>
        <v>0</v>
      </c>
      <c r="BE283" s="41">
        <f>'[2]побудинковий звіт'!BE283+'[1]побудинковий звіт'!BE283</f>
        <v>0</v>
      </c>
      <c r="BF283" s="41">
        <f>'[2]побудинковий звіт'!BF283+'[1]побудинковий звіт'!BF283</f>
        <v>0</v>
      </c>
      <c r="BG283" s="38">
        <f t="shared" si="281"/>
        <v>0</v>
      </c>
      <c r="BH283" s="41">
        <f>'[2]побудинковий звіт'!BH283+'[1]побудинковий звіт'!BH283</f>
        <v>0</v>
      </c>
      <c r="BI283" s="41">
        <f>'[2]побудинковий звіт'!BI283+'[1]побудинковий звіт'!BI283</f>
        <v>0</v>
      </c>
      <c r="BJ283" s="58">
        <f t="shared" si="282"/>
        <v>0</v>
      </c>
      <c r="BK283" s="41">
        <f>'[2]побудинковий звіт'!BK283+'[1]побудинковий звіт'!BK283</f>
        <v>0</v>
      </c>
      <c r="BL283" s="41">
        <f>'[2]побудинковий звіт'!BL283+'[1]побудинковий звіт'!BL283</f>
        <v>0</v>
      </c>
      <c r="BM283" s="38">
        <f t="shared" si="283"/>
        <v>0</v>
      </c>
      <c r="BN283" s="41">
        <f>'[2]побудинковий звіт'!BN283+'[1]побудинковий звіт'!BN283</f>
        <v>0</v>
      </c>
      <c r="BO283" s="41">
        <f>'[2]побудинковий звіт'!BO283+'[1]побудинковий звіт'!BO283</f>
        <v>1478.7804376295485</v>
      </c>
      <c r="BP283" s="58">
        <f t="shared" si="284"/>
        <v>1478.7804376295485</v>
      </c>
      <c r="BQ283" s="84">
        <f t="shared" si="285"/>
        <v>0</v>
      </c>
      <c r="BR283" s="42">
        <f t="shared" si="286"/>
        <v>1478.7804376295485</v>
      </c>
      <c r="BS283" s="58">
        <f t="shared" si="287"/>
        <v>1478.7804376295485</v>
      </c>
      <c r="BT283" s="41">
        <f>'[2]побудинковий звіт'!BT283+'[1]побудинковий звіт'!BT283</f>
        <v>121.44333299322945</v>
      </c>
      <c r="BU283" s="41">
        <f>'[2]побудинковий звіт'!BU283+'[1]побудинковий звіт'!BU283</f>
        <v>433.33406502471769</v>
      </c>
      <c r="BV283" s="55">
        <f t="shared" si="288"/>
        <v>311.89073203148826</v>
      </c>
      <c r="BW283" s="41">
        <f>'[2]побудинковий звіт'!BW283+'[1]побудинковий звіт'!BW283</f>
        <v>0</v>
      </c>
      <c r="BX283" s="41">
        <f>'[2]побудинковий звіт'!BX283+'[1]побудинковий звіт'!BX283</f>
        <v>0.9825685344696955</v>
      </c>
      <c r="BY283" s="55">
        <f t="shared" si="289"/>
        <v>0.9825685344696955</v>
      </c>
      <c r="BZ283" s="41">
        <f>'[2]побудинковий звіт'!BZ283+'[1]побудинковий звіт'!BZ283</f>
        <v>23.873143536056517</v>
      </c>
      <c r="CA283" s="41">
        <f>'[2]побудинковий звіт'!CA283+'[1]побудинковий звіт'!CA283</f>
        <v>38.824610741911343</v>
      </c>
      <c r="CB283" s="55">
        <f t="shared" si="290"/>
        <v>14.951467205854826</v>
      </c>
      <c r="CC283" s="41">
        <f>'[2]побудинковий звіт'!CC283+'[1]побудинковий звіт'!CC283</f>
        <v>0</v>
      </c>
      <c r="CD283" s="41">
        <f>'[2]побудинковий звіт'!CD283+'[1]побудинковий звіт'!CD283</f>
        <v>0</v>
      </c>
      <c r="CE283" s="55">
        <f t="shared" si="291"/>
        <v>0</v>
      </c>
      <c r="CF283" s="41">
        <f>'[2]побудинковий звіт'!CF283+'[1]побудинковий звіт'!CF283</f>
        <v>0</v>
      </c>
      <c r="CG283" s="41">
        <f>'[2]побудинковий звіт'!CG283+'[1]побудинковий звіт'!CG283</f>
        <v>0</v>
      </c>
      <c r="CH283" s="55">
        <f t="shared" si="292"/>
        <v>0</v>
      </c>
      <c r="CI283" s="41">
        <f>'[2]побудинковий звіт'!CI283+'[1]побудинковий звіт'!CI283</f>
        <v>0</v>
      </c>
      <c r="CJ283" s="41">
        <f>'[2]побудинковий звіт'!CJ283+'[1]побудинковий звіт'!CJ283</f>
        <v>0</v>
      </c>
      <c r="CK283" s="55">
        <f t="shared" si="293"/>
        <v>0</v>
      </c>
      <c r="CL283" s="41">
        <f>'[2]побудинковий звіт'!CL283+'[1]побудинковий звіт'!CL283</f>
        <v>0</v>
      </c>
      <c r="CM283" s="41">
        <f>'[2]побудинковий звіт'!CM283+'[1]побудинковий звіт'!CM283</f>
        <v>0</v>
      </c>
      <c r="CN283" s="55">
        <f t="shared" si="294"/>
        <v>0</v>
      </c>
      <c r="CO283" s="41">
        <f t="shared" si="295"/>
        <v>0</v>
      </c>
      <c r="CP283" s="42">
        <f t="shared" si="296"/>
        <v>0</v>
      </c>
      <c r="CQ283" s="55">
        <f t="shared" si="297"/>
        <v>0</v>
      </c>
      <c r="CR283" s="76">
        <f t="shared" si="298"/>
        <v>3778.8417373244688</v>
      </c>
      <c r="CS283" s="5">
        <f t="shared" si="299"/>
        <v>2092.3970661622589</v>
      </c>
      <c r="CT283" s="55">
        <f t="shared" si="300"/>
        <v>-1686.4446711622099</v>
      </c>
      <c r="CU283" s="84">
        <f t="shared" si="301"/>
        <v>4534.6100847893622</v>
      </c>
      <c r="CV283" s="68">
        <f t="shared" si="302"/>
        <v>2510.8764793947107</v>
      </c>
      <c r="CW283" s="36">
        <f t="shared" si="303"/>
        <v>-2023.7336053946515</v>
      </c>
      <c r="CX283" s="41">
        <f>'[2]побудинковий звіт'!CX283+'[1]побудинковий звіт'!CX283</f>
        <v>136.47958733502384</v>
      </c>
      <c r="CY283" s="41">
        <f>'[2]побудинковий звіт'!CY283+'[1]побудинковий звіт'!CY283</f>
        <v>2160.2131927296773</v>
      </c>
      <c r="CZ283" s="55">
        <f t="shared" si="304"/>
        <v>2023.7336053946535</v>
      </c>
      <c r="DA283" s="254">
        <f>'[1]побудинковий звіт'!DA283</f>
        <v>-10781.804398905251</v>
      </c>
      <c r="DB283" s="2">
        <v>3</v>
      </c>
      <c r="DC283" s="702">
        <f>'[1]побудинковий звіт'!DC283</f>
        <v>1829.49</v>
      </c>
      <c r="DD283" s="702">
        <f>'[1]побудинковий звіт'!DD283</f>
        <v>0</v>
      </c>
      <c r="DE283" s="702">
        <f>'[1]побудинковий звіт'!DE283</f>
        <v>1317.67</v>
      </c>
      <c r="DF283" s="702">
        <f>'[1]побудинковий звіт'!DF283</f>
        <v>0</v>
      </c>
      <c r="DG283" s="772">
        <v>-4873.4108605811325</v>
      </c>
      <c r="DH283" s="746">
        <f t="shared" si="306"/>
        <v>56053.076065492634</v>
      </c>
      <c r="DI283" s="769"/>
      <c r="DJ283" s="5"/>
      <c r="DK283" s="307">
        <f>VLOOKUP($A283,ціни!$A$4:$G$401,5)</f>
        <v>1.5170005432818441</v>
      </c>
      <c r="DL283" s="307"/>
      <c r="DM283" s="307">
        <f>VLOOKUP($A283,ціни!$A$4:$G$401,7)</f>
        <v>1.5170005432818441</v>
      </c>
      <c r="DN283" s="29">
        <f t="shared" si="260"/>
        <v>366.20393114823719</v>
      </c>
      <c r="DO283" s="29">
        <f t="shared" si="305"/>
        <v>0</v>
      </c>
      <c r="DP283" s="306">
        <f t="shared" si="307"/>
        <v>366.20393114823719</v>
      </c>
      <c r="DQ283" s="101"/>
      <c r="DR283" s="29">
        <f>VLOOKUP(A283,'ДЗ нас '!$A$1:$C$359,2)</f>
        <v>366.2</v>
      </c>
      <c r="DS283" s="733"/>
      <c r="DT283" s="29">
        <f t="shared" si="308"/>
        <v>366.2</v>
      </c>
      <c r="DU283" s="247">
        <f>VLOOKUP(A283,'новий кошторис с 01.06'!$A$4:$AI$399,35)*1.2</f>
        <v>367.99029178798469</v>
      </c>
      <c r="DV283" s="29">
        <f t="shared" si="309"/>
        <v>-1.7902917879846996</v>
      </c>
      <c r="DW283" s="1016">
        <f>'[2]побудинковий звіт'!$DW$9+'[1]побудинковий звіт'!DW283</f>
        <v>0</v>
      </c>
      <c r="DX283" s="101">
        <f>'[1]побудинковий звіт'!DX283</f>
        <v>0</v>
      </c>
      <c r="DY283" s="5">
        <f t="shared" si="310"/>
        <v>3770.298841481791</v>
      </c>
      <c r="DZ283" s="5">
        <f t="shared" si="311"/>
        <v>1774.5365251554581</v>
      </c>
      <c r="EA283" s="737">
        <f t="shared" si="312"/>
        <v>1317.67</v>
      </c>
      <c r="EC283" s="577">
        <f t="shared" si="313"/>
        <v>37702.988414817912</v>
      </c>
      <c r="EE283" s="743">
        <v>-216</v>
      </c>
      <c r="EF283" s="723">
        <f t="shared" si="314"/>
        <v>-5089.4108605811325</v>
      </c>
      <c r="EH283" s="798">
        <v>-6448.1557698691859</v>
      </c>
      <c r="EI283" s="101">
        <f>VLOOKUP(A283,'кошти 01.01.24'!$A$9:$D$352,4,FALSE)</f>
        <v>-8758.0707935105984</v>
      </c>
    </row>
    <row r="284" spans="1:139" hidden="1" x14ac:dyDescent="0.3">
      <c r="A284" s="318">
        <v>150000591</v>
      </c>
      <c r="B284" s="43" t="s">
        <v>761</v>
      </c>
      <c r="C284" s="44" t="s">
        <v>191</v>
      </c>
      <c r="D284" s="44" t="s">
        <v>191</v>
      </c>
      <c r="E284" s="39">
        <f t="shared" si="262"/>
        <v>148.69999999999999</v>
      </c>
      <c r="F284" s="205">
        <f>'[1]побудинковий звіт'!F284</f>
        <v>148.69999999999999</v>
      </c>
      <c r="G284" s="29">
        <f>'[1]побудинковий звіт'!G284</f>
        <v>0</v>
      </c>
      <c r="H284" s="148">
        <f>'[1]побудинковий звіт'!H284</f>
        <v>0</v>
      </c>
      <c r="I284" s="41">
        <f>'[2]побудинковий звіт'!I284+'[1]побудинковий звіт'!I284</f>
        <v>967.91924309448905</v>
      </c>
      <c r="J284" s="41">
        <f>'[2]побудинковий звіт'!J284+'[1]побудинковий звіт'!J284</f>
        <v>990.75798940464324</v>
      </c>
      <c r="K284" s="55">
        <f t="shared" si="263"/>
        <v>22.838746310154193</v>
      </c>
      <c r="L284" s="41">
        <f>'[2]побудинковий звіт'!L284+'[1]побудинковий звіт'!L284</f>
        <v>169.03509199430266</v>
      </c>
      <c r="M284" s="41">
        <f>'[2]побудинковий звіт'!M284+'[1]побудинковий звіт'!M284</f>
        <v>183.18046054813814</v>
      </c>
      <c r="N284" s="55">
        <f t="shared" si="264"/>
        <v>14.145368553835482</v>
      </c>
      <c r="O284" s="41">
        <f>'[2]побудинковий звіт'!O284+'[1]побудинковий звіт'!O284</f>
        <v>260.93162210211506</v>
      </c>
      <c r="P284" s="41">
        <f>'[2]побудинковий звіт'!P284+'[1]побудинковий звіт'!P284</f>
        <v>261.62907589696317</v>
      </c>
      <c r="Q284" s="55">
        <f t="shared" si="265"/>
        <v>0.69745379484811565</v>
      </c>
      <c r="R284" s="41">
        <f>'[2]побудинковий звіт'!R284+'[1]побудинковий звіт'!R284</f>
        <v>77.901625059875926</v>
      </c>
      <c r="S284" s="41">
        <f>'[2]побудинковий звіт'!S284+'[1]побудинковий звіт'!S284</f>
        <v>78.073289536711499</v>
      </c>
      <c r="T284" s="55">
        <f t="shared" si="266"/>
        <v>0.17166447683557351</v>
      </c>
      <c r="U284" s="41">
        <f>'[2]побудинковий звіт'!U284+'[1]побудинковий звіт'!U284</f>
        <v>0</v>
      </c>
      <c r="V284" s="41">
        <f>'[2]побудинковий звіт'!V284+'[1]побудинковий звіт'!V284</f>
        <v>0</v>
      </c>
      <c r="W284" s="55">
        <f t="shared" si="267"/>
        <v>0</v>
      </c>
      <c r="X284" s="41">
        <f>'[2]побудинковий звіт'!X284+'[1]побудинковий звіт'!X284</f>
        <v>517.38629912457407</v>
      </c>
      <c r="Y284" s="41">
        <f>'[2]побудинковий звіт'!Y284+'[1]побудинковий звіт'!Y284</f>
        <v>430.97432960415523</v>
      </c>
      <c r="Z284" s="55">
        <f t="shared" si="268"/>
        <v>-86.411969520418836</v>
      </c>
      <c r="AA284" s="41">
        <f>'[2]побудинковий звіт'!AA284+'[1]побудинковий звіт'!AA284</f>
        <v>0</v>
      </c>
      <c r="AB284" s="41">
        <f>'[2]побудинковий звіт'!AB284+'[1]побудинковий звіт'!AB284</f>
        <v>0</v>
      </c>
      <c r="AC284" s="55">
        <f t="shared" si="269"/>
        <v>0</v>
      </c>
      <c r="AD284" s="41">
        <f>'[2]побудинковий звіт'!AD284+'[1]побудинковий звіт'!AD284</f>
        <v>643.87867132445263</v>
      </c>
      <c r="AE284" s="41">
        <f>'[2]побудинковий звіт'!AE284+'[1]побудинковий звіт'!AE284</f>
        <v>641.41545119041712</v>
      </c>
      <c r="AF284" s="36">
        <f t="shared" si="270"/>
        <v>-2.4632201340355095</v>
      </c>
      <c r="AG284" s="84">
        <f t="shared" si="271"/>
        <v>2637.052552699809</v>
      </c>
      <c r="AH284" s="56">
        <f t="shared" si="272"/>
        <v>2586.0305961810282</v>
      </c>
      <c r="AI284" s="55">
        <f t="shared" si="273"/>
        <v>-51.021956518780826</v>
      </c>
      <c r="AJ284" s="41">
        <f>'[2]побудинковий звіт'!AJ284+'[1]побудинковий звіт'!AJ284</f>
        <v>0</v>
      </c>
      <c r="AK284" s="41">
        <f>'[2]побудинковий звіт'!AK284+'[1]побудинковий звіт'!AK284</f>
        <v>0</v>
      </c>
      <c r="AL284" s="55">
        <f t="shared" si="274"/>
        <v>0</v>
      </c>
      <c r="AM284" s="41">
        <f>'[2]побудинковий звіт'!AM284+'[1]побудинковий звіт'!AM284</f>
        <v>0</v>
      </c>
      <c r="AN284" s="41">
        <f>'[2]побудинковий звіт'!AN284+'[1]побудинковий звіт'!AN284</f>
        <v>0</v>
      </c>
      <c r="AO284" s="55">
        <f t="shared" si="275"/>
        <v>0</v>
      </c>
      <c r="AP284" s="41">
        <f>'[2]побудинковий звіт'!AP284+'[1]побудинковий звіт'!AP284</f>
        <v>198.11958858104083</v>
      </c>
      <c r="AQ284" s="41">
        <f>'[2]побудинковий звіт'!AQ284+'[1]побудинковий звіт'!AQ284</f>
        <v>185.02235093190762</v>
      </c>
      <c r="AR284" s="55">
        <f t="shared" si="276"/>
        <v>-13.097237649133206</v>
      </c>
      <c r="AS284" s="41">
        <f>'[2]побудинковий звіт'!AS284+'[1]побудинковий звіт'!AS284</f>
        <v>3575.0356790961305</v>
      </c>
      <c r="AT284" s="41">
        <f>'[2]побудинковий звіт'!AT284+'[1]побудинковий звіт'!AT284</f>
        <v>0</v>
      </c>
      <c r="AU284" s="57">
        <f t="shared" si="277"/>
        <v>-3575.0356790961305</v>
      </c>
      <c r="AV284" s="41">
        <f>'[2]побудинковий звіт'!AV284+'[1]побудинковий звіт'!AV284</f>
        <v>205.13203489323038</v>
      </c>
      <c r="AW284" s="41">
        <f>'[2]побудинковий звіт'!AW284+'[1]побудинковий звіт'!AW284</f>
        <v>0</v>
      </c>
      <c r="AX284" s="58">
        <f t="shared" si="278"/>
        <v>-205.13203489323038</v>
      </c>
      <c r="AY284" s="41">
        <f>'[2]побудинковий звіт'!AY284+'[1]побудинковий звіт'!AY284</f>
        <v>203.09076402636293</v>
      </c>
      <c r="AZ284" s="41">
        <f>'[2]побудинковий звіт'!AZ284+'[1]побудинковий звіт'!AZ284</f>
        <v>0</v>
      </c>
      <c r="BA284" s="36">
        <f t="shared" si="279"/>
        <v>-203.09076402636293</v>
      </c>
      <c r="BB284" s="41">
        <f>'[2]побудинковий звіт'!BB284+'[1]побудинковий звіт'!BB284</f>
        <v>79.759092456254834</v>
      </c>
      <c r="BC284" s="41">
        <f>'[2]побудинковий звіт'!BC284+'[1]побудинковий звіт'!BC284</f>
        <v>0</v>
      </c>
      <c r="BD284" s="58">
        <f t="shared" si="280"/>
        <v>-79.759092456254834</v>
      </c>
      <c r="BE284" s="41">
        <f>'[2]побудинковий звіт'!BE284+'[1]побудинковий звіт'!BE284</f>
        <v>95.570160513124762</v>
      </c>
      <c r="BF284" s="41">
        <f>'[2]побудинковий звіт'!BF284+'[1]побудинковий звіт'!BF284</f>
        <v>780.59971383569996</v>
      </c>
      <c r="BG284" s="38">
        <f t="shared" si="281"/>
        <v>685.02955332257523</v>
      </c>
      <c r="BH284" s="41">
        <f>'[2]побудинковий звіт'!BH284+'[1]побудинковий звіт'!BH284</f>
        <v>0</v>
      </c>
      <c r="BI284" s="41">
        <f>'[2]побудинковий звіт'!BI284+'[1]побудинковий звіт'!BI284</f>
        <v>0</v>
      </c>
      <c r="BJ284" s="58">
        <f t="shared" si="282"/>
        <v>0</v>
      </c>
      <c r="BK284" s="41">
        <f>'[2]побудинковий звіт'!BK284+'[1]побудинковий звіт'!BK284</f>
        <v>78.804912842190589</v>
      </c>
      <c r="BL284" s="41">
        <f>'[2]побудинковий звіт'!BL284+'[1]побудинковий звіт'!BL284</f>
        <v>0</v>
      </c>
      <c r="BM284" s="38">
        <f t="shared" si="283"/>
        <v>-78.804912842190589</v>
      </c>
      <c r="BN284" s="41">
        <f>'[2]побудинковий звіт'!BN284+'[1]побудинковий звіт'!BN284</f>
        <v>12.548347455873724</v>
      </c>
      <c r="BO284" s="41">
        <f>'[2]побудинковий звіт'!BO284+'[1]побудинковий звіт'!BO284</f>
        <v>0</v>
      </c>
      <c r="BP284" s="58">
        <f t="shared" si="284"/>
        <v>-12.548347455873724</v>
      </c>
      <c r="BQ284" s="84">
        <f t="shared" si="285"/>
        <v>674.90531218703711</v>
      </c>
      <c r="BR284" s="42">
        <f t="shared" si="286"/>
        <v>780.59971383569996</v>
      </c>
      <c r="BS284" s="58">
        <f t="shared" si="287"/>
        <v>105.69440164866285</v>
      </c>
      <c r="BT284" s="41">
        <f>'[2]побудинковий звіт'!BT284+'[1]побудинковий звіт'!BT284</f>
        <v>0</v>
      </c>
      <c r="BU284" s="41">
        <f>'[2]побудинковий звіт'!BU284+'[1]побудинковий звіт'!BU284</f>
        <v>0</v>
      </c>
      <c r="BV284" s="55">
        <f t="shared" si="288"/>
        <v>0</v>
      </c>
      <c r="BW284" s="41">
        <f>'[2]побудинковий звіт'!BW284+'[1]побудинковий звіт'!BW284</f>
        <v>269.22895788477695</v>
      </c>
      <c r="BX284" s="41">
        <f>'[2]побудинковий звіт'!BX284+'[1]побудинковий звіт'!BX284</f>
        <v>467.7241681465876</v>
      </c>
      <c r="BY284" s="55">
        <f t="shared" si="289"/>
        <v>198.49521026181066</v>
      </c>
      <c r="BZ284" s="41">
        <f>'[2]побудинковий звіт'!BZ284+'[1]побудинковий звіт'!BZ284</f>
        <v>0</v>
      </c>
      <c r="CA284" s="41">
        <f>'[2]побудинковий звіт'!CA284+'[1]побудинковий звіт'!CA284</f>
        <v>0</v>
      </c>
      <c r="CB284" s="55">
        <f t="shared" si="290"/>
        <v>0</v>
      </c>
      <c r="CC284" s="41">
        <f>'[2]побудинковий звіт'!CC284+'[1]побудинковий звіт'!CC284</f>
        <v>0</v>
      </c>
      <c r="CD284" s="41">
        <f>'[2]побудинковий звіт'!CD284+'[1]побудинковий звіт'!CD284</f>
        <v>0</v>
      </c>
      <c r="CE284" s="55">
        <f t="shared" si="291"/>
        <v>0</v>
      </c>
      <c r="CF284" s="41">
        <f>'[2]побудинковий звіт'!CF284+'[1]побудинковий звіт'!CF284</f>
        <v>0</v>
      </c>
      <c r="CG284" s="41">
        <f>'[2]побудинковий звіт'!CG284+'[1]побудинковий звіт'!CG284</f>
        <v>0</v>
      </c>
      <c r="CH284" s="55">
        <f t="shared" si="292"/>
        <v>0</v>
      </c>
      <c r="CI284" s="41">
        <f>'[2]побудинковий звіт'!CI284+'[1]побудинковий звіт'!CI284</f>
        <v>177.74790577994131</v>
      </c>
      <c r="CJ284" s="41">
        <f>'[2]побудинковий звіт'!CJ284+'[1]побудинковий звіт'!CJ284</f>
        <v>209.01576542227548</v>
      </c>
      <c r="CK284" s="55">
        <f t="shared" si="293"/>
        <v>31.267859642334173</v>
      </c>
      <c r="CL284" s="41">
        <f>'[2]побудинковий звіт'!CL284+'[1]побудинковий звіт'!CL284</f>
        <v>0</v>
      </c>
      <c r="CM284" s="41">
        <f>'[2]побудинковий звіт'!CM284+'[1]побудинковий звіт'!CM284</f>
        <v>0</v>
      </c>
      <c r="CN284" s="55">
        <f t="shared" si="294"/>
        <v>0</v>
      </c>
      <c r="CO284" s="41">
        <f t="shared" si="295"/>
        <v>177.74790577994131</v>
      </c>
      <c r="CP284" s="42">
        <f t="shared" si="296"/>
        <v>209.01576542227548</v>
      </c>
      <c r="CQ284" s="55">
        <f t="shared" si="297"/>
        <v>31.267859642334173</v>
      </c>
      <c r="CR284" s="76">
        <f t="shared" si="298"/>
        <v>7532.0899962287349</v>
      </c>
      <c r="CS284" s="5">
        <f t="shared" si="299"/>
        <v>4228.3925945174988</v>
      </c>
      <c r="CT284" s="55">
        <f t="shared" si="300"/>
        <v>-3303.6974017112361</v>
      </c>
      <c r="CU284" s="84">
        <f t="shared" si="301"/>
        <v>9038.5079954744815</v>
      </c>
      <c r="CV284" s="68">
        <f t="shared" si="302"/>
        <v>5074.0711134209987</v>
      </c>
      <c r="CW284" s="36">
        <f t="shared" si="303"/>
        <v>-3964.4368820534828</v>
      </c>
      <c r="CX284" s="41">
        <f>'[2]побудинковий звіт'!CX284+'[1]побудинковий звіт'!CX284</f>
        <v>105.68265413933125</v>
      </c>
      <c r="CY284" s="41">
        <f>'[2]побудинковий звіт'!CY284+'[1]побудинковий звіт'!CY284</f>
        <v>4070.1195361928162</v>
      </c>
      <c r="CZ284" s="55">
        <f t="shared" si="304"/>
        <v>3964.4368820534851</v>
      </c>
      <c r="DA284" s="254">
        <f>'[1]побудинковий звіт'!DA284</f>
        <v>6638.0281580195369</v>
      </c>
      <c r="DB284" s="2">
        <v>3</v>
      </c>
      <c r="DC284" s="702">
        <f>'[1]побудинковий звіт'!DC284</f>
        <v>1005.18</v>
      </c>
      <c r="DD284" s="702">
        <f>'[1]побудинковий звіт'!DD284</f>
        <v>0</v>
      </c>
      <c r="DE284" s="702">
        <f>'[1]побудинковий звіт'!DE284</f>
        <v>0</v>
      </c>
      <c r="DF284" s="702">
        <f>'[1]побудинковий звіт'!DF284</f>
        <v>0</v>
      </c>
      <c r="DG284" s="772">
        <v>-7664.8247824959126</v>
      </c>
      <c r="DH284" s="746">
        <f t="shared" si="306"/>
        <v>109730.28779536576</v>
      </c>
      <c r="DI284" s="769"/>
      <c r="DJ284" s="5"/>
      <c r="DK284" s="307">
        <f>VLOOKUP($A284,ціни!$A$4:$G$401,5)</f>
        <v>4.8167851364638761</v>
      </c>
      <c r="DL284" s="307"/>
      <c r="DM284" s="307">
        <f>VLOOKUP($A284,ціни!$A$4:$G$401,7)</f>
        <v>4.6942600319299839</v>
      </c>
      <c r="DN284" s="29">
        <f t="shared" si="260"/>
        <v>716.25594979217828</v>
      </c>
      <c r="DO284" s="29">
        <f t="shared" si="305"/>
        <v>0</v>
      </c>
      <c r="DP284" s="306">
        <f t="shared" si="307"/>
        <v>716.25594979217828</v>
      </c>
      <c r="DQ284" s="101"/>
      <c r="DR284" s="29">
        <f>VLOOKUP(A284,'ДЗ нас '!$A$1:$C$359,2)</f>
        <v>716.27</v>
      </c>
      <c r="DS284" s="733"/>
      <c r="DT284" s="29">
        <f t="shared" si="308"/>
        <v>716.27</v>
      </c>
      <c r="DU284" s="247">
        <f>VLOOKUP(A284,'новий кошторис с 01.06'!$A$4:$AI$399,35)*1.2</f>
        <v>714.8109142512393</v>
      </c>
      <c r="DV284" s="29">
        <f t="shared" si="309"/>
        <v>1.4590857487606854</v>
      </c>
      <c r="DW284" s="1016">
        <f>'[2]побудинковий звіт'!$DW$9+'[1]побудинковий звіт'!DW284</f>
        <v>918</v>
      </c>
      <c r="DX284" s="101">
        <f>'[1]побудинковий звіт'!DX284</f>
        <v>0</v>
      </c>
      <c r="DY284" s="5">
        <f t="shared" si="310"/>
        <v>5099.929189539801</v>
      </c>
      <c r="DZ284" s="5">
        <f t="shared" si="311"/>
        <v>936.7196566028399</v>
      </c>
      <c r="EA284" s="737">
        <f t="shared" si="312"/>
        <v>0</v>
      </c>
      <c r="EC284" s="577">
        <f t="shared" si="313"/>
        <v>42900.428149153566</v>
      </c>
      <c r="EE284" s="743">
        <v>-5279</v>
      </c>
      <c r="EF284" s="723">
        <f t="shared" si="314"/>
        <v>-12943.824782495913</v>
      </c>
      <c r="EH284" s="798">
        <v>-8308.8158906428453</v>
      </c>
      <c r="EI284" s="101">
        <f>VLOOKUP(A284,'кошти 01.01.24'!$A$9:$D$352,4,FALSE)</f>
        <v>10602.465040073022</v>
      </c>
    </row>
    <row r="285" spans="1:139" hidden="1" x14ac:dyDescent="0.3">
      <c r="A285" s="318">
        <v>150000710</v>
      </c>
      <c r="B285" s="43" t="s">
        <v>690</v>
      </c>
      <c r="C285" s="44" t="s">
        <v>1796</v>
      </c>
      <c r="D285" s="44" t="s">
        <v>278</v>
      </c>
      <c r="E285" s="39">
        <f t="shared" si="262"/>
        <v>4572.4000000000005</v>
      </c>
      <c r="F285" s="205">
        <f>'[1]побудинковий звіт'!F285</f>
        <v>4471.6000000000004</v>
      </c>
      <c r="G285" s="29">
        <f>'[1]побудинковий звіт'!G285</f>
        <v>0</v>
      </c>
      <c r="H285" s="148">
        <f>'[1]побудинковий звіт'!H285</f>
        <v>100.8</v>
      </c>
      <c r="I285" s="41">
        <f>'[2]побудинковий звіт'!I285+'[1]побудинковий звіт'!I285</f>
        <v>17516.527907871747</v>
      </c>
      <c r="J285" s="41">
        <f>'[2]побудинковий звіт'!J285+'[1]побудинковий звіт'!J285</f>
        <v>18176.499195414595</v>
      </c>
      <c r="K285" s="55">
        <f t="shared" si="263"/>
        <v>659.97128754284859</v>
      </c>
      <c r="L285" s="41">
        <f>'[2]побудинковий звіт'!L285+'[1]побудинковий звіт'!L285</f>
        <v>3593.3329241323227</v>
      </c>
      <c r="M285" s="41">
        <f>'[2]побудинковий звіт'!M285+'[1]побудинковий звіт'!M285</f>
        <v>3913.7781891463237</v>
      </c>
      <c r="N285" s="55">
        <f t="shared" si="264"/>
        <v>320.44526501400105</v>
      </c>
      <c r="O285" s="41">
        <f>'[2]побудинковий звіт'!O285+'[1]побудинковий звіт'!O285</f>
        <v>7019.6173680622906</v>
      </c>
      <c r="P285" s="41">
        <f>'[2]побудинковий звіт'!P285+'[1]побудинковий звіт'!P285</f>
        <v>7041.2119663813592</v>
      </c>
      <c r="Q285" s="55">
        <f t="shared" si="265"/>
        <v>21.594598319068609</v>
      </c>
      <c r="R285" s="41">
        <f>'[2]побудинковий звіт'!R285+'[1]побудинковий звіт'!R285</f>
        <v>0</v>
      </c>
      <c r="S285" s="41">
        <f>'[2]побудинковий звіт'!S285+'[1]побудинковий звіт'!S285</f>
        <v>0</v>
      </c>
      <c r="T285" s="55">
        <f t="shared" si="266"/>
        <v>0</v>
      </c>
      <c r="U285" s="41">
        <f>'[2]побудинковий звіт'!U285+'[1]побудинковий звіт'!U285</f>
        <v>280.65294837812576</v>
      </c>
      <c r="V285" s="41">
        <f>'[2]побудинковий звіт'!V285+'[1]побудинковий звіт'!V285</f>
        <v>161.91688629599031</v>
      </c>
      <c r="W285" s="55">
        <f t="shared" si="267"/>
        <v>-118.73606208213545</v>
      </c>
      <c r="X285" s="41">
        <f>'[2]побудинковий звіт'!X285+'[1]побудинковий звіт'!X285</f>
        <v>13394.83919100087</v>
      </c>
      <c r="Y285" s="41">
        <f>'[2]побудинковий звіт'!Y285+'[1]побудинковий звіт'!Y285</f>
        <v>13716.623606363835</v>
      </c>
      <c r="Z285" s="55">
        <f t="shared" si="268"/>
        <v>321.78441536296486</v>
      </c>
      <c r="AA285" s="41">
        <f>'[2]побудинковий звіт'!AA285+'[1]побудинковий звіт'!AA285</f>
        <v>0</v>
      </c>
      <c r="AB285" s="41">
        <f>'[2]побудинковий звіт'!AB285+'[1]побудинковий звіт'!AB285</f>
        <v>0</v>
      </c>
      <c r="AC285" s="55">
        <f t="shared" si="269"/>
        <v>0</v>
      </c>
      <c r="AD285" s="41">
        <f>'[2]побудинковий звіт'!AD285+'[1]побудинковий звіт'!AD285</f>
        <v>19831.566256179663</v>
      </c>
      <c r="AE285" s="41">
        <f>'[2]побудинковий звіт'!AE285+'[1]побудинковий звіт'!AE285</f>
        <v>19754.44959960628</v>
      </c>
      <c r="AF285" s="36">
        <f t="shared" si="270"/>
        <v>-77.116656573383807</v>
      </c>
      <c r="AG285" s="84">
        <f t="shared" si="271"/>
        <v>61636.536595625024</v>
      </c>
      <c r="AH285" s="56">
        <f t="shared" si="272"/>
        <v>62764.479443208373</v>
      </c>
      <c r="AI285" s="55">
        <f t="shared" si="273"/>
        <v>1127.9428475833483</v>
      </c>
      <c r="AJ285" s="41">
        <f>'[2]побудинковий звіт'!AJ285+'[1]побудинковий звіт'!AJ285</f>
        <v>0</v>
      </c>
      <c r="AK285" s="41">
        <f>'[2]побудинковий звіт'!AK285+'[1]побудинковий звіт'!AK285</f>
        <v>0</v>
      </c>
      <c r="AL285" s="55">
        <f t="shared" si="274"/>
        <v>0</v>
      </c>
      <c r="AM285" s="41">
        <f>'[2]побудинковий звіт'!AM285+'[1]побудинковий звіт'!AM285</f>
        <v>0</v>
      </c>
      <c r="AN285" s="41">
        <f>'[2]побудинковий звіт'!AN285+'[1]побудинковий звіт'!AN285</f>
        <v>0</v>
      </c>
      <c r="AO285" s="55">
        <f t="shared" si="275"/>
        <v>0</v>
      </c>
      <c r="AP285" s="41">
        <f>'[2]побудинковий звіт'!AP285+'[1]побудинковий звіт'!AP285</f>
        <v>14561.789760706499</v>
      </c>
      <c r="AQ285" s="41">
        <f>'[2]побудинковий звіт'!AQ285+'[1]побудинковий звіт'!AQ285</f>
        <v>13196.14732759433</v>
      </c>
      <c r="AR285" s="55">
        <f t="shared" si="276"/>
        <v>-1365.6424331121689</v>
      </c>
      <c r="AS285" s="41">
        <f>'[2]побудинковий звіт'!AS285+'[1]побудинковий звіт'!AS285</f>
        <v>62315.333987057194</v>
      </c>
      <c r="AT285" s="41">
        <f>'[2]побудинковий звіт'!AT285+'[1]побудинковий звіт'!AT285</f>
        <v>51012.67645576995</v>
      </c>
      <c r="AU285" s="57">
        <f t="shared" si="277"/>
        <v>-11302.657531287245</v>
      </c>
      <c r="AV285" s="41">
        <f>'[2]побудинковий звіт'!AV285+'[1]побудинковий звіт'!AV285</f>
        <v>2705.8228293216871</v>
      </c>
      <c r="AW285" s="41">
        <f>'[2]побудинковий звіт'!AW285+'[1]побудинковий звіт'!AW285</f>
        <v>1480.3833372748431</v>
      </c>
      <c r="AX285" s="58">
        <f t="shared" si="278"/>
        <v>-1225.439492046844</v>
      </c>
      <c r="AY285" s="41">
        <f>'[2]побудинковий звіт'!AY285+'[1]побудинковий звіт'!AY285</f>
        <v>4480.965890499986</v>
      </c>
      <c r="AZ285" s="41">
        <f>'[2]побудинковий звіт'!AZ285+'[1]побудинковий звіт'!AZ285</f>
        <v>4026.9354538046</v>
      </c>
      <c r="BA285" s="36">
        <f t="shared" si="279"/>
        <v>-454.03043669538602</v>
      </c>
      <c r="BB285" s="41">
        <f>'[2]побудинковий звіт'!BB285+'[1]побудинковий звіт'!BB285</f>
        <v>2539.1847368243439</v>
      </c>
      <c r="BC285" s="41">
        <f>'[2]побудинковий звіт'!BC285+'[1]побудинковий звіт'!BC285</f>
        <v>0</v>
      </c>
      <c r="BD285" s="58">
        <f t="shared" si="280"/>
        <v>-2539.1847368243439</v>
      </c>
      <c r="BE285" s="41">
        <f>'[2]побудинковий звіт'!BE285+'[1]побудинковий звіт'!BE285</f>
        <v>0</v>
      </c>
      <c r="BF285" s="41">
        <f>'[2]побудинковий звіт'!BF285+'[1]побудинковий звіт'!BF285</f>
        <v>0</v>
      </c>
      <c r="BG285" s="38">
        <f t="shared" si="281"/>
        <v>0</v>
      </c>
      <c r="BH285" s="41">
        <f>'[2]побудинковий звіт'!BH285+'[1]побудинковий звіт'!BH285</f>
        <v>165.40963195714954</v>
      </c>
      <c r="BI285" s="41">
        <f>'[2]побудинковий звіт'!BI285+'[1]побудинковий звіт'!BI285</f>
        <v>0</v>
      </c>
      <c r="BJ285" s="58">
        <f t="shared" si="282"/>
        <v>-165.40963195714954</v>
      </c>
      <c r="BK285" s="41">
        <f>'[2]побудинковий звіт'!BK285+'[1]побудинковий звіт'!BK285</f>
        <v>2572.5731646251279</v>
      </c>
      <c r="BL285" s="41">
        <f>'[2]побудинковий звіт'!BL285+'[1]побудинковий звіт'!BL285</f>
        <v>0</v>
      </c>
      <c r="BM285" s="38">
        <f t="shared" si="283"/>
        <v>-2572.5731646251279</v>
      </c>
      <c r="BN285" s="41">
        <f>'[2]побудинковий звіт'!BN285+'[1]побудинковий звіт'!BN285</f>
        <v>131.75764828667408</v>
      </c>
      <c r="BO285" s="41">
        <f>'[2]побудинковий звіт'!BO285+'[1]побудинковий звіт'!BO285</f>
        <v>4212.4308892474091</v>
      </c>
      <c r="BP285" s="58">
        <f t="shared" si="284"/>
        <v>4080.6732409607353</v>
      </c>
      <c r="BQ285" s="84">
        <f t="shared" si="285"/>
        <v>12595.713901514968</v>
      </c>
      <c r="BR285" s="42">
        <f t="shared" si="286"/>
        <v>9719.7496803268514</v>
      </c>
      <c r="BS285" s="58">
        <f t="shared" si="287"/>
        <v>-2875.9642211881164</v>
      </c>
      <c r="BT285" s="41">
        <f>'[2]побудинковий звіт'!BT285+'[1]побудинковий звіт'!BT285</f>
        <v>52533.880003343897</v>
      </c>
      <c r="BU285" s="41">
        <f>'[2]побудинковий звіт'!BU285+'[1]побудинковий звіт'!BU285</f>
        <v>78995.365996773267</v>
      </c>
      <c r="BV285" s="55">
        <f t="shared" si="288"/>
        <v>26461.485993429371</v>
      </c>
      <c r="BW285" s="41">
        <f>'[2]побудинковий звіт'!BW285+'[1]побудинковий звіт'!BW285</f>
        <v>26408.274216242677</v>
      </c>
      <c r="BX285" s="41">
        <f>'[2]побудинковий звіт'!BX285+'[1]побудинковий звіт'!BX285</f>
        <v>28360.367065367027</v>
      </c>
      <c r="BY285" s="55">
        <f t="shared" si="289"/>
        <v>1952.0928491243503</v>
      </c>
      <c r="BZ285" s="41">
        <f>'[2]побудинковий звіт'!BZ285+'[1]побудинковий звіт'!BZ285</f>
        <v>9075.2451825829321</v>
      </c>
      <c r="CA285" s="41">
        <f>'[2]побудинковий звіт'!CA285+'[1]побудинковий звіт'!CA285</f>
        <v>8059.6983779680659</v>
      </c>
      <c r="CB285" s="55">
        <f t="shared" si="290"/>
        <v>-1015.5468046148662</v>
      </c>
      <c r="CC285" s="41">
        <f>'[2]побудинковий звіт'!CC285+'[1]побудинковий звіт'!CC285</f>
        <v>610.71255596609194</v>
      </c>
      <c r="CD285" s="41">
        <f>'[2]побудинковий звіт'!CD285+'[1]побудинковий звіт'!CD285</f>
        <v>612.78341412225325</v>
      </c>
      <c r="CE285" s="55">
        <f t="shared" si="291"/>
        <v>2.0708581561613073</v>
      </c>
      <c r="CF285" s="41">
        <f>'[2]побудинковий звіт'!CF285+'[1]побудинковий звіт'!CF285</f>
        <v>75.664039633865656</v>
      </c>
      <c r="CG285" s="41">
        <f>'[2]побудинковий звіт'!CG285+'[1]побудинковий звіт'!CG285</f>
        <v>565.60791489154167</v>
      </c>
      <c r="CH285" s="55">
        <f t="shared" si="292"/>
        <v>489.94387525767604</v>
      </c>
      <c r="CI285" s="41">
        <f>'[2]побудинковий звіт'!CI285+'[1]побудинковий звіт'!CI285</f>
        <v>5011.5862338702382</v>
      </c>
      <c r="CJ285" s="41">
        <f>'[2]побудинковий звіт'!CJ285+'[1]побудинковий звіт'!CJ285</f>
        <v>5048.5376452039309</v>
      </c>
      <c r="CK285" s="55">
        <f t="shared" si="293"/>
        <v>36.951411333692704</v>
      </c>
      <c r="CL285" s="41">
        <f>'[2]побудинковий звіт'!CL285+'[1]побудинковий звіт'!CL285</f>
        <v>0</v>
      </c>
      <c r="CM285" s="41">
        <f>'[2]побудинковий звіт'!CM285+'[1]побудинковий звіт'!CM285</f>
        <v>0</v>
      </c>
      <c r="CN285" s="55">
        <f t="shared" si="294"/>
        <v>0</v>
      </c>
      <c r="CO285" s="41">
        <f t="shared" si="295"/>
        <v>5011.5862338702382</v>
      </c>
      <c r="CP285" s="42">
        <f t="shared" si="296"/>
        <v>5048.5376452039309</v>
      </c>
      <c r="CQ285" s="55">
        <f t="shared" si="297"/>
        <v>36.951411333692704</v>
      </c>
      <c r="CR285" s="76">
        <f t="shared" si="298"/>
        <v>244824.73647654342</v>
      </c>
      <c r="CS285" s="5">
        <f t="shared" si="299"/>
        <v>258335.41332122558</v>
      </c>
      <c r="CT285" s="55">
        <f t="shared" si="300"/>
        <v>13510.676844682166</v>
      </c>
      <c r="CU285" s="84">
        <f t="shared" si="301"/>
        <v>293789.68377185211</v>
      </c>
      <c r="CV285" s="68">
        <f t="shared" si="302"/>
        <v>310002.49598547071</v>
      </c>
      <c r="CW285" s="36">
        <f t="shared" si="303"/>
        <v>16212.812213618599</v>
      </c>
      <c r="CX285" s="41">
        <f>'[2]побудинковий звіт'!CX285+'[1]побудинковий звіт'!CX285</f>
        <v>10832.674773947658</v>
      </c>
      <c r="CY285" s="41">
        <f>'[2]побудинковий звіт'!CY285+'[1]побудинковий звіт'!CY285</f>
        <v>-5380.1374396710053</v>
      </c>
      <c r="CZ285" s="55">
        <f t="shared" si="304"/>
        <v>-16212.812213618663</v>
      </c>
      <c r="DA285" s="254">
        <f>'[1]побудинковий звіт'!DA285</f>
        <v>22877.480513820061</v>
      </c>
      <c r="DB285" s="2">
        <v>3</v>
      </c>
      <c r="DC285" s="702">
        <f>'[1]побудинковий звіт'!DC285</f>
        <v>84284.2</v>
      </c>
      <c r="DD285" s="702">
        <f>'[1]побудинковий звіт'!DD285</f>
        <v>5954.64</v>
      </c>
      <c r="DE285" s="702">
        <f>'[1]побудинковий звіт'!DE285</f>
        <v>51195.46</v>
      </c>
      <c r="DF285" s="702">
        <f>'[1]побудинковий звіт'!DF285</f>
        <v>5473.6100000000006</v>
      </c>
      <c r="DG285" s="772">
        <v>-3387.5765534956008</v>
      </c>
      <c r="DH285" s="746">
        <f t="shared" si="306"/>
        <v>3655468.3025495978</v>
      </c>
      <c r="DI285" s="769"/>
      <c r="DJ285" s="5"/>
      <c r="DK285" s="307">
        <f>VLOOKUP($A285,ціни!$A$4:$G$401,5)</f>
        <v>5.2439480293555603</v>
      </c>
      <c r="DL285" s="307"/>
      <c r="DM285" s="307">
        <f>VLOOKUP($A285,ціни!$A$4:$G$401,7)</f>
        <v>4.6564001441959633</v>
      </c>
      <c r="DN285" s="29">
        <f t="shared" si="260"/>
        <v>23448.838008066326</v>
      </c>
      <c r="DO285" s="29">
        <f t="shared" si="305"/>
        <v>469.36513453495309</v>
      </c>
      <c r="DP285" s="306">
        <f t="shared" si="307"/>
        <v>23918.20314260128</v>
      </c>
      <c r="DQ285" s="101"/>
      <c r="DR285" s="29">
        <f>VLOOKUP(A285,'ДЗ нас '!$A$1:$C$359,2)</f>
        <v>23448.639999999999</v>
      </c>
      <c r="DS285" s="733">
        <f>VLOOKUP(A285,'ДЗ нежит'!$A$1:$D$153,4,0)</f>
        <v>362.02</v>
      </c>
      <c r="DT285" s="29">
        <f t="shared" si="308"/>
        <v>23810.66</v>
      </c>
      <c r="DU285" s="247">
        <f>VLOOKUP(A285,'новий кошторис с 01.06'!$A$4:$AI$399,35)*1.2</f>
        <v>24092.798553658911</v>
      </c>
      <c r="DV285" s="29">
        <f t="shared" si="309"/>
        <v>-282.13855365891141</v>
      </c>
      <c r="DW285" s="1016">
        <f>'[2]побудинковий звіт'!$DW$9+'[1]побудинковий звіт'!DW285</f>
        <v>1359</v>
      </c>
      <c r="DX285" s="101">
        <f>'[1]побудинковий звіт'!DX285</f>
        <v>0</v>
      </c>
      <c r="DY285" s="5">
        <f t="shared" si="310"/>
        <v>89893.257466286595</v>
      </c>
      <c r="DZ285" s="5">
        <f t="shared" si="311"/>
        <v>72878.911363316161</v>
      </c>
      <c r="EA285" s="737">
        <f t="shared" si="312"/>
        <v>56669.07</v>
      </c>
      <c r="EC285" s="577">
        <f t="shared" si="313"/>
        <v>747784.00784468628</v>
      </c>
      <c r="EE285" s="743">
        <v>-11017</v>
      </c>
      <c r="EF285" s="723">
        <f t="shared" si="314"/>
        <v>-14404.576553495601</v>
      </c>
      <c r="EH285" s="798">
        <v>47505.226713962984</v>
      </c>
      <c r="EI285" s="101">
        <f>VLOOKUP(A285,'кошти 01.01.24'!$A$9:$D$352,4,FALSE)</f>
        <v>6664.6683002014579</v>
      </c>
    </row>
    <row r="286" spans="1:139" hidden="1" x14ac:dyDescent="0.3">
      <c r="A286" s="318">
        <v>150000711</v>
      </c>
      <c r="B286" s="43" t="s">
        <v>691</v>
      </c>
      <c r="C286" s="44" t="s">
        <v>1797</v>
      </c>
      <c r="D286" s="44" t="s">
        <v>279</v>
      </c>
      <c r="E286" s="39">
        <f t="shared" si="262"/>
        <v>4578.4000000000005</v>
      </c>
      <c r="F286" s="205">
        <f>'[1]побудинковий звіт'!F286</f>
        <v>4538.6000000000004</v>
      </c>
      <c r="G286" s="29">
        <f>'[1]побудинковий звіт'!G286</f>
        <v>0</v>
      </c>
      <c r="H286" s="148">
        <f>'[1]побудинковий звіт'!H286</f>
        <v>39.799999999999997</v>
      </c>
      <c r="I286" s="41">
        <f>'[2]побудинковий звіт'!I286+'[1]побудинковий звіт'!I286</f>
        <v>17908.684911257427</v>
      </c>
      <c r="J286" s="41">
        <f>'[2]побудинковий звіт'!J286+'[1]побудинковий звіт'!J286</f>
        <v>18545.382690163289</v>
      </c>
      <c r="K286" s="55">
        <f t="shared" si="263"/>
        <v>636.69777890586192</v>
      </c>
      <c r="L286" s="41">
        <f>'[2]побудинковий звіт'!L286+'[1]побудинковий звіт'!L286</f>
        <v>3596.5944217454248</v>
      </c>
      <c r="M286" s="41">
        <f>'[2]побудинковий звіт'!M286+'[1]побудинковий звіт'!M286</f>
        <v>3914.3292536483705</v>
      </c>
      <c r="N286" s="55">
        <f t="shared" si="264"/>
        <v>317.73483190294564</v>
      </c>
      <c r="O286" s="41">
        <f>'[2]побудинковий звіт'!O286+'[1]побудинковий звіт'!O286</f>
        <v>7246.9870332582941</v>
      </c>
      <c r="P286" s="41">
        <f>'[2]побудинковий звіт'!P286+'[1]побудинковий звіт'!P286</f>
        <v>7268.4863507982045</v>
      </c>
      <c r="Q286" s="55">
        <f t="shared" si="265"/>
        <v>21.499317539910408</v>
      </c>
      <c r="R286" s="41">
        <f>'[2]побудинковий звіт'!R286+'[1]побудинковий звіт'!R286</f>
        <v>0</v>
      </c>
      <c r="S286" s="41">
        <f>'[2]побудинковий звіт'!S286+'[1]побудинковий звіт'!S286</f>
        <v>0</v>
      </c>
      <c r="T286" s="55">
        <f t="shared" si="266"/>
        <v>0</v>
      </c>
      <c r="U286" s="41">
        <f>'[2]побудинковий звіт'!U286+'[1]побудинковий звіт'!U286</f>
        <v>1089.513177383317</v>
      </c>
      <c r="V286" s="41">
        <f>'[2]побудинковий звіт'!V286+'[1]побудинковий звіт'!V286</f>
        <v>780.675878609645</v>
      </c>
      <c r="W286" s="55">
        <f t="shared" si="267"/>
        <v>-308.83729877367205</v>
      </c>
      <c r="X286" s="41">
        <f>'[2]побудинковий звіт'!X286+'[1]побудинковий звіт'!X286</f>
        <v>13295.436868321412</v>
      </c>
      <c r="Y286" s="41">
        <f>'[2]побудинковий звіт'!Y286+'[1]побудинковий звіт'!Y286</f>
        <v>13608.626952109618</v>
      </c>
      <c r="Z286" s="55">
        <f t="shared" si="268"/>
        <v>313.19008378820581</v>
      </c>
      <c r="AA286" s="41">
        <f>'[2]побудинковий звіт'!AA286+'[1]побудинковий звіт'!AA286</f>
        <v>0</v>
      </c>
      <c r="AB286" s="41">
        <f>'[2]побудинковий звіт'!AB286+'[1]побудинковий звіт'!AB286</f>
        <v>0</v>
      </c>
      <c r="AC286" s="55">
        <f t="shared" si="269"/>
        <v>0</v>
      </c>
      <c r="AD286" s="41">
        <f>'[2]побудинковий звіт'!AD286+'[1]побудинковий звіт'!AD286</f>
        <v>19855.790716726762</v>
      </c>
      <c r="AE286" s="41">
        <f>'[2]побудинковий звіт'!AE286+'[1]побудинковий звіт'!AE286</f>
        <v>19778.648174827846</v>
      </c>
      <c r="AF286" s="36">
        <f t="shared" si="270"/>
        <v>-77.142541898916534</v>
      </c>
      <c r="AG286" s="84">
        <f t="shared" si="271"/>
        <v>62993.007128692632</v>
      </c>
      <c r="AH286" s="56">
        <f t="shared" si="272"/>
        <v>63896.149300156976</v>
      </c>
      <c r="AI286" s="55">
        <f t="shared" si="273"/>
        <v>903.14217146434385</v>
      </c>
      <c r="AJ286" s="41">
        <f>'[2]побудинковий звіт'!AJ286+'[1]побудинковий звіт'!AJ286</f>
        <v>0</v>
      </c>
      <c r="AK286" s="41">
        <f>'[2]побудинковий звіт'!AK286+'[1]побудинковий звіт'!AK286</f>
        <v>0</v>
      </c>
      <c r="AL286" s="55">
        <f t="shared" si="274"/>
        <v>0</v>
      </c>
      <c r="AM286" s="41">
        <f>'[2]побудинковий звіт'!AM286+'[1]побудинковий звіт'!AM286</f>
        <v>0</v>
      </c>
      <c r="AN286" s="41">
        <f>'[2]побудинковий звіт'!AN286+'[1]побудинковий звіт'!AN286</f>
        <v>0</v>
      </c>
      <c r="AO286" s="55">
        <f t="shared" si="275"/>
        <v>0</v>
      </c>
      <c r="AP286" s="41">
        <f>'[2]побудинковий звіт'!AP286+'[1]побудинковий звіт'!AP286</f>
        <v>14829.940429557602</v>
      </c>
      <c r="AQ286" s="41">
        <f>'[2]побудинковий звіт'!AQ286+'[1]побудинковий звіт'!AQ286</f>
        <v>13269.801583394254</v>
      </c>
      <c r="AR286" s="55">
        <f t="shared" si="276"/>
        <v>-1560.1388461633487</v>
      </c>
      <c r="AS286" s="41">
        <f>'[2]побудинковий звіт'!AS286+'[1]побудинковий звіт'!AS286</f>
        <v>72577.470320361259</v>
      </c>
      <c r="AT286" s="41">
        <f>'[2]побудинковий звіт'!AT286+'[1]побудинковий звіт'!AT286</f>
        <v>6976.8060394535514</v>
      </c>
      <c r="AU286" s="57">
        <f t="shared" si="277"/>
        <v>-65600.664280907702</v>
      </c>
      <c r="AV286" s="41">
        <f>'[2]побудинковий звіт'!AV286+'[1]побудинковий звіт'!AV286</f>
        <v>2812.90801833449</v>
      </c>
      <c r="AW286" s="41">
        <f>'[2]побудинковий звіт'!AW286+'[1]побудинковий звіт'!AW286</f>
        <v>0</v>
      </c>
      <c r="AX286" s="58">
        <f t="shared" si="278"/>
        <v>-2812.90801833449</v>
      </c>
      <c r="AY286" s="41">
        <f>'[2]побудинковий звіт'!AY286+'[1]побудинковий звіт'!AY286</f>
        <v>4640.3240239746056</v>
      </c>
      <c r="AZ286" s="41">
        <f>'[2]побудинковий звіт'!AZ286+'[1]побудинковий звіт'!AZ286</f>
        <v>1993.2749308295788</v>
      </c>
      <c r="BA286" s="36">
        <f t="shared" si="279"/>
        <v>-2647.0490931450267</v>
      </c>
      <c r="BB286" s="41">
        <f>'[2]побудинковий звіт'!BB286+'[1]побудинковий звіт'!BB286</f>
        <v>2549.7369089350605</v>
      </c>
      <c r="BC286" s="41">
        <f>'[2]побудинковий звіт'!BC286+'[1]побудинковий звіт'!BC286</f>
        <v>0</v>
      </c>
      <c r="BD286" s="58">
        <f t="shared" si="280"/>
        <v>-2549.7369089350605</v>
      </c>
      <c r="BE286" s="41">
        <f>'[2]побудинковий звіт'!BE286+'[1]побудинковий звіт'!BE286</f>
        <v>0</v>
      </c>
      <c r="BF286" s="41">
        <f>'[2]побудинковий звіт'!BF286+'[1]побудинковий звіт'!BF286</f>
        <v>0</v>
      </c>
      <c r="BG286" s="38">
        <f t="shared" si="281"/>
        <v>0</v>
      </c>
      <c r="BH286" s="41">
        <f>'[2]побудинковий звіт'!BH286+'[1]побудинковий звіт'!BH286</f>
        <v>1105.2668502747176</v>
      </c>
      <c r="BI286" s="41">
        <f>'[2]побудинковий звіт'!BI286+'[1]побудинковий звіт'!BI286</f>
        <v>0</v>
      </c>
      <c r="BJ286" s="58">
        <f t="shared" si="282"/>
        <v>-1105.2668502747176</v>
      </c>
      <c r="BK286" s="41">
        <f>'[2]побудинковий звіт'!BK286+'[1]побудинковий звіт'!BK286</f>
        <v>2665.4156054265604</v>
      </c>
      <c r="BL286" s="41">
        <f>'[2]побудинковий звіт'!BL286+'[1]побудинковий звіт'!BL286</f>
        <v>1919.8361817699697</v>
      </c>
      <c r="BM286" s="38">
        <f t="shared" si="283"/>
        <v>-745.57942365659073</v>
      </c>
      <c r="BN286" s="41">
        <f>'[2]побудинковий звіт'!BN286+'[1]побудинковий звіт'!BN286</f>
        <v>131.75764828667408</v>
      </c>
      <c r="BO286" s="41">
        <f>'[2]побудинковий звіт'!BO286+'[1]побудинковий звіт'!BO286</f>
        <v>0</v>
      </c>
      <c r="BP286" s="58">
        <f t="shared" si="284"/>
        <v>-131.75764828667408</v>
      </c>
      <c r="BQ286" s="84">
        <f t="shared" si="285"/>
        <v>13905.409055232107</v>
      </c>
      <c r="BR286" s="42">
        <f t="shared" si="286"/>
        <v>3913.1111125995485</v>
      </c>
      <c r="BS286" s="58">
        <f t="shared" si="287"/>
        <v>-9992.2979426325583</v>
      </c>
      <c r="BT286" s="41">
        <f>'[2]побудинковий звіт'!BT286+'[1]побудинковий звіт'!BT286</f>
        <v>50996.813773408343</v>
      </c>
      <c r="BU286" s="41">
        <f>'[2]побудинковий звіт'!BU286+'[1]побудинковий звіт'!BU286</f>
        <v>69162.789867517728</v>
      </c>
      <c r="BV286" s="55">
        <f t="shared" si="288"/>
        <v>18165.976094109385</v>
      </c>
      <c r="BW286" s="41">
        <f>'[2]побудинковий звіт'!BW286+'[1]побудинковий звіт'!BW286</f>
        <v>26377.833351987549</v>
      </c>
      <c r="BX286" s="41">
        <f>'[2]побудинковий звіт'!BX286+'[1]побудинковий звіт'!BX286</f>
        <v>28360.338053756881</v>
      </c>
      <c r="BY286" s="55">
        <f t="shared" si="289"/>
        <v>1982.5047017693323</v>
      </c>
      <c r="BZ286" s="41">
        <f>'[2]побудинковий звіт'!BZ286+'[1]побудинковий звіт'!BZ286</f>
        <v>9869.7014698127405</v>
      </c>
      <c r="CA286" s="41">
        <f>'[2]побудинковий звіт'!CA286+'[1]побудинковий звіт'!CA286</f>
        <v>7642.5649210295887</v>
      </c>
      <c r="CB286" s="55">
        <f t="shared" si="290"/>
        <v>-2227.1365487831517</v>
      </c>
      <c r="CC286" s="41">
        <f>'[2]побудинковий звіт'!CC286+'[1]побудинковий звіт'!CC286</f>
        <v>610.71255596609194</v>
      </c>
      <c r="CD286" s="41">
        <f>'[2]побудинковий звіт'!CD286+'[1]побудинковий звіт'!CD286</f>
        <v>612.78341412225325</v>
      </c>
      <c r="CE286" s="55">
        <f t="shared" si="291"/>
        <v>2.0708581561613073</v>
      </c>
      <c r="CF286" s="41">
        <f>'[2]побудинковий звіт'!CF286+'[1]побудинковий звіт'!CF286</f>
        <v>75.664039633865656</v>
      </c>
      <c r="CG286" s="41">
        <f>'[2]побудинковий звіт'!CG286+'[1]побудинковий звіт'!CG286</f>
        <v>0</v>
      </c>
      <c r="CH286" s="55">
        <f t="shared" si="292"/>
        <v>-75.664039633865656</v>
      </c>
      <c r="CI286" s="41">
        <f>'[2]побудинковий звіт'!CI286+'[1]побудинковий звіт'!CI286</f>
        <v>5635.3221068960174</v>
      </c>
      <c r="CJ286" s="41">
        <f>'[2]побудинковий звіт'!CJ286+'[1]побудинковий звіт'!CJ286</f>
        <v>2963.2905272683229</v>
      </c>
      <c r="CK286" s="55">
        <f t="shared" si="293"/>
        <v>-2672.0315796276946</v>
      </c>
      <c r="CL286" s="41">
        <f>'[2]побудинковий звіт'!CL286+'[1]побудинковий звіт'!CL286</f>
        <v>0</v>
      </c>
      <c r="CM286" s="41">
        <f>'[2]побудинковий звіт'!CM286+'[1]побудинковий звіт'!CM286</f>
        <v>0</v>
      </c>
      <c r="CN286" s="55">
        <f t="shared" si="294"/>
        <v>0</v>
      </c>
      <c r="CO286" s="41">
        <f t="shared" si="295"/>
        <v>5635.3221068960174</v>
      </c>
      <c r="CP286" s="42">
        <f t="shared" si="296"/>
        <v>2963.2905272683229</v>
      </c>
      <c r="CQ286" s="55">
        <f t="shared" si="297"/>
        <v>-2672.0315796276946</v>
      </c>
      <c r="CR286" s="76">
        <f t="shared" si="298"/>
        <v>257871.87423154819</v>
      </c>
      <c r="CS286" s="5">
        <f t="shared" si="299"/>
        <v>196797.6348192991</v>
      </c>
      <c r="CT286" s="55">
        <f t="shared" si="300"/>
        <v>-61074.239412249095</v>
      </c>
      <c r="CU286" s="84">
        <f t="shared" si="301"/>
        <v>309446.24907785782</v>
      </c>
      <c r="CV286" s="68">
        <f t="shared" si="302"/>
        <v>236157.1617831589</v>
      </c>
      <c r="CW286" s="36">
        <f t="shared" si="303"/>
        <v>-73289.087294698926</v>
      </c>
      <c r="CX286" s="41">
        <f>'[2]побудинковий звіт'!CX286+'[1]побудинковий звіт'!CX286</f>
        <v>13052.050481114997</v>
      </c>
      <c r="CY286" s="41">
        <f>'[2]побудинковий звіт'!CY286+'[1]побудинковий звіт'!CY286</f>
        <v>86341.137775813913</v>
      </c>
      <c r="CZ286" s="55">
        <f t="shared" si="304"/>
        <v>73289.087294698911</v>
      </c>
      <c r="DA286" s="254">
        <f>'[1]побудинковий звіт'!DA286</f>
        <v>-9855.990525500325</v>
      </c>
      <c r="DB286" s="2">
        <v>3</v>
      </c>
      <c r="DC286" s="702">
        <f>'[1]побудинковий звіт'!DC286</f>
        <v>171636.45</v>
      </c>
      <c r="DD286" s="702">
        <f>'[1]побудинковий звіт'!DD286</f>
        <v>0</v>
      </c>
      <c r="DE286" s="702">
        <f>'[1]побудинковий звіт'!DE286</f>
        <v>136378.78000000003</v>
      </c>
      <c r="DF286" s="702">
        <f>'[1]побудинковий звіт'!DF286</f>
        <v>-279.61</v>
      </c>
      <c r="DG286" s="772">
        <v>49129.780435075751</v>
      </c>
      <c r="DH286" s="746">
        <f t="shared" si="306"/>
        <v>3869979.5947076739</v>
      </c>
      <c r="DI286" s="769"/>
      <c r="DJ286" s="5"/>
      <c r="DK286" s="307">
        <f>VLOOKUP($A286,ціни!$A$4:$G$401,5)</f>
        <v>5.5186451981587474</v>
      </c>
      <c r="DL286" s="307"/>
      <c r="DM286" s="307">
        <f>VLOOKUP($A286,ціни!$A$4:$G$401,7)</f>
        <v>4.9392914458008939</v>
      </c>
      <c r="DN286" s="29">
        <f t="shared" si="260"/>
        <v>25046.923096363294</v>
      </c>
      <c r="DO286" s="29">
        <f t="shared" si="305"/>
        <v>196.58379954287557</v>
      </c>
      <c r="DP286" s="306">
        <f t="shared" si="307"/>
        <v>25243.506895906168</v>
      </c>
      <c r="DQ286" s="101"/>
      <c r="DR286" s="29">
        <f>VLOOKUP(A286,'ДЗ нас '!$A$1:$C$359,2)</f>
        <v>25046.68</v>
      </c>
      <c r="DS286" s="733">
        <f>VLOOKUP(A286,'ДЗ нежит'!$A$1:$D$153,4,0)</f>
        <v>196.58</v>
      </c>
      <c r="DT286" s="29">
        <f t="shared" si="308"/>
        <v>25243.260000000002</v>
      </c>
      <c r="DU286" s="247">
        <f>VLOOKUP(A286,'новий кошторис с 01.06'!$A$4:$AI$399,35)*1.2</f>
        <v>25434.351060393328</v>
      </c>
      <c r="DV286" s="29">
        <f t="shared" si="309"/>
        <v>-191.09106039332619</v>
      </c>
      <c r="DW286" s="1016">
        <f>'[2]побудинковий звіт'!$DW$9+'[1]побудинковий звіт'!DW286</f>
        <v>1359</v>
      </c>
      <c r="DX286" s="101">
        <f>'[1]побудинковий звіт'!DX286</f>
        <v>0</v>
      </c>
      <c r="DY286" s="5">
        <f t="shared" si="310"/>
        <v>103779.45525071202</v>
      </c>
      <c r="DZ286" s="5">
        <f t="shared" si="311"/>
        <v>13067.900582463719</v>
      </c>
      <c r="EA286" s="737">
        <f t="shared" si="312"/>
        <v>136099.17000000004</v>
      </c>
      <c r="EC286" s="577">
        <f t="shared" si="313"/>
        <v>870929.64384433511</v>
      </c>
      <c r="EE286" s="743">
        <v>-30314</v>
      </c>
      <c r="EF286" s="723">
        <f t="shared" si="314"/>
        <v>18815.780435075751</v>
      </c>
      <c r="EH286" s="798">
        <v>8577.5277502669196</v>
      </c>
      <c r="EI286" s="101">
        <f>VLOOKUP(A286,'кошти 01.01.24'!$A$9:$D$352,4,FALSE)</f>
        <v>63433.096769198579</v>
      </c>
    </row>
    <row r="287" spans="1:139" hidden="1" x14ac:dyDescent="0.3">
      <c r="A287" s="318">
        <v>150000712</v>
      </c>
      <c r="B287" s="43" t="s">
        <v>692</v>
      </c>
      <c r="C287" s="44" t="s">
        <v>1798</v>
      </c>
      <c r="D287" s="44" t="s">
        <v>280</v>
      </c>
      <c r="E287" s="39">
        <f t="shared" si="262"/>
        <v>3208.53</v>
      </c>
      <c r="F287" s="205">
        <f>'[1]побудинковий звіт'!F287</f>
        <v>3208.53</v>
      </c>
      <c r="G287" s="29">
        <f>'[1]побудинковий звіт'!G287</f>
        <v>0</v>
      </c>
      <c r="H287" s="148">
        <f>'[1]побудинковий звіт'!H287</f>
        <v>0</v>
      </c>
      <c r="I287" s="41">
        <f>'[2]побудинковий звіт'!I287+'[1]побудинковий звіт'!I287</f>
        <v>11969.38204215985</v>
      </c>
      <c r="J287" s="41">
        <f>'[2]побудинковий звіт'!J287+'[1]побудинковий звіт'!J287</f>
        <v>12428.175837452032</v>
      </c>
      <c r="K287" s="55">
        <f t="shared" si="263"/>
        <v>458.79379529218204</v>
      </c>
      <c r="L287" s="41">
        <f>'[2]побудинковий звіт'!L287+'[1]побудинковий звіт'!L287</f>
        <v>2440.9426585902875</v>
      </c>
      <c r="M287" s="41">
        <f>'[2]побудинковий звіт'!M287+'[1]побудинковий звіт'!M287</f>
        <v>2650.506515448174</v>
      </c>
      <c r="N287" s="55">
        <f t="shared" si="264"/>
        <v>209.56385685788655</v>
      </c>
      <c r="O287" s="41">
        <f>'[2]побудинковий звіт'!O287+'[1]побудинковий звіт'!O287</f>
        <v>5035.8638367982358</v>
      </c>
      <c r="P287" s="41">
        <f>'[2]побудинковий звіт'!P287+'[1]побудинковий звіт'!P287</f>
        <v>5048.8071966297221</v>
      </c>
      <c r="Q287" s="55">
        <f t="shared" si="265"/>
        <v>12.943359831486305</v>
      </c>
      <c r="R287" s="41">
        <f>'[2]побудинковий звіт'!R287+'[1]побудинковий звіт'!R287</f>
        <v>0</v>
      </c>
      <c r="S287" s="41">
        <f>'[2]побудинковий звіт'!S287+'[1]побудинковий звіт'!S287</f>
        <v>0</v>
      </c>
      <c r="T287" s="55">
        <f t="shared" si="266"/>
        <v>0</v>
      </c>
      <c r="U287" s="41">
        <f>'[2]побудинковий звіт'!U287+'[1]побудинковий звіт'!U287</f>
        <v>0</v>
      </c>
      <c r="V287" s="41">
        <f>'[2]побудинковий звіт'!V287+'[1]побудинковий звіт'!V287</f>
        <v>0</v>
      </c>
      <c r="W287" s="55">
        <f t="shared" si="267"/>
        <v>0</v>
      </c>
      <c r="X287" s="41">
        <f>'[2]побудинковий звіт'!X287+'[1]побудинковий звіт'!X287</f>
        <v>7985.7524739684832</v>
      </c>
      <c r="Y287" s="41">
        <f>'[2]побудинковий звіт'!Y287+'[1]побудинковий звіт'!Y287</f>
        <v>8026.8548898100044</v>
      </c>
      <c r="Z287" s="55">
        <f t="shared" si="268"/>
        <v>41.102415841521179</v>
      </c>
      <c r="AA287" s="41">
        <f>'[2]побудинковий звіт'!AA287+'[1]побудинковий звіт'!AA287</f>
        <v>0</v>
      </c>
      <c r="AB287" s="41">
        <f>'[2]побудинковий звіт'!AB287+'[1]побудинковий звіт'!AB287</f>
        <v>0</v>
      </c>
      <c r="AC287" s="55">
        <f t="shared" si="269"/>
        <v>0</v>
      </c>
      <c r="AD287" s="41">
        <f>'[2]побудинковий звіт'!AD287+'[1]побудинковий звіт'!AD287</f>
        <v>13917.835727503829</v>
      </c>
      <c r="AE287" s="41">
        <f>'[2]побудинковий звіт'!AE287+'[1]побудинковий звіт'!AE287</f>
        <v>13863.650837573776</v>
      </c>
      <c r="AF287" s="36">
        <f t="shared" si="270"/>
        <v>-54.184889930053032</v>
      </c>
      <c r="AG287" s="84">
        <f t="shared" si="271"/>
        <v>41349.776739020686</v>
      </c>
      <c r="AH287" s="56">
        <f t="shared" si="272"/>
        <v>42017.995276913709</v>
      </c>
      <c r="AI287" s="55">
        <f t="shared" si="273"/>
        <v>668.21853789302259</v>
      </c>
      <c r="AJ287" s="41">
        <f>'[2]побудинковий звіт'!AJ287+'[1]побудинковий звіт'!AJ287</f>
        <v>0</v>
      </c>
      <c r="AK287" s="41">
        <f>'[2]побудинковий звіт'!AK287+'[1]побудинковий звіт'!AK287</f>
        <v>0</v>
      </c>
      <c r="AL287" s="55">
        <f t="shared" si="274"/>
        <v>0</v>
      </c>
      <c r="AM287" s="41">
        <f>'[2]побудинковий звіт'!AM287+'[1]побудинковий звіт'!AM287</f>
        <v>0</v>
      </c>
      <c r="AN287" s="41">
        <f>'[2]побудинковий звіт'!AN287+'[1]побудинковий звіт'!AN287</f>
        <v>0</v>
      </c>
      <c r="AO287" s="55">
        <f t="shared" si="275"/>
        <v>0</v>
      </c>
      <c r="AP287" s="41">
        <f>'[2]побудинковий звіт'!AP287+'[1]побудинковий звіт'!AP287</f>
        <v>10401.278400504641</v>
      </c>
      <c r="AQ287" s="41">
        <f>'[2]побудинковий звіт'!AQ287+'[1]побудинковий звіт'!AQ287</f>
        <v>9320.2717206001289</v>
      </c>
      <c r="AR287" s="55">
        <f t="shared" si="276"/>
        <v>-1081.0066799045126</v>
      </c>
      <c r="AS287" s="41">
        <f>'[2]побудинковий звіт'!AS287+'[1]побудинковий звіт'!AS287</f>
        <v>42959.613117208617</v>
      </c>
      <c r="AT287" s="41">
        <f>'[2]побудинковий звіт'!AT287+'[1]побудинковий звіт'!AT287</f>
        <v>4864.145522060483</v>
      </c>
      <c r="AU287" s="57">
        <f t="shared" si="277"/>
        <v>-38095.467595148133</v>
      </c>
      <c r="AV287" s="41">
        <f>'[2]побудинковий звіт'!AV287+'[1]побудинковий звіт'!AV287</f>
        <v>1910.4814135165545</v>
      </c>
      <c r="AW287" s="41">
        <f>'[2]побудинковий звіт'!AW287+'[1]побудинковий звіт'!AW287</f>
        <v>0</v>
      </c>
      <c r="AX287" s="58">
        <f t="shared" si="278"/>
        <v>-1910.4814135165545</v>
      </c>
      <c r="AY287" s="41">
        <f>'[2]побудинковий звіт'!AY287+'[1]побудинковий звіт'!AY287</f>
        <v>2820.6731368925016</v>
      </c>
      <c r="AZ287" s="41">
        <f>'[2]побудинковий звіт'!AZ287+'[1]побудинковий звіт'!AZ287</f>
        <v>570.54106016942649</v>
      </c>
      <c r="BA287" s="36">
        <f t="shared" si="279"/>
        <v>-2250.132076723075</v>
      </c>
      <c r="BB287" s="41">
        <f>'[2]побудинковий звіт'!BB287+'[1]побудинковий звіт'!BB287</f>
        <v>1841.704413735491</v>
      </c>
      <c r="BC287" s="41">
        <f>'[2]побудинковий звіт'!BC287+'[1]побудинковий звіт'!BC287</f>
        <v>0</v>
      </c>
      <c r="BD287" s="58">
        <f t="shared" si="280"/>
        <v>-1841.704413735491</v>
      </c>
      <c r="BE287" s="41">
        <f>'[2]побудинковий звіт'!BE287+'[1]побудинковий звіт'!BE287</f>
        <v>0</v>
      </c>
      <c r="BF287" s="41">
        <f>'[2]побудинковий звіт'!BF287+'[1]побудинковий звіт'!BF287</f>
        <v>0</v>
      </c>
      <c r="BG287" s="38">
        <f t="shared" si="281"/>
        <v>0</v>
      </c>
      <c r="BH287" s="41">
        <f>'[2]побудинковий звіт'!BH287+'[1]побудинковий звіт'!BH287</f>
        <v>0</v>
      </c>
      <c r="BI287" s="41">
        <f>'[2]побудинковий звіт'!BI287+'[1]побудинковий звіт'!BI287</f>
        <v>0</v>
      </c>
      <c r="BJ287" s="58">
        <f t="shared" si="282"/>
        <v>0</v>
      </c>
      <c r="BK287" s="41">
        <f>'[2]побудинковий звіт'!BK287+'[1]побудинковий звіт'!BK287</f>
        <v>1475.378723538221</v>
      </c>
      <c r="BL287" s="41">
        <f>'[2]побудинковий звіт'!BL287+'[1]побудинковий звіт'!BL287</f>
        <v>0</v>
      </c>
      <c r="BM287" s="38">
        <f t="shared" si="283"/>
        <v>-1475.378723538221</v>
      </c>
      <c r="BN287" s="41">
        <f>'[2]побудинковий звіт'!BN287+'[1]побудинковий звіт'!BN287</f>
        <v>100.38677964698979</v>
      </c>
      <c r="BO287" s="41">
        <f>'[2]побудинковий звіт'!BO287+'[1]побудинковий звіт'!BO287</f>
        <v>0</v>
      </c>
      <c r="BP287" s="58">
        <f t="shared" si="284"/>
        <v>-100.38677964698979</v>
      </c>
      <c r="BQ287" s="84">
        <f t="shared" si="285"/>
        <v>8148.624467329757</v>
      </c>
      <c r="BR287" s="42">
        <f t="shared" si="286"/>
        <v>570.54106016942649</v>
      </c>
      <c r="BS287" s="58">
        <f t="shared" si="287"/>
        <v>-7578.0834071603304</v>
      </c>
      <c r="BT287" s="41">
        <f>'[2]побудинковий звіт'!BT287+'[1]побудинковий звіт'!BT287</f>
        <v>50615.634678514121</v>
      </c>
      <c r="BU287" s="41">
        <f>'[2]побудинковий звіт'!BU287+'[1]побудинковий звіт'!BU287</f>
        <v>73167.640641020509</v>
      </c>
      <c r="BV287" s="55">
        <f t="shared" si="288"/>
        <v>22552.005962506388</v>
      </c>
      <c r="BW287" s="41">
        <f>'[2]побудинковий звіт'!BW287+'[1]побудинковий звіт'!BW287</f>
        <v>19266.229934661169</v>
      </c>
      <c r="BX287" s="41">
        <f>'[2]побудинковий звіт'!BX287+'[1]побудинковий звіт'!BX287</f>
        <v>20684.468097411034</v>
      </c>
      <c r="BY287" s="55">
        <f t="shared" si="289"/>
        <v>1418.2381627498653</v>
      </c>
      <c r="BZ287" s="41">
        <f>'[2]побудинковий звіт'!BZ287+'[1]побудинковий звіт'!BZ287</f>
        <v>6823.7224220633198</v>
      </c>
      <c r="CA287" s="41">
        <f>'[2]побудинковий звіт'!CA287+'[1]побудинковий звіт'!CA287</f>
        <v>7163.2759844476077</v>
      </c>
      <c r="CB287" s="55">
        <f t="shared" si="290"/>
        <v>339.55356238428794</v>
      </c>
      <c r="CC287" s="41">
        <f>'[2]побудинковий звіт'!CC287+'[1]побудинковий звіт'!CC287</f>
        <v>305.35627798304597</v>
      </c>
      <c r="CD287" s="41">
        <f>'[2]побудинковий звіт'!CD287+'[1]побудинковий звіт'!CD287</f>
        <v>306.39170706112662</v>
      </c>
      <c r="CE287" s="55">
        <f t="shared" si="291"/>
        <v>1.0354290780806537</v>
      </c>
      <c r="CF287" s="41">
        <f>'[2]побудинковий звіт'!CF287+'[1]побудинковий звіт'!CF287</f>
        <v>37.832019816932828</v>
      </c>
      <c r="CG287" s="41">
        <f>'[2]побудинковий звіт'!CG287+'[1]побудинковий звіт'!CG287</f>
        <v>0</v>
      </c>
      <c r="CH287" s="55">
        <f t="shared" si="292"/>
        <v>-37.832019816932828</v>
      </c>
      <c r="CI287" s="41">
        <f>'[2]побудинковий звіт'!CI287+'[1]побудинковий звіт'!CI287</f>
        <v>3981.6836590255989</v>
      </c>
      <c r="CJ287" s="41">
        <f>'[2]побудинковий звіт'!CJ287+'[1]побудинковий звіт'!CJ287</f>
        <v>3073.5251623157728</v>
      </c>
      <c r="CK287" s="55">
        <f t="shared" si="293"/>
        <v>-908.15849670982607</v>
      </c>
      <c r="CL287" s="41">
        <f>'[2]побудинковий звіт'!CL287+'[1]побудинковий звіт'!CL287</f>
        <v>0</v>
      </c>
      <c r="CM287" s="41">
        <f>'[2]побудинковий звіт'!CM287+'[1]побудинковий звіт'!CM287</f>
        <v>0</v>
      </c>
      <c r="CN287" s="55">
        <f t="shared" si="294"/>
        <v>0</v>
      </c>
      <c r="CO287" s="41">
        <f t="shared" si="295"/>
        <v>3981.6836590255989</v>
      </c>
      <c r="CP287" s="42">
        <f t="shared" si="296"/>
        <v>3073.5251623157728</v>
      </c>
      <c r="CQ287" s="55">
        <f t="shared" si="297"/>
        <v>-908.15849670982607</v>
      </c>
      <c r="CR287" s="76">
        <f t="shared" si="298"/>
        <v>183889.75171612791</v>
      </c>
      <c r="CS287" s="5">
        <f t="shared" si="299"/>
        <v>161168.2551719998</v>
      </c>
      <c r="CT287" s="55">
        <f t="shared" si="300"/>
        <v>-22721.496544128109</v>
      </c>
      <c r="CU287" s="84">
        <f t="shared" si="301"/>
        <v>220667.7020593535</v>
      </c>
      <c r="CV287" s="68">
        <f t="shared" si="302"/>
        <v>193401.90620639976</v>
      </c>
      <c r="CW287" s="36">
        <f t="shared" si="303"/>
        <v>-27265.795852953743</v>
      </c>
      <c r="CX287" s="41">
        <f>'[2]побудинковий звіт'!CX287+'[1]побудинковий звіт'!CX287</f>
        <v>11011.085189368188</v>
      </c>
      <c r="CY287" s="41">
        <f>'[2]побудинковий звіт'!CY287+'[1]побудинковий звіт'!CY287</f>
        <v>38276.881042321867</v>
      </c>
      <c r="CZ287" s="55">
        <f t="shared" si="304"/>
        <v>27265.795852953677</v>
      </c>
      <c r="DA287" s="254">
        <f>'[1]побудинковий звіт'!DA287</f>
        <v>31929.536128858977</v>
      </c>
      <c r="DB287" s="2">
        <v>3</v>
      </c>
      <c r="DC287" s="702">
        <f>'[1]побудинковий звіт'!DC287</f>
        <v>45066.74</v>
      </c>
      <c r="DD287" s="702">
        <f>'[1]побудинковий звіт'!DD287</f>
        <v>0</v>
      </c>
      <c r="DE287" s="702">
        <f>'[1]побудинковий звіт'!DE287</f>
        <v>19632.449999999997</v>
      </c>
      <c r="DF287" s="702">
        <f>'[1]побудинковий звіт'!DF287</f>
        <v>0</v>
      </c>
      <c r="DG287" s="772">
        <v>25806.319169712369</v>
      </c>
      <c r="DH287" s="746">
        <f t="shared" si="306"/>
        <v>2780145.4469846603</v>
      </c>
      <c r="DI287" s="769"/>
      <c r="DJ287" s="5"/>
      <c r="DK287" s="307">
        <f>VLOOKUP($A287,ціни!$A$4:$G$401,5)</f>
        <v>5.6579725678770103</v>
      </c>
      <c r="DL287" s="307"/>
      <c r="DM287" s="307">
        <f>VLOOKUP($A287,ціни!$A$4:$G$401,7)</f>
        <v>5.0529896741435163</v>
      </c>
      <c r="DN287" s="29">
        <f t="shared" si="260"/>
        <v>18153.774723210427</v>
      </c>
      <c r="DO287" s="29">
        <f t="shared" si="305"/>
        <v>0</v>
      </c>
      <c r="DP287" s="306">
        <f t="shared" si="307"/>
        <v>18153.774723210427</v>
      </c>
      <c r="DQ287" s="101"/>
      <c r="DR287" s="29">
        <f>VLOOKUP(A287,'ДЗ нас '!$A$1:$C$359,2)</f>
        <v>18153.830000000002</v>
      </c>
      <c r="DS287" s="733"/>
      <c r="DT287" s="29">
        <f t="shared" si="308"/>
        <v>18153.830000000002</v>
      </c>
      <c r="DU287" s="247">
        <f>VLOOKUP(A287,'новий кошторис с 01.06'!$A$4:$AI$399,35)*1.2</f>
        <v>18328.952559020789</v>
      </c>
      <c r="DV287" s="29">
        <f t="shared" si="309"/>
        <v>-175.12255902078687</v>
      </c>
      <c r="DW287" s="1016">
        <f>'[2]побудинковий звіт'!$DW$9+'[1]побудинковий звіт'!DW287</f>
        <v>1062</v>
      </c>
      <c r="DX287" s="101">
        <f>'[1]побудинковий звіт'!DX287</f>
        <v>0</v>
      </c>
      <c r="DY287" s="5">
        <f t="shared" si="310"/>
        <v>61329.885101446045</v>
      </c>
      <c r="DZ287" s="5">
        <f t="shared" si="311"/>
        <v>6521.6238986758917</v>
      </c>
      <c r="EA287" s="737">
        <f t="shared" si="312"/>
        <v>19632.449999999997</v>
      </c>
      <c r="EC287" s="577">
        <f t="shared" si="313"/>
        <v>515515.3574065034</v>
      </c>
      <c r="EE287" s="743">
        <v>34036</v>
      </c>
      <c r="EF287" s="723">
        <f t="shared" si="314"/>
        <v>59842.319169712369</v>
      </c>
      <c r="EH287" s="798">
        <v>75793.943881755054</v>
      </c>
      <c r="EI287" s="101">
        <f>VLOOKUP(A287,'кошти 01.01.24'!$A$9:$D$352,4,FALSE)</f>
        <v>59195.331981812633</v>
      </c>
    </row>
    <row r="288" spans="1:139" hidden="1" x14ac:dyDescent="0.3">
      <c r="A288" s="318">
        <v>150000713</v>
      </c>
      <c r="B288" s="43" t="s">
        <v>693</v>
      </c>
      <c r="C288" s="44" t="s">
        <v>1799</v>
      </c>
      <c r="D288" s="44" t="s">
        <v>281</v>
      </c>
      <c r="E288" s="39">
        <f t="shared" si="262"/>
        <v>6255.8</v>
      </c>
      <c r="F288" s="205">
        <f>'[1]побудинковий звіт'!F288</f>
        <v>5133.3</v>
      </c>
      <c r="G288" s="29">
        <f>'[1]побудинковий звіт'!G288</f>
        <v>0</v>
      </c>
      <c r="H288" s="148">
        <f>'[1]побудинковий звіт'!H288</f>
        <v>1122.4999999999998</v>
      </c>
      <c r="I288" s="41">
        <f>'[2]побудинковий звіт'!I288+'[1]побудинковий звіт'!I288</f>
        <v>23516.721504904421</v>
      </c>
      <c r="J288" s="41">
        <f>'[2]побудинковий звіт'!J288+'[1]побудинковий звіт'!J288</f>
        <v>24359.823599662763</v>
      </c>
      <c r="K288" s="55">
        <f t="shared" si="263"/>
        <v>843.10209475834199</v>
      </c>
      <c r="L288" s="41">
        <f>'[2]побудинковий звіт'!L288+'[1]побудинковий звіт'!L288</f>
        <v>4799.0273642495904</v>
      </c>
      <c r="M288" s="41">
        <f>'[2]побудинковий звіт'!M288+'[1]побудинковий звіт'!M288</f>
        <v>5223.0549671291683</v>
      </c>
      <c r="N288" s="55">
        <f t="shared" si="264"/>
        <v>424.0276028795779</v>
      </c>
      <c r="O288" s="41">
        <f>'[2]побудинковий звіт'!O288+'[1]побудинковий звіт'!O288</f>
        <v>9239.1880444002982</v>
      </c>
      <c r="P288" s="41">
        <f>'[2]побудинковий звіт'!P288+'[1]побудинковий звіт'!P288</f>
        <v>9263.9958362108409</v>
      </c>
      <c r="Q288" s="55">
        <f t="shared" si="265"/>
        <v>24.807791810542767</v>
      </c>
      <c r="R288" s="41">
        <f>'[2]побудинковий звіт'!R288+'[1]побудинковий звіт'!R288</f>
        <v>0</v>
      </c>
      <c r="S288" s="41">
        <f>'[2]побудинковий звіт'!S288+'[1]побудинковий звіт'!S288</f>
        <v>0</v>
      </c>
      <c r="T288" s="55">
        <f t="shared" si="266"/>
        <v>0</v>
      </c>
      <c r="U288" s="41">
        <f>'[2]побудинковий звіт'!U288+'[1]побудинковий звіт'!U288</f>
        <v>1686.3088397061101</v>
      </c>
      <c r="V288" s="41">
        <f>'[2]побудинковий звіт'!V288+'[1]побудинковий звіт'!V288</f>
        <v>1208.2992974915737</v>
      </c>
      <c r="W288" s="55">
        <f t="shared" si="267"/>
        <v>-478.0095422145364</v>
      </c>
      <c r="X288" s="41">
        <f>'[2]побудинковий звіт'!X288+'[1]побудинковий звіт'!X288</f>
        <v>21045.605122387115</v>
      </c>
      <c r="Y288" s="41">
        <f>'[2]побудинковий звіт'!Y288+'[1]побудинковий звіт'!Y288</f>
        <v>21660.583903668412</v>
      </c>
      <c r="Z288" s="55">
        <f t="shared" si="268"/>
        <v>614.97878128129742</v>
      </c>
      <c r="AA288" s="41">
        <f>'[2]побудинковий звіт'!AA288+'[1]побудинковий звіт'!AA288</f>
        <v>0</v>
      </c>
      <c r="AB288" s="41">
        <f>'[2]побудинковий звіт'!AB288+'[1]побудинковий звіт'!AB288</f>
        <v>0</v>
      </c>
      <c r="AC288" s="55">
        <f t="shared" si="269"/>
        <v>0</v>
      </c>
      <c r="AD288" s="41">
        <f>'[2]побудинковий звіт'!AD288+'[1]побудинковий звіт'!AD288</f>
        <v>27136.236495441251</v>
      </c>
      <c r="AE288" s="41">
        <f>'[2]побудинковий звіт'!AE288+'[1]побудинковий звіт'!AE288</f>
        <v>27020.587320697767</v>
      </c>
      <c r="AF288" s="36">
        <f t="shared" si="270"/>
        <v>-115.64917474348476</v>
      </c>
      <c r="AG288" s="84">
        <f t="shared" si="271"/>
        <v>87423.087371088783</v>
      </c>
      <c r="AH288" s="56">
        <f t="shared" si="272"/>
        <v>88736.344924860532</v>
      </c>
      <c r="AI288" s="55">
        <f t="shared" si="273"/>
        <v>1313.2575537717494</v>
      </c>
      <c r="AJ288" s="41">
        <f>'[2]побудинковий звіт'!AJ288+'[1]побудинковий звіт'!AJ288</f>
        <v>0</v>
      </c>
      <c r="AK288" s="41">
        <f>'[2]побудинковий звіт'!AK288+'[1]побудинковий звіт'!AK288</f>
        <v>0</v>
      </c>
      <c r="AL288" s="55">
        <f t="shared" si="274"/>
        <v>0</v>
      </c>
      <c r="AM288" s="41">
        <f>'[2]побудинковий звіт'!AM288+'[1]побудинковий звіт'!AM288</f>
        <v>0</v>
      </c>
      <c r="AN288" s="41">
        <f>'[2]побудинковий звіт'!AN288+'[1]побудинковий звіт'!AN288</f>
        <v>0</v>
      </c>
      <c r="AO288" s="55">
        <f t="shared" si="275"/>
        <v>0</v>
      </c>
      <c r="AP288" s="41">
        <f>'[2]побудинковий звіт'!AP288+'[1]побудинковий звіт'!AP288</f>
        <v>15899.096983628522</v>
      </c>
      <c r="AQ288" s="41">
        <f>'[2]побудинковий звіт'!AQ288+'[1]побудинковий звіт'!AQ288</f>
        <v>14400.517435025169</v>
      </c>
      <c r="AR288" s="55">
        <f t="shared" si="276"/>
        <v>-1498.579548603353</v>
      </c>
      <c r="AS288" s="41">
        <f>'[2]побудинковий звіт'!AS288+'[1]побудинковий звіт'!AS288</f>
        <v>97091.270901854732</v>
      </c>
      <c r="AT288" s="41">
        <f>'[2]побудинковий звіт'!AT288+'[1]побудинковий звіт'!AT288</f>
        <v>67465.017711628767</v>
      </c>
      <c r="AU288" s="57">
        <f t="shared" si="277"/>
        <v>-29626.253190225965</v>
      </c>
      <c r="AV288" s="41">
        <f>'[2]побудинковий звіт'!AV288+'[1]побудинковий звіт'!AV288</f>
        <v>3743.1928556925245</v>
      </c>
      <c r="AW288" s="41">
        <f>'[2]побудинковий звіт'!AW288+'[1]побудинковий звіт'!AW288</f>
        <v>431.24298690662943</v>
      </c>
      <c r="AX288" s="58">
        <f t="shared" si="278"/>
        <v>-3311.949868785895</v>
      </c>
      <c r="AY288" s="41">
        <f>'[2]побудинковий звіт'!AY288+'[1]побудинковий звіт'!AY288</f>
        <v>6191.5780072950038</v>
      </c>
      <c r="AZ288" s="41">
        <f>'[2]побудинковий звіт'!AZ288+'[1]побудинковий звіт'!AZ288</f>
        <v>7036.4628755305421</v>
      </c>
      <c r="BA288" s="36">
        <f t="shared" si="279"/>
        <v>844.88486823553831</v>
      </c>
      <c r="BB288" s="41">
        <f>'[2]побудинковий звіт'!BB288+'[1]побудинковий звіт'!BB288</f>
        <v>3497.33045107322</v>
      </c>
      <c r="BC288" s="41">
        <f>'[2]побудинковий звіт'!BC288+'[1]побудинковий звіт'!BC288</f>
        <v>0</v>
      </c>
      <c r="BD288" s="58">
        <f t="shared" si="280"/>
        <v>-3497.33045107322</v>
      </c>
      <c r="BE288" s="41">
        <f>'[2]побудинковий звіт'!BE288+'[1]побудинковий звіт'!BE288</f>
        <v>0</v>
      </c>
      <c r="BF288" s="41">
        <f>'[2]побудинковий звіт'!BF288+'[1]побудинковий звіт'!BF288</f>
        <v>0</v>
      </c>
      <c r="BG288" s="38">
        <f t="shared" si="281"/>
        <v>0</v>
      </c>
      <c r="BH288" s="41">
        <f>'[2]побудинковий звіт'!BH288+'[1]побудинковий звіт'!BH288</f>
        <v>1710.9994959425999</v>
      </c>
      <c r="BI288" s="41">
        <f>'[2]побудинковий звіт'!BI288+'[1]побудинковий звіт'!BI288</f>
        <v>0</v>
      </c>
      <c r="BJ288" s="58">
        <f t="shared" si="282"/>
        <v>-1710.9994959425999</v>
      </c>
      <c r="BK288" s="41">
        <f>'[2]побудинковий звіт'!BK288+'[1]побудинковий звіт'!BK288</f>
        <v>4241.1195584818252</v>
      </c>
      <c r="BL288" s="41">
        <f>'[2]побудинковий звіт'!BL288+'[1]побудинковий звіт'!BL288</f>
        <v>0</v>
      </c>
      <c r="BM288" s="38">
        <f t="shared" si="283"/>
        <v>-4241.1195584818252</v>
      </c>
      <c r="BN288" s="41">
        <f>'[2]побудинковий звіт'!BN288+'[1]побудинковий звіт'!BN288</f>
        <v>150.58016947048469</v>
      </c>
      <c r="BO288" s="41">
        <f>'[2]побудинковий звіт'!BO288+'[1]побудинковий звіт'!BO288</f>
        <v>0</v>
      </c>
      <c r="BP288" s="58">
        <f t="shared" si="284"/>
        <v>-150.58016947048469</v>
      </c>
      <c r="BQ288" s="84">
        <f t="shared" si="285"/>
        <v>19534.80053795566</v>
      </c>
      <c r="BR288" s="42">
        <f t="shared" si="286"/>
        <v>7467.7058624371712</v>
      </c>
      <c r="BS288" s="58">
        <f t="shared" si="287"/>
        <v>-12067.094675518489</v>
      </c>
      <c r="BT288" s="41">
        <f>'[2]побудинковий звіт'!BT288+'[1]побудинковий звіт'!BT288</f>
        <v>65862.313012760773</v>
      </c>
      <c r="BU288" s="41">
        <f>'[2]побудинковий звіт'!BU288+'[1]побудинковий звіт'!BU288</f>
        <v>97483.458522184694</v>
      </c>
      <c r="BV288" s="55">
        <f t="shared" si="288"/>
        <v>31621.145509423921</v>
      </c>
      <c r="BW288" s="41">
        <f>'[2]побудинковий звіт'!BW288+'[1]побудинковий звіт'!BW288</f>
        <v>33874.952322659366</v>
      </c>
      <c r="BX288" s="41">
        <f>'[2]побудинковий звіт'!BX288+'[1]побудинковий звіт'!BX288</f>
        <v>38378.379855222047</v>
      </c>
      <c r="BY288" s="55">
        <f t="shared" si="289"/>
        <v>4503.4275325626804</v>
      </c>
      <c r="BZ288" s="41">
        <f>'[2]побудинковий звіт'!BZ288+'[1]побудинковий звіт'!BZ288</f>
        <v>12921.476665865073</v>
      </c>
      <c r="CA288" s="41">
        <f>'[2]побудинковий звіт'!CA288+'[1]побудинковий звіт'!CA288</f>
        <v>7278.6732376222371</v>
      </c>
      <c r="CB288" s="55">
        <f t="shared" si="290"/>
        <v>-5642.8034282428362</v>
      </c>
      <c r="CC288" s="41">
        <f>'[2]побудинковий звіт'!CC288+'[1]побудинковий звіт'!CC288</f>
        <v>916.0688339491378</v>
      </c>
      <c r="CD288" s="41">
        <f>'[2]побудинковий звіт'!CD288+'[1]побудинковий звіт'!CD288</f>
        <v>919.17512118337982</v>
      </c>
      <c r="CE288" s="55">
        <f t="shared" si="291"/>
        <v>3.1062872342420178</v>
      </c>
      <c r="CF288" s="41">
        <f>'[2]побудинковий звіт'!CF288+'[1]побудинковий звіт'!CF288</f>
        <v>113.49605945079847</v>
      </c>
      <c r="CG288" s="41">
        <f>'[2]побудинковий звіт'!CG288+'[1]побудинковий звіт'!CG288</f>
        <v>0</v>
      </c>
      <c r="CH288" s="55">
        <f t="shared" si="292"/>
        <v>-113.49605945079847</v>
      </c>
      <c r="CI288" s="41">
        <f>'[2]побудинковий звіт'!CI288+'[1]побудинковий звіт'!CI288</f>
        <v>2887.6203691481796</v>
      </c>
      <c r="CJ288" s="41">
        <f>'[2]побудинковий звіт'!CJ288+'[1]побудинковий звіт'!CJ288</f>
        <v>2892.3014815318556</v>
      </c>
      <c r="CK288" s="55">
        <f t="shared" si="293"/>
        <v>4.6811123836760089</v>
      </c>
      <c r="CL288" s="41">
        <f>'[2]побудинковий звіт'!CL288+'[1]побудинковий звіт'!CL288</f>
        <v>0</v>
      </c>
      <c r="CM288" s="41">
        <f>'[2]побудинковий звіт'!CM288+'[1]побудинковий звіт'!CM288</f>
        <v>0</v>
      </c>
      <c r="CN288" s="55">
        <f t="shared" si="294"/>
        <v>0</v>
      </c>
      <c r="CO288" s="41">
        <f t="shared" si="295"/>
        <v>2887.6203691481796</v>
      </c>
      <c r="CP288" s="42">
        <f t="shared" si="296"/>
        <v>2892.3014815318556</v>
      </c>
      <c r="CQ288" s="55">
        <f t="shared" si="297"/>
        <v>4.6811123836760089</v>
      </c>
      <c r="CR288" s="76">
        <f t="shared" si="298"/>
        <v>336524.18305836106</v>
      </c>
      <c r="CS288" s="5">
        <f t="shared" si="299"/>
        <v>325021.57415169588</v>
      </c>
      <c r="CT288" s="55">
        <f t="shared" si="300"/>
        <v>-11502.608906665177</v>
      </c>
      <c r="CU288" s="84">
        <f t="shared" si="301"/>
        <v>403829.01967003325</v>
      </c>
      <c r="CV288" s="68">
        <f t="shared" si="302"/>
        <v>390025.88898203505</v>
      </c>
      <c r="CW288" s="36">
        <f t="shared" si="303"/>
        <v>-13803.1306879982</v>
      </c>
      <c r="CX288" s="41">
        <f>'[2]побудинковий звіт'!CX288+'[1]побудинковий звіт'!CX288</f>
        <v>16289.042892987407</v>
      </c>
      <c r="CY288" s="41">
        <f>'[2]побудинковий звіт'!CY288+'[1]побудинковий звіт'!CY288</f>
        <v>30092.173580985556</v>
      </c>
      <c r="CZ288" s="55">
        <f t="shared" si="304"/>
        <v>13803.130687998149</v>
      </c>
      <c r="DA288" s="254">
        <f>'[1]побудинковий звіт'!DA288</f>
        <v>33082.399023385558</v>
      </c>
      <c r="DB288" s="2">
        <v>3</v>
      </c>
      <c r="DC288" s="702">
        <f>'[1]побудинковий звіт'!DC288</f>
        <v>99579.34</v>
      </c>
      <c r="DD288" s="702">
        <f>'[1]побудинковий звіт'!DD288</f>
        <v>15485.860000000002</v>
      </c>
      <c r="DE288" s="702">
        <f>'[1]побудинковий звіт'!DE288</f>
        <v>60991.199999999997</v>
      </c>
      <c r="DF288" s="702">
        <f>'[1]побудинковий звіт'!DF288</f>
        <v>7992.9800000000005</v>
      </c>
      <c r="DG288" s="772">
        <v>-25097.09928133525</v>
      </c>
      <c r="DH288" s="746">
        <f t="shared" si="306"/>
        <v>5041416.7507562479</v>
      </c>
      <c r="DI288" s="769"/>
      <c r="DJ288" s="5"/>
      <c r="DK288" s="307">
        <f>VLOOKUP($A288,ціни!$A$4:$G$401,5)</f>
        <v>5.3818515896628938</v>
      </c>
      <c r="DL288" s="307"/>
      <c r="DM288" s="307">
        <f>VLOOKUP($A288,ціни!$A$4:$G$401,7)</f>
        <v>4.7244378147372768</v>
      </c>
      <c r="DN288" s="29">
        <f t="shared" si="260"/>
        <v>27626.658765216533</v>
      </c>
      <c r="DO288" s="29">
        <f t="shared" si="305"/>
        <v>5303.1814470425925</v>
      </c>
      <c r="DP288" s="306">
        <f t="shared" si="307"/>
        <v>32929.840212259121</v>
      </c>
      <c r="DQ288" s="101"/>
      <c r="DR288" s="29">
        <f>VLOOKUP(A288,'ДЗ нас '!$A$1:$C$359,2)</f>
        <v>27615.599999999999</v>
      </c>
      <c r="DS288" s="733">
        <f>VLOOKUP(A288,'ДЗ нежит'!$A$1:$D$153,4,0)</f>
        <v>5303.1500000000015</v>
      </c>
      <c r="DT288" s="29">
        <f t="shared" si="308"/>
        <v>32918.75</v>
      </c>
      <c r="DU288" s="247">
        <f>VLOOKUP(A288,'новий кошторис с 01.06'!$A$4:$AI$399,35)*1.2</f>
        <v>33173.361561474936</v>
      </c>
      <c r="DV288" s="29">
        <f t="shared" si="309"/>
        <v>-254.61156147493602</v>
      </c>
      <c r="DW288" s="1016">
        <f>'[2]побудинковий звіт'!$DW$9+'[1]побудинковий звіт'!DW288</f>
        <v>1494</v>
      </c>
      <c r="DX288" s="101">
        <f>'[1]побудинковий звіт'!DX288</f>
        <v>0</v>
      </c>
      <c r="DY288" s="5">
        <f t="shared" si="310"/>
        <v>139951.28572777245</v>
      </c>
      <c r="DZ288" s="5">
        <f t="shared" si="311"/>
        <v>89919.268288879117</v>
      </c>
      <c r="EA288" s="737">
        <f t="shared" si="312"/>
        <v>68984.179999999993</v>
      </c>
      <c r="EC288" s="577">
        <f t="shared" si="313"/>
        <v>1165095.2508222568</v>
      </c>
      <c r="EE288" s="743">
        <v>34274</v>
      </c>
      <c r="EF288" s="723">
        <f t="shared" si="314"/>
        <v>9176.9007186647505</v>
      </c>
      <c r="EH288" s="798">
        <v>78438.650228507366</v>
      </c>
      <c r="EI288" s="101">
        <f>VLOOKUP(A288,'кошти 01.01.24'!$A$9:$D$352,4,FALSE)</f>
        <v>46885.529711383831</v>
      </c>
    </row>
    <row r="289" spans="1:139" hidden="1" x14ac:dyDescent="0.3">
      <c r="A289" s="318">
        <v>150000714</v>
      </c>
      <c r="B289" s="43" t="s">
        <v>694</v>
      </c>
      <c r="C289" s="44" t="s">
        <v>1800</v>
      </c>
      <c r="D289" s="44" t="s">
        <v>282</v>
      </c>
      <c r="E289" s="39">
        <f t="shared" si="262"/>
        <v>2767.8</v>
      </c>
      <c r="F289" s="205">
        <f>'[1]побудинковий звіт'!F289</f>
        <v>2767.8</v>
      </c>
      <c r="G289" s="29">
        <f>'[1]побудинковий звіт'!G289</f>
        <v>0</v>
      </c>
      <c r="H289" s="148">
        <f>'[1]побудинковий звіт'!H289</f>
        <v>0</v>
      </c>
      <c r="I289" s="41">
        <f>'[2]побудинковий звіт'!I289+'[1]побудинковий звіт'!I289</f>
        <v>10661.106374559644</v>
      </c>
      <c r="J289" s="41">
        <f>'[2]побудинковий звіт'!J289+'[1]побудинковий звіт'!J289</f>
        <v>11090.735539691279</v>
      </c>
      <c r="K289" s="55">
        <f t="shared" si="263"/>
        <v>429.62916513163509</v>
      </c>
      <c r="L289" s="41">
        <f>'[2]побудинковий звіт'!L289+'[1]побудинковий звіт'!L289</f>
        <v>2294.5788424946741</v>
      </c>
      <c r="M289" s="41">
        <f>'[2]побудинковий звіт'!M289+'[1]побудинковий звіт'!M289</f>
        <v>2487.5015857260701</v>
      </c>
      <c r="N289" s="55">
        <f t="shared" si="264"/>
        <v>192.922743231396</v>
      </c>
      <c r="O289" s="41">
        <f>'[2]побудинковий звіт'!O289+'[1]побудинковий звіт'!O289</f>
        <v>4316.5672852247008</v>
      </c>
      <c r="P289" s="41">
        <f>'[2]побудинковий звіт'!P289+'[1]побудинковий звіт'!P289</f>
        <v>4328.7887212891583</v>
      </c>
      <c r="Q289" s="55">
        <f t="shared" si="265"/>
        <v>12.221436064457521</v>
      </c>
      <c r="R289" s="41">
        <f>'[2]побудинковий звіт'!R289+'[1]побудинковий звіт'!R289</f>
        <v>0</v>
      </c>
      <c r="S289" s="41">
        <f>'[2]побудинковий звіт'!S289+'[1]побудинковий звіт'!S289</f>
        <v>0</v>
      </c>
      <c r="T289" s="55">
        <f t="shared" si="266"/>
        <v>0</v>
      </c>
      <c r="U289" s="41">
        <f>'[2]побудинковий звіт'!U289+'[1]побудинковий звіт'!U289</f>
        <v>0</v>
      </c>
      <c r="V289" s="41">
        <f>'[2]побудинковий звіт'!V289+'[1]побудинковий звіт'!V289</f>
        <v>0</v>
      </c>
      <c r="W289" s="55">
        <f t="shared" si="267"/>
        <v>0</v>
      </c>
      <c r="X289" s="41">
        <f>'[2]побудинковий звіт'!X289+'[1]побудинковий звіт'!X289</f>
        <v>7336.8712048624238</v>
      </c>
      <c r="Y289" s="41">
        <f>'[2]побудинковий звіт'!Y289+'[1]побудинковий звіт'!Y289</f>
        <v>7281.9866896003132</v>
      </c>
      <c r="Z289" s="55">
        <f t="shared" si="268"/>
        <v>-54.884515262110654</v>
      </c>
      <c r="AA289" s="41">
        <f>'[2]побудинковий звіт'!AA289+'[1]побудинковий звіт'!AA289</f>
        <v>0</v>
      </c>
      <c r="AB289" s="41">
        <f>'[2]побудинковий звіт'!AB289+'[1]побудинковий звіт'!AB289</f>
        <v>0</v>
      </c>
      <c r="AC289" s="55">
        <f t="shared" si="269"/>
        <v>0</v>
      </c>
      <c r="AD289" s="41">
        <f>'[2]побудинковий звіт'!AD289+'[1]побудинковий звіт'!AD289</f>
        <v>12004.81260751523</v>
      </c>
      <c r="AE289" s="41">
        <f>'[2]побудинковий звіт'!AE289+'[1]побудинковий звіт'!AE289</f>
        <v>11958.122645802114</v>
      </c>
      <c r="AF289" s="36">
        <f t="shared" si="270"/>
        <v>-46.689961713116645</v>
      </c>
      <c r="AG289" s="84">
        <f t="shared" si="271"/>
        <v>36613.936314656676</v>
      </c>
      <c r="AH289" s="56">
        <f t="shared" si="272"/>
        <v>37147.135182108934</v>
      </c>
      <c r="AI289" s="55">
        <f t="shared" si="273"/>
        <v>533.19886745225813</v>
      </c>
      <c r="AJ289" s="41">
        <f>'[2]побудинковий звіт'!AJ289+'[1]побудинковий звіт'!AJ289</f>
        <v>0</v>
      </c>
      <c r="AK289" s="41">
        <f>'[2]побудинковий звіт'!AK289+'[1]побудинковий звіт'!AK289</f>
        <v>0</v>
      </c>
      <c r="AL289" s="55">
        <f t="shared" si="274"/>
        <v>0</v>
      </c>
      <c r="AM289" s="41">
        <f>'[2]побудинковий звіт'!AM289+'[1]побудинковий звіт'!AM289</f>
        <v>0</v>
      </c>
      <c r="AN289" s="41">
        <f>'[2]побудинковий звіт'!AN289+'[1]побудинковий звіт'!AN289</f>
        <v>0</v>
      </c>
      <c r="AO289" s="55">
        <f t="shared" si="275"/>
        <v>0</v>
      </c>
      <c r="AP289" s="41">
        <f>'[2]побудинковий звіт'!AP289+'[1]побудинковий звіт'!AP289</f>
        <v>5328.5521636871381</v>
      </c>
      <c r="AQ289" s="41">
        <f>'[2]побудинковий звіт'!AQ289+'[1]побудинковий звіт'!AQ289</f>
        <v>7907.9134676609556</v>
      </c>
      <c r="AR289" s="55">
        <f t="shared" si="276"/>
        <v>2579.3613039738175</v>
      </c>
      <c r="AS289" s="41">
        <f>'[2]побудинковий звіт'!AS289+'[1]побудинковий звіт'!AS289</f>
        <v>48325.910719370942</v>
      </c>
      <c r="AT289" s="41">
        <f>'[2]побудинковий звіт'!AT289+'[1]побудинковий звіт'!AT289</f>
        <v>25471.432212581967</v>
      </c>
      <c r="AU289" s="57">
        <f t="shared" si="277"/>
        <v>-22854.478506788975</v>
      </c>
      <c r="AV289" s="41">
        <f>'[2]побудинковий звіт'!AV289+'[1]побудинковий звіт'!AV289</f>
        <v>1751.0200681671897</v>
      </c>
      <c r="AW289" s="41">
        <f>'[2]побудинковий звіт'!AW289+'[1]побудинковий звіт'!AW289</f>
        <v>3184.9763105876091</v>
      </c>
      <c r="AX289" s="58">
        <f t="shared" si="278"/>
        <v>1433.9562424204194</v>
      </c>
      <c r="AY289" s="41">
        <f>'[2]побудинковий звіт'!AY289+'[1]побудинковий звіт'!AY289</f>
        <v>2763.2441741009807</v>
      </c>
      <c r="AZ289" s="41">
        <f>'[2]побудинковий звіт'!AZ289+'[1]побудинковий звіт'!AZ289</f>
        <v>666.0646154291527</v>
      </c>
      <c r="BA289" s="36">
        <f t="shared" si="279"/>
        <v>-2097.1795586718281</v>
      </c>
      <c r="BB289" s="41">
        <f>'[2]побудинковий звіт'!BB289+'[1]побудинковий звіт'!BB289</f>
        <v>1532.6375549424463</v>
      </c>
      <c r="BC289" s="41">
        <f>'[2]побудинковий звіт'!BC289+'[1]побудинковий звіт'!BC289</f>
        <v>0</v>
      </c>
      <c r="BD289" s="58">
        <f t="shared" si="280"/>
        <v>-1532.6375549424463</v>
      </c>
      <c r="BE289" s="41">
        <f>'[2]побудинковий звіт'!BE289+'[1]побудинковий звіт'!BE289</f>
        <v>0</v>
      </c>
      <c r="BF289" s="41">
        <f>'[2]побудинковий звіт'!BF289+'[1]побудинковий звіт'!BF289</f>
        <v>0</v>
      </c>
      <c r="BG289" s="38">
        <f t="shared" si="281"/>
        <v>0</v>
      </c>
      <c r="BH289" s="41">
        <f>'[2]побудинковий звіт'!BH289+'[1]побудинковий звіт'!BH289</f>
        <v>0</v>
      </c>
      <c r="BI289" s="41">
        <f>'[2]побудинковий звіт'!BI289+'[1]побудинковий звіт'!BI289</f>
        <v>0</v>
      </c>
      <c r="BJ289" s="58">
        <f t="shared" si="282"/>
        <v>0</v>
      </c>
      <c r="BK289" s="41">
        <f>'[2]побудинковий звіт'!BK289+'[1]побудинковий звіт'!BK289</f>
        <v>1332.3491029999911</v>
      </c>
      <c r="BL289" s="41">
        <f>'[2]побудинковий звіт'!BL289+'[1]побудинковий звіт'!BL289</f>
        <v>3019.4716439340618</v>
      </c>
      <c r="BM289" s="38">
        <f t="shared" si="283"/>
        <v>1687.1225409340707</v>
      </c>
      <c r="BN289" s="41">
        <f>'[2]побудинковий звіт'!BN289+'[1]побудинковий звіт'!BN289</f>
        <v>75.290084735242345</v>
      </c>
      <c r="BO289" s="41">
        <f>'[2]побудинковий звіт'!BO289+'[1]побудинковий звіт'!BO289</f>
        <v>371.38792017384003</v>
      </c>
      <c r="BP289" s="58">
        <f t="shared" si="284"/>
        <v>296.09783543859771</v>
      </c>
      <c r="BQ289" s="84">
        <f t="shared" si="285"/>
        <v>7454.5409849458501</v>
      </c>
      <c r="BR289" s="42">
        <f t="shared" si="286"/>
        <v>7241.9004901246635</v>
      </c>
      <c r="BS289" s="58">
        <f t="shared" si="287"/>
        <v>-212.64049482118662</v>
      </c>
      <c r="BT289" s="41">
        <f>'[2]побудинковий звіт'!BT289+'[1]побудинковий звіт'!BT289</f>
        <v>38391.298225462408</v>
      </c>
      <c r="BU289" s="41">
        <f>'[2]побудинковий звіт'!BU289+'[1]побудинковий звіт'!BU289</f>
        <v>61394.110296075494</v>
      </c>
      <c r="BV289" s="55">
        <f t="shared" si="288"/>
        <v>23002.812070613087</v>
      </c>
      <c r="BW289" s="41">
        <f>'[2]побудинковий звіт'!BW289+'[1]побудинковий звіт'!BW289</f>
        <v>19253.528924168655</v>
      </c>
      <c r="BX289" s="41">
        <f>'[2]побудинковий звіт'!BX289+'[1]побудинковий звіт'!BX289</f>
        <v>21546.177375164945</v>
      </c>
      <c r="BY289" s="55">
        <f t="shared" si="289"/>
        <v>2292.6484509962902</v>
      </c>
      <c r="BZ289" s="41">
        <f>'[2]побудинковий звіт'!BZ289+'[1]побудинковий звіт'!BZ289</f>
        <v>5196.1973854138305</v>
      </c>
      <c r="CA289" s="41">
        <f>'[2]побудинковий звіт'!CA289+'[1]побудинковий звіт'!CA289</f>
        <v>4030.920137722957</v>
      </c>
      <c r="CB289" s="55">
        <f t="shared" si="290"/>
        <v>-1165.2772476908735</v>
      </c>
      <c r="CC289" s="41">
        <f>'[2]побудинковий звіт'!CC289+'[1]побудинковий звіт'!CC289</f>
        <v>610.71255596609194</v>
      </c>
      <c r="CD289" s="41">
        <f>'[2]побудинковий звіт'!CD289+'[1]побудинковий звіт'!CD289</f>
        <v>612.78341412225325</v>
      </c>
      <c r="CE289" s="55">
        <f t="shared" si="291"/>
        <v>2.0708581561613073</v>
      </c>
      <c r="CF289" s="41">
        <f>'[2]побудинковий звіт'!CF289+'[1]побудинковий звіт'!CF289</f>
        <v>75.664039633865656</v>
      </c>
      <c r="CG289" s="41">
        <f>'[2]побудинковий звіт'!CG289+'[1]побудинковий звіт'!CG289</f>
        <v>0</v>
      </c>
      <c r="CH289" s="55">
        <f t="shared" si="292"/>
        <v>-75.664039633865656</v>
      </c>
      <c r="CI289" s="41">
        <f>'[2]побудинковий звіт'!CI289+'[1]побудинковий звіт'!CI289</f>
        <v>12128.770217118728</v>
      </c>
      <c r="CJ289" s="41">
        <f>'[2]побудинковий звіт'!CJ289+'[1]побудинковий звіт'!CJ289</f>
        <v>14493.023115402733</v>
      </c>
      <c r="CK289" s="55">
        <f t="shared" si="293"/>
        <v>2364.2528982840049</v>
      </c>
      <c r="CL289" s="41">
        <f>'[2]побудинковий звіт'!CL289+'[1]побудинковий звіт'!CL289</f>
        <v>0</v>
      </c>
      <c r="CM289" s="41">
        <f>'[2]побудинковий звіт'!CM289+'[1]побудинковий звіт'!CM289</f>
        <v>0</v>
      </c>
      <c r="CN289" s="55">
        <f t="shared" si="294"/>
        <v>0</v>
      </c>
      <c r="CO289" s="41">
        <f t="shared" si="295"/>
        <v>12128.770217118728</v>
      </c>
      <c r="CP289" s="42">
        <f t="shared" si="296"/>
        <v>14493.023115402733</v>
      </c>
      <c r="CQ289" s="55">
        <f t="shared" si="297"/>
        <v>2364.2528982840049</v>
      </c>
      <c r="CR289" s="76">
        <f t="shared" si="298"/>
        <v>173379.11153042421</v>
      </c>
      <c r="CS289" s="5">
        <f t="shared" si="299"/>
        <v>179845.39569096486</v>
      </c>
      <c r="CT289" s="55">
        <f t="shared" si="300"/>
        <v>6466.2841605406429</v>
      </c>
      <c r="CU289" s="84">
        <f t="shared" si="301"/>
        <v>208054.93383650904</v>
      </c>
      <c r="CV289" s="68">
        <f t="shared" si="302"/>
        <v>215814.47482915781</v>
      </c>
      <c r="CW289" s="36">
        <f t="shared" si="303"/>
        <v>7759.5409926487773</v>
      </c>
      <c r="CX289" s="41">
        <f>'[2]побудинковий звіт'!CX289+'[1]побудинковий звіт'!CX289</f>
        <v>5434.4268097898303</v>
      </c>
      <c r="CY289" s="41">
        <f>'[2]побудинковий звіт'!CY289+'[1]побудинковий звіт'!CY289</f>
        <v>-2325.1141828590189</v>
      </c>
      <c r="CZ289" s="55">
        <f t="shared" si="304"/>
        <v>-7759.5409926488492</v>
      </c>
      <c r="DA289" s="254">
        <f>'[1]побудинковий звіт'!DA289</f>
        <v>35177.318896421246</v>
      </c>
      <c r="DB289" s="2">
        <v>3</v>
      </c>
      <c r="DC289" s="702">
        <f>'[1]побудинковий звіт'!DC289</f>
        <v>55691.8</v>
      </c>
      <c r="DD289" s="702">
        <f>'[1]побудинковий звіт'!DD289</f>
        <v>0</v>
      </c>
      <c r="DE289" s="702">
        <f>'[1]побудинковий звіт'!DE289</f>
        <v>32222.240000000002</v>
      </c>
      <c r="DF289" s="702">
        <f>'[1]побудинковий звіт'!DF289</f>
        <v>0</v>
      </c>
      <c r="DG289" s="772">
        <v>54421.837981127726</v>
      </c>
      <c r="DH289" s="746">
        <f t="shared" si="306"/>
        <v>2561872.3277555862</v>
      </c>
      <c r="DI289" s="769"/>
      <c r="DJ289" s="5"/>
      <c r="DK289" s="307">
        <f>VLOOKUP($A289,ціни!$A$4:$G$401,5)</f>
        <v>6.0418213251025001</v>
      </c>
      <c r="DL289" s="307"/>
      <c r="DM289" s="307">
        <f>VLOOKUP($A289,ціни!$A$4:$G$401,7)</f>
        <v>5.360875588508736</v>
      </c>
      <c r="DN289" s="29">
        <f t="shared" si="260"/>
        <v>16722.5530636187</v>
      </c>
      <c r="DO289" s="29">
        <f t="shared" si="305"/>
        <v>0</v>
      </c>
      <c r="DP289" s="306">
        <f t="shared" si="307"/>
        <v>16722.5530636187</v>
      </c>
      <c r="DQ289" s="101"/>
      <c r="DR289" s="29">
        <f>VLOOKUP(A289,'ДЗ нас '!$A$1:$C$359,2)</f>
        <v>16722.48</v>
      </c>
      <c r="DS289" s="733"/>
      <c r="DT289" s="29">
        <f t="shared" si="308"/>
        <v>16722.48</v>
      </c>
      <c r="DU289" s="247">
        <f>VLOOKUP(A289,'новий кошторис с 01.06'!$A$4:$AI$399,35)*1.2</f>
        <v>16788.131703083873</v>
      </c>
      <c r="DV289" s="29">
        <f t="shared" si="309"/>
        <v>-65.651703083873144</v>
      </c>
      <c r="DW289" s="1016">
        <f>'[2]побудинковий звіт'!$DW$9+'[1]побудинковий звіт'!DW289</f>
        <v>1062</v>
      </c>
      <c r="DX289" s="101">
        <f>'[1]побудинковий звіт'!DX289</f>
        <v>0</v>
      </c>
      <c r="DY289" s="5">
        <f t="shared" si="310"/>
        <v>66936.542045180147</v>
      </c>
      <c r="DZ289" s="5">
        <f t="shared" si="311"/>
        <v>39255.999243247956</v>
      </c>
      <c r="EA289" s="737">
        <f t="shared" si="312"/>
        <v>32222.240000000002</v>
      </c>
      <c r="EC289" s="577">
        <f t="shared" si="313"/>
        <v>579910.92863245134</v>
      </c>
      <c r="EE289" s="743">
        <v>32548</v>
      </c>
      <c r="EF289" s="723">
        <f t="shared" si="314"/>
        <v>86969.837981127726</v>
      </c>
      <c r="EH289" s="798">
        <v>41529.681839487908</v>
      </c>
      <c r="EI289" s="101">
        <f>VLOOKUP(A289,'кошти 01.01.24'!$A$9:$D$352,4,FALSE)</f>
        <v>27417.777903772338</v>
      </c>
    </row>
    <row r="290" spans="1:139" hidden="1" x14ac:dyDescent="0.3">
      <c r="A290" s="318">
        <v>150000715</v>
      </c>
      <c r="B290" s="43" t="s">
        <v>695</v>
      </c>
      <c r="C290" s="44" t="s">
        <v>1801</v>
      </c>
      <c r="D290" s="44" t="s">
        <v>283</v>
      </c>
      <c r="E290" s="39">
        <f t="shared" si="262"/>
        <v>4580.1000000000004</v>
      </c>
      <c r="F290" s="205">
        <f>'[1]побудинковий звіт'!F290</f>
        <v>4580.1000000000004</v>
      </c>
      <c r="G290" s="29">
        <f>'[1]побудинковий звіт'!G290</f>
        <v>0</v>
      </c>
      <c r="H290" s="148">
        <f>'[1]побудинковий звіт'!H290</f>
        <v>0</v>
      </c>
      <c r="I290" s="41">
        <f>'[2]побудинковий звіт'!I290+'[1]побудинковий звіт'!I290</f>
        <v>17333.463327601839</v>
      </c>
      <c r="J290" s="41">
        <f>'[2]побудинковий звіт'!J290+'[1]побудинковий звіт'!J290</f>
        <v>18008.647880966459</v>
      </c>
      <c r="K290" s="55">
        <f t="shared" si="263"/>
        <v>675.18455336461921</v>
      </c>
      <c r="L290" s="41">
        <f>'[2]побудинковий звіт'!L290+'[1]побудинковий звіт'!L290</f>
        <v>3599.8644433182908</v>
      </c>
      <c r="M290" s="41">
        <f>'[2]побудинковий звіт'!M290+'[1]побудинковий звіт'!M290</f>
        <v>3959.1388780802645</v>
      </c>
      <c r="N290" s="55">
        <f t="shared" si="264"/>
        <v>359.27443476197368</v>
      </c>
      <c r="O290" s="41">
        <f>'[2]побудинковий звіт'!O290+'[1]побудинковий звіт'!O290</f>
        <v>7316.4776634226446</v>
      </c>
      <c r="P290" s="41">
        <f>'[2]побудинковий звіт'!P290+'[1]побудинковий звіт'!P290</f>
        <v>7337.1764878133099</v>
      </c>
      <c r="Q290" s="55">
        <f t="shared" si="265"/>
        <v>20.698824390665322</v>
      </c>
      <c r="R290" s="41">
        <f>'[2]побудинковий звіт'!R290+'[1]побудинковий звіт'!R290</f>
        <v>0</v>
      </c>
      <c r="S290" s="41">
        <f>'[2]побудинковий звіт'!S290+'[1]побудинковий звіт'!S290</f>
        <v>0</v>
      </c>
      <c r="T290" s="55">
        <f t="shared" si="266"/>
        <v>0</v>
      </c>
      <c r="U290" s="41">
        <f>'[2]побудинковий звіт'!U290+'[1]побудинковий звіт'!U290</f>
        <v>1111.9115486531209</v>
      </c>
      <c r="V290" s="41">
        <f>'[2]побудинковий звіт'!V290+'[1]побудинковий звіт'!V290</f>
        <v>796.73182675289627</v>
      </c>
      <c r="W290" s="55">
        <f t="shared" si="267"/>
        <v>-315.17972190022465</v>
      </c>
      <c r="X290" s="41">
        <f>'[2]побудинковий звіт'!X290+'[1]побудинковий звіт'!X290</f>
        <v>13393.117803297831</v>
      </c>
      <c r="Y290" s="41">
        <f>'[2]побудинковий звіт'!Y290+'[1]побудинковий звіт'!Y290</f>
        <v>13766.854521389476</v>
      </c>
      <c r="Z290" s="55">
        <f t="shared" si="268"/>
        <v>373.73671809164443</v>
      </c>
      <c r="AA290" s="41">
        <f>'[2]побудинковий звіт'!AA290+'[1]побудинковий звіт'!AA290</f>
        <v>0</v>
      </c>
      <c r="AB290" s="41">
        <f>'[2]побудинковий звіт'!AB290+'[1]побудинковий звіт'!AB290</f>
        <v>0</v>
      </c>
      <c r="AC290" s="55">
        <f t="shared" si="269"/>
        <v>0</v>
      </c>
      <c r="AD290" s="41">
        <f>'[2]побудинковий звіт'!AD290+'[1]побудинковий звіт'!AD290</f>
        <v>19866.038280875131</v>
      </c>
      <c r="AE290" s="41">
        <f>'[2]побудинковий звіт'!AE290+'[1]побудинковий звіт'!AE290</f>
        <v>19788.751462457141</v>
      </c>
      <c r="AF290" s="36">
        <f t="shared" si="270"/>
        <v>-77.286818417989707</v>
      </c>
      <c r="AG290" s="84">
        <f t="shared" si="271"/>
        <v>62620.873067168854</v>
      </c>
      <c r="AH290" s="56">
        <f t="shared" si="272"/>
        <v>63657.301057459546</v>
      </c>
      <c r="AI290" s="55">
        <f t="shared" si="273"/>
        <v>1036.4279902906928</v>
      </c>
      <c r="AJ290" s="41">
        <f>'[2]побудинковий звіт'!AJ290+'[1]побудинковий звіт'!AJ290</f>
        <v>0</v>
      </c>
      <c r="AK290" s="41">
        <f>'[2]побудинковий звіт'!AK290+'[1]побудинковий звіт'!AK290</f>
        <v>0</v>
      </c>
      <c r="AL290" s="55">
        <f t="shared" si="274"/>
        <v>0</v>
      </c>
      <c r="AM290" s="41">
        <f>'[2]побудинковий звіт'!AM290+'[1]побудинковий звіт'!AM290</f>
        <v>0</v>
      </c>
      <c r="AN290" s="41">
        <f>'[2]побудинковий звіт'!AN290+'[1]побудинковий звіт'!AN290</f>
        <v>0</v>
      </c>
      <c r="AO290" s="55">
        <f t="shared" si="275"/>
        <v>0</v>
      </c>
      <c r="AP290" s="41">
        <f>'[2]побудинковий звіт'!AP290+'[1]побудинковий звіт'!AP290</f>
        <v>14858.991938216353</v>
      </c>
      <c r="AQ290" s="41">
        <f>'[2]побудинковий звіт'!AQ290+'[1]побудинковий звіт'!AQ290</f>
        <v>13580.748959254433</v>
      </c>
      <c r="AR290" s="55">
        <f t="shared" si="276"/>
        <v>-1278.24297896192</v>
      </c>
      <c r="AS290" s="41">
        <f>'[2]побудинковий звіт'!AS290+'[1]побудинковий звіт'!AS290</f>
        <v>71664.246218218148</v>
      </c>
      <c r="AT290" s="41">
        <f>'[2]побудинковий звіт'!AT290+'[1]побудинковий звіт'!AT290</f>
        <v>10270.434848994653</v>
      </c>
      <c r="AU290" s="57">
        <f t="shared" si="277"/>
        <v>-61393.811369223491</v>
      </c>
      <c r="AV290" s="41">
        <f>'[2]побудинковий звіт'!AV290+'[1]побудинковий звіт'!AV290</f>
        <v>2654.4057324846776</v>
      </c>
      <c r="AW290" s="41">
        <f>'[2]побудинковий звіт'!AW290+'[1]побудинковий звіт'!AW290</f>
        <v>1153.9366216582528</v>
      </c>
      <c r="AX290" s="58">
        <f t="shared" si="278"/>
        <v>-1500.4691108264249</v>
      </c>
      <c r="AY290" s="41">
        <f>'[2]побудинковий звіт'!AY290+'[1]побудинковий звіт'!AY290</f>
        <v>4644.5765983951078</v>
      </c>
      <c r="AZ290" s="41">
        <f>'[2]побудинковий звіт'!AZ290+'[1]побудинковий звіт'!AZ290</f>
        <v>3993.3854926809418</v>
      </c>
      <c r="BA290" s="36">
        <f t="shared" si="279"/>
        <v>-651.19110571416604</v>
      </c>
      <c r="BB290" s="41">
        <f>'[2]побудинковий звіт'!BB290+'[1]побудинковий звіт'!BB290</f>
        <v>2591.7230174524352</v>
      </c>
      <c r="BC290" s="41">
        <f>'[2]побудинковий звіт'!BC290+'[1]побудинковий звіт'!BC290</f>
        <v>0</v>
      </c>
      <c r="BD290" s="58">
        <f t="shared" si="280"/>
        <v>-2591.7230174524352</v>
      </c>
      <c r="BE290" s="41">
        <f>'[2]побудинковий звіт'!BE290+'[1]побудинковий звіт'!BE290</f>
        <v>0</v>
      </c>
      <c r="BF290" s="41">
        <f>'[2]побудинковий звіт'!BF290+'[1]побудинковий звіт'!BF290</f>
        <v>0</v>
      </c>
      <c r="BG290" s="38">
        <f t="shared" si="281"/>
        <v>0</v>
      </c>
      <c r="BH290" s="41">
        <f>'[2]побудинковий звіт'!BH290+'[1]побудинковий звіт'!BH290</f>
        <v>1127.9168868821885</v>
      </c>
      <c r="BI290" s="41">
        <f>'[2]побудинковий звіт'!BI290+'[1]побудинковий звіт'!BI290</f>
        <v>0</v>
      </c>
      <c r="BJ290" s="58">
        <f t="shared" si="282"/>
        <v>-1127.9168868821885</v>
      </c>
      <c r="BK290" s="41">
        <f>'[2]побудинковий звіт'!BK290+'[1]побудинковий звіт'!BK290</f>
        <v>2668.9495757959276</v>
      </c>
      <c r="BL290" s="41">
        <f>'[2]побудинковий звіт'!BL290+'[1]побудинковий звіт'!BL290</f>
        <v>0</v>
      </c>
      <c r="BM290" s="38">
        <f t="shared" si="283"/>
        <v>-2668.9495757959276</v>
      </c>
      <c r="BN290" s="41">
        <f>'[2]побудинковий звіт'!BN290+'[1]побудинковий звіт'!BN290</f>
        <v>131.75764828667408</v>
      </c>
      <c r="BO290" s="41">
        <f>'[2]побудинковий звіт'!BO290+'[1]побудинковий звіт'!BO290</f>
        <v>0</v>
      </c>
      <c r="BP290" s="58">
        <f t="shared" si="284"/>
        <v>-131.75764828667408</v>
      </c>
      <c r="BQ290" s="84">
        <f t="shared" si="285"/>
        <v>13819.329459297011</v>
      </c>
      <c r="BR290" s="42">
        <f t="shared" si="286"/>
        <v>5147.3221143391947</v>
      </c>
      <c r="BS290" s="58">
        <f t="shared" si="287"/>
        <v>-8672.0073449578158</v>
      </c>
      <c r="BT290" s="41">
        <f>'[2]побудинковий звіт'!BT290+'[1]побудинковий звіт'!BT290</f>
        <v>49901.335101727374</v>
      </c>
      <c r="BU290" s="41">
        <f>'[2]побудинковий звіт'!BU290+'[1]побудинковий звіт'!BU290</f>
        <v>82486.238879042256</v>
      </c>
      <c r="BV290" s="55">
        <f t="shared" si="288"/>
        <v>32584.903777314881</v>
      </c>
      <c r="BW290" s="41">
        <f>'[2]побудинковий звіт'!BW290+'[1]побудинковий звіт'!BW290</f>
        <v>24572.928634023861</v>
      </c>
      <c r="BX290" s="41">
        <f>'[2]побудинковий звіт'!BX290+'[1]побудинковий звіт'!BX290</f>
        <v>27914.92718205355</v>
      </c>
      <c r="BY290" s="55">
        <f t="shared" si="289"/>
        <v>3341.9985480296891</v>
      </c>
      <c r="BZ290" s="41">
        <f>'[2]побудинковий звіт'!BZ290+'[1]побудинковий звіт'!BZ290</f>
        <v>11624.995240722563</v>
      </c>
      <c r="CA290" s="41">
        <f>'[2]побудинковий звіт'!CA290+'[1]побудинковий звіт'!CA290</f>
        <v>6344.7570404417538</v>
      </c>
      <c r="CB290" s="55">
        <f t="shared" si="290"/>
        <v>-5280.238200280809</v>
      </c>
      <c r="CC290" s="41">
        <f>'[2]побудинковий звіт'!CC290+'[1]побудинковий звіт'!CC290</f>
        <v>610.71034699111306</v>
      </c>
      <c r="CD290" s="41">
        <f>'[2]побудинковий звіт'!CD290+'[1]побудинковий звіт'!CD290</f>
        <v>612.78341412225325</v>
      </c>
      <c r="CE290" s="55">
        <f t="shared" si="291"/>
        <v>2.073067131140192</v>
      </c>
      <c r="CF290" s="41">
        <f>'[2]побудинковий звіт'!CF290+'[1]побудинковий звіт'!CF290</f>
        <v>75.660547998688315</v>
      </c>
      <c r="CG290" s="41">
        <f>'[2]побудинковий звіт'!CG290+'[1]побудинковий звіт'!CG290</f>
        <v>0</v>
      </c>
      <c r="CH290" s="55">
        <f t="shared" si="292"/>
        <v>-75.660547998688315</v>
      </c>
      <c r="CI290" s="41">
        <f>'[2]побудинковий звіт'!CI290+'[1]побудинковий звіт'!CI290</f>
        <v>5346.0862863537423</v>
      </c>
      <c r="CJ290" s="41">
        <f>'[2]побудинковий звіт'!CJ290+'[1]побудинковий звіт'!CJ290</f>
        <v>3540.5677146793532</v>
      </c>
      <c r="CK290" s="55">
        <f t="shared" si="293"/>
        <v>-1805.518571674389</v>
      </c>
      <c r="CL290" s="41">
        <f>'[2]побудинковий звіт'!CL290+'[1]побудинковий звіт'!CL290</f>
        <v>0</v>
      </c>
      <c r="CM290" s="41">
        <f>'[2]побудинковий звіт'!CM290+'[1]побудинковий звіт'!CM290</f>
        <v>0</v>
      </c>
      <c r="CN290" s="55">
        <f t="shared" si="294"/>
        <v>0</v>
      </c>
      <c r="CO290" s="41">
        <f t="shared" si="295"/>
        <v>5346.0862863537423</v>
      </c>
      <c r="CP290" s="42">
        <f t="shared" si="296"/>
        <v>3540.5677146793532</v>
      </c>
      <c r="CQ290" s="55">
        <f t="shared" si="297"/>
        <v>-1805.518571674389</v>
      </c>
      <c r="CR290" s="76">
        <f t="shared" si="298"/>
        <v>255095.15684071765</v>
      </c>
      <c r="CS290" s="5">
        <f t="shared" si="299"/>
        <v>213555.08121038703</v>
      </c>
      <c r="CT290" s="55">
        <f t="shared" si="300"/>
        <v>-41540.075630330626</v>
      </c>
      <c r="CU290" s="84">
        <f t="shared" si="301"/>
        <v>306114.18820886116</v>
      </c>
      <c r="CV290" s="68">
        <f t="shared" si="302"/>
        <v>256266.09745246443</v>
      </c>
      <c r="CW290" s="36">
        <f t="shared" si="303"/>
        <v>-49848.090756396734</v>
      </c>
      <c r="CX290" s="41">
        <f>'[2]побудинковий звіт'!CX290+'[1]побудинковий звіт'!CX290</f>
        <v>11881.403826583817</v>
      </c>
      <c r="CY290" s="41">
        <f>'[2]побудинковий звіт'!CY290+'[1]побудинковий звіт'!CY290</f>
        <v>61729.494582980624</v>
      </c>
      <c r="CZ290" s="55">
        <f t="shared" si="304"/>
        <v>49848.090756396807</v>
      </c>
      <c r="DA290" s="254">
        <f>'[1]побудинковий звіт'!DA290</f>
        <v>-46893.480565547987</v>
      </c>
      <c r="DB290" s="2">
        <v>3</v>
      </c>
      <c r="DC290" s="702">
        <f>'[1]побудинковий звіт'!DC290</f>
        <v>68340.460000000006</v>
      </c>
      <c r="DD290" s="702">
        <f>'[1]побудинковий звіт'!DD290</f>
        <v>0</v>
      </c>
      <c r="DE290" s="702">
        <f>'[1]побудинковий звіт'!DE290</f>
        <v>33379.670000000006</v>
      </c>
      <c r="DF290" s="702">
        <f>'[1]побудинковий звіт'!DF290</f>
        <v>0</v>
      </c>
      <c r="DG290" s="772">
        <v>32631.86420543096</v>
      </c>
      <c r="DH290" s="746">
        <f t="shared" si="306"/>
        <v>3815947.10442534</v>
      </c>
      <c r="DI290" s="769"/>
      <c r="DJ290" s="5"/>
      <c r="DK290" s="307">
        <f>VLOOKUP($A290,ціни!$A$4:$G$401,5)</f>
        <v>5.438579381905285</v>
      </c>
      <c r="DL290" s="307"/>
      <c r="DM290" s="307">
        <f>VLOOKUP($A290,ціни!$A$4:$G$401,7)</f>
        <v>4.9063521981529528</v>
      </c>
      <c r="DN290" s="29">
        <f t="shared" si="260"/>
        <v>24909.2374270644</v>
      </c>
      <c r="DO290" s="29">
        <f t="shared" si="305"/>
        <v>0</v>
      </c>
      <c r="DP290" s="306">
        <f t="shared" si="307"/>
        <v>24909.2374270644</v>
      </c>
      <c r="DQ290" s="101"/>
      <c r="DR290" s="29">
        <f>VLOOKUP(A290,'ДЗ нас '!$A$1:$C$359,2)</f>
        <v>24909.33</v>
      </c>
      <c r="DS290" s="733"/>
      <c r="DT290" s="29">
        <f t="shared" si="308"/>
        <v>24909.33</v>
      </c>
      <c r="DU290" s="247">
        <f>VLOOKUP(A290,'новий кошторис с 01.06'!$A$4:$AI$399,35)*1.2</f>
        <v>25083.447093741142</v>
      </c>
      <c r="DV290" s="29">
        <f t="shared" si="309"/>
        <v>-174.11709374114071</v>
      </c>
      <c r="DW290" s="1016">
        <f>'[2]побудинковий звіт'!$DW$9+'[1]побудинковий звіт'!DW290</f>
        <v>1359</v>
      </c>
      <c r="DX290" s="101">
        <f>'[1]побудинковий звіт'!DX290</f>
        <v>0</v>
      </c>
      <c r="DY290" s="5">
        <f t="shared" si="310"/>
        <v>102580.29081301817</v>
      </c>
      <c r="DZ290" s="5">
        <f t="shared" si="311"/>
        <v>18501.308356000616</v>
      </c>
      <c r="EA290" s="737">
        <f t="shared" si="312"/>
        <v>33379.670000000006</v>
      </c>
      <c r="EC290" s="577">
        <f t="shared" si="313"/>
        <v>859970.95461861778</v>
      </c>
      <c r="EE290" s="743">
        <v>31515</v>
      </c>
      <c r="EF290" s="723">
        <f t="shared" si="314"/>
        <v>64146.86420543096</v>
      </c>
      <c r="EH290" s="798">
        <v>55724.293693032509</v>
      </c>
      <c r="EI290" s="101">
        <f>VLOOKUP(A290,'кошти 01.01.24'!$A$9:$D$352,4,FALSE)</f>
        <v>2954.6101908488599</v>
      </c>
    </row>
    <row r="291" spans="1:139" hidden="1" x14ac:dyDescent="0.3">
      <c r="A291" s="318">
        <v>150000719</v>
      </c>
      <c r="B291" s="43" t="s">
        <v>696</v>
      </c>
      <c r="C291" s="44" t="s">
        <v>1802</v>
      </c>
      <c r="D291" s="44" t="s">
        <v>284</v>
      </c>
      <c r="E291" s="39">
        <f t="shared" si="262"/>
        <v>6210.5999999999995</v>
      </c>
      <c r="F291" s="205">
        <f>'[1]побудинковий звіт'!F291</f>
        <v>5974.7</v>
      </c>
      <c r="G291" s="29">
        <f>'[1]побудинковий звіт'!G291</f>
        <v>0</v>
      </c>
      <c r="H291" s="148">
        <f>'[1]побудинковий звіт'!H291</f>
        <v>235.9</v>
      </c>
      <c r="I291" s="41">
        <f>'[2]побудинковий звіт'!I291+'[1]побудинковий звіт'!I291</f>
        <v>23486.055622665572</v>
      </c>
      <c r="J291" s="41">
        <f>'[2]побудинковий звіт'!J291+'[1]побудинковий звіт'!J291</f>
        <v>24332.668730432884</v>
      </c>
      <c r="K291" s="55">
        <f t="shared" si="263"/>
        <v>846.61310776731261</v>
      </c>
      <c r="L291" s="41">
        <f>'[2]побудинковий звіт'!L291+'[1]побудинковий звіт'!L291</f>
        <v>4801.7671205060915</v>
      </c>
      <c r="M291" s="41">
        <f>'[2]побудинковий звіт'!M291+'[1]побудинковий звіт'!M291</f>
        <v>5267.3135270590146</v>
      </c>
      <c r="N291" s="55">
        <f t="shared" si="264"/>
        <v>465.54640655292314</v>
      </c>
      <c r="O291" s="41">
        <f>'[2]побудинковий звіт'!O291+'[1]побудинковий звіт'!O291</f>
        <v>9548.8545997117217</v>
      </c>
      <c r="P291" s="41">
        <f>'[2]побудинковий звіт'!P291+'[1]побудинковий звіт'!P291</f>
        <v>9576.4374733807599</v>
      </c>
      <c r="Q291" s="55">
        <f t="shared" si="265"/>
        <v>27.582873669038236</v>
      </c>
      <c r="R291" s="41">
        <f>'[2]побудинковий звіт'!R291+'[1]побудинковий звіт'!R291</f>
        <v>0</v>
      </c>
      <c r="S291" s="41">
        <f>'[2]побудинковий звіт'!S291+'[1]побудинковий звіт'!S291</f>
        <v>0</v>
      </c>
      <c r="T291" s="55">
        <f t="shared" si="266"/>
        <v>0</v>
      </c>
      <c r="U291" s="41">
        <f>'[2]побудинковий звіт'!U291+'[1]побудинковий звіт'!U291</f>
        <v>2002.6806770679088</v>
      </c>
      <c r="V291" s="41">
        <f>'[2]побудинковий звіт'!V291+'[1]побудинковий звіт'!V291</f>
        <v>1390.4557945745628</v>
      </c>
      <c r="W291" s="55">
        <f t="shared" si="267"/>
        <v>-612.22488249334606</v>
      </c>
      <c r="X291" s="41">
        <f>'[2]побудинковий звіт'!X291+'[1]побудинковий звіт'!X291</f>
        <v>21734.333624450308</v>
      </c>
      <c r="Y291" s="41">
        <f>'[2]побудинковий звіт'!Y291+'[1]побудинковий звіт'!Y291</f>
        <v>22405.822147535458</v>
      </c>
      <c r="Z291" s="55">
        <f t="shared" si="268"/>
        <v>671.48852308515052</v>
      </c>
      <c r="AA291" s="41">
        <f>'[2]побудинковий звіт'!AA291+'[1]побудинковий звіт'!AA291</f>
        <v>0</v>
      </c>
      <c r="AB291" s="41">
        <f>'[2]побудинковий звіт'!AB291+'[1]побудинковий звіт'!AB291</f>
        <v>0</v>
      </c>
      <c r="AC291" s="55">
        <f t="shared" si="269"/>
        <v>0</v>
      </c>
      <c r="AD291" s="41">
        <f>'[2]побудинковий звіт'!AD291+'[1]побудинковий звіт'!AD291</f>
        <v>26939.110338166374</v>
      </c>
      <c r="AE291" s="41">
        <f>'[2]побудинковий звіт'!AE291+'[1]побудинковий звіт'!AE291</f>
        <v>26834.268524963925</v>
      </c>
      <c r="AF291" s="36">
        <f t="shared" si="270"/>
        <v>-104.84181320244898</v>
      </c>
      <c r="AG291" s="84">
        <f t="shared" si="271"/>
        <v>88512.80198256798</v>
      </c>
      <c r="AH291" s="56">
        <f t="shared" si="272"/>
        <v>89806.966197946604</v>
      </c>
      <c r="AI291" s="55">
        <f t="shared" si="273"/>
        <v>1294.1642153786233</v>
      </c>
      <c r="AJ291" s="41">
        <f>'[2]побудинковий звіт'!AJ291+'[1]побудинковий звіт'!AJ291</f>
        <v>0</v>
      </c>
      <c r="AK291" s="41">
        <f>'[2]побудинковий звіт'!AK291+'[1]побудинковий звіт'!AK291</f>
        <v>0</v>
      </c>
      <c r="AL291" s="55">
        <f t="shared" si="274"/>
        <v>0</v>
      </c>
      <c r="AM291" s="41">
        <f>'[2]побудинковий звіт'!AM291+'[1]побудинковий звіт'!AM291</f>
        <v>0</v>
      </c>
      <c r="AN291" s="41">
        <f>'[2]побудинковий звіт'!AN291+'[1]побудинковий звіт'!AN291</f>
        <v>0</v>
      </c>
      <c r="AO291" s="55">
        <f t="shared" si="275"/>
        <v>0</v>
      </c>
      <c r="AP291" s="41">
        <f>'[2]побудинковий звіт'!AP291+'[1]побудинковий звіт'!AP291</f>
        <v>18870.890812344136</v>
      </c>
      <c r="AQ291" s="41">
        <f>'[2]побудинковий звіт'!AQ291+'[1]побудинковий звіт'!AQ291</f>
        <v>19201.722628219464</v>
      </c>
      <c r="AR291" s="55">
        <f t="shared" si="276"/>
        <v>330.83181587532818</v>
      </c>
      <c r="AS291" s="41">
        <f>'[2]побудинковий звіт'!AS291+'[1]побудинковий звіт'!AS291</f>
        <v>79552.168804587287</v>
      </c>
      <c r="AT291" s="41">
        <f>'[2]побудинковий звіт'!AT291+'[1]побудинковий звіт'!AT291</f>
        <v>32008.837269278549</v>
      </c>
      <c r="AU291" s="57">
        <f t="shared" si="277"/>
        <v>-47543.331535308738</v>
      </c>
      <c r="AV291" s="41">
        <f>'[2]побудинковий звіт'!AV291+'[1]побудинковий звіт'!AV291</f>
        <v>3726.0026818760134</v>
      </c>
      <c r="AW291" s="41">
        <f>'[2]побудинковий звіт'!AW291+'[1]побудинковий звіт'!AW291</f>
        <v>0</v>
      </c>
      <c r="AX291" s="58">
        <f t="shared" si="278"/>
        <v>-3726.0026818760134</v>
      </c>
      <c r="AY291" s="41">
        <f>'[2]побудинковий звіт'!AY291+'[1]побудинковий звіт'!AY291</f>
        <v>6195.0113728636625</v>
      </c>
      <c r="AZ291" s="41">
        <f>'[2]побудинковий звіт'!AZ291+'[1]побудинковий звіт'!AZ291</f>
        <v>0</v>
      </c>
      <c r="BA291" s="36">
        <f t="shared" si="279"/>
        <v>-6195.0113728636625</v>
      </c>
      <c r="BB291" s="41">
        <f>'[2]побудинковий звіт'!BB291+'[1]побудинковий звіт'!BB291</f>
        <v>3523.0362030863184</v>
      </c>
      <c r="BC291" s="41">
        <f>'[2]побудинковий звіт'!BC291+'[1]побудинковий звіт'!BC291</f>
        <v>8140.446216658981</v>
      </c>
      <c r="BD291" s="58">
        <f t="shared" si="280"/>
        <v>4617.4100135726621</v>
      </c>
      <c r="BE291" s="41">
        <f>'[2]побудинковий звіт'!BE291+'[1]побудинковий звіт'!BE291</f>
        <v>0</v>
      </c>
      <c r="BF291" s="41">
        <f>'[2]побудинковий звіт'!BF291+'[1]побудинковий звіт'!BF291</f>
        <v>0</v>
      </c>
      <c r="BG291" s="38">
        <f t="shared" si="281"/>
        <v>0</v>
      </c>
      <c r="BH291" s="41">
        <f>'[2]побудинковий звіт'!BH291+'[1]побудинковий звіт'!BH291</f>
        <v>1931.5456718854662</v>
      </c>
      <c r="BI291" s="41">
        <f>'[2]побудинковий звіт'!BI291+'[1]побудинковий звіт'!BI291</f>
        <v>4686.7614884431332</v>
      </c>
      <c r="BJ291" s="58">
        <f t="shared" si="282"/>
        <v>2755.215816557667</v>
      </c>
      <c r="BK291" s="41">
        <f>'[2]побудинковий звіт'!BK291+'[1]побудинковий звіт'!BK291</f>
        <v>4380.8529299503643</v>
      </c>
      <c r="BL291" s="41">
        <f>'[2]побудинковий звіт'!BL291+'[1]побудинковий звіт'!BL291</f>
        <v>5629.9794545575023</v>
      </c>
      <c r="BM291" s="38">
        <f t="shared" si="283"/>
        <v>1249.126524607138</v>
      </c>
      <c r="BN291" s="41">
        <f>'[2]побудинковий звіт'!BN291+'[1]побудинковий звіт'!BN291</f>
        <v>150.58016947048469</v>
      </c>
      <c r="BO291" s="41">
        <f>'[2]побудинковий звіт'!BO291+'[1]побудинковий звіт'!BO291</f>
        <v>7310.2206392330872</v>
      </c>
      <c r="BP291" s="58">
        <f t="shared" si="284"/>
        <v>7159.6404697626022</v>
      </c>
      <c r="BQ291" s="84">
        <f t="shared" si="285"/>
        <v>19907.029029132311</v>
      </c>
      <c r="BR291" s="42">
        <f t="shared" si="286"/>
        <v>25767.407798892706</v>
      </c>
      <c r="BS291" s="58">
        <f t="shared" si="287"/>
        <v>5860.3787697603948</v>
      </c>
      <c r="BT291" s="41">
        <f>'[2]побудинковий звіт'!BT291+'[1]побудинковий звіт'!BT291</f>
        <v>79979.343860754278</v>
      </c>
      <c r="BU291" s="41">
        <f>'[2]побудинковий звіт'!BU291+'[1]побудинковий звіт'!BU291</f>
        <v>116905.9768089236</v>
      </c>
      <c r="BV291" s="55">
        <f t="shared" si="288"/>
        <v>36926.632948169325</v>
      </c>
      <c r="BW291" s="41">
        <f>'[2]побудинковий звіт'!BW291+'[1]побудинковий звіт'!BW291</f>
        <v>36558.057722402991</v>
      </c>
      <c r="BX291" s="41">
        <f>'[2]побудинковий звіт'!BX291+'[1]побудинковий звіт'!BX291</f>
        <v>42116.751620637733</v>
      </c>
      <c r="BY291" s="55">
        <f t="shared" si="289"/>
        <v>5558.6938982347419</v>
      </c>
      <c r="BZ291" s="41">
        <f>'[2]побудинковий звіт'!BZ291+'[1]побудинковий звіт'!BZ291</f>
        <v>13905.02487496872</v>
      </c>
      <c r="CA291" s="41">
        <f>'[2]побудинковий звіт'!CA291+'[1]побудинковий звіт'!CA291</f>
        <v>10494.394605520976</v>
      </c>
      <c r="CB291" s="55">
        <f t="shared" si="290"/>
        <v>-3410.6302694477436</v>
      </c>
      <c r="CC291" s="41">
        <f>'[2]побудинковий звіт'!CC291+'[1]побудинковий звіт'!CC291</f>
        <v>3689.3145505911612</v>
      </c>
      <c r="CD291" s="41">
        <f>'[2]побудинковий звіт'!CD291+'[1]побудинковий звіт'!CD291</f>
        <v>3701.8246047125317</v>
      </c>
      <c r="CE291" s="55">
        <f t="shared" si="291"/>
        <v>12.510054121370558</v>
      </c>
      <c r="CF291" s="41">
        <f>'[2]побудинковий звіт'!CF291+'[1]побудинковий звіт'!CF291</f>
        <v>457.08646342818247</v>
      </c>
      <c r="CG291" s="41">
        <f>'[2]побудинковий звіт'!CG291+'[1]побудинковий звіт'!CG291</f>
        <v>0</v>
      </c>
      <c r="CH291" s="55">
        <f t="shared" si="292"/>
        <v>-457.08646342818247</v>
      </c>
      <c r="CI291" s="41">
        <f>'[2]побудинковий звіт'!CI291+'[1]побудинковий звіт'!CI291</f>
        <v>22655.942660401095</v>
      </c>
      <c r="CJ291" s="41">
        <f>'[2]побудинковий звіт'!CJ291+'[1]побудинковий звіт'!CJ291</f>
        <v>24422.658383936432</v>
      </c>
      <c r="CK291" s="55">
        <f t="shared" si="293"/>
        <v>1766.715723535337</v>
      </c>
      <c r="CL291" s="41">
        <f>'[2]побудинковий звіт'!CL291+'[1]побудинковий звіт'!CL291</f>
        <v>0</v>
      </c>
      <c r="CM291" s="41">
        <f>'[2]побудинковий звіт'!CM291+'[1]побудинковий звіт'!CM291</f>
        <v>0</v>
      </c>
      <c r="CN291" s="55">
        <f t="shared" si="294"/>
        <v>0</v>
      </c>
      <c r="CO291" s="41">
        <f t="shared" si="295"/>
        <v>22655.942660401095</v>
      </c>
      <c r="CP291" s="42">
        <f t="shared" si="296"/>
        <v>24422.658383936432</v>
      </c>
      <c r="CQ291" s="55">
        <f t="shared" si="297"/>
        <v>1766.715723535337</v>
      </c>
      <c r="CR291" s="76">
        <f t="shared" si="298"/>
        <v>364087.66076117812</v>
      </c>
      <c r="CS291" s="5">
        <f t="shared" si="299"/>
        <v>364426.53991806862</v>
      </c>
      <c r="CT291" s="55">
        <f t="shared" si="300"/>
        <v>338.87915689049987</v>
      </c>
      <c r="CU291" s="84">
        <f t="shared" si="301"/>
        <v>436905.19291341375</v>
      </c>
      <c r="CV291" s="68">
        <f t="shared" si="302"/>
        <v>437311.84790168231</v>
      </c>
      <c r="CW291" s="36">
        <f t="shared" si="303"/>
        <v>406.65498826856492</v>
      </c>
      <c r="CX291" s="41">
        <f>'[2]побудинковий звіт'!CX291+'[1]побудинковий звіт'!CX291</f>
        <v>18354.171078829226</v>
      </c>
      <c r="CY291" s="41">
        <f>'[2]побудинковий звіт'!CY291+'[1]побудинковий звіт'!CY291</f>
        <v>17947.51609056065</v>
      </c>
      <c r="CZ291" s="55">
        <f t="shared" si="304"/>
        <v>-406.65498826857583</v>
      </c>
      <c r="DA291" s="254">
        <f>'[1]побудинковий звіт'!DA291</f>
        <v>70213.241044242997</v>
      </c>
      <c r="DB291" s="2">
        <v>3</v>
      </c>
      <c r="DC291" s="702">
        <f>'[1]побудинковий звіт'!DC291</f>
        <v>144332.68</v>
      </c>
      <c r="DD291" s="702">
        <f>'[1]побудинковий звіт'!DD291</f>
        <v>680.18</v>
      </c>
      <c r="DE291" s="702">
        <f>'[1]побудинковий звіт'!DE291</f>
        <v>96002.169999999984</v>
      </c>
      <c r="DF291" s="702">
        <f>'[1]побудинковий звіт'!DF291</f>
        <v>-1043.2800000000002</v>
      </c>
      <c r="DG291" s="772">
        <v>67791.040740843397</v>
      </c>
      <c r="DH291" s="746">
        <f t="shared" si="306"/>
        <v>5463112.367906915</v>
      </c>
      <c r="DI291" s="769"/>
      <c r="DJ291" s="5"/>
      <c r="DK291" s="307">
        <f>VLOOKUP($A291,ціни!$A$4:$G$401,5)</f>
        <v>5.7645850492323483</v>
      </c>
      <c r="DL291" s="307"/>
      <c r="DM291" s="307">
        <f>VLOOKUP($A291,ціни!$A$4:$G$401,7)</f>
        <v>5.1547427731802626</v>
      </c>
      <c r="DN291" s="29">
        <f t="shared" ref="DN291:DN309" si="315">F291*DK291</f>
        <v>34441.666293648508</v>
      </c>
      <c r="DO291" s="29">
        <f t="shared" si="305"/>
        <v>1216.0038201932239</v>
      </c>
      <c r="DP291" s="306">
        <f t="shared" si="307"/>
        <v>35657.670113841734</v>
      </c>
      <c r="DQ291" s="101"/>
      <c r="DR291" s="29">
        <f>VLOOKUP(A291,'ДЗ нас '!$A$1:$C$359,2)</f>
        <v>34441.79</v>
      </c>
      <c r="DS291" s="733">
        <f>VLOOKUP(A291,'ДЗ нежит'!$A$1:$D$153,4,0)</f>
        <v>1216</v>
      </c>
      <c r="DT291" s="29">
        <f t="shared" si="308"/>
        <v>35657.79</v>
      </c>
      <c r="DU291" s="247">
        <f>VLOOKUP(A291,'новий кошторис с 01.06'!$A$4:$AI$399,35)*1.2</f>
        <v>35934.864347953779</v>
      </c>
      <c r="DV291" s="29">
        <f t="shared" si="309"/>
        <v>-277.07434795377776</v>
      </c>
      <c r="DW291" s="1016">
        <f>'[2]побудинковий звіт'!$DW$9+'[1]побудинковий звіт'!DW291</f>
        <v>1494</v>
      </c>
      <c r="DX291" s="101">
        <f>'[1]побудинковий звіт'!DX291</f>
        <v>0</v>
      </c>
      <c r="DY291" s="5">
        <f t="shared" si="310"/>
        <v>119351.03740046352</v>
      </c>
      <c r="DZ291" s="5">
        <f t="shared" si="311"/>
        <v>69331.494081805504</v>
      </c>
      <c r="EA291" s="737">
        <f t="shared" si="312"/>
        <v>94958.889999999985</v>
      </c>
      <c r="EC291" s="577">
        <f t="shared" si="313"/>
        <v>954626.0256550475</v>
      </c>
      <c r="EE291" s="743">
        <v>-66729</v>
      </c>
      <c r="EF291" s="723">
        <f t="shared" si="314"/>
        <v>1062.0407408433966</v>
      </c>
      <c r="EH291" s="798">
        <v>67659.573202134532</v>
      </c>
      <c r="EI291" s="101">
        <f>VLOOKUP(A291,'кошти 01.01.24'!$A$9:$D$352,4,FALSE)</f>
        <v>69806.586055974447</v>
      </c>
    </row>
    <row r="292" spans="1:139" hidden="1" x14ac:dyDescent="0.3">
      <c r="A292" s="318">
        <v>150000716</v>
      </c>
      <c r="B292" s="43" t="s">
        <v>697</v>
      </c>
      <c r="C292" s="44" t="s">
        <v>1803</v>
      </c>
      <c r="D292" s="44" t="s">
        <v>285</v>
      </c>
      <c r="E292" s="39">
        <f t="shared" si="262"/>
        <v>3177.92</v>
      </c>
      <c r="F292" s="205">
        <f>'[1]побудинковий звіт'!F292</f>
        <v>2685.1</v>
      </c>
      <c r="G292" s="29">
        <f>'[1]побудинковий звіт'!G292</f>
        <v>0</v>
      </c>
      <c r="H292" s="148">
        <f>'[1]побудинковий звіт'!H292</f>
        <v>492.82</v>
      </c>
      <c r="I292" s="41">
        <f>'[2]побудинковий звіт'!I292+'[1]побудинковий звіт'!I292</f>
        <v>13077.31551535773</v>
      </c>
      <c r="J292" s="41">
        <f>'[2]побудинковий звіт'!J292+'[1]побудинковий звіт'!J292</f>
        <v>13554.505797232901</v>
      </c>
      <c r="K292" s="55">
        <f t="shared" si="263"/>
        <v>477.19028187517142</v>
      </c>
      <c r="L292" s="41">
        <f>'[2]побудинковий звіт'!L292+'[1]побудинковий звіт'!L292</f>
        <v>2410.4899695728027</v>
      </c>
      <c r="M292" s="41">
        <f>'[2]побудинковий звіт'!M292+'[1]побудинковий звіт'!M292</f>
        <v>2653.2882705184297</v>
      </c>
      <c r="N292" s="55">
        <f t="shared" si="264"/>
        <v>242.79830094562703</v>
      </c>
      <c r="O292" s="41">
        <f>'[2]побудинковий звіт'!O292+'[1]побудинковий звіт'!O292</f>
        <v>4909.0978681964325</v>
      </c>
      <c r="P292" s="41">
        <f>'[2]побудинковий звіт'!P292+'[1]побудинковий звіт'!P292</f>
        <v>4923.2819665225607</v>
      </c>
      <c r="Q292" s="55">
        <f t="shared" si="265"/>
        <v>14.184098326128151</v>
      </c>
      <c r="R292" s="41">
        <f>'[2]побудинковий звіт'!R292+'[1]побудинковий звіт'!R292</f>
        <v>0</v>
      </c>
      <c r="S292" s="41">
        <f>'[2]побудинковий звіт'!S292+'[1]побудинковий звіт'!S292</f>
        <v>0</v>
      </c>
      <c r="T292" s="55">
        <f t="shared" si="266"/>
        <v>0</v>
      </c>
      <c r="U292" s="41">
        <f>'[2]побудинковий звіт'!U292+'[1]побудинковий звіт'!U292</f>
        <v>0</v>
      </c>
      <c r="V292" s="41">
        <f>'[2]побудинковий звіт'!V292+'[1]побудинковий звіт'!V292</f>
        <v>0</v>
      </c>
      <c r="W292" s="55">
        <f t="shared" si="267"/>
        <v>0</v>
      </c>
      <c r="X292" s="41">
        <f>'[2]побудинковий звіт'!X292+'[1]побудинковий звіт'!X292</f>
        <v>7711.9934690236914</v>
      </c>
      <c r="Y292" s="41">
        <f>'[2]побудинковий звіт'!Y292+'[1]побудинковий звіт'!Y292</f>
        <v>7843.8916432578189</v>
      </c>
      <c r="Z292" s="55">
        <f t="shared" si="268"/>
        <v>131.89817423412751</v>
      </c>
      <c r="AA292" s="41">
        <f>'[2]побудинковий звіт'!AA292+'[1]побудинковий звіт'!AA292</f>
        <v>0</v>
      </c>
      <c r="AB292" s="41">
        <f>'[2]побудинковий звіт'!AB292+'[1]побудинковий звіт'!AB292</f>
        <v>0</v>
      </c>
      <c r="AC292" s="55">
        <f t="shared" si="269"/>
        <v>0</v>
      </c>
      <c r="AD292" s="41">
        <f>'[2]побудинковий звіт'!AD292+'[1]побудинковий звіт'!AD292</f>
        <v>13760.234896859471</v>
      </c>
      <c r="AE292" s="41">
        <f>'[2]побудинковий звіт'!AE292+'[1]побудинковий звіт'!AE292</f>
        <v>13729.677987814197</v>
      </c>
      <c r="AF292" s="36">
        <f t="shared" si="270"/>
        <v>-30.556909045273642</v>
      </c>
      <c r="AG292" s="84">
        <f t="shared" si="271"/>
        <v>41869.131719010125</v>
      </c>
      <c r="AH292" s="56">
        <f t="shared" si="272"/>
        <v>42704.645665345903</v>
      </c>
      <c r="AI292" s="55">
        <f t="shared" si="273"/>
        <v>835.51394633577729</v>
      </c>
      <c r="AJ292" s="41">
        <f>'[2]побудинковий звіт'!AJ292+'[1]побудинковий звіт'!AJ292</f>
        <v>0</v>
      </c>
      <c r="AK292" s="41">
        <f>'[2]побудинковий звіт'!AK292+'[1]побудинковий звіт'!AK292</f>
        <v>0</v>
      </c>
      <c r="AL292" s="55">
        <f t="shared" si="274"/>
        <v>0</v>
      </c>
      <c r="AM292" s="41">
        <f>'[2]побудинковий звіт'!AM292+'[1]побудинковий звіт'!AM292</f>
        <v>0</v>
      </c>
      <c r="AN292" s="41">
        <f>'[2]побудинковий звіт'!AN292+'[1]побудинковий звіт'!AN292</f>
        <v>0</v>
      </c>
      <c r="AO292" s="55">
        <f t="shared" si="275"/>
        <v>0</v>
      </c>
      <c r="AP292" s="41">
        <f>'[2]побудинковий звіт'!AP292+'[1]побудинковий звіт'!AP292</f>
        <v>8915.3551629298126</v>
      </c>
      <c r="AQ292" s="41">
        <f>'[2]побудинковий звіт'!AQ292+'[1]побудинковий звіт'!AQ292</f>
        <v>8133.9099968897608</v>
      </c>
      <c r="AR292" s="55">
        <f t="shared" si="276"/>
        <v>-781.44516604005184</v>
      </c>
      <c r="AS292" s="41">
        <f>'[2]побудинковий звіт'!AS292+'[1]побудинковий звіт'!AS292</f>
        <v>50635.271759395764</v>
      </c>
      <c r="AT292" s="41">
        <f>'[2]побудинковий звіт'!AT292+'[1]побудинковий звіт'!AT292</f>
        <v>25198.361947330457</v>
      </c>
      <c r="AU292" s="57">
        <f t="shared" si="277"/>
        <v>-25436.909812065307</v>
      </c>
      <c r="AV292" s="41">
        <f>'[2]побудинковий звіт'!AV292+'[1]побудинковий звіт'!AV292</f>
        <v>2195.4081185822834</v>
      </c>
      <c r="AW292" s="41">
        <f>'[2]побудинковий звіт'!AW292+'[1]побудинковий звіт'!AW292</f>
        <v>0</v>
      </c>
      <c r="AX292" s="58">
        <f t="shared" si="278"/>
        <v>-2195.4081185822834</v>
      </c>
      <c r="AY292" s="41">
        <f>'[2]побудинковий звіт'!AY292+'[1]побудинковий звіт'!AY292</f>
        <v>3049.4667099530002</v>
      </c>
      <c r="AZ292" s="41">
        <f>'[2]побудинковий звіт'!AZ292+'[1]побудинковий звіт'!AZ292</f>
        <v>0</v>
      </c>
      <c r="BA292" s="36">
        <f t="shared" si="279"/>
        <v>-3049.4667099530002</v>
      </c>
      <c r="BB292" s="41">
        <f>'[2]побудинковий звіт'!BB292+'[1]побудинковий звіт'!BB292</f>
        <v>1871.8000759457332</v>
      </c>
      <c r="BC292" s="41">
        <f>'[2]побудинковий звіт'!BC292+'[1]побудинковий звіт'!BC292</f>
        <v>0</v>
      </c>
      <c r="BD292" s="58">
        <f t="shared" si="280"/>
        <v>-1871.8000759457332</v>
      </c>
      <c r="BE292" s="41">
        <f>'[2]побудинковий звіт'!BE292+'[1]побудинковий звіт'!BE292</f>
        <v>0</v>
      </c>
      <c r="BF292" s="41">
        <f>'[2]побудинковий звіт'!BF292+'[1]побудинковий звіт'!BF292</f>
        <v>0</v>
      </c>
      <c r="BG292" s="38">
        <f t="shared" si="281"/>
        <v>0</v>
      </c>
      <c r="BH292" s="41">
        <f>'[2]побудинковий звіт'!BH292+'[1]побудинковий звіт'!BH292</f>
        <v>0</v>
      </c>
      <c r="BI292" s="41">
        <f>'[2]побудинковий звіт'!BI292+'[1]побудинковий звіт'!BI292</f>
        <v>0</v>
      </c>
      <c r="BJ292" s="58">
        <f t="shared" si="282"/>
        <v>0</v>
      </c>
      <c r="BK292" s="41">
        <f>'[2]побудинковий звіт'!BK292+'[1]побудинковий звіт'!BK292</f>
        <v>1587.8691551985337</v>
      </c>
      <c r="BL292" s="41">
        <f>'[2]побудинковий звіт'!BL292+'[1]побудинковий звіт'!BL292</f>
        <v>0</v>
      </c>
      <c r="BM292" s="38">
        <f t="shared" si="283"/>
        <v>-1587.8691551985337</v>
      </c>
      <c r="BN292" s="41">
        <f>'[2]побудинковий звіт'!BN292+'[1]побудинковий звіт'!BN292</f>
        <v>100.38677964698979</v>
      </c>
      <c r="BO292" s="41">
        <f>'[2]побудинковий звіт'!BO292+'[1]побудинковий звіт'!BO292</f>
        <v>0</v>
      </c>
      <c r="BP292" s="58">
        <f t="shared" si="284"/>
        <v>-100.38677964698979</v>
      </c>
      <c r="BQ292" s="84">
        <f t="shared" si="285"/>
        <v>8804.9308393265401</v>
      </c>
      <c r="BR292" s="42">
        <f t="shared" si="286"/>
        <v>0</v>
      </c>
      <c r="BS292" s="58">
        <f t="shared" si="287"/>
        <v>-8804.9308393265401</v>
      </c>
      <c r="BT292" s="41">
        <f>'[2]побудинковий звіт'!BT292+'[1]побудинковий звіт'!BT292</f>
        <v>17636.228970751887</v>
      </c>
      <c r="BU292" s="41">
        <f>'[2]побудинковий звіт'!BU292+'[1]побудинковий звіт'!BU292</f>
        <v>32511.497451034815</v>
      </c>
      <c r="BV292" s="55">
        <f t="shared" si="288"/>
        <v>14875.268480282928</v>
      </c>
      <c r="BW292" s="41">
        <f>'[2]побудинковий звіт'!BW292+'[1]побудинковий звіт'!BW292</f>
        <v>22071.70543195045</v>
      </c>
      <c r="BX292" s="41">
        <f>'[2]побудинковий звіт'!BX292+'[1]побудинковий звіт'!BX292</f>
        <v>25108.243254147601</v>
      </c>
      <c r="BY292" s="55">
        <f t="shared" si="289"/>
        <v>3036.5378221971514</v>
      </c>
      <c r="BZ292" s="41">
        <f>'[2]побудинковий звіт'!BZ292+'[1]побудинковий звіт'!BZ292</f>
        <v>6866.9508852958015</v>
      </c>
      <c r="CA292" s="41">
        <f>'[2]побудинковий звіт'!CA292+'[1]побудинковий звіт'!CA292</f>
        <v>3448.9576085006679</v>
      </c>
      <c r="CB292" s="55">
        <f t="shared" si="290"/>
        <v>-3417.9932767951336</v>
      </c>
      <c r="CC292" s="41">
        <f>'[2]побудинковий звіт'!CC292+'[1]побудинковий звіт'!CC292</f>
        <v>2013.2538088562037</v>
      </c>
      <c r="CD292" s="41">
        <f>'[2]побудинковий звіт'!CD292+'[1]побудинковий звіт'!CD292</f>
        <v>2020.0405246540074</v>
      </c>
      <c r="CE292" s="55">
        <f t="shared" si="291"/>
        <v>6.7867157978037085</v>
      </c>
      <c r="CF292" s="41">
        <f>'[2]побудинковий звіт'!CF292+'[1]побудинковий звіт'!CF292</f>
        <v>249.43709647767608</v>
      </c>
      <c r="CG292" s="41">
        <f>'[2]побудинковий звіт'!CG292+'[1]побудинковий звіт'!CG292</f>
        <v>0</v>
      </c>
      <c r="CH292" s="55">
        <f t="shared" si="292"/>
        <v>-249.43709647767608</v>
      </c>
      <c r="CI292" s="41">
        <f>'[2]побудинковий звіт'!CI292+'[1]побудинковий звіт'!CI292</f>
        <v>6385.568423707814</v>
      </c>
      <c r="CJ292" s="41">
        <f>'[2]побудинковий звіт'!CJ292+'[1]побудинковий звіт'!CJ292</f>
        <v>6813.0332123873841</v>
      </c>
      <c r="CK292" s="55">
        <f t="shared" si="293"/>
        <v>427.46478867957012</v>
      </c>
      <c r="CL292" s="41">
        <f>'[2]побудинковий звіт'!CL292+'[1]побудинковий звіт'!CL292</f>
        <v>0</v>
      </c>
      <c r="CM292" s="41">
        <f>'[2]побудинковий звіт'!CM292+'[1]побудинковий звіт'!CM292</f>
        <v>0</v>
      </c>
      <c r="CN292" s="55">
        <f t="shared" si="294"/>
        <v>0</v>
      </c>
      <c r="CO292" s="41">
        <f t="shared" si="295"/>
        <v>6385.568423707814</v>
      </c>
      <c r="CP292" s="42">
        <f t="shared" si="296"/>
        <v>6813.0332123873841</v>
      </c>
      <c r="CQ292" s="55">
        <f t="shared" si="297"/>
        <v>427.46478867957012</v>
      </c>
      <c r="CR292" s="76">
        <f t="shared" si="298"/>
        <v>165447.83409770211</v>
      </c>
      <c r="CS292" s="5">
        <f t="shared" si="299"/>
        <v>145938.68966029061</v>
      </c>
      <c r="CT292" s="55">
        <f t="shared" si="300"/>
        <v>-19509.144437411509</v>
      </c>
      <c r="CU292" s="84">
        <f t="shared" si="301"/>
        <v>198537.40091724254</v>
      </c>
      <c r="CV292" s="68">
        <f t="shared" si="302"/>
        <v>175126.42759234871</v>
      </c>
      <c r="CW292" s="36">
        <f t="shared" si="303"/>
        <v>-23410.973324893828</v>
      </c>
      <c r="CX292" s="41">
        <f>'[2]побудинковий звіт'!CX292+'[1]побудинковий звіт'!CX292</f>
        <v>10204.553593611339</v>
      </c>
      <c r="CY292" s="41">
        <f>'[2]побудинковий звіт'!CY292+'[1]побудинковий звіт'!CY292</f>
        <v>33615.526918505122</v>
      </c>
      <c r="CZ292" s="55">
        <f t="shared" si="304"/>
        <v>23410.973324893785</v>
      </c>
      <c r="DA292" s="254">
        <f>'[1]побудинковий звіт'!DA292</f>
        <v>27811.653416040383</v>
      </c>
      <c r="DB292" s="2">
        <v>3</v>
      </c>
      <c r="DC292" s="702">
        <f>'[1]побудинковий звіт'!DC292</f>
        <v>20664.169999999998</v>
      </c>
      <c r="DD292" s="702">
        <f>'[1]побудинковий звіт'!DD292</f>
        <v>11835.890000000001</v>
      </c>
      <c r="DE292" s="702">
        <f>'[1]побудинковий звіт'!DE292</f>
        <v>798.5099999999984</v>
      </c>
      <c r="DF292" s="702">
        <f>'[1]побудинковий звіт'!DF292</f>
        <v>8705.0400000000009</v>
      </c>
      <c r="DG292" s="772">
        <v>-1004.5544368296978</v>
      </c>
      <c r="DH292" s="746">
        <f t="shared" si="306"/>
        <v>2504903.4541302468</v>
      </c>
      <c r="DI292" s="769"/>
      <c r="DJ292" s="5"/>
      <c r="DK292" s="307">
        <f>VLOOKUP($A292,ціни!$A$4:$G$401,5)</f>
        <v>5.271166016720386</v>
      </c>
      <c r="DL292" s="307"/>
      <c r="DM292" s="307">
        <f>VLOOKUP($A292,ціни!$A$4:$G$401,7)</f>
        <v>4.4423680694273306</v>
      </c>
      <c r="DN292" s="29">
        <f t="shared" si="315"/>
        <v>14153.607871495908</v>
      </c>
      <c r="DO292" s="29">
        <f t="shared" si="305"/>
        <v>2189.2878319751771</v>
      </c>
      <c r="DP292" s="306">
        <f t="shared" si="307"/>
        <v>16342.895703471084</v>
      </c>
      <c r="DQ292" s="101"/>
      <c r="DR292" s="29">
        <f>VLOOKUP(A292,'ДЗ нас '!$A$1:$C$359,2)</f>
        <v>14153.7</v>
      </c>
      <c r="DS292" s="733">
        <f>VLOOKUP(A292,'ДЗ нежит'!$A$1:$D$153,4,0)</f>
        <v>2189.3000000000002</v>
      </c>
      <c r="DT292" s="29">
        <f t="shared" si="308"/>
        <v>16343</v>
      </c>
      <c r="DU292" s="247">
        <f>VLOOKUP(A292,'новий кошторис с 01.06'!$A$4:$AI$399,35)*1.2</f>
        <v>16469.308263903411</v>
      </c>
      <c r="DV292" s="29">
        <f t="shared" si="309"/>
        <v>-126.30826390341099</v>
      </c>
      <c r="DW292" s="1016">
        <f>'[2]побудинковий звіт'!$DW$9+'[1]побудинковий звіт'!DW292</f>
        <v>909</v>
      </c>
      <c r="DX292" s="101">
        <f>'[1]побудинковий звіт'!DX292</f>
        <v>0</v>
      </c>
      <c r="DY292" s="5">
        <f t="shared" si="310"/>
        <v>71328.243118466766</v>
      </c>
      <c r="DZ292" s="5">
        <f t="shared" si="311"/>
        <v>30238.034336796547</v>
      </c>
      <c r="EA292" s="737">
        <f t="shared" si="312"/>
        <v>9503.5499999999993</v>
      </c>
      <c r="EC292" s="577">
        <f t="shared" si="313"/>
        <v>607623.26111274911</v>
      </c>
      <c r="EE292" s="743">
        <v>-24113</v>
      </c>
      <c r="EF292" s="723">
        <f t="shared" si="314"/>
        <v>-25117.554436829698</v>
      </c>
      <c r="EH292" s="798">
        <v>-35860.073594274203</v>
      </c>
      <c r="EI292" s="101">
        <f>VLOOKUP(A292,'кошти 01.01.24'!$A$9:$D$352,4,FALSE)</f>
        <v>51222.626740934167</v>
      </c>
    </row>
    <row r="293" spans="1:139" hidden="1" x14ac:dyDescent="0.3">
      <c r="A293" s="318">
        <v>150000717</v>
      </c>
      <c r="B293" s="43" t="s">
        <v>698</v>
      </c>
      <c r="C293" s="44" t="s">
        <v>1804</v>
      </c>
      <c r="D293" s="44" t="s">
        <v>286</v>
      </c>
      <c r="E293" s="39">
        <f t="shared" si="262"/>
        <v>3167.7000000000003</v>
      </c>
      <c r="F293" s="205">
        <f>'[1]побудинковий звіт'!F293</f>
        <v>2595.8000000000002</v>
      </c>
      <c r="G293" s="29">
        <f>'[1]побудинковий звіт'!G293</f>
        <v>0</v>
      </c>
      <c r="H293" s="148">
        <f>'[1]побудинковий звіт'!H293</f>
        <v>571.9</v>
      </c>
      <c r="I293" s="41">
        <f>'[2]побудинковий звіт'!I293+'[1]побудинковий звіт'!I293</f>
        <v>12877.247305183701</v>
      </c>
      <c r="J293" s="41">
        <f>'[2]побудинковий звіт'!J293+'[1]побудинковий звіт'!J293</f>
        <v>13341.138267393453</v>
      </c>
      <c r="K293" s="55">
        <f t="shared" si="263"/>
        <v>463.89096220975262</v>
      </c>
      <c r="L293" s="41">
        <f>'[2]побудинковий звіт'!L293+'[1]побудинковий звіт'!L293</f>
        <v>2410.8447351324285</v>
      </c>
      <c r="M293" s="41">
        <f>'[2]побудинковий звіт'!M293+'[1]побудинковий звіт'!M293</f>
        <v>2665.2919061547518</v>
      </c>
      <c r="N293" s="55">
        <f t="shared" si="264"/>
        <v>254.44717102232335</v>
      </c>
      <c r="O293" s="41">
        <f>'[2]побудинковий звіт'!O293+'[1]побудинковий звіт'!O293</f>
        <v>4897.8228325808805</v>
      </c>
      <c r="P293" s="41">
        <f>'[2]побудинковий звіт'!P293+'[1]побудинковий звіт'!P293</f>
        <v>4911.4935079798743</v>
      </c>
      <c r="Q293" s="55">
        <f t="shared" si="265"/>
        <v>13.670675398993808</v>
      </c>
      <c r="R293" s="41">
        <f>'[2]побудинковий звіт'!R293+'[1]побудинковий звіт'!R293</f>
        <v>0</v>
      </c>
      <c r="S293" s="41">
        <f>'[2]побудинковий звіт'!S293+'[1]побудинковий звіт'!S293</f>
        <v>0</v>
      </c>
      <c r="T293" s="55">
        <f t="shared" si="266"/>
        <v>0</v>
      </c>
      <c r="U293" s="41">
        <f>'[2]побудинковий звіт'!U293+'[1]побудинковий звіт'!U293</f>
        <v>0</v>
      </c>
      <c r="V293" s="41">
        <f>'[2]побудинковий звіт'!V293+'[1]побудинковий звіт'!V293</f>
        <v>0</v>
      </c>
      <c r="W293" s="55">
        <f t="shared" si="267"/>
        <v>0</v>
      </c>
      <c r="X293" s="41">
        <f>'[2]побудинковий звіт'!X293+'[1]побудинковий звіт'!X293</f>
        <v>7693.8933927425296</v>
      </c>
      <c r="Y293" s="41">
        <f>'[2]побудинковий звіт'!Y293+'[1]побудинковий звіт'!Y293</f>
        <v>7869.8507418986101</v>
      </c>
      <c r="Z293" s="55">
        <f t="shared" si="268"/>
        <v>175.95734915608045</v>
      </c>
      <c r="AA293" s="41">
        <f>'[2]побудинковий звіт'!AA293+'[1]побудинковий звіт'!AA293</f>
        <v>0</v>
      </c>
      <c r="AB293" s="41">
        <f>'[2]побудинковий звіт'!AB293+'[1]побудинковий звіт'!AB293</f>
        <v>0</v>
      </c>
      <c r="AC293" s="55">
        <f t="shared" si="269"/>
        <v>0</v>
      </c>
      <c r="AD293" s="41">
        <f>'[2]побудинковий звіт'!AD293+'[1]побудинковий звіт'!AD293</f>
        <v>13730.666562201181</v>
      </c>
      <c r="AE293" s="41">
        <f>'[2]побудинковий звіт'!AE293+'[1]побудинковий звіт'!AE293</f>
        <v>13685.523058469556</v>
      </c>
      <c r="AF293" s="36">
        <f t="shared" si="270"/>
        <v>-45.143503731624151</v>
      </c>
      <c r="AG293" s="84">
        <f t="shared" si="271"/>
        <v>41610.474827840721</v>
      </c>
      <c r="AH293" s="56">
        <f t="shared" si="272"/>
        <v>42473.297481896239</v>
      </c>
      <c r="AI293" s="55">
        <f t="shared" si="273"/>
        <v>862.8226540555188</v>
      </c>
      <c r="AJ293" s="41">
        <f>'[2]побудинковий звіт'!AJ293+'[1]побудинковий звіт'!AJ293</f>
        <v>0</v>
      </c>
      <c r="AK293" s="41">
        <f>'[2]побудинковий звіт'!AK293+'[1]побудинковий звіт'!AK293</f>
        <v>0</v>
      </c>
      <c r="AL293" s="55">
        <f t="shared" si="274"/>
        <v>0</v>
      </c>
      <c r="AM293" s="41">
        <f>'[2]побудинковий звіт'!AM293+'[1]побудинковий звіт'!AM293</f>
        <v>0</v>
      </c>
      <c r="AN293" s="41">
        <f>'[2]побудинковий звіт'!AN293+'[1]побудинковий звіт'!AN293</f>
        <v>0</v>
      </c>
      <c r="AO293" s="55">
        <f t="shared" si="275"/>
        <v>0</v>
      </c>
      <c r="AP293" s="41">
        <f>'[2]побудинковий звіт'!AP293+'[1]побудинковий звіт'!AP293</f>
        <v>8469.6124118394946</v>
      </c>
      <c r="AQ293" s="41">
        <f>'[2]побудинковий звіт'!AQ293+'[1]побудинковий звіт'!AQ293</f>
        <v>7637.5994980190699</v>
      </c>
      <c r="AR293" s="55">
        <f t="shared" si="276"/>
        <v>-832.01291382042473</v>
      </c>
      <c r="AS293" s="41">
        <f>'[2]побудинковий звіт'!AS293+'[1]побудинковий звіт'!AS293</f>
        <v>46407.846992082406</v>
      </c>
      <c r="AT293" s="41">
        <f>'[2]побудинковий звіт'!AT293+'[1]побудинковий звіт'!AT293</f>
        <v>43837.912326519225</v>
      </c>
      <c r="AU293" s="57">
        <f t="shared" si="277"/>
        <v>-2569.9346655631816</v>
      </c>
      <c r="AV293" s="41">
        <f>'[2]побудинковий звіт'!AV293+'[1]побудинковий звіт'!AV293</f>
        <v>2317.7502714819284</v>
      </c>
      <c r="AW293" s="41">
        <f>'[2]побудинковий звіт'!AW293+'[1]побудинковий звіт'!AW293</f>
        <v>0</v>
      </c>
      <c r="AX293" s="58">
        <f t="shared" si="278"/>
        <v>-2317.7502714819284</v>
      </c>
      <c r="AY293" s="41">
        <f>'[2]побудинковий звіт'!AY293+'[1]побудинковий звіт'!AY293</f>
        <v>3110.4035640470715</v>
      </c>
      <c r="AZ293" s="41">
        <f>'[2]побудинковий звіт'!AZ293+'[1]побудинковий звіт'!AZ293</f>
        <v>0</v>
      </c>
      <c r="BA293" s="36">
        <f t="shared" si="279"/>
        <v>-3110.4035640470715</v>
      </c>
      <c r="BB293" s="41">
        <f>'[2]побудинковий звіт'!BB293+'[1]побудинковий звіт'!BB293</f>
        <v>1929.2014301274796</v>
      </c>
      <c r="BC293" s="41">
        <f>'[2]побудинковий звіт'!BC293+'[1]побудинковий звіт'!BC293</f>
        <v>6157.9217485429581</v>
      </c>
      <c r="BD293" s="58">
        <f t="shared" si="280"/>
        <v>4228.7203184154787</v>
      </c>
      <c r="BE293" s="41">
        <f>'[2]побудинковий звіт'!BE293+'[1]побудинковий звіт'!BE293</f>
        <v>0</v>
      </c>
      <c r="BF293" s="41">
        <f>'[2]побудинковий звіт'!BF293+'[1]побудинковий звіт'!BF293</f>
        <v>0</v>
      </c>
      <c r="BG293" s="38">
        <f t="shared" si="281"/>
        <v>0</v>
      </c>
      <c r="BH293" s="41">
        <f>'[2]побудинковий звіт'!BH293+'[1]побудинковий звіт'!BH293</f>
        <v>0</v>
      </c>
      <c r="BI293" s="41">
        <f>'[2]побудинковий звіт'!BI293+'[1]побудинковий звіт'!BI293</f>
        <v>0</v>
      </c>
      <c r="BJ293" s="58">
        <f t="shared" si="282"/>
        <v>0</v>
      </c>
      <c r="BK293" s="41">
        <f>'[2]побудинковий звіт'!BK293+'[1]побудинковий звіт'!BK293</f>
        <v>1580.0861237035538</v>
      </c>
      <c r="BL293" s="41">
        <f>'[2]побудинковий звіт'!BL293+'[1]побудинковий звіт'!BL293</f>
        <v>0</v>
      </c>
      <c r="BM293" s="38">
        <f t="shared" si="283"/>
        <v>-1580.0861237035538</v>
      </c>
      <c r="BN293" s="41">
        <f>'[2]побудинковий звіт'!BN293+'[1]побудинковий звіт'!BN293</f>
        <v>100.38677964698979</v>
      </c>
      <c r="BO293" s="41">
        <f>'[2]побудинковий звіт'!BO293+'[1]побудинковий звіт'!BO293</f>
        <v>4652.8550332467257</v>
      </c>
      <c r="BP293" s="58">
        <f t="shared" si="284"/>
        <v>4552.4682535997363</v>
      </c>
      <c r="BQ293" s="84">
        <f t="shared" si="285"/>
        <v>9037.8281690070216</v>
      </c>
      <c r="BR293" s="42">
        <f t="shared" si="286"/>
        <v>10810.776781789684</v>
      </c>
      <c r="BS293" s="58">
        <f t="shared" si="287"/>
        <v>1772.9486127826622</v>
      </c>
      <c r="BT293" s="41">
        <f>'[2]побудинковий звіт'!BT293+'[1]побудинковий звіт'!BT293</f>
        <v>32345.09844993653</v>
      </c>
      <c r="BU293" s="41">
        <f>'[2]побудинковий звіт'!BU293+'[1]побудинковий звіт'!BU293</f>
        <v>45107.689592623938</v>
      </c>
      <c r="BV293" s="55">
        <f t="shared" si="288"/>
        <v>12762.591142687408</v>
      </c>
      <c r="BW293" s="41">
        <f>'[2]побудинковий звіт'!BW293+'[1]побудинковий звіт'!BW293</f>
        <v>21805.902817804941</v>
      </c>
      <c r="BX293" s="41">
        <f>'[2]побудинковий звіт'!BX293+'[1]побудинковий звіт'!BX293</f>
        <v>24804.347006277589</v>
      </c>
      <c r="BY293" s="55">
        <f t="shared" si="289"/>
        <v>2998.4441884726475</v>
      </c>
      <c r="BZ293" s="41">
        <f>'[2]побудинковий звіт'!BZ293+'[1]побудинковий звіт'!BZ293</f>
        <v>6866.9085544786194</v>
      </c>
      <c r="CA293" s="41">
        <f>'[2]побудинковий звіт'!CA293+'[1]побудинковий звіт'!CA293</f>
        <v>4617.5119619073412</v>
      </c>
      <c r="CB293" s="55">
        <f t="shared" si="290"/>
        <v>-2249.3965925712782</v>
      </c>
      <c r="CC293" s="41">
        <f>'[2]побудинковий звіт'!CC293+'[1]побудинковий звіт'!CC293</f>
        <v>1954.2801790914939</v>
      </c>
      <c r="CD293" s="41">
        <f>'[2]побудинковий звіт'!CD293+'[1]побудинковий звіт'!CD293</f>
        <v>1960.9069251912106</v>
      </c>
      <c r="CE293" s="55">
        <f t="shared" si="291"/>
        <v>6.6267460997166836</v>
      </c>
      <c r="CF293" s="41">
        <f>'[2]побудинковий звіт'!CF293+'[1]побудинковий звіт'!CF293</f>
        <v>242.12492682837009</v>
      </c>
      <c r="CG293" s="41">
        <f>'[2]побудинковий звіт'!CG293+'[1]побудинковий звіт'!CG293</f>
        <v>0</v>
      </c>
      <c r="CH293" s="55">
        <f t="shared" si="292"/>
        <v>-242.12492682837009</v>
      </c>
      <c r="CI293" s="41">
        <f>'[2]побудинковий звіт'!CI293+'[1]побудинковий звіт'!CI293</f>
        <v>6664.5031068600001</v>
      </c>
      <c r="CJ293" s="41">
        <f>'[2]побудинковий звіт'!CJ293+'[1]побудинковий звіт'!CJ293</f>
        <v>4633.2647433784086</v>
      </c>
      <c r="CK293" s="55">
        <f t="shared" si="293"/>
        <v>-2031.2383634815915</v>
      </c>
      <c r="CL293" s="41">
        <f>'[2]побудинковий звіт'!CL293+'[1]побудинковий звіт'!CL293</f>
        <v>0</v>
      </c>
      <c r="CM293" s="41">
        <f>'[2]побудинковий звіт'!CM293+'[1]побудинковий звіт'!CM293</f>
        <v>0</v>
      </c>
      <c r="CN293" s="55">
        <f t="shared" si="294"/>
        <v>0</v>
      </c>
      <c r="CO293" s="41">
        <f t="shared" si="295"/>
        <v>6664.5031068600001</v>
      </c>
      <c r="CP293" s="42">
        <f t="shared" si="296"/>
        <v>4633.2647433784086</v>
      </c>
      <c r="CQ293" s="55">
        <f t="shared" si="297"/>
        <v>-2031.2383634815915</v>
      </c>
      <c r="CR293" s="76">
        <f t="shared" si="298"/>
        <v>175404.5804357696</v>
      </c>
      <c r="CS293" s="5">
        <f t="shared" si="299"/>
        <v>185883.30631760272</v>
      </c>
      <c r="CT293" s="55">
        <f t="shared" si="300"/>
        <v>10478.725881833117</v>
      </c>
      <c r="CU293" s="84">
        <f t="shared" si="301"/>
        <v>210485.49652292352</v>
      </c>
      <c r="CV293" s="68">
        <f t="shared" si="302"/>
        <v>223059.96758112326</v>
      </c>
      <c r="CW293" s="36">
        <f t="shared" si="303"/>
        <v>12574.471058199735</v>
      </c>
      <c r="CX293" s="41">
        <f>'[2]побудинковий звіт'!CX293+'[1]побудинковий звіт'!CX293</f>
        <v>10639.099356369283</v>
      </c>
      <c r="CY293" s="41">
        <f>'[2]побудинковий звіт'!CY293+'[1]побудинковий звіт'!CY293</f>
        <v>-1935.3717018304415</v>
      </c>
      <c r="CZ293" s="55">
        <f t="shared" si="304"/>
        <v>-12574.471058199724</v>
      </c>
      <c r="DA293" s="254">
        <f>'[1]побудинковий звіт'!DA293</f>
        <v>-16248.124046411613</v>
      </c>
      <c r="DB293" s="2">
        <v>3</v>
      </c>
      <c r="DC293" s="702">
        <f>'[1]побудинковий звіт'!DC293</f>
        <v>26768.080000000002</v>
      </c>
      <c r="DD293" s="702">
        <f>'[1]побудинковий звіт'!DD293</f>
        <v>1613.4600000000005</v>
      </c>
      <c r="DE293" s="702">
        <f>'[1]побудинковий звіт'!DE293</f>
        <v>6336.0400000000009</v>
      </c>
      <c r="DF293" s="702">
        <f>'[1]побудинковий звіт'!DF293</f>
        <v>-2276.5499999999997</v>
      </c>
      <c r="DG293" s="772">
        <v>-72322.86160614551</v>
      </c>
      <c r="DH293" s="746">
        <f t="shared" si="306"/>
        <v>2653495.1505515138</v>
      </c>
      <c r="DI293" s="769"/>
      <c r="DJ293" s="5"/>
      <c r="DK293" s="307">
        <f>VLOOKUP($A293,ціни!$A$4:$G$401,5)</f>
        <v>5.6199840461890558</v>
      </c>
      <c r="DL293" s="307"/>
      <c r="DM293" s="307">
        <f>VLOOKUP($A293,ціни!$A$4:$G$401,7)</f>
        <v>4.7731792545017298</v>
      </c>
      <c r="DN293" s="29">
        <f t="shared" si="315"/>
        <v>14588.354587097552</v>
      </c>
      <c r="DO293" s="29">
        <f t="shared" si="305"/>
        <v>2729.7812156495393</v>
      </c>
      <c r="DP293" s="306">
        <f t="shared" si="307"/>
        <v>17318.135802747092</v>
      </c>
      <c r="DQ293" s="101"/>
      <c r="DR293" s="29">
        <f>VLOOKUP(A293,'ДЗ нас '!$A$1:$C$359,2)</f>
        <v>14588.42</v>
      </c>
      <c r="DS293" s="733">
        <f>VLOOKUP(A293,'ДЗ нежит'!$A$1:$D$153,4,0)</f>
        <v>2729.77</v>
      </c>
      <c r="DT293" s="29">
        <f t="shared" si="308"/>
        <v>17318.189999999999</v>
      </c>
      <c r="DU293" s="247">
        <f>VLOOKUP(A293,'новий кошторис с 01.06'!$A$4:$AI$399,35)*1.2</f>
        <v>17471.420211029083</v>
      </c>
      <c r="DV293" s="29">
        <f t="shared" si="309"/>
        <v>-153.23021102908388</v>
      </c>
      <c r="DW293" s="1016">
        <f>'[2]побудинковий звіт'!$DW$9+'[1]побудинковий звіт'!DW293</f>
        <v>909</v>
      </c>
      <c r="DX293" s="101">
        <f>'[1]побудинковий звіт'!DX293</f>
        <v>0</v>
      </c>
      <c r="DY293" s="5">
        <f t="shared" si="310"/>
        <v>66534.810193307305</v>
      </c>
      <c r="DZ293" s="5">
        <f t="shared" si="311"/>
        <v>65578.426929970679</v>
      </c>
      <c r="EA293" s="737">
        <f t="shared" si="312"/>
        <v>4059.4900000000011</v>
      </c>
      <c r="EC293" s="577">
        <f t="shared" si="313"/>
        <v>556894.16390498891</v>
      </c>
      <c r="EE293" s="743">
        <v>39078</v>
      </c>
      <c r="EF293" s="723">
        <f t="shared" si="314"/>
        <v>-33244.86160614551</v>
      </c>
      <c r="EH293" s="798">
        <v>10739.570566876835</v>
      </c>
      <c r="EI293" s="101">
        <f>VLOOKUP(A293,'кошти 01.01.24'!$A$9:$D$352,4,FALSE)</f>
        <v>-28822.595104611366</v>
      </c>
    </row>
    <row r="294" spans="1:139" hidden="1" x14ac:dyDescent="0.3">
      <c r="A294" s="318">
        <v>150000718</v>
      </c>
      <c r="B294" s="43" t="s">
        <v>699</v>
      </c>
      <c r="C294" s="44" t="s">
        <v>1805</v>
      </c>
      <c r="D294" s="44" t="s">
        <v>287</v>
      </c>
      <c r="E294" s="39">
        <f t="shared" si="262"/>
        <v>4457.7</v>
      </c>
      <c r="F294" s="205">
        <f>'[1]побудинковий звіт'!F294</f>
        <v>4457.7</v>
      </c>
      <c r="G294" s="29">
        <f>'[1]побудинковий звіт'!G294</f>
        <v>0</v>
      </c>
      <c r="H294" s="148">
        <f>'[1]побудинковий звіт'!H294</f>
        <v>0</v>
      </c>
      <c r="I294" s="41">
        <f>'[2]побудинковий звіт'!I294+'[1]побудинковий звіт'!I294</f>
        <v>16523.909579837749</v>
      </c>
      <c r="J294" s="41">
        <f>'[2]побудинковий звіт'!J294+'[1]побудинковий звіт'!J294</f>
        <v>17165.031309156206</v>
      </c>
      <c r="K294" s="55">
        <f t="shared" si="263"/>
        <v>641.12172931845635</v>
      </c>
      <c r="L294" s="41">
        <f>'[2]побудинковий звіт'!L294+'[1]побудинковий звіт'!L294</f>
        <v>3623.443943864082</v>
      </c>
      <c r="M294" s="41">
        <f>'[2]побудинковий звіт'!M294+'[1]побудинковий звіт'!M294</f>
        <v>3985.7665261557204</v>
      </c>
      <c r="N294" s="55">
        <f t="shared" si="264"/>
        <v>362.32258229163835</v>
      </c>
      <c r="O294" s="41">
        <f>'[2]побудинковий звіт'!O294+'[1]побудинковий звіт'!O294</f>
        <v>6984.0735587846593</v>
      </c>
      <c r="P294" s="41">
        <f>'[2]побудинковий звіт'!P294+'[1]побудинковий звіт'!P294</f>
        <v>7002.6532197733268</v>
      </c>
      <c r="Q294" s="55">
        <f t="shared" si="265"/>
        <v>18.579660988667456</v>
      </c>
      <c r="R294" s="41">
        <f>'[2]побудинковий звіт'!R294+'[1]побудинковий звіт'!R294</f>
        <v>0</v>
      </c>
      <c r="S294" s="41">
        <f>'[2]побудинковий звіт'!S294+'[1]побудинковий звіт'!S294</f>
        <v>0</v>
      </c>
      <c r="T294" s="55">
        <f t="shared" si="266"/>
        <v>0</v>
      </c>
      <c r="U294" s="41">
        <f>'[2]побудинковий звіт'!U294+'[1]побудинковий звіт'!U294</f>
        <v>1089.513177383317</v>
      </c>
      <c r="V294" s="41">
        <f>'[2]побудинковий звіт'!V294+'[1]побудинковий звіт'!V294</f>
        <v>780.675878609645</v>
      </c>
      <c r="W294" s="55">
        <f t="shared" si="267"/>
        <v>-308.83729877367205</v>
      </c>
      <c r="X294" s="41">
        <f>'[2]побудинковий звіт'!X294+'[1]побудинковий звіт'!X294</f>
        <v>13940.925903324413</v>
      </c>
      <c r="Y294" s="41">
        <f>'[2]побудинковий звіт'!Y294+'[1]побудинковий звіт'!Y294</f>
        <v>14290.607737176737</v>
      </c>
      <c r="Z294" s="55">
        <f t="shared" si="268"/>
        <v>349.68183385232442</v>
      </c>
      <c r="AA294" s="41">
        <f>'[2]побудинковий звіт'!AA294+'[1]побудинковий звіт'!AA294</f>
        <v>0</v>
      </c>
      <c r="AB294" s="41">
        <f>'[2]побудинковий звіт'!AB294+'[1]побудинковий звіт'!AB294</f>
        <v>0</v>
      </c>
      <c r="AC294" s="55">
        <f t="shared" si="269"/>
        <v>0</v>
      </c>
      <c r="AD294" s="41">
        <f>'[2]побудинковий звіт'!AD294+'[1]побудинковий звіт'!AD294</f>
        <v>19330.477726095247</v>
      </c>
      <c r="AE294" s="41">
        <f>'[2]побудинковий звіт'!AE294+'[1]побудинковий звіт'!AE294</f>
        <v>19255.446598585026</v>
      </c>
      <c r="AF294" s="36">
        <f t="shared" si="270"/>
        <v>-75.031127510221268</v>
      </c>
      <c r="AG294" s="84">
        <f t="shared" si="271"/>
        <v>61492.343889289463</v>
      </c>
      <c r="AH294" s="56">
        <f t="shared" si="272"/>
        <v>62480.181269456654</v>
      </c>
      <c r="AI294" s="55">
        <f t="shared" si="273"/>
        <v>987.83738016719144</v>
      </c>
      <c r="AJ294" s="41">
        <f>'[2]побудинковий звіт'!AJ294+'[1]побудинковий звіт'!AJ294</f>
        <v>0</v>
      </c>
      <c r="AK294" s="41">
        <f>'[2]побудинковий звіт'!AK294+'[1]побудинковий звіт'!AK294</f>
        <v>0</v>
      </c>
      <c r="AL294" s="55">
        <f t="shared" si="274"/>
        <v>0</v>
      </c>
      <c r="AM294" s="41">
        <f>'[2]побудинковий звіт'!AM294+'[1]побудинковий звіт'!AM294</f>
        <v>0</v>
      </c>
      <c r="AN294" s="41">
        <f>'[2]побудинковий звіт'!AN294+'[1]побудинковий звіт'!AN294</f>
        <v>0</v>
      </c>
      <c r="AO294" s="55">
        <f t="shared" si="275"/>
        <v>0</v>
      </c>
      <c r="AP294" s="41">
        <f>'[2]побудинковий звіт'!AP294+'[1]побудинковий звіт'!AP294</f>
        <v>9068.8770422686157</v>
      </c>
      <c r="AQ294" s="41">
        <f>'[2]побудинковий звіт'!AQ294+'[1]побудинковий звіт'!AQ294</f>
        <v>11981.422682596312</v>
      </c>
      <c r="AR294" s="55">
        <f t="shared" si="276"/>
        <v>2912.5456403276967</v>
      </c>
      <c r="AS294" s="41">
        <f>'[2]побудинковий звіт'!AS294+'[1]побудинковий звіт'!AS294</f>
        <v>66618.326838591965</v>
      </c>
      <c r="AT294" s="41">
        <f>'[2]побудинковий звіт'!AT294+'[1]побудинковий звіт'!AT294</f>
        <v>61439.050004776858</v>
      </c>
      <c r="AU294" s="57">
        <f t="shared" si="277"/>
        <v>-5179.2768338151072</v>
      </c>
      <c r="AV294" s="41">
        <f>'[2]побудинковий звіт'!AV294+'[1]побудинковий звіт'!AV294</f>
        <v>2738.1967446216295</v>
      </c>
      <c r="AW294" s="41">
        <f>'[2]побудинковий звіт'!AW294+'[1]побудинковий звіт'!AW294</f>
        <v>2875.1968307598459</v>
      </c>
      <c r="AX294" s="58">
        <f t="shared" si="278"/>
        <v>137.00008613821637</v>
      </c>
      <c r="AY294" s="41">
        <f>'[2]побудинковий звіт'!AY294+'[1]побудинковий звіт'!AY294</f>
        <v>4613.2038661870974</v>
      </c>
      <c r="AZ294" s="41">
        <f>'[2]побудинковий звіт'!AZ294+'[1]побудинковий звіт'!AZ294</f>
        <v>2648.6294328906129</v>
      </c>
      <c r="BA294" s="36">
        <f t="shared" si="279"/>
        <v>-1964.5744332964846</v>
      </c>
      <c r="BB294" s="41">
        <f>'[2]побудинковий звіт'!BB294+'[1]побудинковий звіт'!BB294</f>
        <v>2554.0660277740144</v>
      </c>
      <c r="BC294" s="41">
        <f>'[2]побудинковий звіт'!BC294+'[1]побудинковий звіт'!BC294</f>
        <v>4332.2901089698898</v>
      </c>
      <c r="BD294" s="58">
        <f t="shared" si="280"/>
        <v>1778.2240811958754</v>
      </c>
      <c r="BE294" s="41">
        <f>'[2]побудинковий звіт'!BE294+'[1]побудинковий звіт'!BE294</f>
        <v>0</v>
      </c>
      <c r="BF294" s="41">
        <f>'[2]побудинковий звіт'!BF294+'[1]побудинковий звіт'!BF294</f>
        <v>0</v>
      </c>
      <c r="BG294" s="38">
        <f t="shared" si="281"/>
        <v>0</v>
      </c>
      <c r="BH294" s="41">
        <f>'[2]побудинковий звіт'!BH294+'[1]побудинковий звіт'!BH294</f>
        <v>1105.2668502747176</v>
      </c>
      <c r="BI294" s="41">
        <f>'[2]побудинковий звіт'!BI294+'[1]побудинковий звіт'!BI294</f>
        <v>0</v>
      </c>
      <c r="BJ294" s="58">
        <f t="shared" si="282"/>
        <v>-1105.2668502747176</v>
      </c>
      <c r="BK294" s="41">
        <f>'[2]побудинковий звіт'!BK294+'[1]побудинковий звіт'!BK294</f>
        <v>2549.6628437382051</v>
      </c>
      <c r="BL294" s="41">
        <f>'[2]побудинковий звіт'!BL294+'[1]побудинковий звіт'!BL294</f>
        <v>0</v>
      </c>
      <c r="BM294" s="38">
        <f t="shared" si="283"/>
        <v>-2549.6628437382051</v>
      </c>
      <c r="BN294" s="41">
        <f>'[2]побудинковий звіт'!BN294+'[1]побудинковий звіт'!BN294</f>
        <v>131.75764828667408</v>
      </c>
      <c r="BO294" s="41">
        <f>'[2]побудинковий звіт'!BO294+'[1]побудинковий звіт'!BO294</f>
        <v>6598.4307670595836</v>
      </c>
      <c r="BP294" s="58">
        <f t="shared" si="284"/>
        <v>6466.6731187729092</v>
      </c>
      <c r="BQ294" s="84">
        <f t="shared" si="285"/>
        <v>13692.153980882338</v>
      </c>
      <c r="BR294" s="42">
        <f t="shared" si="286"/>
        <v>16454.547139679933</v>
      </c>
      <c r="BS294" s="58">
        <f t="shared" si="287"/>
        <v>2762.3931587975949</v>
      </c>
      <c r="BT294" s="41">
        <f>'[2]побудинковий звіт'!BT294+'[1]побудинковий звіт'!BT294</f>
        <v>51996.805025876471</v>
      </c>
      <c r="BU294" s="41">
        <f>'[2]побудинковий звіт'!BU294+'[1]побудинковий звіт'!BU294</f>
        <v>73624.533074592502</v>
      </c>
      <c r="BV294" s="55">
        <f t="shared" si="288"/>
        <v>21627.728048716031</v>
      </c>
      <c r="BW294" s="41">
        <f>'[2]побудинковий звіт'!BW294+'[1]побудинковий звіт'!BW294</f>
        <v>27076.833867935969</v>
      </c>
      <c r="BX294" s="41">
        <f>'[2]побудинковий звіт'!BX294+'[1]побудинковий звіт'!BX294</f>
        <v>31596.095795154004</v>
      </c>
      <c r="BY294" s="55">
        <f t="shared" si="289"/>
        <v>4519.2619272180345</v>
      </c>
      <c r="BZ294" s="41">
        <f>'[2]побудинковий звіт'!BZ294+'[1]побудинковий звіт'!BZ294</f>
        <v>8615.5130378598424</v>
      </c>
      <c r="CA294" s="41">
        <f>'[2]побудинковий звіт'!CA294+'[1]побудинковий звіт'!CA294</f>
        <v>7151.2201452720001</v>
      </c>
      <c r="CB294" s="55">
        <f t="shared" si="290"/>
        <v>-1464.2928925878423</v>
      </c>
      <c r="CC294" s="41">
        <f>'[2]побудинковий звіт'!CC294+'[1]побудинковий звіт'!CC294</f>
        <v>2571.099860617247</v>
      </c>
      <c r="CD294" s="41">
        <f>'[2]побудинковий звіт'!CD294+'[1]побудинковий звіт'!CD294</f>
        <v>2579.8181734546865</v>
      </c>
      <c r="CE294" s="55">
        <f t="shared" si="291"/>
        <v>8.7183128374394983</v>
      </c>
      <c r="CF294" s="41">
        <f>'[2]побудинковий звіт'!CF294+'[1]побудинковий звіт'!CF294</f>
        <v>318.5456068585745</v>
      </c>
      <c r="CG294" s="41">
        <f>'[2]побудинковий звіт'!CG294+'[1]побудинковий звіт'!CG294</f>
        <v>0</v>
      </c>
      <c r="CH294" s="55">
        <f t="shared" si="292"/>
        <v>-318.5456068585745</v>
      </c>
      <c r="CI294" s="41">
        <f>'[2]побудинковий звіт'!CI294+'[1]побудинковий звіт'!CI294</f>
        <v>10147.959389388981</v>
      </c>
      <c r="CJ294" s="41">
        <f>'[2]побудинковий звіт'!CJ294+'[1]побудинковий звіт'!CJ294</f>
        <v>7579.0220428267749</v>
      </c>
      <c r="CK294" s="55">
        <f t="shared" si="293"/>
        <v>-2568.9373465622066</v>
      </c>
      <c r="CL294" s="41">
        <f>'[2]побудинковий звіт'!CL294+'[1]побудинковий звіт'!CL294</f>
        <v>0</v>
      </c>
      <c r="CM294" s="41">
        <f>'[2]побудинковий звіт'!CM294+'[1]побудинковий звіт'!CM294</f>
        <v>0</v>
      </c>
      <c r="CN294" s="55">
        <f t="shared" si="294"/>
        <v>0</v>
      </c>
      <c r="CO294" s="41">
        <f t="shared" si="295"/>
        <v>10147.959389388981</v>
      </c>
      <c r="CP294" s="42">
        <f t="shared" si="296"/>
        <v>7579.0220428267749</v>
      </c>
      <c r="CQ294" s="55">
        <f t="shared" si="297"/>
        <v>-2568.9373465622066</v>
      </c>
      <c r="CR294" s="76">
        <f t="shared" si="298"/>
        <v>251598.45853956946</v>
      </c>
      <c r="CS294" s="5">
        <f t="shared" si="299"/>
        <v>274885.89032780967</v>
      </c>
      <c r="CT294" s="55">
        <f t="shared" si="300"/>
        <v>23287.43178824021</v>
      </c>
      <c r="CU294" s="84">
        <f t="shared" si="301"/>
        <v>301918.15024748334</v>
      </c>
      <c r="CV294" s="68">
        <f t="shared" si="302"/>
        <v>329863.06839337159</v>
      </c>
      <c r="CW294" s="36">
        <f t="shared" si="303"/>
        <v>27944.918145888252</v>
      </c>
      <c r="CX294" s="41">
        <f>'[2]побудинковий звіт'!CX294+'[1]побудинковий звіт'!CX294</f>
        <v>15158.714460051116</v>
      </c>
      <c r="CY294" s="41">
        <f>'[2]побудинковий звіт'!CY294+'[1]побудинковий звіт'!CY294</f>
        <v>-12786.203685837187</v>
      </c>
      <c r="CZ294" s="55">
        <f t="shared" si="304"/>
        <v>-27944.918145888303</v>
      </c>
      <c r="DA294" s="254">
        <f>'[1]побудинковий звіт'!DA294</f>
        <v>88779.396744664031</v>
      </c>
      <c r="DB294" s="2">
        <v>3</v>
      </c>
      <c r="DC294" s="702">
        <f>'[1]побудинковий звіт'!DC294</f>
        <v>46712</v>
      </c>
      <c r="DD294" s="702">
        <f>'[1]побудинковий звіт'!DD294</f>
        <v>0</v>
      </c>
      <c r="DE294" s="702">
        <f>'[1]побудинковий звіт'!DE294</f>
        <v>11750.68</v>
      </c>
      <c r="DF294" s="702">
        <f>'[1]побудинковий звіт'!DF294</f>
        <v>0</v>
      </c>
      <c r="DG294" s="772">
        <v>71866.972060816712</v>
      </c>
      <c r="DH294" s="746">
        <f t="shared" si="306"/>
        <v>3804922.3764904132</v>
      </c>
      <c r="DI294" s="769"/>
      <c r="DJ294" s="5"/>
      <c r="DK294" s="307">
        <f>VLOOKUP($A294,ціни!$A$4:$G$401,5)</f>
        <v>5.5671771059392858</v>
      </c>
      <c r="DL294" s="307"/>
      <c r="DM294" s="307">
        <f>VLOOKUP($A294,ціни!$A$4:$G$401,7)</f>
        <v>4.9547402969218979</v>
      </c>
      <c r="DN294" s="29">
        <f t="shared" si="315"/>
        <v>24816.805385145555</v>
      </c>
      <c r="DO294" s="29">
        <f t="shared" si="305"/>
        <v>0</v>
      </c>
      <c r="DP294" s="306">
        <f t="shared" si="307"/>
        <v>24816.805385145555</v>
      </c>
      <c r="DQ294" s="101"/>
      <c r="DR294" s="29">
        <f>VLOOKUP(A294,'ДЗ нас '!$A$1:$C$359,2)</f>
        <v>24816.9</v>
      </c>
      <c r="DS294" s="733"/>
      <c r="DT294" s="29">
        <f t="shared" si="308"/>
        <v>24816.9</v>
      </c>
      <c r="DU294" s="247">
        <f>VLOOKUP(A294,'новий кошторис с 01.06'!$A$4:$AI$399,35)*1.2</f>
        <v>25046.973694998822</v>
      </c>
      <c r="DV294" s="29">
        <f t="shared" si="309"/>
        <v>-230.07369499882043</v>
      </c>
      <c r="DW294" s="1016">
        <f>'[2]побудинковий звіт'!$DW$9+'[1]побудинковий звіт'!DW294</f>
        <v>1206</v>
      </c>
      <c r="DX294" s="101">
        <f>'[1]побудинковий звіт'!DX294</f>
        <v>0</v>
      </c>
      <c r="DY294" s="5">
        <f t="shared" si="310"/>
        <v>96372.576983369174</v>
      </c>
      <c r="DZ294" s="5">
        <f t="shared" si="311"/>
        <v>93472.316573348144</v>
      </c>
      <c r="EA294" s="737">
        <f t="shared" si="312"/>
        <v>11750.68</v>
      </c>
      <c r="EC294" s="577">
        <f t="shared" si="313"/>
        <v>799419.92206310364</v>
      </c>
      <c r="EE294" s="743">
        <v>-50235</v>
      </c>
      <c r="EF294" s="723">
        <f t="shared" si="314"/>
        <v>21631.972060816712</v>
      </c>
      <c r="EH294" s="798">
        <v>119153.19668841493</v>
      </c>
      <c r="EI294" s="101">
        <f>VLOOKUP(A294,'кошти 01.01.24'!$A$9:$D$352,4,FALSE)</f>
        <v>60834.47859877572</v>
      </c>
    </row>
    <row r="295" spans="1:139" hidden="1" x14ac:dyDescent="0.3">
      <c r="A295" s="318">
        <v>150000720</v>
      </c>
      <c r="B295" s="43" t="s">
        <v>700</v>
      </c>
      <c r="C295" s="44" t="s">
        <v>1806</v>
      </c>
      <c r="D295" s="44" t="s">
        <v>288</v>
      </c>
      <c r="E295" s="39">
        <f t="shared" si="262"/>
        <v>3670.1</v>
      </c>
      <c r="F295" s="205">
        <f>'[1]побудинковий звіт'!F295</f>
        <v>3569.1</v>
      </c>
      <c r="G295" s="29">
        <f>'[1]побудинковий звіт'!G295</f>
        <v>0</v>
      </c>
      <c r="H295" s="148">
        <f>'[1]побудинковий звіт'!H295</f>
        <v>101</v>
      </c>
      <c r="I295" s="41">
        <f>'[2]побудинковий звіт'!I295+'[1]побудинковий звіт'!I295</f>
        <v>11513.942503264714</v>
      </c>
      <c r="J295" s="41">
        <f>'[2]побудинковий звіт'!J295+'[1]побудинковий звіт'!J295</f>
        <v>11970.617905507508</v>
      </c>
      <c r="K295" s="55">
        <f t="shared" si="263"/>
        <v>456.67540224279401</v>
      </c>
      <c r="L295" s="41">
        <f>'[2]побудинковий звіт'!L295+'[1]побудинковий звіт'!L295</f>
        <v>2290.7990532507129</v>
      </c>
      <c r="M295" s="41">
        <f>'[2]побудинковий звіт'!M295+'[1]побудинковий звіт'!M295</f>
        <v>2516.6573106143742</v>
      </c>
      <c r="N295" s="55">
        <f t="shared" si="264"/>
        <v>225.85825736366132</v>
      </c>
      <c r="O295" s="41">
        <f>'[2]побудинковий звіт'!O295+'[1]побудинковий звіт'!O295</f>
        <v>5540.297805488598</v>
      </c>
      <c r="P295" s="41">
        <f>'[2]побудинковий звіт'!P295+'[1]побудинковий звіт'!P295</f>
        <v>5555.2229531458934</v>
      </c>
      <c r="Q295" s="55">
        <f t="shared" si="265"/>
        <v>14.925147657295383</v>
      </c>
      <c r="R295" s="41">
        <f>'[2]побудинковий звіт'!R295+'[1]побудинковий звіт'!R295</f>
        <v>1398.2285555677317</v>
      </c>
      <c r="S295" s="41">
        <f>'[2]побудинковий звіт'!S295+'[1]побудинковий звіт'!S295</f>
        <v>1402.5121637555069</v>
      </c>
      <c r="T295" s="55">
        <f t="shared" si="266"/>
        <v>4.283608187775144</v>
      </c>
      <c r="U295" s="41">
        <f>'[2]побудинковий звіт'!U295+'[1]побудинковий звіт'!U295</f>
        <v>0</v>
      </c>
      <c r="V295" s="41">
        <f>'[2]побудинковий звіт'!V295+'[1]побудинковий звіт'!V295</f>
        <v>0</v>
      </c>
      <c r="W295" s="55">
        <f t="shared" si="267"/>
        <v>0</v>
      </c>
      <c r="X295" s="41">
        <f>'[2]побудинковий звіт'!X295+'[1]побудинковий звіт'!X295</f>
        <v>4838.6866664946583</v>
      </c>
      <c r="Y295" s="41">
        <f>'[2]побудинковий звіт'!Y295+'[1]побудинковий звіт'!Y295</f>
        <v>4652.5854771231961</v>
      </c>
      <c r="Z295" s="55">
        <f t="shared" si="268"/>
        <v>-186.10118937146217</v>
      </c>
      <c r="AA295" s="41">
        <f>'[2]побудинковий звіт'!AA295+'[1]побудинковий звіт'!AA295</f>
        <v>0</v>
      </c>
      <c r="AB295" s="41">
        <f>'[2]побудинковий звіт'!AB295+'[1]побудинковий звіт'!AB295</f>
        <v>0</v>
      </c>
      <c r="AC295" s="55">
        <f t="shared" si="269"/>
        <v>0</v>
      </c>
      <c r="AD295" s="41">
        <f>'[2]побудинковий звіт'!AD295+'[1]побудинковий звіт'!AD295</f>
        <v>15918.369373091133</v>
      </c>
      <c r="AE295" s="41">
        <f>'[2]побудинковий звіт'!AE295+'[1]побудинковий звіт'!AE295</f>
        <v>15856.458531092685</v>
      </c>
      <c r="AF295" s="36">
        <f t="shared" si="270"/>
        <v>-61.910841998447722</v>
      </c>
      <c r="AG295" s="84">
        <f t="shared" si="271"/>
        <v>41500.323957157547</v>
      </c>
      <c r="AH295" s="56">
        <f t="shared" si="272"/>
        <v>41954.054341239163</v>
      </c>
      <c r="AI295" s="55">
        <f t="shared" si="273"/>
        <v>453.73038408161665</v>
      </c>
      <c r="AJ295" s="41">
        <f>'[2]побудинковий звіт'!AJ295+'[1]побудинковий звіт'!AJ295</f>
        <v>0</v>
      </c>
      <c r="AK295" s="41">
        <f>'[2]побудинковий звіт'!AK295+'[1]побудинковий звіт'!AK295</f>
        <v>0</v>
      </c>
      <c r="AL295" s="55">
        <f t="shared" si="274"/>
        <v>0</v>
      </c>
      <c r="AM295" s="41">
        <f>'[2]побудинковий звіт'!AM295+'[1]побудинковий звіт'!AM295</f>
        <v>0</v>
      </c>
      <c r="AN295" s="41">
        <f>'[2]побудинковий звіт'!AN295+'[1]побудинковий звіт'!AN295</f>
        <v>0</v>
      </c>
      <c r="AO295" s="55">
        <f t="shared" si="275"/>
        <v>0</v>
      </c>
      <c r="AP295" s="41">
        <f>'[2]побудинковий звіт'!AP295+'[1]побудинковий звіт'!AP295</f>
        <v>2872.7340344250915</v>
      </c>
      <c r="AQ295" s="41">
        <f>'[2]побудинковий звіт'!AQ295+'[1]побудинковий звіт'!AQ295</f>
        <v>2590.7534368323945</v>
      </c>
      <c r="AR295" s="55">
        <f t="shared" si="276"/>
        <v>-281.98059759269699</v>
      </c>
      <c r="AS295" s="41">
        <f>'[2]побудинковий звіт'!AS295+'[1]побудинковий звіт'!AS295</f>
        <v>33272.306835828706</v>
      </c>
      <c r="AT295" s="41">
        <f>'[2]побудинковий звіт'!AT295+'[1]побудинковий звіт'!AT295</f>
        <v>38777.150972310017</v>
      </c>
      <c r="AU295" s="57">
        <f t="shared" si="277"/>
        <v>5504.8441364813116</v>
      </c>
      <c r="AV295" s="41">
        <f>'[2]побудинковий звіт'!AV295+'[1]побудинковий звіт'!AV295</f>
        <v>1923.6822394959713</v>
      </c>
      <c r="AW295" s="41">
        <f>'[2]побудинковий звіт'!AW295+'[1]побудинковий звіт'!AW295</f>
        <v>0</v>
      </c>
      <c r="AX295" s="58">
        <f t="shared" si="278"/>
        <v>-1923.6822394959713</v>
      </c>
      <c r="AY295" s="41">
        <f>'[2]побудинковий звіт'!AY295+'[1]побудинковий звіт'!AY295</f>
        <v>2984.4383215555113</v>
      </c>
      <c r="AZ295" s="41">
        <f>'[2]побудинковий звіт'!AZ295+'[1]побудинковий звіт'!AZ295</f>
        <v>0</v>
      </c>
      <c r="BA295" s="36">
        <f t="shared" si="279"/>
        <v>-2984.4383215555113</v>
      </c>
      <c r="BB295" s="41">
        <f>'[2]побудинковий звіт'!BB295+'[1]побудинковий звіт'!BB295</f>
        <v>2338.0971631499397</v>
      </c>
      <c r="BC295" s="41">
        <f>'[2]побудинковий звіт'!BC295+'[1]побудинковий звіт'!BC295</f>
        <v>0</v>
      </c>
      <c r="BD295" s="58">
        <f t="shared" si="280"/>
        <v>-2338.0971631499397</v>
      </c>
      <c r="BE295" s="41">
        <f>'[2]побудинковий звіт'!BE295+'[1]побудинковий звіт'!BE295</f>
        <v>1223.3686200730426</v>
      </c>
      <c r="BF295" s="41">
        <f>'[2]побудинковий звіт'!BF295+'[1]побудинковий звіт'!BF295</f>
        <v>705.11426222136083</v>
      </c>
      <c r="BG295" s="38">
        <f t="shared" si="281"/>
        <v>-518.25435785168179</v>
      </c>
      <c r="BH295" s="41">
        <f>'[2]побудинковий звіт'!BH295+'[1]побудинковий звіт'!BH295</f>
        <v>0</v>
      </c>
      <c r="BI295" s="41">
        <f>'[2]побудинковий звіт'!BI295+'[1]побудинковий звіт'!BI295</f>
        <v>0</v>
      </c>
      <c r="BJ295" s="58">
        <f t="shared" si="282"/>
        <v>0</v>
      </c>
      <c r="BK295" s="41">
        <f>'[2]побудинковий звіт'!BK295+'[1]побудинковий звіт'!BK295</f>
        <v>1311.2679489260008</v>
      </c>
      <c r="BL295" s="41">
        <f>'[2]побудинковий звіт'!BL295+'[1]побудинковий звіт'!BL295</f>
        <v>1917.9951146321905</v>
      </c>
      <c r="BM295" s="38">
        <f t="shared" si="283"/>
        <v>606.72716570618968</v>
      </c>
      <c r="BN295" s="41">
        <f>'[2]побудинковий звіт'!BN295+'[1]побудинковий звіт'!BN295</f>
        <v>81.564258463179186</v>
      </c>
      <c r="BO295" s="41">
        <f>'[2]побудинковий звіт'!BO295+'[1]побудинковий звіт'!BO295</f>
        <v>0</v>
      </c>
      <c r="BP295" s="58">
        <f t="shared" si="284"/>
        <v>-81.564258463179186</v>
      </c>
      <c r="BQ295" s="84">
        <f t="shared" si="285"/>
        <v>9862.4185516636444</v>
      </c>
      <c r="BR295" s="42">
        <f t="shared" si="286"/>
        <v>2623.1093768535511</v>
      </c>
      <c r="BS295" s="58">
        <f t="shared" si="287"/>
        <v>-7239.3091748100933</v>
      </c>
      <c r="BT295" s="41">
        <f>'[2]побудинковий звіт'!BT295+'[1]побудинковий звіт'!BT295</f>
        <v>43822.424576601814</v>
      </c>
      <c r="BU295" s="41">
        <f>'[2]побудинковий звіт'!BU295+'[1]побудинковий звіт'!BU295</f>
        <v>59953.888148413367</v>
      </c>
      <c r="BV295" s="55">
        <f t="shared" si="288"/>
        <v>16131.463571811553</v>
      </c>
      <c r="BW295" s="41">
        <f>'[2]побудинковий звіт'!BW295+'[1]побудинковий звіт'!BW295</f>
        <v>21174.849147399949</v>
      </c>
      <c r="BX295" s="41">
        <f>'[2]побудинковий звіт'!BX295+'[1]побудинковий звіт'!BX295</f>
        <v>23465.570707136008</v>
      </c>
      <c r="BY295" s="55">
        <f t="shared" si="289"/>
        <v>2290.7215597360591</v>
      </c>
      <c r="BZ295" s="41">
        <f>'[2]побудинковий звіт'!BZ295+'[1]побудинковий звіт'!BZ295</f>
        <v>6482.843653690099</v>
      </c>
      <c r="CA295" s="41">
        <f>'[2]побудинковий звіт'!CA295+'[1]побудинковий звіт'!CA295</f>
        <v>5795.8745094586202</v>
      </c>
      <c r="CB295" s="55">
        <f t="shared" si="290"/>
        <v>-686.96914423147882</v>
      </c>
      <c r="CC295" s="41">
        <f>'[2]побудинковий звіт'!CC295+'[1]побудинковий звіт'!CC295</f>
        <v>2545.449933266671</v>
      </c>
      <c r="CD295" s="41">
        <f>'[2]побудинковий звіт'!CD295+'[1]побудинковий звіт'!CD295</f>
        <v>2554.081270061552</v>
      </c>
      <c r="CE295" s="55">
        <f t="shared" si="291"/>
        <v>8.6313367948810082</v>
      </c>
      <c r="CF295" s="41">
        <f>'[2]побудинковий звіт'!CF295+'[1]побудинковий звіт'!CF295</f>
        <v>315.36771719395199</v>
      </c>
      <c r="CG295" s="41">
        <f>'[2]побудинковий звіт'!CG295+'[1]побудинковий звіт'!CG295</f>
        <v>0</v>
      </c>
      <c r="CH295" s="55">
        <f t="shared" si="292"/>
        <v>-315.36771719395199</v>
      </c>
      <c r="CI295" s="41">
        <f>'[2]побудинковий звіт'!CI295+'[1]побудинковий звіт'!CI295</f>
        <v>15380.722668869428</v>
      </c>
      <c r="CJ295" s="41">
        <f>'[2]побудинковий звіт'!CJ295+'[1]побудинковий звіт'!CJ295</f>
        <v>11210.321744589302</v>
      </c>
      <c r="CK295" s="55">
        <f t="shared" si="293"/>
        <v>-4170.4009242801258</v>
      </c>
      <c r="CL295" s="41">
        <f>'[2]побудинковий звіт'!CL295+'[1]побудинковий звіт'!CL295</f>
        <v>0</v>
      </c>
      <c r="CM295" s="41">
        <f>'[2]побудинковий звіт'!CM295+'[1]побудинковий звіт'!CM295</f>
        <v>0</v>
      </c>
      <c r="CN295" s="55">
        <f t="shared" si="294"/>
        <v>0</v>
      </c>
      <c r="CO295" s="41">
        <f t="shared" si="295"/>
        <v>15380.722668869428</v>
      </c>
      <c r="CP295" s="42">
        <f t="shared" si="296"/>
        <v>11210.321744589302</v>
      </c>
      <c r="CQ295" s="55">
        <f t="shared" si="297"/>
        <v>-4170.4009242801258</v>
      </c>
      <c r="CR295" s="76">
        <f t="shared" si="298"/>
        <v>177229.4410760969</v>
      </c>
      <c r="CS295" s="5">
        <f t="shared" si="299"/>
        <v>188924.804506894</v>
      </c>
      <c r="CT295" s="55">
        <f t="shared" si="300"/>
        <v>11695.363430797093</v>
      </c>
      <c r="CU295" s="84">
        <f t="shared" si="301"/>
        <v>212675.32929131627</v>
      </c>
      <c r="CV295" s="68">
        <f t="shared" si="302"/>
        <v>226709.7654082728</v>
      </c>
      <c r="CW295" s="36">
        <f t="shared" si="303"/>
        <v>14034.436116956524</v>
      </c>
      <c r="CX295" s="41">
        <f>'[2]побудинковий звіт'!CX295+'[1]побудинковий звіт'!CX295</f>
        <v>10632.694920659651</v>
      </c>
      <c r="CY295" s="41">
        <f>'[2]побудинковий звіт'!CY295+'[1]побудинковий звіт'!CY295</f>
        <v>-3401.7411962967926</v>
      </c>
      <c r="CZ295" s="55">
        <f t="shared" si="304"/>
        <v>-14034.436116956444</v>
      </c>
      <c r="DA295" s="254">
        <f>'[1]побудинковий звіт'!DA295</f>
        <v>29308.031276678743</v>
      </c>
      <c r="DB295" s="2">
        <v>3</v>
      </c>
      <c r="DC295" s="702">
        <f>'[1]побудинковий звіт'!DC295</f>
        <v>46517.16</v>
      </c>
      <c r="DD295" s="702">
        <f>'[1]побудинковий звіт'!DD295</f>
        <v>8815.2800000000007</v>
      </c>
      <c r="DE295" s="702">
        <f>'[1]побудинковий звіт'!DE295</f>
        <v>22684.840000000004</v>
      </c>
      <c r="DF295" s="702">
        <f>'[1]побудинковий звіт'!DF295</f>
        <v>8219.380000000001</v>
      </c>
      <c r="DG295" s="772">
        <v>22683.631040974986</v>
      </c>
      <c r="DH295" s="746">
        <f t="shared" si="306"/>
        <v>2679696.2905437108</v>
      </c>
      <c r="DI295" s="769"/>
      <c r="DJ295" s="5"/>
      <c r="DK295" s="307">
        <f>VLOOKUP($A295,ціни!$A$4:$G$401,5)</f>
        <v>4.7885260108503545</v>
      </c>
      <c r="DL295" s="307"/>
      <c r="DM295" s="307">
        <f>VLOOKUP($A295,ціни!$A$4:$G$401,7)</f>
        <v>4.1946327537629511</v>
      </c>
      <c r="DN295" s="29">
        <f t="shared" si="315"/>
        <v>17090.728185325999</v>
      </c>
      <c r="DO295" s="29">
        <f t="shared" si="305"/>
        <v>423.65790813005805</v>
      </c>
      <c r="DP295" s="306">
        <f t="shared" si="307"/>
        <v>17514.386093456058</v>
      </c>
      <c r="DQ295" s="101"/>
      <c r="DR295" s="29">
        <f>VLOOKUP(A295,'ДЗ нас '!$A$1:$C$359,2)</f>
        <v>17090.63</v>
      </c>
      <c r="DS295" s="733">
        <f>VLOOKUP(A295,'ДЗ нежит'!$A$1:$D$153,4,0)</f>
        <v>423.65</v>
      </c>
      <c r="DT295" s="29">
        <f t="shared" si="308"/>
        <v>17514.280000000002</v>
      </c>
      <c r="DU295" s="247">
        <f>VLOOKUP(A295,'новий кошторис с 01.06'!$A$4:$AI$399,35)*1.2</f>
        <v>17681.189770536588</v>
      </c>
      <c r="DV295" s="29">
        <f t="shared" si="309"/>
        <v>-166.90977053658571</v>
      </c>
      <c r="DW295" s="1016">
        <f>'[2]побудинковий звіт'!$DW$9+'[1]побудинковий звіт'!DW295</f>
        <v>909</v>
      </c>
      <c r="DX295" s="101">
        <f>'[1]побудинковий звіт'!DX295</f>
        <v>0</v>
      </c>
      <c r="DY295" s="5">
        <f t="shared" si="310"/>
        <v>51761.670464990813</v>
      </c>
      <c r="DZ295" s="5">
        <f t="shared" si="311"/>
        <v>49680.312418996276</v>
      </c>
      <c r="EA295" s="737">
        <f t="shared" si="312"/>
        <v>30904.220000000005</v>
      </c>
      <c r="EC295" s="577">
        <f t="shared" si="313"/>
        <v>399267.6820299445</v>
      </c>
      <c r="EE295" s="743">
        <v>40622</v>
      </c>
      <c r="EF295" s="723">
        <f t="shared" si="314"/>
        <v>63305.631040974986</v>
      </c>
      <c r="EH295" s="798">
        <v>29193.03984301283</v>
      </c>
      <c r="EI295" s="101">
        <f>VLOOKUP(A295,'кошти 01.01.24'!$A$9:$D$352,4,FALSE)</f>
        <v>15273.595159722201</v>
      </c>
    </row>
    <row r="296" spans="1:139" hidden="1" x14ac:dyDescent="0.3">
      <c r="A296" s="318">
        <v>150000861</v>
      </c>
      <c r="B296" s="43" t="s">
        <v>762</v>
      </c>
      <c r="C296" s="44" t="s">
        <v>232</v>
      </c>
      <c r="D296" s="44" t="s">
        <v>232</v>
      </c>
      <c r="E296" s="39">
        <f t="shared" si="262"/>
        <v>3503.3</v>
      </c>
      <c r="F296" s="205">
        <f>'[1]побудинковий звіт'!F296</f>
        <v>2783.5</v>
      </c>
      <c r="G296" s="29">
        <f>'[1]побудинковий звіт'!G296</f>
        <v>0</v>
      </c>
      <c r="H296" s="148">
        <f>'[1]побудинковий звіт'!H296</f>
        <v>719.8</v>
      </c>
      <c r="I296" s="41">
        <f>'[2]побудинковий звіт'!I296+'[1]побудинковий звіт'!I296</f>
        <v>12622.429935028118</v>
      </c>
      <c r="J296" s="41">
        <f>'[2]побудинковий звіт'!J296+'[1]побудинковий звіт'!J296</f>
        <v>12914.088695877079</v>
      </c>
      <c r="K296" s="55">
        <f t="shared" si="263"/>
        <v>291.65876084896081</v>
      </c>
      <c r="L296" s="41">
        <f>'[2]побудинковий звіт'!L296+'[1]побудинковий звіт'!L296</f>
        <v>2539.8664338869221</v>
      </c>
      <c r="M296" s="41">
        <f>'[2]побудинковий звіт'!M296+'[1]побудинковий звіт'!M296</f>
        <v>2663.314847349674</v>
      </c>
      <c r="N296" s="55">
        <f t="shared" si="264"/>
        <v>123.44841346275189</v>
      </c>
      <c r="O296" s="41">
        <f>'[2]побудинковий звіт'!O296+'[1]побудинковий звіт'!O296</f>
        <v>4862.9914221536674</v>
      </c>
      <c r="P296" s="41">
        <f>'[2]побудинковий звіт'!P296+'[1]побудинковий звіт'!P296</f>
        <v>4876.6186899863178</v>
      </c>
      <c r="Q296" s="55">
        <f t="shared" si="265"/>
        <v>13.627267832650432</v>
      </c>
      <c r="R296" s="41">
        <f>'[2]побудинковий звіт'!R296+'[1]побудинковий звіт'!R296</f>
        <v>0</v>
      </c>
      <c r="S296" s="41">
        <f>'[2]побудинковий звіт'!S296+'[1]побудинковий звіт'!S296</f>
        <v>0</v>
      </c>
      <c r="T296" s="55">
        <f t="shared" si="266"/>
        <v>0</v>
      </c>
      <c r="U296" s="41">
        <f>'[2]побудинковий звіт'!U296+'[1]побудинковий звіт'!U296</f>
        <v>224.52235870250053</v>
      </c>
      <c r="V296" s="41">
        <f>'[2]побудинковий звіт'!V296+'[1]побудинковий звіт'!V296</f>
        <v>129.5335090367922</v>
      </c>
      <c r="W296" s="55">
        <f t="shared" si="267"/>
        <v>-94.988849665708329</v>
      </c>
      <c r="X296" s="41">
        <f>'[2]побудинковий звіт'!X296+'[1]побудинковий звіт'!X296</f>
        <v>10942.536766280809</v>
      </c>
      <c r="Y296" s="41">
        <f>'[2]побудинковий звіт'!Y296+'[1]побудинковий звіт'!Y296</f>
        <v>11020.883209478698</v>
      </c>
      <c r="Z296" s="55">
        <f t="shared" si="268"/>
        <v>78.34644319788822</v>
      </c>
      <c r="AA296" s="41">
        <f>'[2]побудинковий звіт'!AA296+'[1]побудинковий звіт'!AA296</f>
        <v>0</v>
      </c>
      <c r="AB296" s="41">
        <f>'[2]побудинковий звіт'!AB296+'[1]побудинковий звіт'!AB296</f>
        <v>0</v>
      </c>
      <c r="AC296" s="55">
        <f t="shared" si="269"/>
        <v>0</v>
      </c>
      <c r="AD296" s="41">
        <f>'[2]побудинковий звіт'!AD296+'[1]побудинковий звіт'!AD296</f>
        <v>14828.185449497983</v>
      </c>
      <c r="AE296" s="41">
        <f>'[2]побудинковий звіт'!AE296+'[1]побудинковий звіт'!AE296</f>
        <v>14784.440312195664</v>
      </c>
      <c r="AF296" s="36">
        <f t="shared" si="270"/>
        <v>-43.745137302319563</v>
      </c>
      <c r="AG296" s="84">
        <f t="shared" si="271"/>
        <v>46020.532365550003</v>
      </c>
      <c r="AH296" s="56">
        <f t="shared" si="272"/>
        <v>46388.879263924224</v>
      </c>
      <c r="AI296" s="55">
        <f t="shared" si="273"/>
        <v>368.34689837422047</v>
      </c>
      <c r="AJ296" s="41">
        <f>'[2]побудинковий звіт'!AJ296+'[1]побудинковий звіт'!AJ296</f>
        <v>0</v>
      </c>
      <c r="AK296" s="41">
        <f>'[2]побудинковий звіт'!AK296+'[1]побудинковий звіт'!AK296</f>
        <v>0</v>
      </c>
      <c r="AL296" s="55">
        <f t="shared" si="274"/>
        <v>0</v>
      </c>
      <c r="AM296" s="41">
        <f>'[2]побудинковий звіт'!AM296+'[1]побудинковий звіт'!AM296</f>
        <v>0</v>
      </c>
      <c r="AN296" s="41">
        <f>'[2]побудинковий звіт'!AN296+'[1]побудинковий звіт'!AN296</f>
        <v>0</v>
      </c>
      <c r="AO296" s="55">
        <f t="shared" si="275"/>
        <v>0</v>
      </c>
      <c r="AP296" s="41">
        <f>'[2]побудинковий звіт'!AP296+'[1]побудинковий звіт'!AP296</f>
        <v>4980.2075954416505</v>
      </c>
      <c r="AQ296" s="41">
        <f>'[2]побудинковий звіт'!AQ296+'[1]побудинковий звіт'!AQ296</f>
        <v>6785.3124940611888</v>
      </c>
      <c r="AR296" s="55">
        <f t="shared" si="276"/>
        <v>1805.1048986195383</v>
      </c>
      <c r="AS296" s="41">
        <f>'[2]побудинковий звіт'!AS296+'[1]побудинковий звіт'!AS296</f>
        <v>42748.552372634833</v>
      </c>
      <c r="AT296" s="41">
        <f>'[2]побудинковий звіт'!AT296+'[1]побудинковий звіт'!AT296</f>
        <v>18988.286321118954</v>
      </c>
      <c r="AU296" s="57">
        <f t="shared" si="277"/>
        <v>-23760.266051515879</v>
      </c>
      <c r="AV296" s="41">
        <f>'[2]побудинковий звіт'!AV296+'[1]побудинковий звіт'!AV296</f>
        <v>2199.1273028833539</v>
      </c>
      <c r="AW296" s="41">
        <f>'[2]побудинковий звіт'!AW296+'[1]побудинковий звіт'!AW296</f>
        <v>0</v>
      </c>
      <c r="AX296" s="58">
        <f t="shared" si="278"/>
        <v>-2199.1273028833539</v>
      </c>
      <c r="AY296" s="41">
        <f>'[2]побудинковий звіт'!AY296+'[1]побудинковий звіт'!AY296</f>
        <v>3146.4029412826485</v>
      </c>
      <c r="AZ296" s="41">
        <f>'[2]побудинковий звіт'!AZ296+'[1]побудинковий звіт'!AZ296</f>
        <v>0</v>
      </c>
      <c r="BA296" s="36">
        <f t="shared" si="279"/>
        <v>-3146.4029412826485</v>
      </c>
      <c r="BB296" s="41">
        <f>'[2]побудинковий звіт'!BB296+'[1]побудинковий звіт'!BB296</f>
        <v>2248.4831716694516</v>
      </c>
      <c r="BC296" s="41">
        <f>'[2]побудинковий звіт'!BC296+'[1]побудинковий звіт'!BC296</f>
        <v>851.26294267612695</v>
      </c>
      <c r="BD296" s="58">
        <f t="shared" si="280"/>
        <v>-1397.2202289933248</v>
      </c>
      <c r="BE296" s="41">
        <f>'[2]побудинковий звіт'!BE296+'[1]побудинковий звіт'!BE296</f>
        <v>0</v>
      </c>
      <c r="BF296" s="41">
        <f>'[2]побудинковий звіт'!BF296+'[1]побудинковий звіт'!BF296</f>
        <v>0</v>
      </c>
      <c r="BG296" s="38">
        <f t="shared" si="281"/>
        <v>0</v>
      </c>
      <c r="BH296" s="41">
        <f>'[2]побудинковий звіт'!BH296+'[1]побудинковий звіт'!BH296</f>
        <v>132.32770556571961</v>
      </c>
      <c r="BI296" s="41">
        <f>'[2]побудинковий звіт'!BI296+'[1]побудинковий звіт'!BI296</f>
        <v>2242.0233663846593</v>
      </c>
      <c r="BJ296" s="58">
        <f t="shared" si="282"/>
        <v>2109.6956608189398</v>
      </c>
      <c r="BK296" s="41">
        <f>'[2]побудинковий звіт'!BK296+'[1]побудинковий звіт'!BK296</f>
        <v>2081.8570875762694</v>
      </c>
      <c r="BL296" s="41">
        <f>'[2]побудинковий звіт'!BL296+'[1]побудинковий звіт'!BL296</f>
        <v>1454.734679519712</v>
      </c>
      <c r="BM296" s="38">
        <f t="shared" si="283"/>
        <v>-627.12240805655733</v>
      </c>
      <c r="BN296" s="41">
        <f>'[2]побудинковий звіт'!BN296+'[1]побудинковий звіт'!BN296</f>
        <v>23.245813662006071</v>
      </c>
      <c r="BO296" s="41">
        <f>'[2]побудинковий звіт'!BO296+'[1]побудинковий звіт'!BO296</f>
        <v>0</v>
      </c>
      <c r="BP296" s="58">
        <f t="shared" si="284"/>
        <v>-23.245813662006071</v>
      </c>
      <c r="BQ296" s="84">
        <f t="shared" si="285"/>
        <v>9831.444022639449</v>
      </c>
      <c r="BR296" s="42">
        <f t="shared" si="286"/>
        <v>4548.0209885804979</v>
      </c>
      <c r="BS296" s="58">
        <f t="shared" si="287"/>
        <v>-5283.4230340589511</v>
      </c>
      <c r="BT296" s="41">
        <f>'[2]побудинковий звіт'!BT296+'[1]побудинковий звіт'!BT296</f>
        <v>38084.371824502145</v>
      </c>
      <c r="BU296" s="41">
        <f>'[2]побудинковий звіт'!BU296+'[1]побудинковий звіт'!BU296</f>
        <v>64360.77355325086</v>
      </c>
      <c r="BV296" s="55">
        <f t="shared" si="288"/>
        <v>26276.401728748715</v>
      </c>
      <c r="BW296" s="41">
        <f>'[2]побудинковий звіт'!BW296+'[1]побудинковий звіт'!BW296</f>
        <v>27688.080487819425</v>
      </c>
      <c r="BX296" s="41">
        <f>'[2]побудинковий звіт'!BX296+'[1]побудинковий звіт'!BX296</f>
        <v>32018.153134745367</v>
      </c>
      <c r="BY296" s="55">
        <f t="shared" si="289"/>
        <v>4330.0726469259425</v>
      </c>
      <c r="BZ296" s="41">
        <f>'[2]побудинковий звіт'!BZ296+'[1]побудинковий звіт'!BZ296</f>
        <v>16148.714784454554</v>
      </c>
      <c r="CA296" s="41">
        <f>'[2]побудинковий звіт'!CA296+'[1]побудинковий звіт'!CA296</f>
        <v>6232.8306419177597</v>
      </c>
      <c r="CB296" s="55">
        <f t="shared" si="290"/>
        <v>-9915.8841425367937</v>
      </c>
      <c r="CC296" s="41">
        <f>'[2]побудинковий звіт'!CC296+'[1]побудинковий звіт'!CC296</f>
        <v>2252.0941570083592</v>
      </c>
      <c r="CD296" s="41">
        <f>'[2]побудинковий звіт'!CD296+'[1]побудинковий звіт'!CD296</f>
        <v>2259.7307570879275</v>
      </c>
      <c r="CE296" s="55">
        <f t="shared" si="291"/>
        <v>7.6366000795683249</v>
      </c>
      <c r="CF296" s="41">
        <f>'[2]побудинковий звіт'!CF296+'[1]побудинковий звіт'!CF296</f>
        <v>279.02249575582465</v>
      </c>
      <c r="CG296" s="41">
        <f>'[2]побудинковий звіт'!CG296+'[1]побудинковий звіт'!CG296</f>
        <v>0</v>
      </c>
      <c r="CH296" s="55">
        <f t="shared" si="292"/>
        <v>-279.02249575582465</v>
      </c>
      <c r="CI296" s="41">
        <f>'[2]побудинковий звіт'!CI296+'[1]побудинковий звіт'!CI296</f>
        <v>7606.9251947718076</v>
      </c>
      <c r="CJ296" s="41">
        <f>'[2]побудинковий звіт'!CJ296+'[1]побудинковий звіт'!CJ296</f>
        <v>7797.9532394500238</v>
      </c>
      <c r="CK296" s="55">
        <f t="shared" si="293"/>
        <v>191.02804467821625</v>
      </c>
      <c r="CL296" s="41">
        <f>'[2]побудинковий звіт'!CL296+'[1]побудинковий звіт'!CL296</f>
        <v>0</v>
      </c>
      <c r="CM296" s="41">
        <f>'[2]побудинковий звіт'!CM296+'[1]побудинковий звіт'!CM296</f>
        <v>0</v>
      </c>
      <c r="CN296" s="55">
        <f t="shared" si="294"/>
        <v>0</v>
      </c>
      <c r="CO296" s="41">
        <f t="shared" si="295"/>
        <v>7606.9251947718076</v>
      </c>
      <c r="CP296" s="42">
        <f t="shared" si="296"/>
        <v>7797.9532394500238</v>
      </c>
      <c r="CQ296" s="55">
        <f t="shared" si="297"/>
        <v>191.02804467821625</v>
      </c>
      <c r="CR296" s="76">
        <f t="shared" si="298"/>
        <v>195639.94530057808</v>
      </c>
      <c r="CS296" s="5">
        <f t="shared" si="299"/>
        <v>189379.94039413682</v>
      </c>
      <c r="CT296" s="55">
        <f t="shared" si="300"/>
        <v>-6260.0049064412597</v>
      </c>
      <c r="CU296" s="84">
        <f t="shared" si="301"/>
        <v>234767.9343606937</v>
      </c>
      <c r="CV296" s="68">
        <f t="shared" si="302"/>
        <v>227255.92847296418</v>
      </c>
      <c r="CW296" s="36">
        <f t="shared" si="303"/>
        <v>-7512.0058877295232</v>
      </c>
      <c r="CX296" s="41">
        <f>'[2]побудинковий звіт'!CX296+'[1]побудинковий звіт'!CX296</f>
        <v>11967.561673996619</v>
      </c>
      <c r="CY296" s="41">
        <f>'[2]побудинковий звіт'!CY296+'[1]побудинковий звіт'!CY296</f>
        <v>19479.567561726159</v>
      </c>
      <c r="CZ296" s="55">
        <f t="shared" si="304"/>
        <v>7512.0058877295396</v>
      </c>
      <c r="DA296" s="254">
        <f>'[1]побудинковий звіт'!DA296</f>
        <v>-20920.932944908825</v>
      </c>
      <c r="DB296" s="2">
        <v>2</v>
      </c>
      <c r="DC296" s="702">
        <f>'[1]побудинковий звіт'!DC296</f>
        <v>74999.960000000006</v>
      </c>
      <c r="DD296" s="702">
        <f>'[1]побудинковий звіт'!DD296</f>
        <v>35479.22</v>
      </c>
      <c r="DE296" s="702">
        <f>'[1]побудинковий звіт'!DE296</f>
        <v>52766.740000000005</v>
      </c>
      <c r="DF296" s="702">
        <f>'[1]побудинковий звіт'!DF296</f>
        <v>30661.700000000004</v>
      </c>
      <c r="DG296" s="772">
        <v>15010.714205542812</v>
      </c>
      <c r="DH296" s="746">
        <f t="shared" si="306"/>
        <v>2960825.952416284</v>
      </c>
      <c r="DI296" s="769"/>
      <c r="DJ296" s="5"/>
      <c r="DK296" s="307">
        <f>VLOOKUP($A296,ціни!$A$4:$G$401,5)</f>
        <v>5.7206388233162944</v>
      </c>
      <c r="DL296" s="307"/>
      <c r="DM296" s="307">
        <f>VLOOKUP($A296,ціни!$A$4:$G$401,7)</f>
        <v>4.7473600296969378</v>
      </c>
      <c r="DN296" s="29">
        <f t="shared" si="315"/>
        <v>15923.398164700906</v>
      </c>
      <c r="DO296" s="29">
        <f t="shared" si="305"/>
        <v>3417.1497493758557</v>
      </c>
      <c r="DP296" s="306">
        <f t="shared" si="307"/>
        <v>19340.54791407676</v>
      </c>
      <c r="DQ296" s="101"/>
      <c r="DR296" s="29">
        <f>VLOOKUP(A296,'ДЗ нас '!$A$1:$C$359,2)</f>
        <v>15923.31</v>
      </c>
      <c r="DS296" s="733">
        <f>VLOOKUP(A296,'ДЗ нежит'!$A$1:$D$153,4,0)</f>
        <v>3417.1899999999996</v>
      </c>
      <c r="DT296" s="29">
        <f t="shared" si="308"/>
        <v>19340.5</v>
      </c>
      <c r="DU296" s="247">
        <f>VLOOKUP(A296,'новий кошторис с 01.06'!$A$4:$AI$399,35)*1.2</f>
        <v>18949.852107058858</v>
      </c>
      <c r="DV296" s="29">
        <f t="shared" si="309"/>
        <v>390.64789294114235</v>
      </c>
      <c r="DW296" s="1016">
        <f>'[2]побудинковий звіт'!$DW$9+'[1]побудинковий звіт'!DW296</f>
        <v>1062</v>
      </c>
      <c r="DX296" s="101">
        <f>'[1]побудинковий звіт'!DX296</f>
        <v>0</v>
      </c>
      <c r="DY296" s="5">
        <f t="shared" si="310"/>
        <v>63095.99567432914</v>
      </c>
      <c r="DZ296" s="5">
        <f t="shared" si="311"/>
        <v>28243.56877163934</v>
      </c>
      <c r="EA296" s="737">
        <f t="shared" si="312"/>
        <v>83428.44</v>
      </c>
      <c r="EC296" s="577">
        <f t="shared" si="313"/>
        <v>512982.62847161799</v>
      </c>
      <c r="EE296" s="743">
        <v>7756</v>
      </c>
      <c r="EF296" s="723">
        <f t="shared" si="314"/>
        <v>22766.714205542812</v>
      </c>
      <c r="EH296" s="798">
        <v>8292.6902464492287</v>
      </c>
      <c r="EI296" s="101">
        <f>VLOOKUP(A296,'кошти 01.01.24'!$A$9:$D$352,4,FALSE)</f>
        <v>-13408.92705717934</v>
      </c>
    </row>
    <row r="297" spans="1:139" hidden="1" x14ac:dyDescent="0.3">
      <c r="A297" s="318">
        <v>150000872</v>
      </c>
      <c r="B297" s="43" t="s">
        <v>763</v>
      </c>
      <c r="C297" s="44" t="s">
        <v>233</v>
      </c>
      <c r="D297" s="44" t="s">
        <v>233</v>
      </c>
      <c r="E297" s="39">
        <f t="shared" si="262"/>
        <v>1209.7</v>
      </c>
      <c r="F297" s="205">
        <f>'[1]побудинковий звіт'!F297</f>
        <v>1076.2</v>
      </c>
      <c r="G297" s="29">
        <f>'[1]побудинковий звіт'!G297</f>
        <v>0</v>
      </c>
      <c r="H297" s="148">
        <f>'[1]побудинковий звіт'!H297</f>
        <v>133.5</v>
      </c>
      <c r="I297" s="41">
        <f>'[2]побудинковий звіт'!I297+'[1]побудинковий звіт'!I297</f>
        <v>7928.7367647812207</v>
      </c>
      <c r="J297" s="41">
        <f>'[2]побудинковий звіт'!J297+'[1]побудинковий звіт'!J297</f>
        <v>8086.2942698346005</v>
      </c>
      <c r="K297" s="55">
        <f t="shared" si="263"/>
        <v>157.55750505337983</v>
      </c>
      <c r="L297" s="41">
        <f>'[2]побудинковий звіт'!L297+'[1]побудинковий звіт'!L297</f>
        <v>1925.2586191387959</v>
      </c>
      <c r="M297" s="41">
        <f>'[2]побудинковий звіт'!M297+'[1]побудинковий звіт'!M297</f>
        <v>2021.3332598999509</v>
      </c>
      <c r="N297" s="55">
        <f t="shared" si="264"/>
        <v>96.074640761155024</v>
      </c>
      <c r="O297" s="41">
        <f>'[2]побудинковий звіт'!O297+'[1]побудинковий звіт'!O297</f>
        <v>1765.8193742420872</v>
      </c>
      <c r="P297" s="41">
        <f>'[2]побудинковий звіт'!P297+'[1]побудинковий звіт'!P297</f>
        <v>1770.7610956934252</v>
      </c>
      <c r="Q297" s="55">
        <f t="shared" si="265"/>
        <v>4.9417214513380259</v>
      </c>
      <c r="R297" s="41">
        <f>'[2]побудинковий звіт'!R297+'[1]побудинковий звіт'!R297</f>
        <v>426.41993636133611</v>
      </c>
      <c r="S297" s="41">
        <f>'[2]побудинковий звіт'!S297+'[1]побудинковий звіт'!S297</f>
        <v>427.45835406456433</v>
      </c>
      <c r="T297" s="55">
        <f t="shared" si="266"/>
        <v>1.0384177032282196</v>
      </c>
      <c r="U297" s="41">
        <f>'[2]побудинковий звіт'!U297+'[1]побудинковий звіт'!U297</f>
        <v>112.26117935125026</v>
      </c>
      <c r="V297" s="41">
        <f>'[2]побудинковий звіт'!V297+'[1]побудинковий звіт'!V297</f>
        <v>64.766754518396098</v>
      </c>
      <c r="W297" s="55">
        <f t="shared" si="267"/>
        <v>-47.494424832854165</v>
      </c>
      <c r="X297" s="41">
        <f>'[2]побудинковий звіт'!X297+'[1]побудинковий звіт'!X297</f>
        <v>3053.6195376057808</v>
      </c>
      <c r="Y297" s="41">
        <f>'[2]побудинковий звіт'!Y297+'[1]побудинковий звіт'!Y297</f>
        <v>2745.3407434656533</v>
      </c>
      <c r="Z297" s="55">
        <f t="shared" si="268"/>
        <v>-308.2787941401275</v>
      </c>
      <c r="AA297" s="41">
        <f>'[2]побудинковий звіт'!AA297+'[1]побудинковий звіт'!AA297</f>
        <v>0</v>
      </c>
      <c r="AB297" s="41">
        <f>'[2]побудинковий звіт'!AB297+'[1]побудинковий звіт'!AB297</f>
        <v>0</v>
      </c>
      <c r="AC297" s="55">
        <f t="shared" si="269"/>
        <v>0</v>
      </c>
      <c r="AD297" s="41">
        <f>'[2]побудинковий звіт'!AD297+'[1]побудинковий звіт'!AD297</f>
        <v>5249.3657022007101</v>
      </c>
      <c r="AE297" s="41">
        <f>'[2]побудинковий звіт'!AE297+'[1]побудинковий звіт'!AE297</f>
        <v>5354.7119612121696</v>
      </c>
      <c r="AF297" s="36">
        <f t="shared" si="270"/>
        <v>105.34625901145955</v>
      </c>
      <c r="AG297" s="84">
        <f t="shared" si="271"/>
        <v>20461.481113681184</v>
      </c>
      <c r="AH297" s="56">
        <f t="shared" si="272"/>
        <v>20470.666438688757</v>
      </c>
      <c r="AI297" s="55">
        <f t="shared" si="273"/>
        <v>9.1853250075728283</v>
      </c>
      <c r="AJ297" s="41">
        <f>'[2]побудинковий звіт'!AJ297+'[1]побудинковий звіт'!AJ297</f>
        <v>0</v>
      </c>
      <c r="AK297" s="41">
        <f>'[2]побудинковий звіт'!AK297+'[1]побудинковий звіт'!AK297</f>
        <v>0</v>
      </c>
      <c r="AL297" s="55">
        <f t="shared" si="274"/>
        <v>0</v>
      </c>
      <c r="AM297" s="41">
        <f>'[2]побудинковий звіт'!AM297+'[1]побудинковий звіт'!AM297</f>
        <v>0</v>
      </c>
      <c r="AN297" s="41">
        <f>'[2]побудинковий звіт'!AN297+'[1]побудинковий звіт'!AN297</f>
        <v>0</v>
      </c>
      <c r="AO297" s="55">
        <f t="shared" si="275"/>
        <v>0</v>
      </c>
      <c r="AP297" s="41">
        <f>'[2]побудинковий звіт'!AP297+'[1]побудинковий звіт'!AP297</f>
        <v>1040.1278400504639</v>
      </c>
      <c r="AQ297" s="41">
        <f>'[2]побудинковий звіт'!AQ297+'[1]побудинковий звіт'!AQ297</f>
        <v>908.32471577050455</v>
      </c>
      <c r="AR297" s="55">
        <f t="shared" si="276"/>
        <v>-131.80312427995932</v>
      </c>
      <c r="AS297" s="41">
        <f>'[2]побудинковий звіт'!AS297+'[1]побудинковий звіт'!AS297</f>
        <v>13204.966802650091</v>
      </c>
      <c r="AT297" s="41">
        <f>'[2]побудинковий звіт'!AT297+'[1]побудинковий звіт'!AT297</f>
        <v>60780.502155805458</v>
      </c>
      <c r="AU297" s="57">
        <f t="shared" si="277"/>
        <v>47575.53535315537</v>
      </c>
      <c r="AV297" s="41">
        <f>'[2]побудинковий звіт'!AV297+'[1]побудинковий звіт'!AV297</f>
        <v>1461.8359128339398</v>
      </c>
      <c r="AW297" s="41">
        <f>'[2]побудинковий звіт'!AW297+'[1]побудинковий звіт'!AW297</f>
        <v>3586.6332820377033</v>
      </c>
      <c r="AX297" s="58">
        <f t="shared" si="278"/>
        <v>2124.7973692037635</v>
      </c>
      <c r="AY297" s="41">
        <f>'[2]побудинковий звіт'!AY297+'[1]побудинковий звіт'!AY297</f>
        <v>2317.7873651624013</v>
      </c>
      <c r="AZ297" s="41">
        <f>'[2]побудинковий звіт'!AZ297+'[1]побудинковий звіт'!AZ297</f>
        <v>0</v>
      </c>
      <c r="BA297" s="36">
        <f t="shared" si="279"/>
        <v>-2317.7873651624013</v>
      </c>
      <c r="BB297" s="41">
        <f>'[2]побудинковий звіт'!BB297+'[1]побудинковий звіт'!BB297</f>
        <v>935.30693249003912</v>
      </c>
      <c r="BC297" s="41">
        <f>'[2]побудинковий звіт'!BC297+'[1]побудинковий звіт'!BC297</f>
        <v>0</v>
      </c>
      <c r="BD297" s="58">
        <f t="shared" si="280"/>
        <v>-935.30693249003912</v>
      </c>
      <c r="BE297" s="41">
        <f>'[2]побудинковий звіт'!BE297+'[1]побудинковий звіт'!BE297</f>
        <v>393.47732188396662</v>
      </c>
      <c r="BF297" s="41">
        <f>'[2]побудинковий звіт'!BF297+'[1]побудинковий звіт'!BF297</f>
        <v>0</v>
      </c>
      <c r="BG297" s="38">
        <f t="shared" si="281"/>
        <v>-393.47732188396662</v>
      </c>
      <c r="BH297" s="41">
        <f>'[2]побудинковий звіт'!BH297+'[1]побудинковий звіт'!BH297</f>
        <v>66.163852782859806</v>
      </c>
      <c r="BI297" s="41">
        <f>'[2]побудинковий звіт'!BI297+'[1]побудинковий звіт'!BI297</f>
        <v>0</v>
      </c>
      <c r="BJ297" s="58">
        <f t="shared" si="282"/>
        <v>-66.163852782859806</v>
      </c>
      <c r="BK297" s="41">
        <f>'[2]побудинковий звіт'!BK297+'[1]побудинковий звіт'!BK297</f>
        <v>442.40093170636794</v>
      </c>
      <c r="BL297" s="41">
        <f>'[2]побудинковий звіт'!BL297+'[1]побудинковий звіт'!BL297</f>
        <v>623.31079377806623</v>
      </c>
      <c r="BM297" s="38">
        <f t="shared" si="283"/>
        <v>180.90986207169829</v>
      </c>
      <c r="BN297" s="41">
        <f>'[2]побудинковий звіт'!BN297+'[1]побудинковий звіт'!BN297</f>
        <v>11.418996184845088</v>
      </c>
      <c r="BO297" s="41">
        <f>'[2]побудинковий звіт'!BO297+'[1]побудинковий звіт'!BO297</f>
        <v>0</v>
      </c>
      <c r="BP297" s="58">
        <f t="shared" si="284"/>
        <v>-11.418996184845088</v>
      </c>
      <c r="BQ297" s="84">
        <f t="shared" si="285"/>
        <v>5628.3913130444198</v>
      </c>
      <c r="BR297" s="42">
        <f t="shared" si="286"/>
        <v>4209.9440758157698</v>
      </c>
      <c r="BS297" s="58">
        <f t="shared" si="287"/>
        <v>-1418.44723722865</v>
      </c>
      <c r="BT297" s="41">
        <f>'[2]побудинковий звіт'!BT297+'[1]побудинковий звіт'!BT297</f>
        <v>20591.915513504413</v>
      </c>
      <c r="BU297" s="41">
        <f>'[2]побудинковий звіт'!BU297+'[1]побудинковий звіт'!BU297</f>
        <v>36524.932230965889</v>
      </c>
      <c r="BV297" s="55">
        <f t="shared" si="288"/>
        <v>15933.016717461476</v>
      </c>
      <c r="BW297" s="41">
        <f>'[2]побудинковий звіт'!BW297+'[1]побудинковий звіт'!BW297</f>
        <v>8397.3975020496218</v>
      </c>
      <c r="BX297" s="41">
        <f>'[2]побудинковий звіт'!BX297+'[1]побудинковий звіт'!BX297</f>
        <v>10116.725996474344</v>
      </c>
      <c r="BY297" s="55">
        <f t="shared" si="289"/>
        <v>1719.3284944247225</v>
      </c>
      <c r="BZ297" s="41">
        <f>'[2]побудинковий звіт'!BZ297+'[1]побудинковий звіт'!BZ297</f>
        <v>5807.3749470734183</v>
      </c>
      <c r="CA297" s="41">
        <f>'[2]побудинковий звіт'!CA297+'[1]побудинковий звіт'!CA297</f>
        <v>3230.2166212324983</v>
      </c>
      <c r="CB297" s="55">
        <f t="shared" si="290"/>
        <v>-2577.15832584092</v>
      </c>
      <c r="CC297" s="41">
        <f>'[2]побудинковий звіт'!CC297+'[1]побудинковий звіт'!CC297</f>
        <v>951.79551847315406</v>
      </c>
      <c r="CD297" s="41">
        <f>'[2]побудинковий звіт'!CD297+'[1]побудинковий звіт'!CD297</f>
        <v>955.02295090953169</v>
      </c>
      <c r="CE297" s="55">
        <f t="shared" si="291"/>
        <v>3.2274324363776259</v>
      </c>
      <c r="CF297" s="41">
        <f>'[2]побудинковий звіт'!CF297+'[1]побудинковий звіт'!CF297</f>
        <v>117.92240576937964</v>
      </c>
      <c r="CG297" s="41">
        <f>'[2]побудинковий звіт'!CG297+'[1]побудинковий звіт'!CG297</f>
        <v>0</v>
      </c>
      <c r="CH297" s="55">
        <f t="shared" si="292"/>
        <v>-117.92240576937964</v>
      </c>
      <c r="CI297" s="41">
        <f>'[2]побудинковий звіт'!CI297+'[1]побудинковий звіт'!CI297</f>
        <v>1346.7481695359027</v>
      </c>
      <c r="CJ297" s="41">
        <f>'[2]побудинковий звіт'!CJ297+'[1]побудинковий звіт'!CJ297</f>
        <v>1121.6860601998314</v>
      </c>
      <c r="CK297" s="55">
        <f t="shared" si="293"/>
        <v>-225.06210933607122</v>
      </c>
      <c r="CL297" s="41">
        <f>'[2]побудинковий звіт'!CL297+'[1]побудинковий звіт'!CL297</f>
        <v>0</v>
      </c>
      <c r="CM297" s="41">
        <f>'[2]побудинковий звіт'!CM297+'[1]побудинковий звіт'!CM297</f>
        <v>0</v>
      </c>
      <c r="CN297" s="55">
        <f t="shared" si="294"/>
        <v>0</v>
      </c>
      <c r="CO297" s="41">
        <f t="shared" si="295"/>
        <v>1346.7481695359027</v>
      </c>
      <c r="CP297" s="42">
        <f t="shared" si="296"/>
        <v>1121.6860601998314</v>
      </c>
      <c r="CQ297" s="55">
        <f t="shared" si="297"/>
        <v>-225.06210933607122</v>
      </c>
      <c r="CR297" s="76">
        <f t="shared" si="298"/>
        <v>77548.12112583204</v>
      </c>
      <c r="CS297" s="5">
        <f t="shared" si="299"/>
        <v>138318.02124586262</v>
      </c>
      <c r="CT297" s="55">
        <f t="shared" si="300"/>
        <v>60769.900120030579</v>
      </c>
      <c r="CU297" s="84">
        <f t="shared" si="301"/>
        <v>93057.745350998448</v>
      </c>
      <c r="CV297" s="68">
        <f t="shared" si="302"/>
        <v>165981.62549503514</v>
      </c>
      <c r="CW297" s="36">
        <f t="shared" si="303"/>
        <v>72923.880144036695</v>
      </c>
      <c r="CX297" s="41">
        <f>'[2]побудинковий звіт'!CX297+'[1]побудинковий звіт'!CX297</f>
        <v>2483.5909598093867</v>
      </c>
      <c r="CY297" s="41">
        <f>'[2]побудинковий звіт'!CY297+'[1]побудинковий звіт'!CY297</f>
        <v>-70440.28918422728</v>
      </c>
      <c r="CZ297" s="55">
        <f t="shared" si="304"/>
        <v>-72923.880144036666</v>
      </c>
      <c r="DA297" s="254">
        <f>'[1]побудинковий звіт'!DA297</f>
        <v>63746.345920015789</v>
      </c>
      <c r="DB297" s="2">
        <v>2</v>
      </c>
      <c r="DC297" s="702">
        <f>'[1]побудинковий звіт'!DC297</f>
        <v>27721</v>
      </c>
      <c r="DD297" s="702">
        <f>'[1]побудинковий звіт'!DD297</f>
        <v>760.21</v>
      </c>
      <c r="DE297" s="702">
        <f>'[1]побудинковий звіт'!DE297</f>
        <v>18294.14</v>
      </c>
      <c r="DF297" s="702">
        <f>'[1]побудинковий звіт'!DF297</f>
        <v>-271.92000000000007</v>
      </c>
      <c r="DG297" s="772">
        <v>-4433.0280179964029</v>
      </c>
      <c r="DH297" s="746">
        <f t="shared" si="306"/>
        <v>1146496.0357296939</v>
      </c>
      <c r="DI297" s="769"/>
      <c r="DJ297" s="5"/>
      <c r="DK297" s="307">
        <f>VLOOKUP($A297,ціни!$A$4:$G$401,5)</f>
        <v>6.2745301597153826</v>
      </c>
      <c r="DL297" s="307"/>
      <c r="DM297" s="307">
        <f>VLOOKUP($A297,ціни!$A$4:$G$401,7)</f>
        <v>5.5385040171360194</v>
      </c>
      <c r="DN297" s="29">
        <f t="shared" si="315"/>
        <v>6752.6493578856953</v>
      </c>
      <c r="DO297" s="29">
        <f t="shared" si="305"/>
        <v>739.39028628765857</v>
      </c>
      <c r="DP297" s="306">
        <f t="shared" si="307"/>
        <v>7492.0396441733537</v>
      </c>
      <c r="DQ297" s="101"/>
      <c r="DR297" s="29">
        <f>VLOOKUP(A297,'ДЗ нас '!$A$1:$C$359,2)</f>
        <v>6752.61</v>
      </c>
      <c r="DS297" s="733">
        <f>VLOOKUP(A297,'ДЗ нежит'!$A$1:$D$153,4,0)</f>
        <v>739.4</v>
      </c>
      <c r="DT297" s="29">
        <f t="shared" si="308"/>
        <v>7492.0099999999993</v>
      </c>
      <c r="DU297" s="247">
        <f>VLOOKUP(A297,'новий кошторис с 01.06'!$A$4:$AI$399,35)*1.2</f>
        <v>7559.9957781209578</v>
      </c>
      <c r="DV297" s="29">
        <f t="shared" si="309"/>
        <v>-67.985778120958457</v>
      </c>
      <c r="DW297" s="1016">
        <f>'[2]побудинковий звіт'!$DW$9+'[1]побудинковий звіт'!DW297</f>
        <v>918</v>
      </c>
      <c r="DX297" s="101">
        <f>'[1]побудинковий звіт'!DX297</f>
        <v>0</v>
      </c>
      <c r="DY297" s="5">
        <f t="shared" si="310"/>
        <v>22600.029738833411</v>
      </c>
      <c r="DZ297" s="5">
        <f t="shared" si="311"/>
        <v>77988.535477945479</v>
      </c>
      <c r="EA297" s="737">
        <f t="shared" si="312"/>
        <v>18022.22</v>
      </c>
      <c r="EC297" s="577">
        <f t="shared" si="313"/>
        <v>158459.60163180111</v>
      </c>
      <c r="EE297" s="743">
        <v>-4339</v>
      </c>
      <c r="EF297" s="723">
        <f t="shared" si="314"/>
        <v>-8772.0280179964029</v>
      </c>
      <c r="EH297" s="798">
        <v>-3840.4887488085751</v>
      </c>
      <c r="EI297" s="101">
        <f>VLOOKUP(A297,'кошти 01.01.24'!$A$9:$D$352,4,FALSE)</f>
        <v>-9177.5342240208593</v>
      </c>
    </row>
    <row r="298" spans="1:139" hidden="1" x14ac:dyDescent="0.3">
      <c r="A298" s="318">
        <v>150000862</v>
      </c>
      <c r="B298" s="43" t="s">
        <v>764</v>
      </c>
      <c r="C298" s="44" t="s">
        <v>234</v>
      </c>
      <c r="D298" s="44" t="s">
        <v>234</v>
      </c>
      <c r="E298" s="39">
        <f t="shared" si="262"/>
        <v>4885.3</v>
      </c>
      <c r="F298" s="205">
        <f>'[1]побудинковий звіт'!F298</f>
        <v>3519.5</v>
      </c>
      <c r="G298" s="29">
        <f>'[1]побудинковий звіт'!G298</f>
        <v>0</v>
      </c>
      <c r="H298" s="148">
        <f>'[1]побудинковий звіт'!H298</f>
        <v>1365.8</v>
      </c>
      <c r="I298" s="41">
        <f>'[2]побудинковий звіт'!I298+'[1]побудинковий звіт'!I298</f>
        <v>14909.995351704372</v>
      </c>
      <c r="J298" s="41">
        <f>'[2]побудинковий звіт'!J298+'[1]побудинковий звіт'!J298</f>
        <v>15296.239621524408</v>
      </c>
      <c r="K298" s="55">
        <f t="shared" si="263"/>
        <v>386.2442698200357</v>
      </c>
      <c r="L298" s="41">
        <f>'[2]побудинковий звіт'!L298+'[1]побудинковий звіт'!L298</f>
        <v>2994.3388358694333</v>
      </c>
      <c r="M298" s="41">
        <f>'[2]побудинковий звіт'!M298+'[1]побудинковий звіт'!M298</f>
        <v>3149.5718684595186</v>
      </c>
      <c r="N298" s="55">
        <f t="shared" si="264"/>
        <v>155.23303259008526</v>
      </c>
      <c r="O298" s="41">
        <f>'[2]побудинковий звіт'!O298+'[1]побудинковий звіт'!O298</f>
        <v>5743.0416471135386</v>
      </c>
      <c r="P298" s="41">
        <f>'[2]побудинковий звіт'!P298+'[1]побудинковий звіт'!P298</f>
        <v>5759.0984004703914</v>
      </c>
      <c r="Q298" s="55">
        <f t="shared" si="265"/>
        <v>16.056753356852823</v>
      </c>
      <c r="R298" s="41">
        <f>'[2]побудинковий звіт'!R298+'[1]побудинковий звіт'!R298</f>
        <v>0</v>
      </c>
      <c r="S298" s="41">
        <f>'[2]побудинковий звіт'!S298+'[1]побудинковий звіт'!S298</f>
        <v>0</v>
      </c>
      <c r="T298" s="55">
        <f t="shared" si="266"/>
        <v>0</v>
      </c>
      <c r="U298" s="41">
        <f>'[2]побудинковий звіт'!U298+'[1]побудинковий звіт'!U298</f>
        <v>679.80380829368221</v>
      </c>
      <c r="V298" s="41">
        <f>'[2]побудинковий звіт'!V298+'[1]побудинковий звіт'!V298</f>
        <v>392.19868013917642</v>
      </c>
      <c r="W298" s="55">
        <f t="shared" si="267"/>
        <v>-287.60512815450579</v>
      </c>
      <c r="X298" s="41">
        <f>'[2]побудинковий звіт'!X298+'[1]побудинковий звіт'!X298</f>
        <v>14673.212151637139</v>
      </c>
      <c r="Y298" s="41">
        <f>'[2]побудинковий звіт'!Y298+'[1]побудинковий звіт'!Y298</f>
        <v>14806.092861929599</v>
      </c>
      <c r="Z298" s="55">
        <f t="shared" si="268"/>
        <v>132.88071029246021</v>
      </c>
      <c r="AA298" s="41">
        <f>'[2]побудинковий звіт'!AA298+'[1]побудинковий звіт'!AA298</f>
        <v>0</v>
      </c>
      <c r="AB298" s="41">
        <f>'[2]побудинковий звіт'!AB298+'[1]побудинковий звіт'!AB298</f>
        <v>0</v>
      </c>
      <c r="AC298" s="55">
        <f t="shared" si="269"/>
        <v>0</v>
      </c>
      <c r="AD298" s="41">
        <f>'[2]побудинковий звіт'!AD298+'[1]побудинковий звіт'!AD298</f>
        <v>19752.420225169197</v>
      </c>
      <c r="AE298" s="41">
        <f>'[2]побудинковий звіт'!AE298+'[1]побудинковий звіт'!AE298</f>
        <v>18804.664285696665</v>
      </c>
      <c r="AF298" s="36">
        <f t="shared" si="270"/>
        <v>-947.75593947253219</v>
      </c>
      <c r="AG298" s="84">
        <f t="shared" si="271"/>
        <v>58752.812019787365</v>
      </c>
      <c r="AH298" s="56">
        <f t="shared" si="272"/>
        <v>58207.865718219764</v>
      </c>
      <c r="AI298" s="55">
        <f t="shared" si="273"/>
        <v>-544.94630156760104</v>
      </c>
      <c r="AJ298" s="41">
        <f>'[2]побудинковий звіт'!AJ298+'[1]побудинковий звіт'!AJ298</f>
        <v>0</v>
      </c>
      <c r="AK298" s="41">
        <f>'[2]побудинковий звіт'!AK298+'[1]побудинковий звіт'!AK298</f>
        <v>0</v>
      </c>
      <c r="AL298" s="55">
        <f t="shared" si="274"/>
        <v>0</v>
      </c>
      <c r="AM298" s="41">
        <f>'[2]побудинковий звіт'!AM298+'[1]побудинковий звіт'!AM298</f>
        <v>0</v>
      </c>
      <c r="AN298" s="41">
        <f>'[2]побудинковий звіт'!AN298+'[1]побудинковий звіт'!AN298</f>
        <v>0</v>
      </c>
      <c r="AO298" s="55">
        <f t="shared" si="275"/>
        <v>0</v>
      </c>
      <c r="AP298" s="41">
        <f>'[2]побудинковий звіт'!AP298+'[1]побудинковий звіт'!AP298</f>
        <v>9361.150560454178</v>
      </c>
      <c r="AQ298" s="41">
        <f>'[2]побудинковий звіт'!AQ298+'[1]побудинковий звіт'!AQ298</f>
        <v>8803.7892820023008</v>
      </c>
      <c r="AR298" s="55">
        <f t="shared" si="276"/>
        <v>-557.3612784518773</v>
      </c>
      <c r="AS298" s="41">
        <f>'[2]побудинковий звіт'!AS298+'[1]побудинковий звіт'!AS298</f>
        <v>48645.716573938735</v>
      </c>
      <c r="AT298" s="41">
        <f>'[2]побудинковий звіт'!AT298+'[1]побудинковий звіт'!AT298</f>
        <v>1028.4458645148363</v>
      </c>
      <c r="AU298" s="57">
        <f t="shared" si="277"/>
        <v>-47617.270709423901</v>
      </c>
      <c r="AV298" s="41">
        <f>'[2]побудинковий звіт'!AV298+'[1]побудинковий звіт'!AV298</f>
        <v>2599.781044507602</v>
      </c>
      <c r="AW298" s="41">
        <f>'[2]побудинковий звіт'!AW298+'[1]побудинковий звіт'!AW298</f>
        <v>0</v>
      </c>
      <c r="AX298" s="58">
        <f t="shared" si="278"/>
        <v>-2599.781044507602</v>
      </c>
      <c r="AY298" s="41">
        <f>'[2]побудинковий звіт'!AY298+'[1]побудинковий звіт'!AY298</f>
        <v>3630.8033715028396</v>
      </c>
      <c r="AZ298" s="41">
        <f>'[2]побудинковий звіт'!AZ298+'[1]побудинковий звіт'!AZ298</f>
        <v>2569.439246533032</v>
      </c>
      <c r="BA298" s="36">
        <f t="shared" si="279"/>
        <v>-1061.3641249698076</v>
      </c>
      <c r="BB298" s="41">
        <f>'[2]побудинковий звіт'!BB298+'[1]побудинковий звіт'!BB298</f>
        <v>2503.62003347158</v>
      </c>
      <c r="BC298" s="41">
        <f>'[2]побудинковий звіт'!BC298+'[1]побудинковий звіт'!BC298</f>
        <v>0</v>
      </c>
      <c r="BD298" s="58">
        <f t="shared" si="280"/>
        <v>-2503.62003347158</v>
      </c>
      <c r="BE298" s="41">
        <f>'[2]побудинковий звіт'!BE298+'[1]побудинковий звіт'!BE298</f>
        <v>0</v>
      </c>
      <c r="BF298" s="41">
        <f>'[2]побудинковий звіт'!BF298+'[1]побудинковий звіт'!BF298</f>
        <v>0</v>
      </c>
      <c r="BG298" s="38">
        <f t="shared" si="281"/>
        <v>0</v>
      </c>
      <c r="BH298" s="41">
        <f>'[2]побудинковий звіт'!BH298+'[1]побудинковий звіт'!BH298</f>
        <v>400.65888629620662</v>
      </c>
      <c r="BI298" s="41">
        <f>'[2]побудинковий звіт'!BI298+'[1]побудинковий звіт'!BI298</f>
        <v>0</v>
      </c>
      <c r="BJ298" s="58">
        <f t="shared" si="282"/>
        <v>-400.65888629620662</v>
      </c>
      <c r="BK298" s="41">
        <f>'[2]побудинковий звіт'!BK298+'[1]побудинковий звіт'!BK298</f>
        <v>1095.4948054314491</v>
      </c>
      <c r="BL298" s="41">
        <f>'[2]побудинковий звіт'!BL298+'[1]побудинковий звіт'!BL298</f>
        <v>2172.9093567052246</v>
      </c>
      <c r="BM298" s="38">
        <f t="shared" si="283"/>
        <v>1077.4145512737755</v>
      </c>
      <c r="BN298" s="41">
        <f>'[2]побудинковий звіт'!BN298+'[1]побудинковий звіт'!BN298</f>
        <v>50.036535480296465</v>
      </c>
      <c r="BO298" s="41">
        <f>'[2]побудинковий звіт'!BO298+'[1]побудинковий звіт'!BO298</f>
        <v>0</v>
      </c>
      <c r="BP298" s="58">
        <f t="shared" si="284"/>
        <v>-50.036535480296465</v>
      </c>
      <c r="BQ298" s="84">
        <f t="shared" si="285"/>
        <v>10280.394676689975</v>
      </c>
      <c r="BR298" s="42">
        <f t="shared" si="286"/>
        <v>4742.3486032382571</v>
      </c>
      <c r="BS298" s="58">
        <f t="shared" si="287"/>
        <v>-5538.0460734517183</v>
      </c>
      <c r="BT298" s="41">
        <f>'[2]побудинковий звіт'!BT298+'[1]побудинковий звіт'!BT298</f>
        <v>77676.255691923041</v>
      </c>
      <c r="BU298" s="41">
        <f>'[2]побудинковий звіт'!BU298+'[1]побудинковий звіт'!BU298</f>
        <v>96794.246576690741</v>
      </c>
      <c r="BV298" s="55">
        <f t="shared" si="288"/>
        <v>19117.9908847677</v>
      </c>
      <c r="BW298" s="41">
        <f>'[2]побудинковий звіт'!BW298+'[1]побудинковий звіт'!BW298</f>
        <v>31861.476893799729</v>
      </c>
      <c r="BX298" s="41">
        <f>'[2]побудинковий звіт'!BX298+'[1]побудинковий звіт'!BX298</f>
        <v>31488.66492818607</v>
      </c>
      <c r="BY298" s="55">
        <f t="shared" si="289"/>
        <v>-372.81196561365869</v>
      </c>
      <c r="BZ298" s="41">
        <f>'[2]побудинковий звіт'!BZ298+'[1]побудинковий звіт'!BZ298</f>
        <v>17143.659459082322</v>
      </c>
      <c r="CA298" s="41">
        <f>'[2]побудинковий звіт'!CA298+'[1]побудинковий звіт'!CA298</f>
        <v>7513.6239891309915</v>
      </c>
      <c r="CB298" s="55">
        <f t="shared" si="290"/>
        <v>-9630.03546995133</v>
      </c>
      <c r="CC298" s="41">
        <f>'[2]побудинковий звіт'!CC298+'[1]побудинковий звіт'!CC298</f>
        <v>1213.7912049826073</v>
      </c>
      <c r="CD298" s="41">
        <f>'[2]побудинковий звіт'!CD298+'[1]побудинковий звіт'!CD298</f>
        <v>1217.9070355679785</v>
      </c>
      <c r="CE298" s="55">
        <f t="shared" si="291"/>
        <v>4.1158305853712136</v>
      </c>
      <c r="CF298" s="41">
        <f>'[2]побудинковий звіт'!CF298+'[1]побудинковий звіт'!CF298</f>
        <v>150.38227877230796</v>
      </c>
      <c r="CG298" s="41">
        <f>'[2]побудинковий звіт'!CG298+'[1]побудинковий звіт'!CG298</f>
        <v>550.8838597318088</v>
      </c>
      <c r="CH298" s="55">
        <f t="shared" si="292"/>
        <v>400.50158095950087</v>
      </c>
      <c r="CI298" s="41">
        <f>'[2]побудинковий звіт'!CI298+'[1]побудинковий звіт'!CI298</f>
        <v>4540.4852388936906</v>
      </c>
      <c r="CJ298" s="41">
        <f>'[2]побудинковий звіт'!CJ298+'[1]побудинковий звіт'!CJ298</f>
        <v>14302.54967212048</v>
      </c>
      <c r="CK298" s="55">
        <f t="shared" si="293"/>
        <v>9762.0644332267893</v>
      </c>
      <c r="CL298" s="41">
        <f>'[2]побудинковий звіт'!CL298+'[1]побудинковий звіт'!CL298</f>
        <v>0</v>
      </c>
      <c r="CM298" s="41">
        <f>'[2]побудинковий звіт'!CM298+'[1]побудинковий звіт'!CM298</f>
        <v>0</v>
      </c>
      <c r="CN298" s="55">
        <f t="shared" si="294"/>
        <v>0</v>
      </c>
      <c r="CO298" s="41">
        <f t="shared" si="295"/>
        <v>4540.4852388936906</v>
      </c>
      <c r="CP298" s="42">
        <f t="shared" si="296"/>
        <v>14302.54967212048</v>
      </c>
      <c r="CQ298" s="55">
        <f t="shared" si="297"/>
        <v>9762.0644332267893</v>
      </c>
      <c r="CR298" s="76">
        <f t="shared" si="298"/>
        <v>259626.12459832395</v>
      </c>
      <c r="CS298" s="5">
        <f t="shared" si="299"/>
        <v>224650.3255294032</v>
      </c>
      <c r="CT298" s="55">
        <f t="shared" si="300"/>
        <v>-34975.799068920751</v>
      </c>
      <c r="CU298" s="84">
        <f t="shared" si="301"/>
        <v>311551.34951798874</v>
      </c>
      <c r="CV298" s="68">
        <f t="shared" si="302"/>
        <v>269580.39063528384</v>
      </c>
      <c r="CW298" s="36">
        <f t="shared" si="303"/>
        <v>-41970.958882704901</v>
      </c>
      <c r="CX298" s="41">
        <f>'[2]побудинковий звіт'!CX298+'[1]побудинковий звіт'!CX298</f>
        <v>12824.241106244082</v>
      </c>
      <c r="CY298" s="41">
        <f>'[2]побудинковий звіт'!CY298+'[1]побудинковий звіт'!CY298</f>
        <v>54795.199988948902</v>
      </c>
      <c r="CZ298" s="55">
        <f t="shared" si="304"/>
        <v>41970.958882704821</v>
      </c>
      <c r="DA298" s="254">
        <f>'[1]побудинковий звіт'!DA298</f>
        <v>-117588.20453689784</v>
      </c>
      <c r="DB298" s="2">
        <v>2</v>
      </c>
      <c r="DC298" s="702">
        <f>'[1]побудинковий звіт'!DC298</f>
        <v>97790.52</v>
      </c>
      <c r="DD298" s="702">
        <f>'[1]побудинковий звіт'!DD298</f>
        <v>2089.23</v>
      </c>
      <c r="DE298" s="702">
        <f>'[1]побудинковий звіт'!DE298</f>
        <v>69607.08</v>
      </c>
      <c r="DF298" s="702">
        <f>'[1]побудинковий звіт'!DF298</f>
        <v>-7001.6200000000008</v>
      </c>
      <c r="DG298" s="772">
        <v>-101973.58922443865</v>
      </c>
      <c r="DH298" s="746">
        <f t="shared" si="306"/>
        <v>3892507.0874907942</v>
      </c>
      <c r="DI298" s="769"/>
      <c r="DJ298" s="5"/>
      <c r="DK298" s="307">
        <f>VLOOKUP($A298,ціни!$A$4:$G$401,5)</f>
        <v>5.7042060920261077</v>
      </c>
      <c r="DL298" s="307"/>
      <c r="DM298" s="307">
        <f>VLOOKUP($A298,ціни!$A$4:$G$401,7)</f>
        <v>4.820415314860254</v>
      </c>
      <c r="DN298" s="29">
        <f t="shared" si="315"/>
        <v>20075.953340885888</v>
      </c>
      <c r="DO298" s="29">
        <f t="shared" si="305"/>
        <v>6583.7232370361344</v>
      </c>
      <c r="DP298" s="306">
        <f t="shared" si="307"/>
        <v>26659.676577922022</v>
      </c>
      <c r="DQ298" s="101"/>
      <c r="DR298" s="29">
        <f>VLOOKUP(A298,'ДЗ нас '!$A$1:$C$359,2)</f>
        <v>20075.919999999998</v>
      </c>
      <c r="DS298" s="733">
        <f>VLOOKUP(A298,'ДЗ нежит'!$A$1:$D$153,4,0)</f>
        <v>3572.8700000000003</v>
      </c>
      <c r="DT298" s="29">
        <f t="shared" si="308"/>
        <v>23648.789999999997</v>
      </c>
      <c r="DU298" s="247">
        <f>VLOOKUP(A298,'новий кошторис с 01.06'!$A$4:$AI$399,35)*1.2</f>
        <v>24853.895665322492</v>
      </c>
      <c r="DV298" s="29">
        <f t="shared" si="309"/>
        <v>-1205.105665322495</v>
      </c>
      <c r="DW298" s="1016">
        <f>'[2]побудинковий звіт'!$DW$9+'[1]побудинковий звіт'!DW298</f>
        <v>1062</v>
      </c>
      <c r="DX298" s="101">
        <f>'[1]побудинковий звіт'!DX298</f>
        <v>0</v>
      </c>
      <c r="DY298" s="5">
        <f t="shared" si="310"/>
        <v>70711.333500754452</v>
      </c>
      <c r="DZ298" s="5">
        <f t="shared" si="311"/>
        <v>6924.953361303712</v>
      </c>
      <c r="EA298" s="737">
        <f t="shared" si="312"/>
        <v>62605.46</v>
      </c>
      <c r="EC298" s="577">
        <f t="shared" si="313"/>
        <v>583748.59888726484</v>
      </c>
      <c r="EE298" s="743">
        <v>333039</v>
      </c>
      <c r="EF298" s="723">
        <f t="shared" si="314"/>
        <v>231065.41077556135</v>
      </c>
      <c r="EH298" s="798">
        <v>-69444.187036199044</v>
      </c>
      <c r="EI298" s="101">
        <f>VLOOKUP(A298,'кошти 01.01.24'!$A$9:$D$352,4,FALSE)</f>
        <v>-75617.245654192986</v>
      </c>
    </row>
    <row r="299" spans="1:139" hidden="1" x14ac:dyDescent="0.3">
      <c r="A299" s="318">
        <v>150000863</v>
      </c>
      <c r="B299" s="43" t="s">
        <v>765</v>
      </c>
      <c r="C299" s="44" t="s">
        <v>235</v>
      </c>
      <c r="D299" s="44" t="s">
        <v>235</v>
      </c>
      <c r="E299" s="39">
        <f t="shared" si="262"/>
        <v>3279.2999999999997</v>
      </c>
      <c r="F299" s="205">
        <f>'[1]побудинковий звіт'!F299</f>
        <v>2279.1</v>
      </c>
      <c r="G299" s="29">
        <f>'[1]побудинковий звіт'!G299</f>
        <v>0</v>
      </c>
      <c r="H299" s="148">
        <f>'[1]побудинковий звіт'!H299</f>
        <v>1000.1999999999998</v>
      </c>
      <c r="I299" s="41">
        <f>'[2]побудинковий звіт'!I299+'[1]побудинковий звіт'!I299</f>
        <v>11310.249788790556</v>
      </c>
      <c r="J299" s="41">
        <f>'[2]побудинковий звіт'!J299+'[1]побудинковий звіт'!J299</f>
        <v>11595.770532582035</v>
      </c>
      <c r="K299" s="55">
        <f t="shared" si="263"/>
        <v>285.52074379147962</v>
      </c>
      <c r="L299" s="41">
        <f>'[2]побудинковий звіт'!L299+'[1]побудинковий звіт'!L299</f>
        <v>2401.957470251351</v>
      </c>
      <c r="M299" s="41">
        <f>'[2]побудинковий звіт'!M299+'[1]побудинковий звіт'!M299</f>
        <v>2542.0098253383071</v>
      </c>
      <c r="N299" s="55">
        <f t="shared" si="264"/>
        <v>140.05235508695614</v>
      </c>
      <c r="O299" s="41">
        <f>'[2]побудинковий звіт'!O299+'[1]побудинковий звіт'!O299</f>
        <v>4330.4105134157935</v>
      </c>
      <c r="P299" s="41">
        <f>'[2]побудинковий звіт'!P299+'[1]побудинковий звіт'!P299</f>
        <v>4342.9928211394326</v>
      </c>
      <c r="Q299" s="55">
        <f t="shared" si="265"/>
        <v>12.582307723639133</v>
      </c>
      <c r="R299" s="41">
        <f>'[2]побудинковий звіт'!R299+'[1]побудинковий звіт'!R299</f>
        <v>1245.4580958121433</v>
      </c>
      <c r="S299" s="41">
        <f>'[2]побудинковий звіт'!S299+'[1]побудинковий звіт'!S299</f>
        <v>1248.9816798022562</v>
      </c>
      <c r="T299" s="55">
        <f t="shared" si="266"/>
        <v>3.5235839901129111</v>
      </c>
      <c r="U299" s="41">
        <f>'[2]побудинковий звіт'!U299+'[1]побудинковий звіт'!U299</f>
        <v>224.52235870250053</v>
      </c>
      <c r="V299" s="41">
        <f>'[2]побудинковий звіт'!V299+'[1]побудинковий звіт'!V299</f>
        <v>129.5335090367922</v>
      </c>
      <c r="W299" s="55">
        <f t="shared" si="267"/>
        <v>-94.988849665708329</v>
      </c>
      <c r="X299" s="41">
        <f>'[2]побудинковий звіт'!X299+'[1]побудинковий звіт'!X299</f>
        <v>10394.119296827168</v>
      </c>
      <c r="Y299" s="41">
        <f>'[2]побудинковий звіт'!Y299+'[1]побудинковий звіт'!Y299</f>
        <v>10220.799460431206</v>
      </c>
      <c r="Z299" s="55">
        <f t="shared" si="268"/>
        <v>-173.31983639596183</v>
      </c>
      <c r="AA299" s="41">
        <f>'[2]побудинковий звіт'!AA299+'[1]побудинковий звіт'!AA299</f>
        <v>0</v>
      </c>
      <c r="AB299" s="41">
        <f>'[2]побудинковий звіт'!AB299+'[1]побудинковий звіт'!AB299</f>
        <v>0</v>
      </c>
      <c r="AC299" s="55">
        <f t="shared" si="269"/>
        <v>0</v>
      </c>
      <c r="AD299" s="41">
        <f>'[2]побудинковий звіт'!AD299+'[1]побудинковий звіт'!AD299</f>
        <v>14380.256543897305</v>
      </c>
      <c r="AE299" s="41">
        <f>'[2]побудинковий звіт'!AE299+'[1]побудинковий звіт'!AE299</f>
        <v>14162.167449417782</v>
      </c>
      <c r="AF299" s="36">
        <f t="shared" si="270"/>
        <v>-218.08909447952283</v>
      </c>
      <c r="AG299" s="84">
        <f t="shared" si="271"/>
        <v>44286.974067696814</v>
      </c>
      <c r="AH299" s="56">
        <f t="shared" si="272"/>
        <v>44242.255277747812</v>
      </c>
      <c r="AI299" s="55">
        <f t="shared" si="273"/>
        <v>-44.718789949001803</v>
      </c>
      <c r="AJ299" s="41">
        <f>'[2]побудинковий звіт'!AJ299+'[1]побудинковий звіт'!AJ299</f>
        <v>0</v>
      </c>
      <c r="AK299" s="41">
        <f>'[2]побудинковий звіт'!AK299+'[1]побудинковий звіт'!AK299</f>
        <v>0</v>
      </c>
      <c r="AL299" s="55">
        <f t="shared" si="274"/>
        <v>0</v>
      </c>
      <c r="AM299" s="41">
        <f>'[2]побудинковий звіт'!AM299+'[1]побудинковий звіт'!AM299</f>
        <v>0</v>
      </c>
      <c r="AN299" s="41">
        <f>'[2]побудинковий звіт'!AN299+'[1]побудинковий звіт'!AN299</f>
        <v>0</v>
      </c>
      <c r="AO299" s="55">
        <f t="shared" si="275"/>
        <v>0</v>
      </c>
      <c r="AP299" s="41">
        <f>'[2]побудинковий звіт'!AP299+'[1]побудинковий звіт'!AP299</f>
        <v>1931.6659886651478</v>
      </c>
      <c r="AQ299" s="41">
        <f>'[2]побудинковий звіт'!AQ299+'[1]побудинковий звіт'!AQ299</f>
        <v>1836.5881278496463</v>
      </c>
      <c r="AR299" s="55">
        <f t="shared" si="276"/>
        <v>-95.077860815501481</v>
      </c>
      <c r="AS299" s="41">
        <f>'[2]побудинковий звіт'!AS299+'[1]побудинковий звіт'!AS299</f>
        <v>42509.053768444654</v>
      </c>
      <c r="AT299" s="41">
        <f>'[2]побудинковий звіт'!AT299+'[1]побудинковий звіт'!AT299</f>
        <v>5738.4352148593471</v>
      </c>
      <c r="AU299" s="57">
        <f t="shared" si="277"/>
        <v>-36770.618553585307</v>
      </c>
      <c r="AV299" s="41">
        <f>'[2]побудинковий звіт'!AV299+'[1]побудинковий звіт'!AV299</f>
        <v>2026.0386434047957</v>
      </c>
      <c r="AW299" s="41">
        <f>'[2]побудинковий звіт'!AW299+'[1]побудинковий звіт'!AW299</f>
        <v>0</v>
      </c>
      <c r="AX299" s="58">
        <f t="shared" si="278"/>
        <v>-2026.0386434047957</v>
      </c>
      <c r="AY299" s="41">
        <f>'[2]побудинковий звіт'!AY299+'[1]побудинковий звіт'!AY299</f>
        <v>3129.0662348500487</v>
      </c>
      <c r="AZ299" s="41">
        <f>'[2]побудинковий звіт'!AZ299+'[1]побудинковий звіт'!AZ299</f>
        <v>0</v>
      </c>
      <c r="BA299" s="36">
        <f t="shared" si="279"/>
        <v>-3129.0662348500487</v>
      </c>
      <c r="BB299" s="41">
        <f>'[2]побудинковий звіт'!BB299+'[1]побудинковий звіт'!BB299</f>
        <v>2468.4697182577511</v>
      </c>
      <c r="BC299" s="41">
        <f>'[2]побудинковий звіт'!BC299+'[1]побудинковий звіт'!BC299</f>
        <v>997.74700148929367</v>
      </c>
      <c r="BD299" s="58">
        <f t="shared" si="280"/>
        <v>-1470.7227167684573</v>
      </c>
      <c r="BE299" s="41">
        <f>'[2]побудинковий звіт'!BE299+'[1]побудинковий звіт'!BE299</f>
        <v>1268.5082263649388</v>
      </c>
      <c r="BF299" s="41">
        <f>'[2]побудинковий звіт'!BF299+'[1]побудинковий звіт'!BF299</f>
        <v>0</v>
      </c>
      <c r="BG299" s="38">
        <f t="shared" si="281"/>
        <v>-1268.5082263649388</v>
      </c>
      <c r="BH299" s="41">
        <f>'[2]побудинковий звіт'!BH299+'[1]побудинковий звіт'!BH299</f>
        <v>132.32770556571961</v>
      </c>
      <c r="BI299" s="41">
        <f>'[2]побудинковий звіт'!BI299+'[1]побудинковий звіт'!BI299</f>
        <v>0</v>
      </c>
      <c r="BJ299" s="58">
        <f t="shared" si="282"/>
        <v>-132.32770556571961</v>
      </c>
      <c r="BK299" s="41">
        <f>'[2]побудинковий звіт'!BK299+'[1]побудинковий звіт'!BK299</f>
        <v>1865.1157465172846</v>
      </c>
      <c r="BL299" s="41">
        <f>'[2]побудинковий звіт'!BL299+'[1]побудинковий звіт'!BL299</f>
        <v>313.37374749755588</v>
      </c>
      <c r="BM299" s="38">
        <f t="shared" si="283"/>
        <v>-1551.7419990197286</v>
      </c>
      <c r="BN299" s="41">
        <f>'[2]побудинковий звіт'!BN299+'[1]побудинковий звіт'!BN299</f>
        <v>134.5182847269663</v>
      </c>
      <c r="BO299" s="41">
        <f>'[2]побудинковий звіт'!BO299+'[1]побудинковий звіт'!BO299</f>
        <v>0</v>
      </c>
      <c r="BP299" s="58">
        <f t="shared" si="284"/>
        <v>-134.5182847269663</v>
      </c>
      <c r="BQ299" s="84">
        <f t="shared" si="285"/>
        <v>11024.044559687505</v>
      </c>
      <c r="BR299" s="42">
        <f t="shared" si="286"/>
        <v>1311.1207489868495</v>
      </c>
      <c r="BS299" s="58">
        <f t="shared" si="287"/>
        <v>-9712.9238107006549</v>
      </c>
      <c r="BT299" s="41">
        <f>'[2]побудинковий звіт'!BT299+'[1]побудинковий звіт'!BT299</f>
        <v>51810.218358491729</v>
      </c>
      <c r="BU299" s="41">
        <f>'[2]побудинковий звіт'!BU299+'[1]побудинковий звіт'!BU299</f>
        <v>76309.546025438016</v>
      </c>
      <c r="BV299" s="55">
        <f t="shared" si="288"/>
        <v>24499.327666946287</v>
      </c>
      <c r="BW299" s="41">
        <f>'[2]побудинковий звіт'!BW299+'[1]побудинковий звіт'!BW299</f>
        <v>29150.065965325171</v>
      </c>
      <c r="BX299" s="41">
        <f>'[2]побудинковий звіт'!BX299+'[1]побудинковий звіт'!BX299</f>
        <v>33210.65364513464</v>
      </c>
      <c r="BY299" s="55">
        <f t="shared" si="289"/>
        <v>4060.5876798094687</v>
      </c>
      <c r="BZ299" s="41">
        <f>'[2]побудинковий звіт'!BZ299+'[1]побудинковий звіт'!BZ299</f>
        <v>24685.641246449646</v>
      </c>
      <c r="CA299" s="41">
        <f>'[2]побудинковий звіт'!CA299+'[1]побудинковий звіт'!CA299</f>
        <v>7776.3357895625186</v>
      </c>
      <c r="CB299" s="55">
        <f t="shared" si="290"/>
        <v>-16909.305456887127</v>
      </c>
      <c r="CC299" s="41">
        <f>'[2]побудинковий звіт'!CC299+'[1]побудинковий звіт'!CC299</f>
        <v>1129.8182285372702</v>
      </c>
      <c r="CD299" s="41">
        <f>'[2]побудинковий звіт'!CD299+'[1]побудинковий звіт'!CD299</f>
        <v>1133.6493161261687</v>
      </c>
      <c r="CE299" s="55">
        <f t="shared" si="291"/>
        <v>3.8310875888985265</v>
      </c>
      <c r="CF299" s="41">
        <f>'[2]побудинковий звіт'!CF299+'[1]побудинковий звіт'!CF299</f>
        <v>139.97847332265147</v>
      </c>
      <c r="CG299" s="41">
        <f>'[2]побудинковий звіт'!CG299+'[1]побудинковий звіт'!CG299</f>
        <v>0</v>
      </c>
      <c r="CH299" s="55">
        <f t="shared" si="292"/>
        <v>-139.97847332265147</v>
      </c>
      <c r="CI299" s="41">
        <f>'[2]побудинковий звіт'!CI299+'[1]побудинковий звіт'!CI299</f>
        <v>5782.905960780643</v>
      </c>
      <c r="CJ299" s="41">
        <f>'[2]побудинковий звіт'!CJ299+'[1]побудинковий звіт'!CJ299</f>
        <v>4493.530061681693</v>
      </c>
      <c r="CK299" s="55">
        <f t="shared" si="293"/>
        <v>-1289.37589909895</v>
      </c>
      <c r="CL299" s="41">
        <f>'[2]побудинковий звіт'!CL299+'[1]побудинковий звіт'!CL299</f>
        <v>0</v>
      </c>
      <c r="CM299" s="41">
        <f>'[2]побудинковий звіт'!CM299+'[1]побудинковий звіт'!CM299</f>
        <v>0</v>
      </c>
      <c r="CN299" s="55">
        <f t="shared" si="294"/>
        <v>0</v>
      </c>
      <c r="CO299" s="41">
        <f t="shared" si="295"/>
        <v>5782.905960780643</v>
      </c>
      <c r="CP299" s="42">
        <f t="shared" si="296"/>
        <v>4493.530061681693</v>
      </c>
      <c r="CQ299" s="55">
        <f t="shared" si="297"/>
        <v>-1289.37589909895</v>
      </c>
      <c r="CR299" s="76">
        <f t="shared" si="298"/>
        <v>212450.36661740122</v>
      </c>
      <c r="CS299" s="5">
        <f t="shared" si="299"/>
        <v>176052.11420738668</v>
      </c>
      <c r="CT299" s="55">
        <f t="shared" si="300"/>
        <v>-36398.252410014538</v>
      </c>
      <c r="CU299" s="84">
        <f t="shared" si="301"/>
        <v>254940.43994088145</v>
      </c>
      <c r="CV299" s="68">
        <f t="shared" si="302"/>
        <v>211262.537048864</v>
      </c>
      <c r="CW299" s="36">
        <f t="shared" si="303"/>
        <v>-43677.902892017446</v>
      </c>
      <c r="CX299" s="41">
        <f>'[2]побудинковий звіт'!CX299+'[1]побудинковий звіт'!CX299</f>
        <v>3164.3867799557356</v>
      </c>
      <c r="CY299" s="41">
        <f>'[2]побудинковий звіт'!CY299+'[1]побудинковий звіт'!CY299</f>
        <v>46842.28967197318</v>
      </c>
      <c r="CZ299" s="55">
        <f t="shared" si="304"/>
        <v>43677.902892017446</v>
      </c>
      <c r="DA299" s="254">
        <f>'[1]побудинковий звіт'!DA299</f>
        <v>13311.26341029325</v>
      </c>
      <c r="DB299" s="2">
        <v>2</v>
      </c>
      <c r="DC299" s="702">
        <f>'[1]побудинковий звіт'!DC299</f>
        <v>94537.73</v>
      </c>
      <c r="DD299" s="702">
        <f>'[1]побудинковий звіт'!DD299</f>
        <v>28250.79</v>
      </c>
      <c r="DE299" s="702">
        <f>'[1]побудинковий звіт'!DE299</f>
        <v>73644.98</v>
      </c>
      <c r="DF299" s="702">
        <f>'[1]побудинковий звіт'!DF299</f>
        <v>20766.89</v>
      </c>
      <c r="DG299" s="772">
        <v>-34222.616846693098</v>
      </c>
      <c r="DH299" s="746">
        <f t="shared" si="306"/>
        <v>3097257.9206500463</v>
      </c>
      <c r="DI299" s="769"/>
      <c r="DJ299" s="5"/>
      <c r="DK299" s="307">
        <f>VLOOKUP($A299,ціни!$A$4:$G$401,5)</f>
        <v>6.5461162390413481</v>
      </c>
      <c r="DL299" s="307"/>
      <c r="DM299" s="307">
        <f>VLOOKUP($A299,ціни!$A$4:$G$401,7)</f>
        <v>5.2956631321030141</v>
      </c>
      <c r="DN299" s="29">
        <f t="shared" si="315"/>
        <v>14919.253520399136</v>
      </c>
      <c r="DO299" s="29">
        <f t="shared" si="305"/>
        <v>5296.7222647294338</v>
      </c>
      <c r="DP299" s="306">
        <f t="shared" si="307"/>
        <v>20215.975785128569</v>
      </c>
      <c r="DQ299" s="101"/>
      <c r="DR299" s="29">
        <f>VLOOKUP(A299,'ДЗ нас '!$A$1:$C$359,2)</f>
        <v>14919.21</v>
      </c>
      <c r="DS299" s="733">
        <f>VLOOKUP(A299,'ДЗ нежит'!$A$1:$D$153,4,0)</f>
        <v>5301.0200000000013</v>
      </c>
      <c r="DT299" s="29">
        <f t="shared" si="308"/>
        <v>20220.23</v>
      </c>
      <c r="DU299" s="247">
        <f>VLOOKUP(A299,'новий кошторис с 01.06'!$A$4:$AI$399,35)*1.2</f>
        <v>20506.422882130686</v>
      </c>
      <c r="DV299" s="29">
        <f t="shared" si="309"/>
        <v>-286.19288213068648</v>
      </c>
      <c r="DW299" s="1016">
        <f>'[2]побудинковий звіт'!$DW$9+'[1]побудинковий звіт'!DW299</f>
        <v>1062</v>
      </c>
      <c r="DX299" s="101">
        <f>'[1]побудинковий звіт'!DX299</f>
        <v>0</v>
      </c>
      <c r="DY299" s="5">
        <f t="shared" si="310"/>
        <v>64239.71799375859</v>
      </c>
      <c r="DZ299" s="5">
        <f t="shared" si="311"/>
        <v>8459.4671566154357</v>
      </c>
      <c r="EA299" s="737">
        <f t="shared" si="312"/>
        <v>94411.87</v>
      </c>
      <c r="EC299" s="577">
        <f t="shared" si="313"/>
        <v>510108.64522133581</v>
      </c>
      <c r="EE299" s="743">
        <v>6866</v>
      </c>
      <c r="EF299" s="723">
        <f t="shared" si="314"/>
        <v>-27356.616846693098</v>
      </c>
      <c r="EH299" s="798">
        <v>58777.477228876043</v>
      </c>
      <c r="EI299" s="101">
        <f>VLOOKUP(A299,'кошти 01.01.24'!$A$9:$D$352,4,FALSE)</f>
        <v>56989.166302310696</v>
      </c>
    </row>
    <row r="300" spans="1:139" hidden="1" x14ac:dyDescent="0.3">
      <c r="A300" s="318">
        <v>150000864</v>
      </c>
      <c r="B300" s="43" t="s">
        <v>766</v>
      </c>
      <c r="C300" s="44" t="s">
        <v>200</v>
      </c>
      <c r="D300" s="44" t="s">
        <v>200</v>
      </c>
      <c r="E300" s="39">
        <f t="shared" si="262"/>
        <v>3971.86</v>
      </c>
      <c r="F300" s="205">
        <f>'[1]побудинковий звіт'!F300</f>
        <v>3007.56</v>
      </c>
      <c r="G300" s="29">
        <f>'[1]побудинковий звіт'!G300</f>
        <v>0</v>
      </c>
      <c r="H300" s="148">
        <f>'[1]побудинковий звіт'!H300</f>
        <v>964.30000000000007</v>
      </c>
      <c r="I300" s="41">
        <f>'[2]побудинковий звіт'!I300+'[1]побудинковий звіт'!I300</f>
        <v>11070.453130827384</v>
      </c>
      <c r="J300" s="41">
        <f>'[2]побудинковий звіт'!J300+'[1]побудинковий звіт'!J300</f>
        <v>11389.092156346294</v>
      </c>
      <c r="K300" s="55">
        <f t="shared" si="263"/>
        <v>318.63902551891078</v>
      </c>
      <c r="L300" s="41">
        <f>'[2]побудинковий звіт'!L300+'[1]побудинковий звіт'!L300</f>
        <v>2109.0167454016782</v>
      </c>
      <c r="M300" s="41">
        <f>'[2]побудинковий звіт'!M300+'[1]побудинковий звіт'!M300</f>
        <v>2210.8700024914401</v>
      </c>
      <c r="N300" s="55">
        <f t="shared" si="264"/>
        <v>101.85325708976188</v>
      </c>
      <c r="O300" s="41">
        <f>'[2]побудинковий звіт'!O300+'[1]побудинковий звіт'!O300</f>
        <v>4868.6365910709355</v>
      </c>
      <c r="P300" s="41">
        <f>'[2]побудинковий звіт'!P300+'[1]побудинковий звіт'!P300</f>
        <v>4882.4634291974753</v>
      </c>
      <c r="Q300" s="55">
        <f t="shared" si="265"/>
        <v>13.826838126539769</v>
      </c>
      <c r="R300" s="41">
        <f>'[2]побудинковий звіт'!R300+'[1]побудинковий звіт'!R300</f>
        <v>0</v>
      </c>
      <c r="S300" s="41">
        <f>'[2]побудинковий звіт'!S300+'[1]побудинковий звіт'!S300</f>
        <v>0</v>
      </c>
      <c r="T300" s="55">
        <f t="shared" si="266"/>
        <v>0</v>
      </c>
      <c r="U300" s="41">
        <f>'[2]побудинковий звіт'!U300+'[1]побудинковий звіт'!U300</f>
        <v>196.45706386468794</v>
      </c>
      <c r="V300" s="41">
        <f>'[2]побудинковий звіт'!V300+'[1]побудинковий звіт'!V300</f>
        <v>113.34182040719315</v>
      </c>
      <c r="W300" s="55">
        <f t="shared" si="267"/>
        <v>-83.115243457494785</v>
      </c>
      <c r="X300" s="41">
        <f>'[2]побудинковий звіт'!X300+'[1]побудинковий звіт'!X300</f>
        <v>14221.492919654858</v>
      </c>
      <c r="Y300" s="41">
        <f>'[2]побудинковий звіт'!Y300+'[1]побудинковий звіт'!Y300</f>
        <v>14185.606793698671</v>
      </c>
      <c r="Z300" s="55">
        <f t="shared" si="268"/>
        <v>-35.886125956187243</v>
      </c>
      <c r="AA300" s="41">
        <f>'[2]побудинковий звіт'!AA300+'[1]побудинковий звіт'!AA300</f>
        <v>0</v>
      </c>
      <c r="AB300" s="41">
        <f>'[2]побудинковий звіт'!AB300+'[1]побудинковий звіт'!AB300</f>
        <v>0</v>
      </c>
      <c r="AC300" s="55">
        <f t="shared" si="269"/>
        <v>0</v>
      </c>
      <c r="AD300" s="41">
        <f>'[2]побудинковий звіт'!AD300+'[1]побудинковий звіт'!AD300</f>
        <v>17231.51528154788</v>
      </c>
      <c r="AE300" s="41">
        <f>'[2]побудинковий звіт'!AE300+'[1]побудинковий звіт'!AE300</f>
        <v>17212.607616519643</v>
      </c>
      <c r="AF300" s="36">
        <f t="shared" si="270"/>
        <v>-18.907665028236806</v>
      </c>
      <c r="AG300" s="84">
        <f t="shared" si="271"/>
        <v>49697.571732367418</v>
      </c>
      <c r="AH300" s="56">
        <f t="shared" si="272"/>
        <v>49993.981818660715</v>
      </c>
      <c r="AI300" s="55">
        <f t="shared" si="273"/>
        <v>296.41008629329735</v>
      </c>
      <c r="AJ300" s="41">
        <f>'[2]побудинковий звіт'!AJ300+'[1]побудинковий звіт'!AJ300</f>
        <v>0</v>
      </c>
      <c r="AK300" s="41">
        <f>'[2]побудинковий звіт'!AK300+'[1]побудинковий звіт'!AK300</f>
        <v>0</v>
      </c>
      <c r="AL300" s="55">
        <f t="shared" si="274"/>
        <v>0</v>
      </c>
      <c r="AM300" s="41">
        <f>'[2]побудинковий звіт'!AM300+'[1]побудинковий звіт'!AM300</f>
        <v>0</v>
      </c>
      <c r="AN300" s="41">
        <f>'[2]побудинковий звіт'!AN300+'[1]побудинковий звіт'!AN300</f>
        <v>0</v>
      </c>
      <c r="AO300" s="55">
        <f t="shared" si="275"/>
        <v>0</v>
      </c>
      <c r="AP300" s="41">
        <f>'[2]побудинковий звіт'!AP300+'[1]побудинковий звіт'!AP300</f>
        <v>7726.6639546605911</v>
      </c>
      <c r="AQ300" s="41">
        <f>'[2]побудинковий звіт'!AQ300+'[1]побудинковий звіт'!AQ300</f>
        <v>7279.1681771742742</v>
      </c>
      <c r="AR300" s="55">
        <f t="shared" si="276"/>
        <v>-447.49577748631691</v>
      </c>
      <c r="AS300" s="41">
        <f>'[2]побудинковий звіт'!AS300+'[1]побудинковий звіт'!AS300</f>
        <v>47907.791807945032</v>
      </c>
      <c r="AT300" s="41">
        <f>'[2]побудинковий звіт'!AT300+'[1]побудинковий звіт'!AT300</f>
        <v>615.20938928434316</v>
      </c>
      <c r="AU300" s="57">
        <f t="shared" si="277"/>
        <v>-47292.582418660691</v>
      </c>
      <c r="AV300" s="41">
        <f>'[2]побудинковий звіт'!AV300+'[1]побудинковий звіт'!AV300</f>
        <v>1843.0773612644321</v>
      </c>
      <c r="AW300" s="41">
        <f>'[2]побудинковий звіт'!AW300+'[1]побудинковий звіт'!AW300</f>
        <v>4503.4950019932257</v>
      </c>
      <c r="AX300" s="58">
        <f t="shared" si="278"/>
        <v>2660.4176407287937</v>
      </c>
      <c r="AY300" s="41">
        <f>'[2]побудинковий звіт'!AY300+'[1]побудинковий звіт'!AY300</f>
        <v>2519.2266917412089</v>
      </c>
      <c r="AZ300" s="41">
        <f>'[2]побудинковий звіт'!AZ300+'[1]побудинковий звіт'!AZ300</f>
        <v>5124.8656019659602</v>
      </c>
      <c r="BA300" s="36">
        <f t="shared" si="279"/>
        <v>2605.6389102247513</v>
      </c>
      <c r="BB300" s="41">
        <f>'[2]побудинковий звіт'!BB300+'[1]побудинковий звіт'!BB300</f>
        <v>3066.1778042159449</v>
      </c>
      <c r="BC300" s="41">
        <f>'[2]побудинковий звіт'!BC300+'[1]побудинковий звіт'!BC300</f>
        <v>0</v>
      </c>
      <c r="BD300" s="58">
        <f t="shared" si="280"/>
        <v>-3066.1778042159449</v>
      </c>
      <c r="BE300" s="41">
        <f>'[2]побудинковий звіт'!BE300+'[1]побудинковий звіт'!BE300</f>
        <v>0</v>
      </c>
      <c r="BF300" s="41">
        <f>'[2]побудинковий звіт'!BF300+'[1]побудинковий звіт'!BF300</f>
        <v>0</v>
      </c>
      <c r="BG300" s="38">
        <f t="shared" si="281"/>
        <v>0</v>
      </c>
      <c r="BH300" s="41">
        <f>'[2]побудинковий звіт'!BH300+'[1]побудинковий звіт'!BH300</f>
        <v>115.78674237000469</v>
      </c>
      <c r="BI300" s="41">
        <f>'[2]побудинковий звіт'!BI300+'[1]побудинковий звіт'!BI300</f>
        <v>0</v>
      </c>
      <c r="BJ300" s="58">
        <f t="shared" si="282"/>
        <v>-115.78674237000469</v>
      </c>
      <c r="BK300" s="41">
        <f>'[2]побудинковий звіт'!BK300+'[1]побудинковий звіт'!BK300</f>
        <v>2621.4777957974502</v>
      </c>
      <c r="BL300" s="41">
        <f>'[2]побудинковий звіт'!BL300+'[1]побудинковий звіт'!BL300</f>
        <v>208.92442055244328</v>
      </c>
      <c r="BM300" s="38">
        <f t="shared" si="283"/>
        <v>-2412.5533752450069</v>
      </c>
      <c r="BN300" s="41">
        <f>'[2]побудинковий звіт'!BN300+'[1]побудинковий звіт'!BN300</f>
        <v>78.615396811048868</v>
      </c>
      <c r="BO300" s="41">
        <f>'[2]побудинковий звіт'!BO300+'[1]побудинковий звіт'!BO300</f>
        <v>0</v>
      </c>
      <c r="BP300" s="58">
        <f t="shared" si="284"/>
        <v>-78.615396811048868</v>
      </c>
      <c r="BQ300" s="84">
        <f t="shared" si="285"/>
        <v>10244.361792200089</v>
      </c>
      <c r="BR300" s="42">
        <f t="shared" si="286"/>
        <v>9837.2850245116297</v>
      </c>
      <c r="BS300" s="58">
        <f t="shared" si="287"/>
        <v>-407.07676768845886</v>
      </c>
      <c r="BT300" s="41">
        <f>'[2]побудинковий звіт'!BT300+'[1]побудинковий звіт'!BT300</f>
        <v>54754.727894155447</v>
      </c>
      <c r="BU300" s="41">
        <f>'[2]побудинковий звіт'!BU300+'[1]побудинковий звіт'!BU300</f>
        <v>67799.752985309009</v>
      </c>
      <c r="BV300" s="55">
        <f t="shared" si="288"/>
        <v>13045.025091153562</v>
      </c>
      <c r="BW300" s="41">
        <f>'[2]побудинковий звіт'!BW300+'[1]побудинковий звіт'!BW300</f>
        <v>41166.940681400265</v>
      </c>
      <c r="BX300" s="41">
        <f>'[2]побудинковий звіт'!BX300+'[1]побудинковий звіт'!BX300</f>
        <v>37304.702327096391</v>
      </c>
      <c r="BY300" s="55">
        <f t="shared" si="289"/>
        <v>-3862.2383543038741</v>
      </c>
      <c r="BZ300" s="41">
        <f>'[2]побудинковий звіт'!BZ300+'[1]побудинковий звіт'!BZ300</f>
        <v>20183.17093722249</v>
      </c>
      <c r="CA300" s="41">
        <f>'[2]побудинковий звіт'!CA300+'[1]побудинковий звіт'!CA300</f>
        <v>5768.5509701830697</v>
      </c>
      <c r="CB300" s="55">
        <f t="shared" si="290"/>
        <v>-14414.61996703942</v>
      </c>
      <c r="CC300" s="41">
        <f>'[2]побудинковий звіт'!CC300+'[1]побудинковий звіт'!CC300</f>
        <v>854.99757835252865</v>
      </c>
      <c r="CD300" s="41">
        <f>'[2]побудинковий звіт'!CD300+'[1]побудинковий звіт'!CD300</f>
        <v>857.89677977115468</v>
      </c>
      <c r="CE300" s="55">
        <f t="shared" si="291"/>
        <v>2.8992014186260349</v>
      </c>
      <c r="CF300" s="41">
        <f>'[2]побудинковий звіт'!CF300+'[1]побудинковий звіт'!CF300</f>
        <v>105.92965548741191</v>
      </c>
      <c r="CG300" s="41">
        <f>'[2]побудинковий звіт'!CG300+'[1]побудинковий звіт'!CG300</f>
        <v>0</v>
      </c>
      <c r="CH300" s="55">
        <f t="shared" si="292"/>
        <v>-105.92965548741191</v>
      </c>
      <c r="CI300" s="41">
        <f>'[2]побудинковий звіт'!CI300+'[1]побудинковий звіт'!CI300</f>
        <v>3827.6529955791611</v>
      </c>
      <c r="CJ300" s="41">
        <f>'[2]побудинковий звіт'!CJ300+'[1]побудинковий звіт'!CJ300</f>
        <v>4349.8515107684443</v>
      </c>
      <c r="CK300" s="55">
        <f t="shared" si="293"/>
        <v>522.19851518928317</v>
      </c>
      <c r="CL300" s="41">
        <f>'[2]побудинковий звіт'!CL300+'[1]побудинковий звіт'!CL300</f>
        <v>0</v>
      </c>
      <c r="CM300" s="41">
        <f>'[2]побудинковий звіт'!CM300+'[1]побудинковий звіт'!CM300</f>
        <v>0</v>
      </c>
      <c r="CN300" s="55">
        <f t="shared" si="294"/>
        <v>0</v>
      </c>
      <c r="CO300" s="41">
        <f t="shared" si="295"/>
        <v>3827.6529955791611</v>
      </c>
      <c r="CP300" s="42">
        <f t="shared" si="296"/>
        <v>4349.8515107684443</v>
      </c>
      <c r="CQ300" s="55">
        <f t="shared" si="297"/>
        <v>522.19851518928317</v>
      </c>
      <c r="CR300" s="76">
        <f t="shared" si="298"/>
        <v>236469.8090293704</v>
      </c>
      <c r="CS300" s="5">
        <f t="shared" si="299"/>
        <v>183806.39898275904</v>
      </c>
      <c r="CT300" s="55">
        <f t="shared" si="300"/>
        <v>-52663.41004661136</v>
      </c>
      <c r="CU300" s="84">
        <f t="shared" si="301"/>
        <v>283763.77083524445</v>
      </c>
      <c r="CV300" s="68">
        <f t="shared" si="302"/>
        <v>220567.67877931084</v>
      </c>
      <c r="CW300" s="36">
        <f t="shared" si="303"/>
        <v>-63196.092055933608</v>
      </c>
      <c r="CX300" s="41">
        <f>'[2]побудинковий звіт'!CX300+'[1]побудинковий звіт'!CX300</f>
        <v>8288.4689501403755</v>
      </c>
      <c r="CY300" s="41">
        <f>'[2]побудинковий звіт'!CY300+'[1]побудинковий звіт'!CY300</f>
        <v>71484.561006074073</v>
      </c>
      <c r="CZ300" s="55">
        <f t="shared" si="304"/>
        <v>63196.092055933696</v>
      </c>
      <c r="DA300" s="254">
        <f>'[1]побудинковий звіт'!DA300</f>
        <v>30269.984925597004</v>
      </c>
      <c r="DB300" s="2">
        <v>2</v>
      </c>
      <c r="DC300" s="702">
        <f>'[1]побудинковий звіт'!DC300</f>
        <v>143674.12</v>
      </c>
      <c r="DD300" s="702">
        <f>'[1]побудинковий звіт'!DD300</f>
        <v>50667.08</v>
      </c>
      <c r="DE300" s="702">
        <f>'[1]побудинковий звіт'!DE300</f>
        <v>118010.87999999999</v>
      </c>
      <c r="DF300" s="702">
        <f>'[1]побудинковий звіт'!DF300</f>
        <v>44113.120000000003</v>
      </c>
      <c r="DG300" s="772">
        <v>10786.656235379167</v>
      </c>
      <c r="DH300" s="746">
        <f t="shared" si="306"/>
        <v>3504626.8774246173</v>
      </c>
      <c r="DI300" s="769"/>
      <c r="DJ300" s="5"/>
      <c r="DK300" s="307">
        <f>VLOOKUP($A300,ціни!$A$4:$G$401,5)</f>
        <v>6.0799727871404237</v>
      </c>
      <c r="DL300" s="307"/>
      <c r="DM300" s="307">
        <f>VLOOKUP($A300,ціни!$A$4:$G$401,7)</f>
        <v>4.7386799655169565</v>
      </c>
      <c r="DN300" s="29">
        <f t="shared" si="315"/>
        <v>18285.882955692054</v>
      </c>
      <c r="DO300" s="29">
        <f t="shared" si="305"/>
        <v>4569.5090907480017</v>
      </c>
      <c r="DP300" s="306">
        <f t="shared" si="307"/>
        <v>22855.392046440054</v>
      </c>
      <c r="DQ300" s="101"/>
      <c r="DR300" s="29">
        <f>VLOOKUP(A300,'ДЗ нас '!$A$1:$C$359,2)</f>
        <v>18285.919999999998</v>
      </c>
      <c r="DS300" s="733">
        <f>VLOOKUP(A300,'ДЗ нежит'!$A$1:$D$153,4,0)</f>
        <v>4569.5</v>
      </c>
      <c r="DT300" s="29">
        <f t="shared" si="308"/>
        <v>22855.42</v>
      </c>
      <c r="DU300" s="247">
        <f>VLOOKUP(A300,'новий кошторис с 01.06'!$A$4:$AI$399,35)*1.2</f>
        <v>22993.08302115705</v>
      </c>
      <c r="DV300" s="29">
        <f t="shared" si="309"/>
        <v>-137.66302115705184</v>
      </c>
      <c r="DW300" s="1016">
        <f>'[2]побудинковий звіт'!$DW$9+'[1]побудинковий звіт'!DW300</f>
        <v>1062</v>
      </c>
      <c r="DX300" s="101">
        <f>'[1]побудинковий звіт'!DX300</f>
        <v>0</v>
      </c>
      <c r="DY300" s="5">
        <f t="shared" si="310"/>
        <v>69782.584320174137</v>
      </c>
      <c r="DZ300" s="5">
        <f t="shared" si="311"/>
        <v>12542.993296555165</v>
      </c>
      <c r="EA300" s="737">
        <f t="shared" si="312"/>
        <v>162124</v>
      </c>
      <c r="EC300" s="577">
        <f t="shared" si="313"/>
        <v>574893.50169534038</v>
      </c>
      <c r="EE300" s="743">
        <v>14898</v>
      </c>
      <c r="EF300" s="723">
        <f t="shared" si="314"/>
        <v>25684.656235379167</v>
      </c>
      <c r="EH300" s="798">
        <v>61676.804260267869</v>
      </c>
      <c r="EI300" s="101">
        <f>VLOOKUP(A300,'кошти 01.01.24'!$A$9:$D$352,4,FALSE)</f>
        <v>93466.076981530656</v>
      </c>
    </row>
    <row r="301" spans="1:139" hidden="1" x14ac:dyDescent="0.3">
      <c r="A301" s="318">
        <v>150000865</v>
      </c>
      <c r="B301" s="43" t="s">
        <v>767</v>
      </c>
      <c r="C301" s="44" t="s">
        <v>305</v>
      </c>
      <c r="D301" s="44" t="s">
        <v>305</v>
      </c>
      <c r="E301" s="39">
        <f t="shared" si="262"/>
        <v>9136.98</v>
      </c>
      <c r="F301" s="205">
        <f>'[1]побудинковий звіт'!F301</f>
        <v>6585.58</v>
      </c>
      <c r="G301" s="29">
        <f>'[1]побудинковий звіт'!G301</f>
        <v>0</v>
      </c>
      <c r="H301" s="148">
        <f>'[1]побудинковий звіт'!H301</f>
        <v>2551.4</v>
      </c>
      <c r="I301" s="41">
        <f>'[2]побудинковий звіт'!I301+'[1]побудинковий звіт'!I301</f>
        <v>29160.326602091569</v>
      </c>
      <c r="J301" s="41">
        <f>'[2]побудинковий звіт'!J301+'[1]побудинковий звіт'!J301</f>
        <v>30019.256717803451</v>
      </c>
      <c r="K301" s="55">
        <f t="shared" si="263"/>
        <v>858.93011571188254</v>
      </c>
      <c r="L301" s="41">
        <f>'[2]побудинковий звіт'!L301+'[1]побудинковий звіт'!L301</f>
        <v>6125.0459216606714</v>
      </c>
      <c r="M301" s="41">
        <f>'[2]побудинковий звіт'!M301+'[1]побудинковий звіт'!M301</f>
        <v>6439.5786903462595</v>
      </c>
      <c r="N301" s="55">
        <f t="shared" si="264"/>
        <v>314.53276868558805</v>
      </c>
      <c r="O301" s="41">
        <f>'[2]побудинковий звіт'!O301+'[1]побудинковий звіт'!O301</f>
        <v>13121.215326576308</v>
      </c>
      <c r="P301" s="41">
        <f>'[2]побудинковий звіт'!P301+'[1]побудинковий звіт'!P301</f>
        <v>13158.081220957516</v>
      </c>
      <c r="Q301" s="55">
        <f t="shared" si="265"/>
        <v>36.865894381207909</v>
      </c>
      <c r="R301" s="41">
        <f>'[2]побудинковий звіт'!R301+'[1]побудинковий звіт'!R301</f>
        <v>0</v>
      </c>
      <c r="S301" s="41">
        <f>'[2]побудинковий звіт'!S301+'[1]побудинковий звіт'!S301</f>
        <v>0</v>
      </c>
      <c r="T301" s="55">
        <f t="shared" si="266"/>
        <v>0</v>
      </c>
      <c r="U301" s="41">
        <f>'[2]побудинковий звіт'!U301+'[1]побудинковий звіт'!U301</f>
        <v>514.53040535989714</v>
      </c>
      <c r="V301" s="41">
        <f>'[2]побудинковий звіт'!V301+'[1]побудинковий звіт'!V301</f>
        <v>296.84762487598215</v>
      </c>
      <c r="W301" s="55">
        <f t="shared" si="267"/>
        <v>-217.682780483915</v>
      </c>
      <c r="X301" s="41">
        <f>'[2]побудинковий звіт'!X301+'[1]побудинковий звіт'!X301</f>
        <v>30544.28470076458</v>
      </c>
      <c r="Y301" s="41">
        <f>'[2]побудинковий звіт'!Y301+'[1]побудинковий звіт'!Y301</f>
        <v>30889.187675327397</v>
      </c>
      <c r="Z301" s="55">
        <f t="shared" si="268"/>
        <v>344.90297456281769</v>
      </c>
      <c r="AA301" s="41">
        <f>'[2]побудинковий звіт'!AA301+'[1]побудинковий звіт'!AA301</f>
        <v>0</v>
      </c>
      <c r="AB301" s="41">
        <f>'[2]побудинковий звіт'!AB301+'[1]побудинковий звіт'!AB301</f>
        <v>0</v>
      </c>
      <c r="AC301" s="55">
        <f t="shared" si="269"/>
        <v>0</v>
      </c>
      <c r="AD301" s="41">
        <f>'[2]побудинковий звіт'!AD301+'[1]побудинковий звіт'!AD301</f>
        <v>39490.012185119042</v>
      </c>
      <c r="AE301" s="41">
        <f>'[2]побудинковий звіт'!AE301+'[1]побудинковий звіт'!AE301</f>
        <v>39475.871930419846</v>
      </c>
      <c r="AF301" s="36">
        <f t="shared" si="270"/>
        <v>-14.140254699195793</v>
      </c>
      <c r="AG301" s="84">
        <f t="shared" si="271"/>
        <v>118955.41514157207</v>
      </c>
      <c r="AH301" s="56">
        <f t="shared" si="272"/>
        <v>120278.82385973044</v>
      </c>
      <c r="AI301" s="55">
        <f t="shared" si="273"/>
        <v>1323.4087181583745</v>
      </c>
      <c r="AJ301" s="41">
        <f>'[2]побудинковий звіт'!AJ301+'[1]побудинковий звіт'!AJ301</f>
        <v>0</v>
      </c>
      <c r="AK301" s="41">
        <f>'[2]побудинковий звіт'!AK301+'[1]побудинковий звіт'!AK301</f>
        <v>0</v>
      </c>
      <c r="AL301" s="55">
        <f t="shared" si="274"/>
        <v>0</v>
      </c>
      <c r="AM301" s="41">
        <f>'[2]побудинковий звіт'!AM301+'[1]побудинковий звіт'!AM301</f>
        <v>0</v>
      </c>
      <c r="AN301" s="41">
        <f>'[2]побудинковий звіт'!AN301+'[1]побудинковий звіт'!AN301</f>
        <v>0</v>
      </c>
      <c r="AO301" s="55">
        <f t="shared" si="275"/>
        <v>0</v>
      </c>
      <c r="AP301" s="41">
        <f>'[2]побудинковий звіт'!AP301+'[1]побудинковий звіт'!AP301</f>
        <v>23922.94032116068</v>
      </c>
      <c r="AQ301" s="41">
        <f>'[2]побудинковий звіт'!AQ301+'[1]побудинковий звіт'!AQ301</f>
        <v>22632.484682704344</v>
      </c>
      <c r="AR301" s="55">
        <f t="shared" si="276"/>
        <v>-1290.4556384563366</v>
      </c>
      <c r="AS301" s="41">
        <f>'[2]побудинковий звіт'!AS301+'[1]побудинковий звіт'!AS301</f>
        <v>116921.63507436466</v>
      </c>
      <c r="AT301" s="41">
        <f>'[2]побудинковий звіт'!AT301+'[1]побудинковий звіт'!AT301</f>
        <v>5686.5088945296902</v>
      </c>
      <c r="AU301" s="57">
        <f t="shared" si="277"/>
        <v>-111235.12617983497</v>
      </c>
      <c r="AV301" s="41">
        <f>'[2]побудинковий звіт'!AV301+'[1]побудинковий звіт'!AV301</f>
        <v>5076.6645216831503</v>
      </c>
      <c r="AW301" s="41">
        <f>'[2]побудинковий звіт'!AW301+'[1]побудинковий звіт'!AW301</f>
        <v>489.07359764550097</v>
      </c>
      <c r="AX301" s="58">
        <f t="shared" si="278"/>
        <v>-4587.5909240376495</v>
      </c>
      <c r="AY301" s="41">
        <f>'[2]побудинковий звіт'!AY301+'[1]побудинковий звіт'!AY301</f>
        <v>7641.6321751391743</v>
      </c>
      <c r="AZ301" s="41">
        <f>'[2]побудинковий звіт'!AZ301+'[1]побудинковий звіт'!AZ301</f>
        <v>4093.8676137088173</v>
      </c>
      <c r="BA301" s="36">
        <f t="shared" si="279"/>
        <v>-3547.7645614303569</v>
      </c>
      <c r="BB301" s="41">
        <f>'[2]побудинковий звіт'!BB301+'[1]побудинковий звіт'!BB301</f>
        <v>6585.5755071109343</v>
      </c>
      <c r="BC301" s="41">
        <f>'[2]побудинковий звіт'!BC301+'[1]побудинковий звіт'!BC301</f>
        <v>2491.3258960432559</v>
      </c>
      <c r="BD301" s="58">
        <f t="shared" si="280"/>
        <v>-4094.2496110676784</v>
      </c>
      <c r="BE301" s="41">
        <f>'[2]побудинковий звіт'!BE301+'[1]побудинковий звіт'!BE301</f>
        <v>0</v>
      </c>
      <c r="BF301" s="41">
        <f>'[2]побудинковий звіт'!BF301+'[1]побудинковий звіт'!BF301</f>
        <v>963</v>
      </c>
      <c r="BG301" s="38">
        <f t="shared" si="281"/>
        <v>963</v>
      </c>
      <c r="BH301" s="41">
        <f>'[2]побудинковий звіт'!BH301+'[1]побудинковий звіт'!BH301</f>
        <v>303.2509919214408</v>
      </c>
      <c r="BI301" s="41">
        <f>'[2]побудинковий звіт'!BI301+'[1]побудинковий звіт'!BI301</f>
        <v>1112.3865532248451</v>
      </c>
      <c r="BJ301" s="58">
        <f t="shared" si="282"/>
        <v>809.1355613034043</v>
      </c>
      <c r="BK301" s="41">
        <f>'[2]побудинковий звіт'!BK301+'[1]побудинковий звіт'!BK301</f>
        <v>5410.3285754021881</v>
      </c>
      <c r="BL301" s="41">
        <f>'[2]побудинковий звіт'!BL301+'[1]побудинковий звіт'!BL301</f>
        <v>615.37989917361699</v>
      </c>
      <c r="BM301" s="38">
        <f t="shared" si="283"/>
        <v>-4794.9486762285715</v>
      </c>
      <c r="BN301" s="41">
        <f>'[2]побудинковий звіт'!BN301+'[1]побудинковий звіт'!BN301</f>
        <v>229.6033875738494</v>
      </c>
      <c r="BO301" s="41">
        <f>'[2]побудинковий звіт'!BO301+'[1]побудинковий звіт'!BO301</f>
        <v>0</v>
      </c>
      <c r="BP301" s="58">
        <f t="shared" si="284"/>
        <v>-229.6033875738494</v>
      </c>
      <c r="BQ301" s="84">
        <f t="shared" si="285"/>
        <v>25247.055158830739</v>
      </c>
      <c r="BR301" s="42">
        <f t="shared" si="286"/>
        <v>9765.0335597960366</v>
      </c>
      <c r="BS301" s="58">
        <f t="shared" si="287"/>
        <v>-15482.021599034702</v>
      </c>
      <c r="BT301" s="41">
        <f>'[2]побудинковий звіт'!BT301+'[1]побудинковий звіт'!BT301</f>
        <v>84186.5042174829</v>
      </c>
      <c r="BU301" s="41">
        <f>'[2]побудинковий звіт'!BU301+'[1]побудинковий звіт'!BU301</f>
        <v>130993.31202848813</v>
      </c>
      <c r="BV301" s="55">
        <f t="shared" si="288"/>
        <v>46806.80781100523</v>
      </c>
      <c r="BW301" s="41">
        <f>'[2]побудинковий звіт'!BW301+'[1]побудинковий звіт'!BW301</f>
        <v>56931.782588952861</v>
      </c>
      <c r="BX301" s="41">
        <f>'[2]побудинковий звіт'!BX301+'[1]побудинковий звіт'!BX301</f>
        <v>66188.044492656889</v>
      </c>
      <c r="BY301" s="55">
        <f t="shared" si="289"/>
        <v>9256.2619037040276</v>
      </c>
      <c r="BZ301" s="41">
        <f>'[2]побудинковий звіт'!BZ301+'[1]побудинковий звіт'!BZ301</f>
        <v>28848.260130303279</v>
      </c>
      <c r="CA301" s="41">
        <f>'[2]побудинковий звіт'!CA301+'[1]побудинковий звіт'!CA301</f>
        <v>11467.535940275873</v>
      </c>
      <c r="CB301" s="55">
        <f t="shared" si="290"/>
        <v>-17380.724190027406</v>
      </c>
      <c r="CC301" s="41">
        <f>'[2]побудинковий звіт'!CC301+'[1]побудинковий звіт'!CC301</f>
        <v>943.55089896761194</v>
      </c>
      <c r="CD301" s="41">
        <f>'[2]побудинковий звіт'!CD301+'[1]побудинковий звіт'!CD301</f>
        <v>946.75037481888126</v>
      </c>
      <c r="CE301" s="55">
        <f t="shared" si="291"/>
        <v>3.1994758512693124</v>
      </c>
      <c r="CF301" s="41">
        <f>'[2]побудинковий звіт'!CF301+'[1]побудинковий звіт'!CF301</f>
        <v>116.90094123432243</v>
      </c>
      <c r="CG301" s="41">
        <f>'[2]побудинковий звіт'!CG301+'[1]побудинковий звіт'!CG301</f>
        <v>0</v>
      </c>
      <c r="CH301" s="55">
        <f t="shared" si="292"/>
        <v>-116.90094123432243</v>
      </c>
      <c r="CI301" s="41">
        <f>'[2]побудинковий звіт'!CI301+'[1]побудинковий звіт'!CI301</f>
        <v>13205.390340629856</v>
      </c>
      <c r="CJ301" s="41">
        <f>'[2]побудинковий звіт'!CJ301+'[1]побудинковий звіт'!CJ301</f>
        <v>4455.7467502575073</v>
      </c>
      <c r="CK301" s="55">
        <f t="shared" si="293"/>
        <v>-8749.6435903723486</v>
      </c>
      <c r="CL301" s="41">
        <f>'[2]побудинковий звіт'!CL301+'[1]побудинковий звіт'!CL301</f>
        <v>0</v>
      </c>
      <c r="CM301" s="41">
        <f>'[2]побудинковий звіт'!CM301+'[1]побудинковий звіт'!CM301</f>
        <v>0</v>
      </c>
      <c r="CN301" s="55">
        <f t="shared" si="294"/>
        <v>0</v>
      </c>
      <c r="CO301" s="41">
        <f t="shared" si="295"/>
        <v>13205.390340629856</v>
      </c>
      <c r="CP301" s="42">
        <f t="shared" si="296"/>
        <v>4455.7467502575073</v>
      </c>
      <c r="CQ301" s="55">
        <f t="shared" si="297"/>
        <v>-8749.6435903723486</v>
      </c>
      <c r="CR301" s="76">
        <f t="shared" si="298"/>
        <v>469279.43481349893</v>
      </c>
      <c r="CS301" s="5">
        <f t="shared" si="299"/>
        <v>372414.24058325781</v>
      </c>
      <c r="CT301" s="55">
        <f t="shared" si="300"/>
        <v>-96865.194230241119</v>
      </c>
      <c r="CU301" s="84">
        <f t="shared" si="301"/>
        <v>563135.32177619869</v>
      </c>
      <c r="CV301" s="68">
        <f t="shared" si="302"/>
        <v>446897.08869990933</v>
      </c>
      <c r="CW301" s="36">
        <f t="shared" si="303"/>
        <v>-116238.23307628935</v>
      </c>
      <c r="CX301" s="41">
        <f>'[2]побудинковий звіт'!CX301+'[1]побудинковий звіт'!CX301</f>
        <v>17808.244003201824</v>
      </c>
      <c r="CY301" s="41">
        <f>'[2]побудинковий звіт'!CY301+'[1]побудинковий звіт'!CY301</f>
        <v>134046.47707949131</v>
      </c>
      <c r="CZ301" s="55">
        <f t="shared" si="304"/>
        <v>116238.23307628949</v>
      </c>
      <c r="DA301" s="254">
        <f>'[1]побудинковий звіт'!DA301</f>
        <v>8712.4256204977864</v>
      </c>
      <c r="DB301" s="2">
        <v>2</v>
      </c>
      <c r="DC301" s="702">
        <f>'[1]побудинковий звіт'!DC301</f>
        <v>126272.96000000001</v>
      </c>
      <c r="DD301" s="702">
        <f>'[1]побудинковий звіт'!DD301</f>
        <v>13239.15</v>
      </c>
      <c r="DE301" s="702">
        <f>'[1]побудинковий звіт'!DE301</f>
        <v>77915.510000000009</v>
      </c>
      <c r="DF301" s="702">
        <f>'[1]побудинковий звіт'!DF301</f>
        <v>-2650.7299999999996</v>
      </c>
      <c r="DG301" s="772">
        <v>-27980.901646318613</v>
      </c>
      <c r="DH301" s="746">
        <f t="shared" si="306"/>
        <v>6971322.7893528063</v>
      </c>
      <c r="DI301" s="769"/>
      <c r="DJ301" s="5"/>
      <c r="DK301" s="307">
        <f>VLOOKUP($A301,ціни!$A$4:$G$401,5)</f>
        <v>5.2089896575112862</v>
      </c>
      <c r="DL301" s="307"/>
      <c r="DM301" s="307">
        <f>VLOOKUP($A301,ціни!$A$4:$G$401,7)</f>
        <v>4.3623531756012008</v>
      </c>
      <c r="DN301" s="29">
        <f t="shared" si="315"/>
        <v>34304.218108713176</v>
      </c>
      <c r="DO301" s="29">
        <f t="shared" si="305"/>
        <v>11130.107892228903</v>
      </c>
      <c r="DP301" s="306">
        <f t="shared" si="307"/>
        <v>45434.326000942077</v>
      </c>
      <c r="DQ301" s="101"/>
      <c r="DR301" s="29">
        <f>VLOOKUP(A301,'ДЗ нас '!$A$1:$C$359,2)</f>
        <v>34304.28</v>
      </c>
      <c r="DS301" s="733">
        <f>VLOOKUP(A301,'ДЗ нежит'!$A$1:$D$153,4,0)</f>
        <v>11130.21</v>
      </c>
      <c r="DT301" s="29">
        <f t="shared" si="308"/>
        <v>45434.49</v>
      </c>
      <c r="DU301" s="247">
        <f>VLOOKUP(A301,'новий кошторис с 01.06'!$A$4:$AI$399,35)*1.2</f>
        <v>45468.271083410742</v>
      </c>
      <c r="DV301" s="29">
        <f t="shared" si="309"/>
        <v>-33.781083410744031</v>
      </c>
      <c r="DW301" s="1016">
        <f>'[2]побудинковий звіт'!$DW$9+'[1]побудинковий звіт'!DW301</f>
        <v>2115</v>
      </c>
      <c r="DX301" s="101">
        <f>'[1]побудинковий звіт'!DX301</f>
        <v>0</v>
      </c>
      <c r="DY301" s="5">
        <f t="shared" si="310"/>
        <v>170602.42827983448</v>
      </c>
      <c r="DZ301" s="5">
        <f t="shared" si="311"/>
        <v>18541.850945190872</v>
      </c>
      <c r="EA301" s="737">
        <f t="shared" si="312"/>
        <v>75264.780000000013</v>
      </c>
      <c r="EC301" s="577">
        <f t="shared" si="313"/>
        <v>1403059.6208923759</v>
      </c>
      <c r="EE301" s="743">
        <v>91369</v>
      </c>
      <c r="EF301" s="723">
        <f t="shared" si="314"/>
        <v>63388.098353681387</v>
      </c>
      <c r="EH301" s="798">
        <v>224570.27647561417</v>
      </c>
      <c r="EI301" s="101">
        <f>VLOOKUP(A301,'кошти 01.01.24'!$A$9:$D$352,4,FALSE)</f>
        <v>124950.65869678723</v>
      </c>
    </row>
    <row r="302" spans="1:139" hidden="1" x14ac:dyDescent="0.3">
      <c r="A302" s="318">
        <v>150000873</v>
      </c>
      <c r="B302" s="43" t="s">
        <v>768</v>
      </c>
      <c r="C302" s="44" t="s">
        <v>306</v>
      </c>
      <c r="D302" s="44" t="s">
        <v>306</v>
      </c>
      <c r="E302" s="39">
        <f t="shared" si="262"/>
        <v>2608.3199999999997</v>
      </c>
      <c r="F302" s="205">
        <f>'[1]побудинковий звіт'!F302</f>
        <v>2467.7199999999998</v>
      </c>
      <c r="G302" s="29">
        <f>'[1]побудинковий звіт'!G302</f>
        <v>0</v>
      </c>
      <c r="H302" s="148">
        <f>'[1]побудинковий звіт'!H302</f>
        <v>140.6</v>
      </c>
      <c r="I302" s="41">
        <f>'[2]побудинковий звіт'!I302+'[1]побудинковий звіт'!I302</f>
        <v>9413.8433159004289</v>
      </c>
      <c r="J302" s="41">
        <f>'[2]побудинковий звіт'!J302+'[1]побудинковий звіт'!J302</f>
        <v>9676.0777969608389</v>
      </c>
      <c r="K302" s="55">
        <f t="shared" si="263"/>
        <v>262.23448106040996</v>
      </c>
      <c r="L302" s="41">
        <f>'[2]побудинковий звіт'!L302+'[1]побудинковий звіт'!L302</f>
        <v>1767.9435476319513</v>
      </c>
      <c r="M302" s="41">
        <f>'[2]побудинковий звіт'!M302+'[1]побудинковий звіт'!M302</f>
        <v>1855.810933212515</v>
      </c>
      <c r="N302" s="55">
        <f t="shared" si="264"/>
        <v>87.867385580563678</v>
      </c>
      <c r="O302" s="41">
        <f>'[2]побудинковий звіт'!O302+'[1]побудинковий звіт'!O302</f>
        <v>3727.6113706188848</v>
      </c>
      <c r="P302" s="41">
        <f>'[2]побудинковий звіт'!P302+'[1]побудинковий звіт'!P302</f>
        <v>3738.352670826896</v>
      </c>
      <c r="Q302" s="55">
        <f t="shared" si="265"/>
        <v>10.741300208011126</v>
      </c>
      <c r="R302" s="41">
        <f>'[2]побудинковий звіт'!R302+'[1]побудинковий звіт'!R302</f>
        <v>0</v>
      </c>
      <c r="S302" s="41">
        <f>'[2]побудинковий звіт'!S302+'[1]побудинковий звіт'!S302</f>
        <v>0</v>
      </c>
      <c r="T302" s="55">
        <f t="shared" si="266"/>
        <v>0</v>
      </c>
      <c r="U302" s="41">
        <f>'[2]побудинковий звіт'!U302+'[1]побудинковий звіт'!U302</f>
        <v>187.10196558541708</v>
      </c>
      <c r="V302" s="41">
        <f>'[2]побудинковий звіт'!V302+'[1]побудинковий звіт'!V302</f>
        <v>107.9445908639935</v>
      </c>
      <c r="W302" s="55">
        <f t="shared" si="267"/>
        <v>-79.157374721423579</v>
      </c>
      <c r="X302" s="41">
        <f>'[2]побудинковий звіт'!X302+'[1]побудинковий звіт'!X302</f>
        <v>5491.1301379953029</v>
      </c>
      <c r="Y302" s="41">
        <f>'[2]побудинковий звіт'!Y302+'[1]побудинковий звіт'!Y302</f>
        <v>5256.4834002292137</v>
      </c>
      <c r="Z302" s="55">
        <f t="shared" si="268"/>
        <v>-234.64673776608925</v>
      </c>
      <c r="AA302" s="41">
        <f>'[2]побудинковий звіт'!AA302+'[1]побудинковий звіт'!AA302</f>
        <v>0</v>
      </c>
      <c r="AB302" s="41">
        <f>'[2]побудинковий звіт'!AB302+'[1]побудинковий звіт'!AB302</f>
        <v>0</v>
      </c>
      <c r="AC302" s="55">
        <f t="shared" si="269"/>
        <v>0</v>
      </c>
      <c r="AD302" s="41">
        <f>'[2]побудинковий звіт'!AD302+'[1]побудинковий звіт'!AD302</f>
        <v>11317.200723956847</v>
      </c>
      <c r="AE302" s="41">
        <f>'[2]побудинковий звіт'!AE302+'[1]побудинковий звіт'!AE302</f>
        <v>11273.029278010377</v>
      </c>
      <c r="AF302" s="36">
        <f t="shared" si="270"/>
        <v>-44.171445946469248</v>
      </c>
      <c r="AG302" s="84">
        <f t="shared" si="271"/>
        <v>31904.831061688834</v>
      </c>
      <c r="AH302" s="56">
        <f t="shared" si="272"/>
        <v>31907.698670103833</v>
      </c>
      <c r="AI302" s="55">
        <f t="shared" si="273"/>
        <v>2.8676084149992676</v>
      </c>
      <c r="AJ302" s="41">
        <f>'[2]побудинковий звіт'!AJ302+'[1]побудинковий звіт'!AJ302</f>
        <v>0</v>
      </c>
      <c r="AK302" s="41">
        <f>'[2]побудинковий звіт'!AK302+'[1]побудинковий звіт'!AK302</f>
        <v>0</v>
      </c>
      <c r="AL302" s="55">
        <f t="shared" si="274"/>
        <v>0</v>
      </c>
      <c r="AM302" s="41">
        <f>'[2]побудинковий звіт'!AM302+'[1]побудинковий звіт'!AM302</f>
        <v>0</v>
      </c>
      <c r="AN302" s="41">
        <f>'[2]побудинковий звіт'!AN302+'[1]побудинковий звіт'!AN302</f>
        <v>0</v>
      </c>
      <c r="AO302" s="55">
        <f t="shared" si="275"/>
        <v>0</v>
      </c>
      <c r="AP302" s="41">
        <f>'[2]побудинковий звіт'!AP302+'[1]побудинковий звіт'!AP302</f>
        <v>8618.2021032752746</v>
      </c>
      <c r="AQ302" s="41">
        <f>'[2]побудинковий звіт'!AQ302+'[1]побудинковий звіт'!AQ302</f>
        <v>7678.9847942835368</v>
      </c>
      <c r="AR302" s="55">
        <f t="shared" si="276"/>
        <v>-939.21730899173781</v>
      </c>
      <c r="AS302" s="41">
        <f>'[2]побудинковий звіт'!AS302+'[1]побудинковий звіт'!AS302</f>
        <v>30453.416779030427</v>
      </c>
      <c r="AT302" s="41">
        <f>'[2]побудинковий звіт'!AT302+'[1]побудинковий звіт'!AT302</f>
        <v>8602.9557850862566</v>
      </c>
      <c r="AU302" s="57">
        <f t="shared" si="277"/>
        <v>-21850.460993944173</v>
      </c>
      <c r="AV302" s="41">
        <f>'[2]побудинковий звіт'!AV302+'[1]побудинковий звіт'!AV302</f>
        <v>1514.1617059731275</v>
      </c>
      <c r="AW302" s="41">
        <f>'[2]побудинковий звіт'!AW302+'[1]побудинковий звіт'!AW302</f>
        <v>316.54139948112498</v>
      </c>
      <c r="AX302" s="58">
        <f t="shared" si="278"/>
        <v>-1197.6203064920026</v>
      </c>
      <c r="AY302" s="41">
        <f>'[2]побудинковий звіт'!AY302+'[1]побудинковий звіт'!AY302</f>
        <v>2195.9484230397552</v>
      </c>
      <c r="AZ302" s="41">
        <f>'[2]побудинковий звіт'!AZ302+'[1]побудинковий звіт'!AZ302</f>
        <v>0</v>
      </c>
      <c r="BA302" s="36">
        <f t="shared" si="279"/>
        <v>-2195.9484230397552</v>
      </c>
      <c r="BB302" s="41">
        <f>'[2]побудинковий звіт'!BB302+'[1]побудинковий звіт'!BB302</f>
        <v>1954.9191417791574</v>
      </c>
      <c r="BC302" s="41">
        <f>'[2]побудинковий звіт'!BC302+'[1]побудинковий звіт'!BC302</f>
        <v>0</v>
      </c>
      <c r="BD302" s="58">
        <f t="shared" si="280"/>
        <v>-1954.9191417791574</v>
      </c>
      <c r="BE302" s="41">
        <f>'[2]побудинковий звіт'!BE302+'[1]побудинковий звіт'!BE302</f>
        <v>0</v>
      </c>
      <c r="BF302" s="41">
        <f>'[2]побудинковий звіт'!BF302+'[1]побудинковий звіт'!BF302</f>
        <v>0</v>
      </c>
      <c r="BG302" s="38">
        <f t="shared" si="281"/>
        <v>0</v>
      </c>
      <c r="BH302" s="41">
        <f>'[2]побудинковий звіт'!BH302+'[1]побудинковий звіт'!BH302</f>
        <v>110.27308797143304</v>
      </c>
      <c r="BI302" s="41">
        <f>'[2]побудинковий звіт'!BI302+'[1]побудинковий звіт'!BI302</f>
        <v>480.46762398767237</v>
      </c>
      <c r="BJ302" s="58">
        <f t="shared" si="282"/>
        <v>370.19453601623934</v>
      </c>
      <c r="BK302" s="41">
        <f>'[2]побудинковий звіт'!BK302+'[1]побудинковий звіт'!BK302</f>
        <v>926.37453291658198</v>
      </c>
      <c r="BL302" s="41">
        <f>'[2]побудинковий звіт'!BL302+'[1]побудинковий звіт'!BL302</f>
        <v>0</v>
      </c>
      <c r="BM302" s="38">
        <f t="shared" si="283"/>
        <v>-926.37453291658198</v>
      </c>
      <c r="BN302" s="41">
        <f>'[2]побудинковий звіт'!BN302+'[1]побудинковий звіт'!BN302</f>
        <v>119.77397646631468</v>
      </c>
      <c r="BO302" s="41">
        <f>'[2]побудинковий звіт'!BO302+'[1]побудинковий звіт'!BO302</f>
        <v>0</v>
      </c>
      <c r="BP302" s="58">
        <f t="shared" si="284"/>
        <v>-119.77397646631468</v>
      </c>
      <c r="BQ302" s="84">
        <f t="shared" si="285"/>
        <v>6821.4508681463694</v>
      </c>
      <c r="BR302" s="42">
        <f t="shared" si="286"/>
        <v>797.0090234687973</v>
      </c>
      <c r="BS302" s="58">
        <f t="shared" si="287"/>
        <v>-6024.4418446775726</v>
      </c>
      <c r="BT302" s="41">
        <f>'[2]побудинковий звіт'!BT302+'[1]побудинковий звіт'!BT302</f>
        <v>36700.908393579681</v>
      </c>
      <c r="BU302" s="41">
        <f>'[2]побудинковий звіт'!BU302+'[1]побудинковий звіт'!BU302</f>
        <v>52203.661289709606</v>
      </c>
      <c r="BV302" s="55">
        <f t="shared" si="288"/>
        <v>15502.752896129925</v>
      </c>
      <c r="BW302" s="41">
        <f>'[2]побудинковий звіт'!BW302+'[1]побудинковий звіт'!BW302</f>
        <v>13759.117360533379</v>
      </c>
      <c r="BX302" s="41">
        <f>'[2]побудинковий звіт'!BX302+'[1]побудинковий звіт'!BX302</f>
        <v>15637.129559105488</v>
      </c>
      <c r="BY302" s="55">
        <f t="shared" si="289"/>
        <v>1878.0121985721089</v>
      </c>
      <c r="BZ302" s="41">
        <f>'[2]побудинковий звіт'!BZ302+'[1]побудинковий звіт'!BZ302</f>
        <v>9820.9042487033112</v>
      </c>
      <c r="CA302" s="41">
        <f>'[2]побудинковий звіт'!CA302+'[1]побудинковий звіт'!CA302</f>
        <v>4244.6534000891243</v>
      </c>
      <c r="CB302" s="55">
        <f t="shared" si="290"/>
        <v>-5576.2508486141869</v>
      </c>
      <c r="CC302" s="41">
        <f>'[2]побудинковий звіт'!CC302+'[1]побудинковий звіт'!CC302</f>
        <v>708.42656492066669</v>
      </c>
      <c r="CD302" s="41">
        <f>'[2]побудинковий звіт'!CD302+'[1]побудинковий звіт'!CD302</f>
        <v>710.82876038181371</v>
      </c>
      <c r="CE302" s="55">
        <f t="shared" si="291"/>
        <v>2.4021954611470164</v>
      </c>
      <c r="CF302" s="41">
        <f>'[2]побудинковий звіт'!CF302+'[1]побудинковий звіт'!CF302</f>
        <v>87.770285975284153</v>
      </c>
      <c r="CG302" s="41">
        <f>'[2]побудинковий звіт'!CG302+'[1]побудинковий звіт'!CG302</f>
        <v>0</v>
      </c>
      <c r="CH302" s="55">
        <f t="shared" si="292"/>
        <v>-87.770285975284153</v>
      </c>
      <c r="CI302" s="41">
        <f>'[2]побудинковий звіт'!CI302+'[1]побудинковий звіт'!CI302</f>
        <v>6205.574156126424</v>
      </c>
      <c r="CJ302" s="41">
        <f>'[2]побудинковий звіт'!CJ302+'[1]побудинковий звіт'!CJ302</f>
        <v>3759.5023852776048</v>
      </c>
      <c r="CK302" s="55">
        <f t="shared" si="293"/>
        <v>-2446.0717708488191</v>
      </c>
      <c r="CL302" s="41">
        <f>'[2]побудинковий звіт'!CL302+'[1]побудинковий звіт'!CL302</f>
        <v>0</v>
      </c>
      <c r="CM302" s="41">
        <f>'[2]побудинковий звіт'!CM302+'[1]побудинковий звіт'!CM302</f>
        <v>0</v>
      </c>
      <c r="CN302" s="55">
        <f t="shared" si="294"/>
        <v>0</v>
      </c>
      <c r="CO302" s="41">
        <f t="shared" si="295"/>
        <v>6205.574156126424</v>
      </c>
      <c r="CP302" s="42">
        <f t="shared" si="296"/>
        <v>3759.5023852776048</v>
      </c>
      <c r="CQ302" s="55">
        <f t="shared" si="297"/>
        <v>-2446.0717708488191</v>
      </c>
      <c r="CR302" s="76">
        <f t="shared" si="298"/>
        <v>145080.60182197962</v>
      </c>
      <c r="CS302" s="5">
        <f t="shared" si="299"/>
        <v>125542.42366750607</v>
      </c>
      <c r="CT302" s="55">
        <f t="shared" si="300"/>
        <v>-19538.178154473557</v>
      </c>
      <c r="CU302" s="84">
        <f t="shared" si="301"/>
        <v>174096.72218637555</v>
      </c>
      <c r="CV302" s="68">
        <f t="shared" si="302"/>
        <v>150650.90840100727</v>
      </c>
      <c r="CW302" s="36">
        <f t="shared" si="303"/>
        <v>-23445.813785368286</v>
      </c>
      <c r="CX302" s="41">
        <f>'[2]побудинковий звіт'!CX302+'[1]побудинковий звіт'!CX302</f>
        <v>4487.1449377290601</v>
      </c>
      <c r="CY302" s="41">
        <f>'[2]побудинковий звіт'!CY302+'[1]побудинковий звіт'!CY302</f>
        <v>27932.958723097385</v>
      </c>
      <c r="CZ302" s="55">
        <f t="shared" si="304"/>
        <v>23445.813785368326</v>
      </c>
      <c r="DA302" s="254">
        <f>'[1]побудинковий звіт'!DA302</f>
        <v>24470.564432663159</v>
      </c>
      <c r="DB302" s="2">
        <v>2</v>
      </c>
      <c r="DC302" s="702">
        <f>'[1]побудинковий звіт'!DC302</f>
        <v>22798.54</v>
      </c>
      <c r="DD302" s="702">
        <f>'[1]побудинковий звіт'!DD302</f>
        <v>5575.8899999999994</v>
      </c>
      <c r="DE302" s="702">
        <f>'[1]побудинковий звіт'!DE302</f>
        <v>4105.0600000000013</v>
      </c>
      <c r="DF302" s="702">
        <f>'[1]побудинковий звіт'!DF302</f>
        <v>4611.1699999999992</v>
      </c>
      <c r="DG302" s="772">
        <v>51283.973818567873</v>
      </c>
      <c r="DH302" s="746">
        <f t="shared" si="306"/>
        <v>2143006.4054892552</v>
      </c>
      <c r="DI302" s="769"/>
      <c r="DJ302" s="5"/>
      <c r="DK302" s="307">
        <f>VLOOKUP($A302,ціни!$A$4:$G$401,5)</f>
        <v>5.3904882433774226</v>
      </c>
      <c r="DL302" s="307"/>
      <c r="DM302" s="307">
        <f>VLOOKUP($A302,ціни!$A$4:$G$401,7)</f>
        <v>4.8454663973447607</v>
      </c>
      <c r="DN302" s="29">
        <f t="shared" si="315"/>
        <v>13302.215647947332</v>
      </c>
      <c r="DO302" s="29">
        <f t="shared" si="305"/>
        <v>681.27257546667329</v>
      </c>
      <c r="DP302" s="306">
        <f t="shared" si="307"/>
        <v>13983.488223414006</v>
      </c>
      <c r="DQ302" s="101"/>
      <c r="DR302" s="29">
        <f>VLOOKUP(A302,'ДЗ нас '!$A$1:$C$359,2)</f>
        <v>13302.22</v>
      </c>
      <c r="DS302" s="733">
        <f>VLOOKUP(A302,'ДЗ нежит'!$A$1:$D$153,4,0)</f>
        <v>681.28</v>
      </c>
      <c r="DT302" s="29">
        <f t="shared" si="308"/>
        <v>13983.5</v>
      </c>
      <c r="DU302" s="247">
        <f>VLOOKUP(A302,'новий кошторис с 01.06'!$A$4:$AI$399,35)*1.2</f>
        <v>14044.494687384053</v>
      </c>
      <c r="DV302" s="29">
        <f t="shared" si="309"/>
        <v>-60.994687384052668</v>
      </c>
      <c r="DW302" s="1016">
        <f>'[2]побудинковий звіт'!$DW$9+'[1]побудинковий звіт'!DW302</f>
        <v>1062</v>
      </c>
      <c r="DX302" s="101">
        <f>'[1]побудинковий звіт'!DX302</f>
        <v>0</v>
      </c>
      <c r="DY302" s="5">
        <f t="shared" si="310"/>
        <v>44729.841176612157</v>
      </c>
      <c r="DZ302" s="5">
        <f t="shared" si="311"/>
        <v>11279.957770266064</v>
      </c>
      <c r="EA302" s="737">
        <f t="shared" si="312"/>
        <v>8716.23</v>
      </c>
      <c r="EC302" s="577">
        <f t="shared" si="313"/>
        <v>365441.0013483651</v>
      </c>
      <c r="EE302" s="743">
        <v>-30388</v>
      </c>
      <c r="EF302" s="723">
        <f t="shared" si="314"/>
        <v>20895.973818567873</v>
      </c>
      <c r="EH302" s="798">
        <v>80694.894715823772</v>
      </c>
      <c r="EI302" s="101">
        <f>VLOOKUP(A302,'кошти 01.01.24'!$A$9:$D$352,4,FALSE)</f>
        <v>47916.378218031481</v>
      </c>
    </row>
    <row r="303" spans="1:139" hidden="1" x14ac:dyDescent="0.3">
      <c r="A303" s="318">
        <v>150000874</v>
      </c>
      <c r="B303" s="43" t="s">
        <v>769</v>
      </c>
      <c r="C303" s="44" t="s">
        <v>307</v>
      </c>
      <c r="D303" s="44" t="s">
        <v>307</v>
      </c>
      <c r="E303" s="39">
        <f t="shared" si="262"/>
        <v>2600.1999999999998</v>
      </c>
      <c r="F303" s="205">
        <f>'[1]побудинковий звіт'!F303</f>
        <v>2004.8</v>
      </c>
      <c r="G303" s="29">
        <f>'[1]побудинковий звіт'!G303</f>
        <v>0</v>
      </c>
      <c r="H303" s="148">
        <f>'[1]побудинковий звіт'!H303</f>
        <v>595.4</v>
      </c>
      <c r="I303" s="41">
        <f>'[2]побудинковий звіт'!I303+'[1]побудинковий звіт'!I303</f>
        <v>8547.9073769454262</v>
      </c>
      <c r="J303" s="41">
        <f>'[2]побудинковий звіт'!J303+'[1]побудинковий звіт'!J303</f>
        <v>8775.9537671065937</v>
      </c>
      <c r="K303" s="55">
        <f t="shared" si="263"/>
        <v>228.04639016116744</v>
      </c>
      <c r="L303" s="41">
        <f>'[2]побудинковий звіт'!L303+'[1]побудинковий звіт'!L303</f>
        <v>1840.9471188338784</v>
      </c>
      <c r="M303" s="41">
        <f>'[2]побудинковий звіт'!M303+'[1]побудинковий звіт'!M303</f>
        <v>1925.1359661094621</v>
      </c>
      <c r="N303" s="55">
        <f t="shared" si="264"/>
        <v>84.188847275583612</v>
      </c>
      <c r="O303" s="41">
        <f>'[2]побудинковий звіт'!O303+'[1]побудинковий звіт'!O303</f>
        <v>3374.2367131001083</v>
      </c>
      <c r="P303" s="41">
        <f>'[2]побудинковий звіт'!P303+'[1]побудинковий звіт'!P303</f>
        <v>3383.6012769474828</v>
      </c>
      <c r="Q303" s="55">
        <f t="shared" si="265"/>
        <v>9.3645638473744839</v>
      </c>
      <c r="R303" s="41">
        <f>'[2]побудинковий звіт'!R303+'[1]побудинковий звіт'!R303</f>
        <v>765.85658264003871</v>
      </c>
      <c r="S303" s="41">
        <f>'[2]побудинковий звіт'!S303+'[1]побудинковий звіт'!S303</f>
        <v>767.98692909477745</v>
      </c>
      <c r="T303" s="55">
        <f t="shared" si="266"/>
        <v>2.1303464547387421</v>
      </c>
      <c r="U303" s="41">
        <f>'[2]побудинковий звіт'!U303+'[1]побудинковий звіт'!U303</f>
        <v>578.62919910548203</v>
      </c>
      <c r="V303" s="41">
        <f>'[2]побудинковий звіт'!V303+'[1]побудинковий звіт'!V303</f>
        <v>1221.2873529138285</v>
      </c>
      <c r="W303" s="55">
        <f t="shared" si="267"/>
        <v>642.65815380834647</v>
      </c>
      <c r="X303" s="41">
        <f>'[2]побудинковий звіт'!X303+'[1]побудинковий звіт'!X303</f>
        <v>5267.3558082814161</v>
      </c>
      <c r="Y303" s="41">
        <f>'[2]побудинковий звіт'!Y303+'[1]побудинковий звіт'!Y303</f>
        <v>4936.3660544132763</v>
      </c>
      <c r="Z303" s="55">
        <f t="shared" si="268"/>
        <v>-330.98975386813981</v>
      </c>
      <c r="AA303" s="41">
        <f>'[2]побудинковий звіт'!AA303+'[1]побудинковий звіт'!AA303</f>
        <v>0</v>
      </c>
      <c r="AB303" s="41">
        <f>'[2]побудинковий звіт'!AB303+'[1]побудинковий звіт'!AB303</f>
        <v>0</v>
      </c>
      <c r="AC303" s="55">
        <f t="shared" si="269"/>
        <v>0</v>
      </c>
      <c r="AD303" s="41">
        <f>'[2]побудинковий звіт'!AD303+'[1]побудинковий звіт'!AD303</f>
        <v>11346.616643918267</v>
      </c>
      <c r="AE303" s="41">
        <f>'[2]побудинковий звіт'!AE303+'[1]побудинковий звіт'!AE303</f>
        <v>11006.437295291727</v>
      </c>
      <c r="AF303" s="36">
        <f t="shared" si="270"/>
        <v>-340.17934862653965</v>
      </c>
      <c r="AG303" s="84">
        <f t="shared" si="271"/>
        <v>31721.54944282462</v>
      </c>
      <c r="AH303" s="56">
        <f t="shared" si="272"/>
        <v>32016.768641877148</v>
      </c>
      <c r="AI303" s="55">
        <f t="shared" si="273"/>
        <v>295.21919905252798</v>
      </c>
      <c r="AJ303" s="41">
        <f>'[2]побудинковий звіт'!AJ303+'[1]побудинковий звіт'!AJ303</f>
        <v>0</v>
      </c>
      <c r="AK303" s="41">
        <f>'[2]побудинковий звіт'!AK303+'[1]побудинковий звіт'!AK303</f>
        <v>0</v>
      </c>
      <c r="AL303" s="55">
        <f t="shared" si="274"/>
        <v>0</v>
      </c>
      <c r="AM303" s="41">
        <f>'[2]побудинковий звіт'!AM303+'[1]побудинковий звіт'!AM303</f>
        <v>0</v>
      </c>
      <c r="AN303" s="41">
        <f>'[2]побудинковий звіт'!AN303+'[1]побудинковий звіт'!AN303</f>
        <v>0</v>
      </c>
      <c r="AO303" s="55">
        <f t="shared" si="275"/>
        <v>0</v>
      </c>
      <c r="AP303" s="41">
        <f>'[2]побудинковий звіт'!AP303+'[1]побудинковий звіт'!AP303</f>
        <v>1981.1958858104076</v>
      </c>
      <c r="AQ303" s="41">
        <f>'[2]побудинковий звіт'!AQ303+'[1]побудинковий звіт'!AQ303</f>
        <v>2280</v>
      </c>
      <c r="AR303" s="55">
        <f t="shared" si="276"/>
        <v>298.80411418959238</v>
      </c>
      <c r="AS303" s="41">
        <f>'[2]побудинковий звіт'!AS303+'[1]побудинковий звіт'!AS303</f>
        <v>31240.732627112673</v>
      </c>
      <c r="AT303" s="41">
        <f>'[2]побудинковий звіт'!AT303+'[1]побудинковий звіт'!AT303</f>
        <v>2005.206352052352</v>
      </c>
      <c r="AU303" s="57">
        <f t="shared" si="277"/>
        <v>-29235.526275060321</v>
      </c>
      <c r="AV303" s="41">
        <f>'[2]побудинковий звіт'!AV303+'[1]побудинковий звіт'!AV303</f>
        <v>1453.1326012459865</v>
      </c>
      <c r="AW303" s="41">
        <f>'[2]побудинковий звіт'!AW303+'[1]побудинковий звіт'!AW303</f>
        <v>0</v>
      </c>
      <c r="AX303" s="58">
        <f t="shared" si="278"/>
        <v>-1453.1326012459865</v>
      </c>
      <c r="AY303" s="41">
        <f>'[2]побудинковий звіт'!AY303+'[1]побудинковий звіт'!AY303</f>
        <v>2400.2126865909804</v>
      </c>
      <c r="AZ303" s="41">
        <f>'[2]побудинковий звіт'!AZ303+'[1]побудинковий звіт'!AZ303</f>
        <v>396.50086280071275</v>
      </c>
      <c r="BA303" s="36">
        <f t="shared" si="279"/>
        <v>-2003.7118237902678</v>
      </c>
      <c r="BB303" s="41">
        <f>'[2]побудинковий звіт'!BB303+'[1]побудинковий звіт'!BB303</f>
        <v>1700.8915319535449</v>
      </c>
      <c r="BC303" s="41">
        <f>'[2]побудинковий звіт'!BC303+'[1]побудинковий звіт'!BC303</f>
        <v>0</v>
      </c>
      <c r="BD303" s="58">
        <f t="shared" si="280"/>
        <v>-1700.8915319535449</v>
      </c>
      <c r="BE303" s="41">
        <f>'[2]побудинковий звіт'!BE303+'[1]побудинковий звіт'!BE303</f>
        <v>721.77638384068325</v>
      </c>
      <c r="BF303" s="41">
        <f>'[2]побудинковий звіт'!BF303+'[1]побудинковий звіт'!BF303</f>
        <v>0</v>
      </c>
      <c r="BG303" s="38">
        <f t="shared" si="281"/>
        <v>-721.77638384068325</v>
      </c>
      <c r="BH303" s="41">
        <f>'[2]побудинковий звіт'!BH303+'[1]побудинковий звіт'!BH303</f>
        <v>531.49095523425171</v>
      </c>
      <c r="BI303" s="41">
        <f>'[2]побудинковий звіт'!BI303+'[1]побудинковий звіт'!BI303</f>
        <v>0</v>
      </c>
      <c r="BJ303" s="58">
        <f t="shared" si="282"/>
        <v>-531.49095523425171</v>
      </c>
      <c r="BK303" s="41">
        <f>'[2]побудинковий звіт'!BK303+'[1]побудинковий звіт'!BK303</f>
        <v>781.16176640219169</v>
      </c>
      <c r="BL303" s="41">
        <f>'[2]побудинковий звіт'!BL303+'[1]побудинковий звіт'!BL303</f>
        <v>0</v>
      </c>
      <c r="BM303" s="38">
        <f t="shared" si="283"/>
        <v>-781.16176640219169</v>
      </c>
      <c r="BN303" s="41">
        <f>'[2]побудинковий звіт'!BN303+'[1]побудинковий звіт'!BN303</f>
        <v>62.64762467344957</v>
      </c>
      <c r="BO303" s="41">
        <f>'[2]побудинковий звіт'!BO303+'[1]побудинковий звіт'!BO303</f>
        <v>0</v>
      </c>
      <c r="BP303" s="58">
        <f t="shared" si="284"/>
        <v>-62.64762467344957</v>
      </c>
      <c r="BQ303" s="84">
        <f t="shared" si="285"/>
        <v>7651.3135499410882</v>
      </c>
      <c r="BR303" s="42">
        <f t="shared" si="286"/>
        <v>396.50086280071275</v>
      </c>
      <c r="BS303" s="58">
        <f t="shared" si="287"/>
        <v>-7254.8126871403756</v>
      </c>
      <c r="BT303" s="41">
        <f>'[2]побудинковий звіт'!BT303+'[1]побудинковий звіт'!BT303</f>
        <v>50302.208618019184</v>
      </c>
      <c r="BU303" s="41">
        <f>'[2]побудинковий звіт'!BU303+'[1]побудинковий звіт'!BU303</f>
        <v>68693.292055939834</v>
      </c>
      <c r="BV303" s="55">
        <f t="shared" si="288"/>
        <v>18391.08343792065</v>
      </c>
      <c r="BW303" s="41">
        <f>'[2]побудинковий звіт'!BW303+'[1]побудинковий звіт'!BW303</f>
        <v>18490.463891088719</v>
      </c>
      <c r="BX303" s="41">
        <f>'[2]побудинковий звіт'!BX303+'[1]побудинковий звіт'!BX303</f>
        <v>20217.965321521053</v>
      </c>
      <c r="BY303" s="55">
        <f t="shared" si="289"/>
        <v>1727.501430432334</v>
      </c>
      <c r="BZ303" s="41">
        <f>'[2]побудинковий звіт'!BZ303+'[1]побудинковий звіт'!BZ303</f>
        <v>15107.854813062626</v>
      </c>
      <c r="CA303" s="41">
        <f>'[2]побудинковий звіт'!CA303+'[1]побудинковий звіт'!CA303</f>
        <v>5663.8395101891192</v>
      </c>
      <c r="CB303" s="55">
        <f t="shared" si="290"/>
        <v>-9444.0153028735076</v>
      </c>
      <c r="CC303" s="41">
        <f>'[2]побудинковий звіт'!CC303+'[1]побудинковий звіт'!CC303</f>
        <v>366.42753357965501</v>
      </c>
      <c r="CD303" s="41">
        <f>'[2]побудинковий звіт'!CD303+'[1]побудинковий звіт'!CD303</f>
        <v>367.67004847335193</v>
      </c>
      <c r="CE303" s="55">
        <f t="shared" si="291"/>
        <v>1.2425148936969208</v>
      </c>
      <c r="CF303" s="41">
        <f>'[2]побудинковий звіт'!CF303+'[1]побудинковий звіт'!CF303</f>
        <v>45.398423780319391</v>
      </c>
      <c r="CG303" s="41">
        <f>'[2]побудинковий звіт'!CG303+'[1]побудинковий звіт'!CG303</f>
        <v>0</v>
      </c>
      <c r="CH303" s="55">
        <f t="shared" si="292"/>
        <v>-45.398423780319391</v>
      </c>
      <c r="CI303" s="41">
        <f>'[2]побудинковий звіт'!CI303+'[1]побудинковий звіт'!CI303</f>
        <v>5291.4234966709218</v>
      </c>
      <c r="CJ303" s="41">
        <f>'[2]побудинковий звіт'!CJ303+'[1]побудинковий звіт'!CJ303</f>
        <v>5207.9352235117231</v>
      </c>
      <c r="CK303" s="55">
        <f t="shared" si="293"/>
        <v>-83.488273159198798</v>
      </c>
      <c r="CL303" s="41">
        <f>'[2]побудинковий звіт'!CL303+'[1]побудинковий звіт'!CL303</f>
        <v>0</v>
      </c>
      <c r="CM303" s="41">
        <f>'[2]побудинковий звіт'!CM303+'[1]побудинковий звіт'!CM303</f>
        <v>0</v>
      </c>
      <c r="CN303" s="55">
        <f t="shared" si="294"/>
        <v>0</v>
      </c>
      <c r="CO303" s="41">
        <f t="shared" si="295"/>
        <v>5291.4234966709218</v>
      </c>
      <c r="CP303" s="42">
        <f t="shared" si="296"/>
        <v>5207.9352235117231</v>
      </c>
      <c r="CQ303" s="55">
        <f t="shared" si="297"/>
        <v>-83.488273159198798</v>
      </c>
      <c r="CR303" s="76">
        <f t="shared" si="298"/>
        <v>162198.56828189018</v>
      </c>
      <c r="CS303" s="5">
        <f t="shared" si="299"/>
        <v>136849.17801636527</v>
      </c>
      <c r="CT303" s="55">
        <f t="shared" si="300"/>
        <v>-25349.390265524911</v>
      </c>
      <c r="CU303" s="84">
        <f t="shared" si="301"/>
        <v>194638.28193826822</v>
      </c>
      <c r="CV303" s="68">
        <f t="shared" si="302"/>
        <v>164219.01361963831</v>
      </c>
      <c r="CW303" s="36">
        <f t="shared" si="303"/>
        <v>-30419.268318629911</v>
      </c>
      <c r="CX303" s="41">
        <f>'[2]побудинковий звіт'!CX303+'[1]побудинковий звіт'!CX303</f>
        <v>3675.6040875058807</v>
      </c>
      <c r="CY303" s="41">
        <f>'[2]побудинковий звіт'!CY303+'[1]побудинковий звіт'!CY303</f>
        <v>34094.872406135786</v>
      </c>
      <c r="CZ303" s="55">
        <f t="shared" si="304"/>
        <v>30419.268318629904</v>
      </c>
      <c r="DA303" s="254">
        <f>'[1]побудинковий звіт'!DA303</f>
        <v>100775.81157737217</v>
      </c>
      <c r="DB303" s="2">
        <v>2</v>
      </c>
      <c r="DC303" s="702">
        <f>'[1]побудинковий звіт'!DC303</f>
        <v>49438.98</v>
      </c>
      <c r="DD303" s="702">
        <f>'[1]побудинковий звіт'!DD303</f>
        <v>5259.9</v>
      </c>
      <c r="DE303" s="702">
        <f>'[1]побудинковий звіт'!DE303</f>
        <v>32050.550000000003</v>
      </c>
      <c r="DF303" s="702">
        <f>'[1]побудинковий звіт'!DF303</f>
        <v>780.6299999999992</v>
      </c>
      <c r="DG303" s="772">
        <v>37529.32248703076</v>
      </c>
      <c r="DH303" s="746">
        <f t="shared" si="306"/>
        <v>2379766.6323092892</v>
      </c>
      <c r="DI303" s="769"/>
      <c r="DJ303" s="5"/>
      <c r="DK303" s="307">
        <f>VLOOKUP($A303,ціни!$A$4:$G$401,5)</f>
        <v>6.1917479549284433</v>
      </c>
      <c r="DL303" s="307"/>
      <c r="DM303" s="307">
        <f>VLOOKUP($A303,ціни!$A$4:$G$401,7)</f>
        <v>5.2842236348845537</v>
      </c>
      <c r="DN303" s="29">
        <f t="shared" si="315"/>
        <v>12413.216300040544</v>
      </c>
      <c r="DO303" s="29">
        <f t="shared" si="305"/>
        <v>3146.2267522102634</v>
      </c>
      <c r="DP303" s="306">
        <f t="shared" si="307"/>
        <v>15559.443052250806</v>
      </c>
      <c r="DQ303" s="101"/>
      <c r="DR303" s="29">
        <f>VLOOKUP(A303,'ДЗ нас '!$A$1:$C$359,2)</f>
        <v>12413.1</v>
      </c>
      <c r="DS303" s="733">
        <f>VLOOKUP(A303,'ДЗ нежит'!$A$1:$D$153,4,0)</f>
        <v>3146.2200000000003</v>
      </c>
      <c r="DT303" s="29">
        <f t="shared" si="308"/>
        <v>15559.32</v>
      </c>
      <c r="DU303" s="247">
        <f>VLOOKUP(A303,'новий кошторис с 01.06'!$A$4:$AI$399,35)*1.2</f>
        <v>15721.784946122894</v>
      </c>
      <c r="DV303" s="29">
        <f t="shared" si="309"/>
        <v>-162.46494612289462</v>
      </c>
      <c r="DW303" s="1016">
        <f>'[2]побудинковий звіт'!$DW$9+'[1]побудинковий звіт'!DW303</f>
        <v>1062</v>
      </c>
      <c r="DX303" s="101">
        <f>'[1]побудинковий звіт'!DX303</f>
        <v>0</v>
      </c>
      <c r="DY303" s="5">
        <f t="shared" si="310"/>
        <v>46670.455412464507</v>
      </c>
      <c r="DZ303" s="5">
        <f t="shared" si="311"/>
        <v>2882.0486578236773</v>
      </c>
      <c r="EA303" s="737">
        <f t="shared" si="312"/>
        <v>32831.18</v>
      </c>
      <c r="EC303" s="577">
        <f t="shared" si="313"/>
        <v>374888.79152535205</v>
      </c>
      <c r="EE303" s="743">
        <v>883</v>
      </c>
      <c r="EF303" s="723">
        <f t="shared" si="314"/>
        <v>38412.32248703076</v>
      </c>
      <c r="EH303" s="798">
        <v>136751.61286864188</v>
      </c>
      <c r="EI303" s="101">
        <f>VLOOKUP(A303,'кошти 01.01.24'!$A$9:$D$352,4,FALSE)</f>
        <v>131195.07989600205</v>
      </c>
    </row>
    <row r="304" spans="1:139" hidden="1" x14ac:dyDescent="0.3">
      <c r="A304" s="318">
        <v>150000866</v>
      </c>
      <c r="B304" s="43" t="s">
        <v>770</v>
      </c>
      <c r="C304" s="44" t="s">
        <v>308</v>
      </c>
      <c r="D304" s="44" t="s">
        <v>308</v>
      </c>
      <c r="E304" s="39">
        <f t="shared" si="262"/>
        <v>5026.91</v>
      </c>
      <c r="F304" s="205">
        <f>'[1]побудинковий звіт'!F304</f>
        <v>3835.21</v>
      </c>
      <c r="G304" s="29">
        <f>'[1]побудинковий звіт'!G304</f>
        <v>0</v>
      </c>
      <c r="H304" s="148">
        <f>'[1]побудинковий звіт'!H304</f>
        <v>1191.7</v>
      </c>
      <c r="I304" s="41">
        <f>'[2]побудинковий звіт'!I304+'[1]побудинковий звіт'!I304</f>
        <v>18382.131026275842</v>
      </c>
      <c r="J304" s="41">
        <f>'[2]побудинковий звіт'!J304+'[1]побудинковий звіт'!J304</f>
        <v>14414.860023222682</v>
      </c>
      <c r="K304" s="55">
        <f t="shared" si="263"/>
        <v>-3967.2710030531598</v>
      </c>
      <c r="L304" s="41">
        <f>'[2]побудинковий звіт'!L304+'[1]побудинковий звіт'!L304</f>
        <v>3661.4141941543235</v>
      </c>
      <c r="M304" s="41">
        <f>'[2]побудинковий звіт'!M304+'[1]побудинковий звіт'!M304</f>
        <v>3199.1486469257425</v>
      </c>
      <c r="N304" s="55">
        <f t="shared" si="264"/>
        <v>-462.265547228581</v>
      </c>
      <c r="O304" s="41">
        <f>'[2]побудинковий звіт'!O304+'[1]побудинковий звіт'!O304</f>
        <v>8062.0109589062704</v>
      </c>
      <c r="P304" s="41">
        <f>'[2]побудинковий звіт'!P304+'[1]побудинковий звіт'!P304</f>
        <v>8084.8325883223897</v>
      </c>
      <c r="Q304" s="55">
        <f t="shared" si="265"/>
        <v>22.821629416119322</v>
      </c>
      <c r="R304" s="41">
        <f>'[2]побудинковий звіт'!R304+'[1]побудинковий звіт'!R304</f>
        <v>0</v>
      </c>
      <c r="S304" s="41">
        <f>'[2]побудинковий звіт'!S304+'[1]побудинковий звіт'!S304</f>
        <v>0</v>
      </c>
      <c r="T304" s="55">
        <f t="shared" si="266"/>
        <v>0</v>
      </c>
      <c r="U304" s="41">
        <f>'[2]побудинковий звіт'!U304+'[1]побудинковий звіт'!U304</f>
        <v>327.4284397744799</v>
      </c>
      <c r="V304" s="41">
        <f>'[2]побудинковий звіт'!V304+'[1]побудинковий звіт'!V304</f>
        <v>188.90303401198861</v>
      </c>
      <c r="W304" s="55">
        <f t="shared" si="267"/>
        <v>-138.52540576249129</v>
      </c>
      <c r="X304" s="41">
        <f>'[2]побудинковий звіт'!X304+'[1]побудинковий звіт'!X304</f>
        <v>14729.064640838118</v>
      </c>
      <c r="Y304" s="41">
        <f>'[2]побудинковий звіт'!Y304+'[1]побудинковий звіт'!Y304</f>
        <v>12811.247936526457</v>
      </c>
      <c r="Z304" s="55">
        <f t="shared" si="268"/>
        <v>-1917.8167043116609</v>
      </c>
      <c r="AA304" s="41">
        <f>'[2]побудинковий звіт'!AA304+'[1]побудинковий звіт'!AA304</f>
        <v>0</v>
      </c>
      <c r="AB304" s="41">
        <f>'[2]побудинковий звіт'!AB304+'[1]побудинковий звіт'!AB304</f>
        <v>0</v>
      </c>
      <c r="AC304" s="55">
        <f t="shared" si="269"/>
        <v>0</v>
      </c>
      <c r="AD304" s="41">
        <f>'[2]побудинковий звіт'!AD304+'[1]побудинковий звіт'!AD304</f>
        <v>21801.802372127779</v>
      </c>
      <c r="AE304" s="41">
        <f>'[2]побудинковий звіт'!AE304+'[1]побудинковий звіт'!AE304</f>
        <v>21717.065299342546</v>
      </c>
      <c r="AF304" s="36">
        <f t="shared" si="270"/>
        <v>-84.737072785232158</v>
      </c>
      <c r="AG304" s="84">
        <f t="shared" si="271"/>
        <v>66963.85163207681</v>
      </c>
      <c r="AH304" s="56">
        <f t="shared" si="272"/>
        <v>60416.057528351805</v>
      </c>
      <c r="AI304" s="55">
        <f t="shared" si="273"/>
        <v>-6547.7941037250057</v>
      </c>
      <c r="AJ304" s="41">
        <f>'[2]побудинковий звіт'!AJ304+'[1]побудинковий звіт'!AJ304</f>
        <v>0</v>
      </c>
      <c r="AK304" s="41">
        <f>'[2]побудинковий звіт'!AK304+'[1]побудинковий звіт'!AK304</f>
        <v>0</v>
      </c>
      <c r="AL304" s="55">
        <f t="shared" si="274"/>
        <v>0</v>
      </c>
      <c r="AM304" s="41">
        <f>'[2]побудинковий звіт'!AM304+'[1]побудинковий звіт'!AM304</f>
        <v>0</v>
      </c>
      <c r="AN304" s="41">
        <f>'[2]побудинковий звіт'!AN304+'[1]побудинковий звіт'!AN304</f>
        <v>0</v>
      </c>
      <c r="AO304" s="55">
        <f t="shared" si="275"/>
        <v>0</v>
      </c>
      <c r="AP304" s="41">
        <f>'[2]побудинковий звіт'!AP304+'[1]побудинковий звіт'!AP304</f>
        <v>13670.251612091815</v>
      </c>
      <c r="AQ304" s="41">
        <f>'[2]побудинковий звіт'!AQ304+'[1]побудинковий звіт'!AQ304</f>
        <v>14186.921333056664</v>
      </c>
      <c r="AR304" s="55">
        <f t="shared" si="276"/>
        <v>516.66972096484824</v>
      </c>
      <c r="AS304" s="41">
        <f>'[2]побудинковий звіт'!AS304+'[1]побудинковий звіт'!AS304</f>
        <v>58721.655607942754</v>
      </c>
      <c r="AT304" s="41">
        <f>'[2]побудинковий звіт'!AT304+'[1]побудинковий звіт'!AT304</f>
        <v>78327.2662789881</v>
      </c>
      <c r="AU304" s="57">
        <f t="shared" si="277"/>
        <v>19605.610671045346</v>
      </c>
      <c r="AV304" s="41">
        <f>'[2]побудинковий звіт'!AV304+'[1]побудинковий звіт'!AV304</f>
        <v>3272.0302630028596</v>
      </c>
      <c r="AW304" s="41">
        <f>'[2]побудинковий звіт'!AW304+'[1]побудинковий звіт'!AW304</f>
        <v>355.06420370318943</v>
      </c>
      <c r="AX304" s="58">
        <f t="shared" si="278"/>
        <v>-2916.9660592996702</v>
      </c>
      <c r="AY304" s="41">
        <f>'[2]побудинковий звіт'!AY304+'[1]побудинковий звіт'!AY304</f>
        <v>4231.0094990698562</v>
      </c>
      <c r="AZ304" s="41">
        <f>'[2]побудинковий звіт'!AZ304+'[1]побудинковий звіт'!AZ304</f>
        <v>0</v>
      </c>
      <c r="BA304" s="36">
        <f t="shared" si="279"/>
        <v>-4231.0094990698562</v>
      </c>
      <c r="BB304" s="41">
        <f>'[2]побудинковий звіт'!BB304+'[1]побудинковий звіт'!BB304</f>
        <v>3043.3331173295569</v>
      </c>
      <c r="BC304" s="41">
        <f>'[2]побудинковий звіт'!BC304+'[1]побудинковий звіт'!BC304</f>
        <v>0</v>
      </c>
      <c r="BD304" s="58">
        <f t="shared" si="280"/>
        <v>-3043.3331173295569</v>
      </c>
      <c r="BE304" s="41">
        <f>'[2]побудинковий звіт'!BE304+'[1]побудинковий звіт'!BE304</f>
        <v>0</v>
      </c>
      <c r="BF304" s="41">
        <f>'[2]побудинковий звіт'!BF304+'[1]побудинковий звіт'!BF304</f>
        <v>0</v>
      </c>
      <c r="BG304" s="38">
        <f t="shared" si="281"/>
        <v>0</v>
      </c>
      <c r="BH304" s="41">
        <f>'[2]побудинковий звіт'!BH304+'[1]побудинковий звіт'!BH304</f>
        <v>192.97790395000783</v>
      </c>
      <c r="BI304" s="41">
        <f>'[2]побудинковий звіт'!BI304+'[1]побудинковий звіт'!BI304</f>
        <v>2239.8044883595703</v>
      </c>
      <c r="BJ304" s="58">
        <f t="shared" si="282"/>
        <v>2046.8265844095624</v>
      </c>
      <c r="BK304" s="41">
        <f>'[2]побудинковий звіт'!BK304+'[1]побудинковий звіт'!BK304</f>
        <v>2697.2481665486489</v>
      </c>
      <c r="BL304" s="41">
        <f>'[2]побудинковий звіт'!BL304+'[1]побудинковий звіт'!BL304</f>
        <v>0</v>
      </c>
      <c r="BM304" s="38">
        <f t="shared" si="283"/>
        <v>-2697.2481665486489</v>
      </c>
      <c r="BN304" s="41">
        <f>'[2]побудинковий звіт'!BN304+'[1]побудинковий звіт'!BN304</f>
        <v>1268.6784788977948</v>
      </c>
      <c r="BO304" s="41">
        <f>'[2]побудинковий звіт'!BO304+'[1]побудинковий звіт'!BO304</f>
        <v>7232.0058500227551</v>
      </c>
      <c r="BP304" s="58">
        <f t="shared" si="284"/>
        <v>5963.3273711249603</v>
      </c>
      <c r="BQ304" s="84">
        <f t="shared" si="285"/>
        <v>14705.277428798725</v>
      </c>
      <c r="BR304" s="42">
        <f t="shared" si="286"/>
        <v>9826.8745420855157</v>
      </c>
      <c r="BS304" s="58">
        <f t="shared" si="287"/>
        <v>-4878.4028867132092</v>
      </c>
      <c r="BT304" s="41">
        <f>'[2]побудинковий звіт'!BT304+'[1]побудинковий звіт'!BT304</f>
        <v>47689.178054048236</v>
      </c>
      <c r="BU304" s="41">
        <f>'[2]побудинковий звіт'!BU304+'[1]побудинковий звіт'!BU304</f>
        <v>86272.9132781152</v>
      </c>
      <c r="BV304" s="55">
        <f t="shared" si="288"/>
        <v>38583.735224066964</v>
      </c>
      <c r="BW304" s="41">
        <f>'[2]побудинковий звіт'!BW304+'[1]побудинковий звіт'!BW304</f>
        <v>25837.742579089805</v>
      </c>
      <c r="BX304" s="41">
        <f>'[2]побудинковий звіт'!BX304+'[1]побудинковий звіт'!BX304</f>
        <v>29845.089012853394</v>
      </c>
      <c r="BY304" s="55">
        <f t="shared" si="289"/>
        <v>4007.3464337635887</v>
      </c>
      <c r="BZ304" s="41">
        <f>'[2]побудинковий звіт'!BZ304+'[1]побудинковий звіт'!BZ304</f>
        <v>23460.387734966997</v>
      </c>
      <c r="CA304" s="41">
        <f>'[2]побудинковий звіт'!CA304+'[1]побудинковий звіт'!CA304</f>
        <v>7075.8813533958491</v>
      </c>
      <c r="CB304" s="55">
        <f t="shared" si="290"/>
        <v>-16384.506381571147</v>
      </c>
      <c r="CC304" s="41">
        <f>'[2]побудинковий звіт'!CC304+'[1]побудинковий звіт'!CC304</f>
        <v>97.714008954574695</v>
      </c>
      <c r="CD304" s="41">
        <f>'[2]побудинковий звіт'!CD304+'[1]побудинковий звіт'!CD304</f>
        <v>98.045346259560532</v>
      </c>
      <c r="CE304" s="55">
        <f t="shared" si="291"/>
        <v>0.33133730498583702</v>
      </c>
      <c r="CF304" s="41">
        <f>'[2]побудинковий звіт'!CF304+'[1]побудинковий звіт'!CF304</f>
        <v>12.106246341418503</v>
      </c>
      <c r="CG304" s="41">
        <f>'[2]побудинковий звіт'!CG304+'[1]побудинковий звіт'!CG304</f>
        <v>0</v>
      </c>
      <c r="CH304" s="55">
        <f t="shared" si="292"/>
        <v>-12.106246341418503</v>
      </c>
      <c r="CI304" s="41">
        <f>'[2]побудинковий звіт'!CI304+'[1]побудинковий звіт'!CI304</f>
        <v>10595.839980073833</v>
      </c>
      <c r="CJ304" s="41">
        <f>'[2]побудинковий звіт'!CJ304+'[1]побудинковий звіт'!CJ304</f>
        <v>3786.4840728257586</v>
      </c>
      <c r="CK304" s="55">
        <f t="shared" si="293"/>
        <v>-6809.3559072480748</v>
      </c>
      <c r="CL304" s="41">
        <f>'[2]побудинковий звіт'!CL304+'[1]побудинковий звіт'!CL304</f>
        <v>0</v>
      </c>
      <c r="CM304" s="41">
        <f>'[2]побудинковий звіт'!CM304+'[1]побудинковий звіт'!CM304</f>
        <v>0</v>
      </c>
      <c r="CN304" s="55">
        <f t="shared" si="294"/>
        <v>0</v>
      </c>
      <c r="CO304" s="41">
        <f t="shared" si="295"/>
        <v>10595.839980073833</v>
      </c>
      <c r="CP304" s="42">
        <f t="shared" si="296"/>
        <v>3786.4840728257586</v>
      </c>
      <c r="CQ304" s="55">
        <f t="shared" si="297"/>
        <v>-6809.3559072480748</v>
      </c>
      <c r="CR304" s="76">
        <f t="shared" si="298"/>
        <v>261754.00488438498</v>
      </c>
      <c r="CS304" s="5">
        <f t="shared" si="299"/>
        <v>289835.53274593188</v>
      </c>
      <c r="CT304" s="55">
        <f t="shared" si="300"/>
        <v>28081.5278615469</v>
      </c>
      <c r="CU304" s="84">
        <f t="shared" si="301"/>
        <v>314104.80586126196</v>
      </c>
      <c r="CV304" s="68">
        <f t="shared" si="302"/>
        <v>347802.63929511822</v>
      </c>
      <c r="CW304" s="36">
        <f t="shared" si="303"/>
        <v>33697.833433856256</v>
      </c>
      <c r="CX304" s="41">
        <f>'[2]побудинковий звіт'!CX304+'[1]побудинковий звіт'!CX304</f>
        <v>8228.4932326527924</v>
      </c>
      <c r="CY304" s="41">
        <f>'[2]побудинковий звіт'!CY304+'[1]побудинковий звіт'!CY304</f>
        <v>-25469.340201203406</v>
      </c>
      <c r="CZ304" s="55">
        <f t="shared" si="304"/>
        <v>-33697.833433856198</v>
      </c>
      <c r="DA304" s="254">
        <f>'[1]побудинковий звіт'!DA304</f>
        <v>6550.1865785155678</v>
      </c>
      <c r="DB304" s="2">
        <v>1</v>
      </c>
      <c r="DC304" s="702">
        <f>'[1]побудинковий звіт'!DC304</f>
        <v>114306.56</v>
      </c>
      <c r="DD304" s="702">
        <f>'[1]побудинковий звіт'!DD304</f>
        <v>-174.39000000000001</v>
      </c>
      <c r="DE304" s="702">
        <f>'[1]побудинковий звіт'!DE304</f>
        <v>86455.66</v>
      </c>
      <c r="DF304" s="702">
        <f>'[1]побудинковий звіт'!DF304</f>
        <v>-7743.3499999999995</v>
      </c>
      <c r="DG304" s="772">
        <v>-8551.5727795786224</v>
      </c>
      <c r="DH304" s="746">
        <f t="shared" si="306"/>
        <v>3867999.5891269771</v>
      </c>
      <c r="DI304" s="769"/>
      <c r="DJ304" s="5"/>
      <c r="DK304" s="307">
        <f>VLOOKUP($A304,ціни!$A$4:$G$401,5)</f>
        <v>5.1772511448632956</v>
      </c>
      <c r="DL304" s="307"/>
      <c r="DM304" s="307">
        <f>VLOOKUP($A304,ціни!$A$4:$G$401,7)</f>
        <v>4.527127533153835</v>
      </c>
      <c r="DN304" s="29">
        <f t="shared" si="315"/>
        <v>19855.845363291159</v>
      </c>
      <c r="DO304" s="29">
        <f t="shared" si="305"/>
        <v>5394.977881259425</v>
      </c>
      <c r="DP304" s="306">
        <f t="shared" si="307"/>
        <v>25250.823244550586</v>
      </c>
      <c r="DQ304" s="101"/>
      <c r="DR304" s="29">
        <f>VLOOKUP(A304,'ДЗ нас '!$A$1:$C$359,2)</f>
        <v>19856.080000000002</v>
      </c>
      <c r="DS304" s="733">
        <f>VLOOKUP(A304,'ДЗ нежит'!$A$1:$D$153,4,0)</f>
        <v>5394.9400000000005</v>
      </c>
      <c r="DT304" s="29">
        <f t="shared" si="308"/>
        <v>25251.020000000004</v>
      </c>
      <c r="DU304" s="247">
        <f>VLOOKUP(A304,'новий кошторис с 01.06'!$A$4:$AI$399,35)*1.2</f>
        <v>25347.715083626608</v>
      </c>
      <c r="DV304" s="29">
        <f t="shared" si="309"/>
        <v>-96.695083626604173</v>
      </c>
      <c r="DW304" s="1016">
        <f>'[2]побудинковий звіт'!$DW$9+'[1]побудинковий звіт'!DW304</f>
        <v>918</v>
      </c>
      <c r="DX304" s="101">
        <f>'[1]побудинковий звіт'!DX304</f>
        <v>0</v>
      </c>
      <c r="DY304" s="5">
        <f t="shared" si="310"/>
        <v>88112.319644089774</v>
      </c>
      <c r="DZ304" s="5">
        <f t="shared" si="311"/>
        <v>105784.96898528833</v>
      </c>
      <c r="EA304" s="737">
        <f t="shared" si="312"/>
        <v>78712.31</v>
      </c>
      <c r="EC304" s="577">
        <f t="shared" si="313"/>
        <v>704659.86729531304</v>
      </c>
      <c r="EE304" s="743">
        <v>-2700</v>
      </c>
      <c r="EF304" s="723">
        <f t="shared" si="314"/>
        <v>-11251.572779578622</v>
      </c>
      <c r="EH304" s="798">
        <v>-249.10537684600968</v>
      </c>
      <c r="EI304" s="101">
        <f>VLOOKUP(A304,'кошти 01.01.24'!$A$9:$D$352,4,FALSE)</f>
        <v>-27147.646855340652</v>
      </c>
    </row>
    <row r="305" spans="1:139" hidden="1" x14ac:dyDescent="0.3">
      <c r="A305" s="318">
        <v>150000867</v>
      </c>
      <c r="B305" s="43" t="s">
        <v>771</v>
      </c>
      <c r="C305" s="44" t="s">
        <v>309</v>
      </c>
      <c r="D305" s="44" t="s">
        <v>309</v>
      </c>
      <c r="E305" s="39">
        <f t="shared" si="262"/>
        <v>2839.58</v>
      </c>
      <c r="F305" s="205">
        <f>'[1]побудинковий звіт'!F305</f>
        <v>2288.08</v>
      </c>
      <c r="G305" s="29">
        <f>'[1]побудинковий звіт'!G305</f>
        <v>0</v>
      </c>
      <c r="H305" s="148">
        <f>'[1]побудинковий звіт'!H305</f>
        <v>551.5</v>
      </c>
      <c r="I305" s="41">
        <f>'[2]побудинковий звіт'!I305+'[1]побудинковий звіт'!I305</f>
        <v>8922.6933319659856</v>
      </c>
      <c r="J305" s="41">
        <f>'[2]побудинковий звіт'!J305+'[1]побудинковий звіт'!J305</f>
        <v>6991.1888635662062</v>
      </c>
      <c r="K305" s="55">
        <f t="shared" si="263"/>
        <v>-1931.5044683997794</v>
      </c>
      <c r="L305" s="41">
        <f>'[2]побудинковий звіт'!L305+'[1]побудинковий звіт'!L305</f>
        <v>1806.0701516530567</v>
      </c>
      <c r="M305" s="41">
        <f>'[2]побудинковий звіт'!M305+'[1]побудинковий звіт'!M305</f>
        <v>1623.6640861363403</v>
      </c>
      <c r="N305" s="55">
        <f t="shared" si="264"/>
        <v>-182.40606551671635</v>
      </c>
      <c r="O305" s="41">
        <f>'[2]побудинковий звіт'!O305+'[1]побудинковий звіт'!O305</f>
        <v>4928.9497019819755</v>
      </c>
      <c r="P305" s="41">
        <f>'[2]побудинковий звіт'!P305+'[1]побудинковий звіт'!P305</f>
        <v>4943.039861735414</v>
      </c>
      <c r="Q305" s="55">
        <f t="shared" si="265"/>
        <v>14.090159753438456</v>
      </c>
      <c r="R305" s="41">
        <f>'[2]побудинковий звіт'!R305+'[1]побудинковий звіт'!R305</f>
        <v>0</v>
      </c>
      <c r="S305" s="41">
        <f>'[2]побудинковий звіт'!S305+'[1]побудинковий звіт'!S305</f>
        <v>0</v>
      </c>
      <c r="T305" s="55">
        <f t="shared" si="266"/>
        <v>0</v>
      </c>
      <c r="U305" s="41">
        <f>'[2]побудинковий звіт'!U305+'[1]побудинковий звіт'!U305</f>
        <v>140.32647418906288</v>
      </c>
      <c r="V305" s="41">
        <f>'[2]побудинковий звіт'!V305+'[1]побудинковий звіт'!V305</f>
        <v>80.958443147995155</v>
      </c>
      <c r="W305" s="55">
        <f t="shared" si="267"/>
        <v>-59.368031041067724</v>
      </c>
      <c r="X305" s="41">
        <f>'[2]побудинковий звіт'!X305+'[1]побудинковий звіт'!X305</f>
        <v>5852.5116699166101</v>
      </c>
      <c r="Y305" s="41">
        <f>'[2]побудинковий звіт'!Y305+'[1]побудинковий звіт'!Y305</f>
        <v>4102.3925215028648</v>
      </c>
      <c r="Z305" s="55">
        <f t="shared" si="268"/>
        <v>-1750.1191484137453</v>
      </c>
      <c r="AA305" s="41">
        <f>'[2]побудинковий звіт'!AA305+'[1]побудинковий звіт'!AA305</f>
        <v>0</v>
      </c>
      <c r="AB305" s="41">
        <f>'[2]побудинковий звіт'!AB305+'[1]побудинковий звіт'!AB305</f>
        <v>0</v>
      </c>
      <c r="AC305" s="55">
        <f t="shared" si="269"/>
        <v>0</v>
      </c>
      <c r="AD305" s="41">
        <f>'[2]побудинковий звіт'!AD305+'[1]побудинковий звіт'!AD305</f>
        <v>12319.491781779661</v>
      </c>
      <c r="AE305" s="41">
        <f>'[2]побудинковий звіт'!AE305+'[1]побудинковий звіт'!AE305</f>
        <v>12271.450853604729</v>
      </c>
      <c r="AF305" s="36">
        <f t="shared" si="270"/>
        <v>-48.04092817493256</v>
      </c>
      <c r="AG305" s="84">
        <f t="shared" si="271"/>
        <v>33970.043111486353</v>
      </c>
      <c r="AH305" s="56">
        <f t="shared" si="272"/>
        <v>30012.694629693549</v>
      </c>
      <c r="AI305" s="55">
        <f t="shared" si="273"/>
        <v>-3957.3484817928038</v>
      </c>
      <c r="AJ305" s="41">
        <f>'[2]побудинковий звіт'!AJ305+'[1]побудинковий звіт'!AJ305</f>
        <v>0</v>
      </c>
      <c r="AK305" s="41">
        <f>'[2]побудинковий звіт'!AK305+'[1]побудинковий звіт'!AK305</f>
        <v>0</v>
      </c>
      <c r="AL305" s="55">
        <f t="shared" si="274"/>
        <v>0</v>
      </c>
      <c r="AM305" s="41">
        <f>'[2]побудинковий звіт'!AM305+'[1]побудинковий звіт'!AM305</f>
        <v>0</v>
      </c>
      <c r="AN305" s="41">
        <f>'[2]побудинковий звіт'!AN305+'[1]побудинковий звіт'!AN305</f>
        <v>0</v>
      </c>
      <c r="AO305" s="55">
        <f t="shared" si="275"/>
        <v>0</v>
      </c>
      <c r="AP305" s="41">
        <f>'[2]побудинковий звіт'!AP305+'[1]побудинковий звіт'!AP305</f>
        <v>7280.8948803532494</v>
      </c>
      <c r="AQ305" s="41">
        <f>'[2]побудинковий звіт'!AQ305+'[1]побудинковий звіт'!AQ305</f>
        <v>7501.9635013784073</v>
      </c>
      <c r="AR305" s="55">
        <f t="shared" si="276"/>
        <v>221.06862102515788</v>
      </c>
      <c r="AS305" s="41">
        <f>'[2]побудинковий звіт'!AS305+'[1]побудинковий звіт'!AS305</f>
        <v>25646.734796795259</v>
      </c>
      <c r="AT305" s="41">
        <f>'[2]побудинковий звіт'!AT305+'[1]побудинковий звіт'!AT305</f>
        <v>1348.5955394406803</v>
      </c>
      <c r="AU305" s="57">
        <f t="shared" si="277"/>
        <v>-24298.139257354578</v>
      </c>
      <c r="AV305" s="41">
        <f>'[2]побудинковий звіт'!AV305+'[1]побудинковий звіт'!AV305</f>
        <v>1595.7654396109797</v>
      </c>
      <c r="AW305" s="41">
        <f>'[2]побудинковий звіт'!AW305+'[1]побудинковий звіт'!AW305</f>
        <v>0</v>
      </c>
      <c r="AX305" s="58">
        <f t="shared" si="278"/>
        <v>-1595.7654396109797</v>
      </c>
      <c r="AY305" s="41">
        <f>'[2]побудинковий звіт'!AY305+'[1]побудинковий звіт'!AY305</f>
        <v>2303.3259097598921</v>
      </c>
      <c r="AZ305" s="41">
        <f>'[2]побудинковий звіт'!AZ305+'[1]побудинковий звіт'!AZ305</f>
        <v>5576.3083022952242</v>
      </c>
      <c r="BA305" s="36">
        <f t="shared" si="279"/>
        <v>3272.9823925353321</v>
      </c>
      <c r="BB305" s="41">
        <f>'[2]побудинковий звіт'!BB305+'[1]побудинковий звіт'!BB305</f>
        <v>1781.1847819675154</v>
      </c>
      <c r="BC305" s="41">
        <f>'[2]побудинковий звіт'!BC305+'[1]побудинковий звіт'!BC305</f>
        <v>0</v>
      </c>
      <c r="BD305" s="58">
        <f t="shared" si="280"/>
        <v>-1781.1847819675154</v>
      </c>
      <c r="BE305" s="41">
        <f>'[2]побудинковий звіт'!BE305+'[1]побудинковий звіт'!BE305</f>
        <v>0</v>
      </c>
      <c r="BF305" s="41">
        <f>'[2]побудинковий звіт'!BF305+'[1]побудинковий звіт'!BF305</f>
        <v>0</v>
      </c>
      <c r="BG305" s="38">
        <f t="shared" si="281"/>
        <v>0</v>
      </c>
      <c r="BH305" s="41">
        <f>'[2]побудинковий звіт'!BH305+'[1]побудинковий звіт'!BH305</f>
        <v>82.704815978574771</v>
      </c>
      <c r="BI305" s="41">
        <f>'[2]побудинковий звіт'!BI305+'[1]побудинковий звіт'!BI305</f>
        <v>0</v>
      </c>
      <c r="BJ305" s="58">
        <f t="shared" si="282"/>
        <v>-82.704815978574771</v>
      </c>
      <c r="BK305" s="41">
        <f>'[2]побудинковий звіт'!BK305+'[1]побудинковий звіт'!BK305</f>
        <v>1087.4724271339321</v>
      </c>
      <c r="BL305" s="41">
        <f>'[2]побудинковий звіт'!BL305+'[1]побудинковий звіт'!BL305</f>
        <v>0</v>
      </c>
      <c r="BM305" s="38">
        <f t="shared" si="283"/>
        <v>-1087.4724271339321</v>
      </c>
      <c r="BN305" s="41">
        <f>'[2]побудинковий звіт'!BN305+'[1]побудинковий звіт'!BN305</f>
        <v>625.52066110709939</v>
      </c>
      <c r="BO305" s="41">
        <f>'[2]побудинковий звіт'!BO305+'[1]побудинковий звіт'!BO305</f>
        <v>3392.7069499238742</v>
      </c>
      <c r="BP305" s="58">
        <f t="shared" si="284"/>
        <v>2767.1862888167748</v>
      </c>
      <c r="BQ305" s="84">
        <f t="shared" si="285"/>
        <v>7475.9740355579925</v>
      </c>
      <c r="BR305" s="42">
        <f t="shared" si="286"/>
        <v>8969.0152522190983</v>
      </c>
      <c r="BS305" s="58">
        <f t="shared" si="287"/>
        <v>1493.0412166611059</v>
      </c>
      <c r="BT305" s="41">
        <f>'[2]побудинковий звіт'!BT305+'[1]побудинковий звіт'!BT305</f>
        <v>16606.528609045559</v>
      </c>
      <c r="BU305" s="41">
        <f>'[2]побудинковий звіт'!BU305+'[1]побудинковий звіт'!BU305</f>
        <v>35432.408652369246</v>
      </c>
      <c r="BV305" s="55">
        <f t="shared" si="288"/>
        <v>18825.880043323687</v>
      </c>
      <c r="BW305" s="41">
        <f>'[2]побудинковий звіт'!BW305+'[1]побудинковий звіт'!BW305</f>
        <v>14211.781797692911</v>
      </c>
      <c r="BX305" s="41">
        <f>'[2]побудинковий звіт'!BX305+'[1]побудинковий звіт'!BX305</f>
        <v>17459.188709295617</v>
      </c>
      <c r="BY305" s="55">
        <f t="shared" si="289"/>
        <v>3247.4069116027058</v>
      </c>
      <c r="BZ305" s="41">
        <f>'[2]побудинковий звіт'!BZ305+'[1]побудинковий звіт'!BZ305</f>
        <v>12028.142630716367</v>
      </c>
      <c r="CA305" s="41">
        <f>'[2]побудинковий звіт'!CA305+'[1]побудинковий звіт'!CA305</f>
        <v>3165.9640934670797</v>
      </c>
      <c r="CB305" s="55">
        <f t="shared" si="290"/>
        <v>-8862.1785372492886</v>
      </c>
      <c r="CC305" s="41">
        <f>'[2]побудинковий звіт'!CC305+'[1]побудинковий звіт'!CC305</f>
        <v>717.58725326015792</v>
      </c>
      <c r="CD305" s="41">
        <f>'[2]побудинковий звіт'!CD305+'[1]побудинковий звіт'!CD305</f>
        <v>720.02051159364748</v>
      </c>
      <c r="CE305" s="55">
        <f t="shared" si="291"/>
        <v>2.4332583334895617</v>
      </c>
      <c r="CF305" s="41">
        <f>'[2]побудинковий звіт'!CF305+'[1]побудинковий звіт'!CF305</f>
        <v>88.905246569792141</v>
      </c>
      <c r="CG305" s="41">
        <f>'[2]побудинковий звіт'!CG305+'[1]побудинковий звіт'!CG305</f>
        <v>0</v>
      </c>
      <c r="CH305" s="55">
        <f t="shared" si="292"/>
        <v>-88.905246569792141</v>
      </c>
      <c r="CI305" s="41">
        <f>'[2]побудинковий звіт'!CI305+'[1]побудинковий звіт'!CI305</f>
        <v>3140.205881198302</v>
      </c>
      <c r="CJ305" s="41">
        <f>'[2]побудинковий звіт'!CJ305+'[1]побудинковий звіт'!CJ305</f>
        <v>1258.6166177964287</v>
      </c>
      <c r="CK305" s="55">
        <f t="shared" si="293"/>
        <v>-1881.5892634018733</v>
      </c>
      <c r="CL305" s="41">
        <f>'[2]побудинковий звіт'!CL305+'[1]побудинковий звіт'!CL305</f>
        <v>0</v>
      </c>
      <c r="CM305" s="41">
        <f>'[2]побудинковий звіт'!CM305+'[1]побудинковий звіт'!CM305</f>
        <v>0</v>
      </c>
      <c r="CN305" s="55">
        <f t="shared" si="294"/>
        <v>0</v>
      </c>
      <c r="CO305" s="41">
        <f t="shared" si="295"/>
        <v>3140.205881198302</v>
      </c>
      <c r="CP305" s="42">
        <f t="shared" si="296"/>
        <v>1258.6166177964287</v>
      </c>
      <c r="CQ305" s="55">
        <f t="shared" si="297"/>
        <v>-1881.5892634018733</v>
      </c>
      <c r="CR305" s="76">
        <f t="shared" si="298"/>
        <v>121166.79824267596</v>
      </c>
      <c r="CS305" s="5">
        <f t="shared" si="299"/>
        <v>105868.46750725374</v>
      </c>
      <c r="CT305" s="55">
        <f t="shared" si="300"/>
        <v>-15298.33073542222</v>
      </c>
      <c r="CU305" s="84">
        <f t="shared" si="301"/>
        <v>145400.15789121113</v>
      </c>
      <c r="CV305" s="68">
        <f t="shared" si="302"/>
        <v>127042.16100870448</v>
      </c>
      <c r="CW305" s="36">
        <f t="shared" si="303"/>
        <v>-18357.996882506646</v>
      </c>
      <c r="CX305" s="41">
        <f>'[2]побудинковий звіт'!CX305+'[1]побудинковий звіт'!CX305</f>
        <v>7229.8281799885399</v>
      </c>
      <c r="CY305" s="41">
        <f>'[2]побудинковий звіт'!CY305+'[1]побудинковий звіт'!CY305</f>
        <v>25587.825062495169</v>
      </c>
      <c r="CZ305" s="55">
        <f t="shared" si="304"/>
        <v>18357.996882506628</v>
      </c>
      <c r="DA305" s="254">
        <f>'[1]побудинковий звіт'!DA305</f>
        <v>2043.6105227544031</v>
      </c>
      <c r="DB305" s="2">
        <v>1</v>
      </c>
      <c r="DC305" s="702">
        <f>'[1]побудинковий звіт'!DC305</f>
        <v>30359.62</v>
      </c>
      <c r="DD305" s="702">
        <f>'[1]побудинковий звіт'!DD305</f>
        <v>7185.59</v>
      </c>
      <c r="DE305" s="702">
        <f>'[1]побудинковий звіт'!DE305</f>
        <v>16436.41</v>
      </c>
      <c r="DF305" s="702">
        <f>'[1]побудинковий звіт'!DF305</f>
        <v>4282.01</v>
      </c>
      <c r="DG305" s="772">
        <v>-45754.760406753398</v>
      </c>
      <c r="DH305" s="746">
        <f t="shared" si="306"/>
        <v>1831559.8328543962</v>
      </c>
      <c r="DI305" s="769"/>
      <c r="DJ305" s="5"/>
      <c r="DK305" s="307">
        <f>VLOOKUP($A305,ціни!$A$4:$G$401,5)</f>
        <v>4.3275805873427178</v>
      </c>
      <c r="DL305" s="307"/>
      <c r="DM305" s="307">
        <f>VLOOKUP($A305,ціни!$A$4:$G$401,7)</f>
        <v>3.7072582943394874</v>
      </c>
      <c r="DN305" s="29">
        <f t="shared" si="315"/>
        <v>9901.8505902871257</v>
      </c>
      <c r="DO305" s="29">
        <f t="shared" si="305"/>
        <v>2044.5529493282272</v>
      </c>
      <c r="DP305" s="306">
        <f t="shared" si="307"/>
        <v>11946.403539615352</v>
      </c>
      <c r="DQ305" s="101"/>
      <c r="DR305" s="29">
        <f>VLOOKUP(A305,'ДЗ нас '!$A$1:$C$359,2)</f>
        <v>9901.8799999999992</v>
      </c>
      <c r="DS305" s="733">
        <f>VLOOKUP(A305,'ДЗ нежит'!$A$1:$D$153,4,0)</f>
        <v>2044.57</v>
      </c>
      <c r="DT305" s="29">
        <f t="shared" si="308"/>
        <v>11946.449999999999</v>
      </c>
      <c r="DU305" s="247">
        <f>VLOOKUP(A305,'новий кошторис с 01.06'!$A$4:$AI$399,35)*1.2</f>
        <v>12064.241791366936</v>
      </c>
      <c r="DV305" s="29">
        <f t="shared" si="309"/>
        <v>-117.7917913669371</v>
      </c>
      <c r="DW305" s="1016">
        <f>'[2]побудинковий звіт'!$DW$9+'[1]побудинковий звіт'!DW305</f>
        <v>918</v>
      </c>
      <c r="DX305" s="101">
        <f>'[1]побудинковий звіт'!DX305</f>
        <v>0</v>
      </c>
      <c r="DY305" s="5">
        <f t="shared" si="310"/>
        <v>39747.250598823899</v>
      </c>
      <c r="DZ305" s="5">
        <f t="shared" si="311"/>
        <v>12381.132949991736</v>
      </c>
      <c r="EA305" s="737">
        <f t="shared" si="312"/>
        <v>20718.419999999998</v>
      </c>
      <c r="EC305" s="577">
        <f t="shared" si="313"/>
        <v>307760.81756154308</v>
      </c>
      <c r="EE305" s="743">
        <v>-13973</v>
      </c>
      <c r="EF305" s="723">
        <f t="shared" si="314"/>
        <v>-59727.760406753398</v>
      </c>
      <c r="EH305" s="798">
        <v>-56197.793056898168</v>
      </c>
      <c r="EI305" s="101">
        <f>VLOOKUP(A305,'кошти 01.01.24'!$A$9:$D$352,4,FALSE)</f>
        <v>20401.607405261046</v>
      </c>
    </row>
    <row r="306" spans="1:139" hidden="1" x14ac:dyDescent="0.3">
      <c r="A306" s="318">
        <v>150000868</v>
      </c>
      <c r="B306" s="43" t="s">
        <v>772</v>
      </c>
      <c r="C306" s="44" t="s">
        <v>310</v>
      </c>
      <c r="D306" s="44" t="s">
        <v>310</v>
      </c>
      <c r="E306" s="39">
        <f t="shared" si="262"/>
        <v>3295.32</v>
      </c>
      <c r="F306" s="205">
        <f>'[1]побудинковий звіт'!F306</f>
        <v>2609.92</v>
      </c>
      <c r="G306" s="29">
        <f>'[1]побудинковий звіт'!G306</f>
        <v>0</v>
      </c>
      <c r="H306" s="148">
        <f>'[1]побудинковий звіт'!H306</f>
        <v>685.4</v>
      </c>
      <c r="I306" s="41">
        <f>'[2]побудинковий звіт'!I306+'[1]побудинковий звіт'!I306</f>
        <v>11593.528722375457</v>
      </c>
      <c r="J306" s="41">
        <f>'[2]побудинковий звіт'!J306+'[1]побудинковий звіт'!J306</f>
        <v>9103.846388557562</v>
      </c>
      <c r="K306" s="55">
        <f t="shared" si="263"/>
        <v>-2489.6823338178947</v>
      </c>
      <c r="L306" s="41">
        <f>'[2]побудинковий звіт'!L306+'[1]побудинковий звіт'!L306</f>
        <v>2449.1619273597917</v>
      </c>
      <c r="M306" s="41">
        <f>'[2]побудинковий звіт'!M306+'[1]побудинковий звіт'!M306</f>
        <v>2133.7626659768512</v>
      </c>
      <c r="N306" s="55">
        <f t="shared" si="264"/>
        <v>-315.39926138294049</v>
      </c>
      <c r="O306" s="41">
        <f>'[2]побудинковий звіт'!O306+'[1]побудинковий звіт'!O306</f>
        <v>5526.1574976286993</v>
      </c>
      <c r="P306" s="41">
        <f>'[2]побудинковий звіт'!P306+'[1]побудинковий звіт'!P306</f>
        <v>5541.8203483810885</v>
      </c>
      <c r="Q306" s="55">
        <f t="shared" si="265"/>
        <v>15.662850752389204</v>
      </c>
      <c r="R306" s="41">
        <f>'[2]побудинковий звіт'!R306+'[1]побудинковий звіт'!R306</f>
        <v>0</v>
      </c>
      <c r="S306" s="41">
        <f>'[2]побудинковий звіт'!S306+'[1]побудинковий звіт'!S306</f>
        <v>0</v>
      </c>
      <c r="T306" s="55">
        <f t="shared" si="266"/>
        <v>0</v>
      </c>
      <c r="U306" s="41">
        <f>'[2]побудинковий звіт'!U306+'[1]побудинковий звіт'!U306</f>
        <v>233.87745698177133</v>
      </c>
      <c r="V306" s="41">
        <f>'[2]побудинковий звіт'!V306+'[1]побудинковий звіт'!V306</f>
        <v>134.93073857999187</v>
      </c>
      <c r="W306" s="55">
        <f t="shared" si="267"/>
        <v>-98.946718401779464</v>
      </c>
      <c r="X306" s="41">
        <f>'[2]побудинковий звіт'!X306+'[1]побудинковий звіт'!X306</f>
        <v>7834.6734927400857</v>
      </c>
      <c r="Y306" s="41">
        <f>'[2]побудинковий звіт'!Y306+'[1]побудинковий звіт'!Y306</f>
        <v>5649.5646534033403</v>
      </c>
      <c r="Z306" s="55">
        <f t="shared" si="268"/>
        <v>-2185.1088393367454</v>
      </c>
      <c r="AA306" s="41">
        <f>'[2]побудинковий звіт'!AA306+'[1]побудинковий звіт'!AA306</f>
        <v>0</v>
      </c>
      <c r="AB306" s="41">
        <f>'[2]побудинковий звіт'!AB306+'[1]побудинковий звіт'!AB306</f>
        <v>0</v>
      </c>
      <c r="AC306" s="55">
        <f t="shared" si="269"/>
        <v>0</v>
      </c>
      <c r="AD306" s="41">
        <f>'[2]побудинковий звіт'!AD306+'[1]побудинковий звіт'!AD306</f>
        <v>14293.047449760177</v>
      </c>
      <c r="AE306" s="41">
        <f>'[2]побудинковий звіт'!AE306+'[1]побудинковий звіт'!AE306</f>
        <v>14237.44972450676</v>
      </c>
      <c r="AF306" s="36">
        <f t="shared" si="270"/>
        <v>-55.597725253417593</v>
      </c>
      <c r="AG306" s="84">
        <f t="shared" si="271"/>
        <v>41930.446546845982</v>
      </c>
      <c r="AH306" s="56">
        <f t="shared" si="272"/>
        <v>36801.374519405588</v>
      </c>
      <c r="AI306" s="55">
        <f t="shared" si="273"/>
        <v>-5129.0720274403939</v>
      </c>
      <c r="AJ306" s="41">
        <f>'[2]побудинковий звіт'!AJ306+'[1]побудинковий звіт'!AJ306</f>
        <v>0</v>
      </c>
      <c r="AK306" s="41">
        <f>'[2]побудинковий звіт'!AK306+'[1]побудинковий звіт'!AK306</f>
        <v>0</v>
      </c>
      <c r="AL306" s="55">
        <f t="shared" si="274"/>
        <v>0</v>
      </c>
      <c r="AM306" s="41">
        <f>'[2]побудинковий звіт'!AM306+'[1]побудинковий звіт'!AM306</f>
        <v>0</v>
      </c>
      <c r="AN306" s="41">
        <f>'[2]побудинковий звіт'!AN306+'[1]побудинковий звіт'!AN306</f>
        <v>0</v>
      </c>
      <c r="AO306" s="55">
        <f t="shared" si="275"/>
        <v>0</v>
      </c>
      <c r="AP306" s="41">
        <f>'[2]побудинковий звіт'!AP306+'[1]побудинковий звіт'!AP306</f>
        <v>9509.740251889958</v>
      </c>
      <c r="AQ306" s="41">
        <f>'[2]побудинковий звіт'!AQ306+'[1]побудинковий звіт'!AQ306</f>
        <v>8729.3014109490159</v>
      </c>
      <c r="AR306" s="55">
        <f t="shared" si="276"/>
        <v>-780.4388409409421</v>
      </c>
      <c r="AS306" s="41">
        <f>'[2]побудинковий звіт'!AS306+'[1]побудинковий звіт'!AS306</f>
        <v>29501.480327591853</v>
      </c>
      <c r="AT306" s="41">
        <f>'[2]побудинковий звіт'!AT306+'[1]побудинковий звіт'!AT306</f>
        <v>12921.446515597918</v>
      </c>
      <c r="AU306" s="57">
        <f t="shared" si="277"/>
        <v>-16580.033811993933</v>
      </c>
      <c r="AV306" s="41">
        <f>'[2]побудинковий звіт'!AV306+'[1]побудинковий звіт'!AV306</f>
        <v>1954.4619862448767</v>
      </c>
      <c r="AW306" s="41">
        <f>'[2]побудинковий звіт'!AW306+'[1]побудинковий звіт'!AW306</f>
        <v>507.17055751810352</v>
      </c>
      <c r="AX306" s="58">
        <f t="shared" si="278"/>
        <v>-1447.2914287267731</v>
      </c>
      <c r="AY306" s="41">
        <f>'[2]побудинковий звіт'!AY306+'[1]побудинковий звіт'!AY306</f>
        <v>2831.4622577650102</v>
      </c>
      <c r="AZ306" s="41">
        <f>'[2]побудинковий звіт'!AZ306+'[1]побудинковий звіт'!AZ306</f>
        <v>0</v>
      </c>
      <c r="BA306" s="36">
        <f t="shared" si="279"/>
        <v>-2831.4622577650102</v>
      </c>
      <c r="BB306" s="41">
        <f>'[2]побудинковий звіт'!BB306+'[1]побудинковий звіт'!BB306</f>
        <v>1780.6159004438034</v>
      </c>
      <c r="BC306" s="41">
        <f>'[2]побудинковий звіт'!BC306+'[1]побудинковий звіт'!BC306</f>
        <v>0</v>
      </c>
      <c r="BD306" s="58">
        <f t="shared" si="280"/>
        <v>-1780.6159004438034</v>
      </c>
      <c r="BE306" s="41">
        <f>'[2]побудинковий звіт'!BE306+'[1]побудинковий звіт'!BE306</f>
        <v>0</v>
      </c>
      <c r="BF306" s="41">
        <f>'[2]побудинковий звіт'!BF306+'[1]побудинковий звіт'!BF306</f>
        <v>0</v>
      </c>
      <c r="BG306" s="38">
        <f t="shared" si="281"/>
        <v>0</v>
      </c>
      <c r="BH306" s="41">
        <f>'[2]побудинковий звіт'!BH306+'[1]побудинковий звіт'!BH306</f>
        <v>137.84135996429129</v>
      </c>
      <c r="BI306" s="41">
        <f>'[2]побудинковий звіт'!BI306+'[1]побудинковий звіт'!BI306</f>
        <v>0</v>
      </c>
      <c r="BJ306" s="58">
        <f t="shared" si="282"/>
        <v>-137.84135996429129</v>
      </c>
      <c r="BK306" s="41">
        <f>'[2]побудинковий звіт'!BK306+'[1]побудинковий звіт'!BK306</f>
        <v>1367.0856067285465</v>
      </c>
      <c r="BL306" s="41">
        <f>'[2]побудинковий звіт'!BL306+'[1]побудинковий звіт'!BL306</f>
        <v>2987.4698916607867</v>
      </c>
      <c r="BM306" s="38">
        <f t="shared" si="283"/>
        <v>1620.3842849322402</v>
      </c>
      <c r="BN306" s="41">
        <f>'[2]побудинковий звіт'!BN306+'[1]побудинковий звіт'!BN306</f>
        <v>619.94782085613565</v>
      </c>
      <c r="BO306" s="41">
        <f>'[2]побудинковий звіт'!BO306+'[1]побудинковий звіт'!BO306</f>
        <v>0</v>
      </c>
      <c r="BP306" s="58">
        <f t="shared" si="284"/>
        <v>-619.94782085613565</v>
      </c>
      <c r="BQ306" s="84">
        <f t="shared" si="285"/>
        <v>8691.4149320026627</v>
      </c>
      <c r="BR306" s="42">
        <f t="shared" si="286"/>
        <v>3494.6404491788903</v>
      </c>
      <c r="BS306" s="58">
        <f t="shared" si="287"/>
        <v>-5196.7744828237719</v>
      </c>
      <c r="BT306" s="41">
        <f>'[2]побудинковий звіт'!BT306+'[1]побудинковий звіт'!BT306</f>
        <v>40877.405141105781</v>
      </c>
      <c r="BU306" s="41">
        <f>'[2]побудинковий звіт'!BU306+'[1]побудинковий звіт'!BU306</f>
        <v>78653.342810214279</v>
      </c>
      <c r="BV306" s="55">
        <f t="shared" si="288"/>
        <v>37775.937669108498</v>
      </c>
      <c r="BW306" s="41">
        <f>'[2]побудинковий звіт'!BW306+'[1]побудинковий звіт'!BW306</f>
        <v>16522.344383859778</v>
      </c>
      <c r="BX306" s="41">
        <f>'[2]побудинковий звіт'!BX306+'[1]побудинковий звіт'!BX306</f>
        <v>19750.265937017379</v>
      </c>
      <c r="BY306" s="55">
        <f t="shared" si="289"/>
        <v>3227.921553157601</v>
      </c>
      <c r="BZ306" s="41">
        <f>'[2]побудинковий звіт'!BZ306+'[1]побудинковий звіт'!BZ306</f>
        <v>29032.142406126652</v>
      </c>
      <c r="CA306" s="41">
        <f>'[2]побудинковий звіт'!CA306+'[1]побудинковий звіт'!CA306</f>
        <v>7629.5191144608998</v>
      </c>
      <c r="CB306" s="55">
        <f t="shared" si="290"/>
        <v>-21402.623291665754</v>
      </c>
      <c r="CC306" s="41">
        <f>'[2]побудинковий звіт'!CC306+'[1]побудинковий звіт'!CC306</f>
        <v>1225.0893872679803</v>
      </c>
      <c r="CD306" s="41">
        <f>'[2]побудинковий звіт'!CD306+'[1]побудинковий звіт'!CD306</f>
        <v>1229.2435287292403</v>
      </c>
      <c r="CE306" s="55">
        <f t="shared" si="291"/>
        <v>4.1541414612599965</v>
      </c>
      <c r="CF306" s="41">
        <f>'[2]побудинковий звіт'!CF306+'[1]побудинковий звіт'!CF306</f>
        <v>151.78206350553452</v>
      </c>
      <c r="CG306" s="41">
        <f>'[2]побудинковий звіт'!CG306+'[1]побудинковий звіт'!CG306</f>
        <v>0</v>
      </c>
      <c r="CH306" s="55">
        <f t="shared" si="292"/>
        <v>-151.78206350553452</v>
      </c>
      <c r="CI306" s="41">
        <f>'[2]побудинковий звіт'!CI306+'[1]побудинковий звіт'!CI306</f>
        <v>8307.2659282762943</v>
      </c>
      <c r="CJ306" s="41">
        <f>'[2]побудинковий звіт'!CJ306+'[1]побудинковий звіт'!CJ306</f>
        <v>3809.0001372551997</v>
      </c>
      <c r="CK306" s="55">
        <f t="shared" si="293"/>
        <v>-4498.2657910210946</v>
      </c>
      <c r="CL306" s="41">
        <f>'[2]побудинковий звіт'!CL306+'[1]побудинковий звіт'!CL306</f>
        <v>0</v>
      </c>
      <c r="CM306" s="41">
        <f>'[2]побудинковий звіт'!CM306+'[1]побудинковий звіт'!CM306</f>
        <v>0</v>
      </c>
      <c r="CN306" s="55">
        <f t="shared" si="294"/>
        <v>0</v>
      </c>
      <c r="CO306" s="41">
        <f t="shared" si="295"/>
        <v>8307.2659282762943</v>
      </c>
      <c r="CP306" s="42">
        <f t="shared" si="296"/>
        <v>3809.0001372551997</v>
      </c>
      <c r="CQ306" s="55">
        <f t="shared" si="297"/>
        <v>-4498.2657910210946</v>
      </c>
      <c r="CR306" s="76">
        <f t="shared" si="298"/>
        <v>185749.11136847246</v>
      </c>
      <c r="CS306" s="5">
        <f t="shared" si="299"/>
        <v>173018.13442280845</v>
      </c>
      <c r="CT306" s="55">
        <f t="shared" si="300"/>
        <v>-12730.976945664006</v>
      </c>
      <c r="CU306" s="84">
        <f t="shared" si="301"/>
        <v>222898.93364216693</v>
      </c>
      <c r="CV306" s="68">
        <f t="shared" si="302"/>
        <v>207621.76130737012</v>
      </c>
      <c r="CW306" s="36">
        <f t="shared" si="303"/>
        <v>-15277.172334796807</v>
      </c>
      <c r="CX306" s="41">
        <f>'[2]побудинковий звіт'!CX306+'[1]побудинковий звіт'!CX306</f>
        <v>2241.0487823480908</v>
      </c>
      <c r="CY306" s="41">
        <f>'[2]побудинковий звіт'!CY306+'[1]побудинковий звіт'!CY306</f>
        <v>17518.221117144978</v>
      </c>
      <c r="CZ306" s="55">
        <f t="shared" si="304"/>
        <v>15277.172334796887</v>
      </c>
      <c r="DA306" s="254">
        <f>'[1]побудинковий звіт'!DA306</f>
        <v>-11990.719082305441</v>
      </c>
      <c r="DB306" s="2">
        <v>1</v>
      </c>
      <c r="DC306" s="702">
        <f>'[1]побудинковий звіт'!DC306</f>
        <v>41633.42</v>
      </c>
      <c r="DD306" s="702">
        <f>'[1]побудинковий звіт'!DD306</f>
        <v>2516.9199999999996</v>
      </c>
      <c r="DE306" s="702">
        <f>'[1]побудинковий звіт'!DE306</f>
        <v>21538.5</v>
      </c>
      <c r="DF306" s="702">
        <f>'[1]побудинковий звіт'!DF306</f>
        <v>-2202.2000000000003</v>
      </c>
      <c r="DG306" s="772">
        <v>-21475.743571173924</v>
      </c>
      <c r="DH306" s="746">
        <f t="shared" si="306"/>
        <v>2701679.7890941799</v>
      </c>
      <c r="DI306" s="769"/>
      <c r="DJ306" s="5"/>
      <c r="DK306" s="307">
        <f>VLOOKUP($A306,ціни!$A$4:$G$401,5)</f>
        <v>5.4740029818249178</v>
      </c>
      <c r="DL306" s="307"/>
      <c r="DM306" s="307">
        <f>VLOOKUP($A306,ціни!$A$4:$G$401,7)</f>
        <v>4.8677808051616198</v>
      </c>
      <c r="DN306" s="29">
        <f t="shared" si="315"/>
        <v>14286.709862324489</v>
      </c>
      <c r="DO306" s="29">
        <f t="shared" si="305"/>
        <v>3336.3769638577742</v>
      </c>
      <c r="DP306" s="306">
        <f t="shared" si="307"/>
        <v>17623.086826182262</v>
      </c>
      <c r="DQ306" s="101"/>
      <c r="DR306" s="29">
        <f>VLOOKUP(A306,'ДЗ нас '!$A$1:$C$359,2)</f>
        <v>14286.72</v>
      </c>
      <c r="DS306" s="733">
        <f>VLOOKUP(A306,'ДЗ нежит'!$A$1:$D$153,4,0)</f>
        <v>3336.3900000000003</v>
      </c>
      <c r="DT306" s="29">
        <f t="shared" si="308"/>
        <v>17623.11</v>
      </c>
      <c r="DU306" s="247">
        <f>VLOOKUP(A306,'новий кошторис с 01.06'!$A$4:$AI$399,35)*1.2</f>
        <v>17623.415266361175</v>
      </c>
      <c r="DV306" s="29">
        <f t="shared" si="309"/>
        <v>-0.30526636117429007</v>
      </c>
      <c r="DW306" s="1016">
        <f>'[2]побудинковий звіт'!$DW$9+'[1]побудинковий звіт'!DW306</f>
        <v>1062</v>
      </c>
      <c r="DX306" s="101">
        <f>'[1]побудинковий звіт'!DX306</f>
        <v>0</v>
      </c>
      <c r="DY306" s="5">
        <f t="shared" si="310"/>
        <v>45831.474311513419</v>
      </c>
      <c r="DZ306" s="5">
        <f t="shared" si="311"/>
        <v>19699.30435773217</v>
      </c>
      <c r="EA306" s="737">
        <f t="shared" si="312"/>
        <v>19336.3</v>
      </c>
      <c r="EC306" s="577">
        <f t="shared" si="313"/>
        <v>354017.76393110224</v>
      </c>
      <c r="EE306" s="743">
        <v>-2701</v>
      </c>
      <c r="EF306" s="723">
        <f t="shared" si="314"/>
        <v>-24176.743571173924</v>
      </c>
      <c r="EH306" s="798">
        <v>19154.097831392399</v>
      </c>
      <c r="EI306" s="101">
        <f>VLOOKUP(A306,'кошти 01.01.24'!$A$9:$D$352,4,FALSE)</f>
        <v>3286.4532524914757</v>
      </c>
    </row>
    <row r="307" spans="1:139" hidden="1" x14ac:dyDescent="0.3">
      <c r="A307" s="318">
        <v>150000869</v>
      </c>
      <c r="B307" s="43" t="s">
        <v>773</v>
      </c>
      <c r="C307" s="44" t="s">
        <v>311</v>
      </c>
      <c r="D307" s="44" t="s">
        <v>311</v>
      </c>
      <c r="E307" s="39">
        <f t="shared" si="262"/>
        <v>5801.57</v>
      </c>
      <c r="F307" s="205">
        <f>'[1]побудинковий звіт'!F307</f>
        <v>4601.47</v>
      </c>
      <c r="G307" s="29">
        <f>'[1]побудинковий звіт'!G307</f>
        <v>0</v>
      </c>
      <c r="H307" s="148">
        <f>'[1]побудинковий звіт'!H307</f>
        <v>1200.0999999999999</v>
      </c>
      <c r="I307" s="41">
        <f>'[2]побудинковий звіт'!I307+'[1]побудинковий звіт'!I307</f>
        <v>19378.982172962962</v>
      </c>
      <c r="J307" s="41">
        <f>'[2]побудинковий звіт'!J307+'[1]побудинковий звіт'!J307</f>
        <v>15309.831747577908</v>
      </c>
      <c r="K307" s="55">
        <f t="shared" si="263"/>
        <v>-4069.1504253850544</v>
      </c>
      <c r="L307" s="41">
        <f>'[2]побудинковий звіт'!L307+'[1]побудинковий звіт'!L307</f>
        <v>4342.4928575116019</v>
      </c>
      <c r="M307" s="41">
        <f>'[2]побудинковий звіт'!M307+'[1]побудинковий звіт'!M307</f>
        <v>3761.7197207080326</v>
      </c>
      <c r="N307" s="55">
        <f t="shared" si="264"/>
        <v>-580.77313680356929</v>
      </c>
      <c r="O307" s="41">
        <f>'[2]побудинковий звіт'!O307+'[1]побудинковий звіт'!O307</f>
        <v>8338.3699459134714</v>
      </c>
      <c r="P307" s="41">
        <f>'[2]побудинковий звіт'!P307+'[1]побудинковий звіт'!P307</f>
        <v>8362.008539558039</v>
      </c>
      <c r="Q307" s="55">
        <f t="shared" si="265"/>
        <v>23.638593644567663</v>
      </c>
      <c r="R307" s="41">
        <f>'[2]побудинковий звіт'!R307+'[1]побудинковий звіт'!R307</f>
        <v>1888.7928947271237</v>
      </c>
      <c r="S307" s="41">
        <f>'[2]побудинковий звіт'!S307+'[1]побудинковий звіт'!S307</f>
        <v>1894.0567312917092</v>
      </c>
      <c r="T307" s="55">
        <f t="shared" si="266"/>
        <v>5.2638365645855174</v>
      </c>
      <c r="U307" s="41">
        <f>'[2]побудинковий звіт'!U307+'[1]побудинковий звіт'!U307</f>
        <v>1321.9213198993959</v>
      </c>
      <c r="V307" s="41">
        <f>'[2]побудинковий звіт'!V307+'[1]побудинковий звіт'!V307</f>
        <v>526.30544355361303</v>
      </c>
      <c r="W307" s="55">
        <f t="shared" si="267"/>
        <v>-795.61587634578291</v>
      </c>
      <c r="X307" s="41">
        <f>'[2]побудинковий звіт'!X307+'[1]побудинковий звіт'!X307</f>
        <v>17418.274169468077</v>
      </c>
      <c r="Y307" s="41">
        <f>'[2]побудинковий звіт'!Y307+'[1]побудинковий звіт'!Y307</f>
        <v>12355.056744050195</v>
      </c>
      <c r="Z307" s="55">
        <f t="shared" si="268"/>
        <v>-5063.2174254178826</v>
      </c>
      <c r="AA307" s="41">
        <f>'[2]побудинковий звіт'!AA307+'[1]побудинковий звіт'!AA307</f>
        <v>0</v>
      </c>
      <c r="AB307" s="41">
        <f>'[2]побудинковий звіт'!AB307+'[1]побудинковий звіт'!AB307</f>
        <v>0</v>
      </c>
      <c r="AC307" s="55">
        <f t="shared" si="269"/>
        <v>0</v>
      </c>
      <c r="AD307" s="41">
        <f>'[2]побудинковий звіт'!AD307+'[1]побудинковий звіт'!AD307</f>
        <v>25017.899582885919</v>
      </c>
      <c r="AE307" s="41">
        <f>'[2]побудинковий звіт'!AE307+'[1]побудинковий звіт'!AE307</f>
        <v>25070.24996359404</v>
      </c>
      <c r="AF307" s="36">
        <f t="shared" si="270"/>
        <v>52.35038070812152</v>
      </c>
      <c r="AG307" s="84">
        <f t="shared" si="271"/>
        <v>77706.732943368552</v>
      </c>
      <c r="AH307" s="56">
        <f t="shared" si="272"/>
        <v>67279.228890333528</v>
      </c>
      <c r="AI307" s="55">
        <f t="shared" si="273"/>
        <v>-10427.504053035023</v>
      </c>
      <c r="AJ307" s="41">
        <f>'[2]побудинковий звіт'!AJ307+'[1]побудинковий звіт'!AJ307</f>
        <v>0</v>
      </c>
      <c r="AK307" s="41">
        <f>'[2]побудинковий звіт'!AK307+'[1]побудинковий звіт'!AK307</f>
        <v>0</v>
      </c>
      <c r="AL307" s="55">
        <f t="shared" si="274"/>
        <v>0</v>
      </c>
      <c r="AM307" s="41">
        <f>'[2]побудинковий звіт'!AM307+'[1]побудинковий звіт'!AM307</f>
        <v>0</v>
      </c>
      <c r="AN307" s="41">
        <f>'[2]побудинковий звіт'!AN307+'[1]побудинковий звіт'!AN307</f>
        <v>0</v>
      </c>
      <c r="AO307" s="55">
        <f t="shared" si="275"/>
        <v>0</v>
      </c>
      <c r="AP307" s="41">
        <f>'[2]побудинковий звіт'!AP307+'[1]побудинковий звіт'!AP307</f>
        <v>4210.0412573471167</v>
      </c>
      <c r="AQ307" s="41">
        <f>'[2]побудинковий звіт'!AQ307+'[1]побудинковий звіт'!AQ307</f>
        <v>8487.350475518273</v>
      </c>
      <c r="AR307" s="55">
        <f t="shared" si="276"/>
        <v>4277.3092181711563</v>
      </c>
      <c r="AS307" s="41">
        <f>'[2]побудинковий звіт'!AS307+'[1]побудинковий звіт'!AS307</f>
        <v>90081.768552796566</v>
      </c>
      <c r="AT307" s="41">
        <f>'[2]побудинковий звіт'!AT307+'[1]побудинковий звіт'!AT307</f>
        <v>7089.1869410379877</v>
      </c>
      <c r="AU307" s="57">
        <f t="shared" si="277"/>
        <v>-82992.581611758578</v>
      </c>
      <c r="AV307" s="41">
        <f>'[2]побудинковий звіт'!AV307+'[1]побудинковий звіт'!AV307</f>
        <v>3451.7114415618225</v>
      </c>
      <c r="AW307" s="41">
        <f>'[2]побудинковий звіт'!AW307+'[1]побудинковий звіт'!AW307</f>
        <v>430.04681676810355</v>
      </c>
      <c r="AX307" s="58">
        <f t="shared" si="278"/>
        <v>-3021.6646247937188</v>
      </c>
      <c r="AY307" s="41">
        <f>'[2]побудинковий звіт'!AY307+'[1]побудинковий звіт'!AY307</f>
        <v>5298.9716299301808</v>
      </c>
      <c r="AZ307" s="41">
        <f>'[2]побудинковий звіт'!AZ307+'[1]побудинковий звіт'!AZ307</f>
        <v>5770.0688737719811</v>
      </c>
      <c r="BA307" s="36">
        <f t="shared" si="279"/>
        <v>471.09724384180026</v>
      </c>
      <c r="BB307" s="41">
        <f>'[2]побудинковий звіт'!BB307+'[1]побудинковий звіт'!BB307</f>
        <v>3057.3167071018515</v>
      </c>
      <c r="BC307" s="41">
        <f>'[2]побудинковий звіт'!BC307+'[1]побудинковий звіт'!BC307</f>
        <v>0</v>
      </c>
      <c r="BD307" s="58">
        <f t="shared" si="280"/>
        <v>-3057.3167071018515</v>
      </c>
      <c r="BE307" s="41">
        <f>'[2]побудинковий звіт'!BE307+'[1]побудинковий звіт'!BE307</f>
        <v>1728.1099755946589</v>
      </c>
      <c r="BF307" s="41">
        <f>'[2]побудинковий звіт'!BF307+'[1]побудинковий звіт'!BF307</f>
        <v>0</v>
      </c>
      <c r="BG307" s="38">
        <f t="shared" si="281"/>
        <v>-1728.1099755946589</v>
      </c>
      <c r="BH307" s="41">
        <f>'[2]побудинковий звіт'!BH307+'[1]побудинковий звіт'!BH307</f>
        <v>1201.3048505333079</v>
      </c>
      <c r="BI307" s="41">
        <f>'[2]побудинковий звіт'!BI307+'[1]побудинковий звіт'!BI307</f>
        <v>25.7652888</v>
      </c>
      <c r="BJ307" s="58">
        <f t="shared" si="282"/>
        <v>-1175.5395617333079</v>
      </c>
      <c r="BK307" s="41">
        <f>'[2]побудинковий звіт'!BK307+'[1]побудинковий звіт'!BK307</f>
        <v>3054.4172658362622</v>
      </c>
      <c r="BL307" s="41">
        <f>'[2]побудинковий звіт'!BL307+'[1]побудинковий звіт'!BL307</f>
        <v>3516.6662965623213</v>
      </c>
      <c r="BM307" s="38">
        <f t="shared" si="283"/>
        <v>462.24903072605912</v>
      </c>
      <c r="BN307" s="41">
        <f>'[2]побудинковий звіт'!BN307+'[1]побудинковий звіт'!BN307</f>
        <v>1446.9810295323978</v>
      </c>
      <c r="BO307" s="41">
        <f>'[2]побудинковий звіт'!BO307+'[1]побудинковий звіт'!BO307</f>
        <v>7077.2254898314477</v>
      </c>
      <c r="BP307" s="58">
        <f t="shared" si="284"/>
        <v>5630.2444602990499</v>
      </c>
      <c r="BQ307" s="84">
        <f t="shared" si="285"/>
        <v>19238.812900090481</v>
      </c>
      <c r="BR307" s="42">
        <f t="shared" si="286"/>
        <v>16819.772765733855</v>
      </c>
      <c r="BS307" s="58">
        <f t="shared" si="287"/>
        <v>-2419.0401343566264</v>
      </c>
      <c r="BT307" s="41">
        <f>'[2]побудинковий звіт'!BT307+'[1]побудинковий звіт'!BT307</f>
        <v>42541.903693025779</v>
      </c>
      <c r="BU307" s="41">
        <f>'[2]побудинковий звіт'!BU307+'[1]побудинковий звіт'!BU307</f>
        <v>79032.582605722826</v>
      </c>
      <c r="BV307" s="55">
        <f t="shared" si="288"/>
        <v>36490.678912697047</v>
      </c>
      <c r="BW307" s="41">
        <f>'[2]побудинковий звіт'!BW307+'[1]побудинковий звіт'!BW307</f>
        <v>35275.621995256341</v>
      </c>
      <c r="BX307" s="41">
        <f>'[2]побудинковий звіт'!BX307+'[1]побудинковий звіт'!BX307</f>
        <v>42201.036432067296</v>
      </c>
      <c r="BY307" s="55">
        <f t="shared" si="289"/>
        <v>6925.4144368109555</v>
      </c>
      <c r="BZ307" s="41">
        <f>'[2]побудинковий звіт'!BZ307+'[1]побудинковий звіт'!BZ307</f>
        <v>26269.050963373058</v>
      </c>
      <c r="CA307" s="41">
        <f>'[2]побудинковий звіт'!CA307+'[1]побудинковий звіт'!CA307</f>
        <v>7380.9442614616873</v>
      </c>
      <c r="CB307" s="55">
        <f t="shared" si="290"/>
        <v>-18888.106701911369</v>
      </c>
      <c r="CC307" s="41">
        <f>'[2]побудинковий звіт'!CC307+'[1]побудинковий звіт'!CC307</f>
        <v>2688.9673839187021</v>
      </c>
      <c r="CD307" s="41">
        <f>'[2]побудинковий звіт'!CD307+'[1]побудинковий звіт'!CD307</f>
        <v>2698.0853723802811</v>
      </c>
      <c r="CE307" s="55">
        <f t="shared" si="291"/>
        <v>9.1179884615789888</v>
      </c>
      <c r="CF307" s="41">
        <f>'[2]побудинковий звіт'!CF307+'[1]побудинковий звіт'!CF307</f>
        <v>333.14876650791052</v>
      </c>
      <c r="CG307" s="41">
        <f>'[2]побудинковий звіт'!CG307+'[1]побудинковий звіт'!CG307</f>
        <v>0</v>
      </c>
      <c r="CH307" s="55">
        <f t="shared" si="292"/>
        <v>-333.14876650791052</v>
      </c>
      <c r="CI307" s="41">
        <f>'[2]побудинковий звіт'!CI307+'[1]побудинковий звіт'!CI307</f>
        <v>13875.859460851669</v>
      </c>
      <c r="CJ307" s="41">
        <f>'[2]побудинковий звіт'!CJ307+'[1]побудинковий звіт'!CJ307</f>
        <v>6056.5006396075369</v>
      </c>
      <c r="CK307" s="55">
        <f t="shared" si="293"/>
        <v>-7819.3588212441318</v>
      </c>
      <c r="CL307" s="41">
        <f>'[2]побудинковий звіт'!CL307+'[1]побудинковий звіт'!CL307</f>
        <v>0</v>
      </c>
      <c r="CM307" s="41">
        <f>'[2]побудинковий звіт'!CM307+'[1]побудинковий звіт'!CM307</f>
        <v>0</v>
      </c>
      <c r="CN307" s="55">
        <f t="shared" si="294"/>
        <v>0</v>
      </c>
      <c r="CO307" s="41">
        <f t="shared" si="295"/>
        <v>13875.859460851669</v>
      </c>
      <c r="CP307" s="42">
        <f t="shared" si="296"/>
        <v>6056.5006396075369</v>
      </c>
      <c r="CQ307" s="55">
        <f t="shared" si="297"/>
        <v>-7819.3588212441318</v>
      </c>
      <c r="CR307" s="76">
        <f t="shared" si="298"/>
        <v>312221.90791653615</v>
      </c>
      <c r="CS307" s="5">
        <f t="shared" si="299"/>
        <v>237044.68838386328</v>
      </c>
      <c r="CT307" s="55">
        <f t="shared" si="300"/>
        <v>-75177.219532672869</v>
      </c>
      <c r="CU307" s="84">
        <f t="shared" si="301"/>
        <v>374666.28949984338</v>
      </c>
      <c r="CV307" s="68">
        <f t="shared" si="302"/>
        <v>284453.6260606359</v>
      </c>
      <c r="CW307" s="36">
        <f t="shared" si="303"/>
        <v>-90212.663439207477</v>
      </c>
      <c r="CX307" s="41">
        <f>'[2]побудинковий звіт'!CX307+'[1]побудинковий звіт'!CX307</f>
        <v>20652.846889468929</v>
      </c>
      <c r="CY307" s="41">
        <f>'[2]побудинковий звіт'!CY307+'[1]побудинковий звіт'!CY307</f>
        <v>110865.51032867641</v>
      </c>
      <c r="CZ307" s="55">
        <f t="shared" si="304"/>
        <v>90212.663439207477</v>
      </c>
      <c r="DA307" s="254">
        <f>'[1]побудинковий звіт'!DA307</f>
        <v>-16840.209713085147</v>
      </c>
      <c r="DB307" s="2">
        <v>1</v>
      </c>
      <c r="DC307" s="702">
        <f>'[1]побудинковий звіт'!DC307</f>
        <v>71491.38</v>
      </c>
      <c r="DD307" s="702">
        <f>'[1]побудинковий звіт'!DD307</f>
        <v>13310.609999999999</v>
      </c>
      <c r="DE307" s="702">
        <f>'[1]побудинковий звіт'!DE307</f>
        <v>36138.750000000007</v>
      </c>
      <c r="DF307" s="702">
        <f>'[1]побудинковий звіт'!DF307</f>
        <v>5255.6599999999989</v>
      </c>
      <c r="DG307" s="772">
        <v>253.59828801278491</v>
      </c>
      <c r="DH307" s="746">
        <f t="shared" si="306"/>
        <v>4743829.636671748</v>
      </c>
      <c r="DI307" s="769"/>
      <c r="DJ307" s="5"/>
      <c r="DK307" s="307">
        <f>VLOOKUP($A307,ціни!$A$4:$G$401,5)</f>
        <v>5.4989569093650967</v>
      </c>
      <c r="DL307" s="307"/>
      <c r="DM307" s="307">
        <f>VLOOKUP($A307,ціни!$A$4:$G$401,7)</f>
        <v>4.7254886619596475</v>
      </c>
      <c r="DN307" s="29">
        <f t="shared" si="315"/>
        <v>25303.285249736215</v>
      </c>
      <c r="DO307" s="29">
        <f t="shared" si="305"/>
        <v>5671.0589432177721</v>
      </c>
      <c r="DP307" s="306">
        <f t="shared" si="307"/>
        <v>30974.344192953988</v>
      </c>
      <c r="DQ307" s="101"/>
      <c r="DR307" s="29">
        <f>VLOOKUP(A307,'ДЗ нас '!$A$1:$C$359,2)</f>
        <v>25303.59</v>
      </c>
      <c r="DS307" s="733">
        <f>VLOOKUP(A307,'ДЗ нежит'!$A$1:$D$153,4,0)</f>
        <v>5671.09</v>
      </c>
      <c r="DT307" s="29">
        <f t="shared" si="308"/>
        <v>30974.68</v>
      </c>
      <c r="DU307" s="247">
        <f>VLOOKUP(A307,'новий кошторис с 01.06'!$A$4:$AI$399,35)*1.2</f>
        <v>31077.8142122258</v>
      </c>
      <c r="DV307" s="29">
        <f t="shared" si="309"/>
        <v>-103.13421222579927</v>
      </c>
      <c r="DW307" s="1016">
        <f>'[2]побудинковий звіт'!$DW$9+'[1]побудинковий звіт'!DW307</f>
        <v>1359</v>
      </c>
      <c r="DX307" s="101">
        <f>'[1]побудинковий звіт'!DX307</f>
        <v>0</v>
      </c>
      <c r="DY307" s="5">
        <f t="shared" si="310"/>
        <v>131184.69774346444</v>
      </c>
      <c r="DZ307" s="5">
        <f t="shared" si="311"/>
        <v>28690.75164812621</v>
      </c>
      <c r="EA307" s="737">
        <f t="shared" si="312"/>
        <v>41394.410000000003</v>
      </c>
      <c r="EC307" s="577">
        <f t="shared" si="313"/>
        <v>1080981.2226335588</v>
      </c>
      <c r="EE307" s="743">
        <v>-17169</v>
      </c>
      <c r="EF307" s="723">
        <f t="shared" si="314"/>
        <v>-16915.401711987215</v>
      </c>
      <c r="EH307" s="798">
        <v>-27388.749982139569</v>
      </c>
      <c r="EI307" s="101">
        <f>VLOOKUP(A307,'кошти 01.01.24'!$A$9:$D$352,4,FALSE)</f>
        <v>73372.45372612236</v>
      </c>
    </row>
    <row r="308" spans="1:139" hidden="1" x14ac:dyDescent="0.3">
      <c r="A308" s="318">
        <v>150000875</v>
      </c>
      <c r="B308" s="43" t="s">
        <v>774</v>
      </c>
      <c r="C308" s="44" t="s">
        <v>312</v>
      </c>
      <c r="D308" s="44" t="s">
        <v>312</v>
      </c>
      <c r="E308" s="39">
        <f t="shared" si="262"/>
        <v>3191.4</v>
      </c>
      <c r="F308" s="205">
        <f>'[1]побудинковий звіт'!F308</f>
        <v>3191.4</v>
      </c>
      <c r="G308" s="29">
        <f>'[1]побудинковий звіт'!G308</f>
        <v>0</v>
      </c>
      <c r="H308" s="148">
        <f>'[1]побудинковий звіт'!H308</f>
        <v>0</v>
      </c>
      <c r="I308" s="41">
        <f>'[2]побудинковий звіт'!I308+'[1]побудинковий звіт'!I308</f>
        <v>13593.442460767916</v>
      </c>
      <c r="J308" s="41">
        <f>'[2]побудинковий звіт'!J308+'[1]побудинковий звіт'!J308</f>
        <v>10707.100624973504</v>
      </c>
      <c r="K308" s="55">
        <f t="shared" si="263"/>
        <v>-2886.341835794412</v>
      </c>
      <c r="L308" s="41">
        <f>'[2]побудинковий звіт'!L308+'[1]побудинковий звіт'!L308</f>
        <v>2696.3329027745576</v>
      </c>
      <c r="M308" s="41">
        <f>'[2]побудинковий звіт'!M308+'[1]побудинковий звіт'!M308</f>
        <v>2335.5096530289343</v>
      </c>
      <c r="N308" s="55">
        <f t="shared" si="264"/>
        <v>-360.82324974562334</v>
      </c>
      <c r="O308" s="41">
        <f>'[2]побудинковий звіт'!O308+'[1]побудинковий звіт'!O308</f>
        <v>5214.5186120196331</v>
      </c>
      <c r="P308" s="41">
        <f>'[2]побудинковий звіт'!P308+'[1]побудинковий звіт'!P308</f>
        <v>5228.9573108978584</v>
      </c>
      <c r="Q308" s="55">
        <f t="shared" si="265"/>
        <v>14.438698878225296</v>
      </c>
      <c r="R308" s="41">
        <f>'[2]побудинковий звіт'!R308+'[1]побудинковий звіт'!R308</f>
        <v>0</v>
      </c>
      <c r="S308" s="41">
        <f>'[2]побудинковий звіт'!S308+'[1]побудинковий звіт'!S308</f>
        <v>0</v>
      </c>
      <c r="T308" s="55">
        <f t="shared" si="266"/>
        <v>0</v>
      </c>
      <c r="U308" s="41">
        <f>'[2]побудинковий звіт'!U308+'[1]побудинковий звіт'!U308</f>
        <v>233.87745698177133</v>
      </c>
      <c r="V308" s="41">
        <f>'[2]побудинковий звіт'!V308+'[1]побудинковий звіт'!V308</f>
        <v>134.93073857999187</v>
      </c>
      <c r="W308" s="55">
        <f t="shared" si="267"/>
        <v>-98.946718401779464</v>
      </c>
      <c r="X308" s="41">
        <f>'[2]побудинковий звіт'!X308+'[1]побудинковий звіт'!X308</f>
        <v>7814.8815900246955</v>
      </c>
      <c r="Y308" s="41">
        <f>'[2]побудинковий звіт'!Y308+'[1]побудинковий звіт'!Y308</f>
        <v>5657.792723458153</v>
      </c>
      <c r="Z308" s="55">
        <f t="shared" si="268"/>
        <v>-2157.0888665665425</v>
      </c>
      <c r="AA308" s="41">
        <f>'[2]побудинковий звіт'!AA308+'[1]побудинковий звіт'!AA308</f>
        <v>0</v>
      </c>
      <c r="AB308" s="41">
        <f>'[2]побудинковий звіт'!AB308+'[1]побудинковий звіт'!AB308</f>
        <v>0</v>
      </c>
      <c r="AC308" s="55">
        <f t="shared" si="269"/>
        <v>0</v>
      </c>
      <c r="AD308" s="41">
        <f>'[2]побудинковий звіт'!AD308+'[1]побудинковий звіт'!AD308</f>
        <v>13837.419567849107</v>
      </c>
      <c r="AE308" s="41">
        <f>'[2]побудинковий звіт'!AE308+'[1]побудинковий звіт'!AE308</f>
        <v>13783.7797606163</v>
      </c>
      <c r="AF308" s="36">
        <f t="shared" si="270"/>
        <v>-53.639807232806561</v>
      </c>
      <c r="AG308" s="84">
        <f t="shared" si="271"/>
        <v>43390.472590417681</v>
      </c>
      <c r="AH308" s="56">
        <f t="shared" si="272"/>
        <v>37848.070811554739</v>
      </c>
      <c r="AI308" s="55">
        <f t="shared" si="273"/>
        <v>-5542.4017788629426</v>
      </c>
      <c r="AJ308" s="41">
        <f>'[2]побудинковий звіт'!AJ308+'[1]побудинковий звіт'!AJ308</f>
        <v>0</v>
      </c>
      <c r="AK308" s="41">
        <f>'[2]побудинковий звіт'!AK308+'[1]побудинковий звіт'!AK308</f>
        <v>0</v>
      </c>
      <c r="AL308" s="55">
        <f t="shared" si="274"/>
        <v>0</v>
      </c>
      <c r="AM308" s="41">
        <f>'[2]побудинковий звіт'!AM308+'[1]побудинковий звіт'!AM308</f>
        <v>0</v>
      </c>
      <c r="AN308" s="41">
        <f>'[2]побудинковий звіт'!AN308+'[1]побудинковий звіт'!AN308</f>
        <v>0</v>
      </c>
      <c r="AO308" s="55">
        <f t="shared" si="275"/>
        <v>0</v>
      </c>
      <c r="AP308" s="41">
        <f>'[2]побудинковий звіт'!AP308+'[1]побудинковий звіт'!AP308</f>
        <v>10401.278400504641</v>
      </c>
      <c r="AQ308" s="41">
        <f>'[2]побудинковий звіт'!AQ308+'[1]побудинковий звіт'!AQ308</f>
        <v>5392.3125702716889</v>
      </c>
      <c r="AR308" s="55">
        <f t="shared" si="276"/>
        <v>-5008.9658302329526</v>
      </c>
      <c r="AS308" s="41">
        <f>'[2]побудинковий звіт'!AS308+'[1]побудинковий звіт'!AS308</f>
        <v>37157.973483588401</v>
      </c>
      <c r="AT308" s="41">
        <f>'[2]побудинковий звіт'!AT308+'[1]побудинковий звіт'!AT308</f>
        <v>10733.840994573713</v>
      </c>
      <c r="AU308" s="57">
        <f t="shared" si="277"/>
        <v>-26424.132489014686</v>
      </c>
      <c r="AV308" s="41">
        <f>'[2]побудинковий звіт'!AV308+'[1]побудинковий звіт'!AV308</f>
        <v>2306.4394356624289</v>
      </c>
      <c r="AW308" s="41">
        <f>'[2]побудинковий звіт'!AW308+'[1]побудинковий звіт'!AW308</f>
        <v>0</v>
      </c>
      <c r="AX308" s="58">
        <f t="shared" si="278"/>
        <v>-2306.4394356624289</v>
      </c>
      <c r="AY308" s="41">
        <f>'[2]побудинковий звіт'!AY308+'[1]побудинковий звіт'!AY308</f>
        <v>3512.8775923215535</v>
      </c>
      <c r="AZ308" s="41">
        <f>'[2]побудинковий звіт'!AZ308+'[1]побудинковий звіт'!AZ308</f>
        <v>6648.2973791566701</v>
      </c>
      <c r="BA308" s="36">
        <f t="shared" si="279"/>
        <v>3135.4197868351166</v>
      </c>
      <c r="BB308" s="41">
        <f>'[2]побудинковий звіт'!BB308+'[1]побудинковий звіт'!BB308</f>
        <v>1965.8916895263117</v>
      </c>
      <c r="BC308" s="41">
        <f>'[2]побудинковий звіт'!BC308+'[1]побудинковий звіт'!BC308</f>
        <v>1451.859145189771</v>
      </c>
      <c r="BD308" s="58">
        <f t="shared" si="280"/>
        <v>-514.0325443365407</v>
      </c>
      <c r="BE308" s="41">
        <f>'[2]побудинковий звіт'!BE308+'[1]побудинковий звіт'!BE308</f>
        <v>0</v>
      </c>
      <c r="BF308" s="41">
        <f>'[2]побудинковий звіт'!BF308+'[1]побудинковий звіт'!BF308</f>
        <v>0</v>
      </c>
      <c r="BG308" s="38">
        <f t="shared" si="281"/>
        <v>0</v>
      </c>
      <c r="BH308" s="41">
        <f>'[2]побудинковий звіт'!BH308+'[1]побудинковий звіт'!BH308</f>
        <v>137.84135996429129</v>
      </c>
      <c r="BI308" s="41">
        <f>'[2]побудинковий звіт'!BI308+'[1]побудинковий звіт'!BI308</f>
        <v>1258.012607588372</v>
      </c>
      <c r="BJ308" s="58">
        <f t="shared" si="282"/>
        <v>1120.1712476240807</v>
      </c>
      <c r="BK308" s="41">
        <f>'[2]побудинковий звіт'!BK308+'[1]побудинковий звіт'!BK308</f>
        <v>1452.670524312925</v>
      </c>
      <c r="BL308" s="41">
        <f>'[2]побудинковий звіт'!BL308+'[1]побудинковий звіт'!BL308</f>
        <v>3724.8053152572024</v>
      </c>
      <c r="BM308" s="38">
        <f t="shared" si="283"/>
        <v>2272.1347909442775</v>
      </c>
      <c r="BN308" s="41">
        <f>'[2]побудинковий звіт'!BN308+'[1]побудинковий звіт'!BN308</f>
        <v>1051.4286392323529</v>
      </c>
      <c r="BO308" s="41">
        <f>'[2]побудинковий звіт'!BO308+'[1]побудинковий звіт'!BO308</f>
        <v>0</v>
      </c>
      <c r="BP308" s="58">
        <f t="shared" si="284"/>
        <v>-1051.4286392323529</v>
      </c>
      <c r="BQ308" s="84">
        <f t="shared" si="285"/>
        <v>10427.149241019863</v>
      </c>
      <c r="BR308" s="42">
        <f t="shared" si="286"/>
        <v>13082.974447192017</v>
      </c>
      <c r="BS308" s="58">
        <f t="shared" si="287"/>
        <v>2655.8252061721541</v>
      </c>
      <c r="BT308" s="41">
        <f>'[2]побудинковий звіт'!BT308+'[1]побудинковий звіт'!BT308</f>
        <v>28908.089557167288</v>
      </c>
      <c r="BU308" s="41">
        <f>'[2]побудинковий звіт'!BU308+'[1]побудинковий звіт'!BU308</f>
        <v>45440.340621337236</v>
      </c>
      <c r="BV308" s="55">
        <f t="shared" si="288"/>
        <v>16532.251064169948</v>
      </c>
      <c r="BW308" s="41">
        <f>'[2]побудинковий звіт'!BW308+'[1]побудинковий звіт'!BW308</f>
        <v>17939.581618236516</v>
      </c>
      <c r="BX308" s="41">
        <f>'[2]побудинковий звіт'!BX308+'[1]побудинковий звіт'!BX308</f>
        <v>20070.368372804107</v>
      </c>
      <c r="BY308" s="55">
        <f t="shared" si="289"/>
        <v>2130.7867545675908</v>
      </c>
      <c r="BZ308" s="41">
        <f>'[2]побудинковий звіт'!BZ308+'[1]побудинковий звіт'!BZ308</f>
        <v>13179.825078532027</v>
      </c>
      <c r="CA308" s="41">
        <f>'[2]побудинковий звіт'!CA308+'[1]побудинковий звіт'!CA308</f>
        <v>2938.7259561618434</v>
      </c>
      <c r="CB308" s="55">
        <f t="shared" si="290"/>
        <v>-10241.099122370184</v>
      </c>
      <c r="CC308" s="41">
        <f>'[2]побудинковий звіт'!CC308+'[1]побудинковий звіт'!CC308</f>
        <v>900.8010200499856</v>
      </c>
      <c r="CD308" s="41">
        <f>'[2]побудинковий звіт'!CD308+'[1]побудинковий звіт'!CD308</f>
        <v>903.85553583032367</v>
      </c>
      <c r="CE308" s="55">
        <f t="shared" si="291"/>
        <v>3.0545157803380789</v>
      </c>
      <c r="CF308" s="41">
        <f>'[2]побудинковий звіт'!CF308+'[1]побудинковий звіт'!CF308</f>
        <v>111.60445845995181</v>
      </c>
      <c r="CG308" s="41">
        <f>'[2]побудинковий звіт'!CG308+'[1]побудинковий звіт'!CG308</f>
        <v>0</v>
      </c>
      <c r="CH308" s="55">
        <f t="shared" si="292"/>
        <v>-111.60445845995181</v>
      </c>
      <c r="CI308" s="41">
        <f>'[2]побудинковий звіт'!CI308+'[1]побудинковий звіт'!CI308</f>
        <v>5566.50783813208</v>
      </c>
      <c r="CJ308" s="41">
        <f>'[2]побудинковий звіт'!CJ308+'[1]побудинковий звіт'!CJ308</f>
        <v>2264.1192845562778</v>
      </c>
      <c r="CK308" s="55">
        <f t="shared" si="293"/>
        <v>-3302.3885535758022</v>
      </c>
      <c r="CL308" s="41">
        <f>'[2]побудинковий звіт'!CL308+'[1]побудинковий звіт'!CL308</f>
        <v>0</v>
      </c>
      <c r="CM308" s="41">
        <f>'[2]побудинковий звіт'!CM308+'[1]побудинковий звіт'!CM308</f>
        <v>0</v>
      </c>
      <c r="CN308" s="55">
        <f t="shared" si="294"/>
        <v>0</v>
      </c>
      <c r="CO308" s="41">
        <f t="shared" si="295"/>
        <v>5566.50783813208</v>
      </c>
      <c r="CP308" s="42">
        <f t="shared" si="296"/>
        <v>2264.1192845562778</v>
      </c>
      <c r="CQ308" s="55">
        <f t="shared" si="297"/>
        <v>-3302.3885535758022</v>
      </c>
      <c r="CR308" s="76">
        <f t="shared" si="298"/>
        <v>167983.28328610843</v>
      </c>
      <c r="CS308" s="5">
        <f t="shared" si="299"/>
        <v>138674.60859428195</v>
      </c>
      <c r="CT308" s="55">
        <f t="shared" si="300"/>
        <v>-29308.674691826483</v>
      </c>
      <c r="CU308" s="84">
        <f t="shared" si="301"/>
        <v>201579.9399433301</v>
      </c>
      <c r="CV308" s="68">
        <f t="shared" si="302"/>
        <v>166409.53031313833</v>
      </c>
      <c r="CW308" s="36">
        <f t="shared" si="303"/>
        <v>-35170.409630191774</v>
      </c>
      <c r="CX308" s="41">
        <f>'[2]побудинковий звіт'!CX308+'[1]побудинковий звіт'!CX308</f>
        <v>5336.8652407548307</v>
      </c>
      <c r="CY308" s="41">
        <f>'[2]побудинковий звіт'!CY308+'[1]побудинковий звіт'!CY308</f>
        <v>40507.274870946618</v>
      </c>
      <c r="CZ308" s="55">
        <f t="shared" si="304"/>
        <v>35170.409630191789</v>
      </c>
      <c r="DA308" s="254">
        <f>'[1]побудинковий звіт'!DA308</f>
        <v>-42013.5028736803</v>
      </c>
      <c r="DB308" s="2">
        <v>1</v>
      </c>
      <c r="DC308" s="702">
        <f>'[1]побудинковий звіт'!DC308</f>
        <v>51685.94</v>
      </c>
      <c r="DD308" s="702">
        <f>'[1]побудинковий звіт'!DD308</f>
        <v>0</v>
      </c>
      <c r="DE308" s="702">
        <f>'[1]побудинковий звіт'!DE308</f>
        <v>28860.100000000002</v>
      </c>
      <c r="DF308" s="702">
        <f>'[1]побудинковий звіт'!DF308</f>
        <v>0</v>
      </c>
      <c r="DG308" s="772">
        <v>-43482.446078907116</v>
      </c>
      <c r="DH308" s="746">
        <f t="shared" si="306"/>
        <v>2483001.6622090191</v>
      </c>
      <c r="DI308" s="769"/>
      <c r="DJ308" s="5"/>
      <c r="DK308" s="307">
        <f>VLOOKUP($A308,ціни!$A$4:$G$401,5)</f>
        <v>5.0739162843374102</v>
      </c>
      <c r="DL308" s="307"/>
      <c r="DM308" s="307">
        <f>VLOOKUP($A308,ціни!$A$4:$G$401,7)</f>
        <v>4.5259470896596294</v>
      </c>
      <c r="DN308" s="29">
        <f t="shared" si="315"/>
        <v>16192.896429834411</v>
      </c>
      <c r="DO308" s="29">
        <f t="shared" si="305"/>
        <v>0</v>
      </c>
      <c r="DP308" s="306">
        <f t="shared" si="307"/>
        <v>16192.896429834411</v>
      </c>
      <c r="DQ308" s="101"/>
      <c r="DR308" s="29">
        <f>VLOOKUP(A308,'ДЗ нас '!$A$1:$C$359,2)</f>
        <v>16192.85</v>
      </c>
      <c r="DS308" s="733"/>
      <c r="DT308" s="29">
        <f t="shared" si="308"/>
        <v>16192.85</v>
      </c>
      <c r="DU308" s="247">
        <f>VLOOKUP(A308,'новий кошторис с 01.06'!$A$4:$AI$399,35)*1.2</f>
        <v>16249.77602626738</v>
      </c>
      <c r="DV308" s="29">
        <f t="shared" si="309"/>
        <v>-56.926026267379711</v>
      </c>
      <c r="DW308" s="1016">
        <f>'[2]побудинковий звіт'!$DW$9+'[1]побудинковий звіт'!DW308</f>
        <v>909</v>
      </c>
      <c r="DX308" s="101">
        <f>'[1]побудинковий звіт'!DX308</f>
        <v>0</v>
      </c>
      <c r="DY308" s="5">
        <f t="shared" si="310"/>
        <v>57102.147269529916</v>
      </c>
      <c r="DZ308" s="5">
        <f t="shared" si="311"/>
        <v>28580.178530118872</v>
      </c>
      <c r="EA308" s="737">
        <f t="shared" si="312"/>
        <v>28860.100000000002</v>
      </c>
      <c r="EC308" s="577">
        <f t="shared" si="313"/>
        <v>445895.68180306081</v>
      </c>
      <c r="EE308" s="743">
        <v>59741</v>
      </c>
      <c r="EF308" s="723">
        <f t="shared" si="314"/>
        <v>16258.553921092884</v>
      </c>
      <c r="EH308" s="798">
        <v>15230.244711017724</v>
      </c>
      <c r="EI308" s="101">
        <f>VLOOKUP(A308,'кошти 01.01.24'!$A$9:$D$352,4,FALSE)</f>
        <v>-6843.0932434885344</v>
      </c>
    </row>
    <row r="309" spans="1:139" hidden="1" x14ac:dyDescent="0.3">
      <c r="A309" s="318">
        <v>150000871</v>
      </c>
      <c r="B309" s="43" t="s">
        <v>775</v>
      </c>
      <c r="C309" s="44" t="s">
        <v>140</v>
      </c>
      <c r="D309" s="44" t="s">
        <v>140</v>
      </c>
      <c r="E309" s="39">
        <f t="shared" si="262"/>
        <v>152.6</v>
      </c>
      <c r="F309" s="205">
        <f>'[1]побудинковий звіт'!F309</f>
        <v>152.6</v>
      </c>
      <c r="G309" s="29">
        <f>'[1]побудинковий звіт'!G309</f>
        <v>0</v>
      </c>
      <c r="H309" s="148">
        <f>'[1]побудинковий звіт'!H309</f>
        <v>0</v>
      </c>
      <c r="I309" s="41">
        <f>'[2]побудинковий звіт'!I309+'[1]побудинковий звіт'!I309</f>
        <v>0</v>
      </c>
      <c r="J309" s="41">
        <f>'[2]побудинковий звіт'!J309+'[1]побудинковий звіт'!J309</f>
        <v>0</v>
      </c>
      <c r="K309" s="55">
        <f t="shared" si="263"/>
        <v>0</v>
      </c>
      <c r="L309" s="41">
        <f>'[2]побудинковий звіт'!L309+'[1]побудинковий звіт'!L309</f>
        <v>0</v>
      </c>
      <c r="M309" s="41">
        <f>'[2]побудинковий звіт'!M309+'[1]побудинковий звіт'!M309</f>
        <v>0</v>
      </c>
      <c r="N309" s="55">
        <f t="shared" si="264"/>
        <v>0</v>
      </c>
      <c r="O309" s="41">
        <f>'[2]побудинковий звіт'!O309+'[1]побудинковий звіт'!O309</f>
        <v>0</v>
      </c>
      <c r="P309" s="41">
        <f>'[2]побудинковий звіт'!P309+'[1]побудинковий звіт'!P309</f>
        <v>0</v>
      </c>
      <c r="Q309" s="55">
        <f t="shared" si="265"/>
        <v>0</v>
      </c>
      <c r="R309" s="41">
        <f>'[2]побудинковий звіт'!R309+'[1]побудинковий звіт'!R309</f>
        <v>0</v>
      </c>
      <c r="S309" s="41">
        <f>'[2]побудинковий звіт'!S309+'[1]побудинковий звіт'!S309</f>
        <v>0</v>
      </c>
      <c r="T309" s="55">
        <f t="shared" si="266"/>
        <v>0</v>
      </c>
      <c r="U309" s="41">
        <f>'[2]побудинковий звіт'!U309+'[1]побудинковий звіт'!U309</f>
        <v>0</v>
      </c>
      <c r="V309" s="41">
        <f>'[2]побудинковий звіт'!V309+'[1]побудинковий звіт'!V309</f>
        <v>0</v>
      </c>
      <c r="W309" s="55">
        <f t="shared" si="267"/>
        <v>0</v>
      </c>
      <c r="X309" s="41">
        <f>'[2]побудинковий звіт'!X309+'[1]побудинковий звіт'!X309</f>
        <v>0</v>
      </c>
      <c r="Y309" s="41">
        <f>'[2]побудинковий звіт'!Y309+'[1]побудинковий звіт'!Y309</f>
        <v>0</v>
      </c>
      <c r="Z309" s="55">
        <f t="shared" si="268"/>
        <v>0</v>
      </c>
      <c r="AA309" s="41">
        <f>'[2]побудинковий звіт'!AA309+'[1]побудинковий звіт'!AA309</f>
        <v>0</v>
      </c>
      <c r="AB309" s="41">
        <f>'[2]побудинковий звіт'!AB309+'[1]побудинковий звіт'!AB309</f>
        <v>0</v>
      </c>
      <c r="AC309" s="55">
        <f t="shared" si="269"/>
        <v>0</v>
      </c>
      <c r="AD309" s="41">
        <f>'[2]побудинковий звіт'!AD309+'[1]побудинковий звіт'!AD309</f>
        <v>0</v>
      </c>
      <c r="AE309" s="41">
        <f>'[2]побудинковий звіт'!AE309+'[1]побудинковий звіт'!AE309</f>
        <v>0</v>
      </c>
      <c r="AF309" s="36">
        <f t="shared" si="270"/>
        <v>0</v>
      </c>
      <c r="AG309" s="84">
        <f t="shared" si="271"/>
        <v>0</v>
      </c>
      <c r="AH309" s="56">
        <f t="shared" si="272"/>
        <v>0</v>
      </c>
      <c r="AI309" s="55">
        <f t="shared" si="273"/>
        <v>0</v>
      </c>
      <c r="AJ309" s="41">
        <f>'[2]побудинковий звіт'!AJ309+'[1]побудинковий звіт'!AJ309</f>
        <v>0</v>
      </c>
      <c r="AK309" s="41">
        <f>'[2]побудинковий звіт'!AK309+'[1]побудинковий звіт'!AK309</f>
        <v>0</v>
      </c>
      <c r="AL309" s="55">
        <f t="shared" si="274"/>
        <v>0</v>
      </c>
      <c r="AM309" s="41">
        <f>'[2]побудинковий звіт'!AM309+'[1]побудинковий звіт'!AM309</f>
        <v>0</v>
      </c>
      <c r="AN309" s="41">
        <f>'[2]побудинковий звіт'!AN309+'[1]побудинковий звіт'!AN309</f>
        <v>0</v>
      </c>
      <c r="AO309" s="55">
        <f t="shared" si="275"/>
        <v>0</v>
      </c>
      <c r="AP309" s="41">
        <f>'[2]побудинковий звіт'!AP309+'[1]побудинковий звіт'!AP309</f>
        <v>268.15066885110389</v>
      </c>
      <c r="AQ309" s="41">
        <f>'[2]побудинковий звіт'!AQ309+'[1]побудинковий звіт'!AQ309</f>
        <v>140.47538423161123</v>
      </c>
      <c r="AR309" s="55">
        <f t="shared" si="276"/>
        <v>-127.67528461949266</v>
      </c>
      <c r="AS309" s="41">
        <f>'[2]побудинковий звіт'!AS309+'[1]побудинковий звіт'!AS309</f>
        <v>2390.1219587026112</v>
      </c>
      <c r="AT309" s="41">
        <f>'[2]побудинковий звіт'!AT309+'[1]побудинковий звіт'!AT309</f>
        <v>13345</v>
      </c>
      <c r="AU309" s="57">
        <f t="shared" si="277"/>
        <v>10954.878041297388</v>
      </c>
      <c r="AV309" s="41">
        <f>'[2]побудинковий звіт'!AV309+'[1]побудинковий звіт'!AV309</f>
        <v>0</v>
      </c>
      <c r="AW309" s="41">
        <f>'[2]побудинковий звіт'!AW309+'[1]побудинковий звіт'!AW309</f>
        <v>0</v>
      </c>
      <c r="AX309" s="58">
        <f t="shared" si="278"/>
        <v>0</v>
      </c>
      <c r="AY309" s="41">
        <f>'[2]побудинковий звіт'!AY309+'[1]побудинковий звіт'!AY309</f>
        <v>0</v>
      </c>
      <c r="AZ309" s="41">
        <f>'[2]побудинковий звіт'!AZ309+'[1]побудинковий звіт'!AZ309</f>
        <v>0</v>
      </c>
      <c r="BA309" s="36">
        <f t="shared" si="279"/>
        <v>0</v>
      </c>
      <c r="BB309" s="41">
        <f>'[2]побудинковий звіт'!BB309+'[1]побудинковий звіт'!BB309</f>
        <v>0</v>
      </c>
      <c r="BC309" s="41">
        <f>'[2]побудинковий звіт'!BC309+'[1]побудинковий звіт'!BC309</f>
        <v>0</v>
      </c>
      <c r="BD309" s="58">
        <f t="shared" si="280"/>
        <v>0</v>
      </c>
      <c r="BE309" s="41">
        <f>'[2]побудинковий звіт'!BE309+'[1]побудинковий звіт'!BE309</f>
        <v>0</v>
      </c>
      <c r="BF309" s="41">
        <f>'[2]побудинковий звіт'!BF309+'[1]побудинковий звіт'!BF309</f>
        <v>0</v>
      </c>
      <c r="BG309" s="38">
        <f t="shared" si="281"/>
        <v>0</v>
      </c>
      <c r="BH309" s="41">
        <f>'[2]побудинковий звіт'!BH309+'[1]побудинковий звіт'!BH309</f>
        <v>0</v>
      </c>
      <c r="BI309" s="41">
        <f>'[2]побудинковий звіт'!BI309+'[1]побудинковий звіт'!BI309</f>
        <v>0</v>
      </c>
      <c r="BJ309" s="58">
        <f t="shared" si="282"/>
        <v>0</v>
      </c>
      <c r="BK309" s="41">
        <f>'[2]побудинковий звіт'!BK309+'[1]побудинковий звіт'!BK309</f>
        <v>0</v>
      </c>
      <c r="BL309" s="41">
        <f>'[2]побудинковий звіт'!BL309+'[1]побудинковий звіт'!BL309</f>
        <v>0</v>
      </c>
      <c r="BM309" s="38">
        <f t="shared" si="283"/>
        <v>0</v>
      </c>
      <c r="BN309" s="41">
        <f>'[2]побудинковий звіт'!BN309+'[1]побудинковий звіт'!BN309</f>
        <v>0</v>
      </c>
      <c r="BO309" s="41">
        <f>'[2]побудинковий звіт'!BO309+'[1]побудинковий звіт'!BO309</f>
        <v>0</v>
      </c>
      <c r="BP309" s="58">
        <f t="shared" si="284"/>
        <v>0</v>
      </c>
      <c r="BQ309" s="84">
        <f t="shared" si="285"/>
        <v>0</v>
      </c>
      <c r="BR309" s="42">
        <f t="shared" si="286"/>
        <v>0</v>
      </c>
      <c r="BS309" s="58">
        <f t="shared" si="287"/>
        <v>0</v>
      </c>
      <c r="BT309" s="41">
        <f>'[2]побудинковий звіт'!BT309+'[1]побудинковий звіт'!BT309</f>
        <v>0</v>
      </c>
      <c r="BU309" s="41">
        <f>'[2]побудинковий звіт'!BU309+'[1]побудинковий звіт'!BU309</f>
        <v>0</v>
      </c>
      <c r="BV309" s="55">
        <f t="shared" si="288"/>
        <v>0</v>
      </c>
      <c r="BW309" s="41">
        <f>'[2]побудинковий звіт'!BW309+'[1]побудинковий звіт'!BW309</f>
        <v>0</v>
      </c>
      <c r="BX309" s="41">
        <f>'[2]побудинковий звіт'!BX309+'[1]побудинковий звіт'!BX309</f>
        <v>0.62112658806990695</v>
      </c>
      <c r="BY309" s="55">
        <f t="shared" si="289"/>
        <v>0.62112658806990695</v>
      </c>
      <c r="BZ309" s="41">
        <f>'[2]побудинковий звіт'!BZ309+'[1]побудинковий звіт'!BZ309</f>
        <v>0</v>
      </c>
      <c r="CA309" s="41">
        <f>'[2]побудинковий звіт'!CA309+'[1]побудинковий звіт'!CA309</f>
        <v>0</v>
      </c>
      <c r="CB309" s="55">
        <f t="shared" si="290"/>
        <v>0</v>
      </c>
      <c r="CC309" s="41">
        <f>'[2]побудинковий звіт'!CC309+'[1]побудинковий звіт'!CC309</f>
        <v>0</v>
      </c>
      <c r="CD309" s="41">
        <f>'[2]побудинковий звіт'!CD309+'[1]побудинковий звіт'!CD309</f>
        <v>0</v>
      </c>
      <c r="CE309" s="55">
        <f t="shared" si="291"/>
        <v>0</v>
      </c>
      <c r="CF309" s="41">
        <f>'[2]побудинковий звіт'!CF309+'[1]побудинковий звіт'!CF309</f>
        <v>0</v>
      </c>
      <c r="CG309" s="41">
        <f>'[2]побудинковий звіт'!CG309+'[1]побудинковий звіт'!CG309</f>
        <v>0</v>
      </c>
      <c r="CH309" s="55">
        <f t="shared" si="292"/>
        <v>0</v>
      </c>
      <c r="CI309" s="41">
        <f>'[2]побудинковий звіт'!CI309+'[1]побудинковий звіт'!CI309</f>
        <v>0</v>
      </c>
      <c r="CJ309" s="41">
        <f>'[2]побудинковий звіт'!CJ309+'[1]побудинковий звіт'!CJ309</f>
        <v>0</v>
      </c>
      <c r="CK309" s="55">
        <f t="shared" si="293"/>
        <v>0</v>
      </c>
      <c r="CL309" s="41">
        <f>'[2]побудинковий звіт'!CL309+'[1]побудинковий звіт'!CL309</f>
        <v>0</v>
      </c>
      <c r="CM309" s="41">
        <f>'[2]побудинковий звіт'!CM309+'[1]побудинковий звіт'!CM309</f>
        <v>0</v>
      </c>
      <c r="CN309" s="55">
        <f t="shared" si="294"/>
        <v>0</v>
      </c>
      <c r="CO309" s="41">
        <f t="shared" si="295"/>
        <v>0</v>
      </c>
      <c r="CP309" s="42">
        <f t="shared" si="296"/>
        <v>0</v>
      </c>
      <c r="CQ309" s="55">
        <f t="shared" si="297"/>
        <v>0</v>
      </c>
      <c r="CR309" s="76">
        <f t="shared" si="298"/>
        <v>2658.2726275537152</v>
      </c>
      <c r="CS309" s="5">
        <f t="shared" si="299"/>
        <v>13486.096510819681</v>
      </c>
      <c r="CT309" s="55">
        <f t="shared" si="300"/>
        <v>10827.823883265966</v>
      </c>
      <c r="CU309" s="84">
        <f t="shared" si="301"/>
        <v>3189.9271530644583</v>
      </c>
      <c r="CV309" s="68">
        <f t="shared" si="302"/>
        <v>16183.315812983617</v>
      </c>
      <c r="CW309" s="36">
        <f t="shared" si="303"/>
        <v>12993.388659919159</v>
      </c>
      <c r="CX309" s="41">
        <f>'[2]побудинковий звіт'!CX309+'[1]побудинковий звіт'!CX309</f>
        <v>95.92828054302538</v>
      </c>
      <c r="CY309" s="41">
        <f>'[2]побудинковий звіт'!CY309+'[1]побудинковий звіт'!CY309</f>
        <v>-12897.460379376131</v>
      </c>
      <c r="CZ309" s="55">
        <f t="shared" si="304"/>
        <v>-12993.388659919156</v>
      </c>
      <c r="DA309" s="254">
        <f>'[1]побудинковий звіт'!DA309</f>
        <v>5824.6022979116769</v>
      </c>
      <c r="DB309" s="2">
        <v>2</v>
      </c>
      <c r="DC309" s="702">
        <f>'[1]побудинковий звіт'!DC309</f>
        <v>305.67</v>
      </c>
      <c r="DD309" s="702">
        <f>'[1]побудинковий звіт'!DD309</f>
        <v>0</v>
      </c>
      <c r="DE309" s="702">
        <f>'[1]побудинковий звіт'!DE309</f>
        <v>-53.899999999999977</v>
      </c>
      <c r="DF309" s="702">
        <f>'[1]побудинковий звіт'!DF309</f>
        <v>0</v>
      </c>
      <c r="DG309" s="772">
        <v>-3219.5141914928699</v>
      </c>
      <c r="DH309" s="746">
        <f t="shared" si="306"/>
        <v>39430.265203289804</v>
      </c>
      <c r="DI309" s="769"/>
      <c r="DJ309" s="5"/>
      <c r="DK309" s="307">
        <f>VLOOKUP($A309,ціни!$A$4:$G$401,5)</f>
        <v>1.6887191271692688</v>
      </c>
      <c r="DL309" s="307"/>
      <c r="DM309" s="307">
        <f>VLOOKUP($A309,ціни!$A$4:$G$401,7)</f>
        <v>1.6887191271692688</v>
      </c>
      <c r="DN309" s="29">
        <f t="shared" si="315"/>
        <v>257.6985388060304</v>
      </c>
      <c r="DO309" s="29">
        <f t="shared" si="305"/>
        <v>0</v>
      </c>
      <c r="DP309" s="306">
        <f t="shared" si="307"/>
        <v>257.6985388060304</v>
      </c>
      <c r="DQ309" s="101"/>
      <c r="DR309" s="29">
        <f>VLOOKUP(A309,'ДЗ нас '!$A$1:$C$359,2)</f>
        <v>257.69</v>
      </c>
      <c r="DS309" s="733"/>
      <c r="DT309" s="29">
        <f t="shared" si="308"/>
        <v>257.69</v>
      </c>
      <c r="DU309" s="247">
        <f>VLOOKUP(A309,'новий кошторис с 01.06'!$A$4:$AI$399,35)*1.2</f>
        <v>258.95560484898664</v>
      </c>
      <c r="DV309" s="29">
        <f t="shared" si="309"/>
        <v>-1.2656048489866407</v>
      </c>
      <c r="DW309" s="1016">
        <f>'[2]побудинковий звіт'!$DW$9+'[1]побудинковий звіт'!DW309</f>
        <v>0</v>
      </c>
      <c r="DX309" s="101">
        <f>'[1]побудинковий звіт'!DX309</f>
        <v>0</v>
      </c>
      <c r="DY309" s="5">
        <f t="shared" si="310"/>
        <v>2868.1463504431335</v>
      </c>
      <c r="DZ309" s="5">
        <f t="shared" si="311"/>
        <v>16014</v>
      </c>
      <c r="EA309" s="737">
        <f t="shared" si="312"/>
        <v>-53.899999999999977</v>
      </c>
      <c r="EC309" s="577">
        <f t="shared" si="313"/>
        <v>28681.463504431333</v>
      </c>
      <c r="EE309" s="743">
        <v>-665</v>
      </c>
      <c r="EF309" s="723">
        <f t="shared" si="314"/>
        <v>-3884.5141914928699</v>
      </c>
      <c r="EH309" s="798">
        <v>-4774.7330190204666</v>
      </c>
      <c r="EI309" s="101">
        <f>VLOOKUP(A309,'кошти 01.01.24'!$A$9:$D$352,4,FALSE)</f>
        <v>-7168.7863620074813</v>
      </c>
    </row>
    <row r="310" spans="1:139" hidden="1" x14ac:dyDescent="0.3">
      <c r="A310" s="318">
        <v>150000886</v>
      </c>
      <c r="B310" s="43" t="s">
        <v>776</v>
      </c>
      <c r="C310" s="44" t="s">
        <v>396</v>
      </c>
      <c r="D310" s="44" t="s">
        <v>396</v>
      </c>
      <c r="E310" s="39">
        <f t="shared" si="262"/>
        <v>3185.0699999999997</v>
      </c>
      <c r="F310" s="205">
        <f>'[1]побудинковий звіт'!F310</f>
        <v>2134.77</v>
      </c>
      <c r="G310" s="29">
        <f>'[1]побудинковий звіт'!G310</f>
        <v>0</v>
      </c>
      <c r="H310" s="148">
        <f>'[1]побудинковий звіт'!H310</f>
        <v>1050.3</v>
      </c>
      <c r="I310" s="41">
        <f>'[2]побудинковий звіт'!I310+'[1]побудинковий звіт'!I310</f>
        <v>7135.3293164190891</v>
      </c>
      <c r="J310" s="41">
        <f>'[2]побудинковий звіт'!J310+'[1]побудинковий звіт'!J310</f>
        <v>7351.7605769556321</v>
      </c>
      <c r="K310" s="55">
        <f t="shared" si="263"/>
        <v>216.43126053654305</v>
      </c>
      <c r="L310" s="41">
        <f>'[2]побудинковий звіт'!L310+'[1]побудинковий звіт'!L310</f>
        <v>1072.5479386959273</v>
      </c>
      <c r="M310" s="41">
        <f>'[2]побудинковий звіт'!M310+'[1]побудинковий звіт'!M310</f>
        <v>1122.7939124137263</v>
      </c>
      <c r="N310" s="55">
        <f t="shared" si="264"/>
        <v>50.245973717798961</v>
      </c>
      <c r="O310" s="41">
        <f>'[2]побудинковий звіт'!O310+'[1]побудинковий звіт'!O310</f>
        <v>3054.3901462680597</v>
      </c>
      <c r="P310" s="41">
        <f>'[2]побудинковий звіт'!P310+'[1]побудинковий звіт'!P310</f>
        <v>3063.2441890540986</v>
      </c>
      <c r="Q310" s="55">
        <f t="shared" si="265"/>
        <v>8.8540427860389173</v>
      </c>
      <c r="R310" s="41">
        <f>'[2]побудинковий звіт'!R310+'[1]побудинковий звіт'!R310</f>
        <v>775.02439030187429</v>
      </c>
      <c r="S310" s="41">
        <f>'[2]побудинковий звіт'!S310+'[1]побудинковий звіт'!S310</f>
        <v>777.36462137039405</v>
      </c>
      <c r="T310" s="55">
        <f t="shared" si="266"/>
        <v>2.3402310685197563</v>
      </c>
      <c r="U310" s="41">
        <f>'[2]побудинковий звіт'!U310+'[1]побудинковий звіт'!U310</f>
        <v>397.00096215020847</v>
      </c>
      <c r="V310" s="41">
        <f>'[2]побудинковий звіт'!V310+'[1]побудинковий звіт'!V310</f>
        <v>880.07622266530382</v>
      </c>
      <c r="W310" s="55">
        <f t="shared" si="267"/>
        <v>483.07526051509535</v>
      </c>
      <c r="X310" s="41">
        <f>'[2]побудинковий звіт'!X310+'[1]побудинковий звіт'!X310</f>
        <v>3981.0268964436686</v>
      </c>
      <c r="Y310" s="41">
        <f>'[2]побудинковий звіт'!Y310+'[1]побудинковий звіт'!Y310</f>
        <v>3580.715791151174</v>
      </c>
      <c r="Z310" s="55">
        <f t="shared" si="268"/>
        <v>-400.31110529249463</v>
      </c>
      <c r="AA310" s="41">
        <f>'[2]побудинковий звіт'!AA310+'[1]побудинковий звіт'!AA310</f>
        <v>0</v>
      </c>
      <c r="AB310" s="41">
        <f>'[2]побудинковий звіт'!AB310+'[1]побудинковий звіт'!AB310</f>
        <v>0</v>
      </c>
      <c r="AC310" s="55">
        <f t="shared" si="269"/>
        <v>0</v>
      </c>
      <c r="AD310" s="41">
        <f>'[2]побудинковий звіт'!AD310+'[1]побудинковий звіт'!AD310</f>
        <v>9253.7656510285451</v>
      </c>
      <c r="AE310" s="41">
        <f>'[2]побудинковий звіт'!AE310+'[1]побудинковий звіт'!AE310</f>
        <v>10570.663040928301</v>
      </c>
      <c r="AF310" s="36">
        <f t="shared" si="270"/>
        <v>1316.8973898997556</v>
      </c>
      <c r="AG310" s="84">
        <f t="shared" si="271"/>
        <v>25669.085301307372</v>
      </c>
      <c r="AH310" s="56">
        <f t="shared" si="272"/>
        <v>27346.61835453863</v>
      </c>
      <c r="AI310" s="55">
        <f t="shared" si="273"/>
        <v>1677.5330532312582</v>
      </c>
      <c r="AJ310" s="41">
        <f>'[2]побудинковий звіт'!AJ310+'[1]побудинковий звіт'!AJ310</f>
        <v>30178.219805931923</v>
      </c>
      <c r="AK310" s="41">
        <f>'[2]побудинковий звіт'!AK310+'[1]побудинковий звіт'!AK310</f>
        <v>28564.471350154257</v>
      </c>
      <c r="AL310" s="55">
        <f t="shared" si="274"/>
        <v>-1613.7484557776661</v>
      </c>
      <c r="AM310" s="41">
        <f>'[2]побудинковий звіт'!AM310+'[1]побудинковий звіт'!AM310</f>
        <v>0</v>
      </c>
      <c r="AN310" s="41">
        <f>'[2]побудинковий звіт'!AN310+'[1]побудинковий звіт'!AN310</f>
        <v>0</v>
      </c>
      <c r="AO310" s="55">
        <f t="shared" si="275"/>
        <v>0</v>
      </c>
      <c r="AP310" s="41">
        <f>'[2]побудинковий звіт'!AP310+'[1]побудинковий звіт'!AP310</f>
        <v>2377.4350629724895</v>
      </c>
      <c r="AQ310" s="41">
        <f>'[2]побудинковий звіт'!AQ310+'[1]побудинковий звіт'!AQ310</f>
        <v>2914.4310503412507</v>
      </c>
      <c r="AR310" s="55">
        <f t="shared" si="276"/>
        <v>536.99598736876123</v>
      </c>
      <c r="AS310" s="41">
        <f>'[2]побудинковий звіт'!AS310+'[1]побудинковий звіт'!AS310</f>
        <v>33087.076808888145</v>
      </c>
      <c r="AT310" s="41">
        <f>'[2]побудинковий звіт'!AT310+'[1]побудинковий звіт'!AT310</f>
        <v>17632.006278423669</v>
      </c>
      <c r="AU310" s="57">
        <f t="shared" si="277"/>
        <v>-15455.070530464476</v>
      </c>
      <c r="AV310" s="41">
        <f>'[2]побудинковий звіт'!AV310+'[1]побудинковий звіт'!AV310</f>
        <v>585.45939562502065</v>
      </c>
      <c r="AW310" s="41">
        <f>'[2]побудинковий звіт'!AW310+'[1]побудинковий звіт'!AW310</f>
        <v>0</v>
      </c>
      <c r="AX310" s="58">
        <f t="shared" si="278"/>
        <v>-585.45939562502065</v>
      </c>
      <c r="AY310" s="41">
        <f>'[2]побудинковий звіт'!AY310+'[1]побудинковий звіт'!AY310</f>
        <v>656.00742570157786</v>
      </c>
      <c r="AZ310" s="41">
        <f>'[2]побудинковий звіт'!AZ310+'[1]побудинковий звіт'!AZ310</f>
        <v>1202.5171137800528</v>
      </c>
      <c r="BA310" s="36">
        <f t="shared" si="279"/>
        <v>546.50968807847494</v>
      </c>
      <c r="BB310" s="41">
        <f>'[2]побудинковий звіт'!BB310+'[1]побудинковий звіт'!BB310</f>
        <v>788.27805306063215</v>
      </c>
      <c r="BC310" s="41">
        <f>'[2]побудинковий звіт'!BC310+'[1]побудинковий звіт'!BC310</f>
        <v>2544.8920626544873</v>
      </c>
      <c r="BD310" s="58">
        <f t="shared" si="280"/>
        <v>1756.6140095938551</v>
      </c>
      <c r="BE310" s="41">
        <f>'[2]побудинковий звіт'!BE310+'[1]побудинковий звіт'!BE310</f>
        <v>356.06583065806933</v>
      </c>
      <c r="BF310" s="41">
        <f>'[2]побудинковий звіт'!BF310+'[1]побудинковий звіт'!BF310</f>
        <v>0</v>
      </c>
      <c r="BG310" s="38">
        <f t="shared" si="281"/>
        <v>-356.06583065806933</v>
      </c>
      <c r="BH310" s="41">
        <f>'[2]побудинковий звіт'!BH310+'[1]побудинковий звіт'!BH310</f>
        <v>173.67516092659872</v>
      </c>
      <c r="BI310" s="41">
        <f>'[2]побудинковий звіт'!BI310+'[1]побудинковий звіт'!BI310</f>
        <v>0</v>
      </c>
      <c r="BJ310" s="58">
        <f t="shared" si="282"/>
        <v>-173.67516092659872</v>
      </c>
      <c r="BK310" s="41">
        <f>'[2]побудинковий звіт'!BK310+'[1]побудинковий звіт'!BK310</f>
        <v>453.25226549647715</v>
      </c>
      <c r="BL310" s="41">
        <f>'[2]побудинковий звіт'!BL310+'[1]побудинковий звіт'!BL310</f>
        <v>273.37097428614572</v>
      </c>
      <c r="BM310" s="38">
        <f t="shared" si="283"/>
        <v>-179.88129121033143</v>
      </c>
      <c r="BN310" s="41">
        <f>'[2]побудинковий звіт'!BN310+'[1]побудинковий звіт'!BN310</f>
        <v>28.923940885788934</v>
      </c>
      <c r="BO310" s="41">
        <f>'[2]побудинковий звіт'!BO310+'[1]побудинковий звіт'!BO310</f>
        <v>0</v>
      </c>
      <c r="BP310" s="58">
        <f t="shared" si="284"/>
        <v>-28.923940885788934</v>
      </c>
      <c r="BQ310" s="84">
        <f t="shared" si="285"/>
        <v>3041.662072354165</v>
      </c>
      <c r="BR310" s="42">
        <f t="shared" si="286"/>
        <v>4020.7801507206859</v>
      </c>
      <c r="BS310" s="58">
        <f t="shared" si="287"/>
        <v>979.11807836652088</v>
      </c>
      <c r="BT310" s="41">
        <f>'[2]побудинковий звіт'!BT310+'[1]побудинковий звіт'!BT310</f>
        <v>44496.075143458038</v>
      </c>
      <c r="BU310" s="41">
        <f>'[2]побудинковий звіт'!BU310+'[1]побудинковий звіт'!BU310</f>
        <v>57246.782951669629</v>
      </c>
      <c r="BV310" s="55">
        <f t="shared" si="288"/>
        <v>12750.707808211591</v>
      </c>
      <c r="BW310" s="41">
        <f>'[2]побудинковий звіт'!BW310+'[1]побудинковий звіт'!BW310</f>
        <v>20118.613550000417</v>
      </c>
      <c r="BX310" s="41">
        <f>'[2]побудинковий звіт'!BX310+'[1]побудинковий звіт'!BX310</f>
        <v>25901.57441012832</v>
      </c>
      <c r="BY310" s="55">
        <f t="shared" si="289"/>
        <v>5782.9608601279033</v>
      </c>
      <c r="BZ310" s="41">
        <f>'[2]побудинковий звіт'!BZ310+'[1]побудинковий звіт'!BZ310</f>
        <v>6118.4508645470578</v>
      </c>
      <c r="CA310" s="41">
        <f>'[2]побудинковий звіт'!CA310+'[1]побудинковий звіт'!CA310</f>
        <v>5621.4187979605404</v>
      </c>
      <c r="CB310" s="55">
        <f t="shared" si="290"/>
        <v>-497.03206658651743</v>
      </c>
      <c r="CC310" s="41">
        <f>'[2]побудинковий звіт'!CC310+'[1]побудинковий звіт'!CC310</f>
        <v>152.67813899152299</v>
      </c>
      <c r="CD310" s="41">
        <f>'[2]побудинковий звіт'!CD310+'[1]побудинковий звіт'!CD310</f>
        <v>153.19585353056331</v>
      </c>
      <c r="CE310" s="55">
        <f t="shared" si="291"/>
        <v>0.51771453904032683</v>
      </c>
      <c r="CF310" s="41">
        <f>'[2]побудинковий звіт'!CF310+'[1]побудинковий звіт'!CF310</f>
        <v>18.916009908466414</v>
      </c>
      <c r="CG310" s="41">
        <f>'[2]побудинковий звіт'!CG310+'[1]побудинковий звіт'!CG310</f>
        <v>0</v>
      </c>
      <c r="CH310" s="55">
        <f t="shared" si="292"/>
        <v>-18.916009908466414</v>
      </c>
      <c r="CI310" s="41">
        <f>'[2]побудинковий звіт'!CI310+'[1]побудинковий звіт'!CI310</f>
        <v>9554.6123050973674</v>
      </c>
      <c r="CJ310" s="41">
        <f>'[2]побудинковий звіт'!CJ310+'[1]побудинковий звіт'!CJ310</f>
        <v>7510.0126642647147</v>
      </c>
      <c r="CK310" s="55">
        <f t="shared" si="293"/>
        <v>-2044.5996408326528</v>
      </c>
      <c r="CL310" s="41">
        <f>'[2]побудинковий звіт'!CL310+'[1]побудинковий звіт'!CL310</f>
        <v>3203.135695163699</v>
      </c>
      <c r="CM310" s="41">
        <f>'[2]побудинковий звіт'!CM310+'[1]побудинковий звіт'!CM310</f>
        <v>7268.1901637433175</v>
      </c>
      <c r="CN310" s="55">
        <f t="shared" si="294"/>
        <v>4065.0544685796185</v>
      </c>
      <c r="CO310" s="41">
        <f t="shared" si="295"/>
        <v>12757.748000261066</v>
      </c>
      <c r="CP310" s="42">
        <f t="shared" si="296"/>
        <v>14778.202828008032</v>
      </c>
      <c r="CQ310" s="55">
        <f t="shared" si="297"/>
        <v>2020.4548277469657</v>
      </c>
      <c r="CR310" s="76">
        <f t="shared" si="298"/>
        <v>178015.96075862064</v>
      </c>
      <c r="CS310" s="5">
        <f t="shared" si="299"/>
        <v>184179.48202547559</v>
      </c>
      <c r="CT310" s="55">
        <f t="shared" si="300"/>
        <v>6163.5212668549502</v>
      </c>
      <c r="CU310" s="84">
        <f t="shared" si="301"/>
        <v>213619.15291034477</v>
      </c>
      <c r="CV310" s="68">
        <f t="shared" si="302"/>
        <v>221015.37843057071</v>
      </c>
      <c r="CW310" s="36">
        <f t="shared" si="303"/>
        <v>7396.2255202259403</v>
      </c>
      <c r="CX310" s="41">
        <f>'[2]побудинковий звіт'!CX310+'[1]побудинковий звіт'!CX310</f>
        <v>22608.236184047713</v>
      </c>
      <c r="CY310" s="41">
        <f>'[2]побудинковий звіт'!CY310+'[1]побудинковий звіт'!CY310</f>
        <v>15212.010663821835</v>
      </c>
      <c r="CZ310" s="55">
        <f t="shared" si="304"/>
        <v>-7396.2255202258784</v>
      </c>
      <c r="DA310" s="254">
        <f>'[1]побудинковий звіт'!DA310</f>
        <v>112511.42953308787</v>
      </c>
      <c r="DB310" s="2">
        <v>2</v>
      </c>
      <c r="DC310" s="702">
        <f>'[1]побудинковий звіт'!DC310</f>
        <v>94147.21</v>
      </c>
      <c r="DD310" s="702">
        <f>'[1]побудинковий звіт'!DD310</f>
        <v>32179.65</v>
      </c>
      <c r="DE310" s="702">
        <f>'[1]побудинковий звіт'!DE310</f>
        <v>70281.279999999999</v>
      </c>
      <c r="DF310" s="702">
        <f>'[1]побудинковий звіт'!DF310</f>
        <v>24904.54</v>
      </c>
      <c r="DG310" s="772">
        <v>105031.27148318349</v>
      </c>
      <c r="DH310" s="746">
        <f t="shared" ref="DH310:DH341" si="316">(CU310+CX310)*12</f>
        <v>2834728.6691327095</v>
      </c>
      <c r="DI310" s="769"/>
      <c r="DJ310" s="5"/>
      <c r="DK310" s="307">
        <f>VLOOKUP($A310,ціни!$A$4:$G$401,5)</f>
        <v>6.5566543950479614</v>
      </c>
      <c r="DL310" s="307">
        <f>VLOOKUP($A310,ціни!$A$4:$G$401,6)</f>
        <v>8.0215613090101101</v>
      </c>
      <c r="DM310" s="307">
        <f>VLOOKUP($A310,ціни!$A$4:$G$401,7)</f>
        <v>5.6380448354316508</v>
      </c>
      <c r="DN310" s="29">
        <f>DK310*G310+(F310-G310)*DL310</f>
        <v>17124.188435635511</v>
      </c>
      <c r="DO310" s="29">
        <f>DM310*H310</f>
        <v>5921.6384906538624</v>
      </c>
      <c r="DP310" s="306">
        <f t="shared" ref="DP310:DP341" si="317">DN310+DO310</f>
        <v>23045.826926289374</v>
      </c>
      <c r="DQ310" s="101"/>
      <c r="DR310" s="29">
        <f>VLOOKUP(A310,'ДЗ нас '!$A$1:$C$359,2)</f>
        <v>17124.259999999998</v>
      </c>
      <c r="DS310" s="733"/>
      <c r="DT310" s="29">
        <f t="shared" ref="DT310:DT341" si="318">DR310+DS310</f>
        <v>17124.259999999998</v>
      </c>
      <c r="DU310" s="247">
        <f>VLOOKUP(A310,'новий кошторис с 01.06'!$A$4:$AI$399,35)*1.2</f>
        <v>17162.733894934085</v>
      </c>
      <c r="DV310" s="29">
        <f t="shared" ref="DV310:DV341" si="319">DT310-DU310</f>
        <v>-38.473894934086275</v>
      </c>
      <c r="DW310" s="1016">
        <f>'[2]побудинковий звіт'!$DW$9+'[1]побудинковий звіт'!DW310</f>
        <v>918</v>
      </c>
      <c r="DX310" s="101">
        <f>'[1]побудинковий звіт'!DX310</f>
        <v>0</v>
      </c>
      <c r="DY310" s="5">
        <f t="shared" ref="DY310:DY341" si="320">(AS310+BQ310)*1.2</f>
        <v>43354.486657490772</v>
      </c>
      <c r="DZ310" s="5">
        <f t="shared" ref="DZ310:DZ341" si="321">(AT310+BR310)*1.2</f>
        <v>25983.343714973224</v>
      </c>
      <c r="EA310" s="737">
        <f t="shared" ref="EA310:EA341" si="322">DE310+DF310</f>
        <v>95185.82</v>
      </c>
      <c r="EC310" s="577">
        <f t="shared" ref="EC310:EC341" si="323">AS310*12</f>
        <v>397044.92170665774</v>
      </c>
      <c r="EE310" s="743">
        <v>-14494</v>
      </c>
      <c r="EF310" s="723">
        <f t="shared" ref="EF310:EF341" si="324">EE310+DG310</f>
        <v>90537.271483183489</v>
      </c>
      <c r="EH310" s="798">
        <v>117676.0960183195</v>
      </c>
      <c r="EI310" s="101">
        <f>VLOOKUP(A310,'кошти 01.01.24'!$A$9:$D$352,4,FALSE)</f>
        <v>105115.20401286194</v>
      </c>
    </row>
    <row r="311" spans="1:139" hidden="1" x14ac:dyDescent="0.3">
      <c r="A311" s="318">
        <v>150000887</v>
      </c>
      <c r="B311" s="43" t="s">
        <v>777</v>
      </c>
      <c r="C311" s="44" t="s">
        <v>397</v>
      </c>
      <c r="D311" s="44" t="s">
        <v>397</v>
      </c>
      <c r="E311" s="39">
        <f t="shared" si="262"/>
        <v>6424.13</v>
      </c>
      <c r="F311" s="205">
        <f>'[1]побудинковий звіт'!F311</f>
        <v>6424.13</v>
      </c>
      <c r="G311" s="29">
        <f>'[1]побудинковий звіт'!G311</f>
        <v>653.79999999999995</v>
      </c>
      <c r="H311" s="148">
        <f>'[1]побудинковий звіт'!H311</f>
        <v>0</v>
      </c>
      <c r="I311" s="41">
        <f>'[2]побудинковий звіт'!I311+'[1]побудинковий звіт'!I311</f>
        <v>24478.743452733357</v>
      </c>
      <c r="J311" s="41">
        <f>'[2]побудинковий звіт'!J311+'[1]побудинковий звіт'!J311</f>
        <v>25161.887214800481</v>
      </c>
      <c r="K311" s="55">
        <f t="shared" si="263"/>
        <v>683.14376206712404</v>
      </c>
      <c r="L311" s="41">
        <f>'[2]побудинковий звіт'!L311+'[1]побудинковий звіт'!L311</f>
        <v>3853.3320033354821</v>
      </c>
      <c r="M311" s="41">
        <f>'[2]побудинковий звіт'!M311+'[1]побудинковий звіт'!M311</f>
        <v>4035.7074274756515</v>
      </c>
      <c r="N311" s="55">
        <f t="shared" si="264"/>
        <v>182.37542414016934</v>
      </c>
      <c r="O311" s="41">
        <f>'[2]побудинковий звіт'!O311+'[1]побудинковий звіт'!O311</f>
        <v>10098.958934861792</v>
      </c>
      <c r="P311" s="41">
        <f>'[2]побудинковий звіт'!P311+'[1]побудинковий звіт'!P311</f>
        <v>10127.723264766795</v>
      </c>
      <c r="Q311" s="55">
        <f t="shared" si="265"/>
        <v>28.764329905003251</v>
      </c>
      <c r="R311" s="41">
        <f>'[2]побудинковий звіт'!R311+'[1]побудинковий звіт'!R311</f>
        <v>2137.357172475603</v>
      </c>
      <c r="S311" s="41">
        <f>'[2]побудинковий звіт'!S311+'[1]побудинковий звіт'!S311</f>
        <v>2143.1822868164236</v>
      </c>
      <c r="T311" s="55">
        <f t="shared" si="266"/>
        <v>5.825114340820619</v>
      </c>
      <c r="U311" s="41">
        <f>'[2]побудинковий звіт'!U311+'[1]побудинковий звіт'!U311</f>
        <v>1190.7577555606806</v>
      </c>
      <c r="V311" s="41">
        <f>'[2]побудинковий звіт'!V311+'[1]побудинковий звіт'!V311</f>
        <v>2639.5914454490212</v>
      </c>
      <c r="W311" s="55">
        <f t="shared" si="267"/>
        <v>1448.8336898883406</v>
      </c>
      <c r="X311" s="41">
        <f>'[2]побудинковий звіт'!X311+'[1]побудинковий звіт'!X311</f>
        <v>10675.555237776232</v>
      </c>
      <c r="Y311" s="41">
        <f>'[2]побудинковий звіт'!Y311+'[1]побудинковий звіт'!Y311</f>
        <v>10476.20294939875</v>
      </c>
      <c r="Z311" s="55">
        <f t="shared" si="268"/>
        <v>-199.35228837748218</v>
      </c>
      <c r="AA311" s="41">
        <f>'[2]побудинковий звіт'!AA311+'[1]побудинковий звіт'!AA311</f>
        <v>0</v>
      </c>
      <c r="AB311" s="41">
        <f>'[2]побудинковий звіт'!AB311+'[1]побудинковий звіт'!AB311</f>
        <v>0</v>
      </c>
      <c r="AC311" s="55">
        <f t="shared" si="269"/>
        <v>0</v>
      </c>
      <c r="AD311" s="41">
        <f>'[2]побудинковий звіт'!AD311+'[1]побудинковий звіт'!AD311</f>
        <v>27850.861305049872</v>
      </c>
      <c r="AE311" s="41">
        <f>'[2]побудинковий звіт'!AE311+'[1]побудинковий звіт'!AE311</f>
        <v>27743.020087051369</v>
      </c>
      <c r="AF311" s="36">
        <f t="shared" si="270"/>
        <v>-107.84121799850254</v>
      </c>
      <c r="AG311" s="84">
        <f t="shared" si="271"/>
        <v>80285.565861793017</v>
      </c>
      <c r="AH311" s="56">
        <f t="shared" si="272"/>
        <v>82327.314675758491</v>
      </c>
      <c r="AI311" s="55">
        <f t="shared" si="273"/>
        <v>2041.7488139654743</v>
      </c>
      <c r="AJ311" s="41">
        <f>'[2]побудинковий звіт'!AJ311+'[1]побудинковий звіт'!AJ311</f>
        <v>90534.638401532226</v>
      </c>
      <c r="AK311" s="41">
        <f>'[2]побудинковий звіт'!AK311+'[1]побудинковий звіт'!AK311</f>
        <v>86401.940296798479</v>
      </c>
      <c r="AL311" s="55">
        <f t="shared" si="274"/>
        <v>-4132.6981047337467</v>
      </c>
      <c r="AM311" s="41">
        <f>'[2]побудинковий звіт'!AM311+'[1]побудинковий звіт'!AM311</f>
        <v>0</v>
      </c>
      <c r="AN311" s="41">
        <f>'[2]побудинковий звіт'!AN311+'[1]побудинковий звіт'!AN311</f>
        <v>0</v>
      </c>
      <c r="AO311" s="55">
        <f t="shared" si="275"/>
        <v>0</v>
      </c>
      <c r="AP311" s="41">
        <f>'[2]побудинковий звіт'!AP311+'[1]побудинковий звіт'!AP311</f>
        <v>5349.2288916881016</v>
      </c>
      <c r="AQ311" s="41">
        <f>'[2]побудинковий звіт'!AQ311+'[1]побудинковий звіт'!AQ311</f>
        <v>4949.7682571836522</v>
      </c>
      <c r="AR311" s="55">
        <f t="shared" si="276"/>
        <v>-399.46063450444944</v>
      </c>
      <c r="AS311" s="41">
        <f>'[2]побудинковий звіт'!AS311+'[1]побудинковий звіт'!AS311</f>
        <v>99768.30066957463</v>
      </c>
      <c r="AT311" s="41">
        <f>'[2]побудинковий звіт'!AT311+'[1]побудинковий звіт'!AT311</f>
        <v>8090.6046193837483</v>
      </c>
      <c r="AU311" s="57">
        <f t="shared" si="277"/>
        <v>-91677.696050190876</v>
      </c>
      <c r="AV311" s="41">
        <f>'[2]побудинковий звіт'!AV311+'[1]побудинковий звіт'!AV311</f>
        <v>1556.0665522112549</v>
      </c>
      <c r="AW311" s="41">
        <f>'[2]побудинковий звіт'!AW311+'[1]побудинковий звіт'!AW311</f>
        <v>1286.6908589780044</v>
      </c>
      <c r="AX311" s="58">
        <f t="shared" si="278"/>
        <v>-269.37569323325056</v>
      </c>
      <c r="AY311" s="41">
        <f>'[2]побудинковий звіт'!AY311+'[1]побудинковий звіт'!AY311</f>
        <v>1583.4262571142087</v>
      </c>
      <c r="AZ311" s="41">
        <f>'[2]побудинковий звіт'!AZ311+'[1]побудинковий звіт'!AZ311</f>
        <v>0</v>
      </c>
      <c r="BA311" s="36">
        <f t="shared" si="279"/>
        <v>-1583.4262571142087</v>
      </c>
      <c r="BB311" s="41">
        <f>'[2]побудинковий звіт'!BB311+'[1]побудинковий звіт'!BB311</f>
        <v>1463.0614608702581</v>
      </c>
      <c r="BC311" s="41">
        <f>'[2]побудинковий звіт'!BC311+'[1]побудинковий звіт'!BC311</f>
        <v>0</v>
      </c>
      <c r="BD311" s="58">
        <f t="shared" si="280"/>
        <v>-1463.0614608702581</v>
      </c>
      <c r="BE311" s="41">
        <f>'[2]побудинковий звіт'!BE311+'[1]побудинковий звіт'!BE311</f>
        <v>440.55697923759669</v>
      </c>
      <c r="BF311" s="41">
        <f>'[2]побудинковий звіт'!BF311+'[1]побудинковий звіт'!BF311</f>
        <v>0</v>
      </c>
      <c r="BG311" s="38">
        <f t="shared" si="281"/>
        <v>-440.55697923759669</v>
      </c>
      <c r="BH311" s="41">
        <f>'[2]побудинковий звіт'!BH311+'[1]побудинковий звіт'!BH311</f>
        <v>321.16285726662983</v>
      </c>
      <c r="BI311" s="41">
        <f>'[2]побудинковий звіт'!BI311+'[1]побудинковий звіт'!BI311</f>
        <v>0</v>
      </c>
      <c r="BJ311" s="58">
        <f t="shared" si="282"/>
        <v>-321.16285726662983</v>
      </c>
      <c r="BK311" s="41">
        <f>'[2]побудинковий звіт'!BK311+'[1]побудинковий звіт'!BK311</f>
        <v>1157.0028319964993</v>
      </c>
      <c r="BL311" s="41">
        <f>'[2]побудинковий звіт'!BL311+'[1]побудинковий звіт'!BL311</f>
        <v>0</v>
      </c>
      <c r="BM311" s="38">
        <f t="shared" si="283"/>
        <v>-1157.0028319964993</v>
      </c>
      <c r="BN311" s="41">
        <f>'[2]побудинковий звіт'!BN311+'[1]побудинковий звіт'!BN311</f>
        <v>62.553512067530519</v>
      </c>
      <c r="BO311" s="41">
        <f>'[2]побудинковий звіт'!BO311+'[1]побудинковий звіт'!BO311</f>
        <v>4470.1826450859999</v>
      </c>
      <c r="BP311" s="58">
        <f t="shared" si="284"/>
        <v>4407.6291330184695</v>
      </c>
      <c r="BQ311" s="84">
        <f t="shared" si="285"/>
        <v>6583.8304507639778</v>
      </c>
      <c r="BR311" s="42">
        <f t="shared" si="286"/>
        <v>5756.873504064004</v>
      </c>
      <c r="BS311" s="58">
        <f t="shared" si="287"/>
        <v>-826.95694669997374</v>
      </c>
      <c r="BT311" s="41">
        <f>'[2]побудинковий звіт'!BT311+'[1]побудинковий звіт'!BT311</f>
        <v>70078.649527423302</v>
      </c>
      <c r="BU311" s="41">
        <f>'[2]побудинковий звіт'!BU311+'[1]побудинковий звіт'!BU311</f>
        <v>99671.372415714766</v>
      </c>
      <c r="BV311" s="55">
        <f t="shared" si="288"/>
        <v>29592.722888291464</v>
      </c>
      <c r="BW311" s="41">
        <f>'[2]побудинковий звіт'!BW311+'[1]побудинковий звіт'!BW311</f>
        <v>54697.241532545631</v>
      </c>
      <c r="BX311" s="41">
        <f>'[2]побудинковий звіт'!BX311+'[1]побудинковий звіт'!BX311</f>
        <v>67318.563194556395</v>
      </c>
      <c r="BY311" s="55">
        <f t="shared" si="289"/>
        <v>12621.321662010763</v>
      </c>
      <c r="BZ311" s="41">
        <f>'[2]побудинковий звіт'!BZ311+'[1]побудинковий звіт'!BZ311</f>
        <v>18325.506491862892</v>
      </c>
      <c r="CA311" s="41">
        <f>'[2]побудинковий звіт'!CA311+'[1]побудинковий звіт'!CA311</f>
        <v>9895.6560241129209</v>
      </c>
      <c r="CB311" s="55">
        <f t="shared" si="290"/>
        <v>-8429.8504677499714</v>
      </c>
      <c r="CC311" s="41">
        <f>'[2]побудинковий звіт'!CC311+'[1]побудинковий звіт'!CC311</f>
        <v>1071.8005357204913</v>
      </c>
      <c r="CD311" s="41">
        <f>'[2]побудинковий звіт'!CD311+'[1]побудинковий звіт'!CD311</f>
        <v>1075.4348917845546</v>
      </c>
      <c r="CE311" s="55">
        <f t="shared" si="291"/>
        <v>3.6343560640632404</v>
      </c>
      <c r="CF311" s="41">
        <f>'[2]побудинковий звіт'!CF311+'[1]побудинковий звіт'!CF311</f>
        <v>132.79038955743425</v>
      </c>
      <c r="CG311" s="41">
        <f>'[2]побудинковий звіт'!CG311+'[1]побудинковий звіт'!CG311</f>
        <v>0</v>
      </c>
      <c r="CH311" s="55">
        <f t="shared" si="292"/>
        <v>-132.79038955743425</v>
      </c>
      <c r="CI311" s="41">
        <f>'[2]побудинковий звіт'!CI311+'[1]побудинковий звіт'!CI311</f>
        <v>10081.23647928078</v>
      </c>
      <c r="CJ311" s="41">
        <f>'[2]побудинковий звіт'!CJ311+'[1]побудинковий звіт'!CJ311</f>
        <v>6793.876439992644</v>
      </c>
      <c r="CK311" s="55">
        <f t="shared" si="293"/>
        <v>-3287.3600392881362</v>
      </c>
      <c r="CL311" s="41">
        <f>'[2]побудинковий звіт'!CL311+'[1]побудинковий звіт'!CL311</f>
        <v>17253.123832089597</v>
      </c>
      <c r="CM311" s="41">
        <f>'[2]побудинковий звіт'!CM311+'[1]побудинковий звіт'!CM311</f>
        <v>24871.107278824165</v>
      </c>
      <c r="CN311" s="55">
        <f t="shared" si="294"/>
        <v>7617.9834467345681</v>
      </c>
      <c r="CO311" s="41">
        <f t="shared" si="295"/>
        <v>27334.360311370379</v>
      </c>
      <c r="CP311" s="42">
        <f t="shared" si="296"/>
        <v>31664.983718816809</v>
      </c>
      <c r="CQ311" s="55">
        <f t="shared" si="297"/>
        <v>4330.6234074464301</v>
      </c>
      <c r="CR311" s="76">
        <f t="shared" si="298"/>
        <v>454161.91306383215</v>
      </c>
      <c r="CS311" s="5">
        <f t="shared" si="299"/>
        <v>397152.51159817388</v>
      </c>
      <c r="CT311" s="55">
        <f t="shared" si="300"/>
        <v>-57009.401465658273</v>
      </c>
      <c r="CU311" s="84">
        <f t="shared" si="301"/>
        <v>544994.29567659856</v>
      </c>
      <c r="CV311" s="68">
        <f t="shared" si="302"/>
        <v>476583.01391780865</v>
      </c>
      <c r="CW311" s="36">
        <f t="shared" si="303"/>
        <v>-68411.281758789904</v>
      </c>
      <c r="CX311" s="41">
        <f>'[2]побудинковий звіт'!CX311+'[1]побудинковий звіт'!CX311</f>
        <v>15859.780893781422</v>
      </c>
      <c r="CY311" s="41">
        <f>'[2]побудинковий звіт'!CY311+'[1]побудинковий звіт'!CY311</f>
        <v>84271.062652571331</v>
      </c>
      <c r="CZ311" s="55">
        <f t="shared" si="304"/>
        <v>68411.281758789904</v>
      </c>
      <c r="DA311" s="254">
        <f>'[1]побудинковий звіт'!DA311</f>
        <v>-56012.897009949869</v>
      </c>
      <c r="DB311" s="2">
        <v>2</v>
      </c>
      <c r="DC311" s="702">
        <f>'[1]побудинковий звіт'!DC311</f>
        <v>190530.68</v>
      </c>
      <c r="DD311" s="702">
        <f>'[1]побудинковий звіт'!DD311</f>
        <v>0</v>
      </c>
      <c r="DE311" s="702">
        <f>'[1]побудинковий звіт'!DE311</f>
        <v>129144.47</v>
      </c>
      <c r="DF311" s="702">
        <f>'[1]побудинковий звіт'!DF311</f>
        <v>0</v>
      </c>
      <c r="DG311" s="772">
        <v>106513.95623329584</v>
      </c>
      <c r="DH311" s="746">
        <f t="shared" si="316"/>
        <v>6730248.9188445602</v>
      </c>
      <c r="DI311" s="769"/>
      <c r="DJ311" s="5"/>
      <c r="DK311" s="307">
        <f>VLOOKUP($A311,ціни!$A$4:$G$401,5)</f>
        <v>5.2395745962922504</v>
      </c>
      <c r="DL311" s="307">
        <f>VLOOKUP($A311,ціни!$A$4:$G$401,6)</f>
        <v>7.0389830495256023</v>
      </c>
      <c r="DM311" s="307">
        <f>VLOOKUP($A311,ціни!$A$4:$G$401,7)</f>
        <v>4.40626019608266</v>
      </c>
      <c r="DN311" s="29">
        <f>DK311*G311+(F311-G311)*DL311</f>
        <v>44042.888931224938</v>
      </c>
      <c r="DO311" s="29">
        <f>DM311*H311</f>
        <v>0</v>
      </c>
      <c r="DP311" s="306">
        <f t="shared" si="317"/>
        <v>44042.888931224938</v>
      </c>
      <c r="DQ311" s="101"/>
      <c r="DR311" s="29">
        <f>VLOOKUP(A311,'ДЗ нас '!$A$1:$C$359,2)</f>
        <v>43946.17</v>
      </c>
      <c r="DS311" s="733"/>
      <c r="DT311" s="29">
        <f t="shared" si="318"/>
        <v>43946.17</v>
      </c>
      <c r="DU311" s="247">
        <f>VLOOKUP(A311,'новий кошторис с 01.06'!$A$4:$AI$399,35)*1.2</f>
        <v>44232.975673432338</v>
      </c>
      <c r="DV311" s="29">
        <f t="shared" si="319"/>
        <v>-286.80567343233997</v>
      </c>
      <c r="DW311" s="1016">
        <f>'[2]побудинковий звіт'!$DW$9+'[1]побудинковий звіт'!DW311</f>
        <v>1242</v>
      </c>
      <c r="DX311" s="101">
        <f>'[1]побудинковий звіт'!DX311</f>
        <v>0</v>
      </c>
      <c r="DY311" s="5">
        <f t="shared" si="320"/>
        <v>127622.55734440633</v>
      </c>
      <c r="DZ311" s="5">
        <f t="shared" si="321"/>
        <v>16616.973748137301</v>
      </c>
      <c r="EA311" s="737">
        <f t="shared" si="322"/>
        <v>129144.47</v>
      </c>
      <c r="EC311" s="577">
        <f t="shared" si="323"/>
        <v>1197219.6080348955</v>
      </c>
      <c r="EE311" s="743">
        <v>15177</v>
      </c>
      <c r="EF311" s="723">
        <f t="shared" si="324"/>
        <v>121690.95623329584</v>
      </c>
      <c r="EH311" s="798">
        <v>76259.272594517941</v>
      </c>
      <c r="EI311" s="101">
        <f>VLOOKUP(A311,'кошти 01.01.24'!$A$9:$D$352,4,FALSE)</f>
        <v>12398.384748839933</v>
      </c>
    </row>
    <row r="312" spans="1:139" hidden="1" x14ac:dyDescent="0.3">
      <c r="A312" s="318">
        <v>150000888</v>
      </c>
      <c r="B312" s="43" t="s">
        <v>778</v>
      </c>
      <c r="C312" s="44" t="s">
        <v>313</v>
      </c>
      <c r="D312" s="44" t="s">
        <v>313</v>
      </c>
      <c r="E312" s="39">
        <f t="shared" si="262"/>
        <v>3375.56</v>
      </c>
      <c r="F312" s="205">
        <f>'[1]побудинковий звіт'!F312</f>
        <v>2586.9899999999998</v>
      </c>
      <c r="G312" s="29">
        <f>'[1]побудинковий звіт'!G312</f>
        <v>0</v>
      </c>
      <c r="H312" s="148">
        <f>'[1]побудинковий звіт'!H312</f>
        <v>788.57</v>
      </c>
      <c r="I312" s="41">
        <f>'[2]побудинковий звіт'!I312+'[1]побудинковий звіт'!I312</f>
        <v>11538.194286079706</v>
      </c>
      <c r="J312" s="41">
        <f>'[2]побудинковий звіт'!J312+'[1]побудинковий звіт'!J312</f>
        <v>11869.536579078798</v>
      </c>
      <c r="K312" s="55">
        <f t="shared" si="263"/>
        <v>331.34229299909202</v>
      </c>
      <c r="L312" s="41">
        <f>'[2]побудинковий звіт'!L312+'[1]побудинковий звіт'!L312</f>
        <v>2366.8639721841732</v>
      </c>
      <c r="M312" s="41">
        <f>'[2]побудинковий звіт'!M312+'[1]побудинковий звіт'!M312</f>
        <v>2479.8460368046785</v>
      </c>
      <c r="N312" s="55">
        <f t="shared" si="264"/>
        <v>112.9820646205053</v>
      </c>
      <c r="O312" s="41">
        <f>'[2]побудинковий звіт'!O312+'[1]побудинковий звіт'!O312</f>
        <v>4848.517728218716</v>
      </c>
      <c r="P312" s="41">
        <f>'[2]побудинковий звіт'!P312+'[1]побудинковий звіт'!P312</f>
        <v>4862.0693630372452</v>
      </c>
      <c r="Q312" s="55">
        <f t="shared" si="265"/>
        <v>13.551634818529237</v>
      </c>
      <c r="R312" s="41">
        <f>'[2]побудинковий звіт'!R312+'[1]побудинковий звіт'!R312</f>
        <v>0</v>
      </c>
      <c r="S312" s="41">
        <f>'[2]побудинковий звіт'!S312+'[1]побудинковий звіт'!S312</f>
        <v>0</v>
      </c>
      <c r="T312" s="55">
        <f t="shared" si="266"/>
        <v>0</v>
      </c>
      <c r="U312" s="41">
        <f>'[2]побудинковий звіт'!U312+'[1]побудинковий звіт'!U312</f>
        <v>233.87745698177133</v>
      </c>
      <c r="V312" s="41">
        <f>'[2]побудинковий звіт'!V312+'[1]побудинковий звіт'!V312</f>
        <v>134.93073857999187</v>
      </c>
      <c r="W312" s="55">
        <f t="shared" si="267"/>
        <v>-98.946718401779464</v>
      </c>
      <c r="X312" s="41">
        <f>'[2]побудинковий звіт'!X312+'[1]побудинковий звіт'!X312</f>
        <v>7884.1312059521952</v>
      </c>
      <c r="Y312" s="41">
        <f>'[2]побудинковий звіт'!Y312+'[1]побудинковий звіт'!Y312</f>
        <v>9295.6644098931247</v>
      </c>
      <c r="Z312" s="55">
        <f t="shared" si="268"/>
        <v>1411.5332039409295</v>
      </c>
      <c r="AA312" s="41">
        <f>'[2]побудинковий звіт'!AA312+'[1]побудинковий звіт'!AA312</f>
        <v>0</v>
      </c>
      <c r="AB312" s="41">
        <f>'[2]побудинковий звіт'!AB312+'[1]побудинковий звіт'!AB312</f>
        <v>0</v>
      </c>
      <c r="AC312" s="55">
        <f t="shared" si="269"/>
        <v>0</v>
      </c>
      <c r="AD312" s="41">
        <f>'[2]побудинковий звіт'!AD312+'[1]побудинковий звіт'!AD312</f>
        <v>14636.520136142997</v>
      </c>
      <c r="AE312" s="41">
        <f>'[2]побудинковий звіт'!AE312+'[1]побудинковий звіт'!AE312</f>
        <v>14580.467027787643</v>
      </c>
      <c r="AF312" s="36">
        <f t="shared" si="270"/>
        <v>-56.053108355354198</v>
      </c>
      <c r="AG312" s="84">
        <f t="shared" si="271"/>
        <v>41508.104785559561</v>
      </c>
      <c r="AH312" s="56">
        <f t="shared" si="272"/>
        <v>43222.514155181481</v>
      </c>
      <c r="AI312" s="55">
        <f t="shared" si="273"/>
        <v>1714.4093696219206</v>
      </c>
      <c r="AJ312" s="41">
        <f>'[2]побудинковий звіт'!AJ312+'[1]побудинковий звіт'!AJ312</f>
        <v>0</v>
      </c>
      <c r="AK312" s="41">
        <f>'[2]побудинковий звіт'!AK312+'[1]побудинковий звіт'!AK312</f>
        <v>0</v>
      </c>
      <c r="AL312" s="55">
        <f t="shared" si="274"/>
        <v>0</v>
      </c>
      <c r="AM312" s="41">
        <f>'[2]побудинковий звіт'!AM312+'[1]побудинковий звіт'!AM312</f>
        <v>0</v>
      </c>
      <c r="AN312" s="41">
        <f>'[2]побудинковий звіт'!AN312+'[1]побудинковий звіт'!AN312</f>
        <v>0</v>
      </c>
      <c r="AO312" s="55">
        <f t="shared" si="275"/>
        <v>0</v>
      </c>
      <c r="AP312" s="41">
        <f>'[2]побудинковий звіт'!AP312+'[1]побудинковий звіт'!AP312</f>
        <v>9509.740251889958</v>
      </c>
      <c r="AQ312" s="41">
        <f>'[2]побудинковий звіт'!AQ312+'[1]побудинковий звіт'!AQ312</f>
        <v>8517.0938095185866</v>
      </c>
      <c r="AR312" s="55">
        <f t="shared" si="276"/>
        <v>-992.64644237137145</v>
      </c>
      <c r="AS312" s="41">
        <f>'[2]побудинковий звіт'!AS312+'[1]побудинковий звіт'!AS312</f>
        <v>35497.388123884535</v>
      </c>
      <c r="AT312" s="41">
        <f>'[2]побудинковий звіт'!AT312+'[1]побудинковий звіт'!AT312</f>
        <v>2245.6160394370359</v>
      </c>
      <c r="AU312" s="57">
        <f t="shared" si="277"/>
        <v>-33251.772084447497</v>
      </c>
      <c r="AV312" s="41">
        <f>'[2]побудинковий звіт'!AV312+'[1]побудинковий звіт'!AV312</f>
        <v>1923.7088058614695</v>
      </c>
      <c r="AW312" s="41">
        <f>'[2]побудинковий звіт'!AW312+'[1]побудинковий звіт'!AW312</f>
        <v>0</v>
      </c>
      <c r="AX312" s="58">
        <f t="shared" si="278"/>
        <v>-1923.7088058614695</v>
      </c>
      <c r="AY312" s="41">
        <f>'[2]побудинковий звіт'!AY312+'[1]побудинковий звіт'!AY312</f>
        <v>3082.2747375809126</v>
      </c>
      <c r="AZ312" s="41">
        <f>'[2]побудинковий звіт'!AZ312+'[1]побудинковий звіт'!AZ312</f>
        <v>0</v>
      </c>
      <c r="BA312" s="36">
        <f t="shared" si="279"/>
        <v>-3082.2747375809126</v>
      </c>
      <c r="BB312" s="41">
        <f>'[2]побудинковий звіт'!BB312+'[1]побудинковий звіт'!BB312</f>
        <v>2384.4931538217634</v>
      </c>
      <c r="BC312" s="41">
        <f>'[2]побудинковий звіт'!BC312+'[1]побудинковий звіт'!BC312</f>
        <v>0</v>
      </c>
      <c r="BD312" s="58">
        <f t="shared" si="280"/>
        <v>-2384.4931538217634</v>
      </c>
      <c r="BE312" s="41">
        <f>'[2]побудинковий звіт'!BE312+'[1]побудинковий звіт'!BE312</f>
        <v>0</v>
      </c>
      <c r="BF312" s="41">
        <f>'[2]побудинковий звіт'!BF312+'[1]побудинковий звіт'!BF312</f>
        <v>0</v>
      </c>
      <c r="BG312" s="38">
        <f t="shared" si="281"/>
        <v>0</v>
      </c>
      <c r="BH312" s="41">
        <f>'[2]побудинковий звіт'!BH312+'[1]побудинковий звіт'!BH312</f>
        <v>137.84135996429129</v>
      </c>
      <c r="BI312" s="41">
        <f>'[2]побудинковий звіт'!BI312+'[1]побудинковий звіт'!BI312</f>
        <v>0</v>
      </c>
      <c r="BJ312" s="58">
        <f t="shared" si="282"/>
        <v>-137.84135996429129</v>
      </c>
      <c r="BK312" s="41">
        <f>'[2]побудинковий звіт'!BK312+'[1]побудинковий звіт'!BK312</f>
        <v>1377.9695740445597</v>
      </c>
      <c r="BL312" s="41">
        <f>'[2]побудинковий звіт'!BL312+'[1]побудинковий звіт'!BL312</f>
        <v>7504.6327808874221</v>
      </c>
      <c r="BM312" s="38">
        <f t="shared" si="283"/>
        <v>6126.6632068428626</v>
      </c>
      <c r="BN312" s="41">
        <f>'[2]побудинковий звіт'!BN312+'[1]побудинковий звіт'!BN312</f>
        <v>93.171479859862387</v>
      </c>
      <c r="BO312" s="41">
        <f>'[2]побудинковий звіт'!BO312+'[1]побудинковий звіт'!BO312</f>
        <v>0</v>
      </c>
      <c r="BP312" s="58">
        <f t="shared" si="284"/>
        <v>-93.171479859862387</v>
      </c>
      <c r="BQ312" s="84">
        <f t="shared" si="285"/>
        <v>8999.4591111328591</v>
      </c>
      <c r="BR312" s="42">
        <f t="shared" si="286"/>
        <v>7504.6327808874221</v>
      </c>
      <c r="BS312" s="58">
        <f t="shared" si="287"/>
        <v>-1494.826330245437</v>
      </c>
      <c r="BT312" s="41">
        <f>'[2]побудинковий звіт'!BT312+'[1]побудинковий звіт'!BT312</f>
        <v>35819.893361874725</v>
      </c>
      <c r="BU312" s="41">
        <f>'[2]побудинковий звіт'!BU312+'[1]побудинковий звіт'!BU312</f>
        <v>51888.981770375205</v>
      </c>
      <c r="BV312" s="55">
        <f t="shared" si="288"/>
        <v>16069.08840850048</v>
      </c>
      <c r="BW312" s="41">
        <f>'[2]побудинковий звіт'!BW312+'[1]побудинковий звіт'!BW312</f>
        <v>24672.056725078779</v>
      </c>
      <c r="BX312" s="41">
        <f>'[2]побудинковий звіт'!BX312+'[1]побудинковий звіт'!BX312</f>
        <v>22699.647145990835</v>
      </c>
      <c r="BY312" s="55">
        <f t="shared" si="289"/>
        <v>-1972.4095790879437</v>
      </c>
      <c r="BZ312" s="41">
        <f>'[2]побудинковий звіт'!BZ312+'[1]побудинковий звіт'!BZ312</f>
        <v>16174.701759697407</v>
      </c>
      <c r="CA312" s="41">
        <f>'[2]побудинковий звіт'!CA312+'[1]побудинковий звіт'!CA312</f>
        <v>3566.1479012008053</v>
      </c>
      <c r="CB312" s="55">
        <f t="shared" si="290"/>
        <v>-12608.553858496602</v>
      </c>
      <c r="CC312" s="41">
        <f>'[2]побудинковий звіт'!CC312+'[1]побудинковий звіт'!CC312</f>
        <v>812.24769943490242</v>
      </c>
      <c r="CD312" s="41">
        <f>'[2]побудинковий звіт'!CD312+'[1]побудинковий звіт'!CD312</f>
        <v>815.00194078259688</v>
      </c>
      <c r="CE312" s="55">
        <f t="shared" si="291"/>
        <v>2.7542413476944603</v>
      </c>
      <c r="CF312" s="41">
        <f>'[2]побудинковий звіт'!CF312+'[1]побудинковий звіт'!CF312</f>
        <v>100.63317271304132</v>
      </c>
      <c r="CG312" s="41">
        <f>'[2]побудинковий звіт'!CG312+'[1]побудинковий звіт'!CG312</f>
        <v>0</v>
      </c>
      <c r="CH312" s="55">
        <f t="shared" si="292"/>
        <v>-100.63317271304132</v>
      </c>
      <c r="CI312" s="41">
        <f>'[2]побудинковий звіт'!CI312+'[1]побудинковий звіт'!CI312</f>
        <v>6302.5864873604296</v>
      </c>
      <c r="CJ312" s="41">
        <f>'[2]побудинковий звіт'!CJ312+'[1]побудинковий звіт'!CJ312</f>
        <v>3354.9747959815186</v>
      </c>
      <c r="CK312" s="55">
        <f t="shared" si="293"/>
        <v>-2947.611691378911</v>
      </c>
      <c r="CL312" s="41">
        <f>'[2]побудинковий звіт'!CL312+'[1]побудинковий звіт'!CL312</f>
        <v>0</v>
      </c>
      <c r="CM312" s="41">
        <f>'[2]побудинковий звіт'!CM312+'[1]побудинковий звіт'!CM312</f>
        <v>0</v>
      </c>
      <c r="CN312" s="55">
        <f t="shared" si="294"/>
        <v>0</v>
      </c>
      <c r="CO312" s="41">
        <f t="shared" si="295"/>
        <v>6302.5864873604296</v>
      </c>
      <c r="CP312" s="42">
        <f t="shared" si="296"/>
        <v>3354.9747959815186</v>
      </c>
      <c r="CQ312" s="55">
        <f t="shared" si="297"/>
        <v>-2947.611691378911</v>
      </c>
      <c r="CR312" s="76">
        <f t="shared" si="298"/>
        <v>179396.81147862622</v>
      </c>
      <c r="CS312" s="5">
        <f t="shared" si="299"/>
        <v>143814.61033935548</v>
      </c>
      <c r="CT312" s="55">
        <f t="shared" si="300"/>
        <v>-35582.201139270735</v>
      </c>
      <c r="CU312" s="84">
        <f t="shared" si="301"/>
        <v>215276.17377435145</v>
      </c>
      <c r="CV312" s="68">
        <f t="shared" si="302"/>
        <v>172577.53240722656</v>
      </c>
      <c r="CW312" s="36">
        <f t="shared" si="303"/>
        <v>-42698.641367124888</v>
      </c>
      <c r="CX312" s="41">
        <f>'[2]побудинковий звіт'!CX312+'[1]побудинковий звіт'!CX312</f>
        <v>13754.949208337399</v>
      </c>
      <c r="CY312" s="41">
        <f>'[2]побудинковий звіт'!CY312+'[1]побудинковий звіт'!CY312</f>
        <v>56453.590575462251</v>
      </c>
      <c r="CZ312" s="55">
        <f t="shared" si="304"/>
        <v>42698.641367124852</v>
      </c>
      <c r="DA312" s="254">
        <f>'[1]побудинковий звіт'!DA312</f>
        <v>-59358.333312020004</v>
      </c>
      <c r="DB312" s="2">
        <v>2</v>
      </c>
      <c r="DC312" s="702">
        <f>'[1]побудинковий звіт'!DC312</f>
        <v>41374.75</v>
      </c>
      <c r="DD312" s="702">
        <f>'[1]побудинковий звіт'!DD312</f>
        <v>17021.68</v>
      </c>
      <c r="DE312" s="702">
        <f>'[1]побудинковий звіт'!DE312</f>
        <v>22004.95</v>
      </c>
      <c r="DF312" s="702">
        <f>'[1]побудинковий звіт'!DF312</f>
        <v>12069.880000000001</v>
      </c>
      <c r="DG312" s="772">
        <v>38204.589844673814</v>
      </c>
      <c r="DH312" s="746">
        <f t="shared" si="316"/>
        <v>2748373.4757922664</v>
      </c>
      <c r="DI312" s="769"/>
      <c r="DJ312" s="5"/>
      <c r="DK312" s="307">
        <f>VLOOKUP($A312,ціни!$A$4:$G$401,5)</f>
        <v>5.344014140206613</v>
      </c>
      <c r="DL312" s="307"/>
      <c r="DM312" s="307">
        <f>VLOOKUP($A312,ціни!$A$4:$G$401,7)</f>
        <v>4.4089826950038677</v>
      </c>
      <c r="DN312" s="29">
        <f>F312*DK312</f>
        <v>13824.911140573106</v>
      </c>
      <c r="DO312" s="29">
        <f>H312*DM312</f>
        <v>3476.7914837992003</v>
      </c>
      <c r="DP312" s="306">
        <f t="shared" si="317"/>
        <v>17301.702624372305</v>
      </c>
      <c r="DQ312" s="101"/>
      <c r="DR312" s="29">
        <f>VLOOKUP(A312,'ДЗ нас '!$A$1:$C$359,2)</f>
        <v>13824.88</v>
      </c>
      <c r="DS312" s="733">
        <f>VLOOKUP(A312,'ДЗ нежит'!$A$1:$D$153,4,0)</f>
        <v>3472.4199999999996</v>
      </c>
      <c r="DT312" s="29">
        <f t="shared" si="318"/>
        <v>17297.3</v>
      </c>
      <c r="DU312" s="247">
        <f>VLOOKUP(A312,'новий кошторис с 01.06'!$A$4:$AI$399,35)*1.2</f>
        <v>17365.126165762307</v>
      </c>
      <c r="DV312" s="29">
        <f t="shared" si="319"/>
        <v>-67.826165762307937</v>
      </c>
      <c r="DW312" s="1016">
        <f>'[2]побудинковий звіт'!$DW$9+'[1]побудинковий звіт'!DW312</f>
        <v>1062</v>
      </c>
      <c r="DX312" s="101">
        <f>'[1]побудинковий звіт'!DX312</f>
        <v>0</v>
      </c>
      <c r="DY312" s="5">
        <f t="shared" si="320"/>
        <v>53396.216682020873</v>
      </c>
      <c r="DZ312" s="5">
        <f t="shared" si="321"/>
        <v>11700.298584389349</v>
      </c>
      <c r="EA312" s="737">
        <f t="shared" si="322"/>
        <v>34074.83</v>
      </c>
      <c r="EC312" s="577">
        <f t="shared" si="323"/>
        <v>425968.65748661442</v>
      </c>
      <c r="EE312" s="743">
        <v>37796</v>
      </c>
      <c r="EF312" s="723">
        <f t="shared" si="324"/>
        <v>76000.589844673814</v>
      </c>
      <c r="EH312" s="798">
        <v>17817.52020772278</v>
      </c>
      <c r="EI312" s="101">
        <f>VLOOKUP(A312,'кошти 01.01.24'!$A$9:$D$352,4,FALSE)</f>
        <v>-16659.691944895145</v>
      </c>
    </row>
    <row r="313" spans="1:139" hidden="1" x14ac:dyDescent="0.3">
      <c r="A313" s="318">
        <v>150000889</v>
      </c>
      <c r="B313" s="43" t="s">
        <v>779</v>
      </c>
      <c r="C313" s="44" t="s">
        <v>427</v>
      </c>
      <c r="D313" s="44" t="s">
        <v>427</v>
      </c>
      <c r="E313" s="39">
        <f t="shared" si="262"/>
        <v>5272.67</v>
      </c>
      <c r="F313" s="205">
        <f>'[1]побудинковий звіт'!F313</f>
        <v>4417.47</v>
      </c>
      <c r="G313" s="29">
        <f>'[1]побудинковий звіт'!G313</f>
        <v>0</v>
      </c>
      <c r="H313" s="148">
        <f>'[1]побудинковий звіт'!H313</f>
        <v>855.19999999999993</v>
      </c>
      <c r="I313" s="41">
        <f>'[2]побудинковий звіт'!I313+'[1]побудинковий звіт'!I313</f>
        <v>23141.044834195782</v>
      </c>
      <c r="J313" s="41">
        <f>'[2]побудинковий звіт'!J313+'[1]побудинковий звіт'!J313</f>
        <v>23779.711769668938</v>
      </c>
      <c r="K313" s="55">
        <f t="shared" si="263"/>
        <v>638.66693547315663</v>
      </c>
      <c r="L313" s="41">
        <f>'[2]побудинковий звіт'!L313+'[1]побудинковий звіт'!L313</f>
        <v>3670.2969159850481</v>
      </c>
      <c r="M313" s="41">
        <f>'[2]побудинковий звіт'!M313+'[1]побудинковий звіт'!M313</f>
        <v>3877.5539410026099</v>
      </c>
      <c r="N313" s="55">
        <f t="shared" si="264"/>
        <v>207.25702501756177</v>
      </c>
      <c r="O313" s="41">
        <f>'[2]побудинковий звіт'!O313+'[1]побудинковий звіт'!O313</f>
        <v>7220.1694507001384</v>
      </c>
      <c r="P313" s="41">
        <f>'[2]побудинковий звіт'!P313+'[1]побудинковий звіт'!P313</f>
        <v>7240.8357375790929</v>
      </c>
      <c r="Q313" s="55">
        <f t="shared" si="265"/>
        <v>20.666286878954452</v>
      </c>
      <c r="R313" s="41">
        <f>'[2]побудинковий звіт'!R313+'[1]побудинковий звіт'!R313</f>
        <v>1676.1887321126267</v>
      </c>
      <c r="S313" s="41">
        <f>'[2]побудинковий звіт'!S313+'[1]побудинковий звіт'!S313</f>
        <v>1681.0470864343438</v>
      </c>
      <c r="T313" s="55">
        <f t="shared" si="266"/>
        <v>4.8583543217171155</v>
      </c>
      <c r="U313" s="41">
        <f>'[2]побудинковий звіт'!U313+'[1]побудинковий звіт'!U313</f>
        <v>933.27977284969415</v>
      </c>
      <c r="V313" s="41">
        <f>'[2]побудинковий звіт'!V313+'[1]побудинковий звіт'!V313</f>
        <v>2017.7005638946785</v>
      </c>
      <c r="W313" s="55">
        <f t="shared" si="267"/>
        <v>1084.4207910449843</v>
      </c>
      <c r="X313" s="41">
        <f>'[2]побудинковий звіт'!X313+'[1]побудинковий звіт'!X313</f>
        <v>6575.3707602188806</v>
      </c>
      <c r="Y313" s="41">
        <f>'[2]побудинковий звіт'!Y313+'[1]побудинковий звіт'!Y313</f>
        <v>6378.9645319687752</v>
      </c>
      <c r="Z313" s="55">
        <f t="shared" si="268"/>
        <v>-196.40622825010541</v>
      </c>
      <c r="AA313" s="41">
        <f>'[2]побудинковий звіт'!AA313+'[1]побудинковий звіт'!AA313</f>
        <v>0</v>
      </c>
      <c r="AB313" s="41">
        <f>'[2]побудинковий звіт'!AB313+'[1]побудинковий звіт'!AB313</f>
        <v>0</v>
      </c>
      <c r="AC313" s="55">
        <f t="shared" si="269"/>
        <v>0</v>
      </c>
      <c r="AD313" s="41">
        <f>'[2]побудинковий звіт'!AD313+'[1]побудинковий звіт'!AD313</f>
        <v>22809.871105581682</v>
      </c>
      <c r="AE313" s="41">
        <f>'[2]побудинковий звіт'!AE313+'[1]побудинковий звіт'!AE313</f>
        <v>22769.616326719512</v>
      </c>
      <c r="AF313" s="36">
        <f t="shared" si="270"/>
        <v>-40.254778862170497</v>
      </c>
      <c r="AG313" s="84">
        <f t="shared" si="271"/>
        <v>66026.221571643851</v>
      </c>
      <c r="AH313" s="56">
        <f t="shared" si="272"/>
        <v>67745.429957267959</v>
      </c>
      <c r="AI313" s="55">
        <f t="shared" si="273"/>
        <v>1719.2083856241079</v>
      </c>
      <c r="AJ313" s="41">
        <f>'[2]побудинковий звіт'!AJ313+'[1]побудинковий звіт'!AJ313</f>
        <v>53689.840618249167</v>
      </c>
      <c r="AK313" s="41">
        <f>'[2]побудинковий звіт'!AK313+'[1]побудинковий звіт'!AK313</f>
        <v>46903.998579275147</v>
      </c>
      <c r="AL313" s="55">
        <f t="shared" si="274"/>
        <v>-6785.8420389740204</v>
      </c>
      <c r="AM313" s="41">
        <f>'[2]побудинковий звіт'!AM313+'[1]побудинковий звіт'!AM313</f>
        <v>0</v>
      </c>
      <c r="AN313" s="41">
        <f>'[2]побудинковий звіт'!AN313+'[1]побудинковий звіт'!AN313</f>
        <v>529.67207839263438</v>
      </c>
      <c r="AO313" s="55">
        <f t="shared" si="275"/>
        <v>529.67207839263438</v>
      </c>
      <c r="AP313" s="41">
        <f>'[2]побудинковий звіт'!AP313+'[1]побудинковий звіт'!AP313</f>
        <v>4457.6907430734182</v>
      </c>
      <c r="AQ313" s="41">
        <f>'[2]побудинковий звіт'!AQ313+'[1]побудинковий звіт'!AQ313</f>
        <v>3269.2137480731112</v>
      </c>
      <c r="AR313" s="55">
        <f t="shared" si="276"/>
        <v>-1188.4769950003069</v>
      </c>
      <c r="AS313" s="41">
        <f>'[2]побудинковий звіт'!AS313+'[1]побудинковий звіт'!AS313</f>
        <v>82170.70109769424</v>
      </c>
      <c r="AT313" s="41">
        <f>'[2]побудинковий звіт'!AT313+'[1]побудинковий звіт'!AT313</f>
        <v>130855.55299176423</v>
      </c>
      <c r="AU313" s="57">
        <f t="shared" si="277"/>
        <v>48684.851894069987</v>
      </c>
      <c r="AV313" s="41">
        <f>'[2]побудинковий звіт'!AV313+'[1]побудинковий звіт'!AV313</f>
        <v>2254.4413788812171</v>
      </c>
      <c r="AW313" s="41">
        <f>'[2]побудинковий звіт'!AW313+'[1]побудинковий звіт'!AW313</f>
        <v>754.29647901999078</v>
      </c>
      <c r="AX313" s="58">
        <f t="shared" si="278"/>
        <v>-1500.1448998612263</v>
      </c>
      <c r="AY313" s="41">
        <f>'[2]побудинковий звіт'!AY313+'[1]побудинковий звіт'!AY313</f>
        <v>2543.577208286551</v>
      </c>
      <c r="AZ313" s="41">
        <f>'[2]побудинковий звіт'!AZ313+'[1]побудинковий звіт'!AZ313</f>
        <v>0</v>
      </c>
      <c r="BA313" s="36">
        <f t="shared" si="279"/>
        <v>-2543.577208286551</v>
      </c>
      <c r="BB313" s="41">
        <f>'[2]побудинковий звіт'!BB313+'[1]побудинковий звіт'!BB313</f>
        <v>2515.5970092094344</v>
      </c>
      <c r="BC313" s="41">
        <f>'[2]побудинковий звіт'!BC313+'[1]побудинковий звіт'!BC313</f>
        <v>0</v>
      </c>
      <c r="BD313" s="58">
        <f t="shared" si="280"/>
        <v>-2515.5970092094344</v>
      </c>
      <c r="BE313" s="41">
        <f>'[2]побудинковий звіт'!BE313+'[1]побудинковий звіт'!BE313</f>
        <v>828.30898977672143</v>
      </c>
      <c r="BF313" s="41">
        <f>'[2]побудинковий звіт'!BF313+'[1]побудинковий звіт'!BF313</f>
        <v>616.4757719159312</v>
      </c>
      <c r="BG313" s="38">
        <f t="shared" si="281"/>
        <v>-211.83321786079023</v>
      </c>
      <c r="BH313" s="41">
        <f>'[2]побудинковий звіт'!BH313+'[1]побудинковий звіт'!BH313</f>
        <v>488.73368390500116</v>
      </c>
      <c r="BI313" s="41">
        <f>'[2]побудинковий звіт'!BI313+'[1]побудинковий звіт'!BI313</f>
        <v>0</v>
      </c>
      <c r="BJ313" s="58">
        <f t="shared" si="282"/>
        <v>-488.73368390500116</v>
      </c>
      <c r="BK313" s="41">
        <f>'[2]побудинковий звіт'!BK313+'[1]побудинковий звіт'!BK313</f>
        <v>2044.0151416514304</v>
      </c>
      <c r="BL313" s="41">
        <f>'[2]побудинковий звіт'!BL313+'[1]побудинковий звіт'!BL313</f>
        <v>2183.2392379350354</v>
      </c>
      <c r="BM313" s="38">
        <f t="shared" si="283"/>
        <v>139.22409628360492</v>
      </c>
      <c r="BN313" s="41">
        <f>'[2]побудинковий звіт'!BN313+'[1]побудинковий звіт'!BN313</f>
        <v>0</v>
      </c>
      <c r="BO313" s="41">
        <f>'[2]побудинковий звіт'!BO313+'[1]побудинковий звіт'!BO313</f>
        <v>0</v>
      </c>
      <c r="BP313" s="58">
        <f t="shared" si="284"/>
        <v>0</v>
      </c>
      <c r="BQ313" s="84">
        <f t="shared" si="285"/>
        <v>10674.673411710355</v>
      </c>
      <c r="BR313" s="42">
        <f t="shared" si="286"/>
        <v>3554.0114888709572</v>
      </c>
      <c r="BS313" s="58">
        <f t="shared" si="287"/>
        <v>-7120.6619228393974</v>
      </c>
      <c r="BT313" s="41">
        <f>'[2]побудинковий звіт'!BT313+'[1]побудинковий звіт'!BT313</f>
        <v>53574.404424238412</v>
      </c>
      <c r="BU313" s="41">
        <f>'[2]побудинковий звіт'!BU313+'[1]побудинковий звіт'!BU313</f>
        <v>63376.659257549501</v>
      </c>
      <c r="BV313" s="55">
        <f t="shared" si="288"/>
        <v>9802.2548333110899</v>
      </c>
      <c r="BW313" s="41">
        <f>'[2]побудинковий звіт'!BW313+'[1]побудинковий звіт'!BW313</f>
        <v>66054.917227546335</v>
      </c>
      <c r="BX313" s="41">
        <f>'[2]побудинковий звіт'!BX313+'[1]побудинковий звіт'!BX313</f>
        <v>75552.001735810525</v>
      </c>
      <c r="BY313" s="55">
        <f t="shared" si="289"/>
        <v>9497.0845082641899</v>
      </c>
      <c r="BZ313" s="41">
        <f>'[2]побудинковий звіт'!BZ313+'[1]побудинковий звіт'!BZ313</f>
        <v>6058.7586609905029</v>
      </c>
      <c r="CA313" s="41">
        <f>'[2]побудинковий звіт'!CA313+'[1]побудинковий звіт'!CA313</f>
        <v>7039.9495252184579</v>
      </c>
      <c r="CB313" s="55">
        <f t="shared" si="290"/>
        <v>981.19086422795499</v>
      </c>
      <c r="CC313" s="41">
        <f>'[2]побудинковий звіт'!CC313+'[1]побудинковий звіт'!CC313</f>
        <v>842.78332723320682</v>
      </c>
      <c r="CD313" s="41">
        <f>'[2]побудинковий звіт'!CD313+'[1]побудинковий звіт'!CD313</f>
        <v>845.6411114887095</v>
      </c>
      <c r="CE313" s="55">
        <f t="shared" si="291"/>
        <v>2.8577842555026791</v>
      </c>
      <c r="CF313" s="41">
        <f>'[2]побудинковий звіт'!CF313+'[1]побудинковий звіт'!CF313</f>
        <v>104.4163746947346</v>
      </c>
      <c r="CG313" s="41">
        <f>'[2]побудинковий звіт'!CG313+'[1]побудинковий звіт'!CG313</f>
        <v>0</v>
      </c>
      <c r="CH313" s="55">
        <f t="shared" si="292"/>
        <v>-104.4163746947346</v>
      </c>
      <c r="CI313" s="41">
        <f>'[2]побудинковий звіт'!CI313+'[1]побудинковий звіт'!CI313</f>
        <v>16814.104381227015</v>
      </c>
      <c r="CJ313" s="41">
        <f>'[2]побудинковий звіт'!CJ313+'[1]побудинковий звіт'!CJ313</f>
        <v>18466.93391762783</v>
      </c>
      <c r="CK313" s="55">
        <f t="shared" si="293"/>
        <v>1652.8295364008154</v>
      </c>
      <c r="CL313" s="41">
        <f>'[2]побудинковий звіт'!CL313+'[1]побудинковий звіт'!CL313</f>
        <v>34742.098071266475</v>
      </c>
      <c r="CM313" s="41">
        <f>'[2]побудинковий звіт'!CM313+'[1]побудинковий звіт'!CM313</f>
        <v>27353.103905236738</v>
      </c>
      <c r="CN313" s="55">
        <f t="shared" si="294"/>
        <v>-7388.9941660297372</v>
      </c>
      <c r="CO313" s="41">
        <f t="shared" si="295"/>
        <v>51556.20245249349</v>
      </c>
      <c r="CP313" s="42">
        <f t="shared" si="296"/>
        <v>45820.037822864571</v>
      </c>
      <c r="CQ313" s="55">
        <f t="shared" si="297"/>
        <v>-5736.1646296289182</v>
      </c>
      <c r="CR313" s="76">
        <f t="shared" si="298"/>
        <v>395210.60990956775</v>
      </c>
      <c r="CS313" s="5">
        <f t="shared" si="299"/>
        <v>445492.16829657578</v>
      </c>
      <c r="CT313" s="55">
        <f t="shared" si="300"/>
        <v>50281.55838700803</v>
      </c>
      <c r="CU313" s="84">
        <f t="shared" si="301"/>
        <v>474252.73189148126</v>
      </c>
      <c r="CV313" s="68">
        <f t="shared" si="302"/>
        <v>534590.60195589089</v>
      </c>
      <c r="CW313" s="36">
        <f t="shared" si="303"/>
        <v>60337.870064409624</v>
      </c>
      <c r="CX313" s="41">
        <f>'[2]побудинковий звіт'!CX313+'[1]побудинковий звіт'!CX313</f>
        <v>15129.284497178351</v>
      </c>
      <c r="CY313" s="41">
        <f>'[2]побудинковий звіт'!CY313+'[1]побудинковий звіт'!CY313</f>
        <v>-45208.585567231392</v>
      </c>
      <c r="CZ313" s="55">
        <f t="shared" si="304"/>
        <v>-60337.870064409741</v>
      </c>
      <c r="DA313" s="254">
        <f>'[1]побудинковий звіт'!DA313</f>
        <v>-87499.912907387683</v>
      </c>
      <c r="DB313" s="2">
        <v>2</v>
      </c>
      <c r="DC313" s="702">
        <f>'[1]побудинковий звіт'!DC313</f>
        <v>60044.5</v>
      </c>
      <c r="DD313" s="702">
        <f>'[1]побудинковий звіт'!DD313</f>
        <v>112.91</v>
      </c>
      <c r="DE313" s="702">
        <f>'[1]побудинковий звіт'!DE313</f>
        <v>11610.89</v>
      </c>
      <c r="DF313" s="702">
        <f>'[1]побудинковий звіт'!DF313</f>
        <v>-5129.5600000000004</v>
      </c>
      <c r="DG313" s="772">
        <v>-34265.17088770587</v>
      </c>
      <c r="DH313" s="746">
        <f t="shared" si="316"/>
        <v>5872584.1966639152</v>
      </c>
      <c r="DI313" s="769"/>
      <c r="DJ313" s="5"/>
      <c r="DK313" s="307">
        <f>VLOOKUP($A313,ціни!$A$4:$G$401,5)</f>
        <v>5.9076034224481102</v>
      </c>
      <c r="DL313" s="307">
        <f>VLOOKUP($A313,ціни!$A$4:$G$401,6)</f>
        <v>7.8217347072966099</v>
      </c>
      <c r="DM313" s="307">
        <f>VLOOKUP($A313,ціни!$A$4:$G$401,7)</f>
        <v>4.4481474417672597</v>
      </c>
      <c r="DN313" s="29">
        <f>DK313*G313+(F313-G313)*DL313</f>
        <v>34552.278417441557</v>
      </c>
      <c r="DO313" s="29">
        <f>DM313*H313</f>
        <v>3804.0556921993602</v>
      </c>
      <c r="DP313" s="306">
        <f t="shared" si="317"/>
        <v>38356.33410964092</v>
      </c>
      <c r="DQ313" s="101"/>
      <c r="DR313" s="29">
        <f>VLOOKUP(A313,'ДЗ нас '!$A$1:$C$359,2)</f>
        <v>34552.19</v>
      </c>
      <c r="DS313" s="733">
        <f>VLOOKUP(A313,'ДЗ нежит'!$A$1:$D$153,4,0)</f>
        <v>3804.01</v>
      </c>
      <c r="DT313" s="29">
        <f t="shared" si="318"/>
        <v>38356.200000000004</v>
      </c>
      <c r="DU313" s="247">
        <f>VLOOKUP(A313,'новий кошторис с 01.06'!$A$4:$AI$399,35)*1.2</f>
        <v>38459.25518720581</v>
      </c>
      <c r="DV313" s="29">
        <f t="shared" si="319"/>
        <v>-103.05518720580585</v>
      </c>
      <c r="DW313" s="1016">
        <f>'[2]побудинковий звіт'!$DW$9+'[1]побудинковий звіт'!DW313</f>
        <v>1062</v>
      </c>
      <c r="DX313" s="101">
        <f>'[1]побудинковий звіт'!DX313</f>
        <v>0</v>
      </c>
      <c r="DY313" s="5">
        <f t="shared" si="320"/>
        <v>111414.4494112855</v>
      </c>
      <c r="DZ313" s="5">
        <f t="shared" si="321"/>
        <v>161291.47737676222</v>
      </c>
      <c r="EA313" s="737">
        <f t="shared" si="322"/>
        <v>6481.329999999999</v>
      </c>
      <c r="EC313" s="504">
        <f t="shared" si="323"/>
        <v>986048.41317233094</v>
      </c>
      <c r="EE313" s="743">
        <v>72107</v>
      </c>
      <c r="EF313" s="723">
        <f t="shared" si="324"/>
        <v>37841.82911229413</v>
      </c>
      <c r="EH313" s="798">
        <v>-92817.58467616266</v>
      </c>
      <c r="EI313" s="101">
        <f>VLOOKUP(A313,'кошти 01.01.24'!$A$9:$D$352,4,FALSE)</f>
        <v>-147837.78297179742</v>
      </c>
    </row>
    <row r="314" spans="1:139" hidden="1" x14ac:dyDescent="0.3">
      <c r="A314" s="318">
        <v>150000890</v>
      </c>
      <c r="B314" s="43" t="s">
        <v>780</v>
      </c>
      <c r="C314" s="44" t="s">
        <v>398</v>
      </c>
      <c r="D314" s="44" t="s">
        <v>398</v>
      </c>
      <c r="E314" s="39">
        <f t="shared" si="262"/>
        <v>8461.5199999999986</v>
      </c>
      <c r="F314" s="205">
        <f>'[1]побудинковий звіт'!F314</f>
        <v>8246.2199999999993</v>
      </c>
      <c r="G314" s="29">
        <f>'[1]побудинковий звіт'!G314</f>
        <v>801.12</v>
      </c>
      <c r="H314" s="148">
        <f>'[1]побудинковий звіт'!H314</f>
        <v>215.29999999999998</v>
      </c>
      <c r="I314" s="41">
        <f>'[2]побудинковий звіт'!I314+'[1]побудинковий звіт'!I314</f>
        <v>21340.641509553963</v>
      </c>
      <c r="J314" s="41">
        <f>'[2]побудинковий звіт'!J314+'[1]побудинковий звіт'!J314</f>
        <v>22123.871554429279</v>
      </c>
      <c r="K314" s="55">
        <f t="shared" si="263"/>
        <v>783.2300448753158</v>
      </c>
      <c r="L314" s="41">
        <f>'[2]побудинковий звіт'!L314+'[1]побудинковий звіт'!L314</f>
        <v>4289.6492537929471</v>
      </c>
      <c r="M314" s="41">
        <f>'[2]побудинковий звіт'!M314+'[1]побудинковий звіт'!M314</f>
        <v>4503.504489561019</v>
      </c>
      <c r="N314" s="55">
        <f t="shared" si="264"/>
        <v>213.85523576807191</v>
      </c>
      <c r="O314" s="41">
        <f>'[2]побудинковий звіт'!O314+'[1]побудинковий звіт'!O314</f>
        <v>13250.339641971326</v>
      </c>
      <c r="P314" s="41">
        <f>'[2]побудинковий звіт'!P314+'[1]побудинковий звіт'!P314</f>
        <v>13287.898219618939</v>
      </c>
      <c r="Q314" s="55">
        <f t="shared" si="265"/>
        <v>37.558577647612765</v>
      </c>
      <c r="R314" s="41">
        <f>'[2]побудинковий звіт'!R314+'[1]побудинковий звіт'!R314</f>
        <v>3112.3506460774001</v>
      </c>
      <c r="S314" s="41">
        <f>'[2]побудинковий звіт'!S314+'[1]побудинковий звіт'!S314</f>
        <v>3120.6954169235792</v>
      </c>
      <c r="T314" s="55">
        <f t="shared" si="266"/>
        <v>8.3447708461790171</v>
      </c>
      <c r="U314" s="41">
        <f>'[2]побудинковий звіт'!U314+'[1]побудинковий звіт'!U314</f>
        <v>1562.8113764283848</v>
      </c>
      <c r="V314" s="41">
        <f>'[2]побудинковий звіт'!V314+'[1]побудинковий звіт'!V314</f>
        <v>3625.7821982652163</v>
      </c>
      <c r="W314" s="55">
        <f t="shared" si="267"/>
        <v>2062.9708218368314</v>
      </c>
      <c r="X314" s="41">
        <f>'[2]побудинковий звіт'!X314+'[1]побудинковий звіт'!X314</f>
        <v>14641.109107715947</v>
      </c>
      <c r="Y314" s="41">
        <f>'[2]побудинковий звіт'!Y314+'[1]побудинковий звіт'!Y314</f>
        <v>14361.281149105283</v>
      </c>
      <c r="Z314" s="55">
        <f t="shared" si="268"/>
        <v>-279.8279586106637</v>
      </c>
      <c r="AA314" s="41">
        <f>'[2]побудинковий звіт'!AA314+'[1]побудинковий звіт'!AA314</f>
        <v>0</v>
      </c>
      <c r="AB314" s="41">
        <f>'[2]побудинковий звіт'!AB314+'[1]побудинковий звіт'!AB314</f>
        <v>0</v>
      </c>
      <c r="AC314" s="55">
        <f t="shared" si="269"/>
        <v>0</v>
      </c>
      <c r="AD314" s="41">
        <f>'[2]побудинковий звіт'!AD314+'[1]побудинковий звіт'!AD314</f>
        <v>36657.71551190906</v>
      </c>
      <c r="AE314" s="41">
        <f>'[2]побудинковий звіт'!AE314+'[1]побудинковий звіт'!AE314</f>
        <v>36636.755309073735</v>
      </c>
      <c r="AF314" s="36">
        <f t="shared" si="270"/>
        <v>-20.960202835325617</v>
      </c>
      <c r="AG314" s="84">
        <f t="shared" si="271"/>
        <v>94854.617047449035</v>
      </c>
      <c r="AH314" s="56">
        <f t="shared" si="272"/>
        <v>97659.788336977042</v>
      </c>
      <c r="AI314" s="55">
        <f t="shared" si="273"/>
        <v>2805.171289528007</v>
      </c>
      <c r="AJ314" s="41">
        <f>'[2]побудинковий звіт'!AJ314+'[1]побудинковий звіт'!AJ314</f>
        <v>76180.382580929116</v>
      </c>
      <c r="AK314" s="41">
        <f>'[2]побудинковий звіт'!AK314+'[1]побудинковий звіт'!AK314</f>
        <v>71315.982108764641</v>
      </c>
      <c r="AL314" s="55">
        <f t="shared" si="274"/>
        <v>-4864.4004721644742</v>
      </c>
      <c r="AM314" s="41">
        <f>'[2]побудинковий звіт'!AM314+'[1]побудинковий звіт'!AM314</f>
        <v>1211.7347071692361</v>
      </c>
      <c r="AN314" s="41">
        <f>'[2]побудинковий звіт'!AN314+'[1]побудинковий звіт'!AN314</f>
        <v>5527.2009366864386</v>
      </c>
      <c r="AO314" s="55">
        <f t="shared" si="275"/>
        <v>4315.466229517202</v>
      </c>
      <c r="AP314" s="41">
        <f>'[2]побудинковий звіт'!AP314+'[1]побудинковий звіт'!AP314</f>
        <v>7023.5691566201285</v>
      </c>
      <c r="AQ314" s="41">
        <f>'[2]побудинковий звіт'!AQ314+'[1]побудинковий звіт'!AQ314</f>
        <v>6740.0910627921257</v>
      </c>
      <c r="AR314" s="55">
        <f t="shared" si="276"/>
        <v>-283.47809382800278</v>
      </c>
      <c r="AS314" s="41">
        <f>'[2]побудинковий звіт'!AS314+'[1]побудинковий звіт'!AS314</f>
        <v>118451.47252463474</v>
      </c>
      <c r="AT314" s="41">
        <f>'[2]побудинковий звіт'!AT314+'[1]побудинковий звіт'!AT314</f>
        <v>35349.273172890818</v>
      </c>
      <c r="AU314" s="57">
        <f t="shared" si="277"/>
        <v>-83102.199351743911</v>
      </c>
      <c r="AV314" s="41">
        <f>'[2]побудинковий звіт'!AV314+'[1]побудинковий звіт'!AV314</f>
        <v>2084.2908177185059</v>
      </c>
      <c r="AW314" s="41">
        <f>'[2]побудинковий звіт'!AW314+'[1]побудинковий звіт'!AW314</f>
        <v>448.18794590112498</v>
      </c>
      <c r="AX314" s="58">
        <f t="shared" si="278"/>
        <v>-1636.1028718173809</v>
      </c>
      <c r="AY314" s="41">
        <f>'[2]побудинковий звіт'!AY314+'[1]побудинковий звіт'!AY314</f>
        <v>2780.6259327371872</v>
      </c>
      <c r="AZ314" s="41">
        <f>'[2]побудинковий звіт'!AZ314+'[1]побудинковий звіт'!AZ314</f>
        <v>4516.7726163450225</v>
      </c>
      <c r="BA314" s="36">
        <f t="shared" si="279"/>
        <v>1736.1466836078353</v>
      </c>
      <c r="BB314" s="41">
        <f>'[2]побудинковий звіт'!BB314+'[1]побудинковий звіт'!BB314</f>
        <v>3145.764988734838</v>
      </c>
      <c r="BC314" s="41">
        <f>'[2]побудинковий звіт'!BC314+'[1]побудинковий звіт'!BC314</f>
        <v>0</v>
      </c>
      <c r="BD314" s="58">
        <f t="shared" si="280"/>
        <v>-3145.764988734838</v>
      </c>
      <c r="BE314" s="41">
        <f>'[2]побудинковий звіт'!BE314+'[1]побудинковий звіт'!BE314</f>
        <v>1549.8853027262719</v>
      </c>
      <c r="BF314" s="41">
        <f>'[2]побудинковий звіт'!BF314+'[1]побудинковий звіт'!BF314</f>
        <v>0</v>
      </c>
      <c r="BG314" s="38">
        <f t="shared" si="281"/>
        <v>-1549.8853027262719</v>
      </c>
      <c r="BH314" s="41">
        <f>'[2]побудинковий звіт'!BH314+'[1]побудинковий звіт'!BH314</f>
        <v>813.23905437838584</v>
      </c>
      <c r="BI314" s="41">
        <f>'[2]побудинковий звіт'!BI314+'[1]побудинковий звіт'!BI314</f>
        <v>0</v>
      </c>
      <c r="BJ314" s="58">
        <f t="shared" si="282"/>
        <v>-813.23905437838584</v>
      </c>
      <c r="BK314" s="41">
        <f>'[2]побудинковий звіт'!BK314+'[1]побудинковий звіт'!BK314</f>
        <v>2904.1846131103343</v>
      </c>
      <c r="BL314" s="41">
        <f>'[2]побудинковий звіт'!BL314+'[1]побудинковий звіт'!BL314</f>
        <v>0</v>
      </c>
      <c r="BM314" s="38">
        <f t="shared" si="283"/>
        <v>-2904.1846131103343</v>
      </c>
      <c r="BN314" s="41">
        <f>'[2]побудинковий звіт'!BN314+'[1]побудинковий звіт'!BN314</f>
        <v>63.83971768175757</v>
      </c>
      <c r="BO314" s="41">
        <f>'[2]побудинковий звіт'!BO314+'[1]побудинковий звіт'!BO314</f>
        <v>0</v>
      </c>
      <c r="BP314" s="58">
        <f t="shared" si="284"/>
        <v>-63.83971768175757</v>
      </c>
      <c r="BQ314" s="84">
        <f t="shared" si="285"/>
        <v>13341.830427087281</v>
      </c>
      <c r="BR314" s="42">
        <f t="shared" si="286"/>
        <v>4964.9605622461477</v>
      </c>
      <c r="BS314" s="58">
        <f t="shared" si="287"/>
        <v>-8376.8698648411337</v>
      </c>
      <c r="BT314" s="41">
        <f>'[2]побудинковий звіт'!BT314+'[1]побудинковий звіт'!BT314</f>
        <v>151542.36618066809</v>
      </c>
      <c r="BU314" s="41">
        <f>'[2]побудинковий звіт'!BU314+'[1]побудинковий звіт'!BU314</f>
        <v>208566.8262008772</v>
      </c>
      <c r="BV314" s="55">
        <f t="shared" si="288"/>
        <v>57024.46002020911</v>
      </c>
      <c r="BW314" s="41">
        <f>'[2]побудинковий звіт'!BW314+'[1]побудинковий звіт'!BW314</f>
        <v>83488.035433537283</v>
      </c>
      <c r="BX314" s="41">
        <f>'[2]побудинковий звіт'!BX314+'[1]побудинковий звіт'!BX314</f>
        <v>97838.602312674484</v>
      </c>
      <c r="BY314" s="55">
        <f t="shared" si="289"/>
        <v>14350.566879137201</v>
      </c>
      <c r="BZ314" s="41">
        <f>'[2]побудинковий звіт'!BZ314+'[1]побудинковий звіт'!BZ314</f>
        <v>15467.967418497621</v>
      </c>
      <c r="CA314" s="41">
        <f>'[2]побудинковий звіт'!CA314+'[1]побудинковий звіт'!CA314</f>
        <v>18304.78037326366</v>
      </c>
      <c r="CB314" s="55">
        <f t="shared" si="290"/>
        <v>2836.8129547660392</v>
      </c>
      <c r="CC314" s="41">
        <f>'[2]побудинковий звіт'!CC314+'[1]побудинковий звіт'!CC314</f>
        <v>1868.7804212562414</v>
      </c>
      <c r="CD314" s="41">
        <f>'[2]побудинковий звіт'!CD314+'[1]побудинковий звіт'!CD314</f>
        <v>1875.1172472140952</v>
      </c>
      <c r="CE314" s="55">
        <f t="shared" si="291"/>
        <v>6.3368259578537618</v>
      </c>
      <c r="CF314" s="41">
        <f>'[2]побудинковий звіт'!CF314+'[1]побудинковий звіт'!CF314</f>
        <v>231.53196127962886</v>
      </c>
      <c r="CG314" s="41">
        <f>'[2]побудинковий звіт'!CG314+'[1]побудинковий звіт'!CG314</f>
        <v>0</v>
      </c>
      <c r="CH314" s="55">
        <f t="shared" si="292"/>
        <v>-231.53196127962886</v>
      </c>
      <c r="CI314" s="41">
        <f>'[2]побудинковий звіт'!CI314+'[1]побудинковий звіт'!CI314</f>
        <v>11899.258377387825</v>
      </c>
      <c r="CJ314" s="41">
        <f>'[2]побудинковий звіт'!CJ314+'[1]побудинковий звіт'!CJ314</f>
        <v>5980.4938857748139</v>
      </c>
      <c r="CK314" s="55">
        <f t="shared" si="293"/>
        <v>-5918.7644916130112</v>
      </c>
      <c r="CL314" s="41">
        <f>'[2]побудинковий звіт'!CL314+'[1]побудинковий звіт'!CL314</f>
        <v>19524.470284109608</v>
      </c>
      <c r="CM314" s="41">
        <f>'[2]побудинковий звіт'!CM314+'[1]побудинковий звіт'!CM314</f>
        <v>29106.161769051803</v>
      </c>
      <c r="CN314" s="55">
        <f t="shared" si="294"/>
        <v>9581.6914849421955</v>
      </c>
      <c r="CO314" s="41">
        <f t="shared" si="295"/>
        <v>31423.728661497433</v>
      </c>
      <c r="CP314" s="42">
        <f t="shared" si="296"/>
        <v>35086.655654826616</v>
      </c>
      <c r="CQ314" s="55">
        <f t="shared" si="297"/>
        <v>3662.9269933291835</v>
      </c>
      <c r="CR314" s="76">
        <f t="shared" si="298"/>
        <v>595086.0165206258</v>
      </c>
      <c r="CS314" s="5">
        <f t="shared" si="299"/>
        <v>583229.27796921332</v>
      </c>
      <c r="CT314" s="55">
        <f t="shared" si="300"/>
        <v>-11856.738551412476</v>
      </c>
      <c r="CU314" s="84">
        <f t="shared" si="301"/>
        <v>714103.21982475091</v>
      </c>
      <c r="CV314" s="68">
        <f t="shared" si="302"/>
        <v>699875.13356305601</v>
      </c>
      <c r="CW314" s="36">
        <f t="shared" si="303"/>
        <v>-14228.086261694902</v>
      </c>
      <c r="CX314" s="41">
        <f>'[2]побудинковий звіт'!CX314+'[1]побудинковий звіт'!CX314</f>
        <v>21379.27289665291</v>
      </c>
      <c r="CY314" s="41">
        <f>'[2]побудинковий звіт'!CY314+'[1]побудинковий звіт'!CY314</f>
        <v>35607.359158348052</v>
      </c>
      <c r="CZ314" s="55">
        <f t="shared" si="304"/>
        <v>14228.086261695142</v>
      </c>
      <c r="DA314" s="254">
        <f>'[1]побудинковий звіт'!DA314</f>
        <v>80096.146786386438</v>
      </c>
      <c r="DB314" s="2">
        <v>2</v>
      </c>
      <c r="DC314" s="702">
        <f>'[1]побудинковий звіт'!DC314</f>
        <v>147355.94</v>
      </c>
      <c r="DD314" s="702">
        <f>'[1]побудинковий звіт'!DD314</f>
        <v>7029.8900000000012</v>
      </c>
      <c r="DE314" s="702">
        <f>'[1]побудинковий звіт'!DE314</f>
        <v>67827.69</v>
      </c>
      <c r="DF314" s="702">
        <f>'[1]побудинковий звіт'!DF314</f>
        <v>5647.1200000000008</v>
      </c>
      <c r="DG314" s="772">
        <v>-69225.241211770335</v>
      </c>
      <c r="DH314" s="746">
        <f t="shared" si="316"/>
        <v>8825789.9126568455</v>
      </c>
      <c r="DI314" s="769"/>
      <c r="DJ314" s="5"/>
      <c r="DK314" s="307">
        <f>VLOOKUP($A314,ціни!$A$4:$G$401,5)</f>
        <v>5.7748612903465926</v>
      </c>
      <c r="DL314" s="307">
        <f>VLOOKUP($A314,ціни!$A$4:$G$401,6)</f>
        <v>6.967979940489295</v>
      </c>
      <c r="DM314" s="307">
        <f>VLOOKUP($A314,ціни!$A$4:$G$401,7)</f>
        <v>4.7955675854231004</v>
      </c>
      <c r="DN314" s="29">
        <f>DK314*G314+(F314-G314)*DL314</f>
        <v>56503.664331859312</v>
      </c>
      <c r="DO314" s="29">
        <v>491.34</v>
      </c>
      <c r="DP314" s="306">
        <f t="shared" si="317"/>
        <v>56995.004331859309</v>
      </c>
      <c r="DQ314" s="101"/>
      <c r="DR314" s="29">
        <f>VLOOKUP(A314,'ДЗ нас '!$A$1:$C$359,2)</f>
        <v>56611.99</v>
      </c>
      <c r="DS314" s="733">
        <f>VLOOKUP(A314,'ДЗ нежит'!$A$1:$D$153,4,0)</f>
        <v>1017.64</v>
      </c>
      <c r="DT314" s="29">
        <f t="shared" si="318"/>
        <v>57629.63</v>
      </c>
      <c r="DU314" s="247">
        <f>VLOOKUP(A314,'новий кошторис с 01.06'!$A$4:$AI$399,35)*1.2</f>
        <v>57930.521747045925</v>
      </c>
      <c r="DV314" s="29">
        <f t="shared" si="319"/>
        <v>-300.89174704592733</v>
      </c>
      <c r="DW314" s="1016">
        <f>'[2]побудинковий звіт'!$DW$9+'[1]побудинковий звіт'!DW314</f>
        <v>1494</v>
      </c>
      <c r="DX314" s="101">
        <f>'[1]побудинковий звіт'!DX314</f>
        <v>0</v>
      </c>
      <c r="DY314" s="5">
        <f t="shared" si="320"/>
        <v>158151.96354206643</v>
      </c>
      <c r="DZ314" s="5">
        <f t="shared" si="321"/>
        <v>48377.080482164354</v>
      </c>
      <c r="EA314" s="737">
        <f t="shared" si="322"/>
        <v>73474.81</v>
      </c>
      <c r="EC314" s="577">
        <f t="shared" si="323"/>
        <v>1421417.6702956168</v>
      </c>
      <c r="EE314" s="743">
        <v>18490</v>
      </c>
      <c r="EF314" s="723">
        <f t="shared" si="324"/>
        <v>-50735.241211770335</v>
      </c>
      <c r="EH314" s="798">
        <v>122792.85295810649</v>
      </c>
      <c r="EI314" s="101">
        <f>VLOOKUP(A314,'кошти 01.01.24'!$A$9:$D$352,4,FALSE)</f>
        <v>94324.233048081602</v>
      </c>
    </row>
    <row r="315" spans="1:139" hidden="1" x14ac:dyDescent="0.3">
      <c r="A315" s="318">
        <v>150001561</v>
      </c>
      <c r="B315" s="43" t="s">
        <v>782</v>
      </c>
      <c r="C315" s="44" t="s">
        <v>399</v>
      </c>
      <c r="D315" s="44" t="s">
        <v>399</v>
      </c>
      <c r="E315" s="39">
        <f t="shared" si="262"/>
        <v>3560.6</v>
      </c>
      <c r="F315" s="205">
        <f>'[1]побудинковий звіт'!F315</f>
        <v>3560.6</v>
      </c>
      <c r="G315" s="29">
        <f>'[1]побудинковий звіт'!G315</f>
        <v>191</v>
      </c>
      <c r="H315" s="148">
        <f>'[1]побудинковий звіт'!H315</f>
        <v>0</v>
      </c>
      <c r="I315" s="41">
        <f>'[2]побудинковий звіт'!I315+'[1]побудинковий звіт'!I315</f>
        <v>21191.566446828332</v>
      </c>
      <c r="J315" s="41">
        <f>'[2]побудинковий звіт'!J315+'[1]побудинковий звіт'!J315</f>
        <v>21659.140703738118</v>
      </c>
      <c r="K315" s="55">
        <f t="shared" si="263"/>
        <v>467.57425690978562</v>
      </c>
      <c r="L315" s="41">
        <f>'[2]побудинковий звіт'!L315+'[1]побудинковий звіт'!L315</f>
        <v>3420.8113875406916</v>
      </c>
      <c r="M315" s="41">
        <f>'[2]побудинковий звіт'!M315+'[1]побудинковий звіт'!M315</f>
        <v>3599.4176142154465</v>
      </c>
      <c r="N315" s="55">
        <f t="shared" si="264"/>
        <v>178.60622667475491</v>
      </c>
      <c r="O315" s="41">
        <f>'[2]побудинковий звіт'!O315+'[1]побудинковий звіт'!O315</f>
        <v>0</v>
      </c>
      <c r="P315" s="41">
        <f>'[2]побудинковий звіт'!P315+'[1]побудинковий звіт'!P315</f>
        <v>0</v>
      </c>
      <c r="Q315" s="55">
        <f t="shared" si="265"/>
        <v>0</v>
      </c>
      <c r="R315" s="41">
        <f>'[2]побудинковий звіт'!R315+'[1]побудинковий звіт'!R315</f>
        <v>0</v>
      </c>
      <c r="S315" s="41">
        <f>'[2]побудинковий звіт'!S315+'[1]побудинковий звіт'!S315</f>
        <v>0</v>
      </c>
      <c r="T315" s="55">
        <f t="shared" si="266"/>
        <v>0</v>
      </c>
      <c r="U315" s="41">
        <f>'[2]побудинковий звіт'!U315+'[1]побудинковий звіт'!U315</f>
        <v>342.46876314630151</v>
      </c>
      <c r="V315" s="41">
        <f>'[2]побудинковий звіт'!V315+'[1]побудинковий звіт'!V315</f>
        <v>641.17175606063734</v>
      </c>
      <c r="W315" s="55">
        <f t="shared" si="267"/>
        <v>298.70299291433582</v>
      </c>
      <c r="X315" s="41">
        <f>'[2]побудинковий звіт'!X315+'[1]побудинковий звіт'!X315</f>
        <v>7386.1928148519319</v>
      </c>
      <c r="Y315" s="41">
        <f>'[2]побудинковий звіт'!Y315+'[1]побудинковий звіт'!Y315</f>
        <v>6939.0901787433104</v>
      </c>
      <c r="Z315" s="55">
        <f t="shared" si="268"/>
        <v>-447.10263610862148</v>
      </c>
      <c r="AA315" s="41">
        <f>'[2]побудинковий звіт'!AA315+'[1]побудинковий звіт'!AA315</f>
        <v>0</v>
      </c>
      <c r="AB315" s="41">
        <f>'[2]побудинковий звіт'!AB315+'[1]побудинковий звіт'!AB315</f>
        <v>0</v>
      </c>
      <c r="AC315" s="55">
        <f t="shared" si="269"/>
        <v>0</v>
      </c>
      <c r="AD315" s="41">
        <f>'[2]побудинковий звіт'!AD315+'[1]побудинковий звіт'!AD315</f>
        <v>15285.085396686969</v>
      </c>
      <c r="AE315" s="41">
        <f>'[2]побудинковий звіт'!AE315+'[1]побудинковий звіт'!AE315</f>
        <v>15231.650620530934</v>
      </c>
      <c r="AF315" s="36">
        <f t="shared" si="270"/>
        <v>-53.434776156034786</v>
      </c>
      <c r="AG315" s="84">
        <f t="shared" si="271"/>
        <v>47626.124809054229</v>
      </c>
      <c r="AH315" s="56">
        <f t="shared" si="272"/>
        <v>48070.470873288446</v>
      </c>
      <c r="AI315" s="55">
        <f t="shared" si="273"/>
        <v>444.34606423421792</v>
      </c>
      <c r="AJ315" s="41">
        <f>'[2]побудинковий звіт'!AJ315+'[1]побудинковий звіт'!AJ315</f>
        <v>11603.848978538912</v>
      </c>
      <c r="AK315" s="41">
        <f>'[2]побудинковий звіт'!AK315+'[1]побудинковий звіт'!AK315</f>
        <v>13513.344111555683</v>
      </c>
      <c r="AL315" s="55">
        <f t="shared" si="274"/>
        <v>1909.4951330167714</v>
      </c>
      <c r="AM315" s="41">
        <f>'[2]побудинковий звіт'!AM315+'[1]побудинковий звіт'!AM315</f>
        <v>1721.8436874612585</v>
      </c>
      <c r="AN315" s="41">
        <f>'[2]побудинковий звіт'!AN315+'[1]побудинковий звіт'!AN315</f>
        <v>2005.1819023005655</v>
      </c>
      <c r="AO315" s="55">
        <f t="shared" si="275"/>
        <v>283.33821483930706</v>
      </c>
      <c r="AP315" s="41">
        <f>'[2]побудинковий звіт'!AP315+'[1]побудинковий звіт'!AP315</f>
        <v>4903.4598173807608</v>
      </c>
      <c r="AQ315" s="41">
        <f>'[2]побудинковий звіт'!AQ315+'[1]побудинковий звіт'!AQ315</f>
        <v>3108.1659372408594</v>
      </c>
      <c r="AR315" s="55">
        <f t="shared" si="276"/>
        <v>-1795.2938801399014</v>
      </c>
      <c r="AS315" s="41">
        <f>'[2]побудинковий звіт'!AS315+'[1]побудинковий звіт'!AS315</f>
        <v>41722.879620145832</v>
      </c>
      <c r="AT315" s="41">
        <f>'[2]побудинковий звіт'!AT315+'[1]побудинковий звіт'!AT315</f>
        <v>97588.915288271222</v>
      </c>
      <c r="AU315" s="57">
        <f t="shared" si="277"/>
        <v>55866.035668125391</v>
      </c>
      <c r="AV315" s="41">
        <f>'[2]побудинковий звіт'!AV315+'[1]побудинковий звіт'!AV315</f>
        <v>1635.7780931373993</v>
      </c>
      <c r="AW315" s="41">
        <f>'[2]побудинковий звіт'!AW315+'[1]побудинковий звіт'!AW315</f>
        <v>0</v>
      </c>
      <c r="AX315" s="58">
        <f t="shared" si="278"/>
        <v>-1635.7780931373993</v>
      </c>
      <c r="AY315" s="41">
        <f>'[2]побудинковий звіт'!AY315+'[1]побудинковий звіт'!AY315</f>
        <v>2129.8621930026693</v>
      </c>
      <c r="AZ315" s="41">
        <f>'[2]побудинковий звіт'!AZ315+'[1]побудинковий звіт'!AZ315</f>
        <v>0</v>
      </c>
      <c r="BA315" s="36">
        <f t="shared" si="279"/>
        <v>-2129.8621930026693</v>
      </c>
      <c r="BB315" s="41">
        <f>'[2]побудинковий звіт'!BB315+'[1]побудинковий звіт'!BB315</f>
        <v>0</v>
      </c>
      <c r="BC315" s="41">
        <f>'[2]побудинковий звіт'!BC315+'[1]побудинковий звіт'!BC315</f>
        <v>0</v>
      </c>
      <c r="BD315" s="58">
        <f t="shared" si="280"/>
        <v>0</v>
      </c>
      <c r="BE315" s="41">
        <f>'[2]побудинковий звіт'!BE315+'[1]побудинковий звіт'!BE315</f>
        <v>0</v>
      </c>
      <c r="BF315" s="41">
        <f>'[2]побудинковий звіт'!BF315+'[1]побудинковий звіт'!BF315</f>
        <v>0</v>
      </c>
      <c r="BG315" s="38">
        <f t="shared" si="281"/>
        <v>0</v>
      </c>
      <c r="BH315" s="41">
        <f>'[2]побудинковий звіт'!BH315+'[1]побудинковий звіт'!BH315</f>
        <v>196.27966125769146</v>
      </c>
      <c r="BI315" s="41">
        <f>'[2]побудинковий звіт'!BI315+'[1]побудинковий звіт'!BI315</f>
        <v>0</v>
      </c>
      <c r="BJ315" s="58">
        <f t="shared" si="282"/>
        <v>-196.27966125769146</v>
      </c>
      <c r="BK315" s="41">
        <f>'[2]побудинковий звіт'!BK315+'[1]побудинковий звіт'!BK315</f>
        <v>588.4244137479327</v>
      </c>
      <c r="BL315" s="41">
        <f>'[2]побудинковий звіт'!BL315+'[1]побудинковий звіт'!BL315</f>
        <v>13331.88833759977</v>
      </c>
      <c r="BM315" s="38">
        <f t="shared" si="283"/>
        <v>12743.463923851838</v>
      </c>
      <c r="BN315" s="41">
        <f>'[2]побудинковий звіт'!BN315+'[1]побудинковий звіт'!BN315</f>
        <v>0</v>
      </c>
      <c r="BO315" s="41">
        <f>'[2]побудинковий звіт'!BO315+'[1]побудинковий звіт'!BO315</f>
        <v>8782.0509023480008</v>
      </c>
      <c r="BP315" s="58">
        <f t="shared" si="284"/>
        <v>8782.0509023480008</v>
      </c>
      <c r="BQ315" s="84">
        <f t="shared" si="285"/>
        <v>4550.3443611456923</v>
      </c>
      <c r="BR315" s="42">
        <f t="shared" si="286"/>
        <v>22113.939239947773</v>
      </c>
      <c r="BS315" s="58">
        <f t="shared" si="287"/>
        <v>17563.59487880208</v>
      </c>
      <c r="BT315" s="41">
        <f>'[2]побудинковий звіт'!BT315+'[1]побудинковий звіт'!BT315</f>
        <v>19933.844332524735</v>
      </c>
      <c r="BU315" s="41">
        <f>'[2]побудинковий звіт'!BU315+'[1]побудинковий звіт'!BU315</f>
        <v>39974.421545841411</v>
      </c>
      <c r="BV315" s="55">
        <f t="shared" si="288"/>
        <v>20040.577213316676</v>
      </c>
      <c r="BW315" s="41">
        <f>'[2]побудинковий звіт'!BW315+'[1]побудинковий звіт'!BW315</f>
        <v>32318.901165899118</v>
      </c>
      <c r="BX315" s="41">
        <f>'[2]побудинковий звіт'!BX315+'[1]побудинковий звіт'!BX315</f>
        <v>36794.525156067481</v>
      </c>
      <c r="BY315" s="55">
        <f t="shared" si="289"/>
        <v>4475.6239901683621</v>
      </c>
      <c r="BZ315" s="41">
        <f>'[2]побудинковий звіт'!BZ315+'[1]побудинковий звіт'!BZ315</f>
        <v>15155.295103439623</v>
      </c>
      <c r="CA315" s="41">
        <f>'[2]побудинковий звіт'!CA315+'[1]побудинковий звіт'!CA315</f>
        <v>4089.1917673492235</v>
      </c>
      <c r="CB315" s="55">
        <f t="shared" si="290"/>
        <v>-11066.1033360904</v>
      </c>
      <c r="CC315" s="41">
        <f>'[2]побудинковий звіт'!CC315+'[1]побудинковий звіт'!CC315</f>
        <v>104.12649079221868</v>
      </c>
      <c r="CD315" s="41">
        <f>'[2]побудинковий звіт'!CD315+'[1]побудинковий звіт'!CD315</f>
        <v>104.47957210784416</v>
      </c>
      <c r="CE315" s="55">
        <f t="shared" si="291"/>
        <v>0.35308131562548795</v>
      </c>
      <c r="CF315" s="41">
        <f>'[2]побудинковий звіт'!CF315+'[1]побудинковий звіт'!CF315</f>
        <v>12.900718757574094</v>
      </c>
      <c r="CG315" s="41">
        <f>'[2]побудинковий звіт'!CG315+'[1]побудинковий звіт'!CG315</f>
        <v>0</v>
      </c>
      <c r="CH315" s="55">
        <f t="shared" si="292"/>
        <v>-12.900718757574094</v>
      </c>
      <c r="CI315" s="41">
        <f>'[2]побудинковий звіт'!CI315+'[1]побудинковий звіт'!CI315</f>
        <v>3114.6953830341445</v>
      </c>
      <c r="CJ315" s="41">
        <f>'[2]побудинковий звіт'!CJ315+'[1]побудинковий звіт'!CJ315</f>
        <v>4246.4615348106263</v>
      </c>
      <c r="CK315" s="55">
        <f t="shared" si="293"/>
        <v>1131.7661517764818</v>
      </c>
      <c r="CL315" s="41">
        <f>'[2]побудинковий звіт'!CL315+'[1]побудинковий звіт'!CL315</f>
        <v>8905.9034467686106</v>
      </c>
      <c r="CM315" s="41">
        <f>'[2]побудинковий звіт'!CM315+'[1]побудинковий звіт'!CM315</f>
        <v>11133.019520275189</v>
      </c>
      <c r="CN315" s="55">
        <f t="shared" si="294"/>
        <v>2227.1160735065787</v>
      </c>
      <c r="CO315" s="41">
        <f t="shared" si="295"/>
        <v>12020.598829802755</v>
      </c>
      <c r="CP315" s="42">
        <f t="shared" si="296"/>
        <v>15379.481055085816</v>
      </c>
      <c r="CQ315" s="55">
        <f t="shared" si="297"/>
        <v>3358.8822252830614</v>
      </c>
      <c r="CR315" s="76">
        <f t="shared" si="298"/>
        <v>191674.16791494272</v>
      </c>
      <c r="CS315" s="5">
        <f t="shared" si="299"/>
        <v>282742.11644905631</v>
      </c>
      <c r="CT315" s="55">
        <f t="shared" si="300"/>
        <v>91067.948534113588</v>
      </c>
      <c r="CU315" s="84">
        <f t="shared" si="301"/>
        <v>230009.00149793125</v>
      </c>
      <c r="CV315" s="68">
        <f t="shared" si="302"/>
        <v>339290.53973886755</v>
      </c>
      <c r="CW315" s="36">
        <f t="shared" si="303"/>
        <v>109281.53824093629</v>
      </c>
      <c r="CX315" s="41">
        <f>'[2]побудинковий звіт'!CX315+'[1]побудинковий звіт'!CX315</f>
        <v>7603.2607796877128</v>
      </c>
      <c r="CY315" s="41">
        <f>'[2]побудинковий звіт'!CY315+'[1]побудинковий звіт'!CY315</f>
        <v>-101678.27746124865</v>
      </c>
      <c r="CZ315" s="55">
        <f t="shared" si="304"/>
        <v>-109281.53824093637</v>
      </c>
      <c r="DA315" s="254">
        <f>'[1]побудинковий звіт'!DA315</f>
        <v>2925.7301543588401</v>
      </c>
      <c r="DB315" s="2">
        <v>2</v>
      </c>
      <c r="DC315" s="702">
        <f>'[1]побудинковий звіт'!DC315</f>
        <v>74477.740000000005</v>
      </c>
      <c r="DD315" s="702">
        <f>'[1]побудинковий звіт'!DD315</f>
        <v>0</v>
      </c>
      <c r="DE315" s="702">
        <f>'[1]побудинковий звіт'!DE315</f>
        <v>48146.37000000001</v>
      </c>
      <c r="DF315" s="702">
        <f>'[1]побудинковий звіт'!DF315</f>
        <v>0</v>
      </c>
      <c r="DG315" s="772">
        <v>-122108.53280215821</v>
      </c>
      <c r="DH315" s="746">
        <f t="shared" si="316"/>
        <v>2851347.1473314278</v>
      </c>
      <c r="DI315" s="769"/>
      <c r="DJ315" s="5"/>
      <c r="DK315" s="307">
        <f>VLOOKUP($A315,ціни!$A$4:$G$401,5)</f>
        <v>4.6285575368843217</v>
      </c>
      <c r="DL315" s="307">
        <f>VLOOKUP($A315,ціни!$A$4:$G$401,6)</f>
        <v>5.2575302079328505</v>
      </c>
      <c r="DM315" s="307">
        <f>VLOOKUP($A315,ціни!$A$4:$G$401,7)</f>
        <v>3.7346500935356937</v>
      </c>
      <c r="DN315" s="29">
        <f>DK315*G315+(F315-G315)*DL315</f>
        <v>18599.828278195437</v>
      </c>
      <c r="DO315" s="29">
        <f>DM315*H315</f>
        <v>0</v>
      </c>
      <c r="DP315" s="306">
        <f t="shared" si="317"/>
        <v>18599.828278195437</v>
      </c>
      <c r="DQ315" s="101"/>
      <c r="DR315" s="29">
        <f>VLOOKUP(A315,'ДЗ нас '!$A$1:$C$359,2)</f>
        <v>18599.740000000002</v>
      </c>
      <c r="DS315" s="733"/>
      <c r="DT315" s="29">
        <f t="shared" si="318"/>
        <v>18599.740000000002</v>
      </c>
      <c r="DU315" s="247">
        <f>VLOOKUP(A315,'новий кошторис с 01.06'!$A$4:$AI$399,35)*1.2</f>
        <v>18422.788073033724</v>
      </c>
      <c r="DV315" s="29">
        <f t="shared" si="319"/>
        <v>176.95192696627782</v>
      </c>
      <c r="DW315" s="1016">
        <f>'[2]побудинковий звіт'!$DW$9+'[1]побудинковий звіт'!DW315</f>
        <v>918</v>
      </c>
      <c r="DX315" s="101">
        <f>'[1]побудинковий звіт'!DX315</f>
        <v>0</v>
      </c>
      <c r="DY315" s="5">
        <f t="shared" si="320"/>
        <v>55527.868777549826</v>
      </c>
      <c r="DZ315" s="5">
        <f t="shared" si="321"/>
        <v>143643.42543386281</v>
      </c>
      <c r="EA315" s="737">
        <f t="shared" si="322"/>
        <v>48146.37000000001</v>
      </c>
      <c r="EC315" s="577">
        <f t="shared" si="323"/>
        <v>500674.55544174998</v>
      </c>
      <c r="EE315" s="743">
        <v>-2493</v>
      </c>
      <c r="EF315" s="723">
        <f t="shared" si="324"/>
        <v>-124601.53280215821</v>
      </c>
      <c r="EH315" s="798">
        <v>-141923.47729852295</v>
      </c>
      <c r="EI315" s="101">
        <f>VLOOKUP(A315,'кошти 01.01.24'!$A$9:$D$352,4,FALSE)</f>
        <v>-106355.80808657745</v>
      </c>
    </row>
    <row r="316" spans="1:139" hidden="1" x14ac:dyDescent="0.3">
      <c r="A316" s="318">
        <v>150000892</v>
      </c>
      <c r="B316" s="43" t="s">
        <v>783</v>
      </c>
      <c r="C316" s="44" t="s">
        <v>400</v>
      </c>
      <c r="D316" s="44" t="s">
        <v>400</v>
      </c>
      <c r="E316" s="39">
        <f t="shared" si="262"/>
        <v>4158.7</v>
      </c>
      <c r="F316" s="205">
        <f>'[1]побудинковий звіт'!F316</f>
        <v>4158.7</v>
      </c>
      <c r="G316" s="29">
        <f>'[1]побудинковий звіт'!G316</f>
        <v>391.15</v>
      </c>
      <c r="H316" s="148">
        <f>'[1]побудинковий звіт'!H316</f>
        <v>0</v>
      </c>
      <c r="I316" s="41">
        <f>'[2]побудинковий звіт'!I316+'[1]побудинковий звіт'!I316</f>
        <v>17451.244525668251</v>
      </c>
      <c r="J316" s="41">
        <f>'[2]побудинковий звіт'!J316+'[1]побудинковий звіт'!J316</f>
        <v>18123.877767083115</v>
      </c>
      <c r="K316" s="55">
        <f t="shared" si="263"/>
        <v>672.63324141486373</v>
      </c>
      <c r="L316" s="41">
        <f>'[2]побудинковий звіт'!L316+'[1]побудинковий звіт'!L316</f>
        <v>2827.2158861907528</v>
      </c>
      <c r="M316" s="41">
        <f>'[2]побудинковий звіт'!M316+'[1]побудинковий звіт'!M316</f>
        <v>3082.8483535843661</v>
      </c>
      <c r="N316" s="55">
        <f t="shared" si="264"/>
        <v>255.6324673936133</v>
      </c>
      <c r="O316" s="41">
        <f>'[2]побудинковий звіт'!O316+'[1]побудинковий звіт'!O316</f>
        <v>5700.2789558947507</v>
      </c>
      <c r="P316" s="41">
        <f>'[2]побудинковий звіт'!P316+'[1]побудинковий звіт'!P316</f>
        <v>5717.3610062050002</v>
      </c>
      <c r="Q316" s="55">
        <f t="shared" si="265"/>
        <v>17.082050310249542</v>
      </c>
      <c r="R316" s="41">
        <f>'[2]побудинковий звіт'!R316+'[1]побудинковий звіт'!R316</f>
        <v>1411.7048347709786</v>
      </c>
      <c r="S316" s="41">
        <f>'[2]побудинковий звіт'!S316+'[1]побудинковий звіт'!S316</f>
        <v>1414.548247127346</v>
      </c>
      <c r="T316" s="55">
        <f t="shared" si="266"/>
        <v>2.8434123563674802</v>
      </c>
      <c r="U316" s="41">
        <f>'[2]побудинковий звіт'!U316+'[1]побудинковий звіт'!U316</f>
        <v>796.8751595035626</v>
      </c>
      <c r="V316" s="41">
        <f>'[2]побудинковий звіт'!V316+'[1]побудинковий звіт'!V316</f>
        <v>586.74054438053338</v>
      </c>
      <c r="W316" s="55">
        <f t="shared" si="267"/>
        <v>-210.13461512302922</v>
      </c>
      <c r="X316" s="41">
        <f>'[2]побудинковий звіт'!X316+'[1]побудинковий звіт'!X316</f>
        <v>6016.6267611914946</v>
      </c>
      <c r="Y316" s="41">
        <f>'[2]побудинковий звіт'!Y316+'[1]побудинковий звіт'!Y316</f>
        <v>8100.4100512415835</v>
      </c>
      <c r="Z316" s="55">
        <f t="shared" si="268"/>
        <v>2083.7832900500889</v>
      </c>
      <c r="AA316" s="41">
        <f>'[2]побудинковий звіт'!AA316+'[1]побудинковий звіт'!AA316</f>
        <v>0</v>
      </c>
      <c r="AB316" s="41">
        <f>'[2]побудинковий звіт'!AB316+'[1]побудинковий звіт'!AB316</f>
        <v>0</v>
      </c>
      <c r="AC316" s="55">
        <f t="shared" si="269"/>
        <v>0</v>
      </c>
      <c r="AD316" s="41">
        <f>'[2]побудинковий звіт'!AD316+'[1]побудинковий звіт'!AD316</f>
        <v>18020.305737026691</v>
      </c>
      <c r="AE316" s="41">
        <f>'[2]побудинковий звіт'!AE316+'[1]побудинковий звіт'!AE316</f>
        <v>17950.875865699196</v>
      </c>
      <c r="AF316" s="36">
        <f t="shared" si="270"/>
        <v>-69.429871327494766</v>
      </c>
      <c r="AG316" s="84">
        <f t="shared" si="271"/>
        <v>52224.251860246477</v>
      </c>
      <c r="AH316" s="56">
        <f t="shared" si="272"/>
        <v>54976.661835321138</v>
      </c>
      <c r="AI316" s="55">
        <f t="shared" si="273"/>
        <v>2752.4099750746609</v>
      </c>
      <c r="AJ316" s="41">
        <f>'[2]побудинковий звіт'!AJ316+'[1]побудинковий звіт'!AJ316</f>
        <v>60356.418595600298</v>
      </c>
      <c r="AK316" s="41">
        <f>'[2]побудинковий звіт'!AK316+'[1]побудинковий звіт'!AK316</f>
        <v>57601.276576215751</v>
      </c>
      <c r="AL316" s="55">
        <f t="shared" si="274"/>
        <v>-2755.1420193845479</v>
      </c>
      <c r="AM316" s="41">
        <f>'[2]побудинковий звіт'!AM316+'[1]побудинковий звіт'!AM316</f>
        <v>0</v>
      </c>
      <c r="AN316" s="41">
        <f>'[2]побудинковий звіт'!AN316+'[1]побудинковий звіт'!AN316</f>
        <v>0</v>
      </c>
      <c r="AO316" s="55">
        <f t="shared" si="275"/>
        <v>0</v>
      </c>
      <c r="AP316" s="41">
        <f>'[2]побудинковий звіт'!AP316+'[1]побудинковий звіт'!AP316</f>
        <v>3516.622697313474</v>
      </c>
      <c r="AQ316" s="41">
        <f>'[2]побудинковий звіт'!AQ316+'[1]побудинковий звіт'!AQ316</f>
        <v>3225.0575789349718</v>
      </c>
      <c r="AR316" s="55">
        <f t="shared" si="276"/>
        <v>-291.56511837850212</v>
      </c>
      <c r="AS316" s="41">
        <f>'[2]побудинковий звіт'!AS316+'[1]побудинковий звіт'!AS316</f>
        <v>66111.031966040289</v>
      </c>
      <c r="AT316" s="41">
        <f>'[2]побудинковий звіт'!AT316+'[1]побудинковий звіт'!AT316</f>
        <v>6413.4893958283383</v>
      </c>
      <c r="AU316" s="57">
        <f t="shared" si="277"/>
        <v>-59697.542570211954</v>
      </c>
      <c r="AV316" s="41">
        <f>'[2]побудинковий звіт'!AV316+'[1]побудинковий звіт'!AV316</f>
        <v>1570.4579300707926</v>
      </c>
      <c r="AW316" s="41">
        <f>'[2]побудинковий звіт'!AW316+'[1]побудинковий звіт'!AW316</f>
        <v>0</v>
      </c>
      <c r="AX316" s="58">
        <f t="shared" si="278"/>
        <v>-1570.4579300707926</v>
      </c>
      <c r="AY316" s="41">
        <f>'[2]побудинковий звіт'!AY316+'[1]побудинковий звіт'!AY316</f>
        <v>2024.1981468637844</v>
      </c>
      <c r="AZ316" s="41">
        <f>'[2]побудинковий звіт'!AZ316+'[1]побудинковий звіт'!AZ316</f>
        <v>2928.2496433445322</v>
      </c>
      <c r="BA316" s="36">
        <f t="shared" si="279"/>
        <v>904.0514964807478</v>
      </c>
      <c r="BB316" s="41">
        <f>'[2]побудинковий звіт'!BB316+'[1]побудинковий звіт'!BB316</f>
        <v>2217.1068286295649</v>
      </c>
      <c r="BC316" s="41">
        <f>'[2]побудинковий звіт'!BC316+'[1]побудинковий звіт'!BC316</f>
        <v>0</v>
      </c>
      <c r="BD316" s="58">
        <f t="shared" si="280"/>
        <v>-2217.1068286295649</v>
      </c>
      <c r="BE316" s="41">
        <f>'[2]побудинковий звіт'!BE316+'[1]побудинковий звіт'!BE316</f>
        <v>688.05662007960314</v>
      </c>
      <c r="BF316" s="41">
        <f>'[2]побудинковий звіт'!BF316+'[1]побудинковий звіт'!BF316</f>
        <v>0</v>
      </c>
      <c r="BG316" s="38">
        <f t="shared" si="281"/>
        <v>-688.05662007960314</v>
      </c>
      <c r="BH316" s="41">
        <f>'[2]побудинковий звіт'!BH316+'[1]побудинковий звіт'!BH316</f>
        <v>415.80905432125786</v>
      </c>
      <c r="BI316" s="41">
        <f>'[2]побудинковий звіт'!BI316+'[1]побудинковий звіт'!BI316</f>
        <v>0</v>
      </c>
      <c r="BJ316" s="58">
        <f t="shared" si="282"/>
        <v>-415.80905432125786</v>
      </c>
      <c r="BK316" s="41">
        <f>'[2]побудинковий звіт'!BK316+'[1]побудинковий звіт'!BK316</f>
        <v>1131.1518058953959</v>
      </c>
      <c r="BL316" s="41">
        <f>'[2]побудинковий звіт'!BL316+'[1]побудинковий звіт'!BL316</f>
        <v>0</v>
      </c>
      <c r="BM316" s="38">
        <f t="shared" si="283"/>
        <v>-1131.1518058953959</v>
      </c>
      <c r="BN316" s="41">
        <f>'[2]побудинковий звіт'!BN316+'[1]побудинковий звіт'!BN316</f>
        <v>112.9351271028635</v>
      </c>
      <c r="BO316" s="41">
        <f>'[2]побудинковий звіт'!BO316+'[1]побудинковий звіт'!BO316</f>
        <v>0</v>
      </c>
      <c r="BP316" s="58">
        <f t="shared" si="284"/>
        <v>-112.9351271028635</v>
      </c>
      <c r="BQ316" s="84">
        <f t="shared" si="285"/>
        <v>8159.715512963262</v>
      </c>
      <c r="BR316" s="42">
        <f t="shared" si="286"/>
        <v>2928.2496433445322</v>
      </c>
      <c r="BS316" s="58">
        <f t="shared" si="287"/>
        <v>-5231.4658696187298</v>
      </c>
      <c r="BT316" s="41">
        <f>'[2]побудинковий звіт'!BT316+'[1]побудинковий звіт'!BT316</f>
        <v>62863.193872524513</v>
      </c>
      <c r="BU316" s="41">
        <f>'[2]побудинковий звіт'!BU316+'[1]побудинковий звіт'!BU316</f>
        <v>88030.625602472879</v>
      </c>
      <c r="BV316" s="55">
        <f t="shared" si="288"/>
        <v>25167.431729948366</v>
      </c>
      <c r="BW316" s="41">
        <f>'[2]побудинковий звіт'!BW316+'[1]побудинковий звіт'!BW316</f>
        <v>41872.741545097284</v>
      </c>
      <c r="BX316" s="41">
        <f>'[2]побудинковий звіт'!BX316+'[1]побудинковий звіт'!BX316</f>
        <v>54889.679812547809</v>
      </c>
      <c r="BY316" s="55">
        <f t="shared" si="289"/>
        <v>13016.938267450525</v>
      </c>
      <c r="BZ316" s="41">
        <f>'[2]побудинковий звіт'!BZ316+'[1]побудинковий звіт'!BZ316</f>
        <v>5863.9443610044473</v>
      </c>
      <c r="CA316" s="41">
        <f>'[2]побудинковий звіт'!CA316+'[1]побудинковий звіт'!CA316</f>
        <v>8149.0456432180881</v>
      </c>
      <c r="CB316" s="55">
        <f t="shared" si="290"/>
        <v>2285.1012822136408</v>
      </c>
      <c r="CC316" s="41">
        <f>'[2]побудинковий звіт'!CC316+'[1]побудинковий звіт'!CC316</f>
        <v>1483.2070490470492</v>
      </c>
      <c r="CD316" s="41">
        <f>'[2]побудинковий звіт'!CD316+'[1]побудинковий звіт'!CD316</f>
        <v>1488.2364387080106</v>
      </c>
      <c r="CE316" s="55">
        <f t="shared" si="291"/>
        <v>5.0293896609614421</v>
      </c>
      <c r="CF316" s="41">
        <f>'[2]побудинковий звіт'!CF316+'[1]побудинковий звіт'!CF316</f>
        <v>183.76146985678787</v>
      </c>
      <c r="CG316" s="41">
        <f>'[2]побудинковий звіт'!CG316+'[1]побудинковий звіт'!CG316</f>
        <v>0</v>
      </c>
      <c r="CH316" s="55">
        <f t="shared" si="292"/>
        <v>-183.76146985678787</v>
      </c>
      <c r="CI316" s="41">
        <f>'[2]побудинковий звіт'!CI316+'[1]побудинковий звіт'!CI316</f>
        <v>11567.155703714237</v>
      </c>
      <c r="CJ316" s="41">
        <f>'[2]побудинковий звіт'!CJ316+'[1]побудинковий звіт'!CJ316</f>
        <v>12736.716906893524</v>
      </c>
      <c r="CK316" s="55">
        <f t="shared" si="293"/>
        <v>1169.5612031792862</v>
      </c>
      <c r="CL316" s="41">
        <f>'[2]побудинковий звіт'!CL316+'[1]побудинковий звіт'!CL316</f>
        <v>9153.2944668213804</v>
      </c>
      <c r="CM316" s="41">
        <f>'[2]побудинковий звіт'!CM316+'[1]побудинковий звіт'!CM316</f>
        <v>14492.427170720328</v>
      </c>
      <c r="CN316" s="55">
        <f t="shared" si="294"/>
        <v>5339.1327038989475</v>
      </c>
      <c r="CO316" s="41">
        <f t="shared" si="295"/>
        <v>20720.450170535616</v>
      </c>
      <c r="CP316" s="42">
        <f t="shared" si="296"/>
        <v>27229.144077613852</v>
      </c>
      <c r="CQ316" s="55">
        <f t="shared" si="297"/>
        <v>6508.6939070782355</v>
      </c>
      <c r="CR316" s="76">
        <f t="shared" si="298"/>
        <v>323355.3391002295</v>
      </c>
      <c r="CS316" s="5">
        <f t="shared" si="299"/>
        <v>304931.46660420537</v>
      </c>
      <c r="CT316" s="55">
        <f t="shared" si="300"/>
        <v>-18423.872496024123</v>
      </c>
      <c r="CU316" s="84">
        <f t="shared" si="301"/>
        <v>388026.40692027536</v>
      </c>
      <c r="CV316" s="68">
        <f t="shared" si="302"/>
        <v>365917.75992504641</v>
      </c>
      <c r="CW316" s="36">
        <f t="shared" si="303"/>
        <v>-22108.646995228948</v>
      </c>
      <c r="CX316" s="41">
        <f>'[2]побудинковий звіт'!CX316+'[1]побудинковий звіт'!CX316</f>
        <v>7299.0615715918448</v>
      </c>
      <c r="CY316" s="41">
        <f>'[2]побудинковий звіт'!CY316+'[1]побудинковий звіт'!CY316</f>
        <v>29407.708566820806</v>
      </c>
      <c r="CZ316" s="55">
        <f t="shared" si="304"/>
        <v>22108.646995228963</v>
      </c>
      <c r="DA316" s="254">
        <f>'[1]побудинковий звіт'!DA316</f>
        <v>23796.782765294018</v>
      </c>
      <c r="DB316" s="2">
        <v>3</v>
      </c>
      <c r="DC316" s="702">
        <f>'[1]побудинковий звіт'!DC316</f>
        <v>93600.88</v>
      </c>
      <c r="DD316" s="702">
        <f>'[1]побудинковий звіт'!DD316</f>
        <v>0</v>
      </c>
      <c r="DE316" s="702">
        <f>'[1]побудинковий звіт'!DE316</f>
        <v>50311.700000000004</v>
      </c>
      <c r="DF316" s="702">
        <f>'[1]побудинковий звіт'!DF316</f>
        <v>0</v>
      </c>
      <c r="DG316" s="772">
        <v>79334.129765573191</v>
      </c>
      <c r="DH316" s="746">
        <f t="shared" si="316"/>
        <v>4743905.6219024062</v>
      </c>
      <c r="DI316" s="769"/>
      <c r="DJ316" s="5"/>
      <c r="DK316" s="307">
        <f>VLOOKUP($A316,ціни!$A$4:$G$401,5)</f>
        <v>5.8821644209143864</v>
      </c>
      <c r="DL316" s="307">
        <f>VLOOKUP($A316,ціни!$A$4:$G$401,6)</f>
        <v>7.6184247042062072</v>
      </c>
      <c r="DM316" s="307">
        <f>VLOOKUP($A316,ціни!$A$4:$G$401,7)</f>
        <v>4.9164996750464756</v>
      </c>
      <c r="DN316" s="29">
        <f>DK316*G316+(F316-G316)*DL316</f>
        <v>31003.604607572754</v>
      </c>
      <c r="DO316" s="29">
        <f>DM316*H316</f>
        <v>0</v>
      </c>
      <c r="DP316" s="306">
        <f t="shared" si="317"/>
        <v>31003.604607572754</v>
      </c>
      <c r="DQ316" s="101"/>
      <c r="DR316" s="29">
        <f>VLOOKUP(A316,'ДЗ нас '!$A$1:$C$359,2)</f>
        <v>30995.21</v>
      </c>
      <c r="DS316" s="733"/>
      <c r="DT316" s="29">
        <f t="shared" si="318"/>
        <v>30995.21</v>
      </c>
      <c r="DU316" s="247">
        <f>VLOOKUP(A316,'новий кошторис с 01.06'!$A$4:$AI$399,35)*1.2</f>
        <v>31028.357032693541</v>
      </c>
      <c r="DV316" s="29">
        <f t="shared" si="319"/>
        <v>-33.147032693541405</v>
      </c>
      <c r="DW316" s="1016">
        <f>'[2]побудинковий звіт'!$DW$9+'[1]побудинковий звіт'!DW316</f>
        <v>1062</v>
      </c>
      <c r="DX316" s="101">
        <f>'[1]побудинковий звіт'!DX316</f>
        <v>0</v>
      </c>
      <c r="DY316" s="5">
        <f t="shared" si="320"/>
        <v>89124.896974804258</v>
      </c>
      <c r="DZ316" s="5">
        <f t="shared" si="321"/>
        <v>11210.086847007444</v>
      </c>
      <c r="EA316" s="737">
        <f t="shared" si="322"/>
        <v>50311.700000000004</v>
      </c>
      <c r="EC316" s="577">
        <f t="shared" si="323"/>
        <v>793332.38359248347</v>
      </c>
      <c r="EE316" s="743">
        <v>25206</v>
      </c>
      <c r="EF316" s="723">
        <f t="shared" si="324"/>
        <v>104540.12976557319</v>
      </c>
      <c r="EH316" s="798">
        <v>60711.99662033288</v>
      </c>
      <c r="EI316" s="101">
        <f>VLOOKUP(A316,'кошти 01.01.24'!$A$9:$D$352,4,FALSE)</f>
        <v>45905.42976052298</v>
      </c>
    </row>
    <row r="317" spans="1:139" hidden="1" x14ac:dyDescent="0.3">
      <c r="A317" s="318">
        <v>150000893</v>
      </c>
      <c r="B317" s="43" t="s">
        <v>784</v>
      </c>
      <c r="C317" s="44" t="s">
        <v>314</v>
      </c>
      <c r="D317" s="44" t="s">
        <v>314</v>
      </c>
      <c r="E317" s="39">
        <f t="shared" si="262"/>
        <v>2749.1</v>
      </c>
      <c r="F317" s="205">
        <f>'[1]побудинковий звіт'!F317</f>
        <v>2749.1</v>
      </c>
      <c r="G317" s="29">
        <f>'[1]побудинковий звіт'!G317</f>
        <v>0</v>
      </c>
      <c r="H317" s="148">
        <f>'[1]побудинковий звіт'!H317</f>
        <v>0</v>
      </c>
      <c r="I317" s="41">
        <f>'[2]побудинковий звіт'!I317+'[1]побудинковий звіт'!I317</f>
        <v>11176.326937425922</v>
      </c>
      <c r="J317" s="41">
        <f>'[2]побудинковий звіт'!J317+'[1]побудинковий звіт'!J317</f>
        <v>11671.982700527406</v>
      </c>
      <c r="K317" s="55">
        <f t="shared" si="263"/>
        <v>495.6557631014839</v>
      </c>
      <c r="L317" s="41">
        <f>'[2]побудинковий звіт'!L317+'[1]побудинковий звіт'!L317</f>
        <v>2099.3346200124383</v>
      </c>
      <c r="M317" s="41">
        <f>'[2]побудинковий звіт'!M317+'[1]побудинковий звіт'!M317</f>
        <v>2268.1779139111245</v>
      </c>
      <c r="N317" s="55">
        <f t="shared" si="264"/>
        <v>168.84329389868617</v>
      </c>
      <c r="O317" s="41">
        <f>'[2]побудинковий звіт'!O317+'[1]побудинковий звіт'!O317</f>
        <v>4217.7111311524604</v>
      </c>
      <c r="P317" s="41">
        <f>'[2]побудинковий звіт'!P317+'[1]побудинковий звіт'!P317</f>
        <v>4229.8148748973263</v>
      </c>
      <c r="Q317" s="55">
        <f t="shared" si="265"/>
        <v>12.103743744865824</v>
      </c>
      <c r="R317" s="41">
        <f>'[2]побудинковий звіт'!R317+'[1]побудинковий звіт'!R317</f>
        <v>0</v>
      </c>
      <c r="S317" s="41">
        <f>'[2]побудинковий звіт'!S317+'[1]побудинковий звіт'!S317</f>
        <v>0</v>
      </c>
      <c r="T317" s="55">
        <f t="shared" si="266"/>
        <v>0</v>
      </c>
      <c r="U317" s="41">
        <f>'[2]побудинковий звіт'!U317+'[1]побудинковий звіт'!U317</f>
        <v>765.43214970183146</v>
      </c>
      <c r="V317" s="41">
        <f>'[2]побудинковий звіт'!V317+'[1]побудинковий звіт'!V317</f>
        <v>524.95195008333656</v>
      </c>
      <c r="W317" s="55">
        <f t="shared" si="267"/>
        <v>-240.48019961849491</v>
      </c>
      <c r="X317" s="41">
        <f>'[2]побудинковий звіт'!X317+'[1]побудинковий звіт'!X317</f>
        <v>7310.5058469939659</v>
      </c>
      <c r="Y317" s="41">
        <f>'[2]побудинковий звіт'!Y317+'[1]побудинковий звіт'!Y317</f>
        <v>7260.182207448901</v>
      </c>
      <c r="Z317" s="55">
        <f t="shared" si="268"/>
        <v>-50.323639545064907</v>
      </c>
      <c r="AA317" s="41">
        <f>'[2]побудинковий звіт'!AA317+'[1]побудинковий звіт'!AA317</f>
        <v>0</v>
      </c>
      <c r="AB317" s="41">
        <f>'[2]побудинковий звіт'!AB317+'[1]побудинковий звіт'!AB317</f>
        <v>0</v>
      </c>
      <c r="AC317" s="55">
        <f t="shared" si="269"/>
        <v>0</v>
      </c>
      <c r="AD317" s="41">
        <f>'[2]побудинковий звіт'!AD317+'[1]побудинковий звіт'!AD317</f>
        <v>11923.704870048454</v>
      </c>
      <c r="AE317" s="41">
        <f>'[2]побудинковий звіт'!AE317+'[1]побудинковий звіт'!AE317</f>
        <v>11877.330358253696</v>
      </c>
      <c r="AF317" s="36">
        <f t="shared" si="270"/>
        <v>-46.374511794758291</v>
      </c>
      <c r="AG317" s="84">
        <f t="shared" si="271"/>
        <v>37493.015555335071</v>
      </c>
      <c r="AH317" s="56">
        <f t="shared" si="272"/>
        <v>37832.440005121789</v>
      </c>
      <c r="AI317" s="55">
        <f t="shared" si="273"/>
        <v>339.42444978671847</v>
      </c>
      <c r="AJ317" s="41">
        <f>'[2]побудинковий звіт'!AJ317+'[1]побудинковий звіт'!AJ317</f>
        <v>0</v>
      </c>
      <c r="AK317" s="41">
        <f>'[2]побудинковий звіт'!AK317+'[1]побудинковий звіт'!AK317</f>
        <v>0</v>
      </c>
      <c r="AL317" s="55">
        <f t="shared" si="274"/>
        <v>0</v>
      </c>
      <c r="AM317" s="41">
        <f>'[2]побудинковий звіт'!AM317+'[1]побудинковий звіт'!AM317</f>
        <v>0</v>
      </c>
      <c r="AN317" s="41">
        <f>'[2]побудинковий звіт'!AN317+'[1]побудинковий звіт'!AN317</f>
        <v>0</v>
      </c>
      <c r="AO317" s="55">
        <f t="shared" si="275"/>
        <v>0</v>
      </c>
      <c r="AP317" s="41">
        <f>'[2]побудинковий звіт'!AP317+'[1]побудинковий звіт'!AP317</f>
        <v>6045.9180281790768</v>
      </c>
      <c r="AQ317" s="41">
        <f>'[2]побудинковий звіт'!AQ317+'[1]побудинковий звіт'!AQ317</f>
        <v>7991.4363423449267</v>
      </c>
      <c r="AR317" s="55">
        <f t="shared" si="276"/>
        <v>1945.5183141658499</v>
      </c>
      <c r="AS317" s="41">
        <f>'[2]побудинковий звіт'!AS317+'[1]побудинковий звіт'!AS317</f>
        <v>57460.540573826547</v>
      </c>
      <c r="AT317" s="41">
        <f>'[2]побудинковий звіт'!AT317+'[1]побудинковий звіт'!AT317</f>
        <v>196449.61890254536</v>
      </c>
      <c r="AU317" s="57">
        <f t="shared" si="277"/>
        <v>138989.07832871881</v>
      </c>
      <c r="AV317" s="41">
        <f>'[2]побудинковий звіт'!AV317+'[1]побудинковий звіт'!AV317</f>
        <v>1902.8399914075915</v>
      </c>
      <c r="AW317" s="41">
        <f>'[2]побудинковий звіт'!AW317+'[1]побудинковий звіт'!AW317</f>
        <v>2157.9286421498714</v>
      </c>
      <c r="AX317" s="58">
        <f t="shared" si="278"/>
        <v>255.08865074227992</v>
      </c>
      <c r="AY317" s="41">
        <f>'[2]побудинковий звіт'!AY317+'[1]побудинковий звіт'!AY317</f>
        <v>2679.7445791159671</v>
      </c>
      <c r="AZ317" s="41">
        <f>'[2]побудинковий звіт'!AZ317+'[1]побудинковий звіт'!AZ317</f>
        <v>3313.1726554984525</v>
      </c>
      <c r="BA317" s="36">
        <f t="shared" si="279"/>
        <v>633.42807638248541</v>
      </c>
      <c r="BB317" s="41">
        <f>'[2]побудинковий звіт'!BB317+'[1]побудинковий звіт'!BB317</f>
        <v>1681.8779480321198</v>
      </c>
      <c r="BC317" s="41">
        <f>'[2]побудинковий звіт'!BC317+'[1]побудинковий звіт'!BC317</f>
        <v>9577.3779975041361</v>
      </c>
      <c r="BD317" s="58">
        <f t="shared" si="280"/>
        <v>7895.5000494720161</v>
      </c>
      <c r="BE317" s="41">
        <f>'[2]побудинковий звіт'!BE317+'[1]побудинковий звіт'!BE317</f>
        <v>0</v>
      </c>
      <c r="BF317" s="41">
        <f>'[2]побудинковий звіт'!BF317+'[1]побудинковий звіт'!BF317</f>
        <v>0</v>
      </c>
      <c r="BG317" s="38">
        <f t="shared" si="281"/>
        <v>0</v>
      </c>
      <c r="BH317" s="41">
        <f>'[2]побудинковий звіт'!BH317+'[1]побудинковий звіт'!BH317</f>
        <v>704.9788373799546</v>
      </c>
      <c r="BI317" s="41">
        <f>'[2]побудинковий звіт'!BI317+'[1]побудинковий звіт'!BI317</f>
        <v>0</v>
      </c>
      <c r="BJ317" s="58">
        <f t="shared" si="282"/>
        <v>-704.9788373799546</v>
      </c>
      <c r="BK317" s="41">
        <f>'[2]побудинковий звіт'!BK317+'[1]побудинковий звіт'!BK317</f>
        <v>1394.7575701511798</v>
      </c>
      <c r="BL317" s="41">
        <f>'[2]побудинковий звіт'!BL317+'[1]побудинковий звіт'!BL317</f>
        <v>0</v>
      </c>
      <c r="BM317" s="38">
        <f t="shared" si="283"/>
        <v>-1394.7575701511798</v>
      </c>
      <c r="BN317" s="41">
        <f>'[2]побудинковий звіт'!BN317+'[1]побудинковий звіт'!BN317</f>
        <v>75.290084735242345</v>
      </c>
      <c r="BO317" s="41">
        <f>'[2]побудинковий звіт'!BO317+'[1]побудинковий звіт'!BO317</f>
        <v>0</v>
      </c>
      <c r="BP317" s="58">
        <f t="shared" si="284"/>
        <v>-75.290084735242345</v>
      </c>
      <c r="BQ317" s="84">
        <f t="shared" si="285"/>
        <v>8439.489010822057</v>
      </c>
      <c r="BR317" s="42">
        <f t="shared" si="286"/>
        <v>15048.47929515246</v>
      </c>
      <c r="BS317" s="58">
        <f t="shared" si="287"/>
        <v>6608.9902843304026</v>
      </c>
      <c r="BT317" s="41">
        <f>'[2]побудинковий звіт'!BT317+'[1]побудинковий звіт'!BT317</f>
        <v>32821.380663763623</v>
      </c>
      <c r="BU317" s="41">
        <f>'[2]побудинковий звіт'!BU317+'[1]побудинковий звіт'!BU317</f>
        <v>17901.039257068416</v>
      </c>
      <c r="BV317" s="55">
        <f t="shared" si="288"/>
        <v>-14920.341406695206</v>
      </c>
      <c r="BW317" s="41">
        <f>'[2]побудинковий звіт'!BW317+'[1]побудинковий звіт'!BW317</f>
        <v>18598.077898173757</v>
      </c>
      <c r="BX317" s="41">
        <f>'[2]побудинковий звіт'!BX317+'[1]побудинковий звіт'!BX317</f>
        <v>8529.9130760764201</v>
      </c>
      <c r="BY317" s="55">
        <f t="shared" si="289"/>
        <v>-10068.164822097337</v>
      </c>
      <c r="BZ317" s="41">
        <f>'[2]побудинковий звіт'!BZ317+'[1]побудинковий звіт'!BZ317</f>
        <v>5053.3968088369675</v>
      </c>
      <c r="CA317" s="41">
        <f>'[2]побудинковий звіт'!CA317+'[1]побудинковий звіт'!CA317</f>
        <v>1411.0216314079282</v>
      </c>
      <c r="CB317" s="55">
        <f t="shared" si="290"/>
        <v>-3642.3751774290395</v>
      </c>
      <c r="CC317" s="41">
        <f>'[2]побудинковий звіт'!CC317+'[1]побудинковий звіт'!CC317</f>
        <v>1812.5948661073608</v>
      </c>
      <c r="CD317" s="41">
        <f>'[2]побудинковий звіт'!CD317+'[1]побудинковий звіт'!CD317</f>
        <v>1818.7411731148477</v>
      </c>
      <c r="CE317" s="55">
        <f t="shared" si="291"/>
        <v>6.1463070074869393</v>
      </c>
      <c r="CF317" s="41">
        <f>'[2]побудинковий звіт'!CF317+'[1]побудинковий звіт'!CF317</f>
        <v>224.57086963331329</v>
      </c>
      <c r="CG317" s="41">
        <f>'[2]побудинковий звіт'!CG317+'[1]побудинковий звіт'!CG317</f>
        <v>0</v>
      </c>
      <c r="CH317" s="55">
        <f t="shared" si="292"/>
        <v>-224.57086963331329</v>
      </c>
      <c r="CI317" s="41">
        <f>'[2]побудинковий звіт'!CI317+'[1]побудинковий звіт'!CI317</f>
        <v>3791.2928725830029</v>
      </c>
      <c r="CJ317" s="41">
        <f>'[2]побудинковий звіт'!CJ317+'[1]побудинковий звіт'!CJ317</f>
        <v>2462.5537883859615</v>
      </c>
      <c r="CK317" s="55">
        <f t="shared" si="293"/>
        <v>-1328.7390841970414</v>
      </c>
      <c r="CL317" s="41">
        <f>'[2]побудинковий звіт'!CL317+'[1]побудинковий звіт'!CL317</f>
        <v>0</v>
      </c>
      <c r="CM317" s="41">
        <f>'[2]побудинковий звіт'!CM317+'[1]побудинковий звіт'!CM317</f>
        <v>0</v>
      </c>
      <c r="CN317" s="55">
        <f t="shared" si="294"/>
        <v>0</v>
      </c>
      <c r="CO317" s="41">
        <f t="shared" si="295"/>
        <v>3791.2928725830029</v>
      </c>
      <c r="CP317" s="42">
        <f t="shared" si="296"/>
        <v>2462.5537883859615</v>
      </c>
      <c r="CQ317" s="55">
        <f t="shared" si="297"/>
        <v>-1328.7390841970414</v>
      </c>
      <c r="CR317" s="76">
        <f t="shared" si="298"/>
        <v>171740.27714726079</v>
      </c>
      <c r="CS317" s="5">
        <f t="shared" si="299"/>
        <v>289445.2434712181</v>
      </c>
      <c r="CT317" s="55">
        <f t="shared" si="300"/>
        <v>117704.96632395731</v>
      </c>
      <c r="CU317" s="84">
        <f t="shared" si="301"/>
        <v>206088.33257671294</v>
      </c>
      <c r="CV317" s="68">
        <f t="shared" si="302"/>
        <v>347334.29216546169</v>
      </c>
      <c r="CW317" s="36">
        <f t="shared" si="303"/>
        <v>141245.95958874875</v>
      </c>
      <c r="CX317" s="41">
        <f>'[2]побудинковий звіт'!CX317+'[1]побудинковий звіт'!CX317</f>
        <v>10303.372670906747</v>
      </c>
      <c r="CY317" s="41">
        <f>'[2]побудинковий звіт'!CY317+'[1]побудинковий звіт'!CY317</f>
        <v>-130942.58691784201</v>
      </c>
      <c r="CZ317" s="55">
        <f t="shared" si="304"/>
        <v>-141245.95958874875</v>
      </c>
      <c r="DA317" s="254">
        <f>'[1]побудинковий звіт'!DA317</f>
        <v>84109.948376730827</v>
      </c>
      <c r="DB317" s="2">
        <v>3</v>
      </c>
      <c r="DC317" s="702">
        <f>'[1]побудинковий звіт'!DC317</f>
        <v>41430.629999999997</v>
      </c>
      <c r="DD317" s="702">
        <f>'[1]побудинковий звіт'!DD317</f>
        <v>0</v>
      </c>
      <c r="DE317" s="702">
        <f>'[1]побудинковий звіт'!DE317</f>
        <v>17637.729999999996</v>
      </c>
      <c r="DF317" s="702">
        <f>'[1]побудинковий звіт'!DF317</f>
        <v>0</v>
      </c>
      <c r="DG317" s="772">
        <v>-51646.934576857893</v>
      </c>
      <c r="DH317" s="746">
        <f t="shared" si="316"/>
        <v>2596700.4629714363</v>
      </c>
      <c r="DI317" s="769"/>
      <c r="DJ317" s="5"/>
      <c r="DK317" s="307">
        <f>VLOOKUP($A317,ціни!$A$4:$G$401,5)</f>
        <v>6.165342607461052</v>
      </c>
      <c r="DL317" s="307"/>
      <c r="DM317" s="307">
        <f>VLOOKUP($A317,ціни!$A$4:$G$401,7)</f>
        <v>5.4818204994810511</v>
      </c>
      <c r="DN317" s="29">
        <f>F317*DK317</f>
        <v>16949.143362171177</v>
      </c>
      <c r="DO317" s="29">
        <f>H317*DM317</f>
        <v>0</v>
      </c>
      <c r="DP317" s="306">
        <f t="shared" si="317"/>
        <v>16949.143362171177</v>
      </c>
      <c r="DQ317" s="101"/>
      <c r="DR317" s="29">
        <f>VLOOKUP(A317,'ДЗ нас '!$A$1:$C$359,2)</f>
        <v>16949.04</v>
      </c>
      <c r="DS317" s="733"/>
      <c r="DT317" s="29">
        <f t="shared" si="318"/>
        <v>16949.04</v>
      </c>
      <c r="DU317" s="247">
        <f>VLOOKUP(A317,'новий кошторис с 01.06'!$A$4:$AI$399,35)*1.2</f>
        <v>17110.563775144237</v>
      </c>
      <c r="DV317" s="29">
        <f t="shared" si="319"/>
        <v>-161.52377514423642</v>
      </c>
      <c r="DW317" s="1016">
        <f>'[2]побудинковий звіт'!$DW$9+'[1]побудинковий звіт'!DW317</f>
        <v>1062</v>
      </c>
      <c r="DX317" s="101">
        <f>'[1]побудинковий звіт'!DX317</f>
        <v>0</v>
      </c>
      <c r="DY317" s="5">
        <f t="shared" si="320"/>
        <v>79080.035501578328</v>
      </c>
      <c r="DZ317" s="5">
        <f t="shared" si="321"/>
        <v>253797.7178372374</v>
      </c>
      <c r="EA317" s="737">
        <f t="shared" si="322"/>
        <v>17637.729999999996</v>
      </c>
      <c r="EC317" s="577">
        <f t="shared" si="323"/>
        <v>689526.48688591854</v>
      </c>
      <c r="EE317" s="743">
        <v>-69345</v>
      </c>
      <c r="EF317" s="723">
        <f t="shared" si="324"/>
        <v>-120991.93457685789</v>
      </c>
      <c r="EH317" s="798">
        <v>-119174.73563750873</v>
      </c>
      <c r="EI317" s="101">
        <f>VLOOKUP(A317,'кошти 01.01.24'!$A$9:$D$352,4,FALSE)</f>
        <v>-57136.011212017911</v>
      </c>
    </row>
    <row r="318" spans="1:139" hidden="1" x14ac:dyDescent="0.3">
      <c r="A318" s="318">
        <v>150000894</v>
      </c>
      <c r="B318" s="43" t="s">
        <v>785</v>
      </c>
      <c r="C318" s="44" t="s">
        <v>315</v>
      </c>
      <c r="D318" s="44" t="s">
        <v>315</v>
      </c>
      <c r="E318" s="39">
        <f t="shared" si="262"/>
        <v>4409.3999999999996</v>
      </c>
      <c r="F318" s="205">
        <f>'[1]побудинковий звіт'!F318</f>
        <v>3582</v>
      </c>
      <c r="G318" s="29">
        <f>'[1]побудинковий звіт'!G318</f>
        <v>0</v>
      </c>
      <c r="H318" s="148">
        <f>'[1]побудинковий звіт'!H318</f>
        <v>827.4</v>
      </c>
      <c r="I318" s="41">
        <f>'[2]побудинковий звіт'!I318+'[1]побудинковий звіт'!I318</f>
        <v>15583.539945334696</v>
      </c>
      <c r="J318" s="41">
        <f>'[2]побудинковий звіт'!J318+'[1]побудинковий звіт'!J318</f>
        <v>16153.079828587723</v>
      </c>
      <c r="K318" s="55">
        <f t="shared" si="263"/>
        <v>569.53988325302635</v>
      </c>
      <c r="L318" s="41">
        <f>'[2]побудинковий звіт'!L318+'[1]побудинковий звіт'!L318</f>
        <v>3566.1197565896264</v>
      </c>
      <c r="M318" s="41">
        <f>'[2]побудинковий звіт'!M318+'[1]побудинковий звіт'!M318</f>
        <v>3897.0731625150897</v>
      </c>
      <c r="N318" s="55">
        <f t="shared" si="264"/>
        <v>330.95340592546336</v>
      </c>
      <c r="O318" s="41">
        <f>'[2]побудинковий звіт'!O318+'[1]побудинковий звіт'!O318</f>
        <v>5936.8348522873112</v>
      </c>
      <c r="P318" s="41">
        <f>'[2]побудинковий звіт'!P318+'[1]побудинковий звіт'!P318</f>
        <v>5954.9535287234839</v>
      </c>
      <c r="Q318" s="55">
        <f t="shared" si="265"/>
        <v>18.118676436172791</v>
      </c>
      <c r="R318" s="41">
        <f>'[2]побудинковий звіт'!R318+'[1]побудинковий звіт'!R318</f>
        <v>0</v>
      </c>
      <c r="S318" s="41">
        <f>'[2]побудинковий звіт'!S318+'[1]побудинковий звіт'!S318</f>
        <v>0</v>
      </c>
      <c r="T318" s="55">
        <f t="shared" si="266"/>
        <v>0</v>
      </c>
      <c r="U318" s="41">
        <f>'[2]побудинковий звіт'!U318+'[1]побудинковий звіт'!U318</f>
        <v>1082.4176119767972</v>
      </c>
      <c r="V318" s="41">
        <f>'[2]побудинковий звіт'!V318+'[1]побудинковий звіт'!V318</f>
        <v>749.46891889879328</v>
      </c>
      <c r="W318" s="55">
        <f t="shared" si="267"/>
        <v>-332.94869307800388</v>
      </c>
      <c r="X318" s="41">
        <f>'[2]побудинковий звіт'!X318+'[1]побудинковий звіт'!X318</f>
        <v>13802.147210830532</v>
      </c>
      <c r="Y318" s="41">
        <f>'[2]побудинковий звіт'!Y318+'[1]побудинковий звіт'!Y318</f>
        <v>14130.402352401059</v>
      </c>
      <c r="Z318" s="55">
        <f t="shared" si="268"/>
        <v>328.25514157052748</v>
      </c>
      <c r="AA318" s="41">
        <f>'[2]побудинковий звіт'!AA318+'[1]побудинковий звіт'!AA318</f>
        <v>0</v>
      </c>
      <c r="AB318" s="41">
        <f>'[2]побудинковий звіт'!AB318+'[1]побудинковий звіт'!AB318</f>
        <v>0</v>
      </c>
      <c r="AC318" s="55">
        <f t="shared" si="269"/>
        <v>0</v>
      </c>
      <c r="AD318" s="41">
        <f>'[2]побудинковий звіт'!AD318+'[1]побудинковий звіт'!AD318</f>
        <v>18472.441318070214</v>
      </c>
      <c r="AE318" s="41">
        <f>'[2]побудинковий звіт'!AE318+'[1]побудинковий звіт'!AE318</f>
        <v>19040.562490792603</v>
      </c>
      <c r="AF318" s="36">
        <f t="shared" si="270"/>
        <v>568.12117272238902</v>
      </c>
      <c r="AG318" s="84">
        <f t="shared" si="271"/>
        <v>58443.500695089169</v>
      </c>
      <c r="AH318" s="56">
        <f t="shared" si="272"/>
        <v>59925.540281918751</v>
      </c>
      <c r="AI318" s="55">
        <f t="shared" si="273"/>
        <v>1482.0395868295818</v>
      </c>
      <c r="AJ318" s="41">
        <f>'[2]побудинковий звіт'!AJ318+'[1]побудинковий звіт'!AJ318</f>
        <v>0</v>
      </c>
      <c r="AK318" s="41">
        <f>'[2]побудинковий звіт'!AK318+'[1]побудинковий звіт'!AK318</f>
        <v>0</v>
      </c>
      <c r="AL318" s="55">
        <f t="shared" si="274"/>
        <v>0</v>
      </c>
      <c r="AM318" s="41">
        <f>'[2]побудинковий звіт'!AM318+'[1]побудинковий звіт'!AM318</f>
        <v>0</v>
      </c>
      <c r="AN318" s="41">
        <f>'[2]побудинковий звіт'!AN318+'[1]побудинковий звіт'!AN318</f>
        <v>0</v>
      </c>
      <c r="AO318" s="55">
        <f t="shared" si="275"/>
        <v>0</v>
      </c>
      <c r="AP318" s="41">
        <f>'[2]побудинковий звіт'!AP318+'[1]побудинковий звіт'!AP318</f>
        <v>9031.4963422286655</v>
      </c>
      <c r="AQ318" s="41">
        <f>'[2]побудинковий звіт'!AQ318+'[1]побудинковий звіт'!AQ318</f>
        <v>9498.5455346783547</v>
      </c>
      <c r="AR318" s="55">
        <f t="shared" si="276"/>
        <v>467.04919244968914</v>
      </c>
      <c r="AS318" s="41">
        <f>'[2]побудинковий звіт'!AS318+'[1]побудинковий звіт'!AS318</f>
        <v>64469.368312141305</v>
      </c>
      <c r="AT318" s="41">
        <f>'[2]побудинковий звіт'!AT318+'[1]побудинковий звіт'!AT318</f>
        <v>8958.4292543109605</v>
      </c>
      <c r="AU318" s="57">
        <f t="shared" si="277"/>
        <v>-55510.939057830343</v>
      </c>
      <c r="AV318" s="41">
        <f>'[2]побудинковий звіт'!AV318+'[1]побудинковий звіт'!AV318</f>
        <v>2679.2472458473012</v>
      </c>
      <c r="AW318" s="41">
        <f>'[2]побудинковий звіт'!AW318+'[1]побудинковий звіт'!AW318</f>
        <v>0</v>
      </c>
      <c r="AX318" s="58">
        <f t="shared" si="278"/>
        <v>-2679.2472458473012</v>
      </c>
      <c r="AY318" s="41">
        <f>'[2]побудинковий звіт'!AY318+'[1]побудинковий звіт'!AY318</f>
        <v>4563.7054838607855</v>
      </c>
      <c r="AZ318" s="41">
        <f>'[2]побудинковий звіт'!AZ318+'[1]побудинковий звіт'!AZ318</f>
        <v>944.70188941412084</v>
      </c>
      <c r="BA318" s="36">
        <f t="shared" si="279"/>
        <v>-3619.0035944466645</v>
      </c>
      <c r="BB318" s="41">
        <f>'[2]побудинковий звіт'!BB318+'[1]побудинковий звіт'!BB318</f>
        <v>2177.748967732794</v>
      </c>
      <c r="BC318" s="41">
        <f>'[2]побудинковий звіт'!BC318+'[1]побудинковий звіт'!BC318</f>
        <v>779.56306004609996</v>
      </c>
      <c r="BD318" s="58">
        <f t="shared" si="280"/>
        <v>-1398.185907686694</v>
      </c>
      <c r="BE318" s="41">
        <f>'[2]побудинковий звіт'!BE318+'[1]побудинковий звіт'!BE318</f>
        <v>0</v>
      </c>
      <c r="BF318" s="41">
        <f>'[2]побудинковий звіт'!BF318+'[1]побудинковий звіт'!BF318</f>
        <v>0</v>
      </c>
      <c r="BG318" s="38">
        <f t="shared" si="281"/>
        <v>0</v>
      </c>
      <c r="BH318" s="41">
        <f>'[2]побудинковий звіт'!BH318+'[1]побудинковий звіт'!BH318</f>
        <v>1018.6275443899858</v>
      </c>
      <c r="BI318" s="41">
        <f>'[2]побудинковий звіт'!BI318+'[1]побудинковий звіт'!BI318</f>
        <v>0</v>
      </c>
      <c r="BJ318" s="58">
        <f t="shared" si="282"/>
        <v>-1018.6275443899858</v>
      </c>
      <c r="BK318" s="41">
        <f>'[2]побудинковий звіт'!BK318+'[1]побудинковий звіт'!BK318</f>
        <v>2154.6085188825455</v>
      </c>
      <c r="BL318" s="41">
        <f>'[2]побудинковий звіт'!BL318+'[1]побудинковий звіт'!BL318</f>
        <v>0</v>
      </c>
      <c r="BM318" s="38">
        <f t="shared" si="283"/>
        <v>-2154.6085188825455</v>
      </c>
      <c r="BN318" s="41">
        <f>'[2]побудинковий звіт'!BN318+'[1]побудинковий звіт'!BN318</f>
        <v>112.9351271028635</v>
      </c>
      <c r="BO318" s="41">
        <f>'[2]побудинковий звіт'!BO318+'[1]побудинковий звіт'!BO318</f>
        <v>11687.024298487751</v>
      </c>
      <c r="BP318" s="58">
        <f t="shared" si="284"/>
        <v>11574.089171384889</v>
      </c>
      <c r="BQ318" s="84">
        <f t="shared" si="285"/>
        <v>12706.872887816275</v>
      </c>
      <c r="BR318" s="42">
        <f t="shared" si="286"/>
        <v>13411.289247947972</v>
      </c>
      <c r="BS318" s="58">
        <f t="shared" si="287"/>
        <v>704.41636013169773</v>
      </c>
      <c r="BT318" s="41">
        <f>'[2]побудинковий звіт'!BT318+'[1]побудинковий звіт'!BT318</f>
        <v>41607.905757936489</v>
      </c>
      <c r="BU318" s="41">
        <f>'[2]побудинковий звіт'!BU318+'[1]побудинковий звіт'!BU318</f>
        <v>58782.243047648299</v>
      </c>
      <c r="BV318" s="55">
        <f t="shared" si="288"/>
        <v>17174.33728971181</v>
      </c>
      <c r="BW318" s="41">
        <f>'[2]побудинковий звіт'!BW318+'[1]побудинковий звіт'!BW318</f>
        <v>28360.320686797819</v>
      </c>
      <c r="BX318" s="41">
        <f>'[2]побудинковий звіт'!BX318+'[1]побудинковий звіт'!BX318</f>
        <v>35817.139773484771</v>
      </c>
      <c r="BY318" s="55">
        <f t="shared" si="289"/>
        <v>7456.8190866869518</v>
      </c>
      <c r="BZ318" s="41">
        <f>'[2]побудинковий звіт'!BZ318+'[1]побудинковий звіт'!BZ318</f>
        <v>5474.7618498583788</v>
      </c>
      <c r="CA318" s="41">
        <f>'[2]побудинковий звіт'!CA318+'[1]побудинковий звіт'!CA318</f>
        <v>5347.1552788750359</v>
      </c>
      <c r="CB318" s="55">
        <f t="shared" si="290"/>
        <v>-127.60657098334286</v>
      </c>
      <c r="CC318" s="41">
        <f>'[2]побудинковий звіт'!CC318+'[1]побудинковий звіт'!CC318</f>
        <v>2497.4784619955344</v>
      </c>
      <c r="CD318" s="41">
        <f>'[2]побудинковий звіт'!CD318+'[1]побудинковий звіт'!CD318</f>
        <v>2505.9471328822483</v>
      </c>
      <c r="CE318" s="55">
        <f t="shared" si="291"/>
        <v>8.4686708867138805</v>
      </c>
      <c r="CF318" s="41">
        <f>'[2]побудинковий звіт'!CF318+'[1]побудинковий звіт'!CF318</f>
        <v>309.42430688071187</v>
      </c>
      <c r="CG318" s="41">
        <f>'[2]побудинковий звіт'!CG318+'[1]побудинковий звіт'!CG318</f>
        <v>1148.0617956607732</v>
      </c>
      <c r="CH318" s="55">
        <f t="shared" si="292"/>
        <v>838.6374887800614</v>
      </c>
      <c r="CI318" s="41">
        <f>'[2]побудинковий звіт'!CI318+'[1]побудинковий звіт'!CI318</f>
        <v>9788.1341285451454</v>
      </c>
      <c r="CJ318" s="41">
        <f>'[2]побудинковий звіт'!CJ318+'[1]побудинковий звіт'!CJ318</f>
        <v>3806.8475555211662</v>
      </c>
      <c r="CK318" s="55">
        <f t="shared" si="293"/>
        <v>-5981.2865730239791</v>
      </c>
      <c r="CL318" s="41">
        <f>'[2]побудинковий звіт'!CL318+'[1]побудинковий звіт'!CL318</f>
        <v>0</v>
      </c>
      <c r="CM318" s="41">
        <f>'[2]побудинковий звіт'!CM318+'[1]побудинковий звіт'!CM318</f>
        <v>0</v>
      </c>
      <c r="CN318" s="55">
        <f t="shared" si="294"/>
        <v>0</v>
      </c>
      <c r="CO318" s="41">
        <f t="shared" si="295"/>
        <v>9788.1341285451454</v>
      </c>
      <c r="CP318" s="42">
        <f t="shared" si="296"/>
        <v>3806.8475555211662</v>
      </c>
      <c r="CQ318" s="55">
        <f t="shared" si="297"/>
        <v>-5981.2865730239791</v>
      </c>
      <c r="CR318" s="76">
        <f t="shared" si="298"/>
        <v>232689.26342928954</v>
      </c>
      <c r="CS318" s="5">
        <f t="shared" si="299"/>
        <v>199201.19890292833</v>
      </c>
      <c r="CT318" s="55">
        <f t="shared" si="300"/>
        <v>-33488.06452636121</v>
      </c>
      <c r="CU318" s="84">
        <f t="shared" si="301"/>
        <v>279227.11611514742</v>
      </c>
      <c r="CV318" s="68">
        <f t="shared" si="302"/>
        <v>239041.43868351399</v>
      </c>
      <c r="CW318" s="36">
        <f t="shared" si="303"/>
        <v>-40185.677431633434</v>
      </c>
      <c r="CX318" s="41">
        <f>'[2]побудинковий звіт'!CX318+'[1]побудинковий звіт'!CX318</f>
        <v>22550.786025550413</v>
      </c>
      <c r="CY318" s="41">
        <f>'[2]побудинковий звіт'!CY318+'[1]побудинковий звіт'!CY318</f>
        <v>62736.463457183803</v>
      </c>
      <c r="CZ318" s="55">
        <f t="shared" si="304"/>
        <v>40185.67743163339</v>
      </c>
      <c r="DA318" s="254">
        <f>'[1]побудинковий звіт'!DA318</f>
        <v>38672.429466780159</v>
      </c>
      <c r="DB318" s="2">
        <v>3</v>
      </c>
      <c r="DC318" s="702">
        <f>'[1]побудинковий звіт'!DC318</f>
        <v>85316.35</v>
      </c>
      <c r="DD318" s="702">
        <f>'[1]побудинковий звіт'!DD318</f>
        <v>17799.740000000002</v>
      </c>
      <c r="DE318" s="702">
        <f>'[1]побудинковий звіт'!DE318</f>
        <v>57637.210000000006</v>
      </c>
      <c r="DF318" s="702">
        <f>'[1]побудинковий звіт'!DF318</f>
        <v>12492.110000000002</v>
      </c>
      <c r="DG318" s="772">
        <v>-18247.232318330673</v>
      </c>
      <c r="DH318" s="746">
        <f t="shared" si="316"/>
        <v>3621334.8256883738</v>
      </c>
      <c r="DI318" s="769"/>
      <c r="DJ318" s="5"/>
      <c r="DK318" s="307">
        <f>VLOOKUP($A318,ціни!$A$4:$G$401,5)</f>
        <v>5.5088308451767816</v>
      </c>
      <c r="DL318" s="307"/>
      <c r="DM318" s="307">
        <f>VLOOKUP($A318,ціни!$A$4:$G$401,7)</f>
        <v>4.7081085471236435</v>
      </c>
      <c r="DN318" s="29">
        <f>F318*DK318</f>
        <v>19732.632087423233</v>
      </c>
      <c r="DO318" s="29">
        <f>H318*DM318</f>
        <v>3895.4890118901026</v>
      </c>
      <c r="DP318" s="306">
        <f t="shared" si="317"/>
        <v>23628.121099313335</v>
      </c>
      <c r="DQ318" s="101"/>
      <c r="DR318" s="29">
        <f>VLOOKUP(A318,'ДЗ нас '!$A$1:$C$359,2)</f>
        <v>19732.54</v>
      </c>
      <c r="DS318" s="733">
        <f>VLOOKUP(A318,'ДЗ нежит'!$A$1:$D$153,4,0)</f>
        <v>3881.85</v>
      </c>
      <c r="DT318" s="29">
        <f t="shared" si="318"/>
        <v>23614.39</v>
      </c>
      <c r="DU318" s="247">
        <f>VLOOKUP(A318,'новий кошторис с 01.06'!$A$4:$AI$399,35)*1.2</f>
        <v>22991.393880907057</v>
      </c>
      <c r="DV318" s="29">
        <f t="shared" si="319"/>
        <v>622.99611909294254</v>
      </c>
      <c r="DW318" s="1016">
        <f>'[2]побудинковий звіт'!$DW$9+'[1]побудинковий звіт'!DW318</f>
        <v>1359</v>
      </c>
      <c r="DX318" s="101">
        <f>'[1]побудинковий звіт'!DX318</f>
        <v>0</v>
      </c>
      <c r="DY318" s="5">
        <f t="shared" si="320"/>
        <v>92611.489439949102</v>
      </c>
      <c r="DZ318" s="5">
        <f t="shared" si="321"/>
        <v>26843.662202710719</v>
      </c>
      <c r="EA318" s="737">
        <f t="shared" si="322"/>
        <v>70129.320000000007</v>
      </c>
      <c r="EC318" s="577">
        <f t="shared" si="323"/>
        <v>773632.41974569566</v>
      </c>
      <c r="EE318" s="743">
        <v>-75017</v>
      </c>
      <c r="EF318" s="723">
        <f t="shared" si="324"/>
        <v>-93264.232318330673</v>
      </c>
      <c r="EH318" s="798">
        <v>-60076.900153525312</v>
      </c>
      <c r="EI318" s="101">
        <f>VLOOKUP(A318,'кошти 01.01.24'!$A$9:$D$352,4,FALSE)</f>
        <v>78858.106898413622</v>
      </c>
    </row>
    <row r="319" spans="1:139" hidden="1" x14ac:dyDescent="0.3">
      <c r="A319" s="318">
        <v>150000895</v>
      </c>
      <c r="B319" s="43" t="s">
        <v>786</v>
      </c>
      <c r="C319" s="44" t="s">
        <v>316</v>
      </c>
      <c r="D319" s="44" t="s">
        <v>316</v>
      </c>
      <c r="E319" s="39">
        <f t="shared" si="262"/>
        <v>2741.6</v>
      </c>
      <c r="F319" s="205">
        <f>'[1]побудинковий звіт'!F319</f>
        <v>2741.6</v>
      </c>
      <c r="G319" s="29">
        <f>'[1]побудинковий звіт'!G319</f>
        <v>0</v>
      </c>
      <c r="H319" s="148">
        <f>'[1]побудинковий звіт'!H319</f>
        <v>0</v>
      </c>
      <c r="I319" s="41">
        <f>'[2]побудинковий звіт'!I319+'[1]побудинковий звіт'!I319</f>
        <v>11094.677134487054</v>
      </c>
      <c r="J319" s="41">
        <f>'[2]побудинковий звіт'!J319+'[1]побудинковий звіт'!J319</f>
        <v>11496.593127017841</v>
      </c>
      <c r="K319" s="55">
        <f t="shared" si="263"/>
        <v>401.91599253078675</v>
      </c>
      <c r="L319" s="41">
        <f>'[2]побудинковий звіт'!L319+'[1]побудинковий звіт'!L319</f>
        <v>2120.5779649670485</v>
      </c>
      <c r="M319" s="41">
        <f>'[2]побудинковий звіт'!M319+'[1]побудинковий звіт'!M319</f>
        <v>2307.3462829090909</v>
      </c>
      <c r="N319" s="55">
        <f t="shared" si="264"/>
        <v>186.76831794204236</v>
      </c>
      <c r="O319" s="41">
        <f>'[2]побудинковий звіт'!O319+'[1]побудинковий звіт'!O319</f>
        <v>4190.8378596670273</v>
      </c>
      <c r="P319" s="41">
        <f>'[2]побудинковий звіт'!P319+'[1]побудинковий звіт'!P319</f>
        <v>4202.0219575442379</v>
      </c>
      <c r="Q319" s="55">
        <f t="shared" si="265"/>
        <v>11.184097877210661</v>
      </c>
      <c r="R319" s="41">
        <f>'[2]побудинковий звіт'!R319+'[1]побудинковий звіт'!R319</f>
        <v>0</v>
      </c>
      <c r="S319" s="41">
        <f>'[2]побудинковий звіт'!S319+'[1]побудинковий звіт'!S319</f>
        <v>0</v>
      </c>
      <c r="T319" s="55">
        <f t="shared" si="266"/>
        <v>0</v>
      </c>
      <c r="U319" s="41">
        <f>'[2]побудинковий звіт'!U319+'[1]побудинковий звіт'!U319</f>
        <v>187.10196558541708</v>
      </c>
      <c r="V319" s="41">
        <f>'[2]побудинковий звіт'!V319+'[1]побудинковий звіт'!V319</f>
        <v>130.79993833955288</v>
      </c>
      <c r="W319" s="55">
        <f t="shared" si="267"/>
        <v>-56.302027245864195</v>
      </c>
      <c r="X319" s="41">
        <f>'[2]побудинковий звіт'!X319+'[1]побудинковий звіт'!X319</f>
        <v>7079.3690044946043</v>
      </c>
      <c r="Y319" s="41">
        <f>'[2]побудинковий звіт'!Y319+'[1]побудинковий звіт'!Y319</f>
        <v>7164.8369474510546</v>
      </c>
      <c r="Z319" s="55">
        <f t="shared" si="268"/>
        <v>85.467942956450315</v>
      </c>
      <c r="AA319" s="41">
        <f>'[2]побудинковий звіт'!AA319+'[1]побудинковий звіт'!AA319</f>
        <v>0</v>
      </c>
      <c r="AB319" s="41">
        <f>'[2]побудинковий звіт'!AB319+'[1]побудинковий звіт'!AB319</f>
        <v>0</v>
      </c>
      <c r="AC319" s="55">
        <f t="shared" si="269"/>
        <v>0</v>
      </c>
      <c r="AD319" s="41">
        <f>'[2]побудинковий звіт'!AD319+'[1]побудинковий звіт'!AD319</f>
        <v>11890.455263843709</v>
      </c>
      <c r="AE319" s="41">
        <f>'[2]побудинковий звіт'!AE319+'[1]побудинковий звіт'!AE319</f>
        <v>11844.237400816693</v>
      </c>
      <c r="AF319" s="36">
        <f t="shared" si="270"/>
        <v>-46.217863027015483</v>
      </c>
      <c r="AG319" s="84">
        <f t="shared" si="271"/>
        <v>36563.019193044864</v>
      </c>
      <c r="AH319" s="56">
        <f t="shared" si="272"/>
        <v>37145.835654078473</v>
      </c>
      <c r="AI319" s="55">
        <f t="shared" si="273"/>
        <v>582.81646103360981</v>
      </c>
      <c r="AJ319" s="41">
        <f>'[2]побудинковий звіт'!AJ319+'[1]побудинковий звіт'!AJ319</f>
        <v>0</v>
      </c>
      <c r="AK319" s="41">
        <f>'[2]побудинковий звіт'!AK319+'[1]побудинковий звіт'!AK319</f>
        <v>0</v>
      </c>
      <c r="AL319" s="55">
        <f t="shared" si="274"/>
        <v>0</v>
      </c>
      <c r="AM319" s="41">
        <f>'[2]побудинковий звіт'!AM319+'[1]побудинковий звіт'!AM319</f>
        <v>0</v>
      </c>
      <c r="AN319" s="41">
        <f>'[2]побудинковий звіт'!AN319+'[1]побудинковий звіт'!AN319</f>
        <v>0</v>
      </c>
      <c r="AO319" s="55">
        <f t="shared" si="275"/>
        <v>0</v>
      </c>
      <c r="AP319" s="41">
        <f>'[2]побудинковий звіт'!AP319+'[1]побудинковий звіт'!AP319</f>
        <v>5328.5521636871381</v>
      </c>
      <c r="AQ319" s="41">
        <f>'[2]побудинковий звіт'!AQ319+'[1]побудинковий звіт'!AQ319</f>
        <v>7986.7527908313641</v>
      </c>
      <c r="AR319" s="55">
        <f t="shared" si="276"/>
        <v>2658.200627144226</v>
      </c>
      <c r="AS319" s="41">
        <f>'[2]побудинковий звіт'!AS319+'[1]побудинковий звіт'!AS319</f>
        <v>48488.269696839692</v>
      </c>
      <c r="AT319" s="41">
        <f>'[2]побудинковий звіт'!AT319+'[1]побудинковий звіт'!AT319</f>
        <v>2632.7352126046358</v>
      </c>
      <c r="AU319" s="57">
        <f t="shared" si="277"/>
        <v>-45855.534484235053</v>
      </c>
      <c r="AV319" s="41">
        <f>'[2]побудинковий звіт'!AV319+'[1]побудинковий звіт'!AV319</f>
        <v>1767.972849370607</v>
      </c>
      <c r="AW319" s="41">
        <f>'[2]побудинковий звіт'!AW319+'[1]побудинковий звіт'!AW319</f>
        <v>0</v>
      </c>
      <c r="AX319" s="58">
        <f t="shared" si="278"/>
        <v>-1767.972849370607</v>
      </c>
      <c r="AY319" s="41">
        <f>'[2]побудинковий звіт'!AY319+'[1]побудинковий звіт'!AY319</f>
        <v>2704.6804709209891</v>
      </c>
      <c r="AZ319" s="41">
        <f>'[2]побудинковий звіт'!AZ319+'[1]побудинковий звіт'!AZ319</f>
        <v>1258.4046860032297</v>
      </c>
      <c r="BA319" s="36">
        <f t="shared" si="279"/>
        <v>-1446.2757849177594</v>
      </c>
      <c r="BB319" s="41">
        <f>'[2]побудинковий звіт'!BB319+'[1]побудинковий звіт'!BB319</f>
        <v>1637.4636003548358</v>
      </c>
      <c r="BC319" s="41">
        <f>'[2]побудинковий звіт'!BC319+'[1]побудинковий звіт'!BC319</f>
        <v>2901.7891789117189</v>
      </c>
      <c r="BD319" s="58">
        <f t="shared" si="280"/>
        <v>1264.3255785568831</v>
      </c>
      <c r="BE319" s="41">
        <f>'[2]побудинковий звіт'!BE319+'[1]побудинковий звіт'!BE319</f>
        <v>0</v>
      </c>
      <c r="BF319" s="41">
        <f>'[2]побудинковий звіт'!BF319+'[1]побудинковий звіт'!BF319</f>
        <v>0</v>
      </c>
      <c r="BG319" s="38">
        <f t="shared" si="281"/>
        <v>0</v>
      </c>
      <c r="BH319" s="41">
        <f>'[2]побудинковий звіт'!BH319+'[1]побудинковий звіт'!BH319</f>
        <v>110.27308797143304</v>
      </c>
      <c r="BI319" s="41">
        <f>'[2]побудинковий звіт'!BI319+'[1]побудинковий звіт'!BI319</f>
        <v>0</v>
      </c>
      <c r="BJ319" s="58">
        <f t="shared" si="282"/>
        <v>-110.27308797143304</v>
      </c>
      <c r="BK319" s="41">
        <f>'[2]побудинковий звіт'!BK319+'[1]побудинковий звіт'!BK319</f>
        <v>1359.4804375389833</v>
      </c>
      <c r="BL319" s="41">
        <f>'[2]побудинковий звіт'!BL319+'[1]побудинковий звіт'!BL319</f>
        <v>179.7251651707027</v>
      </c>
      <c r="BM319" s="38">
        <f t="shared" si="283"/>
        <v>-1179.7552723682807</v>
      </c>
      <c r="BN319" s="41">
        <f>'[2]побудинковий звіт'!BN319+'[1]побудинковий звіт'!BN319</f>
        <v>75.290084735242345</v>
      </c>
      <c r="BO319" s="41">
        <f>'[2]побудинковий звіт'!BO319+'[1]побудинковий звіт'!BO319</f>
        <v>3089.3021136974285</v>
      </c>
      <c r="BP319" s="58">
        <f t="shared" si="284"/>
        <v>3014.0120289621859</v>
      </c>
      <c r="BQ319" s="84">
        <f t="shared" si="285"/>
        <v>7655.1605308920898</v>
      </c>
      <c r="BR319" s="42">
        <f t="shared" si="286"/>
        <v>7429.2211437830802</v>
      </c>
      <c r="BS319" s="58">
        <f t="shared" si="287"/>
        <v>-225.93938710900966</v>
      </c>
      <c r="BT319" s="41">
        <f>'[2]побудинковий звіт'!BT319+'[1]побудинковий звіт'!BT319</f>
        <v>30121.118167802662</v>
      </c>
      <c r="BU319" s="41">
        <f>'[2]побудинковий звіт'!BU319+'[1]побудинковий звіт'!BU319</f>
        <v>41594.329305498621</v>
      </c>
      <c r="BV319" s="55">
        <f t="shared" si="288"/>
        <v>11473.211137695958</v>
      </c>
      <c r="BW319" s="41">
        <f>'[2]побудинковий звіт'!BW319+'[1]побудинковий звіт'!BW319</f>
        <v>18648.855247454969</v>
      </c>
      <c r="BX319" s="41">
        <f>'[2]побудинковий звіт'!BX319+'[1]побудинковий звіт'!BX319</f>
        <v>22913.559800020452</v>
      </c>
      <c r="BY319" s="55">
        <f t="shared" si="289"/>
        <v>4264.704552565483</v>
      </c>
      <c r="BZ319" s="41">
        <f>'[2]побудинковий звіт'!BZ319+'[1]побудинковий звіт'!BZ319</f>
        <v>4925.3751752407934</v>
      </c>
      <c r="CA319" s="41">
        <f>'[2]побудинковий звіт'!CA319+'[1]побудинковий звіт'!CA319</f>
        <v>4151.4703855278531</v>
      </c>
      <c r="CB319" s="55">
        <f t="shared" si="290"/>
        <v>-773.90478971294033</v>
      </c>
      <c r="CC319" s="41">
        <f>'[2]побудинковий звіт'!CC319+'[1]побудинковий звіт'!CC319</f>
        <v>1806.4266692921033</v>
      </c>
      <c r="CD319" s="41">
        <f>'[2]побудинковий звіт'!CD319+'[1]побудинковий звіт'!CD319</f>
        <v>1812.5520606322129</v>
      </c>
      <c r="CE319" s="55">
        <f t="shared" si="291"/>
        <v>6.1253913401096725</v>
      </c>
      <c r="CF319" s="41">
        <f>'[2]побудинковий звіт'!CF319+'[1]побудинковий звіт'!CF319</f>
        <v>223.80666283301122</v>
      </c>
      <c r="CG319" s="41">
        <f>'[2]побудинковий звіт'!CG319+'[1]побудинковий звіт'!CG319</f>
        <v>0</v>
      </c>
      <c r="CH319" s="55">
        <f t="shared" si="292"/>
        <v>-223.80666283301122</v>
      </c>
      <c r="CI319" s="41">
        <f>'[2]побудинковий звіт'!CI319+'[1]побудинковий звіт'!CI319</f>
        <v>7949.6053920744371</v>
      </c>
      <c r="CJ319" s="41">
        <f>'[2]побудинковий звіт'!CJ319+'[1]побудинковий звіт'!CJ319</f>
        <v>1586.1747873200852</v>
      </c>
      <c r="CK319" s="55">
        <f t="shared" si="293"/>
        <v>-6363.4306047543523</v>
      </c>
      <c r="CL319" s="41">
        <f>'[2]побудинковий звіт'!CL319+'[1]побудинковий звіт'!CL319</f>
        <v>0</v>
      </c>
      <c r="CM319" s="41">
        <f>'[2]побудинковий звіт'!CM319+'[1]побудинковий звіт'!CM319</f>
        <v>0</v>
      </c>
      <c r="CN319" s="55">
        <f t="shared" si="294"/>
        <v>0</v>
      </c>
      <c r="CO319" s="41">
        <f t="shared" si="295"/>
        <v>7949.6053920744371</v>
      </c>
      <c r="CP319" s="42">
        <f t="shared" si="296"/>
        <v>1586.1747873200852</v>
      </c>
      <c r="CQ319" s="55">
        <f t="shared" si="297"/>
        <v>-6363.4306047543523</v>
      </c>
      <c r="CR319" s="76">
        <f t="shared" si="298"/>
        <v>161710.18889916176</v>
      </c>
      <c r="CS319" s="5">
        <f t="shared" si="299"/>
        <v>127252.63114029675</v>
      </c>
      <c r="CT319" s="55">
        <f t="shared" si="300"/>
        <v>-34457.557758865005</v>
      </c>
      <c r="CU319" s="84">
        <f t="shared" si="301"/>
        <v>194052.22667899411</v>
      </c>
      <c r="CV319" s="68">
        <f t="shared" si="302"/>
        <v>152703.1573683561</v>
      </c>
      <c r="CW319" s="36">
        <f t="shared" si="303"/>
        <v>-41349.069310638006</v>
      </c>
      <c r="CX319" s="41">
        <f>'[2]побудинковий звіт'!CX319+'[1]побудинковий звіт'!CX319</f>
        <v>9715.7906544889811</v>
      </c>
      <c r="CY319" s="41">
        <f>'[2]побудинковий звіт'!CY319+'[1]побудинковий звіт'!CY319</f>
        <v>51064.859965126932</v>
      </c>
      <c r="CZ319" s="55">
        <f t="shared" si="304"/>
        <v>41349.069310637948</v>
      </c>
      <c r="DA319" s="254">
        <f>'[1]побудинковий звіт'!DA319</f>
        <v>-27414.096991486542</v>
      </c>
      <c r="DB319" s="2">
        <v>3</v>
      </c>
      <c r="DC319" s="702">
        <f>'[1]побудинковий звіт'!DC319</f>
        <v>48061.81</v>
      </c>
      <c r="DD319" s="702">
        <f>'[1]побудинковий звіт'!DD319</f>
        <v>0</v>
      </c>
      <c r="DE319" s="702">
        <f>'[1]побудинковий звіт'!DE319</f>
        <v>25620.429999999997</v>
      </c>
      <c r="DF319" s="702">
        <f>'[1]побудинковий звіт'!DF319</f>
        <v>0</v>
      </c>
      <c r="DG319" s="772">
        <v>-60501.847575890191</v>
      </c>
      <c r="DH319" s="746">
        <f t="shared" si="316"/>
        <v>2445216.2080017971</v>
      </c>
      <c r="DI319" s="769"/>
      <c r="DJ319" s="5"/>
      <c r="DK319" s="307">
        <f>VLOOKUP($A319,ціни!$A$4:$G$401,5)</f>
        <v>5.8189593334713248</v>
      </c>
      <c r="DL319" s="307"/>
      <c r="DM319" s="307">
        <f>VLOOKUP($A319,ціни!$A$4:$G$401,7)</f>
        <v>5.1320772158934558</v>
      </c>
      <c r="DN319" s="29">
        <f>F319*DK319</f>
        <v>15953.258908644984</v>
      </c>
      <c r="DO319" s="29">
        <f>H319*DM319</f>
        <v>0</v>
      </c>
      <c r="DP319" s="306">
        <f t="shared" si="317"/>
        <v>15953.258908644984</v>
      </c>
      <c r="DQ319" s="101"/>
      <c r="DR319" s="29">
        <f>VLOOKUP(A319,'ДЗ нас '!$A$1:$C$359,2)</f>
        <v>15953.4</v>
      </c>
      <c r="DS319" s="733"/>
      <c r="DT319" s="29">
        <f t="shared" si="318"/>
        <v>15953.4</v>
      </c>
      <c r="DU319" s="247">
        <f>VLOOKUP(A319,'новий кошторис с 01.06'!$A$4:$AI$399,35)*1.2</f>
        <v>16104.019832176178</v>
      </c>
      <c r="DV319" s="29">
        <f t="shared" si="319"/>
        <v>-150.61983217617853</v>
      </c>
      <c r="DW319" s="1016">
        <f>'[2]побудинковий звіт'!$DW$9+'[1]побудинковий звіт'!DW319</f>
        <v>1062</v>
      </c>
      <c r="DX319" s="101">
        <f>'[1]побудинковий звіт'!DX319</f>
        <v>0</v>
      </c>
      <c r="DY319" s="5">
        <f t="shared" si="320"/>
        <v>67372.116273278138</v>
      </c>
      <c r="DZ319" s="5">
        <f t="shared" si="321"/>
        <v>12074.34762766526</v>
      </c>
      <c r="EA319" s="737">
        <f t="shared" si="322"/>
        <v>25620.429999999997</v>
      </c>
      <c r="EC319" s="577">
        <f t="shared" si="323"/>
        <v>581859.23636207636</v>
      </c>
      <c r="EE319" s="743">
        <v>-3303</v>
      </c>
      <c r="EF319" s="723">
        <f t="shared" si="324"/>
        <v>-63804.847575890191</v>
      </c>
      <c r="EH319" s="798">
        <v>-85813.663074946919</v>
      </c>
      <c r="EI319" s="101">
        <f>VLOOKUP(A319,'кошти 01.01.24'!$A$9:$D$352,4,FALSE)</f>
        <v>13934.972319151413</v>
      </c>
    </row>
    <row r="320" spans="1:139" hidden="1" x14ac:dyDescent="0.3">
      <c r="A320" s="318">
        <v>150000922</v>
      </c>
      <c r="B320" s="43" t="s">
        <v>787</v>
      </c>
      <c r="C320" s="44" t="s">
        <v>401</v>
      </c>
      <c r="D320" s="44" t="s">
        <v>401</v>
      </c>
      <c r="E320" s="39">
        <f t="shared" si="262"/>
        <v>4244.42</v>
      </c>
      <c r="F320" s="205">
        <f>'[1]побудинковий звіт'!F320</f>
        <v>4244.42</v>
      </c>
      <c r="G320" s="29">
        <f>'[1]побудинковий звіт'!G320</f>
        <v>410.5</v>
      </c>
      <c r="H320" s="148">
        <f>'[1]побудинковий звіт'!H320</f>
        <v>0</v>
      </c>
      <c r="I320" s="41">
        <f>'[2]побудинковий звіт'!I320+'[1]побудинковий звіт'!I320</f>
        <v>17400.743548663031</v>
      </c>
      <c r="J320" s="41">
        <f>'[2]побудинковий звіт'!J320+'[1]побудинковий звіт'!J320</f>
        <v>18216.092550274599</v>
      </c>
      <c r="K320" s="55">
        <f t="shared" si="263"/>
        <v>815.34900161156838</v>
      </c>
      <c r="L320" s="41">
        <f>'[2]побудинковий звіт'!L320+'[1]побудинковий звіт'!L320</f>
        <v>2831.1058699746063</v>
      </c>
      <c r="M320" s="41">
        <f>'[2]побудинковий звіт'!M320+'[1]побудинковий звіт'!M320</f>
        <v>3067.9782614412616</v>
      </c>
      <c r="N320" s="55">
        <f t="shared" si="264"/>
        <v>236.87239146665524</v>
      </c>
      <c r="O320" s="41">
        <f>'[2]побудинковий звіт'!O320+'[1]побудинковий звіт'!O320</f>
        <v>5826.0234600712301</v>
      </c>
      <c r="P320" s="41">
        <f>'[2]побудинковий звіт'!P320+'[1]побудинковий звіт'!P320</f>
        <v>5844.1236421802414</v>
      </c>
      <c r="Q320" s="55">
        <f t="shared" si="265"/>
        <v>18.100182109011257</v>
      </c>
      <c r="R320" s="41">
        <f>'[2]побудинковий звіт'!R320+'[1]побудинковий звіт'!R320</f>
        <v>1446.4878554074976</v>
      </c>
      <c r="S320" s="41">
        <f>'[2]побудинковий звіт'!S320+'[1]побудинковий звіт'!S320</f>
        <v>1450.6598477973662</v>
      </c>
      <c r="T320" s="55">
        <f t="shared" si="266"/>
        <v>4.171992389868592</v>
      </c>
      <c r="U320" s="41">
        <f>'[2]побудинковий звіт'!U320+'[1]побудинковий звіт'!U320</f>
        <v>828.05882043446536</v>
      </c>
      <c r="V320" s="41">
        <f>'[2]побудинковий звіт'!V320+'[1]побудинковий звіт'!V320</f>
        <v>569.38848888925963</v>
      </c>
      <c r="W320" s="55">
        <f t="shared" si="267"/>
        <v>-258.67033154520573</v>
      </c>
      <c r="X320" s="41">
        <f>'[2]побудинковий звіт'!X320+'[1]побудинковий звіт'!X320</f>
        <v>6087.9911146448148</v>
      </c>
      <c r="Y320" s="41">
        <f>'[2]побудинковий звіт'!Y320+'[1]побудинковий звіт'!Y320</f>
        <v>8159.5199103353534</v>
      </c>
      <c r="Z320" s="55">
        <f t="shared" si="268"/>
        <v>2071.5287956905386</v>
      </c>
      <c r="AA320" s="41">
        <f>'[2]побудинковий звіт'!AA320+'[1]побудинковий звіт'!AA320</f>
        <v>0</v>
      </c>
      <c r="AB320" s="41">
        <f>'[2]побудинковий звіт'!AB320+'[1]побудинковий звіт'!AB320</f>
        <v>0</v>
      </c>
      <c r="AC320" s="55">
        <f t="shared" si="269"/>
        <v>0</v>
      </c>
      <c r="AD320" s="41">
        <f>'[2]побудинковий звіт'!AD320+'[1]побудинковий звіт'!AD320</f>
        <v>18418.83940453683</v>
      </c>
      <c r="AE320" s="41">
        <f>'[2]побудинковий звіт'!AE320+'[1]побудинковий звіт'!AE320</f>
        <v>18346.844141995851</v>
      </c>
      <c r="AF320" s="36">
        <f t="shared" si="270"/>
        <v>-71.995262540978729</v>
      </c>
      <c r="AG320" s="84">
        <f t="shared" si="271"/>
        <v>52839.250073732474</v>
      </c>
      <c r="AH320" s="56">
        <f t="shared" si="272"/>
        <v>55654.606842913941</v>
      </c>
      <c r="AI320" s="55">
        <f t="shared" si="273"/>
        <v>2815.3567691814678</v>
      </c>
      <c r="AJ320" s="41">
        <f>'[2]побудинковий звіт'!AJ320+'[1]побудинковий звіт'!AJ320</f>
        <v>60356.418595600298</v>
      </c>
      <c r="AK320" s="41">
        <f>'[2]побудинковий звіт'!AK320+'[1]побудинковий звіт'!AK320</f>
        <v>57601.276576215751</v>
      </c>
      <c r="AL320" s="55">
        <f t="shared" si="274"/>
        <v>-2755.1420193845479</v>
      </c>
      <c r="AM320" s="41">
        <f>'[2]побудинковий звіт'!AM320+'[1]побудинковий звіт'!AM320</f>
        <v>0</v>
      </c>
      <c r="AN320" s="41">
        <f>'[2]побудинковий звіт'!AN320+'[1]побудинковий звіт'!AN320</f>
        <v>0</v>
      </c>
      <c r="AO320" s="55">
        <f t="shared" si="275"/>
        <v>0</v>
      </c>
      <c r="AP320" s="41">
        <f>'[2]побудинковий звіт'!AP320+'[1]побудинковий звіт'!AP320</f>
        <v>3467.092800168215</v>
      </c>
      <c r="AQ320" s="41">
        <f>'[2]побудинковий звіт'!AQ320+'[1]побудинковий звіт'!AQ320</f>
        <v>3106.1426767644216</v>
      </c>
      <c r="AR320" s="55">
        <f t="shared" si="276"/>
        <v>-360.95012340379344</v>
      </c>
      <c r="AS320" s="41">
        <f>'[2]побудинковий звіт'!AS320+'[1]побудинковий звіт'!AS320</f>
        <v>70958.162017545197</v>
      </c>
      <c r="AT320" s="41">
        <f>'[2]побудинковий звіт'!AT320+'[1]побудинковий звіт'!AT320</f>
        <v>72.747629616974706</v>
      </c>
      <c r="AU320" s="57">
        <f t="shared" si="277"/>
        <v>-70885.41438792822</v>
      </c>
      <c r="AV320" s="41">
        <f>'[2]побудинковий звіт'!AV320+'[1]побудинковий звіт'!AV320</f>
        <v>1595.8047854839178</v>
      </c>
      <c r="AW320" s="41">
        <f>'[2]побудинковий звіт'!AW320+'[1]побудинковий звіт'!AW320</f>
        <v>0</v>
      </c>
      <c r="AX320" s="58">
        <f t="shared" si="278"/>
        <v>-1595.8047854839178</v>
      </c>
      <c r="AY320" s="41">
        <f>'[2]побудинковий звіт'!AY320+'[1]побудинковий звіт'!AY320</f>
        <v>2024.3840788982084</v>
      </c>
      <c r="AZ320" s="41">
        <f>'[2]побудинковий звіт'!AZ320+'[1]побудинковий звіт'!AZ320</f>
        <v>0</v>
      </c>
      <c r="BA320" s="36">
        <f t="shared" si="279"/>
        <v>-2024.3840788982084</v>
      </c>
      <c r="BB320" s="41">
        <f>'[2]побудинковий звіт'!BB320+'[1]побудинковий звіт'!BB320</f>
        <v>2331.8143540147403</v>
      </c>
      <c r="BC320" s="41">
        <f>'[2]побудинковий звіт'!BC320+'[1]побудинковий звіт'!BC320</f>
        <v>0</v>
      </c>
      <c r="BD320" s="58">
        <f t="shared" si="280"/>
        <v>-2331.8143540147403</v>
      </c>
      <c r="BE320" s="41">
        <f>'[2]побудинковий звіт'!BE320+'[1]побудинковий звіт'!BE320</f>
        <v>703.5130777724678</v>
      </c>
      <c r="BF320" s="41">
        <f>'[2]побудинковий звіт'!BF320+'[1]побудинковий звіт'!BF320</f>
        <v>1112.8421518724895</v>
      </c>
      <c r="BG320" s="38">
        <f t="shared" si="281"/>
        <v>409.32907410002167</v>
      </c>
      <c r="BH320" s="41">
        <f>'[2]побудинковий звіт'!BH320+'[1]побудинковий звіт'!BH320</f>
        <v>434.18790231649672</v>
      </c>
      <c r="BI320" s="41">
        <f>'[2]побудинковий звіт'!BI320+'[1]побудинковий звіт'!BI320</f>
        <v>0</v>
      </c>
      <c r="BJ320" s="58">
        <f t="shared" si="282"/>
        <v>-434.18790231649672</v>
      </c>
      <c r="BK320" s="41">
        <f>'[2]побудинковий звіт'!BK320+'[1]побудинковий звіт'!BK320</f>
        <v>1054.4290141878639</v>
      </c>
      <c r="BL320" s="41">
        <f>'[2]побудинковий звіт'!BL320+'[1]побудинковий звіт'!BL320</f>
        <v>0</v>
      </c>
      <c r="BM320" s="38">
        <f t="shared" si="283"/>
        <v>-1054.4290141878639</v>
      </c>
      <c r="BN320" s="41">
        <f>'[2]побудинковий звіт'!BN320+'[1]побудинковий звіт'!BN320</f>
        <v>112.9351271028635</v>
      </c>
      <c r="BO320" s="41">
        <f>'[2]побудинковий звіт'!BO320+'[1]побудинковий звіт'!BO320</f>
        <v>0</v>
      </c>
      <c r="BP320" s="58">
        <f t="shared" si="284"/>
        <v>-112.9351271028635</v>
      </c>
      <c r="BQ320" s="84">
        <f t="shared" si="285"/>
        <v>8257.0683397765588</v>
      </c>
      <c r="BR320" s="42">
        <f t="shared" si="286"/>
        <v>1112.8421518724895</v>
      </c>
      <c r="BS320" s="58">
        <f t="shared" si="287"/>
        <v>-7144.2261879040689</v>
      </c>
      <c r="BT320" s="41">
        <f>'[2]побудинковий звіт'!BT320+'[1]побудинковий звіт'!BT320</f>
        <v>55526.055939860627</v>
      </c>
      <c r="BU320" s="41">
        <f>'[2]побудинковий звіт'!BU320+'[1]побудинковий звіт'!BU320</f>
        <v>73579.463957072905</v>
      </c>
      <c r="BV320" s="55">
        <f t="shared" si="288"/>
        <v>18053.408017212278</v>
      </c>
      <c r="BW320" s="41">
        <f>'[2]побудинковий звіт'!BW320+'[1]побудинковий звіт'!BW320</f>
        <v>40851.758888555429</v>
      </c>
      <c r="BX320" s="41">
        <f>'[2]побудинковий звіт'!BX320+'[1]побудинковий звіт'!BX320</f>
        <v>53814.866342150774</v>
      </c>
      <c r="BY320" s="55">
        <f t="shared" si="289"/>
        <v>12963.107453595345</v>
      </c>
      <c r="BZ320" s="41">
        <f>'[2]побудинковий звіт'!BZ320+'[1]побудинковий звіт'!BZ320</f>
        <v>5863.9443610044473</v>
      </c>
      <c r="CA320" s="41">
        <f>'[2]побудинковий звіт'!CA320+'[1]побудинковий звіт'!CA320</f>
        <v>7539.0315985495172</v>
      </c>
      <c r="CB320" s="55">
        <f t="shared" si="290"/>
        <v>1675.0872375450699</v>
      </c>
      <c r="CC320" s="41">
        <f>'[2]побудинковий звіт'!CC320+'[1]побудинковий звіт'!CC320</f>
        <v>1908.4767373940372</v>
      </c>
      <c r="CD320" s="41">
        <f>'[2]побудинковий звіт'!CD320+'[1]побудинковий звіт'!CD320</f>
        <v>1914.9481691320414</v>
      </c>
      <c r="CE320" s="55">
        <f t="shared" si="291"/>
        <v>6.4714317380041848</v>
      </c>
      <c r="CF320" s="41">
        <f>'[2]побудинковий звіт'!CF320+'[1]побудинковий звіт'!CF320</f>
        <v>236.45012385583016</v>
      </c>
      <c r="CG320" s="41">
        <f>'[2]побудинковий звіт'!CG320+'[1]побудинковий звіт'!CG320</f>
        <v>0</v>
      </c>
      <c r="CH320" s="55">
        <f t="shared" si="292"/>
        <v>-236.45012385583016</v>
      </c>
      <c r="CI320" s="41">
        <f>'[2]побудинковий звіт'!CI320+'[1]побудинковий звіт'!CI320</f>
        <v>16902.92865031281</v>
      </c>
      <c r="CJ320" s="41">
        <f>'[2]побудинковий звіт'!CJ320+'[1]побудинковий звіт'!CJ320</f>
        <v>19463.938216157854</v>
      </c>
      <c r="CK320" s="55">
        <f t="shared" si="293"/>
        <v>2561.0095658450446</v>
      </c>
      <c r="CL320" s="41">
        <f>'[2]побудинковий звіт'!CL320+'[1]побудинковий звіт'!CL320</f>
        <v>10653.789843298335</v>
      </c>
      <c r="CM320" s="41">
        <f>'[2]побудинковий звіт'!CM320+'[1]побудинковий звіт'!CM320</f>
        <v>14603.872465551858</v>
      </c>
      <c r="CN320" s="55">
        <f t="shared" si="294"/>
        <v>3950.0826222535234</v>
      </c>
      <c r="CO320" s="41">
        <f t="shared" si="295"/>
        <v>27556.718493611144</v>
      </c>
      <c r="CP320" s="42">
        <f t="shared" si="296"/>
        <v>34067.810681709714</v>
      </c>
      <c r="CQ320" s="55">
        <f t="shared" si="297"/>
        <v>6511.0921880985697</v>
      </c>
      <c r="CR320" s="76">
        <f t="shared" si="298"/>
        <v>327821.39637110435</v>
      </c>
      <c r="CS320" s="5">
        <f t="shared" si="299"/>
        <v>288463.73662599857</v>
      </c>
      <c r="CT320" s="55">
        <f t="shared" si="300"/>
        <v>-39357.659745105775</v>
      </c>
      <c r="CU320" s="84">
        <f t="shared" si="301"/>
        <v>393385.67564532522</v>
      </c>
      <c r="CV320" s="68">
        <f t="shared" si="302"/>
        <v>346156.48395119829</v>
      </c>
      <c r="CW320" s="36">
        <f t="shared" si="303"/>
        <v>-47229.19169412693</v>
      </c>
      <c r="CX320" s="41">
        <f>'[2]побудинковий звіт'!CX320+'[1]побудинковий звіт'!CX320</f>
        <v>8489.7145052727592</v>
      </c>
      <c r="CY320" s="41">
        <f>'[2]побудинковий звіт'!CY320+'[1]побудинковий звіт'!CY320</f>
        <v>55718.906199399709</v>
      </c>
      <c r="CZ320" s="55">
        <f t="shared" si="304"/>
        <v>47229.191694126952</v>
      </c>
      <c r="DA320" s="254">
        <f>'[1]побудинковий звіт'!DA320</f>
        <v>19745.822670407098</v>
      </c>
      <c r="DB320" s="2">
        <v>3</v>
      </c>
      <c r="DC320" s="702">
        <f>'[1]побудинковий звіт'!DC320</f>
        <v>70500.62</v>
      </c>
      <c r="DD320" s="702">
        <f>'[1]побудинковий звіт'!DD320</f>
        <v>0</v>
      </c>
      <c r="DE320" s="702">
        <f>'[1]побудинковий звіт'!DE320</f>
        <v>26491.989999999998</v>
      </c>
      <c r="DF320" s="702">
        <f>'[1]побудинковий звіт'!DF320</f>
        <v>0</v>
      </c>
      <c r="DG320" s="772">
        <v>-80896.614168663509</v>
      </c>
      <c r="DH320" s="746">
        <f t="shared" si="316"/>
        <v>4822504.6818071753</v>
      </c>
      <c r="DI320" s="769"/>
      <c r="DJ320" s="5"/>
      <c r="DK320" s="307">
        <f>VLOOKUP($A320,ціни!$A$4:$G$401,5)</f>
        <v>5.8433255881341406</v>
      </c>
      <c r="DL320" s="307">
        <f>VLOOKUP($A320,ціни!$A$4:$G$401,6)</f>
        <v>7.593242094691961</v>
      </c>
      <c r="DM320" s="307">
        <f>VLOOKUP($A320,ціни!$A$4:$G$401,7)</f>
        <v>4.9145443183519957</v>
      </c>
      <c r="DN320" s="29">
        <f>DK320*G320+(F320-G320)*DL320</f>
        <v>31510.567885610468</v>
      </c>
      <c r="DO320" s="29">
        <f>DM320*H320</f>
        <v>0</v>
      </c>
      <c r="DP320" s="306">
        <f t="shared" si="317"/>
        <v>31510.567885610468</v>
      </c>
      <c r="DQ320" s="101"/>
      <c r="DR320" s="29">
        <f>VLOOKUP(A320,'ДЗ нас '!$A$1:$C$359,2)</f>
        <v>31510.91</v>
      </c>
      <c r="DS320" s="733"/>
      <c r="DT320" s="29">
        <f t="shared" si="318"/>
        <v>31510.91</v>
      </c>
      <c r="DU320" s="247">
        <f>VLOOKUP(A320,'новий кошторис с 01.06'!$A$4:$AI$399,35)*1.2</f>
        <v>31623.731821025871</v>
      </c>
      <c r="DV320" s="29">
        <f t="shared" si="319"/>
        <v>-112.82182102587103</v>
      </c>
      <c r="DW320" s="1016">
        <f>'[2]побудинковий звіт'!$DW$9+'[1]побудинковий звіт'!DW320</f>
        <v>1062</v>
      </c>
      <c r="DX320" s="101">
        <f>'[1]побудинковий звіт'!DX320</f>
        <v>0</v>
      </c>
      <c r="DY320" s="5">
        <f t="shared" si="320"/>
        <v>95058.276428786092</v>
      </c>
      <c r="DZ320" s="5">
        <f t="shared" si="321"/>
        <v>1422.707737787357</v>
      </c>
      <c r="EA320" s="737">
        <f t="shared" si="322"/>
        <v>26491.989999999998</v>
      </c>
      <c r="EC320" s="577">
        <f t="shared" si="323"/>
        <v>851497.94421054237</v>
      </c>
      <c r="EE320" s="743">
        <v>9175</v>
      </c>
      <c r="EF320" s="723">
        <f t="shared" si="324"/>
        <v>-71721.614168663509</v>
      </c>
      <c r="EH320" s="798">
        <v>-141030.18256281081</v>
      </c>
      <c r="EI320" s="101">
        <f>VLOOKUP(A320,'кошти 01.01.24'!$A$9:$D$352,4,FALSE)</f>
        <v>66975.014364533941</v>
      </c>
    </row>
    <row r="321" spans="1:139" hidden="1" x14ac:dyDescent="0.3">
      <c r="A321" s="318">
        <v>150000896</v>
      </c>
      <c r="B321" s="43" t="s">
        <v>788</v>
      </c>
      <c r="C321" s="44" t="s">
        <v>317</v>
      </c>
      <c r="D321" s="44" t="s">
        <v>317</v>
      </c>
      <c r="E321" s="39">
        <f t="shared" si="262"/>
        <v>2712.45</v>
      </c>
      <c r="F321" s="205">
        <f>'[1]побудинковий звіт'!F321</f>
        <v>2712.45</v>
      </c>
      <c r="G321" s="29">
        <f>'[1]побудинковий звіт'!G321</f>
        <v>0</v>
      </c>
      <c r="H321" s="148">
        <f>'[1]побудинковий звіт'!H321</f>
        <v>0</v>
      </c>
      <c r="I321" s="41">
        <f>'[2]побудинковий звіт'!I321+'[1]побудинковий звіт'!I321</f>
        <v>11299.834395239903</v>
      </c>
      <c r="J321" s="41">
        <f>'[2]побудинковий звіт'!J321+'[1]побудинковий звіт'!J321</f>
        <v>11822.819627949277</v>
      </c>
      <c r="K321" s="55">
        <f t="shared" si="263"/>
        <v>522.98523270937403</v>
      </c>
      <c r="L321" s="41">
        <f>'[2]побудинковий звіт'!L321+'[1]побудинковий звіт'!L321</f>
        <v>2105.471166335642</v>
      </c>
      <c r="M321" s="41">
        <f>'[2]побудинковий звіт'!M321+'[1]побудинковий звіт'!M321</f>
        <v>2277.164492249618</v>
      </c>
      <c r="N321" s="55">
        <f t="shared" si="264"/>
        <v>171.69332591397597</v>
      </c>
      <c r="O321" s="41">
        <f>'[2]побудинковий звіт'!O321+'[1]побудинковий звіт'!O321</f>
        <v>4304.3012329444191</v>
      </c>
      <c r="P321" s="41">
        <f>'[2]побудинковий звіт'!P321+'[1]побудинковий звіт'!P321</f>
        <v>4316.4412978362307</v>
      </c>
      <c r="Q321" s="55">
        <f t="shared" si="265"/>
        <v>12.140064891811562</v>
      </c>
      <c r="R321" s="41">
        <f>'[2]побудинковий звіт'!R321+'[1]побудинковий звіт'!R321</f>
        <v>0</v>
      </c>
      <c r="S321" s="41">
        <f>'[2]побудинковий звіт'!S321+'[1]побудинковий звіт'!S321</f>
        <v>0</v>
      </c>
      <c r="T321" s="55">
        <f t="shared" si="266"/>
        <v>0</v>
      </c>
      <c r="U321" s="41">
        <f>'[2]побудинковий звіт'!U321+'[1]побудинковий звіт'!U321</f>
        <v>274.41621619194507</v>
      </c>
      <c r="V321" s="41">
        <f>'[2]побудинковий звіт'!V321+'[1]побудинковий звіт'!V321</f>
        <v>181.17408074274988</v>
      </c>
      <c r="W321" s="55">
        <f t="shared" si="267"/>
        <v>-93.242135449195189</v>
      </c>
      <c r="X321" s="41">
        <f>'[2]побудинковий звіт'!X321+'[1]побудинковий звіт'!X321</f>
        <v>7275.351337617034</v>
      </c>
      <c r="Y321" s="41">
        <f>'[2]побудинковий звіт'!Y321+'[1]побудинковий звіт'!Y321</f>
        <v>7197.6081929328184</v>
      </c>
      <c r="Z321" s="55">
        <f t="shared" si="268"/>
        <v>-77.743144684215622</v>
      </c>
      <c r="AA321" s="41">
        <f>'[2]побудинковий звіт'!AA321+'[1]побудинковий звіт'!AA321</f>
        <v>0</v>
      </c>
      <c r="AB321" s="41">
        <f>'[2]побудинковий звіт'!AB321+'[1]побудинковий звіт'!AB321</f>
        <v>0</v>
      </c>
      <c r="AC321" s="55">
        <f t="shared" si="269"/>
        <v>0</v>
      </c>
      <c r="AD321" s="41">
        <f>'[2]побудинковий звіт'!AD321+'[1]побудинковий звіт'!AD321</f>
        <v>11763.302849288397</v>
      </c>
      <c r="AE321" s="41">
        <f>'[2]побудинковий звіт'!AE321+'[1]побудинковий звіт'!AE321</f>
        <v>11717.606848437274</v>
      </c>
      <c r="AF321" s="36">
        <f t="shared" si="270"/>
        <v>-45.696000851123245</v>
      </c>
      <c r="AG321" s="84">
        <f t="shared" si="271"/>
        <v>37022.677197617333</v>
      </c>
      <c r="AH321" s="56">
        <f t="shared" si="272"/>
        <v>37512.814540147971</v>
      </c>
      <c r="AI321" s="55">
        <f t="shared" si="273"/>
        <v>490.1373425306374</v>
      </c>
      <c r="AJ321" s="41">
        <f>'[2]побудинковий звіт'!AJ321+'[1]побудинковий звіт'!AJ321</f>
        <v>0</v>
      </c>
      <c r="AK321" s="41">
        <f>'[2]побудинковий звіт'!AK321+'[1]побудинковий звіт'!AK321</f>
        <v>0</v>
      </c>
      <c r="AL321" s="55">
        <f t="shared" si="274"/>
        <v>0</v>
      </c>
      <c r="AM321" s="41">
        <f>'[2]побудинковий звіт'!AM321+'[1]побудинковий звіт'!AM321</f>
        <v>0</v>
      </c>
      <c r="AN321" s="41">
        <f>'[2]побудинковий звіт'!AN321+'[1]побудинковий звіт'!AN321</f>
        <v>0</v>
      </c>
      <c r="AO321" s="55">
        <f t="shared" si="275"/>
        <v>0</v>
      </c>
      <c r="AP321" s="41">
        <f>'[2]побудинковий звіт'!AP321+'[1]побудинковий звіт'!AP321</f>
        <v>5328.5521636871381</v>
      </c>
      <c r="AQ321" s="41">
        <f>'[2]побудинковий звіт'!AQ321+'[1]побудинковий звіт'!AQ321</f>
        <v>8959.5068962409514</v>
      </c>
      <c r="AR321" s="55">
        <f t="shared" si="276"/>
        <v>3630.9547325538133</v>
      </c>
      <c r="AS321" s="41">
        <f>'[2]побудинковий звіт'!AS321+'[1]побудинковий звіт'!AS321</f>
        <v>47222.878727835901</v>
      </c>
      <c r="AT321" s="41">
        <f>'[2]побудинковий звіт'!AT321+'[1]побудинковий звіт'!AT321</f>
        <v>3115.814890952804</v>
      </c>
      <c r="AU321" s="57">
        <f t="shared" si="277"/>
        <v>-44107.063836883099</v>
      </c>
      <c r="AV321" s="41">
        <f>'[2]побудинковий звіт'!AV321+'[1]побудинковий звіт'!AV321</f>
        <v>1820.2944749633878</v>
      </c>
      <c r="AW321" s="41">
        <f>'[2]побудинковий звіт'!AW321+'[1]побудинковий звіт'!AW321</f>
        <v>0</v>
      </c>
      <c r="AX321" s="58">
        <f t="shared" si="278"/>
        <v>-1820.2944749633878</v>
      </c>
      <c r="AY321" s="41">
        <f>'[2]побудинковий звіт'!AY321+'[1]побудинковий звіт'!AY321</f>
        <v>2515.2580932036644</v>
      </c>
      <c r="AZ321" s="41">
        <f>'[2]побудинковий звіт'!AZ321+'[1]побудинковий звіт'!AZ321</f>
        <v>1198.7071082293417</v>
      </c>
      <c r="BA321" s="36">
        <f t="shared" si="279"/>
        <v>-1316.5509849743228</v>
      </c>
      <c r="BB321" s="41">
        <f>'[2]побудинковий звіт'!BB321+'[1]побудинковий звіт'!BB321</f>
        <v>1834.0564348440162</v>
      </c>
      <c r="BC321" s="41">
        <f>'[2]побудинковий звіт'!BC321+'[1]побудинковий звіт'!BC321</f>
        <v>0</v>
      </c>
      <c r="BD321" s="58">
        <f t="shared" si="280"/>
        <v>-1834.0564348440162</v>
      </c>
      <c r="BE321" s="41">
        <f>'[2]побудинковий звіт'!BE321+'[1]побудинковий звіт'!BE321</f>
        <v>0</v>
      </c>
      <c r="BF321" s="41">
        <f>'[2]побудинковий звіт'!BF321+'[1]побудинковий звіт'!BF321</f>
        <v>0</v>
      </c>
      <c r="BG321" s="38">
        <f t="shared" si="281"/>
        <v>0</v>
      </c>
      <c r="BH321" s="41">
        <f>'[2]побудинковий звіт'!BH321+'[1]побудинковий звіт'!BH321</f>
        <v>161.73386235810182</v>
      </c>
      <c r="BI321" s="41">
        <f>'[2]побудинковий звіт'!BI321+'[1]побудинковий звіт'!BI321</f>
        <v>0</v>
      </c>
      <c r="BJ321" s="58">
        <f t="shared" si="282"/>
        <v>-161.73386235810182</v>
      </c>
      <c r="BK321" s="41">
        <f>'[2]побудинковий звіт'!BK321+'[1]побудинковий звіт'!BK321</f>
        <v>1559.5589949724233</v>
      </c>
      <c r="BL321" s="41">
        <f>'[2]побудинковий звіт'!BL321+'[1]побудинковий звіт'!BL321</f>
        <v>0</v>
      </c>
      <c r="BM321" s="38">
        <f t="shared" si="283"/>
        <v>-1559.5589949724233</v>
      </c>
      <c r="BN321" s="41">
        <f>'[2]побудинковий звіт'!BN321+'[1]побудинковий звіт'!BN321</f>
        <v>75.290084735242345</v>
      </c>
      <c r="BO321" s="41">
        <f>'[2]побудинковий звіт'!BO321+'[1]побудинковий звіт'!BO321</f>
        <v>3529.4487595704632</v>
      </c>
      <c r="BP321" s="58">
        <f t="shared" si="284"/>
        <v>3454.1586748352206</v>
      </c>
      <c r="BQ321" s="84">
        <f t="shared" si="285"/>
        <v>7966.1919450768355</v>
      </c>
      <c r="BR321" s="42">
        <f t="shared" si="286"/>
        <v>4728.1558677998046</v>
      </c>
      <c r="BS321" s="58">
        <f t="shared" si="287"/>
        <v>-3238.0360772770309</v>
      </c>
      <c r="BT321" s="41">
        <f>'[2]побудинковий звіт'!BT321+'[1]побудинковий звіт'!BT321</f>
        <v>34415.051132086541</v>
      </c>
      <c r="BU321" s="41">
        <f>'[2]побудинковий звіт'!BU321+'[1]побудинковий звіт'!BU321</f>
        <v>51565.047516165949</v>
      </c>
      <c r="BV321" s="55">
        <f t="shared" si="288"/>
        <v>17149.996384079408</v>
      </c>
      <c r="BW321" s="41">
        <f>'[2]побудинковий звіт'!BW321+'[1]побудинковий звіт'!BW321</f>
        <v>18821.10059212194</v>
      </c>
      <c r="BX321" s="41">
        <f>'[2]побудинковий звіт'!BX321+'[1]побудинковий звіт'!BX321</f>
        <v>23171.171703260017</v>
      </c>
      <c r="BY321" s="55">
        <f t="shared" si="289"/>
        <v>4350.071111138077</v>
      </c>
      <c r="BZ321" s="41">
        <f>'[2]побудинковий звіт'!BZ321+'[1]побудинковий звіт'!BZ321</f>
        <v>5756.8754754285319</v>
      </c>
      <c r="CA321" s="41">
        <f>'[2]побудинковий звіт'!CA321+'[1]побудинковий звіт'!CA321</f>
        <v>4586.4399888187845</v>
      </c>
      <c r="CB321" s="55">
        <f t="shared" si="290"/>
        <v>-1170.4354866097474</v>
      </c>
      <c r="CC321" s="41">
        <f>'[2]побудинковий звіт'!CC321+'[1]побудинковий звіт'!CC321</f>
        <v>1807.5564875206405</v>
      </c>
      <c r="CD321" s="41">
        <f>'[2]побудинковий звіт'!CD321+'[1]побудинковий звіт'!CD321</f>
        <v>1813.6857099483393</v>
      </c>
      <c r="CE321" s="55">
        <f t="shared" si="291"/>
        <v>6.1292224276987781</v>
      </c>
      <c r="CF321" s="41">
        <f>'[2]побудинковий звіт'!CF321+'[1]побудинковий звіт'!CF321</f>
        <v>223.94664130633387</v>
      </c>
      <c r="CG321" s="41">
        <f>'[2]побудинковий звіт'!CG321+'[1]побудинковий звіт'!CG321</f>
        <v>0</v>
      </c>
      <c r="CH321" s="55">
        <f t="shared" si="292"/>
        <v>-223.94664130633387</v>
      </c>
      <c r="CI321" s="41">
        <f>'[2]побудинковий звіт'!CI321+'[1]побудинковий звіт'!CI321</f>
        <v>13979.172895007319</v>
      </c>
      <c r="CJ321" s="41">
        <f>'[2]побудинковий звіт'!CJ321+'[1]побудинковий звіт'!CJ321</f>
        <v>7730.775302824065</v>
      </c>
      <c r="CK321" s="55">
        <f t="shared" si="293"/>
        <v>-6248.3975921832543</v>
      </c>
      <c r="CL321" s="41">
        <f>'[2]побудинковий звіт'!CL321+'[1]побудинковий звіт'!CL321</f>
        <v>0</v>
      </c>
      <c r="CM321" s="41">
        <f>'[2]побудинковий звіт'!CM321+'[1]побудинковий звіт'!CM321</f>
        <v>0</v>
      </c>
      <c r="CN321" s="55">
        <f t="shared" si="294"/>
        <v>0</v>
      </c>
      <c r="CO321" s="41">
        <f t="shared" si="295"/>
        <v>13979.172895007319</v>
      </c>
      <c r="CP321" s="42">
        <f t="shared" si="296"/>
        <v>7730.775302824065</v>
      </c>
      <c r="CQ321" s="55">
        <f t="shared" si="297"/>
        <v>-6248.3975921832543</v>
      </c>
      <c r="CR321" s="76">
        <f t="shared" si="298"/>
        <v>172544.00325768854</v>
      </c>
      <c r="CS321" s="5">
        <f t="shared" si="299"/>
        <v>143183.41241615868</v>
      </c>
      <c r="CT321" s="55">
        <f t="shared" si="300"/>
        <v>-29360.590841529862</v>
      </c>
      <c r="CU321" s="84">
        <f t="shared" si="301"/>
        <v>207052.80390922623</v>
      </c>
      <c r="CV321" s="68">
        <f t="shared" si="302"/>
        <v>171820.09489939042</v>
      </c>
      <c r="CW321" s="36">
        <f t="shared" si="303"/>
        <v>-35232.709009835817</v>
      </c>
      <c r="CX321" s="41">
        <f>'[2]побудинковий звіт'!CX321+'[1]побудинковий звіт'!CX321</f>
        <v>10378.628682043574</v>
      </c>
      <c r="CY321" s="41">
        <f>'[2]побудинковий звіт'!CY321+'[1]побудинковий звіт'!CY321</f>
        <v>45611.337691879373</v>
      </c>
      <c r="CZ321" s="55">
        <f t="shared" si="304"/>
        <v>35232.709009835802</v>
      </c>
      <c r="DA321" s="254">
        <f>'[1]побудинковий звіт'!DA321</f>
        <v>12404.950714843697</v>
      </c>
      <c r="DB321" s="2">
        <v>3</v>
      </c>
      <c r="DC321" s="702">
        <f>'[1]побудинковий звіт'!DC321</f>
        <v>77271.039999999994</v>
      </c>
      <c r="DD321" s="702">
        <f>'[1]побудинковий звіт'!DD321</f>
        <v>0</v>
      </c>
      <c r="DE321" s="702">
        <f>'[1]побудинковий звіт'!DE321</f>
        <v>53409.499999999993</v>
      </c>
      <c r="DF321" s="702">
        <f>'[1]побудинковий звіт'!DF321</f>
        <v>0</v>
      </c>
      <c r="DG321" s="772">
        <v>83591.975209226483</v>
      </c>
      <c r="DH321" s="746">
        <f t="shared" si="316"/>
        <v>2609177.1910952376</v>
      </c>
      <c r="DI321" s="769"/>
      <c r="DJ321" s="5"/>
      <c r="DK321" s="307">
        <f>VLOOKUP($A321,ціни!$A$4:$G$401,5)</f>
        <v>6.2817820034721361</v>
      </c>
      <c r="DL321" s="307"/>
      <c r="DM321" s="307">
        <f>VLOOKUP($A321,ціни!$A$4:$G$401,7)</f>
        <v>5.580869867366494</v>
      </c>
      <c r="DN321" s="29">
        <f>F321*DK321</f>
        <v>17039.019595317994</v>
      </c>
      <c r="DO321" s="29">
        <f>H321*DM321</f>
        <v>0</v>
      </c>
      <c r="DP321" s="306">
        <f t="shared" si="317"/>
        <v>17039.019595317994</v>
      </c>
      <c r="DQ321" s="101"/>
      <c r="DR321" s="29">
        <f>VLOOKUP(A321,'ДЗ нас '!$A$1:$C$359,2)</f>
        <v>17039.080000000002</v>
      </c>
      <c r="DS321" s="733"/>
      <c r="DT321" s="29">
        <f t="shared" si="318"/>
        <v>17039.080000000002</v>
      </c>
      <c r="DU321" s="247">
        <f>VLOOKUP(A321,'новий кошторис с 01.06'!$A$4:$AI$399,35)*1.2</f>
        <v>17198.759329016768</v>
      </c>
      <c r="DV321" s="29">
        <f t="shared" si="319"/>
        <v>-159.67932901676613</v>
      </c>
      <c r="DW321" s="1016">
        <f>'[2]побудинковий звіт'!$DW$9+'[1]побудинковий звіт'!DW321</f>
        <v>918</v>
      </c>
      <c r="DX321" s="101">
        <f>'[1]побудинковий звіт'!DX321</f>
        <v>0</v>
      </c>
      <c r="DY321" s="5">
        <f t="shared" si="320"/>
        <v>66226.884807495284</v>
      </c>
      <c r="DZ321" s="5">
        <f t="shared" si="321"/>
        <v>9412.7649105031287</v>
      </c>
      <c r="EA321" s="737">
        <f t="shared" si="322"/>
        <v>53409.499999999993</v>
      </c>
      <c r="EC321" s="577">
        <f t="shared" si="323"/>
        <v>566674.54473403085</v>
      </c>
      <c r="EE321" s="743">
        <v>-34770</v>
      </c>
      <c r="EF321" s="723">
        <f t="shared" si="324"/>
        <v>48821.975209226483</v>
      </c>
      <c r="EH321" s="798">
        <v>65748.603627886478</v>
      </c>
      <c r="EI321" s="101">
        <f>VLOOKUP(A321,'кошти 01.01.24'!$A$9:$D$352,4,FALSE)</f>
        <v>47637.659724679535</v>
      </c>
    </row>
    <row r="322" spans="1:139" hidden="1" x14ac:dyDescent="0.3">
      <c r="A322" s="318">
        <v>150000898</v>
      </c>
      <c r="B322" s="43" t="s">
        <v>789</v>
      </c>
      <c r="C322" s="44" t="s">
        <v>190</v>
      </c>
      <c r="D322" s="44" t="s">
        <v>190</v>
      </c>
      <c r="E322" s="39">
        <f t="shared" si="262"/>
        <v>472.1</v>
      </c>
      <c r="F322" s="205">
        <f>'[1]побудинковий звіт'!F322</f>
        <v>472.1</v>
      </c>
      <c r="G322" s="29">
        <f>'[1]побудинковий звіт'!G322</f>
        <v>0</v>
      </c>
      <c r="H322" s="148">
        <f>'[1]побудинковий звіт'!H322</f>
        <v>0</v>
      </c>
      <c r="I322" s="41">
        <f>'[2]побудинковий звіт'!I322+'[1]побудинковий звіт'!I322</f>
        <v>1995.3993996003558</v>
      </c>
      <c r="J322" s="41">
        <f>'[2]побудинковий звіт'!J322+'[1]побудинковий звіт'!J322</f>
        <v>2072.7126300235968</v>
      </c>
      <c r="K322" s="55">
        <f t="shared" si="263"/>
        <v>77.313230423241066</v>
      </c>
      <c r="L322" s="41">
        <f>'[2]побудинковий звіт'!L322+'[1]побудинковий звіт'!L322</f>
        <v>468.93522654407445</v>
      </c>
      <c r="M322" s="41">
        <f>'[2]побудинковий звіт'!M322+'[1]побудинковий звіт'!M322</f>
        <v>527.59613809562222</v>
      </c>
      <c r="N322" s="55">
        <f t="shared" si="264"/>
        <v>58.66091155154777</v>
      </c>
      <c r="O322" s="41">
        <f>'[2]побудинковий звіт'!O322+'[1]побудинковий звіт'!O322</f>
        <v>685.09665645420205</v>
      </c>
      <c r="P322" s="41">
        <f>'[2]побудинковий звіт'!P322+'[1]побудинковий звіт'!P322</f>
        <v>687.39542784652838</v>
      </c>
      <c r="Q322" s="55">
        <f t="shared" si="265"/>
        <v>2.29877139232633</v>
      </c>
      <c r="R322" s="41">
        <f>'[2]побудинковий звіт'!R322+'[1]побудинковий звіт'!R322</f>
        <v>0</v>
      </c>
      <c r="S322" s="41">
        <f>'[2]побудинковий звіт'!S322+'[1]побудинковий звіт'!S322</f>
        <v>0</v>
      </c>
      <c r="T322" s="55">
        <f t="shared" si="266"/>
        <v>0</v>
      </c>
      <c r="U322" s="41">
        <f>'[2]побудинковий звіт'!U322+'[1]побудинковий звіт'!U322</f>
        <v>0</v>
      </c>
      <c r="V322" s="41">
        <f>'[2]побудинковий звіт'!V322+'[1]побудинковий звіт'!V322</f>
        <v>22.855347475559377</v>
      </c>
      <c r="W322" s="55">
        <f t="shared" si="267"/>
        <v>22.855347475559377</v>
      </c>
      <c r="X322" s="41">
        <f>'[2]побудинковий звіт'!X322+'[1]побудинковий звіт'!X322</f>
        <v>815.48412406023022</v>
      </c>
      <c r="Y322" s="41">
        <f>'[2]побудинковий звіт'!Y322+'[1]побудинковий звіт'!Y322</f>
        <v>2623.7210949198775</v>
      </c>
      <c r="Z322" s="55">
        <f t="shared" si="268"/>
        <v>1808.2369708596473</v>
      </c>
      <c r="AA322" s="41">
        <f>'[2]побудинковий звіт'!AA322+'[1]побудинковий звіт'!AA322</f>
        <v>0</v>
      </c>
      <c r="AB322" s="41">
        <f>'[2]побудинковий звіт'!AB322+'[1]побудинковий звіт'!AB322</f>
        <v>0</v>
      </c>
      <c r="AC322" s="55">
        <f t="shared" si="269"/>
        <v>0</v>
      </c>
      <c r="AD322" s="41">
        <f>'[2]побудинковий звіт'!AD322+'[1]побудинковий звіт'!AD322</f>
        <v>2047.6450726237226</v>
      </c>
      <c r="AE322" s="41">
        <f>'[2]побудинковий звіт'!AE322+'[1]побудинковий звіт'!AE322</f>
        <v>2039.6812273586158</v>
      </c>
      <c r="AF322" s="36">
        <f t="shared" si="270"/>
        <v>-7.9638452651067837</v>
      </c>
      <c r="AG322" s="84">
        <f t="shared" si="271"/>
        <v>6012.5604792825852</v>
      </c>
      <c r="AH322" s="56">
        <f t="shared" si="272"/>
        <v>7973.9618657197998</v>
      </c>
      <c r="AI322" s="55">
        <f t="shared" si="273"/>
        <v>1961.4013864372146</v>
      </c>
      <c r="AJ322" s="41">
        <f>'[2]побудинковий звіт'!AJ322+'[1]побудинковий звіт'!AJ322</f>
        <v>0</v>
      </c>
      <c r="AK322" s="41">
        <f>'[2]побудинковий звіт'!AK322+'[1]побудинковий звіт'!AK322</f>
        <v>0</v>
      </c>
      <c r="AL322" s="55">
        <f t="shared" si="274"/>
        <v>0</v>
      </c>
      <c r="AM322" s="41">
        <f>'[2]побудинковий звіт'!AM322+'[1]побудинковий звіт'!AM322</f>
        <v>0</v>
      </c>
      <c r="AN322" s="41">
        <f>'[2]побудинковий звіт'!AN322+'[1]побудинковий звіт'!AN322</f>
        <v>0</v>
      </c>
      <c r="AO322" s="55">
        <f t="shared" si="275"/>
        <v>0</v>
      </c>
      <c r="AP322" s="41">
        <f>'[2]побудинковий звіт'!AP322+'[1]побудинковий звіт'!AP322</f>
        <v>1507.5468045937735</v>
      </c>
      <c r="AQ322" s="41">
        <f>'[2]побудинковий звіт'!AQ322+'[1]побудинковий звіт'!AQ322</f>
        <v>940.60969150615665</v>
      </c>
      <c r="AR322" s="55">
        <f t="shared" si="276"/>
        <v>-566.93711308761681</v>
      </c>
      <c r="AS322" s="41">
        <f>'[2]побудинковий звіт'!AS322+'[1]побудинковий звіт'!AS322</f>
        <v>7285.6288029343641</v>
      </c>
      <c r="AT322" s="41">
        <f>'[2]побудинковий звіт'!AT322+'[1]побудинковий звіт'!AT322</f>
        <v>223.08876527141891</v>
      </c>
      <c r="AU322" s="57">
        <f t="shared" si="277"/>
        <v>-7062.540037662945</v>
      </c>
      <c r="AV322" s="41">
        <f>'[2]побудинковий звіт'!AV322+'[1]побудинковий звіт'!AV322</f>
        <v>353.51997925967544</v>
      </c>
      <c r="AW322" s="41">
        <f>'[2]побудинковий звіт'!AW322+'[1]побудинковий звіт'!AW322</f>
        <v>0</v>
      </c>
      <c r="AX322" s="58">
        <f t="shared" si="278"/>
        <v>-353.51997925967544</v>
      </c>
      <c r="AY322" s="41">
        <f>'[2]побудинковий звіт'!AY322+'[1]побудинковий звіт'!AY322</f>
        <v>558.99176931229647</v>
      </c>
      <c r="AZ322" s="41">
        <f>'[2]побудинковий звіт'!AZ322+'[1]побудинковий звіт'!AZ322</f>
        <v>0</v>
      </c>
      <c r="BA322" s="36">
        <f t="shared" si="279"/>
        <v>-558.99176931229647</v>
      </c>
      <c r="BB322" s="41">
        <f>'[2]побудинковий звіт'!BB322+'[1]побудинковий звіт'!BB322</f>
        <v>194.25061723263613</v>
      </c>
      <c r="BC322" s="41">
        <f>'[2]побудинковий звіт'!BC322+'[1]побудинковий звіт'!BC322</f>
        <v>0</v>
      </c>
      <c r="BD322" s="58">
        <f t="shared" si="280"/>
        <v>-194.25061723263613</v>
      </c>
      <c r="BE322" s="41">
        <f>'[2]побудинковий звіт'!BE322+'[1]побудинковий звіт'!BE322</f>
        <v>0</v>
      </c>
      <c r="BF322" s="41">
        <f>'[2]побудинковий звіт'!BF322+'[1]побудинковий звіт'!BF322</f>
        <v>0</v>
      </c>
      <c r="BG322" s="38">
        <f t="shared" si="281"/>
        <v>0</v>
      </c>
      <c r="BH322" s="41">
        <f>'[2]побудинковий звіт'!BH322+'[1]побудинковий звіт'!BH322</f>
        <v>0</v>
      </c>
      <c r="BI322" s="41">
        <f>'[2]побудинковий звіт'!BI322+'[1]побудинковий звіт'!BI322</f>
        <v>0</v>
      </c>
      <c r="BJ322" s="58">
        <f t="shared" si="282"/>
        <v>0</v>
      </c>
      <c r="BK322" s="41">
        <f>'[2]побудинковий звіт'!BK322+'[1]побудинковий звіт'!BK322</f>
        <v>116.89375216359396</v>
      </c>
      <c r="BL322" s="41">
        <f>'[2]побудинковий звіт'!BL322+'[1]побудинковий звіт'!BL322</f>
        <v>0</v>
      </c>
      <c r="BM322" s="38">
        <f t="shared" si="283"/>
        <v>-116.89375216359396</v>
      </c>
      <c r="BN322" s="41">
        <f>'[2]побудинковий звіт'!BN322+'[1]побудинковий звіт'!BN322</f>
        <v>18.822521183810586</v>
      </c>
      <c r="BO322" s="41">
        <f>'[2]побудинковий звіт'!BO322+'[1]побудинковий звіт'!BO322</f>
        <v>934.49465035000003</v>
      </c>
      <c r="BP322" s="58">
        <f t="shared" si="284"/>
        <v>915.67212916618939</v>
      </c>
      <c r="BQ322" s="84">
        <f t="shared" si="285"/>
        <v>1242.4786391520124</v>
      </c>
      <c r="BR322" s="42">
        <f t="shared" si="286"/>
        <v>934.49465035000003</v>
      </c>
      <c r="BS322" s="58">
        <f t="shared" si="287"/>
        <v>-307.98398880201239</v>
      </c>
      <c r="BT322" s="41">
        <f>'[2]побудинковий звіт'!BT322+'[1]побудинковий звіт'!BT322</f>
        <v>5263.9188122423948</v>
      </c>
      <c r="BU322" s="41">
        <f>'[2]побудинковий звіт'!BU322+'[1]побудинковий звіт'!BU322</f>
        <v>7153.3395104352448</v>
      </c>
      <c r="BV322" s="55">
        <f t="shared" si="288"/>
        <v>1889.4206981928501</v>
      </c>
      <c r="BW322" s="41">
        <f>'[2]побудинковий звіт'!BW322+'[1]побудинковий звіт'!BW322</f>
        <v>3944.8119502602553</v>
      </c>
      <c r="BX322" s="41">
        <f>'[2]побудинковий звіт'!BX322+'[1]побудинковий звіт'!BX322</f>
        <v>5509.4530900085774</v>
      </c>
      <c r="BY322" s="55">
        <f t="shared" si="289"/>
        <v>1564.6411397483221</v>
      </c>
      <c r="BZ322" s="41">
        <f>'[2]побудинковий звіт'!BZ322+'[1]побудинковий звіт'!BZ322</f>
        <v>591.87053004616496</v>
      </c>
      <c r="CA322" s="41">
        <f>'[2]побудинковий звіт'!CA322+'[1]побудинковий звіт'!CA322</f>
        <v>772.12401262601645</v>
      </c>
      <c r="CB322" s="55">
        <f t="shared" si="290"/>
        <v>180.25348257985149</v>
      </c>
      <c r="CC322" s="41">
        <f>'[2]побудинковий звіт'!CC322+'[1]побудинковий звіт'!CC322</f>
        <v>0</v>
      </c>
      <c r="CD322" s="41">
        <f>'[2]побудинковий звіт'!CD322+'[1]побудинковий звіт'!CD322</f>
        <v>0</v>
      </c>
      <c r="CE322" s="55">
        <f t="shared" si="291"/>
        <v>0</v>
      </c>
      <c r="CF322" s="41">
        <f>'[2]побудинковий звіт'!CF322+'[1]побудинковий звіт'!CF322</f>
        <v>0</v>
      </c>
      <c r="CG322" s="41">
        <f>'[2]побудинковий звіт'!CG322+'[1]побудинковий звіт'!CG322</f>
        <v>0</v>
      </c>
      <c r="CH322" s="55">
        <f t="shared" si="292"/>
        <v>0</v>
      </c>
      <c r="CI322" s="41">
        <f>'[2]побудинковий звіт'!CI322+'[1]побудинковий звіт'!CI322</f>
        <v>1313.995920943036</v>
      </c>
      <c r="CJ322" s="41">
        <f>'[2]побудинковий звіт'!CJ322+'[1]побудинковий звіт'!CJ322</f>
        <v>546.39228749936274</v>
      </c>
      <c r="CK322" s="55">
        <f t="shared" si="293"/>
        <v>-767.60363344367329</v>
      </c>
      <c r="CL322" s="41">
        <f>'[2]побудинковий звіт'!CL322+'[1]побудинковий звіт'!CL322</f>
        <v>0</v>
      </c>
      <c r="CM322" s="41">
        <f>'[2]побудинковий звіт'!CM322+'[1]побудинковий звіт'!CM322</f>
        <v>0</v>
      </c>
      <c r="CN322" s="55">
        <f t="shared" si="294"/>
        <v>0</v>
      </c>
      <c r="CO322" s="41">
        <f t="shared" si="295"/>
        <v>1313.995920943036</v>
      </c>
      <c r="CP322" s="42">
        <f t="shared" si="296"/>
        <v>546.39228749936274</v>
      </c>
      <c r="CQ322" s="55">
        <f t="shared" si="297"/>
        <v>-767.60363344367329</v>
      </c>
      <c r="CR322" s="76">
        <f t="shared" si="298"/>
        <v>27162.811939454587</v>
      </c>
      <c r="CS322" s="5">
        <f t="shared" si="299"/>
        <v>24053.463873416575</v>
      </c>
      <c r="CT322" s="55">
        <f t="shared" si="300"/>
        <v>-3109.3480660380119</v>
      </c>
      <c r="CU322" s="84">
        <f t="shared" si="301"/>
        <v>32595.374327345504</v>
      </c>
      <c r="CV322" s="68">
        <f t="shared" si="302"/>
        <v>28864.156648099888</v>
      </c>
      <c r="CW322" s="36">
        <f t="shared" si="303"/>
        <v>-3731.2176792456157</v>
      </c>
      <c r="CX322" s="41">
        <f>'[2]побудинковий звіт'!CX322+'[1]побудинковий звіт'!CX322</f>
        <v>325.78909481041217</v>
      </c>
      <c r="CY322" s="41">
        <f>'[2]побудинковий звіт'!CY322+'[1]побудинковий звіт'!CY322</f>
        <v>4057.0067740560207</v>
      </c>
      <c r="CZ322" s="55">
        <f t="shared" si="304"/>
        <v>3731.2176792456085</v>
      </c>
      <c r="DA322" s="254">
        <f>'[1]побудинковий звіт'!DA322</f>
        <v>-2712.9268181384286</v>
      </c>
      <c r="DB322" s="2">
        <v>3</v>
      </c>
      <c r="DC322" s="702">
        <f>'[1]побудинковий звіт'!DC322</f>
        <v>3031.75</v>
      </c>
      <c r="DD322" s="702">
        <f>'[1]побудинковий звіт'!DD322</f>
        <v>0</v>
      </c>
      <c r="DE322" s="702">
        <f>'[1]побудинковий звіт'!DE322</f>
        <v>-568.67999999999984</v>
      </c>
      <c r="DF322" s="702">
        <f>'[1]побудинковий звіт'!DF322</f>
        <v>0</v>
      </c>
      <c r="DG322" s="772">
        <v>-20019.278165131131</v>
      </c>
      <c r="DH322" s="746">
        <f t="shared" si="316"/>
        <v>395053.96106587094</v>
      </c>
      <c r="DI322" s="769"/>
      <c r="DJ322" s="5"/>
      <c r="DK322" s="307">
        <f>VLOOKUP($A322,ціни!$A$4:$G$401,5)</f>
        <v>5.4696178033779219</v>
      </c>
      <c r="DL322" s="307"/>
      <c r="DM322" s="307">
        <f>VLOOKUP($A322,ціни!$A$4:$G$401,7)</f>
        <v>4.6881384371343771</v>
      </c>
      <c r="DN322" s="29">
        <f>F322*DK322</f>
        <v>2582.2065649747169</v>
      </c>
      <c r="DO322" s="29">
        <f>H322*DM322</f>
        <v>0</v>
      </c>
      <c r="DP322" s="306">
        <f t="shared" si="317"/>
        <v>2582.2065649747169</v>
      </c>
      <c r="DQ322" s="101"/>
      <c r="DR322" s="29">
        <f>VLOOKUP(A322,'ДЗ нас '!$A$1:$C$359,2)</f>
        <v>2582.21</v>
      </c>
      <c r="DS322" s="733"/>
      <c r="DT322" s="29">
        <f t="shared" si="318"/>
        <v>2582.21</v>
      </c>
      <c r="DU322" s="247">
        <f>VLOOKUP(A322,'новий кошторис с 01.06'!$A$4:$AI$399,35)*1.2</f>
        <v>2582.206564974716</v>
      </c>
      <c r="DV322" s="29">
        <f t="shared" si="319"/>
        <v>3.4350252840340545E-3</v>
      </c>
      <c r="DW322" s="1016">
        <f>'[2]побудинковий звіт'!$DW$9+'[1]побудинковий звіт'!DW322</f>
        <v>0</v>
      </c>
      <c r="DX322" s="101">
        <f>'[1]побудинковий звіт'!DX322</f>
        <v>0</v>
      </c>
      <c r="DY322" s="5">
        <f t="shared" si="320"/>
        <v>10233.728930503652</v>
      </c>
      <c r="DZ322" s="5">
        <f t="shared" si="321"/>
        <v>1389.1000987457026</v>
      </c>
      <c r="EA322" s="737">
        <f t="shared" si="322"/>
        <v>-568.67999999999984</v>
      </c>
      <c r="EC322" s="577">
        <f t="shared" si="323"/>
        <v>87427.545635212373</v>
      </c>
      <c r="EE322" s="743">
        <v>-3912</v>
      </c>
      <c r="EF322" s="723">
        <f t="shared" si="324"/>
        <v>-23931.278165131131</v>
      </c>
      <c r="EH322" s="798">
        <v>-24096.828227311067</v>
      </c>
      <c r="EI322" s="101">
        <f>VLOOKUP(A322,'кошти 01.01.24'!$A$9:$D$352,4,FALSE)</f>
        <v>1018.2908611071771</v>
      </c>
    </row>
    <row r="323" spans="1:139" hidden="1" x14ac:dyDescent="0.3">
      <c r="A323" s="318">
        <v>150000899</v>
      </c>
      <c r="B323" s="43" t="s">
        <v>790</v>
      </c>
      <c r="C323" s="44" t="s">
        <v>402</v>
      </c>
      <c r="D323" s="44" t="s">
        <v>402</v>
      </c>
      <c r="E323" s="39">
        <f t="shared" si="262"/>
        <v>6211.85</v>
      </c>
      <c r="F323" s="205">
        <f>'[1]побудинковий звіт'!F323</f>
        <v>6211.85</v>
      </c>
      <c r="G323" s="29">
        <f>'[1]побудинковий звіт'!G323</f>
        <v>656.15</v>
      </c>
      <c r="H323" s="148">
        <f>'[1]побудинковий звіт'!H323</f>
        <v>0</v>
      </c>
      <c r="I323" s="41">
        <f>'[2]побудинковий звіт'!I323+'[1]побудинковий звіт'!I323</f>
        <v>26931.813549884875</v>
      </c>
      <c r="J323" s="41">
        <f>'[2]побудинковий звіт'!J323+'[1]побудинковий звіт'!J323</f>
        <v>28053.406044705989</v>
      </c>
      <c r="K323" s="55">
        <f t="shared" si="263"/>
        <v>1121.5924948211141</v>
      </c>
      <c r="L323" s="41">
        <f>'[2]побудинковий звіт'!L323+'[1]побудинковий звіт'!L323</f>
        <v>4300.3711820536428</v>
      </c>
      <c r="M323" s="41">
        <f>'[2]побудинковий звіт'!M323+'[1]побудинковий звіт'!M323</f>
        <v>4656.5999360117557</v>
      </c>
      <c r="N323" s="55">
        <f t="shared" si="264"/>
        <v>356.22875395811297</v>
      </c>
      <c r="O323" s="41">
        <f>'[2]побудинковий звіт'!O323+'[1]побудинковий звіт'!O323</f>
        <v>8454.5755672904725</v>
      </c>
      <c r="P323" s="41">
        <f>'[2]побудинковий звіт'!P323+'[1]побудинковий звіт'!P323</f>
        <v>8478.9427024110228</v>
      </c>
      <c r="Q323" s="55">
        <f t="shared" si="265"/>
        <v>24.367135120550302</v>
      </c>
      <c r="R323" s="41">
        <f>'[2]побудинковий звіт'!R323+'[1]побудинковий звіт'!R323</f>
        <v>2067.0893705485587</v>
      </c>
      <c r="S323" s="41">
        <f>'[2]побудинковий звіт'!S323+'[1]побудинковий звіт'!S323</f>
        <v>2071.4224953142721</v>
      </c>
      <c r="T323" s="55">
        <f t="shared" si="266"/>
        <v>4.3331247657133645</v>
      </c>
      <c r="U323" s="41">
        <f>'[2]побудинковий звіт'!U323+'[1]побудинковий звіт'!U323</f>
        <v>1195.4353047003162</v>
      </c>
      <c r="V323" s="41">
        <f>'[2]побудинковий звіт'!V323+'[1]побудинковий звіт'!V323</f>
        <v>827.18578532979791</v>
      </c>
      <c r="W323" s="55">
        <f t="shared" si="267"/>
        <v>-368.24951937051833</v>
      </c>
      <c r="X323" s="41">
        <f>'[2]побудинковий звіт'!X323+'[1]побудинковий звіт'!X323</f>
        <v>10396.023970269012</v>
      </c>
      <c r="Y323" s="41">
        <f>'[2]побудинковий звіт'!Y323+'[1]побудинковий звіт'!Y323</f>
        <v>10765.556739065929</v>
      </c>
      <c r="Z323" s="55">
        <f t="shared" si="268"/>
        <v>369.53276879691657</v>
      </c>
      <c r="AA323" s="41">
        <f>'[2]побудинковий звіт'!AA323+'[1]побудинковий звіт'!AA323</f>
        <v>0</v>
      </c>
      <c r="AB323" s="41">
        <f>'[2]побудинковий звіт'!AB323+'[1]побудинковий звіт'!AB323</f>
        <v>0</v>
      </c>
      <c r="AC323" s="55">
        <f t="shared" si="269"/>
        <v>0</v>
      </c>
      <c r="AD323" s="41">
        <f>'[2]побудинковий звіт'!AD323+'[1]побудинковий звіт'!AD323</f>
        <v>26943.272389665555</v>
      </c>
      <c r="AE323" s="41">
        <f>'[2]побудинковий звіт'!AE323+'[1]побудинковий звіт'!AE323</f>
        <v>26838.462220225021</v>
      </c>
      <c r="AF323" s="36">
        <f t="shared" si="270"/>
        <v>-104.81016944053408</v>
      </c>
      <c r="AG323" s="84">
        <f t="shared" si="271"/>
        <v>80288.581334412433</v>
      </c>
      <c r="AH323" s="56">
        <f t="shared" si="272"/>
        <v>81691.575923063778</v>
      </c>
      <c r="AI323" s="55">
        <f t="shared" si="273"/>
        <v>1402.9945886513451</v>
      </c>
      <c r="AJ323" s="41">
        <f>'[2]побудинковий звіт'!AJ323+'[1]побудинковий звіт'!AJ323</f>
        <v>89244.892942535938</v>
      </c>
      <c r="AK323" s="41">
        <f>'[2]побудинковий звіт'!AK323+'[1]побудинковий звіт'!AK323</f>
        <v>86981.864488932726</v>
      </c>
      <c r="AL323" s="55">
        <f t="shared" si="274"/>
        <v>-2263.0284536032123</v>
      </c>
      <c r="AM323" s="41">
        <f>'[2]побудинковий звіт'!AM323+'[1]побудинковий звіт'!AM323</f>
        <v>302.92842272642292</v>
      </c>
      <c r="AN323" s="41">
        <f>'[2]побудинковий звіт'!AN323+'[1]побудинковий звіт'!AN323</f>
        <v>132.89625523195463</v>
      </c>
      <c r="AO323" s="55">
        <f t="shared" si="275"/>
        <v>-170.0321674944683</v>
      </c>
      <c r="AP323" s="41">
        <f>'[2]побудинковий звіт'!AP323+'[1]побудинковий звіт'!AP323</f>
        <v>5547.348480269141</v>
      </c>
      <c r="AQ323" s="41">
        <f>'[2]побудинковий звіт'!AQ323+'[1]побудинковий звіт'!AQ323</f>
        <v>4815.2725721437882</v>
      </c>
      <c r="AR323" s="55">
        <f t="shared" si="276"/>
        <v>-732.07590812535273</v>
      </c>
      <c r="AS323" s="41">
        <f>'[2]побудинковий звіт'!AS323+'[1]побудинковий звіт'!AS323</f>
        <v>109162.93900366966</v>
      </c>
      <c r="AT323" s="41">
        <f>'[2]побудинковий звіт'!AT323+'[1]побудинковий звіт'!AT323</f>
        <v>145748.48255440802</v>
      </c>
      <c r="AU323" s="57">
        <f t="shared" si="277"/>
        <v>36585.543550738366</v>
      </c>
      <c r="AV323" s="41">
        <f>'[2]побудинковий звіт'!AV323+'[1]побудинковий звіт'!AV323</f>
        <v>2593.8208975440798</v>
      </c>
      <c r="AW323" s="41">
        <f>'[2]побудинковий звіт'!AW323+'[1]побудинковий звіт'!AW323</f>
        <v>1353.7407385015222</v>
      </c>
      <c r="AX323" s="58">
        <f t="shared" si="278"/>
        <v>-1240.0801590425576</v>
      </c>
      <c r="AY323" s="41">
        <f>'[2]побудинковий звіт'!AY323+'[1]побудинковий звіт'!AY323</f>
        <v>3078.3057932864326</v>
      </c>
      <c r="AZ323" s="41">
        <f>'[2]побудинковий звіт'!AZ323+'[1]побудинковий звіт'!AZ323</f>
        <v>8557.2793721430698</v>
      </c>
      <c r="BA323" s="36">
        <f t="shared" si="279"/>
        <v>5478.9735788566377</v>
      </c>
      <c r="BB323" s="41">
        <f>'[2]побудинковий звіт'!BB323+'[1]побудинковий звіт'!BB323</f>
        <v>3484.3344599316947</v>
      </c>
      <c r="BC323" s="41">
        <f>'[2]побудинковий звіт'!BC323+'[1]побудинковий звіт'!BC323</f>
        <v>806.97263289390003</v>
      </c>
      <c r="BD323" s="58">
        <f t="shared" si="280"/>
        <v>-2677.3618270377947</v>
      </c>
      <c r="BE323" s="41">
        <f>'[2]побудинковий звіт'!BE323+'[1]побудинковий звіт'!BE323</f>
        <v>1018.4394613669601</v>
      </c>
      <c r="BF323" s="41">
        <f>'[2]побудинковий звіт'!BF323+'[1]побудинковий звіт'!BF323</f>
        <v>0</v>
      </c>
      <c r="BG323" s="38">
        <f t="shared" si="281"/>
        <v>-1018.4394613669601</v>
      </c>
      <c r="BH323" s="41">
        <f>'[2]побудинковий звіт'!BH323+'[1]побудинковий звіт'!BH323</f>
        <v>623.71337521299586</v>
      </c>
      <c r="BI323" s="41">
        <f>'[2]побудинковий звіт'!BI323+'[1]побудинковий звіт'!BI323</f>
        <v>0</v>
      </c>
      <c r="BJ323" s="58">
        <f t="shared" si="282"/>
        <v>-623.71337521299586</v>
      </c>
      <c r="BK323" s="41">
        <f>'[2]побудинковий звіт'!BK323+'[1]побудинковий звіт'!BK323</f>
        <v>1487.5601134832518</v>
      </c>
      <c r="BL323" s="41">
        <f>'[2]побудинковий звіт'!BL323+'[1]побудинковий звіт'!BL323</f>
        <v>3665.0134018810268</v>
      </c>
      <c r="BM323" s="38">
        <f t="shared" si="283"/>
        <v>2177.4532883977749</v>
      </c>
      <c r="BN323" s="41">
        <f>'[2]побудинковий звіт'!BN323+'[1]побудинковий звіт'!BN323</f>
        <v>166.26560379032685</v>
      </c>
      <c r="BO323" s="41">
        <f>'[2]побудинковий звіт'!BO323+'[1]побудинковий звіт'!BO323</f>
        <v>6791.1842891599999</v>
      </c>
      <c r="BP323" s="58">
        <f t="shared" si="284"/>
        <v>6624.9186853696729</v>
      </c>
      <c r="BQ323" s="84">
        <f t="shared" si="285"/>
        <v>12452.439704615743</v>
      </c>
      <c r="BR323" s="42">
        <f t="shared" si="286"/>
        <v>21174.190434579519</v>
      </c>
      <c r="BS323" s="58">
        <f t="shared" si="287"/>
        <v>8721.7507299637764</v>
      </c>
      <c r="BT323" s="41">
        <f>'[2]побудинковий звіт'!BT323+'[1]побудинковий звіт'!BT323</f>
        <v>100387.57919022965</v>
      </c>
      <c r="BU323" s="41">
        <f>'[2]побудинковий звіт'!BU323+'[1]побудинковий звіт'!BU323</f>
        <v>119546.04691489038</v>
      </c>
      <c r="BV323" s="55">
        <f t="shared" si="288"/>
        <v>19158.467724660732</v>
      </c>
      <c r="BW323" s="41">
        <f>'[2]побудинковий звіт'!BW323+'[1]побудинковий звіт'!BW323</f>
        <v>53122.371629479268</v>
      </c>
      <c r="BX323" s="41">
        <f>'[2]побудинковий звіт'!BX323+'[1]побудинковий звіт'!BX323</f>
        <v>66529.56742123203</v>
      </c>
      <c r="BY323" s="55">
        <f t="shared" si="289"/>
        <v>13407.195791752762</v>
      </c>
      <c r="BZ323" s="41">
        <f>'[2]побудинковий звіт'!BZ323+'[1]побудинковий звіт'!BZ323</f>
        <v>5521.5288289814907</v>
      </c>
      <c r="CA323" s="41">
        <f>'[2]побудинковий звіт'!CA323+'[1]побудинковий звіт'!CA323</f>
        <v>12387.030170127407</v>
      </c>
      <c r="CB323" s="55">
        <f t="shared" si="290"/>
        <v>6865.5013411459167</v>
      </c>
      <c r="CC323" s="41">
        <f>'[2]побудинковий звіт'!CC323+'[1]побудинковий звіт'!CC323</f>
        <v>2009.2443091284422</v>
      </c>
      <c r="CD323" s="41">
        <f>'[2]побудинковий звіт'!CD323+'[1]побудинковий звіт'!CD323</f>
        <v>2016.0574324622132</v>
      </c>
      <c r="CE323" s="55">
        <f t="shared" si="291"/>
        <v>6.8131233337710455</v>
      </c>
      <c r="CF323" s="41">
        <f>'[2]побудинковий звіт'!CF323+'[1]побудинковий звіт'!CF323</f>
        <v>248.93469039541799</v>
      </c>
      <c r="CG323" s="41">
        <f>'[2]побудинковий звіт'!CG323+'[1]побудинковий звіт'!CG323</f>
        <v>0</v>
      </c>
      <c r="CH323" s="55">
        <f t="shared" si="292"/>
        <v>-248.93469039541799</v>
      </c>
      <c r="CI323" s="41">
        <f>'[2]побудинковий звіт'!CI323+'[1]побудинковий звіт'!CI323</f>
        <v>33229.063713105177</v>
      </c>
      <c r="CJ323" s="41">
        <f>'[2]побудинковий звіт'!CJ323+'[1]побудинковий звіт'!CJ323</f>
        <v>20392.386465630803</v>
      </c>
      <c r="CK323" s="55">
        <f t="shared" si="293"/>
        <v>-12836.677247474374</v>
      </c>
      <c r="CL323" s="41">
        <f>'[2]побудинковий звіт'!CL323+'[1]побудинковий звіт'!CL323</f>
        <v>18273.203203107816</v>
      </c>
      <c r="CM323" s="41">
        <f>'[2]побудинковий звіт'!CM323+'[1]побудинковий звіт'!CM323</f>
        <v>25963.31191287898</v>
      </c>
      <c r="CN323" s="55">
        <f t="shared" si="294"/>
        <v>7690.1087097711643</v>
      </c>
      <c r="CO323" s="41">
        <f t="shared" si="295"/>
        <v>51502.26691621299</v>
      </c>
      <c r="CP323" s="42">
        <f t="shared" si="296"/>
        <v>46355.698378509784</v>
      </c>
      <c r="CQ323" s="55">
        <f t="shared" si="297"/>
        <v>-5146.5685377032059</v>
      </c>
      <c r="CR323" s="76">
        <f t="shared" si="298"/>
        <v>509791.05545265658</v>
      </c>
      <c r="CS323" s="5">
        <f t="shared" si="299"/>
        <v>587378.6825455816</v>
      </c>
      <c r="CT323" s="55">
        <f t="shared" si="300"/>
        <v>77587.627092925017</v>
      </c>
      <c r="CU323" s="84">
        <f t="shared" si="301"/>
        <v>611749.2665431879</v>
      </c>
      <c r="CV323" s="68">
        <f t="shared" si="302"/>
        <v>704854.41905469785</v>
      </c>
      <c r="CW323" s="36">
        <f t="shared" si="303"/>
        <v>93105.15251150995</v>
      </c>
      <c r="CX323" s="41">
        <f>'[2]побудинковий звіт'!CX323+'[1]побудинковий звіт'!CX323</f>
        <v>13495.240421836776</v>
      </c>
      <c r="CY323" s="41">
        <f>'[2]побудинковий звіт'!CY323+'[1]побудинковий звіт'!CY323</f>
        <v>-79609.912089673322</v>
      </c>
      <c r="CZ323" s="55">
        <f t="shared" si="304"/>
        <v>-93105.152511510096</v>
      </c>
      <c r="DA323" s="254">
        <f>'[1]побудинковий звіт'!DA323</f>
        <v>-109055.39907482127</v>
      </c>
      <c r="DB323" s="2">
        <v>3</v>
      </c>
      <c r="DC323" s="702">
        <f>'[1]побудинковий звіт'!DC323</f>
        <v>139028.15</v>
      </c>
      <c r="DD323" s="702">
        <f>'[1]побудинковий звіт'!DD323</f>
        <v>0</v>
      </c>
      <c r="DE323" s="702">
        <f>'[1]побудинковий звіт'!DE323</f>
        <v>70613.51999999999</v>
      </c>
      <c r="DF323" s="702">
        <f>'[1]побудинковий звіт'!DF323</f>
        <v>0</v>
      </c>
      <c r="DG323" s="772">
        <v>-155325.77018735255</v>
      </c>
      <c r="DH323" s="746">
        <f t="shared" si="316"/>
        <v>7502934.0835802956</v>
      </c>
      <c r="DI323" s="769"/>
      <c r="DJ323" s="5"/>
      <c r="DK323" s="307">
        <f>VLOOKUP($A323,ціни!$A$4:$G$401,5)</f>
        <v>6.2296637976742595</v>
      </c>
      <c r="DL323" s="307">
        <f>VLOOKUP($A323,ціни!$A$4:$G$401,6)</f>
        <v>8.0908032830489489</v>
      </c>
      <c r="DM323" s="307">
        <f>VLOOKUP($A323,ціни!$A$4:$G$401,7)</f>
        <v>5.4072836861622067</v>
      </c>
      <c r="DN323" s="29">
        <f t="shared" ref="DN323:DN334" si="325">DK323*G323+(F323-G323)*DL323</f>
        <v>49037.669700479019</v>
      </c>
      <c r="DO323" s="29">
        <f t="shared" ref="DO323:DO334" si="326">DM323*H323</f>
        <v>0</v>
      </c>
      <c r="DP323" s="306">
        <f t="shared" si="317"/>
        <v>49037.669700479019</v>
      </c>
      <c r="DQ323" s="101"/>
      <c r="DR323" s="29">
        <f>VLOOKUP(A323,'ДЗ нас '!$A$1:$C$359,2)</f>
        <v>49037.58</v>
      </c>
      <c r="DS323" s="733"/>
      <c r="DT323" s="29">
        <f t="shared" si="318"/>
        <v>49037.58</v>
      </c>
      <c r="DU323" s="247">
        <f>VLOOKUP(A323,'новий кошторис с 01.06'!$A$4:$AI$399,35)*1.2</f>
        <v>49183.825833250208</v>
      </c>
      <c r="DV323" s="29">
        <f t="shared" si="319"/>
        <v>-146.24583325020649</v>
      </c>
      <c r="DW323" s="1016">
        <f>'[2]побудинковий звіт'!$DW$9+'[1]побудинковий звіт'!DW323</f>
        <v>1400.3999999999999</v>
      </c>
      <c r="DX323" s="101">
        <f>'[1]побудинковий звіт'!DX323</f>
        <v>0</v>
      </c>
      <c r="DY323" s="5">
        <f t="shared" si="320"/>
        <v>145938.45444994248</v>
      </c>
      <c r="DZ323" s="5">
        <f t="shared" si="321"/>
        <v>200307.20758678502</v>
      </c>
      <c r="EA323" s="737">
        <f t="shared" si="322"/>
        <v>70613.51999999999</v>
      </c>
      <c r="EC323" s="577">
        <f t="shared" si="323"/>
        <v>1309955.2680440359</v>
      </c>
      <c r="EE323" s="743">
        <v>147657</v>
      </c>
      <c r="EF323" s="723">
        <f t="shared" si="324"/>
        <v>-7668.7701873525511</v>
      </c>
      <c r="EH323" s="798">
        <v>-185748.50449745543</v>
      </c>
      <c r="EI323" s="101">
        <f>VLOOKUP(A323,'кошти 01.01.24'!$A$9:$D$352,4,FALSE)</f>
        <v>-202160.5515863311</v>
      </c>
    </row>
    <row r="324" spans="1:139" hidden="1" x14ac:dyDescent="0.3">
      <c r="A324" s="318">
        <v>150000900</v>
      </c>
      <c r="B324" s="43" t="s">
        <v>791</v>
      </c>
      <c r="C324" s="44" t="s">
        <v>425</v>
      </c>
      <c r="D324" s="44" t="s">
        <v>425</v>
      </c>
      <c r="E324" s="39">
        <f t="shared" si="262"/>
        <v>4358.51</v>
      </c>
      <c r="F324" s="205">
        <f>'[1]побудинковий звіт'!F324</f>
        <v>3895.01</v>
      </c>
      <c r="G324" s="29">
        <f>'[1]побудинковий звіт'!G324</f>
        <v>0</v>
      </c>
      <c r="H324" s="148">
        <f>'[1]побудинковий звіт'!H324</f>
        <v>463.5</v>
      </c>
      <c r="I324" s="41">
        <f>'[2]побудинковий звіт'!I324+'[1]побудинковий звіт'!I324</f>
        <v>11963.173669981205</v>
      </c>
      <c r="J324" s="41">
        <f>'[2]побудинковий звіт'!J324+'[1]побудинковий звіт'!J324</f>
        <v>12518.738439145993</v>
      </c>
      <c r="K324" s="55">
        <f t="shared" si="263"/>
        <v>555.56476916478823</v>
      </c>
      <c r="L324" s="41">
        <f>'[2]побудинковий звіт'!L324+'[1]побудинковий звіт'!L324</f>
        <v>1570.1426855795535</v>
      </c>
      <c r="M324" s="41">
        <f>'[2]побудинковий звіт'!M324+'[1]побудинковий звіт'!M324</f>
        <v>1696.2124339884904</v>
      </c>
      <c r="N324" s="55">
        <f t="shared" si="264"/>
        <v>126.0697484089369</v>
      </c>
      <c r="O324" s="41">
        <f>'[2]побудинковий звіт'!O324+'[1]побудинковий звіт'!O324</f>
        <v>5435.3402690662415</v>
      </c>
      <c r="P324" s="41">
        <f>'[2]побудинковий звіт'!P324+'[1]побудинковий звіт'!P324</f>
        <v>5450.9960727013058</v>
      </c>
      <c r="Q324" s="55">
        <f t="shared" si="265"/>
        <v>15.655803635064331</v>
      </c>
      <c r="R324" s="41">
        <f>'[2]побудинковий звіт'!R324+'[1]побудинковий звіт'!R324</f>
        <v>1383.9679144682345</v>
      </c>
      <c r="S324" s="41">
        <f>'[2]побудинковий звіт'!S324+'[1]побудинковий звіт'!S324</f>
        <v>1386.7346468086685</v>
      </c>
      <c r="T324" s="55">
        <f t="shared" si="266"/>
        <v>2.7667323404339186</v>
      </c>
      <c r="U324" s="41">
        <f>'[2]побудинковий звіт'!U324+'[1]побудинковий звіт'!U324</f>
        <v>813.3728045669252</v>
      </c>
      <c r="V324" s="41">
        <f>'[2]побудинковий звіт'!V324+'[1]побудинковий звіт'!V324</f>
        <v>563.00122743129475</v>
      </c>
      <c r="W324" s="55">
        <f t="shared" si="267"/>
        <v>-250.37157713563045</v>
      </c>
      <c r="X324" s="41">
        <f>'[2]побудинковий звіт'!X324+'[1]побудинковий звіт'!X324</f>
        <v>6041.8182286723622</v>
      </c>
      <c r="Y324" s="41">
        <f>'[2]побудинковий звіт'!Y324+'[1]побудинковий звіт'!Y324</f>
        <v>6133.5418243408094</v>
      </c>
      <c r="Z324" s="55">
        <f t="shared" si="268"/>
        <v>91.72359566844716</v>
      </c>
      <c r="AA324" s="41">
        <f>'[2]побудинковий звіт'!AA324+'[1]побудинковий звіт'!AA324</f>
        <v>0</v>
      </c>
      <c r="AB324" s="41">
        <f>'[2]побудинковий звіт'!AB324+'[1]побудинковий звіт'!AB324</f>
        <v>0</v>
      </c>
      <c r="AC324" s="55">
        <f t="shared" si="269"/>
        <v>0</v>
      </c>
      <c r="AD324" s="41">
        <f>'[2]побудинковий звіт'!AD324+'[1]побудинковий звіт'!AD324</f>
        <v>18901.699262497743</v>
      </c>
      <c r="AE324" s="41">
        <f>'[2]побудинковий звіт'!AE324+'[1]побудинковий звіт'!AE324</f>
        <v>18828.281106231585</v>
      </c>
      <c r="AF324" s="36">
        <f t="shared" si="270"/>
        <v>-73.418156266157894</v>
      </c>
      <c r="AG324" s="84">
        <f t="shared" si="271"/>
        <v>46109.514834832262</v>
      </c>
      <c r="AH324" s="56">
        <f t="shared" si="272"/>
        <v>46577.505750648146</v>
      </c>
      <c r="AI324" s="55">
        <f t="shared" si="273"/>
        <v>467.99091581588436</v>
      </c>
      <c r="AJ324" s="41">
        <f>'[2]побудинковий звіт'!AJ324+'[1]побудинковий звіт'!AJ324</f>
        <v>40027.509255878504</v>
      </c>
      <c r="AK324" s="41">
        <f>'[2]побудинковий звіт'!AK324+'[1]побудинковий звіт'!AK324</f>
        <v>35197.332714096505</v>
      </c>
      <c r="AL324" s="55">
        <f t="shared" si="274"/>
        <v>-4830.1765417819988</v>
      </c>
      <c r="AM324" s="41">
        <f>'[2]побудинковий звіт'!AM324+'[1]побудинковий звіт'!AM324</f>
        <v>302.92842272642292</v>
      </c>
      <c r="AN324" s="41">
        <f>'[2]побудинковий звіт'!AN324+'[1]побудинковий звіт'!AN324</f>
        <v>1578.4235201181791</v>
      </c>
      <c r="AO324" s="55">
        <f t="shared" si="275"/>
        <v>1275.4950973917562</v>
      </c>
      <c r="AP324" s="41">
        <f>'[2]побудинковий звіт'!AP324+'[1]побудинковий звіт'!AP324</f>
        <v>3169.9134172966533</v>
      </c>
      <c r="AQ324" s="41">
        <f>'[2]побудинковий звіт'!AQ324+'[1]побудинковий звіт'!AQ324</f>
        <v>0</v>
      </c>
      <c r="AR324" s="55">
        <f t="shared" si="276"/>
        <v>-3169.9134172966533</v>
      </c>
      <c r="AS324" s="41">
        <f>'[2]побудинковий звіт'!AS324+'[1]побудинковий звіт'!AS324</f>
        <v>72075.199071277835</v>
      </c>
      <c r="AT324" s="41">
        <f>'[2]побудинковий звіт'!AT324+'[1]побудинковий звіт'!AT324</f>
        <v>132247.96687475516</v>
      </c>
      <c r="AU324" s="57">
        <f t="shared" si="277"/>
        <v>60172.767803477327</v>
      </c>
      <c r="AV324" s="41">
        <f>'[2]побудинковий звіт'!AV324+'[1]побудинковий звіт'!AV324</f>
        <v>3657.1068206213504</v>
      </c>
      <c r="AW324" s="41">
        <f>'[2]побудинковий звіт'!AW324+'[1]побудинковий звіт'!AW324</f>
        <v>0</v>
      </c>
      <c r="AX324" s="58">
        <f t="shared" si="278"/>
        <v>-3657.1068206213504</v>
      </c>
      <c r="AY324" s="41">
        <f>'[2]побудинковий звіт'!AY324+'[1]побудинковий звіт'!AY324</f>
        <v>1022.6741622084498</v>
      </c>
      <c r="AZ324" s="41">
        <f>'[2]побудинковий звіт'!AZ324+'[1]побудинковий звіт'!AZ324</f>
        <v>743.34082157950525</v>
      </c>
      <c r="BA324" s="36">
        <f t="shared" si="279"/>
        <v>-279.3333406289446</v>
      </c>
      <c r="BB324" s="41">
        <f>'[2]побудинковий звіт'!BB324+'[1]побудинковий звіт'!BB324</f>
        <v>2138.6066298101236</v>
      </c>
      <c r="BC324" s="41">
        <f>'[2]побудинковий звіт'!BC324+'[1]побудинковий звіт'!BC324</f>
        <v>1054.5142952903445</v>
      </c>
      <c r="BD324" s="58">
        <f t="shared" si="280"/>
        <v>-1084.0923345197791</v>
      </c>
      <c r="BE324" s="41">
        <f>'[2]побудинковий звіт'!BE324+'[1]побудинковий звіт'!BE324</f>
        <v>696.57943563648496</v>
      </c>
      <c r="BF324" s="41">
        <f>'[2]побудинковий звіт'!BF324+'[1]побудинковий звіт'!BF324</f>
        <v>0</v>
      </c>
      <c r="BG324" s="38">
        <f t="shared" si="281"/>
        <v>-696.57943563648496</v>
      </c>
      <c r="BH324" s="41">
        <f>'[2]побудинковий звіт'!BH324+'[1]побудинковий звіт'!BH324</f>
        <v>424.34850048457781</v>
      </c>
      <c r="BI324" s="41">
        <f>'[2]побудинковий звіт'!BI324+'[1]побудинковий звіт'!BI324</f>
        <v>0</v>
      </c>
      <c r="BJ324" s="58">
        <f t="shared" si="282"/>
        <v>-424.34850048457781</v>
      </c>
      <c r="BK324" s="41">
        <f>'[2]побудинковий звіт'!BK324+'[1]побудинковий звіт'!BK324</f>
        <v>991.46888036258576</v>
      </c>
      <c r="BL324" s="41">
        <f>'[2]побудинковий звіт'!BL324+'[1]побудинковий звіт'!BL324</f>
        <v>8731.8752692706112</v>
      </c>
      <c r="BM324" s="38">
        <f t="shared" si="283"/>
        <v>7740.4063889080253</v>
      </c>
      <c r="BN324" s="41">
        <f>'[2]побудинковий звіт'!BN324+'[1]побудинковий звіт'!BN324</f>
        <v>0</v>
      </c>
      <c r="BO324" s="41">
        <f>'[2]побудинковий звіт'!BO324+'[1]побудинковий звіт'!BO324</f>
        <v>0</v>
      </c>
      <c r="BP324" s="58">
        <f t="shared" si="284"/>
        <v>0</v>
      </c>
      <c r="BQ324" s="84">
        <f t="shared" si="285"/>
        <v>8930.7844291235724</v>
      </c>
      <c r="BR324" s="42">
        <f t="shared" si="286"/>
        <v>10529.730386140462</v>
      </c>
      <c r="BS324" s="58">
        <f t="shared" si="287"/>
        <v>1598.9459570168892</v>
      </c>
      <c r="BT324" s="41">
        <f>'[2]побудинковий звіт'!BT324+'[1]побудинковий звіт'!BT324</f>
        <v>46349.910509382389</v>
      </c>
      <c r="BU324" s="41">
        <f>'[2]побудинковий звіт'!BU324+'[1]побудинковий звіт'!BU324</f>
        <v>55587.17893382466</v>
      </c>
      <c r="BV324" s="55">
        <f t="shared" si="288"/>
        <v>9237.2684244422708</v>
      </c>
      <c r="BW324" s="41">
        <f>'[2]побудинковий звіт'!BW324+'[1]побудинковий звіт'!BW324</f>
        <v>32825.355924284187</v>
      </c>
      <c r="BX324" s="41">
        <f>'[2]побудинковий звіт'!BX324+'[1]побудинковий звіт'!BX324</f>
        <v>41141.492506902541</v>
      </c>
      <c r="BY324" s="55">
        <f t="shared" si="289"/>
        <v>8316.1365826183537</v>
      </c>
      <c r="BZ324" s="41">
        <f>'[2]побудинковий звіт'!BZ324+'[1]побудинковий звіт'!BZ324</f>
        <v>1939.9966155880913</v>
      </c>
      <c r="CA324" s="41">
        <f>'[2]побудинковий звіт'!CA324+'[1]побудинковий звіт'!CA324</f>
        <v>6228.8006956045119</v>
      </c>
      <c r="CB324" s="55">
        <f t="shared" si="290"/>
        <v>4288.8040800164208</v>
      </c>
      <c r="CC324" s="41">
        <f>'[2]побудинковий звіт'!CC324+'[1]побудинковий звіт'!CC324</f>
        <v>1200.0501724733704</v>
      </c>
      <c r="CD324" s="41">
        <f>'[2]побудинковий звіт'!CD324+'[1]побудинковий звіт'!CD324</f>
        <v>1204.1194087502276</v>
      </c>
      <c r="CE324" s="55">
        <f t="shared" si="291"/>
        <v>4.0692362768572821</v>
      </c>
      <c r="CF324" s="41">
        <f>'[2]побудинковий звіт'!CF324+'[1]побудинковий звіт'!CF324</f>
        <v>148.67983788054602</v>
      </c>
      <c r="CG324" s="41">
        <f>'[2]побудинковий звіт'!CG324+'[1]побудинковий звіт'!CG324</f>
        <v>0</v>
      </c>
      <c r="CH324" s="55">
        <f t="shared" si="292"/>
        <v>-148.67983788054602</v>
      </c>
      <c r="CI324" s="41">
        <f>'[2]побудинковий звіт'!CI324+'[1]побудинковий звіт'!CI324</f>
        <v>15228.882731687092</v>
      </c>
      <c r="CJ324" s="41">
        <f>'[2]побудинковий звіт'!CJ324+'[1]побудинковий звіт'!CJ324</f>
        <v>16835.028097804625</v>
      </c>
      <c r="CK324" s="55">
        <f t="shared" si="293"/>
        <v>1606.1453661175328</v>
      </c>
      <c r="CL324" s="41">
        <f>'[2]побудинковий звіт'!CL324+'[1]побудинковий звіт'!CL324</f>
        <v>23089.819649388111</v>
      </c>
      <c r="CM324" s="41">
        <f>'[2]побудинковий звіт'!CM324+'[1]побудинковий звіт'!CM324</f>
        <v>25252.649869014804</v>
      </c>
      <c r="CN324" s="55">
        <f t="shared" si="294"/>
        <v>2162.8302196266923</v>
      </c>
      <c r="CO324" s="41">
        <f t="shared" si="295"/>
        <v>38318.7023810752</v>
      </c>
      <c r="CP324" s="42">
        <f t="shared" si="296"/>
        <v>42087.677966819429</v>
      </c>
      <c r="CQ324" s="55">
        <f t="shared" si="297"/>
        <v>3768.9755857442287</v>
      </c>
      <c r="CR324" s="76">
        <f t="shared" si="298"/>
        <v>291398.54487181903</v>
      </c>
      <c r="CS324" s="5">
        <f t="shared" si="299"/>
        <v>372380.22875765985</v>
      </c>
      <c r="CT324" s="55">
        <f t="shared" si="300"/>
        <v>80981.683885840815</v>
      </c>
      <c r="CU324" s="84">
        <f t="shared" si="301"/>
        <v>349678.25384618284</v>
      </c>
      <c r="CV324" s="68">
        <f t="shared" si="302"/>
        <v>446856.2745091918</v>
      </c>
      <c r="CW324" s="36">
        <f t="shared" si="303"/>
        <v>97178.020663008967</v>
      </c>
      <c r="CX324" s="41">
        <f>'[2]побудинковий звіт'!CX324+'[1]побудинковий звіт'!CX324</f>
        <v>7796.1644755784382</v>
      </c>
      <c r="CY324" s="41">
        <f>'[2]побудинковий звіт'!CY324+'[1]побудинковий звіт'!CY324</f>
        <v>-89381.856187430414</v>
      </c>
      <c r="CZ324" s="55">
        <f t="shared" si="304"/>
        <v>-97178.020663008851</v>
      </c>
      <c r="DA324" s="254">
        <f>'[1]побудинковий звіт'!DA324</f>
        <v>59061.555412408197</v>
      </c>
      <c r="DB324" s="2">
        <v>3</v>
      </c>
      <c r="DC324" s="702">
        <f>'[1]побудинковий звіт'!DC324</f>
        <v>75947.98</v>
      </c>
      <c r="DD324" s="702">
        <f>'[1]побудинковий звіт'!DD324</f>
        <v>163.03</v>
      </c>
      <c r="DE324" s="702">
        <f>'[1]побудинковий звіт'!DE324</f>
        <v>39157.14</v>
      </c>
      <c r="DF324" s="702">
        <f>'[1]побудинковий звіт'!DF324</f>
        <v>-2585.6099999999997</v>
      </c>
      <c r="DG324" s="772">
        <v>77.014510803855956</v>
      </c>
      <c r="DH324" s="746">
        <f t="shared" si="316"/>
        <v>4289693.0198611356</v>
      </c>
      <c r="DI324" s="769"/>
      <c r="DJ324" s="5"/>
      <c r="DK324" s="307">
        <f>VLOOKUP($A324,ціни!$A$4:$G$401,5)</f>
        <v>5.1806639281683786</v>
      </c>
      <c r="DL324" s="307">
        <f>VLOOKUP($A324,ціни!$A$4:$G$401,6)</f>
        <v>6.7321105722838386</v>
      </c>
      <c r="DM324" s="307">
        <f>VLOOKUP($A324,ціни!$A$4:$G$401,7)</f>
        <v>4.364488486649468</v>
      </c>
      <c r="DN324" s="29">
        <f t="shared" si="325"/>
        <v>26221.638000151277</v>
      </c>
      <c r="DO324" s="29">
        <f t="shared" si="326"/>
        <v>2022.9404135620284</v>
      </c>
      <c r="DP324" s="306">
        <f t="shared" si="317"/>
        <v>28244.578413713305</v>
      </c>
      <c r="DQ324" s="101"/>
      <c r="DR324" s="29">
        <f>VLOOKUP(A324,'ДЗ нас '!$A$1:$C$359,2)</f>
        <v>26221.599999999999</v>
      </c>
      <c r="DS324" s="733">
        <f>VLOOKUP(A324,'ДЗ нежит'!$A$1:$D$153,4,0)</f>
        <v>2022.95</v>
      </c>
      <c r="DT324" s="29">
        <f t="shared" si="318"/>
        <v>28244.55</v>
      </c>
      <c r="DU324" s="247">
        <f>VLOOKUP(A324,'новий кошторис с 01.06'!$A$4:$AI$399,35)*1.2</f>
        <v>28379.286799927642</v>
      </c>
      <c r="DV324" s="29">
        <f t="shared" si="319"/>
        <v>-134.73679992764301</v>
      </c>
      <c r="DW324" s="1016">
        <f>'[2]побудинковий звіт'!$DW$9+'[1]побудинковий звіт'!DW324</f>
        <v>1138.5</v>
      </c>
      <c r="DX324" s="101">
        <f>'[1]побудинковий звіт'!DX324</f>
        <v>0</v>
      </c>
      <c r="DY324" s="5">
        <f t="shared" si="320"/>
        <v>97207.180200481685</v>
      </c>
      <c r="DZ324" s="5">
        <f t="shared" si="321"/>
        <v>171333.23671307476</v>
      </c>
      <c r="EA324" s="737">
        <f t="shared" si="322"/>
        <v>36571.53</v>
      </c>
      <c r="EC324" s="577">
        <f t="shared" si="323"/>
        <v>864902.38885533402</v>
      </c>
      <c r="EE324" s="743">
        <v>-2650</v>
      </c>
      <c r="EF324" s="723">
        <f t="shared" si="324"/>
        <v>-2572.985489196144</v>
      </c>
      <c r="EH324" s="798">
        <v>22203.496364204853</v>
      </c>
      <c r="EI324" s="101">
        <f>VLOOKUP(A324,'кошти 01.01.24'!$A$9:$D$352,4,FALSE)</f>
        <v>-38116.465250600711</v>
      </c>
    </row>
    <row r="325" spans="1:139" hidden="1" x14ac:dyDescent="0.3">
      <c r="A325" s="318">
        <v>150000901</v>
      </c>
      <c r="B325" s="43" t="s">
        <v>792</v>
      </c>
      <c r="C325" s="44" t="s">
        <v>424</v>
      </c>
      <c r="D325" s="44" t="s">
        <v>424</v>
      </c>
      <c r="E325" s="39">
        <f t="shared" si="262"/>
        <v>10089.4</v>
      </c>
      <c r="F325" s="205">
        <f>'[1]побудинковий звіт'!F325</f>
        <v>8353.4</v>
      </c>
      <c r="G325" s="29">
        <f>'[1]побудинковий звіт'!G325</f>
        <v>0</v>
      </c>
      <c r="H325" s="148">
        <f>'[1]побудинковий звіт'!H325</f>
        <v>1736</v>
      </c>
      <c r="I325" s="41">
        <f>'[2]побудинковий звіт'!I325+'[1]побудинковий звіт'!I325</f>
        <v>36307.572844451621</v>
      </c>
      <c r="J325" s="41">
        <f>'[2]побудинковий звіт'!J325+'[1]побудинковий звіт'!J325</f>
        <v>37743.803680172736</v>
      </c>
      <c r="K325" s="55">
        <f t="shared" si="263"/>
        <v>1436.230835721115</v>
      </c>
      <c r="L325" s="41">
        <f>'[2]побудинковий звіт'!L325+'[1]побудинковий звіт'!L325</f>
        <v>6226.6346272494347</v>
      </c>
      <c r="M325" s="41">
        <f>'[2]побудинковий звіт'!M325+'[1]побудинковий звіт'!M325</f>
        <v>6745.6668127796602</v>
      </c>
      <c r="N325" s="55">
        <f t="shared" si="264"/>
        <v>519.03218553022543</v>
      </c>
      <c r="O325" s="41">
        <f>'[2]побудинковий звіт'!O325+'[1]побудинковий звіт'!O325</f>
        <v>12350.891509650286</v>
      </c>
      <c r="P325" s="41">
        <f>'[2]побудинковий звіт'!P325+'[1]побудинковий звіт'!P325</f>
        <v>12382.708957526622</v>
      </c>
      <c r="Q325" s="55">
        <f t="shared" si="265"/>
        <v>31.817447876335791</v>
      </c>
      <c r="R325" s="41">
        <f>'[2]побудинковий звіт'!R325+'[1]побудинковий звіт'!R325</f>
        <v>3050.2894926056633</v>
      </c>
      <c r="S325" s="41">
        <f>'[2]побудинковий звіт'!S325+'[1]побудинковий звіт'!S325</f>
        <v>3055.4636764270144</v>
      </c>
      <c r="T325" s="55">
        <f t="shared" si="266"/>
        <v>5.1741838213511073</v>
      </c>
      <c r="U325" s="41">
        <f>'[2]побудинковий звіт'!U325+'[1]побудинковий звіт'!U325</f>
        <v>1702.0896375154441</v>
      </c>
      <c r="V325" s="41">
        <f>'[2]побудинковий звіт'!V325+'[1]побудинковий звіт'!V325</f>
        <v>1177.8136991499264</v>
      </c>
      <c r="W325" s="55">
        <f t="shared" si="267"/>
        <v>-524.27593836551773</v>
      </c>
      <c r="X325" s="41">
        <f>'[2]побудинковий звіт'!X325+'[1]побудинковий звіт'!X325</f>
        <v>14044.525213550003</v>
      </c>
      <c r="Y325" s="41">
        <f>'[2]побудинковий звіт'!Y325+'[1]побудинковий звіт'!Y325</f>
        <v>14619.904356014838</v>
      </c>
      <c r="Z325" s="55">
        <f t="shared" si="268"/>
        <v>575.37914246483524</v>
      </c>
      <c r="AA325" s="41">
        <f>'[2]побудинковий звіт'!AA325+'[1]побудинковий звіт'!AA325</f>
        <v>0</v>
      </c>
      <c r="AB325" s="41">
        <f>'[2]побудинковий звіт'!AB325+'[1]побудинковий звіт'!AB325</f>
        <v>0</v>
      </c>
      <c r="AC325" s="55">
        <f t="shared" si="269"/>
        <v>0</v>
      </c>
      <c r="AD325" s="41">
        <f>'[2]побудинковий звіт'!AD325+'[1]побудинковий звіт'!AD325</f>
        <v>43279.354579335355</v>
      </c>
      <c r="AE325" s="41">
        <f>'[2]побудинковий звіт'!AE325+'[1]побудинковий звіт'!AE325</f>
        <v>43883.084091632612</v>
      </c>
      <c r="AF325" s="36">
        <f t="shared" si="270"/>
        <v>603.72951229725732</v>
      </c>
      <c r="AG325" s="84">
        <f t="shared" si="271"/>
        <v>116961.35790435781</v>
      </c>
      <c r="AH325" s="56">
        <f t="shared" si="272"/>
        <v>119608.4452737034</v>
      </c>
      <c r="AI325" s="55">
        <f t="shared" si="273"/>
        <v>2647.0873693455942</v>
      </c>
      <c r="AJ325" s="41">
        <f>'[2]побудинковий звіт'!AJ325+'[1]побудинковий звіт'!AJ325</f>
        <v>86921.57387991072</v>
      </c>
      <c r="AK325" s="41">
        <f>'[2]побудинковий звіт'!AK325+'[1]побудинковий звіт'!AK325</f>
        <v>82953.821658095592</v>
      </c>
      <c r="AL325" s="55">
        <f t="shared" si="274"/>
        <v>-3967.752221815128</v>
      </c>
      <c r="AM325" s="41">
        <f>'[2]побудинковий звіт'!AM325+'[1]побудинковий звіт'!AM325</f>
        <v>0</v>
      </c>
      <c r="AN325" s="41">
        <f>'[2]побудинковий звіт'!AN325+'[1]побудинковий звіт'!AN325</f>
        <v>0</v>
      </c>
      <c r="AO325" s="55">
        <f t="shared" si="275"/>
        <v>0</v>
      </c>
      <c r="AP325" s="41">
        <f>'[2]побудинковий звіт'!AP325+'[1]побудинковий звіт'!AP325</f>
        <v>6537.9464231743459</v>
      </c>
      <c r="AQ325" s="41">
        <f>'[2]побудинковий звіт'!AQ325+'[1]побудинковий звіт'!AQ325</f>
        <v>5647.8731513373723</v>
      </c>
      <c r="AR325" s="55">
        <f t="shared" si="276"/>
        <v>-890.07327183697362</v>
      </c>
      <c r="AS325" s="41">
        <f>'[2]побудинковий звіт'!AS325+'[1]побудинковий звіт'!AS325</f>
        <v>162790.31848447426</v>
      </c>
      <c r="AT325" s="41">
        <f>'[2]побудинковий звіт'!AT325+'[1]побудинковий звіт'!AT325</f>
        <v>140209.11311483372</v>
      </c>
      <c r="AU325" s="57">
        <f t="shared" si="277"/>
        <v>-22581.205369640549</v>
      </c>
      <c r="AV325" s="41">
        <f>'[2]побудинковий звіт'!AV325+'[1]побудинковий звіт'!AV325</f>
        <v>3935.8686048890249</v>
      </c>
      <c r="AW325" s="41">
        <f>'[2]побудинковий звіт'!AW325+'[1]побудинковий звіт'!AW325</f>
        <v>827.64827069082219</v>
      </c>
      <c r="AX325" s="58">
        <f t="shared" si="278"/>
        <v>-3108.2203341982026</v>
      </c>
      <c r="AY325" s="41">
        <f>'[2]побудинковий звіт'!AY325+'[1]побудинковий звіт'!AY325</f>
        <v>4277.2157242967023</v>
      </c>
      <c r="AZ325" s="41">
        <f>'[2]побудинковий звіт'!AZ325+'[1]побудинковий звіт'!AZ325</f>
        <v>3128.7390940104087</v>
      </c>
      <c r="BA325" s="36">
        <f t="shared" si="279"/>
        <v>-1148.4766302862936</v>
      </c>
      <c r="BB325" s="41">
        <f>'[2]побудинковий звіт'!BB325+'[1]побудинковий звіт'!BB325</f>
        <v>4905.8503133298536</v>
      </c>
      <c r="BC325" s="41">
        <f>'[2]побудинковий звіт'!BC325+'[1]побудинковий звіт'!BC325</f>
        <v>0</v>
      </c>
      <c r="BD325" s="58">
        <f t="shared" si="280"/>
        <v>-4905.8503133298536</v>
      </c>
      <c r="BE325" s="41">
        <f>'[2]побудинковий звіт'!BE325+'[1]побудинковий звіт'!BE325</f>
        <v>1645.1220327565441</v>
      </c>
      <c r="BF325" s="41">
        <f>'[2]побудинковий звіт'!BF325+'[1]побудинковий звіт'!BF325</f>
        <v>765</v>
      </c>
      <c r="BG325" s="38">
        <f t="shared" si="281"/>
        <v>-880.12203275654406</v>
      </c>
      <c r="BH325" s="41">
        <f>'[2]побудинковий звіт'!BH325+'[1]побудинковий звіт'!BH325</f>
        <v>888.0017750305442</v>
      </c>
      <c r="BI325" s="41">
        <f>'[2]побудинковий звіт'!BI325+'[1]побудинковий звіт'!BI325</f>
        <v>5019.5085951419278</v>
      </c>
      <c r="BJ325" s="58">
        <f t="shared" si="282"/>
        <v>4131.5068201113836</v>
      </c>
      <c r="BK325" s="41">
        <f>'[2]побудинковий звіт'!BK325+'[1]побудинковий звіт'!BK325</f>
        <v>1741.2086156702519</v>
      </c>
      <c r="BL325" s="41">
        <f>'[2]побудинковий звіт'!BL325+'[1]побудинковий звіт'!BL325</f>
        <v>591.35038148288879</v>
      </c>
      <c r="BM325" s="38">
        <f t="shared" si="283"/>
        <v>-1149.858234187363</v>
      </c>
      <c r="BN325" s="41">
        <f>'[2]побудинковий звіт'!BN325+'[1]побудинковий звіт'!BN325</f>
        <v>225.87025420572701</v>
      </c>
      <c r="BO325" s="41">
        <f>'[2]побудинковий звіт'!BO325+'[1]побудинковий звіт'!BO325</f>
        <v>6356.8062330399998</v>
      </c>
      <c r="BP325" s="58">
        <f t="shared" si="284"/>
        <v>6130.9359788342726</v>
      </c>
      <c r="BQ325" s="84">
        <f t="shared" si="285"/>
        <v>17619.137320178648</v>
      </c>
      <c r="BR325" s="42">
        <f t="shared" si="286"/>
        <v>16689.052574366047</v>
      </c>
      <c r="BS325" s="58">
        <f t="shared" si="287"/>
        <v>-930.08474581260089</v>
      </c>
      <c r="BT325" s="41">
        <f>'[2]побудинковий звіт'!BT325+'[1]побудинковий звіт'!BT325</f>
        <v>124508.4049722248</v>
      </c>
      <c r="BU325" s="41">
        <f>'[2]побудинковий звіт'!BU325+'[1]побудинковий звіт'!BU325</f>
        <v>154286.38673158406</v>
      </c>
      <c r="BV325" s="55">
        <f t="shared" si="288"/>
        <v>29777.98175935926</v>
      </c>
      <c r="BW325" s="41">
        <f>'[2]побудинковий звіт'!BW325+'[1]побудинковий звіт'!BW325</f>
        <v>85594.416159737448</v>
      </c>
      <c r="BX325" s="41">
        <f>'[2]побудинковий звіт'!BX325+'[1]побудинковий звіт'!BX325</f>
        <v>109444.27150367061</v>
      </c>
      <c r="BY325" s="55">
        <f t="shared" si="289"/>
        <v>23849.855343933159</v>
      </c>
      <c r="BZ325" s="41">
        <f>'[2]побудинковий звіт'!BZ325+'[1]побудинковий звіт'!BZ325</f>
        <v>5223.0678111987081</v>
      </c>
      <c r="CA325" s="41">
        <f>'[2]побудинковий звіт'!CA325+'[1]побудинковий звіт'!CA325</f>
        <v>15414.49390141326</v>
      </c>
      <c r="CB325" s="55">
        <f t="shared" si="290"/>
        <v>10191.426090214551</v>
      </c>
      <c r="CC325" s="41">
        <f>'[2]побудинковий звіт'!CC325+'[1]побудинковий звіт'!CC325</f>
        <v>2500.2572041251797</v>
      </c>
      <c r="CD325" s="41">
        <f>'[2]побудинковий звіт'!CD325+'[1]побудинковий звіт'!CD325</f>
        <v>2508.7352974165046</v>
      </c>
      <c r="CE325" s="55">
        <f t="shared" si="291"/>
        <v>8.4780932913249671</v>
      </c>
      <c r="CF325" s="41">
        <f>'[2]побудинковий звіт'!CF325+'[1]побудинковий звіт'!CF325</f>
        <v>309.76857826104595</v>
      </c>
      <c r="CG325" s="41">
        <f>'[2]побудинковий звіт'!CG325+'[1]побудинковий звіт'!CG325</f>
        <v>0</v>
      </c>
      <c r="CH325" s="55">
        <f t="shared" si="292"/>
        <v>-309.76857826104595</v>
      </c>
      <c r="CI325" s="41">
        <f>'[2]побудинковий звіт'!CI325+'[1]побудинковий звіт'!CI325</f>
        <v>20370.756385048138</v>
      </c>
      <c r="CJ325" s="41">
        <f>'[2]побудинковий звіт'!CJ325+'[1]побудинковий звіт'!CJ325</f>
        <v>16851.766927121647</v>
      </c>
      <c r="CK325" s="55">
        <f t="shared" si="293"/>
        <v>-3518.989457926491</v>
      </c>
      <c r="CL325" s="41">
        <f>'[2]побудинковий звіт'!CL325+'[1]побудинковий звіт'!CL325</f>
        <v>21246.129138964465</v>
      </c>
      <c r="CM325" s="41">
        <f>'[2]побудинковий звіт'!CM325+'[1]побудинковий звіт'!CM325</f>
        <v>32383.915685533007</v>
      </c>
      <c r="CN325" s="55">
        <f t="shared" si="294"/>
        <v>11137.786546568543</v>
      </c>
      <c r="CO325" s="41">
        <f t="shared" si="295"/>
        <v>41616.885524012599</v>
      </c>
      <c r="CP325" s="42">
        <f t="shared" si="296"/>
        <v>49235.682612654651</v>
      </c>
      <c r="CQ325" s="55">
        <f t="shared" si="297"/>
        <v>7618.7970886420517</v>
      </c>
      <c r="CR325" s="76">
        <f t="shared" si="298"/>
        <v>650583.13426165562</v>
      </c>
      <c r="CS325" s="5">
        <f t="shared" si="299"/>
        <v>695997.87581907515</v>
      </c>
      <c r="CT325" s="55">
        <f t="shared" si="300"/>
        <v>45414.741557419533</v>
      </c>
      <c r="CU325" s="84">
        <f t="shared" si="301"/>
        <v>780699.76111398672</v>
      </c>
      <c r="CV325" s="68">
        <f t="shared" si="302"/>
        <v>835197.45098289021</v>
      </c>
      <c r="CW325" s="36">
        <f t="shared" si="303"/>
        <v>54497.689868903486</v>
      </c>
      <c r="CX325" s="41">
        <f>'[2]побудинковий звіт'!CX325+'[1]побудинковий звіт'!CX325</f>
        <v>9676.8902372374578</v>
      </c>
      <c r="CY325" s="41">
        <f>'[2]побудинковий звіт'!CY325+'[1]побудинковий звіт'!CY325</f>
        <v>-44820.799631666021</v>
      </c>
      <c r="CZ325" s="55">
        <f t="shared" si="304"/>
        <v>-54497.689868903479</v>
      </c>
      <c r="DA325" s="254">
        <f>'[1]побудинковий звіт'!DA325</f>
        <v>91014.39046975461</v>
      </c>
      <c r="DB325" s="2">
        <v>3</v>
      </c>
      <c r="DC325" s="702">
        <f>'[1]побудинковий звіт'!DC325</f>
        <v>223220.8</v>
      </c>
      <c r="DD325" s="702">
        <f>'[1]побудинковий звіт'!DD325</f>
        <v>164480.88</v>
      </c>
      <c r="DE325" s="702">
        <f>'[1]побудинковий звіт'!DE325</f>
        <v>146449.29999999999</v>
      </c>
      <c r="DF325" s="702">
        <f>'[1]побудинковий звіт'!DF325</f>
        <v>155307.20000000001</v>
      </c>
      <c r="DG325" s="772">
        <v>56523.941999984439</v>
      </c>
      <c r="DH325" s="746">
        <f t="shared" si="316"/>
        <v>9484519.81621469</v>
      </c>
      <c r="DI325" s="769"/>
      <c r="DJ325" s="5"/>
      <c r="DK325" s="307">
        <f>VLOOKUP($A325,ціни!$A$4:$G$401,5)</f>
        <v>5.374989922114926</v>
      </c>
      <c r="DL325" s="307">
        <f>VLOOKUP($A325,ціни!$A$4:$G$401,6)</f>
        <v>6.5807678963577816</v>
      </c>
      <c r="DM325" s="307">
        <f>VLOOKUP($A325,ціни!$A$4:$G$401,7)</f>
        <v>4.4043739097732315</v>
      </c>
      <c r="DN325" s="29">
        <f t="shared" si="325"/>
        <v>54971.78654543509</v>
      </c>
      <c r="DO325" s="29">
        <f t="shared" si="326"/>
        <v>7645.9931073663302</v>
      </c>
      <c r="DP325" s="306">
        <f t="shared" si="317"/>
        <v>62617.779652801422</v>
      </c>
      <c r="DQ325" s="101"/>
      <c r="DR325" s="29">
        <f>VLOOKUP(A325,'ДЗ нас '!$A$1:$C$359,2)</f>
        <v>54972.04</v>
      </c>
      <c r="DS325" s="733">
        <f>VLOOKUP(A325,'ДЗ нежит'!$A$1:$D$153,4,0)</f>
        <v>6916.3899999999994</v>
      </c>
      <c r="DT325" s="29">
        <f t="shared" si="318"/>
        <v>61888.43</v>
      </c>
      <c r="DU325" s="247">
        <f>VLOOKUP(A325,'новий кошторис с 01.06'!$A$4:$AI$399,35)*1.2</f>
        <v>62083.440764108673</v>
      </c>
      <c r="DV325" s="29">
        <f t="shared" si="319"/>
        <v>-195.01076410867245</v>
      </c>
      <c r="DW325" s="1016">
        <f>'[2]побудинковий звіт'!$DW$9+'[1]побудинковий звіт'!DW325</f>
        <v>1375.1999999999998</v>
      </c>
      <c r="DX325" s="101">
        <f>'[1]побудинковий звіт'!DX325</f>
        <v>0</v>
      </c>
      <c r="DY325" s="5">
        <f t="shared" si="320"/>
        <v>216491.34696558348</v>
      </c>
      <c r="DZ325" s="5">
        <f t="shared" si="321"/>
        <v>188277.79882703969</v>
      </c>
      <c r="EA325" s="737">
        <f t="shared" si="322"/>
        <v>301756.5</v>
      </c>
      <c r="EC325" s="577">
        <f t="shared" si="323"/>
        <v>1953483.8218136912</v>
      </c>
      <c r="EE325" s="743">
        <v>-111974</v>
      </c>
      <c r="EF325" s="723">
        <f t="shared" si="324"/>
        <v>-55450.058000015561</v>
      </c>
      <c r="EH325" s="798">
        <v>130074.86268615143</v>
      </c>
      <c r="EI325" s="101">
        <f>VLOOKUP(A325,'кошти 01.01.24'!$A$9:$D$352,4,FALSE)</f>
        <v>36516.700600851029</v>
      </c>
    </row>
    <row r="326" spans="1:139" hidden="1" x14ac:dyDescent="0.3">
      <c r="A326" s="318">
        <v>150000902</v>
      </c>
      <c r="B326" s="43" t="s">
        <v>793</v>
      </c>
      <c r="C326" s="44" t="s">
        <v>403</v>
      </c>
      <c r="D326" s="44" t="s">
        <v>403</v>
      </c>
      <c r="E326" s="39">
        <f t="shared" si="262"/>
        <v>3581.3</v>
      </c>
      <c r="F326" s="205">
        <f>'[1]побудинковий звіт'!F326</f>
        <v>3581.3</v>
      </c>
      <c r="G326" s="29">
        <f>'[1]побудинковий звіт'!G326</f>
        <v>455.7</v>
      </c>
      <c r="H326" s="148">
        <f>'[1]побудинковий звіт'!H326</f>
        <v>0</v>
      </c>
      <c r="I326" s="41">
        <f>'[2]побудинковий звіт'!I326+'[1]побудинковий звіт'!I326</f>
        <v>11345.609456161696</v>
      </c>
      <c r="J326" s="41">
        <f>'[2]побудинковий звіт'!J326+'[1]побудинковий звіт'!J326</f>
        <v>11823.153237051298</v>
      </c>
      <c r="K326" s="55">
        <f t="shared" si="263"/>
        <v>477.5437808896022</v>
      </c>
      <c r="L326" s="41">
        <f>'[2]побудинковий звіт'!L326+'[1]побудинковий звіт'!L326</f>
        <v>2813.1623025478862</v>
      </c>
      <c r="M326" s="41">
        <f>'[2]побудинковий звіт'!M326+'[1]побудинковий звіт'!M326</f>
        <v>3073.0412392906383</v>
      </c>
      <c r="N326" s="55">
        <f t="shared" si="264"/>
        <v>259.8789367427521</v>
      </c>
      <c r="O326" s="41">
        <f>'[2]побудинковий звіт'!O326+'[1]побудинковий звіт'!O326</f>
        <v>4907.3875092272865</v>
      </c>
      <c r="P326" s="41">
        <f>'[2]побудинковий звіт'!P326+'[1]побудинковий звіт'!P326</f>
        <v>4921.4721149760908</v>
      </c>
      <c r="Q326" s="55">
        <f t="shared" si="265"/>
        <v>14.084605748804279</v>
      </c>
      <c r="R326" s="41">
        <f>'[2]побудинковий звіт'!R326+'[1]побудинковий звіт'!R326</f>
        <v>1209.8141628473093</v>
      </c>
      <c r="S326" s="41">
        <f>'[2]побудинковий звіт'!S326+'[1]побудинковий звіт'!S326</f>
        <v>1211.9801714182204</v>
      </c>
      <c r="T326" s="55">
        <f t="shared" si="266"/>
        <v>2.1660085709111172</v>
      </c>
      <c r="U326" s="41">
        <f>'[2]побудинковий звіт'!U326+'[1]побудинковий звіт'!U326</f>
        <v>799.99352559665294</v>
      </c>
      <c r="V326" s="41">
        <f>'[2]побудинковий звіт'!V326+'[1]побудинковий звіт'!V326</f>
        <v>588.32798723843462</v>
      </c>
      <c r="W326" s="55">
        <f t="shared" si="267"/>
        <v>-211.66553835821833</v>
      </c>
      <c r="X326" s="41">
        <f>'[2]побудинковий звіт'!X326+'[1]побудинковий звіт'!X326</f>
        <v>8981.5029640743542</v>
      </c>
      <c r="Y326" s="41">
        <f>'[2]побудинковий звіт'!Y326+'[1]побудинковий звіт'!Y326</f>
        <v>9854.1728778032084</v>
      </c>
      <c r="Z326" s="55">
        <f t="shared" si="268"/>
        <v>872.66991372885423</v>
      </c>
      <c r="AA326" s="41">
        <f>'[2]побудинковий звіт'!AA326+'[1]побудинковий звіт'!AA326</f>
        <v>0</v>
      </c>
      <c r="AB326" s="41">
        <f>'[2]побудинковий звіт'!AB326+'[1]побудинковий звіт'!AB326</f>
        <v>0</v>
      </c>
      <c r="AC326" s="55">
        <f t="shared" si="269"/>
        <v>0</v>
      </c>
      <c r="AD326" s="41">
        <f>'[2]побудинковий звіт'!AD326+'[1]побудинковий звіт'!AD326</f>
        <v>15533.216052928063</v>
      </c>
      <c r="AE326" s="41">
        <f>'[2]побудинковий звіт'!AE326+'[1]побудинковий звіт'!AE326</f>
        <v>15472.803176317329</v>
      </c>
      <c r="AF326" s="36">
        <f t="shared" si="270"/>
        <v>-60.412876610733292</v>
      </c>
      <c r="AG326" s="84">
        <f t="shared" si="271"/>
        <v>45590.685973383253</v>
      </c>
      <c r="AH326" s="56">
        <f t="shared" si="272"/>
        <v>46944.950804095221</v>
      </c>
      <c r="AI326" s="55">
        <f t="shared" si="273"/>
        <v>1354.2648307119671</v>
      </c>
      <c r="AJ326" s="41">
        <f>'[2]побудинковий звіт'!AJ326+'[1]побудинковий звіт'!AJ326</f>
        <v>36098.923907277866</v>
      </c>
      <c r="AK326" s="41">
        <f>'[2]побудинковий звіт'!AK326+'[1]побудинковий звіт'!AK326</f>
        <v>34451.150572021201</v>
      </c>
      <c r="AL326" s="55">
        <f t="shared" si="274"/>
        <v>-1647.7733352566647</v>
      </c>
      <c r="AM326" s="41">
        <f>'[2]побудинковий звіт'!AM326+'[1]побудинковий звіт'!AM326</f>
        <v>302.92842272642292</v>
      </c>
      <c r="AN326" s="41">
        <f>'[2]побудинковий звіт'!AN326+'[1]побудинковий звіт'!AN326</f>
        <v>1445.5272648862242</v>
      </c>
      <c r="AO326" s="55">
        <f t="shared" si="275"/>
        <v>1142.5988421598013</v>
      </c>
      <c r="AP326" s="41">
        <f>'[2]побудинковий звіт'!AP326+'[1]побудинковий звіт'!AP326</f>
        <v>3169.9134172966533</v>
      </c>
      <c r="AQ326" s="41">
        <f>'[2]побудинковий звіт'!AQ326+'[1]побудинковий звіт'!AQ326</f>
        <v>2920.3433282743258</v>
      </c>
      <c r="AR326" s="55">
        <f t="shared" si="276"/>
        <v>-249.57008902232747</v>
      </c>
      <c r="AS326" s="41">
        <f>'[2]побудинковий звіт'!AS326+'[1]побудинковий звіт'!AS326</f>
        <v>91571.783813514267</v>
      </c>
      <c r="AT326" s="41">
        <f>'[2]побудинковий звіт'!AT326+'[1]побудинковий звіт'!AT326</f>
        <v>13684.106784831067</v>
      </c>
      <c r="AU326" s="57">
        <f t="shared" si="277"/>
        <v>-77887.677028683203</v>
      </c>
      <c r="AV326" s="41">
        <f>'[2]побудинковий звіт'!AV326+'[1]побудинковий звіт'!AV326</f>
        <v>1210.8753712309799</v>
      </c>
      <c r="AW326" s="41">
        <f>'[2]побудинковий звіт'!AW326+'[1]побудинковий звіт'!AW326</f>
        <v>1584.5592261573313</v>
      </c>
      <c r="AX326" s="58">
        <f t="shared" si="278"/>
        <v>373.68385492635139</v>
      </c>
      <c r="AY326" s="41">
        <f>'[2]побудинковий звіт'!AY326+'[1]побудинковий звіт'!AY326</f>
        <v>1800.1490646704449</v>
      </c>
      <c r="AZ326" s="41">
        <f>'[2]побудинковий звіт'!AZ326+'[1]побудинковий звіт'!AZ326</f>
        <v>988.62579973266759</v>
      </c>
      <c r="BA326" s="36">
        <f t="shared" si="279"/>
        <v>-811.5232649377773</v>
      </c>
      <c r="BB326" s="41">
        <f>'[2]побудинковий звіт'!BB326+'[1]побудинковий звіт'!BB326</f>
        <v>1931.6867538939662</v>
      </c>
      <c r="BC326" s="41">
        <f>'[2]побудинковий звіт'!BC326+'[1]побудинковий звіт'!BC326</f>
        <v>0</v>
      </c>
      <c r="BD326" s="58">
        <f t="shared" si="280"/>
        <v>-1931.6867538939662</v>
      </c>
      <c r="BE326" s="41">
        <f>'[2]побудинковий звіт'!BE326+'[1]побудинковий звіт'!BE326</f>
        <v>609.29958594051845</v>
      </c>
      <c r="BF326" s="41">
        <f>'[2]побудинковий звіт'!BF326+'[1]побудинковий звіт'!BF326</f>
        <v>0</v>
      </c>
      <c r="BG326" s="38">
        <f t="shared" si="281"/>
        <v>-609.29958594051845</v>
      </c>
      <c r="BH326" s="41">
        <f>'[2]побудинковий звіт'!BH326+'[1]побудинковий звіт'!BH326</f>
        <v>417.64693912078178</v>
      </c>
      <c r="BI326" s="41">
        <f>'[2]побудинковий звіт'!BI326+'[1]побудинковий звіт'!BI326</f>
        <v>2086.9562993772511</v>
      </c>
      <c r="BJ326" s="58">
        <f t="shared" si="282"/>
        <v>1669.3093602564693</v>
      </c>
      <c r="BK326" s="41">
        <f>'[2]побудинковий звіт'!BK326+'[1]побудинковий звіт'!BK326</f>
        <v>1567.4146918443678</v>
      </c>
      <c r="BL326" s="41">
        <f>'[2]побудинковий звіт'!BL326+'[1]побудинковий звіт'!BL326</f>
        <v>0</v>
      </c>
      <c r="BM326" s="38">
        <f t="shared" si="283"/>
        <v>-1567.4146918443678</v>
      </c>
      <c r="BN326" s="41">
        <f>'[2]побудинковий звіт'!BN326+'[1]побудинковий звіт'!BN326</f>
        <v>75.290084735242345</v>
      </c>
      <c r="BO326" s="41">
        <f>'[2]побудинковий звіт'!BO326+'[1]побудинковий звіт'!BO326</f>
        <v>0</v>
      </c>
      <c r="BP326" s="58">
        <f t="shared" si="284"/>
        <v>-75.290084735242345</v>
      </c>
      <c r="BQ326" s="84">
        <f t="shared" si="285"/>
        <v>7612.3624914363008</v>
      </c>
      <c r="BR326" s="42">
        <f t="shared" si="286"/>
        <v>4660.1413252672501</v>
      </c>
      <c r="BS326" s="58">
        <f t="shared" si="287"/>
        <v>-2952.2211661690508</v>
      </c>
      <c r="BT326" s="41">
        <f>'[2]побудинковий звіт'!BT326+'[1]побудинковий звіт'!BT326</f>
        <v>22766.596036835475</v>
      </c>
      <c r="BU326" s="41">
        <f>'[2]побудинковий звіт'!BU326+'[1]побудинковий звіт'!BU326</f>
        <v>35054.8625510329</v>
      </c>
      <c r="BV326" s="55">
        <f t="shared" si="288"/>
        <v>12288.266514197425</v>
      </c>
      <c r="BW326" s="41">
        <f>'[2]побудинковий звіт'!BW326+'[1]побудинковий звіт'!BW326</f>
        <v>44709.241833583837</v>
      </c>
      <c r="BX326" s="41">
        <f>'[2]побудинковий звіт'!BX326+'[1]побудинковий звіт'!BX326</f>
        <v>48003.321823401726</v>
      </c>
      <c r="BY326" s="55">
        <f t="shared" si="289"/>
        <v>3294.0799898178884</v>
      </c>
      <c r="BZ326" s="41">
        <f>'[2]побудинковий звіт'!BZ326+'[1]побудинковий звіт'!BZ326</f>
        <v>8796.8321142805762</v>
      </c>
      <c r="CA326" s="41">
        <f>'[2]побудинковий звіт'!CA326+'[1]побудинковий звіт'!CA326</f>
        <v>3792.0530975283691</v>
      </c>
      <c r="CB326" s="55">
        <f t="shared" si="290"/>
        <v>-5004.7790167522071</v>
      </c>
      <c r="CC326" s="41">
        <f>'[2]побудинковий звіт'!CC326+'[1]побудинковий звіт'!CC326</f>
        <v>1507.8493006802805</v>
      </c>
      <c r="CD326" s="41">
        <f>'[2]побудинковий звіт'!CD326+'[1]побудинковий звіт'!CD326</f>
        <v>1512.9622494678433</v>
      </c>
      <c r="CE326" s="55">
        <f t="shared" si="291"/>
        <v>5.1129487875628001</v>
      </c>
      <c r="CF326" s="41">
        <f>'[2]побудинковий звіт'!CF326+'[1]побудинковий звіт'!CF326</f>
        <v>186.81451385601432</v>
      </c>
      <c r="CG326" s="41">
        <f>'[2]побудинковий звіт'!CG326+'[1]побудинковий звіт'!CG326</f>
        <v>0</v>
      </c>
      <c r="CH326" s="55">
        <f t="shared" si="292"/>
        <v>-186.81451385601432</v>
      </c>
      <c r="CI326" s="41">
        <f>'[2]побудинковий звіт'!CI326+'[1]побудинковий звіт'!CI326</f>
        <v>5129.2376454090027</v>
      </c>
      <c r="CJ326" s="41">
        <f>'[2]побудинковий звіт'!CJ326+'[1]побудинковий звіт'!CJ326</f>
        <v>3508.8181301511895</v>
      </c>
      <c r="CK326" s="55">
        <f t="shared" si="293"/>
        <v>-1620.4195152578131</v>
      </c>
      <c r="CL326" s="41">
        <f>'[2]побудинковий звіт'!CL326+'[1]побудинковий звіт'!CL326</f>
        <v>6461.7144602481949</v>
      </c>
      <c r="CM326" s="41">
        <f>'[2]побудинковий звіт'!CM326+'[1]побудинковий звіт'!CM326</f>
        <v>8466.9637938234991</v>
      </c>
      <c r="CN326" s="55">
        <f t="shared" si="294"/>
        <v>2005.2493335753043</v>
      </c>
      <c r="CO326" s="41">
        <f t="shared" si="295"/>
        <v>11590.952105657198</v>
      </c>
      <c r="CP326" s="42">
        <f t="shared" si="296"/>
        <v>11975.78192397469</v>
      </c>
      <c r="CQ326" s="55">
        <f t="shared" si="297"/>
        <v>384.82981831749203</v>
      </c>
      <c r="CR326" s="76">
        <f t="shared" si="298"/>
        <v>273904.88393052813</v>
      </c>
      <c r="CS326" s="5">
        <f t="shared" si="299"/>
        <v>204445.20172478081</v>
      </c>
      <c r="CT326" s="55">
        <f t="shared" si="300"/>
        <v>-69459.682205747318</v>
      </c>
      <c r="CU326" s="84">
        <f t="shared" si="301"/>
        <v>328685.86071663373</v>
      </c>
      <c r="CV326" s="68">
        <f t="shared" si="302"/>
        <v>245334.24206973697</v>
      </c>
      <c r="CW326" s="36">
        <f t="shared" si="303"/>
        <v>-83351.618646896764</v>
      </c>
      <c r="CX326" s="41">
        <f>'[2]побудинковий звіт'!CX326+'[1]побудинковий звіт'!CX326</f>
        <v>9897.246726851994</v>
      </c>
      <c r="CY326" s="41">
        <f>'[2]побудинковий звіт'!CY326+'[1]побудинковий звіт'!CY326</f>
        <v>93248.865373748849</v>
      </c>
      <c r="CZ326" s="55">
        <f t="shared" si="304"/>
        <v>83351.618646896852</v>
      </c>
      <c r="DA326" s="254">
        <f>'[1]побудинковий звіт'!DA326</f>
        <v>-237587.99517458194</v>
      </c>
      <c r="DB326" s="2">
        <v>3</v>
      </c>
      <c r="DC326" s="702">
        <f>'[1]побудинковий звіт'!DC326</f>
        <v>110372.23</v>
      </c>
      <c r="DD326" s="702">
        <f>'[1]побудинковий звіт'!DD326</f>
        <v>0</v>
      </c>
      <c r="DE326" s="702">
        <f>'[1]побудинковий звіт'!DE326</f>
        <v>73209.7</v>
      </c>
      <c r="DF326" s="702">
        <f>'[1]побудинковий звіт'!DF326</f>
        <v>0</v>
      </c>
      <c r="DG326" s="772">
        <v>-105706.56490860891</v>
      </c>
      <c r="DH326" s="746">
        <f t="shared" si="316"/>
        <v>4062997.2893218286</v>
      </c>
      <c r="DI326" s="769"/>
      <c r="DJ326" s="5"/>
      <c r="DK326" s="307">
        <f>VLOOKUP($A326,ціни!$A$4:$G$401,5)</f>
        <v>6.263815729270541</v>
      </c>
      <c r="DL326" s="307">
        <f>VLOOKUP($A326,ціни!$A$4:$G$401,6)</f>
        <v>7.5754373747045127</v>
      </c>
      <c r="DM326" s="307">
        <f>VLOOKUP($A326,ціни!$A$4:$G$401,7)</f>
        <v>4.8720094565163663</v>
      </c>
      <c r="DN326" s="29">
        <f t="shared" si="325"/>
        <v>26532.207886205011</v>
      </c>
      <c r="DO326" s="29">
        <f t="shared" si="326"/>
        <v>0</v>
      </c>
      <c r="DP326" s="306">
        <f t="shared" si="317"/>
        <v>26532.207886205011</v>
      </c>
      <c r="DQ326" s="101"/>
      <c r="DR326" s="29">
        <f>VLOOKUP(A326,'ДЗ нас '!$A$1:$C$359,2)</f>
        <v>26532.09</v>
      </c>
      <c r="DS326" s="733"/>
      <c r="DT326" s="29">
        <f t="shared" si="318"/>
        <v>26532.09</v>
      </c>
      <c r="DU326" s="247">
        <f>VLOOKUP(A326,'новий кошторис с 01.06'!$A$4:$AI$399,35)*1.2</f>
        <v>26661.633290527967</v>
      </c>
      <c r="DV326" s="29">
        <f t="shared" si="319"/>
        <v>-129.54329052796675</v>
      </c>
      <c r="DW326" s="1016">
        <f>'[2]побудинковий звіт'!$DW$9+'[1]побудинковий звіт'!DW326</f>
        <v>909</v>
      </c>
      <c r="DX326" s="101">
        <f>'[1]побудинковий звіт'!DX326</f>
        <v>0</v>
      </c>
      <c r="DY326" s="5">
        <f t="shared" si="320"/>
        <v>119020.97556594068</v>
      </c>
      <c r="DZ326" s="5">
        <f t="shared" si="321"/>
        <v>22013.097732117978</v>
      </c>
      <c r="EA326" s="737">
        <f t="shared" si="322"/>
        <v>73209.7</v>
      </c>
      <c r="EC326" s="577">
        <f t="shared" si="323"/>
        <v>1098861.4057621711</v>
      </c>
      <c r="EE326" s="743">
        <v>228775</v>
      </c>
      <c r="EF326" s="723">
        <f t="shared" si="324"/>
        <v>123068.43509139109</v>
      </c>
      <c r="EH326" s="798">
        <v>-107415.68047357199</v>
      </c>
      <c r="EI326" s="101">
        <f>VLOOKUP(A326,'кошти 01.01.24'!$A$9:$D$352,4,FALSE)</f>
        <v>-154236.37652768515</v>
      </c>
    </row>
    <row r="327" spans="1:139" hidden="1" x14ac:dyDescent="0.3">
      <c r="A327" s="318">
        <v>150000903</v>
      </c>
      <c r="B327" s="43" t="s">
        <v>794</v>
      </c>
      <c r="C327" s="44" t="s">
        <v>404</v>
      </c>
      <c r="D327" s="44" t="s">
        <v>404</v>
      </c>
      <c r="E327" s="39">
        <f t="shared" si="262"/>
        <v>4073.8</v>
      </c>
      <c r="F327" s="205">
        <f>'[1]побудинковий звіт'!F327</f>
        <v>4073.8</v>
      </c>
      <c r="G327" s="29">
        <f>'[1]побудинковий звіт'!G327</f>
        <v>501.2</v>
      </c>
      <c r="H327" s="148">
        <f>'[1]побудинковий звіт'!H327</f>
        <v>0</v>
      </c>
      <c r="I327" s="41">
        <f>'[2]побудинковий звіт'!I327+'[1]побудинковий звіт'!I327</f>
        <v>11433.845036194831</v>
      </c>
      <c r="J327" s="41">
        <f>'[2]побудинковий звіт'!J327+'[1]побудинковий звіт'!J327</f>
        <v>12024.139033442927</v>
      </c>
      <c r="K327" s="55">
        <f t="shared" si="263"/>
        <v>590.29399724809628</v>
      </c>
      <c r="L327" s="41">
        <f>'[2]побудинковий звіт'!L327+'[1]побудинковий звіт'!L327</f>
        <v>1638.1136615826554</v>
      </c>
      <c r="M327" s="41">
        <f>'[2]побудинковий звіт'!M327+'[1]побудинковий звіт'!M327</f>
        <v>1774.6573827763259</v>
      </c>
      <c r="N327" s="55">
        <f t="shared" si="264"/>
        <v>136.54372119367054</v>
      </c>
      <c r="O327" s="41">
        <f>'[2]побудинковий звіт'!O327+'[1]побудинковий звіт'!O327</f>
        <v>5637.599671768814</v>
      </c>
      <c r="P327" s="41">
        <f>'[2]побудинковий звіт'!P327+'[1]побудинковий звіт'!P327</f>
        <v>5654.4059702829618</v>
      </c>
      <c r="Q327" s="55">
        <f t="shared" si="265"/>
        <v>16.806298514147784</v>
      </c>
      <c r="R327" s="41">
        <f>'[2]побудинковий звіт'!R327+'[1]побудинковий звіт'!R327</f>
        <v>1461.0303246476649</v>
      </c>
      <c r="S327" s="41">
        <f>'[2]побудинковий звіт'!S327+'[1]побудинковий звіт'!S327</f>
        <v>1463.7645522606999</v>
      </c>
      <c r="T327" s="55">
        <f t="shared" si="266"/>
        <v>2.7342276130350456</v>
      </c>
      <c r="U327" s="41">
        <f>'[2]побудинковий звіт'!U327+'[1]побудинковий звіт'!U327</f>
        <v>799.99352559665294</v>
      </c>
      <c r="V327" s="41">
        <f>'[2]побудинковий звіт'!V327+'[1]побудинковий звіт'!V327</f>
        <v>731.79163700436789</v>
      </c>
      <c r="W327" s="55">
        <f t="shared" si="267"/>
        <v>-68.201888592285059</v>
      </c>
      <c r="X327" s="41">
        <f>'[2]побудинковий звіт'!X327+'[1]побудинковий звіт'!X327</f>
        <v>9055.6924865019773</v>
      </c>
      <c r="Y327" s="41">
        <f>'[2]побудинковий звіт'!Y327+'[1]побудинковий звіт'!Y327</f>
        <v>9157.2993255500278</v>
      </c>
      <c r="Z327" s="55">
        <f t="shared" si="268"/>
        <v>101.60683904805046</v>
      </c>
      <c r="AA327" s="41">
        <f>'[2]побудинковий звіт'!AA327+'[1]побудинковий звіт'!AA327</f>
        <v>0</v>
      </c>
      <c r="AB327" s="41">
        <f>'[2]побудинковий звіт'!AB327+'[1]побудинковий звіт'!AB327</f>
        <v>0</v>
      </c>
      <c r="AC327" s="55">
        <f t="shared" si="269"/>
        <v>0</v>
      </c>
      <c r="AD327" s="41">
        <f>'[2]побудинковий звіт'!AD327+'[1]побудинковий звіт'!AD327</f>
        <v>17669.342293697355</v>
      </c>
      <c r="AE327" s="41">
        <f>'[2]побудинковий звіт'!AE327+'[1]побудинковий звіт'!AE327</f>
        <v>17600.621444637851</v>
      </c>
      <c r="AF327" s="36">
        <f t="shared" si="270"/>
        <v>-68.720849059503962</v>
      </c>
      <c r="AG327" s="84">
        <f t="shared" si="271"/>
        <v>47695.616999989943</v>
      </c>
      <c r="AH327" s="56">
        <f t="shared" si="272"/>
        <v>48406.679345955155</v>
      </c>
      <c r="AI327" s="55">
        <f t="shared" si="273"/>
        <v>711.06234596521244</v>
      </c>
      <c r="AJ327" s="41">
        <f>'[2]побудинковий звіт'!AJ327+'[1]побудинковий звіт'!AJ327</f>
        <v>42090.538059270875</v>
      </c>
      <c r="AK327" s="41">
        <f>'[2]побудинковий звіт'!AK327+'[1]побудинковий звіт'!AK327</f>
        <v>41472.929982993068</v>
      </c>
      <c r="AL327" s="55">
        <f t="shared" si="274"/>
        <v>-617.60807627780741</v>
      </c>
      <c r="AM327" s="41">
        <f>'[2]побудинковий звіт'!AM327+'[1]побудинковий звіт'!AM327</f>
        <v>302.92842272642292</v>
      </c>
      <c r="AN327" s="41">
        <f>'[2]побудинковий звіт'!AN327+'[1]побудинковий звіт'!AN327</f>
        <v>0</v>
      </c>
      <c r="AO327" s="55">
        <f t="shared" si="275"/>
        <v>-302.92842272642292</v>
      </c>
      <c r="AP327" s="41">
        <f>'[2]побудинковий звіт'!AP327+'[1]побудинковий звіт'!AP327</f>
        <v>3169.9134172966533</v>
      </c>
      <c r="AQ327" s="41">
        <f>'[2]побудинковий звіт'!AQ327+'[1]побудинковий звіт'!AQ327</f>
        <v>2154.4885137288397</v>
      </c>
      <c r="AR327" s="55">
        <f t="shared" si="276"/>
        <v>-1015.4249035678135</v>
      </c>
      <c r="AS327" s="41">
        <f>'[2]побудинковий звіт'!AS327+'[1]побудинковий звіт'!AS327</f>
        <v>104869.23172261813</v>
      </c>
      <c r="AT327" s="41">
        <f>'[2]побудинковий звіт'!AT327+'[1]побудинковий звіт'!AT327</f>
        <v>105848.48708581051</v>
      </c>
      <c r="AU327" s="57">
        <f t="shared" si="277"/>
        <v>979.25536319238017</v>
      </c>
      <c r="AV327" s="41">
        <f>'[2]побудинковий звіт'!AV327+'[1]побудинковий звіт'!AV327</f>
        <v>1148.4261379118961</v>
      </c>
      <c r="AW327" s="41">
        <f>'[2]побудинковий звіт'!AW327+'[1]побудинковий звіт'!AW327</f>
        <v>0</v>
      </c>
      <c r="AX327" s="58">
        <f t="shared" si="278"/>
        <v>-1148.4261379118961</v>
      </c>
      <c r="AY327" s="41">
        <f>'[2]побудинковий звіт'!AY327+'[1]побудинковий звіт'!AY327</f>
        <v>1087.5805342303254</v>
      </c>
      <c r="AZ327" s="41">
        <f>'[2]побудинковий звіт'!AZ327+'[1]побудинковий звіт'!AZ327</f>
        <v>1972.0225180314887</v>
      </c>
      <c r="BA327" s="36">
        <f t="shared" si="279"/>
        <v>884.44198380116336</v>
      </c>
      <c r="BB327" s="41">
        <f>'[2]побудинковий звіт'!BB327+'[1]побудинковий звіт'!BB327</f>
        <v>2135.691364906419</v>
      </c>
      <c r="BC327" s="41">
        <f>'[2]побудинковий звіт'!BC327+'[1]побудинковий звіт'!BC327</f>
        <v>0</v>
      </c>
      <c r="BD327" s="58">
        <f t="shared" si="280"/>
        <v>-2135.691364906419</v>
      </c>
      <c r="BE327" s="41">
        <f>'[2]побудинковий звіт'!BE327+'[1]побудинковий звіт'!BE327</f>
        <v>734.41700769710803</v>
      </c>
      <c r="BF327" s="41">
        <f>'[2]побудинковий звіт'!BF327+'[1]побудинковий звіт'!BF327</f>
        <v>0</v>
      </c>
      <c r="BG327" s="38">
        <f t="shared" si="281"/>
        <v>-734.41700769710803</v>
      </c>
      <c r="BH327" s="41">
        <f>'[2]побудинковий звіт'!BH327+'[1]побудинковий звіт'!BH327</f>
        <v>417.64693912078178</v>
      </c>
      <c r="BI327" s="41">
        <f>'[2]побудинковий звіт'!BI327+'[1]побудинковий звіт'!BI327</f>
        <v>0</v>
      </c>
      <c r="BJ327" s="58">
        <f t="shared" si="282"/>
        <v>-417.64693912078178</v>
      </c>
      <c r="BK327" s="41">
        <f>'[2]побудинковий звіт'!BK327+'[1]побудинковий звіт'!BK327</f>
        <v>1415.1986217846163</v>
      </c>
      <c r="BL327" s="41">
        <f>'[2]побудинковий звіт'!BL327+'[1]побудинковий звіт'!BL327</f>
        <v>2162.744805579337</v>
      </c>
      <c r="BM327" s="38">
        <f t="shared" si="283"/>
        <v>747.54618379472072</v>
      </c>
      <c r="BN327" s="41">
        <f>'[2]побудинковий звіт'!BN327+'[1]побудинковий звіт'!BN327</f>
        <v>75.290084735242345</v>
      </c>
      <c r="BO327" s="41">
        <f>'[2]побудинковий звіт'!BO327+'[1]побудинковий звіт'!BO327</f>
        <v>5361.4028103199998</v>
      </c>
      <c r="BP327" s="58">
        <f t="shared" si="284"/>
        <v>5286.1127255847578</v>
      </c>
      <c r="BQ327" s="84">
        <f t="shared" si="285"/>
        <v>7014.2506903863887</v>
      </c>
      <c r="BR327" s="42">
        <f t="shared" si="286"/>
        <v>9496.1701339308256</v>
      </c>
      <c r="BS327" s="58">
        <f t="shared" si="287"/>
        <v>2481.9194435444369</v>
      </c>
      <c r="BT327" s="41">
        <f>'[2]побудинковий звіт'!BT327+'[1]побудинковий звіт'!BT327</f>
        <v>31430.504762920067</v>
      </c>
      <c r="BU327" s="41">
        <f>'[2]побудинковий звіт'!BU327+'[1]побудинковий звіт'!BU327</f>
        <v>45782.558752300298</v>
      </c>
      <c r="BV327" s="55">
        <f t="shared" si="288"/>
        <v>14352.053989380231</v>
      </c>
      <c r="BW327" s="41">
        <f>'[2]побудинковий звіт'!BW327+'[1]побудинковий звіт'!BW327</f>
        <v>40790.268741579996</v>
      </c>
      <c r="BX327" s="41">
        <f>'[2]побудинковий звіт'!BX327+'[1]побудинковий звіт'!BX327</f>
        <v>44980.740079994212</v>
      </c>
      <c r="BY327" s="55">
        <f t="shared" si="289"/>
        <v>4190.471338414216</v>
      </c>
      <c r="BZ327" s="41">
        <f>'[2]побудинковий звіт'!BZ327+'[1]побудинковий звіт'!BZ327</f>
        <v>11385.101997147187</v>
      </c>
      <c r="CA327" s="41">
        <f>'[2]побудинковий звіт'!CA327+'[1]побудинковий звіт'!CA327</f>
        <v>5097.5373233866758</v>
      </c>
      <c r="CB327" s="55">
        <f t="shared" si="290"/>
        <v>-6287.5646737605111</v>
      </c>
      <c r="CC327" s="41">
        <f>'[2]побудинковий звіт'!CC327+'[1]побудинковий звіт'!CC327</f>
        <v>1761.600367684192</v>
      </c>
      <c r="CD327" s="41">
        <f>'[2]побудинковий звіт'!CD327+'[1]побудинковий звіт'!CD327</f>
        <v>1767.5737580356397</v>
      </c>
      <c r="CE327" s="55">
        <f t="shared" si="291"/>
        <v>5.9733903514477333</v>
      </c>
      <c r="CF327" s="41">
        <f>'[2]побудинковий звіт'!CF327+'[1]побудинковий звіт'!CF327</f>
        <v>218.25292232388546</v>
      </c>
      <c r="CG327" s="41">
        <f>'[2]побудинковий звіт'!CG327+'[1]побудинковий звіт'!CG327</f>
        <v>0</v>
      </c>
      <c r="CH327" s="55">
        <f t="shared" si="292"/>
        <v>-218.25292232388546</v>
      </c>
      <c r="CI327" s="41">
        <f>'[2]побудинковий звіт'!CI327+'[1]побудинковий звіт'!CI327</f>
        <v>8168.889814245631</v>
      </c>
      <c r="CJ327" s="41">
        <f>'[2]побудинковий звіт'!CJ327+'[1]побудинковий звіт'!CJ327</f>
        <v>6369.4746218874179</v>
      </c>
      <c r="CK327" s="55">
        <f t="shared" si="293"/>
        <v>-1799.4151923582131</v>
      </c>
      <c r="CL327" s="41">
        <f>'[2]побудинковий звіт'!CL327+'[1]побудинковий звіт'!CL327</f>
        <v>9214.3814217845866</v>
      </c>
      <c r="CM327" s="41">
        <f>'[2]побудинковий звіт'!CM327+'[1]побудинковий звіт'!CM327</f>
        <v>12208.299975682534</v>
      </c>
      <c r="CN327" s="55">
        <f t="shared" si="294"/>
        <v>2993.9185538979473</v>
      </c>
      <c r="CO327" s="41">
        <f t="shared" si="295"/>
        <v>17383.271236030218</v>
      </c>
      <c r="CP327" s="42">
        <f t="shared" si="296"/>
        <v>18577.774597569951</v>
      </c>
      <c r="CQ327" s="55">
        <f t="shared" si="297"/>
        <v>1194.5033615397333</v>
      </c>
      <c r="CR327" s="76">
        <f t="shared" si="298"/>
        <v>308111.479339974</v>
      </c>
      <c r="CS327" s="5">
        <f t="shared" si="299"/>
        <v>323584.93957370525</v>
      </c>
      <c r="CT327" s="55">
        <f t="shared" si="300"/>
        <v>15473.460233731254</v>
      </c>
      <c r="CU327" s="84">
        <f t="shared" si="301"/>
        <v>369733.77520796878</v>
      </c>
      <c r="CV327" s="68">
        <f t="shared" si="302"/>
        <v>388301.92748844629</v>
      </c>
      <c r="CW327" s="36">
        <f t="shared" si="303"/>
        <v>18568.152280477516</v>
      </c>
      <c r="CX327" s="41">
        <f>'[2]побудинковий звіт'!CX327+'[1]побудинковий звіт'!CX327</f>
        <v>6687.2421403768767</v>
      </c>
      <c r="CY327" s="41">
        <f>'[2]побудинковий звіт'!CY327+'[1]побудинковий звіт'!CY327</f>
        <v>-11880.910140100517</v>
      </c>
      <c r="CZ327" s="55">
        <f t="shared" si="304"/>
        <v>-18568.152280477392</v>
      </c>
      <c r="DA327" s="254">
        <f>'[1]побудинковий звіт'!DA327</f>
        <v>-59408.803095865704</v>
      </c>
      <c r="DB327" s="2">
        <v>3</v>
      </c>
      <c r="DC327" s="702">
        <f>'[1]побудинковий звіт'!DC327</f>
        <v>71943.22</v>
      </c>
      <c r="DD327" s="702">
        <f>'[1]побудинковий звіт'!DD327</f>
        <v>0</v>
      </c>
      <c r="DE327" s="702">
        <f>'[1]побудинковий звіт'!DE327</f>
        <v>30708.1</v>
      </c>
      <c r="DF327" s="702">
        <f>'[1]побудинковий звіт'!DF327</f>
        <v>0</v>
      </c>
      <c r="DG327" s="772">
        <v>-91636.838918660535</v>
      </c>
      <c r="DH327" s="746">
        <f t="shared" si="316"/>
        <v>4517052.2081801482</v>
      </c>
      <c r="DI327" s="769"/>
      <c r="DJ327" s="5"/>
      <c r="DK327" s="307">
        <f>VLOOKUP($A327,ціни!$A$4:$G$401,5)</f>
        <v>6.0210613147364924</v>
      </c>
      <c r="DL327" s="307">
        <f>VLOOKUP($A327,ціни!$A$4:$G$401,6)</f>
        <v>7.4159370485171348</v>
      </c>
      <c r="DM327" s="307">
        <f>VLOOKUP($A327,ціни!$A$4:$G$401,7)</f>
        <v>4.902761195731947</v>
      </c>
      <c r="DN327" s="29">
        <f t="shared" si="325"/>
        <v>29511.932630478248</v>
      </c>
      <c r="DO327" s="29">
        <f t="shared" si="326"/>
        <v>0</v>
      </c>
      <c r="DP327" s="306">
        <f t="shared" si="317"/>
        <v>29511.932630478248</v>
      </c>
      <c r="DQ327" s="101"/>
      <c r="DR327" s="29">
        <f>VLOOKUP(A327,'ДЗ нас '!$A$1:$C$359,2)</f>
        <v>29512.46</v>
      </c>
      <c r="DS327" s="733"/>
      <c r="DT327" s="29">
        <f t="shared" si="318"/>
        <v>29512.46</v>
      </c>
      <c r="DU327" s="247">
        <f>VLOOKUP(A327,'новий кошторис с 01.06'!$A$4:$AI$399,35)*1.2</f>
        <v>29570.372101033645</v>
      </c>
      <c r="DV327" s="29">
        <f t="shared" si="319"/>
        <v>-57.91210103364574</v>
      </c>
      <c r="DW327" s="1016">
        <f>'[2]побудинковий звіт'!$DW$9+'[1]побудинковий звіт'!DW327</f>
        <v>909</v>
      </c>
      <c r="DX327" s="101">
        <f>'[1]побудинковий звіт'!DX327</f>
        <v>0</v>
      </c>
      <c r="DY327" s="5">
        <f t="shared" si="320"/>
        <v>134260.17889560541</v>
      </c>
      <c r="DZ327" s="5">
        <f t="shared" si="321"/>
        <v>138413.58866368959</v>
      </c>
      <c r="EA327" s="737">
        <f t="shared" si="322"/>
        <v>30708.1</v>
      </c>
      <c r="EC327" s="577">
        <f t="shared" si="323"/>
        <v>1258430.7806714177</v>
      </c>
      <c r="EE327" s="743">
        <v>51293</v>
      </c>
      <c r="EF327" s="723">
        <f t="shared" si="324"/>
        <v>-40343.838918660535</v>
      </c>
      <c r="EH327" s="798">
        <v>-175245.42900368694</v>
      </c>
      <c r="EI327" s="101">
        <f>VLOOKUP(A327,'кошти 01.01.24'!$A$9:$D$352,4,FALSE)</f>
        <v>-77976.95537634322</v>
      </c>
    </row>
    <row r="328" spans="1:139" hidden="1" x14ac:dyDescent="0.3">
      <c r="A328" s="318">
        <v>150000904</v>
      </c>
      <c r="B328" s="43" t="s">
        <v>795</v>
      </c>
      <c r="C328" s="44" t="s">
        <v>405</v>
      </c>
      <c r="D328" s="44" t="s">
        <v>405</v>
      </c>
      <c r="E328" s="39">
        <f t="shared" si="262"/>
        <v>4388.5</v>
      </c>
      <c r="F328" s="205">
        <f>'[1]побудинковий звіт'!F328</f>
        <v>4388.5</v>
      </c>
      <c r="G328" s="29">
        <f>'[1]побудинковий звіт'!G328</f>
        <v>446.3</v>
      </c>
      <c r="H328" s="148">
        <f>'[1]побудинковий звіт'!H328</f>
        <v>0</v>
      </c>
      <c r="I328" s="41">
        <f>'[2]побудинковий звіт'!I328+'[1]побудинковий звіт'!I328</f>
        <v>16810.729082908962</v>
      </c>
      <c r="J328" s="41">
        <f>'[2]побудинковий звіт'!J328+'[1]побудинковий звіт'!J328</f>
        <v>17478.163904587615</v>
      </c>
      <c r="K328" s="55">
        <f t="shared" si="263"/>
        <v>667.43482167865295</v>
      </c>
      <c r="L328" s="41">
        <f>'[2]побудинковий звіт'!L328+'[1]побудинковий звіт'!L328</f>
        <v>2872.6411024861395</v>
      </c>
      <c r="M328" s="41">
        <f>'[2]побудинковий звіт'!M328+'[1]побудинковий звіт'!M328</f>
        <v>3131.5055152724503</v>
      </c>
      <c r="N328" s="55">
        <f t="shared" si="264"/>
        <v>258.86441278631082</v>
      </c>
      <c r="O328" s="41">
        <f>'[2]побудинковий звіт'!O328+'[1]побудинковий звіт'!O328</f>
        <v>6001.9547930783438</v>
      </c>
      <c r="P328" s="41">
        <f>'[2]побудинковий звіт'!P328+'[1]побудинковий звіт'!P328</f>
        <v>6018.3029400824662</v>
      </c>
      <c r="Q328" s="55">
        <f t="shared" si="265"/>
        <v>16.348147004122438</v>
      </c>
      <c r="R328" s="41">
        <f>'[2]побудинковий звіт'!R328+'[1]побудинковий звіт'!R328</f>
        <v>1447.8882994830497</v>
      </c>
      <c r="S328" s="41">
        <f>'[2]побудинковий звіт'!S328+'[1]побудинковий звіт'!S328</f>
        <v>1452.048736297947</v>
      </c>
      <c r="T328" s="55">
        <f t="shared" si="266"/>
        <v>4.1604368148973663</v>
      </c>
      <c r="U328" s="41">
        <f>'[2]побудинковий звіт'!U328+'[1]побудинковий звіт'!U328</f>
        <v>809.34862387592375</v>
      </c>
      <c r="V328" s="41">
        <f>'[2]побудинковий звіт'!V328+'[1]побудинковий звіт'!V328</f>
        <v>594.36011775113013</v>
      </c>
      <c r="W328" s="55">
        <f t="shared" si="267"/>
        <v>-214.98850612479362</v>
      </c>
      <c r="X328" s="41">
        <f>'[2]побудинковий звіт'!X328+'[1]побудинковий звіт'!X328</f>
        <v>6302.0718304152615</v>
      </c>
      <c r="Y328" s="41">
        <f>'[2]побудинковий звіт'!Y328+'[1]побудинковий звіт'!Y328</f>
        <v>6458.6457492994723</v>
      </c>
      <c r="Z328" s="55">
        <f t="shared" si="268"/>
        <v>156.5739188842108</v>
      </c>
      <c r="AA328" s="41">
        <f>'[2]побудинковий звіт'!AA328+'[1]побудинковий звіт'!AA328</f>
        <v>0</v>
      </c>
      <c r="AB328" s="41">
        <f>'[2]побудинковий звіт'!AB328+'[1]побудинковий звіт'!AB328</f>
        <v>0</v>
      </c>
      <c r="AC328" s="55">
        <f t="shared" si="269"/>
        <v>0</v>
      </c>
      <c r="AD328" s="41">
        <f>'[2]побудинковий звіт'!AD328+'[1]побудинковий звіт'!AD328</f>
        <v>19029.975841859166</v>
      </c>
      <c r="AE328" s="41">
        <f>'[2]побудинковий звіт'!AE328+'[1]побудинковий звіт'!AE328</f>
        <v>18956.127113447077</v>
      </c>
      <c r="AF328" s="36">
        <f t="shared" si="270"/>
        <v>-73.848728412089258</v>
      </c>
      <c r="AG328" s="84">
        <f t="shared" si="271"/>
        <v>53274.609574106849</v>
      </c>
      <c r="AH328" s="56">
        <f t="shared" si="272"/>
        <v>54089.154076738152</v>
      </c>
      <c r="AI328" s="55">
        <f t="shared" si="273"/>
        <v>814.54450263130275</v>
      </c>
      <c r="AJ328" s="41">
        <f>'[2]побудинковий звіт'!AJ328+'[1]побудинковий звіт'!AJ328</f>
        <v>29689.859963692295</v>
      </c>
      <c r="AK328" s="41">
        <f>'[2]побудинковий звіт'!AK328+'[1]побудинковий звіт'!AK328</f>
        <v>35929.720788135266</v>
      </c>
      <c r="AL328" s="55">
        <f t="shared" si="274"/>
        <v>6239.8608244429706</v>
      </c>
      <c r="AM328" s="41">
        <f>'[2]побудинковий звіт'!AM328+'[1]побудинковий звіт'!AM328</f>
        <v>1776.1517305416392</v>
      </c>
      <c r="AN328" s="41">
        <f>'[2]побудинковий звіт'!AN328+'[1]побудинковий звіт'!AN328</f>
        <v>2452.7428860809423</v>
      </c>
      <c r="AO328" s="55">
        <f t="shared" si="275"/>
        <v>676.59115553930314</v>
      </c>
      <c r="AP328" s="41">
        <f>'[2]побудинковий звіт'!AP328+'[1]побудинковий звіт'!AP328</f>
        <v>3714.7422858945147</v>
      </c>
      <c r="AQ328" s="41">
        <f>'[2]побудинковий звіт'!AQ328+'[1]побудинковий звіт'!AQ328</f>
        <v>3251.1194591148155</v>
      </c>
      <c r="AR328" s="55">
        <f t="shared" si="276"/>
        <v>-463.62282677969915</v>
      </c>
      <c r="AS328" s="41">
        <f>'[2]побудинковий звіт'!AS328+'[1]побудинковий звіт'!AS328</f>
        <v>99286.09493930648</v>
      </c>
      <c r="AT328" s="41">
        <f>'[2]побудинковий звіт'!AT328+'[1]побудинковий звіт'!AT328</f>
        <v>69671.637094078265</v>
      </c>
      <c r="AU328" s="57">
        <f t="shared" si="277"/>
        <v>-29614.457845228215</v>
      </c>
      <c r="AV328" s="41">
        <f>'[2]побудинковий звіт'!AV328+'[1]побудинковий звіт'!AV328</f>
        <v>1672.6702445362744</v>
      </c>
      <c r="AW328" s="41">
        <f>'[2]побудинковий звіт'!AW328+'[1]побудинковий звіт'!AW328</f>
        <v>0</v>
      </c>
      <c r="AX328" s="58">
        <f t="shared" si="278"/>
        <v>-1672.6702445362744</v>
      </c>
      <c r="AY328" s="41">
        <f>'[2]побудинковий звіт'!AY328+'[1]побудинковий звіт'!AY328</f>
        <v>2055.8901407425647</v>
      </c>
      <c r="AZ328" s="41">
        <f>'[2]побудинковий звіт'!AZ328+'[1]побудинковий звіт'!AZ328</f>
        <v>2503.5151930568909</v>
      </c>
      <c r="BA328" s="36">
        <f t="shared" si="279"/>
        <v>447.62505231432624</v>
      </c>
      <c r="BB328" s="41">
        <f>'[2]побудинковий звіт'!BB328+'[1]побудинковий звіт'!BB328</f>
        <v>2412.1128179908492</v>
      </c>
      <c r="BC328" s="41">
        <f>'[2]побудинковий звіт'!BC328+'[1]побудинковий звіт'!BC328</f>
        <v>43831.745340195077</v>
      </c>
      <c r="BD328" s="58">
        <f t="shared" si="280"/>
        <v>41419.632522204229</v>
      </c>
      <c r="BE328" s="41">
        <f>'[2]побудинковий звіт'!BE328+'[1]побудинковий звіт'!BE328</f>
        <v>749.73979964350974</v>
      </c>
      <c r="BF328" s="41">
        <f>'[2]побудинковий звіт'!BF328+'[1]побудинковий звіт'!BF328</f>
        <v>0</v>
      </c>
      <c r="BG328" s="38">
        <f t="shared" si="281"/>
        <v>-749.73979964350974</v>
      </c>
      <c r="BH328" s="41">
        <f>'[2]побудинковий звіт'!BH328+'[1]побудинковий звіт'!BH328</f>
        <v>423.16059351935337</v>
      </c>
      <c r="BI328" s="41">
        <f>'[2]побудинковий звіт'!BI328+'[1]побудинковий звіт'!BI328</f>
        <v>7531.899884688265</v>
      </c>
      <c r="BJ328" s="58">
        <f t="shared" si="282"/>
        <v>7108.7392911689112</v>
      </c>
      <c r="BK328" s="41">
        <f>'[2]побудинковий звіт'!BK328+'[1]побудинковий звіт'!BK328</f>
        <v>1372.1376418463919</v>
      </c>
      <c r="BL328" s="41">
        <f>'[2]побудинковий звіт'!BL328+'[1]побудинковий звіт'!BL328</f>
        <v>6115.2138298589334</v>
      </c>
      <c r="BM328" s="38">
        <f t="shared" si="283"/>
        <v>4743.076188012541</v>
      </c>
      <c r="BN328" s="41">
        <f>'[2]побудинковий звіт'!BN328+'[1]побудинковий звіт'!BN328</f>
        <v>112.9351271028635</v>
      </c>
      <c r="BO328" s="41">
        <f>'[2]побудинковий звіт'!BO328+'[1]побудинковий звіт'!BO328</f>
        <v>3008.4290945600001</v>
      </c>
      <c r="BP328" s="58">
        <f t="shared" si="284"/>
        <v>2895.4939674571365</v>
      </c>
      <c r="BQ328" s="84">
        <f t="shared" si="285"/>
        <v>8798.6463653818046</v>
      </c>
      <c r="BR328" s="42">
        <f t="shared" si="286"/>
        <v>62990.80334235917</v>
      </c>
      <c r="BS328" s="58">
        <f t="shared" si="287"/>
        <v>54192.156976977363</v>
      </c>
      <c r="BT328" s="41">
        <f>'[2]побудинковий звіт'!BT328+'[1]побудинковий звіт'!BT328</f>
        <v>32377.889937151573</v>
      </c>
      <c r="BU328" s="41">
        <f>'[2]побудинковий звіт'!BU328+'[1]побудинковий звіт'!BU328</f>
        <v>26116.373213470419</v>
      </c>
      <c r="BV328" s="55">
        <f t="shared" si="288"/>
        <v>-6261.516723681154</v>
      </c>
      <c r="BW328" s="41">
        <f>'[2]побудинковий звіт'!BW328+'[1]побудинковий звіт'!BW328</f>
        <v>31039.548922264643</v>
      </c>
      <c r="BX328" s="41">
        <f>'[2]побудинковий звіт'!BX328+'[1]побудинковий звіт'!BX328</f>
        <v>10831.935261511211</v>
      </c>
      <c r="BY328" s="55">
        <f t="shared" si="289"/>
        <v>-20207.613660753432</v>
      </c>
      <c r="BZ328" s="41">
        <f>'[2]побудинковий звіт'!BZ328+'[1]побудинковий звіт'!BZ328</f>
        <v>11359.086063385997</v>
      </c>
      <c r="CA328" s="41">
        <f>'[2]побудинковий звіт'!CA328+'[1]побудинковий звіт'!CA328</f>
        <v>2589.5729832313573</v>
      </c>
      <c r="CB328" s="55">
        <f t="shared" si="290"/>
        <v>-8769.5130801546402</v>
      </c>
      <c r="CC328" s="41">
        <f>'[2]побудинковий звіт'!CC328+'[1]побудинковий звіт'!CC328</f>
        <v>1648.9239011084478</v>
      </c>
      <c r="CD328" s="41">
        <f>'[2]побудинковий звіт'!CD328+'[1]побудинковий звіт'!CD328</f>
        <v>1654.5152181300837</v>
      </c>
      <c r="CE328" s="55">
        <f t="shared" si="291"/>
        <v>5.5913170216358594</v>
      </c>
      <c r="CF328" s="41">
        <f>'[2]побудинковий звіт'!CF328+'[1]побудинковий звіт'!CF328</f>
        <v>204.29290701143725</v>
      </c>
      <c r="CG328" s="41">
        <f>'[2]побудинковий звіт'!CG328+'[1]побудинковий звіт'!CG328</f>
        <v>0</v>
      </c>
      <c r="CH328" s="55">
        <f t="shared" si="292"/>
        <v>-204.29290701143725</v>
      </c>
      <c r="CI328" s="41">
        <f>'[2]побудинковий звіт'!CI328+'[1]побудинковий звіт'!CI328</f>
        <v>8216.1255636959177</v>
      </c>
      <c r="CJ328" s="41">
        <f>'[2]побудинковий звіт'!CJ328+'[1]побудинковий звіт'!CJ328</f>
        <v>13297.925764094045</v>
      </c>
      <c r="CK328" s="55">
        <f t="shared" si="293"/>
        <v>5081.8002003981273</v>
      </c>
      <c r="CL328" s="41">
        <f>'[2]побудинковий звіт'!CL328+'[1]побудинковий звіт'!CL328</f>
        <v>6285.2832559116878</v>
      </c>
      <c r="CM328" s="41">
        <f>'[2]побудинковий звіт'!CM328+'[1]побудинковий звіт'!CM328</f>
        <v>6723.6447770957893</v>
      </c>
      <c r="CN328" s="55">
        <f t="shared" si="294"/>
        <v>438.36152118410155</v>
      </c>
      <c r="CO328" s="41">
        <f t="shared" si="295"/>
        <v>14501.408819607605</v>
      </c>
      <c r="CP328" s="42">
        <f t="shared" si="296"/>
        <v>20021.570541189834</v>
      </c>
      <c r="CQ328" s="55">
        <f t="shared" si="297"/>
        <v>5520.1617215822298</v>
      </c>
      <c r="CR328" s="76">
        <f t="shared" si="298"/>
        <v>287671.2554094533</v>
      </c>
      <c r="CS328" s="5">
        <f t="shared" si="299"/>
        <v>289599.14486403944</v>
      </c>
      <c r="CT328" s="55">
        <f t="shared" si="300"/>
        <v>1927.8894545861403</v>
      </c>
      <c r="CU328" s="84">
        <f t="shared" si="301"/>
        <v>345205.50649134396</v>
      </c>
      <c r="CV328" s="68">
        <f t="shared" si="302"/>
        <v>347518.97383684729</v>
      </c>
      <c r="CW328" s="36">
        <f t="shared" si="303"/>
        <v>2313.4673455033335</v>
      </c>
      <c r="CX328" s="41">
        <f>'[2]побудинковий звіт'!CX328+'[1]побудинковий звіт'!CX328</f>
        <v>7216.3375843216236</v>
      </c>
      <c r="CY328" s="41">
        <f>'[2]побудинковий звіт'!CY328+'[1]побудинковий звіт'!CY328</f>
        <v>4902.8702388180827</v>
      </c>
      <c r="CZ328" s="55">
        <f t="shared" si="304"/>
        <v>-2313.4673455035409</v>
      </c>
      <c r="DA328" s="254">
        <f>'[1]побудинковий звіт'!DA328</f>
        <v>-18565.948778365346</v>
      </c>
      <c r="DB328" s="2">
        <v>3</v>
      </c>
      <c r="DC328" s="702">
        <f>'[1]побудинковий звіт'!DC328</f>
        <v>56783.95</v>
      </c>
      <c r="DD328" s="702">
        <f>'[1]побудинковий звіт'!DD328</f>
        <v>0</v>
      </c>
      <c r="DE328" s="702">
        <f>'[1]побудинковий звіт'!DE328</f>
        <v>18214.25</v>
      </c>
      <c r="DF328" s="702">
        <f>'[1]побудинковий звіт'!DF328</f>
        <v>0</v>
      </c>
      <c r="DG328" s="772">
        <v>38777.349451368907</v>
      </c>
      <c r="DH328" s="746">
        <f t="shared" si="316"/>
        <v>4229062.1289079869</v>
      </c>
      <c r="DI328" s="769"/>
      <c r="DJ328" s="5"/>
      <c r="DK328" s="307">
        <f>VLOOKUP($A328,ціни!$A$4:$G$401,5)</f>
        <v>5.4974410792531181</v>
      </c>
      <c r="DL328" s="307">
        <f>VLOOKUP($A328,ціни!$A$4:$G$401,6)</f>
        <v>6.4004330780873575</v>
      </c>
      <c r="DM328" s="307">
        <f>VLOOKUP($A328,ціни!$A$4:$G$401,7)</f>
        <v>4.7058646823917085</v>
      </c>
      <c r="DN328" s="29">
        <f t="shared" si="325"/>
        <v>27685.295234106645</v>
      </c>
      <c r="DO328" s="29">
        <f t="shared" si="326"/>
        <v>0</v>
      </c>
      <c r="DP328" s="306">
        <f t="shared" si="317"/>
        <v>27685.295234106645</v>
      </c>
      <c r="DQ328" s="101"/>
      <c r="DR328" s="29">
        <f>VLOOKUP(A328,'ДЗ нас '!$A$1:$C$359,2)</f>
        <v>27685.26</v>
      </c>
      <c r="DS328" s="733"/>
      <c r="DT328" s="29">
        <f t="shared" si="318"/>
        <v>27685.26</v>
      </c>
      <c r="DU328" s="247">
        <f>VLOOKUP(A328,'новий кошторис с 01.06'!$A$4:$AI$399,35)*1.2</f>
        <v>27759.420472189533</v>
      </c>
      <c r="DV328" s="29">
        <f t="shared" si="319"/>
        <v>-74.16047218953463</v>
      </c>
      <c r="DW328" s="1016">
        <f>'[2]побудинковий звіт'!$DW$9+'[1]побудинковий звіт'!DW328</f>
        <v>909</v>
      </c>
      <c r="DX328" s="101">
        <f>'[1]побудинковий звіт'!DX328</f>
        <v>0</v>
      </c>
      <c r="DY328" s="5">
        <f t="shared" si="320"/>
        <v>129701.68956562594</v>
      </c>
      <c r="DZ328" s="5">
        <f t="shared" si="321"/>
        <v>159194.92852372493</v>
      </c>
      <c r="EA328" s="737">
        <f t="shared" si="322"/>
        <v>18214.25</v>
      </c>
      <c r="EC328" s="577">
        <f t="shared" si="323"/>
        <v>1191433.1392716777</v>
      </c>
      <c r="EE328" s="743">
        <v>-22407</v>
      </c>
      <c r="EF328" s="723">
        <f t="shared" si="324"/>
        <v>16370.349451368907</v>
      </c>
      <c r="EH328" s="798">
        <v>-64288.898872674283</v>
      </c>
      <c r="EI328" s="101">
        <f>VLOOKUP(A328,'кошти 01.01.24'!$A$9:$D$352,4,FALSE)</f>
        <v>-20879.416123868843</v>
      </c>
    </row>
    <row r="329" spans="1:139" hidden="1" x14ac:dyDescent="0.3">
      <c r="A329" s="318">
        <v>150000905</v>
      </c>
      <c r="B329" s="43" t="s">
        <v>796</v>
      </c>
      <c r="C329" s="44" t="s">
        <v>426</v>
      </c>
      <c r="D329" s="44" t="s">
        <v>426</v>
      </c>
      <c r="E329" s="39">
        <f t="shared" ref="E329:E353" si="327">F329+H329</f>
        <v>5221.3</v>
      </c>
      <c r="F329" s="205">
        <f>'[1]побудинковий звіт'!F329</f>
        <v>5045.5</v>
      </c>
      <c r="G329" s="29">
        <f>'[1]побудинковий звіт'!G329</f>
        <v>0</v>
      </c>
      <c r="H329" s="148">
        <f>'[1]побудинковий звіт'!H329</f>
        <v>175.8</v>
      </c>
      <c r="I329" s="41">
        <f>'[2]побудинковий звіт'!I329+'[1]побудинковий звіт'!I329</f>
        <v>12087.670704063934</v>
      </c>
      <c r="J329" s="41">
        <f>'[2]побудинковий звіт'!J329+'[1]побудинковий звіт'!J329</f>
        <v>12729.626217593144</v>
      </c>
      <c r="K329" s="55">
        <f t="shared" ref="K329:K354" si="328">J329-I329</f>
        <v>641.95551352921029</v>
      </c>
      <c r="L329" s="41">
        <f>'[2]побудинковий звіт'!L329+'[1]побудинковий звіт'!L329</f>
        <v>2093.3931811554817</v>
      </c>
      <c r="M329" s="41">
        <f>'[2]побудинковий звіт'!M329+'[1]побудинковий звіт'!M329</f>
        <v>2286.4785614053162</v>
      </c>
      <c r="N329" s="55">
        <f t="shared" ref="N329:N354" si="329">M329-L329</f>
        <v>193.08538024983454</v>
      </c>
      <c r="O329" s="41">
        <f>'[2]побудинковий звіт'!O329+'[1]побудинковий звіт'!O329</f>
        <v>7063.7535194285583</v>
      </c>
      <c r="P329" s="41">
        <f>'[2]побудинковий звіт'!P329+'[1]побудинковий звіт'!P329</f>
        <v>7084.2679151879565</v>
      </c>
      <c r="Q329" s="55">
        <f t="shared" ref="Q329:Q354" si="330">P329-O329</f>
        <v>20.514395759398212</v>
      </c>
      <c r="R329" s="41">
        <f>'[2]побудинковий звіт'!R329+'[1]побудинковий звіт'!R329</f>
        <v>1639.2556913980607</v>
      </c>
      <c r="S329" s="41">
        <f>'[2]побудинковий звіт'!S329+'[1]побудинковий звіт'!S329</f>
        <v>1643.2502014716426</v>
      </c>
      <c r="T329" s="55">
        <f t="shared" ref="T329:T354" si="331">S329-R329</f>
        <v>3.9945100735819778</v>
      </c>
      <c r="U329" s="41">
        <f>'[2]побудинковий звіт'!U329+'[1]побудинковий звіт'!U329</f>
        <v>813.3728045669252</v>
      </c>
      <c r="V329" s="41">
        <f>'[2]побудинковий звіт'!V329+'[1]побудинковий звіт'!V329</f>
        <v>598.1324144100688</v>
      </c>
      <c r="W329" s="55">
        <f t="shared" ref="W329:W354" si="332">V329-U329</f>
        <v>-215.24039015685639</v>
      </c>
      <c r="X329" s="41">
        <f>'[2]побудинковий звіт'!X329+'[1]побудинковий звіт'!X329</f>
        <v>7562.2226093590343</v>
      </c>
      <c r="Y329" s="41">
        <f>'[2]побудинковий звіт'!Y329+'[1]побудинковий звіт'!Y329</f>
        <v>7671.3180543903727</v>
      </c>
      <c r="Z329" s="55">
        <f t="shared" ref="Z329:Z354" si="333">Y329-X329</f>
        <v>109.09544503133839</v>
      </c>
      <c r="AA329" s="41">
        <f>'[2]побудинковий звіт'!AA329+'[1]побудинковий звіт'!AA329</f>
        <v>0</v>
      </c>
      <c r="AB329" s="41">
        <f>'[2]побудинковий звіт'!AB329+'[1]побудинковий звіт'!AB329</f>
        <v>0</v>
      </c>
      <c r="AC329" s="55">
        <f t="shared" ref="AC329:AC354" si="334">AB329-AA329</f>
        <v>0</v>
      </c>
      <c r="AD329" s="41">
        <f>'[2]побудинковий звіт'!AD329+'[1]побудинковий звіт'!AD329</f>
        <v>22652.16612168376</v>
      </c>
      <c r="AE329" s="41">
        <f>'[2]побудинковий звіт'!AE329+'[1]побудинковий звіт'!AE329</f>
        <v>22563.847067176663</v>
      </c>
      <c r="AF329" s="36">
        <f t="shared" ref="AF329:AF354" si="335">AE329-AD329</f>
        <v>-88.319054507097462</v>
      </c>
      <c r="AG329" s="84">
        <f t="shared" ref="AG329:AG353" si="336">I329+L329+O329+R329+U329+X329+AA329+AD329</f>
        <v>53911.834631655758</v>
      </c>
      <c r="AH329" s="56">
        <f t="shared" ref="AH329:AH353" si="337">J329+M329+P329+S329+V329+Y329+AB329+AE329</f>
        <v>54576.920431635161</v>
      </c>
      <c r="AI329" s="55">
        <f t="shared" ref="AI329:AI354" si="338">AH329-AG329</f>
        <v>665.08579997940251</v>
      </c>
      <c r="AJ329" s="41">
        <f>'[2]побудинковий звіт'!AJ329+'[1]побудинковий звіт'!AJ329</f>
        <v>39293.300579867806</v>
      </c>
      <c r="AK329" s="41">
        <f>'[2]побудинковий звіт'!AK329+'[1]побудинковий звіт'!AK329</f>
        <v>37097.512457287841</v>
      </c>
      <c r="AL329" s="55">
        <f t="shared" ref="AL329:AL354" si="339">AK329-AJ329</f>
        <v>-2195.7881225799647</v>
      </c>
      <c r="AM329" s="41">
        <f>'[2]побудинковий звіт'!AM329+'[1]побудинковий звіт'!AM329</f>
        <v>0</v>
      </c>
      <c r="AN329" s="41">
        <f>'[2]побудинковий звіт'!AN329+'[1]побудинковий звіт'!AN329</f>
        <v>0</v>
      </c>
      <c r="AO329" s="55">
        <f t="shared" ref="AO329:AO354" si="340">AN329-AM329</f>
        <v>0</v>
      </c>
      <c r="AP329" s="41">
        <f>'[2]побудинковий звіт'!AP329+'[1]побудинковий звіт'!AP329</f>
        <v>3318.5031087324332</v>
      </c>
      <c r="AQ329" s="41">
        <f>'[2]побудинковий звіт'!AQ329+'[1]побудинковий звіт'!AQ329</f>
        <v>0</v>
      </c>
      <c r="AR329" s="55">
        <f t="shared" ref="AR329:AR354" si="341">AQ329-AP329</f>
        <v>-3318.5031087324332</v>
      </c>
      <c r="AS329" s="41">
        <f>'[2]побудинковий звіт'!AS329+'[1]побудинковий звіт'!AS329</f>
        <v>111135.31819239899</v>
      </c>
      <c r="AT329" s="41">
        <f>'[2]побудинковий звіт'!AT329+'[1]побудинковий звіт'!AT329</f>
        <v>75836.319318778114</v>
      </c>
      <c r="AU329" s="57">
        <f t="shared" ref="AU329:AU354" si="342">AT329-AS329</f>
        <v>-35298.998873620876</v>
      </c>
      <c r="AV329" s="41">
        <f>'[2]побудинковий звіт'!AV329+'[1]побудинковий звіт'!AV329</f>
        <v>1393.2660302818961</v>
      </c>
      <c r="AW329" s="41">
        <f>'[2]побудинковий звіт'!AW329+'[1]побудинковий звіт'!AW329</f>
        <v>0</v>
      </c>
      <c r="AX329" s="58">
        <f t="shared" ref="AX329:AX354" si="343">AW329-AV329</f>
        <v>-1393.2660302818961</v>
      </c>
      <c r="AY329" s="41">
        <f>'[2]побудинковий звіт'!AY329+'[1]побудинковий звіт'!AY329</f>
        <v>1474.187233506779</v>
      </c>
      <c r="AZ329" s="41">
        <f>'[2]побудинковий звіт'!AZ329+'[1]побудинковий звіт'!AZ329</f>
        <v>0</v>
      </c>
      <c r="BA329" s="36">
        <f t="shared" ref="BA329:BA354" si="344">AZ329-AY329</f>
        <v>-1474.187233506779</v>
      </c>
      <c r="BB329" s="41">
        <f>'[2]побудинковий звіт'!BB329+'[1]побудинковий звіт'!BB329</f>
        <v>3062.2864157999356</v>
      </c>
      <c r="BC329" s="41">
        <f>'[2]побудинковий звіт'!BC329+'[1]побудинковий звіт'!BC329</f>
        <v>806.97263289390003</v>
      </c>
      <c r="BD329" s="58">
        <f t="shared" ref="BD329:BD354" si="345">BC329-BB329</f>
        <v>-2255.3137829060356</v>
      </c>
      <c r="BE329" s="41">
        <f>'[2]побудинковий звіт'!BE329+'[1]побудинковий звіт'!BE329</f>
        <v>807.2918831414022</v>
      </c>
      <c r="BF329" s="41">
        <f>'[2]побудинковий звіт'!BF329+'[1]побудинковий звіт'!BF329</f>
        <v>0</v>
      </c>
      <c r="BG329" s="38">
        <f t="shared" ref="BG329:BG354" si="346">BF329-BE329</f>
        <v>-807.2918831414022</v>
      </c>
      <c r="BH329" s="41">
        <f>'[2]побудинковий звіт'!BH329+'[1]побудинковий звіт'!BH329</f>
        <v>424.34850048457781</v>
      </c>
      <c r="BI329" s="41">
        <f>'[2]побудинковий звіт'!BI329+'[1]побудинковий звіт'!BI329</f>
        <v>0</v>
      </c>
      <c r="BJ329" s="58">
        <f t="shared" ref="BJ329:BJ354" si="347">BI329-BH329</f>
        <v>-424.34850048457781</v>
      </c>
      <c r="BK329" s="41">
        <f>'[2]побудинковий звіт'!BK329+'[1]побудинковий звіт'!BK329</f>
        <v>1209.0263392780778</v>
      </c>
      <c r="BL329" s="41">
        <f>'[2]побудинковий звіт'!BL329+'[1]побудинковий звіт'!BL329</f>
        <v>12966.987803522154</v>
      </c>
      <c r="BM329" s="38">
        <f t="shared" ref="BM329:BM354" si="348">BL329-BK329</f>
        <v>11757.961464244076</v>
      </c>
      <c r="BN329" s="41">
        <f>'[2]побудинковий звіт'!BN329+'[1]побудинковий звіт'!BN329</f>
        <v>0</v>
      </c>
      <c r="BO329" s="41">
        <f>'[2]побудинковий звіт'!BO329+'[1]побудинковий звіт'!BO329</f>
        <v>0</v>
      </c>
      <c r="BP329" s="58">
        <f t="shared" ref="BP329:BP354" si="349">BO329-BN329</f>
        <v>0</v>
      </c>
      <c r="BQ329" s="84">
        <f t="shared" ref="BQ329:BQ353" si="350">AV329+AY329+BB329+BE329+BH329+BK329+BN329</f>
        <v>8370.4064024926683</v>
      </c>
      <c r="BR329" s="42">
        <f t="shared" ref="BR329:BR353" si="351">AW329+AZ329+BC329+BF329+BI329+BL329+BO329</f>
        <v>13773.960436416053</v>
      </c>
      <c r="BS329" s="58">
        <f t="shared" ref="BS329:BS354" si="352">BR329-BQ329</f>
        <v>5403.5540339233848</v>
      </c>
      <c r="BT329" s="41">
        <f>'[2]побудинковий звіт'!BT329+'[1]побудинковий звіт'!BT329</f>
        <v>27739.474717868128</v>
      </c>
      <c r="BU329" s="41">
        <f>'[2]побудинковий звіт'!BU329+'[1]побудинковий звіт'!BU329</f>
        <v>42088.551236175888</v>
      </c>
      <c r="BV329" s="55">
        <f t="shared" ref="BV329:BV354" si="353">BU329-BT329</f>
        <v>14349.07651830776</v>
      </c>
      <c r="BW329" s="41">
        <f>'[2]побудинковий звіт'!BW329+'[1]побудинковий звіт'!BW329</f>
        <v>49601.204913593028</v>
      </c>
      <c r="BX329" s="41">
        <f>'[2]побудинковий звіт'!BX329+'[1]побудинковий звіт'!BX329</f>
        <v>55630.665157098374</v>
      </c>
      <c r="BY329" s="55">
        <f t="shared" ref="BY329:BY354" si="354">BX329-BW329</f>
        <v>6029.4602435053457</v>
      </c>
      <c r="BZ329" s="41">
        <f>'[2]побудинковий звіт'!BZ329+'[1]побудинковий звіт'!BZ329</f>
        <v>7059.764880835346</v>
      </c>
      <c r="CA329" s="41">
        <f>'[2]побудинковий звіт'!CA329+'[1]побудинковий звіт'!CA329</f>
        <v>4199.3158244788465</v>
      </c>
      <c r="CB329" s="55">
        <f t="shared" ref="CB329:CB354" si="355">CA329-BZ329</f>
        <v>-2860.4490563564996</v>
      </c>
      <c r="CC329" s="41">
        <f>'[2]побудинковий звіт'!CC329+'[1]побудинковий звіт'!CC329</f>
        <v>1314.558776717013</v>
      </c>
      <c r="CD329" s="41">
        <f>'[2]побудинковий звіт'!CD329+'[1]побудинковий звіт'!CD329</f>
        <v>1319.0162988981501</v>
      </c>
      <c r="CE329" s="55">
        <f t="shared" ref="CE329:CE354" si="356">CD329-CC329</f>
        <v>4.4575221811371648</v>
      </c>
      <c r="CF329" s="41">
        <f>'[2]побудинковий звіт'!CF329+'[1]побудинковий звіт'!CF329</f>
        <v>162.86684531189579</v>
      </c>
      <c r="CG329" s="41">
        <f>'[2]побудинковий звіт'!CG329+'[1]побудинковий звіт'!CG329</f>
        <v>0</v>
      </c>
      <c r="CH329" s="55">
        <f t="shared" ref="CH329:CH354" si="357">CG329-CF329</f>
        <v>-162.86684531189579</v>
      </c>
      <c r="CI329" s="41">
        <f>'[2]побудинковий звіт'!CI329+'[1]побудинковий звіт'!CI329</f>
        <v>13459.790471252618</v>
      </c>
      <c r="CJ329" s="41">
        <f>'[2]побудинковий звіт'!CJ329+'[1]побудинковий звіт'!CJ329</f>
        <v>15506.931642134072</v>
      </c>
      <c r="CK329" s="55">
        <f t="shared" ref="CK329:CK354" si="358">CJ329-CI329</f>
        <v>2047.1411708814539</v>
      </c>
      <c r="CL329" s="41">
        <f>'[2]побудинковий звіт'!CL329+'[1]побудинковий звіт'!CL329</f>
        <v>14005.058233632715</v>
      </c>
      <c r="CM329" s="41">
        <f>'[2]побудинковий звіт'!CM329+'[1]побудинковий звіт'!CM329</f>
        <v>19488.60429036901</v>
      </c>
      <c r="CN329" s="55">
        <f t="shared" ref="CN329:CN354" si="359">CM329-CL329</f>
        <v>5483.5460567362952</v>
      </c>
      <c r="CO329" s="41">
        <f t="shared" ref="CO329:CO353" si="360">CI329+CL329</f>
        <v>27464.848704885335</v>
      </c>
      <c r="CP329" s="42">
        <f t="shared" ref="CP329:CP353" si="361">CJ329+CM329</f>
        <v>34995.53593250308</v>
      </c>
      <c r="CQ329" s="55">
        <f t="shared" ref="CQ329:CQ354" si="362">CP329-CO329</f>
        <v>7530.6872276177455</v>
      </c>
      <c r="CR329" s="76">
        <f t="shared" ref="CR329:CR353" si="363">AG329+AJ329+AM329+AP329+AS329+BQ329+BT329+BW329+BZ329+CC329+CF329+CO329</f>
        <v>329372.08175435837</v>
      </c>
      <c r="CS329" s="5">
        <f t="shared" ref="CS329:CS353" si="364">AH329+AK329+AN329+AQ329+AT329+BR329+BU329+BX329+CA329+CD329+CG329+CP329</f>
        <v>319517.79709327151</v>
      </c>
      <c r="CT329" s="55">
        <f t="shared" ref="CT329:CT354" si="365">CS329-CR329</f>
        <v>-9854.2846610868583</v>
      </c>
      <c r="CU329" s="84">
        <f t="shared" ref="CU329:CU353" si="366">CR329*1.2</f>
        <v>395246.49810523004</v>
      </c>
      <c r="CV329" s="68">
        <f t="shared" ref="CV329:CV353" si="367">CS329*1.2</f>
        <v>383421.35651192581</v>
      </c>
      <c r="CW329" s="36">
        <f t="shared" ref="CW329:CW354" si="368">CV329-CU329</f>
        <v>-11825.14159330423</v>
      </c>
      <c r="CX329" s="41">
        <f>'[2]побудинковий звіт'!CX329+'[1]побудинковий звіт'!CX329</f>
        <v>11548.957590307853</v>
      </c>
      <c r="CY329" s="41">
        <f>'[2]побудинковий звіт'!CY329+'[1]побудинковий звіт'!CY329</f>
        <v>23374.099183612114</v>
      </c>
      <c r="CZ329" s="55">
        <f t="shared" ref="CZ329:CZ353" si="369">CY329-CX329</f>
        <v>11825.141593304261</v>
      </c>
      <c r="DA329" s="254">
        <f>'[1]побудинковий звіт'!DA329</f>
        <v>-157206.05065101883</v>
      </c>
      <c r="DB329" s="2">
        <v>3</v>
      </c>
      <c r="DC329" s="702">
        <f>'[1]побудинковий звіт'!DC329</f>
        <v>67884.09</v>
      </c>
      <c r="DD329" s="702">
        <f>'[1]побудинковий звіт'!DD329</f>
        <v>2454.23</v>
      </c>
      <c r="DE329" s="702">
        <f>'[1]побудинковий звіт'!DE329</f>
        <v>24318.229999999996</v>
      </c>
      <c r="DF329" s="702">
        <f>'[1]побудинковий звіт'!DF329</f>
        <v>1427.73</v>
      </c>
      <c r="DG329" s="772">
        <v>-64753.89736678882</v>
      </c>
      <c r="DH329" s="746">
        <f t="shared" si="316"/>
        <v>4881545.4683464551</v>
      </c>
      <c r="DI329" s="769"/>
      <c r="DJ329" s="5"/>
      <c r="DK329" s="307">
        <f>VLOOKUP($A329,ціни!$A$4:$G$401,5)</f>
        <v>5.1778941873449247</v>
      </c>
      <c r="DL329" s="307">
        <f>VLOOKUP($A329,ціни!$A$4:$G$401,6)</f>
        <v>6.1836081891955024</v>
      </c>
      <c r="DM329" s="307">
        <f>VLOOKUP($A329,ціни!$A$4:$G$401,7)</f>
        <v>4.0581384682186332</v>
      </c>
      <c r="DN329" s="29">
        <f t="shared" si="325"/>
        <v>31199.395118585908</v>
      </c>
      <c r="DO329" s="29">
        <f t="shared" si="326"/>
        <v>713.42074271283582</v>
      </c>
      <c r="DP329" s="306">
        <f t="shared" si="317"/>
        <v>31912.815861298743</v>
      </c>
      <c r="DQ329" s="101"/>
      <c r="DR329" s="29">
        <f>VLOOKUP(A329,'ДЗ нас '!$A$1:$C$359,2)</f>
        <v>31199.34</v>
      </c>
      <c r="DS329" s="733">
        <f>VLOOKUP(A329,'ДЗ нежит'!$A$1:$D$153,4,0)</f>
        <v>713.43</v>
      </c>
      <c r="DT329" s="29">
        <f t="shared" si="318"/>
        <v>31912.77</v>
      </c>
      <c r="DU329" s="247">
        <f>VLOOKUP(A329,'новий кошторис с 01.06'!$A$4:$AI$399,35)*1.2</f>
        <v>32078.430169203413</v>
      </c>
      <c r="DV329" s="29">
        <f t="shared" si="319"/>
        <v>-165.66016920341281</v>
      </c>
      <c r="DW329" s="1016">
        <f>'[2]побудинковий звіт'!$DW$9+'[1]побудинковий звіт'!DW329</f>
        <v>918</v>
      </c>
      <c r="DX329" s="101">
        <f>'[1]побудинковий звіт'!DX329</f>
        <v>0</v>
      </c>
      <c r="DY329" s="5">
        <f t="shared" si="320"/>
        <v>143406.86951386998</v>
      </c>
      <c r="DZ329" s="5">
        <f t="shared" si="321"/>
        <v>107532.33570623299</v>
      </c>
      <c r="EA329" s="737">
        <f t="shared" si="322"/>
        <v>25745.959999999995</v>
      </c>
      <c r="EC329" s="577">
        <f t="shared" si="323"/>
        <v>1333623.8183087879</v>
      </c>
      <c r="EE329" s="743">
        <v>90696</v>
      </c>
      <c r="EF329" s="723">
        <f t="shared" si="324"/>
        <v>25942.10263321118</v>
      </c>
      <c r="EH329" s="798">
        <v>-61120.858878045139</v>
      </c>
      <c r="EI329" s="101">
        <f>VLOOKUP(A329,'кошти 01.01.24'!$A$9:$D$352,4,FALSE)</f>
        <v>-145380.90905771457</v>
      </c>
    </row>
    <row r="330" spans="1:139" hidden="1" x14ac:dyDescent="0.3">
      <c r="A330" s="318">
        <v>150000906</v>
      </c>
      <c r="B330" s="43" t="s">
        <v>797</v>
      </c>
      <c r="C330" s="44" t="s">
        <v>406</v>
      </c>
      <c r="D330" s="44" t="s">
        <v>406</v>
      </c>
      <c r="E330" s="39">
        <f t="shared" si="327"/>
        <v>3937.18</v>
      </c>
      <c r="F330" s="205">
        <f>'[1]побудинковий звіт'!F330</f>
        <v>3937.18</v>
      </c>
      <c r="G330" s="29">
        <f>'[1]побудинковий звіт'!G330</f>
        <v>436.6</v>
      </c>
      <c r="H330" s="148">
        <f>'[1]побудинковий звіт'!H330</f>
        <v>0</v>
      </c>
      <c r="I330" s="41">
        <f>'[2]побудинковий звіт'!I330+'[1]побудинковий звіт'!I330</f>
        <v>11424.303993567624</v>
      </c>
      <c r="J330" s="41">
        <f>'[2]побудинковий звіт'!J330+'[1]побудинковий звіт'!J330</f>
        <v>11982.766070908359</v>
      </c>
      <c r="K330" s="55">
        <f t="shared" si="328"/>
        <v>558.46207734073505</v>
      </c>
      <c r="L330" s="41">
        <f>'[2]побудинковий звіт'!L330+'[1]побудинковий звіт'!L330</f>
        <v>2812.9258388635021</v>
      </c>
      <c r="M330" s="41">
        <f>'[2]побудинковий звіт'!M330+'[1]побудинковий звіт'!M330</f>
        <v>3047.864407116524</v>
      </c>
      <c r="N330" s="55">
        <f t="shared" si="329"/>
        <v>234.93856825302191</v>
      </c>
      <c r="O330" s="41">
        <f>'[2]побудинковий звіт'!O330+'[1]побудинковий звіт'!O330</f>
        <v>5311.1277433535206</v>
      </c>
      <c r="P330" s="41">
        <f>'[2]побудинковий звіт'!P330+'[1]побудинковий звіт'!P330</f>
        <v>5325.6113087931808</v>
      </c>
      <c r="Q330" s="55">
        <f t="shared" si="330"/>
        <v>14.483565439660197</v>
      </c>
      <c r="R330" s="41">
        <f>'[2]побудинковий звіт'!R330+'[1]побудинковий звіт'!R330</f>
        <v>1284.9364239581923</v>
      </c>
      <c r="S330" s="41">
        <f>'[2]побудинковий звіт'!S330+'[1]побудинковий звіт'!S330</f>
        <v>1288.1393936402023</v>
      </c>
      <c r="T330" s="55">
        <f t="shared" si="331"/>
        <v>3.2029696820100071</v>
      </c>
      <c r="U330" s="41">
        <f>'[2]побудинковий звіт'!U330+'[1]побудинковий звіт'!U330</f>
        <v>799.99352559665294</v>
      </c>
      <c r="V330" s="41">
        <f>'[2]побудинковий звіт'!V330+'[1]побудинковий звіт'!V330</f>
        <v>553.19680025966068</v>
      </c>
      <c r="W330" s="55">
        <f t="shared" si="332"/>
        <v>-246.79672533699227</v>
      </c>
      <c r="X330" s="41">
        <f>'[2]побудинковий звіт'!X330+'[1]побудинковий звіт'!X330</f>
        <v>9294.3280957232946</v>
      </c>
      <c r="Y330" s="41">
        <f>'[2]побудинковий звіт'!Y330+'[1]побудинковий звіт'!Y330</f>
        <v>9131.6665212133121</v>
      </c>
      <c r="Z330" s="55">
        <f t="shared" si="333"/>
        <v>-162.66157450998253</v>
      </c>
      <c r="AA330" s="41">
        <f>'[2]побудинковий звіт'!AA330+'[1]побудинковий звіт'!AA330</f>
        <v>0</v>
      </c>
      <c r="AB330" s="41">
        <f>'[2]побудинковий звіт'!AB330+'[1]побудинковий звіт'!AB330</f>
        <v>0</v>
      </c>
      <c r="AC330" s="55">
        <f t="shared" si="334"/>
        <v>0</v>
      </c>
      <c r="AD330" s="41">
        <f>'[2]побудинковий звіт'!AD330+'[1]побудинковий звіт'!AD330</f>
        <v>17073.827669455372</v>
      </c>
      <c r="AE330" s="41">
        <f>'[2]побудинковий звіт'!AE330+'[1]побудинковий звіт'!AE330</f>
        <v>17007.534999212949</v>
      </c>
      <c r="AF330" s="36">
        <f t="shared" si="335"/>
        <v>-66.292670242422901</v>
      </c>
      <c r="AG330" s="84">
        <f t="shared" si="336"/>
        <v>48001.44329051816</v>
      </c>
      <c r="AH330" s="56">
        <f t="shared" si="337"/>
        <v>48336.779501144192</v>
      </c>
      <c r="AI330" s="55">
        <f t="shared" si="338"/>
        <v>335.33621062603197</v>
      </c>
      <c r="AJ330" s="41">
        <f>'[2]побудинковий звіт'!AJ330+'[1]побудинковий звіт'!AJ330</f>
        <v>43456.658238435972</v>
      </c>
      <c r="AK330" s="41">
        <f>'[2]побудинковий звіт'!AK330+'[1]побудинковий звіт'!AK330</f>
        <v>41472.929982993068</v>
      </c>
      <c r="AL330" s="55">
        <f t="shared" si="339"/>
        <v>-1983.7282554429039</v>
      </c>
      <c r="AM330" s="41">
        <f>'[2]побудинковий звіт'!AM330+'[1]побудинковий звіт'!AM330</f>
        <v>0</v>
      </c>
      <c r="AN330" s="41">
        <f>'[2]побудинковий звіт'!AN330+'[1]побудинковий звіт'!AN330</f>
        <v>0</v>
      </c>
      <c r="AO330" s="55">
        <f t="shared" si="340"/>
        <v>0</v>
      </c>
      <c r="AP330" s="41">
        <f>'[2]побудинковий звіт'!AP330+'[1]побудинковий звіт'!AP330</f>
        <v>3566.1525944587343</v>
      </c>
      <c r="AQ330" s="41">
        <f>'[2]побудинковий звіт'!AQ330+'[1]побудинковий звіт'!AQ330</f>
        <v>3152.4735047716536</v>
      </c>
      <c r="AR330" s="55">
        <f t="shared" si="341"/>
        <v>-413.6790896870807</v>
      </c>
      <c r="AS330" s="41">
        <f>'[2]побудинковий звіт'!AS330+'[1]побудинковий звіт'!AS330</f>
        <v>113695.87770074466</v>
      </c>
      <c r="AT330" s="41">
        <f>'[2]побудинковий звіт'!AT330+'[1]побудинковий звіт'!AT330</f>
        <v>152012.42021986644</v>
      </c>
      <c r="AU330" s="57">
        <f t="shared" si="342"/>
        <v>38316.54251912178</v>
      </c>
      <c r="AV330" s="41">
        <f>'[2]побудинковий звіт'!AV330+'[1]побудинковий звіт'!AV330</f>
        <v>938.45581215830521</v>
      </c>
      <c r="AW330" s="41">
        <f>'[2]побудинковий звіт'!AW330+'[1]побудинковий звіт'!AW330</f>
        <v>0</v>
      </c>
      <c r="AX330" s="58">
        <f t="shared" si="343"/>
        <v>-938.45581215830521</v>
      </c>
      <c r="AY330" s="41">
        <f>'[2]побудинковий звіт'!AY330+'[1]побудинковий звіт'!AY330</f>
        <v>1406.7188143440633</v>
      </c>
      <c r="AZ330" s="41">
        <f>'[2]побудинковий звіт'!AZ330+'[1]побудинковий звіт'!AZ330</f>
        <v>1796.5116058778501</v>
      </c>
      <c r="BA330" s="36">
        <f t="shared" si="344"/>
        <v>389.79279153378684</v>
      </c>
      <c r="BB330" s="41">
        <f>'[2]побудинковий звіт'!BB330+'[1]побудинковий звіт'!BB330</f>
        <v>1425.5165724337971</v>
      </c>
      <c r="BC330" s="41">
        <f>'[2]побудинковий звіт'!BC330+'[1]побудинковий звіт'!BC330</f>
        <v>2215.6893032767171</v>
      </c>
      <c r="BD330" s="58">
        <f t="shared" si="345"/>
        <v>790.17273084291992</v>
      </c>
      <c r="BE330" s="41">
        <f>'[2]побудинковий звіт'!BE330+'[1]побудинковий звіт'!BE330</f>
        <v>429.95620484517394</v>
      </c>
      <c r="BF330" s="41">
        <f>'[2]побудинковий звіт'!BF330+'[1]побудинковий звіт'!BF330</f>
        <v>0</v>
      </c>
      <c r="BG330" s="38">
        <f t="shared" si="346"/>
        <v>-429.95620484517394</v>
      </c>
      <c r="BH330" s="41">
        <f>'[2]побудинковий звіт'!BH330+'[1]побудинковий звіт'!BH330</f>
        <v>284.4052437837085</v>
      </c>
      <c r="BI330" s="41">
        <f>'[2]побудинковий звіт'!BI330+'[1]побудинковий звіт'!BI330</f>
        <v>0</v>
      </c>
      <c r="BJ330" s="58">
        <f t="shared" si="347"/>
        <v>-284.4052437837085</v>
      </c>
      <c r="BK330" s="41">
        <f>'[2]побудинковий звіт'!BK330+'[1]побудинковий звіт'!BK330</f>
        <v>1184.8947053708725</v>
      </c>
      <c r="BL330" s="41">
        <f>'[2]побудинковий звіт'!BL330+'[1]побудинковий звіт'!BL330</f>
        <v>0</v>
      </c>
      <c r="BM330" s="38">
        <f t="shared" si="348"/>
        <v>-1184.8947053708725</v>
      </c>
      <c r="BN330" s="41">
        <f>'[2]побудинковий звіт'!BN330+'[1]побудинковий звіт'!BN330</f>
        <v>75.290084735242345</v>
      </c>
      <c r="BO330" s="41">
        <f>'[2]побудинковий звіт'!BO330+'[1]побудинковий звіт'!BO330</f>
        <v>4962.5748764399996</v>
      </c>
      <c r="BP330" s="58">
        <f t="shared" si="349"/>
        <v>4887.2847917047575</v>
      </c>
      <c r="BQ330" s="84">
        <f t="shared" si="350"/>
        <v>5745.2374376711623</v>
      </c>
      <c r="BR330" s="42">
        <f t="shared" si="351"/>
        <v>8974.7757855945674</v>
      </c>
      <c r="BS330" s="58">
        <f t="shared" si="352"/>
        <v>3229.5383479234051</v>
      </c>
      <c r="BT330" s="41">
        <f>'[2]побудинковий звіт'!BT330+'[1]побудинковий звіт'!BT330</f>
        <v>24512.052924620646</v>
      </c>
      <c r="BU330" s="41">
        <f>'[2]побудинковий звіт'!BU330+'[1]побудинковий звіт'!BU330</f>
        <v>35864.776301690865</v>
      </c>
      <c r="BV330" s="55">
        <f t="shared" si="353"/>
        <v>11352.723377070219</v>
      </c>
      <c r="BW330" s="41">
        <f>'[2]побудинковий звіт'!BW330+'[1]побудинковий звіт'!BW330</f>
        <v>40598.76464450387</v>
      </c>
      <c r="BX330" s="41">
        <f>'[2]побудинковий звіт'!BX330+'[1]побудинковий звіт'!BX330</f>
        <v>43269.462075536787</v>
      </c>
      <c r="BY330" s="55">
        <f t="shared" si="354"/>
        <v>2670.6974310329169</v>
      </c>
      <c r="BZ330" s="41">
        <f>'[2]побудинковий звіт'!BZ330+'[1]побудинковий звіт'!BZ330</f>
        <v>8804.2444353351966</v>
      </c>
      <c r="CA330" s="41">
        <f>'[2]побудинковий звіт'!CA330+'[1]побудинковий звіт'!CA330</f>
        <v>4053.2522773990554</v>
      </c>
      <c r="CB330" s="55">
        <f t="shared" si="355"/>
        <v>-4750.9921579361417</v>
      </c>
      <c r="CC330" s="41">
        <f>'[2]побудинковий звіт'!CC330+'[1]побудинковий звіт'!CC330</f>
        <v>1467.5422719865187</v>
      </c>
      <c r="CD330" s="41">
        <f>'[2]побудинковий звіт'!CD330+'[1]побудинковий звіт'!CD330</f>
        <v>1472.5185441357746</v>
      </c>
      <c r="CE330" s="55">
        <f t="shared" si="356"/>
        <v>4.9762721492559194</v>
      </c>
      <c r="CF330" s="41">
        <f>'[2]побудинковий звіт'!CF330+'[1]побудинковий звіт'!CF330</f>
        <v>181.82068724017921</v>
      </c>
      <c r="CG330" s="41">
        <f>'[2]побудинковий звіт'!CG330+'[1]побудинковий звіт'!CG330</f>
        <v>0</v>
      </c>
      <c r="CH330" s="55">
        <f t="shared" si="357"/>
        <v>-181.82068724017921</v>
      </c>
      <c r="CI330" s="41">
        <f>'[2]побудинковий звіт'!CI330+'[1]побудинковий звіт'!CI330</f>
        <v>5501.2020761630702</v>
      </c>
      <c r="CJ330" s="41">
        <f>'[2]побудинковий звіт'!CJ330+'[1]побудинковий звіт'!CJ330</f>
        <v>4536.751880450669</v>
      </c>
      <c r="CK330" s="55">
        <f t="shared" si="358"/>
        <v>-964.45019571240118</v>
      </c>
      <c r="CL330" s="41">
        <f>'[2]побудинковий звіт'!CL330+'[1]побудинковий звіт'!CL330</f>
        <v>8199.0165629714938</v>
      </c>
      <c r="CM330" s="41">
        <f>'[2]побудинковий звіт'!CM330+'[1]побудинковий звіт'!CM330</f>
        <v>11954.747287507733</v>
      </c>
      <c r="CN330" s="55">
        <f t="shared" si="359"/>
        <v>3755.730724536239</v>
      </c>
      <c r="CO330" s="41">
        <f t="shared" si="360"/>
        <v>13700.218639134564</v>
      </c>
      <c r="CP330" s="42">
        <f t="shared" si="361"/>
        <v>16491.499167958402</v>
      </c>
      <c r="CQ330" s="55">
        <f t="shared" si="362"/>
        <v>2791.2805288238378</v>
      </c>
      <c r="CR330" s="76">
        <f t="shared" si="363"/>
        <v>303730.0128646497</v>
      </c>
      <c r="CS330" s="5">
        <f t="shared" si="364"/>
        <v>355100.8873610908</v>
      </c>
      <c r="CT330" s="55">
        <f t="shared" si="365"/>
        <v>51370.874496441102</v>
      </c>
      <c r="CU330" s="84">
        <f t="shared" si="366"/>
        <v>364476.01543757966</v>
      </c>
      <c r="CV330" s="68">
        <f t="shared" si="367"/>
        <v>426121.06483330898</v>
      </c>
      <c r="CW330" s="36">
        <f t="shared" si="368"/>
        <v>61645.049395729322</v>
      </c>
      <c r="CX330" s="41">
        <f>'[2]побудинковий звіт'!CX330+'[1]побудинковий звіт'!CX330</f>
        <v>8079.6677245796336</v>
      </c>
      <c r="CY330" s="41">
        <f>'[2]побудинковий звіт'!CY330+'[1]побудинковий звіт'!CY330</f>
        <v>-53565.381671149822</v>
      </c>
      <c r="CZ330" s="55">
        <f t="shared" si="369"/>
        <v>-61645.049395729453</v>
      </c>
      <c r="DA330" s="254">
        <f>'[1]побудинковий звіт'!DA330</f>
        <v>101846.93589232638</v>
      </c>
      <c r="DB330" s="2">
        <v>3</v>
      </c>
      <c r="DC330" s="702">
        <f>'[1]побудинковий звіт'!DC330</f>
        <v>62349.120000000003</v>
      </c>
      <c r="DD330" s="702">
        <f>'[1]побудинковий звіт'!DD330</f>
        <v>0</v>
      </c>
      <c r="DE330" s="702">
        <f>'[1]побудинковий звіт'!DE330</f>
        <v>21590.630000000005</v>
      </c>
      <c r="DF330" s="702">
        <f>'[1]побудинковий звіт'!DF330</f>
        <v>0</v>
      </c>
      <c r="DG330" s="772">
        <v>55113.339395980351</v>
      </c>
      <c r="DH330" s="746">
        <f t="shared" si="316"/>
        <v>4470668.1979459114</v>
      </c>
      <c r="DI330" s="769"/>
      <c r="DJ330" s="5"/>
      <c r="DK330" s="307">
        <f>VLOOKUP($A330,ціни!$A$4:$G$401,5)</f>
        <v>6.1892263626777879</v>
      </c>
      <c r="DL330" s="307">
        <f>VLOOKUP($A330,ціни!$A$4:$G$401,6)</f>
        <v>7.5756691616216321</v>
      </c>
      <c r="DM330" s="307">
        <f>VLOOKUP($A330,ціни!$A$4:$G$401,7)</f>
        <v>5.0288090620344281</v>
      </c>
      <c r="DN330" s="29">
        <f t="shared" si="325"/>
        <v>29221.452183734575</v>
      </c>
      <c r="DO330" s="29">
        <f t="shared" si="326"/>
        <v>0</v>
      </c>
      <c r="DP330" s="306">
        <f t="shared" si="317"/>
        <v>29221.452183734575</v>
      </c>
      <c r="DQ330" s="101"/>
      <c r="DR330" s="29">
        <f>VLOOKUP(A330,'ДЗ нас '!$A$1:$C$359,2)</f>
        <v>29218.28</v>
      </c>
      <c r="DS330" s="733"/>
      <c r="DT330" s="29">
        <f t="shared" si="318"/>
        <v>29218.28</v>
      </c>
      <c r="DU330" s="247">
        <f>VLOOKUP(A330,'новий кошторис с 01.06'!$A$4:$AI$399,35)*1.2</f>
        <v>29301.590598475315</v>
      </c>
      <c r="DV330" s="29">
        <f t="shared" si="319"/>
        <v>-83.31059847531651</v>
      </c>
      <c r="DW330" s="1016">
        <f>'[2]побудинковий звіт'!$DW$9+'[1]побудинковий звіт'!DW330</f>
        <v>909</v>
      </c>
      <c r="DX330" s="101">
        <f>'[1]побудинковий звіт'!DX330</f>
        <v>0</v>
      </c>
      <c r="DY330" s="5">
        <f t="shared" si="320"/>
        <v>143329.33816609898</v>
      </c>
      <c r="DZ330" s="5">
        <f t="shared" si="321"/>
        <v>193184.63520655321</v>
      </c>
      <c r="EA330" s="737">
        <f t="shared" si="322"/>
        <v>21590.630000000005</v>
      </c>
      <c r="EC330" s="577">
        <f t="shared" si="323"/>
        <v>1364350.5324089359</v>
      </c>
      <c r="EE330" s="743">
        <v>-46390</v>
      </c>
      <c r="EF330" s="723">
        <f t="shared" si="324"/>
        <v>8723.3393959803507</v>
      </c>
      <c r="EH330" s="798">
        <v>7286.150284875439</v>
      </c>
      <c r="EI330" s="101">
        <f>VLOOKUP(A330,'кошти 01.01.24'!$A$9:$D$352,4,FALSE)</f>
        <v>40201.886496597013</v>
      </c>
    </row>
    <row r="331" spans="1:139" hidden="1" x14ac:dyDescent="0.3">
      <c r="A331" s="318">
        <v>150000907</v>
      </c>
      <c r="B331" s="43" t="s">
        <v>798</v>
      </c>
      <c r="C331" s="44" t="s">
        <v>407</v>
      </c>
      <c r="D331" s="44" t="s">
        <v>407</v>
      </c>
      <c r="E331" s="39">
        <f t="shared" si="327"/>
        <v>6309.2</v>
      </c>
      <c r="F331" s="205">
        <f>'[1]побудинковий звіт'!F331</f>
        <v>6309.2</v>
      </c>
      <c r="G331" s="29">
        <f>'[1]побудинковий звіт'!G331</f>
        <v>689.99</v>
      </c>
      <c r="H331" s="148">
        <f>'[1]побудинковий звіт'!H331</f>
        <v>0</v>
      </c>
      <c r="I331" s="41">
        <f>'[2]побудинковий звіт'!I331+'[1]побудинковий звіт'!I331</f>
        <v>26440.376490273549</v>
      </c>
      <c r="J331" s="41">
        <f>'[2]побудинковий звіт'!J331+'[1]побудинковий звіт'!J331</f>
        <v>27474.364617422885</v>
      </c>
      <c r="K331" s="55">
        <f t="shared" si="328"/>
        <v>1033.9881271493359</v>
      </c>
      <c r="L331" s="41">
        <f>'[2]побудинковий звіт'!L331+'[1]побудинковий звіт'!L331</f>
        <v>4360.4818547563427</v>
      </c>
      <c r="M331" s="41">
        <f>'[2]побудинковий звіт'!M331+'[1]побудинковий звіт'!M331</f>
        <v>4739.7893791236129</v>
      </c>
      <c r="N331" s="55">
        <f t="shared" si="329"/>
        <v>379.30752436727016</v>
      </c>
      <c r="O331" s="41">
        <f>'[2]побудинковий звіт'!O331+'[1]побудинковий звіт'!O331</f>
        <v>8681.3929388291835</v>
      </c>
      <c r="P331" s="41">
        <f>'[2]побудинковий звіт'!P331+'[1]побудинковий звіт'!P331</f>
        <v>8704.8673040307222</v>
      </c>
      <c r="Q331" s="55">
        <f t="shared" si="330"/>
        <v>23.474365201538603</v>
      </c>
      <c r="R331" s="41">
        <f>'[2]побудинковий звіт'!R331+'[1]побудинковий звіт'!R331</f>
        <v>2050.9043466319076</v>
      </c>
      <c r="S331" s="41">
        <f>'[2]побудинковий звіт'!S331+'[1]побудинковий звіт'!S331</f>
        <v>2058.4108911914818</v>
      </c>
      <c r="T331" s="55">
        <f t="shared" si="331"/>
        <v>7.5065445595741949</v>
      </c>
      <c r="U331" s="41">
        <f>'[2]побудинковий звіт'!U331+'[1]побудинковий звіт'!U331</f>
        <v>1195.4353047003162</v>
      </c>
      <c r="V331" s="41">
        <f>'[2]побудинковий звіт'!V331+'[1]побудинковий звіт'!V331</f>
        <v>827.18578532979791</v>
      </c>
      <c r="W331" s="55">
        <f t="shared" si="332"/>
        <v>-368.24951937051833</v>
      </c>
      <c r="X331" s="41">
        <f>'[2]побудинковий звіт'!X331+'[1]побудинковий звіт'!X331</f>
        <v>10379.999276211583</v>
      </c>
      <c r="Y331" s="41">
        <f>'[2]побудинковий звіт'!Y331+'[1]побудинковий звіт'!Y331</f>
        <v>11262.974897941653</v>
      </c>
      <c r="Z331" s="55">
        <f t="shared" si="333"/>
        <v>882.97562173006918</v>
      </c>
      <c r="AA331" s="41">
        <f>'[2]побудинковий звіт'!AA331+'[1]побудинковий звіт'!AA331</f>
        <v>0</v>
      </c>
      <c r="AB331" s="41">
        <f>'[2]побудинковий звіт'!AB331+'[1]побудинковий звіт'!AB331</f>
        <v>0</v>
      </c>
      <c r="AC331" s="55">
        <f t="shared" si="334"/>
        <v>0</v>
      </c>
      <c r="AD331" s="41">
        <f>'[2]побудинковий звіт'!AD331+'[1]побудинковий звіт'!AD331</f>
        <v>27359.715620784031</v>
      </c>
      <c r="AE331" s="41">
        <f>'[2]побудинковий звіт'!AE331+'[1]побудинковий звіт'!AE331</f>
        <v>27253.505814117758</v>
      </c>
      <c r="AF331" s="36">
        <f t="shared" si="335"/>
        <v>-106.20980666627293</v>
      </c>
      <c r="AG331" s="84">
        <f t="shared" si="336"/>
        <v>80468.305832186918</v>
      </c>
      <c r="AH331" s="56">
        <f t="shared" si="337"/>
        <v>82321.098689157923</v>
      </c>
      <c r="AI331" s="55">
        <f t="shared" si="338"/>
        <v>1852.7928569710057</v>
      </c>
      <c r="AJ331" s="41">
        <f>'[2]побудинковий звіт'!AJ331+'[1]побудинковий звіт'!AJ331</f>
        <v>90534.638401532226</v>
      </c>
      <c r="AK331" s="41">
        <f>'[2]побудинковий звіт'!AK331+'[1]побудинковий звіт'!AK331</f>
        <v>86401.940296798479</v>
      </c>
      <c r="AL331" s="55">
        <f t="shared" si="339"/>
        <v>-4132.6981047337467</v>
      </c>
      <c r="AM331" s="41">
        <f>'[2]побудинковий звіт'!AM331+'[1]побудинковий звіт'!AM331</f>
        <v>0</v>
      </c>
      <c r="AN331" s="41">
        <f>'[2]побудинковий звіт'!AN331+'[1]побудинковий звіт'!AN331</f>
        <v>0</v>
      </c>
      <c r="AO331" s="55">
        <f t="shared" si="340"/>
        <v>0</v>
      </c>
      <c r="AP331" s="41">
        <f>'[2]побудинковий звіт'!AP331+'[1]побудинковий звіт'!AP331</f>
        <v>5349.2288916881016</v>
      </c>
      <c r="AQ331" s="41">
        <f>'[2]побудинковий звіт'!AQ331+'[1]побудинковий звіт'!AQ331</f>
        <v>4826.166852426627</v>
      </c>
      <c r="AR331" s="55">
        <f t="shared" si="341"/>
        <v>-523.06203926147464</v>
      </c>
      <c r="AS331" s="41">
        <f>'[2]побудинковий звіт'!AS331+'[1]побудинковий звіт'!AS331</f>
        <v>125618.49592906385</v>
      </c>
      <c r="AT331" s="41">
        <f>'[2]побудинковий звіт'!AT331+'[1]побудинковий звіт'!AT331</f>
        <v>56555.75316516804</v>
      </c>
      <c r="AU331" s="57">
        <f t="shared" si="342"/>
        <v>-69062.742763895803</v>
      </c>
      <c r="AV331" s="41">
        <f>'[2]побудинковий звіт'!AV331+'[1]побудинковий звіт'!AV331</f>
        <v>2455.6653969428753</v>
      </c>
      <c r="AW331" s="41">
        <f>'[2]побудинковий звіт'!AW331+'[1]побудинковий звіт'!AW331</f>
        <v>0</v>
      </c>
      <c r="AX331" s="58">
        <f t="shared" si="343"/>
        <v>-2455.6653969428753</v>
      </c>
      <c r="AY331" s="41">
        <f>'[2]побудинковий звіт'!AY331+'[1]побудинковий звіт'!AY331</f>
        <v>2883.7158098185346</v>
      </c>
      <c r="AZ331" s="41">
        <f>'[2]побудинковий звіт'!AZ331+'[1]побудинковий звіт'!AZ331</f>
        <v>0</v>
      </c>
      <c r="BA331" s="36">
        <f t="shared" si="344"/>
        <v>-2883.7158098185346</v>
      </c>
      <c r="BB331" s="41">
        <f>'[2]побудинковий звіт'!BB331+'[1]побудинковий звіт'!BB331</f>
        <v>6853.7954990653016</v>
      </c>
      <c r="BC331" s="41">
        <f>'[2]побудинковий звіт'!BC331+'[1]побудинковий звіт'!BC331</f>
        <v>1167.3358808091759</v>
      </c>
      <c r="BD331" s="58">
        <f t="shared" si="345"/>
        <v>-5686.4596182561254</v>
      </c>
      <c r="BE331" s="41">
        <f>'[2]побудинковий звіт'!BE331+'[1]побудинковий звіт'!BE331</f>
        <v>1927.9171199291334</v>
      </c>
      <c r="BF331" s="41">
        <f>'[2]побудинковий звіт'!BF331+'[1]побудинковий звіт'!BF331</f>
        <v>931</v>
      </c>
      <c r="BG331" s="38">
        <f t="shared" si="346"/>
        <v>-996.91711992913338</v>
      </c>
      <c r="BH331" s="41">
        <f>'[2]побудинковий звіт'!BH331+'[1]побудинковий звіт'!BH331</f>
        <v>623.71337521299586</v>
      </c>
      <c r="BI331" s="41">
        <f>'[2]побудинковий звіт'!BI331+'[1]побудинковий звіт'!BI331</f>
        <v>5579.6479540218334</v>
      </c>
      <c r="BJ331" s="58">
        <f t="shared" si="347"/>
        <v>4955.9345788088376</v>
      </c>
      <c r="BK331" s="41">
        <f>'[2]побудинковий звіт'!BK331+'[1]побудинковий звіт'!BK331</f>
        <v>2776.2426137505809</v>
      </c>
      <c r="BL331" s="41">
        <f>'[2]побудинковий звіт'!BL331+'[1]побудинковий звіт'!BL331</f>
        <v>955.74845008242187</v>
      </c>
      <c r="BM331" s="38">
        <f t="shared" si="348"/>
        <v>-1820.494163668159</v>
      </c>
      <c r="BN331" s="41">
        <f>'[2]побудинковий звіт'!BN331+'[1]побудинковий звіт'!BN331</f>
        <v>166.26560379032685</v>
      </c>
      <c r="BO331" s="41">
        <f>'[2]побудинковий звіт'!BO331+'[1]побудинковий звіт'!BO331</f>
        <v>0</v>
      </c>
      <c r="BP331" s="58">
        <f t="shared" si="349"/>
        <v>-166.26560379032685</v>
      </c>
      <c r="BQ331" s="84">
        <f t="shared" si="350"/>
        <v>17687.315418509748</v>
      </c>
      <c r="BR331" s="42">
        <f t="shared" si="351"/>
        <v>8633.7322849134307</v>
      </c>
      <c r="BS331" s="58">
        <f t="shared" si="352"/>
        <v>-9053.5831335963176</v>
      </c>
      <c r="BT331" s="41">
        <f>'[2]побудинковий звіт'!BT331+'[1]побудинковий звіт'!BT331</f>
        <v>43184.059134211748</v>
      </c>
      <c r="BU331" s="41">
        <f>'[2]побудинковий звіт'!BU331+'[1]побудинковий звіт'!BU331</f>
        <v>76155.819803304315</v>
      </c>
      <c r="BV331" s="55">
        <f t="shared" si="353"/>
        <v>32971.760669092568</v>
      </c>
      <c r="BW331" s="41">
        <f>'[2]побудинковий звіт'!BW331+'[1]побудинковий звіт'!BW331</f>
        <v>37627.107466332862</v>
      </c>
      <c r="BX331" s="41">
        <f>'[2]побудинковий звіт'!BX331+'[1]побудинковий звіт'!BX331</f>
        <v>44058.063242804405</v>
      </c>
      <c r="BY331" s="55">
        <f t="shared" si="354"/>
        <v>6430.9557764715428</v>
      </c>
      <c r="BZ331" s="41">
        <f>'[2]побудинковий звіт'!BZ331+'[1]побудинковий звіт'!BZ331</f>
        <v>9809.1009817160175</v>
      </c>
      <c r="CA331" s="41">
        <f>'[2]побудинковий звіт'!CA331+'[1]побудинковий звіт'!CA331</f>
        <v>6680.0571467795917</v>
      </c>
      <c r="CB331" s="55">
        <f t="shared" si="355"/>
        <v>-3129.0438349364258</v>
      </c>
      <c r="CC331" s="41">
        <f>'[2]побудинковий звіт'!CC331+'[1]побудинковий звіт'!CC331</f>
        <v>2404.6806891164865</v>
      </c>
      <c r="CD331" s="41">
        <f>'[2]побудинковий звіт'!CD331+'[1]побудинковий звіт'!CD331</f>
        <v>2412.8346931063725</v>
      </c>
      <c r="CE331" s="55">
        <f t="shared" si="356"/>
        <v>8.1540039898859504</v>
      </c>
      <c r="CF331" s="41">
        <f>'[2]побудинковий звіт'!CF331+'[1]побудинковий звіт'!CF331</f>
        <v>297.92715605834599</v>
      </c>
      <c r="CG331" s="41">
        <f>'[2]побудинковий звіт'!CG331+'[1]побудинковий звіт'!CG331</f>
        <v>0</v>
      </c>
      <c r="CH331" s="55">
        <f t="shared" si="357"/>
        <v>-297.92715605834599</v>
      </c>
      <c r="CI331" s="41">
        <f>'[2]побудинковий звіт'!CI331+'[1]побудинковий звіт'!CI331</f>
        <v>29469.053937731602</v>
      </c>
      <c r="CJ331" s="41">
        <f>'[2]побудинковий звіт'!CJ331+'[1]побудинковий звіт'!CJ331</f>
        <v>21906.730526933265</v>
      </c>
      <c r="CK331" s="55">
        <f t="shared" si="358"/>
        <v>-7562.3234107983371</v>
      </c>
      <c r="CL331" s="41">
        <f>'[2]побудинковий звіт'!CL331+'[1]побудинковий звіт'!CL331</f>
        <v>14329.226874636337</v>
      </c>
      <c r="CM331" s="41">
        <f>'[2]побудинковий звіт'!CM331+'[1]побудинковий звіт'!CM331</f>
        <v>22624.268018302486</v>
      </c>
      <c r="CN331" s="55">
        <f t="shared" si="359"/>
        <v>8295.0411436661489</v>
      </c>
      <c r="CO331" s="41">
        <f t="shared" si="360"/>
        <v>43798.280812367942</v>
      </c>
      <c r="CP331" s="42">
        <f t="shared" si="361"/>
        <v>44530.99854523575</v>
      </c>
      <c r="CQ331" s="55">
        <f t="shared" si="362"/>
        <v>732.71773286780808</v>
      </c>
      <c r="CR331" s="76">
        <f t="shared" si="363"/>
        <v>456779.14071278425</v>
      </c>
      <c r="CS331" s="5">
        <f t="shared" si="364"/>
        <v>412576.46471969492</v>
      </c>
      <c r="CT331" s="55">
        <f t="shared" si="365"/>
        <v>-44202.675993089331</v>
      </c>
      <c r="CU331" s="84">
        <f t="shared" si="366"/>
        <v>548134.96885534108</v>
      </c>
      <c r="CV331" s="68">
        <f t="shared" si="367"/>
        <v>495091.75766363391</v>
      </c>
      <c r="CW331" s="36">
        <f t="shared" si="368"/>
        <v>-53043.211191707174</v>
      </c>
      <c r="CX331" s="41">
        <f>'[2]побудинковий звіт'!CX331+'[1]побудинковий звіт'!CX331</f>
        <v>12215.796738698024</v>
      </c>
      <c r="CY331" s="41">
        <f>'[2]побудинковий звіт'!CY331+'[1]побудинковий звіт'!CY331</f>
        <v>65259.007930405205</v>
      </c>
      <c r="CZ331" s="55">
        <f t="shared" si="369"/>
        <v>53043.211191707182</v>
      </c>
      <c r="DA331" s="254">
        <f>'[1]побудинковий звіт'!DA331</f>
        <v>-54282.859676251333</v>
      </c>
      <c r="DB331" s="2">
        <v>3</v>
      </c>
      <c r="DC331" s="702">
        <f>'[1]побудинковий звіт'!DC331</f>
        <v>68393.240000000005</v>
      </c>
      <c r="DD331" s="702">
        <f>'[1]побудинковий звіт'!DD331</f>
        <v>0</v>
      </c>
      <c r="DE331" s="702">
        <f>'[1]побудинковий звіт'!DE331</f>
        <v>6989.9800000000032</v>
      </c>
      <c r="DF331" s="702">
        <f>'[1]побудинковий звіт'!DF331</f>
        <v>0</v>
      </c>
      <c r="DG331" s="772">
        <v>-8178.6311680877116</v>
      </c>
      <c r="DH331" s="746">
        <f t="shared" si="316"/>
        <v>6724209.1871284693</v>
      </c>
      <c r="DI331" s="769"/>
      <c r="DJ331" s="5"/>
      <c r="DK331" s="307">
        <f>VLOOKUP($A331,ціни!$A$4:$G$401,5)</f>
        <v>5.3860259371296442</v>
      </c>
      <c r="DL331" s="307">
        <f>VLOOKUP($A331,ціни!$A$4:$G$401,6)</f>
        <v>7.1563209055226125</v>
      </c>
      <c r="DM331" s="307">
        <f>VLOOKUP($A331,ціни!$A$4:$G$401,7)</f>
        <v>4.8064439073401326</v>
      </c>
      <c r="DN331" s="29">
        <f t="shared" si="325"/>
        <v>43929.174031881797</v>
      </c>
      <c r="DO331" s="29">
        <f t="shared" si="326"/>
        <v>0</v>
      </c>
      <c r="DP331" s="306">
        <f t="shared" si="317"/>
        <v>43929.174031881797</v>
      </c>
      <c r="DQ331" s="101"/>
      <c r="DR331" s="29">
        <f>VLOOKUP(A331,'ДЗ нас '!$A$1:$C$359,2)</f>
        <v>43929.11</v>
      </c>
      <c r="DS331" s="733"/>
      <c r="DT331" s="29">
        <f t="shared" si="318"/>
        <v>43929.11</v>
      </c>
      <c r="DU331" s="247">
        <f>VLOOKUP(A331,'новий кошторис с 01.06'!$A$4:$AI$399,35)*1.2</f>
        <v>44048.534845143069</v>
      </c>
      <c r="DV331" s="29">
        <f t="shared" si="319"/>
        <v>-119.42484514306852</v>
      </c>
      <c r="DW331" s="1016">
        <f>'[2]побудинковий звіт'!$DW$9+'[1]побудинковий звіт'!DW331</f>
        <v>1400.3999999999999</v>
      </c>
      <c r="DX331" s="101">
        <f>'[1]побудинковий звіт'!DX331</f>
        <v>0</v>
      </c>
      <c r="DY331" s="5">
        <f t="shared" si="320"/>
        <v>171966.97361708831</v>
      </c>
      <c r="DZ331" s="5">
        <f t="shared" si="321"/>
        <v>78227.382540097766</v>
      </c>
      <c r="EA331" s="737">
        <f t="shared" si="322"/>
        <v>6989.9800000000032</v>
      </c>
      <c r="EC331" s="577">
        <f t="shared" si="323"/>
        <v>1507421.9511487661</v>
      </c>
      <c r="EE331" s="743">
        <v>54762</v>
      </c>
      <c r="EF331" s="723">
        <f t="shared" si="324"/>
        <v>46583.368831912288</v>
      </c>
      <c r="EH331" s="798">
        <v>-18992.483769719922</v>
      </c>
      <c r="EI331" s="101">
        <f>VLOOKUP(A331,'кошти 01.01.24'!$A$9:$D$352,4,FALSE)</f>
        <v>-1239.6484845439882</v>
      </c>
    </row>
    <row r="332" spans="1:139" hidden="1" x14ac:dyDescent="0.3">
      <c r="A332" s="318">
        <v>150000908</v>
      </c>
      <c r="B332" s="43" t="s">
        <v>799</v>
      </c>
      <c r="C332" s="44" t="s">
        <v>408</v>
      </c>
      <c r="D332" s="44" t="s">
        <v>408</v>
      </c>
      <c r="E332" s="39">
        <f t="shared" si="327"/>
        <v>6324.72</v>
      </c>
      <c r="F332" s="205">
        <f>'[1]побудинковий звіт'!F332</f>
        <v>6280.52</v>
      </c>
      <c r="G332" s="29">
        <f>'[1]побудинковий звіт'!G332</f>
        <v>653.29</v>
      </c>
      <c r="H332" s="148">
        <f>'[1]побудинковий звіт'!H332</f>
        <v>44.2</v>
      </c>
      <c r="I332" s="41">
        <f>'[2]побудинковий звіт'!I332+'[1]побудинковий звіт'!I332</f>
        <v>26239.286524186988</v>
      </c>
      <c r="J332" s="41">
        <f>'[2]побудинковий звіт'!J332+'[1]побудинковий звіт'!J332</f>
        <v>27330.201859604767</v>
      </c>
      <c r="K332" s="55">
        <f t="shared" si="328"/>
        <v>1090.9153354177797</v>
      </c>
      <c r="L332" s="41">
        <f>'[2]побудинковий звіт'!L332+'[1]побудинковий звіт'!L332</f>
        <v>4401.2127157648965</v>
      </c>
      <c r="M332" s="41">
        <f>'[2]побудинковий звіт'!M332+'[1]побудинковий звіт'!M332</f>
        <v>4774.7950591371009</v>
      </c>
      <c r="N332" s="55">
        <f t="shared" si="329"/>
        <v>373.58234337220438</v>
      </c>
      <c r="O332" s="41">
        <f>'[2]побудинковий звіт'!O332+'[1]побудинковий звіт'!O332</f>
        <v>8701.449881031891</v>
      </c>
      <c r="P332" s="41">
        <f>'[2]побудинковий звіт'!P332+'[1]побудинковий звіт'!P332</f>
        <v>8728.4377695072526</v>
      </c>
      <c r="Q332" s="55">
        <f t="shared" si="330"/>
        <v>26.987888475361615</v>
      </c>
      <c r="R332" s="41">
        <f>'[2]побудинковий звіт'!R332+'[1]побудинковий звіт'!R332</f>
        <v>2044.4317330361598</v>
      </c>
      <c r="S332" s="41">
        <f>'[2]побудинковий звіт'!S332+'[1]побудинковий звіт'!S332</f>
        <v>2049.4481400380632</v>
      </c>
      <c r="T332" s="55">
        <f t="shared" si="331"/>
        <v>5.016407001903417</v>
      </c>
      <c r="U332" s="41">
        <f>'[2]побудинковий звіт'!U332+'[1]побудинковий звіт'!U332</f>
        <v>1195.4353047003162</v>
      </c>
      <c r="V332" s="41">
        <f>'[2]побудинковий звіт'!V332+'[1]побудинковий звіт'!V332</f>
        <v>827.18578532979791</v>
      </c>
      <c r="W332" s="55">
        <f t="shared" si="332"/>
        <v>-368.24951937051833</v>
      </c>
      <c r="X332" s="41">
        <f>'[2]побудинковий звіт'!X332+'[1]побудинковий звіт'!X332</f>
        <v>9991.6591146886822</v>
      </c>
      <c r="Y332" s="41">
        <f>'[2]побудинковий звіт'!Y332+'[1]побудинковий звіт'!Y332</f>
        <v>9995.588652282564</v>
      </c>
      <c r="Z332" s="55">
        <f t="shared" si="333"/>
        <v>3.9295375938818324</v>
      </c>
      <c r="AA332" s="41">
        <f>'[2]побудинковий звіт'!AA332+'[1]побудинковий звіт'!AA332</f>
        <v>0</v>
      </c>
      <c r="AB332" s="41">
        <f>'[2]побудинковий звіт'!AB332+'[1]побудинковий звіт'!AB332</f>
        <v>0</v>
      </c>
      <c r="AC332" s="55">
        <f t="shared" si="334"/>
        <v>0</v>
      </c>
      <c r="AD332" s="41">
        <f>'[2]побудинковий звіт'!AD332+'[1]побудинковий звіт'!AD332</f>
        <v>27432.284989885004</v>
      </c>
      <c r="AE332" s="41">
        <f>'[2]побудинковий звіт'!AE332+'[1]побудинковий звіт'!AE332</f>
        <v>27325.593417283591</v>
      </c>
      <c r="AF332" s="36">
        <f t="shared" si="335"/>
        <v>-106.69157260141219</v>
      </c>
      <c r="AG332" s="84">
        <f t="shared" si="336"/>
        <v>80005.760263293923</v>
      </c>
      <c r="AH332" s="56">
        <f t="shared" si="337"/>
        <v>81031.250683183142</v>
      </c>
      <c r="AI332" s="55">
        <f t="shared" si="338"/>
        <v>1025.4904198892182</v>
      </c>
      <c r="AJ332" s="41">
        <f>'[2]побудинковий звіт'!AJ332+'[1]побудинковий звіт'!AJ332</f>
        <v>86739.878807196772</v>
      </c>
      <c r="AK332" s="41">
        <f>'[2]побудинковий звіт'!AK332+'[1]побудинковий звіт'!AK332</f>
        <v>73039.208654452508</v>
      </c>
      <c r="AL332" s="55">
        <f t="shared" si="339"/>
        <v>-13700.670152744264</v>
      </c>
      <c r="AM332" s="41">
        <f>'[2]побудинковий звіт'!AM332+'[1]побудинковий звіт'!AM332</f>
        <v>605.85684545284585</v>
      </c>
      <c r="AN332" s="41">
        <f>'[2]побудинковий звіт'!AN332+'[1]побудинковий звіт'!AN332</f>
        <v>532.00510021686796</v>
      </c>
      <c r="AO332" s="55">
        <f t="shared" si="340"/>
        <v>-73.851745235977887</v>
      </c>
      <c r="AP332" s="41">
        <f>'[2]побудинковий звіт'!AP332+'[1]побудинковий звіт'!AP332</f>
        <v>5250.169097397581</v>
      </c>
      <c r="AQ332" s="41">
        <f>'[2]побудинковий звіт'!AQ332+'[1]побудинковий звіт'!AQ332</f>
        <v>4596.5990105288029</v>
      </c>
      <c r="AR332" s="55">
        <f t="shared" si="341"/>
        <v>-653.57008686877816</v>
      </c>
      <c r="AS332" s="41">
        <f>'[2]побудинковий звіт'!AS332+'[1]побудинковий звіт'!AS332</f>
        <v>126237.79389540582</v>
      </c>
      <c r="AT332" s="41">
        <f>'[2]побудинковий звіт'!AT332+'[1]побудинковий звіт'!AT332</f>
        <v>18977.390932571347</v>
      </c>
      <c r="AU332" s="57">
        <f t="shared" si="342"/>
        <v>-107260.40296283447</v>
      </c>
      <c r="AV332" s="41">
        <f>'[2]побудинковий звіт'!AV332+'[1]побудинковий звіт'!AV332</f>
        <v>2483.3072207404275</v>
      </c>
      <c r="AW332" s="41">
        <f>'[2]побудинковий звіт'!AW332+'[1]побудинковий звіт'!AW332</f>
        <v>699.26964881168954</v>
      </c>
      <c r="AX332" s="58">
        <f t="shared" si="343"/>
        <v>-1784.0375719287381</v>
      </c>
      <c r="AY332" s="41">
        <f>'[2]побудинковий звіт'!AY332+'[1]побудинковий звіт'!AY332</f>
        <v>2952.8303140795274</v>
      </c>
      <c r="AZ332" s="41">
        <f>'[2]побудинковий звіт'!AZ332+'[1]побудинковий звіт'!AZ332</f>
        <v>2002.4325358207007</v>
      </c>
      <c r="BA332" s="36">
        <f t="shared" si="344"/>
        <v>-950.39777825882675</v>
      </c>
      <c r="BB332" s="41">
        <f>'[2]побудинковий звіт'!BB332+'[1]побудинковий звіт'!BB332</f>
        <v>6763.0598575620024</v>
      </c>
      <c r="BC332" s="41">
        <f>'[2]побудинковий звіт'!BC332+'[1]побудинковий звіт'!BC332</f>
        <v>0</v>
      </c>
      <c r="BD332" s="58">
        <f t="shared" si="345"/>
        <v>-6763.0598575620024</v>
      </c>
      <c r="BE332" s="41">
        <f>'[2]побудинковий звіт'!BE332+'[1]побудинковий звіт'!BE332</f>
        <v>1928.276257543816</v>
      </c>
      <c r="BF332" s="41">
        <f>'[2]побудинковий звіт'!BF332+'[1]побудинковий звіт'!BF332</f>
        <v>9894.0245454838514</v>
      </c>
      <c r="BG332" s="38">
        <f t="shared" si="346"/>
        <v>7965.7482879400359</v>
      </c>
      <c r="BH332" s="41">
        <f>'[2]побудинковий звіт'!BH332+'[1]побудинковий звіт'!BH332</f>
        <v>623.71337521299586</v>
      </c>
      <c r="BI332" s="41">
        <f>'[2]побудинковий звіт'!BI332+'[1]побудинковий звіт'!BI332</f>
        <v>0</v>
      </c>
      <c r="BJ332" s="58">
        <f t="shared" si="347"/>
        <v>-623.71337521299586</v>
      </c>
      <c r="BK332" s="41">
        <f>'[2]побудинковий звіт'!BK332+'[1]побудинковий звіт'!BK332</f>
        <v>2786.9824636532071</v>
      </c>
      <c r="BL332" s="41">
        <f>'[2]побудинковий звіт'!BL332+'[1]побудинковий звіт'!BL332</f>
        <v>3214.6469570142176</v>
      </c>
      <c r="BM332" s="38">
        <f t="shared" si="348"/>
        <v>427.6644933610105</v>
      </c>
      <c r="BN332" s="41">
        <f>'[2]побудинковий звіт'!BN332+'[1]побудинковий звіт'!BN332</f>
        <v>166.26560379032685</v>
      </c>
      <c r="BO332" s="41">
        <f>'[2]побудинковий звіт'!BO332+'[1]побудинковий звіт'!BO332</f>
        <v>0</v>
      </c>
      <c r="BP332" s="58">
        <f t="shared" si="349"/>
        <v>-166.26560379032685</v>
      </c>
      <c r="BQ332" s="84">
        <f t="shared" si="350"/>
        <v>17704.435092582302</v>
      </c>
      <c r="BR332" s="42">
        <f t="shared" si="351"/>
        <v>15810.373687130459</v>
      </c>
      <c r="BS332" s="58">
        <f t="shared" si="352"/>
        <v>-1894.0614054518428</v>
      </c>
      <c r="BT332" s="41">
        <f>'[2]побудинковий звіт'!BT332+'[1]побудинковий звіт'!BT332</f>
        <v>43874.375690907327</v>
      </c>
      <c r="BU332" s="41">
        <f>'[2]побудинковий звіт'!BU332+'[1]побудинковий звіт'!BU332</f>
        <v>65026.110211769548</v>
      </c>
      <c r="BV332" s="55">
        <f t="shared" si="353"/>
        <v>21151.734520862221</v>
      </c>
      <c r="BW332" s="41">
        <f>'[2]побудинковий звіт'!BW332+'[1]побудинковий звіт'!BW332</f>
        <v>41355.676848009556</v>
      </c>
      <c r="BX332" s="41">
        <f>'[2]побудинковий звіт'!BX332+'[1]побудинковий звіт'!BX332</f>
        <v>45283.023047041745</v>
      </c>
      <c r="BY332" s="55">
        <f t="shared" si="354"/>
        <v>3927.3461990321885</v>
      </c>
      <c r="BZ332" s="41">
        <f>'[2]побудинковий звіт'!BZ332+'[1]побудинковий звіт'!BZ332</f>
        <v>9766.6832311255839</v>
      </c>
      <c r="CA332" s="41">
        <f>'[2]побудинковий звіт'!CA332+'[1]побудинковий звіт'!CA332</f>
        <v>5748.8979518622782</v>
      </c>
      <c r="CB332" s="55">
        <f t="shared" si="355"/>
        <v>-4017.7852792633057</v>
      </c>
      <c r="CC332" s="41">
        <f>'[2]побудинковий звіт'!CC332+'[1]побудинковий звіт'!CC332</f>
        <v>2546.6713583786031</v>
      </c>
      <c r="CD332" s="41">
        <f>'[2]побудинковий звіт'!CD332+'[1]побудинковий звіт'!CD332</f>
        <v>2555.3068368897966</v>
      </c>
      <c r="CE332" s="55">
        <f t="shared" si="356"/>
        <v>8.6354785111934689</v>
      </c>
      <c r="CF332" s="41">
        <f>'[2]побудинковий звіт'!CF332+'[1]побудинковий звіт'!CF332</f>
        <v>315.51904527321983</v>
      </c>
      <c r="CG332" s="41">
        <f>'[2]побудинковий звіт'!CG332+'[1]побудинковий звіт'!CG332</f>
        <v>0</v>
      </c>
      <c r="CH332" s="55">
        <f t="shared" si="357"/>
        <v>-315.51904527321983</v>
      </c>
      <c r="CI332" s="41">
        <f>'[2]побудинковий звіт'!CI332+'[1]побудинковий звіт'!CI332</f>
        <v>18414.311008546316</v>
      </c>
      <c r="CJ332" s="41">
        <f>'[2]побудинковий звіт'!CJ332+'[1]побудинковий звіт'!CJ332</f>
        <v>8506.3830794233145</v>
      </c>
      <c r="CK332" s="55">
        <f t="shared" si="358"/>
        <v>-9907.9279291230014</v>
      </c>
      <c r="CL332" s="41">
        <f>'[2]побудинковий звіт'!CL332+'[1]побудинковий звіт'!CL332</f>
        <v>13331.513060778803</v>
      </c>
      <c r="CM332" s="41">
        <f>'[2]побудинковий звіт'!CM332+'[1]побудинковий звіт'!CM332</f>
        <v>19655.332857438851</v>
      </c>
      <c r="CN332" s="55">
        <f t="shared" si="359"/>
        <v>6323.8197966600474</v>
      </c>
      <c r="CO332" s="41">
        <f t="shared" si="360"/>
        <v>31745.824069325121</v>
      </c>
      <c r="CP332" s="42">
        <f t="shared" si="361"/>
        <v>28161.715936862165</v>
      </c>
      <c r="CQ332" s="55">
        <f t="shared" si="362"/>
        <v>-3584.1081324629558</v>
      </c>
      <c r="CR332" s="76">
        <f t="shared" si="363"/>
        <v>446148.64424434863</v>
      </c>
      <c r="CS332" s="5">
        <f t="shared" si="364"/>
        <v>340761.88205250865</v>
      </c>
      <c r="CT332" s="55">
        <f t="shared" si="365"/>
        <v>-105386.76219183998</v>
      </c>
      <c r="CU332" s="84">
        <f t="shared" si="366"/>
        <v>535378.37309321831</v>
      </c>
      <c r="CV332" s="68">
        <f t="shared" si="367"/>
        <v>408914.25846301037</v>
      </c>
      <c r="CW332" s="36">
        <f t="shared" si="368"/>
        <v>-126464.11463020794</v>
      </c>
      <c r="CX332" s="41">
        <f>'[2]побудинковий звіт'!CX332+'[1]побудинковий звіт'!CX332</f>
        <v>2686.7048193521523</v>
      </c>
      <c r="CY332" s="41">
        <f>'[2]побудинковий звіт'!CY332+'[1]побудинковий звіт'!CY332</f>
        <v>129150.81944956031</v>
      </c>
      <c r="CZ332" s="55">
        <f t="shared" si="369"/>
        <v>126464.11463020816</v>
      </c>
      <c r="DA332" s="254">
        <f>'[1]побудинковий звіт'!DA332</f>
        <v>-34251.875245330972</v>
      </c>
      <c r="DB332" s="2">
        <v>3</v>
      </c>
      <c r="DC332" s="702">
        <f>'[1]побудинковий звіт'!DC332</f>
        <v>98791.88</v>
      </c>
      <c r="DD332" s="702">
        <f>'[1]побудинковий звіт'!DD332</f>
        <v>0</v>
      </c>
      <c r="DE332" s="702">
        <f>'[1]побудинковий звіт'!DE332</f>
        <v>42334.890000000007</v>
      </c>
      <c r="DF332" s="702">
        <f>'[1]побудинковий звіт'!DF332</f>
        <v>-290.41000000000003</v>
      </c>
      <c r="DG332" s="772">
        <v>-60486.519906925038</v>
      </c>
      <c r="DH332" s="746">
        <f t="shared" si="316"/>
        <v>6456780.9349508453</v>
      </c>
      <c r="DI332" s="769"/>
      <c r="DJ332" s="5"/>
      <c r="DK332" s="307">
        <f>VLOOKUP($A332,ціни!$A$4:$G$401,5)</f>
        <v>5.2437824865425959</v>
      </c>
      <c r="DL332" s="307">
        <f>VLOOKUP($A332,ціни!$A$4:$G$401,6)</f>
        <v>6.9989410142182269</v>
      </c>
      <c r="DM332" s="307">
        <f>VLOOKUP($A332,ціни!$A$4:$G$401,7)</f>
        <v>4.6037864559490425</v>
      </c>
      <c r="DN332" s="29">
        <f t="shared" si="325"/>
        <v>42810.361504072651</v>
      </c>
      <c r="DO332" s="29">
        <f t="shared" si="326"/>
        <v>203.48736135294769</v>
      </c>
      <c r="DP332" s="306">
        <f t="shared" si="317"/>
        <v>43013.8488654256</v>
      </c>
      <c r="DQ332" s="101"/>
      <c r="DR332" s="29">
        <f>VLOOKUP(A332,'ДЗ нас '!$A$1:$C$359,2)</f>
        <v>42810.17</v>
      </c>
      <c r="DS332" s="733">
        <f>VLOOKUP(A332,'ДЗ нежит'!$A$1:$D$153,4,0)</f>
        <v>203.48</v>
      </c>
      <c r="DT332" s="29">
        <f t="shared" si="318"/>
        <v>43013.65</v>
      </c>
      <c r="DU332" s="247">
        <f>VLOOKUP(A332,'новий кошторис с 01.06'!$A$4:$AI$399,35)*1.2</f>
        <v>43140.983394091862</v>
      </c>
      <c r="DV332" s="29">
        <f t="shared" si="319"/>
        <v>-127.3333940918601</v>
      </c>
      <c r="DW332" s="1016">
        <f>'[2]побудинковий звіт'!$DW$9+'[1]побудинковий звіт'!DW332</f>
        <v>1341</v>
      </c>
      <c r="DX332" s="101">
        <f>'[1]побудинковий звіт'!DX332</f>
        <v>4274.3999999999996</v>
      </c>
      <c r="DY332" s="5">
        <f t="shared" si="320"/>
        <v>172730.67478558572</v>
      </c>
      <c r="DZ332" s="5">
        <f t="shared" si="321"/>
        <v>41745.317543642166</v>
      </c>
      <c r="EA332" s="737">
        <f t="shared" si="322"/>
        <v>42044.480000000003</v>
      </c>
      <c r="EC332" s="577">
        <f t="shared" si="323"/>
        <v>1514853.5267448698</v>
      </c>
      <c r="EE332" s="743">
        <f>75394-904</f>
        <v>74490</v>
      </c>
      <c r="EF332" s="723">
        <f t="shared" si="324"/>
        <v>14003.480093074962</v>
      </c>
      <c r="EH332" s="798">
        <v>166753.84911948023</v>
      </c>
      <c r="EI332" s="101">
        <f>VLOOKUP(A332,'кошти 01.01.24'!$A$9:$D$352,4,FALSE)</f>
        <v>92212.239384876986</v>
      </c>
    </row>
    <row r="333" spans="1:139" hidden="1" x14ac:dyDescent="0.3">
      <c r="A333" s="318">
        <v>150000909</v>
      </c>
      <c r="B333" s="43" t="s">
        <v>800</v>
      </c>
      <c r="C333" s="44" t="s">
        <v>409</v>
      </c>
      <c r="D333" s="44" t="s">
        <v>409</v>
      </c>
      <c r="E333" s="39">
        <f t="shared" si="327"/>
        <v>6336.6</v>
      </c>
      <c r="F333" s="205">
        <f>'[1]побудинковий звіт'!F333</f>
        <v>6336.6</v>
      </c>
      <c r="G333" s="29">
        <f>'[1]побудинковий звіт'!G333</f>
        <v>691.97</v>
      </c>
      <c r="H333" s="148">
        <f>'[1]побудинковий звіт'!H333</f>
        <v>0</v>
      </c>
      <c r="I333" s="41">
        <f>'[2]побудинковий звіт'!I333+'[1]побудинковий звіт'!I333</f>
        <v>26436.877323532568</v>
      </c>
      <c r="J333" s="41">
        <f>'[2]побудинковий звіт'!J333+'[1]побудинковий звіт'!J333</f>
        <v>27525.550861062162</v>
      </c>
      <c r="K333" s="55">
        <f t="shared" si="328"/>
        <v>1088.6735375295939</v>
      </c>
      <c r="L333" s="41">
        <f>'[2]побудинковий звіт'!L333+'[1]побудинковий звіт'!L333</f>
        <v>4348.2802612315518</v>
      </c>
      <c r="M333" s="41">
        <f>'[2]побудинковий звіт'!M333+'[1]побудинковий звіт'!M333</f>
        <v>4726.288298823446</v>
      </c>
      <c r="N333" s="55">
        <f t="shared" si="329"/>
        <v>378.00803759189421</v>
      </c>
      <c r="O333" s="41">
        <f>'[2]побудинковий звіт'!O333+'[1]побудинковий звіт'!O333</f>
        <v>8728.4644038507922</v>
      </c>
      <c r="P333" s="41">
        <f>'[2]побудинковий звіт'!P333+'[1]побудинковий звіт'!P333</f>
        <v>8752.2056882639936</v>
      </c>
      <c r="Q333" s="55">
        <f t="shared" si="330"/>
        <v>23.741284413201356</v>
      </c>
      <c r="R333" s="41">
        <f>'[2]побудинковий звіт'!R333+'[1]побудинковий звіт'!R333</f>
        <v>2119.013711357642</v>
      </c>
      <c r="S333" s="41">
        <f>'[2]побудинковий звіт'!S333+'[1]побудинковий звіт'!S333</f>
        <v>2123.4828540606754</v>
      </c>
      <c r="T333" s="55">
        <f t="shared" si="331"/>
        <v>4.4691427030334125</v>
      </c>
      <c r="U333" s="41">
        <f>'[2]побудинковий звіт'!U333+'[1]побудинковий звіт'!U333</f>
        <v>1195.4353047003162</v>
      </c>
      <c r="V333" s="41">
        <f>'[2]побудинковий звіт'!V333+'[1]побудинковий звіт'!V333</f>
        <v>827.18578532979791</v>
      </c>
      <c r="W333" s="55">
        <f t="shared" si="332"/>
        <v>-368.24951937051833</v>
      </c>
      <c r="X333" s="41">
        <f>'[2]побудинковий звіт'!X333+'[1]побудинковий звіт'!X333</f>
        <v>9812.72096423121</v>
      </c>
      <c r="Y333" s="41">
        <f>'[2]побудинковий звіт'!Y333+'[1]побудинковий звіт'!Y333</f>
        <v>9729.6617195458803</v>
      </c>
      <c r="Z333" s="55">
        <f t="shared" si="333"/>
        <v>-83.059244685329759</v>
      </c>
      <c r="AA333" s="41">
        <f>'[2]побудинковий звіт'!AA333+'[1]побудинковий звіт'!AA333</f>
        <v>0</v>
      </c>
      <c r="AB333" s="41">
        <f>'[2]побудинковий звіт'!AB333+'[1]побудинковий звіт'!AB333</f>
        <v>0</v>
      </c>
      <c r="AC333" s="55">
        <f t="shared" si="334"/>
        <v>0</v>
      </c>
      <c r="AD333" s="41">
        <f>'[2]побудинковий звіт'!AD333+'[1]побудинковий звіт'!AD333</f>
        <v>27478.737915321279</v>
      </c>
      <c r="AE333" s="41">
        <f>'[2]побудинковий звіт'!AE333+'[1]побудинковий звіт'!AE333</f>
        <v>27372.058365758996</v>
      </c>
      <c r="AF333" s="36">
        <f t="shared" si="335"/>
        <v>-106.67954956228277</v>
      </c>
      <c r="AG333" s="84">
        <f t="shared" si="336"/>
        <v>80119.529884225354</v>
      </c>
      <c r="AH333" s="56">
        <f t="shared" si="337"/>
        <v>81056.433572844951</v>
      </c>
      <c r="AI333" s="55">
        <f t="shared" si="338"/>
        <v>936.90368861959723</v>
      </c>
      <c r="AJ333" s="41">
        <f>'[2]побудинковий звіт'!AJ333+'[1]побудинковий звіт'!AJ333</f>
        <v>54197.613711476864</v>
      </c>
      <c r="AK333" s="41">
        <f>'[2]побудинковий звіт'!AK333+'[1]побудинковий звіт'!AK333</f>
        <v>51723.661549153156</v>
      </c>
      <c r="AL333" s="55">
        <f t="shared" si="339"/>
        <v>-2473.9521623237088</v>
      </c>
      <c r="AM333" s="41">
        <f>'[2]побудинковий звіт'!AM333+'[1]побудинковий звіт'!AM333</f>
        <v>908.80628444281319</v>
      </c>
      <c r="AN333" s="41">
        <f>'[2]побудинковий звіт'!AN333+'[1]побудинковий звіт'!AN333</f>
        <v>1578.4235201181791</v>
      </c>
      <c r="AO333" s="55">
        <f t="shared" si="340"/>
        <v>669.61723567536592</v>
      </c>
      <c r="AP333" s="41">
        <f>'[2]побудинковий звіт'!AP333+'[1]побудинковий звіт'!AP333</f>
        <v>5349.2288916881016</v>
      </c>
      <c r="AQ333" s="41">
        <f>'[2]побудинковий звіт'!AQ333+'[1]побудинковий звіт'!AQ333</f>
        <v>4986.0072095728356</v>
      </c>
      <c r="AR333" s="55">
        <f t="shared" si="341"/>
        <v>-363.22168211526605</v>
      </c>
      <c r="AS333" s="41">
        <f>'[2]побудинковий звіт'!AS333+'[1]побудинковий звіт'!AS333</f>
        <v>123808.81425401798</v>
      </c>
      <c r="AT333" s="41">
        <f>'[2]побудинковий звіт'!AT333+'[1]побудинковий звіт'!AT333</f>
        <v>95394.217695385596</v>
      </c>
      <c r="AU333" s="57">
        <f t="shared" si="342"/>
        <v>-28414.596558632387</v>
      </c>
      <c r="AV333" s="41">
        <f>'[2]побудинковий звіт'!AV333+'[1]побудинковий звіт'!AV333</f>
        <v>2390.5318125497588</v>
      </c>
      <c r="AW333" s="41">
        <f>'[2]побудинковий звіт'!AW333+'[1]побудинковий звіт'!AW333</f>
        <v>0</v>
      </c>
      <c r="AX333" s="58">
        <f t="shared" si="343"/>
        <v>-2390.5318125497588</v>
      </c>
      <c r="AY333" s="41">
        <f>'[2]побудинковий звіт'!AY333+'[1]побудинковий звіт'!AY333</f>
        <v>2875.9423653194417</v>
      </c>
      <c r="AZ333" s="41">
        <f>'[2]побудинковий звіт'!AZ333+'[1]побудинковий звіт'!AZ333</f>
        <v>0</v>
      </c>
      <c r="BA333" s="36">
        <f t="shared" si="344"/>
        <v>-2875.9423653194417</v>
      </c>
      <c r="BB333" s="41">
        <f>'[2]побудинковий звіт'!BB333+'[1]побудинковий звіт'!BB333</f>
        <v>7069.1357819391851</v>
      </c>
      <c r="BC333" s="41">
        <f>'[2]побудинковий звіт'!BC333+'[1]побудинковий звіт'!BC333</f>
        <v>0</v>
      </c>
      <c r="BD333" s="58">
        <f t="shared" si="345"/>
        <v>-7069.1357819391851</v>
      </c>
      <c r="BE333" s="41">
        <f>'[2]побудинковий звіт'!BE333+'[1]побудинковий звіт'!BE333</f>
        <v>2301.9788214584678</v>
      </c>
      <c r="BF333" s="41">
        <f>'[2]побудинковий звіт'!BF333+'[1]побудинковий звіт'!BF333</f>
        <v>0</v>
      </c>
      <c r="BG333" s="38">
        <f t="shared" si="346"/>
        <v>-2301.9788214584678</v>
      </c>
      <c r="BH333" s="41">
        <f>'[2]побудинковий звіт'!BH333+'[1]побудинковий звіт'!BH333</f>
        <v>623.71337521299586</v>
      </c>
      <c r="BI333" s="41">
        <f>'[2]побудинковий звіт'!BI333+'[1]побудинковий звіт'!BI333</f>
        <v>0</v>
      </c>
      <c r="BJ333" s="58">
        <f t="shared" si="347"/>
        <v>-623.71337521299586</v>
      </c>
      <c r="BK333" s="41">
        <f>'[2]побудинковий звіт'!BK333+'[1]побудинковий звіт'!BK333</f>
        <v>2761.3718295897838</v>
      </c>
      <c r="BL333" s="41">
        <f>'[2]побудинковий звіт'!BL333+'[1]побудинковий звіт'!BL333</f>
        <v>1917.9951146321905</v>
      </c>
      <c r="BM333" s="38">
        <f t="shared" si="348"/>
        <v>-843.37671495759332</v>
      </c>
      <c r="BN333" s="41">
        <f>'[2]побудинковий звіт'!BN333+'[1]побудинковий звіт'!BN333</f>
        <v>166.26560379032685</v>
      </c>
      <c r="BO333" s="41">
        <f>'[2]побудинковий звіт'!BO333+'[1]побудинковий звіт'!BO333</f>
        <v>8175.1790823560004</v>
      </c>
      <c r="BP333" s="58">
        <f t="shared" si="349"/>
        <v>8008.9134785656734</v>
      </c>
      <c r="BQ333" s="84">
        <f t="shared" si="350"/>
        <v>18188.939589859958</v>
      </c>
      <c r="BR333" s="42">
        <f t="shared" si="351"/>
        <v>10093.174196988191</v>
      </c>
      <c r="BS333" s="58">
        <f t="shared" si="352"/>
        <v>-8095.7653928717664</v>
      </c>
      <c r="BT333" s="41">
        <f>'[2]побудинковий звіт'!BT333+'[1]побудинковий звіт'!BT333</f>
        <v>44657.274485959213</v>
      </c>
      <c r="BU333" s="41">
        <f>'[2]побудинковий звіт'!BU333+'[1]побудинковий звіт'!BU333</f>
        <v>64183.660137476771</v>
      </c>
      <c r="BV333" s="55">
        <f t="shared" si="353"/>
        <v>19526.385651517558</v>
      </c>
      <c r="BW333" s="41">
        <f>'[2]побудинковий звіт'!BW333+'[1]побудинковий звіт'!BW333</f>
        <v>42796.748729657942</v>
      </c>
      <c r="BX333" s="41">
        <f>'[2]побудинковий звіт'!BX333+'[1]побудинковий звіт'!BX333</f>
        <v>46228.224942974259</v>
      </c>
      <c r="BY333" s="55">
        <f t="shared" si="354"/>
        <v>3431.4762133163167</v>
      </c>
      <c r="BZ333" s="41">
        <f>'[2]побудинковий звіт'!BZ333+'[1]побудинковий звіт'!BZ333</f>
        <v>10918.877933491149</v>
      </c>
      <c r="CA333" s="41">
        <f>'[2]побудинковий звіт'!CA333+'[1]побудинковий звіт'!CA333</f>
        <v>4985.8696375001573</v>
      </c>
      <c r="CB333" s="55">
        <f t="shared" si="355"/>
        <v>-5933.0082959909914</v>
      </c>
      <c r="CC333" s="41">
        <f>'[2]побудинковий звіт'!CC333+'[1]побудинковий звіт'!CC333</f>
        <v>2546.0606458226371</v>
      </c>
      <c r="CD333" s="41">
        <f>'[2]побудинковий звіт'!CD333+'[1]побудинковий звіт'!CD333</f>
        <v>2554.6940534756741</v>
      </c>
      <c r="CE333" s="55">
        <f t="shared" si="356"/>
        <v>8.6334076530370112</v>
      </c>
      <c r="CF333" s="41">
        <f>'[2]побудинковий звіт'!CF333+'[1]побудинковий звіт'!CF333</f>
        <v>315.44338123358591</v>
      </c>
      <c r="CG333" s="41">
        <f>'[2]побудинковий звіт'!CG333+'[1]побудинковий звіт'!CG333</f>
        <v>1101.7677194636176</v>
      </c>
      <c r="CH333" s="55">
        <f t="shared" si="357"/>
        <v>786.32433823003169</v>
      </c>
      <c r="CI333" s="41">
        <f>'[2]побудинковий звіт'!CI333+'[1]побудинковий звіт'!CI333</f>
        <v>14897.752371355138</v>
      </c>
      <c r="CJ333" s="41">
        <f>'[2]побудинковий звіт'!CJ333+'[1]побудинковий звіт'!CJ333</f>
        <v>13832.986919034654</v>
      </c>
      <c r="CK333" s="55">
        <f t="shared" si="358"/>
        <v>-1064.7654523204837</v>
      </c>
      <c r="CL333" s="41">
        <f>'[2]побудинковий звіт'!CL333+'[1]побудинковий звіт'!CL333</f>
        <v>22527.729714438901</v>
      </c>
      <c r="CM333" s="41">
        <f>'[2]побудинковий звіт'!CM333+'[1]побудинковий звіт'!CM333</f>
        <v>20739.160650222613</v>
      </c>
      <c r="CN333" s="55">
        <f t="shared" si="359"/>
        <v>-1788.5690642162881</v>
      </c>
      <c r="CO333" s="41">
        <f t="shared" si="360"/>
        <v>37425.482085794036</v>
      </c>
      <c r="CP333" s="42">
        <f t="shared" si="361"/>
        <v>34572.147569257271</v>
      </c>
      <c r="CQ333" s="55">
        <f t="shared" si="362"/>
        <v>-2853.3345165367646</v>
      </c>
      <c r="CR333" s="76">
        <f t="shared" si="363"/>
        <v>421232.81987766962</v>
      </c>
      <c r="CS333" s="5">
        <f t="shared" si="364"/>
        <v>398458.28180421062</v>
      </c>
      <c r="CT333" s="55">
        <f t="shared" si="365"/>
        <v>-22774.538073459</v>
      </c>
      <c r="CU333" s="84">
        <f t="shared" si="366"/>
        <v>505479.3838532035</v>
      </c>
      <c r="CV333" s="68">
        <f t="shared" si="367"/>
        <v>478149.93816505274</v>
      </c>
      <c r="CW333" s="36">
        <f t="shared" si="368"/>
        <v>-27329.445688150765</v>
      </c>
      <c r="CX333" s="41">
        <f>'[2]побудинковий звіт'!CX333+'[1]побудинковий звіт'!CX333</f>
        <v>11292.067096599658</v>
      </c>
      <c r="CY333" s="41">
        <f>'[2]побудинковий звіт'!CY333+'[1]побудинковий звіт'!CY333</f>
        <v>38621.512784750492</v>
      </c>
      <c r="CZ333" s="55">
        <f t="shared" si="369"/>
        <v>27329.445688150834</v>
      </c>
      <c r="DA333" s="254">
        <f>'[1]побудинковий звіт'!DA333</f>
        <v>-53469.164738254847</v>
      </c>
      <c r="DB333" s="2">
        <v>3</v>
      </c>
      <c r="DC333" s="702">
        <f>'[1]побудинковий звіт'!DC333</f>
        <v>138638.56</v>
      </c>
      <c r="DD333" s="702">
        <f>'[1]побудинковий звіт'!DD333</f>
        <v>0</v>
      </c>
      <c r="DE333" s="702">
        <f>'[1]побудинковий звіт'!DE333</f>
        <v>81610.89</v>
      </c>
      <c r="DF333" s="702">
        <f>'[1]побудинковий звіт'!DF333</f>
        <v>0</v>
      </c>
      <c r="DG333" s="772">
        <v>10758.305046991212</v>
      </c>
      <c r="DH333" s="746">
        <f t="shared" si="316"/>
        <v>6201257.4113976378</v>
      </c>
      <c r="DI333" s="769"/>
      <c r="DJ333" s="5"/>
      <c r="DK333" s="307">
        <f>VLOOKUP($A333,ціни!$A$4:$G$401,5)</f>
        <v>5.2080976301342128</v>
      </c>
      <c r="DL333" s="307">
        <f>VLOOKUP($A333,ціни!$A$4:$G$401,6)</f>
        <v>6.5253518145646332</v>
      </c>
      <c r="DM333" s="307">
        <f>VLOOKUP($A333,ціни!$A$4:$G$401,7)</f>
        <v>4.551304042874766</v>
      </c>
      <c r="DN333" s="29">
        <f t="shared" si="325"/>
        <v>40437.043930169937</v>
      </c>
      <c r="DO333" s="29">
        <f t="shared" si="326"/>
        <v>0</v>
      </c>
      <c r="DP333" s="306">
        <f t="shared" si="317"/>
        <v>40437.043930169937</v>
      </c>
      <c r="DQ333" s="101"/>
      <c r="DR333" s="29">
        <f>VLOOKUP(A333,'ДЗ нас '!$A$1:$C$359,2)</f>
        <v>40437.56</v>
      </c>
      <c r="DS333" s="733"/>
      <c r="DT333" s="29">
        <f t="shared" si="318"/>
        <v>40437.56</v>
      </c>
      <c r="DU333" s="247">
        <f>VLOOKUP(A333,'новий кошторис с 01.06'!$A$4:$AI$399,35)*1.2</f>
        <v>40547.334346231924</v>
      </c>
      <c r="DV333" s="29">
        <f t="shared" si="319"/>
        <v>-109.77434623192676</v>
      </c>
      <c r="DW333" s="1016">
        <f>'[2]побудинковий звіт'!$DW$9+'[1]побудинковий звіт'!DW333</f>
        <v>1044</v>
      </c>
      <c r="DX333" s="101">
        <f>'[1]побудинковий звіт'!DX333</f>
        <v>0</v>
      </c>
      <c r="DY333" s="5">
        <f t="shared" si="320"/>
        <v>170397.3046126535</v>
      </c>
      <c r="DZ333" s="5">
        <f t="shared" si="321"/>
        <v>126584.87027084855</v>
      </c>
      <c r="EA333" s="737">
        <f t="shared" si="322"/>
        <v>81610.89</v>
      </c>
      <c r="EC333" s="577">
        <f t="shared" si="323"/>
        <v>1485705.7710482157</v>
      </c>
      <c r="EE333" s="743">
        <v>-22231</v>
      </c>
      <c r="EF333" s="723">
        <f t="shared" si="324"/>
        <v>-11472.694953008788</v>
      </c>
      <c r="EH333" s="798">
        <v>45540.932300624503</v>
      </c>
      <c r="EI333" s="101">
        <f>VLOOKUP(A333,'кошти 01.01.24'!$A$9:$D$352,4,FALSE)</f>
        <v>-26139.719050104071</v>
      </c>
    </row>
    <row r="334" spans="1:139" hidden="1" x14ac:dyDescent="0.3">
      <c r="A334" s="318">
        <v>150000910</v>
      </c>
      <c r="B334" s="43" t="s">
        <v>801</v>
      </c>
      <c r="C334" s="44" t="s">
        <v>410</v>
      </c>
      <c r="D334" s="44" t="s">
        <v>410</v>
      </c>
      <c r="E334" s="39">
        <f t="shared" si="327"/>
        <v>6347.25</v>
      </c>
      <c r="F334" s="205">
        <f>'[1]побудинковий звіт'!F334</f>
        <v>6232.15</v>
      </c>
      <c r="G334" s="29">
        <f>'[1]побудинковий звіт'!G334</f>
        <v>576.05999999999995</v>
      </c>
      <c r="H334" s="148">
        <f>'[1]побудинковий звіт'!H334</f>
        <v>115.1</v>
      </c>
      <c r="I334" s="41">
        <f>'[2]побудинковий звіт'!I334+'[1]побудинковий звіт'!I334</f>
        <v>26094.163387901757</v>
      </c>
      <c r="J334" s="41">
        <f>'[2]побудинковий звіт'!J334+'[1]побудинковий звіт'!J334</f>
        <v>27113.923718604157</v>
      </c>
      <c r="K334" s="55">
        <f t="shared" si="328"/>
        <v>1019.7603307024001</v>
      </c>
      <c r="L334" s="41">
        <f>'[2]побудинковий звіт'!L334+'[1]побудинковий звіт'!L334</f>
        <v>4182.4977927428126</v>
      </c>
      <c r="M334" s="41">
        <f>'[2]побудинковий звіт'!M334+'[1]побудинковий звіт'!M334</f>
        <v>4541.0582145168437</v>
      </c>
      <c r="N334" s="55">
        <f t="shared" si="329"/>
        <v>358.56042177403106</v>
      </c>
      <c r="O334" s="41">
        <f>'[2]побудинковий звіт'!O334+'[1]побудинковий звіт'!O334</f>
        <v>8731.2892743197608</v>
      </c>
      <c r="P334" s="41">
        <f>'[2]побудинковий звіт'!P334+'[1]побудинковий звіт'!P334</f>
        <v>8757.3792361260621</v>
      </c>
      <c r="Q334" s="55">
        <f t="shared" si="330"/>
        <v>26.089961806301289</v>
      </c>
      <c r="R334" s="41">
        <f>'[2]побудинковий звіт'!R334+'[1]побудинковий звіт'!R334</f>
        <v>2061.8123466319071</v>
      </c>
      <c r="S334" s="41">
        <f>'[2]побудинковий звіт'!S334+'[1]побудинковий звіт'!S334</f>
        <v>2068.4108911914818</v>
      </c>
      <c r="T334" s="55">
        <f t="shared" si="331"/>
        <v>6.5985445595747478</v>
      </c>
      <c r="U334" s="41">
        <f>'[2]побудинковий звіт'!U334+'[1]побудинковий звіт'!U334</f>
        <v>1195.4353047003162</v>
      </c>
      <c r="V334" s="41">
        <f>'[2]побудинковий звіт'!V334+'[1]побудинковий звіт'!V334</f>
        <v>827.18578532979791</v>
      </c>
      <c r="W334" s="55">
        <f t="shared" si="332"/>
        <v>-368.24951937051833</v>
      </c>
      <c r="X334" s="41">
        <f>'[2]побудинковий звіт'!X334+'[1]побудинковий звіт'!X334</f>
        <v>9883.3265490881895</v>
      </c>
      <c r="Y334" s="41">
        <f>'[2]побудинковий звіт'!Y334+'[1]побудинковий звіт'!Y334</f>
        <v>10324.953077375178</v>
      </c>
      <c r="Z334" s="55">
        <f t="shared" si="333"/>
        <v>441.6265282869881</v>
      </c>
      <c r="AA334" s="41">
        <f>'[2]побудинковий звіт'!AA334+'[1]побудинковий звіт'!AA334</f>
        <v>0</v>
      </c>
      <c r="AB334" s="41">
        <f>'[2]побудинковий звіт'!AB334+'[1]побудинковий звіт'!AB334</f>
        <v>0</v>
      </c>
      <c r="AC334" s="55">
        <f t="shared" si="334"/>
        <v>0</v>
      </c>
      <c r="AD334" s="41">
        <f>'[2]побудинковий звіт'!AD334+'[1]побудинковий звіт'!AD334</f>
        <v>27530.364515427271</v>
      </c>
      <c r="AE334" s="41">
        <f>'[2]побудинковий звіт'!AE334+'[1]побудинковий звіт'!AE334</f>
        <v>27423.277819005263</v>
      </c>
      <c r="AF334" s="36">
        <f t="shared" si="335"/>
        <v>-107.08669642200766</v>
      </c>
      <c r="AG334" s="84">
        <f t="shared" si="336"/>
        <v>79678.889170812021</v>
      </c>
      <c r="AH334" s="56">
        <f t="shared" si="337"/>
        <v>81056.188742148777</v>
      </c>
      <c r="AI334" s="55">
        <f t="shared" si="338"/>
        <v>1377.2995713367563</v>
      </c>
      <c r="AJ334" s="41">
        <f>'[2]побудинковий звіт'!AJ334+'[1]побудинковий звіт'!AJ334</f>
        <v>55650.930368086934</v>
      </c>
      <c r="AK334" s="41">
        <f>'[2]побудинковий звіт'!AK334+'[1]побудинковий звіт'!AK334</f>
        <v>51536.337200671092</v>
      </c>
      <c r="AL334" s="55">
        <f t="shared" si="339"/>
        <v>-4114.5931674158419</v>
      </c>
      <c r="AM334" s="41">
        <f>'[2]побудинковий звіт'!AM334+'[1]побудинковий звіт'!AM334</f>
        <v>908.80628444281319</v>
      </c>
      <c r="AN334" s="41">
        <f>'[2]побудинковий звіт'!AN334+'[1]побудинковий звіт'!AN334</f>
        <v>3815.1980167986312</v>
      </c>
      <c r="AO334" s="55">
        <f t="shared" si="340"/>
        <v>2906.391732355818</v>
      </c>
      <c r="AP334" s="41">
        <f>'[2]побудинковий звіт'!AP334+'[1]побудинковий звіт'!AP334</f>
        <v>5250.169097397581</v>
      </c>
      <c r="AQ334" s="41">
        <f>'[2]побудинковий звіт'!AQ334+'[1]побудинковий звіт'!AQ334</f>
        <v>4836.5396569998447</v>
      </c>
      <c r="AR334" s="55">
        <f t="shared" si="341"/>
        <v>-413.62944039773629</v>
      </c>
      <c r="AS334" s="41">
        <f>'[2]побудинковий звіт'!AS334+'[1]побудинковий звіт'!AS334</f>
        <v>119164.36029592986</v>
      </c>
      <c r="AT334" s="41">
        <f>'[2]побудинковий звіт'!AT334+'[1]побудинковий звіт'!AT334</f>
        <v>21838.473479749628</v>
      </c>
      <c r="AU334" s="57">
        <f t="shared" si="342"/>
        <v>-97325.886816180224</v>
      </c>
      <c r="AV334" s="41">
        <f>'[2]побудинковий звіт'!AV334+'[1]побудинковий звіт'!AV334</f>
        <v>2488.3653087550224</v>
      </c>
      <c r="AW334" s="41">
        <f>'[2]побудинковий звіт'!AW334+'[1]побудинковий звіт'!AW334</f>
        <v>0</v>
      </c>
      <c r="AX334" s="58">
        <f t="shared" si="343"/>
        <v>-2488.3653087550224</v>
      </c>
      <c r="AY334" s="41">
        <f>'[2]побудинковий звіт'!AY334+'[1]побудинковий звіт'!AY334</f>
        <v>2879.8903702914722</v>
      </c>
      <c r="AZ334" s="41">
        <f>'[2]побудинковий звіт'!AZ334+'[1]побудинковий звіт'!AZ334</f>
        <v>3303.2015722511933</v>
      </c>
      <c r="BA334" s="36">
        <f t="shared" si="344"/>
        <v>423.31120195972107</v>
      </c>
      <c r="BB334" s="41">
        <f>'[2]побудинковий звіт'!BB334+'[1]побудинковий звіт'!BB334</f>
        <v>6452.6684244128846</v>
      </c>
      <c r="BC334" s="41">
        <f>'[2]побудинковий звіт'!BC334+'[1]побудинковий звіт'!BC334</f>
        <v>2578.7466017190914</v>
      </c>
      <c r="BD334" s="58">
        <f t="shared" si="345"/>
        <v>-3873.9218226937933</v>
      </c>
      <c r="BE334" s="41">
        <f>'[2]побудинковий звіт'!BE334+'[1]побудинковий звіт'!BE334</f>
        <v>1938.4109595826142</v>
      </c>
      <c r="BF334" s="41">
        <f>'[2]побудинковий звіт'!BF334+'[1]побудинковий звіт'!BF334</f>
        <v>353.86828631974277</v>
      </c>
      <c r="BG334" s="38">
        <f t="shared" si="346"/>
        <v>-1584.5426732628714</v>
      </c>
      <c r="BH334" s="41">
        <f>'[2]побудинковий звіт'!BH334+'[1]побудинковий звіт'!BH334</f>
        <v>623.71337521299586</v>
      </c>
      <c r="BI334" s="41">
        <f>'[2]побудинковий звіт'!BI334+'[1]побудинковий звіт'!BI334</f>
        <v>0</v>
      </c>
      <c r="BJ334" s="58">
        <f t="shared" si="347"/>
        <v>-623.71337521299586</v>
      </c>
      <c r="BK334" s="41">
        <f>'[2]побудинковий звіт'!BK334+'[1]побудинковий звіт'!BK334</f>
        <v>2769.8713400131587</v>
      </c>
      <c r="BL334" s="41">
        <f>'[2]побудинковий звіт'!BL334+'[1]побудинковий звіт'!BL334</f>
        <v>17983.390454416014</v>
      </c>
      <c r="BM334" s="38">
        <f t="shared" si="348"/>
        <v>15213.519114402856</v>
      </c>
      <c r="BN334" s="41">
        <f>'[2]побудинковий звіт'!BN334+'[1]побудинковий звіт'!BN334</f>
        <v>166.26560379032685</v>
      </c>
      <c r="BO334" s="41">
        <f>'[2]побудинковий звіт'!BO334+'[1]побудинковий звіт'!BO334</f>
        <v>0</v>
      </c>
      <c r="BP334" s="58">
        <f t="shared" si="349"/>
        <v>-166.26560379032685</v>
      </c>
      <c r="BQ334" s="84">
        <f t="shared" si="350"/>
        <v>17319.185382058473</v>
      </c>
      <c r="BR334" s="42">
        <f t="shared" si="351"/>
        <v>24219.206914706039</v>
      </c>
      <c r="BS334" s="58">
        <f t="shared" si="352"/>
        <v>6900.0215326475663</v>
      </c>
      <c r="BT334" s="41">
        <f>'[2]побудинковий звіт'!BT334+'[1]побудинковий звіт'!BT334</f>
        <v>42459.912181643151</v>
      </c>
      <c r="BU334" s="41">
        <f>'[2]побудинковий звіт'!BU334+'[1]побудинковий звіт'!BU334</f>
        <v>67527.99231808832</v>
      </c>
      <c r="BV334" s="55">
        <f t="shared" si="353"/>
        <v>25068.080136445169</v>
      </c>
      <c r="BW334" s="41">
        <f>'[2]побудинковий звіт'!BW334+'[1]побудинковий звіт'!BW334</f>
        <v>36946.743456274729</v>
      </c>
      <c r="BX334" s="41">
        <f>'[2]побудинковий звіт'!BX334+'[1]побудинковий звіт'!BX334</f>
        <v>40167.838759325336</v>
      </c>
      <c r="BY334" s="55">
        <f t="shared" si="354"/>
        <v>3221.0953030506062</v>
      </c>
      <c r="BZ334" s="41">
        <f>'[2]побудинковий звіт'!BZ334+'[1]побудинковий звіт'!BZ334</f>
        <v>11174.921200683499</v>
      </c>
      <c r="CA334" s="41">
        <f>'[2]побудинковий звіт'!CA334+'[1]побудинковий звіт'!CA334</f>
        <v>4917.9773852535127</v>
      </c>
      <c r="CB334" s="55">
        <f t="shared" si="355"/>
        <v>-6256.943815429986</v>
      </c>
      <c r="CC334" s="41">
        <f>'[2]побудинковий звіт'!CC334+'[1]побудинковий звіт'!CC334</f>
        <v>2368.0379357585216</v>
      </c>
      <c r="CD334" s="41">
        <f>'[2]побудинковий звіт'!CD334+'[1]побудинковий звіт'!CD334</f>
        <v>2376.0676882590369</v>
      </c>
      <c r="CE334" s="55">
        <f t="shared" si="356"/>
        <v>8.0297525005153148</v>
      </c>
      <c r="CF334" s="41">
        <f>'[2]побудинковий звіт'!CF334+'[1]побудинковий звіт'!CF334</f>
        <v>293.38731368031404</v>
      </c>
      <c r="CG334" s="41">
        <f>'[2]побудинковий звіт'!CG334+'[1]побудинковий звіт'!CG334</f>
        <v>0</v>
      </c>
      <c r="CH334" s="55">
        <f t="shared" si="357"/>
        <v>-293.38731368031404</v>
      </c>
      <c r="CI334" s="41">
        <f>'[2]побудинковий звіт'!CI334+'[1]побудинковий звіт'!CI334</f>
        <v>27635.921692614695</v>
      </c>
      <c r="CJ334" s="41">
        <f>'[2]побудинковий звіт'!CJ334+'[1]побудинковий звіт'!CJ334</f>
        <v>35583.794657337603</v>
      </c>
      <c r="CK334" s="55">
        <f t="shared" si="358"/>
        <v>7947.8729647229084</v>
      </c>
      <c r="CL334" s="41">
        <f>'[2]побудинковий звіт'!CL334+'[1]побудинковий звіт'!CL334</f>
        <v>14675.164867150474</v>
      </c>
      <c r="CM334" s="41">
        <f>'[2]побудинковий звіт'!CM334+'[1]побудинковий звіт'!CM334</f>
        <v>23592.795825781228</v>
      </c>
      <c r="CN334" s="55">
        <f t="shared" si="359"/>
        <v>8917.6309586307543</v>
      </c>
      <c r="CO334" s="41">
        <f t="shared" si="360"/>
        <v>42311.086559765172</v>
      </c>
      <c r="CP334" s="42">
        <f t="shared" si="361"/>
        <v>59176.590483118831</v>
      </c>
      <c r="CQ334" s="55">
        <f t="shared" si="362"/>
        <v>16865.503923353659</v>
      </c>
      <c r="CR334" s="76">
        <f t="shared" si="363"/>
        <v>413526.42924653308</v>
      </c>
      <c r="CS334" s="5">
        <f t="shared" si="364"/>
        <v>361468.41064511909</v>
      </c>
      <c r="CT334" s="55">
        <f t="shared" si="365"/>
        <v>-52058.018601413991</v>
      </c>
      <c r="CU334" s="84">
        <f t="shared" si="366"/>
        <v>496231.7150958397</v>
      </c>
      <c r="CV334" s="68">
        <f t="shared" si="367"/>
        <v>433762.09277414292</v>
      </c>
      <c r="CW334" s="36">
        <f t="shared" si="368"/>
        <v>-62469.622321696777</v>
      </c>
      <c r="CX334" s="41">
        <f>'[2]побудинковий звіт'!CX334+'[1]побудинковий звіт'!CX334</f>
        <v>11008.456310962858</v>
      </c>
      <c r="CY334" s="41">
        <f>'[2]побудинковий звіт'!CY334+'[1]побудинковий звіт'!CY334</f>
        <v>73478.078632659672</v>
      </c>
      <c r="CZ334" s="55">
        <f t="shared" si="369"/>
        <v>62469.622321696814</v>
      </c>
      <c r="DA334" s="254">
        <f>'[1]побудинковий звіт'!DA334</f>
        <v>-29610.773721889738</v>
      </c>
      <c r="DB334" s="2">
        <v>3</v>
      </c>
      <c r="DC334" s="702">
        <f>'[1]побудинковий звіт'!DC334</f>
        <v>102985.13</v>
      </c>
      <c r="DD334" s="702">
        <f>'[1]побудинковий звіт'!DD334</f>
        <v>0</v>
      </c>
      <c r="DE334" s="702">
        <f>'[1]побудинковий звіт'!DE334</f>
        <v>48237.240000000005</v>
      </c>
      <c r="DF334" s="702">
        <f>'[1]побудинковий звіт'!DF334</f>
        <v>-705.56</v>
      </c>
      <c r="DG334" s="772">
        <v>15834.641803115141</v>
      </c>
      <c r="DH334" s="746">
        <f t="shared" si="316"/>
        <v>6086882.0568816308</v>
      </c>
      <c r="DI334" s="769"/>
      <c r="DJ334" s="5"/>
      <c r="DK334" s="307">
        <f>VLOOKUP($A334,ціни!$A$4:$G$401,5)</f>
        <v>5.2631576008344529</v>
      </c>
      <c r="DL334" s="307">
        <f>VLOOKUP($A334,ціни!$A$4:$G$401,6)</f>
        <v>6.404074630678072</v>
      </c>
      <c r="DM334" s="307">
        <f>VLOOKUP($A334,ціни!$A$4:$G$401,7)</f>
        <v>4.6865611955464042</v>
      </c>
      <c r="DN334" s="29">
        <f t="shared" si="325"/>
        <v>39253.917045368631</v>
      </c>
      <c r="DO334" s="29">
        <f t="shared" si="326"/>
        <v>539.42319360739111</v>
      </c>
      <c r="DP334" s="306">
        <f t="shared" si="317"/>
        <v>39793.340238976023</v>
      </c>
      <c r="DQ334" s="101"/>
      <c r="DR334" s="29">
        <f>VLOOKUP(A334,'ДЗ нас '!$A$1:$C$359,2)</f>
        <v>39254.160000000003</v>
      </c>
      <c r="DS334" s="733">
        <f>VLOOKUP(A334,'ДЗ нежит'!$A$1:$D$153,4,0)</f>
        <v>539.41999999999996</v>
      </c>
      <c r="DT334" s="29">
        <f t="shared" si="318"/>
        <v>39793.58</v>
      </c>
      <c r="DU334" s="247">
        <f>VLOOKUP(A334,'новий кошторис с 01.06'!$A$4:$AI$399,35)*1.2</f>
        <v>39911.598323226593</v>
      </c>
      <c r="DV334" s="29">
        <f t="shared" si="319"/>
        <v>-118.01832322659175</v>
      </c>
      <c r="DW334" s="1016">
        <f>'[2]побудинковий звіт'!$DW$9+'[1]побудинковий звіт'!DW334</f>
        <v>1044</v>
      </c>
      <c r="DX334" s="101">
        <f>'[1]побудинковий звіт'!DX334</f>
        <v>0</v>
      </c>
      <c r="DY334" s="5">
        <f t="shared" si="320"/>
        <v>163780.25481358598</v>
      </c>
      <c r="DZ334" s="5">
        <f t="shared" si="321"/>
        <v>55269.216473346802</v>
      </c>
      <c r="EA334" s="737">
        <f t="shared" si="322"/>
        <v>47531.680000000008</v>
      </c>
      <c r="EC334" s="577">
        <f t="shared" si="323"/>
        <v>1429972.3235511584</v>
      </c>
      <c r="EE334" s="743">
        <v>44811</v>
      </c>
      <c r="EF334" s="723">
        <f t="shared" si="324"/>
        <v>60645.641803115141</v>
      </c>
      <c r="EH334" s="798">
        <v>-61725.675027022167</v>
      </c>
      <c r="EI334" s="101">
        <f>VLOOKUP(A334,'кошти 01.01.24'!$A$9:$D$352,4,FALSE)</f>
        <v>32858.848599807032</v>
      </c>
    </row>
    <row r="335" spans="1:139" hidden="1" x14ac:dyDescent="0.3">
      <c r="A335" s="318">
        <v>150000911</v>
      </c>
      <c r="B335" s="43" t="s">
        <v>802</v>
      </c>
      <c r="C335" s="44" t="s">
        <v>318</v>
      </c>
      <c r="D335" s="44" t="s">
        <v>318</v>
      </c>
      <c r="E335" s="39">
        <f t="shared" si="327"/>
        <v>5865.08</v>
      </c>
      <c r="F335" s="205">
        <f>'[1]побудинковий звіт'!F335</f>
        <v>5865.08</v>
      </c>
      <c r="G335" s="29">
        <f>'[1]побудинковий звіт'!G335</f>
        <v>0</v>
      </c>
      <c r="H335" s="148">
        <f>'[1]побудинковий звіт'!H335</f>
        <v>0</v>
      </c>
      <c r="I335" s="41">
        <f>'[2]побудинковий звіт'!I335+'[1]побудинковий звіт'!I335</f>
        <v>21433.269777232683</v>
      </c>
      <c r="J335" s="41">
        <f>'[2]побудинковий звіт'!J335+'[1]побудинковий звіт'!J335</f>
        <v>22262.623674595125</v>
      </c>
      <c r="K335" s="55">
        <f t="shared" si="328"/>
        <v>829.35389736244178</v>
      </c>
      <c r="L335" s="41">
        <f>'[2]побудинковий звіт'!L335+'[1]побудинковий звіт'!L335</f>
        <v>4401.6359758727303</v>
      </c>
      <c r="M335" s="41">
        <f>'[2]побудинковий звіт'!M335+'[1]побудинковий звіт'!M335</f>
        <v>4773.2931000057861</v>
      </c>
      <c r="N335" s="55">
        <f t="shared" si="329"/>
        <v>371.65712413305573</v>
      </c>
      <c r="O335" s="41">
        <f>'[2]побудинковий звіт'!O335+'[1]побудинковий звіт'!O335</f>
        <v>9256.5219748295767</v>
      </c>
      <c r="P335" s="41">
        <f>'[2]побудинковий звіт'!P335+'[1]побудинковий звіт'!P335</f>
        <v>9284.9336577153445</v>
      </c>
      <c r="Q335" s="55">
        <f t="shared" si="330"/>
        <v>28.411682885767732</v>
      </c>
      <c r="R335" s="41">
        <f>'[2]побудинковий звіт'!R335+'[1]побудинковий звіт'!R335</f>
        <v>0</v>
      </c>
      <c r="S335" s="41">
        <f>'[2]побудинковий звіт'!S335+'[1]побудинковий звіт'!S335</f>
        <v>0</v>
      </c>
      <c r="T335" s="55">
        <f t="shared" si="331"/>
        <v>0</v>
      </c>
      <c r="U335" s="41">
        <f>'[2]побудинковий звіт'!U335+'[1]побудинковий звіт'!U335</f>
        <v>1686.3088397061101</v>
      </c>
      <c r="V335" s="41">
        <f>'[2]побудинковий звіт'!V335+'[1]побудинковий звіт'!V335</f>
        <v>1208.2992974915737</v>
      </c>
      <c r="W335" s="55">
        <f t="shared" si="332"/>
        <v>-478.0095422145364</v>
      </c>
      <c r="X335" s="41">
        <f>'[2]побудинковий звіт'!X335+'[1]побудинковий звіт'!X335</f>
        <v>20128.27562532877</v>
      </c>
      <c r="Y335" s="41">
        <f>'[2]побудинковий звіт'!Y335+'[1]побудинковий звіт'!Y335</f>
        <v>20769.07244104131</v>
      </c>
      <c r="Z335" s="55">
        <f t="shared" si="333"/>
        <v>640.79681571253968</v>
      </c>
      <c r="AA335" s="41">
        <f>'[2]побудинковий звіт'!AA335+'[1]побудинковий звіт'!AA335</f>
        <v>0</v>
      </c>
      <c r="AB335" s="41">
        <f>'[2]побудинковий звіт'!AB335+'[1]побудинковий звіт'!AB335</f>
        <v>0</v>
      </c>
      <c r="AC335" s="55">
        <f t="shared" si="334"/>
        <v>0</v>
      </c>
      <c r="AD335" s="41">
        <f>'[2]побудинковий звіт'!AD335+'[1]побудинковий звіт'!AD335</f>
        <v>25435.084001950923</v>
      </c>
      <c r="AE335" s="41">
        <f>'[2]побудинковий звіт'!AE335+'[1]побудинковий звіт'!AE335</f>
        <v>25336.296744232932</v>
      </c>
      <c r="AF335" s="36">
        <f t="shared" si="335"/>
        <v>-98.787257717991451</v>
      </c>
      <c r="AG335" s="84">
        <f t="shared" si="336"/>
        <v>82341.096194920785</v>
      </c>
      <c r="AH335" s="56">
        <f t="shared" si="337"/>
        <v>83634.518915082066</v>
      </c>
      <c r="AI335" s="55">
        <f t="shared" si="338"/>
        <v>1293.4227201612812</v>
      </c>
      <c r="AJ335" s="41">
        <f>'[2]побудинковий звіт'!AJ335+'[1]побудинковий звіт'!AJ335</f>
        <v>0</v>
      </c>
      <c r="AK335" s="41">
        <f>'[2]побудинковий звіт'!AK335+'[1]побудинковий звіт'!AK335</f>
        <v>0</v>
      </c>
      <c r="AL335" s="55">
        <f t="shared" si="339"/>
        <v>0</v>
      </c>
      <c r="AM335" s="41">
        <f>'[2]побудинковий звіт'!AM335+'[1]побудинковий звіт'!AM335</f>
        <v>0</v>
      </c>
      <c r="AN335" s="41">
        <f>'[2]побудинковий звіт'!AN335+'[1]побудинковий звіт'!AN335</f>
        <v>0</v>
      </c>
      <c r="AO335" s="55">
        <f t="shared" si="340"/>
        <v>0</v>
      </c>
      <c r="AP335" s="41">
        <f>'[2]побудинковий звіт'!AP335+'[1]побудинковий звіт'!AP335</f>
        <v>12003.026853630035</v>
      </c>
      <c r="AQ335" s="41">
        <f>'[2]побудинковий звіт'!AQ335+'[1]побудинковий звіт'!AQ335</f>
        <v>16046.713459639448</v>
      </c>
      <c r="AR335" s="55">
        <f t="shared" si="341"/>
        <v>4043.6866060094126</v>
      </c>
      <c r="AS335" s="41">
        <f>'[2]побудинковий звіт'!AS335+'[1]побудинковий звіт'!AS335</f>
        <v>100570.27276789256</v>
      </c>
      <c r="AT335" s="41">
        <f>'[2]побудинковий звіт'!AT335+'[1]побудинковий звіт'!AT335</f>
        <v>87633.958788399221</v>
      </c>
      <c r="AU335" s="57">
        <f t="shared" si="342"/>
        <v>-12936.313979493338</v>
      </c>
      <c r="AV335" s="41">
        <f>'[2]побудинковий звіт'!AV335+'[1]побудинковий звіт'!AV335</f>
        <v>3445.8351784107972</v>
      </c>
      <c r="AW335" s="41">
        <f>'[2]побудинковий звіт'!AW335+'[1]побудинковий звіт'!AW335</f>
        <v>2908.9904224499974</v>
      </c>
      <c r="AX335" s="58">
        <f t="shared" si="343"/>
        <v>-536.84475596079983</v>
      </c>
      <c r="AY335" s="41">
        <f>'[2]побудинковий звіт'!AY335+'[1]побудинковий звіт'!AY335</f>
        <v>5385.7686253744023</v>
      </c>
      <c r="AZ335" s="41">
        <f>'[2]побудинковий звіт'!AZ335+'[1]побудинковий звіт'!AZ335</f>
        <v>4608.8634683148375</v>
      </c>
      <c r="BA335" s="36">
        <f t="shared" si="344"/>
        <v>-776.90515705956477</v>
      </c>
      <c r="BB335" s="41">
        <f>'[2]побудинковий звіт'!BB335+'[1]побудинковий звіт'!BB335</f>
        <v>3389.918896667421</v>
      </c>
      <c r="BC335" s="41">
        <f>'[2]побудинковий звіт'!BC335+'[1]побудинковий звіт'!BC335</f>
        <v>2600.5132177258911</v>
      </c>
      <c r="BD335" s="58">
        <f t="shared" si="345"/>
        <v>-789.40567894152991</v>
      </c>
      <c r="BE335" s="41">
        <f>'[2]побудинковий звіт'!BE335+'[1]побудинковий звіт'!BE335</f>
        <v>0</v>
      </c>
      <c r="BF335" s="41">
        <f>'[2]побудинковий звіт'!BF335+'[1]побудинковий звіт'!BF335</f>
        <v>0</v>
      </c>
      <c r="BG335" s="38">
        <f t="shared" si="346"/>
        <v>0</v>
      </c>
      <c r="BH335" s="41">
        <f>'[2]побудинковий звіт'!BH335+'[1]побудинковий звіт'!BH335</f>
        <v>1710.9994959425999</v>
      </c>
      <c r="BI335" s="41">
        <f>'[2]побудинковий звіт'!BI335+'[1]побудинковий звіт'!BI335</f>
        <v>0</v>
      </c>
      <c r="BJ335" s="58">
        <f t="shared" si="347"/>
        <v>-1710.9994959425999</v>
      </c>
      <c r="BK335" s="41">
        <f>'[2]побудинковий звіт'!BK335+'[1]побудинковий звіт'!BK335</f>
        <v>4016.5124382249323</v>
      </c>
      <c r="BL335" s="41">
        <f>'[2]побудинковий звіт'!BL335+'[1]побудинковий звіт'!BL335</f>
        <v>0</v>
      </c>
      <c r="BM335" s="38">
        <f t="shared" si="348"/>
        <v>-4016.5124382249323</v>
      </c>
      <c r="BN335" s="41">
        <f>'[2]побудинковий звіт'!BN335+'[1]побудинковий звіт'!BN335</f>
        <v>150.58016947048469</v>
      </c>
      <c r="BO335" s="41">
        <f>'[2]побудинковий звіт'!BO335+'[1]побудинковий звіт'!BO335</f>
        <v>0</v>
      </c>
      <c r="BP335" s="58">
        <f t="shared" si="349"/>
        <v>-150.58016947048469</v>
      </c>
      <c r="BQ335" s="84">
        <f t="shared" si="350"/>
        <v>18099.614804090641</v>
      </c>
      <c r="BR335" s="42">
        <f t="shared" si="351"/>
        <v>10118.367108490726</v>
      </c>
      <c r="BS335" s="58">
        <f t="shared" si="352"/>
        <v>-7981.2476955999155</v>
      </c>
      <c r="BT335" s="41">
        <f>'[2]побудинковий звіт'!BT335+'[1]побудинковий звіт'!BT335</f>
        <v>57574.649636736081</v>
      </c>
      <c r="BU335" s="41">
        <f>'[2]побудинковий звіт'!BU335+'[1]побудинковий звіт'!BU335</f>
        <v>69096.775918105719</v>
      </c>
      <c r="BV335" s="55">
        <f t="shared" si="353"/>
        <v>11522.126281369638</v>
      </c>
      <c r="BW335" s="41">
        <f>'[2]побудинковий звіт'!BW335+'[1]побудинковий звіт'!BW335</f>
        <v>37505.629374341879</v>
      </c>
      <c r="BX335" s="41">
        <f>'[2]побудинковий звіт'!BX335+'[1]побудинковий звіт'!BX335</f>
        <v>34948.397325820843</v>
      </c>
      <c r="BY335" s="55">
        <f t="shared" si="354"/>
        <v>-2557.2320485210366</v>
      </c>
      <c r="BZ335" s="41">
        <f>'[2]побудинковий звіт'!BZ335+'[1]побудинковий звіт'!BZ335</f>
        <v>8700.3485390407113</v>
      </c>
      <c r="CA335" s="41">
        <f>'[2]побудинковий звіт'!CA335+'[1]побудинковий звіт'!CA335</f>
        <v>5518.6496087385549</v>
      </c>
      <c r="CB335" s="55">
        <f t="shared" si="355"/>
        <v>-3181.6989303021564</v>
      </c>
      <c r="CC335" s="41">
        <f>'[2]побудинковий звіт'!CC335+'[1]побудинковий звіт'!CC335</f>
        <v>2716.7548052151601</v>
      </c>
      <c r="CD335" s="41">
        <f>'[2]побудинковий звіт'!CD335+'[1]побудинковий звіт'!CD335</f>
        <v>2725.967017722844</v>
      </c>
      <c r="CE335" s="55">
        <f t="shared" si="356"/>
        <v>9.2122125076839438</v>
      </c>
      <c r="CF335" s="41">
        <f>'[2]побудинковий звіт'!CF335+'[1]побудинковий звіт'!CF335</f>
        <v>336.59148031125142</v>
      </c>
      <c r="CG335" s="41">
        <f>'[2]побудинковий звіт'!CG335+'[1]побудинковий звіт'!CG335</f>
        <v>0</v>
      </c>
      <c r="CH335" s="55">
        <f t="shared" si="357"/>
        <v>-336.59148031125142</v>
      </c>
      <c r="CI335" s="41">
        <f>'[2]побудинковий звіт'!CI335+'[1]побудинковий звіт'!CI335</f>
        <v>12580.708155884571</v>
      </c>
      <c r="CJ335" s="41">
        <f>'[2]побудинковий звіт'!CJ335+'[1]побудинковий звіт'!CJ335</f>
        <v>6992.8721271037921</v>
      </c>
      <c r="CK335" s="55">
        <f t="shared" si="358"/>
        <v>-5587.8360287807791</v>
      </c>
      <c r="CL335" s="41">
        <f>'[2]побудинковий звіт'!CL335+'[1]побудинковий звіт'!CL335</f>
        <v>0</v>
      </c>
      <c r="CM335" s="41">
        <f>'[2]побудинковий звіт'!CM335+'[1]побудинковий звіт'!CM335</f>
        <v>0</v>
      </c>
      <c r="CN335" s="55">
        <f t="shared" si="359"/>
        <v>0</v>
      </c>
      <c r="CO335" s="41">
        <f t="shared" si="360"/>
        <v>12580.708155884571</v>
      </c>
      <c r="CP335" s="42">
        <f t="shared" si="361"/>
        <v>6992.8721271037921</v>
      </c>
      <c r="CQ335" s="55">
        <f t="shared" si="362"/>
        <v>-5587.8360287807791</v>
      </c>
      <c r="CR335" s="76">
        <f t="shared" si="363"/>
        <v>332428.69261206366</v>
      </c>
      <c r="CS335" s="5">
        <f t="shared" si="364"/>
        <v>316716.22026910324</v>
      </c>
      <c r="CT335" s="55">
        <f t="shared" si="365"/>
        <v>-15712.47234296042</v>
      </c>
      <c r="CU335" s="84">
        <f t="shared" si="366"/>
        <v>398914.43113447638</v>
      </c>
      <c r="CV335" s="68">
        <f t="shared" si="367"/>
        <v>380059.46432292386</v>
      </c>
      <c r="CW335" s="36">
        <f t="shared" si="368"/>
        <v>-18854.966811552527</v>
      </c>
      <c r="CX335" s="41">
        <f>'[2]побудинковий звіт'!CX335+'[1]побудинковий звіт'!CX335</f>
        <v>19053.910044366647</v>
      </c>
      <c r="CY335" s="41">
        <f>'[2]побудинковий звіт'!CY335+'[1]побудинковий звіт'!CY335</f>
        <v>37908.876855919079</v>
      </c>
      <c r="CZ335" s="55">
        <f t="shared" si="369"/>
        <v>18854.966811552433</v>
      </c>
      <c r="DA335" s="254">
        <f>'[1]побудинковий звіт'!DA335</f>
        <v>19214.623443749202</v>
      </c>
      <c r="DB335" s="2">
        <v>3</v>
      </c>
      <c r="DC335" s="702">
        <f>'[1]побудинковий звіт'!DC335</f>
        <v>78700.89</v>
      </c>
      <c r="DD335" s="702">
        <f>'[1]побудинковий звіт'!DD335</f>
        <v>0</v>
      </c>
      <c r="DE335" s="702">
        <f>'[1]побудинковий звіт'!DE335</f>
        <v>32691.1</v>
      </c>
      <c r="DF335" s="702">
        <f>'[1]побудинковий звіт'!DF335</f>
        <v>0</v>
      </c>
      <c r="DG335" s="772">
        <v>34500.365588630782</v>
      </c>
      <c r="DH335" s="746">
        <f t="shared" si="316"/>
        <v>5015620.0941461166</v>
      </c>
      <c r="DI335" s="769"/>
      <c r="DJ335" s="5"/>
      <c r="DK335" s="307">
        <f>VLOOKUP($A335,ціни!$A$4:$G$401,5)</f>
        <v>5.580107755872346</v>
      </c>
      <c r="DL335" s="307"/>
      <c r="DM335" s="307">
        <f>VLOOKUP($A335,ціни!$A$4:$G$401,7)</f>
        <v>4.9377507063391226</v>
      </c>
      <c r="DN335" s="29">
        <f t="shared" ref="DN335:DN348" si="370">F335*DK335</f>
        <v>32727.77839681178</v>
      </c>
      <c r="DO335" s="29">
        <f t="shared" ref="DO335:DO348" si="371">H335*DM335</f>
        <v>0</v>
      </c>
      <c r="DP335" s="306">
        <f t="shared" si="317"/>
        <v>32727.77839681178</v>
      </c>
      <c r="DQ335" s="101"/>
      <c r="DR335" s="29">
        <f>VLOOKUP(A335,'ДЗ нас '!$A$1:$C$359,2)</f>
        <v>32727.66</v>
      </c>
      <c r="DS335" s="733"/>
      <c r="DT335" s="29">
        <f t="shared" si="318"/>
        <v>32727.66</v>
      </c>
      <c r="DU335" s="247">
        <f>VLOOKUP(A335,'новий кошторис с 01.06'!$A$4:$AI$399,35)*1.2</f>
        <v>33015.979247907038</v>
      </c>
      <c r="DV335" s="29">
        <f t="shared" si="319"/>
        <v>-288.31924790703852</v>
      </c>
      <c r="DW335" s="1016">
        <f>'[2]побудинковий звіт'!$DW$9+'[1]побудинковий звіт'!DW335</f>
        <v>1375.1999999999998</v>
      </c>
      <c r="DX335" s="101">
        <f>'[1]побудинковий звіт'!DX335</f>
        <v>0</v>
      </c>
      <c r="DY335" s="5">
        <f t="shared" si="320"/>
        <v>142403.86508637984</v>
      </c>
      <c r="DZ335" s="5">
        <f t="shared" si="321"/>
        <v>117302.79107626794</v>
      </c>
      <c r="EA335" s="737">
        <f t="shared" si="322"/>
        <v>32691.1</v>
      </c>
      <c r="EC335" s="577">
        <f t="shared" si="323"/>
        <v>1206843.2732147106</v>
      </c>
      <c r="EE335" s="743">
        <v>-53443</v>
      </c>
      <c r="EF335" s="723">
        <f t="shared" si="324"/>
        <v>-18942.634411369218</v>
      </c>
      <c r="EH335" s="798">
        <v>1851.2654784140686</v>
      </c>
      <c r="EI335" s="101">
        <f>VLOOKUP(A335,'кошти 01.01.24'!$A$9:$D$352,4,FALSE)</f>
        <v>38069.590255301693</v>
      </c>
    </row>
    <row r="336" spans="1:139" hidden="1" x14ac:dyDescent="0.3">
      <c r="A336" s="318">
        <v>150000912</v>
      </c>
      <c r="B336" s="43" t="s">
        <v>803</v>
      </c>
      <c r="C336" s="44" t="s">
        <v>319</v>
      </c>
      <c r="D336" s="44" t="s">
        <v>319</v>
      </c>
      <c r="E336" s="39">
        <f t="shared" si="327"/>
        <v>4467.0200000000004</v>
      </c>
      <c r="F336" s="205">
        <f>'[1]побудинковий звіт'!F336</f>
        <v>4467.0200000000004</v>
      </c>
      <c r="G336" s="29">
        <f>'[1]побудинковий звіт'!G336</f>
        <v>0</v>
      </c>
      <c r="H336" s="148">
        <f>'[1]побудинковий звіт'!H336</f>
        <v>0</v>
      </c>
      <c r="I336" s="41">
        <f>'[2]побудинковий звіт'!I336+'[1]побудинковий звіт'!I336</f>
        <v>17097.949485459761</v>
      </c>
      <c r="J336" s="41">
        <f>'[2]побудинковий звіт'!J336+'[1]побудинковий звіт'!J336</f>
        <v>17728.470520332368</v>
      </c>
      <c r="K336" s="55">
        <f t="shared" si="328"/>
        <v>630.52103487260683</v>
      </c>
      <c r="L336" s="41">
        <f>'[2]побудинковий звіт'!L336+'[1]побудинковий звіт'!L336</f>
        <v>3172.790352480657</v>
      </c>
      <c r="M336" s="41">
        <f>'[2]побудинковий звіт'!M336+'[1]побудинковий звіт'!M336</f>
        <v>3426.9270073333178</v>
      </c>
      <c r="N336" s="55">
        <f t="shared" si="329"/>
        <v>254.13665485266074</v>
      </c>
      <c r="O336" s="41">
        <f>'[2]побудинковий звіт'!O336+'[1]побудинковий звіт'!O336</f>
        <v>6628.162840045853</v>
      </c>
      <c r="P336" s="41">
        <f>'[2]побудинковий звіт'!P336+'[1]побудинковий звіт'!P336</f>
        <v>6647.0208842587926</v>
      </c>
      <c r="Q336" s="55">
        <f t="shared" si="330"/>
        <v>18.858044212939603</v>
      </c>
      <c r="R336" s="41">
        <f>'[2]побудинковий звіт'!R336+'[1]побудинковий звіт'!R336</f>
        <v>0</v>
      </c>
      <c r="S336" s="41">
        <f>'[2]побудинковий звіт'!S336+'[1]побудинковий звіт'!S336</f>
        <v>0</v>
      </c>
      <c r="T336" s="55">
        <f t="shared" si="331"/>
        <v>0</v>
      </c>
      <c r="U336" s="41">
        <f>'[2]побудинковий звіт'!U336+'[1]побудинковий звіт'!U336</f>
        <v>805.93083025598344</v>
      </c>
      <c r="V336" s="41">
        <f>'[2]побудинковий звіт'!V336+'[1]побудинковий звіт'!V336</f>
        <v>577.47893488560806</v>
      </c>
      <c r="W336" s="55">
        <f t="shared" si="332"/>
        <v>-228.45189537037538</v>
      </c>
      <c r="X336" s="41">
        <f>'[2]побудинковий звіт'!X336+'[1]побудинковий звіт'!X336</f>
        <v>13112.335005200983</v>
      </c>
      <c r="Y336" s="41">
        <f>'[2]побудинковий звіт'!Y336+'[1]побудинковий звіт'!Y336</f>
        <v>13427.947818005421</v>
      </c>
      <c r="Z336" s="55">
        <f t="shared" si="333"/>
        <v>315.61281280443836</v>
      </c>
      <c r="AA336" s="41">
        <f>'[2]побудинковий звіт'!AA336+'[1]побудинковий звіт'!AA336</f>
        <v>0</v>
      </c>
      <c r="AB336" s="41">
        <f>'[2]побудинковий звіт'!AB336+'[1]побудинковий звіт'!AB336</f>
        <v>0</v>
      </c>
      <c r="AC336" s="55">
        <f t="shared" si="334"/>
        <v>0</v>
      </c>
      <c r="AD336" s="41">
        <f>'[2]побудинковий звіт'!AD336+'[1]побудинковий звіт'!AD336</f>
        <v>19376.659595261764</v>
      </c>
      <c r="AE336" s="41">
        <f>'[2]побудинковий звіт'!AE336+'[1]побудинковий звіт'!AE336</f>
        <v>19301.230197495308</v>
      </c>
      <c r="AF336" s="36">
        <f t="shared" si="335"/>
        <v>-75.429397766456532</v>
      </c>
      <c r="AG336" s="84">
        <f t="shared" si="336"/>
        <v>60193.828108705005</v>
      </c>
      <c r="AH336" s="56">
        <f t="shared" si="337"/>
        <v>61109.07536231081</v>
      </c>
      <c r="AI336" s="55">
        <f t="shared" si="338"/>
        <v>915.24725360580487</v>
      </c>
      <c r="AJ336" s="41">
        <f>'[2]побудинковий звіт'!AJ336+'[1]побудинковий звіт'!AJ336</f>
        <v>0</v>
      </c>
      <c r="AK336" s="41">
        <f>'[2]побудинковий звіт'!AK336+'[1]побудинковий звіт'!AK336</f>
        <v>0</v>
      </c>
      <c r="AL336" s="55">
        <f t="shared" si="339"/>
        <v>0</v>
      </c>
      <c r="AM336" s="41">
        <f>'[2]побудинковий звіт'!AM336+'[1]побудинковий звіт'!AM336</f>
        <v>0</v>
      </c>
      <c r="AN336" s="41">
        <f>'[2]побудинковий звіт'!AN336+'[1]побудинковий звіт'!AN336</f>
        <v>0</v>
      </c>
      <c r="AO336" s="55">
        <f t="shared" si="340"/>
        <v>0</v>
      </c>
      <c r="AP336" s="41">
        <f>'[2]побудинковий звіт'!AP336+'[1]побудинковий звіт'!AP336</f>
        <v>9068.8770422686157</v>
      </c>
      <c r="AQ336" s="41">
        <f>'[2]побудинковий звіт'!AQ336+'[1]побудинковий звіт'!AQ336</f>
        <v>12090.288894096768</v>
      </c>
      <c r="AR336" s="55">
        <f t="shared" si="341"/>
        <v>3021.4118518281521</v>
      </c>
      <c r="AS336" s="41">
        <f>'[2]побудинковий звіт'!AS336+'[1]побудинковий звіт'!AS336</f>
        <v>79855.988680571056</v>
      </c>
      <c r="AT336" s="41">
        <f>'[2]побудинковий звіт'!AT336+'[1]побудинковий звіт'!AT336</f>
        <v>29659.964730040982</v>
      </c>
      <c r="AU336" s="57">
        <f t="shared" si="342"/>
        <v>-50196.023950530071</v>
      </c>
      <c r="AV336" s="41">
        <f>'[2]побудинковий звіт'!AV336+'[1]побудинковий звіт'!AV336</f>
        <v>2752.7118156552579</v>
      </c>
      <c r="AW336" s="41">
        <f>'[2]побудинковий звіт'!AW336+'[1]побудинковий звіт'!AW336</f>
        <v>3710.5490251174515</v>
      </c>
      <c r="AX336" s="58">
        <f t="shared" si="343"/>
        <v>957.83720946219364</v>
      </c>
      <c r="AY336" s="41">
        <f>'[2]побудинковий звіт'!AY336+'[1]побудинковий звіт'!AY336</f>
        <v>4134.3373557754958</v>
      </c>
      <c r="AZ336" s="41">
        <f>'[2]побудинковий звіт'!AZ336+'[1]побудинковий звіт'!AZ336</f>
        <v>7854.6873548721669</v>
      </c>
      <c r="BA336" s="36">
        <f t="shared" si="344"/>
        <v>3720.3499990966711</v>
      </c>
      <c r="BB336" s="41">
        <f>'[2]побудинковий звіт'!BB336+'[1]побудинковий звіт'!BB336</f>
        <v>2650.0674176838029</v>
      </c>
      <c r="BC336" s="41">
        <f>'[2]побудинковий звіт'!BC336+'[1]побудинковий звіт'!BC336</f>
        <v>0</v>
      </c>
      <c r="BD336" s="58">
        <f t="shared" si="345"/>
        <v>-2650.0674176838029</v>
      </c>
      <c r="BE336" s="41">
        <f>'[2]побудинковий звіт'!BE336+'[1]побудинковий звіт'!BE336</f>
        <v>0</v>
      </c>
      <c r="BF336" s="41">
        <f>'[2]побудинковий звіт'!BF336+'[1]побудинковий звіт'!BF336</f>
        <v>0</v>
      </c>
      <c r="BG336" s="38">
        <f t="shared" si="346"/>
        <v>0</v>
      </c>
      <c r="BH336" s="41">
        <f>'[2]побудинковий звіт'!BH336+'[1]побудинковий звіт'!BH336</f>
        <v>817.64132869900061</v>
      </c>
      <c r="BI336" s="41">
        <f>'[2]побудинковий звіт'!BI336+'[1]побудинковий звіт'!BI336</f>
        <v>0</v>
      </c>
      <c r="BJ336" s="58">
        <f t="shared" si="347"/>
        <v>-817.64132869900061</v>
      </c>
      <c r="BK336" s="41">
        <f>'[2]побудинковий звіт'!BK336+'[1]побудинковий звіт'!BK336</f>
        <v>2543.0573466454057</v>
      </c>
      <c r="BL336" s="41">
        <f>'[2]побудинковий звіт'!BL336+'[1]побудинковий звіт'!BL336</f>
        <v>0</v>
      </c>
      <c r="BM336" s="38">
        <f t="shared" si="348"/>
        <v>-2543.0573466454057</v>
      </c>
      <c r="BN336" s="41">
        <f>'[2]побудинковий звіт'!BN336+'[1]побудинковий звіт'!BN336</f>
        <v>106.66095337492661</v>
      </c>
      <c r="BO336" s="41">
        <f>'[2]побудинковий звіт'!BO336+'[1]побудинковий звіт'!BO336</f>
        <v>0</v>
      </c>
      <c r="BP336" s="58">
        <f t="shared" si="349"/>
        <v>-106.66095337492661</v>
      </c>
      <c r="BQ336" s="84">
        <f t="shared" si="350"/>
        <v>13004.476217833891</v>
      </c>
      <c r="BR336" s="42">
        <f t="shared" si="351"/>
        <v>11565.236379989619</v>
      </c>
      <c r="BS336" s="58">
        <f t="shared" si="352"/>
        <v>-1439.2398378442722</v>
      </c>
      <c r="BT336" s="41">
        <f>'[2]побудинковий звіт'!BT336+'[1]побудинковий звіт'!BT336</f>
        <v>52029.051988343126</v>
      </c>
      <c r="BU336" s="41">
        <f>'[2]побудинковий звіт'!BU336+'[1]побудинковий звіт'!BU336</f>
        <v>64190.862380612947</v>
      </c>
      <c r="BV336" s="55">
        <f t="shared" si="353"/>
        <v>12161.810392269821</v>
      </c>
      <c r="BW336" s="41">
        <f>'[2]побудинковий звіт'!BW336+'[1]побудинковий звіт'!BW336</f>
        <v>27386.365827663063</v>
      </c>
      <c r="BX336" s="41">
        <f>'[2]побудинковий звіт'!BX336+'[1]побудинковий звіт'!BX336</f>
        <v>25630.0978309944</v>
      </c>
      <c r="BY336" s="55">
        <f t="shared" si="354"/>
        <v>-1756.2679966686628</v>
      </c>
      <c r="BZ336" s="41">
        <f>'[2]побудинковий звіт'!BZ336+'[1]побудинковий звіт'!BZ336</f>
        <v>8146.1003813405396</v>
      </c>
      <c r="CA336" s="41">
        <f>'[2]побудинковий звіт'!CA336+'[1]побудинковий звіт'!CA336</f>
        <v>4938.0776857448209</v>
      </c>
      <c r="CB336" s="55">
        <f t="shared" si="355"/>
        <v>-3208.0226955957187</v>
      </c>
      <c r="CC336" s="41">
        <f>'[2]побудинковий звіт'!CC336+'[1]побудинковий звіт'!CC336</f>
        <v>2557.0534718300269</v>
      </c>
      <c r="CD336" s="41">
        <f>'[2]побудинковий звіт'!CD336+'[1]побудинковий звіт'!CD336</f>
        <v>2565.7241549298742</v>
      </c>
      <c r="CE336" s="55">
        <f t="shared" si="356"/>
        <v>8.6706830998473379</v>
      </c>
      <c r="CF336" s="41">
        <f>'[2]побудинковий звіт'!CF336+'[1]побудинковий звіт'!CF336</f>
        <v>316.80533394699552</v>
      </c>
      <c r="CG336" s="41">
        <f>'[2]побудинковий звіт'!CG336+'[1]побудинковий звіт'!CG336</f>
        <v>0</v>
      </c>
      <c r="CH336" s="55">
        <f t="shared" si="357"/>
        <v>-316.80533394699552</v>
      </c>
      <c r="CI336" s="41">
        <f>'[2]побудинковий звіт'!CI336+'[1]побудинковий звіт'!CI336</f>
        <v>8651.3632737181142</v>
      </c>
      <c r="CJ336" s="41">
        <f>'[2]побудинковий звіт'!CJ336+'[1]побудинковий звіт'!CJ336</f>
        <v>4966.1075209388791</v>
      </c>
      <c r="CK336" s="55">
        <f t="shared" si="358"/>
        <v>-3685.2557527792351</v>
      </c>
      <c r="CL336" s="41">
        <f>'[2]побудинковий звіт'!CL336+'[1]побудинковий звіт'!CL336</f>
        <v>0</v>
      </c>
      <c r="CM336" s="41">
        <f>'[2]побудинковий звіт'!CM336+'[1]побудинковий звіт'!CM336</f>
        <v>0</v>
      </c>
      <c r="CN336" s="55">
        <f t="shared" si="359"/>
        <v>0</v>
      </c>
      <c r="CO336" s="41">
        <f t="shared" si="360"/>
        <v>8651.3632737181142</v>
      </c>
      <c r="CP336" s="42">
        <f t="shared" si="361"/>
        <v>4966.1075209388791</v>
      </c>
      <c r="CQ336" s="55">
        <f t="shared" si="362"/>
        <v>-3685.2557527792351</v>
      </c>
      <c r="CR336" s="76">
        <f t="shared" si="363"/>
        <v>261209.91032622044</v>
      </c>
      <c r="CS336" s="5">
        <f t="shared" si="364"/>
        <v>216715.43493965908</v>
      </c>
      <c r="CT336" s="55">
        <f t="shared" si="365"/>
        <v>-44494.47538656136</v>
      </c>
      <c r="CU336" s="84">
        <f t="shared" si="366"/>
        <v>313451.8923914645</v>
      </c>
      <c r="CV336" s="68">
        <f t="shared" si="367"/>
        <v>260058.52192759089</v>
      </c>
      <c r="CW336" s="36">
        <f t="shared" si="368"/>
        <v>-53393.370463873609</v>
      </c>
      <c r="CX336" s="41">
        <f>'[2]побудинковий звіт'!CX336+'[1]побудинковий звіт'!CX336</f>
        <v>15644.504984401943</v>
      </c>
      <c r="CY336" s="41">
        <f>'[2]побудинковий звіт'!CY336+'[1]побудинковий звіт'!CY336</f>
        <v>69037.875448275532</v>
      </c>
      <c r="CZ336" s="55">
        <f t="shared" si="369"/>
        <v>53393.370463873587</v>
      </c>
      <c r="DA336" s="254">
        <f>'[1]побудинковий звіт'!DA336</f>
        <v>-11684.470665557645</v>
      </c>
      <c r="DB336" s="2">
        <v>3</v>
      </c>
      <c r="DC336" s="702">
        <f>'[1]побудинковий звіт'!DC336</f>
        <v>87396.24</v>
      </c>
      <c r="DD336" s="702">
        <f>'[1]побудинковий звіт'!DD336</f>
        <v>0</v>
      </c>
      <c r="DE336" s="702">
        <f>'[1]побудинковий звіт'!DE336</f>
        <v>51102.810000000005</v>
      </c>
      <c r="DF336" s="702">
        <f>'[1]побудинковий звіт'!DF336</f>
        <v>0</v>
      </c>
      <c r="DG336" s="772">
        <v>-267.25506978714839</v>
      </c>
      <c r="DH336" s="746">
        <f t="shared" si="316"/>
        <v>3949156.7685103971</v>
      </c>
      <c r="DI336" s="769"/>
      <c r="DJ336" s="5"/>
      <c r="DK336" s="307">
        <f>VLOOKUP($A336,ціни!$A$4:$G$401,5)</f>
        <v>5.7663118305513743</v>
      </c>
      <c r="DL336" s="307"/>
      <c r="DM336" s="307">
        <f>VLOOKUP($A336,ціни!$A$4:$G$401,7)</f>
        <v>5.1495663880205864</v>
      </c>
      <c r="DN336" s="29">
        <f t="shared" si="370"/>
        <v>25758.230273309604</v>
      </c>
      <c r="DO336" s="29">
        <f t="shared" si="371"/>
        <v>0</v>
      </c>
      <c r="DP336" s="306">
        <f t="shared" si="317"/>
        <v>25758.230273309604</v>
      </c>
      <c r="DQ336" s="101"/>
      <c r="DR336" s="29">
        <f>VLOOKUP(A336,'ДЗ нас '!$A$1:$C$359,2)</f>
        <v>25758.16</v>
      </c>
      <c r="DS336" s="733"/>
      <c r="DT336" s="29">
        <f t="shared" si="318"/>
        <v>25758.16</v>
      </c>
      <c r="DU336" s="247">
        <f>VLOOKUP(A336,'новий кошторис с 01.06'!$A$4:$AI$399,35)*1.2</f>
        <v>26006.457366646071</v>
      </c>
      <c r="DV336" s="29">
        <f t="shared" si="319"/>
        <v>-248.29736664607117</v>
      </c>
      <c r="DW336" s="1016">
        <f>'[2]побудинковий звіт'!$DW$9+'[1]побудинковий звіт'!DW336</f>
        <v>1129.5</v>
      </c>
      <c r="DX336" s="101">
        <f>'[1]побудинковий звіт'!DX336</f>
        <v>0</v>
      </c>
      <c r="DY336" s="5">
        <f t="shared" si="320"/>
        <v>111432.55787808592</v>
      </c>
      <c r="DZ336" s="5">
        <f t="shared" si="321"/>
        <v>49470.241332036712</v>
      </c>
      <c r="EA336" s="737">
        <f t="shared" si="322"/>
        <v>51102.810000000005</v>
      </c>
      <c r="EC336" s="577">
        <f t="shared" si="323"/>
        <v>958271.86416685267</v>
      </c>
      <c r="EE336" s="743">
        <v>168</v>
      </c>
      <c r="EF336" s="723">
        <f t="shared" si="324"/>
        <v>-99.255069787148386</v>
      </c>
      <c r="EH336" s="798">
        <v>68366.303031111092</v>
      </c>
      <c r="EI336" s="101">
        <f>VLOOKUP(A336,'кошти 01.01.24'!$A$9:$D$352,4,FALSE)</f>
        <v>41708.899798315855</v>
      </c>
    </row>
    <row r="337" spans="1:139" hidden="1" x14ac:dyDescent="0.3">
      <c r="A337" s="318">
        <v>150000913</v>
      </c>
      <c r="B337" s="43" t="s">
        <v>804</v>
      </c>
      <c r="C337" s="44" t="s">
        <v>320</v>
      </c>
      <c r="D337" s="44" t="s">
        <v>320</v>
      </c>
      <c r="E337" s="39">
        <f t="shared" si="327"/>
        <v>2778.22</v>
      </c>
      <c r="F337" s="205">
        <f>'[1]побудинковий звіт'!F337</f>
        <v>2778.22</v>
      </c>
      <c r="G337" s="29">
        <f>'[1]побудинковий звіт'!G337</f>
        <v>0</v>
      </c>
      <c r="H337" s="148">
        <f>'[1]побудинковий звіт'!H337</f>
        <v>0</v>
      </c>
      <c r="I337" s="41">
        <f>'[2]побудинковий звіт'!I337+'[1]побудинковий звіт'!I337</f>
        <v>11430.890560934229</v>
      </c>
      <c r="J337" s="41">
        <f>'[2]побудинковий звіт'!J337+'[1]побудинковий звіт'!J337</f>
        <v>11819.362275315912</v>
      </c>
      <c r="K337" s="55">
        <f t="shared" si="328"/>
        <v>388.47171438168334</v>
      </c>
      <c r="L337" s="41">
        <f>'[2]побудинковий звіт'!L337+'[1]побудинковий звіт'!L337</f>
        <v>2096.3379311557164</v>
      </c>
      <c r="M337" s="41">
        <f>'[2]побудинковий звіт'!M337+'[1]побудинковий звіт'!M337</f>
        <v>2268.1779139111245</v>
      </c>
      <c r="N337" s="55">
        <f t="shared" si="329"/>
        <v>171.83998275540807</v>
      </c>
      <c r="O337" s="41">
        <f>'[2]побудинковий звіт'!O337+'[1]побудинковий звіт'!O337</f>
        <v>4365.8492889685895</v>
      </c>
      <c r="P337" s="41">
        <f>'[2]побудинковий звіт'!P337+'[1]побудинковий звіт'!P337</f>
        <v>4377.1329357564109</v>
      </c>
      <c r="Q337" s="55">
        <f t="shared" si="330"/>
        <v>11.283646787821453</v>
      </c>
      <c r="R337" s="41">
        <f>'[2]побудинковий звіт'!R337+'[1]побудинковий звіт'!R337</f>
        <v>0</v>
      </c>
      <c r="S337" s="41">
        <f>'[2]побудинковий звіт'!S337+'[1]побудинковий звіт'!S337</f>
        <v>0</v>
      </c>
      <c r="T337" s="55">
        <f t="shared" si="331"/>
        <v>0</v>
      </c>
      <c r="U337" s="41">
        <f>'[2]побудинковий звіт'!U337+'[1]побудинковий звіт'!U337</f>
        <v>805.93083025598344</v>
      </c>
      <c r="V337" s="41">
        <f>'[2]побудинковий звіт'!V337+'[1]побудинковий звіт'!V337</f>
        <v>577.47893488560806</v>
      </c>
      <c r="W337" s="55">
        <f t="shared" si="332"/>
        <v>-228.45189537037538</v>
      </c>
      <c r="X337" s="41">
        <f>'[2]побудинковий звіт'!X337+'[1]побудинковий звіт'!X337</f>
        <v>7288.3438850994953</v>
      </c>
      <c r="Y337" s="41">
        <f>'[2]побудинковий звіт'!Y337+'[1]побудинковий звіт'!Y337</f>
        <v>7286.5836493614815</v>
      </c>
      <c r="Z337" s="55">
        <f t="shared" si="333"/>
        <v>-1.7602357380137619</v>
      </c>
      <c r="AA337" s="41">
        <f>'[2]побудинковий звіт'!AA337+'[1]побудинковий звіт'!AA337</f>
        <v>0</v>
      </c>
      <c r="AB337" s="41">
        <f>'[2]побудинковий звіт'!AB337+'[1]побудинковий звіт'!AB337</f>
        <v>0</v>
      </c>
      <c r="AC337" s="55">
        <f t="shared" si="334"/>
        <v>0</v>
      </c>
      <c r="AD337" s="41">
        <f>'[2]побудинковий звіт'!AD337+'[1]побудинковий звіт'!AD337</f>
        <v>12055.765520062141</v>
      </c>
      <c r="AE337" s="41">
        <f>'[2]побудинковий звіт'!AE337+'[1]побудинковий звіт'!AE337</f>
        <v>12008.658732215241</v>
      </c>
      <c r="AF337" s="36">
        <f t="shared" si="335"/>
        <v>-47.106787846900261</v>
      </c>
      <c r="AG337" s="84">
        <f t="shared" si="336"/>
        <v>38043.118016476161</v>
      </c>
      <c r="AH337" s="56">
        <f t="shared" si="337"/>
        <v>38337.39444144578</v>
      </c>
      <c r="AI337" s="55">
        <f t="shared" si="338"/>
        <v>294.27642496961926</v>
      </c>
      <c r="AJ337" s="41">
        <f>'[2]побудинковий звіт'!AJ337+'[1]побудинковий звіт'!AJ337</f>
        <v>0</v>
      </c>
      <c r="AK337" s="41">
        <f>'[2]побудинковий звіт'!AK337+'[1]побудинковий звіт'!AK337</f>
        <v>0</v>
      </c>
      <c r="AL337" s="55">
        <f t="shared" si="339"/>
        <v>0</v>
      </c>
      <c r="AM337" s="41">
        <f>'[2]побудинковий звіт'!AM337+'[1]побудинковий звіт'!AM337</f>
        <v>0</v>
      </c>
      <c r="AN337" s="41">
        <f>'[2]побудинковий звіт'!AN337+'[1]побудинковий звіт'!AN337</f>
        <v>0</v>
      </c>
      <c r="AO337" s="55">
        <f t="shared" si="340"/>
        <v>0</v>
      </c>
      <c r="AP337" s="41">
        <f>'[2]побудинковий звіт'!AP337+'[1]побудинковий звіт'!AP337</f>
        <v>6045.9180281790768</v>
      </c>
      <c r="AQ337" s="41">
        <f>'[2]побудинковий звіт'!AQ337+'[1]побудинковий звіт'!AQ337</f>
        <v>8798.9685848073823</v>
      </c>
      <c r="AR337" s="55">
        <f t="shared" si="341"/>
        <v>2753.0505566283055</v>
      </c>
      <c r="AS337" s="41">
        <f>'[2]побудинковий звіт'!AS337+'[1]побудинковий звіт'!AS337</f>
        <v>52392.35817825963</v>
      </c>
      <c r="AT337" s="41">
        <f>'[2]побудинковий звіт'!AT337+'[1]побудинковий звіт'!AT337</f>
        <v>22672.506696998465</v>
      </c>
      <c r="AU337" s="57">
        <f t="shared" si="342"/>
        <v>-29719.851481261165</v>
      </c>
      <c r="AV337" s="41">
        <f>'[2]побудинковий звіт'!AV337+'[1]побудинковий звіт'!AV337</f>
        <v>1852.5216792093379</v>
      </c>
      <c r="AW337" s="41">
        <f>'[2]побудинковий звіт'!AW337+'[1]побудинковий звіт'!AW337</f>
        <v>0</v>
      </c>
      <c r="AX337" s="58">
        <f t="shared" si="343"/>
        <v>-1852.5216792093379</v>
      </c>
      <c r="AY337" s="41">
        <f>'[2]побудинковий звіт'!AY337+'[1]побудинковий звіт'!AY337</f>
        <v>2507.7325677044091</v>
      </c>
      <c r="AZ337" s="41">
        <f>'[2]побудинковий звіт'!AZ337+'[1]побудинковий звіт'!AZ337</f>
        <v>1993.1811706349574</v>
      </c>
      <c r="BA337" s="36">
        <f t="shared" si="344"/>
        <v>-514.5513970694517</v>
      </c>
      <c r="BB337" s="41">
        <f>'[2]побудинковий звіт'!BB337+'[1]побудинковий звіт'!BB337</f>
        <v>1555.6071279854737</v>
      </c>
      <c r="BC337" s="41">
        <f>'[2]побудинковий звіт'!BC337+'[1]побудинковий звіт'!BC337</f>
        <v>5081.318401417584</v>
      </c>
      <c r="BD337" s="58">
        <f t="shared" si="345"/>
        <v>3525.7112734321104</v>
      </c>
      <c r="BE337" s="41">
        <f>'[2]побудинковий звіт'!BE337+'[1]побудинковий звіт'!BE337</f>
        <v>0</v>
      </c>
      <c r="BF337" s="41">
        <f>'[2]побудинковий звіт'!BF337+'[1]побудинковий звіт'!BF337</f>
        <v>0</v>
      </c>
      <c r="BG337" s="38">
        <f t="shared" si="346"/>
        <v>0</v>
      </c>
      <c r="BH337" s="41">
        <f>'[2]побудинковий звіт'!BH337+'[1]побудинковий звіт'!BH337</f>
        <v>817.64132869900061</v>
      </c>
      <c r="BI337" s="41">
        <f>'[2]побудинковий звіт'!BI337+'[1]побудинковий звіт'!BI337</f>
        <v>0</v>
      </c>
      <c r="BJ337" s="58">
        <f t="shared" si="347"/>
        <v>-817.64132869900061</v>
      </c>
      <c r="BK337" s="41">
        <f>'[2]побудинковий звіт'!BK337+'[1]побудинковий звіт'!BK337</f>
        <v>1344.3817821302839</v>
      </c>
      <c r="BL337" s="41">
        <f>'[2]побудинковий звіт'!BL337+'[1]побудинковий звіт'!BL337</f>
        <v>909.37621783474344</v>
      </c>
      <c r="BM337" s="38">
        <f t="shared" si="348"/>
        <v>-435.00556429554047</v>
      </c>
      <c r="BN337" s="41">
        <f>'[2]побудинковий звіт'!BN337+'[1]побудинковий звіт'!BN337</f>
        <v>75.290084735242345</v>
      </c>
      <c r="BO337" s="41">
        <f>'[2]побудинковий звіт'!BO337+'[1]побудинковий звіт'!BO337</f>
        <v>0</v>
      </c>
      <c r="BP337" s="58">
        <f t="shared" si="349"/>
        <v>-75.290084735242345</v>
      </c>
      <c r="BQ337" s="84">
        <f t="shared" si="350"/>
        <v>8153.1745704637478</v>
      </c>
      <c r="BR337" s="42">
        <f t="shared" si="351"/>
        <v>7983.8757898872846</v>
      </c>
      <c r="BS337" s="58">
        <f t="shared" si="352"/>
        <v>-169.29878057646329</v>
      </c>
      <c r="BT337" s="41">
        <f>'[2]побудинковий звіт'!BT337+'[1]побудинковий звіт'!BT337</f>
        <v>33454.198524641484</v>
      </c>
      <c r="BU337" s="41">
        <f>'[2]побудинковий звіт'!BU337+'[1]побудинковий звіт'!BU337</f>
        <v>54260.489805342979</v>
      </c>
      <c r="BV337" s="55">
        <f t="shared" si="353"/>
        <v>20806.291280701495</v>
      </c>
      <c r="BW337" s="41">
        <f>'[2]побудинковий звіт'!BW337+'[1]побудинковий звіт'!BW337</f>
        <v>18413.511048769073</v>
      </c>
      <c r="BX337" s="41">
        <f>'[2]побудинковий звіт'!BX337+'[1]побудинковий звіт'!BX337</f>
        <v>20201.865253932123</v>
      </c>
      <c r="BY337" s="55">
        <f t="shared" si="354"/>
        <v>1788.3542051630502</v>
      </c>
      <c r="BZ337" s="41">
        <f>'[2]побудинковий звіт'!BZ337+'[1]побудинковий звіт'!BZ337</f>
        <v>8102.1458671003638</v>
      </c>
      <c r="CA337" s="41">
        <f>'[2]побудинковий звіт'!CA337+'[1]побудинковий звіт'!CA337</f>
        <v>5096.3611818655891</v>
      </c>
      <c r="CB337" s="55">
        <f t="shared" si="355"/>
        <v>-3005.7846852347748</v>
      </c>
      <c r="CC337" s="41">
        <f>'[2]побудинковий звіт'!CC337+'[1]побудинковий звіт'!CC337</f>
        <v>1798.8538335981236</v>
      </c>
      <c r="CD337" s="41">
        <f>'[2]побудинковий звіт'!CD337+'[1]побудинковий звіт'!CD337</f>
        <v>1804.9535462970969</v>
      </c>
      <c r="CE337" s="55">
        <f t="shared" si="356"/>
        <v>6.0997126989732351</v>
      </c>
      <c r="CF337" s="41">
        <f>'[2]побудинковий звіт'!CF337+'[1]побудинковий звіт'!CF337</f>
        <v>222.8684287415513</v>
      </c>
      <c r="CG337" s="41">
        <f>'[2]побудинковий звіт'!CG337+'[1]побудинковий звіт'!CG337</f>
        <v>0</v>
      </c>
      <c r="CH337" s="55">
        <f t="shared" si="357"/>
        <v>-222.8684287415513</v>
      </c>
      <c r="CI337" s="41">
        <f>'[2]побудинковий звіт'!CI337+'[1]побудинковий звіт'!CI337</f>
        <v>5344.2851131939988</v>
      </c>
      <c r="CJ337" s="41">
        <f>'[2]побудинковий звіт'!CJ337+'[1]побудинковий звіт'!CJ337</f>
        <v>4249.2549598020405</v>
      </c>
      <c r="CK337" s="55">
        <f t="shared" si="358"/>
        <v>-1095.0301533919583</v>
      </c>
      <c r="CL337" s="41">
        <f>'[2]побудинковий звіт'!CL337+'[1]побудинковий звіт'!CL337</f>
        <v>0</v>
      </c>
      <c r="CM337" s="41">
        <f>'[2]побудинковий звіт'!CM337+'[1]побудинковий звіт'!CM337</f>
        <v>0</v>
      </c>
      <c r="CN337" s="55">
        <f t="shared" si="359"/>
        <v>0</v>
      </c>
      <c r="CO337" s="41">
        <f t="shared" si="360"/>
        <v>5344.2851131939988</v>
      </c>
      <c r="CP337" s="42">
        <f t="shared" si="361"/>
        <v>4249.2549598020405</v>
      </c>
      <c r="CQ337" s="55">
        <f t="shared" si="362"/>
        <v>-1095.0301533919583</v>
      </c>
      <c r="CR337" s="76">
        <f t="shared" si="363"/>
        <v>171970.43160942322</v>
      </c>
      <c r="CS337" s="5">
        <f t="shared" si="364"/>
        <v>163405.67026037874</v>
      </c>
      <c r="CT337" s="55">
        <f t="shared" si="365"/>
        <v>-8564.7613490444783</v>
      </c>
      <c r="CU337" s="84">
        <f t="shared" si="366"/>
        <v>206364.51793130787</v>
      </c>
      <c r="CV337" s="68">
        <f t="shared" si="367"/>
        <v>196086.80431245448</v>
      </c>
      <c r="CW337" s="36">
        <f t="shared" si="368"/>
        <v>-10277.713618853391</v>
      </c>
      <c r="CX337" s="41">
        <f>'[2]побудинковий звіт'!CX337+'[1]побудинковий звіт'!CX337</f>
        <v>9728.0772387759152</v>
      </c>
      <c r="CY337" s="41">
        <f>'[2]побудинковий звіт'!CY337+'[1]побудинковий звіт'!CY337</f>
        <v>20005.790857629298</v>
      </c>
      <c r="CZ337" s="55">
        <f t="shared" si="369"/>
        <v>10277.713618853382</v>
      </c>
      <c r="DA337" s="254">
        <f>'[1]побудинковий звіт'!DA337</f>
        <v>53395.937968789156</v>
      </c>
      <c r="DB337" s="2">
        <v>3</v>
      </c>
      <c r="DC337" s="702">
        <f>'[1]побудинковий звіт'!DC337</f>
        <v>45315.24</v>
      </c>
      <c r="DD337" s="702">
        <f>'[1]побудинковий звіт'!DD337</f>
        <v>0</v>
      </c>
      <c r="DE337" s="702">
        <f>'[1]побудинковий звіт'!DE337</f>
        <v>21619.53</v>
      </c>
      <c r="DF337" s="702">
        <f>'[1]побудинковий звіт'!DF337</f>
        <v>0</v>
      </c>
      <c r="DG337" s="772">
        <v>14876.36309153639</v>
      </c>
      <c r="DH337" s="746">
        <f t="shared" si="316"/>
        <v>2593111.1420410052</v>
      </c>
      <c r="DI337" s="769"/>
      <c r="DJ337" s="5"/>
      <c r="DK337" s="307">
        <f>VLOOKUP($A337,ціни!$A$4:$G$401,5)</f>
        <v>6.0966466025054391</v>
      </c>
      <c r="DL337" s="307"/>
      <c r="DM337" s="307">
        <f>VLOOKUP($A337,ціни!$A$4:$G$401,7)</f>
        <v>5.4299600760667888</v>
      </c>
      <c r="DN337" s="29">
        <f t="shared" si="370"/>
        <v>16937.82552401266</v>
      </c>
      <c r="DO337" s="29">
        <f t="shared" si="371"/>
        <v>0</v>
      </c>
      <c r="DP337" s="306">
        <f t="shared" si="317"/>
        <v>16937.82552401266</v>
      </c>
      <c r="DQ337" s="101"/>
      <c r="DR337" s="29">
        <f>VLOOKUP(A337,'ДЗ нас '!$A$1:$C$359,2)</f>
        <v>16937.71</v>
      </c>
      <c r="DS337" s="733"/>
      <c r="DT337" s="29">
        <f t="shared" si="318"/>
        <v>16937.71</v>
      </c>
      <c r="DU337" s="247">
        <f>VLOOKUP(A337,'новий кошторис с 01.06'!$A$4:$AI$399,35)*1.2</f>
        <v>17099.73608359159</v>
      </c>
      <c r="DV337" s="29">
        <f t="shared" si="319"/>
        <v>-162.02608359159058</v>
      </c>
      <c r="DW337" s="1016">
        <f>'[2]побудинковий звіт'!$DW$9+'[1]побудинковий звіт'!DW337</f>
        <v>909</v>
      </c>
      <c r="DX337" s="101">
        <f>'[1]побудинковий звіт'!DX337</f>
        <v>0</v>
      </c>
      <c r="DY337" s="5">
        <f t="shared" si="320"/>
        <v>72654.639298468057</v>
      </c>
      <c r="DZ337" s="5">
        <f t="shared" si="321"/>
        <v>36787.658984262896</v>
      </c>
      <c r="EA337" s="737">
        <f t="shared" si="322"/>
        <v>21619.53</v>
      </c>
      <c r="EC337" s="577">
        <f t="shared" si="323"/>
        <v>628708.29813911556</v>
      </c>
      <c r="EE337" s="743">
        <v>-40415</v>
      </c>
      <c r="EF337" s="723">
        <f t="shared" si="324"/>
        <v>-25538.63690846361</v>
      </c>
      <c r="EH337" s="798">
        <v>45723.993412927659</v>
      </c>
      <c r="EI337" s="101">
        <f>VLOOKUP(A337,'кошти 01.01.24'!$A$9:$D$352,4,FALSE)</f>
        <v>63673.65158764254</v>
      </c>
    </row>
    <row r="338" spans="1:139" hidden="1" x14ac:dyDescent="0.3">
      <c r="A338" s="318">
        <v>150000914</v>
      </c>
      <c r="B338" s="43" t="s">
        <v>805</v>
      </c>
      <c r="C338" s="44" t="s">
        <v>321</v>
      </c>
      <c r="D338" s="44" t="s">
        <v>321</v>
      </c>
      <c r="E338" s="39">
        <f t="shared" si="327"/>
        <v>2763.5</v>
      </c>
      <c r="F338" s="205">
        <f>'[1]побудинковий звіт'!F338</f>
        <v>2763.5</v>
      </c>
      <c r="G338" s="29">
        <f>'[1]побудинковий звіт'!G338</f>
        <v>0</v>
      </c>
      <c r="H338" s="148">
        <f>'[1]побудинковий звіт'!H338</f>
        <v>0</v>
      </c>
      <c r="I338" s="41">
        <f>'[2]побудинковий звіт'!I338+'[1]побудинковий звіт'!I338</f>
        <v>11131.425699765761</v>
      </c>
      <c r="J338" s="41">
        <f>'[2]побудинковий звіт'!J338+'[1]побудинковий звіт'!J338</f>
        <v>11633.484511251079</v>
      </c>
      <c r="K338" s="55">
        <f t="shared" si="328"/>
        <v>502.05881148531807</v>
      </c>
      <c r="L338" s="41">
        <f>'[2]побудинковий звіт'!L338+'[1]побудинковий звіт'!L338</f>
        <v>2099.3346200124383</v>
      </c>
      <c r="M338" s="41">
        <f>'[2]побудинковий звіт'!M338+'[1]побудинковий звіт'!M338</f>
        <v>2268.1779139111245</v>
      </c>
      <c r="N338" s="55">
        <f t="shared" si="329"/>
        <v>168.84329389868617</v>
      </c>
      <c r="O338" s="41">
        <f>'[2]побудинковий звіт'!O338+'[1]побудинковий звіт'!O338</f>
        <v>4365.8492889685895</v>
      </c>
      <c r="P338" s="41">
        <f>'[2]побудинковий звіт'!P338+'[1]побудинковий звіт'!P338</f>
        <v>4378.7329357564104</v>
      </c>
      <c r="Q338" s="55">
        <f t="shared" si="330"/>
        <v>12.883646787820908</v>
      </c>
      <c r="R338" s="41">
        <f>'[2]побудинковий звіт'!R338+'[1]побудинковий звіт'!R338</f>
        <v>0</v>
      </c>
      <c r="S338" s="41">
        <f>'[2]побудинковий звіт'!S338+'[1]побудинковий звіт'!S338</f>
        <v>0</v>
      </c>
      <c r="T338" s="55">
        <f t="shared" si="331"/>
        <v>0</v>
      </c>
      <c r="U338" s="41">
        <f>'[2]побудинковий звіт'!U338+'[1]побудинковий звіт'!U338</f>
        <v>805.93083025598344</v>
      </c>
      <c r="V338" s="41">
        <f>'[2]побудинковий звіт'!V338+'[1]побудинковий звіт'!V338</f>
        <v>577.47893488560806</v>
      </c>
      <c r="W338" s="55">
        <f t="shared" si="332"/>
        <v>-228.45189537037538</v>
      </c>
      <c r="X338" s="41">
        <f>'[2]побудинковий звіт'!X338+'[1]побудинковий звіт'!X338</f>
        <v>7288.3438850994953</v>
      </c>
      <c r="Y338" s="41">
        <f>'[2]побудинковий звіт'!Y338+'[1]побудинковий звіт'!Y338</f>
        <v>7186.3987297365629</v>
      </c>
      <c r="Z338" s="55">
        <f t="shared" si="333"/>
        <v>-101.94515536293238</v>
      </c>
      <c r="AA338" s="41">
        <f>'[2]побудинковий звіт'!AA338+'[1]побудинковий звіт'!AA338</f>
        <v>0</v>
      </c>
      <c r="AB338" s="41">
        <f>'[2]побудинковий звіт'!AB338+'[1]побудинковий звіт'!AB338</f>
        <v>0</v>
      </c>
      <c r="AC338" s="55">
        <f t="shared" si="334"/>
        <v>0</v>
      </c>
      <c r="AD338" s="41">
        <f>'[2]побудинковий звіт'!AD338+'[1]побудинковий звіт'!AD338</f>
        <v>11981.843575361499</v>
      </c>
      <c r="AE338" s="41">
        <f>'[2]побудинковий звіт'!AE338+'[1]побудинковий звіт'!AE338</f>
        <v>11935.406938785456</v>
      </c>
      <c r="AF338" s="36">
        <f t="shared" si="335"/>
        <v>-46.436636576043384</v>
      </c>
      <c r="AG338" s="84">
        <f t="shared" si="336"/>
        <v>37672.727899463767</v>
      </c>
      <c r="AH338" s="56">
        <f t="shared" si="337"/>
        <v>37979.679964326242</v>
      </c>
      <c r="AI338" s="55">
        <f t="shared" si="338"/>
        <v>306.9520648624748</v>
      </c>
      <c r="AJ338" s="41">
        <f>'[2]побудинковий звіт'!AJ338+'[1]побудинковий звіт'!AJ338</f>
        <v>0</v>
      </c>
      <c r="AK338" s="41">
        <f>'[2]побудинковий звіт'!AK338+'[1]побудинковий звіт'!AK338</f>
        <v>0</v>
      </c>
      <c r="AL338" s="55">
        <f t="shared" si="339"/>
        <v>0</v>
      </c>
      <c r="AM338" s="41">
        <f>'[2]побудинковий звіт'!AM338+'[1]побудинковий звіт'!AM338</f>
        <v>0</v>
      </c>
      <c r="AN338" s="41">
        <f>'[2]побудинковий звіт'!AN338+'[1]побудинковий звіт'!AN338</f>
        <v>0</v>
      </c>
      <c r="AO338" s="55">
        <f t="shared" si="340"/>
        <v>0</v>
      </c>
      <c r="AP338" s="41">
        <f>'[2]побудинковий звіт'!AP338+'[1]побудинковий звіт'!AP338</f>
        <v>6045.9180281790768</v>
      </c>
      <c r="AQ338" s="41">
        <f>'[2]побудинковий звіт'!AQ338+'[1]побудинковий звіт'!AQ338</f>
        <v>8564.0642940888883</v>
      </c>
      <c r="AR338" s="55">
        <f t="shared" si="341"/>
        <v>2518.1462659098115</v>
      </c>
      <c r="AS338" s="41">
        <f>'[2]побудинковий звіт'!AS338+'[1]побудинковий звіт'!AS338</f>
        <v>53886.800318042733</v>
      </c>
      <c r="AT338" s="41">
        <f>'[2]побудинковий звіт'!AT338+'[1]побудинковий звіт'!AT338</f>
        <v>91502.480692812285</v>
      </c>
      <c r="AU338" s="57">
        <f t="shared" si="342"/>
        <v>37615.680374769552</v>
      </c>
      <c r="AV338" s="41">
        <f>'[2]побудинковий звіт'!AV338+'[1]побудинковий звіт'!AV338</f>
        <v>1770.6241997220936</v>
      </c>
      <c r="AW338" s="41">
        <f>'[2]побудинковий звіт'!AW338+'[1]побудинковий звіт'!AW338</f>
        <v>0</v>
      </c>
      <c r="AX338" s="58">
        <f t="shared" si="343"/>
        <v>-1770.6241997220936</v>
      </c>
      <c r="AY338" s="41">
        <f>'[2]побудинковий звіт'!AY338+'[1]побудинковий звіт'!AY338</f>
        <v>2679.7445791159671</v>
      </c>
      <c r="AZ338" s="41">
        <f>'[2]побудинковий звіт'!AZ338+'[1]побудинковий звіт'!AZ338</f>
        <v>0</v>
      </c>
      <c r="BA338" s="36">
        <f t="shared" si="344"/>
        <v>-2679.7445791159671</v>
      </c>
      <c r="BB338" s="41">
        <f>'[2]побудинковий звіт'!BB338+'[1]побудинковий звіт'!BB338</f>
        <v>1555.6071279854737</v>
      </c>
      <c r="BC338" s="41">
        <f>'[2]побудинковий звіт'!BC338+'[1]побудинковий звіт'!BC338</f>
        <v>0</v>
      </c>
      <c r="BD338" s="58">
        <f t="shared" si="345"/>
        <v>-1555.6071279854737</v>
      </c>
      <c r="BE338" s="41">
        <f>'[2]побудинковий звіт'!BE338+'[1]побудинковий звіт'!BE338</f>
        <v>0</v>
      </c>
      <c r="BF338" s="41">
        <f>'[2]побудинковий звіт'!BF338+'[1]побудинковий звіт'!BF338</f>
        <v>0</v>
      </c>
      <c r="BG338" s="38">
        <f t="shared" si="346"/>
        <v>0</v>
      </c>
      <c r="BH338" s="41">
        <f>'[2]побудинковий звіт'!BH338+'[1]побудинковий звіт'!BH338</f>
        <v>817.64132869900061</v>
      </c>
      <c r="BI338" s="41">
        <f>'[2]побудинковий звіт'!BI338+'[1]побудинковий звіт'!BI338</f>
        <v>0</v>
      </c>
      <c r="BJ338" s="58">
        <f t="shared" si="347"/>
        <v>-817.64132869900061</v>
      </c>
      <c r="BK338" s="41">
        <f>'[2]побудинковий звіт'!BK338+'[1]побудинковий звіт'!BK338</f>
        <v>1344.3817821302839</v>
      </c>
      <c r="BL338" s="41">
        <f>'[2]побудинковий звіт'!BL338+'[1]побудинковий звіт'!BL338</f>
        <v>0</v>
      </c>
      <c r="BM338" s="38">
        <f t="shared" si="348"/>
        <v>-1344.3817821302839</v>
      </c>
      <c r="BN338" s="41">
        <f>'[2]побудинковий звіт'!BN338+'[1]побудинковий звіт'!BN338</f>
        <v>75.290084735242345</v>
      </c>
      <c r="BO338" s="41">
        <f>'[2]побудинковий звіт'!BO338+'[1]побудинковий звіт'!BO338</f>
        <v>2780.1139905359541</v>
      </c>
      <c r="BP338" s="58">
        <f t="shared" si="349"/>
        <v>2704.8239058007116</v>
      </c>
      <c r="BQ338" s="84">
        <f t="shared" si="350"/>
        <v>8243.289102388062</v>
      </c>
      <c r="BR338" s="42">
        <f t="shared" si="351"/>
        <v>2780.1139905359541</v>
      </c>
      <c r="BS338" s="58">
        <f t="shared" si="352"/>
        <v>-5463.1751118521079</v>
      </c>
      <c r="BT338" s="41">
        <f>'[2]побудинковий звіт'!BT338+'[1]побудинковий звіт'!BT338</f>
        <v>31349.357274359816</v>
      </c>
      <c r="BU338" s="41">
        <f>'[2]побудинковий звіт'!BU338+'[1]побудинковий звіт'!BU338</f>
        <v>50486.419526246704</v>
      </c>
      <c r="BV338" s="55">
        <f t="shared" si="353"/>
        <v>19137.062251886888</v>
      </c>
      <c r="BW338" s="41">
        <f>'[2]побудинковий звіт'!BW338+'[1]побудинковий звіт'!BW338</f>
        <v>18422.212333467622</v>
      </c>
      <c r="BX338" s="41">
        <f>'[2]побудинковий звіт'!BX338+'[1]побудинковий звіт'!BX338</f>
        <v>21570.35837854035</v>
      </c>
      <c r="BY338" s="55">
        <f t="shared" si="354"/>
        <v>3148.1460450727282</v>
      </c>
      <c r="BZ338" s="41">
        <f>'[2]побудинковий звіт'!BZ338+'[1]побудинковий звіт'!BZ338</f>
        <v>7889.0326050483654</v>
      </c>
      <c r="CA338" s="41">
        <f>'[2]побудинковий звіт'!CA338+'[1]побудинковий звіт'!CA338</f>
        <v>4357.3310127925133</v>
      </c>
      <c r="CB338" s="55">
        <f t="shared" si="355"/>
        <v>-3531.7015922558521</v>
      </c>
      <c r="CC338" s="41">
        <f>'[2]побудинковий звіт'!CC338+'[1]побудинковий звіт'!CC338</f>
        <v>1597.9294026852792</v>
      </c>
      <c r="CD338" s="41">
        <f>'[2]побудинковий звіт'!CD338+'[1]побудинковий звіт'!CD338</f>
        <v>1603.3478030508757</v>
      </c>
      <c r="CE338" s="55">
        <f t="shared" si="356"/>
        <v>5.4184003655964261</v>
      </c>
      <c r="CF338" s="41">
        <f>'[2]побудинковий звіт'!CF338+'[1]побудинковий звіт'!CF338</f>
        <v>197.9749597020095</v>
      </c>
      <c r="CG338" s="41">
        <f>'[2]побудинковий звіт'!CG338+'[1]побудинковий звіт'!CG338</f>
        <v>0</v>
      </c>
      <c r="CH338" s="55">
        <f t="shared" si="357"/>
        <v>-197.9749597020095</v>
      </c>
      <c r="CI338" s="41">
        <f>'[2]побудинковий звіт'!CI338+'[1]побудинковий звіт'!CI338</f>
        <v>5780.2183964747328</v>
      </c>
      <c r="CJ338" s="41">
        <f>'[2]побудинковий звіт'!CJ338+'[1]побудинковий звіт'!CJ338</f>
        <v>3887.1026268642745</v>
      </c>
      <c r="CK338" s="55">
        <f t="shared" si="358"/>
        <v>-1893.1157696104583</v>
      </c>
      <c r="CL338" s="41">
        <f>'[2]побудинковий звіт'!CL338+'[1]побудинковий звіт'!CL338</f>
        <v>0</v>
      </c>
      <c r="CM338" s="41">
        <f>'[2]побудинковий звіт'!CM338+'[1]побудинковий звіт'!CM338</f>
        <v>0</v>
      </c>
      <c r="CN338" s="55">
        <f t="shared" si="359"/>
        <v>0</v>
      </c>
      <c r="CO338" s="41">
        <f t="shared" si="360"/>
        <v>5780.2183964747328</v>
      </c>
      <c r="CP338" s="42">
        <f t="shared" si="361"/>
        <v>3887.1026268642745</v>
      </c>
      <c r="CQ338" s="55">
        <f t="shared" si="362"/>
        <v>-1893.1157696104583</v>
      </c>
      <c r="CR338" s="76">
        <f t="shared" si="363"/>
        <v>171085.46031981142</v>
      </c>
      <c r="CS338" s="5">
        <f t="shared" si="364"/>
        <v>222730.8982892581</v>
      </c>
      <c r="CT338" s="55">
        <f t="shared" si="365"/>
        <v>51645.437969446677</v>
      </c>
      <c r="CU338" s="84">
        <f t="shared" si="366"/>
        <v>205302.5523837737</v>
      </c>
      <c r="CV338" s="68">
        <f t="shared" si="367"/>
        <v>267277.0779471097</v>
      </c>
      <c r="CW338" s="36">
        <f t="shared" si="368"/>
        <v>61974.525563336007</v>
      </c>
      <c r="CX338" s="41">
        <f>'[2]побудинковий звіт'!CX338+'[1]побудинковий звіт'!CX338</f>
        <v>10337.611697996863</v>
      </c>
      <c r="CY338" s="41">
        <f>'[2]побудинковий звіт'!CY338+'[1]побудинковий звіт'!CY338</f>
        <v>-51636.913865339084</v>
      </c>
      <c r="CZ338" s="55">
        <f t="shared" si="369"/>
        <v>-61974.525563335948</v>
      </c>
      <c r="DA338" s="254">
        <f>'[1]побудинковий звіт'!DA338</f>
        <v>74101.128222885221</v>
      </c>
      <c r="DB338" s="2">
        <v>3</v>
      </c>
      <c r="DC338" s="702">
        <f>'[1]побудинковий звіт'!DC338</f>
        <v>38343</v>
      </c>
      <c r="DD338" s="702">
        <f>'[1]побудинковий звіт'!DD338</f>
        <v>0</v>
      </c>
      <c r="DE338" s="702">
        <f>'[1]побудинковий звіт'!DE338</f>
        <v>14657.919999999998</v>
      </c>
      <c r="DF338" s="702">
        <f>'[1]побудинковий звіт'!DF338</f>
        <v>0</v>
      </c>
      <c r="DG338" s="772">
        <v>-12299.695603485801</v>
      </c>
      <c r="DH338" s="746">
        <f t="shared" si="316"/>
        <v>2587681.9689812465</v>
      </c>
      <c r="DI338" s="769"/>
      <c r="DJ338" s="5"/>
      <c r="DK338" s="307">
        <f>VLOOKUP($A338,ціни!$A$4:$G$401,5)</f>
        <v>6.1136456425927124</v>
      </c>
      <c r="DL338" s="307"/>
      <c r="DM338" s="307">
        <f>VLOOKUP($A338,ціни!$A$4:$G$401,7)</f>
        <v>5.4404742435281017</v>
      </c>
      <c r="DN338" s="29">
        <f t="shared" si="370"/>
        <v>16895.059733304959</v>
      </c>
      <c r="DO338" s="29">
        <f t="shared" si="371"/>
        <v>0</v>
      </c>
      <c r="DP338" s="306">
        <f t="shared" si="317"/>
        <v>16895.059733304959</v>
      </c>
      <c r="DQ338" s="101"/>
      <c r="DR338" s="29">
        <f>VLOOKUP(A338,'ДЗ нас '!$A$1:$C$359,2)</f>
        <v>16894.900000000001</v>
      </c>
      <c r="DS338" s="733"/>
      <c r="DT338" s="29">
        <f t="shared" si="318"/>
        <v>16894.900000000001</v>
      </c>
      <c r="DU338" s="247">
        <f>VLOOKUP(A338,'новий кошторис с 01.06'!$A$4:$AI$399,35)*1.2</f>
        <v>17048.558819091315</v>
      </c>
      <c r="DV338" s="29">
        <f t="shared" si="319"/>
        <v>-153.65881909131349</v>
      </c>
      <c r="DW338" s="1016">
        <f>'[2]побудинковий звіт'!$DW$9+'[1]побудинковий звіт'!DW338</f>
        <v>909</v>
      </c>
      <c r="DX338" s="101">
        <f>'[1]побудинковий звіт'!DX338</f>
        <v>0</v>
      </c>
      <c r="DY338" s="5">
        <f t="shared" si="320"/>
        <v>74556.107304516961</v>
      </c>
      <c r="DZ338" s="5">
        <f t="shared" si="321"/>
        <v>113139.11362001789</v>
      </c>
      <c r="EA338" s="737">
        <f t="shared" si="322"/>
        <v>14657.919999999998</v>
      </c>
      <c r="EC338" s="577">
        <f t="shared" si="323"/>
        <v>646641.60381651274</v>
      </c>
      <c r="EE338" s="743">
        <v>-23754</v>
      </c>
      <c r="EF338" s="723">
        <f t="shared" si="324"/>
        <v>-36053.695603485801</v>
      </c>
      <c r="EH338" s="798">
        <v>-2068.8520619917508</v>
      </c>
      <c r="EI338" s="101">
        <f>VLOOKUP(A338,'кошти 01.01.24'!$A$9:$D$352,4,FALSE)</f>
        <v>12126.602659549293</v>
      </c>
    </row>
    <row r="339" spans="1:139" hidden="1" x14ac:dyDescent="0.3">
      <c r="A339" s="318">
        <v>150000915</v>
      </c>
      <c r="B339" s="43" t="s">
        <v>806</v>
      </c>
      <c r="C339" s="44" t="s">
        <v>322</v>
      </c>
      <c r="D339" s="44" t="s">
        <v>322</v>
      </c>
      <c r="E339" s="39">
        <f t="shared" si="327"/>
        <v>2745.7</v>
      </c>
      <c r="F339" s="205">
        <f>'[1]побудинковий звіт'!F339</f>
        <v>2745.7</v>
      </c>
      <c r="G339" s="29">
        <f>'[1]побудинковий звіт'!G339</f>
        <v>0</v>
      </c>
      <c r="H339" s="148">
        <f>'[1]побудинковий звіт'!H339</f>
        <v>0</v>
      </c>
      <c r="I339" s="41">
        <f>'[2]побудинковий звіт'!I339+'[1]побудинковий звіт'!I339</f>
        <v>11398.607671056325</v>
      </c>
      <c r="J339" s="41">
        <f>'[2]побудинковий звіт'!J339+'[1]побудинковий звіт'!J339</f>
        <v>11882.089026100733</v>
      </c>
      <c r="K339" s="55">
        <f t="shared" si="328"/>
        <v>483.4813550444087</v>
      </c>
      <c r="L339" s="41">
        <f>'[2]побудинковий звіт'!L339+'[1]побудинковий звіт'!L339</f>
        <v>2096.3379311557164</v>
      </c>
      <c r="M339" s="41">
        <f>'[2]побудинковий звіт'!M339+'[1]побудинковий звіт'!M339</f>
        <v>2268.1779139111245</v>
      </c>
      <c r="N339" s="55">
        <f t="shared" si="329"/>
        <v>171.83998275540807</v>
      </c>
      <c r="O339" s="41">
        <f>'[2]побудинковий звіт'!O339+'[1]побудинковий звіт'!O339</f>
        <v>4365.8492889685895</v>
      </c>
      <c r="P339" s="41">
        <f>'[2]побудинковий звіт'!P339+'[1]побудинковий звіт'!P339</f>
        <v>4378.0329357564096</v>
      </c>
      <c r="Q339" s="55">
        <f t="shared" si="330"/>
        <v>12.18364678782018</v>
      </c>
      <c r="R339" s="41">
        <f>'[2]побудинковий звіт'!R339+'[1]побудинковий звіт'!R339</f>
        <v>0</v>
      </c>
      <c r="S339" s="41">
        <f>'[2]побудинковий звіт'!S339+'[1]побудинковий звіт'!S339</f>
        <v>0</v>
      </c>
      <c r="T339" s="55">
        <f t="shared" si="331"/>
        <v>0</v>
      </c>
      <c r="U339" s="41">
        <f>'[2]побудинковий звіт'!U339+'[1]побудинковий звіт'!U339</f>
        <v>805.93083025598344</v>
      </c>
      <c r="V339" s="41">
        <f>'[2]побудинковий звіт'!V339+'[1]побудинковий звіт'!V339</f>
        <v>577.47893488560806</v>
      </c>
      <c r="W339" s="55">
        <f t="shared" si="332"/>
        <v>-228.45189537037538</v>
      </c>
      <c r="X339" s="41">
        <f>'[2]побудинковий звіт'!X339+'[1]побудинковий звіт'!X339</f>
        <v>7287.3548798934971</v>
      </c>
      <c r="Y339" s="41">
        <f>'[2]побудинковий звіт'!Y339+'[1]побудинковий звіт'!Y339</f>
        <v>7184.7659344150416</v>
      </c>
      <c r="Z339" s="55">
        <f t="shared" si="333"/>
        <v>-102.58894547845557</v>
      </c>
      <c r="AA339" s="41">
        <f>'[2]побудинковий звіт'!AA339+'[1]побудинковий звіт'!AA339</f>
        <v>0</v>
      </c>
      <c r="AB339" s="41">
        <f>'[2]побудинковий звіт'!AB339+'[1]побудинковий звіт'!AB339</f>
        <v>0</v>
      </c>
      <c r="AC339" s="55">
        <f t="shared" si="334"/>
        <v>0</v>
      </c>
      <c r="AD339" s="41">
        <f>'[2]побудинковий звіт'!AD339+'[1]побудинковий звіт'!AD339</f>
        <v>11900.680711481167</v>
      </c>
      <c r="AE339" s="41">
        <f>'[2]побудинковий звіт'!AE339+'[1]побудинковий звіт'!AE339</f>
        <v>11854.710065556281</v>
      </c>
      <c r="AF339" s="36">
        <f t="shared" si="335"/>
        <v>-45.970645924886412</v>
      </c>
      <c r="AG339" s="84">
        <f t="shared" si="336"/>
        <v>37854.761312811279</v>
      </c>
      <c r="AH339" s="56">
        <f t="shared" si="337"/>
        <v>38145.254810625192</v>
      </c>
      <c r="AI339" s="55">
        <f t="shared" si="338"/>
        <v>290.49349781391356</v>
      </c>
      <c r="AJ339" s="41">
        <f>'[2]побудинковий звіт'!AJ339+'[1]побудинковий звіт'!AJ339</f>
        <v>0</v>
      </c>
      <c r="AK339" s="41">
        <f>'[2]побудинковий звіт'!AK339+'[1]побудинковий звіт'!AK339</f>
        <v>0</v>
      </c>
      <c r="AL339" s="55">
        <f t="shared" si="339"/>
        <v>0</v>
      </c>
      <c r="AM339" s="41">
        <f>'[2]побудинковий звіт'!AM339+'[1]побудинковий звіт'!AM339</f>
        <v>0</v>
      </c>
      <c r="AN339" s="41">
        <f>'[2]побудинковий звіт'!AN339+'[1]побудинковий звіт'!AN339</f>
        <v>0</v>
      </c>
      <c r="AO339" s="55">
        <f t="shared" si="340"/>
        <v>0</v>
      </c>
      <c r="AP339" s="41">
        <f>'[2]побудинковий звіт'!AP339+'[1]побудинковий звіт'!AP339</f>
        <v>6045.9180281790768</v>
      </c>
      <c r="AQ339" s="41">
        <f>'[2]побудинковий звіт'!AQ339+'[1]побудинковий звіт'!AQ339</f>
        <v>8060.1911342508174</v>
      </c>
      <c r="AR339" s="55">
        <f t="shared" si="341"/>
        <v>2014.2731060717406</v>
      </c>
      <c r="AS339" s="41">
        <f>'[2]побудинковий звіт'!AS339+'[1]побудинковий звіт'!AS339</f>
        <v>50094.559117031284</v>
      </c>
      <c r="AT339" s="41">
        <f>'[2]побудинковий звіт'!AT339+'[1]побудинковий звіт'!AT339</f>
        <v>74288.578523927179</v>
      </c>
      <c r="AU339" s="57">
        <f t="shared" si="342"/>
        <v>24194.019406895895</v>
      </c>
      <c r="AV339" s="41">
        <f>'[2]побудинковий звіт'!AV339+'[1]побудинковий звіт'!AV339</f>
        <v>1846.1712951126649</v>
      </c>
      <c r="AW339" s="41">
        <f>'[2]побудинковий звіт'!AW339+'[1]побудинковий звіт'!AW339</f>
        <v>2280.1108976497776</v>
      </c>
      <c r="AX339" s="58">
        <f t="shared" si="343"/>
        <v>433.93960253711271</v>
      </c>
      <c r="AY339" s="41">
        <f>'[2]побудинковий звіт'!AY339+'[1]побудинковий звіт'!AY339</f>
        <v>2507.7325677044091</v>
      </c>
      <c r="AZ339" s="41">
        <f>'[2]побудинковий звіт'!AZ339+'[1]побудинковий звіт'!AZ339</f>
        <v>0</v>
      </c>
      <c r="BA339" s="36">
        <f t="shared" si="344"/>
        <v>-2507.7325677044091</v>
      </c>
      <c r="BB339" s="41">
        <f>'[2]побудинковий звіт'!BB339+'[1]побудинковий звіт'!BB339</f>
        <v>1555.6071279854737</v>
      </c>
      <c r="BC339" s="41">
        <f>'[2]побудинковий звіт'!BC339+'[1]побудинковий звіт'!BC339</f>
        <v>0</v>
      </c>
      <c r="BD339" s="58">
        <f t="shared" si="345"/>
        <v>-1555.6071279854737</v>
      </c>
      <c r="BE339" s="41">
        <f>'[2]побудинковий звіт'!BE339+'[1]побудинковий звіт'!BE339</f>
        <v>0</v>
      </c>
      <c r="BF339" s="41">
        <f>'[2]побудинковий звіт'!BF339+'[1]побудинковий звіт'!BF339</f>
        <v>0</v>
      </c>
      <c r="BG339" s="38">
        <f t="shared" si="346"/>
        <v>0</v>
      </c>
      <c r="BH339" s="41">
        <f>'[2]побудинковий звіт'!BH339+'[1]побудинковий звіт'!BH339</f>
        <v>817.64132869900061</v>
      </c>
      <c r="BI339" s="41">
        <f>'[2]побудинковий звіт'!BI339+'[1]побудинковий звіт'!BI339</f>
        <v>0</v>
      </c>
      <c r="BJ339" s="58">
        <f t="shared" si="347"/>
        <v>-817.64132869900061</v>
      </c>
      <c r="BK339" s="41">
        <f>'[2]побудинковий звіт'!BK339+'[1]побудинковий звіт'!BK339</f>
        <v>1344.3361934375275</v>
      </c>
      <c r="BL339" s="41">
        <f>'[2]побудинковий звіт'!BL339+'[1]побудинковий звіт'!BL339</f>
        <v>0</v>
      </c>
      <c r="BM339" s="38">
        <f t="shared" si="348"/>
        <v>-1344.3361934375275</v>
      </c>
      <c r="BN339" s="41">
        <f>'[2]побудинковий звіт'!BN339+'[1]побудинковий звіт'!BN339</f>
        <v>75.290084735242345</v>
      </c>
      <c r="BO339" s="41">
        <f>'[2]побудинковий звіт'!BO339+'[1]побудинковий звіт'!BO339</f>
        <v>2661.6829796211987</v>
      </c>
      <c r="BP339" s="58">
        <f t="shared" si="349"/>
        <v>2586.3928948859561</v>
      </c>
      <c r="BQ339" s="84">
        <f t="shared" si="350"/>
        <v>8146.7785976743189</v>
      </c>
      <c r="BR339" s="42">
        <f t="shared" si="351"/>
        <v>4941.7938772709767</v>
      </c>
      <c r="BS339" s="58">
        <f t="shared" si="352"/>
        <v>-3204.9847204033422</v>
      </c>
      <c r="BT339" s="41">
        <f>'[2]побудинковий звіт'!BT339+'[1]побудинковий звіт'!BT339</f>
        <v>42193.729502378024</v>
      </c>
      <c r="BU339" s="41">
        <f>'[2]побудинковий звіт'!BU339+'[1]побудинковий звіт'!BU339</f>
        <v>57323.413547643213</v>
      </c>
      <c r="BV339" s="55">
        <f t="shared" si="353"/>
        <v>15129.684045265189</v>
      </c>
      <c r="BW339" s="41">
        <f>'[2]побудинковий звіт'!BW339+'[1]побудинковий звіт'!BW339</f>
        <v>18133.017570685144</v>
      </c>
      <c r="BX339" s="41">
        <f>'[2]побудинковий звіт'!BX339+'[1]побудинковий звіт'!BX339</f>
        <v>22378.714108877284</v>
      </c>
      <c r="BY339" s="55">
        <f t="shared" si="354"/>
        <v>4245.69653819214</v>
      </c>
      <c r="BZ339" s="41">
        <f>'[2]побудинковий звіт'!BZ339+'[1]побудинковий звіт'!BZ339</f>
        <v>7931.7064829137571</v>
      </c>
      <c r="CA339" s="41">
        <f>'[2]побудинковий звіт'!CA339+'[1]побудинковий звіт'!CA339</f>
        <v>5604.2845843563182</v>
      </c>
      <c r="CB339" s="55">
        <f t="shared" si="355"/>
        <v>-2327.4218985574389</v>
      </c>
      <c r="CC339" s="41">
        <f>'[2]побудинковий звіт'!CC339+'[1]побудинковий звіт'!CC339</f>
        <v>1597.6240464072964</v>
      </c>
      <c r="CD339" s="41">
        <f>'[2]побудинковий звіт'!CD339+'[1]побудинковий звіт'!CD339</f>
        <v>1603.0414113438146</v>
      </c>
      <c r="CE339" s="55">
        <f t="shared" si="356"/>
        <v>5.4173649365181973</v>
      </c>
      <c r="CF339" s="41">
        <f>'[2]побудинковий звіт'!CF339+'[1]побудинковий звіт'!CF339</f>
        <v>197.93712768219254</v>
      </c>
      <c r="CG339" s="41">
        <f>'[2]побудинковий звіт'!CG339+'[1]побудинковий звіт'!CG339</f>
        <v>0</v>
      </c>
      <c r="CH339" s="55">
        <f t="shared" si="357"/>
        <v>-197.93712768219254</v>
      </c>
      <c r="CI339" s="41">
        <f>'[2]побудинковий звіт'!CI339+'[1]побудинковий звіт'!CI339</f>
        <v>6411.1960199292207</v>
      </c>
      <c r="CJ339" s="41">
        <f>'[2]побудинковий звіт'!CJ339+'[1]побудинковий звіт'!CJ339</f>
        <v>4634.0506692744257</v>
      </c>
      <c r="CK339" s="55">
        <f t="shared" si="358"/>
        <v>-1777.145350654795</v>
      </c>
      <c r="CL339" s="41">
        <f>'[2]побудинковий звіт'!CL339+'[1]побудинковий звіт'!CL339</f>
        <v>0</v>
      </c>
      <c r="CM339" s="41">
        <f>'[2]побудинковий звіт'!CM339+'[1]побудинковий звіт'!CM339</f>
        <v>0</v>
      </c>
      <c r="CN339" s="55">
        <f t="shared" si="359"/>
        <v>0</v>
      </c>
      <c r="CO339" s="41">
        <f t="shared" si="360"/>
        <v>6411.1960199292207</v>
      </c>
      <c r="CP339" s="42">
        <f t="shared" si="361"/>
        <v>4634.0506692744257</v>
      </c>
      <c r="CQ339" s="55">
        <f t="shared" si="362"/>
        <v>-1777.145350654795</v>
      </c>
      <c r="CR339" s="76">
        <f t="shared" si="363"/>
        <v>178607.22780569157</v>
      </c>
      <c r="CS339" s="5">
        <f t="shared" si="364"/>
        <v>216979.32266756924</v>
      </c>
      <c r="CT339" s="55">
        <f t="shared" si="365"/>
        <v>38372.094861877675</v>
      </c>
      <c r="CU339" s="84">
        <f t="shared" si="366"/>
        <v>214328.67336682987</v>
      </c>
      <c r="CV339" s="68">
        <f t="shared" si="367"/>
        <v>260375.18720108308</v>
      </c>
      <c r="CW339" s="36">
        <f t="shared" si="368"/>
        <v>46046.513834253215</v>
      </c>
      <c r="CX339" s="41">
        <f>'[2]побудинковий звіт'!CX339+'[1]побудинковий звіт'!CX339</f>
        <v>5733.9072936318653</v>
      </c>
      <c r="CY339" s="41">
        <f>'[2]побудинковий звіт'!CY339+'[1]побудинковий звіт'!CY339</f>
        <v>-40312.606540621331</v>
      </c>
      <c r="CZ339" s="55">
        <f t="shared" si="369"/>
        <v>-46046.513834253194</v>
      </c>
      <c r="DA339" s="254">
        <f>'[1]побудинковий звіт'!DA339</f>
        <v>66743.84936452753</v>
      </c>
      <c r="DB339" s="2">
        <v>3</v>
      </c>
      <c r="DC339" s="702">
        <f>'[1]побудинковий звіт'!DC339</f>
        <v>58183.99</v>
      </c>
      <c r="DD339" s="702">
        <f>'[1]побудинковий звіт'!DD339</f>
        <v>0</v>
      </c>
      <c r="DE339" s="702">
        <f>'[1]побудинковий звіт'!DE339</f>
        <v>34081.360000000001</v>
      </c>
      <c r="DF339" s="702">
        <f>'[1]побудинковий звіт'!DF339</f>
        <v>0</v>
      </c>
      <c r="DG339" s="772">
        <v>32606.442490176822</v>
      </c>
      <c r="DH339" s="746">
        <f t="shared" si="316"/>
        <v>2640750.9679255411</v>
      </c>
      <c r="DI339" s="769"/>
      <c r="DJ339" s="5"/>
      <c r="DK339" s="307">
        <f>VLOOKUP($A339,ціни!$A$4:$G$401,5)</f>
        <v>6.2843408309969666</v>
      </c>
      <c r="DL339" s="307"/>
      <c r="DM339" s="307">
        <f>VLOOKUP($A339,ціни!$A$4:$G$401,7)</f>
        <v>5.6363329424725261</v>
      </c>
      <c r="DN339" s="29">
        <f t="shared" si="370"/>
        <v>17254.914619668369</v>
      </c>
      <c r="DO339" s="29">
        <f t="shared" si="371"/>
        <v>0</v>
      </c>
      <c r="DP339" s="306">
        <f t="shared" si="317"/>
        <v>17254.914619668369</v>
      </c>
      <c r="DQ339" s="101"/>
      <c r="DR339" s="29">
        <f>VLOOKUP(A339,'ДЗ нас '!$A$1:$C$359,2)</f>
        <v>17254.830000000002</v>
      </c>
      <c r="DS339" s="733"/>
      <c r="DT339" s="29">
        <f t="shared" si="318"/>
        <v>17254.830000000002</v>
      </c>
      <c r="DU339" s="247">
        <f>VLOOKUP(A339,'новий кошторис с 01.06'!$A$4:$AI$399,35)*1.2</f>
        <v>17308.07028530907</v>
      </c>
      <c r="DV339" s="29">
        <f t="shared" si="319"/>
        <v>-53.240285309067986</v>
      </c>
      <c r="DW339" s="1016">
        <f>'[2]побудинковий звіт'!$DW$9+'[1]побудинковий звіт'!DW339</f>
        <v>918</v>
      </c>
      <c r="DX339" s="101">
        <f>'[1]побудинковий звіт'!DX339</f>
        <v>0</v>
      </c>
      <c r="DY339" s="5">
        <f t="shared" si="320"/>
        <v>69889.605257646719</v>
      </c>
      <c r="DZ339" s="5">
        <f t="shared" si="321"/>
        <v>95076.446881437776</v>
      </c>
      <c r="EA339" s="737">
        <f t="shared" si="322"/>
        <v>34081.360000000001</v>
      </c>
      <c r="EC339" s="577">
        <f t="shared" si="323"/>
        <v>601134.7094043754</v>
      </c>
      <c r="EE339" s="743">
        <v>-28720</v>
      </c>
      <c r="EF339" s="723">
        <f t="shared" si="324"/>
        <v>3886.4424901768216</v>
      </c>
      <c r="EH339" s="798">
        <v>17137.811946616559</v>
      </c>
      <c r="EI339" s="101">
        <f>VLOOKUP(A339,'кошти 01.01.24'!$A$9:$D$352,4,FALSE)</f>
        <v>20697.33553027438</v>
      </c>
    </row>
    <row r="340" spans="1:139" hidden="1" x14ac:dyDescent="0.3">
      <c r="A340" s="318">
        <v>150000916</v>
      </c>
      <c r="B340" s="43" t="s">
        <v>807</v>
      </c>
      <c r="C340" s="44" t="s">
        <v>323</v>
      </c>
      <c r="D340" s="44" t="s">
        <v>323</v>
      </c>
      <c r="E340" s="39">
        <f t="shared" si="327"/>
        <v>5790.5</v>
      </c>
      <c r="F340" s="205">
        <f>'[1]побудинковий звіт'!F340</f>
        <v>5601.9</v>
      </c>
      <c r="G340" s="29">
        <f>'[1]побудинковий звіт'!G340</f>
        <v>0</v>
      </c>
      <c r="H340" s="148">
        <f>'[1]побудинковий звіт'!H340</f>
        <v>188.6</v>
      </c>
      <c r="I340" s="41">
        <f>'[2]побудинковий звіт'!I340+'[1]побудинковий звіт'!I340</f>
        <v>21832.729262389203</v>
      </c>
      <c r="J340" s="41">
        <f>'[2]побудинковий звіт'!J340+'[1]побудинковий звіт'!J340</f>
        <v>22791.999756333105</v>
      </c>
      <c r="K340" s="55">
        <f t="shared" si="328"/>
        <v>959.27049394390269</v>
      </c>
      <c r="L340" s="41">
        <f>'[2]побудинковий звіт'!L340+'[1]побудинковий звіт'!L340</f>
        <v>4252.2806765946043</v>
      </c>
      <c r="M340" s="41">
        <f>'[2]побудинковий звіт'!M340+'[1]побудинковий звіт'!M340</f>
        <v>4613.9841967911652</v>
      </c>
      <c r="N340" s="55">
        <f t="shared" si="329"/>
        <v>361.70352019656093</v>
      </c>
      <c r="O340" s="41">
        <f>'[2]побудинковий звіт'!O340+'[1]побудинковий звіт'!O340</f>
        <v>9161.8485252824175</v>
      </c>
      <c r="P340" s="41">
        <f>'[2]побудинковий звіт'!P340+'[1]побудинковий звіт'!P340</f>
        <v>9188.8058160867531</v>
      </c>
      <c r="Q340" s="55">
        <f t="shared" si="330"/>
        <v>26.957290804335571</v>
      </c>
      <c r="R340" s="41">
        <f>'[2]побудинковий звіт'!R340+'[1]побудинковий звіт'!R340</f>
        <v>0</v>
      </c>
      <c r="S340" s="41">
        <f>'[2]побудинковий звіт'!S340+'[1]побудинковий звіт'!S340</f>
        <v>0</v>
      </c>
      <c r="T340" s="55">
        <f t="shared" si="331"/>
        <v>0</v>
      </c>
      <c r="U340" s="41">
        <f>'[2]побудинковий звіт'!U340+'[1]побудинковий звіт'!U340</f>
        <v>1686.3088397061101</v>
      </c>
      <c r="V340" s="41">
        <f>'[2]побудинковий звіт'!V340+'[1]побудинковий звіт'!V340</f>
        <v>1208.2992974915737</v>
      </c>
      <c r="W340" s="55">
        <f t="shared" si="332"/>
        <v>-478.0095422145364</v>
      </c>
      <c r="X340" s="41">
        <f>'[2]побудинковий звіт'!X340+'[1]побудинковий звіт'!X340</f>
        <v>20338.141184571894</v>
      </c>
      <c r="Y340" s="41">
        <f>'[2]побудинковий звіт'!Y340+'[1]побудинковий звіт'!Y340</f>
        <v>20779.260433238749</v>
      </c>
      <c r="Z340" s="55">
        <f t="shared" si="333"/>
        <v>441.11924866685513</v>
      </c>
      <c r="AA340" s="41">
        <f>'[2]побудинковий звіт'!AA340+'[1]побудинковий звіт'!AA340</f>
        <v>0</v>
      </c>
      <c r="AB340" s="41">
        <f>'[2]побудинковий звіт'!AB340+'[1]побудинковий звіт'!AB340</f>
        <v>0</v>
      </c>
      <c r="AC340" s="55">
        <f t="shared" si="334"/>
        <v>0</v>
      </c>
      <c r="AD340" s="41">
        <f>'[2]побудинковий звіт'!AD340+'[1]побудинковий звіт'!AD340</f>
        <v>25115.529979872328</v>
      </c>
      <c r="AE340" s="41">
        <f>'[2]побудинковий звіт'!AE340+'[1]побудинковий звіт'!AE340</f>
        <v>25017.526259309605</v>
      </c>
      <c r="AF340" s="36">
        <f t="shared" si="335"/>
        <v>-98.003720562723174</v>
      </c>
      <c r="AG340" s="84">
        <f t="shared" si="336"/>
        <v>82386.83846841655</v>
      </c>
      <c r="AH340" s="56">
        <f t="shared" si="337"/>
        <v>83599.87575925095</v>
      </c>
      <c r="AI340" s="55">
        <f t="shared" si="338"/>
        <v>1213.0372908343998</v>
      </c>
      <c r="AJ340" s="41">
        <f>'[2]побудинковий звіт'!AJ340+'[1]побудинковий звіт'!AJ340</f>
        <v>0</v>
      </c>
      <c r="AK340" s="41">
        <f>'[2]побудинковий звіт'!AK340+'[1]побудинковий звіт'!AK340</f>
        <v>0</v>
      </c>
      <c r="AL340" s="55">
        <f t="shared" si="339"/>
        <v>0</v>
      </c>
      <c r="AM340" s="41">
        <f>'[2]побудинковий звіт'!AM340+'[1]побудинковий звіт'!AM340</f>
        <v>0</v>
      </c>
      <c r="AN340" s="41">
        <f>'[2]побудинковий звіт'!AN340+'[1]побудинковий звіт'!AN340</f>
        <v>0</v>
      </c>
      <c r="AO340" s="55">
        <f t="shared" si="340"/>
        <v>0</v>
      </c>
      <c r="AP340" s="41">
        <f>'[2]побудинковий звіт'!AP340+'[1]побудинковий звіт'!AP340</f>
        <v>11558.980839989441</v>
      </c>
      <c r="AQ340" s="41">
        <f>'[2]побудинковий звіт'!AQ340+'[1]побудинковий звіт'!AQ340</f>
        <v>15271.952676398818</v>
      </c>
      <c r="AR340" s="55">
        <f t="shared" si="341"/>
        <v>3712.9718364093769</v>
      </c>
      <c r="AS340" s="41">
        <f>'[2]побудинковий звіт'!AS340+'[1]побудинковий звіт'!AS340</f>
        <v>103319.27050288892</v>
      </c>
      <c r="AT340" s="41">
        <f>'[2]побудинковий звіт'!AT340+'[1]побудинковий звіт'!AT340</f>
        <v>68785.596265501576</v>
      </c>
      <c r="AU340" s="57">
        <f t="shared" si="342"/>
        <v>-34533.674237387342</v>
      </c>
      <c r="AV340" s="41">
        <f>'[2]побудинковий звіт'!AV340+'[1]побудинковий звіт'!AV340</f>
        <v>3667.1172515116186</v>
      </c>
      <c r="AW340" s="41">
        <f>'[2]побудинковий звіт'!AW340+'[1]побудинковий звіт'!AW340</f>
        <v>711.25363377424037</v>
      </c>
      <c r="AX340" s="58">
        <f t="shared" si="343"/>
        <v>-2955.8636177373783</v>
      </c>
      <c r="AY340" s="41">
        <f>'[2]побудинковий звіт'!AY340+'[1]побудинковий звіт'!AY340</f>
        <v>5312.7729639336649</v>
      </c>
      <c r="AZ340" s="41">
        <f>'[2]побудинковий звіт'!AZ340+'[1]побудинковий звіт'!AZ340</f>
        <v>3467.8153331132044</v>
      </c>
      <c r="BA340" s="36">
        <f t="shared" si="344"/>
        <v>-1844.9576308204605</v>
      </c>
      <c r="BB340" s="41">
        <f>'[2]побудинковий звіт'!BB340+'[1]побудинковий звіт'!BB340</f>
        <v>3361.8458671395556</v>
      </c>
      <c r="BC340" s="41">
        <f>'[2]побудинковий звіт'!BC340+'[1]побудинковий звіт'!BC340</f>
        <v>4474.1998507433291</v>
      </c>
      <c r="BD340" s="58">
        <f t="shared" si="345"/>
        <v>1112.3539836037735</v>
      </c>
      <c r="BE340" s="41">
        <f>'[2]побудинковий звіт'!BE340+'[1]побудинковий звіт'!BE340</f>
        <v>0</v>
      </c>
      <c r="BF340" s="41">
        <f>'[2]побудинковий звіт'!BF340+'[1]побудинковий звіт'!BF340</f>
        <v>0</v>
      </c>
      <c r="BG340" s="38">
        <f t="shared" si="346"/>
        <v>0</v>
      </c>
      <c r="BH340" s="41">
        <f>'[2]побудинковий звіт'!BH340+'[1]побудинковий звіт'!BH340</f>
        <v>1710.9994959425999</v>
      </c>
      <c r="BI340" s="41">
        <f>'[2]побудинковий звіт'!BI340+'[1]побудинковий звіт'!BI340</f>
        <v>0</v>
      </c>
      <c r="BJ340" s="58">
        <f t="shared" si="347"/>
        <v>-1710.9994959425999</v>
      </c>
      <c r="BK340" s="41">
        <f>'[2]побудинковий звіт'!BK340+'[1]побудинковий звіт'!BK340</f>
        <v>4011.9730037462668</v>
      </c>
      <c r="BL340" s="41">
        <f>'[2]побудинковий звіт'!BL340+'[1]побудинковий звіт'!BL340</f>
        <v>31013.671979167855</v>
      </c>
      <c r="BM340" s="38">
        <f t="shared" si="348"/>
        <v>27001.69897542159</v>
      </c>
      <c r="BN340" s="41">
        <f>'[2]побудинковий звіт'!BN340+'[1]побудинковий звіт'!BN340</f>
        <v>150.58016947048469</v>
      </c>
      <c r="BO340" s="41">
        <f>'[2]побудинковий звіт'!BO340+'[1]побудинковий звіт'!BO340</f>
        <v>6253.656309808176</v>
      </c>
      <c r="BP340" s="58">
        <f t="shared" si="349"/>
        <v>6103.076140337691</v>
      </c>
      <c r="BQ340" s="84">
        <f t="shared" si="350"/>
        <v>18215.288751744192</v>
      </c>
      <c r="BR340" s="42">
        <f t="shared" si="351"/>
        <v>45920.597106606809</v>
      </c>
      <c r="BS340" s="58">
        <f t="shared" si="352"/>
        <v>27705.308354862616</v>
      </c>
      <c r="BT340" s="41">
        <f>'[2]побудинковий звіт'!BT340+'[1]побудинковий звіт'!BT340</f>
        <v>57709.340518420533</v>
      </c>
      <c r="BU340" s="41">
        <f>'[2]побудинковий звіт'!BU340+'[1]побудинковий звіт'!BU340</f>
        <v>79116.563624761024</v>
      </c>
      <c r="BV340" s="55">
        <f t="shared" si="353"/>
        <v>21407.223106340491</v>
      </c>
      <c r="BW340" s="41">
        <f>'[2]побудинковий звіт'!BW340+'[1]побудинковий звіт'!BW340</f>
        <v>37822.814568731199</v>
      </c>
      <c r="BX340" s="41">
        <f>'[2]побудинковий звіт'!BX340+'[1]побудинковий звіт'!BX340</f>
        <v>39194.542306733783</v>
      </c>
      <c r="BY340" s="55">
        <f t="shared" si="354"/>
        <v>1371.7277380025844</v>
      </c>
      <c r="BZ340" s="41">
        <f>'[2]побудинковий звіт'!BZ340+'[1]побудинковий звіт'!BZ340</f>
        <v>8444.3052718483632</v>
      </c>
      <c r="CA340" s="41">
        <f>'[2]побудинковий звіт'!CA340+'[1]побудинковий звіт'!CA340</f>
        <v>5810.1615323625319</v>
      </c>
      <c r="CB340" s="55">
        <f t="shared" si="355"/>
        <v>-2634.1437394858312</v>
      </c>
      <c r="CC340" s="41">
        <f>'[2]побудинковий звіт'!CC340+'[1]побудинковий звіт'!CC340</f>
        <v>2416.894940235808</v>
      </c>
      <c r="CD340" s="41">
        <f>'[2]побудинковий звіт'!CD340+'[1]побудинковий звіт'!CD340</f>
        <v>2425.0903613888172</v>
      </c>
      <c r="CE340" s="55">
        <f t="shared" si="356"/>
        <v>8.1954211530091925</v>
      </c>
      <c r="CF340" s="41">
        <f>'[2]побудинковий звіт'!CF340+'[1]побудинковий звіт'!CF340</f>
        <v>299.44043685102326</v>
      </c>
      <c r="CG340" s="41">
        <f>'[2]побудинковий звіт'!CG340+'[1]побудинковий звіт'!CG340</f>
        <v>1131.2158297830833</v>
      </c>
      <c r="CH340" s="55">
        <f t="shared" si="357"/>
        <v>831.77539293206007</v>
      </c>
      <c r="CI340" s="41">
        <f>'[2]побудинковий звіт'!CI340+'[1]побудинковий звіт'!CI340</f>
        <v>5510.1117131919455</v>
      </c>
      <c r="CJ340" s="41">
        <f>'[2]побудинковий звіт'!CJ340+'[1]побудинковий звіт'!CJ340</f>
        <v>4054.8846318000824</v>
      </c>
      <c r="CK340" s="55">
        <f t="shared" si="358"/>
        <v>-1455.2270813918631</v>
      </c>
      <c r="CL340" s="41">
        <f>'[2]побудинковий звіт'!CL340+'[1]побудинковий звіт'!CL340</f>
        <v>0</v>
      </c>
      <c r="CM340" s="41">
        <f>'[2]побудинковий звіт'!CM340+'[1]побудинковий звіт'!CM340</f>
        <v>0</v>
      </c>
      <c r="CN340" s="55">
        <f t="shared" si="359"/>
        <v>0</v>
      </c>
      <c r="CO340" s="41">
        <f t="shared" si="360"/>
        <v>5510.1117131919455</v>
      </c>
      <c r="CP340" s="42">
        <f t="shared" si="361"/>
        <v>4054.8846318000824</v>
      </c>
      <c r="CQ340" s="55">
        <f t="shared" si="362"/>
        <v>-1455.2270813918631</v>
      </c>
      <c r="CR340" s="76">
        <f t="shared" si="363"/>
        <v>327683.28601231799</v>
      </c>
      <c r="CS340" s="5">
        <f t="shared" si="364"/>
        <v>345310.48009458743</v>
      </c>
      <c r="CT340" s="55">
        <f t="shared" si="365"/>
        <v>17627.194082269445</v>
      </c>
      <c r="CU340" s="84">
        <f t="shared" si="366"/>
        <v>393219.94321478158</v>
      </c>
      <c r="CV340" s="68">
        <f t="shared" si="367"/>
        <v>414372.57611350488</v>
      </c>
      <c r="CW340" s="36">
        <f t="shared" si="368"/>
        <v>21152.632898723299</v>
      </c>
      <c r="CX340" s="41">
        <f>'[2]побудинковий звіт'!CX340+'[1]побудинковий звіт'!CX340</f>
        <v>18737.704490188855</v>
      </c>
      <c r="CY340" s="41">
        <f>'[2]побудинковий звіт'!CY340+'[1]побудинковий звіт'!CY340</f>
        <v>-2414.9284085345571</v>
      </c>
      <c r="CZ340" s="55">
        <f t="shared" si="369"/>
        <v>-21152.632898723412</v>
      </c>
      <c r="DA340" s="254">
        <f>'[1]побудинковий звіт'!DA340</f>
        <v>94703.243564727221</v>
      </c>
      <c r="DB340" s="2">
        <v>3</v>
      </c>
      <c r="DC340" s="702">
        <f>'[1]побудинковий звіт'!DC340</f>
        <v>106988.83</v>
      </c>
      <c r="DD340" s="702">
        <f>'[1]побудинковий звіт'!DD340</f>
        <v>3379.7400000000002</v>
      </c>
      <c r="DE340" s="702">
        <f>'[1]побудинковий звіт'!DE340</f>
        <v>62896.36</v>
      </c>
      <c r="DF340" s="702">
        <f>'[1]побудинковий звіт'!DF340</f>
        <v>2057.04</v>
      </c>
      <c r="DG340" s="772">
        <v>44701.070894868812</v>
      </c>
      <c r="DH340" s="746">
        <f t="shared" si="316"/>
        <v>4943491.7724596448</v>
      </c>
      <c r="DI340" s="769"/>
      <c r="DJ340" s="5"/>
      <c r="DK340" s="307">
        <f>VLOOKUP($A340,ціни!$A$4:$G$401,5)</f>
        <v>5.5906855284391614</v>
      </c>
      <c r="DL340" s="307"/>
      <c r="DM340" s="307">
        <f>VLOOKUP($A340,ціни!$A$4:$G$401,7)</f>
        <v>4.9113862438411564</v>
      </c>
      <c r="DN340" s="29">
        <f t="shared" si="370"/>
        <v>31318.461261763336</v>
      </c>
      <c r="DO340" s="29">
        <f t="shared" si="371"/>
        <v>926.2874455884421</v>
      </c>
      <c r="DP340" s="306">
        <f t="shared" si="317"/>
        <v>32244.748707351777</v>
      </c>
      <c r="DQ340" s="101"/>
      <c r="DR340" s="29">
        <f>VLOOKUP(A340,'ДЗ нас '!$A$1:$C$359,2)</f>
        <v>31318.55</v>
      </c>
      <c r="DS340" s="733">
        <f>VLOOKUP(A340,'ДЗ нежит'!$A$1:$D$153,4,0)</f>
        <v>926.29</v>
      </c>
      <c r="DT340" s="29">
        <f t="shared" si="318"/>
        <v>32244.84</v>
      </c>
      <c r="DU340" s="247">
        <f>VLOOKUP(A340,'новий кошторис с 01.06'!$A$4:$AI$399,35)*1.2</f>
        <v>32534.689101628406</v>
      </c>
      <c r="DV340" s="29">
        <f t="shared" si="319"/>
        <v>-289.84910162840606</v>
      </c>
      <c r="DW340" s="1016">
        <f>'[2]побудинковий звіт'!$DW$9+'[1]побудинковий звіт'!DW340</f>
        <v>1494</v>
      </c>
      <c r="DX340" s="101">
        <f>'[1]побудинковий звіт'!DX340</f>
        <v>0</v>
      </c>
      <c r="DY340" s="5">
        <f t="shared" si="320"/>
        <v>145841.47110555973</v>
      </c>
      <c r="DZ340" s="5">
        <f t="shared" si="321"/>
        <v>137647.43204653007</v>
      </c>
      <c r="EA340" s="737">
        <f t="shared" si="322"/>
        <v>64953.4</v>
      </c>
      <c r="EC340" s="577">
        <f t="shared" si="323"/>
        <v>1239831.2460346669</v>
      </c>
      <c r="EE340" s="743">
        <v>-104844</v>
      </c>
      <c r="EF340" s="723">
        <f t="shared" si="324"/>
        <v>-60142.929105131188</v>
      </c>
      <c r="EH340" s="798">
        <v>81014.87445947816</v>
      </c>
      <c r="EI340" s="101">
        <f>VLOOKUP(A340,'кошти 01.01.24'!$A$9:$D$352,4,FALSE)</f>
        <v>73550.610666003849</v>
      </c>
    </row>
    <row r="341" spans="1:139" hidden="1" x14ac:dyDescent="0.3">
      <c r="A341" s="318">
        <v>150000917</v>
      </c>
      <c r="B341" s="43" t="s">
        <v>808</v>
      </c>
      <c r="C341" s="44" t="s">
        <v>324</v>
      </c>
      <c r="D341" s="44" t="s">
        <v>324</v>
      </c>
      <c r="E341" s="39">
        <f t="shared" si="327"/>
        <v>4446.8999999999996</v>
      </c>
      <c r="F341" s="205">
        <f>'[1]побудинковий звіт'!F341</f>
        <v>4446.8999999999996</v>
      </c>
      <c r="G341" s="29">
        <f>'[1]побудинковий звіт'!G341</f>
        <v>0</v>
      </c>
      <c r="H341" s="148">
        <f>'[1]побудинковий звіт'!H341</f>
        <v>0</v>
      </c>
      <c r="I341" s="41">
        <f>'[2]побудинковий звіт'!I341+'[1]побудинковий звіт'!I341</f>
        <v>16784.076564257826</v>
      </c>
      <c r="J341" s="41">
        <f>'[2]побудинковий звіт'!J341+'[1]побудинковий звіт'!J341</f>
        <v>17412.495407702154</v>
      </c>
      <c r="K341" s="55">
        <f t="shared" si="328"/>
        <v>628.41884344432765</v>
      </c>
      <c r="L341" s="41">
        <f>'[2]побудинковий звіт'!L341+'[1]побудинковий звіт'!L341</f>
        <v>3176.029446348251</v>
      </c>
      <c r="M341" s="41">
        <f>'[2]побудинковий звіт'!M341+'[1]побудинковий звіт'!M341</f>
        <v>3451.2772427543596</v>
      </c>
      <c r="N341" s="55">
        <f t="shared" si="329"/>
        <v>275.24779640610859</v>
      </c>
      <c r="O341" s="41">
        <f>'[2]побудинковий звіт'!O341+'[1]побудинковий звіт'!O341</f>
        <v>6855.6720947300155</v>
      </c>
      <c r="P341" s="41">
        <f>'[2]побудинковий звіт'!P341+'[1]побудинковий звіт'!P341</f>
        <v>6875.4558891894903</v>
      </c>
      <c r="Q341" s="55">
        <f t="shared" si="330"/>
        <v>19.783794459474848</v>
      </c>
      <c r="R341" s="41">
        <f>'[2]побудинковий звіт'!R341+'[1]побудинковий звіт'!R341</f>
        <v>0</v>
      </c>
      <c r="S341" s="41">
        <f>'[2]побудинковий звіт'!S341+'[1]побудинковий звіт'!S341</f>
        <v>0</v>
      </c>
      <c r="T341" s="55">
        <f t="shared" si="331"/>
        <v>0</v>
      </c>
      <c r="U341" s="41">
        <f>'[2]побудинковий звіт'!U341+'[1]побудинковий звіт'!U341</f>
        <v>1089.513177383317</v>
      </c>
      <c r="V341" s="41">
        <f>'[2]побудинковий звіт'!V341+'[1]побудинковий звіт'!V341</f>
        <v>780.675878609645</v>
      </c>
      <c r="W341" s="55">
        <f t="shared" si="332"/>
        <v>-308.83729877367205</v>
      </c>
      <c r="X341" s="41">
        <f>'[2]побудинковий звіт'!X341+'[1]побудинковий звіт'!X341</f>
        <v>12991.707198551008</v>
      </c>
      <c r="Y341" s="41">
        <f>'[2]побудинковий звіт'!Y341+'[1]побудинковий звіт'!Y341</f>
        <v>13920.614094661676</v>
      </c>
      <c r="Z341" s="55">
        <f t="shared" si="333"/>
        <v>928.90689611066773</v>
      </c>
      <c r="AA341" s="41">
        <f>'[2]побудинковий звіт'!AA341+'[1]побудинковий звіт'!AA341</f>
        <v>0</v>
      </c>
      <c r="AB341" s="41">
        <f>'[2]побудинковий звіт'!AB341+'[1]побудинковий звіт'!AB341</f>
        <v>0</v>
      </c>
      <c r="AC341" s="55">
        <f t="shared" si="334"/>
        <v>0</v>
      </c>
      <c r="AD341" s="41">
        <f>'[2]побудинковий звіт'!AD341+'[1]побудинковий звіт'!AD341</f>
        <v>19282.555107261924</v>
      </c>
      <c r="AE341" s="41">
        <f>'[2]побудинковий звіт'!AE341+'[1]побудинковий звіт'!AE341</f>
        <v>19207.751361862502</v>
      </c>
      <c r="AF341" s="36">
        <f t="shared" si="335"/>
        <v>-74.803745399422041</v>
      </c>
      <c r="AG341" s="84">
        <f t="shared" si="336"/>
        <v>60179.553588532348</v>
      </c>
      <c r="AH341" s="56">
        <f t="shared" si="337"/>
        <v>61648.269874779828</v>
      </c>
      <c r="AI341" s="55">
        <f t="shared" si="338"/>
        <v>1468.7162862474797</v>
      </c>
      <c r="AJ341" s="41">
        <f>'[2]побудинковий звіт'!AJ341+'[1]побудинковий звіт'!AJ341</f>
        <v>0</v>
      </c>
      <c r="AK341" s="41">
        <f>'[2]побудинковий звіт'!AK341+'[1]побудинковий звіт'!AK341</f>
        <v>0</v>
      </c>
      <c r="AL341" s="55">
        <f t="shared" si="339"/>
        <v>0</v>
      </c>
      <c r="AM341" s="41">
        <f>'[2]побудинковий звіт'!AM341+'[1]побудинковий звіт'!AM341</f>
        <v>0</v>
      </c>
      <c r="AN341" s="41">
        <f>'[2]побудинковий звіт'!AN341+'[1]побудинковий звіт'!AN341</f>
        <v>0</v>
      </c>
      <c r="AO341" s="55">
        <f t="shared" si="340"/>
        <v>0</v>
      </c>
      <c r="AP341" s="41">
        <f>'[2]побудинковий звіт'!AP341+'[1]побудинковий звіт'!AP341</f>
        <v>9068.8770422686157</v>
      </c>
      <c r="AQ341" s="41">
        <f>'[2]побудинковий звіт'!AQ341+'[1]побудинковий звіт'!AQ341</f>
        <v>12020.327335759372</v>
      </c>
      <c r="AR341" s="55">
        <f t="shared" si="341"/>
        <v>2951.4502934907559</v>
      </c>
      <c r="AS341" s="41">
        <f>'[2]побудинковий звіт'!AS341+'[1]побудинковий звіт'!AS341</f>
        <v>75670.900874593426</v>
      </c>
      <c r="AT341" s="41">
        <f>'[2]побудинковий звіт'!AT341+'[1]побудинковий звіт'!AT341</f>
        <v>8006.0529256634863</v>
      </c>
      <c r="AU341" s="57">
        <f t="shared" si="342"/>
        <v>-67664.847948929935</v>
      </c>
      <c r="AV341" s="41">
        <f>'[2]побудинковий звіт'!AV341+'[1]побудинковий звіт'!AV341</f>
        <v>2837.8381844710393</v>
      </c>
      <c r="AW341" s="41">
        <f>'[2]побудинковий звіт'!AW341+'[1]побудинковий звіт'!AW341</f>
        <v>1252.7654439607561</v>
      </c>
      <c r="AX341" s="58">
        <f t="shared" si="343"/>
        <v>-1585.0727405102832</v>
      </c>
      <c r="AY341" s="41">
        <f>'[2]побудинковий звіт'!AY341+'[1]побудинковий звіт'!AY341</f>
        <v>4138.7995876131226</v>
      </c>
      <c r="AZ341" s="41">
        <f>'[2]побудинковий звіт'!AZ341+'[1]побудинковий звіт'!AZ341</f>
        <v>0</v>
      </c>
      <c r="BA341" s="36">
        <f t="shared" si="344"/>
        <v>-4138.7995876131226</v>
      </c>
      <c r="BB341" s="41">
        <f>'[2]побудинковий звіт'!BB341+'[1]побудинковий звіт'!BB341</f>
        <v>2627.0731057299981</v>
      </c>
      <c r="BC341" s="41">
        <f>'[2]побудинковий звіт'!BC341+'[1]побудинковий звіт'!BC341</f>
        <v>0</v>
      </c>
      <c r="BD341" s="58">
        <f t="shared" si="345"/>
        <v>-2627.0731057299981</v>
      </c>
      <c r="BE341" s="41">
        <f>'[2]побудинковий звіт'!BE341+'[1]побудинковий звіт'!BE341</f>
        <v>0</v>
      </c>
      <c r="BF341" s="41">
        <f>'[2]побудинковий звіт'!BF341+'[1]побудинковий звіт'!BF341</f>
        <v>0</v>
      </c>
      <c r="BG341" s="38">
        <f t="shared" si="346"/>
        <v>0</v>
      </c>
      <c r="BH341" s="41">
        <f>'[2]побудинковий звіт'!BH341+'[1]побудинковий звіт'!BH341</f>
        <v>1105.2668502747176</v>
      </c>
      <c r="BI341" s="41">
        <f>'[2]побудинковий звіт'!BI341+'[1]побудинковий звіт'!BI341</f>
        <v>0</v>
      </c>
      <c r="BJ341" s="58">
        <f t="shared" si="347"/>
        <v>-1105.2668502747176</v>
      </c>
      <c r="BK341" s="41">
        <f>'[2]побудинковий звіт'!BK341+'[1]побудинковий звіт'!BK341</f>
        <v>2559.870160683472</v>
      </c>
      <c r="BL341" s="41">
        <f>'[2]побудинковий звіт'!BL341+'[1]побудинковий звіт'!BL341</f>
        <v>3967.5311960287568</v>
      </c>
      <c r="BM341" s="38">
        <f t="shared" si="348"/>
        <v>1407.6610353452847</v>
      </c>
      <c r="BN341" s="41">
        <f>'[2]побудинковий звіт'!BN341+'[1]побудинковий звіт'!BN341</f>
        <v>100.38677964698979</v>
      </c>
      <c r="BO341" s="41">
        <f>'[2]побудинковий звіт'!BO341+'[1]побудинковий звіт'!BO341</f>
        <v>0</v>
      </c>
      <c r="BP341" s="58">
        <f t="shared" si="349"/>
        <v>-100.38677964698979</v>
      </c>
      <c r="BQ341" s="84">
        <f t="shared" si="350"/>
        <v>13369.23466841934</v>
      </c>
      <c r="BR341" s="42">
        <f t="shared" si="351"/>
        <v>5220.2966399895131</v>
      </c>
      <c r="BS341" s="58">
        <f t="shared" si="352"/>
        <v>-8148.9380284298268</v>
      </c>
      <c r="BT341" s="41">
        <f>'[2]побудинковий звіт'!BT341+'[1]побудинковий звіт'!BT341</f>
        <v>60342.78613167414</v>
      </c>
      <c r="BU341" s="41">
        <f>'[2]побудинковий звіт'!BU341+'[1]побудинковий звіт'!BU341</f>
        <v>93503.845361876447</v>
      </c>
      <c r="BV341" s="55">
        <f t="shared" si="353"/>
        <v>33161.059230202307</v>
      </c>
      <c r="BW341" s="41">
        <f>'[2]побудинковий звіт'!BW341+'[1]побудинковий звіт'!BW341</f>
        <v>27490.618651429184</v>
      </c>
      <c r="BX341" s="41">
        <f>'[2]побудинковий звіт'!BX341+'[1]побудинковий звіт'!BX341</f>
        <v>33271.997250801855</v>
      </c>
      <c r="BY341" s="55">
        <f t="shared" si="354"/>
        <v>5781.3785993726706</v>
      </c>
      <c r="BZ341" s="41">
        <f>'[2]побудинковий звіт'!BZ341+'[1]побудинковий звіт'!BZ341</f>
        <v>7592.6206054652321</v>
      </c>
      <c r="CA341" s="41">
        <f>'[2]побудинковий звіт'!CA341+'[1]побудинковий звіт'!CA341</f>
        <v>6301.9725251316686</v>
      </c>
      <c r="CB341" s="55">
        <f t="shared" si="355"/>
        <v>-1290.6480803335635</v>
      </c>
      <c r="CC341" s="41">
        <f>'[2]побудинковий звіт'!CC341+'[1]побудинковий звіт'!CC341</f>
        <v>2867.9061628167683</v>
      </c>
      <c r="CD341" s="41">
        <f>'[2]побудинковий звіт'!CD341+'[1]побудинковий звіт'!CD341</f>
        <v>2877.6309127181016</v>
      </c>
      <c r="CE341" s="55">
        <f t="shared" si="356"/>
        <v>9.7247499013333254</v>
      </c>
      <c r="CF341" s="41">
        <f>'[2]побудинковий звіт'!CF341+'[1]побудинковий звіт'!CF341</f>
        <v>355.31833012063311</v>
      </c>
      <c r="CG341" s="41">
        <f>'[2]побудинковий звіт'!CG341+'[1]побудинковий звіт'!CG341</f>
        <v>0</v>
      </c>
      <c r="CH341" s="55">
        <f t="shared" si="357"/>
        <v>-355.31833012063311</v>
      </c>
      <c r="CI341" s="41">
        <f>'[2]побудинковий звіт'!CI341+'[1]побудинковий звіт'!CI341</f>
        <v>5782.0850182916201</v>
      </c>
      <c r="CJ341" s="41">
        <f>'[2]побудинковий звіт'!CJ341+'[1]побудинковий звіт'!CJ341</f>
        <v>4307.2889467847835</v>
      </c>
      <c r="CK341" s="55">
        <f t="shared" si="358"/>
        <v>-1474.7960715068366</v>
      </c>
      <c r="CL341" s="41">
        <f>'[2]побудинковий звіт'!CL341+'[1]побудинковий звіт'!CL341</f>
        <v>0</v>
      </c>
      <c r="CM341" s="41">
        <f>'[2]побудинковий звіт'!CM341+'[1]побудинковий звіт'!CM341</f>
        <v>0</v>
      </c>
      <c r="CN341" s="55">
        <f t="shared" si="359"/>
        <v>0</v>
      </c>
      <c r="CO341" s="41">
        <f t="shared" si="360"/>
        <v>5782.0850182916201</v>
      </c>
      <c r="CP341" s="42">
        <f t="shared" si="361"/>
        <v>4307.2889467847835</v>
      </c>
      <c r="CQ341" s="55">
        <f t="shared" si="362"/>
        <v>-1474.7960715068366</v>
      </c>
      <c r="CR341" s="76">
        <f t="shared" si="363"/>
        <v>262719.90107361134</v>
      </c>
      <c r="CS341" s="5">
        <f t="shared" si="364"/>
        <v>227157.68177350503</v>
      </c>
      <c r="CT341" s="55">
        <f t="shared" si="365"/>
        <v>-35562.219300106313</v>
      </c>
      <c r="CU341" s="84">
        <f t="shared" si="366"/>
        <v>315263.88128833362</v>
      </c>
      <c r="CV341" s="68">
        <f t="shared" si="367"/>
        <v>272589.21812820603</v>
      </c>
      <c r="CW341" s="36">
        <f t="shared" si="368"/>
        <v>-42674.663160127588</v>
      </c>
      <c r="CX341" s="41">
        <f>'[2]побудинковий звіт'!CX341+'[1]побудинковий звіт'!CX341</f>
        <v>15844.495331649596</v>
      </c>
      <c r="CY341" s="41">
        <f>'[2]побудинковий звіт'!CY341+'[1]побудинковий звіт'!CY341</f>
        <v>58519.158491777111</v>
      </c>
      <c r="CZ341" s="55">
        <f t="shared" si="369"/>
        <v>42674.663160127515</v>
      </c>
      <c r="DA341" s="254">
        <f>'[1]побудинковий звіт'!DA341</f>
        <v>-50518.644116456242</v>
      </c>
      <c r="DB341" s="2">
        <v>3</v>
      </c>
      <c r="DC341" s="702">
        <f>'[1]побудинковий звіт'!DC341</f>
        <v>151746.04</v>
      </c>
      <c r="DD341" s="702">
        <f>'[1]побудинковий звіт'!DD341</f>
        <v>0</v>
      </c>
      <c r="DE341" s="702">
        <f>'[1]побудинковий звіт'!DE341</f>
        <v>115193.40000000001</v>
      </c>
      <c r="DF341" s="702">
        <f>'[1]побудинковий звіт'!DF341</f>
        <v>0</v>
      </c>
      <c r="DG341" s="772">
        <v>-101296.01292653487</v>
      </c>
      <c r="DH341" s="746">
        <f t="shared" si="316"/>
        <v>3973300.5194397988</v>
      </c>
      <c r="DI341" s="769"/>
      <c r="DJ341" s="5"/>
      <c r="DK341" s="307">
        <f>VLOOKUP($A341,ціни!$A$4:$G$401,5)</f>
        <v>5.8258217005018338</v>
      </c>
      <c r="DL341" s="307"/>
      <c r="DM341" s="307">
        <f>VLOOKUP($A341,ціни!$A$4:$G$401,7)</f>
        <v>5.2027302836150042</v>
      </c>
      <c r="DN341" s="29">
        <f t="shared" si="370"/>
        <v>25906.846519961604</v>
      </c>
      <c r="DO341" s="29">
        <f t="shared" si="371"/>
        <v>0</v>
      </c>
      <c r="DP341" s="306">
        <f t="shared" si="317"/>
        <v>25906.846519961604</v>
      </c>
      <c r="DQ341" s="101"/>
      <c r="DR341" s="29">
        <f>VLOOKUP(A341,'ДЗ нас '!$A$1:$C$359,2)</f>
        <v>25906.74</v>
      </c>
      <c r="DS341" s="733"/>
      <c r="DT341" s="29">
        <f t="shared" si="318"/>
        <v>25906.74</v>
      </c>
      <c r="DU341" s="247">
        <f>VLOOKUP(A341,'новий кошторис с 01.06'!$A$4:$AI$399,35)*1.2</f>
        <v>26145.344563576909</v>
      </c>
      <c r="DV341" s="29">
        <f t="shared" si="319"/>
        <v>-238.60456357690782</v>
      </c>
      <c r="DW341" s="1016">
        <f>'[2]побудинковий звіт'!$DW$9+'[1]побудинковий звіт'!DW341</f>
        <v>1359</v>
      </c>
      <c r="DX341" s="101">
        <f>'[1]побудинковий звіт'!DX341</f>
        <v>0</v>
      </c>
      <c r="DY341" s="5">
        <f t="shared" si="320"/>
        <v>106848.1626516153</v>
      </c>
      <c r="DZ341" s="5">
        <f t="shared" si="321"/>
        <v>15871.619478783599</v>
      </c>
      <c r="EA341" s="737">
        <f t="shared" si="322"/>
        <v>115193.40000000001</v>
      </c>
      <c r="EC341" s="577">
        <f t="shared" si="323"/>
        <v>908050.81049512117</v>
      </c>
      <c r="EE341" s="743">
        <v>36711</v>
      </c>
      <c r="EF341" s="723">
        <f t="shared" si="324"/>
        <v>-64585.012926534866</v>
      </c>
      <c r="EH341" s="798">
        <v>-92397.718904788926</v>
      </c>
      <c r="EI341" s="101">
        <f>VLOOKUP(A341,'кошти 01.01.24'!$A$9:$D$352,4,FALSE)</f>
        <v>-7843.9809563288036</v>
      </c>
    </row>
    <row r="342" spans="1:139" hidden="1" x14ac:dyDescent="0.3">
      <c r="A342" s="318">
        <v>150000918</v>
      </c>
      <c r="B342" s="43" t="s">
        <v>809</v>
      </c>
      <c r="C342" s="44" t="s">
        <v>325</v>
      </c>
      <c r="D342" s="44" t="s">
        <v>325</v>
      </c>
      <c r="E342" s="39">
        <f t="shared" si="327"/>
        <v>4596.3999999999996</v>
      </c>
      <c r="F342" s="205">
        <f>'[1]побудинковий звіт'!F342</f>
        <v>4596.3999999999996</v>
      </c>
      <c r="G342" s="29">
        <f>'[1]побудинковий звіт'!G342</f>
        <v>0</v>
      </c>
      <c r="H342" s="148">
        <f>'[1]побудинковий звіт'!H342</f>
        <v>0</v>
      </c>
      <c r="I342" s="41">
        <f>'[2]побудинковий звіт'!I342+'[1]побудинковий звіт'!I342</f>
        <v>17590.307986302516</v>
      </c>
      <c r="J342" s="41">
        <f>'[2]побудинковий звіт'!J342+'[1]побудинковий звіт'!J342</f>
        <v>18357.925086929885</v>
      </c>
      <c r="K342" s="55">
        <f t="shared" si="328"/>
        <v>767.61710062736893</v>
      </c>
      <c r="L342" s="41">
        <f>'[2]побудинковий звіт'!L342+'[1]побудинковий звіт'!L342</f>
        <v>3596.5944217454248</v>
      </c>
      <c r="M342" s="41">
        <f>'[2]побудинковий звіт'!M342+'[1]побудинковий звіт'!M342</f>
        <v>3914.3292536483705</v>
      </c>
      <c r="N342" s="55">
        <f t="shared" si="329"/>
        <v>317.73483190294564</v>
      </c>
      <c r="O342" s="41">
        <f>'[2]побудинковий звіт'!O342+'[1]побудинковий звіт'!O342</f>
        <v>7095.9454215887617</v>
      </c>
      <c r="P342" s="41">
        <f>'[2]побудинковий звіт'!P342+'[1]побудинковий звіт'!P342</f>
        <v>7117.7657069355382</v>
      </c>
      <c r="Q342" s="55">
        <f t="shared" si="330"/>
        <v>21.820285346776473</v>
      </c>
      <c r="R342" s="41">
        <f>'[2]побудинковий звіт'!R342+'[1]побудинковий звіт'!R342</f>
        <v>0</v>
      </c>
      <c r="S342" s="41">
        <f>'[2]побудинковий звіт'!S342+'[1]побудинковий звіт'!S342</f>
        <v>0</v>
      </c>
      <c r="T342" s="55">
        <f t="shared" si="331"/>
        <v>0</v>
      </c>
      <c r="U342" s="41">
        <f>'[2]побудинковий звіт'!U342+'[1]побудинковий звіт'!U342</f>
        <v>1089.513177383317</v>
      </c>
      <c r="V342" s="41">
        <f>'[2]побудинковий звіт'!V342+'[1]побудинковий звіт'!V342</f>
        <v>780.675878609645</v>
      </c>
      <c r="W342" s="55">
        <f t="shared" si="332"/>
        <v>-308.83729877367205</v>
      </c>
      <c r="X342" s="41">
        <f>'[2]побудинковий звіт'!X342+'[1]побудинковий звіт'!X342</f>
        <v>13445.250468246173</v>
      </c>
      <c r="Y342" s="41">
        <f>'[2]побудинковий звіт'!Y342+'[1]побудинковий звіт'!Y342</f>
        <v>14328.317012231462</v>
      </c>
      <c r="Z342" s="55">
        <f t="shared" si="333"/>
        <v>883.06654398528917</v>
      </c>
      <c r="AA342" s="41">
        <f>'[2]побудинковий звіт'!AA342+'[1]побудинковий звіт'!AA342</f>
        <v>0</v>
      </c>
      <c r="AB342" s="41">
        <f>'[2]побудинковий звіт'!AB342+'[1]побудинковий звіт'!AB342</f>
        <v>0</v>
      </c>
      <c r="AC342" s="55">
        <f t="shared" si="334"/>
        <v>0</v>
      </c>
      <c r="AD342" s="41">
        <f>'[2]побудинковий звіт'!AD342+'[1]побудинковий звіт'!AD342</f>
        <v>19917.307741259348</v>
      </c>
      <c r="AE342" s="41">
        <f>'[2]побудинковий звіт'!AE342+'[1]побудинковий звіт'!AE342</f>
        <v>19840.554580406308</v>
      </c>
      <c r="AF342" s="36">
        <f t="shared" si="335"/>
        <v>-76.753160853040754</v>
      </c>
      <c r="AG342" s="84">
        <f t="shared" si="336"/>
        <v>62734.919216525544</v>
      </c>
      <c r="AH342" s="56">
        <f t="shared" si="337"/>
        <v>64339.567518761207</v>
      </c>
      <c r="AI342" s="55">
        <f t="shared" si="338"/>
        <v>1604.6483022356624</v>
      </c>
      <c r="AJ342" s="41">
        <f>'[2]побудинковий звіт'!AJ342+'[1]побудинковий звіт'!AJ342</f>
        <v>0</v>
      </c>
      <c r="AK342" s="41">
        <f>'[2]побудинковий звіт'!AK342+'[1]побудинковий звіт'!AK342</f>
        <v>0</v>
      </c>
      <c r="AL342" s="55">
        <f t="shared" si="339"/>
        <v>0</v>
      </c>
      <c r="AM342" s="41">
        <f>'[2]побудинковий звіт'!AM342+'[1]побудинковий звіт'!AM342</f>
        <v>0</v>
      </c>
      <c r="AN342" s="41">
        <f>'[2]побудинковий звіт'!AN342+'[1]побудинковий звіт'!AN342</f>
        <v>0</v>
      </c>
      <c r="AO342" s="55">
        <f t="shared" si="340"/>
        <v>0</v>
      </c>
      <c r="AP342" s="41">
        <f>'[2]побудинковий звіт'!AP342+'[1]побудинковий звіт'!AP342</f>
        <v>14561.789760706499</v>
      </c>
      <c r="AQ342" s="41">
        <f>'[2]побудинковий звіт'!AQ342+'[1]побудинковий звіт'!AQ342</f>
        <v>12797.777785641425</v>
      </c>
      <c r="AR342" s="55">
        <f t="shared" si="341"/>
        <v>-1764.0119750650738</v>
      </c>
      <c r="AS342" s="41">
        <f>'[2]побудинковий звіт'!AS342+'[1]побудинковий звіт'!AS342</f>
        <v>67744.584007656827</v>
      </c>
      <c r="AT342" s="41">
        <f>'[2]побудинковий звіт'!AT342+'[1]побудинковий звіт'!AT342</f>
        <v>8218.9838129148338</v>
      </c>
      <c r="AU342" s="57">
        <f t="shared" si="342"/>
        <v>-59525.600194741994</v>
      </c>
      <c r="AV342" s="41">
        <f>'[2]побудинковий звіт'!AV342+'[1]побудинковий звіт'!AV342</f>
        <v>3010.5743159630006</v>
      </c>
      <c r="AW342" s="41">
        <f>'[2]побудинковий звіт'!AW342+'[1]побудинковий звіт'!AW342</f>
        <v>340.49329434032501</v>
      </c>
      <c r="AX342" s="58">
        <f t="shared" si="343"/>
        <v>-2670.0810216226755</v>
      </c>
      <c r="AY342" s="41">
        <f>'[2]побудинковий звіт'!AY342+'[1]побудинковий звіт'!AY342</f>
        <v>4640.3240239746056</v>
      </c>
      <c r="AZ342" s="41">
        <f>'[2]побудинковий звіт'!AZ342+'[1]побудинковий звіт'!AZ342</f>
        <v>0</v>
      </c>
      <c r="BA342" s="36">
        <f t="shared" si="344"/>
        <v>-4640.3240239746056</v>
      </c>
      <c r="BB342" s="41">
        <f>'[2]побудинковий звіт'!BB342+'[1]побудинковий звіт'!BB342</f>
        <v>2783.6510057321084</v>
      </c>
      <c r="BC342" s="41">
        <f>'[2]побудинковий звіт'!BC342+'[1]побудинковий звіт'!BC342</f>
        <v>0</v>
      </c>
      <c r="BD342" s="58">
        <f t="shared" si="345"/>
        <v>-2783.6510057321084</v>
      </c>
      <c r="BE342" s="41">
        <f>'[2]побудинковий звіт'!BE342+'[1]побудинковий звіт'!BE342</f>
        <v>0</v>
      </c>
      <c r="BF342" s="41">
        <f>'[2]побудинковий звіт'!BF342+'[1]побудинковий звіт'!BF342</f>
        <v>0</v>
      </c>
      <c r="BG342" s="38">
        <f t="shared" si="346"/>
        <v>0</v>
      </c>
      <c r="BH342" s="41">
        <f>'[2]побудинковий звіт'!BH342+'[1]побудинковий звіт'!BH342</f>
        <v>1105.2668502747176</v>
      </c>
      <c r="BI342" s="41">
        <f>'[2]побудинковий звіт'!BI342+'[1]побудинковий звіт'!BI342</f>
        <v>0</v>
      </c>
      <c r="BJ342" s="58">
        <f t="shared" si="347"/>
        <v>-1105.2668502747176</v>
      </c>
      <c r="BK342" s="41">
        <f>'[2]побудинковий звіт'!BK342+'[1]побудинковий звіт'!BK342</f>
        <v>2674.0343942834929</v>
      </c>
      <c r="BL342" s="41">
        <f>'[2]побудинковий звіт'!BL342+'[1]побудинковий звіт'!BL342</f>
        <v>2173.3708111619303</v>
      </c>
      <c r="BM342" s="38">
        <f t="shared" si="348"/>
        <v>-500.66358312156262</v>
      </c>
      <c r="BN342" s="41">
        <f>'[2]побудинковий звіт'!BN342+'[1]побудинковий звіт'!BN342</f>
        <v>131.75764828667408</v>
      </c>
      <c r="BO342" s="41">
        <f>'[2]побудинковий звіт'!BO342+'[1]побудинковий звіт'!BO342</f>
        <v>0</v>
      </c>
      <c r="BP342" s="58">
        <f t="shared" si="349"/>
        <v>-131.75764828667408</v>
      </c>
      <c r="BQ342" s="84">
        <f t="shared" si="350"/>
        <v>14345.6082385146</v>
      </c>
      <c r="BR342" s="42">
        <f t="shared" si="351"/>
        <v>2513.8641055022554</v>
      </c>
      <c r="BS342" s="58">
        <f t="shared" si="352"/>
        <v>-11831.744133012344</v>
      </c>
      <c r="BT342" s="41">
        <f>'[2]побудинковий звіт'!BT342+'[1]побудинковий звіт'!BT342</f>
        <v>46281.194832813417</v>
      </c>
      <c r="BU342" s="41">
        <f>'[2]побудинковий звіт'!BU342+'[1]побудинковий звіт'!BU342</f>
        <v>65160.999674777064</v>
      </c>
      <c r="BV342" s="55">
        <f t="shared" si="353"/>
        <v>18879.804841963647</v>
      </c>
      <c r="BW342" s="41">
        <f>'[2]побудинковий звіт'!BW342+'[1]побудинковий звіт'!BW342</f>
        <v>27015.999898368351</v>
      </c>
      <c r="BX342" s="41">
        <f>'[2]побудинковий звіт'!BX342+'[1]побудинковий звіт'!BX342</f>
        <v>33098.579107442361</v>
      </c>
      <c r="BY342" s="55">
        <f t="shared" si="354"/>
        <v>6082.5792090740106</v>
      </c>
      <c r="BZ342" s="41">
        <f>'[2]побудинковий звіт'!BZ342+'[1]побудинковий звіт'!BZ342</f>
        <v>8061.5210074346232</v>
      </c>
      <c r="CA342" s="41">
        <f>'[2]побудинковий звіт'!CA342+'[1]побудинковий звіт'!CA342</f>
        <v>5740.066155524074</v>
      </c>
      <c r="CB342" s="55">
        <f t="shared" si="355"/>
        <v>-2321.4548519105492</v>
      </c>
      <c r="CC342" s="41">
        <f>'[2]побудинковий звіт'!CC342+'[1]побудинковий звіт'!CC342</f>
        <v>1669.0774154553294</v>
      </c>
      <c r="CD342" s="41">
        <f>'[2]побудинковий звіт'!CD342+'[1]побудинковий звіт'!CD342</f>
        <v>1674.7370707961184</v>
      </c>
      <c r="CE342" s="55">
        <f t="shared" si="356"/>
        <v>5.6596553407889587</v>
      </c>
      <c r="CF342" s="41">
        <f>'[2]побудинковий звіт'!CF342+'[1]побудинковий звіт'!CF342</f>
        <v>206.78982031935485</v>
      </c>
      <c r="CG342" s="41">
        <f>'[2]побудинковий звіт'!CG342+'[1]побудинковий звіт'!CG342</f>
        <v>0</v>
      </c>
      <c r="CH342" s="55">
        <f t="shared" si="357"/>
        <v>-206.78982031935485</v>
      </c>
      <c r="CI342" s="41">
        <f>'[2]побудинковий звіт'!CI342+'[1]побудинковий звіт'!CI342</f>
        <v>7299.3133415566308</v>
      </c>
      <c r="CJ342" s="41">
        <f>'[2]побудинковий звіт'!CJ342+'[1]побудинковий звіт'!CJ342</f>
        <v>7721.3862972876004</v>
      </c>
      <c r="CK342" s="55">
        <f t="shared" si="358"/>
        <v>422.07295573096962</v>
      </c>
      <c r="CL342" s="41">
        <f>'[2]побудинковий звіт'!CL342+'[1]побудинковий звіт'!CL342</f>
        <v>0</v>
      </c>
      <c r="CM342" s="41">
        <f>'[2]побудинковий звіт'!CM342+'[1]побудинковий звіт'!CM342</f>
        <v>0</v>
      </c>
      <c r="CN342" s="55">
        <f t="shared" si="359"/>
        <v>0</v>
      </c>
      <c r="CO342" s="41">
        <f t="shared" si="360"/>
        <v>7299.3133415566308</v>
      </c>
      <c r="CP342" s="42">
        <f t="shared" si="361"/>
        <v>7721.3862972876004</v>
      </c>
      <c r="CQ342" s="55">
        <f t="shared" si="362"/>
        <v>422.07295573096962</v>
      </c>
      <c r="CR342" s="76">
        <f t="shared" si="363"/>
        <v>249920.79753935122</v>
      </c>
      <c r="CS342" s="5">
        <f t="shared" si="364"/>
        <v>201265.96152864693</v>
      </c>
      <c r="CT342" s="55">
        <f t="shared" si="365"/>
        <v>-48654.836010704283</v>
      </c>
      <c r="CU342" s="84">
        <f t="shared" si="366"/>
        <v>299904.95704722143</v>
      </c>
      <c r="CV342" s="68">
        <f t="shared" si="367"/>
        <v>241519.15383437631</v>
      </c>
      <c r="CW342" s="36">
        <f t="shared" si="368"/>
        <v>-58385.803212845116</v>
      </c>
      <c r="CX342" s="41">
        <f>'[2]побудинковий звіт'!CX342+'[1]побудинковий звіт'!CX342</f>
        <v>14562.35850447791</v>
      </c>
      <c r="CY342" s="41">
        <f>'[2]побудинковий звіт'!CY342+'[1]побудинковий звіт'!CY342</f>
        <v>72948.161717322902</v>
      </c>
      <c r="CZ342" s="55">
        <f t="shared" si="369"/>
        <v>58385.803212844992</v>
      </c>
      <c r="DA342" s="254">
        <f>'[1]побудинковий звіт'!DA342</f>
        <v>231943.59953127344</v>
      </c>
      <c r="DB342" s="2">
        <v>3</v>
      </c>
      <c r="DC342" s="702">
        <f>'[1]побудинковий звіт'!DC342</f>
        <v>116609.33</v>
      </c>
      <c r="DD342" s="702">
        <f>'[1]побудинковий звіт'!DD342</f>
        <v>0</v>
      </c>
      <c r="DE342" s="702">
        <f>'[1]побудинковий звіт'!DE342</f>
        <v>82195.649999999994</v>
      </c>
      <c r="DF342" s="702">
        <f>'[1]побудинковий звіт'!DF342</f>
        <v>0</v>
      </c>
      <c r="DG342" s="772">
        <v>30854.195938611403</v>
      </c>
      <c r="DH342" s="746">
        <f t="shared" ref="DH342:DH353" si="372">(CU342+CX342)*12</f>
        <v>3773607.7866203915</v>
      </c>
      <c r="DI342" s="769"/>
      <c r="DJ342" s="5"/>
      <c r="DK342" s="307">
        <f>VLOOKUP($A342,ціни!$A$4:$G$401,5)</f>
        <v>5.365435271005575</v>
      </c>
      <c r="DL342" s="307"/>
      <c r="DM342" s="307">
        <f>VLOOKUP($A342,ціни!$A$4:$G$401,7)</f>
        <v>4.7751047071439183</v>
      </c>
      <c r="DN342" s="29">
        <f t="shared" si="370"/>
        <v>24661.686679650022</v>
      </c>
      <c r="DO342" s="29">
        <f t="shared" si="371"/>
        <v>0</v>
      </c>
      <c r="DP342" s="306">
        <f t="shared" ref="DP342:DP354" si="373">DN342+DO342</f>
        <v>24661.686679650022</v>
      </c>
      <c r="DQ342" s="101"/>
      <c r="DR342" s="29">
        <f>VLOOKUP(A342,'ДЗ нас '!$A$1:$C$359,2)</f>
        <v>24661.51</v>
      </c>
      <c r="DS342" s="733"/>
      <c r="DT342" s="29">
        <f t="shared" ref="DT342:DT353" si="374">DR342+DS342</f>
        <v>24661.51</v>
      </c>
      <c r="DU342" s="247">
        <f>VLOOKUP(A342,'новий кошторис с 01.06'!$A$4:$AI$399,35)*1.2</f>
        <v>24854.949350636845</v>
      </c>
      <c r="DV342" s="29">
        <f t="shared" ref="DV342:DV353" si="375">DT342-DU342</f>
        <v>-193.43935063684694</v>
      </c>
      <c r="DW342" s="1016">
        <f>'[2]побудинковий звіт'!$DW$9+'[1]побудинковий звіт'!DW342</f>
        <v>1359</v>
      </c>
      <c r="DX342" s="101">
        <f>'[1]побудинковий звіт'!DX342</f>
        <v>0</v>
      </c>
      <c r="DY342" s="5">
        <f t="shared" ref="DY342:DY353" si="376">(AS342+BQ342)*1.2</f>
        <v>98508.230695405713</v>
      </c>
      <c r="DZ342" s="5">
        <f t="shared" ref="DZ342:DZ353" si="377">(AT342+BR342)*1.2</f>
        <v>12879.417502100509</v>
      </c>
      <c r="EA342" s="737">
        <f t="shared" ref="EA342:EA353" si="378">DE342+DF342</f>
        <v>82195.649999999994</v>
      </c>
      <c r="EC342" s="577">
        <f t="shared" ref="EC342:EC353" si="379">AS342*12</f>
        <v>812935.00809188187</v>
      </c>
      <c r="EE342" s="743">
        <v>-94274</v>
      </c>
      <c r="EF342" s="723">
        <f t="shared" ref="EF342:EF354" si="380">EE342+DG342</f>
        <v>-63419.804061388597</v>
      </c>
      <c r="EH342" s="798">
        <v>81988.004660498715</v>
      </c>
      <c r="EI342" s="101">
        <f>VLOOKUP(A342,'кошти 01.01.24'!$A$9:$D$352,4,FALSE)</f>
        <v>290329.40274411853</v>
      </c>
    </row>
    <row r="343" spans="1:139" hidden="1" x14ac:dyDescent="0.3">
      <c r="A343" s="318">
        <v>150000919</v>
      </c>
      <c r="B343" s="43" t="s">
        <v>810</v>
      </c>
      <c r="C343" s="44" t="s">
        <v>326</v>
      </c>
      <c r="D343" s="44" t="s">
        <v>326</v>
      </c>
      <c r="E343" s="39">
        <f t="shared" si="327"/>
        <v>4567.8</v>
      </c>
      <c r="F343" s="205">
        <f>'[1]побудинковий звіт'!F343</f>
        <v>4567.8</v>
      </c>
      <c r="G343" s="29">
        <f>'[1]побудинковий звіт'!G343</f>
        <v>0</v>
      </c>
      <c r="H343" s="148">
        <f>'[1]побудинковий звіт'!H343</f>
        <v>0</v>
      </c>
      <c r="I343" s="41">
        <f>'[2]побудинковий звіт'!I343+'[1]побудинковий звіт'!I343</f>
        <v>17884.890242140416</v>
      </c>
      <c r="J343" s="41">
        <f>'[2]побудинковий звіт'!J343+'[1]побудинковий звіт'!J343</f>
        <v>18546.520769284125</v>
      </c>
      <c r="K343" s="55">
        <f t="shared" si="328"/>
        <v>661.6305271437086</v>
      </c>
      <c r="L343" s="41">
        <f>'[2]побудинковий звіт'!L343+'[1]побудинковий звіт'!L343</f>
        <v>3596.0954966721138</v>
      </c>
      <c r="M343" s="41">
        <f>'[2]побудинковий звіт'!M343+'[1]побудинковий звіт'!M343</f>
        <v>3913.7781891463237</v>
      </c>
      <c r="N343" s="55">
        <f t="shared" si="329"/>
        <v>317.68269247420994</v>
      </c>
      <c r="O343" s="41">
        <f>'[2]побудинковий звіт'!O343+'[1]побудинковий звіт'!O343</f>
        <v>6975.9401078313294</v>
      </c>
      <c r="P343" s="41">
        <f>'[2]побудинковий звіт'!P343+'[1]побудинковий звіт'!P343</f>
        <v>6996.5937977171861</v>
      </c>
      <c r="Q343" s="55">
        <f t="shared" si="330"/>
        <v>20.653689885856693</v>
      </c>
      <c r="R343" s="41">
        <f>'[2]побудинковий звіт'!R343+'[1]побудинковий звіт'!R343</f>
        <v>0</v>
      </c>
      <c r="S343" s="41">
        <f>'[2]побудинковий звіт'!S343+'[1]побудинковий звіт'!S343</f>
        <v>0</v>
      </c>
      <c r="T343" s="55">
        <f t="shared" si="331"/>
        <v>0</v>
      </c>
      <c r="U343" s="41">
        <f>'[2]побудинковий звіт'!U343+'[1]побудинковий звіт'!U343</f>
        <v>1089.513177383317</v>
      </c>
      <c r="V343" s="41">
        <f>'[2]побудинковий звіт'!V343+'[1]побудинковий звіт'!V343</f>
        <v>780.675878609645</v>
      </c>
      <c r="W343" s="55">
        <f t="shared" si="332"/>
        <v>-308.83729877367205</v>
      </c>
      <c r="X343" s="41">
        <f>'[2]побудинковий звіт'!X343+'[1]побудинковий звіт'!X343</f>
        <v>13678.937866769234</v>
      </c>
      <c r="Y343" s="41">
        <f>'[2]побудинковий звіт'!Y343+'[1]побудинковий звіт'!Y343</f>
        <v>14180.140053534153</v>
      </c>
      <c r="Z343" s="55">
        <f t="shared" si="333"/>
        <v>501.20218676491822</v>
      </c>
      <c r="AA343" s="41">
        <f>'[2]побудинковий звіт'!AA343+'[1]побудинковий звіт'!AA343</f>
        <v>0</v>
      </c>
      <c r="AB343" s="41">
        <f>'[2]побудинковий звіт'!AB343+'[1]побудинковий звіт'!AB343</f>
        <v>0</v>
      </c>
      <c r="AC343" s="55">
        <f t="shared" si="334"/>
        <v>0</v>
      </c>
      <c r="AD343" s="41">
        <f>'[2]побудинковий звіт'!AD343+'[1]побудинковий звіт'!AD343</f>
        <v>19808.015795351483</v>
      </c>
      <c r="AE343" s="41">
        <f>'[2]побудинковий звіт'!AE343+'[1]побудинковий звіт'!AE343</f>
        <v>19731.127393188253</v>
      </c>
      <c r="AF343" s="36">
        <f t="shared" si="335"/>
        <v>-76.88840216322933</v>
      </c>
      <c r="AG343" s="84">
        <f t="shared" si="336"/>
        <v>63033.392686147898</v>
      </c>
      <c r="AH343" s="56">
        <f t="shared" si="337"/>
        <v>64148.836081479683</v>
      </c>
      <c r="AI343" s="55">
        <f t="shared" si="338"/>
        <v>1115.4433953317857</v>
      </c>
      <c r="AJ343" s="41">
        <f>'[2]побудинковий звіт'!AJ343+'[1]побудинковий звіт'!AJ343</f>
        <v>0</v>
      </c>
      <c r="AK343" s="41">
        <f>'[2]побудинковий звіт'!AK343+'[1]побудинковий звіт'!AK343</f>
        <v>0</v>
      </c>
      <c r="AL343" s="55">
        <f t="shared" si="339"/>
        <v>0</v>
      </c>
      <c r="AM343" s="41">
        <f>'[2]побудинковий звіт'!AM343+'[1]побудинковий звіт'!AM343</f>
        <v>0</v>
      </c>
      <c r="AN343" s="41">
        <f>'[2]побудинковий звіт'!AN343+'[1]побудинковий звіт'!AN343</f>
        <v>0</v>
      </c>
      <c r="AO343" s="55">
        <f t="shared" si="340"/>
        <v>0</v>
      </c>
      <c r="AP343" s="41">
        <f>'[2]побудинковий звіт'!AP343+'[1]побудинковий звіт'!AP343</f>
        <v>14858.969143578059</v>
      </c>
      <c r="AQ343" s="41">
        <f>'[2]побудинковий звіт'!AQ343+'[1]побудинковий звіт'!AQ343</f>
        <v>13773.673310444183</v>
      </c>
      <c r="AR343" s="55">
        <f t="shared" si="341"/>
        <v>-1085.2958331338759</v>
      </c>
      <c r="AS343" s="41">
        <f>'[2]побудинковий звіт'!AS343+'[1]побудинковий звіт'!AS343</f>
        <v>67716.241978730832</v>
      </c>
      <c r="AT343" s="41">
        <f>'[2]побудинковий звіт'!AT343+'[1]побудинковий звіт'!AT343</f>
        <v>102918.49716403289</v>
      </c>
      <c r="AU343" s="57">
        <f t="shared" si="342"/>
        <v>35202.255185302056</v>
      </c>
      <c r="AV343" s="41">
        <f>'[2]побудинковий звіт'!AV343+'[1]побудинковий звіт'!AV343</f>
        <v>2811.511908488591</v>
      </c>
      <c r="AW343" s="41">
        <f>'[2]побудинковий звіт'!AW343+'[1]побудинковий звіт'!AW343</f>
        <v>2258.4756415662173</v>
      </c>
      <c r="AX343" s="58">
        <f t="shared" si="343"/>
        <v>-553.03626692237367</v>
      </c>
      <c r="AY343" s="41">
        <f>'[2]побудинковий звіт'!AY343+'[1]побудинковий звіт'!AY343</f>
        <v>4639.5394635200155</v>
      </c>
      <c r="AZ343" s="41">
        <f>'[2]побудинковий звіт'!AZ343+'[1]побудинковий звіт'!AZ343</f>
        <v>1883.2804363109901</v>
      </c>
      <c r="BA343" s="36">
        <f t="shared" si="344"/>
        <v>-2756.2590272090256</v>
      </c>
      <c r="BB343" s="41">
        <f>'[2]побудинковий звіт'!BB343+'[1]побудинковий звіт'!BB343</f>
        <v>2722.0347216446617</v>
      </c>
      <c r="BC343" s="41">
        <f>'[2]побудинковий звіт'!BC343+'[1]побудинковий звіт'!BC343</f>
        <v>0</v>
      </c>
      <c r="BD343" s="58">
        <f t="shared" si="345"/>
        <v>-2722.0347216446617</v>
      </c>
      <c r="BE343" s="41">
        <f>'[2]побудинковий звіт'!BE343+'[1]побудинковий звіт'!BE343</f>
        <v>0</v>
      </c>
      <c r="BF343" s="41">
        <f>'[2]побудинковий звіт'!BF343+'[1]побудинковий звіт'!BF343</f>
        <v>0</v>
      </c>
      <c r="BG343" s="38">
        <f t="shared" si="346"/>
        <v>0</v>
      </c>
      <c r="BH343" s="41">
        <f>'[2]побудинковий звіт'!BH343+'[1]побудинковий звіт'!BH343</f>
        <v>1105.2668502747176</v>
      </c>
      <c r="BI343" s="41">
        <f>'[2]побудинковий звіт'!BI343+'[1]побудинковий звіт'!BI343</f>
        <v>0</v>
      </c>
      <c r="BJ343" s="58">
        <f t="shared" si="347"/>
        <v>-1105.2668502747176</v>
      </c>
      <c r="BK343" s="41">
        <f>'[2]побудинковий звіт'!BK343+'[1]побудинковий звіт'!BK343</f>
        <v>2677.0975315262231</v>
      </c>
      <c r="BL343" s="41">
        <f>'[2]побудинковий звіт'!BL343+'[1]побудинковий звіт'!BL343</f>
        <v>3837.6856990140154</v>
      </c>
      <c r="BM343" s="38">
        <f t="shared" si="348"/>
        <v>1160.5881674877924</v>
      </c>
      <c r="BN343" s="41">
        <f>'[2]побудинковий звіт'!BN343+'[1]побудинковий звіт'!BN343</f>
        <v>131.75764828667408</v>
      </c>
      <c r="BO343" s="41">
        <f>'[2]побудинковий звіт'!BO343+'[1]побудинковий звіт'!BO343</f>
        <v>1359.4478470556301</v>
      </c>
      <c r="BP343" s="58">
        <f t="shared" si="349"/>
        <v>1227.690198768956</v>
      </c>
      <c r="BQ343" s="84">
        <f t="shared" si="350"/>
        <v>14087.208123740884</v>
      </c>
      <c r="BR343" s="42">
        <f t="shared" si="351"/>
        <v>9338.8896239468522</v>
      </c>
      <c r="BS343" s="58">
        <f t="shared" si="352"/>
        <v>-4748.3184997940316</v>
      </c>
      <c r="BT343" s="41">
        <f>'[2]побудинковий звіт'!BT343+'[1]побудинковий звіт'!BT343</f>
        <v>45887.638642440776</v>
      </c>
      <c r="BU343" s="41">
        <f>'[2]побудинковий звіт'!BU343+'[1]побудинковий звіт'!BU343</f>
        <v>66660.826908512056</v>
      </c>
      <c r="BV343" s="55">
        <f t="shared" si="353"/>
        <v>20773.18826607128</v>
      </c>
      <c r="BW343" s="41">
        <f>'[2]побудинковий звіт'!BW343+'[1]побудинковий звіт'!BW343</f>
        <v>26876.457013088359</v>
      </c>
      <c r="BX343" s="41">
        <f>'[2]побудинковий звіт'!BX343+'[1]побудинковий звіт'!BX343</f>
        <v>34891.764550742213</v>
      </c>
      <c r="BY343" s="55">
        <f t="shared" si="354"/>
        <v>8015.3075376538545</v>
      </c>
      <c r="BZ343" s="41">
        <f>'[2]побудинковий звіт'!BZ343+'[1]побудинковий звіт'!BZ343</f>
        <v>6781.0485441979254</v>
      </c>
      <c r="CA343" s="41">
        <f>'[2]побудинковий звіт'!CA343+'[1]побудинковий звіт'!CA343</f>
        <v>6266.4769342906293</v>
      </c>
      <c r="CB343" s="55">
        <f t="shared" si="355"/>
        <v>-514.57160990729608</v>
      </c>
      <c r="CC343" s="41">
        <f>'[2]побудинковий звіт'!CC343+'[1]побудинковий звіт'!CC343</f>
        <v>3322.2763044555404</v>
      </c>
      <c r="CD343" s="41">
        <f>'[2]побудинковий звіт'!CD343+'[1]побудинковий звіт'!CD343</f>
        <v>3333.5417728250582</v>
      </c>
      <c r="CE343" s="55">
        <f t="shared" si="356"/>
        <v>11.265468369517748</v>
      </c>
      <c r="CF343" s="41">
        <f>'[2]побудинковий звіт'!CF343+'[1]побудинковий звіт'!CF343</f>
        <v>411.61237560822917</v>
      </c>
      <c r="CG343" s="41">
        <f>'[2]побудинковий звіт'!CG343+'[1]побудинковий звіт'!CG343</f>
        <v>0</v>
      </c>
      <c r="CH343" s="55">
        <f t="shared" si="357"/>
        <v>-411.61237560822917</v>
      </c>
      <c r="CI343" s="41">
        <f>'[2]побудинковий звіт'!CI343+'[1]побудинковий звіт'!CI343</f>
        <v>8412.7644244836029</v>
      </c>
      <c r="CJ343" s="41">
        <f>'[2]побудинковий звіт'!CJ343+'[1]побудинковий звіт'!CJ343</f>
        <v>5756.5759044726728</v>
      </c>
      <c r="CK343" s="55">
        <f t="shared" si="358"/>
        <v>-2656.18852001093</v>
      </c>
      <c r="CL343" s="41">
        <f>'[2]побудинковий звіт'!CL343+'[1]побудинковий звіт'!CL343</f>
        <v>0</v>
      </c>
      <c r="CM343" s="41">
        <f>'[2]побудинковий звіт'!CM343+'[1]побудинковий звіт'!CM343</f>
        <v>0</v>
      </c>
      <c r="CN343" s="55">
        <f t="shared" si="359"/>
        <v>0</v>
      </c>
      <c r="CO343" s="41">
        <f t="shared" si="360"/>
        <v>8412.7644244836029</v>
      </c>
      <c r="CP343" s="42">
        <f t="shared" si="361"/>
        <v>5756.5759044726728</v>
      </c>
      <c r="CQ343" s="55">
        <f t="shared" si="362"/>
        <v>-2656.18852001093</v>
      </c>
      <c r="CR343" s="76">
        <f t="shared" si="363"/>
        <v>251387.60923647214</v>
      </c>
      <c r="CS343" s="5">
        <f t="shared" si="364"/>
        <v>307089.08225074626</v>
      </c>
      <c r="CT343" s="55">
        <f t="shared" si="365"/>
        <v>55701.473014274117</v>
      </c>
      <c r="CU343" s="84">
        <f t="shared" si="366"/>
        <v>301665.13108376658</v>
      </c>
      <c r="CV343" s="68">
        <f t="shared" si="367"/>
        <v>368506.89870089549</v>
      </c>
      <c r="CW343" s="36">
        <f t="shared" si="368"/>
        <v>66841.767617128906</v>
      </c>
      <c r="CX343" s="41">
        <f>'[2]побудинковий звіт'!CX343+'[1]побудинковий звіт'!CX343</f>
        <v>15140.744645687573</v>
      </c>
      <c r="CY343" s="41">
        <f>'[2]побудинковий звіт'!CY343+'[1]побудинковий звіт'!CY343</f>
        <v>-51701.022971441358</v>
      </c>
      <c r="CZ343" s="55">
        <f t="shared" si="369"/>
        <v>-66841.767617128935</v>
      </c>
      <c r="DA343" s="254">
        <f>'[1]побудинковий звіт'!DA343</f>
        <v>47719.525590066929</v>
      </c>
      <c r="DB343" s="2">
        <v>3</v>
      </c>
      <c r="DC343" s="702">
        <f>'[1]побудинковий звіт'!DC343</f>
        <v>91196.17</v>
      </c>
      <c r="DD343" s="702">
        <f>'[1]побудинковий звіт'!DD343</f>
        <v>0</v>
      </c>
      <c r="DE343" s="702">
        <f>'[1]побудинковий звіт'!DE343</f>
        <v>56372.61</v>
      </c>
      <c r="DF343" s="702">
        <f>'[1]побудинковий звіт'!DF343</f>
        <v>0</v>
      </c>
      <c r="DG343" s="772">
        <v>-24393.00896280515</v>
      </c>
      <c r="DH343" s="746">
        <f t="shared" si="372"/>
        <v>3801670.5087534497</v>
      </c>
      <c r="DI343" s="769"/>
      <c r="DJ343" s="5"/>
      <c r="DK343" s="307">
        <f>VLOOKUP($A343,ціни!$A$4:$G$401,5)</f>
        <v>5.4337172846068142</v>
      </c>
      <c r="DL343" s="307"/>
      <c r="DM343" s="307">
        <f>VLOOKUP($A343,ціни!$A$4:$G$401,7)</f>
        <v>4.8415828141983965</v>
      </c>
      <c r="DN343" s="29">
        <f t="shared" si="370"/>
        <v>24820.133812627006</v>
      </c>
      <c r="DO343" s="29">
        <f t="shared" si="371"/>
        <v>0</v>
      </c>
      <c r="DP343" s="306">
        <f t="shared" si="373"/>
        <v>24820.133812627006</v>
      </c>
      <c r="DQ343" s="101"/>
      <c r="DR343" s="29">
        <f>VLOOKUP(A343,'ДЗ нас '!$A$1:$C$359,2)</f>
        <v>24820.01</v>
      </c>
      <c r="DS343" s="733"/>
      <c r="DT343" s="29">
        <f t="shared" si="374"/>
        <v>24820.01</v>
      </c>
      <c r="DU343" s="247">
        <f>VLOOKUP(A343,'новий кошторис с 01.06'!$A$4:$AI$399,35)*1.2</f>
        <v>25050.482025743589</v>
      </c>
      <c r="DV343" s="29">
        <f t="shared" si="375"/>
        <v>-230.47202574359108</v>
      </c>
      <c r="DW343" s="1016">
        <f>'[2]побудинковий звіт'!$DW$9+'[1]побудинковий звіт'!DW343</f>
        <v>909</v>
      </c>
      <c r="DX343" s="101">
        <f>'[1]побудинковий звіт'!DX343</f>
        <v>0</v>
      </c>
      <c r="DY343" s="5">
        <f t="shared" si="376"/>
        <v>98164.140122966055</v>
      </c>
      <c r="DZ343" s="5">
        <f t="shared" si="377"/>
        <v>134708.8641455757</v>
      </c>
      <c r="EA343" s="737">
        <f t="shared" si="378"/>
        <v>56372.61</v>
      </c>
      <c r="EC343" s="577">
        <f t="shared" si="379"/>
        <v>812594.90374476998</v>
      </c>
      <c r="EE343" s="743">
        <v>-37623</v>
      </c>
      <c r="EF343" s="723">
        <f t="shared" si="380"/>
        <v>-62016.00896280515</v>
      </c>
      <c r="EH343" s="798">
        <v>-35358.454504328445</v>
      </c>
      <c r="EI343" s="101">
        <f>VLOOKUP(A343,'кошти 01.01.24'!$A$9:$D$352,4,FALSE)</f>
        <v>-19122.242027062082</v>
      </c>
    </row>
    <row r="344" spans="1:139" hidden="1" x14ac:dyDescent="0.3">
      <c r="A344" s="318">
        <v>150000920</v>
      </c>
      <c r="B344" s="43" t="s">
        <v>811</v>
      </c>
      <c r="C344" s="44" t="s">
        <v>327</v>
      </c>
      <c r="D344" s="44" t="s">
        <v>327</v>
      </c>
      <c r="E344" s="39">
        <f t="shared" si="327"/>
        <v>4553.3</v>
      </c>
      <c r="F344" s="205">
        <f>'[1]побудинковий звіт'!F344</f>
        <v>4553.3</v>
      </c>
      <c r="G344" s="29">
        <f>'[1]побудинковий звіт'!G344</f>
        <v>0</v>
      </c>
      <c r="H344" s="148">
        <f>'[1]побудинковий звіт'!H344</f>
        <v>0</v>
      </c>
      <c r="I344" s="41">
        <f>'[2]побудинковий звіт'!I344+'[1]побудинковий звіт'!I344</f>
        <v>17592.142023660876</v>
      </c>
      <c r="J344" s="41">
        <f>'[2]побудинковий звіт'!J344+'[1]побудинковий звіт'!J344</f>
        <v>18277.150686315716</v>
      </c>
      <c r="K344" s="55">
        <f t="shared" si="328"/>
        <v>685.00866265484001</v>
      </c>
      <c r="L344" s="41">
        <f>'[2]побудинковий звіт'!L344+'[1]побудинковий звіт'!L344</f>
        <v>3596.5944217454248</v>
      </c>
      <c r="M344" s="41">
        <f>'[2]побудинковий звіт'!M344+'[1]побудинковий звіт'!M344</f>
        <v>3914.3292536483705</v>
      </c>
      <c r="N344" s="55">
        <f t="shared" si="329"/>
        <v>317.73483190294564</v>
      </c>
      <c r="O344" s="41">
        <f>'[2]побудинковий звіт'!O344+'[1]побудинковий звіт'!O344</f>
        <v>7025.9971252982878</v>
      </c>
      <c r="P344" s="41">
        <f>'[2]побудинковий звіт'!P344+'[1]побудинковий звіт'!P344</f>
        <v>7047.5548687350392</v>
      </c>
      <c r="Q344" s="55">
        <f t="shared" si="330"/>
        <v>21.55774343675148</v>
      </c>
      <c r="R344" s="41">
        <f>'[2]побудинковий звіт'!R344+'[1]побудинковий звіт'!R344</f>
        <v>0</v>
      </c>
      <c r="S344" s="41">
        <f>'[2]побудинковий звіт'!S344+'[1]побудинковий звіт'!S344</f>
        <v>0</v>
      </c>
      <c r="T344" s="55">
        <f t="shared" si="331"/>
        <v>0</v>
      </c>
      <c r="U344" s="41">
        <f>'[2]побудинковий звіт'!U344+'[1]побудинковий звіт'!U344</f>
        <v>1089.513177383317</v>
      </c>
      <c r="V344" s="41">
        <f>'[2]побудинковий звіт'!V344+'[1]побудинковий звіт'!V344</f>
        <v>780.675878609645</v>
      </c>
      <c r="W344" s="55">
        <f t="shared" si="332"/>
        <v>-308.83729877367205</v>
      </c>
      <c r="X344" s="41">
        <f>'[2]побудинковий звіт'!X344+'[1]побудинковий звіт'!X344</f>
        <v>13689.617715462617</v>
      </c>
      <c r="Y344" s="41">
        <f>'[2]побудинковий звіт'!Y344+'[1]побудинковий звіт'!Y344</f>
        <v>14263.403027794458</v>
      </c>
      <c r="Z344" s="55">
        <f t="shared" si="333"/>
        <v>573.78531233184185</v>
      </c>
      <c r="AA344" s="41">
        <f>'[2]побудинковий звіт'!AA344+'[1]побудинковий звіт'!AA344</f>
        <v>0</v>
      </c>
      <c r="AB344" s="41">
        <f>'[2]побудинковий звіт'!AB344+'[1]побудинковий звіт'!AB344</f>
        <v>0</v>
      </c>
      <c r="AC344" s="55">
        <f t="shared" si="334"/>
        <v>0</v>
      </c>
      <c r="AD344" s="41">
        <f>'[2]побудинковий звіт'!AD344+'[1]побудинковий звіт'!AD344</f>
        <v>19750.882888771557</v>
      </c>
      <c r="AE344" s="41">
        <f>'[2]побудинковий звіт'!AE344+'[1]побудинковий звіт'!AE344</f>
        <v>19673.998035445955</v>
      </c>
      <c r="AF344" s="36">
        <f t="shared" si="335"/>
        <v>-76.884853325602307</v>
      </c>
      <c r="AG344" s="84">
        <f t="shared" si="336"/>
        <v>62744.747352322076</v>
      </c>
      <c r="AH344" s="56">
        <f t="shared" si="337"/>
        <v>63957.111750549186</v>
      </c>
      <c r="AI344" s="55">
        <f t="shared" si="338"/>
        <v>1212.3643982271096</v>
      </c>
      <c r="AJ344" s="41">
        <f>'[2]побудинковий звіт'!AJ344+'[1]побудинковий звіт'!AJ344</f>
        <v>0</v>
      </c>
      <c r="AK344" s="41">
        <f>'[2]побудинковий звіт'!AK344+'[1]побудинковий звіт'!AK344</f>
        <v>0</v>
      </c>
      <c r="AL344" s="55">
        <f t="shared" si="339"/>
        <v>0</v>
      </c>
      <c r="AM344" s="41">
        <f>'[2]побудинковий звіт'!AM344+'[1]побудинковий звіт'!AM344</f>
        <v>0</v>
      </c>
      <c r="AN344" s="41">
        <f>'[2]побудинковий звіт'!AN344+'[1]побудинковий звіт'!AN344</f>
        <v>0</v>
      </c>
      <c r="AO344" s="55">
        <f t="shared" si="340"/>
        <v>0</v>
      </c>
      <c r="AP344" s="41">
        <f>'[2]побудинковий звіт'!AP344+'[1]побудинковий звіт'!AP344</f>
        <v>14858.969143578059</v>
      </c>
      <c r="AQ344" s="41">
        <f>'[2]побудинковий звіт'!AQ344+'[1]побудинковий звіт'!AQ344</f>
        <v>13503.829445311843</v>
      </c>
      <c r="AR344" s="55">
        <f t="shared" si="341"/>
        <v>-1355.1396982662154</v>
      </c>
      <c r="AS344" s="41">
        <f>'[2]побудинковий звіт'!AS344+'[1]побудинковий звіт'!AS344</f>
        <v>79253.856362745835</v>
      </c>
      <c r="AT344" s="41">
        <f>'[2]побудинковий звіт'!AT344+'[1]побудинковий звіт'!AT344</f>
        <v>82635.615074106448</v>
      </c>
      <c r="AU344" s="57">
        <f t="shared" si="342"/>
        <v>3381.7587113606132</v>
      </c>
      <c r="AV344" s="41">
        <f>'[2]побудинковий звіт'!AV344+'[1]побудинковий звіт'!AV344</f>
        <v>2903.5411249696781</v>
      </c>
      <c r="AW344" s="41">
        <f>'[2]побудинковий звіт'!AW344+'[1]побудинковий звіт'!AW344</f>
        <v>5572.6199934669112</v>
      </c>
      <c r="AX344" s="58">
        <f t="shared" si="343"/>
        <v>2669.0788684972331</v>
      </c>
      <c r="AY344" s="41">
        <f>'[2]побудинковий звіт'!AY344+'[1]побудинковий звіт'!AY344</f>
        <v>4640.3240239746056</v>
      </c>
      <c r="AZ344" s="41">
        <f>'[2]побудинковий звіт'!AZ344+'[1]побудинковий звіт'!AZ344</f>
        <v>7739.8200323271758</v>
      </c>
      <c r="BA344" s="36">
        <f t="shared" si="344"/>
        <v>3099.4960083525702</v>
      </c>
      <c r="BB344" s="41">
        <f>'[2]побудинковий звіт'!BB344+'[1]побудинковий звіт'!BB344</f>
        <v>2796.6336739842809</v>
      </c>
      <c r="BC344" s="41">
        <f>'[2]побудинковий звіт'!BC344+'[1]побудинковий звіт'!BC344</f>
        <v>0</v>
      </c>
      <c r="BD344" s="58">
        <f t="shared" si="345"/>
        <v>-2796.6336739842809</v>
      </c>
      <c r="BE344" s="41">
        <f>'[2]побудинковий звіт'!BE344+'[1]побудинковий звіт'!BE344</f>
        <v>0</v>
      </c>
      <c r="BF344" s="41">
        <f>'[2]побудинковий звіт'!BF344+'[1]побудинковий звіт'!BF344</f>
        <v>0</v>
      </c>
      <c r="BG344" s="38">
        <f t="shared" si="346"/>
        <v>0</v>
      </c>
      <c r="BH344" s="41">
        <f>'[2]побудинковий звіт'!BH344+'[1]побудинковий звіт'!BH344</f>
        <v>1105.2668502747176</v>
      </c>
      <c r="BI344" s="41">
        <f>'[2]побудинковий звіт'!BI344+'[1]побудинковий звіт'!BI344</f>
        <v>0</v>
      </c>
      <c r="BJ344" s="58">
        <f t="shared" si="347"/>
        <v>-1105.2668502747176</v>
      </c>
      <c r="BK344" s="41">
        <f>'[2]побудинковий звіт'!BK344+'[1]побудинковий звіт'!BK344</f>
        <v>2679.2020316014964</v>
      </c>
      <c r="BL344" s="41">
        <f>'[2]побудинковий звіт'!BL344+'[1]побудинковий звіт'!BL344</f>
        <v>2667.6791049277244</v>
      </c>
      <c r="BM344" s="38">
        <f t="shared" si="348"/>
        <v>-11.522926673771963</v>
      </c>
      <c r="BN344" s="41">
        <f>'[2]побудинковий звіт'!BN344+'[1]побудинковий звіт'!BN344</f>
        <v>131.75764828667408</v>
      </c>
      <c r="BO344" s="41">
        <f>'[2]побудинковий звіт'!BO344+'[1]побудинковий звіт'!BO344</f>
        <v>6109.7352990395975</v>
      </c>
      <c r="BP344" s="58">
        <f t="shared" si="349"/>
        <v>5977.9776507529232</v>
      </c>
      <c r="BQ344" s="84">
        <f t="shared" si="350"/>
        <v>14256.725353091453</v>
      </c>
      <c r="BR344" s="42">
        <f t="shared" si="351"/>
        <v>22089.854429761406</v>
      </c>
      <c r="BS344" s="58">
        <f t="shared" si="352"/>
        <v>7833.1290766699531</v>
      </c>
      <c r="BT344" s="41">
        <f>'[2]побудинковий звіт'!BT344+'[1]побудинковий звіт'!BT344</f>
        <v>43668.887420476734</v>
      </c>
      <c r="BU344" s="41">
        <f>'[2]побудинковий звіт'!BU344+'[1]побудинковий звіт'!BU344</f>
        <v>62994.499491482122</v>
      </c>
      <c r="BV344" s="55">
        <f t="shared" si="353"/>
        <v>19325.612071005387</v>
      </c>
      <c r="BW344" s="41">
        <f>'[2]побудинковий звіт'!BW344+'[1]побудинковий звіт'!BW344</f>
        <v>27508.480662397891</v>
      </c>
      <c r="BX344" s="41">
        <f>'[2]побудинковий звіт'!BX344+'[1]побудинковий звіт'!BX344</f>
        <v>35850.043714504616</v>
      </c>
      <c r="BY344" s="55">
        <f t="shared" si="354"/>
        <v>8341.5630521067251</v>
      </c>
      <c r="BZ344" s="41">
        <f>'[2]побудинковий звіт'!BZ344+'[1]побудинковий звіт'!BZ344</f>
        <v>7335.8089564480124</v>
      </c>
      <c r="CA344" s="41">
        <f>'[2]побудинковий звіт'!CA344+'[1]побудинковий звіт'!CA344</f>
        <v>5189.9858044116654</v>
      </c>
      <c r="CB344" s="55">
        <f t="shared" si="355"/>
        <v>-2145.823152036347</v>
      </c>
      <c r="CC344" s="41">
        <f>'[2]побудинковий звіт'!CC344+'[1]побудинковий звіт'!CC344</f>
        <v>3326.5512923473025</v>
      </c>
      <c r="CD344" s="41">
        <f>'[2]побудинковий звіт'!CD344+'[1]побудинковий звіт'!CD344</f>
        <v>3337.8312567239136</v>
      </c>
      <c r="CE344" s="55">
        <f t="shared" si="356"/>
        <v>11.279964376611133</v>
      </c>
      <c r="CF344" s="41">
        <f>'[2]побудинковий звіт'!CF344+'[1]побудинковий звіт'!CF344</f>
        <v>412.14202388566616</v>
      </c>
      <c r="CG344" s="41">
        <f>'[2]побудинковий звіт'!CG344+'[1]побудинковий звіт'!CG344</f>
        <v>0</v>
      </c>
      <c r="CH344" s="55">
        <f t="shared" si="357"/>
        <v>-412.14202388566616</v>
      </c>
      <c r="CI344" s="41">
        <f>'[2]побудинковий звіт'!CI344+'[1]побудинковий звіт'!CI344</f>
        <v>11279.527849198783</v>
      </c>
      <c r="CJ344" s="41">
        <f>'[2]побудинковий звіт'!CJ344+'[1]побудинковий звіт'!CJ344</f>
        <v>11725.070781229253</v>
      </c>
      <c r="CK344" s="55">
        <f t="shared" si="358"/>
        <v>445.54293203047018</v>
      </c>
      <c r="CL344" s="41">
        <f>'[2]побудинковий звіт'!CL344+'[1]побудинковий звіт'!CL344</f>
        <v>0</v>
      </c>
      <c r="CM344" s="41">
        <f>'[2]побудинковий звіт'!CM344+'[1]побудинковий звіт'!CM344</f>
        <v>0</v>
      </c>
      <c r="CN344" s="55">
        <f t="shared" si="359"/>
        <v>0</v>
      </c>
      <c r="CO344" s="41">
        <f t="shared" si="360"/>
        <v>11279.527849198783</v>
      </c>
      <c r="CP344" s="42">
        <f t="shared" si="361"/>
        <v>11725.070781229253</v>
      </c>
      <c r="CQ344" s="55">
        <f t="shared" si="362"/>
        <v>445.54293203047018</v>
      </c>
      <c r="CR344" s="76">
        <f t="shared" si="363"/>
        <v>264645.69641649182</v>
      </c>
      <c r="CS344" s="5">
        <f t="shared" si="364"/>
        <v>301283.84174808039</v>
      </c>
      <c r="CT344" s="55">
        <f t="shared" si="365"/>
        <v>36638.145331588574</v>
      </c>
      <c r="CU344" s="84">
        <f t="shared" si="366"/>
        <v>317574.83569979016</v>
      </c>
      <c r="CV344" s="68">
        <f t="shared" si="367"/>
        <v>361540.61009769648</v>
      </c>
      <c r="CW344" s="36">
        <f t="shared" si="368"/>
        <v>43965.774397906323</v>
      </c>
      <c r="CX344" s="41">
        <f>'[2]побудинковий звіт'!CX344+'[1]побудинковий звіт'!CX344</f>
        <v>8273.5791463885525</v>
      </c>
      <c r="CY344" s="41">
        <f>'[2]побудинковий звіт'!CY344+'[1]побудинковий звіт'!CY344</f>
        <v>-35692.195251517805</v>
      </c>
      <c r="CZ344" s="55">
        <f t="shared" si="369"/>
        <v>-43965.77439790636</v>
      </c>
      <c r="DA344" s="254">
        <f>'[1]побудинковий звіт'!DA344</f>
        <v>23181.992231168177</v>
      </c>
      <c r="DB344" s="2">
        <v>3</v>
      </c>
      <c r="DC344" s="702">
        <f>'[1]побудинковий звіт'!DC344</f>
        <v>95214.63</v>
      </c>
      <c r="DD344" s="702">
        <f>'[1]побудинковий звіт'!DD344</f>
        <v>0</v>
      </c>
      <c r="DE344" s="702">
        <f>'[1]побудинковий звіт'!DE344</f>
        <v>59249.860000000008</v>
      </c>
      <c r="DF344" s="702">
        <f>'[1]побудинковий звіт'!DF344</f>
        <v>0</v>
      </c>
      <c r="DG344" s="772">
        <v>-19191.690125896595</v>
      </c>
      <c r="DH344" s="746">
        <f t="shared" si="372"/>
        <v>3910180.9781541447</v>
      </c>
      <c r="DI344" s="769"/>
      <c r="DJ344" s="5"/>
      <c r="DK344" s="307">
        <f>VLOOKUP($A344,ціни!$A$4:$G$401,5)</f>
        <v>5.5996264193501846</v>
      </c>
      <c r="DL344" s="307"/>
      <c r="DM344" s="307">
        <f>VLOOKUP($A344,ціни!$A$4:$G$401,7)</f>
        <v>5.0142062075803944</v>
      </c>
      <c r="DN344" s="29">
        <f t="shared" si="370"/>
        <v>25496.778975227196</v>
      </c>
      <c r="DO344" s="29">
        <f t="shared" si="371"/>
        <v>0</v>
      </c>
      <c r="DP344" s="306">
        <f t="shared" si="373"/>
        <v>25496.778975227196</v>
      </c>
      <c r="DQ344" s="101"/>
      <c r="DR344" s="29">
        <f>VLOOKUP(A344,'ДЗ нас '!$A$1:$C$359,2)</f>
        <v>25496.58</v>
      </c>
      <c r="DS344" s="733"/>
      <c r="DT344" s="29">
        <f t="shared" si="374"/>
        <v>25496.58</v>
      </c>
      <c r="DU344" s="247">
        <f>VLOOKUP(A344,'новий кошторис с 01.06'!$A$4:$AI$399,35)*1.2</f>
        <v>25599.577136626816</v>
      </c>
      <c r="DV344" s="29">
        <f t="shared" si="375"/>
        <v>-102.99713662681461</v>
      </c>
      <c r="DW344" s="1016">
        <f>'[2]побудинковий звіт'!$DW$9+'[1]побудинковий звіт'!DW344</f>
        <v>1206</v>
      </c>
      <c r="DX344" s="101">
        <f>'[1]побудинковий звіт'!DX344</f>
        <v>0</v>
      </c>
      <c r="DY344" s="5">
        <f t="shared" si="376"/>
        <v>112212.69805900475</v>
      </c>
      <c r="DZ344" s="5">
        <f t="shared" si="377"/>
        <v>125670.56340464141</v>
      </c>
      <c r="EA344" s="737">
        <f t="shared" si="378"/>
        <v>59249.860000000008</v>
      </c>
      <c r="EC344" s="577">
        <f t="shared" si="379"/>
        <v>951046.27635295002</v>
      </c>
      <c r="EE344" s="743">
        <v>16426</v>
      </c>
      <c r="EF344" s="723">
        <f t="shared" si="380"/>
        <v>-2765.6901258965954</v>
      </c>
      <c r="EH344" s="798">
        <v>-27202.03360669719</v>
      </c>
      <c r="EI344" s="101">
        <f>VLOOKUP(A344,'кошти 01.01.24'!$A$9:$D$352,4,FALSE)</f>
        <v>-20783.782166738241</v>
      </c>
    </row>
    <row r="345" spans="1:139" hidden="1" x14ac:dyDescent="0.3">
      <c r="A345" s="318">
        <v>150000921</v>
      </c>
      <c r="B345" s="43" t="s">
        <v>812</v>
      </c>
      <c r="C345" s="44" t="s">
        <v>328</v>
      </c>
      <c r="D345" s="44" t="s">
        <v>328</v>
      </c>
      <c r="E345" s="39">
        <f t="shared" si="327"/>
        <v>6174.13</v>
      </c>
      <c r="F345" s="205">
        <f>'[1]побудинковий звіт'!F345</f>
        <v>6129.03</v>
      </c>
      <c r="G345" s="29">
        <f>'[1]побудинковий звіт'!G345</f>
        <v>0</v>
      </c>
      <c r="H345" s="148">
        <f>'[1]побудинковий звіт'!H345</f>
        <v>45.1</v>
      </c>
      <c r="I345" s="41">
        <f>'[2]побудинковий звіт'!I345+'[1]побудинковий звіт'!I345</f>
        <v>22760.496820110016</v>
      </c>
      <c r="J345" s="41">
        <f>'[2]побудинковий звіт'!J345+'[1]побудинковий звіт'!J345</f>
        <v>23687.748598283866</v>
      </c>
      <c r="K345" s="55">
        <f t="shared" si="328"/>
        <v>927.25177817384974</v>
      </c>
      <c r="L345" s="41">
        <f>'[2]побудинковий звіт'!L345+'[1]побудинковий звіт'!L345</f>
        <v>4662.8905997075171</v>
      </c>
      <c r="M345" s="41">
        <f>'[2]побудинковий звіт'!M345+'[1]побудинковий звіт'!M345</f>
        <v>5049.9479437306136</v>
      </c>
      <c r="N345" s="55">
        <f t="shared" si="329"/>
        <v>387.05734402309645</v>
      </c>
      <c r="O345" s="41">
        <f>'[2]побудинковий звіт'!O345+'[1]побудинковий звіт'!O345</f>
        <v>9678.5619144060147</v>
      </c>
      <c r="P345" s="41">
        <f>'[2]побудинковий звіт'!P345+'[1]побудинковий звіт'!P345</f>
        <v>9708.3009625326467</v>
      </c>
      <c r="Q345" s="55">
        <f t="shared" si="330"/>
        <v>29.739048126632042</v>
      </c>
      <c r="R345" s="41">
        <f>'[2]побудинковий звіт'!R345+'[1]побудинковий звіт'!R345</f>
        <v>0</v>
      </c>
      <c r="S345" s="41">
        <f>'[2]побудинковий звіт'!S345+'[1]побудинковий звіт'!S345</f>
        <v>0</v>
      </c>
      <c r="T345" s="55">
        <f t="shared" si="331"/>
        <v>0</v>
      </c>
      <c r="U345" s="41">
        <f>'[2]побудинковий звіт'!U345+'[1]побудинковий звіт'!U345</f>
        <v>2002.6806770679088</v>
      </c>
      <c r="V345" s="41">
        <f>'[2]побудинковий звіт'!V345+'[1]побудинковий звіт'!V345</f>
        <v>1390.4557945745628</v>
      </c>
      <c r="W345" s="55">
        <f t="shared" si="332"/>
        <v>-612.22488249334606</v>
      </c>
      <c r="X345" s="41">
        <f>'[2]побудинковий звіт'!X345+'[1]побудинковий звіт'!X345</f>
        <v>21894.59621042059</v>
      </c>
      <c r="Y345" s="41">
        <f>'[2]побудинковий звіт'!Y345+'[1]побудинковий звіт'!Y345</f>
        <v>22888.581636129577</v>
      </c>
      <c r="Z345" s="55">
        <f t="shared" si="333"/>
        <v>993.98542570898644</v>
      </c>
      <c r="AA345" s="41">
        <f>'[2]побудинковий звіт'!AA345+'[1]побудинковий звіт'!AA345</f>
        <v>0</v>
      </c>
      <c r="AB345" s="41">
        <f>'[2]побудинковий звіт'!AB345+'[1]побудинковий звіт'!AB345</f>
        <v>0</v>
      </c>
      <c r="AC345" s="55">
        <f t="shared" si="334"/>
        <v>0</v>
      </c>
      <c r="AD345" s="41">
        <f>'[2]побудинковий звіт'!AD345+'[1]побудинковий звіт'!AD345</f>
        <v>26779.489033595848</v>
      </c>
      <c r="AE345" s="41">
        <f>'[2]побудинковий звіт'!AE345+'[1]побудинковий звіт'!AE345</f>
        <v>26675.322694920695</v>
      </c>
      <c r="AF345" s="36">
        <f t="shared" si="335"/>
        <v>-104.16633867515338</v>
      </c>
      <c r="AG345" s="84">
        <f t="shared" si="336"/>
        <v>87778.715255307907</v>
      </c>
      <c r="AH345" s="56">
        <f t="shared" si="337"/>
        <v>89400.357630171959</v>
      </c>
      <c r="AI345" s="55">
        <f t="shared" si="338"/>
        <v>1621.6423748640518</v>
      </c>
      <c r="AJ345" s="41">
        <f>'[2]побудинковий звіт'!AJ345+'[1]побудинковий звіт'!AJ345</f>
        <v>0</v>
      </c>
      <c r="AK345" s="41">
        <f>'[2]побудинковий звіт'!AK345+'[1]побудинковий звіт'!AK345</f>
        <v>0</v>
      </c>
      <c r="AL345" s="55">
        <f t="shared" si="339"/>
        <v>0</v>
      </c>
      <c r="AM345" s="41">
        <f>'[2]побудинковий звіт'!AM345+'[1]побудинковий звіт'!AM345</f>
        <v>0</v>
      </c>
      <c r="AN345" s="41">
        <f>'[2]побудинковий звіт'!AN345+'[1]побудинковий звіт'!AN345</f>
        <v>0</v>
      </c>
      <c r="AO345" s="55">
        <f t="shared" si="340"/>
        <v>0</v>
      </c>
      <c r="AP345" s="41">
        <f>'[2]побудинковий звіт'!AP345+'[1]побудинковий звіт'!AP345</f>
        <v>19019.480503779916</v>
      </c>
      <c r="AQ345" s="41">
        <f>'[2]побудинковий звіт'!AQ345+'[1]побудинковий звіт'!AQ345</f>
        <v>17323.255411704966</v>
      </c>
      <c r="AR345" s="55">
        <f t="shared" si="341"/>
        <v>-1696.2250920749502</v>
      </c>
      <c r="AS345" s="41">
        <f>'[2]побудинковий звіт'!AS345+'[1]побудинковий звіт'!AS345</f>
        <v>71316.436258658199</v>
      </c>
      <c r="AT345" s="41">
        <f>'[2]побудинковий звіт'!AT345+'[1]побудинковий звіт'!AT345</f>
        <v>35358.844004010469</v>
      </c>
      <c r="AU345" s="57">
        <f t="shared" si="342"/>
        <v>-35957.59225464773</v>
      </c>
      <c r="AV345" s="41">
        <f>'[2]побудинковий звіт'!AV345+'[1]побудинковий звіт'!AV345</f>
        <v>3607.0214615025434</v>
      </c>
      <c r="AW345" s="41">
        <f>'[2]побудинковий звіт'!AW345+'[1]побудинковий звіт'!AW345</f>
        <v>0</v>
      </c>
      <c r="AX345" s="58">
        <f t="shared" si="343"/>
        <v>-3607.0214615025434</v>
      </c>
      <c r="AY345" s="41">
        <f>'[2]побудинковий звіт'!AY345+'[1]побудинковий звіт'!AY345</f>
        <v>5957.9550150703335</v>
      </c>
      <c r="AZ345" s="41">
        <f>'[2]побудинковий звіт'!AZ345+'[1]побудинковий звіт'!AZ345</f>
        <v>8566.9842561324003</v>
      </c>
      <c r="BA345" s="36">
        <f t="shared" si="344"/>
        <v>2609.0292410620668</v>
      </c>
      <c r="BB345" s="41">
        <f>'[2]побудинковий звіт'!BB345+'[1]побудинковий звіт'!BB345</f>
        <v>3568.9671639104936</v>
      </c>
      <c r="BC345" s="41">
        <f>'[2]побудинковий звіт'!BC345+'[1]побудинковий звіт'!BC345</f>
        <v>0</v>
      </c>
      <c r="BD345" s="58">
        <f t="shared" si="345"/>
        <v>-3568.9671639104936</v>
      </c>
      <c r="BE345" s="41">
        <f>'[2]побудинковий звіт'!BE345+'[1]побудинковий звіт'!BE345</f>
        <v>0</v>
      </c>
      <c r="BF345" s="41">
        <f>'[2]побудинковий звіт'!BF345+'[1]побудинковий звіт'!BF345</f>
        <v>0</v>
      </c>
      <c r="BG345" s="38">
        <f t="shared" si="346"/>
        <v>0</v>
      </c>
      <c r="BH345" s="41">
        <f>'[2]побудинковий звіт'!BH345+'[1]побудинковий звіт'!BH345</f>
        <v>1931.5456718854662</v>
      </c>
      <c r="BI345" s="41">
        <f>'[2]побудинковий звіт'!BI345+'[1]побудинковий звіт'!BI345</f>
        <v>997.04677979813732</v>
      </c>
      <c r="BJ345" s="58">
        <f t="shared" si="347"/>
        <v>-934.49889208732884</v>
      </c>
      <c r="BK345" s="41">
        <f>'[2]побудинковий звіт'!BK345+'[1]побудинковий звіт'!BK345</f>
        <v>4386.6931432033516</v>
      </c>
      <c r="BL345" s="41">
        <f>'[2]побудинковий звіт'!BL345+'[1]побудинковий звіт'!BL345</f>
        <v>2173.3708111619303</v>
      </c>
      <c r="BM345" s="38">
        <f t="shared" si="348"/>
        <v>-2213.3223320414213</v>
      </c>
      <c r="BN345" s="41">
        <f>'[2]побудинковий звіт'!BN345+'[1]побудинковий звіт'!BN345</f>
        <v>150.58016947048469</v>
      </c>
      <c r="BO345" s="41">
        <f>'[2]побудинковий звіт'!BO345+'[1]побудинковий звіт'!BO345</f>
        <v>0</v>
      </c>
      <c r="BP345" s="58">
        <f t="shared" si="349"/>
        <v>-150.58016947048469</v>
      </c>
      <c r="BQ345" s="84">
        <f t="shared" si="350"/>
        <v>19602.762625042673</v>
      </c>
      <c r="BR345" s="42">
        <f t="shared" si="351"/>
        <v>11737.401847092468</v>
      </c>
      <c r="BS345" s="58">
        <f t="shared" si="352"/>
        <v>-7865.3607779502054</v>
      </c>
      <c r="BT345" s="41">
        <f>'[2]побудинковий звіт'!BT345+'[1]побудинковий звіт'!BT345</f>
        <v>63419.02369052374</v>
      </c>
      <c r="BU345" s="41">
        <f>'[2]побудинковий звіт'!BU345+'[1]побудинковий звіт'!BU345</f>
        <v>96319.106943689272</v>
      </c>
      <c r="BV345" s="55">
        <f t="shared" si="353"/>
        <v>32900.083253165532</v>
      </c>
      <c r="BW345" s="41">
        <f>'[2]побудинковий звіт'!BW345+'[1]побудинковий звіт'!BW345</f>
        <v>36573.444201755148</v>
      </c>
      <c r="BX345" s="41">
        <f>'[2]побудинковий звіт'!BX345+'[1]побудинковий звіт'!BX345</f>
        <v>44958.107277568779</v>
      </c>
      <c r="BY345" s="55">
        <f t="shared" si="354"/>
        <v>8384.6630758136307</v>
      </c>
      <c r="BZ345" s="41">
        <f>'[2]побудинковий звіт'!BZ345+'[1]побудинковий звіт'!BZ345</f>
        <v>9084.4134398292354</v>
      </c>
      <c r="CA345" s="41">
        <f>'[2]побудинковий звіт'!CA345+'[1]побудинковий звіт'!CA345</f>
        <v>6236.102696027413</v>
      </c>
      <c r="CB345" s="55">
        <f t="shared" si="355"/>
        <v>-2848.3107438018224</v>
      </c>
      <c r="CC345" s="41">
        <f>'[2]побудинковий звіт'!CC345+'[1]побудинковий звіт'!CC345</f>
        <v>3912.8353460747503</v>
      </c>
      <c r="CD345" s="41">
        <f>'[2]побудинковий звіт'!CD345+'[1]побудинковий звіт'!CD345</f>
        <v>3926.1033342812775</v>
      </c>
      <c r="CE345" s="55">
        <f t="shared" si="356"/>
        <v>13.267988206527207</v>
      </c>
      <c r="CF345" s="41">
        <f>'[2]побудинковий звіт'!CF345+'[1]побудинковий звіт'!CF345</f>
        <v>484.77950193417723</v>
      </c>
      <c r="CG345" s="41">
        <f>'[2]побудинковий звіт'!CG345+'[1]побудинковий звіт'!CG345</f>
        <v>0</v>
      </c>
      <c r="CH345" s="55">
        <f t="shared" si="357"/>
        <v>-484.77950193417723</v>
      </c>
      <c r="CI345" s="41">
        <f>'[2]побудинковий звіт'!CI345+'[1]побудинковий звіт'!CI345</f>
        <v>13384.503391304737</v>
      </c>
      <c r="CJ345" s="41">
        <f>'[2]побудинковий звіт'!CJ345+'[1]побудинковий звіт'!CJ345</f>
        <v>19606.357241713977</v>
      </c>
      <c r="CK345" s="55">
        <f t="shared" si="358"/>
        <v>6221.8538504092394</v>
      </c>
      <c r="CL345" s="41">
        <f>'[2]побудинковий звіт'!CL345+'[1]побудинковий звіт'!CL345</f>
        <v>0</v>
      </c>
      <c r="CM345" s="41">
        <f>'[2]побудинковий звіт'!CM345+'[1]побудинковий звіт'!CM345</f>
        <v>0</v>
      </c>
      <c r="CN345" s="55">
        <f t="shared" si="359"/>
        <v>0</v>
      </c>
      <c r="CO345" s="41">
        <f t="shared" si="360"/>
        <v>13384.503391304737</v>
      </c>
      <c r="CP345" s="42">
        <f t="shared" si="361"/>
        <v>19606.357241713977</v>
      </c>
      <c r="CQ345" s="55">
        <f t="shared" si="362"/>
        <v>6221.8538504092394</v>
      </c>
      <c r="CR345" s="76">
        <f t="shared" si="363"/>
        <v>324576.39421421057</v>
      </c>
      <c r="CS345" s="5">
        <f t="shared" si="364"/>
        <v>324865.63638626062</v>
      </c>
      <c r="CT345" s="55">
        <f t="shared" si="365"/>
        <v>289.24217205005698</v>
      </c>
      <c r="CU345" s="84">
        <f t="shared" si="366"/>
        <v>389491.67305705266</v>
      </c>
      <c r="CV345" s="68">
        <f t="shared" si="367"/>
        <v>389838.76366351271</v>
      </c>
      <c r="CW345" s="36">
        <f t="shared" si="368"/>
        <v>347.09060646005673</v>
      </c>
      <c r="CX345" s="41">
        <f>'[2]побудинковий звіт'!CX345+'[1]побудинковий звіт'!CX345</f>
        <v>19468.918684516993</v>
      </c>
      <c r="CY345" s="41">
        <f>'[2]побудинковий звіт'!CY345+'[1]побудинковий звіт'!CY345</f>
        <v>19121.828078056929</v>
      </c>
      <c r="CZ345" s="55">
        <f t="shared" si="369"/>
        <v>-347.09060646006401</v>
      </c>
      <c r="DA345" s="254">
        <f>'[1]побудинковий звіт'!DA345</f>
        <v>-49352.128252327297</v>
      </c>
      <c r="DB345" s="2">
        <v>3</v>
      </c>
      <c r="DC345" s="702">
        <f>'[1]побудинковий звіт'!DC345</f>
        <v>86774.15</v>
      </c>
      <c r="DD345" s="702">
        <f>'[1]побудинковий звіт'!DD345</f>
        <v>285.33999999999997</v>
      </c>
      <c r="DE345" s="702">
        <f>'[1]побудинковий звіт'!DE345</f>
        <v>42130.929999999993</v>
      </c>
      <c r="DF345" s="702">
        <f>'[1]побудинковий звіт'!DF345</f>
        <v>-8.6800000000000068</v>
      </c>
      <c r="DG345" s="772">
        <v>-115497.79046819056</v>
      </c>
      <c r="DH345" s="746">
        <f t="shared" si="372"/>
        <v>4907527.1008988358</v>
      </c>
      <c r="DI345" s="769"/>
      <c r="DJ345" s="5"/>
      <c r="DK345" s="307">
        <f>VLOOKUP($A345,ціни!$A$4:$G$401,5)</f>
        <v>5.1933939812784011</v>
      </c>
      <c r="DL345" s="307"/>
      <c r="DM345" s="307">
        <f>VLOOKUP($A345,ціни!$A$4:$G$401,7)</f>
        <v>4.5927724053466585</v>
      </c>
      <c r="DN345" s="29">
        <f t="shared" si="370"/>
        <v>31830.467513074756</v>
      </c>
      <c r="DO345" s="29">
        <f t="shared" si="371"/>
        <v>207.1340354811343</v>
      </c>
      <c r="DP345" s="306">
        <f t="shared" si="373"/>
        <v>32037.601548555889</v>
      </c>
      <c r="DQ345" s="101"/>
      <c r="DR345" s="29">
        <f>VLOOKUP(A345,'ДЗ нас '!$A$1:$C$359,2)</f>
        <v>31830.42</v>
      </c>
      <c r="DS345" s="733">
        <f>VLOOKUP(A345,'ДЗ нежит'!$A$1:$D$153,4,0)</f>
        <v>207.14</v>
      </c>
      <c r="DT345" s="29">
        <f t="shared" si="374"/>
        <v>32037.559999999998</v>
      </c>
      <c r="DU345" s="247">
        <f>VLOOKUP(A345,'новий кошторис с 01.06'!$A$4:$AI$399,35)*1.2</f>
        <v>32343.245848791677</v>
      </c>
      <c r="DV345" s="29">
        <f t="shared" si="375"/>
        <v>-305.68584879167975</v>
      </c>
      <c r="DW345" s="1016">
        <f>'[2]побудинковий звіт'!$DW$9+'[1]побудинковий звіт'!DW345</f>
        <v>1375.1999999999998</v>
      </c>
      <c r="DX345" s="101">
        <f>'[1]побудинковий звіт'!DX345</f>
        <v>0</v>
      </c>
      <c r="DY345" s="5">
        <f t="shared" si="376"/>
        <v>109103.03866044105</v>
      </c>
      <c r="DZ345" s="5">
        <f t="shared" si="377"/>
        <v>56515.495021323528</v>
      </c>
      <c r="EA345" s="737">
        <f t="shared" si="378"/>
        <v>42122.249999999993</v>
      </c>
      <c r="EC345" s="577">
        <f t="shared" si="379"/>
        <v>855797.23510389845</v>
      </c>
      <c r="EE345" s="743">
        <v>105638</v>
      </c>
      <c r="EF345" s="723">
        <f t="shared" si="380"/>
        <v>-9859.7904681905638</v>
      </c>
      <c r="EH345" s="798">
        <v>4678.8853245668288</v>
      </c>
      <c r="EI345" s="101">
        <f>VLOOKUP(A345,'кошти 01.01.24'!$A$9:$D$352,4,FALSE)</f>
        <v>-49699.218858787266</v>
      </c>
    </row>
    <row r="346" spans="1:139" hidden="1" x14ac:dyDescent="0.3">
      <c r="A346" s="318">
        <v>150000878</v>
      </c>
      <c r="B346" s="43" t="s">
        <v>813</v>
      </c>
      <c r="C346" s="44" t="s">
        <v>236</v>
      </c>
      <c r="D346" s="44" t="s">
        <v>236</v>
      </c>
      <c r="E346" s="39">
        <f t="shared" si="327"/>
        <v>2114.4899999999998</v>
      </c>
      <c r="F346" s="205">
        <f>'[1]побудинковий звіт'!F346</f>
        <v>1684.76</v>
      </c>
      <c r="G346" s="29">
        <f>'[1]побудинковий звіт'!G346</f>
        <v>0</v>
      </c>
      <c r="H346" s="148">
        <f>'[1]побудинковий звіт'!H346</f>
        <v>429.73</v>
      </c>
      <c r="I346" s="41">
        <f>'[2]побудинковий звіт'!I346+'[1]побудинковий звіт'!I346</f>
        <v>6922.1041020828407</v>
      </c>
      <c r="J346" s="41">
        <f>'[2]побудинковий звіт'!J346+'[1]побудинковий звіт'!J346</f>
        <v>7114.4500159677164</v>
      </c>
      <c r="K346" s="55">
        <f t="shared" si="328"/>
        <v>192.3459138848757</v>
      </c>
      <c r="L346" s="41">
        <f>'[2]побудинковий звіт'!L346+'[1]побудинковий звіт'!L346</f>
        <v>1125.0216663725116</v>
      </c>
      <c r="M346" s="41">
        <f>'[2]побудинковий звіт'!M346+'[1]побудинковий звіт'!M346</f>
        <v>1181.7724721057714</v>
      </c>
      <c r="N346" s="55">
        <f t="shared" si="329"/>
        <v>56.750805733259767</v>
      </c>
      <c r="O346" s="41">
        <f>'[2]побудинковий звіт'!O346+'[1]побудинковий звіт'!O346</f>
        <v>3631.4731086899505</v>
      </c>
      <c r="P346" s="41">
        <f>'[2]побудинковий звіт'!P346+'[1]побудинковий звіт'!P346</f>
        <v>3642.0159038841584</v>
      </c>
      <c r="Q346" s="55">
        <f t="shared" si="330"/>
        <v>10.542795194207883</v>
      </c>
      <c r="R346" s="41">
        <f>'[2]побудинковий звіт'!R346+'[1]побудинковий звіт'!R346</f>
        <v>0</v>
      </c>
      <c r="S346" s="41">
        <f>'[2]побудинковий звіт'!S346+'[1]побудинковий звіт'!S346</f>
        <v>0</v>
      </c>
      <c r="T346" s="55">
        <f t="shared" si="331"/>
        <v>0</v>
      </c>
      <c r="U346" s="41">
        <f>'[2]побудинковий звіт'!U346+'[1]побудинковий звіт'!U346</f>
        <v>149.68157246833368</v>
      </c>
      <c r="V346" s="41">
        <f>'[2]побудинковий звіт'!V346+'[1]побудинковий звіт'!V346</f>
        <v>86.355672691194812</v>
      </c>
      <c r="W346" s="55">
        <f t="shared" si="332"/>
        <v>-63.325899777138872</v>
      </c>
      <c r="X346" s="41">
        <f>'[2]побудинковий звіт'!X346+'[1]побудинковий звіт'!X346</f>
        <v>5009.8956446006414</v>
      </c>
      <c r="Y346" s="41">
        <f>'[2]побудинковий звіт'!Y346+'[1]побудинковий звіт'!Y346</f>
        <v>4690.7051104277707</v>
      </c>
      <c r="Z346" s="55">
        <f t="shared" si="333"/>
        <v>-319.19053417287068</v>
      </c>
      <c r="AA346" s="41">
        <f>'[2]побудинковий звіт'!AA346+'[1]побудинковий звіт'!AA346</f>
        <v>0</v>
      </c>
      <c r="AB346" s="41">
        <f>'[2]побудинковий звіт'!AB346+'[1]побудинковий звіт'!AB346</f>
        <v>0</v>
      </c>
      <c r="AC346" s="55">
        <f t="shared" si="334"/>
        <v>0</v>
      </c>
      <c r="AD346" s="41">
        <f>'[2]побудинковий звіт'!AD346+'[1]побудинковий звіт'!AD346</f>
        <v>10186.071812059299</v>
      </c>
      <c r="AE346" s="41">
        <f>'[2]побудинковий звіт'!AE346+'[1]побудинковий звіт'!AE346</f>
        <v>9142.4302445365829</v>
      </c>
      <c r="AF346" s="36">
        <f t="shared" si="335"/>
        <v>-1043.6415675227163</v>
      </c>
      <c r="AG346" s="84">
        <f t="shared" si="336"/>
        <v>27024.24790627358</v>
      </c>
      <c r="AH346" s="56">
        <f t="shared" si="337"/>
        <v>25857.729419613195</v>
      </c>
      <c r="AI346" s="55">
        <f t="shared" si="338"/>
        <v>-1166.518486660385</v>
      </c>
      <c r="AJ346" s="41">
        <f>'[2]побудинковий звіт'!AJ346+'[1]побудинковий звіт'!AJ346</f>
        <v>0</v>
      </c>
      <c r="AK346" s="41">
        <f>'[2]побудинковий звіт'!AK346+'[1]побудинковий звіт'!AK346</f>
        <v>0</v>
      </c>
      <c r="AL346" s="55">
        <f t="shared" si="339"/>
        <v>0</v>
      </c>
      <c r="AM346" s="41">
        <f>'[2]побудинковий звіт'!AM346+'[1]побудинковий звіт'!AM346</f>
        <v>0</v>
      </c>
      <c r="AN346" s="41">
        <f>'[2]побудинковий звіт'!AN346+'[1]побудинковий звіт'!AN346</f>
        <v>0</v>
      </c>
      <c r="AO346" s="55">
        <f t="shared" si="340"/>
        <v>0</v>
      </c>
      <c r="AP346" s="41">
        <f>'[2]побудинковий звіт'!AP346+'[1]побудинковий звіт'!AP346</f>
        <v>4160.5113602018555</v>
      </c>
      <c r="AQ346" s="41">
        <f>'[2]побудинковий звіт'!AQ346+'[1]побудинковий звіт'!AQ346</f>
        <v>4048.5455467496231</v>
      </c>
      <c r="AR346" s="55">
        <f t="shared" si="341"/>
        <v>-111.9658134522324</v>
      </c>
      <c r="AS346" s="41">
        <f>'[2]побудинковий звіт'!AS346+'[1]побудинковий звіт'!AS346</f>
        <v>22791.730397519997</v>
      </c>
      <c r="AT346" s="41">
        <f>'[2]побудинковий звіт'!AT346+'[1]побудинковий звіт'!AT346</f>
        <v>95398.156476040895</v>
      </c>
      <c r="AU346" s="57">
        <f t="shared" si="342"/>
        <v>72606.42607852089</v>
      </c>
      <c r="AV346" s="41">
        <f>'[2]побудинковий звіт'!AV346+'[1]побудинковий звіт'!AV346</f>
        <v>1223.9278138959176</v>
      </c>
      <c r="AW346" s="41">
        <f>'[2]побудинковий звіт'!AW346+'[1]побудинковий звіт'!AW346</f>
        <v>0</v>
      </c>
      <c r="AX346" s="58">
        <f t="shared" si="343"/>
        <v>-1223.9278138959176</v>
      </c>
      <c r="AY346" s="41">
        <f>'[2]побудинковий звіт'!AY346+'[1]побудинковий звіт'!AY346</f>
        <v>1357.7447248018277</v>
      </c>
      <c r="AZ346" s="41">
        <f>'[2]побудинковий звіт'!AZ346+'[1]побудинковий звіт'!AZ346</f>
        <v>0</v>
      </c>
      <c r="BA346" s="36">
        <f t="shared" si="344"/>
        <v>-1357.7447248018277</v>
      </c>
      <c r="BB346" s="41">
        <f>'[2]побудинковий звіт'!BB346+'[1]побудинковий звіт'!BB346</f>
        <v>1837.6303378260636</v>
      </c>
      <c r="BC346" s="41">
        <f>'[2]побудинковий звіт'!BC346+'[1]побудинковий звіт'!BC346</f>
        <v>0</v>
      </c>
      <c r="BD346" s="58">
        <f t="shared" si="345"/>
        <v>-1837.6303378260636</v>
      </c>
      <c r="BE346" s="41">
        <f>'[2]побудинковий звіт'!BE346+'[1]побудинковий звіт'!BE346</f>
        <v>0</v>
      </c>
      <c r="BF346" s="41">
        <f>'[2]побудинковий звіт'!BF346+'[1]побудинковий звіт'!BF346</f>
        <v>0</v>
      </c>
      <c r="BG346" s="38">
        <f t="shared" si="346"/>
        <v>0</v>
      </c>
      <c r="BH346" s="41">
        <f>'[2]побудинковий звіт'!BH346+'[1]побудинковий звіт'!BH346</f>
        <v>88.218470377146446</v>
      </c>
      <c r="BI346" s="41">
        <f>'[2]побудинковий звіт'!BI346+'[1]побудинковий звіт'!BI346</f>
        <v>0</v>
      </c>
      <c r="BJ346" s="58">
        <f t="shared" si="347"/>
        <v>-88.218470377146446</v>
      </c>
      <c r="BK346" s="41">
        <f>'[2]побудинковий звіт'!BK346+'[1]побудинковий звіт'!BK346</f>
        <v>719.67232089475954</v>
      </c>
      <c r="BL346" s="41">
        <f>'[2]побудинковий звіт'!BL346+'[1]побудинковий звіт'!BL346</f>
        <v>0</v>
      </c>
      <c r="BM346" s="38">
        <f t="shared" si="348"/>
        <v>-719.67232089475954</v>
      </c>
      <c r="BN346" s="41">
        <f>'[2]побудинковий звіт'!BN346+'[1]побудинковий звіт'!BN346</f>
        <v>61.361419059222484</v>
      </c>
      <c r="BO346" s="41">
        <f>'[2]побудинковий звіт'!BO346+'[1]побудинковий звіт'!BO346</f>
        <v>0</v>
      </c>
      <c r="BP346" s="58">
        <f t="shared" si="349"/>
        <v>-61.361419059222484</v>
      </c>
      <c r="BQ346" s="84">
        <f t="shared" si="350"/>
        <v>5288.5550868549371</v>
      </c>
      <c r="BR346" s="42">
        <f t="shared" si="351"/>
        <v>0</v>
      </c>
      <c r="BS346" s="58">
        <f t="shared" si="352"/>
        <v>-5288.5550868549371</v>
      </c>
      <c r="BT346" s="41">
        <f>'[2]побудинковий звіт'!BT346+'[1]побудинковий звіт'!BT346</f>
        <v>34918.253402783776</v>
      </c>
      <c r="BU346" s="41">
        <f>'[2]побудинковий звіт'!BU346+'[1]побудинковий звіт'!BU346</f>
        <v>52293.83725825193</v>
      </c>
      <c r="BV346" s="55">
        <f t="shared" si="353"/>
        <v>17375.583855468154</v>
      </c>
      <c r="BW346" s="41">
        <f>'[2]побудинковий звіт'!BW346+'[1]побудинковий звіт'!BW346</f>
        <v>23866.578963645123</v>
      </c>
      <c r="BX346" s="41">
        <f>'[2]побудинковий звіт'!BX346+'[1]побудинковий звіт'!BX346</f>
        <v>28177.496783600887</v>
      </c>
      <c r="BY346" s="55">
        <f t="shared" si="354"/>
        <v>4310.9178199557646</v>
      </c>
      <c r="BZ346" s="41">
        <f>'[2]побудинковий звіт'!BZ346+'[1]побудинковий звіт'!BZ346</f>
        <v>6897.2564918479748</v>
      </c>
      <c r="CA346" s="41">
        <f>'[2]побудинковий звіт'!CA346+'[1]побудинковий звіт'!CA346</f>
        <v>4843.7669970580646</v>
      </c>
      <c r="CB346" s="55">
        <f t="shared" si="355"/>
        <v>-2053.4894947899102</v>
      </c>
      <c r="CC346" s="41">
        <f>'[2]побудинковий звіт'!CC346+'[1]побудинковий звіт'!CC346</f>
        <v>561.85555148880462</v>
      </c>
      <c r="CD346" s="41">
        <f>'[2]побудинковий звіт'!CD346+'[1]побудинковий звіт'!CD346</f>
        <v>563.76074099247307</v>
      </c>
      <c r="CE346" s="55">
        <f t="shared" si="356"/>
        <v>1.9051895036684527</v>
      </c>
      <c r="CF346" s="41">
        <f>'[2]побудинковий звіт'!CF346+'[1]побудинковий звіт'!CF346</f>
        <v>69.6109164631564</v>
      </c>
      <c r="CG346" s="41">
        <f>'[2]побудинковий звіт'!CG346+'[1]побудинковий звіт'!CG346</f>
        <v>0</v>
      </c>
      <c r="CH346" s="55">
        <f t="shared" si="357"/>
        <v>-69.6109164631564</v>
      </c>
      <c r="CI346" s="41">
        <f>'[2]побудинковий звіт'!CI346+'[1]побудинковий звіт'!CI346</f>
        <v>2918.0825238685843</v>
      </c>
      <c r="CJ346" s="41">
        <f>'[2]побудинковий звіт'!CJ346+'[1]побудинковий звіт'!CJ346</f>
        <v>7617.3995673144536</v>
      </c>
      <c r="CK346" s="55">
        <f t="shared" si="358"/>
        <v>4699.3170434458698</v>
      </c>
      <c r="CL346" s="41">
        <f>'[2]побудинковий звіт'!CL346+'[1]побудинковий звіт'!CL346</f>
        <v>0</v>
      </c>
      <c r="CM346" s="41">
        <f>'[2]побудинковий звіт'!CM346+'[1]побудинковий звіт'!CM346</f>
        <v>0</v>
      </c>
      <c r="CN346" s="55">
        <f t="shared" si="359"/>
        <v>0</v>
      </c>
      <c r="CO346" s="41">
        <f t="shared" si="360"/>
        <v>2918.0825238685843</v>
      </c>
      <c r="CP346" s="42">
        <f t="shared" si="361"/>
        <v>7617.3995673144536</v>
      </c>
      <c r="CQ346" s="55">
        <f t="shared" si="362"/>
        <v>4699.3170434458698</v>
      </c>
      <c r="CR346" s="76">
        <f t="shared" si="363"/>
        <v>128496.6826009478</v>
      </c>
      <c r="CS346" s="5">
        <f t="shared" si="364"/>
        <v>218800.69278962151</v>
      </c>
      <c r="CT346" s="55">
        <f t="shared" si="365"/>
        <v>90304.01018867371</v>
      </c>
      <c r="CU346" s="84">
        <f t="shared" si="366"/>
        <v>154196.01912113736</v>
      </c>
      <c r="CV346" s="68">
        <f t="shared" si="367"/>
        <v>262560.83134754578</v>
      </c>
      <c r="CW346" s="36">
        <f t="shared" si="368"/>
        <v>108364.81222640842</v>
      </c>
      <c r="CX346" s="41">
        <f>'[2]побудинковий звіт'!CX346+'[1]побудинковий звіт'!CX346</f>
        <v>-8929.2974262233147</v>
      </c>
      <c r="CY346" s="41">
        <f>'[2]побудинковий звіт'!CY346+'[1]побудинковий звіт'!CY346</f>
        <v>-117294.1096526318</v>
      </c>
      <c r="CZ346" s="55">
        <f t="shared" si="369"/>
        <v>-108364.81222640848</v>
      </c>
      <c r="DA346" s="254">
        <f>'[1]побудинковий звіт'!DA346</f>
        <v>150576.85866285616</v>
      </c>
      <c r="DB346" s="2">
        <v>2</v>
      </c>
      <c r="DC346" s="702">
        <f>'[1]побудинковий звіт'!DC346</f>
        <v>46260.14</v>
      </c>
      <c r="DD346" s="702">
        <f>'[1]побудинковий звіт'!DD346</f>
        <v>14382.66</v>
      </c>
      <c r="DE346" s="702">
        <f>'[1]побудинковий звіт'!DE346</f>
        <v>32787.089999999997</v>
      </c>
      <c r="DF346" s="702">
        <f>'[1]побудинковий звіт'!DF346</f>
        <v>11814.26</v>
      </c>
      <c r="DG346" s="772">
        <v>904.10185699764406</v>
      </c>
      <c r="DH346" s="746">
        <f t="shared" si="372"/>
        <v>1743200.6603389685</v>
      </c>
      <c r="DI346" s="769"/>
      <c r="DJ346" s="5"/>
      <c r="DK346" s="307">
        <f>VLOOKUP($A346,ціни!$A$4:$G$401,5)</f>
        <v>5.7070139531473894</v>
      </c>
      <c r="DL346" s="307"/>
      <c r="DM346" s="307">
        <f>VLOOKUP($A346,ціни!$A$4:$G$401,7)</f>
        <v>4.3072006714946287</v>
      </c>
      <c r="DN346" s="29">
        <f t="shared" si="370"/>
        <v>9614.9488277045948</v>
      </c>
      <c r="DO346" s="29">
        <f t="shared" si="371"/>
        <v>1850.9333445613868</v>
      </c>
      <c r="DP346" s="306">
        <f t="shared" si="373"/>
        <v>11465.882172265981</v>
      </c>
      <c r="DQ346" s="101"/>
      <c r="DR346" s="29">
        <f>VLOOKUP(A346,'ДЗ нас '!$A$1:$C$359,2)</f>
        <v>9614.92</v>
      </c>
      <c r="DS346" s="733">
        <f>VLOOKUP(A346,'ДЗ нежит'!$A$1:$D$153,4,0)</f>
        <v>1775.1299999999999</v>
      </c>
      <c r="DT346" s="29">
        <f t="shared" si="374"/>
        <v>11390.05</v>
      </c>
      <c r="DU346" s="247">
        <f>VLOOKUP(A346,'новий кошторис с 01.06'!$A$4:$AI$399,35)*1.2</f>
        <v>12744.478883898968</v>
      </c>
      <c r="DV346" s="29">
        <f t="shared" si="375"/>
        <v>-1354.4288838989687</v>
      </c>
      <c r="DW346" s="1016">
        <f>'[2]побудинковий звіт'!$DW$9+'[1]побудинковий звіт'!DW346</f>
        <v>1062</v>
      </c>
      <c r="DX346" s="101">
        <f>'[1]побудинковий звіт'!DX346</f>
        <v>0</v>
      </c>
      <c r="DY346" s="5">
        <f t="shared" si="376"/>
        <v>33696.342581249919</v>
      </c>
      <c r="DZ346" s="5">
        <f t="shared" si="377"/>
        <v>114477.78777124907</v>
      </c>
      <c r="EA346" s="737">
        <f t="shared" si="378"/>
        <v>44601.35</v>
      </c>
      <c r="EC346" s="577">
        <f t="shared" si="379"/>
        <v>273500.76477023994</v>
      </c>
      <c r="EE346" s="743">
        <v>-7399</v>
      </c>
      <c r="EF346" s="723">
        <f t="shared" si="380"/>
        <v>-6494.8981430023559</v>
      </c>
      <c r="EH346" s="798">
        <v>59225.397221633655</v>
      </c>
      <c r="EI346" s="101">
        <f>VLOOKUP(A346,'кошти 01.01.24'!$A$9:$D$352,4,FALSE)</f>
        <v>42212.046436447636</v>
      </c>
    </row>
    <row r="347" spans="1:139" hidden="1" x14ac:dyDescent="0.3">
      <c r="A347" s="318">
        <v>150000879</v>
      </c>
      <c r="B347" s="43" t="s">
        <v>814</v>
      </c>
      <c r="C347" s="44" t="s">
        <v>329</v>
      </c>
      <c r="D347" s="44" t="s">
        <v>329</v>
      </c>
      <c r="E347" s="39">
        <f t="shared" si="327"/>
        <v>4509.08</v>
      </c>
      <c r="F347" s="205">
        <f>'[1]побудинковий звіт'!F347</f>
        <v>3612.98</v>
      </c>
      <c r="G347" s="29">
        <f>'[1]побудинковий звіт'!G347</f>
        <v>0</v>
      </c>
      <c r="H347" s="148">
        <f>'[1]побудинковий звіт'!H347</f>
        <v>896.1</v>
      </c>
      <c r="I347" s="41">
        <f>'[2]побудинковий звіт'!I347+'[1]побудинковий звіт'!I347</f>
        <v>13743.682875024886</v>
      </c>
      <c r="J347" s="41">
        <f>'[2]побудинковий звіт'!J347+'[1]побудинковий звіт'!J347</f>
        <v>14180.088252702442</v>
      </c>
      <c r="K347" s="55">
        <f t="shared" si="328"/>
        <v>436.40537767755632</v>
      </c>
      <c r="L347" s="41">
        <f>'[2]побудинковий звіт'!L347+'[1]побудинковий звіт'!L347</f>
        <v>2548.1373534899171</v>
      </c>
      <c r="M347" s="41">
        <f>'[2]побудинковий звіт'!M347+'[1]побудинковий звіт'!M347</f>
        <v>2670.805821144857</v>
      </c>
      <c r="N347" s="55">
        <f t="shared" si="329"/>
        <v>122.66846765493983</v>
      </c>
      <c r="O347" s="41">
        <f>'[2]побудинковий звіт'!O347+'[1]побудинковий звіт'!O347</f>
        <v>6934.5280347621365</v>
      </c>
      <c r="P347" s="41">
        <f>'[2]побудинковий звіт'!P347+'[1]побудинковий звіт'!P347</f>
        <v>6954.0421418548804</v>
      </c>
      <c r="Q347" s="55">
        <f t="shared" si="330"/>
        <v>19.51410709274387</v>
      </c>
      <c r="R347" s="41">
        <f>'[2]побудинковий звіт'!R347+'[1]побудинковий звіт'!R347</f>
        <v>0</v>
      </c>
      <c r="S347" s="41">
        <f>'[2]побудинковий звіт'!S347+'[1]побудинковий звіт'!S347</f>
        <v>0</v>
      </c>
      <c r="T347" s="55">
        <f t="shared" si="331"/>
        <v>0</v>
      </c>
      <c r="U347" s="41">
        <f>'[2]побудинковий звіт'!U347+'[1]побудинковий звіт'!U347</f>
        <v>280.65294837812576</v>
      </c>
      <c r="V347" s="41">
        <f>'[2]побудинковий звіт'!V347+'[1]побудинковий звіт'!V347</f>
        <v>161.91688629599031</v>
      </c>
      <c r="W347" s="55">
        <f t="shared" si="332"/>
        <v>-118.73606208213545</v>
      </c>
      <c r="X347" s="41">
        <f>'[2]побудинковий звіт'!X347+'[1]побудинковий звіт'!X347</f>
        <v>10994.196102640411</v>
      </c>
      <c r="Y347" s="41">
        <f>'[2]побудинковий звіт'!Y347+'[1]побудинковий звіт'!Y347</f>
        <v>10981.98837964477</v>
      </c>
      <c r="Z347" s="55">
        <f t="shared" si="333"/>
        <v>-12.207722995641234</v>
      </c>
      <c r="AA347" s="41">
        <f>'[2]побудинковий звіт'!AA347+'[1]побудинковий звіт'!AA347</f>
        <v>0</v>
      </c>
      <c r="AB347" s="41">
        <f>'[2]побудинковий звіт'!AB347+'[1]побудинковий звіт'!AB347</f>
        <v>0</v>
      </c>
      <c r="AC347" s="55">
        <f t="shared" si="334"/>
        <v>0</v>
      </c>
      <c r="AD347" s="41">
        <f>'[2]побудинковий звіт'!AD347+'[1]побудинковий звіт'!AD347</f>
        <v>19563.597966003421</v>
      </c>
      <c r="AE347" s="41">
        <f>'[2]побудинковий звіт'!AE347+'[1]побудинковий звіт'!AE347</f>
        <v>19693.803496951907</v>
      </c>
      <c r="AF347" s="36">
        <f t="shared" si="335"/>
        <v>130.20553094848583</v>
      </c>
      <c r="AG347" s="84">
        <f t="shared" si="336"/>
        <v>54064.795280298902</v>
      </c>
      <c r="AH347" s="56">
        <f t="shared" si="337"/>
        <v>54642.644978594843</v>
      </c>
      <c r="AI347" s="55">
        <f t="shared" si="338"/>
        <v>577.84969829594047</v>
      </c>
      <c r="AJ347" s="41">
        <f>'[2]побудинковий звіт'!AJ347+'[1]побудинковий звіт'!AJ347</f>
        <v>0</v>
      </c>
      <c r="AK347" s="41">
        <f>'[2]побудинковий звіт'!AK347+'[1]побудинковий звіт'!AK347</f>
        <v>0</v>
      </c>
      <c r="AL347" s="55">
        <f t="shared" si="339"/>
        <v>0</v>
      </c>
      <c r="AM347" s="41">
        <f>'[2]побудинковий звіт'!AM347+'[1]побудинковий звіт'!AM347</f>
        <v>0</v>
      </c>
      <c r="AN347" s="41">
        <f>'[2]побудинковий звіт'!AN347+'[1]побудинковий звіт'!AN347</f>
        <v>0</v>
      </c>
      <c r="AO347" s="55">
        <f t="shared" si="340"/>
        <v>0</v>
      </c>
      <c r="AP347" s="41">
        <f>'[2]побудинковий звіт'!AP347+'[1]побудинковий звіт'!AP347</f>
        <v>12332.944389169792</v>
      </c>
      <c r="AQ347" s="41">
        <f>'[2]побудинковий звіт'!AQ347+'[1]побудинковий звіт'!AQ347</f>
        <v>13100.60966736362</v>
      </c>
      <c r="AR347" s="55">
        <f t="shared" si="341"/>
        <v>767.66527819382827</v>
      </c>
      <c r="AS347" s="41">
        <f>'[2]побудинковий звіт'!AS347+'[1]побудинковий звіт'!AS347</f>
        <v>45278.19830515088</v>
      </c>
      <c r="AT347" s="41">
        <f>'[2]побудинковий звіт'!AT347+'[1]побудинковий звіт'!AT347</f>
        <v>4935.7047833653924</v>
      </c>
      <c r="AU347" s="57">
        <f t="shared" si="342"/>
        <v>-40342.493521785487</v>
      </c>
      <c r="AV347" s="41">
        <f>'[2]побудинковий звіт'!AV347+'[1]побудинковий звіт'!AV347</f>
        <v>2246.5238570557226</v>
      </c>
      <c r="AW347" s="41">
        <f>'[2]побудинковий звіт'!AW347+'[1]побудинковий звіт'!AW347</f>
        <v>17232.917882957576</v>
      </c>
      <c r="AX347" s="58">
        <f t="shared" si="343"/>
        <v>14986.394025901853</v>
      </c>
      <c r="AY347" s="41">
        <f>'[2]побудинковий звіт'!AY347+'[1]побудинковий звіт'!AY347</f>
        <v>3041.5461890171478</v>
      </c>
      <c r="AZ347" s="41">
        <f>'[2]побудинковий звіт'!AZ347+'[1]побудинковий звіт'!AZ347</f>
        <v>0</v>
      </c>
      <c r="BA347" s="36">
        <f t="shared" si="344"/>
        <v>-3041.5461890171478</v>
      </c>
      <c r="BB347" s="41">
        <f>'[2]побудинковий звіт'!BB347+'[1]побудинковий звіт'!BB347</f>
        <v>2670.278295744492</v>
      </c>
      <c r="BC347" s="41">
        <f>'[2]побудинковий звіт'!BC347+'[1]побудинковий звіт'!BC347</f>
        <v>0</v>
      </c>
      <c r="BD347" s="58">
        <f t="shared" si="345"/>
        <v>-2670.278295744492</v>
      </c>
      <c r="BE347" s="41">
        <f>'[2]побудинковий звіт'!BE347+'[1]побудинковий звіт'!BE347</f>
        <v>0</v>
      </c>
      <c r="BF347" s="41">
        <f>'[2]побудинковий звіт'!BF347+'[1]побудинковий звіт'!BF347</f>
        <v>0</v>
      </c>
      <c r="BG347" s="38">
        <f t="shared" si="346"/>
        <v>0</v>
      </c>
      <c r="BH347" s="41">
        <f>'[2]побудинковий звіт'!BH347+'[1]побудинковий звіт'!BH347</f>
        <v>165.40963195714954</v>
      </c>
      <c r="BI347" s="41">
        <f>'[2]побудинковий звіт'!BI347+'[1]побудинковий звіт'!BI347</f>
        <v>464.00837060753145</v>
      </c>
      <c r="BJ347" s="58">
        <f t="shared" si="347"/>
        <v>298.5987386503819</v>
      </c>
      <c r="BK347" s="41">
        <f>'[2]побудинковий звіт'!BK347+'[1]побудинковий звіт'!BK347</f>
        <v>1999.8340756431253</v>
      </c>
      <c r="BL347" s="41">
        <f>'[2]побудинковий звіт'!BL347+'[1]побудинковий звіт'!BL347</f>
        <v>451.37849776910139</v>
      </c>
      <c r="BM347" s="38">
        <f t="shared" si="348"/>
        <v>-1548.4555778740239</v>
      </c>
      <c r="BN347" s="41">
        <f>'[2]побудинковий звіт'!BN347+'[1]побудинковий звіт'!BN347</f>
        <v>180.35112380954513</v>
      </c>
      <c r="BO347" s="41">
        <f>'[2]побудинковий звіт'!BO347+'[1]побудинковий звіт'!BO347</f>
        <v>0</v>
      </c>
      <c r="BP347" s="58">
        <f t="shared" si="349"/>
        <v>-180.35112380954513</v>
      </c>
      <c r="BQ347" s="84">
        <f t="shared" si="350"/>
        <v>10303.943173227182</v>
      </c>
      <c r="BR347" s="42">
        <f t="shared" si="351"/>
        <v>18148.30475133421</v>
      </c>
      <c r="BS347" s="58">
        <f t="shared" si="352"/>
        <v>7844.3615781070275</v>
      </c>
      <c r="BT347" s="41">
        <f>'[2]побудинковий звіт'!BT347+'[1]побудинковий звіт'!BT347</f>
        <v>36179.33374798928</v>
      </c>
      <c r="BU347" s="41">
        <f>'[2]побудинковий звіт'!BU347+'[1]побудинковий звіт'!BU347</f>
        <v>53869.705750817804</v>
      </c>
      <c r="BV347" s="55">
        <f t="shared" si="353"/>
        <v>17690.372002828524</v>
      </c>
      <c r="BW347" s="41">
        <f>'[2]побудинковий звіт'!BW347+'[1]побудинковий звіт'!BW347</f>
        <v>22625.925770054004</v>
      </c>
      <c r="BX347" s="41">
        <f>'[2]побудинковий звіт'!BX347+'[1]побудинковий звіт'!BX347</f>
        <v>26367.861399247176</v>
      </c>
      <c r="BY347" s="55">
        <f t="shared" si="354"/>
        <v>3741.9356291931726</v>
      </c>
      <c r="BZ347" s="41">
        <f>'[2]побудинковий звіт'!BZ347+'[1]побудинковий звіт'!BZ347</f>
        <v>12418.027357963434</v>
      </c>
      <c r="CA347" s="41">
        <f>'[2]побудинковий звіт'!CA347+'[1]побудинковий звіт'!CA347</f>
        <v>4515.163785510159</v>
      </c>
      <c r="CB347" s="55">
        <f t="shared" si="355"/>
        <v>-7902.8635724532751</v>
      </c>
      <c r="CC347" s="41">
        <f>'[2]побудинковий звіт'!CC347+'[1]побудинковий звіт'!CC347</f>
        <v>0</v>
      </c>
      <c r="CD347" s="41">
        <f>'[2]побудинковий звіт'!CD347+'[1]побудинковий звіт'!CD347</f>
        <v>0</v>
      </c>
      <c r="CE347" s="55">
        <f t="shared" si="356"/>
        <v>0</v>
      </c>
      <c r="CF347" s="41">
        <f>'[2]побудинковий звіт'!CF347+'[1]побудинковий звіт'!CF347</f>
        <v>0</v>
      </c>
      <c r="CG347" s="41">
        <f>'[2]побудинковий звіт'!CG347+'[1]побудинковий звіт'!CG347</f>
        <v>0</v>
      </c>
      <c r="CH347" s="55">
        <f t="shared" si="357"/>
        <v>0</v>
      </c>
      <c r="CI347" s="41">
        <f>'[2]побудинковий звіт'!CI347+'[1]побудинковий звіт'!CI347</f>
        <v>4695.2634788429114</v>
      </c>
      <c r="CJ347" s="41">
        <f>'[2]побудинковий звіт'!CJ347+'[1]побудинковий звіт'!CJ347</f>
        <v>4779.771460081829</v>
      </c>
      <c r="CK347" s="55">
        <f t="shared" si="358"/>
        <v>84.507981238917637</v>
      </c>
      <c r="CL347" s="41">
        <f>'[2]побудинковий звіт'!CL347+'[1]побудинковий звіт'!CL347</f>
        <v>0</v>
      </c>
      <c r="CM347" s="41">
        <f>'[2]побудинковий звіт'!CM347+'[1]побудинковий звіт'!CM347</f>
        <v>0</v>
      </c>
      <c r="CN347" s="55">
        <f t="shared" si="359"/>
        <v>0</v>
      </c>
      <c r="CO347" s="41">
        <f t="shared" si="360"/>
        <v>4695.2634788429114</v>
      </c>
      <c r="CP347" s="42">
        <f t="shared" si="361"/>
        <v>4779.771460081829</v>
      </c>
      <c r="CQ347" s="55">
        <f t="shared" si="362"/>
        <v>84.507981238917637</v>
      </c>
      <c r="CR347" s="76">
        <f t="shared" si="363"/>
        <v>197898.43150269636</v>
      </c>
      <c r="CS347" s="5">
        <f t="shared" si="364"/>
        <v>180359.76657631504</v>
      </c>
      <c r="CT347" s="55">
        <f t="shared" si="365"/>
        <v>-17538.664926381316</v>
      </c>
      <c r="CU347" s="84">
        <f t="shared" si="366"/>
        <v>237478.11780323563</v>
      </c>
      <c r="CV347" s="68">
        <f t="shared" si="367"/>
        <v>216431.71989157805</v>
      </c>
      <c r="CW347" s="36">
        <f t="shared" si="368"/>
        <v>-21046.397911657579</v>
      </c>
      <c r="CX347" s="41">
        <f>'[2]побудинковий звіт'!CX347+'[1]побудинковий звіт'!CX347</f>
        <v>7466.5443484958669</v>
      </c>
      <c r="CY347" s="41">
        <f>'[2]побудинковий звіт'!CY347+'[1]побудинковий звіт'!CY347</f>
        <v>28512.942260153468</v>
      </c>
      <c r="CZ347" s="55">
        <f t="shared" si="369"/>
        <v>21046.397911657601</v>
      </c>
      <c r="DA347" s="254">
        <f>'[1]побудинковий звіт'!DA347</f>
        <v>319348.61084181303</v>
      </c>
      <c r="DB347" s="2">
        <v>2</v>
      </c>
      <c r="DC347" s="702">
        <f>'[1]побудинковий звіт'!DC347</f>
        <v>40932.949999999997</v>
      </c>
      <c r="DD347" s="702">
        <f>'[1]побудинковий звіт'!DD347</f>
        <v>5024.0000000000009</v>
      </c>
      <c r="DE347" s="702">
        <f>'[1]побудинковий звіт'!DE347</f>
        <v>19066.429999999997</v>
      </c>
      <c r="DF347" s="702">
        <f>'[1]побудинковий звіт'!DF347</f>
        <v>-6.7299999999995634</v>
      </c>
      <c r="DG347" s="772">
        <v>-24666.010875037871</v>
      </c>
      <c r="DH347" s="746">
        <f t="shared" si="372"/>
        <v>2939335.9458207777</v>
      </c>
      <c r="DI347" s="769"/>
      <c r="DJ347" s="5"/>
      <c r="DK347" s="307">
        <f>VLOOKUP($A347,ціни!$A$4:$G$401,5)</f>
        <v>4.3163709991757031</v>
      </c>
      <c r="DL347" s="307"/>
      <c r="DM347" s="307">
        <f>VLOOKUP($A347,ціни!$A$4:$G$401,7)</f>
        <v>3.7158463973119575</v>
      </c>
      <c r="DN347" s="29">
        <f t="shared" si="370"/>
        <v>15594.962092601832</v>
      </c>
      <c r="DO347" s="29">
        <f t="shared" si="371"/>
        <v>3329.7699566312453</v>
      </c>
      <c r="DP347" s="306">
        <f t="shared" si="373"/>
        <v>18924.732049233076</v>
      </c>
      <c r="DQ347" s="101"/>
      <c r="DR347" s="29">
        <f>VLOOKUP(A347,'ДЗ нас '!$A$1:$C$359,2)</f>
        <v>15595.08</v>
      </c>
      <c r="DS347" s="733">
        <f>VLOOKUP(A347,'ДЗ нежит'!$A$1:$D$153,4,0)</f>
        <v>3632.2200000000003</v>
      </c>
      <c r="DT347" s="29">
        <f t="shared" si="374"/>
        <v>19227.3</v>
      </c>
      <c r="DU347" s="247">
        <f>VLOOKUP(A347,'новий кошторис с 01.06'!$A$4:$AI$399,35)*1.2</f>
        <v>18905.672373801597</v>
      </c>
      <c r="DV347" s="29">
        <f t="shared" si="375"/>
        <v>321.62762619840214</v>
      </c>
      <c r="DW347" s="1016">
        <f>'[2]побудинковий звіт'!$DW$9+'[1]побудинковий звіт'!DW347</f>
        <v>1717.1999999999998</v>
      </c>
      <c r="DX347" s="101">
        <f>'[1]побудинковий звіт'!DX347</f>
        <v>0</v>
      </c>
      <c r="DY347" s="5">
        <f t="shared" si="376"/>
        <v>66698.569774053671</v>
      </c>
      <c r="DZ347" s="5">
        <f t="shared" si="377"/>
        <v>27700.811441639522</v>
      </c>
      <c r="EA347" s="737">
        <f t="shared" si="378"/>
        <v>19059.699999999997</v>
      </c>
      <c r="EC347" s="577">
        <f t="shared" si="379"/>
        <v>543338.37966181058</v>
      </c>
      <c r="EE347" s="743">
        <v>12324</v>
      </c>
      <c r="EF347" s="723">
        <f t="shared" si="380"/>
        <v>-12342.010875037871</v>
      </c>
      <c r="EH347" s="798">
        <v>360540.81979379262</v>
      </c>
      <c r="EI347" s="101">
        <f>VLOOKUP(A347,'кошти 01.01.24'!$A$9:$D$352,4,FALSE)</f>
        <v>340395.00875347067</v>
      </c>
    </row>
    <row r="348" spans="1:139" hidden="1" x14ac:dyDescent="0.3">
      <c r="A348" s="318">
        <v>150000880</v>
      </c>
      <c r="B348" s="43" t="s">
        <v>815</v>
      </c>
      <c r="C348" s="44" t="s">
        <v>237</v>
      </c>
      <c r="D348" s="44" t="s">
        <v>237</v>
      </c>
      <c r="E348" s="39">
        <f t="shared" si="327"/>
        <v>2732.15</v>
      </c>
      <c r="F348" s="205">
        <f>'[1]побудинковий звіт'!F348</f>
        <v>1891.75</v>
      </c>
      <c r="G348" s="29">
        <f>'[1]побудинковий звіт'!G348</f>
        <v>0</v>
      </c>
      <c r="H348" s="148">
        <f>'[1]побудинковий звіт'!H348</f>
        <v>840.40000000000009</v>
      </c>
      <c r="I348" s="41">
        <f>'[2]побудинковий звіт'!I348+'[1]побудинковий звіт'!I348</f>
        <v>9243.7435304469363</v>
      </c>
      <c r="J348" s="41">
        <f>'[2]побудинковий звіт'!J348+'[1]побудинковий звіт'!J348</f>
        <v>9460.0822092419421</v>
      </c>
      <c r="K348" s="55">
        <f t="shared" si="328"/>
        <v>216.33867879500576</v>
      </c>
      <c r="L348" s="41">
        <f>'[2]побудинковий звіт'!L348+'[1]побудинковий звіт'!L348</f>
        <v>1804.8056840082568</v>
      </c>
      <c r="M348" s="41">
        <f>'[2]побудинковий звіт'!M348+'[1]побудинковий звіт'!M348</f>
        <v>1891.6160414746137</v>
      </c>
      <c r="N348" s="55">
        <f t="shared" si="329"/>
        <v>86.810357466356891</v>
      </c>
      <c r="O348" s="41">
        <f>'[2]побудинковий звіт'!O348+'[1]побудинковий звіт'!O348</f>
        <v>4174.0240522530721</v>
      </c>
      <c r="P348" s="41">
        <f>'[2]побудинковий звіт'!P348+'[1]побудинковий звіт'!P348</f>
        <v>4185.7884760558654</v>
      </c>
      <c r="Q348" s="55">
        <f t="shared" si="330"/>
        <v>11.764423802793317</v>
      </c>
      <c r="R348" s="41">
        <f>'[2]побудинковий звіт'!R348+'[1]побудинковий звіт'!R348</f>
        <v>0</v>
      </c>
      <c r="S348" s="41">
        <f>'[2]побудинковий звіт'!S348+'[1]побудинковий звіт'!S348</f>
        <v>0</v>
      </c>
      <c r="T348" s="55">
        <f t="shared" si="331"/>
        <v>0</v>
      </c>
      <c r="U348" s="41">
        <f>'[2]побудинковий звіт'!U348+'[1]побудинковий звіт'!U348</f>
        <v>187.10196558541708</v>
      </c>
      <c r="V348" s="41">
        <f>'[2]побудинковий звіт'!V348+'[1]побудинковий звіт'!V348</f>
        <v>107.9445908639935</v>
      </c>
      <c r="W348" s="55">
        <f t="shared" si="332"/>
        <v>-79.157374721423579</v>
      </c>
      <c r="X348" s="41">
        <f>'[2]побудинковий звіт'!X348+'[1]побудинковий звіт'!X348</f>
        <v>7534.3580624590595</v>
      </c>
      <c r="Y348" s="41">
        <f>'[2]побудинковий звіт'!Y348+'[1]побудинковий звіт'!Y348</f>
        <v>7297.8259327421456</v>
      </c>
      <c r="Z348" s="55">
        <f t="shared" si="333"/>
        <v>-236.53212971691391</v>
      </c>
      <c r="AA348" s="41">
        <f>'[2]побудинковий звіт'!AA348+'[1]побудинковий звіт'!AA348</f>
        <v>0</v>
      </c>
      <c r="AB348" s="41">
        <f>'[2]побудинковий звіт'!AB348+'[1]побудинковий звіт'!AB348</f>
        <v>0</v>
      </c>
      <c r="AC348" s="55">
        <f t="shared" si="334"/>
        <v>0</v>
      </c>
      <c r="AD348" s="41">
        <f>'[2]побудинковий звіт'!AD348+'[1]побудинковий звіт'!AD348</f>
        <v>11829.314244600755</v>
      </c>
      <c r="AE348" s="41">
        <f>'[2]побудинковий звіт'!AE348+'[1]побудинковий звіт'!AE348</f>
        <v>11784.099473213424</v>
      </c>
      <c r="AF348" s="36">
        <f t="shared" si="335"/>
        <v>-45.214771387330984</v>
      </c>
      <c r="AG348" s="84">
        <f t="shared" si="336"/>
        <v>34773.347539353497</v>
      </c>
      <c r="AH348" s="56">
        <f t="shared" si="337"/>
        <v>34727.356723591991</v>
      </c>
      <c r="AI348" s="55">
        <f t="shared" si="338"/>
        <v>-45.990815761506383</v>
      </c>
      <c r="AJ348" s="41">
        <f>'[2]побудинковий звіт'!AJ348+'[1]побудинковий звіт'!AJ348</f>
        <v>0</v>
      </c>
      <c r="AK348" s="41">
        <f>'[2]побудинковий звіт'!AK348+'[1]побудинковий звіт'!AK348</f>
        <v>0</v>
      </c>
      <c r="AL348" s="55">
        <f t="shared" si="339"/>
        <v>0</v>
      </c>
      <c r="AM348" s="41">
        <f>'[2]побудинковий звіт'!AM348+'[1]побудинковий звіт'!AM348</f>
        <v>0</v>
      </c>
      <c r="AN348" s="41">
        <f>'[2]побудинковий звіт'!AN348+'[1]побудинковий звіт'!AN348</f>
        <v>0</v>
      </c>
      <c r="AO348" s="55">
        <f t="shared" si="340"/>
        <v>0</v>
      </c>
      <c r="AP348" s="41">
        <f>'[2]побудинковий звіт'!AP348+'[1]побудинковий звіт'!AP348</f>
        <v>4457.6907430734182</v>
      </c>
      <c r="AQ348" s="41">
        <f>'[2]побудинковий звіт'!AQ348+'[1]побудинковий звіт'!AQ348</f>
        <v>4240.0237177527342</v>
      </c>
      <c r="AR348" s="55">
        <f t="shared" si="341"/>
        <v>-217.66702532068393</v>
      </c>
      <c r="AS348" s="41">
        <f>'[2]побудинковий звіт'!AS348+'[1]побудинковий звіт'!AS348</f>
        <v>31761.736672345131</v>
      </c>
      <c r="AT348" s="41">
        <f>'[2]побудинковий звіт'!AT348+'[1]побудинковий звіт'!AT348</f>
        <v>6100.4633641435494</v>
      </c>
      <c r="AU348" s="57">
        <f t="shared" si="342"/>
        <v>-25661.27330820158</v>
      </c>
      <c r="AV348" s="41">
        <f>'[2]побудинковий звіт'!AV348+'[1]побудинковий звіт'!AV348</f>
        <v>1714.0476818900584</v>
      </c>
      <c r="AW348" s="41">
        <f>'[2]побудинковий звіт'!AW348+'[1]побудинковий звіт'!AW348</f>
        <v>0</v>
      </c>
      <c r="AX348" s="58">
        <f t="shared" si="343"/>
        <v>-1714.0476818900584</v>
      </c>
      <c r="AY348" s="41">
        <f>'[2]побудинковий звіт'!AY348+'[1]побудинковий звіт'!AY348</f>
        <v>2153.9803329370907</v>
      </c>
      <c r="AZ348" s="41">
        <f>'[2]побудинковий звіт'!AZ348+'[1]побудинковий звіт'!AZ348</f>
        <v>0</v>
      </c>
      <c r="BA348" s="36">
        <f t="shared" si="344"/>
        <v>-2153.9803329370907</v>
      </c>
      <c r="BB348" s="41">
        <f>'[2]побудинковий звіт'!BB348+'[1]побудинковий звіт'!BB348</f>
        <v>1773.0107277952875</v>
      </c>
      <c r="BC348" s="41">
        <f>'[2]побудинковий звіт'!BC348+'[1]побудинковий звіт'!BC348</f>
        <v>367.97798214586402</v>
      </c>
      <c r="BD348" s="58">
        <f t="shared" si="345"/>
        <v>-1405.0327456494235</v>
      </c>
      <c r="BE348" s="41">
        <f>'[2]побудинковий звіт'!BE348+'[1]побудинковий звіт'!BE348</f>
        <v>0</v>
      </c>
      <c r="BF348" s="41">
        <f>'[2]побудинковий звіт'!BF348+'[1]побудинковий звіт'!BF348</f>
        <v>0</v>
      </c>
      <c r="BG348" s="38">
        <f t="shared" si="346"/>
        <v>0</v>
      </c>
      <c r="BH348" s="41">
        <f>'[2]побудинковий звіт'!BH348+'[1]побудинковий звіт'!BH348</f>
        <v>110.27308797143304</v>
      </c>
      <c r="BI348" s="41">
        <f>'[2]побудинковий звіт'!BI348+'[1]побудинковий звіт'!BI348</f>
        <v>0</v>
      </c>
      <c r="BJ348" s="58">
        <f t="shared" si="347"/>
        <v>-110.27308797143304</v>
      </c>
      <c r="BK348" s="41">
        <f>'[2]побудинковий звіт'!BK348+'[1]побудинковий звіт'!BK348</f>
        <v>1283.2164335222758</v>
      </c>
      <c r="BL348" s="41">
        <f>'[2]побудинковий звіт'!BL348+'[1]побудинковий звіт'!BL348</f>
        <v>0</v>
      </c>
      <c r="BM348" s="38">
        <f t="shared" si="348"/>
        <v>-1283.2164335222758</v>
      </c>
      <c r="BN348" s="41">
        <f>'[2]побудинковий звіт'!BN348+'[1]побудинковий звіт'!BN348</f>
        <v>81.752483675017274</v>
      </c>
      <c r="BO348" s="41">
        <f>'[2]побудинковий звіт'!BO348+'[1]побудинковий звіт'!BO348</f>
        <v>0</v>
      </c>
      <c r="BP348" s="58">
        <f t="shared" si="349"/>
        <v>-81.752483675017274</v>
      </c>
      <c r="BQ348" s="84">
        <f t="shared" si="350"/>
        <v>7116.2807477911629</v>
      </c>
      <c r="BR348" s="42">
        <f t="shared" si="351"/>
        <v>367.97798214586402</v>
      </c>
      <c r="BS348" s="58">
        <f t="shared" si="352"/>
        <v>-6748.3027656452987</v>
      </c>
      <c r="BT348" s="41">
        <f>'[2]побудинковий звіт'!BT348+'[1]побудинковий звіт'!BT348</f>
        <v>26698.980002677305</v>
      </c>
      <c r="BU348" s="41">
        <f>'[2]побудинковий звіт'!BU348+'[1]побудинковий звіт'!BU348</f>
        <v>47825.051495651089</v>
      </c>
      <c r="BV348" s="55">
        <f t="shared" si="353"/>
        <v>21126.071492973784</v>
      </c>
      <c r="BW348" s="41">
        <f>'[2]побудинковий звіт'!BW348+'[1]побудинковий звіт'!BW348</f>
        <v>19592.984437349722</v>
      </c>
      <c r="BX348" s="41">
        <f>'[2]побудинковий звіт'!BX348+'[1]побудинковий звіт'!BX348</f>
        <v>23639.169262364609</v>
      </c>
      <c r="BY348" s="55">
        <f t="shared" si="354"/>
        <v>4046.1848250148869</v>
      </c>
      <c r="BZ348" s="41">
        <f>'[2]побудинковий звіт'!BZ348+'[1]побудинковий звіт'!BZ348</f>
        <v>14602.829714514308</v>
      </c>
      <c r="CA348" s="41">
        <f>'[2]побудинковий звіт'!CA348+'[1]побудинковий звіт'!CA348</f>
        <v>4633.2813271243158</v>
      </c>
      <c r="CB348" s="55">
        <f t="shared" si="355"/>
        <v>-9969.5483873899921</v>
      </c>
      <c r="CC348" s="41">
        <f>'[2]побудинковий звіт'!CC348+'[1]побудинковий звіт'!CC348</f>
        <v>992.40790344489915</v>
      </c>
      <c r="CD348" s="41">
        <f>'[2]побудинковий звіт'!CD348+'[1]побудинковий звіт'!CD348</f>
        <v>995.77304794866154</v>
      </c>
      <c r="CE348" s="55">
        <f t="shared" si="356"/>
        <v>3.3651445037623944</v>
      </c>
      <c r="CF348" s="41">
        <f>'[2]побудинковий звіт'!CF348+'[1]побудинковий звіт'!CF348</f>
        <v>122.9540644050317</v>
      </c>
      <c r="CG348" s="41">
        <f>'[2]побудинковий звіт'!CG348+'[1]побудинковий звіт'!CG348</f>
        <v>0</v>
      </c>
      <c r="CH348" s="55">
        <f t="shared" si="357"/>
        <v>-122.9540644050317</v>
      </c>
      <c r="CI348" s="41">
        <f>'[2]побудинковий звіт'!CI348+'[1]побудинковий звіт'!CI348</f>
        <v>7154.3176843695555</v>
      </c>
      <c r="CJ348" s="41">
        <f>'[2]побудинковий звіт'!CJ348+'[1]побудинковий звіт'!CJ348</f>
        <v>6626.3626711172847</v>
      </c>
      <c r="CK348" s="55">
        <f t="shared" si="358"/>
        <v>-527.95501325227087</v>
      </c>
      <c r="CL348" s="41">
        <f>'[2]побудинковий звіт'!CL348+'[1]побудинковий звіт'!CL348</f>
        <v>0</v>
      </c>
      <c r="CM348" s="41">
        <f>'[2]побудинковий звіт'!CM348+'[1]побудинковий звіт'!CM348</f>
        <v>0</v>
      </c>
      <c r="CN348" s="55">
        <f t="shared" si="359"/>
        <v>0</v>
      </c>
      <c r="CO348" s="41">
        <f t="shared" si="360"/>
        <v>7154.3176843695555</v>
      </c>
      <c r="CP348" s="42">
        <f t="shared" si="361"/>
        <v>6626.3626711172847</v>
      </c>
      <c r="CQ348" s="55">
        <f t="shared" si="362"/>
        <v>-527.95501325227087</v>
      </c>
      <c r="CR348" s="76">
        <f t="shared" si="363"/>
        <v>147273.52950932403</v>
      </c>
      <c r="CS348" s="5">
        <f t="shared" si="364"/>
        <v>129155.4595918401</v>
      </c>
      <c r="CT348" s="55">
        <f t="shared" si="365"/>
        <v>-18118.069917483925</v>
      </c>
      <c r="CU348" s="84">
        <f t="shared" si="366"/>
        <v>176728.23541118883</v>
      </c>
      <c r="CV348" s="68">
        <f t="shared" si="367"/>
        <v>154986.55151020811</v>
      </c>
      <c r="CW348" s="36">
        <f t="shared" si="368"/>
        <v>-21741.683900980715</v>
      </c>
      <c r="CX348" s="41">
        <f>'[2]побудинковий звіт'!CX348+'[1]побудинковий звіт'!CX348</f>
        <v>4176.1619752360184</v>
      </c>
      <c r="CY348" s="41">
        <f>'[2]побудинковий звіт'!CY348+'[1]побудинковий звіт'!CY348</f>
        <v>25917.84587621675</v>
      </c>
      <c r="CZ348" s="55">
        <f t="shared" si="369"/>
        <v>21741.68390098073</v>
      </c>
      <c r="DA348" s="254">
        <f>'[1]побудинковий звіт'!DA348</f>
        <v>-122764.32568922565</v>
      </c>
      <c r="DB348" s="2">
        <v>2</v>
      </c>
      <c r="DC348" s="702">
        <f>'[1]побудинковий звіт'!DC348</f>
        <v>15679.14</v>
      </c>
      <c r="DD348" s="702">
        <f>'[1]побудинковий звіт'!DD348</f>
        <v>31616.300000000003</v>
      </c>
      <c r="DE348" s="702">
        <f>'[1]побудинковий звіт'!DE348</f>
        <v>1095.0900000000001</v>
      </c>
      <c r="DF348" s="702">
        <f>'[1]побудинковий звіт'!DF348</f>
        <v>26277.890000000003</v>
      </c>
      <c r="DG348" s="772">
        <v>-87813.469464516966</v>
      </c>
      <c r="DH348" s="746">
        <f t="shared" si="372"/>
        <v>2170852.7686370984</v>
      </c>
      <c r="DI348" s="769"/>
      <c r="DJ348" s="5"/>
      <c r="DK348" s="307">
        <f>VLOOKUP($A348,ціни!$A$4:$G$401,5)</f>
        <v>5.4922818295720166</v>
      </c>
      <c r="DL348" s="307"/>
      <c r="DM348" s="307">
        <f>VLOOKUP($A348,ціни!$A$4:$G$401,7)</f>
        <v>4.4900775110277635</v>
      </c>
      <c r="DN348" s="29">
        <f t="shared" si="370"/>
        <v>10390.024151092863</v>
      </c>
      <c r="DO348" s="29">
        <f t="shared" si="371"/>
        <v>3773.4611402677328</v>
      </c>
      <c r="DP348" s="306">
        <f t="shared" si="373"/>
        <v>14163.485291360596</v>
      </c>
      <c r="DQ348" s="101"/>
      <c r="DR348" s="29">
        <f>VLOOKUP(A348,'ДЗ нас '!$A$1:$C$359,2)</f>
        <v>10390.040000000001</v>
      </c>
      <c r="DS348" s="733">
        <f>VLOOKUP(A348,'ДЗ нежит'!$A$1:$D$153,4,0)</f>
        <v>3773.4900000000002</v>
      </c>
      <c r="DT348" s="29">
        <f t="shared" si="374"/>
        <v>14163.53</v>
      </c>
      <c r="DU348" s="247">
        <f>VLOOKUP(A348,'новий кошторис с 01.06'!$A$4:$AI$399,35)*1.2</f>
        <v>14179.228387141842</v>
      </c>
      <c r="DV348" s="29">
        <f t="shared" si="375"/>
        <v>-15.698387141841522</v>
      </c>
      <c r="DW348" s="1016">
        <f>'[2]побудинковий звіт'!$DW$9+'[1]побудинковий звіт'!DW348</f>
        <v>1062</v>
      </c>
      <c r="DX348" s="101">
        <f>'[1]побудинковий звіт'!DX348</f>
        <v>0</v>
      </c>
      <c r="DY348" s="5">
        <f t="shared" si="376"/>
        <v>46653.620904163552</v>
      </c>
      <c r="DZ348" s="5">
        <f t="shared" si="377"/>
        <v>7762.1296155472955</v>
      </c>
      <c r="EA348" s="737">
        <f t="shared" si="378"/>
        <v>27372.980000000003</v>
      </c>
      <c r="EC348" s="577">
        <f t="shared" si="379"/>
        <v>381140.84006814158</v>
      </c>
      <c r="EE348" s="743">
        <v>83912</v>
      </c>
      <c r="EF348" s="723">
        <f t="shared" si="380"/>
        <v>-3901.4694645169657</v>
      </c>
      <c r="EH348" s="798">
        <v>-83532.763863410262</v>
      </c>
      <c r="EI348" s="101">
        <f>VLOOKUP(A348,'кошти 01.01.24'!$A$9:$D$352,4,FALSE)</f>
        <v>-101022.64178824493</v>
      </c>
    </row>
    <row r="349" spans="1:139" hidden="1" x14ac:dyDescent="0.3">
      <c r="A349" s="318">
        <v>150000881</v>
      </c>
      <c r="B349" s="43" t="s">
        <v>816</v>
      </c>
      <c r="C349" s="44" t="s">
        <v>411</v>
      </c>
      <c r="D349" s="44" t="s">
        <v>411</v>
      </c>
      <c r="E349" s="39">
        <f t="shared" si="327"/>
        <v>2405.4</v>
      </c>
      <c r="F349" s="205">
        <f>'[1]побудинковий звіт'!F349</f>
        <v>2076.5</v>
      </c>
      <c r="G349" s="29">
        <f>'[1]побудинковий звіт'!G349</f>
        <v>0</v>
      </c>
      <c r="H349" s="148">
        <f>'[1]побудинковий звіт'!H349</f>
        <v>328.9</v>
      </c>
      <c r="I349" s="41">
        <f>'[2]побудинковий звіт'!I349+'[1]побудинковий звіт'!I349</f>
        <v>7067.6685423473591</v>
      </c>
      <c r="J349" s="41">
        <f>'[2]побудинковий звіт'!J349+'[1]побудинковий звіт'!J349</f>
        <v>7308.2305946434462</v>
      </c>
      <c r="K349" s="55">
        <f t="shared" si="328"/>
        <v>240.56205229608713</v>
      </c>
      <c r="L349" s="41">
        <f>'[2]побудинковий звіт'!L349+'[1]побудинковий звіт'!L349</f>
        <v>1032.2748789899758</v>
      </c>
      <c r="M349" s="41">
        <f>'[2]побудинковий звіт'!M349+'[1]побудинковий звіт'!M349</f>
        <v>1080.6924726712396</v>
      </c>
      <c r="N349" s="55">
        <f t="shared" si="329"/>
        <v>48.417593681263725</v>
      </c>
      <c r="O349" s="41">
        <f>'[2]побудинковий звіт'!O349+'[1]побудинковий звіт'!O349</f>
        <v>3502.4008627982266</v>
      </c>
      <c r="P349" s="41">
        <f>'[2]побудинковий звіт'!P349+'[1]побудинковий звіт'!P349</f>
        <v>3512.3180134718168</v>
      </c>
      <c r="Q349" s="55">
        <f t="shared" si="330"/>
        <v>9.9171506735901858</v>
      </c>
      <c r="R349" s="41">
        <f>'[2]побудинковий звіт'!R349+'[1]побудинковий звіт'!R349</f>
        <v>811.09620566742979</v>
      </c>
      <c r="S349" s="41">
        <f>'[2]побудинковий звіт'!S349+'[1]побудинковий звіт'!S349</f>
        <v>813.36916386045232</v>
      </c>
      <c r="T349" s="55">
        <f t="shared" si="331"/>
        <v>2.2729581930225322</v>
      </c>
      <c r="U349" s="41">
        <f>'[2]побудинковий звіт'!U349+'[1]побудинковий звіт'!U349</f>
        <v>397.00096215020847</v>
      </c>
      <c r="V349" s="41">
        <f>'[2]побудинковий звіт'!V349+'[1]побудинковий звіт'!V349</f>
        <v>880.07622266530382</v>
      </c>
      <c r="W349" s="55">
        <f t="shared" si="332"/>
        <v>483.07526051509535</v>
      </c>
      <c r="X349" s="41">
        <f>'[2]побудинковий звіт'!X349+'[1]побудинковий звіт'!X349</f>
        <v>4056.8026162009824</v>
      </c>
      <c r="Y349" s="41">
        <f>'[2]побудинковий звіт'!Y349+'[1]побудинковий звіт'!Y349</f>
        <v>3672.7805069409087</v>
      </c>
      <c r="Z349" s="55">
        <f t="shared" si="333"/>
        <v>-384.02210926007365</v>
      </c>
      <c r="AA349" s="41">
        <f>'[2]побудинковий звіт'!AA349+'[1]побудинковий звіт'!AA349</f>
        <v>0</v>
      </c>
      <c r="AB349" s="41">
        <f>'[2]побудинковий звіт'!AB349+'[1]побудинковий звіт'!AB349</f>
        <v>0</v>
      </c>
      <c r="AC349" s="55">
        <f t="shared" si="334"/>
        <v>0</v>
      </c>
      <c r="AD349" s="41">
        <f>'[2]побудинковий звіт'!AD349+'[1]побудинковий звіт'!AD349</f>
        <v>10432.970679282149</v>
      </c>
      <c r="AE349" s="41">
        <f>'[2]побудинковий звіт'!AE349+'[1]побудинковий звіт'!AE349</f>
        <v>10392.394035772961</v>
      </c>
      <c r="AF349" s="36">
        <f t="shared" si="335"/>
        <v>-40.576643509188216</v>
      </c>
      <c r="AG349" s="84">
        <f t="shared" si="336"/>
        <v>27300.21474743633</v>
      </c>
      <c r="AH349" s="56">
        <f t="shared" si="337"/>
        <v>27659.861010026128</v>
      </c>
      <c r="AI349" s="55">
        <f t="shared" si="338"/>
        <v>359.64626258979843</v>
      </c>
      <c r="AJ349" s="41">
        <f>'[2]побудинковий звіт'!AJ349+'[1]побудинковий звіт'!AJ349</f>
        <v>22426.842518141682</v>
      </c>
      <c r="AK349" s="41">
        <f>'[2]побудинковий звіт'!AK349+'[1]побудинковий звіт'!AK349</f>
        <v>18913.411556620613</v>
      </c>
      <c r="AL349" s="55">
        <f t="shared" si="339"/>
        <v>-3513.4309615210695</v>
      </c>
      <c r="AM349" s="41">
        <f>'[2]побудинковий звіт'!AM349+'[1]побудинковий звіт'!AM349</f>
        <v>0</v>
      </c>
      <c r="AN349" s="41">
        <f>'[2]побудинковий звіт'!AN349+'[1]побудинковий звіт'!AN349</f>
        <v>0</v>
      </c>
      <c r="AO349" s="55">
        <f t="shared" si="340"/>
        <v>0</v>
      </c>
      <c r="AP349" s="41">
        <f>'[2]побудинковий звіт'!AP349+'[1]побудинковий звіт'!AP349</f>
        <v>2377.4350629724895</v>
      </c>
      <c r="AQ349" s="41">
        <f>'[2]побудинковий звіт'!AQ349+'[1]побудинковий звіт'!AQ349</f>
        <v>2294.2136437470926</v>
      </c>
      <c r="AR349" s="55">
        <f t="shared" si="341"/>
        <v>-83.221419225396858</v>
      </c>
      <c r="AS349" s="41">
        <f>'[2]побудинковий звіт'!AS349+'[1]побудинковий звіт'!AS349</f>
        <v>32761.283697107279</v>
      </c>
      <c r="AT349" s="41">
        <f>'[2]побудинковий звіт'!AT349+'[1]побудинковий звіт'!AT349</f>
        <v>43305.368836423666</v>
      </c>
      <c r="AU349" s="57">
        <f t="shared" si="342"/>
        <v>10544.085139316387</v>
      </c>
      <c r="AV349" s="41">
        <f>'[2]побудинковий звіт'!AV349+'[1]побудинковий звіт'!AV349</f>
        <v>288.84147697994274</v>
      </c>
      <c r="AW349" s="41">
        <f>'[2]побудинковий звіт'!AW349+'[1]побудинковий звіт'!AW349</f>
        <v>0</v>
      </c>
      <c r="AX349" s="58">
        <f t="shared" si="343"/>
        <v>-288.84147697994274</v>
      </c>
      <c r="AY349" s="41">
        <f>'[2]побудинковий звіт'!AY349+'[1]побудинковий звіт'!AY349</f>
        <v>289.08501750908931</v>
      </c>
      <c r="AZ349" s="41">
        <f>'[2]побудинковий звіт'!AZ349+'[1]побудинковий звіт'!AZ349</f>
        <v>0</v>
      </c>
      <c r="BA349" s="36">
        <f t="shared" si="344"/>
        <v>-289.08501750908931</v>
      </c>
      <c r="BB349" s="41">
        <f>'[2]побудинковий звіт'!BB349+'[1]побудинковий звіт'!BB349</f>
        <v>390.66935660062808</v>
      </c>
      <c r="BC349" s="41">
        <f>'[2]побудинковий звіт'!BC349+'[1]побудинковий звіт'!BC349</f>
        <v>0</v>
      </c>
      <c r="BD349" s="58">
        <f t="shared" si="345"/>
        <v>-390.66935660062808</v>
      </c>
      <c r="BE349" s="41">
        <f>'[2]побудинковий звіт'!BE349+'[1]побудинковий звіт'!BE349</f>
        <v>198.74430359715433</v>
      </c>
      <c r="BF349" s="41">
        <f>'[2]побудинковий звіт'!BF349+'[1]побудинковий звіт'!BF349</f>
        <v>0</v>
      </c>
      <c r="BG349" s="38">
        <f t="shared" si="346"/>
        <v>-198.74430359715433</v>
      </c>
      <c r="BH349" s="41">
        <f>'[2]побудинковий звіт'!BH349+'[1]побудинковий звіт'!BH349</f>
        <v>107.05431325806208</v>
      </c>
      <c r="BI349" s="41">
        <f>'[2]побудинковий звіт'!BI349+'[1]побудинковий звіт'!BI349</f>
        <v>0</v>
      </c>
      <c r="BJ349" s="58">
        <f t="shared" si="347"/>
        <v>-107.05431325806208</v>
      </c>
      <c r="BK349" s="41">
        <f>'[2]побудинковий звіт'!BK349+'[1]побудинковий звіт'!BK349</f>
        <v>184.61335472915437</v>
      </c>
      <c r="BL349" s="41">
        <f>'[2]побудинковий звіт'!BL349+'[1]побудинковий звіт'!BL349</f>
        <v>2701.6442032464956</v>
      </c>
      <c r="BM349" s="38">
        <f t="shared" si="348"/>
        <v>2517.0308485173414</v>
      </c>
      <c r="BN349" s="41">
        <f>'[2]побудинковий звіт'!BN349+'[1]побудинковий звіт'!BN349</f>
        <v>28.923940885788934</v>
      </c>
      <c r="BO349" s="41">
        <f>'[2]побудинковий звіт'!BO349+'[1]побудинковий звіт'!BO349</f>
        <v>0</v>
      </c>
      <c r="BP349" s="58">
        <f t="shared" si="349"/>
        <v>-28.923940885788934</v>
      </c>
      <c r="BQ349" s="84">
        <f t="shared" si="350"/>
        <v>1487.93176355982</v>
      </c>
      <c r="BR349" s="42">
        <f t="shared" si="351"/>
        <v>2701.6442032464956</v>
      </c>
      <c r="BS349" s="58">
        <f t="shared" si="352"/>
        <v>1213.7124396866757</v>
      </c>
      <c r="BT349" s="41">
        <f>'[2]побудинковий звіт'!BT349+'[1]побудинковий звіт'!BT349</f>
        <v>40568.362873029422</v>
      </c>
      <c r="BU349" s="41">
        <f>'[2]побудинковий звіт'!BU349+'[1]побудинковий звіт'!BU349</f>
        <v>45459.435029538028</v>
      </c>
      <c r="BV349" s="55">
        <f t="shared" si="353"/>
        <v>4891.072156508606</v>
      </c>
      <c r="BW349" s="41">
        <f>'[2]побудинковий звіт'!BW349+'[1]побудинковий звіт'!BW349</f>
        <v>24725.00904268695</v>
      </c>
      <c r="BX349" s="41">
        <f>'[2]побудинковий звіт'!BX349+'[1]побудинковий звіт'!BX349</f>
        <v>24102.588682734749</v>
      </c>
      <c r="BY349" s="55">
        <f t="shared" si="354"/>
        <v>-622.42035995220067</v>
      </c>
      <c r="BZ349" s="41">
        <f>'[2]побудинковий звіт'!BZ349+'[1]побудинковий звіт'!BZ349</f>
        <v>11192.288166854378</v>
      </c>
      <c r="CA349" s="41">
        <f>'[2]побудинковий звіт'!CA349+'[1]побудинковий звіт'!CA349</f>
        <v>3190.550883104735</v>
      </c>
      <c r="CB349" s="55">
        <f t="shared" si="355"/>
        <v>-8001.7372837496423</v>
      </c>
      <c r="CC349" s="41">
        <f>'[2]побудинковий звіт'!CC349+'[1]побудинковий звіт'!CC349</f>
        <v>0</v>
      </c>
      <c r="CD349" s="41">
        <f>'[2]побудинковий звіт'!CD349+'[1]побудинковий звіт'!CD349</f>
        <v>0</v>
      </c>
      <c r="CE349" s="55">
        <f t="shared" si="356"/>
        <v>0</v>
      </c>
      <c r="CF349" s="41">
        <f>'[2]побудинковий звіт'!CF349+'[1]побудинковий звіт'!CF349</f>
        <v>0</v>
      </c>
      <c r="CG349" s="41">
        <f>'[2]побудинковий звіт'!CG349+'[1]побудинковий звіт'!CG349</f>
        <v>0</v>
      </c>
      <c r="CH349" s="55">
        <f t="shared" si="357"/>
        <v>0</v>
      </c>
      <c r="CI349" s="41">
        <f>'[2]побудинковий звіт'!CI349+'[1]побудинковий звіт'!CI349</f>
        <v>3998.0597833220318</v>
      </c>
      <c r="CJ349" s="41">
        <f>'[2]побудинковий звіт'!CJ349+'[1]побудинковий звіт'!CJ349</f>
        <v>2881.3893852139777</v>
      </c>
      <c r="CK349" s="55">
        <f t="shared" si="358"/>
        <v>-1116.6703981080541</v>
      </c>
      <c r="CL349" s="41">
        <f>'[2]побудинковий звіт'!CL349+'[1]побудинковий звіт'!CL349</f>
        <v>8492.4283449570903</v>
      </c>
      <c r="CM349" s="41">
        <f>'[2]побудинковий звіт'!CM349+'[1]побудинковий звіт'!CM349</f>
        <v>11304.968008090382</v>
      </c>
      <c r="CN349" s="55">
        <f t="shared" si="359"/>
        <v>2812.5396631332915</v>
      </c>
      <c r="CO349" s="41">
        <f t="shared" si="360"/>
        <v>12490.488128279121</v>
      </c>
      <c r="CP349" s="42">
        <f t="shared" si="361"/>
        <v>14186.357393304359</v>
      </c>
      <c r="CQ349" s="55">
        <f t="shared" si="362"/>
        <v>1695.8692650252378</v>
      </c>
      <c r="CR349" s="76">
        <f t="shared" si="363"/>
        <v>175329.85600006749</v>
      </c>
      <c r="CS349" s="5">
        <f t="shared" si="364"/>
        <v>181813.43123874586</v>
      </c>
      <c r="CT349" s="55">
        <f t="shared" si="365"/>
        <v>6483.5752386783715</v>
      </c>
      <c r="CU349" s="84">
        <f t="shared" si="366"/>
        <v>210395.827200081</v>
      </c>
      <c r="CV349" s="68">
        <f t="shared" si="367"/>
        <v>218176.11748649503</v>
      </c>
      <c r="CW349" s="36">
        <f t="shared" si="368"/>
        <v>7780.2902864140342</v>
      </c>
      <c r="CX349" s="41">
        <f>'[2]побудинковий звіт'!CX349+'[1]побудинковий звіт'!CX349</f>
        <v>4753.696858039918</v>
      </c>
      <c r="CY349" s="41">
        <f>'[2]побудинковий звіт'!CY349+'[1]побудинковий звіт'!CY349</f>
        <v>-3026.5934283741899</v>
      </c>
      <c r="CZ349" s="55">
        <f t="shared" si="369"/>
        <v>-7780.2902864141079</v>
      </c>
      <c r="DA349" s="254">
        <f>'[1]побудинковий звіт'!DA349</f>
        <v>-47672.63425904137</v>
      </c>
      <c r="DB349" s="2">
        <v>2</v>
      </c>
      <c r="DC349" s="702">
        <f>'[1]побудинковий звіт'!DC349</f>
        <v>32003.78</v>
      </c>
      <c r="DD349" s="702">
        <f>'[1]побудинковий звіт'!DD349</f>
        <v>1240.93</v>
      </c>
      <c r="DE349" s="702">
        <f>'[1]побудинковий звіт'!DE349</f>
        <v>10351.239999999998</v>
      </c>
      <c r="DF349" s="702">
        <f>'[1]побудинковий звіт'!DF349</f>
        <v>-859.45</v>
      </c>
      <c r="DG349" s="772">
        <v>-68374.375359572761</v>
      </c>
      <c r="DH349" s="746">
        <f t="shared" si="372"/>
        <v>2581794.2886974509</v>
      </c>
      <c r="DI349" s="769"/>
      <c r="DJ349" s="5"/>
      <c r="DK349" s="307">
        <f>VLOOKUP($A349,ціни!$A$4:$G$401,5)</f>
        <v>6.0331237061610556</v>
      </c>
      <c r="DL349" s="307">
        <f>VLOOKUP($A349,ціни!$A$4:$G$401,6)</f>
        <v>7.3708661190956599</v>
      </c>
      <c r="DM349" s="307">
        <f>VLOOKUP($A349,ціни!$A$4:$G$401,7)</f>
        <v>4.8640086323768257</v>
      </c>
      <c r="DN349" s="29">
        <f>DK349*G349+(F349-G349)*DL349</f>
        <v>15305.603496302138</v>
      </c>
      <c r="DO349" s="29">
        <f>DM349*H349</f>
        <v>1599.772439188738</v>
      </c>
      <c r="DP349" s="306">
        <f t="shared" si="373"/>
        <v>16905.375935490876</v>
      </c>
      <c r="DQ349" s="101"/>
      <c r="DR349" s="29">
        <f>VLOOKUP(A349,'ДЗ нас '!$A$1:$C$359,2)</f>
        <v>15305.7</v>
      </c>
      <c r="DS349" s="733">
        <f>VLOOKUP(A349,'ДЗ нежит'!$A$1:$D$153,4,0)</f>
        <v>1599.78</v>
      </c>
      <c r="DT349" s="29">
        <f t="shared" si="374"/>
        <v>16905.48</v>
      </c>
      <c r="DU349" s="247">
        <f>VLOOKUP(A349,'новий кошторис с 01.06'!$A$4:$AI$399,35)*1.2</f>
        <v>16987.841183956687</v>
      </c>
      <c r="DV349" s="29">
        <f t="shared" si="375"/>
        <v>-82.361183956687455</v>
      </c>
      <c r="DW349" s="1016">
        <f>'[2]побудинковий звіт'!$DW$9+'[1]побудинковий звіт'!DW349</f>
        <v>1062</v>
      </c>
      <c r="DX349" s="101">
        <f>'[1]побудинковий звіт'!DX349</f>
        <v>1100</v>
      </c>
      <c r="DY349" s="5">
        <f t="shared" si="376"/>
        <v>41099.05855280051</v>
      </c>
      <c r="DZ349" s="5">
        <f t="shared" si="377"/>
        <v>55208.415647604197</v>
      </c>
      <c r="EA349" s="737">
        <f t="shared" si="378"/>
        <v>9491.7899999999972</v>
      </c>
      <c r="EC349" s="577">
        <f t="shared" si="379"/>
        <v>393135.40436528734</v>
      </c>
      <c r="EE349" s="743">
        <v>165951</v>
      </c>
      <c r="EF349" s="723">
        <f t="shared" si="380"/>
        <v>97576.624640427239</v>
      </c>
      <c r="EH349" s="798">
        <v>-28136.490887376975</v>
      </c>
      <c r="EI349" s="101">
        <f>VLOOKUP(A349,'кошти 01.01.24'!$A$9:$D$352,4,FALSE)</f>
        <v>-55452.92454545544</v>
      </c>
    </row>
    <row r="350" spans="1:139" hidden="1" x14ac:dyDescent="0.3">
      <c r="A350" s="318">
        <v>150000882</v>
      </c>
      <c r="B350" s="43" t="s">
        <v>817</v>
      </c>
      <c r="C350" s="44" t="s">
        <v>330</v>
      </c>
      <c r="D350" s="44" t="s">
        <v>330</v>
      </c>
      <c r="E350" s="39">
        <f t="shared" si="327"/>
        <v>3011.4300000000003</v>
      </c>
      <c r="F350" s="205">
        <f>'[1]побудинковий звіт'!F350</f>
        <v>2322.13</v>
      </c>
      <c r="G350" s="29">
        <f>'[1]побудинковий звіт'!G350</f>
        <v>0</v>
      </c>
      <c r="H350" s="148">
        <f>'[1]побудинковий звіт'!H350</f>
        <v>689.30000000000007</v>
      </c>
      <c r="I350" s="41">
        <f>'[2]побудинковий звіт'!I350+'[1]побудинковий звіт'!I350</f>
        <v>8951.4242354034068</v>
      </c>
      <c r="J350" s="41">
        <f>'[2]побудинковий звіт'!J350+'[1]побудинковий звіт'!J350</f>
        <v>9235.3922546923568</v>
      </c>
      <c r="K350" s="55">
        <f t="shared" si="328"/>
        <v>283.96801928895002</v>
      </c>
      <c r="L350" s="41">
        <f>'[2]побудинковий звіт'!L350+'[1]побудинковий звіт'!L350</f>
        <v>1824.4241976203737</v>
      </c>
      <c r="M350" s="41">
        <f>'[2]побудинковий звіт'!M350+'[1]побудинковий звіт'!M350</f>
        <v>1915.9427957682124</v>
      </c>
      <c r="N350" s="55">
        <f t="shared" si="329"/>
        <v>91.518598147838702</v>
      </c>
      <c r="O350" s="41">
        <f>'[2]побудинковий звіт'!O350+'[1]побудинковий звіт'!O350</f>
        <v>4576.9018581745358</v>
      </c>
      <c r="P350" s="41">
        <f>'[2]побудинковий звіт'!P350+'[1]побудинковий звіт'!P350</f>
        <v>4589.779850710037</v>
      </c>
      <c r="Q350" s="55">
        <f t="shared" si="330"/>
        <v>12.877992535501107</v>
      </c>
      <c r="R350" s="41">
        <f>'[2]побудинковий звіт'!R350+'[1]побудинковий звіт'!R350</f>
        <v>0</v>
      </c>
      <c r="S350" s="41">
        <f>'[2]побудинковий звіт'!S350+'[1]побудинковий звіт'!S350</f>
        <v>0</v>
      </c>
      <c r="T350" s="55">
        <f t="shared" si="331"/>
        <v>0</v>
      </c>
      <c r="U350" s="41">
        <f>'[2]побудинковий звіт'!U350+'[1]побудинковий звіт'!U350</f>
        <v>187.10196558541708</v>
      </c>
      <c r="V350" s="41">
        <f>'[2]побудинковий звіт'!V350+'[1]побудинковий звіт'!V350</f>
        <v>107.9445908639935</v>
      </c>
      <c r="W350" s="55">
        <f t="shared" si="332"/>
        <v>-79.157374721423579</v>
      </c>
      <c r="X350" s="41">
        <f>'[2]побудинковий звіт'!X350+'[1]побудинковий звіт'!X350</f>
        <v>6000.5791682466188</v>
      </c>
      <c r="Y350" s="41">
        <f>'[2]побудинковий звіт'!Y350+'[1]побудинковий звіт'!Y350</f>
        <v>5693.1389501105605</v>
      </c>
      <c r="Z350" s="55">
        <f t="shared" si="333"/>
        <v>-307.44021813605832</v>
      </c>
      <c r="AA350" s="41">
        <f>'[2]побудинковий звіт'!AA350+'[1]побудинковий звіт'!AA350</f>
        <v>0</v>
      </c>
      <c r="AB350" s="41">
        <f>'[2]побудинковий звіт'!AB350+'[1]побудинковий звіт'!AB350</f>
        <v>0</v>
      </c>
      <c r="AC350" s="55">
        <f t="shared" si="334"/>
        <v>0</v>
      </c>
      <c r="AD350" s="41">
        <f>'[2]побудинковий звіт'!AD350+'[1]побудинковий звіт'!AD350</f>
        <v>13055.537920739725</v>
      </c>
      <c r="AE350" s="41">
        <f>'[2]побудинковий звіт'!AE350+'[1]побудинковий звіт'!AE350</f>
        <v>13013.263862968843</v>
      </c>
      <c r="AF350" s="36">
        <f t="shared" si="335"/>
        <v>-42.274057770882791</v>
      </c>
      <c r="AG350" s="84">
        <f t="shared" si="336"/>
        <v>34595.969345770078</v>
      </c>
      <c r="AH350" s="56">
        <f t="shared" si="337"/>
        <v>34555.462305114008</v>
      </c>
      <c r="AI350" s="55">
        <f t="shared" si="338"/>
        <v>-40.507040656069876</v>
      </c>
      <c r="AJ350" s="41">
        <f>'[2]побудинковий звіт'!AJ350+'[1]побудинковий звіт'!AJ350</f>
        <v>0</v>
      </c>
      <c r="AK350" s="41">
        <f>'[2]побудинковий звіт'!AK350+'[1]побудинковий звіт'!AK350</f>
        <v>0</v>
      </c>
      <c r="AL350" s="55">
        <f t="shared" si="339"/>
        <v>0</v>
      </c>
      <c r="AM350" s="41">
        <f>'[2]побудинковий звіт'!AM350+'[1]побудинковий звіт'!AM350</f>
        <v>0</v>
      </c>
      <c r="AN350" s="41">
        <f>'[2]побудинковий звіт'!AN350+'[1]побудинковий звіт'!AN350</f>
        <v>0</v>
      </c>
      <c r="AO350" s="55">
        <f t="shared" si="340"/>
        <v>0</v>
      </c>
      <c r="AP350" s="41">
        <f>'[2]побудинковий звіт'!AP350+'[1]побудинковий звіт'!AP350</f>
        <v>7280.8948803532494</v>
      </c>
      <c r="AQ350" s="41">
        <f>'[2]побудинковий звіт'!AQ350+'[1]побудинковий звіт'!AQ350</f>
        <v>7268.5856266600968</v>
      </c>
      <c r="AR350" s="55">
        <f t="shared" si="341"/>
        <v>-12.309253693152641</v>
      </c>
      <c r="AS350" s="41">
        <f>'[2]побудинковий звіт'!AS350+'[1]побудинковий звіт'!AS350</f>
        <v>35408.278637550116</v>
      </c>
      <c r="AT350" s="41">
        <f>'[2]побудинковий звіт'!AT350+'[1]побудинковий звіт'!AT350</f>
        <v>471.71346458799536</v>
      </c>
      <c r="AU350" s="57">
        <f t="shared" si="342"/>
        <v>-34936.565172962124</v>
      </c>
      <c r="AV350" s="41">
        <f>'[2]побудинковий звіт'!AV350+'[1]побудинковий звіт'!AV350</f>
        <v>1505.322871474561</v>
      </c>
      <c r="AW350" s="41">
        <f>'[2]побудинковий звіт'!AW350+'[1]побудинковий звіт'!AW350</f>
        <v>0</v>
      </c>
      <c r="AX350" s="58">
        <f t="shared" si="343"/>
        <v>-1505.322871474561</v>
      </c>
      <c r="AY350" s="41">
        <f>'[2]побудинковий звіт'!AY350+'[1]побудинковий звіт'!AY350</f>
        <v>2324.7890410270506</v>
      </c>
      <c r="AZ350" s="41">
        <f>'[2]побудинковий звіт'!AZ350+'[1]побудинковий звіт'!AZ350</f>
        <v>0</v>
      </c>
      <c r="BA350" s="36">
        <f t="shared" si="344"/>
        <v>-2324.7890410270506</v>
      </c>
      <c r="BB350" s="41">
        <f>'[2]побудинковий звіт'!BB350+'[1]побудинковий звіт'!BB350</f>
        <v>2153.8111923183874</v>
      </c>
      <c r="BC350" s="41">
        <f>'[2]побудинковий звіт'!BC350+'[1]побудинковий звіт'!BC350</f>
        <v>0</v>
      </c>
      <c r="BD350" s="58">
        <f t="shared" si="345"/>
        <v>-2153.8111923183874</v>
      </c>
      <c r="BE350" s="41">
        <f>'[2]побудинковий звіт'!BE350+'[1]побудинковий звіт'!BE350</f>
        <v>0</v>
      </c>
      <c r="BF350" s="41">
        <f>'[2]побудинковий звіт'!BF350+'[1]побудинковий звіт'!BF350</f>
        <v>0</v>
      </c>
      <c r="BG350" s="38">
        <f t="shared" si="346"/>
        <v>0</v>
      </c>
      <c r="BH350" s="41">
        <f>'[2]побудинковий звіт'!BH350+'[1]побудинковий звіт'!BH350</f>
        <v>110.27308797143304</v>
      </c>
      <c r="BI350" s="41">
        <f>'[2]побудинковий звіт'!BI350+'[1]побудинковий звіт'!BI350</f>
        <v>0</v>
      </c>
      <c r="BJ350" s="58">
        <f t="shared" si="347"/>
        <v>-110.27308797143304</v>
      </c>
      <c r="BK350" s="41">
        <f>'[2]побудинковий звіт'!BK350+'[1]побудинковий звіт'!BK350</f>
        <v>950.01158549916499</v>
      </c>
      <c r="BL350" s="41">
        <f>'[2]побудинковий звіт'!BL350+'[1]побудинковий звіт'!BL350</f>
        <v>0</v>
      </c>
      <c r="BM350" s="38">
        <f t="shared" si="348"/>
        <v>-950.01158549916499</v>
      </c>
      <c r="BN350" s="41">
        <f>'[2]побудинковий звіт'!BN350+'[1]побудинковий звіт'!BN350</f>
        <v>43.636878277800861</v>
      </c>
      <c r="BO350" s="41">
        <f>'[2]побудинковий звіт'!BO350+'[1]побудинковий звіт'!BO350</f>
        <v>0</v>
      </c>
      <c r="BP350" s="58">
        <f t="shared" si="349"/>
        <v>-43.636878277800861</v>
      </c>
      <c r="BQ350" s="84">
        <f t="shared" si="350"/>
        <v>7087.8446565683971</v>
      </c>
      <c r="BR350" s="42">
        <f t="shared" si="351"/>
        <v>0</v>
      </c>
      <c r="BS350" s="58">
        <f t="shared" si="352"/>
        <v>-7087.8446565683971</v>
      </c>
      <c r="BT350" s="41">
        <f>'[2]побудинковий звіт'!BT350+'[1]побудинковий звіт'!BT350</f>
        <v>28667.134453989202</v>
      </c>
      <c r="BU350" s="41">
        <f>'[2]побудинковий звіт'!BU350+'[1]побудинковий звіт'!BU350</f>
        <v>42649.816140188996</v>
      </c>
      <c r="BV350" s="55">
        <f t="shared" si="353"/>
        <v>13982.681686199794</v>
      </c>
      <c r="BW350" s="41">
        <f>'[2]побудинковий звіт'!BW350+'[1]побудинковий звіт'!BW350</f>
        <v>13824.25200140406</v>
      </c>
      <c r="BX350" s="41">
        <f>'[2]побудинковий звіт'!BX350+'[1]побудинковий звіт'!BX350</f>
        <v>17199.83597555117</v>
      </c>
      <c r="BY350" s="55">
        <f t="shared" si="354"/>
        <v>3375.58397414711</v>
      </c>
      <c r="BZ350" s="41">
        <f>'[2]побудинковий звіт'!BZ350+'[1]побудинковий звіт'!BZ350</f>
        <v>10541.913495535951</v>
      </c>
      <c r="CA350" s="41">
        <f>'[2]побудинковий звіт'!CA350+'[1]побудинковий звіт'!CA350</f>
        <v>3603.0396763688459</v>
      </c>
      <c r="CB350" s="55">
        <f t="shared" si="355"/>
        <v>-6938.8738191671055</v>
      </c>
      <c r="CC350" s="41">
        <f>'[2]побудинковий звіт'!CC350+'[1]побудинковий звіт'!CC350</f>
        <v>546.58773758965219</v>
      </c>
      <c r="CD350" s="41">
        <f>'[2]побудинковий звіт'!CD350+'[1]побудинковий звіт'!CD350</f>
        <v>548.44115563941671</v>
      </c>
      <c r="CE350" s="55">
        <f t="shared" si="356"/>
        <v>1.8534180497645139</v>
      </c>
      <c r="CF350" s="41">
        <f>'[2]побудинковий звіт'!CF350+'[1]побудинковий звіт'!CF350</f>
        <v>67.719315472309773</v>
      </c>
      <c r="CG350" s="41">
        <f>'[2]побудинковий звіт'!CG350+'[1]побудинковий звіт'!CG350</f>
        <v>0</v>
      </c>
      <c r="CH350" s="55">
        <f t="shared" si="357"/>
        <v>-67.719315472309773</v>
      </c>
      <c r="CI350" s="41">
        <f>'[2]побудинковий звіт'!CI350+'[1]побудинковий звіт'!CI350</f>
        <v>3979.7176696003471</v>
      </c>
      <c r="CJ350" s="41">
        <f>'[2]побудинковий звіт'!CJ350+'[1]побудинковий звіт'!CJ350</f>
        <v>2951.5442770881045</v>
      </c>
      <c r="CK350" s="55">
        <f t="shared" si="358"/>
        <v>-1028.1733925122426</v>
      </c>
      <c r="CL350" s="41">
        <f>'[2]побудинковий звіт'!CL350+'[1]побудинковий звіт'!CL350</f>
        <v>0</v>
      </c>
      <c r="CM350" s="41">
        <f>'[2]побудинковий звіт'!CM350+'[1]побудинковий звіт'!CM350</f>
        <v>0</v>
      </c>
      <c r="CN350" s="55">
        <f t="shared" si="359"/>
        <v>0</v>
      </c>
      <c r="CO350" s="41">
        <f t="shared" si="360"/>
        <v>3979.7176696003471</v>
      </c>
      <c r="CP350" s="42">
        <f t="shared" si="361"/>
        <v>2951.5442770881045</v>
      </c>
      <c r="CQ350" s="55">
        <f t="shared" si="362"/>
        <v>-1028.1733925122426</v>
      </c>
      <c r="CR350" s="76">
        <f t="shared" si="363"/>
        <v>142000.31219383338</v>
      </c>
      <c r="CS350" s="5">
        <f t="shared" si="364"/>
        <v>109248.43862119864</v>
      </c>
      <c r="CT350" s="55">
        <f t="shared" si="365"/>
        <v>-32751.873572634737</v>
      </c>
      <c r="CU350" s="84">
        <f t="shared" si="366"/>
        <v>170400.37463260005</v>
      </c>
      <c r="CV350" s="68">
        <f t="shared" si="367"/>
        <v>131098.12634543836</v>
      </c>
      <c r="CW350" s="36">
        <f t="shared" si="368"/>
        <v>-39302.248287161696</v>
      </c>
      <c r="CX350" s="41">
        <f>'[2]побудинковий звіт'!CX350+'[1]побудинковий звіт'!CX350</f>
        <v>8585.2971476256571</v>
      </c>
      <c r="CY350" s="41">
        <f>'[2]побудинковий звіт'!CY350+'[1]побудинковий звіт'!CY350</f>
        <v>47887.54543478736</v>
      </c>
      <c r="CZ350" s="55">
        <f t="shared" si="369"/>
        <v>39302.248287161703</v>
      </c>
      <c r="DA350" s="254">
        <f>'[1]побудинковий звіт'!DA350</f>
        <v>-37891.937522059758</v>
      </c>
      <c r="DB350" s="2">
        <v>2</v>
      </c>
      <c r="DC350" s="702">
        <f>'[1]побудинковий звіт'!DC350</f>
        <v>47555.29</v>
      </c>
      <c r="DD350" s="702">
        <f>'[1]побудинковий звіт'!DD350</f>
        <v>8611.0500000000011</v>
      </c>
      <c r="DE350" s="702">
        <f>'[1]побудинковий звіт'!DE350</f>
        <v>31876.5</v>
      </c>
      <c r="DF350" s="702">
        <f>'[1]побудинковий звіт'!DF350</f>
        <v>4490.9600000000009</v>
      </c>
      <c r="DG350" s="772">
        <v>7256.8740348016145</v>
      </c>
      <c r="DH350" s="746">
        <f t="shared" si="372"/>
        <v>2147828.0613627085</v>
      </c>
      <c r="DI350" s="769"/>
      <c r="DJ350" s="5"/>
      <c r="DK350" s="307">
        <f>VLOOKUP($A350,ціни!$A$4:$G$401,5)</f>
        <v>4.7845064703142004</v>
      </c>
      <c r="DL350" s="307"/>
      <c r="DM350" s="307">
        <f>VLOOKUP($A350,ціни!$A$4:$G$401,7)</f>
        <v>4.1877423872422943</v>
      </c>
      <c r="DN350" s="29">
        <f>F350*DK350</f>
        <v>11110.246009910714</v>
      </c>
      <c r="DO350" s="29">
        <f>H350*DM350</f>
        <v>2886.6108275261136</v>
      </c>
      <c r="DP350" s="306">
        <f t="shared" si="373"/>
        <v>13996.856837436828</v>
      </c>
      <c r="DQ350" s="101"/>
      <c r="DR350" s="29">
        <f>VLOOKUP(A350,'ДЗ нас '!$A$1:$C$359,2)</f>
        <v>11110.25</v>
      </c>
      <c r="DS350" s="733">
        <f>VLOOKUP(A350,'ДЗ нежит'!$A$1:$D$153,4,0)</f>
        <v>2886.56</v>
      </c>
      <c r="DT350" s="29">
        <f t="shared" si="374"/>
        <v>13996.81</v>
      </c>
      <c r="DU350" s="247">
        <f>VLOOKUP(A350,'новий кошторис с 01.06'!$A$4:$AI$399,35)*1.2</f>
        <v>14123.588188500198</v>
      </c>
      <c r="DV350" s="29">
        <f t="shared" si="375"/>
        <v>-126.77818850019867</v>
      </c>
      <c r="DW350" s="1016">
        <f>'[2]побудинковий звіт'!$DW$9+'[1]побудинковий звіт'!DW350</f>
        <v>1062</v>
      </c>
      <c r="DX350" s="101">
        <f>'[1]побудинковий звіт'!DX350</f>
        <v>0</v>
      </c>
      <c r="DY350" s="5">
        <f t="shared" si="376"/>
        <v>50995.347952942218</v>
      </c>
      <c r="DZ350" s="5">
        <f t="shared" si="377"/>
        <v>566.05615750559446</v>
      </c>
      <c r="EA350" s="737">
        <f t="shared" si="378"/>
        <v>36367.46</v>
      </c>
      <c r="EC350" s="577">
        <f t="shared" si="379"/>
        <v>424899.3436506014</v>
      </c>
      <c r="EE350" s="743">
        <v>-42307</v>
      </c>
      <c r="EF350" s="723">
        <f t="shared" si="380"/>
        <v>-35050.125965198386</v>
      </c>
      <c r="EH350" s="798">
        <v>-3424.5198124293802</v>
      </c>
      <c r="EI350" s="101">
        <f>VLOOKUP(A350,'кошти 01.01.24'!$A$9:$D$352,4,FALSE)</f>
        <v>1410.3107651019436</v>
      </c>
    </row>
    <row r="351" spans="1:139" hidden="1" x14ac:dyDescent="0.3">
      <c r="A351" s="318">
        <v>150000883</v>
      </c>
      <c r="B351" s="43" t="s">
        <v>818</v>
      </c>
      <c r="C351" s="44" t="s">
        <v>331</v>
      </c>
      <c r="D351" s="44" t="s">
        <v>331</v>
      </c>
      <c r="E351" s="39">
        <f t="shared" si="327"/>
        <v>1851.98</v>
      </c>
      <c r="F351" s="205">
        <f>'[1]побудинковий звіт'!F351</f>
        <v>1851.98</v>
      </c>
      <c r="G351" s="29">
        <f>'[1]побудинковий звіт'!G351</f>
        <v>0</v>
      </c>
      <c r="H351" s="148">
        <f>'[1]побудинковий звіт'!H351</f>
        <v>0</v>
      </c>
      <c r="I351" s="41">
        <f>'[2]побудинковий звіт'!I351+'[1]побудинковий звіт'!I351</f>
        <v>6488.6870696047299</v>
      </c>
      <c r="J351" s="41">
        <f>'[2]побудинковий звіт'!J351+'[1]побудинковий звіт'!J351</f>
        <v>6669.7769475267305</v>
      </c>
      <c r="K351" s="55">
        <f t="shared" si="328"/>
        <v>181.0898779220006</v>
      </c>
      <c r="L351" s="41">
        <f>'[2]побудинковий звіт'!L351+'[1]побудинковий звіт'!L351</f>
        <v>1083.1595622095974</v>
      </c>
      <c r="M351" s="41">
        <f>'[2]побудинковий звіт'!M351+'[1]побудинковий звіт'!M351</f>
        <v>1136.3606592501442</v>
      </c>
      <c r="N351" s="55">
        <f t="shared" si="329"/>
        <v>53.201097040546756</v>
      </c>
      <c r="O351" s="41">
        <f>'[2]побудинковий звіт'!O351+'[1]побудинковий звіт'!O351</f>
        <v>2906.1354479290844</v>
      </c>
      <c r="P351" s="41">
        <f>'[2]побудинковий звіт'!P351+'[1]побудинковий звіт'!P351</f>
        <v>2914.4952083464041</v>
      </c>
      <c r="Q351" s="55">
        <f t="shared" si="330"/>
        <v>8.3597604173196487</v>
      </c>
      <c r="R351" s="41">
        <f>'[2]побудинковий звіт'!R351+'[1]побудинковий звіт'!R351</f>
        <v>0</v>
      </c>
      <c r="S351" s="41">
        <f>'[2]побудинковий звіт'!S351+'[1]побудинковий звіт'!S351</f>
        <v>0</v>
      </c>
      <c r="T351" s="55">
        <f t="shared" si="331"/>
        <v>0</v>
      </c>
      <c r="U351" s="41">
        <f>'[2]побудинковий звіт'!U351+'[1]побудинковий звіт'!U351</f>
        <v>140.32647418906288</v>
      </c>
      <c r="V351" s="41">
        <f>'[2]побудинковий звіт'!V351+'[1]побудинковий звіт'!V351</f>
        <v>80.958443147995155</v>
      </c>
      <c r="W351" s="55">
        <f t="shared" si="332"/>
        <v>-59.368031041067724</v>
      </c>
      <c r="X351" s="41">
        <f>'[2]побудинковий звіт'!X351+'[1]побудинковий звіт'!X351</f>
        <v>3398.4534142767607</v>
      </c>
      <c r="Y351" s="41">
        <f>'[2]побудинковий звіт'!Y351+'[1]побудинковий звіт'!Y351</f>
        <v>3168.4290787022119</v>
      </c>
      <c r="Z351" s="55">
        <f t="shared" si="333"/>
        <v>-230.02433557454879</v>
      </c>
      <c r="AA351" s="41">
        <f>'[2]побудинковий звіт'!AA351+'[1]побудинковий звіт'!AA351</f>
        <v>0</v>
      </c>
      <c r="AB351" s="41">
        <f>'[2]побудинковий звіт'!AB351+'[1]побудинковий звіт'!AB351</f>
        <v>0</v>
      </c>
      <c r="AC351" s="55">
        <f t="shared" si="334"/>
        <v>0</v>
      </c>
      <c r="AD351" s="41">
        <f>'[2]побудинковий звіт'!AD351+'[1]побудинковий звіт'!AD351</f>
        <v>8032.4714284871106</v>
      </c>
      <c r="AE351" s="41">
        <f>'[2]побудинковий звіт'!AE351+'[1]побудинковий звіт'!AE351</f>
        <v>8001.2364419475653</v>
      </c>
      <c r="AF351" s="36">
        <f t="shared" si="335"/>
        <v>-31.234986539545389</v>
      </c>
      <c r="AG351" s="84">
        <f t="shared" si="336"/>
        <v>22049.233396696345</v>
      </c>
      <c r="AH351" s="56">
        <f t="shared" si="337"/>
        <v>21971.256778921052</v>
      </c>
      <c r="AI351" s="55">
        <f t="shared" si="338"/>
        <v>-77.976617775293562</v>
      </c>
      <c r="AJ351" s="41">
        <f>'[2]побудинковий звіт'!AJ351+'[1]побудинковий звіт'!AJ351</f>
        <v>0</v>
      </c>
      <c r="AK351" s="41">
        <f>'[2]побудинковий звіт'!AK351+'[1]побудинковий звіт'!AK351</f>
        <v>0</v>
      </c>
      <c r="AL351" s="55">
        <f t="shared" si="339"/>
        <v>0</v>
      </c>
      <c r="AM351" s="41">
        <f>'[2]побудинковий звіт'!AM351+'[1]побудинковий звіт'!AM351</f>
        <v>0</v>
      </c>
      <c r="AN351" s="41">
        <f>'[2]побудинковий звіт'!AN351+'[1]побудинковий звіт'!AN351</f>
        <v>0</v>
      </c>
      <c r="AO351" s="55">
        <f t="shared" si="340"/>
        <v>0</v>
      </c>
      <c r="AP351" s="41">
        <f>'[2]побудинковий звіт'!AP351+'[1]побудинковий звіт'!AP351</f>
        <v>5943.5876574312242</v>
      </c>
      <c r="AQ351" s="41">
        <f>'[2]побудинковий звіт'!AQ351+'[1]побудинковий звіт'!AQ351</f>
        <v>5869.0349743818224</v>
      </c>
      <c r="AR351" s="55">
        <f t="shared" si="341"/>
        <v>-74.552683049401821</v>
      </c>
      <c r="AS351" s="41">
        <f>'[2]побудинковий звіт'!AS351+'[1]побудинковий звіт'!AS351</f>
        <v>21952.458461232814</v>
      </c>
      <c r="AT351" s="41">
        <f>'[2]побудинковий звіт'!AT351+'[1]побудинковий звіт'!AT351</f>
        <v>30044.55621660834</v>
      </c>
      <c r="AU351" s="57">
        <f t="shared" si="342"/>
        <v>8092.0977553755256</v>
      </c>
      <c r="AV351" s="41">
        <f>'[2]побудинковий звіт'!AV351+'[1]побудинковий звіт'!AV351</f>
        <v>1043.6790601650571</v>
      </c>
      <c r="AW351" s="41">
        <f>'[2]побудинковий звіт'!AW351+'[1]побудинковий звіт'!AW351</f>
        <v>0</v>
      </c>
      <c r="AX351" s="58">
        <f t="shared" si="343"/>
        <v>-1043.6790601650571</v>
      </c>
      <c r="AY351" s="41">
        <f>'[2]побудинковий звіт'!AY351+'[1]побудинковий звіт'!AY351</f>
        <v>1298.911802162972</v>
      </c>
      <c r="AZ351" s="41">
        <f>'[2]побудинковий звіт'!AZ351+'[1]побудинковий звіт'!AZ351</f>
        <v>0</v>
      </c>
      <c r="BA351" s="36">
        <f t="shared" si="344"/>
        <v>-1298.911802162972</v>
      </c>
      <c r="BB351" s="41">
        <f>'[2]побудинковий звіт'!BB351+'[1]побудинковий звіт'!BB351</f>
        <v>1204.7044822185428</v>
      </c>
      <c r="BC351" s="41">
        <f>'[2]побудинковий звіт'!BC351+'[1]побудинковий звіт'!BC351</f>
        <v>0</v>
      </c>
      <c r="BD351" s="58">
        <f t="shared" si="345"/>
        <v>-1204.7044822185428</v>
      </c>
      <c r="BE351" s="41">
        <f>'[2]побудинковий звіт'!BE351+'[1]побудинковий звіт'!BE351</f>
        <v>0</v>
      </c>
      <c r="BF351" s="41">
        <f>'[2]побудинковий звіт'!BF351+'[1]побудинковий звіт'!BF351</f>
        <v>0</v>
      </c>
      <c r="BG351" s="38">
        <f t="shared" si="346"/>
        <v>0</v>
      </c>
      <c r="BH351" s="41">
        <f>'[2]побудинковий звіт'!BH351+'[1]побудинковий звіт'!BH351</f>
        <v>82.704815978574771</v>
      </c>
      <c r="BI351" s="41">
        <f>'[2]побудинковий звіт'!BI351+'[1]побудинковий звіт'!BI351</f>
        <v>0</v>
      </c>
      <c r="BJ351" s="58">
        <f t="shared" si="347"/>
        <v>-82.704815978574771</v>
      </c>
      <c r="BK351" s="41">
        <f>'[2]побудинковий звіт'!BK351+'[1]побудинковий звіт'!BK351</f>
        <v>514.5040582884709</v>
      </c>
      <c r="BL351" s="41">
        <f>'[2]побудинковий звіт'!BL351+'[1]побудинковий звіт'!BL351</f>
        <v>0</v>
      </c>
      <c r="BM351" s="38">
        <f t="shared" si="348"/>
        <v>-514.5040582884709</v>
      </c>
      <c r="BN351" s="41">
        <f>'[2]побудинковий звіт'!BN351+'[1]побудинковий звіт'!BN351</f>
        <v>26.884834424209455</v>
      </c>
      <c r="BO351" s="41">
        <f>'[2]побудинковий звіт'!BO351+'[1]побудинковий звіт'!BO351</f>
        <v>0</v>
      </c>
      <c r="BP351" s="58">
        <f t="shared" si="349"/>
        <v>-26.884834424209455</v>
      </c>
      <c r="BQ351" s="84">
        <f t="shared" si="350"/>
        <v>4171.3890532378273</v>
      </c>
      <c r="BR351" s="42">
        <f t="shared" si="351"/>
        <v>0</v>
      </c>
      <c r="BS351" s="58">
        <f t="shared" si="352"/>
        <v>-4171.3890532378273</v>
      </c>
      <c r="BT351" s="41">
        <f>'[2]побудинковий звіт'!BT351+'[1]побудинковий звіт'!BT351</f>
        <v>26002.824497658625</v>
      </c>
      <c r="BU351" s="41">
        <f>'[2]побудинковий звіт'!BU351+'[1]побудинковий звіт'!BU351</f>
        <v>37926.858293906531</v>
      </c>
      <c r="BV351" s="55">
        <f t="shared" si="353"/>
        <v>11924.033796247906</v>
      </c>
      <c r="BW351" s="41">
        <f>'[2]побудинковий звіт'!BW351+'[1]побудинковий звіт'!BW351</f>
        <v>8380.3877245208278</v>
      </c>
      <c r="BX351" s="41">
        <f>'[2]побудинковий звіт'!BX351+'[1]побудинковий звіт'!BX351</f>
        <v>11421.457912052909</v>
      </c>
      <c r="BY351" s="55">
        <f t="shared" si="354"/>
        <v>3041.070187532081</v>
      </c>
      <c r="BZ351" s="41">
        <f>'[2]побудинковий звіт'!BZ351+'[1]побудинковий звіт'!BZ351</f>
        <v>6763.5179639568505</v>
      </c>
      <c r="CA351" s="41">
        <f>'[2]побудинковий звіт'!CA351+'[1]побудинковий звіт'!CA351</f>
        <v>3657.6076732765227</v>
      </c>
      <c r="CB351" s="55">
        <f t="shared" si="355"/>
        <v>-3105.9102906803278</v>
      </c>
      <c r="CC351" s="41">
        <f>'[2]побудинковий звіт'!CC351+'[1]побудинковий звіт'!CC351</f>
        <v>0</v>
      </c>
      <c r="CD351" s="41">
        <f>'[2]побудинковий звіт'!CD351+'[1]побудинковий звіт'!CD351</f>
        <v>0</v>
      </c>
      <c r="CE351" s="55">
        <f t="shared" si="356"/>
        <v>0</v>
      </c>
      <c r="CF351" s="41">
        <f>'[2]побудинковий звіт'!CF351+'[1]побудинковий звіт'!CF351</f>
        <v>0</v>
      </c>
      <c r="CG351" s="41">
        <f>'[2]побудинковий звіт'!CG351+'[1]побудинковий звіт'!CG351</f>
        <v>0</v>
      </c>
      <c r="CH351" s="55">
        <f t="shared" si="357"/>
        <v>0</v>
      </c>
      <c r="CI351" s="41">
        <f>'[2]побудинковий звіт'!CI351+'[1]побудинковий звіт'!CI351</f>
        <v>526.20070212783855</v>
      </c>
      <c r="CJ351" s="41">
        <f>'[2]побудинковий звіт'!CJ351+'[1]побудинковий звіт'!CJ351</f>
        <v>181.93895978125548</v>
      </c>
      <c r="CK351" s="55">
        <f t="shared" si="358"/>
        <v>-344.26174234658311</v>
      </c>
      <c r="CL351" s="41">
        <f>'[2]побудинковий звіт'!CL351+'[1]побудинковий звіт'!CL351</f>
        <v>0</v>
      </c>
      <c r="CM351" s="41">
        <f>'[2]побудинковий звіт'!CM351+'[1]побудинковий звіт'!CM351</f>
        <v>0</v>
      </c>
      <c r="CN351" s="55">
        <f t="shared" si="359"/>
        <v>0</v>
      </c>
      <c r="CO351" s="41">
        <f t="shared" si="360"/>
        <v>526.20070212783855</v>
      </c>
      <c r="CP351" s="42">
        <f t="shared" si="361"/>
        <v>181.93895978125548</v>
      </c>
      <c r="CQ351" s="55">
        <f t="shared" si="362"/>
        <v>-344.26174234658311</v>
      </c>
      <c r="CR351" s="76">
        <f t="shared" si="363"/>
        <v>95789.599456862357</v>
      </c>
      <c r="CS351" s="5">
        <f t="shared" si="364"/>
        <v>111072.71080892843</v>
      </c>
      <c r="CT351" s="55">
        <f t="shared" si="365"/>
        <v>15283.111352066073</v>
      </c>
      <c r="CU351" s="84">
        <f t="shared" si="366"/>
        <v>114947.51934823483</v>
      </c>
      <c r="CV351" s="68">
        <f t="shared" si="367"/>
        <v>133287.25297071412</v>
      </c>
      <c r="CW351" s="36">
        <f t="shared" si="368"/>
        <v>18339.733622479296</v>
      </c>
      <c r="CX351" s="41">
        <f>'[2]побудинковий звіт'!CX351+'[1]побудинковий звіт'!CX351</f>
        <v>3004.1814740588015</v>
      </c>
      <c r="CY351" s="41">
        <f>'[2]побудинковий звіт'!CY351+'[1]побудинковий звіт'!CY351</f>
        <v>2724.4478515795054</v>
      </c>
      <c r="CZ351" s="55">
        <f t="shared" si="369"/>
        <v>-279.73362247929617</v>
      </c>
      <c r="DA351" s="254">
        <f>'[1]побудинковий звіт'!DA351</f>
        <v>16586.727632048991</v>
      </c>
      <c r="DB351" s="2">
        <v>2</v>
      </c>
      <c r="DC351" s="702">
        <f>'[1]побудинковий звіт'!DC351</f>
        <v>26348.76</v>
      </c>
      <c r="DD351" s="702">
        <f>'[1]побудинковий звіт'!DD351</f>
        <v>0</v>
      </c>
      <c r="DE351" s="702">
        <f>'[1]побудинковий звіт'!DE351</f>
        <v>13397.099999999999</v>
      </c>
      <c r="DF351" s="702">
        <f>'[1]побудинковий звіт'!DF351</f>
        <v>0</v>
      </c>
      <c r="DG351" s="772">
        <v>43605.571724454756</v>
      </c>
      <c r="DH351" s="746">
        <f t="shared" si="372"/>
        <v>1415420.4098675235</v>
      </c>
      <c r="DI351" s="769"/>
      <c r="DJ351" s="5"/>
      <c r="DK351" s="307">
        <f>VLOOKUP($A351,ціни!$A$4:$G$401,5)</f>
        <v>4.9902955220122482</v>
      </c>
      <c r="DL351" s="307"/>
      <c r="DM351" s="307">
        <f>VLOOKUP($A351,ціни!$A$4:$G$401,7)</f>
        <v>4.5453637618351932</v>
      </c>
      <c r="DN351" s="29">
        <f>F351*DK351</f>
        <v>9241.9275008562436</v>
      </c>
      <c r="DO351" s="29">
        <f>H351*DM351</f>
        <v>0</v>
      </c>
      <c r="DP351" s="306">
        <f t="shared" si="373"/>
        <v>9241.9275008562436</v>
      </c>
      <c r="DQ351" s="101"/>
      <c r="DR351" s="29">
        <f>VLOOKUP(A351,'ДЗ нас '!$A$1:$C$359,2)</f>
        <v>9241.94</v>
      </c>
      <c r="DS351" s="733"/>
      <c r="DT351" s="29">
        <f t="shared" si="374"/>
        <v>9241.94</v>
      </c>
      <c r="DU351" s="247">
        <f>VLOOKUP(A351,'новий кошторис с 01.06'!$A$4:$AI$399,35)*1.2</f>
        <v>9277.96995918844</v>
      </c>
      <c r="DV351" s="29">
        <f t="shared" si="375"/>
        <v>-36.029959188439534</v>
      </c>
      <c r="DW351" s="1016">
        <f>'[2]побудинковий звіт'!$DW$9+'[1]побудинковий звіт'!DW351</f>
        <v>1062</v>
      </c>
      <c r="DX351" s="101">
        <f>'[1]побудинковий звіт'!DX351</f>
        <v>15050</v>
      </c>
      <c r="DY351" s="5">
        <f t="shared" si="376"/>
        <v>31348.61701736477</v>
      </c>
      <c r="DZ351" s="5">
        <f t="shared" si="377"/>
        <v>36053.467459930005</v>
      </c>
      <c r="EA351" s="737">
        <f t="shared" si="378"/>
        <v>13397.099999999999</v>
      </c>
      <c r="EC351" s="577">
        <f t="shared" si="379"/>
        <v>263429.50153479376</v>
      </c>
      <c r="EE351" s="743">
        <v>6052</v>
      </c>
      <c r="EF351" s="723">
        <f t="shared" si="380"/>
        <v>49657.571724454756</v>
      </c>
      <c r="EH351" s="798">
        <v>36701.128831912705</v>
      </c>
      <c r="EI351" s="101">
        <f>VLOOKUP(A351,'кошти 01.01.24'!$A$9:$D$352,4,FALSE)</f>
        <v>16306.994009569726</v>
      </c>
    </row>
    <row r="352" spans="1:139" hidden="1" x14ac:dyDescent="0.3">
      <c r="A352" s="318">
        <v>150000884</v>
      </c>
      <c r="B352" s="43" t="s">
        <v>819</v>
      </c>
      <c r="C352" s="44" t="s">
        <v>332</v>
      </c>
      <c r="D352" s="44" t="s">
        <v>332</v>
      </c>
      <c r="E352" s="39">
        <f t="shared" si="327"/>
        <v>3396.3</v>
      </c>
      <c r="F352" s="205">
        <f>'[1]побудинковий звіт'!F352</f>
        <v>2555.1</v>
      </c>
      <c r="G352" s="29">
        <f>'[1]побудинковий звіт'!G352</f>
        <v>0</v>
      </c>
      <c r="H352" s="148">
        <f>'[1]побудинковий звіт'!H352</f>
        <v>841.2</v>
      </c>
      <c r="I352" s="41">
        <f>'[2]побудинковий звіт'!I352+'[1]побудинковий звіт'!I352</f>
        <v>11557.159592866214</v>
      </c>
      <c r="J352" s="41">
        <f>'[2]побудинковий звіт'!J352+'[1]побудинковий звіт'!J352</f>
        <v>11890.583502815343</v>
      </c>
      <c r="K352" s="55">
        <f t="shared" si="328"/>
        <v>333.42390994912967</v>
      </c>
      <c r="L352" s="41">
        <f>'[2]побудинковий звіт'!L352+'[1]побудинковий звіт'!L352</f>
        <v>2347.63500845728</v>
      </c>
      <c r="M352" s="41">
        <f>'[2]побудинковий звіт'!M352+'[1]побудинковий звіт'!M352</f>
        <v>2461.5104514856644</v>
      </c>
      <c r="N352" s="55">
        <f t="shared" si="329"/>
        <v>113.87544302838432</v>
      </c>
      <c r="O352" s="41">
        <f>'[2]побудинковий звіт'!O352+'[1]побудинковий звіт'!O352</f>
        <v>4971.7815099835689</v>
      </c>
      <c r="P352" s="41">
        <f>'[2]побудинковий звіт'!P352+'[1]побудинковий звіт'!P352</f>
        <v>4985.9447473511254</v>
      </c>
      <c r="Q352" s="55">
        <f t="shared" si="330"/>
        <v>14.163237367556576</v>
      </c>
      <c r="R352" s="41">
        <f>'[2]побудинковий звіт'!R352+'[1]побудинковий звіт'!R352</f>
        <v>0</v>
      </c>
      <c r="S352" s="41">
        <f>'[2]побудинковий звіт'!S352+'[1]побудинковий звіт'!S352</f>
        <v>0</v>
      </c>
      <c r="T352" s="55">
        <f t="shared" si="331"/>
        <v>0</v>
      </c>
      <c r="U352" s="41">
        <f>'[2]побудинковий звіт'!U352+'[1]побудинковий звіт'!U352</f>
        <v>233.87745698177133</v>
      </c>
      <c r="V352" s="41">
        <f>'[2]побудинковий звіт'!V352+'[1]побудинковий звіт'!V352</f>
        <v>134.93073857999187</v>
      </c>
      <c r="W352" s="55">
        <f t="shared" si="332"/>
        <v>-98.946718401779464</v>
      </c>
      <c r="X352" s="41">
        <f>'[2]побудинковий звіт'!X352+'[1]побудинковий звіт'!X352</f>
        <v>7905.2021423364631</v>
      </c>
      <c r="Y352" s="41">
        <f>'[2]побудинковий звіт'!Y352+'[1]побудинковий звіт'!Y352</f>
        <v>7677.6283827157404</v>
      </c>
      <c r="Z352" s="55">
        <f t="shared" si="333"/>
        <v>-227.57375962072274</v>
      </c>
      <c r="AA352" s="41">
        <f>'[2]побудинковий звіт'!AA352+'[1]побудинковий звіт'!AA352</f>
        <v>0</v>
      </c>
      <c r="AB352" s="41">
        <f>'[2]побудинковий звіт'!AB352+'[1]побудинковий звіт'!AB352</f>
        <v>0</v>
      </c>
      <c r="AC352" s="55">
        <f t="shared" si="334"/>
        <v>0</v>
      </c>
      <c r="AD352" s="41">
        <f>'[2]побудинковий звіт'!AD352+'[1]побудинковий звіт'!AD352</f>
        <v>14745.388543327137</v>
      </c>
      <c r="AE352" s="41">
        <f>'[2]побудинковий звіт'!AE352+'[1]побудинковий звіт'!AE352</f>
        <v>14673.521187202005</v>
      </c>
      <c r="AF352" s="36">
        <f t="shared" si="335"/>
        <v>-71.867356125132574</v>
      </c>
      <c r="AG352" s="84">
        <f t="shared" si="336"/>
        <v>41761.044253952437</v>
      </c>
      <c r="AH352" s="56">
        <f t="shared" si="337"/>
        <v>41824.119010149865</v>
      </c>
      <c r="AI352" s="55">
        <f t="shared" si="338"/>
        <v>63.074756197427632</v>
      </c>
      <c r="AJ352" s="41">
        <f>'[2]побудинковий звіт'!AJ352+'[1]побудинковий звіт'!AJ352</f>
        <v>0</v>
      </c>
      <c r="AK352" s="41">
        <f>'[2]побудинковий звіт'!AK352+'[1]побудинковий звіт'!AK352</f>
        <v>0</v>
      </c>
      <c r="AL352" s="55">
        <f t="shared" si="339"/>
        <v>0</v>
      </c>
      <c r="AM352" s="41">
        <f>'[2]побудинковий звіт'!AM352+'[1]побудинковий звіт'!AM352</f>
        <v>0</v>
      </c>
      <c r="AN352" s="41">
        <f>'[2]побудинковий звіт'!AN352+'[1]побудинковий звіт'!AN352</f>
        <v>0</v>
      </c>
      <c r="AO352" s="55">
        <f t="shared" si="340"/>
        <v>0</v>
      </c>
      <c r="AP352" s="41">
        <f>'[2]побудинковий звіт'!AP352+'[1]побудинковий звіт'!AP352</f>
        <v>9509.740251889958</v>
      </c>
      <c r="AQ352" s="41">
        <f>'[2]побудинковий звіт'!AQ352+'[1]побудинковий звіт'!AQ352</f>
        <v>10140.301364198987</v>
      </c>
      <c r="AR352" s="55">
        <f t="shared" si="341"/>
        <v>630.56111230902934</v>
      </c>
      <c r="AS352" s="41">
        <f>'[2]побудинковий звіт'!AS352+'[1]побудинковий звіт'!AS352</f>
        <v>45382.193554399797</v>
      </c>
      <c r="AT352" s="41">
        <f>'[2]побудинковий звіт'!AT352+'[1]побудинковий звіт'!AT352</f>
        <v>16212.152188838783</v>
      </c>
      <c r="AU352" s="57">
        <f t="shared" si="342"/>
        <v>-29170.041365561014</v>
      </c>
      <c r="AV352" s="41">
        <f>'[2]побудинковий звіт'!AV352+'[1]побудинковий звіт'!AV352</f>
        <v>1927.6229454044585</v>
      </c>
      <c r="AW352" s="41">
        <f>'[2]побудинковий звіт'!AW352+'[1]побудинковий звіт'!AW352</f>
        <v>4108.5479215509022</v>
      </c>
      <c r="AX352" s="58">
        <f t="shared" si="343"/>
        <v>2180.9249761464434</v>
      </c>
      <c r="AY352" s="41">
        <f>'[2]побудинковий звіт'!AY352+'[1]побудинковий звіт'!AY352</f>
        <v>3055.8091198359066</v>
      </c>
      <c r="AZ352" s="41">
        <f>'[2]побудинковий звіт'!AZ352+'[1]побудинковий звіт'!AZ352</f>
        <v>0</v>
      </c>
      <c r="BA352" s="36">
        <f t="shared" si="344"/>
        <v>-3055.8091198359066</v>
      </c>
      <c r="BB352" s="41">
        <f>'[2]побудинковий звіт'!BB352+'[1]побудинковий звіт'!BB352</f>
        <v>2268.8772186194051</v>
      </c>
      <c r="BC352" s="41">
        <f>'[2]побудинковий звіт'!BC352+'[1]побудинковий звіт'!BC352</f>
        <v>0</v>
      </c>
      <c r="BD352" s="58">
        <f t="shared" si="345"/>
        <v>-2268.8772186194051</v>
      </c>
      <c r="BE352" s="41">
        <f>'[2]побудинковий звіт'!BE352+'[1]побудинковий звіт'!BE352</f>
        <v>0</v>
      </c>
      <c r="BF352" s="41">
        <f>'[2]побудинковий звіт'!BF352+'[1]побудинковий звіт'!BF352</f>
        <v>0</v>
      </c>
      <c r="BG352" s="38">
        <f t="shared" si="346"/>
        <v>0</v>
      </c>
      <c r="BH352" s="41">
        <f>'[2]побудинковий звіт'!BH352+'[1]побудинковий звіт'!BH352</f>
        <v>137.84135996429129</v>
      </c>
      <c r="BI352" s="41">
        <f>'[2]побудинковий звіт'!BI352+'[1]побудинковий звіт'!BI352</f>
        <v>0</v>
      </c>
      <c r="BJ352" s="58">
        <f t="shared" si="347"/>
        <v>-137.84135996429129</v>
      </c>
      <c r="BK352" s="41">
        <f>'[2]побудинковий звіт'!BK352+'[1]побудинковий звіт'!BK352</f>
        <v>1385.1244598998801</v>
      </c>
      <c r="BL352" s="41">
        <f>'[2]побудинковий звіт'!BL352+'[1]побудинковий звіт'!BL352</f>
        <v>3776.9009983670144</v>
      </c>
      <c r="BM352" s="38">
        <f t="shared" si="348"/>
        <v>2391.7765384671343</v>
      </c>
      <c r="BN352" s="41">
        <f>'[2]побудинковий звіт'!BN352+'[1]побудинковий звіт'!BN352</f>
        <v>101.86121047305494</v>
      </c>
      <c r="BO352" s="41">
        <f>'[2]побудинковий звіт'!BO352+'[1]побудинковий звіт'!BO352</f>
        <v>0</v>
      </c>
      <c r="BP352" s="58">
        <f t="shared" si="349"/>
        <v>-101.86121047305494</v>
      </c>
      <c r="BQ352" s="84">
        <f t="shared" si="350"/>
        <v>8877.1363141969941</v>
      </c>
      <c r="BR352" s="42">
        <f t="shared" si="351"/>
        <v>7885.448919917917</v>
      </c>
      <c r="BS352" s="58">
        <f t="shared" si="352"/>
        <v>-991.68739427907713</v>
      </c>
      <c r="BT352" s="41">
        <f>'[2]побудинковий звіт'!BT352+'[1]побудинковий звіт'!BT352</f>
        <v>18362.548421927924</v>
      </c>
      <c r="BU352" s="41">
        <f>'[2]побудинковий звіт'!BU352+'[1]побудинковий звіт'!BU352</f>
        <v>38107.355941105459</v>
      </c>
      <c r="BV352" s="55">
        <f t="shared" si="353"/>
        <v>19744.807519177535</v>
      </c>
      <c r="BW352" s="41">
        <f>'[2]побудинковий звіт'!BW352+'[1]побудинковий звіт'!BW352</f>
        <v>22044.909231411897</v>
      </c>
      <c r="BX352" s="41">
        <f>'[2]побудинковий звіт'!BX352+'[1]побудинковий звіт'!BX352</f>
        <v>28538.991085678463</v>
      </c>
      <c r="BY352" s="55">
        <f t="shared" si="354"/>
        <v>6494.0818542665656</v>
      </c>
      <c r="BZ352" s="41">
        <f>'[2]побудинковий звіт'!BZ352+'[1]побудинковий звіт'!BZ352</f>
        <v>11722.67366330502</v>
      </c>
      <c r="CA352" s="41">
        <f>'[2]побудинковий звіт'!CA352+'[1]побудинковий звіт'!CA352</f>
        <v>3645.2222256308055</v>
      </c>
      <c r="CB352" s="55">
        <f t="shared" si="355"/>
        <v>-8077.4514376742154</v>
      </c>
      <c r="CC352" s="41">
        <f>'[2]побудинковий звіт'!CC352+'[1]побудинковий звіт'!CC352</f>
        <v>726.74794159964927</v>
      </c>
      <c r="CD352" s="41">
        <f>'[2]побудинковий звіт'!CD352+'[1]побудинковий звіт'!CD352</f>
        <v>729.2122628054816</v>
      </c>
      <c r="CE352" s="55">
        <f t="shared" si="356"/>
        <v>2.4643212058323343</v>
      </c>
      <c r="CF352" s="41">
        <f>'[2]побудинковий звіт'!CF352+'[1]побудинковий звіт'!CF352</f>
        <v>90.040207164300114</v>
      </c>
      <c r="CG352" s="41">
        <f>'[2]побудинковий звіт'!CG352+'[1]побудинковий звіт'!CG352</f>
        <v>0</v>
      </c>
      <c r="CH352" s="55">
        <f t="shared" si="357"/>
        <v>-90.040207164300114</v>
      </c>
      <c r="CI352" s="41">
        <f>'[2]побудинковий звіт'!CI352+'[1]побудинковий звіт'!CI352</f>
        <v>5935.0440007880643</v>
      </c>
      <c r="CJ352" s="41">
        <f>'[2]побудинковий звіт'!CJ352+'[1]побудинковий звіт'!CJ352</f>
        <v>5226.3254863704069</v>
      </c>
      <c r="CK352" s="55">
        <f t="shared" si="358"/>
        <v>-708.71851441765739</v>
      </c>
      <c r="CL352" s="41">
        <f>'[2]побудинковий звіт'!CL352+'[1]побудинковий звіт'!CL352</f>
        <v>0</v>
      </c>
      <c r="CM352" s="41">
        <f>'[2]побудинковий звіт'!CM352+'[1]побудинковий звіт'!CM352</f>
        <v>0</v>
      </c>
      <c r="CN352" s="55">
        <f t="shared" si="359"/>
        <v>0</v>
      </c>
      <c r="CO352" s="41">
        <f t="shared" si="360"/>
        <v>5935.0440007880643</v>
      </c>
      <c r="CP352" s="42">
        <f t="shared" si="361"/>
        <v>5226.3254863704069</v>
      </c>
      <c r="CQ352" s="55">
        <f t="shared" si="362"/>
        <v>-708.71851441765739</v>
      </c>
      <c r="CR352" s="76">
        <f t="shared" si="363"/>
        <v>164412.07784063605</v>
      </c>
      <c r="CS352" s="5">
        <f t="shared" si="364"/>
        <v>152309.12848469621</v>
      </c>
      <c r="CT352" s="55">
        <f t="shared" si="365"/>
        <v>-12102.94935593984</v>
      </c>
      <c r="CU352" s="84">
        <f t="shared" si="366"/>
        <v>197294.49340876326</v>
      </c>
      <c r="CV352" s="68">
        <f t="shared" si="367"/>
        <v>182770.95418163543</v>
      </c>
      <c r="CW352" s="36">
        <f t="shared" si="368"/>
        <v>-14523.539227127825</v>
      </c>
      <c r="CX352" s="41">
        <f>'[2]побудинковий звіт'!CX352+'[1]побудинковий звіт'!CX352</f>
        <v>1825.9527726434173</v>
      </c>
      <c r="CY352" s="41">
        <f>'[2]побудинковий звіт'!CY352+'[1]побудинковий звіт'!CY352</f>
        <v>16349.491999771282</v>
      </c>
      <c r="CZ352" s="55">
        <f t="shared" si="369"/>
        <v>14523.539227127865</v>
      </c>
      <c r="DA352" s="254">
        <f>'[1]побудинковий звіт'!DA352</f>
        <v>-49030.490556244418</v>
      </c>
      <c r="DB352" s="2">
        <v>2</v>
      </c>
      <c r="DC352" s="702">
        <f>'[1]побудинковий звіт'!DC352</f>
        <v>36941.89</v>
      </c>
      <c r="DD352" s="702">
        <f>'[1]побудинковий звіт'!DD352</f>
        <v>3911.71</v>
      </c>
      <c r="DE352" s="702">
        <f>'[1]побудинковий звіт'!DE352</f>
        <v>19715.7</v>
      </c>
      <c r="DF352" s="702">
        <f>'[1]побудинковий звіт'!DF352</f>
        <v>-824.83999999999924</v>
      </c>
      <c r="DG352" s="772">
        <v>33336.06155793817</v>
      </c>
      <c r="DH352" s="746">
        <f t="shared" si="372"/>
        <v>2389445.3541768799</v>
      </c>
      <c r="DI352" s="769"/>
      <c r="DJ352" s="5"/>
      <c r="DK352" s="307">
        <f>VLOOKUP($A352,ціни!$A$4:$G$401,5)</f>
        <v>4.7928717224484174</v>
      </c>
      <c r="DL352" s="307"/>
      <c r="DM352" s="307">
        <f>VLOOKUP($A352,ціни!$A$4:$G$401,7)</f>
        <v>3.9668603481678271</v>
      </c>
      <c r="DN352" s="29">
        <f>F352*DK352</f>
        <v>12246.26653802795</v>
      </c>
      <c r="DO352" s="29">
        <f>H352*DM352</f>
        <v>3336.9229248787765</v>
      </c>
      <c r="DP352" s="306">
        <f t="shared" si="373"/>
        <v>15583.189462906726</v>
      </c>
      <c r="DQ352" s="101"/>
      <c r="DR352" s="29">
        <f>VLOOKUP(A352,'ДЗ нас '!$A$1:$C$359,2)</f>
        <v>12246.35</v>
      </c>
      <c r="DS352" s="733">
        <f>VLOOKUP(A352,'ДЗ нежит'!$A$1:$D$153,4,0)</f>
        <v>3336.95</v>
      </c>
      <c r="DT352" s="29">
        <f t="shared" si="374"/>
        <v>15583.3</v>
      </c>
      <c r="DU352" s="247">
        <f>VLOOKUP(A352,'новий кошторис с 01.06'!$A$4:$AI$399,35)*1.2</f>
        <v>15599.255247316807</v>
      </c>
      <c r="DV352" s="29">
        <f t="shared" si="375"/>
        <v>-15.9552473168078</v>
      </c>
      <c r="DW352" s="1016">
        <f>'[2]побудинковий звіт'!$DW$9+'[1]побудинковий звіт'!DW352</f>
        <v>1062</v>
      </c>
      <c r="DX352" s="101">
        <f>'[1]побудинковий звіт'!DX352</f>
        <v>0</v>
      </c>
      <c r="DY352" s="5">
        <f t="shared" si="376"/>
        <v>65111.195842316141</v>
      </c>
      <c r="DZ352" s="5">
        <f t="shared" si="377"/>
        <v>28917.121330508042</v>
      </c>
      <c r="EA352" s="737">
        <f t="shared" si="378"/>
        <v>18890.86</v>
      </c>
      <c r="EC352" s="577">
        <f t="shared" si="379"/>
        <v>544586.32265279756</v>
      </c>
      <c r="EE352" s="743">
        <v>49128</v>
      </c>
      <c r="EF352" s="723">
        <f t="shared" si="380"/>
        <v>82464.06155793817</v>
      </c>
      <c r="EH352" s="798">
        <v>3846.9263859946259</v>
      </c>
      <c r="EI352" s="101">
        <f>VLOOKUP(A352,'кошти 01.01.24'!$A$9:$D$352,4,FALSE)</f>
        <v>-34506.951329116579</v>
      </c>
    </row>
    <row r="353" spans="1:139" hidden="1" x14ac:dyDescent="0.3">
      <c r="A353" s="318">
        <v>150000885</v>
      </c>
      <c r="B353" s="47" t="s">
        <v>820</v>
      </c>
      <c r="C353" s="48" t="s">
        <v>238</v>
      </c>
      <c r="D353" s="48" t="s">
        <v>238</v>
      </c>
      <c r="E353" s="503">
        <f t="shared" si="327"/>
        <v>1494.66</v>
      </c>
      <c r="F353" s="205">
        <f>'[1]побудинковий звіт'!F353</f>
        <v>1448.46</v>
      </c>
      <c r="G353" s="29">
        <f>'[1]побудинковий звіт'!G353</f>
        <v>0</v>
      </c>
      <c r="H353" s="148">
        <f>'[1]побудинковий звіт'!H353</f>
        <v>46.2</v>
      </c>
      <c r="I353" s="41">
        <f>'[2]побудинковий звіт'!I353+'[1]побудинковий звіт'!I353</f>
        <v>5568.5191900885529</v>
      </c>
      <c r="J353" s="41">
        <f>'[2]побудинковий звіт'!J353+'[1]побудинковий звіт'!J353</f>
        <v>5713.1434592394635</v>
      </c>
      <c r="K353" s="59">
        <f t="shared" si="328"/>
        <v>144.62426915091055</v>
      </c>
      <c r="L353" s="41">
        <f>'[2]побудинковий звіт'!L353+'[1]побудинковий звіт'!L353</f>
        <v>970.54616059416981</v>
      </c>
      <c r="M353" s="41">
        <f>'[2]побудинковий звіт'!M353+'[1]побудинковий звіт'!M353</f>
        <v>1016.4713689684902</v>
      </c>
      <c r="N353" s="59">
        <f t="shared" si="329"/>
        <v>45.925208374320391</v>
      </c>
      <c r="O353" s="41">
        <f>'[2]побудинковий звіт'!O353+'[1]побудинковий звіт'!O353</f>
        <v>2307.2775517901737</v>
      </c>
      <c r="P353" s="41">
        <f>'[2]побудинковий звіт'!P353+'[1]побудинковий звіт'!P353</f>
        <v>2314.0558439896568</v>
      </c>
      <c r="Q353" s="59">
        <f t="shared" si="330"/>
        <v>6.7782921994830758</v>
      </c>
      <c r="R353" s="41">
        <f>'[2]побудинковий звіт'!R353+'[1]побудинковий звіт'!R353</f>
        <v>0</v>
      </c>
      <c r="S353" s="41">
        <f>'[2]побудинковий звіт'!S353+'[1]побудинковий звіт'!S353</f>
        <v>0</v>
      </c>
      <c r="T353" s="59">
        <f t="shared" si="331"/>
        <v>0</v>
      </c>
      <c r="U353" s="41">
        <f>'[2]побудинковий звіт'!U353+'[1]побудинковий звіт'!U353</f>
        <v>112.26117935125026</v>
      </c>
      <c r="V353" s="41">
        <f>'[2]побудинковий звіт'!V353+'[1]побудинковий звіт'!V353</f>
        <v>64.766754518396098</v>
      </c>
      <c r="W353" s="59">
        <f t="shared" si="332"/>
        <v>-47.494424832854165</v>
      </c>
      <c r="X353" s="41">
        <f>'[2]побудинковий звіт'!X353+'[1]побудинковий звіт'!X353</f>
        <v>3197.2343990182694</v>
      </c>
      <c r="Y353" s="41">
        <f>'[2]побудинковий звіт'!Y353+'[1]побудинковий звіт'!Y353</f>
        <v>5875.384210227372</v>
      </c>
      <c r="Z353" s="59">
        <f t="shared" si="333"/>
        <v>2678.1498112091026</v>
      </c>
      <c r="AA353" s="41">
        <f>'[2]побудинковий звіт'!AA353+'[1]побудинковий звіт'!AA353</f>
        <v>0</v>
      </c>
      <c r="AB353" s="41">
        <f>'[2]побудинковий звіт'!AB353+'[1]побудинковий звіт'!AB353</f>
        <v>0</v>
      </c>
      <c r="AC353" s="59">
        <f t="shared" si="334"/>
        <v>0</v>
      </c>
      <c r="AD353" s="41">
        <f>'[2]побудинковий звіт'!AD353+'[1]побудинковий звіт'!AD353</f>
        <v>6482.5910695496696</v>
      </c>
      <c r="AE353" s="41">
        <f>'[2]побудинковий звіт'!AE353+'[1]побудинковий звіт'!AE353</f>
        <v>6457.3867199398073</v>
      </c>
      <c r="AF353" s="37">
        <f t="shared" si="335"/>
        <v>-25.20434960986222</v>
      </c>
      <c r="AG353" s="87">
        <f t="shared" si="336"/>
        <v>18638.429550392088</v>
      </c>
      <c r="AH353" s="60">
        <f t="shared" si="337"/>
        <v>21441.208356883188</v>
      </c>
      <c r="AI353" s="59">
        <f t="shared" si="338"/>
        <v>2802.7788064911001</v>
      </c>
      <c r="AJ353" s="41">
        <f>'[2]побудинковий звіт'!AJ353+'[1]побудинковий звіт'!AJ353</f>
        <v>0</v>
      </c>
      <c r="AK353" s="41">
        <f>'[2]побудинковий звіт'!AK353+'[1]побудинковий звіт'!AK353</f>
        <v>0</v>
      </c>
      <c r="AL353" s="59">
        <f t="shared" si="339"/>
        <v>0</v>
      </c>
      <c r="AM353" s="41">
        <f>'[2]побудинковий звіт'!AM353+'[1]побудинковий звіт'!AM353</f>
        <v>0</v>
      </c>
      <c r="AN353" s="41">
        <f>'[2]побудинковий звіт'!AN353+'[1]побудинковий звіт'!AN353</f>
        <v>0</v>
      </c>
      <c r="AO353" s="59">
        <f t="shared" si="340"/>
        <v>0</v>
      </c>
      <c r="AP353" s="41">
        <f>'[2]побудинковий звіт'!AP353+'[1]побудинковий звіт'!AP353</f>
        <v>4754.870125944979</v>
      </c>
      <c r="AQ353" s="41">
        <f>'[2]побудинковий звіт'!AQ353+'[1]побудинковий звіт'!AQ353</f>
        <v>5033.6996983319405</v>
      </c>
      <c r="AR353" s="59">
        <f t="shared" si="341"/>
        <v>278.82957238696144</v>
      </c>
      <c r="AS353" s="41">
        <f>'[2]побудинковий звіт'!AS353+'[1]побудинковий звіт'!AS353</f>
        <v>21503.073654842075</v>
      </c>
      <c r="AT353" s="41">
        <f>'[2]побудинковий звіт'!AT353+'[1]побудинковий звіт'!AT353</f>
        <v>4914.3988304452423</v>
      </c>
      <c r="AU353" s="62">
        <f t="shared" si="342"/>
        <v>-16588.674824396832</v>
      </c>
      <c r="AV353" s="41">
        <f>'[2]побудинковий звіт'!AV353+'[1]побудинковий звіт'!AV353</f>
        <v>917.941316141534</v>
      </c>
      <c r="AW353" s="41">
        <f>'[2]побудинковий звіт'!AW353+'[1]побудинковий звіт'!AW353</f>
        <v>0</v>
      </c>
      <c r="AX353" s="74">
        <f t="shared" si="343"/>
        <v>-917.941316141534</v>
      </c>
      <c r="AY353" s="41">
        <f>'[2]побудинковий звіт'!AY353+'[1]побудинковий звіт'!AY353</f>
        <v>1264.3677482407907</v>
      </c>
      <c r="AZ353" s="41">
        <f>'[2]побудинковий звіт'!AZ353+'[1]побудинковий звіт'!AZ353</f>
        <v>0</v>
      </c>
      <c r="BA353" s="37">
        <f t="shared" si="344"/>
        <v>-1264.3677482407907</v>
      </c>
      <c r="BB353" s="41">
        <f>'[2]побудинковий звіт'!BB353+'[1]побудинковий звіт'!BB353</f>
        <v>935.41557259589661</v>
      </c>
      <c r="BC353" s="41">
        <f>'[2]побудинковий звіт'!BC353+'[1]побудинковий звіт'!BC353</f>
        <v>0</v>
      </c>
      <c r="BD353" s="74">
        <f t="shared" si="345"/>
        <v>-935.41557259589661</v>
      </c>
      <c r="BE353" s="41">
        <f>'[2]побудинковий звіт'!BE353+'[1]побудинковий звіт'!BE353</f>
        <v>0</v>
      </c>
      <c r="BF353" s="41">
        <f>'[2]побудинковий звіт'!BF353+'[1]побудинковий звіт'!BF353</f>
        <v>0</v>
      </c>
      <c r="BG353" s="72">
        <f t="shared" si="346"/>
        <v>0</v>
      </c>
      <c r="BH353" s="41">
        <f>'[2]побудинковий звіт'!BH353+'[1]побудинковий звіт'!BH353</f>
        <v>66.163852782859806</v>
      </c>
      <c r="BI353" s="41">
        <f>'[2]побудинковий звіт'!BI353+'[1]побудинковий звіт'!BI353</f>
        <v>0</v>
      </c>
      <c r="BJ353" s="74">
        <f t="shared" si="347"/>
        <v>-66.163852782859806</v>
      </c>
      <c r="BK353" s="41">
        <f>'[2]побудинковий звіт'!BK353+'[1]побудинковий звіт'!BK353</f>
        <v>474.77313430903837</v>
      </c>
      <c r="BL353" s="41">
        <f>'[2]побудинковий звіт'!BL353+'[1]побудинковий звіт'!BL353</f>
        <v>0</v>
      </c>
      <c r="BM353" s="72">
        <f t="shared" si="348"/>
        <v>-474.77313430903837</v>
      </c>
      <c r="BN353" s="41">
        <f>'[2]побудинковий звіт'!BN353+'[1]побудинковий звіт'!BN353</f>
        <v>42.068334845816658</v>
      </c>
      <c r="BO353" s="41">
        <f>'[2]побудинковий звіт'!BO353+'[1]побудинковий звіт'!BO353</f>
        <v>0</v>
      </c>
      <c r="BP353" s="74">
        <f t="shared" si="349"/>
        <v>-42.068334845816658</v>
      </c>
      <c r="BQ353" s="61">
        <f t="shared" si="350"/>
        <v>3700.7299589159361</v>
      </c>
      <c r="BR353" s="35">
        <f t="shared" si="351"/>
        <v>0</v>
      </c>
      <c r="BS353" s="74">
        <f t="shared" si="352"/>
        <v>-3700.7299589159361</v>
      </c>
      <c r="BT353" s="41">
        <f>'[2]побудинковий звіт'!BT353+'[1]побудинковий звіт'!BT353</f>
        <v>21197.052426393795</v>
      </c>
      <c r="BU353" s="41">
        <f>'[2]побудинковий звіт'!BU353+'[1]побудинковий звіт'!BU353</f>
        <v>29494.927322024196</v>
      </c>
      <c r="BV353" s="59">
        <f t="shared" si="353"/>
        <v>8297.8748956304007</v>
      </c>
      <c r="BW353" s="41">
        <f>'[2]побудинковий звіт'!BW353+'[1]побудинковий звіт'!BW353</f>
        <v>9962.269709108703</v>
      </c>
      <c r="BX353" s="41">
        <f>'[2]побудинковий звіт'!BX353+'[1]побудинковий звіт'!BX353</f>
        <v>12179.328306560259</v>
      </c>
      <c r="BY353" s="59">
        <f t="shared" si="354"/>
        <v>2217.0585974515561</v>
      </c>
      <c r="BZ353" s="41">
        <f>'[2]побудинковий звіт'!BZ353+'[1]побудинковий звіт'!BZ353</f>
        <v>5925.5115796576938</v>
      </c>
      <c r="CA353" s="41">
        <f>'[2]побудинковий звіт'!CA353+'[1]побудинковий звіт'!CA353</f>
        <v>2593.5753795785195</v>
      </c>
      <c r="CB353" s="59">
        <f t="shared" si="355"/>
        <v>-3331.9362000791743</v>
      </c>
      <c r="CC353" s="41">
        <f>'[2]побудинковий звіт'!CC353+'[1]побудинковий звіт'!CC353</f>
        <v>256.49927350575859</v>
      </c>
      <c r="CD353" s="41">
        <f>'[2]побудинковий звіт'!CD353+'[1]побудинковий звіт'!CD353</f>
        <v>257.36903393134639</v>
      </c>
      <c r="CE353" s="59">
        <f t="shared" si="356"/>
        <v>0.86976042558779909</v>
      </c>
      <c r="CF353" s="41">
        <f>'[2]побудинковий звіт'!CF353+'[1]побудинковий звіт'!CF353</f>
        <v>31.778896646223568</v>
      </c>
      <c r="CG353" s="41">
        <f>'[2]побудинковий звіт'!CG353+'[1]побудинковий звіт'!CG353</f>
        <v>0</v>
      </c>
      <c r="CH353" s="59">
        <f t="shared" si="357"/>
        <v>-31.778896646223568</v>
      </c>
      <c r="CI353" s="41">
        <f>'[2]побудинковий звіт'!CI353+'[1]побудинковий звіт'!CI353</f>
        <v>1939.896518610791</v>
      </c>
      <c r="CJ353" s="41">
        <f>'[2]побудинковий звіт'!CJ353+'[1]побудинковий звіт'!CJ353</f>
        <v>2571.3204163526425</v>
      </c>
      <c r="CK353" s="59">
        <f t="shared" si="358"/>
        <v>631.42389774185153</v>
      </c>
      <c r="CL353" s="41">
        <f>'[2]побудинковий звіт'!CL353+'[1]побудинковий звіт'!CL353</f>
        <v>0</v>
      </c>
      <c r="CM353" s="41">
        <f>'[2]побудинковий звіт'!CM353+'[1]побудинковий звіт'!CM353</f>
        <v>0</v>
      </c>
      <c r="CN353" s="59">
        <f t="shared" si="359"/>
        <v>0</v>
      </c>
      <c r="CO353" s="75">
        <f t="shared" si="360"/>
        <v>1939.896518610791</v>
      </c>
      <c r="CP353" s="42">
        <f t="shared" si="361"/>
        <v>2571.3204163526425</v>
      </c>
      <c r="CQ353" s="59">
        <f t="shared" si="362"/>
        <v>631.42389774185153</v>
      </c>
      <c r="CR353" s="73">
        <f t="shared" si="363"/>
        <v>87910.111694018065</v>
      </c>
      <c r="CS353" s="5">
        <f t="shared" si="364"/>
        <v>78485.827344107325</v>
      </c>
      <c r="CT353" s="59">
        <f t="shared" si="365"/>
        <v>-9424.2843499107403</v>
      </c>
      <c r="CU353" s="84">
        <f t="shared" si="366"/>
        <v>105492.13403282168</v>
      </c>
      <c r="CV353" s="68">
        <f t="shared" si="367"/>
        <v>94182.992812928787</v>
      </c>
      <c r="CW353" s="37">
        <f t="shared" si="368"/>
        <v>-11309.141219892888</v>
      </c>
      <c r="CX353" s="41">
        <f>'[2]побудинковий звіт'!CX353+'[1]побудинковий звіт'!CX353</f>
        <v>3180.3225291160898</v>
      </c>
      <c r="CY353" s="41">
        <f>'[2]побудинковий звіт'!CY353+'[1]побудинковий звіт'!CY353</f>
        <v>14489.463749008937</v>
      </c>
      <c r="CZ353" s="59">
        <f t="shared" si="369"/>
        <v>11309.141219892848</v>
      </c>
      <c r="DA353" s="254">
        <f>'[1]побудинковий звіт'!DA353</f>
        <v>-55994.935083890625</v>
      </c>
      <c r="DB353" s="2">
        <v>2</v>
      </c>
      <c r="DC353" s="702">
        <f>'[1]побудинковий звіт'!DC353</f>
        <v>12617.56</v>
      </c>
      <c r="DD353" s="702">
        <f>'[1]побудинковий звіт'!DD353</f>
        <v>0</v>
      </c>
      <c r="DE353" s="702">
        <f>'[1]побудинковий звіт'!DE353</f>
        <v>1022.3299999999999</v>
      </c>
      <c r="DF353" s="702">
        <f>'[1]побудинковий звіт'!DF353</f>
        <v>-328.2</v>
      </c>
      <c r="DG353" s="772">
        <v>-55904.216103311774</v>
      </c>
      <c r="DH353" s="747">
        <f t="shared" si="372"/>
        <v>1304069.4787432533</v>
      </c>
      <c r="DI353" s="769"/>
      <c r="DJ353" s="5"/>
      <c r="DK353" s="307">
        <f>VLOOKUP($A353,ціни!$A$4:$G$401,5)</f>
        <v>5.7187957935822613</v>
      </c>
      <c r="DL353" s="307"/>
      <c r="DM353" s="307">
        <f>VLOOKUP($A353,ціни!$A$4:$G$401,7)</f>
        <v>5.0466959695985496</v>
      </c>
      <c r="DN353" s="29">
        <f>F353*DK353</f>
        <v>8283.4469551721631</v>
      </c>
      <c r="DO353" s="29">
        <f>H353*DM353</f>
        <v>233.15735379545302</v>
      </c>
      <c r="DP353" s="306">
        <f t="shared" si="373"/>
        <v>8516.6043089676168</v>
      </c>
      <c r="DQ353" s="101"/>
      <c r="DR353" s="29">
        <f>VLOOKUP(A353,'ДЗ нас '!$A$1:$C$359,2)</f>
        <v>8283.4599999999991</v>
      </c>
      <c r="DS353" s="733">
        <f>VLOOKUP(A353,'ДЗ нежит'!$A$1:$D$153,4,0)</f>
        <v>233.16</v>
      </c>
      <c r="DT353" s="29">
        <f t="shared" si="374"/>
        <v>8516.619999999999</v>
      </c>
      <c r="DU353" s="247">
        <f>VLOOKUP(A353,'новий кошторис с 01.06'!$A$4:$AI$399,35)*1.2</f>
        <v>8557.8039186893657</v>
      </c>
      <c r="DV353" s="29">
        <f t="shared" si="375"/>
        <v>-41.183918689366692</v>
      </c>
      <c r="DW353" s="1016">
        <f>'[2]побудинковий звіт'!$DW$9+'[1]побудинковий звіт'!DW353</f>
        <v>918</v>
      </c>
      <c r="DX353" s="101">
        <f>'[1]побудинковий звіт'!DX353</f>
        <v>0</v>
      </c>
      <c r="DY353" s="5">
        <f t="shared" si="376"/>
        <v>30244.564336509615</v>
      </c>
      <c r="DZ353" s="5">
        <f t="shared" si="377"/>
        <v>5897.278596534291</v>
      </c>
      <c r="EA353" s="737">
        <f t="shared" si="378"/>
        <v>694.12999999999988</v>
      </c>
      <c r="EC353" s="577">
        <f t="shared" si="379"/>
        <v>258036.88385810491</v>
      </c>
      <c r="EE353" s="743">
        <v>26197</v>
      </c>
      <c r="EF353" s="723">
        <f t="shared" si="380"/>
        <v>-29707.216103311774</v>
      </c>
      <c r="EH353" s="798">
        <v>-27526.684765904767</v>
      </c>
      <c r="EI353" s="101">
        <f>VLOOKUP(A353,'кошти 01.01.24'!$A$9:$D$352,4,FALSE)</f>
        <v>-44685.793863997795</v>
      </c>
    </row>
    <row r="354" spans="1:139" s="4" customFormat="1" ht="24.75" hidden="1" customHeight="1" thickBot="1" x14ac:dyDescent="0.35">
      <c r="A354" s="319"/>
      <c r="B354" s="50"/>
      <c r="C354" s="51" t="s">
        <v>824</v>
      </c>
      <c r="D354" s="51"/>
      <c r="E354" s="193">
        <f t="shared" ref="E354:J354" si="381">SUM(E9:E353)</f>
        <v>994162.49999999988</v>
      </c>
      <c r="F354" s="505">
        <f t="shared" si="381"/>
        <v>939008.44999999972</v>
      </c>
      <c r="G354" s="506">
        <f t="shared" si="381"/>
        <v>51257.040000000008</v>
      </c>
      <c r="H354" s="309">
        <f t="shared" si="381"/>
        <v>55154.05</v>
      </c>
      <c r="I354" s="67">
        <f t="shared" si="381"/>
        <v>3311715.1115615927</v>
      </c>
      <c r="J354" s="65">
        <f t="shared" si="381"/>
        <v>3177354.5507150814</v>
      </c>
      <c r="K354" s="66">
        <f t="shared" si="328"/>
        <v>-134360.56084651127</v>
      </c>
      <c r="L354" s="64">
        <f>SUM(L9:L353)</f>
        <v>622335.04140350374</v>
      </c>
      <c r="M354" s="65">
        <f>SUM(M9:M353)</f>
        <v>627022.25621157314</v>
      </c>
      <c r="N354" s="63">
        <f t="shared" si="329"/>
        <v>4687.2148080694024</v>
      </c>
      <c r="O354" s="67">
        <f>SUM(O9:O353)</f>
        <v>1452074.9707288723</v>
      </c>
      <c r="P354" s="65">
        <f>SUM(P9:P353)</f>
        <v>1456359.9763036193</v>
      </c>
      <c r="Q354" s="66">
        <f t="shared" si="330"/>
        <v>4285.0055747469887</v>
      </c>
      <c r="R354" s="64">
        <f>SUM(R9:R353)</f>
        <v>198052.73422126586</v>
      </c>
      <c r="S354" s="65">
        <f>SUM(S9:S353)</f>
        <v>198562.08235543856</v>
      </c>
      <c r="T354" s="63">
        <f t="shared" si="331"/>
        <v>509.34813417270198</v>
      </c>
      <c r="U354" s="67">
        <f>SUM(U9:U353)</f>
        <v>170840.29028594564</v>
      </c>
      <c r="V354" s="65">
        <f>SUM(V9:V353)</f>
        <v>122655.01149471398</v>
      </c>
      <c r="W354" s="66">
        <f t="shared" si="332"/>
        <v>-48185.278791231656</v>
      </c>
      <c r="X354" s="64">
        <f>SUM(X9:X353)</f>
        <v>2134146.1222038427</v>
      </c>
      <c r="Y354" s="65">
        <f>SUM(Y9:Y353)</f>
        <v>2018202.6880407769</v>
      </c>
      <c r="Z354" s="63">
        <f t="shared" si="333"/>
        <v>-115943.43416306586</v>
      </c>
      <c r="AA354" s="64">
        <f>SUM(AA9:AA353)</f>
        <v>0</v>
      </c>
      <c r="AB354" s="65">
        <f>SUM(AB9:AB353)</f>
        <v>0</v>
      </c>
      <c r="AC354" s="63">
        <f t="shared" si="334"/>
        <v>0</v>
      </c>
      <c r="AD354" s="67">
        <f>SUM(AD9:AD353)</f>
        <v>4276050.2779511781</v>
      </c>
      <c r="AE354" s="65">
        <f>SUM(AE9:AE353)</f>
        <v>4272725.9380343584</v>
      </c>
      <c r="AF354" s="66">
        <f t="shared" si="335"/>
        <v>-3324.3399168197066</v>
      </c>
      <c r="AG354" s="64">
        <f>SUM(AG9:AG353)</f>
        <v>12165214.548356207</v>
      </c>
      <c r="AH354" s="65">
        <f>SUM(AH9:AH353)</f>
        <v>11872882.503155561</v>
      </c>
      <c r="AI354" s="63">
        <f t="shared" si="338"/>
        <v>-292332.04520064592</v>
      </c>
      <c r="AJ354" s="67">
        <f>SUM(AJ9:AJ353)</f>
        <v>5402652.8418001449</v>
      </c>
      <c r="AK354" s="65">
        <f>SUM(AK9:AK353)</f>
        <v>5089658.0648654494</v>
      </c>
      <c r="AL354" s="66">
        <f t="shared" si="339"/>
        <v>-312994.77693469543</v>
      </c>
      <c r="AM354" s="64">
        <f>SUM(AM9:AM353)</f>
        <v>98391.790442063939</v>
      </c>
      <c r="AN354" s="65">
        <f>SUM(AN9:AN353)</f>
        <v>133479.41651030706</v>
      </c>
      <c r="AO354" s="66">
        <f t="shared" si="340"/>
        <v>35087.626068243117</v>
      </c>
      <c r="AP354" s="64">
        <f>SUM(AP9:AP353)</f>
        <v>1580055.5050484759</v>
      </c>
      <c r="AQ354" s="65">
        <f>SUM(AQ9:AQ353)</f>
        <v>1521680.5155787659</v>
      </c>
      <c r="AR354" s="66">
        <f t="shared" si="341"/>
        <v>-58374.989469710039</v>
      </c>
      <c r="AS354" s="64">
        <f>SUM(AS9:AS353)</f>
        <v>16352639.368544394</v>
      </c>
      <c r="AT354" s="65">
        <f>SUM(AT9:AT353)</f>
        <v>11204500.932172565</v>
      </c>
      <c r="AU354" s="63">
        <f t="shared" si="342"/>
        <v>-5148138.4363718294</v>
      </c>
      <c r="AV354" s="64">
        <f>SUM(AV9:AV353)</f>
        <v>421966.92190779053</v>
      </c>
      <c r="AW354" s="65">
        <f>SUM(AW9:AW353)</f>
        <v>244892.87890789806</v>
      </c>
      <c r="AX354" s="63">
        <f t="shared" si="343"/>
        <v>-177074.04299989247</v>
      </c>
      <c r="AY354" s="67">
        <f>SUM(AY9:AY353)</f>
        <v>574133.98984974972</v>
      </c>
      <c r="AZ354" s="65">
        <f>SUM(AZ9:AZ353)</f>
        <v>384304.46552992502</v>
      </c>
      <c r="BA354" s="66">
        <f t="shared" si="344"/>
        <v>-189829.5243198247</v>
      </c>
      <c r="BB354" s="64">
        <f>SUM(BB9:BB353)</f>
        <v>497539.55376403802</v>
      </c>
      <c r="BC354" s="65">
        <f>SUM(BC9:BC353)</f>
        <v>247315.59304122449</v>
      </c>
      <c r="BD354" s="63">
        <f t="shared" si="345"/>
        <v>-250223.96072281353</v>
      </c>
      <c r="BE354" s="67">
        <f>SUM(BE9:BE353)</f>
        <v>96781.425671792575</v>
      </c>
      <c r="BF354" s="65">
        <f>SUM(BF9:BF353)</f>
        <v>103201.87268114887</v>
      </c>
      <c r="BG354" s="66">
        <f t="shared" si="346"/>
        <v>6420.4470093562995</v>
      </c>
      <c r="BH354" s="64">
        <f>SUM(BH9:BH353)</f>
        <v>95370.580491616536</v>
      </c>
      <c r="BI354" s="65">
        <f>SUM(BI9:BI353)</f>
        <v>102762.3376754139</v>
      </c>
      <c r="BJ354" s="63">
        <f t="shared" si="347"/>
        <v>7391.7571837973665</v>
      </c>
      <c r="BK354" s="67">
        <f>SUM(BK9:BK353)</f>
        <v>351678.52569531574</v>
      </c>
      <c r="BL354" s="65">
        <f>SUM(BL9:BL353)</f>
        <v>588315.96175667353</v>
      </c>
      <c r="BM354" s="66">
        <f t="shared" si="348"/>
        <v>236637.43606135779</v>
      </c>
      <c r="BN354" s="64">
        <f>SUM(BN9:BN353)</f>
        <v>57441.739862650022</v>
      </c>
      <c r="BO354" s="65">
        <f>SUM(BO9:BO353)</f>
        <v>586262.44559897098</v>
      </c>
      <c r="BP354" s="63">
        <f t="shared" si="349"/>
        <v>528820.70573632093</v>
      </c>
      <c r="BQ354" s="64">
        <f>SUM(BQ9:BQ353)</f>
        <v>2094912.7372429534</v>
      </c>
      <c r="BR354" s="65">
        <f>SUM(BR9:BR353)</f>
        <v>2257055.5551912547</v>
      </c>
      <c r="BS354" s="63">
        <f t="shared" si="352"/>
        <v>162142.81794830132</v>
      </c>
      <c r="BT354" s="64">
        <f>SUM(BT9:BT353)</f>
        <v>11540743.291122673</v>
      </c>
      <c r="BU354" s="65">
        <f>SUM(BU9:BU353)</f>
        <v>15917350.034858778</v>
      </c>
      <c r="BV354" s="66">
        <f t="shared" si="353"/>
        <v>4376606.743736105</v>
      </c>
      <c r="BW354" s="64">
        <f>SUM(BW9:BW353)</f>
        <v>7623233.8333113128</v>
      </c>
      <c r="BX354" s="65">
        <f>SUM(BX9:BX353)</f>
        <v>8451312.1277017295</v>
      </c>
      <c r="BY354" s="66">
        <f t="shared" si="354"/>
        <v>828078.2943904167</v>
      </c>
      <c r="BZ354" s="64">
        <f>SUM(BZ9:BZ353)</f>
        <v>2854531.3481160784</v>
      </c>
      <c r="CA354" s="65">
        <f>SUM(CA9:CA353)</f>
        <v>1425738.7889488135</v>
      </c>
      <c r="CB354" s="66">
        <f t="shared" si="355"/>
        <v>-1428792.559167265</v>
      </c>
      <c r="CC354" s="64">
        <f>SUM(CC9:CC353)</f>
        <v>341087.99914859264</v>
      </c>
      <c r="CD354" s="65">
        <f>SUM(CD9:CD353)</f>
        <v>342223.90080519114</v>
      </c>
      <c r="CE354" s="66">
        <f t="shared" si="356"/>
        <v>1135.901656598493</v>
      </c>
      <c r="CF354" s="64">
        <f>SUM(CF9:CF353)</f>
        <v>42256.626279358665</v>
      </c>
      <c r="CG354" s="65">
        <f>SUM(CG9:CG353)</f>
        <v>39744.79631349392</v>
      </c>
      <c r="CH354" s="63">
        <f t="shared" si="357"/>
        <v>-2511.8299658647447</v>
      </c>
      <c r="CI354" s="64">
        <f>SUM(CI9:CI353)</f>
        <v>2246886.6537402445</v>
      </c>
      <c r="CJ354" s="65">
        <f>SUM(CJ9:CJ353)</f>
        <v>2041475.9760328296</v>
      </c>
      <c r="CK354" s="66">
        <f t="shared" si="358"/>
        <v>-205410.67770741484</v>
      </c>
      <c r="CL354" s="64">
        <f>SUM(CL9:CL353)</f>
        <v>1357127.753429245</v>
      </c>
      <c r="CM354" s="65">
        <f>SUM(CM9:CM353)</f>
        <v>1881243.2870352964</v>
      </c>
      <c r="CN354" s="63">
        <f t="shared" si="359"/>
        <v>524115.53360605147</v>
      </c>
      <c r="CO354" s="67">
        <f>SUM(CO9:CO353)</f>
        <v>3604014.4071694878</v>
      </c>
      <c r="CP354" s="65">
        <f>SUM(CP9:CP353)</f>
        <v>3922719.2630681256</v>
      </c>
      <c r="CQ354" s="66">
        <f t="shared" si="362"/>
        <v>318704.85589863779</v>
      </c>
      <c r="CR354" s="64">
        <f>SUM(CR9:CR353)</f>
        <v>63699734.29658173</v>
      </c>
      <c r="CS354" s="65">
        <f>SUM(CS9:CS353)</f>
        <v>62178345.899170026</v>
      </c>
      <c r="CT354" s="66">
        <f t="shared" si="365"/>
        <v>-1521388.3974117041</v>
      </c>
      <c r="CU354" s="64">
        <f>SUM(CU9:CU353)</f>
        <v>76439681.155898064</v>
      </c>
      <c r="CV354" s="65">
        <f>SUM(CV9:CV353)</f>
        <v>74614015.079004064</v>
      </c>
      <c r="CW354" s="66">
        <f t="shared" si="368"/>
        <v>-1825666.0768940002</v>
      </c>
      <c r="CX354" s="64">
        <f>SUM(CX9:CX353)</f>
        <v>2311814.0810579555</v>
      </c>
      <c r="CY354" s="65">
        <f>SUM(CY9:CY353)</f>
        <v>4153033.1740372824</v>
      </c>
      <c r="CZ354" s="70">
        <f t="shared" ref="CZ354" si="382">CY354-CX354</f>
        <v>1841219.0929793268</v>
      </c>
      <c r="DA354" s="78">
        <f>SUM(DA9:DA353)</f>
        <v>1146618.60600939</v>
      </c>
      <c r="DB354" s="2"/>
      <c r="DC354" s="703">
        <f t="shared" ref="DC354:DI354" si="383">SUM(DC9:DC353)</f>
        <v>19001342.77999999</v>
      </c>
      <c r="DD354" s="884">
        <f t="shared" si="383"/>
        <v>1480888.2399999998</v>
      </c>
      <c r="DE354" s="704">
        <f t="shared" si="383"/>
        <v>10797995.409999998</v>
      </c>
      <c r="DF354" s="705">
        <f t="shared" si="383"/>
        <v>1131895.4599999997</v>
      </c>
      <c r="DG354" s="773">
        <f t="shared" si="383"/>
        <v>189868.20829644756</v>
      </c>
      <c r="DH354" s="748">
        <f t="shared" si="383"/>
        <v>944600780.96347272</v>
      </c>
      <c r="DI354" s="770">
        <f t="shared" si="383"/>
        <v>0</v>
      </c>
      <c r="DJ354" s="9"/>
      <c r="DK354" s="305"/>
      <c r="DL354" s="305"/>
      <c r="DM354" s="30"/>
      <c r="DN354" s="103">
        <f>SUM(DN9:DN353)</f>
        <v>5865485.3819462666</v>
      </c>
      <c r="DO354" s="103">
        <f>SUM(DO9:DO353)</f>
        <v>247062.47860538471</v>
      </c>
      <c r="DP354" s="567">
        <f t="shared" si="373"/>
        <v>6112547.8605516516</v>
      </c>
      <c r="DQ354" s="101"/>
      <c r="DR354" s="103">
        <f>SUM(DR9:DR353)</f>
        <v>5964865.2599999961</v>
      </c>
      <c r="DS354" s="116">
        <f>SUM(DS9:DS353)</f>
        <v>235820.93</v>
      </c>
      <c r="DT354" s="567">
        <f t="shared" ref="DT354" si="384">DR354+DS354</f>
        <v>6200686.1899999958</v>
      </c>
      <c r="DU354" s="247">
        <f>SUM(DU9:DU353)</f>
        <v>6216498.9686163515</v>
      </c>
      <c r="DV354" s="29">
        <f t="shared" ref="DV354" si="385">DT354-DU354</f>
        <v>-15812.778616355732</v>
      </c>
      <c r="DW354" s="902">
        <f>SUM(DW9:DW353)</f>
        <v>297492.95000000007</v>
      </c>
      <c r="DX354" s="902">
        <f>SUM(DX9:DX353)</f>
        <v>22192.799999999999</v>
      </c>
      <c r="DY354" s="9">
        <f>SUM(DY9:DY353)</f>
        <v>22130334.69867697</v>
      </c>
      <c r="DZ354" s="9">
        <f>SUM(DZ9:DZ353)</f>
        <v>16153867.784836579</v>
      </c>
      <c r="EA354" s="737">
        <f>SUM(EA9:EA353)</f>
        <v>11929890.869999994</v>
      </c>
      <c r="EC354" s="578">
        <f>SUM(EC9:EC353)</f>
        <v>196177883.79550523</v>
      </c>
      <c r="EE354" s="784">
        <f>SUM(EE9:EE353)</f>
        <v>2988102</v>
      </c>
      <c r="EF354" s="723">
        <f t="shared" si="380"/>
        <v>3177970.2082964475</v>
      </c>
      <c r="EH354" s="784">
        <f>SUM(EH9:EH353)</f>
        <v>2842243.485940651</v>
      </c>
      <c r="EI354" s="784">
        <f>SUM(EI9:EI353)</f>
        <v>2989842.4817379913</v>
      </c>
    </row>
    <row r="355" spans="1:139" hidden="1" x14ac:dyDescent="0.3">
      <c r="E355" s="101">
        <f>F354+H354</f>
        <v>994162.49999999977</v>
      </c>
      <c r="CU355" s="253">
        <f>CX3</f>
        <v>76439681.155898064</v>
      </c>
      <c r="CX355" s="433">
        <f>CU354+CX354</f>
        <v>78751495.236956015</v>
      </c>
      <c r="DI355" s="102">
        <v>2256392.4</v>
      </c>
      <c r="DP355" s="32">
        <f>CX355</f>
        <v>78751495.236956015</v>
      </c>
      <c r="DR355" s="28"/>
      <c r="DS355" s="116">
        <f>DR354+DS354</f>
        <v>6200686.1899999958</v>
      </c>
      <c r="DT355" s="28"/>
      <c r="DU355" s="743"/>
      <c r="DV355" s="5"/>
    </row>
    <row r="356" spans="1:139" hidden="1" x14ac:dyDescent="0.3">
      <c r="CX356" s="270">
        <f>CU354+CX354</f>
        <v>78751495.236956015</v>
      </c>
      <c r="DI356" s="102">
        <f>DI355/$F$354</f>
        <v>2.4029521779063869</v>
      </c>
      <c r="DR356" s="28"/>
      <c r="DS356" s="735"/>
      <c r="DT356" s="28"/>
      <c r="DU356" s="743"/>
      <c r="DV356" s="5"/>
    </row>
    <row r="357" spans="1:139" s="8" customFormat="1" ht="13.8" hidden="1" x14ac:dyDescent="0.3">
      <c r="A357" s="736"/>
      <c r="C357" s="5" t="s">
        <v>1014</v>
      </c>
      <c r="D357" s="5"/>
      <c r="E357" s="5">
        <f t="shared" ref="E357:AJ357" si="386">SUMIF($DB$9:$DB$353,1,E9:E353)</f>
        <v>338389.14999999997</v>
      </c>
      <c r="F357" s="5">
        <f t="shared" si="386"/>
        <v>331768.43000000005</v>
      </c>
      <c r="G357" s="5">
        <f t="shared" si="386"/>
        <v>29681.09</v>
      </c>
      <c r="H357" s="5">
        <f t="shared" si="386"/>
        <v>6620.7199999999993</v>
      </c>
      <c r="I357" s="5">
        <f t="shared" si="386"/>
        <v>1017536.8305048784</v>
      </c>
      <c r="J357" s="5">
        <f t="shared" si="386"/>
        <v>803959.27099714568</v>
      </c>
      <c r="K357" s="5">
        <f t="shared" si="386"/>
        <v>-213577.55950773248</v>
      </c>
      <c r="L357" s="5">
        <f t="shared" si="386"/>
        <v>186377.88907671042</v>
      </c>
      <c r="M357" s="5">
        <f t="shared" si="386"/>
        <v>161105.31689232509</v>
      </c>
      <c r="N357" s="5">
        <f t="shared" si="386"/>
        <v>-25272.57218438527</v>
      </c>
      <c r="O357" s="5">
        <f t="shared" si="386"/>
        <v>531657.80273252621</v>
      </c>
      <c r="P357" s="5">
        <f t="shared" si="386"/>
        <v>533348.94876360672</v>
      </c>
      <c r="Q357" s="5">
        <f t="shared" si="386"/>
        <v>1691.1460310805398</v>
      </c>
      <c r="R357" s="5">
        <f t="shared" si="386"/>
        <v>104205.76215620602</v>
      </c>
      <c r="S357" s="5">
        <f t="shared" si="386"/>
        <v>104466.6859711649</v>
      </c>
      <c r="T357" s="5">
        <f t="shared" si="386"/>
        <v>260.92381495889043</v>
      </c>
      <c r="U357" s="5">
        <f t="shared" si="386"/>
        <v>85180.161977913507</v>
      </c>
      <c r="V357" s="5">
        <f t="shared" si="386"/>
        <v>38075.781964999958</v>
      </c>
      <c r="W357" s="5">
        <f t="shared" si="386"/>
        <v>-47104.38001291352</v>
      </c>
      <c r="X357" s="5">
        <f t="shared" si="386"/>
        <v>688917.81114942546</v>
      </c>
      <c r="Y357" s="5">
        <f t="shared" si="386"/>
        <v>527121.62120042485</v>
      </c>
      <c r="Z357" s="5">
        <f t="shared" si="386"/>
        <v>-161796.18994900098</v>
      </c>
      <c r="AA357" s="5">
        <f t="shared" si="386"/>
        <v>0</v>
      </c>
      <c r="AB357" s="5">
        <f t="shared" si="386"/>
        <v>0</v>
      </c>
      <c r="AC357" s="5">
        <f t="shared" si="386"/>
        <v>0</v>
      </c>
      <c r="AD357" s="5">
        <f t="shared" si="386"/>
        <v>1449127.654045518</v>
      </c>
      <c r="AE357" s="5">
        <f t="shared" si="386"/>
        <v>1445340.9498820866</v>
      </c>
      <c r="AF357" s="5">
        <f t="shared" si="386"/>
        <v>-3786.7041634320449</v>
      </c>
      <c r="AG357" s="5">
        <f t="shared" si="386"/>
        <v>4063003.9116431773</v>
      </c>
      <c r="AH357" s="5">
        <f t="shared" si="386"/>
        <v>3613418.5756717529</v>
      </c>
      <c r="AI357" s="5">
        <f t="shared" si="386"/>
        <v>-449585.33597142482</v>
      </c>
      <c r="AJ357" s="5">
        <f t="shared" si="386"/>
        <v>2903046.9747426175</v>
      </c>
      <c r="AK357" s="5">
        <f t="shared" ref="AK357:BP357" si="387">SUMIF($DB$9:$DB$353,1,AK9:AK353)</f>
        <v>2703609.3204441103</v>
      </c>
      <c r="AL357" s="5">
        <f t="shared" si="387"/>
        <v>-199437.65429850525</v>
      </c>
      <c r="AM357" s="5">
        <f t="shared" si="387"/>
        <v>69484.732988186704</v>
      </c>
      <c r="AN357" s="5">
        <f t="shared" si="387"/>
        <v>83653.976755487762</v>
      </c>
      <c r="AO357" s="5">
        <f t="shared" si="387"/>
        <v>14169.243767301044</v>
      </c>
      <c r="AP357" s="5">
        <f t="shared" si="387"/>
        <v>333329.29107377527</v>
      </c>
      <c r="AQ357" s="5">
        <f t="shared" si="387"/>
        <v>318900.54988766398</v>
      </c>
      <c r="AR357" s="5">
        <f t="shared" si="387"/>
        <v>-14428.741186111332</v>
      </c>
      <c r="AS357" s="5">
        <f t="shared" si="387"/>
        <v>5701543.7570188949</v>
      </c>
      <c r="AT357" s="5">
        <f t="shared" si="387"/>
        <v>4328796.2026218539</v>
      </c>
      <c r="AU357" s="5">
        <f t="shared" si="387"/>
        <v>-1372747.554397041</v>
      </c>
      <c r="AV357" s="5">
        <f t="shared" si="387"/>
        <v>99661.577580134588</v>
      </c>
      <c r="AW357" s="5">
        <f t="shared" si="387"/>
        <v>80393.228406372597</v>
      </c>
      <c r="AX357" s="5">
        <f t="shared" si="387"/>
        <v>-19268.349173762002</v>
      </c>
      <c r="AY357" s="5">
        <f t="shared" si="387"/>
        <v>121925.9687431608</v>
      </c>
      <c r="AZ357" s="5">
        <f t="shared" si="387"/>
        <v>186812.62037296352</v>
      </c>
      <c r="BA357" s="5">
        <f t="shared" si="387"/>
        <v>64886.651629802778</v>
      </c>
      <c r="BB357" s="5">
        <f t="shared" si="387"/>
        <v>112349.2003329803</v>
      </c>
      <c r="BC357" s="5">
        <f t="shared" si="387"/>
        <v>70570.797661763601</v>
      </c>
      <c r="BD357" s="5">
        <f t="shared" si="387"/>
        <v>-41778.402671216681</v>
      </c>
      <c r="BE357" s="5">
        <f t="shared" si="387"/>
        <v>43170.835076022755</v>
      </c>
      <c r="BF357" s="5">
        <f t="shared" si="387"/>
        <v>59676.550498720222</v>
      </c>
      <c r="BG357" s="5">
        <f t="shared" si="387"/>
        <v>16505.715422697489</v>
      </c>
      <c r="BH357" s="5">
        <f t="shared" si="387"/>
        <v>38182.683844623229</v>
      </c>
      <c r="BI357" s="5">
        <f t="shared" si="387"/>
        <v>27335.29947475508</v>
      </c>
      <c r="BJ357" s="5">
        <f t="shared" si="387"/>
        <v>-10847.38436986815</v>
      </c>
      <c r="BK357" s="5">
        <f t="shared" si="387"/>
        <v>99880.524501163207</v>
      </c>
      <c r="BL357" s="5">
        <f t="shared" si="387"/>
        <v>321585.86096226203</v>
      </c>
      <c r="BM357" s="5">
        <f t="shared" si="387"/>
        <v>221705.33646109889</v>
      </c>
      <c r="BN357" s="5">
        <f t="shared" si="387"/>
        <v>42257.180743877929</v>
      </c>
      <c r="BO357" s="5">
        <f t="shared" si="387"/>
        <v>233088.48234994279</v>
      </c>
      <c r="BP357" s="5">
        <f t="shared" si="387"/>
        <v>190831.30160606495</v>
      </c>
      <c r="BQ357" s="5">
        <f t="shared" ref="BQ357:CV357" si="388">SUMIF($DB$9:$DB$353,1,BQ9:BQ353)</f>
        <v>557427.97082196246</v>
      </c>
      <c r="BR357" s="5">
        <f t="shared" si="388"/>
        <v>979462.83972677996</v>
      </c>
      <c r="BS357" s="5">
        <f t="shared" si="388"/>
        <v>422034.86890481698</v>
      </c>
      <c r="BT357" s="5">
        <f t="shared" si="388"/>
        <v>4736451.7074554199</v>
      </c>
      <c r="BU357" s="5">
        <f t="shared" si="388"/>
        <v>5861703.8135351781</v>
      </c>
      <c r="BV357" s="5">
        <f t="shared" si="388"/>
        <v>1125252.1060797565</v>
      </c>
      <c r="BW357" s="5">
        <f t="shared" si="388"/>
        <v>2957036.1057510353</v>
      </c>
      <c r="BX357" s="5">
        <f t="shared" si="388"/>
        <v>3166431.1851140894</v>
      </c>
      <c r="BY357" s="5">
        <f t="shared" si="388"/>
        <v>209395.07936305448</v>
      </c>
      <c r="BZ357" s="5">
        <f t="shared" si="388"/>
        <v>975146.63404585957</v>
      </c>
      <c r="CA357" s="5">
        <f t="shared" si="388"/>
        <v>514976.77536283428</v>
      </c>
      <c r="CB357" s="5">
        <f t="shared" si="388"/>
        <v>-460169.85868302581</v>
      </c>
      <c r="CC357" s="5">
        <f t="shared" si="388"/>
        <v>100813.37517610262</v>
      </c>
      <c r="CD357" s="5">
        <f t="shared" si="388"/>
        <v>101155.22208623101</v>
      </c>
      <c r="CE357" s="5">
        <f t="shared" si="388"/>
        <v>341.84691012834639</v>
      </c>
      <c r="CF357" s="5">
        <f t="shared" si="388"/>
        <v>12490.241342560372</v>
      </c>
      <c r="CG357" s="5">
        <f t="shared" si="388"/>
        <v>21062.797355371946</v>
      </c>
      <c r="CH357" s="5">
        <f t="shared" si="388"/>
        <v>8572.556012811574</v>
      </c>
      <c r="CI357" s="5">
        <f t="shared" si="388"/>
        <v>839252.55751841865</v>
      </c>
      <c r="CJ357" s="5">
        <f t="shared" si="388"/>
        <v>718120.25352197897</v>
      </c>
      <c r="CK357" s="5">
        <f t="shared" si="388"/>
        <v>-121132.30399643954</v>
      </c>
      <c r="CL357" s="5">
        <f t="shared" si="388"/>
        <v>720805.83305079828</v>
      </c>
      <c r="CM357" s="5">
        <f t="shared" si="388"/>
        <v>945274.680035281</v>
      </c>
      <c r="CN357" s="5">
        <f t="shared" si="388"/>
        <v>224468.84698448252</v>
      </c>
      <c r="CO357" s="5">
        <f t="shared" si="388"/>
        <v>1560058.3905692175</v>
      </c>
      <c r="CP357" s="5">
        <f t="shared" si="388"/>
        <v>1663394.9335572599</v>
      </c>
      <c r="CQ357" s="5">
        <f t="shared" si="388"/>
        <v>103336.54298804294</v>
      </c>
      <c r="CR357" s="5">
        <f t="shared" si="388"/>
        <v>23969833.092628811</v>
      </c>
      <c r="CS357" s="5">
        <f t="shared" si="388"/>
        <v>23356566.192118607</v>
      </c>
      <c r="CT357" s="5">
        <f t="shared" si="388"/>
        <v>-613266.90051019588</v>
      </c>
      <c r="CU357" s="5">
        <f t="shared" si="388"/>
        <v>28763799.711154569</v>
      </c>
      <c r="CV357" s="5">
        <f t="shared" si="388"/>
        <v>28027879.430542335</v>
      </c>
      <c r="CW357" s="5">
        <f t="shared" ref="CW357:DF357" si="389">SUMIF($DB$9:$DB$353,1,CW9:CW353)</f>
        <v>-735920.28061223542</v>
      </c>
      <c r="CX357" s="5">
        <f t="shared" si="389"/>
        <v>783174.84595072852</v>
      </c>
      <c r="CY357" s="5">
        <f t="shared" si="389"/>
        <v>1519095.1265629621</v>
      </c>
      <c r="CZ357" s="5">
        <f t="shared" si="389"/>
        <v>735920.28061223391</v>
      </c>
      <c r="DA357" s="5">
        <f t="shared" si="389"/>
        <v>-304551.76129527716</v>
      </c>
      <c r="DB357" s="5">
        <f t="shared" si="389"/>
        <v>83</v>
      </c>
      <c r="DC357" s="5">
        <f t="shared" si="389"/>
        <v>6780855.1300000008</v>
      </c>
      <c r="DD357" s="5">
        <f t="shared" si="389"/>
        <v>113343.75</v>
      </c>
      <c r="DE357" s="5">
        <f t="shared" si="389"/>
        <v>3586958.6600000006</v>
      </c>
      <c r="DF357" s="5">
        <f t="shared" si="389"/>
        <v>70087.99000000002</v>
      </c>
      <c r="DG357" s="739"/>
      <c r="DH357" s="5">
        <f>SUMIF($DB$9:$DB$353,1,DH9:DH353)</f>
        <v>354563694.68526357</v>
      </c>
      <c r="DI357" s="754">
        <f>SUMIF($DB$9:$DB$353,1,DI9:DI353)</f>
        <v>0</v>
      </c>
      <c r="DP357" s="8">
        <f>CX2</f>
        <v>78751495.236956015</v>
      </c>
      <c r="DR357" s="5"/>
      <c r="DS357" s="116">
        <f>DR354+DS354</f>
        <v>6200686.1899999958</v>
      </c>
      <c r="DT357" s="5"/>
      <c r="DU357" s="743"/>
      <c r="DV357" s="5"/>
      <c r="DW357" s="907">
        <f>SUMIF($DB$9:$DB$353,1,DW9:DW353)</f>
        <v>70543.350000000006</v>
      </c>
      <c r="DX357" s="907">
        <f>SUMIF($DB$9:$DB$353,1,DX9:DX353)</f>
        <v>0</v>
      </c>
      <c r="EA357" s="270"/>
      <c r="EE357" s="5">
        <f>SUMIF($DB$9:$DB$353,1,EE9:EE353)</f>
        <v>718272</v>
      </c>
      <c r="EH357" s="5">
        <f>SUMIF($DB$9:$DB$353,1,EH9:EH353)</f>
        <v>576164.80559880543</v>
      </c>
      <c r="EI357" s="5">
        <f>SUMIF($DB$9:$DB$353,1,EI9:EI353)</f>
        <v>431368.51931695739</v>
      </c>
    </row>
    <row r="358" spans="1:139" s="8" customFormat="1" ht="13.8" hidden="1" x14ac:dyDescent="0.3">
      <c r="A358" s="736"/>
      <c r="C358" s="5" t="s">
        <v>1015</v>
      </c>
      <c r="D358" s="5"/>
      <c r="E358" s="5">
        <f t="shared" ref="E358:AJ358" si="390">SUMIF($DB$9:$DB$353,2,E9:E353)</f>
        <v>342428.52999999997</v>
      </c>
      <c r="F358" s="5">
        <f t="shared" si="390"/>
        <v>304002.61999999988</v>
      </c>
      <c r="G358" s="5">
        <f t="shared" si="390"/>
        <v>5909.67</v>
      </c>
      <c r="H358" s="5">
        <f t="shared" si="390"/>
        <v>38425.910000000003</v>
      </c>
      <c r="I358" s="5">
        <f t="shared" si="390"/>
        <v>1191809.8481974772</v>
      </c>
      <c r="J358" s="5">
        <f t="shared" si="390"/>
        <v>1225523.005162773</v>
      </c>
      <c r="K358" s="5">
        <f t="shared" si="390"/>
        <v>33713.156965295741</v>
      </c>
      <c r="L358" s="5">
        <f t="shared" si="390"/>
        <v>229865.81300557355</v>
      </c>
      <c r="M358" s="5">
        <f t="shared" si="390"/>
        <v>241558.62543749207</v>
      </c>
      <c r="N358" s="5">
        <f t="shared" si="390"/>
        <v>11692.81243191841</v>
      </c>
      <c r="O358" s="5">
        <f t="shared" si="390"/>
        <v>490924.79623813881</v>
      </c>
      <c r="P358" s="5">
        <f t="shared" si="390"/>
        <v>492284.07411032153</v>
      </c>
      <c r="Q358" s="5">
        <f t="shared" si="390"/>
        <v>1359.2778721827506</v>
      </c>
      <c r="R358" s="5">
        <f t="shared" si="390"/>
        <v>34574.333594975149</v>
      </c>
      <c r="S358" s="5">
        <f t="shared" si="390"/>
        <v>34666.756942079104</v>
      </c>
      <c r="T358" s="5">
        <f t="shared" si="390"/>
        <v>92.423347103956132</v>
      </c>
      <c r="U358" s="5">
        <f t="shared" si="390"/>
        <v>29756.609608078998</v>
      </c>
      <c r="V358" s="5">
        <f t="shared" si="390"/>
        <v>44162.941574819772</v>
      </c>
      <c r="W358" s="5">
        <f t="shared" si="390"/>
        <v>14406.3319667408</v>
      </c>
      <c r="X358" s="5">
        <f t="shared" si="390"/>
        <v>769538.59151144407</v>
      </c>
      <c r="Y358" s="5">
        <f t="shared" si="390"/>
        <v>771701.38804010022</v>
      </c>
      <c r="Z358" s="5">
        <f t="shared" si="390"/>
        <v>2162.7965286557301</v>
      </c>
      <c r="AA358" s="5">
        <f t="shared" si="390"/>
        <v>0</v>
      </c>
      <c r="AB358" s="5">
        <f t="shared" si="390"/>
        <v>0</v>
      </c>
      <c r="AC358" s="5">
        <f t="shared" si="390"/>
        <v>0</v>
      </c>
      <c r="AD358" s="5">
        <f t="shared" si="390"/>
        <v>1505152.1435101088</v>
      </c>
      <c r="AE358" s="5">
        <f t="shared" si="390"/>
        <v>1506324.3270676283</v>
      </c>
      <c r="AF358" s="5">
        <f t="shared" si="390"/>
        <v>1172.1835575197965</v>
      </c>
      <c r="AG358" s="5">
        <f t="shared" si="390"/>
        <v>4251622.1356657986</v>
      </c>
      <c r="AH358" s="5">
        <f t="shared" si="390"/>
        <v>4316221.1183352116</v>
      </c>
      <c r="AI358" s="5">
        <f t="shared" si="390"/>
        <v>64598.982669417106</v>
      </c>
      <c r="AJ358" s="5">
        <f t="shared" si="390"/>
        <v>778330.83580916724</v>
      </c>
      <c r="AK358" s="5">
        <f t="shared" ref="AK358:BP358" si="391">SUMIF($DB$9:$DB$353,2,AK9:AK353)</f>
        <v>734493.45171308238</v>
      </c>
      <c r="AL358" s="5">
        <f t="shared" si="391"/>
        <v>-43837.384096084992</v>
      </c>
      <c r="AM358" s="5">
        <f t="shared" si="391"/>
        <v>16787.831435471911</v>
      </c>
      <c r="AN358" s="5">
        <f t="shared" si="391"/>
        <v>23562.076599591564</v>
      </c>
      <c r="AO358" s="5">
        <f t="shared" si="391"/>
        <v>6774.2451641196512</v>
      </c>
      <c r="AP358" s="5">
        <f t="shared" si="391"/>
        <v>758774.40208221937</v>
      </c>
      <c r="AQ358" s="5">
        <f t="shared" si="391"/>
        <v>721663.98658715072</v>
      </c>
      <c r="AR358" s="5">
        <f t="shared" si="391"/>
        <v>-37110.415495068839</v>
      </c>
      <c r="AS358" s="5">
        <f t="shared" si="391"/>
        <v>4753046.1470317161</v>
      </c>
      <c r="AT358" s="5">
        <f t="shared" si="391"/>
        <v>3286083.0741833304</v>
      </c>
      <c r="AU358" s="5">
        <f t="shared" si="391"/>
        <v>-1466963.0728483903</v>
      </c>
      <c r="AV358" s="5">
        <f t="shared" si="391"/>
        <v>180959.4931666691</v>
      </c>
      <c r="AW358" s="5">
        <f t="shared" si="391"/>
        <v>103811.55315050317</v>
      </c>
      <c r="AX358" s="5">
        <f t="shared" si="391"/>
        <v>-77147.94001616587</v>
      </c>
      <c r="AY358" s="5">
        <f t="shared" si="391"/>
        <v>257526.70390676308</v>
      </c>
      <c r="AZ358" s="5">
        <f t="shared" si="391"/>
        <v>55393.274341891098</v>
      </c>
      <c r="BA358" s="5">
        <f t="shared" si="391"/>
        <v>-202133.42956487203</v>
      </c>
      <c r="BB358" s="5">
        <f t="shared" si="391"/>
        <v>213636.56239625521</v>
      </c>
      <c r="BC358" s="5">
        <f t="shared" si="391"/>
        <v>47202.477530361517</v>
      </c>
      <c r="BD358" s="5">
        <f t="shared" si="391"/>
        <v>-166434.08486589376</v>
      </c>
      <c r="BE358" s="5">
        <f t="shared" si="391"/>
        <v>20524.117846379322</v>
      </c>
      <c r="BF358" s="5">
        <f t="shared" si="391"/>
        <v>17918.169130650713</v>
      </c>
      <c r="BG358" s="5">
        <f t="shared" si="391"/>
        <v>-2605.9487157286085</v>
      </c>
      <c r="BH358" s="5">
        <f t="shared" si="391"/>
        <v>17734.725800418848</v>
      </c>
      <c r="BI358" s="5">
        <f t="shared" si="391"/>
        <v>33163.534456270543</v>
      </c>
      <c r="BJ358" s="5">
        <f t="shared" si="391"/>
        <v>15428.80865585169</v>
      </c>
      <c r="BK358" s="5">
        <f t="shared" si="391"/>
        <v>128699.62845590546</v>
      </c>
      <c r="BL358" s="5">
        <f t="shared" si="391"/>
        <v>106414.03722973254</v>
      </c>
      <c r="BM358" s="5">
        <f t="shared" si="391"/>
        <v>-22285.591226172957</v>
      </c>
      <c r="BN358" s="5">
        <f t="shared" si="391"/>
        <v>8194.6000481726223</v>
      </c>
      <c r="BO358" s="5">
        <f t="shared" si="391"/>
        <v>160864.31903746378</v>
      </c>
      <c r="BP358" s="5">
        <f t="shared" si="391"/>
        <v>152669.71898929114</v>
      </c>
      <c r="BQ358" s="5">
        <f t="shared" ref="BQ358:CV358" si="392">SUMIF($DB$9:$DB$353,2,BQ9:BQ353)</f>
        <v>827275.83162056387</v>
      </c>
      <c r="BR358" s="5">
        <f t="shared" si="392"/>
        <v>524767.36487687333</v>
      </c>
      <c r="BS358" s="5">
        <f t="shared" si="392"/>
        <v>-302508.46674369008</v>
      </c>
      <c r="BT358" s="5">
        <f t="shared" si="392"/>
        <v>3906709.7468087585</v>
      </c>
      <c r="BU358" s="5">
        <f t="shared" si="392"/>
        <v>6014600.1374168433</v>
      </c>
      <c r="BV358" s="5">
        <f t="shared" si="392"/>
        <v>2107890.3906080811</v>
      </c>
      <c r="BW358" s="5">
        <f t="shared" si="392"/>
        <v>2419577.6620333544</v>
      </c>
      <c r="BX358" s="5">
        <f t="shared" si="392"/>
        <v>2797903.1449247473</v>
      </c>
      <c r="BY358" s="5">
        <f t="shared" si="392"/>
        <v>378325.48289139243</v>
      </c>
      <c r="BZ358" s="5">
        <f t="shared" si="392"/>
        <v>1333330.9498261763</v>
      </c>
      <c r="CA358" s="5">
        <f t="shared" si="392"/>
        <v>552597.74880645843</v>
      </c>
      <c r="CB358" s="5">
        <f t="shared" si="392"/>
        <v>-780733.2010197175</v>
      </c>
      <c r="CC358" s="5">
        <f t="shared" si="392"/>
        <v>118665.44093088573</v>
      </c>
      <c r="CD358" s="5">
        <f t="shared" si="392"/>
        <v>119047.1702892329</v>
      </c>
      <c r="CE358" s="5">
        <f t="shared" si="392"/>
        <v>381.72935834722796</v>
      </c>
      <c r="CF358" s="5">
        <f t="shared" si="392"/>
        <v>14699.651100849926</v>
      </c>
      <c r="CG358" s="5">
        <f t="shared" si="392"/>
        <v>11687.652490377479</v>
      </c>
      <c r="CH358" s="5">
        <f t="shared" si="392"/>
        <v>-3011.9986104724476</v>
      </c>
      <c r="CI358" s="5">
        <f t="shared" si="392"/>
        <v>608659.36392267211</v>
      </c>
      <c r="CJ358" s="5">
        <f t="shared" si="392"/>
        <v>566682.47999885271</v>
      </c>
      <c r="CK358" s="5">
        <f t="shared" si="392"/>
        <v>-41976.88392381939</v>
      </c>
      <c r="CL358" s="5">
        <f t="shared" si="392"/>
        <v>202855.6422940745</v>
      </c>
      <c r="CM358" s="5">
        <f t="shared" si="392"/>
        <v>306955.13752416661</v>
      </c>
      <c r="CN358" s="5">
        <f t="shared" si="392"/>
        <v>104099.49523009211</v>
      </c>
      <c r="CO358" s="5">
        <f t="shared" si="392"/>
        <v>811515.00621674652</v>
      </c>
      <c r="CP358" s="5">
        <f t="shared" si="392"/>
        <v>873637.61752302002</v>
      </c>
      <c r="CQ358" s="5">
        <f t="shared" si="392"/>
        <v>62122.611306272724</v>
      </c>
      <c r="CR358" s="5">
        <f t="shared" si="392"/>
        <v>19990335.640561715</v>
      </c>
      <c r="CS358" s="5">
        <f t="shared" si="392"/>
        <v>19976264.543745913</v>
      </c>
      <c r="CT358" s="5">
        <f t="shared" si="392"/>
        <v>-14071.096815793193</v>
      </c>
      <c r="CU358" s="5">
        <f t="shared" si="392"/>
        <v>23988402.76867405</v>
      </c>
      <c r="CV358" s="5">
        <f t="shared" si="392"/>
        <v>23971517.452495102</v>
      </c>
      <c r="CW358" s="5">
        <f t="shared" ref="CW358:DF358" si="393">SUMIF($DB$9:$DB$353,2,CW9:CW353)</f>
        <v>-16885.316178952417</v>
      </c>
      <c r="CX358" s="5">
        <f t="shared" si="393"/>
        <v>823465.36893503286</v>
      </c>
      <c r="CY358" s="5">
        <f t="shared" si="393"/>
        <v>856357.68010682042</v>
      </c>
      <c r="CZ358" s="5">
        <f t="shared" si="393"/>
        <v>32892.311171788024</v>
      </c>
      <c r="DA358" s="5">
        <f t="shared" si="393"/>
        <v>1570746.778829396</v>
      </c>
      <c r="DB358" s="5">
        <f t="shared" si="393"/>
        <v>304</v>
      </c>
      <c r="DC358" s="5">
        <f t="shared" si="393"/>
        <v>6461396.8400000008</v>
      </c>
      <c r="DD358" s="5">
        <f t="shared" si="393"/>
        <v>968426.40000000037</v>
      </c>
      <c r="DE358" s="5">
        <f t="shared" si="393"/>
        <v>4068440.2200000016</v>
      </c>
      <c r="DF358" s="5">
        <f t="shared" si="393"/>
        <v>719611.66999999993</v>
      </c>
      <c r="DG358" s="739"/>
      <c r="DH358" s="5">
        <f>SUMIF($DB$9:$DB$353,2,DH9:DH353)</f>
        <v>297325255.7713089</v>
      </c>
      <c r="DI358" s="754">
        <f>SUMIF($DB$9:$DB$353,2,DI9:DI353)</f>
        <v>0</v>
      </c>
      <c r="DP358" s="8">
        <f>DP357-DP354</f>
        <v>72638947.37640436</v>
      </c>
      <c r="DR358" s="5"/>
      <c r="DS358" s="737"/>
      <c r="DT358" s="5"/>
      <c r="DU358" s="743"/>
      <c r="DV358" s="5"/>
      <c r="DW358" s="907">
        <f>SUMIF($DB$9:$DB$353,2,DW9:DW353)</f>
        <v>139395.70000000001</v>
      </c>
      <c r="DX358" s="907">
        <f>SUMIF($DB$9:$DB$353,2,DX9:DX353)</f>
        <v>16150</v>
      </c>
      <c r="DY358" s="270"/>
      <c r="DZ358" s="270"/>
      <c r="EA358" s="270"/>
      <c r="EE358" s="5">
        <f>SUMIF($DB$9:$DB$353,2,EE9:EE353)</f>
        <v>1612125</v>
      </c>
      <c r="EH358" s="5">
        <f>SUMIF($DB$9:$DB$353,2,EH9:EH353)</f>
        <v>2837698.9449645048</v>
      </c>
      <c r="EI358" s="5">
        <f>SUMIF($DB$9:$DB$353,2,EI9:EI353)</f>
        <v>1605189.8938429181</v>
      </c>
    </row>
    <row r="359" spans="1:139" s="255" customFormat="1" ht="13.8" hidden="1" x14ac:dyDescent="0.3">
      <c r="A359" s="736"/>
      <c r="C359" s="261" t="s">
        <v>1016</v>
      </c>
      <c r="D359" s="261"/>
      <c r="E359" s="5">
        <f t="shared" ref="E359:AJ359" si="394">SUMIF($DB$9:$DB$353,3,E9:E353)</f>
        <v>313344.82000000018</v>
      </c>
      <c r="F359" s="5">
        <f t="shared" si="394"/>
        <v>303237.40000000014</v>
      </c>
      <c r="G359" s="5">
        <f t="shared" si="394"/>
        <v>15666.280000000002</v>
      </c>
      <c r="H359" s="5">
        <f t="shared" si="394"/>
        <v>10107.42</v>
      </c>
      <c r="I359" s="5">
        <f t="shared" si="394"/>
        <v>1102368.4328592373</v>
      </c>
      <c r="J359" s="5">
        <f t="shared" si="394"/>
        <v>1147872.2745551621</v>
      </c>
      <c r="K359" s="5">
        <f t="shared" si="394"/>
        <v>45503.841695924792</v>
      </c>
      <c r="L359" s="5">
        <f t="shared" si="394"/>
        <v>206091.33932121968</v>
      </c>
      <c r="M359" s="5">
        <f t="shared" si="394"/>
        <v>224358.31388175557</v>
      </c>
      <c r="N359" s="5">
        <f t="shared" si="394"/>
        <v>18266.974560535964</v>
      </c>
      <c r="O359" s="5">
        <f t="shared" si="394"/>
        <v>429492.37175820704</v>
      </c>
      <c r="P359" s="5">
        <f t="shared" si="394"/>
        <v>430726.95342969144</v>
      </c>
      <c r="Q359" s="5">
        <f t="shared" si="394"/>
        <v>1234.5816714845823</v>
      </c>
      <c r="R359" s="5">
        <f t="shared" si="394"/>
        <v>59272.638470084836</v>
      </c>
      <c r="S359" s="5">
        <f t="shared" si="394"/>
        <v>59428.639442194566</v>
      </c>
      <c r="T359" s="5">
        <f t="shared" si="394"/>
        <v>156.00097210972814</v>
      </c>
      <c r="U359" s="5">
        <f t="shared" si="394"/>
        <v>55903.518699953231</v>
      </c>
      <c r="V359" s="5">
        <f t="shared" si="394"/>
        <v>40416.287954894302</v>
      </c>
      <c r="W359" s="5">
        <f t="shared" si="394"/>
        <v>-15487.230745058934</v>
      </c>
      <c r="X359" s="5">
        <f t="shared" si="394"/>
        <v>675689.71954297298</v>
      </c>
      <c r="Y359" s="5">
        <f t="shared" si="394"/>
        <v>719379.67880025296</v>
      </c>
      <c r="Z359" s="5">
        <f t="shared" si="394"/>
        <v>43689.959257280003</v>
      </c>
      <c r="AA359" s="5">
        <f t="shared" si="394"/>
        <v>0</v>
      </c>
      <c r="AB359" s="5">
        <f t="shared" si="394"/>
        <v>0</v>
      </c>
      <c r="AC359" s="5">
        <f t="shared" si="394"/>
        <v>0</v>
      </c>
      <c r="AD359" s="5">
        <f t="shared" si="394"/>
        <v>1321770.4803955529</v>
      </c>
      <c r="AE359" s="5">
        <f t="shared" si="394"/>
        <v>1321060.6610846424</v>
      </c>
      <c r="AF359" s="5">
        <f t="shared" si="394"/>
        <v>-709.81931091002298</v>
      </c>
      <c r="AG359" s="5">
        <f t="shared" si="394"/>
        <v>3850588.5010472271</v>
      </c>
      <c r="AH359" s="5">
        <f t="shared" si="394"/>
        <v>3943242.8091485952</v>
      </c>
      <c r="AI359" s="5">
        <f t="shared" si="394"/>
        <v>92654.30810136607</v>
      </c>
      <c r="AJ359" s="5">
        <f t="shared" si="394"/>
        <v>1721275.031248359</v>
      </c>
      <c r="AK359" s="5">
        <f t="shared" ref="AK359:BP359" si="395">SUMIF($DB$9:$DB$353,3,AK9:AK353)</f>
        <v>1651555.2927082584</v>
      </c>
      <c r="AL359" s="5">
        <f t="shared" si="395"/>
        <v>-69719.738540100749</v>
      </c>
      <c r="AM359" s="5">
        <f t="shared" si="395"/>
        <v>12119.226018405327</v>
      </c>
      <c r="AN359" s="5">
        <f t="shared" si="395"/>
        <v>26263.363155227744</v>
      </c>
      <c r="AO359" s="5">
        <f t="shared" si="395"/>
        <v>14144.137136822419</v>
      </c>
      <c r="AP359" s="5">
        <f t="shared" si="395"/>
        <v>487951.81189248152</v>
      </c>
      <c r="AQ359" s="5">
        <f t="shared" si="395"/>
        <v>481115.97910395119</v>
      </c>
      <c r="AR359" s="5">
        <f t="shared" si="395"/>
        <v>-6835.8327885298704</v>
      </c>
      <c r="AS359" s="5">
        <f t="shared" si="395"/>
        <v>5898049.4644937841</v>
      </c>
      <c r="AT359" s="5">
        <f t="shared" si="395"/>
        <v>3589621.6553673809</v>
      </c>
      <c r="AU359" s="5">
        <f t="shared" si="395"/>
        <v>-2308427.8091264032</v>
      </c>
      <c r="AV359" s="5">
        <f t="shared" si="395"/>
        <v>141345.85116098711</v>
      </c>
      <c r="AW359" s="5">
        <f t="shared" si="395"/>
        <v>60688.097351022436</v>
      </c>
      <c r="AX359" s="5">
        <f t="shared" si="395"/>
        <v>-80657.753809964692</v>
      </c>
      <c r="AY359" s="5">
        <f t="shared" si="395"/>
        <v>194681.3171998256</v>
      </c>
      <c r="AZ359" s="5">
        <f t="shared" si="395"/>
        <v>142098.57081507021</v>
      </c>
      <c r="BA359" s="5">
        <f t="shared" si="395"/>
        <v>-52582.746384755374</v>
      </c>
      <c r="BB359" s="5">
        <f t="shared" si="395"/>
        <v>171553.79103480268</v>
      </c>
      <c r="BC359" s="5">
        <f t="shared" si="395"/>
        <v>129542.31784909936</v>
      </c>
      <c r="BD359" s="5">
        <f t="shared" si="395"/>
        <v>-42011.47318570326</v>
      </c>
      <c r="BE359" s="5">
        <f t="shared" si="395"/>
        <v>33086.47274939053</v>
      </c>
      <c r="BF359" s="5">
        <f t="shared" si="395"/>
        <v>25607.153051777936</v>
      </c>
      <c r="BG359" s="5">
        <f t="shared" si="395"/>
        <v>-7479.3196976125892</v>
      </c>
      <c r="BH359" s="5">
        <f t="shared" si="395"/>
        <v>39453.170846574394</v>
      </c>
      <c r="BI359" s="5">
        <f t="shared" si="395"/>
        <v>42263.503744388261</v>
      </c>
      <c r="BJ359" s="5">
        <f t="shared" si="395"/>
        <v>2810.3328978138675</v>
      </c>
      <c r="BK359" s="5">
        <f t="shared" si="395"/>
        <v>123098.37273824692</v>
      </c>
      <c r="BL359" s="5">
        <f t="shared" si="395"/>
        <v>160316.06356467886</v>
      </c>
      <c r="BM359" s="5">
        <f t="shared" si="395"/>
        <v>37217.690826431935</v>
      </c>
      <c r="BN359" s="5">
        <f t="shared" si="395"/>
        <v>6989.9590705994542</v>
      </c>
      <c r="BO359" s="5">
        <f t="shared" si="395"/>
        <v>192309.64421156436</v>
      </c>
      <c r="BP359" s="5">
        <f t="shared" si="395"/>
        <v>185319.68514096495</v>
      </c>
      <c r="BQ359" s="5">
        <f t="shared" ref="BQ359:CV359" si="396">SUMIF($DB$9:$DB$353,3,BQ9:BQ353)</f>
        <v>710208.93480042671</v>
      </c>
      <c r="BR359" s="5">
        <f t="shared" si="396"/>
        <v>752825.35058760154</v>
      </c>
      <c r="BS359" s="5">
        <f t="shared" si="396"/>
        <v>42616.415787174825</v>
      </c>
      <c r="BT359" s="5">
        <f t="shared" si="396"/>
        <v>2897581.8368584989</v>
      </c>
      <c r="BU359" s="5">
        <f t="shared" si="396"/>
        <v>4041046.0839067693</v>
      </c>
      <c r="BV359" s="5">
        <f t="shared" si="396"/>
        <v>1143464.2470482709</v>
      </c>
      <c r="BW359" s="5">
        <f t="shared" si="396"/>
        <v>2246620.0655269208</v>
      </c>
      <c r="BX359" s="5">
        <f t="shared" si="396"/>
        <v>2486977.7976628998</v>
      </c>
      <c r="BY359" s="5">
        <f t="shared" si="396"/>
        <v>240357.73213597795</v>
      </c>
      <c r="BZ359" s="5">
        <f t="shared" si="396"/>
        <v>546053.76424404257</v>
      </c>
      <c r="CA359" s="5">
        <f t="shared" si="396"/>
        <v>358164.26477952226</v>
      </c>
      <c r="CB359" s="5">
        <f t="shared" si="396"/>
        <v>-187889.49946452008</v>
      </c>
      <c r="CC359" s="5">
        <f t="shared" si="396"/>
        <v>121609.18304160442</v>
      </c>
      <c r="CD359" s="5">
        <f t="shared" si="396"/>
        <v>122021.50842972699</v>
      </c>
      <c r="CE359" s="5">
        <f t="shared" si="396"/>
        <v>412.32538812259372</v>
      </c>
      <c r="CF359" s="5">
        <f t="shared" si="396"/>
        <v>15066.733835948351</v>
      </c>
      <c r="CG359" s="5">
        <f t="shared" si="396"/>
        <v>6994.3464677444772</v>
      </c>
      <c r="CH359" s="5">
        <f t="shared" si="396"/>
        <v>-8072.3873682038738</v>
      </c>
      <c r="CI359" s="5">
        <f t="shared" si="396"/>
        <v>798974.73229915369</v>
      </c>
      <c r="CJ359" s="5">
        <f t="shared" si="396"/>
        <v>756673.24251199595</v>
      </c>
      <c r="CK359" s="5">
        <f t="shared" si="396"/>
        <v>-42301.489787157654</v>
      </c>
      <c r="CL359" s="5">
        <f t="shared" si="396"/>
        <v>433466.27808437229</v>
      </c>
      <c r="CM359" s="5">
        <f t="shared" si="396"/>
        <v>629013.46947584883</v>
      </c>
      <c r="CN359" s="5">
        <f t="shared" si="396"/>
        <v>195547.1913914766</v>
      </c>
      <c r="CO359" s="5">
        <f t="shared" si="396"/>
        <v>1232441.0103835261</v>
      </c>
      <c r="CP359" s="5">
        <f t="shared" si="396"/>
        <v>1385686.7119878454</v>
      </c>
      <c r="CQ359" s="5">
        <f t="shared" si="396"/>
        <v>153245.70160431904</v>
      </c>
      <c r="CR359" s="5">
        <f t="shared" si="396"/>
        <v>19739565.563391216</v>
      </c>
      <c r="CS359" s="5">
        <f t="shared" si="396"/>
        <v>18845515.163305528</v>
      </c>
      <c r="CT359" s="5">
        <f t="shared" si="396"/>
        <v>-894050.40008570428</v>
      </c>
      <c r="CU359" s="5">
        <f t="shared" si="396"/>
        <v>23687478.676069476</v>
      </c>
      <c r="CV359" s="5">
        <f t="shared" si="396"/>
        <v>22614618.195966613</v>
      </c>
      <c r="CW359" s="5">
        <f t="shared" ref="CW359:DF359" si="397">SUMIF($DB$9:$DB$353,3,CW9:CW353)</f>
        <v>-1072860.4801028457</v>
      </c>
      <c r="CX359" s="5">
        <f t="shared" si="397"/>
        <v>705173.86617219239</v>
      </c>
      <c r="CY359" s="5">
        <f t="shared" si="397"/>
        <v>1777580.3673674972</v>
      </c>
      <c r="CZ359" s="5">
        <f t="shared" si="397"/>
        <v>1072406.5011953036</v>
      </c>
      <c r="DA359" s="5">
        <f t="shared" si="397"/>
        <v>-119576.41152472807</v>
      </c>
      <c r="DB359" s="5">
        <f t="shared" si="397"/>
        <v>330</v>
      </c>
      <c r="DC359" s="5">
        <f t="shared" si="397"/>
        <v>5759090.8100000015</v>
      </c>
      <c r="DD359" s="5">
        <f t="shared" si="397"/>
        <v>399118.09</v>
      </c>
      <c r="DE359" s="5">
        <f t="shared" si="397"/>
        <v>3142596.5299999993</v>
      </c>
      <c r="DF359" s="5">
        <f t="shared" si="397"/>
        <v>342195.80000000005</v>
      </c>
      <c r="DG359" s="739"/>
      <c r="DH359" s="5">
        <f>SUMIF($DB$9:$DB$353,3,DH9:DH353)</f>
        <v>292711830.50690001</v>
      </c>
      <c r="DI359" s="754">
        <f>SUMIF($DB$9:$DB$353,3,DI9:DI353)</f>
        <v>0</v>
      </c>
      <c r="DR359" s="261"/>
      <c r="DS359" s="737"/>
      <c r="DT359" s="261"/>
      <c r="DU359" s="743"/>
      <c r="DV359" s="5"/>
      <c r="DW359" s="907">
        <f>SUMIF($DB$9:$DB$353,3,DW9:DW353)</f>
        <v>87553.9</v>
      </c>
      <c r="DX359" s="907">
        <f>SUMIF($DB$9:$DB$353,3,DX9:DX353)</f>
        <v>6042.7999999999993</v>
      </c>
      <c r="EA359" s="270"/>
      <c r="EE359" s="5">
        <f>SUMIF($DB$9:$DB$353,3,EE9:EE353)</f>
        <v>657705</v>
      </c>
      <c r="EH359" s="5">
        <f>SUMIF($DB$9:$DB$353,3,EH9:EH353)</f>
        <v>-571620.26462265768</v>
      </c>
      <c r="EI359" s="5">
        <f>SUMIF($DB$9:$DB$353,3,EI9:EI353)</f>
        <v>953284.06857811729</v>
      </c>
    </row>
    <row r="360" spans="1:139" s="723" customFormat="1" hidden="1" x14ac:dyDescent="0.3">
      <c r="A360" s="738"/>
      <c r="C360" s="644" t="s">
        <v>948</v>
      </c>
      <c r="D360" s="644"/>
      <c r="E360" s="9">
        <f t="shared" ref="E360:J360" si="398">SUM(E357:E359)</f>
        <v>994162.50000000012</v>
      </c>
      <c r="F360" s="9">
        <f t="shared" si="398"/>
        <v>939008.45000000007</v>
      </c>
      <c r="G360" s="9">
        <f t="shared" si="398"/>
        <v>51257.040000000008</v>
      </c>
      <c r="H360" s="9">
        <f t="shared" si="398"/>
        <v>55154.05</v>
      </c>
      <c r="I360" s="9">
        <f t="shared" si="398"/>
        <v>3311715.1115615927</v>
      </c>
      <c r="J360" s="9">
        <f t="shared" si="398"/>
        <v>3177354.5507150805</v>
      </c>
      <c r="K360" s="9">
        <f>J360-I360</f>
        <v>-134360.56084651221</v>
      </c>
      <c r="L360" s="9">
        <f>SUM(L357:L359)</f>
        <v>622335.04140350362</v>
      </c>
      <c r="M360" s="9">
        <f>SUM(M357:M359)</f>
        <v>627022.25621157279</v>
      </c>
      <c r="N360" s="9">
        <f>M360-L360</f>
        <v>4687.2148080691695</v>
      </c>
      <c r="O360" s="9">
        <f>SUM(O357:O359)</f>
        <v>1452074.9707288721</v>
      </c>
      <c r="P360" s="9">
        <f>SUM(P357:P359)</f>
        <v>1456359.9763036198</v>
      </c>
      <c r="Q360" s="9">
        <f>P360-O360</f>
        <v>4285.0055747476872</v>
      </c>
      <c r="R360" s="9">
        <f>SUM(R357:R359)</f>
        <v>198052.73422126603</v>
      </c>
      <c r="S360" s="9">
        <f>SUM(S357:S359)</f>
        <v>198562.08235543859</v>
      </c>
      <c r="T360" s="9">
        <f>S360-R360</f>
        <v>509.34813417255646</v>
      </c>
      <c r="U360" s="9">
        <f>SUM(U357:U359)</f>
        <v>170840.29028594575</v>
      </c>
      <c r="V360" s="9">
        <f>SUM(V357:V359)</f>
        <v>122655.01149471404</v>
      </c>
      <c r="W360" s="9">
        <f>V360-U360</f>
        <v>-48185.278791231714</v>
      </c>
      <c r="X360" s="9">
        <f>SUM(X357:X359)</f>
        <v>2134146.1222038427</v>
      </c>
      <c r="Y360" s="9">
        <f>SUM(Y357:Y359)</f>
        <v>2018202.688040778</v>
      </c>
      <c r="Z360" s="9">
        <f>Y360-X360</f>
        <v>-115943.4341630647</v>
      </c>
      <c r="AA360" s="9">
        <f>SUM(AA357:AA359)</f>
        <v>0</v>
      </c>
      <c r="AB360" s="9">
        <f>SUM(AB357:AB359)</f>
        <v>0</v>
      </c>
      <c r="AC360" s="9">
        <f>AB360-AA360</f>
        <v>0</v>
      </c>
      <c r="AD360" s="9">
        <f>SUM(AD357:AD359)</f>
        <v>4276050.27795118</v>
      </c>
      <c r="AE360" s="9">
        <f>SUM(AE357:AE359)</f>
        <v>4272725.9380343575</v>
      </c>
      <c r="AF360" s="9">
        <f>AE360-AD360</f>
        <v>-3324.3399168225005</v>
      </c>
      <c r="AG360" s="9">
        <f>SUM(AG357:AG359)</f>
        <v>12165214.548356203</v>
      </c>
      <c r="AH360" s="9">
        <f>SUM(AH357:AH359)</f>
        <v>11872882.503155559</v>
      </c>
      <c r="AI360" s="9">
        <f>AH360-AG360</f>
        <v>-292332.04520064406</v>
      </c>
      <c r="AJ360" s="9">
        <f>SUM(AJ357:AJ359)</f>
        <v>5402652.8418001439</v>
      </c>
      <c r="AK360" s="9">
        <f>SUM(AK357:AK359)</f>
        <v>5089658.0648654513</v>
      </c>
      <c r="AL360" s="9">
        <f>AK360-AJ360</f>
        <v>-312994.77693469264</v>
      </c>
      <c r="AM360" s="9">
        <f>SUM(AM357:AM359)</f>
        <v>98391.790442063953</v>
      </c>
      <c r="AN360" s="9">
        <f>SUM(AN357:AN359)</f>
        <v>133479.41651030706</v>
      </c>
      <c r="AO360" s="9">
        <f>AN360-AM360</f>
        <v>35087.626068243102</v>
      </c>
      <c r="AP360" s="9">
        <f>SUM(AP357:AP359)</f>
        <v>1580055.5050484762</v>
      </c>
      <c r="AQ360" s="9">
        <f>SUM(AQ357:AQ359)</f>
        <v>1521680.5155787659</v>
      </c>
      <c r="AR360" s="9">
        <f>AQ360-AP360</f>
        <v>-58374.989469710272</v>
      </c>
      <c r="AS360" s="9">
        <f>SUM(AS357:AS359)</f>
        <v>16352639.368544396</v>
      </c>
      <c r="AT360" s="9">
        <f>SUM(AT357:AT359)</f>
        <v>11204500.932172567</v>
      </c>
      <c r="AU360" s="9">
        <f>AT360-AS360</f>
        <v>-5148138.4363718294</v>
      </c>
      <c r="AV360" s="9">
        <f>SUM(AV357:AV359)</f>
        <v>421966.92190779076</v>
      </c>
      <c r="AW360" s="9">
        <f>SUM(AW357:AW359)</f>
        <v>244892.87890789821</v>
      </c>
      <c r="AX360" s="9">
        <f>AW360-AV360</f>
        <v>-177074.04299989255</v>
      </c>
      <c r="AY360" s="9">
        <f>SUM(AY357:AY359)</f>
        <v>574133.98984974949</v>
      </c>
      <c r="AZ360" s="9">
        <f>SUM(AZ357:AZ359)</f>
        <v>384304.46552992484</v>
      </c>
      <c r="BA360" s="9">
        <f>AZ360-AY360</f>
        <v>-189829.52431982465</v>
      </c>
      <c r="BB360" s="9">
        <f>SUM(BB357:BB359)</f>
        <v>497539.5537640382</v>
      </c>
      <c r="BC360" s="9">
        <f>SUM(BC357:BC359)</f>
        <v>247315.59304122446</v>
      </c>
      <c r="BD360" s="9">
        <f>BC360-BB360</f>
        <v>-250223.96072281373</v>
      </c>
      <c r="BE360" s="9">
        <f>SUM(BE357:BE359)</f>
        <v>96781.425671792618</v>
      </c>
      <c r="BF360" s="9">
        <f>SUM(BF357:BF359)</f>
        <v>103201.87268114886</v>
      </c>
      <c r="BG360" s="9">
        <f>BF360-BE360</f>
        <v>6420.4470093562413</v>
      </c>
      <c r="BH360" s="9">
        <f>SUM(BH357:BH359)</f>
        <v>95370.580491616478</v>
      </c>
      <c r="BI360" s="9">
        <f>SUM(BI357:BI359)</f>
        <v>102762.33767541389</v>
      </c>
      <c r="BJ360" s="9">
        <f>BI360-BH360</f>
        <v>7391.7571837974101</v>
      </c>
      <c r="BK360" s="9">
        <f>SUM(BK357:BK359)</f>
        <v>351678.52569531556</v>
      </c>
      <c r="BL360" s="9">
        <f>SUM(BL357:BL359)</f>
        <v>588315.96175667341</v>
      </c>
      <c r="BM360" s="9">
        <f>BL360-BK360</f>
        <v>236637.43606135785</v>
      </c>
      <c r="BN360" s="9">
        <f>SUM(BN357:BN359)</f>
        <v>57441.739862650007</v>
      </c>
      <c r="BO360" s="9">
        <f>SUM(BO357:BO359)</f>
        <v>586262.44559897087</v>
      </c>
      <c r="BP360" s="9">
        <f>BO360-BN360</f>
        <v>528820.70573632082</v>
      </c>
      <c r="BQ360" s="9">
        <f>SUM(BQ357:BQ359)</f>
        <v>2094912.7372429532</v>
      </c>
      <c r="BR360" s="9">
        <f>SUM(BR357:BR359)</f>
        <v>2257055.5551912552</v>
      </c>
      <c r="BS360" s="157">
        <f>BR360-BQ360</f>
        <v>162142.81794830202</v>
      </c>
      <c r="BT360" s="9">
        <f>SUM(BT357:BT359)</f>
        <v>11540743.291122679</v>
      </c>
      <c r="BU360" s="9">
        <f>SUM(BU357:BU359)</f>
        <v>15917350.034858791</v>
      </c>
      <c r="BV360" s="9">
        <f>BU360-BT360</f>
        <v>4376606.7437361125</v>
      </c>
      <c r="BW360" s="9">
        <f>SUM(BW357:BW359)</f>
        <v>7623233.83331131</v>
      </c>
      <c r="BX360" s="9">
        <f>SUM(BX357:BX359)</f>
        <v>8451312.127701737</v>
      </c>
      <c r="BY360" s="9">
        <f>BX360-BW360</f>
        <v>828078.29439042695</v>
      </c>
      <c r="BZ360" s="9">
        <f>SUM(BZ357:BZ359)</f>
        <v>2854531.3481160784</v>
      </c>
      <c r="CA360" s="9">
        <f>SUM(CA357:CA359)</f>
        <v>1425738.7889488151</v>
      </c>
      <c r="CB360" s="9">
        <f>CA360-BZ360</f>
        <v>-1428792.5591672633</v>
      </c>
      <c r="CC360" s="9">
        <f>SUM(CC357:CC359)</f>
        <v>341087.99914859276</v>
      </c>
      <c r="CD360" s="9">
        <f>SUM(CD357:CD359)</f>
        <v>342223.9008051909</v>
      </c>
      <c r="CE360" s="9">
        <f>CD360-CC360</f>
        <v>1135.9016565981437</v>
      </c>
      <c r="CF360" s="9">
        <f>SUM(CF357:CF359)</f>
        <v>42256.62627935865</v>
      </c>
      <c r="CG360" s="9">
        <f>SUM(CG357:CG359)</f>
        <v>39744.796313493905</v>
      </c>
      <c r="CH360" s="9">
        <f>CG360-CF360</f>
        <v>-2511.8299658647447</v>
      </c>
      <c r="CI360" s="9">
        <f>SUM(CI357:CI359)</f>
        <v>2246886.6537402445</v>
      </c>
      <c r="CJ360" s="9">
        <f>SUM(CJ357:CJ359)</f>
        <v>2041475.9760328275</v>
      </c>
      <c r="CK360" s="9">
        <f>CJ360-CI360</f>
        <v>-205410.67770741694</v>
      </c>
      <c r="CL360" s="9">
        <f>SUM(CL357:CL359)</f>
        <v>1357127.7534292452</v>
      </c>
      <c r="CM360" s="9">
        <f>SUM(CM357:CM359)</f>
        <v>1881243.2870352964</v>
      </c>
      <c r="CN360" s="9">
        <f>CM360-CL360</f>
        <v>524115.53360605123</v>
      </c>
      <c r="CO360" s="9">
        <f>SUM(CO357:CO359)</f>
        <v>3604014.4071694901</v>
      </c>
      <c r="CP360" s="9">
        <f>SUM(CP357:CP359)</f>
        <v>3922719.2630681256</v>
      </c>
      <c r="CQ360" s="57">
        <f>CP360-CO360</f>
        <v>318704.85589863546</v>
      </c>
      <c r="CR360" s="9">
        <f>SUM(CR357:CR359)</f>
        <v>63699734.296581738</v>
      </c>
      <c r="CS360" s="9">
        <f>SUM(CS357:CS359)</f>
        <v>62178345.899170049</v>
      </c>
      <c r="CT360" s="57">
        <f>CS360-CR360</f>
        <v>-1521388.3974116892</v>
      </c>
      <c r="CU360" s="9">
        <f>SUM(CU357:CU359)</f>
        <v>76439681.155898094</v>
      </c>
      <c r="CV360" s="9">
        <f>SUM(CV357:CV359)</f>
        <v>74614015.079004049</v>
      </c>
      <c r="CW360" s="156">
        <f>CV360-CU360</f>
        <v>-1825666.0768940449</v>
      </c>
      <c r="CX360" s="9">
        <f>SUM(CX357:CX359)</f>
        <v>2311814.0810579536</v>
      </c>
      <c r="CY360" s="9">
        <f>SUM(CY357:CY359)</f>
        <v>4153033.1740372796</v>
      </c>
      <c r="CZ360" s="9">
        <f>CY360-CX360</f>
        <v>1841219.0929793259</v>
      </c>
      <c r="DA360" s="9">
        <f>SUM(DA357:DA359)</f>
        <v>1146618.6060093907</v>
      </c>
      <c r="DB360" s="53"/>
      <c r="DC360" s="9">
        <f>SUM(DC357:DC359)</f>
        <v>19001342.780000005</v>
      </c>
      <c r="DD360" s="9">
        <f>SUM(DD357:DD359)</f>
        <v>1480888.2400000005</v>
      </c>
      <c r="DE360" s="9">
        <f>SUM(DE357:DE359)</f>
        <v>10797995.410000002</v>
      </c>
      <c r="DF360" s="9">
        <f>SUM(DF357:DF359)</f>
        <v>1131895.46</v>
      </c>
      <c r="DG360" s="771"/>
      <c r="DH360" s="9">
        <f>SUM(DH357:DH359)</f>
        <v>944600780.9634726</v>
      </c>
      <c r="DI360" s="306">
        <f>SUM(DI357:DI359)</f>
        <v>0</v>
      </c>
      <c r="DJ360" s="53"/>
      <c r="DN360" s="53"/>
      <c r="DO360" s="53"/>
      <c r="DR360" s="9"/>
      <c r="DS360" s="737"/>
      <c r="DT360" s="9"/>
      <c r="DU360" s="744"/>
      <c r="DV360" s="9"/>
      <c r="DW360" s="908">
        <f>SUM(DW357:DW359)</f>
        <v>297492.95</v>
      </c>
      <c r="DX360" s="908">
        <f>SUM(DX357:DX359)</f>
        <v>22192.799999999999</v>
      </c>
      <c r="DY360" s="53"/>
      <c r="DZ360" s="53"/>
      <c r="EA360" s="782"/>
      <c r="EE360" s="306">
        <f>SUM(EE357:EE359)</f>
        <v>2988102</v>
      </c>
      <c r="EH360" s="306">
        <f>SUM(EH357:EH359)</f>
        <v>2842243.4859406529</v>
      </c>
      <c r="EI360" s="306">
        <f>SUM(EI357:EI359)</f>
        <v>2989842.4817379927</v>
      </c>
    </row>
    <row r="361" spans="1:139" hidden="1" x14ac:dyDescent="0.3">
      <c r="CX361" s="100">
        <f>CX360/CU360*100</f>
        <v>3.024363846237176</v>
      </c>
      <c r="DR361" s="28"/>
      <c r="DS361" s="735"/>
      <c r="DT361" s="28"/>
      <c r="DU361" s="743"/>
      <c r="DV361" s="5"/>
    </row>
    <row r="362" spans="1:139" hidden="1" x14ac:dyDescent="0.3">
      <c r="C362" s="4" t="s">
        <v>1033</v>
      </c>
      <c r="DR362" s="28"/>
      <c r="DS362" s="735"/>
      <c r="DT362" s="28"/>
      <c r="DU362" s="743"/>
      <c r="DV362" s="5"/>
    </row>
    <row r="363" spans="1:139" hidden="1" x14ac:dyDescent="0.3">
      <c r="A363" s="282"/>
      <c r="C363" s="28" t="s">
        <v>1014</v>
      </c>
      <c r="D363" s="3"/>
      <c r="E363" s="504"/>
      <c r="F363" s="29"/>
      <c r="G363" s="54"/>
      <c r="H363" s="310"/>
      <c r="I363" s="5"/>
      <c r="J363" s="329">
        <f>J357/I357</f>
        <v>0.79010336225199784</v>
      </c>
      <c r="K363" s="329"/>
      <c r="L363" s="329"/>
      <c r="M363" s="329">
        <f>M357/L357</f>
        <v>0.86440144638625294</v>
      </c>
      <c r="N363" s="329"/>
      <c r="O363" s="329"/>
      <c r="P363" s="329">
        <f>P357/O357</f>
        <v>1.0031808919616878</v>
      </c>
      <c r="Q363" s="329"/>
      <c r="R363" s="329"/>
      <c r="S363" s="329">
        <f>S357/R357</f>
        <v>1.0025039288572906</v>
      </c>
      <c r="T363" s="329"/>
      <c r="U363" s="329"/>
      <c r="V363" s="329">
        <f>V357/U357</f>
        <v>0.44700292980039985</v>
      </c>
      <c r="W363" s="329"/>
      <c r="X363" s="329"/>
      <c r="Y363" s="329">
        <f>Y357/X357</f>
        <v>0.7651444231365544</v>
      </c>
      <c r="Z363" s="329"/>
      <c r="AA363" s="329"/>
      <c r="AB363" s="329" t="e">
        <f>AB357/AA357</f>
        <v>#DIV/0!</v>
      </c>
      <c r="AC363" s="329"/>
      <c r="AD363" s="329"/>
      <c r="AE363" s="329">
        <f>AE357/AD357</f>
        <v>0.99738690780425032</v>
      </c>
      <c r="AF363" s="329"/>
      <c r="AG363" s="330"/>
      <c r="AH363" s="329">
        <f>AH357/AG357</f>
        <v>0.88934656580490434</v>
      </c>
      <c r="AI363" s="329"/>
      <c r="AJ363" s="329"/>
      <c r="AK363" s="329">
        <f>AK357/AJ357</f>
        <v>0.93130057624500229</v>
      </c>
      <c r="AL363" s="329"/>
      <c r="AM363" s="329"/>
      <c r="AN363" s="329">
        <f>AN357/AM357</f>
        <v>1.203918805728303</v>
      </c>
      <c r="AO363" s="329"/>
      <c r="AP363" s="329"/>
      <c r="AQ363" s="329">
        <f>AQ357/AP357</f>
        <v>0.9567132515128477</v>
      </c>
      <c r="AR363" s="329"/>
      <c r="AS363" s="329"/>
      <c r="AT363" s="329">
        <f>AT357/AS357</f>
        <v>0.75923230393397967</v>
      </c>
      <c r="AU363" s="329"/>
      <c r="AV363" s="329"/>
      <c r="AW363" s="329">
        <f>AW357/AV357</f>
        <v>0.8066622098343873</v>
      </c>
      <c r="AX363" s="329"/>
      <c r="AY363" s="329"/>
      <c r="AZ363" s="329">
        <f>AZ357/AY357</f>
        <v>1.5321807347414855</v>
      </c>
      <c r="BA363" s="329"/>
      <c r="BB363" s="329"/>
      <c r="BC363" s="329">
        <f>BC357/BB357</f>
        <v>0.62813796139719769</v>
      </c>
      <c r="BD363" s="329"/>
      <c r="BE363" s="329"/>
      <c r="BF363" s="329">
        <f>BF357/BE357</f>
        <v>1.3823348655088863</v>
      </c>
      <c r="BG363" s="329"/>
      <c r="BH363" s="329"/>
      <c r="BI363" s="329">
        <f>BI357/BH357</f>
        <v>0.71590827889392472</v>
      </c>
      <c r="BJ363" s="329"/>
      <c r="BK363" s="329"/>
      <c r="BL363" s="329">
        <f>BL357/BK357</f>
        <v>3.2197053686729173</v>
      </c>
      <c r="BM363" s="329"/>
      <c r="BN363" s="329"/>
      <c r="BO363" s="329">
        <f>BO357/BN357</f>
        <v>5.5159496740376328</v>
      </c>
      <c r="BP363" s="329"/>
      <c r="BQ363" s="330"/>
      <c r="BR363" s="329">
        <f>BR357/BQ357</f>
        <v>1.7571110367542206</v>
      </c>
      <c r="BS363" s="329"/>
      <c r="BT363" s="329"/>
      <c r="BU363" s="329">
        <f>BU357/BT357</f>
        <v>1.2375728025071073</v>
      </c>
      <c r="BV363" s="329"/>
      <c r="BW363" s="330"/>
      <c r="BX363" s="329">
        <f>BX357/BW357</f>
        <v>1.0708124865150646</v>
      </c>
      <c r="BY363" s="329"/>
      <c r="BZ363" s="329"/>
      <c r="CA363" s="329">
        <f>CA357/BZ357</f>
        <v>0.52810188476599484</v>
      </c>
      <c r="CB363" s="329"/>
      <c r="CC363" s="329"/>
      <c r="CD363" s="329">
        <f>CD357/CC357</f>
        <v>1.0033908884563307</v>
      </c>
      <c r="CE363" s="329"/>
      <c r="CF363" s="329"/>
      <c r="CG363" s="329">
        <f>CG357/CF357</f>
        <v>1.6863403018163208</v>
      </c>
      <c r="CH363" s="329"/>
      <c r="CI363" s="329"/>
      <c r="CJ363" s="329">
        <f>CJ357/CI357</f>
        <v>0.85566644639771472</v>
      </c>
      <c r="CK363" s="329"/>
      <c r="CL363" s="329"/>
      <c r="CM363" s="329">
        <f>CM357/CL357</f>
        <v>1.3114137492955935</v>
      </c>
      <c r="CN363" s="329"/>
      <c r="CO363" s="329"/>
      <c r="CP363" s="329">
        <f>CP357/CO357</f>
        <v>1.0662388943982655</v>
      </c>
      <c r="CQ363" s="329"/>
      <c r="CR363" s="329"/>
      <c r="CS363" s="329">
        <f>CS357/CR357</f>
        <v>0.97441505336560752</v>
      </c>
      <c r="CT363" s="329"/>
      <c r="CU363" s="329"/>
      <c r="CV363" s="329">
        <f>CV357/CU357</f>
        <v>0.97441505336560785</v>
      </c>
      <c r="CW363" s="5"/>
      <c r="CX363" s="5"/>
      <c r="CY363" s="238"/>
      <c r="CZ363" s="5"/>
      <c r="DC363" s="502">
        <f>'ДЗ нас '!C359</f>
        <v>16605847.699999988</v>
      </c>
      <c r="DD363" s="416">
        <f>'ДЗ нежит'!C147</f>
        <v>1678561.4899999998</v>
      </c>
      <c r="DU363" s="745"/>
      <c r="DV363" s="42"/>
    </row>
    <row r="364" spans="1:139" hidden="1" x14ac:dyDescent="0.3">
      <c r="A364" s="282"/>
      <c r="C364" s="28" t="s">
        <v>1015</v>
      </c>
      <c r="D364" s="3"/>
      <c r="E364" s="504"/>
      <c r="F364" s="29"/>
      <c r="G364" s="54"/>
      <c r="H364" s="310"/>
      <c r="I364" s="5"/>
      <c r="J364" s="329">
        <f>J358/I358</f>
        <v>1.0282873622971689</v>
      </c>
      <c r="K364" s="329"/>
      <c r="L364" s="329"/>
      <c r="M364" s="329">
        <f>M358/L358</f>
        <v>1.0508679924127518</v>
      </c>
      <c r="N364" s="329"/>
      <c r="O364" s="329"/>
      <c r="P364" s="329">
        <f>P358/O358</f>
        <v>1.0027688107885333</v>
      </c>
      <c r="Q364" s="329"/>
      <c r="R364" s="329"/>
      <c r="S364" s="329">
        <f>S358/R358</f>
        <v>1.0026731779760865</v>
      </c>
      <c r="T364" s="329"/>
      <c r="U364" s="329"/>
      <c r="V364" s="329">
        <f>V358/U358</f>
        <v>1.4841388907031068</v>
      </c>
      <c r="W364" s="329"/>
      <c r="X364" s="329"/>
      <c r="Y364" s="329">
        <f>Y358/X358</f>
        <v>1.0028105108080521</v>
      </c>
      <c r="Z364" s="329"/>
      <c r="AA364" s="329"/>
      <c r="AB364" s="329" t="e">
        <f>AB358/AA358</f>
        <v>#DIV/0!</v>
      </c>
      <c r="AC364" s="329"/>
      <c r="AD364" s="329"/>
      <c r="AE364" s="329">
        <f>AE358/AD358</f>
        <v>1.000778780778125</v>
      </c>
      <c r="AF364" s="329"/>
      <c r="AG364" s="330"/>
      <c r="AH364" s="329">
        <f>AH358/AG358</f>
        <v>1.0151939614124004</v>
      </c>
      <c r="AI364" s="329"/>
      <c r="AJ364" s="329"/>
      <c r="AK364" s="329">
        <f>AK358/AJ358</f>
        <v>0.94367769837808024</v>
      </c>
      <c r="AL364" s="329"/>
      <c r="AM364" s="329"/>
      <c r="AN364" s="329">
        <f>AN358/AM358</f>
        <v>1.4035211569855286</v>
      </c>
      <c r="AO364" s="329"/>
      <c r="AP364" s="329"/>
      <c r="AQ364" s="329">
        <f>AQ358/AP358</f>
        <v>0.95109163488748338</v>
      </c>
      <c r="AR364" s="329"/>
      <c r="AS364" s="329"/>
      <c r="AT364" s="329">
        <f>AT358/AS358</f>
        <v>0.69136359558290716</v>
      </c>
      <c r="AU364" s="329"/>
      <c r="AV364" s="329"/>
      <c r="AW364" s="329">
        <f>AW358/AV358</f>
        <v>0.57367287747037199</v>
      </c>
      <c r="AX364" s="329"/>
      <c r="AY364" s="329"/>
      <c r="AZ364" s="329">
        <f>AZ358/AY358</f>
        <v>0.21509720546086009</v>
      </c>
      <c r="BA364" s="329"/>
      <c r="BB364" s="329"/>
      <c r="BC364" s="329">
        <f>BC358/BB358</f>
        <v>0.22094756160141679</v>
      </c>
      <c r="BD364" s="329"/>
      <c r="BE364" s="329"/>
      <c r="BF364" s="329">
        <f>BF358/BE358</f>
        <v>0.87302992824179637</v>
      </c>
      <c r="BG364" s="329"/>
      <c r="BH364" s="329"/>
      <c r="BI364" s="329">
        <f>BI358/BH358</f>
        <v>1.8699772880326859</v>
      </c>
      <c r="BJ364" s="329"/>
      <c r="BK364" s="329"/>
      <c r="BL364" s="329">
        <f>BL358/BK358</f>
        <v>0.82684028311854585</v>
      </c>
      <c r="BM364" s="329"/>
      <c r="BN364" s="329"/>
      <c r="BO364" s="329">
        <f>BO358/BN358</f>
        <v>19.630527187636957</v>
      </c>
      <c r="BP364" s="329"/>
      <c r="BQ364" s="330"/>
      <c r="BR364" s="329">
        <f>BR358/BQ358</f>
        <v>0.63433179698831299</v>
      </c>
      <c r="BS364" s="329"/>
      <c r="BT364" s="329"/>
      <c r="BU364" s="329">
        <f>BU358/BT358</f>
        <v>1.5395564368020787</v>
      </c>
      <c r="BV364" s="329"/>
      <c r="BW364" s="330"/>
      <c r="BX364" s="329">
        <f>BX358/BW358</f>
        <v>1.1563601321122536</v>
      </c>
      <c r="BY364" s="329"/>
      <c r="BZ364" s="329"/>
      <c r="CA364" s="329">
        <f>CA358/BZ358</f>
        <v>0.41444905248655595</v>
      </c>
      <c r="CB364" s="329"/>
      <c r="CC364" s="329"/>
      <c r="CD364" s="329">
        <f>CD358/CC358</f>
        <v>1.0032168536631445</v>
      </c>
      <c r="CE364" s="329"/>
      <c r="CF364" s="329"/>
      <c r="CG364" s="329">
        <f>CG358/CF358</f>
        <v>0.79509727205033498</v>
      </c>
      <c r="CH364" s="329"/>
      <c r="CI364" s="329"/>
      <c r="CJ364" s="329">
        <f>CJ358/CI358</f>
        <v>0.9310338648972919</v>
      </c>
      <c r="CK364" s="329"/>
      <c r="CL364" s="329"/>
      <c r="CM364" s="329">
        <f>CM358/CL358</f>
        <v>1.5131703217758263</v>
      </c>
      <c r="CN364" s="329"/>
      <c r="CO364" s="329"/>
      <c r="CP364" s="329">
        <f>CP358/CO358</f>
        <v>1.0765514017983313</v>
      </c>
      <c r="CQ364" s="329"/>
      <c r="CR364" s="329"/>
      <c r="CS364" s="329">
        <f>CS358/CR358</f>
        <v>0.99929610502450739</v>
      </c>
      <c r="CT364" s="329"/>
      <c r="CU364" s="329"/>
      <c r="CV364" s="329">
        <f>CV358/CU358</f>
        <v>0.99929610502450805</v>
      </c>
      <c r="CW364" s="5"/>
      <c r="CX364" s="5"/>
      <c r="CY364" s="238"/>
      <c r="CZ364" s="5"/>
      <c r="DD364" s="420"/>
      <c r="DG364" s="783">
        <f>SUMIF(DG9:DG353,"&gt;0")</f>
        <v>6794600.1941112876</v>
      </c>
      <c r="DU364" s="743"/>
      <c r="DV364" s="5"/>
      <c r="EE364" s="754">
        <f>SUMIF(EE9:EE353,"&gt;0")</f>
        <v>6528911</v>
      </c>
      <c r="EF364" s="754">
        <f>SUMIF(EF9:EF353,"&gt;0")</f>
        <v>7782097.3445388228</v>
      </c>
      <c r="EH364" s="754">
        <f>SUMIF(EH9:EH353,"&gt;0")</f>
        <v>9343621.2725550905</v>
      </c>
    </row>
    <row r="365" spans="1:139" hidden="1" x14ac:dyDescent="0.3">
      <c r="A365" s="282"/>
      <c r="C365" s="28" t="s">
        <v>1016</v>
      </c>
      <c r="D365" s="3"/>
      <c r="E365" s="504"/>
      <c r="F365" s="29"/>
      <c r="G365" s="54"/>
      <c r="H365" s="310"/>
      <c r="I365" s="5"/>
      <c r="J365" s="329">
        <f>J359/I359</f>
        <v>1.0412782517528196</v>
      </c>
      <c r="K365" s="329"/>
      <c r="L365" s="329"/>
      <c r="M365" s="329">
        <f>M359/L359</f>
        <v>1.0886353333463687</v>
      </c>
      <c r="N365" s="329"/>
      <c r="O365" s="329"/>
      <c r="P365" s="329">
        <f>P359/O359</f>
        <v>1.0028745136180892</v>
      </c>
      <c r="Q365" s="329"/>
      <c r="R365" s="329"/>
      <c r="S365" s="329">
        <f>S359/R359</f>
        <v>1.0026319221842717</v>
      </c>
      <c r="T365" s="329"/>
      <c r="U365" s="329"/>
      <c r="V365" s="329">
        <f>V359/U359</f>
        <v>0.72296500998117164</v>
      </c>
      <c r="W365" s="329"/>
      <c r="X365" s="329"/>
      <c r="Y365" s="329">
        <f>Y359/X359</f>
        <v>1.0646597957518598</v>
      </c>
      <c r="Z365" s="329"/>
      <c r="AA365" s="329"/>
      <c r="AB365" s="329" t="e">
        <f>AB359/AA359</f>
        <v>#DIV/0!</v>
      </c>
      <c r="AC365" s="329"/>
      <c r="AD365" s="329"/>
      <c r="AE365" s="329">
        <f>AE359/AD359</f>
        <v>0.99946297839039488</v>
      </c>
      <c r="AF365" s="329"/>
      <c r="AG365" s="330"/>
      <c r="AH365" s="329">
        <f>AH359/AG359</f>
        <v>1.0240623759397218</v>
      </c>
      <c r="AI365" s="329"/>
      <c r="AJ365" s="329"/>
      <c r="AK365" s="329">
        <f>AK359/AJ359</f>
        <v>0.95949529431706437</v>
      </c>
      <c r="AL365" s="329"/>
      <c r="AM365" s="329"/>
      <c r="AN365" s="329">
        <f>AN359/AM359</f>
        <v>2.1670825443260058</v>
      </c>
      <c r="AO365" s="329"/>
      <c r="AP365" s="329"/>
      <c r="AQ365" s="329">
        <f>AQ359/AP359</f>
        <v>0.98599076256727458</v>
      </c>
      <c r="AR365" s="329"/>
      <c r="AS365" s="329"/>
      <c r="AT365" s="329">
        <f>AT359/AS359</f>
        <v>0.60861165661238992</v>
      </c>
      <c r="AU365" s="329"/>
      <c r="AV365" s="329"/>
      <c r="AW365" s="329">
        <f>AW359/AV359</f>
        <v>0.42935888710239672</v>
      </c>
      <c r="AX365" s="329"/>
      <c r="AY365" s="329"/>
      <c r="AZ365" s="329">
        <f>AZ359/AY359</f>
        <v>0.72990347948599921</v>
      </c>
      <c r="BA365" s="329"/>
      <c r="BB365" s="329"/>
      <c r="BC365" s="329">
        <f>BC359/BB359</f>
        <v>0.75511195099628803</v>
      </c>
      <c r="BD365" s="329"/>
      <c r="BE365" s="329"/>
      <c r="BF365" s="329">
        <f>BF359/BE359</f>
        <v>0.77394629659487146</v>
      </c>
      <c r="BG365" s="329"/>
      <c r="BH365" s="329"/>
      <c r="BI365" s="329">
        <f>BI359/BH359</f>
        <v>1.0712321174068036</v>
      </c>
      <c r="BJ365" s="329"/>
      <c r="BK365" s="329"/>
      <c r="BL365" s="329">
        <f>BL359/BK359</f>
        <v>1.3023410464212279</v>
      </c>
      <c r="BM365" s="329"/>
      <c r="BN365" s="329"/>
      <c r="BO365" s="329">
        <f>BO359/BN359</f>
        <v>27.512270425221818</v>
      </c>
      <c r="BP365" s="329"/>
      <c r="BQ365" s="330"/>
      <c r="BR365" s="329">
        <f>BR359/BQ359</f>
        <v>1.0600054627574493</v>
      </c>
      <c r="BS365" s="329"/>
      <c r="BT365" s="329"/>
      <c r="BU365" s="329">
        <f>BU359/BT359</f>
        <v>1.3946270757577608</v>
      </c>
      <c r="BV365" s="329"/>
      <c r="BW365" s="330"/>
      <c r="BX365" s="329">
        <f>BX359/BW359</f>
        <v>1.1069863729182021</v>
      </c>
      <c r="BY365" s="329"/>
      <c r="BZ365" s="329"/>
      <c r="CA365" s="329">
        <f>CA359/BZ359</f>
        <v>0.6559139195301863</v>
      </c>
      <c r="CB365" s="329"/>
      <c r="CC365" s="329"/>
      <c r="CD365" s="329">
        <f>CD359/CC359</f>
        <v>1.0033905777327812</v>
      </c>
      <c r="CE365" s="329"/>
      <c r="CF365" s="329"/>
      <c r="CG365" s="329">
        <f>CG359/CF359</f>
        <v>0.46422446589295774</v>
      </c>
      <c r="CH365" s="329"/>
      <c r="CI365" s="329"/>
      <c r="CJ365" s="329">
        <f>CJ359/CI359</f>
        <v>0.94705528463280719</v>
      </c>
      <c r="CK365" s="329"/>
      <c r="CL365" s="329"/>
      <c r="CM365" s="329">
        <f>CM359/CL359</f>
        <v>1.4511243464097434</v>
      </c>
      <c r="CN365" s="329"/>
      <c r="CO365" s="329"/>
      <c r="CP365" s="329">
        <f>CP359/CO359</f>
        <v>1.1243432345347144</v>
      </c>
      <c r="CQ365" s="329"/>
      <c r="CR365" s="329"/>
      <c r="CS365" s="329">
        <f>CS359/CR359</f>
        <v>0.95470769621476448</v>
      </c>
      <c r="CT365" s="329"/>
      <c r="CU365" s="329"/>
      <c r="CV365" s="329">
        <f>CV359/CU359</f>
        <v>0.95470769621476292</v>
      </c>
      <c r="CW365" s="5"/>
      <c r="CX365" s="5"/>
      <c r="CY365" s="238"/>
      <c r="CZ365" s="5"/>
      <c r="DG365" s="783">
        <f>SUMIF(DG9:DG353,"&lt;0")</f>
        <v>-6604731.9858148415</v>
      </c>
      <c r="DU365" s="743"/>
      <c r="DV365" s="5"/>
      <c r="EE365" s="754">
        <f>SUMIF(EE9:EE353,"&lt;0")</f>
        <v>-3540809</v>
      </c>
      <c r="EF365" s="754">
        <f>SUMIF(EF9:EF353,"&lt;0")</f>
        <v>-4604127.1362423785</v>
      </c>
      <c r="EH365" s="754">
        <f>SUMIF(EH9:EH353,"&lt;0")</f>
        <v>-6501377.7866144385</v>
      </c>
    </row>
    <row r="366" spans="1:139" hidden="1" x14ac:dyDescent="0.3">
      <c r="A366" s="282"/>
      <c r="C366" s="30" t="s">
        <v>948</v>
      </c>
      <c r="D366" s="3"/>
      <c r="E366" s="504"/>
      <c r="F366" s="29"/>
      <c r="G366" s="54"/>
      <c r="H366" s="310"/>
      <c r="I366" s="5"/>
      <c r="J366" s="330">
        <f>J360/I360</f>
        <v>0.95942870798957214</v>
      </c>
      <c r="K366" s="329"/>
      <c r="L366" s="329"/>
      <c r="M366" s="330">
        <f>M360/L360</f>
        <v>1.00753165818447</v>
      </c>
      <c r="N366" s="329"/>
      <c r="O366" s="329"/>
      <c r="P366" s="330">
        <f>P360/O360</f>
        <v>1.0029509534019423</v>
      </c>
      <c r="Q366" s="329"/>
      <c r="R366" s="329"/>
      <c r="S366" s="330">
        <f>S360/R360</f>
        <v>1.0025717803703913</v>
      </c>
      <c r="T366" s="329"/>
      <c r="U366" s="329"/>
      <c r="V366" s="330">
        <f>V360/U360</f>
        <v>0.71795131751075181</v>
      </c>
      <c r="W366" s="329"/>
      <c r="X366" s="329"/>
      <c r="Y366" s="330">
        <f>Y360/X360</f>
        <v>0.94567221383916544</v>
      </c>
      <c r="Z366" s="329"/>
      <c r="AA366" s="329"/>
      <c r="AB366" s="330" t="e">
        <f>AB360/AA360</f>
        <v>#DIV/0!</v>
      </c>
      <c r="AC366" s="329"/>
      <c r="AD366" s="329"/>
      <c r="AE366" s="330">
        <f>AE360/AD360</f>
        <v>0.99922256762649309</v>
      </c>
      <c r="AF366" s="329"/>
      <c r="AG366" s="330"/>
      <c r="AH366" s="330">
        <f>AH360/AG360</f>
        <v>0.97596984056149305</v>
      </c>
      <c r="AI366" s="329"/>
      <c r="AJ366" s="329"/>
      <c r="AK366" s="330">
        <f>AK360/AJ360</f>
        <v>0.94206646510524195</v>
      </c>
      <c r="AL366" s="329"/>
      <c r="AM366" s="329"/>
      <c r="AN366" s="330">
        <f>AN360/AM360</f>
        <v>1.356611317982914</v>
      </c>
      <c r="AO366" s="329"/>
      <c r="AP366" s="329"/>
      <c r="AQ366" s="330">
        <f>AQ360/AP360</f>
        <v>0.9630551019991419</v>
      </c>
      <c r="AR366" s="329"/>
      <c r="AS366" s="329"/>
      <c r="AT366" s="330">
        <f>AT360/AS360</f>
        <v>0.68517996878995058</v>
      </c>
      <c r="AU366" s="329"/>
      <c r="AV366" s="329"/>
      <c r="AW366" s="330">
        <f>AW360/AV360</f>
        <v>0.5803603699567067</v>
      </c>
      <c r="AX366" s="329"/>
      <c r="AY366" s="329"/>
      <c r="AZ366" s="330">
        <f>AZ360/AY360</f>
        <v>0.66936372401588184</v>
      </c>
      <c r="BA366" s="329"/>
      <c r="BB366" s="329"/>
      <c r="BC366" s="330">
        <f>BC360/BB360</f>
        <v>0.49707724977885015</v>
      </c>
      <c r="BD366" s="329"/>
      <c r="BE366" s="329"/>
      <c r="BF366" s="330">
        <f>BF360/BE360</f>
        <v>1.0663396614049623</v>
      </c>
      <c r="BG366" s="329"/>
      <c r="BH366" s="329"/>
      <c r="BI366" s="330">
        <f>BI360/BH360</f>
        <v>1.0775056327191714</v>
      </c>
      <c r="BJ366" s="329"/>
      <c r="BK366" s="329"/>
      <c r="BL366" s="330">
        <f>BL360/BK360</f>
        <v>1.6728799706877011</v>
      </c>
      <c r="BM366" s="329"/>
      <c r="BN366" s="329"/>
      <c r="BO366" s="330">
        <f>BO360/BN360</f>
        <v>10.206209752712812</v>
      </c>
      <c r="BP366" s="329"/>
      <c r="BQ366" s="330"/>
      <c r="BR366" s="330">
        <f>BR360/BQ360</f>
        <v>1.0773983636958993</v>
      </c>
      <c r="BS366" s="329"/>
      <c r="BT366" s="329"/>
      <c r="BU366" s="330">
        <f>BU360/BT360</f>
        <v>1.3792309241556968</v>
      </c>
      <c r="BV366" s="329"/>
      <c r="BW366" s="330"/>
      <c r="BX366" s="330">
        <f>BX360/BW360</f>
        <v>1.1086255928254445</v>
      </c>
      <c r="BY366" s="329"/>
      <c r="BZ366" s="329"/>
      <c r="CA366" s="330">
        <f>CA360/BZ360</f>
        <v>0.49946510129929672</v>
      </c>
      <c r="CB366" s="329"/>
      <c r="CC366" s="329"/>
      <c r="CD366" s="330">
        <f>CD360/CC360</f>
        <v>1.0033302304960408</v>
      </c>
      <c r="CE366" s="329"/>
      <c r="CF366" s="329"/>
      <c r="CG366" s="330">
        <f>CG360/CF360</f>
        <v>0.94055772580472863</v>
      </c>
      <c r="CH366" s="329"/>
      <c r="CI366" s="329"/>
      <c r="CJ366" s="330">
        <f>CJ360/CI360</f>
        <v>0.90857986656092182</v>
      </c>
      <c r="CK366" s="329"/>
      <c r="CL366" s="329"/>
      <c r="CM366" s="330">
        <f>CM360/CL360</f>
        <v>1.3861946911642584</v>
      </c>
      <c r="CN366" s="329"/>
      <c r="CO366" s="329"/>
      <c r="CP366" s="330">
        <f>CP360/CO360</f>
        <v>1.0884305166107644</v>
      </c>
      <c r="CQ366" s="329"/>
      <c r="CR366" s="329"/>
      <c r="CS366" s="330">
        <f>CS360/CR360</f>
        <v>0.97611625206585317</v>
      </c>
      <c r="CT366" s="329"/>
      <c r="CU366" s="329"/>
      <c r="CV366" s="330">
        <f>CV360/CU360</f>
        <v>0.97611625206585284</v>
      </c>
      <c r="CW366" s="5"/>
      <c r="CX366" s="5"/>
      <c r="CY366" s="239"/>
      <c r="CZ366" s="5"/>
      <c r="DG366" s="795">
        <f>SUM(DG364:DG365)</f>
        <v>189868.20829644613</v>
      </c>
      <c r="DU366" s="743"/>
      <c r="DV366" s="5"/>
      <c r="EE366" s="306">
        <f>SUM(EE364:EE365)</f>
        <v>2988102</v>
      </c>
      <c r="EF366" s="306">
        <f>SUM(EF364:EF365)</f>
        <v>3177970.2082964443</v>
      </c>
      <c r="EH366" s="306">
        <f>SUM(EH364:EH365)</f>
        <v>2842243.485940652</v>
      </c>
    </row>
    <row r="368" spans="1:139" x14ac:dyDescent="0.3">
      <c r="B368" s="3"/>
      <c r="C368" s="485" t="s">
        <v>1724</v>
      </c>
      <c r="CW368" s="795"/>
      <c r="CX368" s="421"/>
    </row>
    <row r="369" spans="2:108" x14ac:dyDescent="0.3">
      <c r="B369" s="282" t="s">
        <v>1670</v>
      </c>
      <c r="C369" s="28">
        <f>COUNTIF($DB$9:$DB$353,1)</f>
        <v>83</v>
      </c>
      <c r="I369" s="8">
        <f>'новий кошторис с 01.06'!G400</f>
        <v>266018.59386543749</v>
      </c>
      <c r="L369" s="8">
        <f>'новий кошторис с 01.06'!H400</f>
        <v>49900.785871810935</v>
      </c>
      <c r="O369" s="8">
        <f>'новий кошторис с 01.06'!I400</f>
        <v>115231.59999999995</v>
      </c>
      <c r="R369" s="8">
        <f>'новий кошторис с 01.06'!J400</f>
        <v>15747.63</v>
      </c>
      <c r="U369" s="8">
        <f>'новий кошторис с 01.06'!K400</f>
        <v>13259.600033208082</v>
      </c>
      <c r="X369" s="8">
        <f>'новий кошторис с 01.06'!L400</f>
        <v>175948.32096084414</v>
      </c>
      <c r="AA369" s="8">
        <f>'новий кошторис с 01.06'!M400</f>
        <v>0</v>
      </c>
      <c r="AD369" s="8">
        <f>'новий кошторис с 01.06'!N400</f>
        <v>353456.21545499988</v>
      </c>
      <c r="AG369" s="53">
        <f>'новий кошторис с 01.06'!G400+'новий кошторис с 01.06'!H400+'новий кошторис с 01.06'!I400+'новий кошторис с 01.06'!J400+'новий кошторис с 01.06'!K400+'новий кошторис с 01.06'!L400+'новий кошторис с 01.06'!M400+'новий кошторис с 01.06'!N400</f>
        <v>989562.74618630041</v>
      </c>
      <c r="AJ369" s="8">
        <f>'новий кошторис с 01.06'!O400</f>
        <v>433516.7566083236</v>
      </c>
      <c r="AM369" s="8">
        <f>'новий кошторис с 01.06'!P400</f>
        <v>6321.4207560033492</v>
      </c>
      <c r="AP369" s="8">
        <f>'новий кошторис с 01.06'!Q400</f>
        <v>127646.14054152781</v>
      </c>
      <c r="AS369" s="8">
        <f>'новий кошторис с 01.06'!R400</f>
        <v>1259253.1654243264</v>
      </c>
      <c r="AV369" s="8">
        <f>'новий кошторис с 01.06'!S400</f>
        <v>32039.261830197276</v>
      </c>
      <c r="AY369" s="8">
        <f>'новий кошторис с 01.06'!T400</f>
        <v>46416.732983447531</v>
      </c>
      <c r="BB369" s="8">
        <f>'новий кошторис с 01.06'!U400</f>
        <v>40461.088950519908</v>
      </c>
      <c r="BE369" s="8">
        <f>'новий кошторис с 01.06'!V400</f>
        <v>8400.399645326479</v>
      </c>
      <c r="BH369" s="8">
        <f>'новий кошторис с 01.06'!W400</f>
        <v>7303.1021113181869</v>
      </c>
      <c r="BK369" s="8">
        <f>'новий кошторис с 01.06'!X400</f>
        <v>21474.005869733857</v>
      </c>
      <c r="BN369" s="8">
        <f>'новий кошторис с 01.06'!Y400</f>
        <v>3867.7544070952185</v>
      </c>
      <c r="BQ369" s="53">
        <f>'новий кошторис с 01.06'!S400+'новий кошторис с 01.06'!T400+'новий кошторис с 01.06'!U400+'новий кошторис с 01.06'!V400+'новий кошторис с 01.06'!W400+'новий кошторис с 01.06'!X400+'новий кошторис с 01.06'!Y400</f>
        <v>159962.34579763847</v>
      </c>
      <c r="BT369" s="8">
        <f>'новий кошторис с 01.06'!Z400</f>
        <v>957440.05647872132</v>
      </c>
      <c r="BW369" s="53">
        <f>'новий кошторис с 01.06'!AA400</f>
        <v>623336.2386100837</v>
      </c>
      <c r="BZ369" s="8">
        <f>'новий кошторис с 01.06'!AB400</f>
        <v>205777.32805190506</v>
      </c>
      <c r="CC369" s="8">
        <f>'новий кошторис с 01.06'!AC400</f>
        <v>27513.451783710028</v>
      </c>
      <c r="CF369" s="8">
        <f>'новий кошторис с 01.06'!AD400</f>
        <v>3387.0726627673357</v>
      </c>
      <c r="CI369" s="8">
        <f>'новий кошторис с 01.06'!AE400</f>
        <v>178424.49694881035</v>
      </c>
      <c r="CL369" s="8">
        <f>'новий кошторис с 01.06'!AF400</f>
        <v>97370.905662400604</v>
      </c>
      <c r="CO369" s="8">
        <f>'новий кошторис с 01.06'!AE400+'новий кошторис с 01.06'!AF400</f>
        <v>275795.40261121094</v>
      </c>
      <c r="CR369" s="8">
        <f>SUM('новий кошторис с 01.06'!G400:AF400)</f>
        <v>5069512.125512518</v>
      </c>
      <c r="CU369" s="8">
        <f>CR369*1.2</f>
        <v>6083414.550615021</v>
      </c>
      <c r="CW369" s="754"/>
      <c r="CX369" s="796"/>
    </row>
    <row r="370" spans="2:108" x14ac:dyDescent="0.3">
      <c r="B370" s="282" t="s">
        <v>1671</v>
      </c>
      <c r="C370" s="28">
        <f>COUNTIF($DB$9:$DB$353,2)</f>
        <v>152</v>
      </c>
      <c r="CW370" s="754"/>
      <c r="CX370" s="796"/>
      <c r="DD370" s="416">
        <f>'ДЗ нежит'!C142</f>
        <v>893.24</v>
      </c>
    </row>
    <row r="371" spans="2:108" x14ac:dyDescent="0.3">
      <c r="B371" s="282" t="s">
        <v>1672</v>
      </c>
      <c r="C371" s="28">
        <f>COUNTIF($DB$9:$DB$353,3)</f>
        <v>110</v>
      </c>
      <c r="CR371" s="8">
        <v>36704</v>
      </c>
      <c r="CW371" s="306"/>
      <c r="CX371" s="421"/>
      <c r="DD371" s="416">
        <f>DD370-DD360</f>
        <v>-1479995.0000000005</v>
      </c>
    </row>
    <row r="372" spans="2:108" x14ac:dyDescent="0.3">
      <c r="B372" s="3"/>
      <c r="C372" s="485">
        <f>SUM(C369:C371)</f>
        <v>345</v>
      </c>
      <c r="CR372" s="8">
        <v>36440</v>
      </c>
    </row>
    <row r="373" spans="2:108" x14ac:dyDescent="0.3">
      <c r="CR373" s="8">
        <v>22828</v>
      </c>
    </row>
    <row r="374" spans="2:108" x14ac:dyDescent="0.3">
      <c r="CR374" s="8">
        <v>27922</v>
      </c>
    </row>
    <row r="375" spans="2:108" x14ac:dyDescent="0.3">
      <c r="C375" s="30" t="s">
        <v>1724</v>
      </c>
      <c r="D375" s="30"/>
      <c r="BZ375" s="53"/>
      <c r="CR375" s="8">
        <v>12760</v>
      </c>
    </row>
    <row r="376" spans="2:108" x14ac:dyDescent="0.3">
      <c r="C376" s="30" t="s">
        <v>1725</v>
      </c>
      <c r="D376" s="30">
        <f>COUNTIF($D$9:$D$353,1)</f>
        <v>0</v>
      </c>
      <c r="BZ376" s="53"/>
      <c r="CR376" s="8">
        <v>24286</v>
      </c>
    </row>
    <row r="377" spans="2:108" x14ac:dyDescent="0.3">
      <c r="C377" s="30" t="s">
        <v>1726</v>
      </c>
      <c r="D377" s="30">
        <f>COUNTIF($D$9:$D$353,2)</f>
        <v>0</v>
      </c>
      <c r="BZ377" s="53"/>
    </row>
    <row r="378" spans="2:108" x14ac:dyDescent="0.3">
      <c r="C378" s="30" t="s">
        <v>1727</v>
      </c>
      <c r="D378" s="30">
        <f>COUNTIF($D$9:$D$353,3)</f>
        <v>0</v>
      </c>
      <c r="BZ378" s="53"/>
    </row>
    <row r="379" spans="2:108" x14ac:dyDescent="0.3">
      <c r="C379" s="30" t="s">
        <v>1728</v>
      </c>
      <c r="D379" s="30">
        <f>COUNTIF($D$9:$D$353,4)</f>
        <v>0</v>
      </c>
      <c r="BZ379" s="53"/>
    </row>
    <row r="380" spans="2:108" x14ac:dyDescent="0.3">
      <c r="C380" s="30" t="s">
        <v>1729</v>
      </c>
      <c r="D380" s="30">
        <f>COUNTIF($D$9:$D$353,5)</f>
        <v>0</v>
      </c>
      <c r="BZ380" s="53"/>
    </row>
    <row r="381" spans="2:108" x14ac:dyDescent="0.3">
      <c r="C381" s="30" t="s">
        <v>1730</v>
      </c>
      <c r="D381" s="30">
        <f>COUNTIF($D$9:$D$353,6)</f>
        <v>0</v>
      </c>
      <c r="BZ381" s="53"/>
    </row>
    <row r="382" spans="2:108" x14ac:dyDescent="0.3">
      <c r="C382" s="30" t="s">
        <v>1731</v>
      </c>
      <c r="D382" s="30">
        <f>COUNTIF($D$9:$D$353,8)</f>
        <v>0</v>
      </c>
      <c r="BZ382" s="53"/>
    </row>
    <row r="383" spans="2:108" x14ac:dyDescent="0.3">
      <c r="C383" s="30" t="s">
        <v>1732</v>
      </c>
      <c r="D383" s="30">
        <f>COUNTIF($D$9:$D$353,9)</f>
        <v>0</v>
      </c>
      <c r="BZ383" s="53"/>
    </row>
    <row r="384" spans="2:108" x14ac:dyDescent="0.3">
      <c r="C384" s="30" t="s">
        <v>1733</v>
      </c>
      <c r="D384" s="30">
        <f>COUNTIF($D$9:$D$353,10)</f>
        <v>0</v>
      </c>
      <c r="BZ384" s="53"/>
    </row>
    <row r="385" spans="3:78" x14ac:dyDescent="0.3">
      <c r="C385" s="30" t="s">
        <v>1734</v>
      </c>
      <c r="D385" s="30">
        <f>COUNTIF($D$9:$D$353,14)</f>
        <v>0</v>
      </c>
      <c r="BZ385" s="53"/>
    </row>
    <row r="386" spans="3:78" x14ac:dyDescent="0.3">
      <c r="C386" s="30" t="s">
        <v>1735</v>
      </c>
      <c r="D386" s="30">
        <f>COUNTIF($D$9:$D$353,16)</f>
        <v>0</v>
      </c>
    </row>
    <row r="387" spans="3:78" x14ac:dyDescent="0.3">
      <c r="C387" s="30"/>
      <c r="D387" s="30">
        <f>SUM(D376:D386)</f>
        <v>0</v>
      </c>
    </row>
  </sheetData>
  <autoFilter ref="A8:EH366" xr:uid="{00000000-0001-0000-0300-000000000000}">
    <filterColumn colId="2">
      <filters>
        <filter val="вул.ТРОЛЕЙБУСНА,  15"/>
      </filters>
    </filterColumn>
  </autoFilter>
  <sortState xmlns:xlrd2="http://schemas.microsoft.com/office/spreadsheetml/2017/richdata2" ref="A9:EH353">
    <sortCondition ref="C9:C353"/>
  </sortState>
  <mergeCells count="58">
    <mergeCell ref="EI6:EI8"/>
    <mergeCell ref="EH6:EH8"/>
    <mergeCell ref="DM6:DM8"/>
    <mergeCell ref="DG6:DG8"/>
    <mergeCell ref="CX6:CZ7"/>
    <mergeCell ref="DA6:DA8"/>
    <mergeCell ref="DC7:DD7"/>
    <mergeCell ref="DC6:DD6"/>
    <mergeCell ref="DE6:DE8"/>
    <mergeCell ref="DK6:DK8"/>
    <mergeCell ref="DL6:DL8"/>
    <mergeCell ref="DH6:DH8"/>
    <mergeCell ref="DF6:DF8"/>
    <mergeCell ref="DY6:DZ6"/>
    <mergeCell ref="EE6:EE8"/>
    <mergeCell ref="DN6:DP6"/>
    <mergeCell ref="CR6:CT7"/>
    <mergeCell ref="CU6:CW7"/>
    <mergeCell ref="A6:A8"/>
    <mergeCell ref="L7:N7"/>
    <mergeCell ref="O7:Q7"/>
    <mergeCell ref="R7:T7"/>
    <mergeCell ref="AS6:AU7"/>
    <mergeCell ref="U7:W7"/>
    <mergeCell ref="X7:Z7"/>
    <mergeCell ref="AA7:AC7"/>
    <mergeCell ref="B6:B8"/>
    <mergeCell ref="C6:C8"/>
    <mergeCell ref="D6:D8"/>
    <mergeCell ref="F6:F8"/>
    <mergeCell ref="G6:G8"/>
    <mergeCell ref="H6:H8"/>
    <mergeCell ref="E6:E8"/>
    <mergeCell ref="AD7:AF7"/>
    <mergeCell ref="AG7:AI7"/>
    <mergeCell ref="I6:AI6"/>
    <mergeCell ref="I7:K7"/>
    <mergeCell ref="BT6:BV7"/>
    <mergeCell ref="AV7:AX7"/>
    <mergeCell ref="BE7:BG7"/>
    <mergeCell ref="BH7:BJ7"/>
    <mergeCell ref="BN7:BP7"/>
    <mergeCell ref="AJ6:AL7"/>
    <mergeCell ref="AM6:AO7"/>
    <mergeCell ref="CI7:CK7"/>
    <mergeCell ref="CC6:CE7"/>
    <mergeCell ref="CI6:CQ6"/>
    <mergeCell ref="CO7:CQ7"/>
    <mergeCell ref="BQ7:BS7"/>
    <mergeCell ref="AV6:BS6"/>
    <mergeCell ref="AY7:BA7"/>
    <mergeCell ref="BB7:BD7"/>
    <mergeCell ref="BW6:BY7"/>
    <mergeCell ref="BZ6:CB7"/>
    <mergeCell ref="CL7:CN7"/>
    <mergeCell ref="BK7:BM7"/>
    <mergeCell ref="CF6:CH7"/>
    <mergeCell ref="AP6:AR7"/>
  </mergeCells>
  <phoneticPr fontId="100" type="noConversion"/>
  <conditionalFormatting sqref="A129">
    <cfRule type="duplicateValues" dxfId="9" priority="1"/>
  </conditionalFormatting>
  <pageMargins left="0.11811023622047245" right="0.11811023622047245" top="0.15748031496062992" bottom="0.15748031496062992" header="0.31496062992125984" footer="0.31496062992125984"/>
  <pageSetup paperSize="9" scale="70" orientation="landscape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11">
    <tabColor rgb="FFC00000"/>
  </sheetPr>
  <dimension ref="A1:DM394"/>
  <sheetViews>
    <sheetView view="pageBreakPreview" zoomScale="80" zoomScaleNormal="90" zoomScaleSheetLayoutView="80" workbookViewId="0">
      <pane xSplit="4" ySplit="10" topLeftCell="E354" activePane="bottomRight" state="frozen"/>
      <selection pane="topRight" activeCell="E1" sqref="E1"/>
      <selection pane="bottomLeft" activeCell="A11" sqref="A11"/>
      <selection pane="bottomRight" activeCell="I370" sqref="I370"/>
    </sheetView>
  </sheetViews>
  <sheetFormatPr defaultColWidth="8.6640625" defaultRowHeight="13.8" x14ac:dyDescent="0.3"/>
  <cols>
    <col min="1" max="1" width="16.44140625" style="1" customWidth="1"/>
    <col min="2" max="2" width="37.6640625" style="923" customWidth="1"/>
    <col min="3" max="3" width="11.6640625" style="1" customWidth="1"/>
    <col min="4" max="4" width="9.109375" style="150" customWidth="1"/>
    <col min="5" max="5" width="15.44140625" style="1" customWidth="1"/>
    <col min="6" max="8" width="13.33203125" style="8" customWidth="1"/>
    <col min="9" max="9" width="12.33203125" style="8" customWidth="1"/>
    <col min="10" max="10" width="10.88671875" style="8" customWidth="1"/>
    <col min="11" max="11" width="9.44140625" style="924" customWidth="1"/>
    <col min="12" max="12" width="7.109375" style="8" customWidth="1"/>
    <col min="13" max="13" width="8.44140625" style="8" customWidth="1"/>
    <col min="14" max="14" width="9" style="8" customWidth="1"/>
    <col min="15" max="15" width="6.33203125" style="8" customWidth="1"/>
    <col min="16" max="16" width="9.33203125" style="8" customWidth="1"/>
    <col min="17" max="17" width="8" style="925" customWidth="1"/>
    <col min="18" max="18" width="6.33203125" style="8" customWidth="1"/>
    <col min="19" max="19" width="8.6640625" style="8" customWidth="1"/>
    <col min="20" max="20" width="9" style="926" customWidth="1"/>
    <col min="21" max="21" width="11.109375" style="8" customWidth="1"/>
    <col min="22" max="22" width="9.88671875" style="8" customWidth="1"/>
    <col min="23" max="23" width="6.33203125" style="8" customWidth="1"/>
    <col min="24" max="24" width="9.44140625" style="8" customWidth="1"/>
    <col min="25" max="25" width="9.109375" style="8" customWidth="1"/>
    <col min="26" max="26" width="11.33203125" style="8" customWidth="1"/>
    <col min="27" max="27" width="8.33203125" style="8" customWidth="1"/>
    <col min="28" max="28" width="11.33203125" style="8" customWidth="1"/>
    <col min="29" max="29" width="9.44140625" style="8" customWidth="1"/>
    <col min="30" max="30" width="12.5546875" style="8" customWidth="1"/>
    <col min="31" max="32" width="8.6640625" style="8" customWidth="1"/>
    <col min="33" max="33" width="12.109375" style="8" customWidth="1"/>
    <col min="34" max="35" width="8.6640625" style="8" customWidth="1"/>
    <col min="36" max="36" width="16" style="8" customWidth="1"/>
    <col min="37" max="38" width="8.6640625" style="8" customWidth="1"/>
    <col min="39" max="39" width="14" style="8" customWidth="1"/>
    <col min="40" max="41" width="8.6640625" style="8" customWidth="1"/>
    <col min="42" max="42" width="9.88671875" style="8" customWidth="1"/>
    <col min="43" max="44" width="8.6640625" style="8" customWidth="1"/>
    <col min="45" max="45" width="11.33203125" style="8" customWidth="1"/>
    <col min="46" max="47" width="8.6640625" style="8" customWidth="1"/>
    <col min="48" max="48" width="11.5546875" style="8" customWidth="1"/>
    <col min="49" max="50" width="8.6640625" style="8" customWidth="1"/>
    <col min="51" max="51" width="12" style="8" customWidth="1"/>
    <col min="52" max="52" width="9.88671875" style="8" customWidth="1"/>
    <col min="53" max="53" width="10.6640625" style="8" customWidth="1"/>
    <col min="54" max="54" width="10.88671875" style="8" customWidth="1"/>
    <col min="55" max="55" width="8.6640625" style="1" customWidth="1"/>
    <col min="56" max="56" width="8.6640625" style="2" customWidth="1"/>
    <col min="57" max="57" width="8.6640625" style="1" customWidth="1"/>
    <col min="58" max="58" width="26.88671875" style="1" customWidth="1"/>
    <col min="59" max="59" width="11" style="1" customWidth="1"/>
    <col min="60" max="60" width="8.6640625" style="1" customWidth="1"/>
    <col min="61" max="61" width="14.44140625" style="2" customWidth="1"/>
    <col min="62" max="63" width="13.109375" style="1" customWidth="1"/>
    <col min="64" max="64" width="8.6640625" style="1" customWidth="1"/>
    <col min="65" max="70" width="8.6640625" style="1"/>
    <col min="71" max="71" width="12.33203125" style="8" customWidth="1"/>
    <col min="72" max="72" width="10.88671875" style="8" customWidth="1"/>
    <col min="73" max="73" width="9.44140625" style="924" customWidth="1"/>
    <col min="74" max="74" width="7.109375" style="8" customWidth="1"/>
    <col min="75" max="75" width="8.44140625" style="8" customWidth="1"/>
    <col min="76" max="76" width="9" style="8" customWidth="1"/>
    <col min="77" max="77" width="6.33203125" style="8" customWidth="1"/>
    <col min="78" max="78" width="9.33203125" style="8" customWidth="1"/>
    <col min="79" max="79" width="8" style="925" customWidth="1"/>
    <col min="80" max="80" width="6.33203125" style="8" customWidth="1"/>
    <col min="81" max="81" width="8.6640625" style="8"/>
    <col min="82" max="82" width="9" style="926" customWidth="1"/>
    <col min="83" max="83" width="11.109375" style="8" customWidth="1"/>
    <col min="84" max="84" width="9.88671875" style="8" customWidth="1"/>
    <col min="85" max="85" width="6.33203125" style="8" customWidth="1"/>
    <col min="86" max="86" width="9.44140625" style="8" customWidth="1"/>
    <col min="87" max="87" width="9.109375" style="8" customWidth="1"/>
    <col min="88" max="88" width="11.33203125" style="8" customWidth="1"/>
    <col min="89" max="89" width="8.33203125" style="8" customWidth="1"/>
    <col min="90" max="90" width="11.33203125" style="8" customWidth="1"/>
    <col min="91" max="91" width="9.44140625" style="8" customWidth="1"/>
    <col min="92" max="92" width="12.5546875" style="8" customWidth="1"/>
    <col min="93" max="94" width="8.6640625" style="8"/>
    <col min="95" max="95" width="12.109375" style="8" customWidth="1"/>
    <col min="96" max="97" width="8.6640625" style="8"/>
    <col min="98" max="98" width="16" style="8" customWidth="1"/>
    <col min="99" max="100" width="8.6640625" style="8"/>
    <col min="101" max="101" width="14" style="8" customWidth="1"/>
    <col min="102" max="103" width="8.6640625" style="8"/>
    <col min="104" max="104" width="9.88671875" style="8" customWidth="1"/>
    <col min="105" max="106" width="8.6640625" style="8"/>
    <col min="107" max="107" width="11.33203125" style="8" customWidth="1"/>
    <col min="108" max="109" width="8.6640625" style="8"/>
    <col min="110" max="110" width="11.5546875" style="8" customWidth="1"/>
    <col min="111" max="112" width="8.6640625" style="8"/>
    <col min="113" max="113" width="12" style="8" customWidth="1"/>
    <col min="114" max="114" width="9.88671875" style="8" customWidth="1"/>
    <col min="115" max="115" width="10.6640625" style="8" customWidth="1"/>
    <col min="116" max="116" width="10.88671875" style="8" customWidth="1"/>
    <col min="117" max="16384" width="8.6640625" style="1"/>
  </cols>
  <sheetData>
    <row r="1" spans="1:117" x14ac:dyDescent="0.3">
      <c r="A1" s="1" t="s">
        <v>0</v>
      </c>
    </row>
    <row r="3" spans="1:117" ht="18" x14ac:dyDescent="0.3">
      <c r="A3" s="27" t="s">
        <v>1083</v>
      </c>
      <c r="J3" s="927" t="str">
        <f>місяць!A2</f>
        <v>2024 рік</v>
      </c>
      <c r="K3" s="794" t="s">
        <v>1789</v>
      </c>
      <c r="BJ3" s="928">
        <v>0.14066215600000001</v>
      </c>
      <c r="BT3" s="927">
        <f>місяць!BK2</f>
        <v>0</v>
      </c>
      <c r="BU3" s="794" t="s">
        <v>1789</v>
      </c>
    </row>
    <row r="4" spans="1:117" x14ac:dyDescent="0.3">
      <c r="AF4" s="253"/>
      <c r="AI4" s="253"/>
      <c r="AR4" s="270"/>
      <c r="AU4" s="270"/>
      <c r="CP4" s="253"/>
      <c r="CS4" s="253"/>
      <c r="DB4" s="270"/>
      <c r="DE4" s="270"/>
    </row>
    <row r="5" spans="1:117" ht="14.4" x14ac:dyDescent="0.3">
      <c r="AF5" s="929" t="s">
        <v>1790</v>
      </c>
      <c r="CP5" s="929" t="s">
        <v>1790</v>
      </c>
    </row>
    <row r="6" spans="1:117" ht="21" thickBot="1" x14ac:dyDescent="0.35">
      <c r="AX6" s="930"/>
      <c r="DH6" s="930"/>
    </row>
    <row r="7" spans="1:117" ht="26.85" customHeight="1" thickBot="1" x14ac:dyDescent="0.35">
      <c r="A7" s="1228" t="s">
        <v>456</v>
      </c>
      <c r="B7" s="1276" t="s">
        <v>1</v>
      </c>
      <c r="C7" s="1231" t="s">
        <v>2</v>
      </c>
      <c r="D7" s="1273" t="s">
        <v>455</v>
      </c>
      <c r="E7" s="1283" t="s">
        <v>430</v>
      </c>
      <c r="F7" s="1287" t="s">
        <v>930</v>
      </c>
      <c r="G7" s="1288"/>
      <c r="H7" s="1288"/>
      <c r="I7" s="1288"/>
      <c r="J7" s="1288"/>
      <c r="K7" s="1288"/>
      <c r="L7" s="1288"/>
      <c r="M7" s="1288"/>
      <c r="N7" s="1288"/>
      <c r="O7" s="1288"/>
      <c r="P7" s="1288"/>
      <c r="Q7" s="1288"/>
      <c r="R7" s="1288"/>
      <c r="S7" s="1288"/>
      <c r="T7" s="1288"/>
      <c r="U7" s="1288"/>
      <c r="V7" s="1288"/>
      <c r="W7" s="1288"/>
      <c r="X7" s="1288"/>
      <c r="Y7" s="1288"/>
      <c r="Z7" s="1288"/>
      <c r="AA7" s="1288"/>
      <c r="AB7" s="1288"/>
      <c r="AC7" s="1288"/>
      <c r="AD7" s="1289"/>
      <c r="AE7" s="1296" t="s">
        <v>947</v>
      </c>
      <c r="AF7" s="1297"/>
      <c r="AG7" s="1297"/>
      <c r="AH7" s="1297"/>
      <c r="AI7" s="1297"/>
      <c r="AJ7" s="1297"/>
      <c r="AK7" s="1297"/>
      <c r="AL7" s="1297"/>
      <c r="AM7" s="1297"/>
      <c r="AN7" s="1297"/>
      <c r="AO7" s="1297"/>
      <c r="AP7" s="1297"/>
      <c r="AQ7" s="1297"/>
      <c r="AR7" s="1297"/>
      <c r="AS7" s="1297"/>
      <c r="AT7" s="1297"/>
      <c r="AU7" s="1297"/>
      <c r="AV7" s="1297"/>
      <c r="AW7" s="1297"/>
      <c r="AX7" s="1297"/>
      <c r="AY7" s="1297"/>
      <c r="AZ7" s="1297"/>
      <c r="BA7" s="1297"/>
      <c r="BB7" s="1298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296" t="s">
        <v>947</v>
      </c>
      <c r="CP7" s="1297"/>
      <c r="CQ7" s="1297"/>
      <c r="CR7" s="1297"/>
      <c r="CS7" s="1297"/>
      <c r="CT7" s="1297"/>
      <c r="CU7" s="1297"/>
      <c r="CV7" s="1297"/>
      <c r="CW7" s="1297"/>
      <c r="CX7" s="1297"/>
      <c r="CY7" s="1297"/>
      <c r="CZ7" s="1297"/>
      <c r="DA7" s="1297"/>
      <c r="DB7" s="1297"/>
      <c r="DC7" s="1297"/>
      <c r="DD7" s="1297"/>
      <c r="DE7" s="1297"/>
      <c r="DF7" s="1297"/>
      <c r="DG7" s="1297"/>
      <c r="DH7" s="1297"/>
      <c r="DI7" s="1297"/>
      <c r="DJ7" s="1297"/>
      <c r="DK7" s="1297"/>
      <c r="DL7" s="1298"/>
    </row>
    <row r="8" spans="1:117" ht="22.2" customHeight="1" thickBot="1" x14ac:dyDescent="0.35">
      <c r="A8" s="1229"/>
      <c r="B8" s="1277"/>
      <c r="C8" s="1232"/>
      <c r="D8" s="1274"/>
      <c r="E8" s="1284"/>
      <c r="F8" s="1280" t="s">
        <v>945</v>
      </c>
      <c r="G8" s="1286" t="s">
        <v>946</v>
      </c>
      <c r="H8" s="1280" t="s">
        <v>949</v>
      </c>
      <c r="I8" s="1290" t="s">
        <v>950</v>
      </c>
      <c r="J8" s="1291"/>
      <c r="K8" s="1291"/>
      <c r="L8" s="1291"/>
      <c r="M8" s="1291"/>
      <c r="N8" s="1291"/>
      <c r="O8" s="1291"/>
      <c r="P8" s="1291"/>
      <c r="Q8" s="1291"/>
      <c r="R8" s="1291"/>
      <c r="S8" s="1291"/>
      <c r="T8" s="1291"/>
      <c r="U8" s="1291"/>
      <c r="V8" s="1291"/>
      <c r="W8" s="1291"/>
      <c r="X8" s="1291"/>
      <c r="Y8" s="1291"/>
      <c r="Z8" s="1291"/>
      <c r="AA8" s="1291"/>
      <c r="AB8" s="1291"/>
      <c r="AC8" s="1291"/>
      <c r="AD8" s="1292"/>
      <c r="AE8" s="1299" t="s">
        <v>1022</v>
      </c>
      <c r="AF8" s="1187"/>
      <c r="AG8" s="1300"/>
      <c r="AH8" s="1180" t="s">
        <v>1023</v>
      </c>
      <c r="AI8" s="1304"/>
      <c r="AJ8" s="1304"/>
      <c r="AK8" s="1180" t="s">
        <v>1024</v>
      </c>
      <c r="AL8" s="1304"/>
      <c r="AM8" s="1304"/>
      <c r="AN8" s="1180" t="s">
        <v>1025</v>
      </c>
      <c r="AO8" s="1304"/>
      <c r="AP8" s="1304"/>
      <c r="AQ8" s="1180" t="s">
        <v>1026</v>
      </c>
      <c r="AR8" s="1304"/>
      <c r="AS8" s="1304"/>
      <c r="AT8" s="1180" t="s">
        <v>1027</v>
      </c>
      <c r="AU8" s="1304"/>
      <c r="AV8" s="1304"/>
      <c r="AW8" s="1180" t="s">
        <v>29</v>
      </c>
      <c r="AX8" s="1304"/>
      <c r="AY8" s="1304"/>
      <c r="AZ8" s="1180" t="s">
        <v>948</v>
      </c>
      <c r="BA8" s="1304"/>
      <c r="BB8" s="1307"/>
      <c r="BD8" s="119" t="s">
        <v>1068</v>
      </c>
      <c r="BF8" s="1214" t="s">
        <v>1078</v>
      </c>
      <c r="BI8" s="1246" t="s">
        <v>1685</v>
      </c>
      <c r="BJ8" s="1309"/>
      <c r="BK8" s="1309"/>
      <c r="BM8" s="3" t="s">
        <v>1681</v>
      </c>
      <c r="BN8" s="3"/>
      <c r="BP8" s="3" t="s">
        <v>1686</v>
      </c>
      <c r="BQ8" s="3"/>
      <c r="BS8" s="1290" t="s">
        <v>950</v>
      </c>
      <c r="BT8" s="1291"/>
      <c r="BU8" s="1291"/>
      <c r="BV8" s="1291"/>
      <c r="BW8" s="1291"/>
      <c r="BX8" s="1291"/>
      <c r="BY8" s="1291"/>
      <c r="BZ8" s="1291"/>
      <c r="CA8" s="1291"/>
      <c r="CB8" s="1291"/>
      <c r="CC8" s="1291"/>
      <c r="CD8" s="1291"/>
      <c r="CE8" s="1291"/>
      <c r="CF8" s="1291"/>
      <c r="CG8" s="1291"/>
      <c r="CH8" s="1291"/>
      <c r="CI8" s="1291"/>
      <c r="CJ8" s="1291"/>
      <c r="CK8" s="1291"/>
      <c r="CL8" s="1291"/>
      <c r="CM8" s="1291"/>
      <c r="CN8" s="1292"/>
      <c r="CO8" s="1299" t="s">
        <v>1022</v>
      </c>
      <c r="CP8" s="1187"/>
      <c r="CQ8" s="1300"/>
      <c r="CR8" s="1180" t="s">
        <v>1023</v>
      </c>
      <c r="CS8" s="1304"/>
      <c r="CT8" s="1304"/>
      <c r="CU8" s="1180" t="s">
        <v>1024</v>
      </c>
      <c r="CV8" s="1304"/>
      <c r="CW8" s="1304"/>
      <c r="CX8" s="1180" t="s">
        <v>1025</v>
      </c>
      <c r="CY8" s="1304"/>
      <c r="CZ8" s="1304"/>
      <c r="DA8" s="1180" t="s">
        <v>1026</v>
      </c>
      <c r="DB8" s="1304"/>
      <c r="DC8" s="1304"/>
      <c r="DD8" s="1180" t="s">
        <v>1027</v>
      </c>
      <c r="DE8" s="1304"/>
      <c r="DF8" s="1304"/>
      <c r="DG8" s="1180" t="s">
        <v>29</v>
      </c>
      <c r="DH8" s="1304"/>
      <c r="DI8" s="1304"/>
      <c r="DJ8" s="1180" t="s">
        <v>948</v>
      </c>
      <c r="DK8" s="1304"/>
      <c r="DL8" s="1307"/>
    </row>
    <row r="9" spans="1:117" ht="36.6" customHeight="1" x14ac:dyDescent="0.3">
      <c r="A9" s="1229"/>
      <c r="B9" s="1277"/>
      <c r="C9" s="1232"/>
      <c r="D9" s="1274"/>
      <c r="E9" s="1284"/>
      <c r="F9" s="1281"/>
      <c r="G9" s="1281"/>
      <c r="H9" s="1281"/>
      <c r="I9" s="1179" t="s">
        <v>933</v>
      </c>
      <c r="J9" s="1293"/>
      <c r="K9" s="1279"/>
      <c r="L9" s="1294" t="s">
        <v>934</v>
      </c>
      <c r="M9" s="1293"/>
      <c r="N9" s="1295"/>
      <c r="O9" s="1179" t="s">
        <v>936</v>
      </c>
      <c r="P9" s="1293"/>
      <c r="Q9" s="1279"/>
      <c r="R9" s="1294" t="s">
        <v>942</v>
      </c>
      <c r="S9" s="1293"/>
      <c r="T9" s="1295"/>
      <c r="U9" s="1179" t="s">
        <v>943</v>
      </c>
      <c r="V9" s="1279"/>
      <c r="W9" s="1294" t="s">
        <v>938</v>
      </c>
      <c r="X9" s="1295"/>
      <c r="Y9" s="1179" t="s">
        <v>1119</v>
      </c>
      <c r="Z9" s="1279"/>
      <c r="AA9" s="932" t="s">
        <v>928</v>
      </c>
      <c r="AB9" s="933" t="s">
        <v>975</v>
      </c>
      <c r="AC9" s="934" t="s">
        <v>940</v>
      </c>
      <c r="AD9" s="935" t="s">
        <v>944</v>
      </c>
      <c r="AE9" s="1301"/>
      <c r="AF9" s="1302"/>
      <c r="AG9" s="1303"/>
      <c r="AH9" s="1305"/>
      <c r="AI9" s="1305"/>
      <c r="AJ9" s="1305"/>
      <c r="AK9" s="1305"/>
      <c r="AL9" s="1305"/>
      <c r="AM9" s="1305"/>
      <c r="AN9" s="1305"/>
      <c r="AO9" s="1305"/>
      <c r="AP9" s="1305"/>
      <c r="AQ9" s="1305"/>
      <c r="AR9" s="1305"/>
      <c r="AS9" s="1305"/>
      <c r="AT9" s="1305"/>
      <c r="AU9" s="1305"/>
      <c r="AV9" s="1305"/>
      <c r="AW9" s="1305"/>
      <c r="AX9" s="1305"/>
      <c r="AY9" s="1305"/>
      <c r="AZ9" s="1305"/>
      <c r="BA9" s="1305"/>
      <c r="BB9" s="1308"/>
      <c r="BD9" s="119" t="s">
        <v>1069</v>
      </c>
      <c r="BF9" s="1306"/>
      <c r="BI9" s="28" t="s">
        <v>1662</v>
      </c>
      <c r="BJ9" s="28" t="s">
        <v>1663</v>
      </c>
      <c r="BK9" s="28" t="s">
        <v>1664</v>
      </c>
      <c r="BM9" s="3" t="s">
        <v>939</v>
      </c>
      <c r="BN9" s="3" t="s">
        <v>1682</v>
      </c>
      <c r="BP9" s="3" t="s">
        <v>939</v>
      </c>
      <c r="BQ9" s="3" t="s">
        <v>1682</v>
      </c>
      <c r="BS9" s="1179" t="s">
        <v>933</v>
      </c>
      <c r="BT9" s="1293"/>
      <c r="BU9" s="1279"/>
      <c r="BV9" s="1294" t="s">
        <v>934</v>
      </c>
      <c r="BW9" s="1293"/>
      <c r="BX9" s="1295"/>
      <c r="BY9" s="1179" t="s">
        <v>936</v>
      </c>
      <c r="BZ9" s="1293"/>
      <c r="CA9" s="1279"/>
      <c r="CB9" s="1294" t="s">
        <v>942</v>
      </c>
      <c r="CC9" s="1293"/>
      <c r="CD9" s="1295"/>
      <c r="CE9" s="1179" t="s">
        <v>943</v>
      </c>
      <c r="CF9" s="1279"/>
      <c r="CG9" s="1294" t="s">
        <v>938</v>
      </c>
      <c r="CH9" s="1295"/>
      <c r="CI9" s="1179" t="s">
        <v>1119</v>
      </c>
      <c r="CJ9" s="1279"/>
      <c r="CK9" s="932" t="s">
        <v>928</v>
      </c>
      <c r="CL9" s="933" t="s">
        <v>975</v>
      </c>
      <c r="CM9" s="934" t="s">
        <v>940</v>
      </c>
      <c r="CN9" s="935" t="s">
        <v>944</v>
      </c>
      <c r="CO9" s="1301"/>
      <c r="CP9" s="1302"/>
      <c r="CQ9" s="1303"/>
      <c r="CR9" s="1305"/>
      <c r="CS9" s="1305"/>
      <c r="CT9" s="1305"/>
      <c r="CU9" s="1305"/>
      <c r="CV9" s="1305"/>
      <c r="CW9" s="1305"/>
      <c r="CX9" s="1305"/>
      <c r="CY9" s="1305"/>
      <c r="CZ9" s="1305"/>
      <c r="DA9" s="1305"/>
      <c r="DB9" s="1305"/>
      <c r="DC9" s="1305"/>
      <c r="DD9" s="1305"/>
      <c r="DE9" s="1305"/>
      <c r="DF9" s="1305"/>
      <c r="DG9" s="1305"/>
      <c r="DH9" s="1305"/>
      <c r="DI9" s="1305"/>
      <c r="DJ9" s="1305"/>
      <c r="DK9" s="1305"/>
      <c r="DL9" s="1308"/>
    </row>
    <row r="10" spans="1:117" ht="33.9" customHeight="1" thickBot="1" x14ac:dyDescent="0.35">
      <c r="A10" s="1123"/>
      <c r="B10" s="1278"/>
      <c r="C10" s="1125"/>
      <c r="D10" s="1275"/>
      <c r="E10" s="1285"/>
      <c r="F10" s="1282"/>
      <c r="G10" s="1282"/>
      <c r="H10" s="1282"/>
      <c r="I10" s="936" t="s">
        <v>931</v>
      </c>
      <c r="J10" s="937" t="s">
        <v>932</v>
      </c>
      <c r="K10" s="938" t="s">
        <v>941</v>
      </c>
      <c r="L10" s="939" t="s">
        <v>935</v>
      </c>
      <c r="M10" s="937" t="s">
        <v>932</v>
      </c>
      <c r="N10" s="97" t="s">
        <v>941</v>
      </c>
      <c r="O10" s="936" t="s">
        <v>937</v>
      </c>
      <c r="P10" s="937" t="s">
        <v>932</v>
      </c>
      <c r="Q10" s="90" t="s">
        <v>941</v>
      </c>
      <c r="R10" s="939" t="s">
        <v>935</v>
      </c>
      <c r="S10" s="937" t="s">
        <v>932</v>
      </c>
      <c r="T10" s="940" t="s">
        <v>941</v>
      </c>
      <c r="U10" s="936" t="s">
        <v>932</v>
      </c>
      <c r="V10" s="938" t="s">
        <v>941</v>
      </c>
      <c r="W10" s="939" t="s">
        <v>939</v>
      </c>
      <c r="X10" s="941" t="s">
        <v>932</v>
      </c>
      <c r="Y10" s="936" t="s">
        <v>932</v>
      </c>
      <c r="Z10" s="938" t="s">
        <v>941</v>
      </c>
      <c r="AA10" s="942" t="s">
        <v>932</v>
      </c>
      <c r="AB10" s="943" t="s">
        <v>932</v>
      </c>
      <c r="AC10" s="942" t="s">
        <v>932</v>
      </c>
      <c r="AD10" s="943" t="s">
        <v>932</v>
      </c>
      <c r="AE10" s="936" t="s">
        <v>439</v>
      </c>
      <c r="AF10" s="937" t="s">
        <v>440</v>
      </c>
      <c r="AG10" s="937" t="s">
        <v>941</v>
      </c>
      <c r="AH10" s="937" t="s">
        <v>439</v>
      </c>
      <c r="AI10" s="937" t="s">
        <v>440</v>
      </c>
      <c r="AJ10" s="937" t="s">
        <v>941</v>
      </c>
      <c r="AK10" s="937" t="s">
        <v>439</v>
      </c>
      <c r="AL10" s="937" t="s">
        <v>440</v>
      </c>
      <c r="AM10" s="937" t="s">
        <v>941</v>
      </c>
      <c r="AN10" s="937" t="s">
        <v>439</v>
      </c>
      <c r="AO10" s="937" t="s">
        <v>440</v>
      </c>
      <c r="AP10" s="937" t="s">
        <v>941</v>
      </c>
      <c r="AQ10" s="937" t="s">
        <v>439</v>
      </c>
      <c r="AR10" s="937" t="s">
        <v>440</v>
      </c>
      <c r="AS10" s="937" t="s">
        <v>941</v>
      </c>
      <c r="AT10" s="937" t="s">
        <v>439</v>
      </c>
      <c r="AU10" s="937" t="s">
        <v>440</v>
      </c>
      <c r="AV10" s="937" t="s">
        <v>941</v>
      </c>
      <c r="AW10" s="937" t="s">
        <v>439</v>
      </c>
      <c r="AX10" s="937" t="s">
        <v>440</v>
      </c>
      <c r="AY10" s="937" t="s">
        <v>941</v>
      </c>
      <c r="AZ10" s="937" t="s">
        <v>439</v>
      </c>
      <c r="BA10" s="937" t="s">
        <v>440</v>
      </c>
      <c r="BB10" s="944" t="s">
        <v>441</v>
      </c>
      <c r="BD10" s="119"/>
      <c r="BF10" s="945"/>
      <c r="BI10" s="28"/>
      <c r="BJ10" s="946">
        <v>0.14066219999999999</v>
      </c>
      <c r="BK10" s="28"/>
      <c r="BM10" s="3"/>
      <c r="BN10" s="3"/>
      <c r="BP10" s="3"/>
      <c r="BQ10" s="3"/>
      <c r="BS10" s="936" t="s">
        <v>931</v>
      </c>
      <c r="BT10" s="937" t="s">
        <v>932</v>
      </c>
      <c r="BU10" s="938" t="s">
        <v>941</v>
      </c>
      <c r="BV10" s="939" t="s">
        <v>935</v>
      </c>
      <c r="BW10" s="937" t="s">
        <v>932</v>
      </c>
      <c r="BX10" s="97" t="s">
        <v>941</v>
      </c>
      <c r="BY10" s="936" t="s">
        <v>937</v>
      </c>
      <c r="BZ10" s="937" t="s">
        <v>932</v>
      </c>
      <c r="CA10" s="90" t="s">
        <v>941</v>
      </c>
      <c r="CB10" s="939" t="s">
        <v>935</v>
      </c>
      <c r="CC10" s="937" t="s">
        <v>932</v>
      </c>
      <c r="CD10" s="940" t="s">
        <v>941</v>
      </c>
      <c r="CE10" s="936" t="s">
        <v>932</v>
      </c>
      <c r="CF10" s="938" t="s">
        <v>941</v>
      </c>
      <c r="CG10" s="939" t="s">
        <v>939</v>
      </c>
      <c r="CH10" s="941" t="s">
        <v>932</v>
      </c>
      <c r="CI10" s="936" t="s">
        <v>932</v>
      </c>
      <c r="CJ10" s="938" t="s">
        <v>941</v>
      </c>
      <c r="CK10" s="942" t="s">
        <v>932</v>
      </c>
      <c r="CL10" s="943" t="s">
        <v>932</v>
      </c>
      <c r="CM10" s="942" t="s">
        <v>932</v>
      </c>
      <c r="CN10" s="943" t="s">
        <v>932</v>
      </c>
      <c r="CO10" s="936" t="s">
        <v>439</v>
      </c>
      <c r="CP10" s="937" t="s">
        <v>440</v>
      </c>
      <c r="CQ10" s="937" t="s">
        <v>941</v>
      </c>
      <c r="CR10" s="937" t="s">
        <v>439</v>
      </c>
      <c r="CS10" s="937" t="s">
        <v>440</v>
      </c>
      <c r="CT10" s="937" t="s">
        <v>941</v>
      </c>
      <c r="CU10" s="937" t="s">
        <v>439</v>
      </c>
      <c r="CV10" s="937" t="s">
        <v>440</v>
      </c>
      <c r="CW10" s="937" t="s">
        <v>941</v>
      </c>
      <c r="CX10" s="937" t="s">
        <v>439</v>
      </c>
      <c r="CY10" s="937" t="s">
        <v>440</v>
      </c>
      <c r="CZ10" s="937" t="s">
        <v>941</v>
      </c>
      <c r="DA10" s="937" t="s">
        <v>439</v>
      </c>
      <c r="DB10" s="937" t="s">
        <v>440</v>
      </c>
      <c r="DC10" s="937" t="s">
        <v>941</v>
      </c>
      <c r="DD10" s="937" t="s">
        <v>439</v>
      </c>
      <c r="DE10" s="937" t="s">
        <v>440</v>
      </c>
      <c r="DF10" s="937" t="s">
        <v>941</v>
      </c>
      <c r="DG10" s="937" t="s">
        <v>439</v>
      </c>
      <c r="DH10" s="937" t="s">
        <v>440</v>
      </c>
      <c r="DI10" s="937" t="s">
        <v>941</v>
      </c>
      <c r="DJ10" s="937" t="s">
        <v>439</v>
      </c>
      <c r="DK10" s="937" t="s">
        <v>440</v>
      </c>
      <c r="DL10" s="944" t="s">
        <v>441</v>
      </c>
    </row>
    <row r="11" spans="1:117" ht="24.9" customHeight="1" x14ac:dyDescent="0.3">
      <c r="A11" s="318">
        <v>150001053</v>
      </c>
      <c r="B11" s="83" t="s">
        <v>146</v>
      </c>
      <c r="C11" s="947">
        <v>2</v>
      </c>
      <c r="D11" s="948" t="s">
        <v>454</v>
      </c>
      <c r="E11" s="949">
        <f>'побудинковий звіт'!E9</f>
        <v>372.8</v>
      </c>
      <c r="F11" s="950">
        <f>'побудинковий звіт'!AS9</f>
        <v>6711.8467400643603</v>
      </c>
      <c r="G11" s="950">
        <f t="shared" ref="G11:G74" si="0">J11+M11+P11+S11+U11+X11+Y11+AA11+AB11+AC11+AD11</f>
        <v>248.49274725836409</v>
      </c>
      <c r="H11" s="950">
        <f t="shared" ref="H11:H74" si="1">G11-F11</f>
        <v>-6463.3539928059963</v>
      </c>
      <c r="I11" s="42">
        <f>'[2]поточний ремонт'!I11+'[1]поточний ремонт'!I11</f>
        <v>0</v>
      </c>
      <c r="J11" s="42">
        <f>'[2]поточний ремонт'!J11+'[1]поточний ремонт'!J11</f>
        <v>0</v>
      </c>
      <c r="K11" s="951"/>
      <c r="L11" s="42">
        <f>'[2]поточний ремонт'!L11+'[1]поточний ремонт'!L11</f>
        <v>0</v>
      </c>
      <c r="M11" s="42">
        <f>'[2]поточний ремонт'!M11+'[1]поточний ремонт'!M11</f>
        <v>0</v>
      </c>
      <c r="N11" s="38"/>
      <c r="O11" s="42">
        <f>'[2]поточний ремонт'!O11+'[1]поточний ремонт'!O11</f>
        <v>0</v>
      </c>
      <c r="P11" s="42">
        <f>'[2]поточний ремонт'!P11+'[1]поточний ремонт'!P11</f>
        <v>0</v>
      </c>
      <c r="Q11" s="952"/>
      <c r="R11" s="42">
        <f>'[2]поточний ремонт'!R11+'[1]поточний ремонт'!R11</f>
        <v>0</v>
      </c>
      <c r="S11" s="42">
        <f>'[2]поточний ремонт'!S11+'[1]поточний ремонт'!S11</f>
        <v>0</v>
      </c>
      <c r="T11" s="953"/>
      <c r="U11" s="42">
        <f>'[2]поточний ремонт'!U11+'[1]поточний ремонт'!U11</f>
        <v>0</v>
      </c>
      <c r="V11" s="42">
        <f>'[2]поточний ремонт'!V11+'[1]поточний ремонт'!V11</f>
        <v>0</v>
      </c>
      <c r="W11" s="42">
        <f>'[2]поточний ремонт'!W11+'[1]поточний ремонт'!W11</f>
        <v>0</v>
      </c>
      <c r="X11" s="42">
        <f>'[2]поточний ремонт'!X11+'[1]поточний ремонт'!X11</f>
        <v>0</v>
      </c>
      <c r="Y11" s="42">
        <f>'[2]поточний ремонт'!Y11+'[1]поточний ремонт'!Y11</f>
        <v>0</v>
      </c>
      <c r="Z11" s="42">
        <f>'[2]поточний ремонт'!Z11+'[1]поточний ремонт'!Z11</f>
        <v>0</v>
      </c>
      <c r="AA11" s="42">
        <f>'[2]поточний ремонт'!AA11+'[1]поточний ремонт'!AA11</f>
        <v>0</v>
      </c>
      <c r="AB11" s="42">
        <f>'[2]поточний ремонт'!AB11+'[1]поточний ремонт'!AB11</f>
        <v>0</v>
      </c>
      <c r="AC11" s="42">
        <f>'[2]поточний ремонт'!AC11+'[1]поточний ремонт'!AC11</f>
        <v>0</v>
      </c>
      <c r="AD11" s="42">
        <f>'[2]поточний ремонт'!AD11+'[1]поточний ремонт'!AD11</f>
        <v>248.49274725836409</v>
      </c>
      <c r="AE11" s="42">
        <f>'[2]поточний ремонт'!AE11+'[1]поточний ремонт'!AE11</f>
        <v>392.38484246161892</v>
      </c>
      <c r="AF11" s="42">
        <f>'[2]поточний ремонт'!AF11+'[1]поточний ремонт'!AF11</f>
        <v>0</v>
      </c>
      <c r="AG11" s="42"/>
      <c r="AH11" s="42">
        <f>'[2]поточний ремонт'!AH11+'[1]поточний ремонт'!AH11</f>
        <v>428.91763166888427</v>
      </c>
      <c r="AI11" s="42">
        <f>'[2]поточний ремонт'!AI11+'[1]поточний ремонт'!AI11</f>
        <v>0</v>
      </c>
      <c r="AJ11" s="42"/>
      <c r="AK11" s="42">
        <f>'[2]поточний ремонт'!AK11+'[1]поточний ремонт'!AK11</f>
        <v>276.54338414839378</v>
      </c>
      <c r="AL11" s="42">
        <f>'[2]поточний ремонт'!AL11+'[1]поточний ремонт'!AL11</f>
        <v>0</v>
      </c>
      <c r="AM11" s="42"/>
      <c r="AN11" s="42">
        <f>'[2]поточний ремонт'!AN11+'[1]поточний ремонт'!AN11</f>
        <v>0</v>
      </c>
      <c r="AO11" s="42">
        <f>'[2]поточний ремонт'!AO11+'[1]поточний ремонт'!AO11</f>
        <v>0</v>
      </c>
      <c r="AP11" s="42"/>
      <c r="AQ11" s="42">
        <f>'[2]поточний ремонт'!AQ11+'[1]поточний ремонт'!AQ11</f>
        <v>0</v>
      </c>
      <c r="AR11" s="42">
        <f>'[2]поточний ремонт'!AR11+'[1]поточний ремонт'!AR11</f>
        <v>0</v>
      </c>
      <c r="AS11" s="42"/>
      <c r="AT11" s="42">
        <f>'[2]поточний ремонт'!AT11+'[1]поточний ремонт'!AT11</f>
        <v>176.76999641673925</v>
      </c>
      <c r="AU11" s="42">
        <f>'[2]поточний ремонт'!AU11+'[1]поточний ремонт'!AU11</f>
        <v>0</v>
      </c>
      <c r="AV11" s="42"/>
      <c r="AW11" s="42">
        <f>'[2]поточний ремонт'!AW11+'[1]поточний ремонт'!AW11</f>
        <v>15.685434319842152</v>
      </c>
      <c r="AX11" s="42">
        <f>'[2]поточний ремонт'!AX11+'[1]поточний ремонт'!AX11</f>
        <v>0</v>
      </c>
      <c r="AY11" s="42"/>
      <c r="AZ11" s="42">
        <f t="shared" ref="AZ11:AZ74" si="2">AE11+AH11+AK11+AN11+AQ11+AT11+AW11</f>
        <v>1290.3012890154787</v>
      </c>
      <c r="BA11" s="42">
        <f t="shared" ref="BA11:BA74" si="3">AF11+AI11+AL11+AO11+AR11+AU11+AX11</f>
        <v>0</v>
      </c>
      <c r="BB11" s="58">
        <f t="shared" ref="BB11:BB74" si="4">BA11-AZ11</f>
        <v>-1290.3012890154787</v>
      </c>
      <c r="BD11" s="2">
        <v>3</v>
      </c>
      <c r="BF11" s="29">
        <v>27.867552771556312</v>
      </c>
      <c r="BG11" s="318">
        <v>150001053</v>
      </c>
      <c r="BI11" s="104">
        <v>0</v>
      </c>
      <c r="BJ11" s="104">
        <f t="shared" ref="BJ11:BJ74" si="5">BI11*$BJ$10</f>
        <v>0</v>
      </c>
      <c r="BK11" s="104">
        <v>0</v>
      </c>
      <c r="BL11" s="38"/>
      <c r="BM11" s="3"/>
      <c r="BN11" s="3">
        <v>0</v>
      </c>
      <c r="BP11" s="3"/>
      <c r="BQ11" s="3"/>
      <c r="BS11" s="42"/>
      <c r="BT11" s="42">
        <v>0</v>
      </c>
      <c r="BU11" s="951"/>
      <c r="BV11" s="41"/>
      <c r="BW11" s="42"/>
      <c r="BX11" s="38"/>
      <c r="BY11" s="76"/>
      <c r="BZ11" s="42">
        <v>0</v>
      </c>
      <c r="CA11" s="952"/>
      <c r="CB11" s="41">
        <v>0</v>
      </c>
      <c r="CC11" s="41">
        <v>0</v>
      </c>
      <c r="CD11" s="953"/>
      <c r="CE11" s="76">
        <v>0</v>
      </c>
      <c r="CF11" s="58"/>
      <c r="CG11" s="41">
        <v>0</v>
      </c>
      <c r="CH11" s="38">
        <v>0</v>
      </c>
      <c r="CI11" s="76">
        <v>0</v>
      </c>
      <c r="CJ11" s="58"/>
      <c r="CK11" s="955"/>
      <c r="CL11" s="950"/>
      <c r="CM11" s="955"/>
      <c r="CN11" s="950">
        <v>0</v>
      </c>
      <c r="CO11" s="76">
        <v>32.823724337884556</v>
      </c>
      <c r="CP11" s="42">
        <v>0</v>
      </c>
      <c r="CQ11" s="42"/>
      <c r="CR11" s="76">
        <v>36.825609196911458</v>
      </c>
      <c r="CS11" s="954">
        <v>0</v>
      </c>
      <c r="CT11" s="42"/>
      <c r="CU11" s="76">
        <v>21.772469150283939</v>
      </c>
      <c r="CV11" s="42">
        <v>0</v>
      </c>
      <c r="CW11" s="42"/>
      <c r="CX11" s="76">
        <v>0</v>
      </c>
      <c r="CY11" s="42">
        <v>0</v>
      </c>
      <c r="CZ11" s="42"/>
      <c r="DA11" s="76">
        <v>0</v>
      </c>
      <c r="DB11" s="42">
        <v>0</v>
      </c>
      <c r="DC11" s="42"/>
      <c r="DD11" s="76">
        <v>13.172784579641229</v>
      </c>
      <c r="DE11" s="42">
        <v>0</v>
      </c>
      <c r="DF11" s="42"/>
      <c r="DG11" s="76">
        <v>0</v>
      </c>
      <c r="DH11" s="42"/>
      <c r="DI11" s="42"/>
      <c r="DJ11" s="42">
        <v>104.59458726472118</v>
      </c>
      <c r="DK11" s="42">
        <f t="shared" ref="DK11:DK74" si="6">CP11+CS11+CV11+CY11+DB11+DE11+DH11</f>
        <v>0</v>
      </c>
      <c r="DL11" s="58">
        <f t="shared" ref="DL11:DL74" si="7">DK11-DJ11</f>
        <v>-104.59458726472118</v>
      </c>
      <c r="DM11" s="2">
        <v>3</v>
      </c>
    </row>
    <row r="12" spans="1:117" ht="24.9" customHeight="1" x14ac:dyDescent="0.3">
      <c r="A12" s="318">
        <v>150000753</v>
      </c>
      <c r="B12" s="44" t="s">
        <v>239</v>
      </c>
      <c r="C12" s="956">
        <v>5</v>
      </c>
      <c r="D12" s="957" t="s">
        <v>454</v>
      </c>
      <c r="E12" s="949">
        <f>'побудинковий звіт'!E10</f>
        <v>1841.15</v>
      </c>
      <c r="F12" s="950">
        <f>'побудинковий звіт'!AS10</f>
        <v>28510.195970095738</v>
      </c>
      <c r="G12" s="950">
        <f t="shared" si="0"/>
        <v>7633.2364842439902</v>
      </c>
      <c r="H12" s="950">
        <f t="shared" si="1"/>
        <v>-20876.959485851748</v>
      </c>
      <c r="I12" s="42">
        <f>'[2]поточний ремонт'!I12+'[1]поточний ремонт'!I12</f>
        <v>0</v>
      </c>
      <c r="J12" s="42">
        <f>'[2]поточний ремонт'!J12+'[1]поточний ремонт'!J12</f>
        <v>0</v>
      </c>
      <c r="K12" s="958"/>
      <c r="L12" s="42">
        <f>'[2]поточний ремонт'!L12+'[1]поточний ремонт'!L12</f>
        <v>0</v>
      </c>
      <c r="M12" s="42">
        <f>'[2]поточний ремонт'!M12+'[1]поточний ремонт'!M12</f>
        <v>0</v>
      </c>
      <c r="N12" s="36"/>
      <c r="O12" s="42">
        <f>'[2]поточний ремонт'!O12+'[1]поточний ремонт'!O12</f>
        <v>0</v>
      </c>
      <c r="P12" s="42">
        <f>'[2]поточний ремонт'!P12+'[1]поточний ремонт'!P12</f>
        <v>0</v>
      </c>
      <c r="Q12" s="959"/>
      <c r="R12" s="42">
        <f>'[2]поточний ремонт'!R12+'[1]поточний ремонт'!R12</f>
        <v>0</v>
      </c>
      <c r="S12" s="42">
        <f>'[2]поточний ремонт'!S12+'[1]поточний ремонт'!S12</f>
        <v>0</v>
      </c>
      <c r="T12" s="960"/>
      <c r="U12" s="42">
        <f>'[2]поточний ремонт'!U12+'[1]поточний ремонт'!U12</f>
        <v>0</v>
      </c>
      <c r="V12" s="42">
        <f>'[2]поточний ремонт'!V12+'[1]поточний ремонт'!V12</f>
        <v>0</v>
      </c>
      <c r="W12" s="42">
        <f>'[2]поточний ремонт'!W12+'[1]поточний ремонт'!W12</f>
        <v>0</v>
      </c>
      <c r="X12" s="42">
        <f>'[2]поточний ремонт'!X12+'[1]поточний ремонт'!X12</f>
        <v>0</v>
      </c>
      <c r="Y12" s="42">
        <f>'[2]поточний ремонт'!Y12+'[1]поточний ремонт'!Y12</f>
        <v>0</v>
      </c>
      <c r="Z12" s="42">
        <f>'[2]поточний ремонт'!Z12+'[1]поточний ремонт'!Z12</f>
        <v>0</v>
      </c>
      <c r="AA12" s="42">
        <f>'[2]поточний ремонт'!AA12+'[1]поточний ремонт'!AA12</f>
        <v>0</v>
      </c>
      <c r="AB12" s="42">
        <f>'[2]поточний ремонт'!AB12+'[1]поточний ремонт'!AB12</f>
        <v>3747.2925068229565</v>
      </c>
      <c r="AC12" s="42">
        <f>'[2]поточний ремонт'!AC12+'[1]поточний ремонт'!AC12</f>
        <v>0</v>
      </c>
      <c r="AD12" s="42">
        <f>'[2]поточний ремонт'!AD12+'[1]поточний ремонт'!AD12</f>
        <v>3885.9439774210337</v>
      </c>
      <c r="AE12" s="42">
        <f>'[2]поточний ремонт'!AE12+'[1]поточний ремонт'!AE12</f>
        <v>1349.5019578799518</v>
      </c>
      <c r="AF12" s="42">
        <f>'[2]поточний ремонт'!AF12+'[1]поточний ремонт'!AF12</f>
        <v>0</v>
      </c>
      <c r="AG12" s="5"/>
      <c r="AH12" s="42">
        <f>'[2]поточний ремонт'!AH12+'[1]поточний ремонт'!AH12</f>
        <v>2234.6980044055163</v>
      </c>
      <c r="AI12" s="42">
        <f>'[2]поточний ремонт'!AI12+'[1]поточний ремонт'!AI12</f>
        <v>0</v>
      </c>
      <c r="AJ12" s="5"/>
      <c r="AK12" s="42">
        <f>'[2]поточний ремонт'!AK12+'[1]поточний ремонт'!AK12</f>
        <v>1540.68839453494</v>
      </c>
      <c r="AL12" s="42">
        <f>'[2]поточний ремонт'!AL12+'[1]поточний ремонт'!AL12</f>
        <v>0</v>
      </c>
      <c r="AM12" s="5"/>
      <c r="AN12" s="42">
        <f>'[2]поточний ремонт'!AN12+'[1]поточний ремонт'!AN12</f>
        <v>0</v>
      </c>
      <c r="AO12" s="42">
        <f>'[2]поточний ремонт'!AO12+'[1]поточний ремонт'!AO12</f>
        <v>0</v>
      </c>
      <c r="AP12" s="5"/>
      <c r="AQ12" s="42">
        <f>'[2]поточний ремонт'!AQ12+'[1]поточний ремонт'!AQ12</f>
        <v>110.27308797143304</v>
      </c>
      <c r="AR12" s="42">
        <f>'[2]поточний ремонт'!AR12+'[1]поточний ремонт'!AR12</f>
        <v>538.44584269462018</v>
      </c>
      <c r="AS12" s="5"/>
      <c r="AT12" s="42">
        <f>'[2]поточний ремонт'!AT12+'[1]поточний ремонт'!AT12</f>
        <v>811.31608222234036</v>
      </c>
      <c r="AU12" s="42">
        <f>'[2]поточний ремонт'!AU12+'[1]поточний ремонт'!AU12</f>
        <v>1210.7967459379233</v>
      </c>
      <c r="AV12" s="9"/>
      <c r="AW12" s="42">
        <f>'[2]поточний ремонт'!AW12+'[1]поточний ремонт'!AW12</f>
        <v>437.32509793098109</v>
      </c>
      <c r="AX12" s="42">
        <f>'[2]поточний ремонт'!AX12+'[1]поточний ремонт'!AX12</f>
        <v>5581.6815762670003</v>
      </c>
      <c r="AY12" s="5"/>
      <c r="AZ12" s="42">
        <f t="shared" si="2"/>
        <v>6483.8026249451632</v>
      </c>
      <c r="BA12" s="42">
        <f t="shared" si="3"/>
        <v>7330.9241648995439</v>
      </c>
      <c r="BB12" s="58">
        <f t="shared" si="4"/>
        <v>847.12153995438075</v>
      </c>
      <c r="BD12" s="2">
        <v>2</v>
      </c>
      <c r="BF12" s="29">
        <v>2.6884535365333568</v>
      </c>
      <c r="BG12" s="318">
        <v>150000753</v>
      </c>
      <c r="BI12" s="104">
        <v>0</v>
      </c>
      <c r="BJ12" s="104">
        <f t="shared" si="5"/>
        <v>0</v>
      </c>
      <c r="BK12" s="104">
        <v>0</v>
      </c>
      <c r="BL12" s="38"/>
      <c r="BM12" s="3"/>
      <c r="BN12" s="3">
        <v>0</v>
      </c>
      <c r="BP12" s="3"/>
      <c r="BQ12" s="3"/>
      <c r="BS12" s="42"/>
      <c r="BT12" s="42">
        <v>0</v>
      </c>
      <c r="BU12" s="958"/>
      <c r="BV12" s="41"/>
      <c r="BW12" s="42"/>
      <c r="BX12" s="36"/>
      <c r="BY12" s="76"/>
      <c r="BZ12" s="42">
        <v>0</v>
      </c>
      <c r="CA12" s="959"/>
      <c r="CB12" s="41">
        <v>0</v>
      </c>
      <c r="CC12" s="41">
        <v>0</v>
      </c>
      <c r="CD12" s="960"/>
      <c r="CE12" s="76">
        <v>0</v>
      </c>
      <c r="CF12" s="55"/>
      <c r="CG12" s="41">
        <v>0</v>
      </c>
      <c r="CH12" s="38">
        <v>0</v>
      </c>
      <c r="CI12" s="76">
        <v>0</v>
      </c>
      <c r="CJ12" s="55"/>
      <c r="CK12" s="955"/>
      <c r="CL12" s="950"/>
      <c r="CM12" s="955"/>
      <c r="CN12" s="950">
        <v>0</v>
      </c>
      <c r="CO12" s="76">
        <v>106.30667955203799</v>
      </c>
      <c r="CP12" s="42">
        <v>0</v>
      </c>
      <c r="CQ12" s="5"/>
      <c r="CR12" s="76">
        <v>178.67999761154664</v>
      </c>
      <c r="CS12" s="954">
        <v>0</v>
      </c>
      <c r="CT12" s="5"/>
      <c r="CU12" s="76">
        <v>121.27476017651209</v>
      </c>
      <c r="CV12" s="42">
        <v>0</v>
      </c>
      <c r="CW12" s="5"/>
      <c r="CX12" s="76">
        <v>0</v>
      </c>
      <c r="CY12" s="42">
        <v>0</v>
      </c>
      <c r="CZ12" s="5"/>
      <c r="DA12" s="76">
        <v>0</v>
      </c>
      <c r="DB12" s="42">
        <v>0</v>
      </c>
      <c r="DC12" s="5"/>
      <c r="DD12" s="76">
        <v>54.154001353123945</v>
      </c>
      <c r="DE12" s="42">
        <v>0</v>
      </c>
      <c r="DF12" s="9"/>
      <c r="DG12" s="76">
        <v>33.574545368329652</v>
      </c>
      <c r="DH12" s="42"/>
      <c r="DI12" s="5"/>
      <c r="DJ12" s="42">
        <v>493.98998406155033</v>
      </c>
      <c r="DK12" s="42">
        <f t="shared" si="6"/>
        <v>0</v>
      </c>
      <c r="DL12" s="58">
        <f t="shared" si="7"/>
        <v>-493.98998406155033</v>
      </c>
      <c r="DM12" s="2">
        <v>2</v>
      </c>
    </row>
    <row r="13" spans="1:117" ht="24.9" customHeight="1" x14ac:dyDescent="0.3">
      <c r="A13" s="318">
        <v>150000754</v>
      </c>
      <c r="B13" s="44" t="s">
        <v>240</v>
      </c>
      <c r="C13" s="956">
        <v>5</v>
      </c>
      <c r="D13" s="957" t="s">
        <v>454</v>
      </c>
      <c r="E13" s="949">
        <f>'побудинковий звіт'!E11</f>
        <v>2801.88</v>
      </c>
      <c r="F13" s="950">
        <f>'побудинковий звіт'!AS11</f>
        <v>51576.094330034015</v>
      </c>
      <c r="G13" s="950">
        <f t="shared" si="0"/>
        <v>5033.4566879657214</v>
      </c>
      <c r="H13" s="950">
        <f t="shared" si="1"/>
        <v>-46542.637642068294</v>
      </c>
      <c r="I13" s="42">
        <f>'[2]поточний ремонт'!I13+'[1]поточний ремонт'!I13</f>
        <v>0</v>
      </c>
      <c r="J13" s="42">
        <f>'[2]поточний ремонт'!J13+'[1]поточний ремонт'!J13</f>
        <v>0</v>
      </c>
      <c r="K13" s="958"/>
      <c r="L13" s="42">
        <f>'[2]поточний ремонт'!L13+'[1]поточний ремонт'!L13</f>
        <v>0</v>
      </c>
      <c r="M13" s="42">
        <f>'[2]поточний ремонт'!M13+'[1]поточний ремонт'!M13</f>
        <v>0</v>
      </c>
      <c r="N13" s="36"/>
      <c r="O13" s="42">
        <f>'[2]поточний ремонт'!O13+'[1]поточний ремонт'!O13</f>
        <v>0</v>
      </c>
      <c r="P13" s="42">
        <f>'[2]поточний ремонт'!P13+'[1]поточний ремонт'!P13</f>
        <v>0</v>
      </c>
      <c r="Q13" s="959"/>
      <c r="R13" s="42">
        <f>'[2]поточний ремонт'!R13+'[1]поточний ремонт'!R13</f>
        <v>0</v>
      </c>
      <c r="S13" s="42">
        <f>'[2]поточний ремонт'!S13+'[1]поточний ремонт'!S13</f>
        <v>0</v>
      </c>
      <c r="T13" s="960"/>
      <c r="U13" s="42">
        <f>'[2]поточний ремонт'!U13+'[1]поточний ремонт'!U13</f>
        <v>0</v>
      </c>
      <c r="V13" s="42">
        <f>'[2]поточний ремонт'!V13+'[1]поточний ремонт'!V13</f>
        <v>0</v>
      </c>
      <c r="W13" s="42">
        <f>'[2]поточний ремонт'!W13+'[1]поточний ремонт'!W13</f>
        <v>0</v>
      </c>
      <c r="X13" s="42">
        <f>'[2]поточний ремонт'!X13+'[1]поточний ремонт'!X13</f>
        <v>410.32796456931459</v>
      </c>
      <c r="Y13" s="42">
        <f>'[2]поточний ремонт'!Y13+'[1]поточний ремонт'!Y13</f>
        <v>0</v>
      </c>
      <c r="Z13" s="42">
        <f>'[2]поточний ремонт'!Z13+'[1]поточний ремонт'!Z13</f>
        <v>0</v>
      </c>
      <c r="AA13" s="42">
        <f>'[2]поточний ремонт'!AA13+'[1]поточний ремонт'!AA13</f>
        <v>0</v>
      </c>
      <c r="AB13" s="42">
        <f>'[2]поточний ремонт'!AB13+'[1]поточний ремонт'!AB13</f>
        <v>0</v>
      </c>
      <c r="AC13" s="42">
        <f>'[2]поточний ремонт'!AC13+'[1]поточний ремонт'!AC13</f>
        <v>0</v>
      </c>
      <c r="AD13" s="42">
        <f>'[2]поточний ремонт'!AD13+'[1]поточний ремонт'!AD13</f>
        <v>4623.1287233964067</v>
      </c>
      <c r="AE13" s="42">
        <f>'[2]поточний ремонт'!AE13+'[1]поточний ремонт'!AE13</f>
        <v>1805.7764182428618</v>
      </c>
      <c r="AF13" s="42">
        <f>'[2]поточний ремонт'!AF13+'[1]поточний ремонт'!AF13</f>
        <v>0</v>
      </c>
      <c r="AG13" s="5"/>
      <c r="AH13" s="42">
        <f>'[2]поточний ремонт'!AH13+'[1]поточний ремонт'!AH13</f>
        <v>2659.9801766323062</v>
      </c>
      <c r="AI13" s="42">
        <f>'[2]поточний ремонт'!AI13+'[1]поточний ремонт'!AI13</f>
        <v>0</v>
      </c>
      <c r="AJ13" s="5"/>
      <c r="AK13" s="42">
        <f>'[2]поточний ремонт'!AK13+'[1]поточний ремонт'!AK13</f>
        <v>2182.539612648568</v>
      </c>
      <c r="AL13" s="42">
        <f>'[2]поточний ремонт'!AL13+'[1]поточний ремонт'!AL13</f>
        <v>0</v>
      </c>
      <c r="AM13" s="5"/>
      <c r="AN13" s="42">
        <f>'[2]поточний ремонт'!AN13+'[1]поточний ремонт'!AN13</f>
        <v>0</v>
      </c>
      <c r="AO13" s="42">
        <f>'[2]поточний ремонт'!AO13+'[1]поточний ремонт'!AO13</f>
        <v>0</v>
      </c>
      <c r="AP13" s="5"/>
      <c r="AQ13" s="42">
        <f>'[2]поточний ремонт'!AQ13+'[1]поточний ремонт'!AQ13</f>
        <v>679.24845018662029</v>
      </c>
      <c r="AR13" s="42">
        <f>'[2]поточний ремонт'!AR13+'[1]поточний ремонт'!AR13</f>
        <v>0</v>
      </c>
      <c r="AS13" s="5"/>
      <c r="AT13" s="42">
        <f>'[2]поточний ремонт'!AT13+'[1]поточний ремонт'!AT13</f>
        <v>1215.7075511913665</v>
      </c>
      <c r="AU13" s="42">
        <f>'[2]поточний ремонт'!AU13+'[1]поточний ремонт'!AU13</f>
        <v>2105.355400192449</v>
      </c>
      <c r="AV13" s="5"/>
      <c r="AW13" s="42">
        <f>'[2]поточний ремонт'!AW13+'[1]поточний ремонт'!AW13</f>
        <v>48.467992048312254</v>
      </c>
      <c r="AX13" s="42">
        <f>'[2]поточний ремонт'!AX13+'[1]поточний ремонт'!AX13</f>
        <v>0</v>
      </c>
      <c r="AY13" s="5"/>
      <c r="AZ13" s="42">
        <f t="shared" si="2"/>
        <v>8591.7202009500343</v>
      </c>
      <c r="BA13" s="42">
        <f t="shared" si="3"/>
        <v>2105.355400192449</v>
      </c>
      <c r="BB13" s="58">
        <f t="shared" si="4"/>
        <v>-6486.3648007575848</v>
      </c>
      <c r="BD13" s="2">
        <v>2</v>
      </c>
      <c r="BF13" s="29">
        <v>4.102392852906048</v>
      </c>
      <c r="BG13" s="318">
        <v>150000754</v>
      </c>
      <c r="BI13" s="104">
        <v>30.08</v>
      </c>
      <c r="BJ13" s="104">
        <f t="shared" si="5"/>
        <v>4.2311189759999994</v>
      </c>
      <c r="BK13" s="104">
        <v>34.690836743679995</v>
      </c>
      <c r="BL13" s="38"/>
      <c r="BM13" s="3"/>
      <c r="BN13" s="3">
        <v>0</v>
      </c>
      <c r="BP13" s="3"/>
      <c r="BQ13" s="3"/>
      <c r="BS13" s="42"/>
      <c r="BT13" s="42">
        <v>0</v>
      </c>
      <c r="BU13" s="958"/>
      <c r="BV13" s="41"/>
      <c r="BW13" s="42"/>
      <c r="BX13" s="36"/>
      <c r="BY13" s="76"/>
      <c r="BZ13" s="42">
        <v>0</v>
      </c>
      <c r="CA13" s="959"/>
      <c r="CB13" s="41">
        <v>0</v>
      </c>
      <c r="CC13" s="41">
        <v>0</v>
      </c>
      <c r="CD13" s="960"/>
      <c r="CE13" s="76">
        <v>0</v>
      </c>
      <c r="CF13" s="55"/>
      <c r="CG13" s="41">
        <v>0</v>
      </c>
      <c r="CH13" s="38">
        <v>34.690836743679995</v>
      </c>
      <c r="CI13" s="76">
        <v>0</v>
      </c>
      <c r="CJ13" s="55"/>
      <c r="CK13" s="955"/>
      <c r="CL13" s="950"/>
      <c r="CM13" s="955"/>
      <c r="CN13" s="950">
        <v>0</v>
      </c>
      <c r="CO13" s="76">
        <v>144.7083987412241</v>
      </c>
      <c r="CP13" s="42">
        <v>0</v>
      </c>
      <c r="CQ13" s="5"/>
      <c r="CR13" s="76">
        <v>212.27169726709224</v>
      </c>
      <c r="CS13" s="954">
        <v>0</v>
      </c>
      <c r="CT13" s="5"/>
      <c r="CU13" s="76">
        <v>167.34646453292541</v>
      </c>
      <c r="CV13" s="42">
        <v>0</v>
      </c>
      <c r="CW13" s="5"/>
      <c r="CX13" s="76">
        <v>0</v>
      </c>
      <c r="CY13" s="42">
        <v>0</v>
      </c>
      <c r="CZ13" s="5"/>
      <c r="DA13" s="76">
        <v>59.973570119372766</v>
      </c>
      <c r="DB13" s="42">
        <v>0</v>
      </c>
      <c r="DC13" s="5"/>
      <c r="DD13" s="76">
        <v>79.530315357186169</v>
      </c>
      <c r="DE13" s="42">
        <v>0</v>
      </c>
      <c r="DF13" s="5"/>
      <c r="DG13" s="76">
        <v>0</v>
      </c>
      <c r="DH13" s="42"/>
      <c r="DI13" s="5"/>
      <c r="DJ13" s="42">
        <v>663.83044601780068</v>
      </c>
      <c r="DK13" s="42">
        <f t="shared" si="6"/>
        <v>0</v>
      </c>
      <c r="DL13" s="58">
        <f t="shared" si="7"/>
        <v>-663.83044601780068</v>
      </c>
      <c r="DM13" s="2">
        <v>2</v>
      </c>
    </row>
    <row r="14" spans="1:117" ht="24.9" customHeight="1" x14ac:dyDescent="0.3">
      <c r="A14" s="318">
        <v>150000702</v>
      </c>
      <c r="B14" s="44" t="s">
        <v>1824</v>
      </c>
      <c r="C14" s="956">
        <v>9</v>
      </c>
      <c r="D14" s="957" t="s">
        <v>454</v>
      </c>
      <c r="E14" s="949">
        <f>'побудинковий звіт'!E12</f>
        <v>6095.61</v>
      </c>
      <c r="F14" s="950">
        <f>'побудинковий звіт'!AS12</f>
        <v>152265.78390061657</v>
      </c>
      <c r="G14" s="950">
        <f t="shared" si="0"/>
        <v>15071.714659380888</v>
      </c>
      <c r="H14" s="950">
        <f t="shared" si="1"/>
        <v>-137194.06924123567</v>
      </c>
      <c r="I14" s="42">
        <f>'[2]поточний ремонт'!I14+'[1]поточний ремонт'!I14</f>
        <v>18</v>
      </c>
      <c r="J14" s="42">
        <f>'[2]поточний ремонт'!J14+'[1]поточний ремонт'!J14</f>
        <v>14362.541615109529</v>
      </c>
      <c r="K14" s="958"/>
      <c r="L14" s="42">
        <f>'[2]поточний ремонт'!L14+'[1]поточний ремонт'!L14</f>
        <v>0</v>
      </c>
      <c r="M14" s="42">
        <f>'[2]поточний ремонт'!M14+'[1]поточний ремонт'!M14</f>
        <v>0</v>
      </c>
      <c r="N14" s="961"/>
      <c r="O14" s="42">
        <f>'[2]поточний ремонт'!O14+'[1]поточний ремонт'!O14</f>
        <v>0</v>
      </c>
      <c r="P14" s="42">
        <f>'[2]поточний ремонт'!P14+'[1]поточний ремонт'!P14</f>
        <v>0</v>
      </c>
      <c r="Q14" s="959"/>
      <c r="R14" s="42">
        <f>'[2]поточний ремонт'!R14+'[1]поточний ремонт'!R14</f>
        <v>0</v>
      </c>
      <c r="S14" s="42">
        <f>'[2]поточний ремонт'!S14+'[1]поточний ремонт'!S14</f>
        <v>0</v>
      </c>
      <c r="T14" s="960"/>
      <c r="U14" s="42">
        <f>'[2]поточний ремонт'!U14+'[1]поточний ремонт'!U14</f>
        <v>0</v>
      </c>
      <c r="V14" s="42">
        <f>'[2]поточний ремонт'!V14+'[1]поточний ремонт'!V14</f>
        <v>0</v>
      </c>
      <c r="W14" s="42">
        <f>'[2]поточний ремонт'!W14+'[1]поточний ремонт'!W14</f>
        <v>0</v>
      </c>
      <c r="X14" s="42">
        <f>'[2]поточний ремонт'!X14+'[1]поточний ремонт'!X14</f>
        <v>0</v>
      </c>
      <c r="Y14" s="42">
        <f>'[2]поточний ремонт'!Y14+'[1]поточний ремонт'!Y14</f>
        <v>0</v>
      </c>
      <c r="Z14" s="42">
        <f>'[2]поточний ремонт'!Z14+'[1]поточний ремонт'!Z14</f>
        <v>0</v>
      </c>
      <c r="AA14" s="42">
        <f>'[2]поточний ремонт'!AA14+'[1]поточний ремонт'!AA14</f>
        <v>296</v>
      </c>
      <c r="AB14" s="42">
        <f>'[2]поточний ремонт'!AB14+'[1]поточний ремонт'!AB14</f>
        <v>132.05404403729605</v>
      </c>
      <c r="AC14" s="42">
        <f>'[2]поточний ремонт'!AC14+'[1]поточний ремонт'!AC14</f>
        <v>0</v>
      </c>
      <c r="AD14" s="42">
        <f>'[2]поточний ремонт'!AD14+'[1]поточний ремонт'!AD14</f>
        <v>281.11900023406389</v>
      </c>
      <c r="AE14" s="42">
        <f>'[2]поточний ремонт'!AE14+'[1]поточний ремонт'!AE14</f>
        <v>1699.452626853044</v>
      </c>
      <c r="AF14" s="42">
        <f>'[2]поточний ремонт'!AF14+'[1]поточний ремонт'!AF14</f>
        <v>0</v>
      </c>
      <c r="AG14" s="5"/>
      <c r="AH14" s="42">
        <f>'[2]поточний ремонт'!AH14+'[1]поточний ремонт'!AH14</f>
        <v>1997.6993215617631</v>
      </c>
      <c r="AI14" s="42">
        <f>'[2]поточний ремонт'!AI14+'[1]поточний ремонт'!AI14</f>
        <v>2873.9239916609299</v>
      </c>
      <c r="AJ14" s="5"/>
      <c r="AK14" s="42">
        <f>'[2]поточний ремонт'!AK14+'[1]поточний ремонт'!AK14</f>
        <v>2507.3773958225452</v>
      </c>
      <c r="AL14" s="42">
        <f>'[2]поточний ремонт'!AL14+'[1]поточний ремонт'!AL14</f>
        <v>982.43573288694427</v>
      </c>
      <c r="AM14" s="5"/>
      <c r="AN14" s="42">
        <f>'[2]поточний ремонт'!AN14+'[1]поточний ремонт'!AN14</f>
        <v>652.7200906147491</v>
      </c>
      <c r="AO14" s="42">
        <f>'[2]поточний ремонт'!AO14+'[1]поточний ремонт'!AO14</f>
        <v>0</v>
      </c>
      <c r="AP14" s="5"/>
      <c r="AQ14" s="42">
        <f>'[2]поточний ремонт'!AQ14+'[1]поточний ремонт'!AQ14</f>
        <v>423.85091471494235</v>
      </c>
      <c r="AR14" s="42">
        <f>'[2]поточний ремонт'!AR14+'[1]поточний ремонт'!AR14</f>
        <v>0</v>
      </c>
      <c r="AS14" s="5"/>
      <c r="AT14" s="42">
        <f>'[2]поточний ремонт'!AT14+'[1]поточний ремонт'!AT14</f>
        <v>1458.3723077088878</v>
      </c>
      <c r="AU14" s="42">
        <f>'[2]поточний ремонт'!AU14+'[1]поточний ремонт'!AU14</f>
        <v>0</v>
      </c>
      <c r="AV14" s="5"/>
      <c r="AW14" s="42">
        <f>'[2]поточний ремонт'!AW14+'[1]поточний ремонт'!AW14</f>
        <v>112.9351271028635</v>
      </c>
      <c r="AX14" s="42">
        <f>'[2]поточний ремонт'!AX14+'[1]поточний ремонт'!AX14</f>
        <v>0</v>
      </c>
      <c r="AY14" s="5"/>
      <c r="AZ14" s="42">
        <f t="shared" si="2"/>
        <v>8852.4077843787945</v>
      </c>
      <c r="BA14" s="42">
        <f t="shared" si="3"/>
        <v>3856.3597245478741</v>
      </c>
      <c r="BB14" s="58">
        <f t="shared" si="4"/>
        <v>-4996.0480598309205</v>
      </c>
      <c r="BD14" s="2">
        <v>3</v>
      </c>
      <c r="BF14" s="29">
        <v>455.65018573898544</v>
      </c>
      <c r="BG14" s="318">
        <v>150000702</v>
      </c>
      <c r="BI14" s="104">
        <v>0</v>
      </c>
      <c r="BJ14" s="104">
        <f t="shared" si="5"/>
        <v>0</v>
      </c>
      <c r="BK14" s="104">
        <v>0</v>
      </c>
      <c r="BL14" s="38"/>
      <c r="BM14" s="3"/>
      <c r="BN14" s="3">
        <v>0</v>
      </c>
      <c r="BP14" s="3"/>
      <c r="BQ14" s="3"/>
      <c r="BS14" s="42"/>
      <c r="BT14" s="42">
        <v>0</v>
      </c>
      <c r="BU14" s="958"/>
      <c r="BV14" s="41"/>
      <c r="BW14" s="42"/>
      <c r="BX14" s="961"/>
      <c r="BY14" s="76"/>
      <c r="BZ14" s="42">
        <v>0</v>
      </c>
      <c r="CA14" s="959"/>
      <c r="CB14" s="41">
        <v>0</v>
      </c>
      <c r="CC14" s="41">
        <v>0</v>
      </c>
      <c r="CD14" s="960"/>
      <c r="CE14" s="76">
        <v>0</v>
      </c>
      <c r="CF14" s="55"/>
      <c r="CG14" s="41">
        <v>0</v>
      </c>
      <c r="CH14" s="38">
        <v>0</v>
      </c>
      <c r="CI14" s="76">
        <v>0</v>
      </c>
      <c r="CJ14" s="55"/>
      <c r="CK14" s="955"/>
      <c r="CL14" s="950"/>
      <c r="CM14" s="955"/>
      <c r="CN14" s="950">
        <v>0</v>
      </c>
      <c r="CO14" s="76">
        <v>97.593410118833248</v>
      </c>
      <c r="CP14" s="42">
        <v>0</v>
      </c>
      <c r="CQ14" s="5"/>
      <c r="CR14" s="76">
        <v>137.11945850575125</v>
      </c>
      <c r="CS14" s="954">
        <v>0</v>
      </c>
      <c r="CT14" s="5"/>
      <c r="CU14" s="76">
        <v>165.55657676623494</v>
      </c>
      <c r="CV14" s="42">
        <v>0</v>
      </c>
      <c r="CW14" s="5"/>
      <c r="CX14" s="76">
        <v>53.852871368604887</v>
      </c>
      <c r="CY14" s="42">
        <v>0</v>
      </c>
      <c r="CZ14" s="5"/>
      <c r="DA14" s="76">
        <v>29.682543638324773</v>
      </c>
      <c r="DB14" s="42">
        <v>0</v>
      </c>
      <c r="DC14" s="5"/>
      <c r="DD14" s="76">
        <v>69.887823032227814</v>
      </c>
      <c r="DE14" s="42">
        <v>0</v>
      </c>
      <c r="DF14" s="5"/>
      <c r="DG14" s="76">
        <v>0</v>
      </c>
      <c r="DH14" s="42"/>
      <c r="DI14" s="5"/>
      <c r="DJ14" s="42">
        <v>553.69268342997691</v>
      </c>
      <c r="DK14" s="42">
        <f t="shared" si="6"/>
        <v>0</v>
      </c>
      <c r="DL14" s="58">
        <f t="shared" si="7"/>
        <v>-553.69268342997691</v>
      </c>
      <c r="DM14" s="2">
        <v>3</v>
      </c>
    </row>
    <row r="15" spans="1:117" ht="24.9" customHeight="1" x14ac:dyDescent="0.3">
      <c r="A15" s="318">
        <v>150000703</v>
      </c>
      <c r="B15" s="44" t="s">
        <v>1825</v>
      </c>
      <c r="C15" s="956">
        <v>9</v>
      </c>
      <c r="D15" s="957" t="s">
        <v>454</v>
      </c>
      <c r="E15" s="949">
        <f>'побудинковий звіт'!E13</f>
        <v>6323.6</v>
      </c>
      <c r="F15" s="950">
        <f>'побудинковий звіт'!AS13</f>
        <v>154746.25607048531</v>
      </c>
      <c r="G15" s="950">
        <f t="shared" si="0"/>
        <v>31047.167634771078</v>
      </c>
      <c r="H15" s="950">
        <f t="shared" si="1"/>
        <v>-123699.08843571423</v>
      </c>
      <c r="I15" s="42">
        <f>'[2]поточний ремонт'!I15+'[1]поточний ремонт'!I15</f>
        <v>0</v>
      </c>
      <c r="J15" s="42">
        <f>'[2]поточний ремонт'!J15+'[1]поточний ремонт'!J15</f>
        <v>0</v>
      </c>
      <c r="K15" s="962"/>
      <c r="L15" s="42">
        <f>'[2]поточний ремонт'!L15+'[1]поточний ремонт'!L15</f>
        <v>0</v>
      </c>
      <c r="M15" s="42">
        <f>'[2]поточний ремонт'!M15+'[1]поточний ремонт'!M15</f>
        <v>0</v>
      </c>
      <c r="N15" s="36"/>
      <c r="O15" s="42">
        <f>'[2]поточний ремонт'!O15+'[1]поточний ремонт'!O15</f>
        <v>9</v>
      </c>
      <c r="P15" s="42">
        <f>'[2]поточний ремонт'!P15+'[1]поточний ремонт'!P15</f>
        <v>3014.4562867736499</v>
      </c>
      <c r="Q15" s="959"/>
      <c r="R15" s="42">
        <f>'[2]поточний ремонт'!R15+'[1]поточний ремонт'!R15</f>
        <v>4</v>
      </c>
      <c r="S15" s="42">
        <f>'[2]поточний ремонт'!S15+'[1]поточний ремонт'!S15</f>
        <v>5123.4491956590737</v>
      </c>
      <c r="T15" s="963"/>
      <c r="U15" s="42">
        <f>'[2]поточний ремонт'!U15+'[1]поточний ремонт'!U15</f>
        <v>0</v>
      </c>
      <c r="V15" s="42">
        <f>'[2]поточний ремонт'!V15+'[1]поточний ремонт'!V15</f>
        <v>0</v>
      </c>
      <c r="W15" s="42">
        <f>'[2]поточний ремонт'!W15+'[1]поточний ремонт'!W15</f>
        <v>0</v>
      </c>
      <c r="X15" s="42">
        <f>'[2]поточний ремонт'!X15+'[1]поточний ремонт'!X15</f>
        <v>509.63606237731369</v>
      </c>
      <c r="Y15" s="42">
        <f>'[2]поточний ремонт'!Y15+'[1]поточний ремонт'!Y15</f>
        <v>18389.549922750601</v>
      </c>
      <c r="Z15" s="42">
        <f>'[2]поточний ремонт'!Z15+'[1]поточний ремонт'!Z15</f>
        <v>0</v>
      </c>
      <c r="AA15" s="42">
        <f>'[2]поточний ремонт'!AA15+'[1]поточний ремонт'!AA15</f>
        <v>0</v>
      </c>
      <c r="AB15" s="42">
        <f>'[2]поточний ремонт'!AB15+'[1]поточний ремонт'!AB15</f>
        <v>1609.1880447959372</v>
      </c>
      <c r="AC15" s="42">
        <f>'[2]поточний ремонт'!AC15+'[1]поточний ремонт'!AC15</f>
        <v>555.51382149040671</v>
      </c>
      <c r="AD15" s="42">
        <f>'[2]поточний ремонт'!AD15+'[1]поточний ремонт'!AD15</f>
        <v>1845.3743009240943</v>
      </c>
      <c r="AE15" s="42">
        <f>'[2]поточний ремонт'!AE15+'[1]поточний ремонт'!AE15</f>
        <v>1695.3689815347807</v>
      </c>
      <c r="AF15" s="42">
        <f>'[2]поточний ремонт'!AF15+'[1]поточний ремонт'!AF15</f>
        <v>1316.0072934296429</v>
      </c>
      <c r="AG15" s="9"/>
      <c r="AH15" s="42">
        <f>'[2]поточний ремонт'!AH15+'[1]поточний ремонт'!AH15</f>
        <v>2045.8431940435091</v>
      </c>
      <c r="AI15" s="42">
        <f>'[2]поточний ремонт'!AI15+'[1]поточний ремонт'!AI15</f>
        <v>5203.6621024858314</v>
      </c>
      <c r="AJ15" s="9"/>
      <c r="AK15" s="42">
        <f>'[2]поточний ремонт'!AK15+'[1]поточний ремонт'!AK15</f>
        <v>2509.6360173502185</v>
      </c>
      <c r="AL15" s="42">
        <f>'[2]поточний ремонт'!AL15+'[1]поточний ремонт'!AL15</f>
        <v>1675.923594652158</v>
      </c>
      <c r="AM15" s="5"/>
      <c r="AN15" s="42">
        <f>'[2]поточний ремонт'!AN15+'[1]поточний ремонт'!AN15</f>
        <v>657.46936173544054</v>
      </c>
      <c r="AO15" s="42">
        <f>'[2]поточний ремонт'!AO15+'[1]поточний ремонт'!AO15</f>
        <v>0</v>
      </c>
      <c r="AP15" s="737"/>
      <c r="AQ15" s="42">
        <f>'[2]поточний ремонт'!AQ15+'[1]поточний ремонт'!AQ15</f>
        <v>423.85091471494235</v>
      </c>
      <c r="AR15" s="42">
        <f>'[2]поточний ремонт'!AR15+'[1]поточний ремонт'!AR15</f>
        <v>7754.8875732244178</v>
      </c>
      <c r="AS15" s="9"/>
      <c r="AT15" s="42">
        <f>'[2]поточний ремонт'!AT15+'[1]поточний ремонт'!AT15</f>
        <v>1365.5691888144356</v>
      </c>
      <c r="AU15" s="42">
        <f>'[2]поточний ремонт'!AU15+'[1]поточний ремонт'!AU15</f>
        <v>3023.682940087363</v>
      </c>
      <c r="AV15" s="5"/>
      <c r="AW15" s="42">
        <f>'[2]поточний ремонт'!AW15+'[1]поточний ремонт'!AW15</f>
        <v>97.249692783021345</v>
      </c>
      <c r="AX15" s="42">
        <f>'[2]поточний ремонт'!AX15+'[1]поточний ремонт'!AX15</f>
        <v>0</v>
      </c>
      <c r="AY15" s="5"/>
      <c r="AZ15" s="42">
        <f t="shared" si="2"/>
        <v>8794.9873509763493</v>
      </c>
      <c r="BA15" s="42">
        <f t="shared" si="3"/>
        <v>18974.163503879412</v>
      </c>
      <c r="BB15" s="58">
        <f t="shared" si="4"/>
        <v>10179.176152903063</v>
      </c>
      <c r="BD15" s="2">
        <v>3</v>
      </c>
      <c r="BF15" s="29">
        <v>472.17860471248025</v>
      </c>
      <c r="BG15" s="318">
        <v>150000703</v>
      </c>
      <c r="BI15" s="104">
        <v>37.36</v>
      </c>
      <c r="BJ15" s="104">
        <f t="shared" si="5"/>
        <v>5.2551397919999996</v>
      </c>
      <c r="BK15" s="104">
        <v>43.086757338559998</v>
      </c>
      <c r="BL15" s="38"/>
      <c r="BM15" s="3"/>
      <c r="BN15" s="3">
        <v>0</v>
      </c>
      <c r="BP15" s="3"/>
      <c r="BQ15" s="3"/>
      <c r="BS15" s="42"/>
      <c r="BT15" s="42">
        <v>0</v>
      </c>
      <c r="BU15" s="962"/>
      <c r="BV15" s="41"/>
      <c r="BW15" s="42"/>
      <c r="BX15" s="36"/>
      <c r="BY15" s="76"/>
      <c r="BZ15" s="42">
        <v>0</v>
      </c>
      <c r="CA15" s="959"/>
      <c r="CB15" s="41">
        <v>1</v>
      </c>
      <c r="CC15" s="41">
        <v>1359.7263230598001</v>
      </c>
      <c r="CD15" s="963"/>
      <c r="CE15" s="76">
        <v>0</v>
      </c>
      <c r="CF15" s="55"/>
      <c r="CG15" s="41">
        <v>0</v>
      </c>
      <c r="CH15" s="38">
        <v>43.086757338559998</v>
      </c>
      <c r="CI15" s="76">
        <v>359.98042296525114</v>
      </c>
      <c r="CJ15" s="55"/>
      <c r="CK15" s="955"/>
      <c r="CL15" s="950"/>
      <c r="CM15" s="955"/>
      <c r="CN15" s="950">
        <v>0</v>
      </c>
      <c r="CO15" s="76">
        <v>95.803188305416725</v>
      </c>
      <c r="CP15" s="42">
        <v>0</v>
      </c>
      <c r="CQ15" s="9"/>
      <c r="CR15" s="76">
        <v>135.49959397133657</v>
      </c>
      <c r="CS15" s="954">
        <v>0</v>
      </c>
      <c r="CT15" s="9"/>
      <c r="CU15" s="76">
        <v>173.7821981198818</v>
      </c>
      <c r="CV15" s="42">
        <v>718.39040951413278</v>
      </c>
      <c r="CW15" s="5"/>
      <c r="CX15" s="76">
        <v>54.369292915198905</v>
      </c>
      <c r="CY15" s="42">
        <v>0</v>
      </c>
      <c r="CZ15" s="737"/>
      <c r="DA15" s="76">
        <v>29.682543638324773</v>
      </c>
      <c r="DB15" s="42">
        <v>0</v>
      </c>
      <c r="DC15" s="9"/>
      <c r="DD15" s="76">
        <v>68.141586721422954</v>
      </c>
      <c r="DE15" s="42">
        <v>0</v>
      </c>
      <c r="DF15" s="5"/>
      <c r="DG15" s="76">
        <v>0</v>
      </c>
      <c r="DH15" s="42"/>
      <c r="DI15" s="5"/>
      <c r="DJ15" s="42">
        <v>557.27840367158171</v>
      </c>
      <c r="DK15" s="42">
        <f t="shared" si="6"/>
        <v>718.39040951413278</v>
      </c>
      <c r="DL15" s="58">
        <f t="shared" si="7"/>
        <v>161.11200584255107</v>
      </c>
      <c r="DM15" s="2">
        <v>3</v>
      </c>
    </row>
    <row r="16" spans="1:117" ht="24.9" customHeight="1" x14ac:dyDescent="0.3">
      <c r="A16" s="318">
        <v>150000636</v>
      </c>
      <c r="B16" s="44" t="s">
        <v>1738</v>
      </c>
      <c r="C16" s="956">
        <v>5</v>
      </c>
      <c r="D16" s="957" t="s">
        <v>454</v>
      </c>
      <c r="E16" s="949">
        <f>'побудинковий звіт'!E112</f>
        <v>249.9</v>
      </c>
      <c r="F16" s="950">
        <f>'побудинковий звіт'!AS112</f>
        <v>2981.0773061027567</v>
      </c>
      <c r="G16" s="950">
        <f t="shared" si="0"/>
        <v>45731.057580753251</v>
      </c>
      <c r="H16" s="950">
        <f t="shared" si="1"/>
        <v>42749.980274650494</v>
      </c>
      <c r="I16" s="42">
        <f>'[2]поточний ремонт'!I16+'[1]поточний ремонт'!I16</f>
        <v>92</v>
      </c>
      <c r="J16" s="42">
        <f>'[2]поточний ремонт'!J16+'[1]поточний ремонт'!J16</f>
        <v>25362.743516478324</v>
      </c>
      <c r="K16" s="958"/>
      <c r="L16" s="42">
        <f>'[2]поточний ремонт'!L16+'[1]поточний ремонт'!L16</f>
        <v>0</v>
      </c>
      <c r="M16" s="42">
        <f>'[2]поточний ремонт'!M16+'[1]поточний ремонт'!M16</f>
        <v>4478</v>
      </c>
      <c r="N16" s="960"/>
      <c r="O16" s="42">
        <f>'[2]поточний ремонт'!O16+'[1]поточний ремонт'!O16</f>
        <v>0</v>
      </c>
      <c r="P16" s="42">
        <f>'[2]поточний ремонт'!P16+'[1]поточний ремонт'!P16</f>
        <v>0</v>
      </c>
      <c r="Q16" s="959"/>
      <c r="R16" s="42">
        <f>'[2]поточний ремонт'!R16+'[1]поточний ремонт'!R16</f>
        <v>0</v>
      </c>
      <c r="S16" s="42">
        <f>'[2]поточний ремонт'!S16+'[1]поточний ремонт'!S16</f>
        <v>0</v>
      </c>
      <c r="T16" s="960"/>
      <c r="U16" s="42">
        <f>'[2]поточний ремонт'!U16+'[1]поточний ремонт'!U16</f>
        <v>0</v>
      </c>
      <c r="V16" s="42">
        <f>'[2]поточний ремонт'!V16+'[1]поточний ремонт'!V16</f>
        <v>0</v>
      </c>
      <c r="W16" s="42">
        <f>'[2]поточний ремонт'!W16+'[1]поточний ремонт'!W16</f>
        <v>10</v>
      </c>
      <c r="X16" s="42">
        <f>'[2]поточний ремонт'!X16+'[1]поточний ремонт'!X16</f>
        <v>8461</v>
      </c>
      <c r="Y16" s="42">
        <f>'[2]поточний ремонт'!Y16+'[1]поточний ремонт'!Y16</f>
        <v>3565.1415310770258</v>
      </c>
      <c r="Z16" s="42">
        <f>'[2]поточний ремонт'!Z16+'[1]поточний ремонт'!Z16</f>
        <v>0</v>
      </c>
      <c r="AA16" s="42">
        <f>'[2]поточний ремонт'!AA16+'[1]поточний ремонт'!AA16</f>
        <v>0</v>
      </c>
      <c r="AB16" s="42">
        <f>'[2]поточний ремонт'!AB16+'[1]поточний ремонт'!AB16</f>
        <v>1553.5594546272382</v>
      </c>
      <c r="AC16" s="42">
        <f>'[2]поточний ремонт'!AC16+'[1]поточний ремонт'!AC16</f>
        <v>0</v>
      </c>
      <c r="AD16" s="42">
        <f>'[2]поточний ремонт'!AD16+'[1]поточний ремонт'!AD16</f>
        <v>2310.6130785706628</v>
      </c>
      <c r="AE16" s="42">
        <f>'[2]поточний ремонт'!AE16+'[1]поточний ремонт'!AE16</f>
        <v>1852.1119863833305</v>
      </c>
      <c r="AF16" s="42">
        <f>'[2]поточний ремонт'!AF16+'[1]поточний ремонт'!AF16</f>
        <v>2330.2834939688255</v>
      </c>
      <c r="AG16" s="5"/>
      <c r="AH16" s="42">
        <f>'[2]поточний ремонт'!AH16+'[1]поточний ремонт'!AH16</f>
        <v>2938.9342694333559</v>
      </c>
      <c r="AI16" s="42">
        <f>'[2]поточний ремонт'!AI16+'[1]поточний ремонт'!AI16</f>
        <v>3765.6786680817454</v>
      </c>
      <c r="AJ16" s="5"/>
      <c r="AK16" s="42">
        <f>'[2]поточний ремонт'!AK16+'[1]поточний ремонт'!AK16</f>
        <v>1796.988535695768</v>
      </c>
      <c r="AL16" s="42">
        <f>'[2]поточний ремонт'!AL16+'[1]поточний ремонт'!AL16</f>
        <v>0</v>
      </c>
      <c r="AM16" s="737"/>
      <c r="AN16" s="42">
        <f>'[2]поточний ремонт'!AN16+'[1]поточний ремонт'!AN16</f>
        <v>0</v>
      </c>
      <c r="AO16" s="42">
        <f>'[2]поточний ремонт'!AO16+'[1]поточний ремонт'!AO16</f>
        <v>0</v>
      </c>
      <c r="AP16" s="5"/>
      <c r="AQ16" s="42">
        <f>'[2]поточний ремонт'!AQ16+'[1]поточний ремонт'!AQ16</f>
        <v>605.73305820566497</v>
      </c>
      <c r="AR16" s="42">
        <f>'[2]поточний ремонт'!AR16+'[1]поточний ремонт'!AR16</f>
        <v>0</v>
      </c>
      <c r="AS16" s="5"/>
      <c r="AT16" s="42">
        <f>'[2]поточний ремонт'!AT16+'[1]поточний ремонт'!AT16</f>
        <v>1612.5981237823044</v>
      </c>
      <c r="AU16" s="42">
        <f>'[2]поточний ремонт'!AU16+'[1]поточний ремонт'!AU16</f>
        <v>0</v>
      </c>
      <c r="AV16" s="974"/>
      <c r="AW16" s="42">
        <f>'[2]поточний ремонт'!AW16+'[1]поточний ремонт'!AW16</f>
        <v>100.38677964698979</v>
      </c>
      <c r="AX16" s="42">
        <f>'[2]поточний ремонт'!AX16+'[1]поточний ремонт'!AX16</f>
        <v>3369.4998712157189</v>
      </c>
      <c r="AY16" s="5"/>
      <c r="AZ16" s="42">
        <f t="shared" si="2"/>
        <v>8906.7527531474134</v>
      </c>
      <c r="BA16" s="42">
        <f t="shared" si="3"/>
        <v>9465.4620332662907</v>
      </c>
      <c r="BB16" s="58">
        <f t="shared" si="4"/>
        <v>558.70928011887736</v>
      </c>
      <c r="BD16" s="2">
        <v>3</v>
      </c>
      <c r="BF16" s="29">
        <v>237.39522013231061</v>
      </c>
      <c r="BG16" s="318">
        <v>150000636</v>
      </c>
      <c r="BI16" s="104">
        <v>0</v>
      </c>
      <c r="BJ16" s="104">
        <f t="shared" si="5"/>
        <v>0</v>
      </c>
      <c r="BK16" s="104">
        <v>0</v>
      </c>
      <c r="BL16" s="38"/>
      <c r="BM16" s="3"/>
      <c r="BN16" s="3">
        <v>0</v>
      </c>
      <c r="BP16" s="3"/>
      <c r="BQ16" s="3"/>
      <c r="BS16" s="42"/>
      <c r="BT16" s="42">
        <v>0</v>
      </c>
      <c r="BU16" s="958"/>
      <c r="BV16" s="41"/>
      <c r="BW16" s="42"/>
      <c r="BX16" s="960"/>
      <c r="BY16" s="76"/>
      <c r="BZ16" s="42">
        <v>0</v>
      </c>
      <c r="CA16" s="959"/>
      <c r="CB16" s="41">
        <v>0</v>
      </c>
      <c r="CC16" s="41">
        <v>0</v>
      </c>
      <c r="CD16" s="960"/>
      <c r="CE16" s="76">
        <v>0</v>
      </c>
      <c r="CF16" s="55"/>
      <c r="CG16" s="41">
        <v>0</v>
      </c>
      <c r="CH16" s="38">
        <v>0</v>
      </c>
      <c r="CI16" s="76">
        <v>0</v>
      </c>
      <c r="CJ16" s="55"/>
      <c r="CK16" s="955"/>
      <c r="CL16" s="950"/>
      <c r="CM16" s="955"/>
      <c r="CN16" s="950">
        <v>0</v>
      </c>
      <c r="CO16" s="76">
        <v>146.70885044320073</v>
      </c>
      <c r="CP16" s="42">
        <v>0</v>
      </c>
      <c r="CQ16" s="5"/>
      <c r="CR16" s="76">
        <v>239.8909143761071</v>
      </c>
      <c r="CS16" s="954">
        <v>0</v>
      </c>
      <c r="CT16" s="5"/>
      <c r="CU16" s="76">
        <v>149.43943954810544</v>
      </c>
      <c r="CV16" s="42">
        <v>0</v>
      </c>
      <c r="CW16" s="737"/>
      <c r="CX16" s="76">
        <v>0</v>
      </c>
      <c r="CY16" s="42">
        <v>0</v>
      </c>
      <c r="CZ16" s="5"/>
      <c r="DA16" s="76">
        <v>59.973570119372766</v>
      </c>
      <c r="DB16" s="42">
        <v>0</v>
      </c>
      <c r="DC16" s="5"/>
      <c r="DD16" s="76">
        <v>108.18788718072186</v>
      </c>
      <c r="DE16" s="42">
        <v>0</v>
      </c>
      <c r="DF16" s="974"/>
      <c r="DG16" s="76">
        <v>0</v>
      </c>
      <c r="DH16" s="42"/>
      <c r="DI16" s="5"/>
      <c r="DJ16" s="42">
        <v>704.20066166750792</v>
      </c>
      <c r="DK16" s="42">
        <f t="shared" si="6"/>
        <v>0</v>
      </c>
      <c r="DL16" s="58">
        <f t="shared" si="7"/>
        <v>-704.20066166750792</v>
      </c>
      <c r="DM16" s="2">
        <v>3</v>
      </c>
    </row>
    <row r="17" spans="1:117" ht="24.9" customHeight="1" x14ac:dyDescent="0.3">
      <c r="A17" s="318">
        <v>150000736</v>
      </c>
      <c r="B17" s="44" t="s">
        <v>1755</v>
      </c>
      <c r="C17" s="956">
        <v>4</v>
      </c>
      <c r="D17" s="957" t="s">
        <v>454</v>
      </c>
      <c r="E17" s="949">
        <f>'побудинковий звіт'!E246</f>
        <v>63</v>
      </c>
      <c r="F17" s="950">
        <f>'побудинковий звіт'!AS246</f>
        <v>1190.8991148965283</v>
      </c>
      <c r="G17" s="950">
        <f t="shared" si="0"/>
        <v>728.303177578141</v>
      </c>
      <c r="H17" s="950">
        <f t="shared" si="1"/>
        <v>-462.59593731838731</v>
      </c>
      <c r="I17" s="42">
        <f>'[2]поточний ремонт'!I17+'[1]поточний ремонт'!I17</f>
        <v>0</v>
      </c>
      <c r="J17" s="42">
        <f>'[2]поточний ремонт'!J17+'[1]поточний ремонт'!J17</f>
        <v>0</v>
      </c>
      <c r="K17" s="958"/>
      <c r="L17" s="42">
        <f>'[2]поточний ремонт'!L17+'[1]поточний ремонт'!L17</f>
        <v>0</v>
      </c>
      <c r="M17" s="42">
        <f>'[2]поточний ремонт'!M17+'[1]поточний ремонт'!M17</f>
        <v>0</v>
      </c>
      <c r="N17" s="961"/>
      <c r="O17" s="42">
        <f>'[2]поточний ремонт'!O17+'[1]поточний ремонт'!O17</f>
        <v>0</v>
      </c>
      <c r="P17" s="42">
        <f>'[2]поточний ремонт'!P17+'[1]поточний ремонт'!P17</f>
        <v>0</v>
      </c>
      <c r="Q17" s="959"/>
      <c r="R17" s="42">
        <f>'[2]поточний ремонт'!R17+'[1]поточний ремонт'!R17</f>
        <v>0</v>
      </c>
      <c r="S17" s="42">
        <f>'[2]поточний ремонт'!S17+'[1]поточний ремонт'!S17</f>
        <v>0</v>
      </c>
      <c r="T17" s="960"/>
      <c r="U17" s="42">
        <f>'[2]поточний ремонт'!U17+'[1]поточний ремонт'!U17</f>
        <v>0</v>
      </c>
      <c r="V17" s="42">
        <f>'[2]поточний ремонт'!V17+'[1]поточний ремонт'!V17</f>
        <v>0</v>
      </c>
      <c r="W17" s="42">
        <f>'[2]поточний ремонт'!W17+'[1]поточний ремонт'!W17</f>
        <v>0</v>
      </c>
      <c r="X17" s="42">
        <f>'[2]поточний ремонт'!X17+'[1]поточний ремонт'!X17</f>
        <v>0</v>
      </c>
      <c r="Y17" s="42">
        <f>'[2]поточний ремонт'!Y17+'[1]поточний ремонт'!Y17</f>
        <v>0</v>
      </c>
      <c r="Z17" s="42">
        <f>'[2]поточний ремонт'!Z17+'[1]поточний ремонт'!Z17</f>
        <v>0</v>
      </c>
      <c r="AA17" s="42">
        <f>'[2]поточний ремонт'!AA17+'[1]поточний ремонт'!AA17</f>
        <v>0</v>
      </c>
      <c r="AB17" s="42">
        <f>'[2]поточний ремонт'!AB17+'[1]поточний ремонт'!AB17</f>
        <v>469.96038901695198</v>
      </c>
      <c r="AC17" s="42">
        <f>'[2]поточний ремонт'!AC17+'[1]поточний ремонт'!AC17</f>
        <v>0</v>
      </c>
      <c r="AD17" s="42">
        <f>'[2]поточний ремонт'!AD17+'[1]поточний ремонт'!AD17</f>
        <v>258.34278856118908</v>
      </c>
      <c r="AE17" s="42">
        <f>'[2]поточний ремонт'!AE17+'[1]поточний ремонт'!AE17</f>
        <v>1380.4397950261189</v>
      </c>
      <c r="AF17" s="42">
        <f>'[2]поточний ремонт'!AF17+'[1]поточний ремонт'!AF17</f>
        <v>0</v>
      </c>
      <c r="AG17" s="5"/>
      <c r="AH17" s="42">
        <f>'[2]поточний ремонт'!AH17+'[1]поточний ремонт'!AH17</f>
        <v>2493.7193287499977</v>
      </c>
      <c r="AI17" s="42">
        <f>'[2]поточний ремонт'!AI17+'[1]поточний ремонт'!AI17</f>
        <v>0</v>
      </c>
      <c r="AJ17" s="5"/>
      <c r="AK17" s="42">
        <f>'[2]поточний ремонт'!AK17+'[1]поточний ремонт'!AK17</f>
        <v>2131.9433280430671</v>
      </c>
      <c r="AL17" s="42">
        <f>'[2]поточний ремонт'!AL17+'[1]поточний ремонт'!AL17</f>
        <v>1466.2085221648515</v>
      </c>
      <c r="AM17" s="5"/>
      <c r="AN17" s="42">
        <f>'[2]поточний ремонт'!AN17+'[1]поточний ремонт'!AN17</f>
        <v>0</v>
      </c>
      <c r="AO17" s="42">
        <f>'[2]поточний ремонт'!AO17+'[1]поточний ремонт'!AO17</f>
        <v>0</v>
      </c>
      <c r="AP17" s="5"/>
      <c r="AQ17" s="42">
        <f>'[2]поточний ремонт'!AQ17+'[1]поточний ремонт'!AQ17</f>
        <v>110.27308797143304</v>
      </c>
      <c r="AR17" s="42">
        <f>'[2]поточний ремонт'!AR17+'[1]поточний ремонт'!AR17</f>
        <v>0</v>
      </c>
      <c r="AS17" s="5"/>
      <c r="AT17" s="42">
        <f>'[2]поточний ремонт'!AT17+'[1]поточний ремонт'!AT17</f>
        <v>1292.2189610516409</v>
      </c>
      <c r="AU17" s="42">
        <f>'[2]поточний ремонт'!AU17+'[1]поточний ремонт'!AU17</f>
        <v>0</v>
      </c>
      <c r="AV17" s="5"/>
      <c r="AW17" s="42">
        <f>'[2]поточний ремонт'!AW17+'[1]поточний ремонт'!AW17</f>
        <v>20.108726798037644</v>
      </c>
      <c r="AX17" s="42">
        <f>'[2]поточний ремонт'!AX17+'[1]поточний ремонт'!AX17</f>
        <v>1086.7894557032</v>
      </c>
      <c r="AY17" s="5"/>
      <c r="AZ17" s="42">
        <f t="shared" si="2"/>
        <v>7428.7032276402952</v>
      </c>
      <c r="BA17" s="42">
        <f t="shared" si="3"/>
        <v>2552.9979778680517</v>
      </c>
      <c r="BB17" s="58">
        <f t="shared" si="4"/>
        <v>-4875.7052497722434</v>
      </c>
      <c r="BD17" s="2">
        <v>2</v>
      </c>
      <c r="BF17" s="29">
        <v>4.1580694155249702</v>
      </c>
      <c r="BG17" s="318">
        <v>150000736</v>
      </c>
      <c r="BI17" s="104">
        <v>0</v>
      </c>
      <c r="BJ17" s="104">
        <f t="shared" si="5"/>
        <v>0</v>
      </c>
      <c r="BK17" s="104">
        <v>0</v>
      </c>
      <c r="BL17" s="38"/>
      <c r="BM17" s="3"/>
      <c r="BN17" s="3">
        <v>0</v>
      </c>
      <c r="BP17" s="3"/>
      <c r="BQ17" s="3"/>
      <c r="BS17" s="42"/>
      <c r="BT17" s="42">
        <v>0</v>
      </c>
      <c r="BU17" s="958"/>
      <c r="BV17" s="41"/>
      <c r="BW17" s="42"/>
      <c r="BX17" s="961"/>
      <c r="BY17" s="76"/>
      <c r="BZ17" s="42">
        <v>0</v>
      </c>
      <c r="CA17" s="959"/>
      <c r="CB17" s="41"/>
      <c r="CC17" s="41">
        <v>0</v>
      </c>
      <c r="CD17" s="960"/>
      <c r="CE17" s="76">
        <v>0</v>
      </c>
      <c r="CF17" s="55"/>
      <c r="CG17" s="41">
        <v>0</v>
      </c>
      <c r="CH17" s="38">
        <v>0</v>
      </c>
      <c r="CI17" s="76">
        <v>0</v>
      </c>
      <c r="CJ17" s="55"/>
      <c r="CK17" s="955"/>
      <c r="CL17" s="950"/>
      <c r="CM17" s="955"/>
      <c r="CN17" s="950">
        <v>0</v>
      </c>
      <c r="CO17" s="76">
        <v>114.06340509652992</v>
      </c>
      <c r="CP17" s="42">
        <v>0</v>
      </c>
      <c r="CQ17" s="5"/>
      <c r="CR17" s="76">
        <v>196.51984768885862</v>
      </c>
      <c r="CS17" s="954">
        <v>0</v>
      </c>
      <c r="CT17" s="5"/>
      <c r="CU17" s="76">
        <v>183.91665868800388</v>
      </c>
      <c r="CV17" s="42">
        <v>0</v>
      </c>
      <c r="CW17" s="5"/>
      <c r="CX17" s="76">
        <v>0</v>
      </c>
      <c r="CY17" s="42">
        <v>0</v>
      </c>
      <c r="CZ17" s="5"/>
      <c r="DA17" s="76">
        <v>0</v>
      </c>
      <c r="DB17" s="42">
        <v>0</v>
      </c>
      <c r="DC17" s="5"/>
      <c r="DD17" s="76">
        <v>79.556582079145102</v>
      </c>
      <c r="DE17" s="42">
        <v>0</v>
      </c>
      <c r="DF17" s="5"/>
      <c r="DG17" s="76">
        <v>0</v>
      </c>
      <c r="DH17" s="42"/>
      <c r="DI17" s="5"/>
      <c r="DJ17" s="42">
        <v>574.05649355253752</v>
      </c>
      <c r="DK17" s="42">
        <f t="shared" si="6"/>
        <v>0</v>
      </c>
      <c r="DL17" s="58">
        <f t="shared" si="7"/>
        <v>-574.05649355253752</v>
      </c>
      <c r="DM17" s="2">
        <v>2</v>
      </c>
    </row>
    <row r="18" spans="1:117" ht="24.9" customHeight="1" x14ac:dyDescent="0.3">
      <c r="A18" s="318">
        <v>150000743</v>
      </c>
      <c r="B18" s="44" t="s">
        <v>1756</v>
      </c>
      <c r="C18" s="956">
        <v>4</v>
      </c>
      <c r="D18" s="957" t="s">
        <v>454</v>
      </c>
      <c r="E18" s="949">
        <f>'побудинковий звіт'!E247</f>
        <v>253.7</v>
      </c>
      <c r="F18" s="950">
        <f>'побудинковий звіт'!AS247</f>
        <v>3771.192165492304</v>
      </c>
      <c r="G18" s="950">
        <f t="shared" si="0"/>
        <v>1820.8860736836955</v>
      </c>
      <c r="H18" s="950">
        <f t="shared" si="1"/>
        <v>-1950.3060918086085</v>
      </c>
      <c r="I18" s="42">
        <f>'[2]поточний ремонт'!I18+'[1]поточний ремонт'!I18</f>
        <v>2.4</v>
      </c>
      <c r="J18" s="42">
        <f>'[2]поточний ремонт'!J18+'[1]поточний ремонт'!J18</f>
        <v>1301.428331303393</v>
      </c>
      <c r="K18" s="958"/>
      <c r="L18" s="42">
        <f>'[2]поточний ремонт'!L18+'[1]поточний ремонт'!L18</f>
        <v>0</v>
      </c>
      <c r="M18" s="42">
        <f>'[2]поточний ремонт'!M18+'[1]поточний ремонт'!M18</f>
        <v>0</v>
      </c>
      <c r="N18" s="36"/>
      <c r="O18" s="42">
        <f>'[2]поточний ремонт'!O18+'[1]поточний ремонт'!O18</f>
        <v>0</v>
      </c>
      <c r="P18" s="42">
        <f>'[2]поточний ремонт'!P18+'[1]поточний ремонт'!P18</f>
        <v>0</v>
      </c>
      <c r="Q18" s="959"/>
      <c r="R18" s="42">
        <f>'[2]поточний ремонт'!R18+'[1]поточний ремонт'!R18</f>
        <v>0</v>
      </c>
      <c r="S18" s="42">
        <f>'[2]поточний ремонт'!S18+'[1]поточний ремонт'!S18</f>
        <v>0</v>
      </c>
      <c r="T18" s="960"/>
      <c r="U18" s="42">
        <f>'[2]поточний ремонт'!U18+'[1]поточний ремонт'!U18</f>
        <v>0</v>
      </c>
      <c r="V18" s="42">
        <f>'[2]поточний ремонт'!V18+'[1]поточний ремонт'!V18</f>
        <v>0</v>
      </c>
      <c r="W18" s="42">
        <f>'[2]поточний ремонт'!W18+'[1]поточний ремонт'!W18</f>
        <v>0</v>
      </c>
      <c r="X18" s="42">
        <f>'[2]поточний ремонт'!X18+'[1]поточний ремонт'!X18</f>
        <v>519.45774238030253</v>
      </c>
      <c r="Y18" s="42">
        <f>'[2]поточний ремонт'!Y18+'[1]поточний ремонт'!Y18</f>
        <v>0</v>
      </c>
      <c r="Z18" s="42">
        <f>'[2]поточний ремонт'!Z18+'[1]поточний ремонт'!Z18</f>
        <v>0</v>
      </c>
      <c r="AA18" s="42">
        <f>'[2]поточний ремонт'!AA18+'[1]поточний ремонт'!AA18</f>
        <v>0</v>
      </c>
      <c r="AB18" s="42">
        <f>'[2]поточний ремонт'!AB18+'[1]поточний ремонт'!AB18</f>
        <v>0</v>
      </c>
      <c r="AC18" s="42">
        <f>'[2]поточний ремонт'!AC18+'[1]поточний ремонт'!AC18</f>
        <v>0</v>
      </c>
      <c r="AD18" s="42">
        <f>'[2]поточний ремонт'!AD18+'[1]поточний ремонт'!AD18</f>
        <v>0</v>
      </c>
      <c r="AE18" s="42">
        <f>'[2]поточний ремонт'!AE18+'[1]поточний ремонт'!AE18</f>
        <v>1315.2852973883091</v>
      </c>
      <c r="AF18" s="42">
        <f>'[2]поточний ремонт'!AF18+'[1]поточний ремонт'!AF18</f>
        <v>352.16494577075309</v>
      </c>
      <c r="AG18" s="5"/>
      <c r="AH18" s="42">
        <f>'[2]поточний ремонт'!AH18+'[1]поточний ремонт'!AH18</f>
        <v>1754.1692854842122</v>
      </c>
      <c r="AI18" s="42">
        <f>'[2]поточний ремонт'!AI18+'[1]поточний ремонт'!AI18</f>
        <v>0</v>
      </c>
      <c r="AJ18" s="5"/>
      <c r="AK18" s="42">
        <f>'[2]поточний ремонт'!AK18+'[1]поточний ремонт'!AK18</f>
        <v>1290.1673326410216</v>
      </c>
      <c r="AL18" s="42">
        <f>'[2]поточний ремонт'!AL18+'[1]поточний ремонт'!AL18</f>
        <v>1653.4525042026278</v>
      </c>
      <c r="AM18" s="5"/>
      <c r="AN18" s="42">
        <f>'[2]поточний ремонт'!AN18+'[1]поточний ремонт'!AN18</f>
        <v>0</v>
      </c>
      <c r="AO18" s="42">
        <f>'[2]поточний ремонт'!AO18+'[1]поточний ремонт'!AO18</f>
        <v>0</v>
      </c>
      <c r="AP18" s="5"/>
      <c r="AQ18" s="42">
        <f>'[2]поточний ремонт'!AQ18+'[1]поточний ремонт'!AQ18</f>
        <v>88.218470377146446</v>
      </c>
      <c r="AR18" s="42">
        <f>'[2]поточний ремонт'!AR18+'[1]поточний ремонт'!AR18</f>
        <v>0</v>
      </c>
      <c r="AS18" s="5"/>
      <c r="AT18" s="42">
        <f>'[2]поточний ремонт'!AT18+'[1]поточний ремонт'!AT18</f>
        <v>796.95816349663198</v>
      </c>
      <c r="AU18" s="42">
        <f>'[2]поточний ремонт'!AU18+'[1]поточний ремонт'!AU18</f>
        <v>0</v>
      </c>
      <c r="AV18" s="5"/>
      <c r="AW18" s="42">
        <f>'[2]поточний ремонт'!AW18+'[1]поточний ремонт'!AW18</f>
        <v>24.437906670314071</v>
      </c>
      <c r="AX18" s="42">
        <f>'[2]поточний ремонт'!AX18+'[1]поточний ремонт'!AX18</f>
        <v>763.45755556819995</v>
      </c>
      <c r="AY18" s="5"/>
      <c r="AZ18" s="42">
        <f t="shared" si="2"/>
        <v>5269.2364560576352</v>
      </c>
      <c r="BA18" s="42">
        <f t="shared" si="3"/>
        <v>2769.075005541581</v>
      </c>
      <c r="BB18" s="58">
        <f t="shared" si="4"/>
        <v>-2500.1614505160542</v>
      </c>
      <c r="BD18" s="2">
        <v>2</v>
      </c>
      <c r="BF18" s="29">
        <v>3.3544690809779762</v>
      </c>
      <c r="BG18" s="318">
        <v>150000743</v>
      </c>
      <c r="BI18" s="104">
        <v>38.08</v>
      </c>
      <c r="BJ18" s="104">
        <f t="shared" si="5"/>
        <v>5.3564165759999991</v>
      </c>
      <c r="BK18" s="104">
        <v>43.917123111679999</v>
      </c>
      <c r="BL18" s="38"/>
      <c r="BM18" s="3"/>
      <c r="BN18" s="3">
        <v>0</v>
      </c>
      <c r="BP18" s="3"/>
      <c r="BQ18" s="3"/>
      <c r="BS18" s="42"/>
      <c r="BT18" s="42">
        <v>0</v>
      </c>
      <c r="BU18" s="958"/>
      <c r="BV18" s="41"/>
      <c r="BW18" s="42"/>
      <c r="BX18" s="36"/>
      <c r="BY18" s="76"/>
      <c r="BZ18" s="42">
        <v>0</v>
      </c>
      <c r="CA18" s="959"/>
      <c r="CB18" s="41"/>
      <c r="CC18" s="41">
        <v>0</v>
      </c>
      <c r="CD18" s="960"/>
      <c r="CE18" s="76">
        <v>0</v>
      </c>
      <c r="CF18" s="55"/>
      <c r="CG18" s="41">
        <v>0</v>
      </c>
      <c r="CH18" s="38">
        <v>43.917123111679999</v>
      </c>
      <c r="CI18" s="76">
        <v>0</v>
      </c>
      <c r="CJ18" s="55"/>
      <c r="CK18" s="955"/>
      <c r="CL18" s="950"/>
      <c r="CM18" s="955"/>
      <c r="CN18" s="950">
        <v>0</v>
      </c>
      <c r="CO18" s="76">
        <v>104.81973325624529</v>
      </c>
      <c r="CP18" s="42">
        <v>0</v>
      </c>
      <c r="CQ18" s="5"/>
      <c r="CR18" s="76">
        <v>147.06935818352997</v>
      </c>
      <c r="CS18" s="954">
        <v>0</v>
      </c>
      <c r="CT18" s="5"/>
      <c r="CU18" s="76">
        <v>107.55766119520447</v>
      </c>
      <c r="CV18" s="42">
        <v>0</v>
      </c>
      <c r="CW18" s="5"/>
      <c r="CX18" s="76">
        <v>0</v>
      </c>
      <c r="CY18" s="42">
        <v>0</v>
      </c>
      <c r="CZ18" s="5"/>
      <c r="DA18" s="76">
        <v>0</v>
      </c>
      <c r="DB18" s="42">
        <v>0</v>
      </c>
      <c r="DC18" s="5"/>
      <c r="DD18" s="76">
        <v>51.59605293163164</v>
      </c>
      <c r="DE18" s="42">
        <v>0</v>
      </c>
      <c r="DF18" s="5"/>
      <c r="DG18" s="76">
        <v>0</v>
      </c>
      <c r="DH18" s="42"/>
      <c r="DI18" s="5"/>
      <c r="DJ18" s="42">
        <v>411.04280556661132</v>
      </c>
      <c r="DK18" s="42">
        <f t="shared" si="6"/>
        <v>0</v>
      </c>
      <c r="DL18" s="58">
        <f t="shared" si="7"/>
        <v>-411.04280556661132</v>
      </c>
      <c r="DM18" s="2">
        <v>2</v>
      </c>
    </row>
    <row r="19" spans="1:117" ht="24.9" customHeight="1" x14ac:dyDescent="0.3">
      <c r="A19" s="318">
        <v>150000737</v>
      </c>
      <c r="B19" s="44" t="s">
        <v>1757</v>
      </c>
      <c r="C19" s="956">
        <v>4</v>
      </c>
      <c r="D19" s="957" t="s">
        <v>454</v>
      </c>
      <c r="E19" s="949">
        <f>'побудинковий звіт'!E248</f>
        <v>601.4</v>
      </c>
      <c r="F19" s="950">
        <f>'побудинковий звіт'!AS248</f>
        <v>8721.6156228867912</v>
      </c>
      <c r="G19" s="950">
        <f t="shared" si="0"/>
        <v>40207.881390883551</v>
      </c>
      <c r="H19" s="950">
        <f t="shared" si="1"/>
        <v>31486.26576799676</v>
      </c>
      <c r="I19" s="42">
        <f>'[2]поточний ремонт'!I19+'[1]поточний ремонт'!I19</f>
        <v>0</v>
      </c>
      <c r="J19" s="42">
        <f>'[2]поточний ремонт'!J19+'[1]поточний ремонт'!J19</f>
        <v>0</v>
      </c>
      <c r="K19" s="962"/>
      <c r="L19" s="42">
        <f>'[2]поточний ремонт'!L19+'[1]поточний ремонт'!L19</f>
        <v>0</v>
      </c>
      <c r="M19" s="42">
        <f>'[2]поточний ремонт'!M19+'[1]поточний ремонт'!M19</f>
        <v>0</v>
      </c>
      <c r="N19" s="961"/>
      <c r="O19" s="42">
        <f>'[2]поточний ремонт'!O19+'[1]поточний ремонт'!O19</f>
        <v>0</v>
      </c>
      <c r="P19" s="42">
        <f>'[2]поточний ремонт'!P19+'[1]поточний ремонт'!P19</f>
        <v>0</v>
      </c>
      <c r="Q19" s="959"/>
      <c r="R19" s="42">
        <f>'[2]поточний ремонт'!R19+'[1]поточний ремонт'!R19</f>
        <v>0</v>
      </c>
      <c r="S19" s="42">
        <f>'[2]поточний ремонт'!S19+'[1]поточний ремонт'!S19</f>
        <v>0</v>
      </c>
      <c r="T19" s="960"/>
      <c r="U19" s="42">
        <f>'[2]поточний ремонт'!U19+'[1]поточний ремонт'!U19</f>
        <v>0</v>
      </c>
      <c r="V19" s="42">
        <f>'[2]поточний ремонт'!V19+'[1]поточний ремонт'!V19</f>
        <v>0</v>
      </c>
      <c r="W19" s="42">
        <f>'[2]поточний ремонт'!W19+'[1]поточний ремонт'!W19</f>
        <v>0</v>
      </c>
      <c r="X19" s="42">
        <f>'[2]поточний ремонт'!X19+'[1]поточний ремонт'!X19</f>
        <v>0</v>
      </c>
      <c r="Y19" s="42">
        <f>'[2]поточний ремонт'!Y19+'[1]поточний ремонт'!Y19</f>
        <v>1776.0936202192677</v>
      </c>
      <c r="Z19" s="42">
        <f>'[2]поточний ремонт'!Z19+'[1]поточний ремонт'!Z19</f>
        <v>0</v>
      </c>
      <c r="AA19" s="42">
        <f>'[2]поточний ремонт'!AA19+'[1]поточний ремонт'!AA19</f>
        <v>0</v>
      </c>
      <c r="AB19" s="42">
        <f>'[2]поточний ремонт'!AB19+'[1]поточний ремонт'!AB19</f>
        <v>0</v>
      </c>
      <c r="AC19" s="42">
        <f>'[2]поточний ремонт'!AC19+'[1]поточний ремонт'!AC19</f>
        <v>38431.787770664283</v>
      </c>
      <c r="AD19" s="42">
        <f>'[2]поточний ремонт'!AD19+'[1]поточний ремонт'!AD19</f>
        <v>0</v>
      </c>
      <c r="AE19" s="42">
        <f>'[2]поточний ремонт'!AE19+'[1]поточний ремонт'!AE19</f>
        <v>1635.4787211391908</v>
      </c>
      <c r="AF19" s="42">
        <f>'[2]поточний ремонт'!AF19+'[1]поточний ремонт'!AF19</f>
        <v>0</v>
      </c>
      <c r="AG19" s="5"/>
      <c r="AH19" s="42">
        <f>'[2]поточний ремонт'!AH19+'[1]поточний ремонт'!AH19</f>
        <v>2272.516342440952</v>
      </c>
      <c r="AI19" s="42">
        <f>'[2]поточний ремонт'!AI19+'[1]поточний ремонт'!AI19</f>
        <v>0</v>
      </c>
      <c r="AJ19" s="5"/>
      <c r="AK19" s="42">
        <f>'[2]поточний ремонт'!AK19+'[1]поточний ремонт'!AK19</f>
        <v>1478.7110311412816</v>
      </c>
      <c r="AL19" s="42">
        <f>'[2]поточний ремонт'!AL19+'[1]поточний ремонт'!AL19</f>
        <v>1923.2911962155592</v>
      </c>
      <c r="AM19" s="5"/>
      <c r="AN19" s="42">
        <f>'[2]поточний ремонт'!AN19+'[1]поточний ремонт'!AN19</f>
        <v>0</v>
      </c>
      <c r="AO19" s="42">
        <f>'[2]поточний ремонт'!AO19+'[1]поточний ремонт'!AO19</f>
        <v>0</v>
      </c>
      <c r="AP19" s="5"/>
      <c r="AQ19" s="42">
        <f>'[2]поточний ремонт'!AQ19+'[1]поточний ремонт'!AQ19</f>
        <v>110.27308797143304</v>
      </c>
      <c r="AR19" s="42">
        <f>'[2]поточний ремонт'!AR19+'[1]поточний ремонт'!AR19</f>
        <v>0</v>
      </c>
      <c r="AS19" s="5"/>
      <c r="AT19" s="42">
        <f>'[2]поточний ремонт'!AT19+'[1]поточний ремонт'!AT19</f>
        <v>1263.1132123452383</v>
      </c>
      <c r="AU19" s="42">
        <f>'[2]поточний ремонт'!AU19+'[1]поточний ремонт'!AU19</f>
        <v>176.70892977667361</v>
      </c>
      <c r="AV19" s="5"/>
      <c r="AW19" s="42">
        <f>'[2]поточний ремонт'!AW19+'[1]поточний ремонт'!AW19</f>
        <v>24.437906670314071</v>
      </c>
      <c r="AX19" s="42">
        <f>'[2]поточний ремонт'!AX19+'[1]поточний ремонт'!AX19</f>
        <v>4143.1669347787465</v>
      </c>
      <c r="AY19" s="5"/>
      <c r="AZ19" s="42">
        <f t="shared" si="2"/>
        <v>6784.5303017084098</v>
      </c>
      <c r="BA19" s="42">
        <f t="shared" si="3"/>
        <v>6243.1670607709793</v>
      </c>
      <c r="BB19" s="58">
        <f t="shared" si="4"/>
        <v>-541.36324093743042</v>
      </c>
      <c r="BD19" s="2">
        <v>2</v>
      </c>
      <c r="BF19" s="29">
        <v>3.7596285371817859</v>
      </c>
      <c r="BG19" s="318">
        <v>150000737</v>
      </c>
      <c r="BI19" s="104">
        <v>0</v>
      </c>
      <c r="BJ19" s="104">
        <f t="shared" si="5"/>
        <v>0</v>
      </c>
      <c r="BK19" s="104">
        <v>0</v>
      </c>
      <c r="BL19" s="38"/>
      <c r="BM19" s="3"/>
      <c r="BN19" s="3">
        <v>0</v>
      </c>
      <c r="BP19" s="3"/>
      <c r="BQ19" s="3"/>
      <c r="BS19" s="42"/>
      <c r="BT19" s="42">
        <v>0</v>
      </c>
      <c r="BU19" s="962"/>
      <c r="BV19" s="41"/>
      <c r="BW19" s="42"/>
      <c r="BX19" s="961"/>
      <c r="BY19" s="76"/>
      <c r="BZ19" s="42">
        <v>0</v>
      </c>
      <c r="CA19" s="959"/>
      <c r="CB19" s="41"/>
      <c r="CC19" s="41">
        <v>0</v>
      </c>
      <c r="CD19" s="960"/>
      <c r="CE19" s="76">
        <v>0</v>
      </c>
      <c r="CF19" s="55"/>
      <c r="CG19" s="41">
        <v>0</v>
      </c>
      <c r="CH19" s="38">
        <v>0</v>
      </c>
      <c r="CI19" s="76">
        <v>0</v>
      </c>
      <c r="CJ19" s="55"/>
      <c r="CK19" s="955"/>
      <c r="CL19" s="950"/>
      <c r="CM19" s="955"/>
      <c r="CN19" s="950">
        <v>0</v>
      </c>
      <c r="CO19" s="76">
        <v>135.91578418466173</v>
      </c>
      <c r="CP19" s="42">
        <v>0</v>
      </c>
      <c r="CQ19" s="5"/>
      <c r="CR19" s="76">
        <v>194.77178437479566</v>
      </c>
      <c r="CS19" s="954">
        <v>0</v>
      </c>
      <c r="CT19" s="5"/>
      <c r="CU19" s="76">
        <v>119.82105265671484</v>
      </c>
      <c r="CV19" s="42">
        <v>0</v>
      </c>
      <c r="CW19" s="5"/>
      <c r="CX19" s="76">
        <v>0</v>
      </c>
      <c r="CY19" s="42">
        <v>0</v>
      </c>
      <c r="CZ19" s="5"/>
      <c r="DA19" s="76">
        <v>0</v>
      </c>
      <c r="DB19" s="42">
        <v>0</v>
      </c>
      <c r="DC19" s="5"/>
      <c r="DD19" s="76">
        <v>77.811006105288172</v>
      </c>
      <c r="DE19" s="42">
        <v>0</v>
      </c>
      <c r="DF19" s="5"/>
      <c r="DG19" s="76">
        <v>0</v>
      </c>
      <c r="DH19" s="42"/>
      <c r="DI19" s="5"/>
      <c r="DJ19" s="42">
        <v>528.31962732146042</v>
      </c>
      <c r="DK19" s="42">
        <f t="shared" si="6"/>
        <v>0</v>
      </c>
      <c r="DL19" s="58">
        <f t="shared" si="7"/>
        <v>-528.31962732146042</v>
      </c>
      <c r="DM19" s="2">
        <v>2</v>
      </c>
    </row>
    <row r="20" spans="1:117" ht="24.9" customHeight="1" x14ac:dyDescent="0.3">
      <c r="A20" s="318">
        <v>150000738</v>
      </c>
      <c r="B20" s="44" t="s">
        <v>1758</v>
      </c>
      <c r="C20" s="956">
        <v>5</v>
      </c>
      <c r="D20" s="957" t="s">
        <v>454</v>
      </c>
      <c r="E20" s="949">
        <f>'побудинковий звіт'!E249</f>
        <v>427.1</v>
      </c>
      <c r="F20" s="950">
        <f>'побудинковий звіт'!AS249</f>
        <v>5238.390068486442</v>
      </c>
      <c r="G20" s="950">
        <f t="shared" si="0"/>
        <v>10659.094961410767</v>
      </c>
      <c r="H20" s="950">
        <f t="shared" si="1"/>
        <v>5420.7048929243247</v>
      </c>
      <c r="I20" s="42">
        <f>'[2]поточний ремонт'!I20+'[1]поточний ремонт'!I20</f>
        <v>21.4</v>
      </c>
      <c r="J20" s="42">
        <f>'[2]поточний ремонт'!J20+'[1]поточний ремонт'!J20</f>
        <v>8264.4341164857033</v>
      </c>
      <c r="K20" s="958"/>
      <c r="L20" s="42">
        <f>'[2]поточний ремонт'!L20+'[1]поточний ремонт'!L20</f>
        <v>0</v>
      </c>
      <c r="M20" s="42">
        <f>'[2]поточний ремонт'!M20+'[1]поточний ремонт'!M20</f>
        <v>0</v>
      </c>
      <c r="N20" s="961"/>
      <c r="O20" s="42">
        <f>'[2]поточний ремонт'!O20+'[1]поточний ремонт'!O20</f>
        <v>0</v>
      </c>
      <c r="P20" s="42">
        <f>'[2]поточний ремонт'!P20+'[1]поточний ремонт'!P20</f>
        <v>0</v>
      </c>
      <c r="Q20" s="959"/>
      <c r="R20" s="42">
        <f>'[2]поточний ремонт'!R20+'[1]поточний ремонт'!R20</f>
        <v>0</v>
      </c>
      <c r="S20" s="42">
        <f>'[2]поточний ремонт'!S20+'[1]поточний ремонт'!S20</f>
        <v>0</v>
      </c>
      <c r="T20" s="960"/>
      <c r="U20" s="42">
        <f>'[2]поточний ремонт'!U20+'[1]поточний ремонт'!U20</f>
        <v>0</v>
      </c>
      <c r="V20" s="42">
        <f>'[2]поточний ремонт'!V20+'[1]поточний ремонт'!V20</f>
        <v>0</v>
      </c>
      <c r="W20" s="42">
        <f>'[2]поточний ремонт'!W20+'[1]поточний ремонт'!W20</f>
        <v>0</v>
      </c>
      <c r="X20" s="42">
        <f>'[2]поточний ремонт'!X20+'[1]поточний ремонт'!X20</f>
        <v>0</v>
      </c>
      <c r="Y20" s="42">
        <f>'[2]поточний ремонт'!Y20+'[1]поточний ремонт'!Y20</f>
        <v>2140.3155105927831</v>
      </c>
      <c r="Z20" s="42">
        <f>'[2]поточний ремонт'!Z20+'[1]поточний ремонт'!Z20</f>
        <v>0</v>
      </c>
      <c r="AA20" s="42">
        <f>'[2]поточний ремонт'!AA20+'[1]поточний ремонт'!AA20</f>
        <v>0</v>
      </c>
      <c r="AB20" s="42">
        <f>'[2]поточний ремонт'!AB20+'[1]поточний ремонт'!AB20</f>
        <v>0</v>
      </c>
      <c r="AC20" s="42">
        <f>'[2]поточний ремонт'!AC20+'[1]поточний ремонт'!AC20</f>
        <v>254.34533433228057</v>
      </c>
      <c r="AD20" s="42">
        <f>'[2]поточний ремонт'!AD20+'[1]поточний ремонт'!AD20</f>
        <v>0</v>
      </c>
      <c r="AE20" s="42">
        <f>'[2]поточний ремонт'!AE20+'[1]поточний ремонт'!AE20</f>
        <v>2075.8882106834226</v>
      </c>
      <c r="AF20" s="42">
        <f>'[2]поточний ремонт'!AF20+'[1]поточний ремонт'!AF20</f>
        <v>1589.3576569193528</v>
      </c>
      <c r="AG20" s="5"/>
      <c r="AH20" s="42">
        <f>'[2]поточний ремонт'!AH20+'[1]поточний ремонт'!AH20</f>
        <v>2591.497127828849</v>
      </c>
      <c r="AI20" s="42">
        <f>'[2]поточний ремонт'!AI20+'[1]поточний ремонт'!AI20</f>
        <v>5030.0201335806169</v>
      </c>
      <c r="AJ20" s="5"/>
      <c r="AK20" s="42">
        <f>'[2]поточний ремонт'!AK20+'[1]поточний ремонт'!AK20</f>
        <v>2754.3683634381814</v>
      </c>
      <c r="AL20" s="42">
        <f>'[2]поточний ремонт'!AL20+'[1]поточний ремонт'!AL20</f>
        <v>0</v>
      </c>
      <c r="AM20" s="5"/>
      <c r="AN20" s="42">
        <f>'[2]поточний ремонт'!AN20+'[1]поточний ремонт'!AN20</f>
        <v>0</v>
      </c>
      <c r="AO20" s="42">
        <f>'[2]поточний ремонт'!AO20+'[1]поточний ремонт'!AO20</f>
        <v>0</v>
      </c>
      <c r="AP20" s="5"/>
      <c r="AQ20" s="42">
        <f>'[2]поточний ремонт'!AQ20+'[1]поточний ремонт'!AQ20</f>
        <v>110.27308797143304</v>
      </c>
      <c r="AR20" s="42">
        <f>'[2]поточний ремонт'!AR20+'[1]поточний ремонт'!AR20</f>
        <v>3048.9169815906803</v>
      </c>
      <c r="AS20" s="5"/>
      <c r="AT20" s="42">
        <f>'[2]поточний ремонт'!AT20+'[1]поточний ремонт'!AT20</f>
        <v>1399.8639205204793</v>
      </c>
      <c r="AU20" s="42">
        <f>'[2]поточний ремонт'!AU20+'[1]поточний ремонт'!AU20</f>
        <v>993.06977248955263</v>
      </c>
      <c r="AV20" s="977"/>
      <c r="AW20" s="42">
        <f>'[2]поточний ремонт'!AW20+'[1]поточний ремонт'!AW20</f>
        <v>19.293084213405848</v>
      </c>
      <c r="AX20" s="42">
        <f>'[2]поточний ремонт'!AX20+'[1]поточний ремонт'!AX20</f>
        <v>7231.9178803111272</v>
      </c>
      <c r="AY20" s="5"/>
      <c r="AZ20" s="42">
        <f t="shared" si="2"/>
        <v>8951.1837946557716</v>
      </c>
      <c r="BA20" s="42">
        <f t="shared" si="3"/>
        <v>17893.282424891331</v>
      </c>
      <c r="BB20" s="58">
        <f t="shared" si="4"/>
        <v>8942.0986302355595</v>
      </c>
      <c r="BD20" s="2">
        <v>2</v>
      </c>
      <c r="BF20" s="29">
        <v>5.2114255792386972</v>
      </c>
      <c r="BG20" s="318">
        <v>150000738</v>
      </c>
      <c r="BI20" s="104">
        <v>0</v>
      </c>
      <c r="BJ20" s="104">
        <f t="shared" si="5"/>
        <v>0</v>
      </c>
      <c r="BK20" s="104">
        <v>0</v>
      </c>
      <c r="BL20" s="38"/>
      <c r="BM20" s="3"/>
      <c r="BN20" s="3">
        <v>0</v>
      </c>
      <c r="BP20" s="3"/>
      <c r="BQ20" s="3"/>
      <c r="BS20" s="42">
        <v>4</v>
      </c>
      <c r="BT20" s="42">
        <v>2220.4152754363795</v>
      </c>
      <c r="BU20" s="958"/>
      <c r="BV20" s="41"/>
      <c r="BW20" s="42"/>
      <c r="BX20" s="961"/>
      <c r="BY20" s="76"/>
      <c r="BZ20" s="42">
        <v>0</v>
      </c>
      <c r="CA20" s="959"/>
      <c r="CB20" s="41"/>
      <c r="CC20" s="41">
        <v>0</v>
      </c>
      <c r="CD20" s="960"/>
      <c r="CE20" s="76">
        <v>0</v>
      </c>
      <c r="CF20" s="55"/>
      <c r="CG20" s="41">
        <v>0</v>
      </c>
      <c r="CH20" s="38">
        <v>0</v>
      </c>
      <c r="CI20" s="76">
        <v>0</v>
      </c>
      <c r="CJ20" s="55"/>
      <c r="CK20" s="955"/>
      <c r="CL20" s="950"/>
      <c r="CM20" s="955">
        <v>254</v>
      </c>
      <c r="CN20" s="950">
        <v>0</v>
      </c>
      <c r="CO20" s="76">
        <v>161.7682498598364</v>
      </c>
      <c r="CP20" s="42">
        <v>0</v>
      </c>
      <c r="CQ20" s="5"/>
      <c r="CR20" s="76">
        <v>222.52208960452802</v>
      </c>
      <c r="CS20" s="954">
        <v>0</v>
      </c>
      <c r="CT20" s="5"/>
      <c r="CU20" s="76">
        <v>222.93418454389931</v>
      </c>
      <c r="CV20" s="42">
        <v>0</v>
      </c>
      <c r="CW20" s="5"/>
      <c r="CX20" s="76">
        <v>0</v>
      </c>
      <c r="CY20" s="42">
        <v>0</v>
      </c>
      <c r="CZ20" s="5"/>
      <c r="DA20" s="76">
        <v>0</v>
      </c>
      <c r="DB20" s="42">
        <v>0</v>
      </c>
      <c r="DC20" s="5"/>
      <c r="DD20" s="76">
        <v>89.791092673937868</v>
      </c>
      <c r="DE20" s="42">
        <v>0</v>
      </c>
      <c r="DF20" s="977"/>
      <c r="DG20" s="76">
        <v>0</v>
      </c>
      <c r="DH20" s="42"/>
      <c r="DI20" s="5"/>
      <c r="DJ20" s="42">
        <v>697.01561668220165</v>
      </c>
      <c r="DK20" s="42">
        <f t="shared" si="6"/>
        <v>0</v>
      </c>
      <c r="DL20" s="58">
        <f t="shared" si="7"/>
        <v>-697.01561668220165</v>
      </c>
      <c r="DM20" s="2">
        <v>2</v>
      </c>
    </row>
    <row r="21" spans="1:117" ht="24.9" customHeight="1" x14ac:dyDescent="0.3">
      <c r="A21" s="318">
        <v>150000739</v>
      </c>
      <c r="B21" s="44" t="s">
        <v>1759</v>
      </c>
      <c r="C21" s="956">
        <v>4</v>
      </c>
      <c r="D21" s="957" t="s">
        <v>454</v>
      </c>
      <c r="E21" s="949">
        <f>'побудинковий звіт'!E250</f>
        <v>1283.3</v>
      </c>
      <c r="F21" s="950">
        <f>'побудинковий звіт'!AS250</f>
        <v>12883.065400031857</v>
      </c>
      <c r="G21" s="950">
        <f t="shared" si="0"/>
        <v>5899.3275453509941</v>
      </c>
      <c r="H21" s="950">
        <f t="shared" si="1"/>
        <v>-6983.7378546808632</v>
      </c>
      <c r="I21" s="42">
        <f>'[2]поточний ремонт'!I21+'[1]поточний ремонт'!I21</f>
        <v>1.6</v>
      </c>
      <c r="J21" s="42">
        <f>'[2]поточний ремонт'!J21+'[1]поточний ремонт'!J21</f>
        <v>828</v>
      </c>
      <c r="K21" s="958"/>
      <c r="L21" s="42">
        <f>'[2]поточний ремонт'!L21+'[1]поточний ремонт'!L21</f>
        <v>0</v>
      </c>
      <c r="M21" s="42">
        <f>'[2]поточний ремонт'!M21+'[1]поточний ремонт'!M21</f>
        <v>0</v>
      </c>
      <c r="N21" s="36"/>
      <c r="O21" s="42">
        <f>'[2]поточний ремонт'!O21+'[1]поточний ремонт'!O21</f>
        <v>0</v>
      </c>
      <c r="P21" s="42">
        <f>'[2]поточний ремонт'!P21+'[1]поточний ремонт'!P21</f>
        <v>0</v>
      </c>
      <c r="Q21" s="959"/>
      <c r="R21" s="42">
        <f>'[2]поточний ремонт'!R21+'[1]поточний ремонт'!R21</f>
        <v>0</v>
      </c>
      <c r="S21" s="42">
        <f>'[2]поточний ремонт'!S21+'[1]поточний ремонт'!S21</f>
        <v>0</v>
      </c>
      <c r="T21" s="960"/>
      <c r="U21" s="42">
        <f>'[2]поточний ремонт'!U21+'[1]поточний ремонт'!U21</f>
        <v>0</v>
      </c>
      <c r="V21" s="42">
        <f>'[2]поточний ремонт'!V21+'[1]поточний ремонт'!V21</f>
        <v>0</v>
      </c>
      <c r="W21" s="42">
        <f>'[2]поточний ремонт'!W21+'[1]поточний ремонт'!W21</f>
        <v>0</v>
      </c>
      <c r="X21" s="42">
        <f>'[2]поточний ремонт'!X21+'[1]поточний ремонт'!X21</f>
        <v>2883.345141988565</v>
      </c>
      <c r="Y21" s="42">
        <f>'[2]поточний ремонт'!Y21+'[1]поточний ремонт'!Y21</f>
        <v>0</v>
      </c>
      <c r="Z21" s="42">
        <f>'[2]поточний ремонт'!Z21+'[1]поточний ремонт'!Z21</f>
        <v>0</v>
      </c>
      <c r="AA21" s="42">
        <f>'[2]поточний ремонт'!AA21+'[1]поточний ремонт'!AA21</f>
        <v>0</v>
      </c>
      <c r="AB21" s="42">
        <f>'[2]поточний ремонт'!AB21+'[1]поточний ремонт'!AB21</f>
        <v>0</v>
      </c>
      <c r="AC21" s="42">
        <f>'[2]поточний ремонт'!AC21+'[1]поточний ремонт'!AC21</f>
        <v>0</v>
      </c>
      <c r="AD21" s="42">
        <f>'[2]поточний ремонт'!AD21+'[1]поточний ремонт'!AD21</f>
        <v>2187.9824033624291</v>
      </c>
      <c r="AE21" s="42">
        <f>'[2]поточний ремонт'!AE21+'[1]поточний ремонт'!AE21</f>
        <v>2166.8744237371716</v>
      </c>
      <c r="AF21" s="42">
        <f>'[2]поточний ремонт'!AF21+'[1]поточний ремонт'!AF21</f>
        <v>0</v>
      </c>
      <c r="AG21" s="9"/>
      <c r="AH21" s="42">
        <f>'[2]поточний ремонт'!AH21+'[1]поточний ремонт'!AH21</f>
        <v>2881.2034086908257</v>
      </c>
      <c r="AI21" s="42">
        <f>'[2]поточний ремонт'!AI21+'[1]поточний ремонт'!AI21</f>
        <v>0</v>
      </c>
      <c r="AJ21" s="5"/>
      <c r="AK21" s="42">
        <f>'[2]поточний ремонт'!AK21+'[1]поточний ремонт'!AK21</f>
        <v>2521.2052013394791</v>
      </c>
      <c r="AL21" s="42">
        <f>'[2]поточний ремонт'!AL21+'[1]поточний ремонт'!AL21</f>
        <v>0</v>
      </c>
      <c r="AM21" s="5"/>
      <c r="AN21" s="42">
        <f>'[2]поточний ремонт'!AN21+'[1]поточний ремонт'!AN21</f>
        <v>0</v>
      </c>
      <c r="AO21" s="42">
        <f>'[2]поточний ремонт'!AO21+'[1]поточний ремонт'!AO21</f>
        <v>0</v>
      </c>
      <c r="AP21" s="5"/>
      <c r="AQ21" s="42">
        <f>'[2]поточний ремонт'!AQ21+'[1]поточний ремонт'!AQ21</f>
        <v>66.163852782859806</v>
      </c>
      <c r="AR21" s="42">
        <f>'[2]поточний ремонт'!AR21+'[1]поточний ремонт'!AR21</f>
        <v>0</v>
      </c>
      <c r="AS21" s="5"/>
      <c r="AT21" s="42">
        <f>'[2]поточний ремонт'!AT21+'[1]поточний ремонт'!AT21</f>
        <v>1898.4258854186653</v>
      </c>
      <c r="AU21" s="42">
        <f>'[2]поточний ремонт'!AU21+'[1]поточний ремонт'!AU21</f>
        <v>2873.7829392513991</v>
      </c>
      <c r="AV21" s="5"/>
      <c r="AW21" s="42">
        <f>'[2]поточний ремонт'!AW21+'[1]поточний ремонт'!AW21</f>
        <v>15.371725633445312</v>
      </c>
      <c r="AX21" s="42">
        <f>'[2]поточний ремонт'!AX21+'[1]поточний ремонт'!AX21</f>
        <v>769.58382970000002</v>
      </c>
      <c r="AY21" s="5"/>
      <c r="AZ21" s="42">
        <f t="shared" si="2"/>
        <v>9549.2444976024472</v>
      </c>
      <c r="BA21" s="42">
        <f t="shared" si="3"/>
        <v>3643.3667689513991</v>
      </c>
      <c r="BB21" s="58">
        <f t="shared" si="4"/>
        <v>-5905.8777286510485</v>
      </c>
      <c r="BD21" s="2">
        <v>2</v>
      </c>
      <c r="BF21" s="29">
        <v>5.2802179742898856</v>
      </c>
      <c r="BG21" s="318">
        <v>150000739</v>
      </c>
      <c r="BI21" s="104">
        <v>211.37</v>
      </c>
      <c r="BJ21" s="104">
        <f t="shared" si="5"/>
        <v>29.731769213999996</v>
      </c>
      <c r="BK21" s="104">
        <v>243.77001870052001</v>
      </c>
      <c r="BL21" s="38"/>
      <c r="BM21" s="3"/>
      <c r="BN21" s="3">
        <v>0</v>
      </c>
      <c r="BP21" s="3"/>
      <c r="BQ21" s="3"/>
      <c r="BS21" s="42"/>
      <c r="BT21" s="42">
        <v>0</v>
      </c>
      <c r="BU21" s="958"/>
      <c r="BV21" s="41"/>
      <c r="BW21" s="42"/>
      <c r="BX21" s="36"/>
      <c r="BY21" s="76"/>
      <c r="BZ21" s="42">
        <v>0</v>
      </c>
      <c r="CA21" s="959"/>
      <c r="CB21" s="41"/>
      <c r="CC21" s="41">
        <v>0</v>
      </c>
      <c r="CD21" s="960"/>
      <c r="CE21" s="76">
        <v>0</v>
      </c>
      <c r="CF21" s="55"/>
      <c r="CG21" s="41">
        <v>0</v>
      </c>
      <c r="CH21" s="38">
        <v>243.77001870052001</v>
      </c>
      <c r="CI21" s="76">
        <v>0</v>
      </c>
      <c r="CJ21" s="55"/>
      <c r="CK21" s="955"/>
      <c r="CL21" s="950"/>
      <c r="CM21" s="955"/>
      <c r="CN21" s="950">
        <v>0</v>
      </c>
      <c r="CO21" s="76">
        <v>173.32071776554469</v>
      </c>
      <c r="CP21" s="42">
        <v>0</v>
      </c>
      <c r="CQ21" s="9"/>
      <c r="CR21" s="76">
        <v>247.48037211598327</v>
      </c>
      <c r="CS21" s="954">
        <v>0</v>
      </c>
      <c r="CT21" s="5"/>
      <c r="CU21" s="76">
        <v>213.95418402251397</v>
      </c>
      <c r="CV21" s="42">
        <v>0</v>
      </c>
      <c r="CW21" s="5"/>
      <c r="CX21" s="76">
        <v>0</v>
      </c>
      <c r="CY21" s="42">
        <v>0</v>
      </c>
      <c r="CZ21" s="5"/>
      <c r="DA21" s="76">
        <v>0</v>
      </c>
      <c r="DB21" s="42">
        <v>0</v>
      </c>
      <c r="DC21" s="5"/>
      <c r="DD21" s="76">
        <v>114.80447262753619</v>
      </c>
      <c r="DE21" s="42">
        <v>0</v>
      </c>
      <c r="DF21" s="5"/>
      <c r="DG21" s="76">
        <v>0</v>
      </c>
      <c r="DH21" s="42"/>
      <c r="DI21" s="5"/>
      <c r="DJ21" s="42">
        <v>749.55974653157807</v>
      </c>
      <c r="DK21" s="42">
        <f t="shared" si="6"/>
        <v>0</v>
      </c>
      <c r="DL21" s="58">
        <f t="shared" si="7"/>
        <v>-749.55974653157807</v>
      </c>
      <c r="DM21" s="2">
        <v>2</v>
      </c>
    </row>
    <row r="22" spans="1:117" ht="24.9" customHeight="1" x14ac:dyDescent="0.3">
      <c r="A22" s="318">
        <v>150000740</v>
      </c>
      <c r="B22" s="44" t="s">
        <v>1760</v>
      </c>
      <c r="C22" s="956">
        <v>3</v>
      </c>
      <c r="D22" s="957" t="s">
        <v>454</v>
      </c>
      <c r="E22" s="949">
        <f>'побудинковий звіт'!E251</f>
        <v>275.8</v>
      </c>
      <c r="F22" s="950">
        <f>'побудинковий звіт'!AS251</f>
        <v>4097.9077505262558</v>
      </c>
      <c r="G22" s="950">
        <f t="shared" si="0"/>
        <v>7739.0983697340034</v>
      </c>
      <c r="H22" s="950">
        <f t="shared" si="1"/>
        <v>3641.1906192077477</v>
      </c>
      <c r="I22" s="42">
        <f>'[2]поточний ремонт'!I22+'[1]поточний ремонт'!I22</f>
        <v>14</v>
      </c>
      <c r="J22" s="42">
        <f>'[2]поточний ремонт'!J22+'[1]поточний ремонт'!J22</f>
        <v>3206.1835422240815</v>
      </c>
      <c r="K22" s="958"/>
      <c r="L22" s="42">
        <f>'[2]поточний ремонт'!L22+'[1]поточний ремонт'!L22</f>
        <v>0</v>
      </c>
      <c r="M22" s="42">
        <f>'[2]поточний ремонт'!M22+'[1]поточний ремонт'!M22</f>
        <v>0</v>
      </c>
      <c r="N22" s="36"/>
      <c r="O22" s="42">
        <f>'[2]поточний ремонт'!O22+'[1]поточний ремонт'!O22</f>
        <v>0</v>
      </c>
      <c r="P22" s="42">
        <f>'[2]поточний ремонт'!P22+'[1]поточний ремонт'!P22</f>
        <v>0</v>
      </c>
      <c r="Q22" s="959"/>
      <c r="R22" s="42">
        <f>'[2]поточний ремонт'!R22+'[1]поточний ремонт'!R22</f>
        <v>0</v>
      </c>
      <c r="S22" s="42">
        <f>'[2]поточний ремонт'!S22+'[1]поточний ремонт'!S22</f>
        <v>0</v>
      </c>
      <c r="T22" s="960"/>
      <c r="U22" s="42">
        <f>'[2]поточний ремонт'!U22+'[1]поточний ремонт'!U22</f>
        <v>0</v>
      </c>
      <c r="V22" s="42">
        <f>'[2]поточний ремонт'!V22+'[1]поточний ремонт'!V22</f>
        <v>0</v>
      </c>
      <c r="W22" s="42">
        <f>'[2]поточний ремонт'!W22+'[1]поточний ремонт'!W22</f>
        <v>0</v>
      </c>
      <c r="X22" s="42">
        <f>'[2]поточний ремонт'!X22+'[1]поточний ремонт'!X22</f>
        <v>0</v>
      </c>
      <c r="Y22" s="42">
        <f>'[2]поточний ремонт'!Y22+'[1]поточний ремонт'!Y22</f>
        <v>2363.31512709968</v>
      </c>
      <c r="Z22" s="42">
        <f>'[2]поточний ремонт'!Z22+'[1]поточний ремонт'!Z22</f>
        <v>0</v>
      </c>
      <c r="AA22" s="42">
        <f>'[2]поточний ремонт'!AA22+'[1]поточний ремонт'!AA22</f>
        <v>0</v>
      </c>
      <c r="AB22" s="42">
        <f>'[2]поточний ремонт'!AB22+'[1]поточний ремонт'!AB22</f>
        <v>0</v>
      </c>
      <c r="AC22" s="42">
        <f>'[2]поточний ремонт'!AC22+'[1]поточний ремонт'!AC22</f>
        <v>257.57356987822641</v>
      </c>
      <c r="AD22" s="42">
        <f>'[2]поточний ремонт'!AD22+'[1]поточний ремонт'!AD22</f>
        <v>1912.0261305320159</v>
      </c>
      <c r="AE22" s="42">
        <f>'[2]поточний ремонт'!AE22+'[1]поточний ремонт'!AE22</f>
        <v>1032.2062143169617</v>
      </c>
      <c r="AF22" s="42">
        <f>'[2]поточний ремонт'!AF22+'[1]поточний ремонт'!AF22</f>
        <v>0</v>
      </c>
      <c r="AG22" s="5"/>
      <c r="AH22" s="42">
        <f>'[2]поточний ремонт'!AH22+'[1]поточний ремонт'!AH22</f>
        <v>1716.4578463781918</v>
      </c>
      <c r="AI22" s="42">
        <f>'[2]поточний ремонт'!AI22+'[1]поточний ремонт'!AI22</f>
        <v>0</v>
      </c>
      <c r="AJ22" s="5"/>
      <c r="AK22" s="42">
        <f>'[2]поточний ремонт'!AK22+'[1]поточний ремонт'!AK22</f>
        <v>933.12998799404579</v>
      </c>
      <c r="AL22" s="42">
        <f>'[2]поточний ремонт'!AL22+'[1]поточний ремонт'!AL22</f>
        <v>0</v>
      </c>
      <c r="AM22" s="5"/>
      <c r="AN22" s="42">
        <f>'[2]поточний ремонт'!AN22+'[1]поточний ремонт'!AN22</f>
        <v>0</v>
      </c>
      <c r="AO22" s="42">
        <f>'[2]поточний ремонт'!AO22+'[1]поточний ремонт'!AO22</f>
        <v>0</v>
      </c>
      <c r="AP22" s="5"/>
      <c r="AQ22" s="42">
        <f>'[2]поточний ремонт'!AQ22+'[1]поточний ремонт'!AQ22</f>
        <v>44.109235188573223</v>
      </c>
      <c r="AR22" s="42">
        <f>'[2]поточний ремонт'!AR22+'[1]поточний ремонт'!AR22</f>
        <v>2672.8943754023921</v>
      </c>
      <c r="AS22" s="5"/>
      <c r="AT22" s="42">
        <f>'[2]поточний ремонт'!AT22+'[1]поточний ремонт'!AT22</f>
        <v>700.53048165111102</v>
      </c>
      <c r="AU22" s="42">
        <f>'[2]поточний ремонт'!AU22+'[1]поточний ремонт'!AU22</f>
        <v>0</v>
      </c>
      <c r="AV22" s="5"/>
      <c r="AW22" s="42">
        <f>'[2]поточний ремонт'!AW22+'[1]поточний ремонт'!AW22</f>
        <v>15.371725633445312</v>
      </c>
      <c r="AX22" s="42">
        <f>'[2]поточний ремонт'!AX22+'[1]поточний ремонт'!AX22</f>
        <v>4163.972744114968</v>
      </c>
      <c r="AY22" s="5"/>
      <c r="AZ22" s="42">
        <f t="shared" si="2"/>
        <v>4441.8054911623285</v>
      </c>
      <c r="BA22" s="42">
        <f t="shared" si="3"/>
        <v>6836.8671195173602</v>
      </c>
      <c r="BB22" s="58">
        <f t="shared" si="4"/>
        <v>2395.0616283550316</v>
      </c>
      <c r="BD22" s="2">
        <v>2</v>
      </c>
      <c r="BF22" s="29">
        <v>1.9952715685653384</v>
      </c>
      <c r="BG22" s="318">
        <v>150000740</v>
      </c>
      <c r="BI22" s="104">
        <v>0</v>
      </c>
      <c r="BJ22" s="104">
        <f t="shared" si="5"/>
        <v>0</v>
      </c>
      <c r="BK22" s="104">
        <v>0</v>
      </c>
      <c r="BL22" s="38"/>
      <c r="BM22" s="3"/>
      <c r="BN22" s="3">
        <v>0</v>
      </c>
      <c r="BP22" s="3"/>
      <c r="BQ22" s="3"/>
      <c r="BS22" s="42"/>
      <c r="BT22" s="42">
        <v>0</v>
      </c>
      <c r="BU22" s="958"/>
      <c r="BV22" s="41"/>
      <c r="BW22" s="42"/>
      <c r="BX22" s="36"/>
      <c r="BY22" s="76"/>
      <c r="BZ22" s="42">
        <v>0</v>
      </c>
      <c r="CA22" s="959"/>
      <c r="CB22" s="41"/>
      <c r="CC22" s="41">
        <v>0</v>
      </c>
      <c r="CD22" s="960"/>
      <c r="CE22" s="76">
        <v>0</v>
      </c>
      <c r="CF22" s="55"/>
      <c r="CG22" s="41">
        <v>0</v>
      </c>
      <c r="CH22" s="38">
        <v>0</v>
      </c>
      <c r="CI22" s="76">
        <v>1152.6128406488531</v>
      </c>
      <c r="CJ22" s="55"/>
      <c r="CK22" s="955"/>
      <c r="CL22" s="950"/>
      <c r="CM22" s="955"/>
      <c r="CN22" s="950">
        <v>0</v>
      </c>
      <c r="CO22" s="76">
        <v>83.481589480305374</v>
      </c>
      <c r="CP22" s="42">
        <v>0</v>
      </c>
      <c r="CQ22" s="5"/>
      <c r="CR22" s="76">
        <v>150.14790921903517</v>
      </c>
      <c r="CS22" s="954">
        <v>0</v>
      </c>
      <c r="CT22" s="5"/>
      <c r="CU22" s="76">
        <v>80.324930802706078</v>
      </c>
      <c r="CV22" s="42">
        <v>0</v>
      </c>
      <c r="CW22" s="5"/>
      <c r="CX22" s="76">
        <v>0</v>
      </c>
      <c r="CY22" s="42">
        <v>0</v>
      </c>
      <c r="CZ22" s="5"/>
      <c r="DA22" s="76">
        <v>0</v>
      </c>
      <c r="DB22" s="42">
        <v>0</v>
      </c>
      <c r="DC22" s="5"/>
      <c r="DD22" s="76">
        <v>40.007387285549711</v>
      </c>
      <c r="DE22" s="42">
        <v>0</v>
      </c>
      <c r="DF22" s="5"/>
      <c r="DG22" s="76">
        <v>0</v>
      </c>
      <c r="DH22" s="42"/>
      <c r="DI22" s="5"/>
      <c r="DJ22" s="42">
        <v>353.96181678759638</v>
      </c>
      <c r="DK22" s="42">
        <f t="shared" si="6"/>
        <v>0</v>
      </c>
      <c r="DL22" s="58">
        <f t="shared" si="7"/>
        <v>-353.96181678759638</v>
      </c>
      <c r="DM22" s="2">
        <v>2</v>
      </c>
    </row>
    <row r="23" spans="1:117" ht="24.9" customHeight="1" x14ac:dyDescent="0.3">
      <c r="A23" s="318">
        <v>150000744</v>
      </c>
      <c r="B23" s="44" t="s">
        <v>1761</v>
      </c>
      <c r="C23" s="956">
        <v>4</v>
      </c>
      <c r="D23" s="957" t="s">
        <v>454</v>
      </c>
      <c r="E23" s="949">
        <f>'побудинковий звіт'!E252</f>
        <v>146.1</v>
      </c>
      <c r="F23" s="950">
        <f>'побудинковий звіт'!AS252</f>
        <v>1849.6863745367432</v>
      </c>
      <c r="G23" s="950">
        <f t="shared" si="0"/>
        <v>6243.7702739498818</v>
      </c>
      <c r="H23" s="950">
        <f t="shared" si="1"/>
        <v>4394.0838994131391</v>
      </c>
      <c r="I23" s="42">
        <f>'[2]поточний ремонт'!I23+'[1]поточний ремонт'!I23</f>
        <v>0</v>
      </c>
      <c r="J23" s="42">
        <f>'[2]поточний ремонт'!J23+'[1]поточний ремонт'!J23</f>
        <v>0</v>
      </c>
      <c r="K23" s="958"/>
      <c r="L23" s="42">
        <f>'[2]поточний ремонт'!L23+'[1]поточний ремонт'!L23</f>
        <v>0</v>
      </c>
      <c r="M23" s="42">
        <f>'[2]поточний ремонт'!M23+'[1]поточний ремонт'!M23</f>
        <v>0</v>
      </c>
      <c r="N23" s="36"/>
      <c r="O23" s="42">
        <f>'[2]поточний ремонт'!O23+'[1]поточний ремонт'!O23</f>
        <v>0</v>
      </c>
      <c r="P23" s="42">
        <f>'[2]поточний ремонт'!P23+'[1]поточний ремонт'!P23</f>
        <v>0</v>
      </c>
      <c r="Q23" s="959"/>
      <c r="R23" s="42">
        <f>'[2]поточний ремонт'!R23+'[1]поточний ремонт'!R23</f>
        <v>0</v>
      </c>
      <c r="S23" s="42">
        <f>'[2]поточний ремонт'!S23+'[1]поточний ремонт'!S23</f>
        <v>0</v>
      </c>
      <c r="T23" s="960"/>
      <c r="U23" s="42">
        <f>'[2]поточний ремонт'!U23+'[1]поточний ремонт'!U23</f>
        <v>0</v>
      </c>
      <c r="V23" s="42">
        <f>'[2]поточний ремонт'!V23+'[1]поточний ремонт'!V23</f>
        <v>0</v>
      </c>
      <c r="W23" s="42">
        <f>'[2]поточний ремонт'!W23+'[1]поточний ремонт'!W23</f>
        <v>0</v>
      </c>
      <c r="X23" s="42">
        <f>'[2]поточний ремонт'!X23+'[1]поточний ремонт'!X23</f>
        <v>0</v>
      </c>
      <c r="Y23" s="42">
        <f>'[2]поточний ремонт'!Y23+'[1]поточний ремонт'!Y23</f>
        <v>0</v>
      </c>
      <c r="Z23" s="42">
        <f>'[2]поточний ремонт'!Z23+'[1]поточний ремонт'!Z23</f>
        <v>0</v>
      </c>
      <c r="AA23" s="42">
        <f>'[2]поточний ремонт'!AA23+'[1]поточний ремонт'!AA23</f>
        <v>0</v>
      </c>
      <c r="AB23" s="42">
        <f>'[2]поточний ремонт'!AB23+'[1]поточний ремонт'!AB23</f>
        <v>823.24445165581039</v>
      </c>
      <c r="AC23" s="42">
        <f>'[2]поточний ремонт'!AC23+'[1]поточний ремонт'!AC23</f>
        <v>5190.341026818609</v>
      </c>
      <c r="AD23" s="42">
        <f>'[2]поточний ремонт'!AD23+'[1]поточний ремонт'!AD23</f>
        <v>230.18479547546244</v>
      </c>
      <c r="AE23" s="42">
        <f>'[2]поточний ремонт'!AE23+'[1]поточний ремонт'!AE23</f>
        <v>983.69947609101405</v>
      </c>
      <c r="AF23" s="42">
        <f>'[2]поточний ремонт'!AF23+'[1]поточний ремонт'!AF23</f>
        <v>0</v>
      </c>
      <c r="AG23" s="5"/>
      <c r="AH23" s="42">
        <f>'[2]поточний ремонт'!AH23+'[1]поточний ремонт'!AH23</f>
        <v>1334.3406085566339</v>
      </c>
      <c r="AI23" s="42">
        <f>'[2]поточний ремонт'!AI23+'[1]поточний ремонт'!AI23</f>
        <v>0</v>
      </c>
      <c r="AJ23" s="5"/>
      <c r="AK23" s="42">
        <f>'[2]поточний ремонт'!AK23+'[1]поточний ремонт'!AK23</f>
        <v>1018.5685509845888</v>
      </c>
      <c r="AL23" s="42">
        <f>'[2]поточний ремонт'!AL23+'[1]поточний ремонт'!AL23</f>
        <v>0</v>
      </c>
      <c r="AM23" s="5"/>
      <c r="AN23" s="42">
        <f>'[2]поточний ремонт'!AN23+'[1]поточний ремонт'!AN23</f>
        <v>0</v>
      </c>
      <c r="AO23" s="42">
        <f>'[2]поточний ремонт'!AO23+'[1]поточний ремонт'!AO23</f>
        <v>0</v>
      </c>
      <c r="AP23" s="5"/>
      <c r="AQ23" s="42">
        <f>'[2]поточний ремонт'!AQ23+'[1]поточний ремонт'!AQ23</f>
        <v>44.109235188573223</v>
      </c>
      <c r="AR23" s="42">
        <f>'[2]поточний ремонт'!AR23+'[1]поточний ремонт'!AR23</f>
        <v>0</v>
      </c>
      <c r="AS23" s="5"/>
      <c r="AT23" s="42">
        <f>'[2]поточний ремонт'!AT23+'[1]поточний ремонт'!AT23</f>
        <v>448.36270699302656</v>
      </c>
      <c r="AU23" s="42">
        <f>'[2]поточний ремонт'!AU23+'[1]поточний ремонт'!AU23</f>
        <v>0</v>
      </c>
      <c r="AV23" s="5"/>
      <c r="AW23" s="42">
        <f>'[2]поточний ремонт'!AW23+'[1]поточний ремонт'!AW23</f>
        <v>11.042545761168878</v>
      </c>
      <c r="AX23" s="42">
        <f>'[2]поточний ремонт'!AX23+'[1]поточний ремонт'!AX23</f>
        <v>1399.8707557903615</v>
      </c>
      <c r="AY23" s="5"/>
      <c r="AZ23" s="42">
        <f t="shared" si="2"/>
        <v>3840.1231235750056</v>
      </c>
      <c r="BA23" s="42">
        <f t="shared" si="3"/>
        <v>1399.8707557903615</v>
      </c>
      <c r="BB23" s="58">
        <f t="shared" si="4"/>
        <v>-2440.2523677846439</v>
      </c>
      <c r="BD23" s="2">
        <v>2</v>
      </c>
      <c r="BF23" s="29">
        <v>2.1975591845863467</v>
      </c>
      <c r="BG23" s="318">
        <v>150000744</v>
      </c>
      <c r="BI23" s="104">
        <v>0</v>
      </c>
      <c r="BJ23" s="104">
        <f t="shared" si="5"/>
        <v>0</v>
      </c>
      <c r="BK23" s="104">
        <v>0</v>
      </c>
      <c r="BL23" s="38"/>
      <c r="BM23" s="3"/>
      <c r="BN23" s="3">
        <v>0</v>
      </c>
      <c r="BP23" s="3"/>
      <c r="BQ23" s="3"/>
      <c r="BS23" s="42"/>
      <c r="BT23" s="42">
        <v>0</v>
      </c>
      <c r="BU23" s="958"/>
      <c r="BV23" s="41"/>
      <c r="BW23" s="42"/>
      <c r="BX23" s="36"/>
      <c r="BY23" s="76"/>
      <c r="BZ23" s="42">
        <v>0</v>
      </c>
      <c r="CA23" s="959"/>
      <c r="CB23" s="41"/>
      <c r="CC23" s="41">
        <v>0</v>
      </c>
      <c r="CD23" s="960"/>
      <c r="CE23" s="76">
        <v>0</v>
      </c>
      <c r="CF23" s="55"/>
      <c r="CG23" s="41">
        <v>0</v>
      </c>
      <c r="CH23" s="38">
        <v>0</v>
      </c>
      <c r="CI23" s="76">
        <v>0</v>
      </c>
      <c r="CJ23" s="55"/>
      <c r="CK23" s="955"/>
      <c r="CL23" s="950"/>
      <c r="CM23" s="955"/>
      <c r="CN23" s="950">
        <v>0</v>
      </c>
      <c r="CO23" s="76">
        <v>79.518560821136816</v>
      </c>
      <c r="CP23" s="42">
        <v>0</v>
      </c>
      <c r="CQ23" s="5"/>
      <c r="CR23" s="76">
        <v>116.99801469592836</v>
      </c>
      <c r="CS23" s="954">
        <v>0</v>
      </c>
      <c r="CT23" s="5"/>
      <c r="CU23" s="76">
        <v>86.357912466370919</v>
      </c>
      <c r="CV23" s="42">
        <v>0</v>
      </c>
      <c r="CW23" s="5"/>
      <c r="CX23" s="76">
        <v>0</v>
      </c>
      <c r="CY23" s="42">
        <v>0</v>
      </c>
      <c r="CZ23" s="5"/>
      <c r="DA23" s="76">
        <v>0</v>
      </c>
      <c r="DB23" s="42">
        <v>0</v>
      </c>
      <c r="DC23" s="5"/>
      <c r="DD23" s="76">
        <v>27.376602221534242</v>
      </c>
      <c r="DE23" s="42">
        <v>0</v>
      </c>
      <c r="DF23" s="5"/>
      <c r="DG23" s="76">
        <v>0</v>
      </c>
      <c r="DH23" s="42"/>
      <c r="DI23" s="5"/>
      <c r="DJ23" s="42">
        <v>310.25109020497035</v>
      </c>
      <c r="DK23" s="42">
        <f t="shared" si="6"/>
        <v>0</v>
      </c>
      <c r="DL23" s="58">
        <f t="shared" si="7"/>
        <v>-310.25109020497035</v>
      </c>
      <c r="DM23" s="2">
        <v>2</v>
      </c>
    </row>
    <row r="24" spans="1:117" ht="24.9" customHeight="1" x14ac:dyDescent="0.3">
      <c r="A24" s="318">
        <v>150000741</v>
      </c>
      <c r="B24" s="44" t="s">
        <v>1762</v>
      </c>
      <c r="C24" s="956">
        <v>4</v>
      </c>
      <c r="D24" s="957" t="s">
        <v>454</v>
      </c>
      <c r="E24" s="949">
        <f>'побудинковий звіт'!E253</f>
        <v>3990.61</v>
      </c>
      <c r="F24" s="950">
        <f>'побудинковий звіт'!AS253</f>
        <v>78388.281765543637</v>
      </c>
      <c r="G24" s="950">
        <f t="shared" si="0"/>
        <v>136010.47657475353</v>
      </c>
      <c r="H24" s="950">
        <f t="shared" si="1"/>
        <v>57622.19480920989</v>
      </c>
      <c r="I24" s="42">
        <f>'[2]поточний ремонт'!I24+'[1]поточний ремонт'!I24</f>
        <v>0</v>
      </c>
      <c r="J24" s="42">
        <f>'[2]поточний ремонт'!J24+'[1]поточний ремонт'!J24</f>
        <v>0</v>
      </c>
      <c r="K24" s="958"/>
      <c r="L24" s="42">
        <f>'[2]поточний ремонт'!L24+'[1]поточний ремонт'!L24</f>
        <v>2</v>
      </c>
      <c r="M24" s="42">
        <f>'[2]поточний ремонт'!M24+'[1]поточний ремонт'!M24</f>
        <v>123598.52257883977</v>
      </c>
      <c r="N24" s="960"/>
      <c r="O24" s="42">
        <f>'[2]поточний ремонт'!O24+'[1]поточний ремонт'!O24</f>
        <v>0</v>
      </c>
      <c r="P24" s="42">
        <f>'[2]поточний ремонт'!P24+'[1]поточний ремонт'!P24</f>
        <v>0</v>
      </c>
      <c r="Q24" s="959"/>
      <c r="R24" s="42">
        <f>'[2]поточний ремонт'!R24+'[1]поточний ремонт'!R24</f>
        <v>0</v>
      </c>
      <c r="S24" s="42">
        <f>'[2]поточний ремонт'!S24+'[1]поточний ремонт'!S24</f>
        <v>0</v>
      </c>
      <c r="T24" s="960"/>
      <c r="U24" s="42">
        <f>'[2]поточний ремонт'!U24+'[1]поточний ремонт'!U24</f>
        <v>0</v>
      </c>
      <c r="V24" s="42">
        <f>'[2]поточний ремонт'!V24+'[1]поточний ремонт'!V24</f>
        <v>0</v>
      </c>
      <c r="W24" s="42">
        <f>'[2]поточний ремонт'!W24+'[1]поточний ремонт'!W24</f>
        <v>0</v>
      </c>
      <c r="X24" s="42">
        <f>'[2]поточний ремонт'!X24+'[1]поточний ремонт'!X24</f>
        <v>0</v>
      </c>
      <c r="Y24" s="42">
        <f>'[2]поточний ремонт'!Y24+'[1]поточний ремонт'!Y24</f>
        <v>4481.8710262597124</v>
      </c>
      <c r="Z24" s="42">
        <f>'[2]поточний ремонт'!Z24+'[1]поточний ремонт'!Z24</f>
        <v>0</v>
      </c>
      <c r="AA24" s="42">
        <f>'[2]поточний ремонт'!AA24+'[1]поточний ремонт'!AA24</f>
        <v>0</v>
      </c>
      <c r="AB24" s="42">
        <f>'[2]поточний ремонт'!AB24+'[1]поточний ремонт'!AB24</f>
        <v>0</v>
      </c>
      <c r="AC24" s="42">
        <f>'[2]поточний ремонт'!AC24+'[1]поточний ремонт'!AC24</f>
        <v>2872.5101558774077</v>
      </c>
      <c r="AD24" s="42">
        <f>'[2]поточний ремонт'!AD24+'[1]поточний ремонт'!AD24</f>
        <v>5057.57281377664</v>
      </c>
      <c r="AE24" s="42">
        <f>'[2]поточний ремонт'!AE24+'[1]поточний ремонт'!AE24</f>
        <v>1664.0855741585442</v>
      </c>
      <c r="AF24" s="42">
        <f>'[2]поточний ремонт'!AF24+'[1]поточний ремонт'!AF24</f>
        <v>0</v>
      </c>
      <c r="AG24" s="5"/>
      <c r="AH24" s="42">
        <f>'[2]поточний ремонт'!AH24+'[1]поточний ремонт'!AH24</f>
        <v>2017.0047360443807</v>
      </c>
      <c r="AI24" s="42">
        <f>'[2]поточний ремонт'!AI24+'[1]поточний ремонт'!AI24</f>
        <v>0</v>
      </c>
      <c r="AJ24" s="5"/>
      <c r="AK24" s="42">
        <f>'[2]поточний ремонт'!AK24+'[1]поточний ремонт'!AK24</f>
        <v>1782.308109342946</v>
      </c>
      <c r="AL24" s="42">
        <f>'[2]поточний ремонт'!AL24+'[1]поточний ремонт'!AL24</f>
        <v>0</v>
      </c>
      <c r="AM24" s="5"/>
      <c r="AN24" s="42">
        <f>'[2]поточний ремонт'!AN24+'[1]поточний ремонт'!AN24</f>
        <v>0</v>
      </c>
      <c r="AO24" s="42">
        <f>'[2]поточний ремонт'!AO24+'[1]поточний ремонт'!AO24</f>
        <v>0</v>
      </c>
      <c r="AP24" s="5"/>
      <c r="AQ24" s="42">
        <f>'[2]поточний ремонт'!AQ24+'[1]поточний ремонт'!AQ24</f>
        <v>0</v>
      </c>
      <c r="AR24" s="42">
        <f>'[2]поточний ремонт'!AR24+'[1]поточний ремонт'!AR24</f>
        <v>0</v>
      </c>
      <c r="AS24" s="5"/>
      <c r="AT24" s="42">
        <f>'[2]поточний ремонт'!AT24+'[1]поточний ремонт'!AT24</f>
        <v>1221.368838239599</v>
      </c>
      <c r="AU24" s="42">
        <f>'[2]поточний ремонт'!AU24+'[1]поточний ремонт'!AU24</f>
        <v>0</v>
      </c>
      <c r="AV24" s="5"/>
      <c r="AW24" s="42">
        <f>'[2]поточний ремонт'!AW24+'[1]поточний ремонт'!AW24</f>
        <v>18.916633789729637</v>
      </c>
      <c r="AX24" s="42">
        <f>'[2]поточний ремонт'!AX24+'[1]поточний ремонт'!AX24</f>
        <v>4101.5414916316531</v>
      </c>
      <c r="AY24" s="5"/>
      <c r="AZ24" s="42">
        <f t="shared" si="2"/>
        <v>6703.6838915751996</v>
      </c>
      <c r="BA24" s="42">
        <f t="shared" si="3"/>
        <v>4101.5414916316531</v>
      </c>
      <c r="BB24" s="58">
        <f t="shared" si="4"/>
        <v>-2602.1423999435465</v>
      </c>
      <c r="BD24" s="2">
        <v>2</v>
      </c>
      <c r="BF24" s="29">
        <v>4.0510103378763072</v>
      </c>
      <c r="BG24" s="318">
        <v>150000741</v>
      </c>
      <c r="BI24" s="104">
        <v>0</v>
      </c>
      <c r="BJ24" s="104">
        <f t="shared" si="5"/>
        <v>0</v>
      </c>
      <c r="BK24" s="104">
        <v>0</v>
      </c>
      <c r="BL24" s="38"/>
      <c r="BM24" s="3"/>
      <c r="BN24" s="3">
        <v>0</v>
      </c>
      <c r="BP24" s="3"/>
      <c r="BQ24" s="3"/>
      <c r="BS24" s="42"/>
      <c r="BT24" s="42">
        <v>0</v>
      </c>
      <c r="BU24" s="958"/>
      <c r="BV24" s="41"/>
      <c r="BW24" s="42"/>
      <c r="BX24" s="960"/>
      <c r="BY24" s="76"/>
      <c r="BZ24" s="42">
        <v>0</v>
      </c>
      <c r="CA24" s="959"/>
      <c r="CB24" s="41"/>
      <c r="CC24" s="41">
        <v>0</v>
      </c>
      <c r="CD24" s="960"/>
      <c r="CE24" s="76">
        <v>0</v>
      </c>
      <c r="CF24" s="55"/>
      <c r="CG24" s="41">
        <v>0</v>
      </c>
      <c r="CH24" s="38">
        <v>0</v>
      </c>
      <c r="CI24" s="76">
        <v>0</v>
      </c>
      <c r="CJ24" s="55"/>
      <c r="CK24" s="955"/>
      <c r="CL24" s="950"/>
      <c r="CM24" s="955"/>
      <c r="CN24" s="950">
        <v>0</v>
      </c>
      <c r="CO24" s="76">
        <v>135.66276242088372</v>
      </c>
      <c r="CP24" s="42">
        <v>0</v>
      </c>
      <c r="CQ24" s="5"/>
      <c r="CR24" s="76">
        <v>169.47360552365001</v>
      </c>
      <c r="CS24" s="954">
        <v>0</v>
      </c>
      <c r="CT24" s="5"/>
      <c r="CU24" s="76">
        <v>149.70118991864561</v>
      </c>
      <c r="CV24" s="42">
        <v>0</v>
      </c>
      <c r="CW24" s="5"/>
      <c r="CX24" s="76">
        <v>0</v>
      </c>
      <c r="CY24" s="42">
        <v>0</v>
      </c>
      <c r="CZ24" s="5"/>
      <c r="DA24" s="76">
        <v>0</v>
      </c>
      <c r="DB24" s="42">
        <v>0</v>
      </c>
      <c r="DC24" s="5"/>
      <c r="DD24" s="76">
        <v>74.217104454239035</v>
      </c>
      <c r="DE24" s="42">
        <v>0</v>
      </c>
      <c r="DF24" s="5"/>
      <c r="DG24" s="76">
        <v>0</v>
      </c>
      <c r="DH24" s="42"/>
      <c r="DI24" s="5"/>
      <c r="DJ24" s="42">
        <v>529.05466231741832</v>
      </c>
      <c r="DK24" s="42">
        <f t="shared" si="6"/>
        <v>0</v>
      </c>
      <c r="DL24" s="58">
        <f t="shared" si="7"/>
        <v>-529.05466231741832</v>
      </c>
      <c r="DM24" s="2">
        <v>2</v>
      </c>
    </row>
    <row r="25" spans="1:117" ht="24.9" customHeight="1" x14ac:dyDescent="0.3">
      <c r="A25" s="318">
        <v>150000742</v>
      </c>
      <c r="B25" s="44" t="s">
        <v>1763</v>
      </c>
      <c r="C25" s="956">
        <v>5</v>
      </c>
      <c r="D25" s="957" t="s">
        <v>454</v>
      </c>
      <c r="E25" s="949">
        <f>'побудинковий звіт'!E254</f>
        <v>319.39999999999998</v>
      </c>
      <c r="F25" s="950">
        <f>'побудинковий звіт'!AS254</f>
        <v>5146.7445355299751</v>
      </c>
      <c r="G25" s="950">
        <f t="shared" si="0"/>
        <v>55027</v>
      </c>
      <c r="H25" s="950">
        <f t="shared" si="1"/>
        <v>49880.255464470029</v>
      </c>
      <c r="I25" s="42">
        <f>'[2]поточний ремонт'!I25+'[1]поточний ремонт'!I25</f>
        <v>85.47</v>
      </c>
      <c r="J25" s="42">
        <f>'[2]поточний ремонт'!J25+'[1]поточний ремонт'!J25</f>
        <v>55027</v>
      </c>
      <c r="K25" s="962"/>
      <c r="L25" s="42">
        <f>'[2]поточний ремонт'!L25+'[1]поточний ремонт'!L25</f>
        <v>0</v>
      </c>
      <c r="M25" s="42">
        <f>'[2]поточний ремонт'!M25+'[1]поточний ремонт'!M25</f>
        <v>0</v>
      </c>
      <c r="N25" s="36"/>
      <c r="O25" s="42">
        <f>'[2]поточний ремонт'!O25+'[1]поточний ремонт'!O25</f>
        <v>0</v>
      </c>
      <c r="P25" s="42">
        <f>'[2]поточний ремонт'!P25+'[1]поточний ремонт'!P25</f>
        <v>0</v>
      </c>
      <c r="Q25" s="959"/>
      <c r="R25" s="42">
        <f>'[2]поточний ремонт'!R25+'[1]поточний ремонт'!R25</f>
        <v>0</v>
      </c>
      <c r="S25" s="42">
        <f>'[2]поточний ремонт'!S25+'[1]поточний ремонт'!S25</f>
        <v>0</v>
      </c>
      <c r="T25" s="960"/>
      <c r="U25" s="42">
        <f>'[2]поточний ремонт'!U25+'[1]поточний ремонт'!U25</f>
        <v>0</v>
      </c>
      <c r="V25" s="42">
        <f>'[2]поточний ремонт'!V25+'[1]поточний ремонт'!V25</f>
        <v>0</v>
      </c>
      <c r="W25" s="42">
        <f>'[2]поточний ремонт'!W25+'[1]поточний ремонт'!W25</f>
        <v>0</v>
      </c>
      <c r="X25" s="42">
        <f>'[2]поточний ремонт'!X25+'[1]поточний ремонт'!X25</f>
        <v>0</v>
      </c>
      <c r="Y25" s="42">
        <f>'[2]поточний ремонт'!Y25+'[1]поточний ремонт'!Y25</f>
        <v>0</v>
      </c>
      <c r="Z25" s="42">
        <f>'[2]поточний ремонт'!Z25+'[1]поточний ремонт'!Z25</f>
        <v>0</v>
      </c>
      <c r="AA25" s="42">
        <f>'[2]поточний ремонт'!AA25+'[1]поточний ремонт'!AA25</f>
        <v>0</v>
      </c>
      <c r="AB25" s="42">
        <f>'[2]поточний ремонт'!AB25+'[1]поточний ремонт'!AB25</f>
        <v>0</v>
      </c>
      <c r="AC25" s="42">
        <f>'[2]поточний ремонт'!AC25+'[1]поточний ремонт'!AC25</f>
        <v>0</v>
      </c>
      <c r="AD25" s="42">
        <f>'[2]поточний ремонт'!AD25+'[1]поточний ремонт'!AD25</f>
        <v>0</v>
      </c>
      <c r="AE25" s="42">
        <f>'[2]поточний ремонт'!AE25+'[1]поточний ремонт'!AE25</f>
        <v>1031.1625568949682</v>
      </c>
      <c r="AF25" s="42">
        <f>'[2]поточний ремонт'!AF25+'[1]поточний ремонт'!AF25</f>
        <v>0</v>
      </c>
      <c r="AG25" s="5"/>
      <c r="AH25" s="42">
        <f>'[2]поточний ремонт'!AH25+'[1]поточний ремонт'!AH25</f>
        <v>1554.2401572508722</v>
      </c>
      <c r="AI25" s="42">
        <f>'[2]поточний ремонт'!AI25+'[1]поточний ремонт'!AI25</f>
        <v>0</v>
      </c>
      <c r="AJ25" s="5"/>
      <c r="AK25" s="42">
        <f>'[2]поточний ремонт'!AK25+'[1]поточний ремонт'!AK25</f>
        <v>1326.8698688387281</v>
      </c>
      <c r="AL25" s="42">
        <f>'[2]поточний ремонт'!AL25+'[1]поточний ремонт'!AL25</f>
        <v>0</v>
      </c>
      <c r="AM25" s="5"/>
      <c r="AN25" s="42">
        <f>'[2]поточний ремонт'!AN25+'[1]поточний ремонт'!AN25</f>
        <v>0</v>
      </c>
      <c r="AO25" s="42">
        <f>'[2]поточний ремонт'!AO25+'[1]поточний ремонт'!AO25</f>
        <v>0</v>
      </c>
      <c r="AP25" s="5"/>
      <c r="AQ25" s="42">
        <f>'[2]поточний ремонт'!AQ25+'[1]поточний ремонт'!AQ25</f>
        <v>44.109235188573223</v>
      </c>
      <c r="AR25" s="42">
        <f>'[2]поточний ремонт'!AR25+'[1]поточний ремонт'!AR25</f>
        <v>0</v>
      </c>
      <c r="AS25" s="5"/>
      <c r="AT25" s="42">
        <f>'[2]поточний ремонт'!AT25+'[1]поточний ремонт'!AT25</f>
        <v>538.35101460086378</v>
      </c>
      <c r="AU25" s="42">
        <f>'[2]поточний ремонт'!AU25+'[1]поточний ремонт'!AU25</f>
        <v>0</v>
      </c>
      <c r="AV25" s="5"/>
      <c r="AW25" s="42">
        <f>'[2]поточний ремонт'!AW25+'[1]поточний ремонт'!AW25</f>
        <v>11.418996184845088</v>
      </c>
      <c r="AX25" s="42">
        <f>'[2]поточний ремонт'!AX25+'[1]поточний ремонт'!AX25</f>
        <v>527.51809613428497</v>
      </c>
      <c r="AY25" s="5"/>
      <c r="AZ25" s="42">
        <f t="shared" si="2"/>
        <v>4506.1518289588503</v>
      </c>
      <c r="BA25" s="42">
        <f t="shared" si="3"/>
        <v>527.51809613428497</v>
      </c>
      <c r="BB25" s="58">
        <f t="shared" si="4"/>
        <v>-3978.6337328245654</v>
      </c>
      <c r="BD25" s="2">
        <v>2</v>
      </c>
      <c r="BF25" s="29">
        <v>2.6126504515406466</v>
      </c>
      <c r="BG25" s="318">
        <v>150000742</v>
      </c>
      <c r="BI25" s="104">
        <v>0</v>
      </c>
      <c r="BJ25" s="104">
        <f t="shared" si="5"/>
        <v>0</v>
      </c>
      <c r="BK25" s="104">
        <v>0</v>
      </c>
      <c r="BL25" s="38"/>
      <c r="BM25" s="3"/>
      <c r="BN25" s="3">
        <v>0</v>
      </c>
      <c r="BP25" s="3"/>
      <c r="BQ25" s="3"/>
      <c r="BS25" s="42"/>
      <c r="BT25" s="42">
        <v>0</v>
      </c>
      <c r="BU25" s="962"/>
      <c r="BV25" s="41"/>
      <c r="BW25" s="42"/>
      <c r="BX25" s="36"/>
      <c r="BY25" s="76"/>
      <c r="BZ25" s="42">
        <v>0</v>
      </c>
      <c r="CA25" s="959"/>
      <c r="CB25" s="41"/>
      <c r="CC25" s="41">
        <v>0</v>
      </c>
      <c r="CD25" s="960"/>
      <c r="CE25" s="76">
        <v>0</v>
      </c>
      <c r="CF25" s="55"/>
      <c r="CG25" s="41">
        <v>0</v>
      </c>
      <c r="CH25" s="38">
        <v>0</v>
      </c>
      <c r="CI25" s="76">
        <v>0</v>
      </c>
      <c r="CJ25" s="55"/>
      <c r="CK25" s="955"/>
      <c r="CL25" s="950"/>
      <c r="CM25" s="955"/>
      <c r="CN25" s="950">
        <v>0</v>
      </c>
      <c r="CO25" s="76">
        <v>85.112918092962431</v>
      </c>
      <c r="CP25" s="42">
        <v>0</v>
      </c>
      <c r="CQ25" s="5"/>
      <c r="CR25" s="76">
        <v>125.50034371930118</v>
      </c>
      <c r="CS25" s="954">
        <v>0</v>
      </c>
      <c r="CT25" s="5"/>
      <c r="CU25" s="76">
        <v>110.38941032662208</v>
      </c>
      <c r="CV25" s="42">
        <v>0</v>
      </c>
      <c r="CW25" s="5"/>
      <c r="CX25" s="76">
        <v>0</v>
      </c>
      <c r="CY25" s="42">
        <v>0</v>
      </c>
      <c r="CZ25" s="5"/>
      <c r="DA25" s="76">
        <v>0</v>
      </c>
      <c r="DB25" s="42">
        <v>0</v>
      </c>
      <c r="DC25" s="5"/>
      <c r="DD25" s="76">
        <v>34.950005618439846</v>
      </c>
      <c r="DE25" s="42">
        <v>0</v>
      </c>
      <c r="DF25" s="5"/>
      <c r="DG25" s="76">
        <v>0</v>
      </c>
      <c r="DH25" s="42"/>
      <c r="DI25" s="5"/>
      <c r="DJ25" s="42">
        <v>355.95267775732555</v>
      </c>
      <c r="DK25" s="42">
        <f t="shared" si="6"/>
        <v>0</v>
      </c>
      <c r="DL25" s="58">
        <f t="shared" si="7"/>
        <v>-355.95267775732555</v>
      </c>
      <c r="DM25" s="2">
        <v>2</v>
      </c>
    </row>
    <row r="26" spans="1:117" ht="24.9" customHeight="1" x14ac:dyDescent="0.3">
      <c r="A26" s="318">
        <v>150000745</v>
      </c>
      <c r="B26" s="44" t="s">
        <v>1764</v>
      </c>
      <c r="C26" s="956">
        <v>1</v>
      </c>
      <c r="D26" s="957" t="s">
        <v>454</v>
      </c>
      <c r="E26" s="949">
        <f>'побудинковий звіт'!E255</f>
        <v>2762.6</v>
      </c>
      <c r="F26" s="950">
        <f>'побудинковий звіт'!AS255</f>
        <v>39025.332329588542</v>
      </c>
      <c r="G26" s="950">
        <f t="shared" si="0"/>
        <v>0</v>
      </c>
      <c r="H26" s="950">
        <f t="shared" si="1"/>
        <v>-39025.332329588542</v>
      </c>
      <c r="I26" s="42">
        <f>'[2]поточний ремонт'!I26+'[1]поточний ремонт'!I26</f>
        <v>0</v>
      </c>
      <c r="J26" s="42">
        <f>'[2]поточний ремонт'!J26+'[1]поточний ремонт'!J26</f>
        <v>0</v>
      </c>
      <c r="K26" s="958"/>
      <c r="L26" s="42">
        <f>'[2]поточний ремонт'!L26+'[1]поточний ремонт'!L26</f>
        <v>0</v>
      </c>
      <c r="M26" s="42">
        <f>'[2]поточний ремонт'!M26+'[1]поточний ремонт'!M26</f>
        <v>0</v>
      </c>
      <c r="N26" s="36"/>
      <c r="O26" s="42">
        <f>'[2]поточний ремонт'!O26+'[1]поточний ремонт'!O26</f>
        <v>0</v>
      </c>
      <c r="P26" s="42">
        <f>'[2]поточний ремонт'!P26+'[1]поточний ремонт'!P26</f>
        <v>0</v>
      </c>
      <c r="Q26" s="959"/>
      <c r="R26" s="42">
        <f>'[2]поточний ремонт'!R26+'[1]поточний ремонт'!R26</f>
        <v>0</v>
      </c>
      <c r="S26" s="42">
        <f>'[2]поточний ремонт'!S26+'[1]поточний ремонт'!S26</f>
        <v>0</v>
      </c>
      <c r="T26" s="960"/>
      <c r="U26" s="42">
        <f>'[2]поточний ремонт'!U26+'[1]поточний ремонт'!U26</f>
        <v>0</v>
      </c>
      <c r="V26" s="42">
        <f>'[2]поточний ремонт'!V26+'[1]поточний ремонт'!V26</f>
        <v>0</v>
      </c>
      <c r="W26" s="42">
        <f>'[2]поточний ремонт'!W26+'[1]поточний ремонт'!W26</f>
        <v>0</v>
      </c>
      <c r="X26" s="42">
        <f>'[2]поточний ремонт'!X26+'[1]поточний ремонт'!X26</f>
        <v>0</v>
      </c>
      <c r="Y26" s="42">
        <f>'[2]поточний ремонт'!Y26+'[1]поточний ремонт'!Y26</f>
        <v>0</v>
      </c>
      <c r="Z26" s="42">
        <f>'[2]поточний ремонт'!Z26+'[1]поточний ремонт'!Z26</f>
        <v>0</v>
      </c>
      <c r="AA26" s="42">
        <f>'[2]поточний ремонт'!AA26+'[1]поточний ремонт'!AA26</f>
        <v>0</v>
      </c>
      <c r="AB26" s="42">
        <f>'[2]поточний ремонт'!AB26+'[1]поточний ремонт'!AB26</f>
        <v>0</v>
      </c>
      <c r="AC26" s="42">
        <f>'[2]поточний ремонт'!AC26+'[1]поточний ремонт'!AC26</f>
        <v>0</v>
      </c>
      <c r="AD26" s="42">
        <f>'[2]поточний ремонт'!AD26+'[1]поточний ремонт'!AD26</f>
        <v>0</v>
      </c>
      <c r="AE26" s="42">
        <f>'[2]поточний ремонт'!AE26+'[1]поточний ремонт'!AE26</f>
        <v>0</v>
      </c>
      <c r="AF26" s="42">
        <f>'[2]поточний ремонт'!AF26+'[1]поточний ремонт'!AF26</f>
        <v>0</v>
      </c>
      <c r="AG26" s="5"/>
      <c r="AH26" s="42">
        <f>'[2]поточний ремонт'!AH26+'[1]поточний ремонт'!AH26</f>
        <v>0</v>
      </c>
      <c r="AI26" s="42">
        <f>'[2]поточний ремонт'!AI26+'[1]поточний ремонт'!AI26</f>
        <v>0</v>
      </c>
      <c r="AJ26" s="5"/>
      <c r="AK26" s="42">
        <f>'[2]поточний ремонт'!AK26+'[1]поточний ремонт'!AK26</f>
        <v>0</v>
      </c>
      <c r="AL26" s="42">
        <f>'[2]поточний ремонт'!AL26+'[1]поточний ремонт'!AL26</f>
        <v>0</v>
      </c>
      <c r="AM26" s="5"/>
      <c r="AN26" s="42">
        <f>'[2]поточний ремонт'!AN26+'[1]поточний ремонт'!AN26</f>
        <v>0</v>
      </c>
      <c r="AO26" s="42">
        <f>'[2]поточний ремонт'!AO26+'[1]поточний ремонт'!AO26</f>
        <v>0</v>
      </c>
      <c r="AP26" s="5"/>
      <c r="AQ26" s="42">
        <f>'[2]поточний ремонт'!AQ26+'[1]поточний ремонт'!AQ26</f>
        <v>0</v>
      </c>
      <c r="AR26" s="42">
        <f>'[2]поточний ремонт'!AR26+'[1]поточний ремонт'!AR26</f>
        <v>0</v>
      </c>
      <c r="AS26" s="5"/>
      <c r="AT26" s="42">
        <f>'[2]поточний ремонт'!AT26+'[1]поточний ремонт'!AT26</f>
        <v>0</v>
      </c>
      <c r="AU26" s="42">
        <f>'[2]поточний ремонт'!AU26+'[1]поточний ремонт'!AU26</f>
        <v>0</v>
      </c>
      <c r="AV26" s="5"/>
      <c r="AW26" s="42">
        <f>'[2]поточний ремонт'!AW26+'[1]поточний ремонт'!AW26</f>
        <v>0</v>
      </c>
      <c r="AX26" s="42">
        <f>'[2]поточний ремонт'!AX26+'[1]поточний ремонт'!AX26</f>
        <v>1522.9401368642104</v>
      </c>
      <c r="AY26" s="5"/>
      <c r="AZ26" s="42">
        <f t="shared" si="2"/>
        <v>0</v>
      </c>
      <c r="BA26" s="42">
        <f t="shared" si="3"/>
        <v>1522.9401368642104</v>
      </c>
      <c r="BB26" s="58">
        <f t="shared" si="4"/>
        <v>1522.9401368642104</v>
      </c>
      <c r="BD26" s="2">
        <v>2</v>
      </c>
      <c r="BF26" s="29">
        <v>0</v>
      </c>
      <c r="BG26" s="318">
        <v>150000745</v>
      </c>
      <c r="BI26" s="104">
        <v>0</v>
      </c>
      <c r="BJ26" s="104">
        <f t="shared" si="5"/>
        <v>0</v>
      </c>
      <c r="BK26" s="104">
        <v>0</v>
      </c>
      <c r="BL26" s="38"/>
      <c r="BM26" s="3"/>
      <c r="BN26" s="3">
        <v>0</v>
      </c>
      <c r="BP26" s="3"/>
      <c r="BQ26" s="3"/>
      <c r="BS26" s="42"/>
      <c r="BT26" s="42">
        <v>0</v>
      </c>
      <c r="BU26" s="958"/>
      <c r="BV26" s="41"/>
      <c r="BW26" s="42"/>
      <c r="BX26" s="36"/>
      <c r="BY26" s="76"/>
      <c r="BZ26" s="42">
        <v>0</v>
      </c>
      <c r="CA26" s="959"/>
      <c r="CB26" s="41"/>
      <c r="CC26" s="41">
        <v>0</v>
      </c>
      <c r="CD26" s="960"/>
      <c r="CE26" s="76">
        <v>0</v>
      </c>
      <c r="CF26" s="55"/>
      <c r="CG26" s="41">
        <v>0</v>
      </c>
      <c r="CH26" s="38">
        <v>0</v>
      </c>
      <c r="CI26" s="76">
        <v>0</v>
      </c>
      <c r="CJ26" s="55"/>
      <c r="CK26" s="955"/>
      <c r="CL26" s="950"/>
      <c r="CM26" s="955"/>
      <c r="CN26" s="950">
        <v>0</v>
      </c>
      <c r="CO26" s="76">
        <v>0</v>
      </c>
      <c r="CP26" s="42">
        <v>0</v>
      </c>
      <c r="CQ26" s="5"/>
      <c r="CR26" s="76">
        <v>0</v>
      </c>
      <c r="CS26" s="954">
        <v>0</v>
      </c>
      <c r="CT26" s="5"/>
      <c r="CU26" s="76">
        <v>0</v>
      </c>
      <c r="CV26" s="42">
        <v>0</v>
      </c>
      <c r="CW26" s="5"/>
      <c r="CX26" s="76">
        <v>0</v>
      </c>
      <c r="CY26" s="42">
        <v>0</v>
      </c>
      <c r="CZ26" s="5"/>
      <c r="DA26" s="76">
        <v>0</v>
      </c>
      <c r="DB26" s="42">
        <v>0</v>
      </c>
      <c r="DC26" s="5"/>
      <c r="DD26" s="76">
        <v>0</v>
      </c>
      <c r="DE26" s="42">
        <v>0</v>
      </c>
      <c r="DF26" s="5"/>
      <c r="DG26" s="76">
        <v>0</v>
      </c>
      <c r="DH26" s="42"/>
      <c r="DI26" s="5"/>
      <c r="DJ26" s="42">
        <v>0</v>
      </c>
      <c r="DK26" s="42">
        <f t="shared" si="6"/>
        <v>0</v>
      </c>
      <c r="DL26" s="58">
        <f t="shared" si="7"/>
        <v>0</v>
      </c>
      <c r="DM26" s="2">
        <v>2</v>
      </c>
    </row>
    <row r="27" spans="1:117" ht="24.9" customHeight="1" x14ac:dyDescent="0.3">
      <c r="A27" s="318">
        <v>150000836</v>
      </c>
      <c r="B27" s="44" t="s">
        <v>1767</v>
      </c>
      <c r="C27" s="956">
        <v>3</v>
      </c>
      <c r="D27" s="957" t="s">
        <v>454</v>
      </c>
      <c r="E27" s="949">
        <f>'побудинковий звіт'!E260</f>
        <v>6669.7999999999993</v>
      </c>
      <c r="F27" s="950">
        <f>'побудинковий звіт'!AS260</f>
        <v>75339.586371942132</v>
      </c>
      <c r="G27" s="950">
        <f t="shared" si="0"/>
        <v>26490.114171712656</v>
      </c>
      <c r="H27" s="950">
        <f t="shared" si="1"/>
        <v>-48849.472200229473</v>
      </c>
      <c r="I27" s="42">
        <f>'[2]поточний ремонт'!I27+'[1]поточний ремонт'!I27</f>
        <v>2.5</v>
      </c>
      <c r="J27" s="42">
        <f>'[2]поточний ремонт'!J27+'[1]поточний ремонт'!J27</f>
        <v>1327.812127843695</v>
      </c>
      <c r="K27" s="958"/>
      <c r="L27" s="42">
        <f>'[2]поточний ремонт'!L27+'[1]поточний ремонт'!L27</f>
        <v>0</v>
      </c>
      <c r="M27" s="42">
        <f>'[2]поточний ремонт'!M27+'[1]поточний ремонт'!M27</f>
        <v>0</v>
      </c>
      <c r="N27" s="36"/>
      <c r="O27" s="42">
        <f>'[2]поточний ремонт'!O27+'[1]поточний ремонт'!O27</f>
        <v>0</v>
      </c>
      <c r="P27" s="42">
        <f>'[2]поточний ремонт'!P27+'[1]поточний ремонт'!P27</f>
        <v>0</v>
      </c>
      <c r="Q27" s="959"/>
      <c r="R27" s="42">
        <f>'[2]поточний ремонт'!R27+'[1]поточний ремонт'!R27</f>
        <v>0</v>
      </c>
      <c r="S27" s="42">
        <f>'[2]поточний ремонт'!S27+'[1]поточний ремонт'!S27</f>
        <v>0</v>
      </c>
      <c r="T27" s="960"/>
      <c r="U27" s="42">
        <f>'[2]поточний ремонт'!U27+'[1]поточний ремонт'!U27</f>
        <v>0</v>
      </c>
      <c r="V27" s="42">
        <f>'[2]поточний ремонт'!V27+'[1]поточний ремонт'!V27</f>
        <v>0</v>
      </c>
      <c r="W27" s="42">
        <f>'[2]поточний ремонт'!W27+'[1]поточний ремонт'!W27</f>
        <v>0</v>
      </c>
      <c r="X27" s="42">
        <f>'[2]поточний ремонт'!X27+'[1]поточний ремонт'!X27</f>
        <v>1542.0052344113897</v>
      </c>
      <c r="Y27" s="42">
        <f>'[2]поточний ремонт'!Y27+'[1]поточний ремонт'!Y27</f>
        <v>0</v>
      </c>
      <c r="Z27" s="42">
        <f>'[2]поточний ремонт'!Z27+'[1]поточний ремонт'!Z27</f>
        <v>0</v>
      </c>
      <c r="AA27" s="42">
        <f>'[2]поточний ремонт'!AA27+'[1]поточний ремонт'!AA27</f>
        <v>0</v>
      </c>
      <c r="AB27" s="42">
        <f>'[2]поточний ремонт'!AB27+'[1]поточний ремонт'!AB27</f>
        <v>2006.0881383652704</v>
      </c>
      <c r="AC27" s="42">
        <f>'[2]поточний ремонт'!AC27+'[1]поточний ремонт'!AC27</f>
        <v>0</v>
      </c>
      <c r="AD27" s="42">
        <f>'[2]поточний ремонт'!AD27+'[1]поточний ремонт'!AD27</f>
        <v>21614.208671092299</v>
      </c>
      <c r="AE27" s="42">
        <f>'[2]поточний ремонт'!AE27+'[1]поточний ремонт'!AE27</f>
        <v>1249.8752551369043</v>
      </c>
      <c r="AF27" s="42">
        <f>'[2]поточний ремонт'!AF27+'[1]поточний ремонт'!AF27</f>
        <v>0</v>
      </c>
      <c r="AG27" s="5"/>
      <c r="AH27" s="42">
        <f>'[2]поточний ремонт'!AH27+'[1]поточний ремонт'!AH27</f>
        <v>1690.5136245199094</v>
      </c>
      <c r="AI27" s="42">
        <f>'[2]поточний ремонт'!AI27+'[1]поточний ремонт'!AI27</f>
        <v>0</v>
      </c>
      <c r="AJ27" s="5"/>
      <c r="AK27" s="42">
        <f>'[2]поточний ремонт'!AK27+'[1]поточний ремонт'!AK27</f>
        <v>1033.8483921872748</v>
      </c>
      <c r="AL27" s="42">
        <f>'[2]поточний ремонт'!AL27+'[1]поточний ремонт'!AL27</f>
        <v>0</v>
      </c>
      <c r="AM27" s="5"/>
      <c r="AN27" s="42">
        <f>'[2]поточний ремонт'!AN27+'[1]поточний ремонт'!AN27</f>
        <v>577.35233872399101</v>
      </c>
      <c r="AO27" s="42">
        <f>'[2]поточний ремонт'!AO27+'[1]поточний ремонт'!AO27</f>
        <v>0</v>
      </c>
      <c r="AP27" s="5"/>
      <c r="AQ27" s="42">
        <f>'[2]поточний ремонт'!AQ27+'[1]поточний ремонт'!AQ27</f>
        <v>203.72559138555351</v>
      </c>
      <c r="AR27" s="42">
        <f>'[2]поточний ремонт'!AR27+'[1]поточний ремонт'!AR27</f>
        <v>1922.676424476216</v>
      </c>
      <c r="AS27" s="5"/>
      <c r="AT27" s="42">
        <f>'[2]поточний ремонт'!AT27+'[1]поточний ремонт'!AT27</f>
        <v>787.01496440650953</v>
      </c>
      <c r="AU27" s="42">
        <f>'[2]поточний ремонт'!AU27+'[1]поточний ремонт'!AU27</f>
        <v>7063.2690634830578</v>
      </c>
      <c r="AV27" s="5"/>
      <c r="AW27" s="42">
        <f>'[2]поточний ремонт'!AW27+'[1]поточний ремонт'!AW27</f>
        <v>198.96670059538883</v>
      </c>
      <c r="AX27" s="42">
        <f>'[2]поточний ремонт'!AX27+'[1]поточний ремонт'!AX27</f>
        <v>0</v>
      </c>
      <c r="AY27" s="5"/>
      <c r="AZ27" s="42">
        <f t="shared" si="2"/>
        <v>5741.2968669555312</v>
      </c>
      <c r="BA27" s="42">
        <f t="shared" si="3"/>
        <v>8985.945487959274</v>
      </c>
      <c r="BB27" s="58">
        <f t="shared" si="4"/>
        <v>3244.6486210037428</v>
      </c>
      <c r="BD27" s="2">
        <v>1</v>
      </c>
      <c r="BF27" s="29">
        <v>73.75270986815346</v>
      </c>
      <c r="BG27" s="318">
        <v>150000836</v>
      </c>
      <c r="BI27" s="104">
        <v>0</v>
      </c>
      <c r="BJ27" s="104">
        <f t="shared" si="5"/>
        <v>0</v>
      </c>
      <c r="BK27" s="104">
        <v>0</v>
      </c>
      <c r="BL27" s="38"/>
      <c r="BM27" s="3"/>
      <c r="BN27" s="3">
        <v>0</v>
      </c>
      <c r="BP27" s="3"/>
      <c r="BQ27" s="3"/>
      <c r="BS27" s="42">
        <v>2.5</v>
      </c>
      <c r="BT27" s="42">
        <v>1326.0093068257008</v>
      </c>
      <c r="BU27" s="958"/>
      <c r="BV27" s="41"/>
      <c r="BW27" s="42"/>
      <c r="BX27" s="36"/>
      <c r="BY27" s="76"/>
      <c r="BZ27" s="42">
        <v>0</v>
      </c>
      <c r="CA27" s="959"/>
      <c r="CB27" s="41"/>
      <c r="CC27" s="41">
        <v>0</v>
      </c>
      <c r="CD27" s="960"/>
      <c r="CE27" s="76">
        <v>0</v>
      </c>
      <c r="CF27" s="55"/>
      <c r="CG27" s="41">
        <v>0</v>
      </c>
      <c r="CH27" s="38">
        <v>0</v>
      </c>
      <c r="CI27" s="76">
        <v>0</v>
      </c>
      <c r="CJ27" s="55"/>
      <c r="CK27" s="955"/>
      <c r="CL27" s="950"/>
      <c r="CM27" s="955"/>
      <c r="CN27" s="950">
        <v>0</v>
      </c>
      <c r="CO27" s="76">
        <v>98.123950722651031</v>
      </c>
      <c r="CP27" s="42">
        <v>0</v>
      </c>
      <c r="CQ27" s="5"/>
      <c r="CR27" s="76">
        <v>142.89567902136579</v>
      </c>
      <c r="CS27" s="954">
        <v>0</v>
      </c>
      <c r="CT27" s="5"/>
      <c r="CU27" s="76">
        <v>87.200147606005402</v>
      </c>
      <c r="CV27" s="42">
        <v>0</v>
      </c>
      <c r="CW27" s="5"/>
      <c r="CX27" s="76">
        <v>53.269160771356745</v>
      </c>
      <c r="CY27" s="42">
        <v>0</v>
      </c>
      <c r="CZ27" s="5"/>
      <c r="DA27" s="76">
        <v>17.987225127848209</v>
      </c>
      <c r="DB27" s="42">
        <v>0</v>
      </c>
      <c r="DC27" s="5"/>
      <c r="DD27" s="76">
        <v>46.092653629516093</v>
      </c>
      <c r="DE27" s="42">
        <v>0</v>
      </c>
      <c r="DF27" s="5"/>
      <c r="DG27" s="76">
        <v>15.953805249101936</v>
      </c>
      <c r="DH27" s="42"/>
      <c r="DI27" s="5"/>
      <c r="DJ27" s="42">
        <v>461.52262212784524</v>
      </c>
      <c r="DK27" s="42">
        <f t="shared" si="6"/>
        <v>0</v>
      </c>
      <c r="DL27" s="58">
        <f t="shared" si="7"/>
        <v>-461.52262212784524</v>
      </c>
      <c r="DM27" s="2">
        <v>1</v>
      </c>
    </row>
    <row r="28" spans="1:117" ht="24.9" customHeight="1" x14ac:dyDescent="0.3">
      <c r="A28" s="318">
        <v>150000837</v>
      </c>
      <c r="B28" s="44" t="s">
        <v>1768</v>
      </c>
      <c r="C28" s="956">
        <v>3</v>
      </c>
      <c r="D28" s="957" t="s">
        <v>454</v>
      </c>
      <c r="E28" s="949">
        <f>'побудинковий звіт'!E261</f>
        <v>1452.6</v>
      </c>
      <c r="F28" s="950">
        <f>'побудинковий звіт'!AS261</f>
        <v>17360.245322382634</v>
      </c>
      <c r="G28" s="950">
        <f t="shared" si="0"/>
        <v>748.45877909033675</v>
      </c>
      <c r="H28" s="950">
        <f t="shared" si="1"/>
        <v>-16611.786543292299</v>
      </c>
      <c r="I28" s="42">
        <f>'[2]поточний ремонт'!I28+'[1]поточний ремонт'!I28</f>
        <v>1</v>
      </c>
      <c r="J28" s="42">
        <f>'[2]поточний ремонт'!J28+'[1]поточний ремонт'!J28</f>
        <v>748.45877909033675</v>
      </c>
      <c r="K28" s="962"/>
      <c r="L28" s="42">
        <f>'[2]поточний ремонт'!L28+'[1]поточний ремонт'!L28</f>
        <v>0</v>
      </c>
      <c r="M28" s="42">
        <f>'[2]поточний ремонт'!M28+'[1]поточний ремонт'!M28</f>
        <v>0</v>
      </c>
      <c r="N28" s="961"/>
      <c r="O28" s="42">
        <f>'[2]поточний ремонт'!O28+'[1]поточний ремонт'!O28</f>
        <v>0</v>
      </c>
      <c r="P28" s="42">
        <f>'[2]поточний ремонт'!P28+'[1]поточний ремонт'!P28</f>
        <v>0</v>
      </c>
      <c r="Q28" s="959"/>
      <c r="R28" s="42">
        <f>'[2]поточний ремонт'!R28+'[1]поточний ремонт'!R28</f>
        <v>0</v>
      </c>
      <c r="S28" s="42">
        <f>'[2]поточний ремонт'!S28+'[1]поточний ремонт'!S28</f>
        <v>0</v>
      </c>
      <c r="T28" s="960"/>
      <c r="U28" s="42">
        <f>'[2]поточний ремонт'!U28+'[1]поточний ремонт'!U28</f>
        <v>0</v>
      </c>
      <c r="V28" s="42">
        <f>'[2]поточний ремонт'!V28+'[1]поточний ремонт'!V28</f>
        <v>0</v>
      </c>
      <c r="W28" s="42">
        <f>'[2]поточний ремонт'!W28+'[1]поточний ремонт'!W28</f>
        <v>0</v>
      </c>
      <c r="X28" s="42">
        <f>'[2]поточний ремонт'!X28+'[1]поточний ремонт'!X28</f>
        <v>0</v>
      </c>
      <c r="Y28" s="42">
        <f>'[2]поточний ремонт'!Y28+'[1]поточний ремонт'!Y28</f>
        <v>0</v>
      </c>
      <c r="Z28" s="42">
        <f>'[2]поточний ремонт'!Z28+'[1]поточний ремонт'!Z28</f>
        <v>0</v>
      </c>
      <c r="AA28" s="42">
        <f>'[2]поточний ремонт'!AA28+'[1]поточний ремонт'!AA28</f>
        <v>0</v>
      </c>
      <c r="AB28" s="42">
        <f>'[2]поточний ремонт'!AB28+'[1]поточний ремонт'!AB28</f>
        <v>0</v>
      </c>
      <c r="AC28" s="42">
        <f>'[2]поточний ремонт'!AC28+'[1]поточний ремонт'!AC28</f>
        <v>0</v>
      </c>
      <c r="AD28" s="42">
        <f>'[2]поточний ремонт'!AD28+'[1]поточний ремонт'!AD28</f>
        <v>0</v>
      </c>
      <c r="AE28" s="42">
        <f>'[2]поточний ремонт'!AE28+'[1]поточний ремонт'!AE28</f>
        <v>539.40835468926559</v>
      </c>
      <c r="AF28" s="42">
        <f>'[2]поточний ремонт'!AF28+'[1]поточний ремонт'!AF28</f>
        <v>0</v>
      </c>
      <c r="AG28" s="5"/>
      <c r="AH28" s="42">
        <f>'[2]поточний ремонт'!AH28+'[1]поточний ремонт'!AH28</f>
        <v>537.11978344103863</v>
      </c>
      <c r="AI28" s="42">
        <f>'[2]поточний ремонт'!AI28+'[1]поточний ремонт'!AI28</f>
        <v>0</v>
      </c>
      <c r="AJ28" s="5"/>
      <c r="AK28" s="42">
        <f>'[2]поточний ремонт'!AK28+'[1]поточний ремонт'!AK28</f>
        <v>393.13263552803664</v>
      </c>
      <c r="AL28" s="42">
        <f>'[2]поточний ремонт'!AL28+'[1]поточний ремонт'!AL28</f>
        <v>0</v>
      </c>
      <c r="AM28" s="5"/>
      <c r="AN28" s="42">
        <f>'[2]поточний ремонт'!AN28+'[1]поточний ремонт'!AN28</f>
        <v>0</v>
      </c>
      <c r="AO28" s="42">
        <f>'[2]поточний ремонт'!AO28+'[1]поточний ремонт'!AO28</f>
        <v>0</v>
      </c>
      <c r="AP28" s="5"/>
      <c r="AQ28" s="42">
        <f>'[2]поточний ремонт'!AQ28+'[1]поточний ремонт'!AQ28</f>
        <v>41.352407989287386</v>
      </c>
      <c r="AR28" s="42">
        <f>'[2]поточний ремонт'!AR28+'[1]поточний ремонт'!AR28</f>
        <v>305.83164913890846</v>
      </c>
      <c r="AS28" s="5"/>
      <c r="AT28" s="42">
        <f>'[2]поточний ремонт'!AT28+'[1]поточний ремонт'!AT28</f>
        <v>335.96018058365229</v>
      </c>
      <c r="AU28" s="42">
        <f>'[2]поточний ремонт'!AU28+'[1]поточний ремонт'!AU28</f>
        <v>0</v>
      </c>
      <c r="AV28" s="5"/>
      <c r="AW28" s="42">
        <f>'[2]поточний ремонт'!AW28+'[1]поточний ремонт'!AW28</f>
        <v>93.951634431458402</v>
      </c>
      <c r="AX28" s="42">
        <f>'[2]поточний ремонт'!AX28+'[1]поточний ремонт'!AX28</f>
        <v>0</v>
      </c>
      <c r="AY28" s="5"/>
      <c r="AZ28" s="42">
        <f t="shared" si="2"/>
        <v>1940.9249966627392</v>
      </c>
      <c r="BA28" s="42">
        <f t="shared" si="3"/>
        <v>305.83164913890846</v>
      </c>
      <c r="BB28" s="58">
        <f t="shared" si="4"/>
        <v>-1635.0933475238307</v>
      </c>
      <c r="BD28" s="2">
        <v>1</v>
      </c>
      <c r="BF28" s="29">
        <v>31.562254251551579</v>
      </c>
      <c r="BG28" s="318">
        <v>150000837</v>
      </c>
      <c r="BI28" s="104">
        <v>0</v>
      </c>
      <c r="BJ28" s="104">
        <f t="shared" si="5"/>
        <v>0</v>
      </c>
      <c r="BK28" s="104">
        <v>0</v>
      </c>
      <c r="BL28" s="38"/>
      <c r="BM28" s="3"/>
      <c r="BN28" s="3">
        <v>0</v>
      </c>
      <c r="BP28" s="3"/>
      <c r="BQ28" s="3"/>
      <c r="BS28" s="42"/>
      <c r="BT28" s="42">
        <v>0</v>
      </c>
      <c r="BU28" s="962"/>
      <c r="BV28" s="41"/>
      <c r="BW28" s="42"/>
      <c r="BX28" s="961"/>
      <c r="BY28" s="76"/>
      <c r="BZ28" s="42">
        <v>0</v>
      </c>
      <c r="CA28" s="959"/>
      <c r="CB28" s="41"/>
      <c r="CC28" s="41">
        <v>0</v>
      </c>
      <c r="CD28" s="960"/>
      <c r="CE28" s="76">
        <v>0</v>
      </c>
      <c r="CF28" s="55"/>
      <c r="CG28" s="41">
        <v>0</v>
      </c>
      <c r="CH28" s="38">
        <v>0</v>
      </c>
      <c r="CI28" s="76">
        <v>0</v>
      </c>
      <c r="CJ28" s="55"/>
      <c r="CK28" s="955"/>
      <c r="CL28" s="950"/>
      <c r="CM28" s="955"/>
      <c r="CN28" s="950">
        <v>0</v>
      </c>
      <c r="CO28" s="76">
        <v>45.899855567333347</v>
      </c>
      <c r="CP28" s="42">
        <v>0</v>
      </c>
      <c r="CQ28" s="5"/>
      <c r="CR28" s="76">
        <v>46.580705843471286</v>
      </c>
      <c r="CS28" s="954">
        <v>0</v>
      </c>
      <c r="CT28" s="5"/>
      <c r="CU28" s="76">
        <v>33.956728484387142</v>
      </c>
      <c r="CV28" s="42">
        <v>0</v>
      </c>
      <c r="CW28" s="5"/>
      <c r="CX28" s="76">
        <v>0</v>
      </c>
      <c r="CY28" s="42">
        <v>0</v>
      </c>
      <c r="CZ28" s="5"/>
      <c r="DA28" s="76">
        <v>0</v>
      </c>
      <c r="DB28" s="42">
        <v>0</v>
      </c>
      <c r="DC28" s="5"/>
      <c r="DD28" s="76">
        <v>22.259198576509146</v>
      </c>
      <c r="DE28" s="42">
        <v>0</v>
      </c>
      <c r="DF28" s="5"/>
      <c r="DG28" s="76">
        <v>7.6435238195907917</v>
      </c>
      <c r="DH28" s="42"/>
      <c r="DI28" s="5"/>
      <c r="DJ28" s="42">
        <v>156.34001229129171</v>
      </c>
      <c r="DK28" s="42">
        <f t="shared" si="6"/>
        <v>0</v>
      </c>
      <c r="DL28" s="58">
        <f t="shared" si="7"/>
        <v>-156.34001229129171</v>
      </c>
      <c r="DM28" s="2">
        <v>1</v>
      </c>
    </row>
    <row r="29" spans="1:117" ht="24.9" customHeight="1" x14ac:dyDescent="0.3">
      <c r="A29" s="318">
        <v>150000839</v>
      </c>
      <c r="B29" s="44" t="s">
        <v>1769</v>
      </c>
      <c r="C29" s="956">
        <v>1</v>
      </c>
      <c r="D29" s="957" t="s">
        <v>454</v>
      </c>
      <c r="E29" s="949">
        <f>'побудинковий звіт'!E262</f>
        <v>4212.2</v>
      </c>
      <c r="F29" s="950">
        <f>'побудинковий звіт'!AS262</f>
        <v>56299.33973013745</v>
      </c>
      <c r="G29" s="950">
        <f t="shared" si="0"/>
        <v>0</v>
      </c>
      <c r="H29" s="950">
        <f t="shared" si="1"/>
        <v>-56299.33973013745</v>
      </c>
      <c r="I29" s="42">
        <f>'[2]поточний ремонт'!I29+'[1]поточний ремонт'!I29</f>
        <v>0</v>
      </c>
      <c r="J29" s="42">
        <f>'[2]поточний ремонт'!J29+'[1]поточний ремонт'!J29</f>
        <v>0</v>
      </c>
      <c r="K29" s="958"/>
      <c r="L29" s="42">
        <f>'[2]поточний ремонт'!L29+'[1]поточний ремонт'!L29</f>
        <v>0</v>
      </c>
      <c r="M29" s="42">
        <f>'[2]поточний ремонт'!M29+'[1]поточний ремонт'!M29</f>
        <v>0</v>
      </c>
      <c r="N29" s="36"/>
      <c r="O29" s="42">
        <f>'[2]поточний ремонт'!O29+'[1]поточний ремонт'!O29</f>
        <v>0</v>
      </c>
      <c r="P29" s="42">
        <f>'[2]поточний ремонт'!P29+'[1]поточний ремонт'!P29</f>
        <v>0</v>
      </c>
      <c r="Q29" s="959"/>
      <c r="R29" s="42">
        <f>'[2]поточний ремонт'!R29+'[1]поточний ремонт'!R29</f>
        <v>0</v>
      </c>
      <c r="S29" s="42">
        <f>'[2]поточний ремонт'!S29+'[1]поточний ремонт'!S29</f>
        <v>0</v>
      </c>
      <c r="T29" s="960"/>
      <c r="U29" s="42">
        <f>'[2]поточний ремонт'!U29+'[1]поточний ремонт'!U29</f>
        <v>0</v>
      </c>
      <c r="V29" s="42">
        <f>'[2]поточний ремонт'!V29+'[1]поточний ремонт'!V29</f>
        <v>0</v>
      </c>
      <c r="W29" s="42">
        <f>'[2]поточний ремонт'!W29+'[1]поточний ремонт'!W29</f>
        <v>0</v>
      </c>
      <c r="X29" s="42">
        <f>'[2]поточний ремонт'!X29+'[1]поточний ремонт'!X29</f>
        <v>0</v>
      </c>
      <c r="Y29" s="42">
        <f>'[2]поточний ремонт'!Y29+'[1]поточний ремонт'!Y29</f>
        <v>0</v>
      </c>
      <c r="Z29" s="42">
        <f>'[2]поточний ремонт'!Z29+'[1]поточний ремонт'!Z29</f>
        <v>0</v>
      </c>
      <c r="AA29" s="42">
        <f>'[2]поточний ремонт'!AA29+'[1]поточний ремонт'!AA29</f>
        <v>0</v>
      </c>
      <c r="AB29" s="42">
        <f>'[2]поточний ремонт'!AB29+'[1]поточний ремонт'!AB29</f>
        <v>0</v>
      </c>
      <c r="AC29" s="42">
        <f>'[2]поточний ремонт'!AC29+'[1]поточний ремонт'!AC29</f>
        <v>0</v>
      </c>
      <c r="AD29" s="42">
        <f>'[2]поточний ремонт'!AD29+'[1]поточний ремонт'!AD29</f>
        <v>0</v>
      </c>
      <c r="AE29" s="42">
        <f>'[2]поточний ремонт'!AE29+'[1]поточний ремонт'!AE29</f>
        <v>0</v>
      </c>
      <c r="AF29" s="42">
        <f>'[2]поточний ремонт'!AF29+'[1]поточний ремонт'!AF29</f>
        <v>0</v>
      </c>
      <c r="AG29" s="5"/>
      <c r="AH29" s="42">
        <f>'[2]поточний ремонт'!AH29+'[1]поточний ремонт'!AH29</f>
        <v>0</v>
      </c>
      <c r="AI29" s="42">
        <f>'[2]поточний ремонт'!AI29+'[1]поточний ремонт'!AI29</f>
        <v>0</v>
      </c>
      <c r="AJ29" s="5"/>
      <c r="AK29" s="42">
        <f>'[2]поточний ремонт'!AK29+'[1]поточний ремонт'!AK29</f>
        <v>0</v>
      </c>
      <c r="AL29" s="42">
        <f>'[2]поточний ремонт'!AL29+'[1]поточний ремонт'!AL29</f>
        <v>0</v>
      </c>
      <c r="AM29" s="5"/>
      <c r="AN29" s="42">
        <f>'[2]поточний ремонт'!AN29+'[1]поточний ремонт'!AN29</f>
        <v>0</v>
      </c>
      <c r="AO29" s="42">
        <f>'[2]поточний ремонт'!AO29+'[1]поточний ремонт'!AO29</f>
        <v>0</v>
      </c>
      <c r="AP29" s="5"/>
      <c r="AQ29" s="42">
        <f>'[2]поточний ремонт'!AQ29+'[1]поточний ремонт'!AQ29</f>
        <v>0</v>
      </c>
      <c r="AR29" s="42">
        <f>'[2]поточний ремонт'!AR29+'[1]поточний ремонт'!AR29</f>
        <v>0</v>
      </c>
      <c r="AS29" s="5"/>
      <c r="AT29" s="42">
        <f>'[2]поточний ремонт'!AT29+'[1]поточний ремонт'!AT29</f>
        <v>0</v>
      </c>
      <c r="AU29" s="42">
        <f>'[2]поточний ремонт'!AU29+'[1]поточний ремонт'!AU29</f>
        <v>0</v>
      </c>
      <c r="AV29" s="5"/>
      <c r="AW29" s="42">
        <f>'[2]поточний ремонт'!AW29+'[1]поточний ремонт'!AW29</f>
        <v>0</v>
      </c>
      <c r="AX29" s="42">
        <f>'[2]поточний ремонт'!AX29+'[1]поточний ремонт'!AX29</f>
        <v>0</v>
      </c>
      <c r="AY29" s="5"/>
      <c r="AZ29" s="42">
        <f t="shared" si="2"/>
        <v>0</v>
      </c>
      <c r="BA29" s="42">
        <f t="shared" si="3"/>
        <v>0</v>
      </c>
      <c r="BB29" s="58">
        <f t="shared" si="4"/>
        <v>0</v>
      </c>
      <c r="BD29" s="2">
        <v>1</v>
      </c>
      <c r="BF29" s="29">
        <v>0</v>
      </c>
      <c r="BG29" s="318">
        <v>150000839</v>
      </c>
      <c r="BI29" s="104">
        <v>0</v>
      </c>
      <c r="BJ29" s="104">
        <f t="shared" si="5"/>
        <v>0</v>
      </c>
      <c r="BK29" s="104">
        <v>0</v>
      </c>
      <c r="BL29" s="38"/>
      <c r="BM29" s="3"/>
      <c r="BN29" s="3">
        <v>0</v>
      </c>
      <c r="BP29" s="3"/>
      <c r="BQ29" s="3"/>
      <c r="BS29" s="42"/>
      <c r="BT29" s="42">
        <v>0</v>
      </c>
      <c r="BU29" s="958"/>
      <c r="BV29" s="41"/>
      <c r="BW29" s="42"/>
      <c r="BX29" s="36"/>
      <c r="BY29" s="76"/>
      <c r="BZ29" s="42">
        <v>0</v>
      </c>
      <c r="CA29" s="959"/>
      <c r="CB29" s="41"/>
      <c r="CC29" s="41">
        <v>0</v>
      </c>
      <c r="CD29" s="960"/>
      <c r="CE29" s="76">
        <v>0</v>
      </c>
      <c r="CF29" s="55"/>
      <c r="CG29" s="41">
        <v>0</v>
      </c>
      <c r="CH29" s="38">
        <v>0</v>
      </c>
      <c r="CI29" s="76">
        <v>0</v>
      </c>
      <c r="CJ29" s="55"/>
      <c r="CK29" s="955"/>
      <c r="CL29" s="950"/>
      <c r="CM29" s="955"/>
      <c r="CN29" s="950">
        <v>0</v>
      </c>
      <c r="CO29" s="76">
        <v>0</v>
      </c>
      <c r="CP29" s="42">
        <v>0</v>
      </c>
      <c r="CQ29" s="5"/>
      <c r="CR29" s="76">
        <v>0</v>
      </c>
      <c r="CS29" s="954">
        <v>0</v>
      </c>
      <c r="CT29" s="5"/>
      <c r="CU29" s="76">
        <v>0</v>
      </c>
      <c r="CV29" s="42">
        <v>0</v>
      </c>
      <c r="CW29" s="5"/>
      <c r="CX29" s="76">
        <v>0</v>
      </c>
      <c r="CY29" s="42">
        <v>0</v>
      </c>
      <c r="CZ29" s="5"/>
      <c r="DA29" s="76">
        <v>0</v>
      </c>
      <c r="DB29" s="42">
        <v>0</v>
      </c>
      <c r="DC29" s="5"/>
      <c r="DD29" s="76">
        <v>0</v>
      </c>
      <c r="DE29" s="42">
        <v>0</v>
      </c>
      <c r="DF29" s="5"/>
      <c r="DG29" s="76">
        <v>0</v>
      </c>
      <c r="DH29" s="42"/>
      <c r="DI29" s="5"/>
      <c r="DJ29" s="42">
        <v>0</v>
      </c>
      <c r="DK29" s="42">
        <f t="shared" si="6"/>
        <v>0</v>
      </c>
      <c r="DL29" s="58">
        <f t="shared" si="7"/>
        <v>0</v>
      </c>
      <c r="DM29" s="2">
        <v>1</v>
      </c>
    </row>
    <row r="30" spans="1:117" ht="24.9" customHeight="1" x14ac:dyDescent="0.3">
      <c r="A30" s="318">
        <v>150000840</v>
      </c>
      <c r="B30" s="44" t="s">
        <v>1770</v>
      </c>
      <c r="C30" s="956">
        <v>9</v>
      </c>
      <c r="D30" s="957" t="s">
        <v>454</v>
      </c>
      <c r="E30" s="949">
        <f>'побудинковий звіт'!E263</f>
        <v>3203.5</v>
      </c>
      <c r="F30" s="950">
        <f>'побудинковий звіт'!AS263</f>
        <v>39964.060374507091</v>
      </c>
      <c r="G30" s="950">
        <f t="shared" si="0"/>
        <v>9144.6097635763363</v>
      </c>
      <c r="H30" s="950">
        <f t="shared" si="1"/>
        <v>-30819.450610930755</v>
      </c>
      <c r="I30" s="42">
        <f>'[2]поточний ремонт'!I30+'[1]поточний ремонт'!I30</f>
        <v>0</v>
      </c>
      <c r="J30" s="42">
        <f>'[2]поточний ремонт'!J30+'[1]поточний ремонт'!J30</f>
        <v>0</v>
      </c>
      <c r="K30" s="962"/>
      <c r="L30" s="42">
        <f>'[2]поточний ремонт'!L30+'[1]поточний ремонт'!L30</f>
        <v>0</v>
      </c>
      <c r="M30" s="42">
        <f>'[2]поточний ремонт'!M30+'[1]поточний ремонт'!M30</f>
        <v>0</v>
      </c>
      <c r="N30" s="36"/>
      <c r="O30" s="42">
        <f>'[2]поточний ремонт'!O30+'[1]поточний ремонт'!O30</f>
        <v>0</v>
      </c>
      <c r="P30" s="42">
        <f>'[2]поточний ремонт'!P30+'[1]поточний ремонт'!P30</f>
        <v>0</v>
      </c>
      <c r="Q30" s="959"/>
      <c r="R30" s="42">
        <f>'[2]поточний ремонт'!R30+'[1]поточний ремонт'!R30</f>
        <v>3</v>
      </c>
      <c r="S30" s="42">
        <f>'[2]поточний ремонт'!S30+'[1]поточний ремонт'!S30</f>
        <v>5006.539877215303</v>
      </c>
      <c r="T30" s="967"/>
      <c r="U30" s="42">
        <f>'[2]поточний ремонт'!U30+'[1]поточний ремонт'!U30</f>
        <v>0</v>
      </c>
      <c r="V30" s="42">
        <f>'[2]поточний ремонт'!V30+'[1]поточний ремонт'!V30</f>
        <v>0</v>
      </c>
      <c r="W30" s="42">
        <f>'[2]поточний ремонт'!W30+'[1]поточний ремонт'!W30</f>
        <v>3</v>
      </c>
      <c r="X30" s="42">
        <f>'[2]поточний ремонт'!X30+'[1]поточний ремонт'!X30</f>
        <v>626.38396436945106</v>
      </c>
      <c r="Y30" s="42">
        <f>'[2]поточний ремонт'!Y30+'[1]поточний ремонт'!Y30</f>
        <v>0</v>
      </c>
      <c r="Z30" s="42">
        <f>'[2]поточний ремонт'!Z30+'[1]поточний ремонт'!Z30</f>
        <v>0</v>
      </c>
      <c r="AA30" s="42">
        <f>'[2]поточний ремонт'!AA30+'[1]поточний ремонт'!AA30</f>
        <v>0</v>
      </c>
      <c r="AB30" s="42">
        <f>'[2]поточний ремонт'!AB30+'[1]поточний ремонт'!AB30</f>
        <v>1293.7565825090808</v>
      </c>
      <c r="AC30" s="42">
        <f>'[2]поточний ремонт'!AC30+'[1]поточний ремонт'!AC30</f>
        <v>0</v>
      </c>
      <c r="AD30" s="42">
        <f>'[2]поточний ремонт'!AD30+'[1]поточний ремонт'!AD30</f>
        <v>2217.9293394825013</v>
      </c>
      <c r="AE30" s="42">
        <f>'[2]поточний ремонт'!AE30+'[1]поточний ремонт'!AE30</f>
        <v>1613.7959514658728</v>
      </c>
      <c r="AF30" s="42">
        <f>'[2]поточний ремонт'!AF30+'[1]поточний ремонт'!AF30</f>
        <v>699.58396102074971</v>
      </c>
      <c r="AG30" s="5"/>
      <c r="AH30" s="42">
        <f>'[2]поточний ремонт'!AH30+'[1]поточний ремонт'!AH30</f>
        <v>1522.40203675661</v>
      </c>
      <c r="AI30" s="42">
        <f>'[2]поточний ремонт'!AI30+'[1]поточний ремонт'!AI30</f>
        <v>0</v>
      </c>
      <c r="AJ30" s="9"/>
      <c r="AK30" s="42">
        <f>'[2]поточний ремонт'!AK30+'[1]поточний ремонт'!AK30</f>
        <v>1992.7790104925955</v>
      </c>
      <c r="AL30" s="42">
        <f>'[2]поточний ремонт'!AL30+'[1]поточний ремонт'!AL30</f>
        <v>0</v>
      </c>
      <c r="AM30" s="5"/>
      <c r="AN30" s="42">
        <f>'[2]поточний ремонт'!AN30+'[1]поточний ремонт'!AN30</f>
        <v>660.10158585791191</v>
      </c>
      <c r="AO30" s="42">
        <f>'[2]поточний ремонт'!AO30+'[1]поточний ремонт'!AO30</f>
        <v>548.24795760195309</v>
      </c>
      <c r="AP30" s="5"/>
      <c r="AQ30" s="42">
        <f>'[2]поточний ремонт'!AQ30+'[1]поточний ремонт'!AQ30</f>
        <v>396.51126392625707</v>
      </c>
      <c r="AR30" s="42">
        <f>'[2]поточний ремонт'!AR30+'[1]поточний ремонт'!AR30</f>
        <v>484.68361961872921</v>
      </c>
      <c r="AS30" s="5"/>
      <c r="AT30" s="42">
        <f>'[2]поточний ремонт'!AT30+'[1]поточний ремонт'!AT30</f>
        <v>1259.6845634603778</v>
      </c>
      <c r="AU30" s="42">
        <f>'[2]поточний ремонт'!AU30+'[1]поточний ремонт'!AU30</f>
        <v>6651.3502912869553</v>
      </c>
      <c r="AV30" s="5"/>
      <c r="AW30" s="42">
        <f>'[2]поточний ремонт'!AW30+'[1]поточний ремонт'!AW30</f>
        <v>549.0965266930707</v>
      </c>
      <c r="AX30" s="42">
        <f>'[2]поточний ремонт'!AX30+'[1]поточний ремонт'!AX30</f>
        <v>4105.0867629801878</v>
      </c>
      <c r="AY30" s="5"/>
      <c r="AZ30" s="42">
        <f t="shared" si="2"/>
        <v>7994.3709386526962</v>
      </c>
      <c r="BA30" s="42">
        <f t="shared" si="3"/>
        <v>12488.952592508576</v>
      </c>
      <c r="BB30" s="58">
        <f t="shared" si="4"/>
        <v>4494.5816538558802</v>
      </c>
      <c r="BD30" s="2">
        <v>1</v>
      </c>
      <c r="BF30" s="29">
        <v>284.3159231339348</v>
      </c>
      <c r="BG30" s="318">
        <v>150000840</v>
      </c>
      <c r="BI30" s="104">
        <v>28.1</v>
      </c>
      <c r="BJ30" s="104">
        <f t="shared" si="5"/>
        <v>3.9526078199999999</v>
      </c>
      <c r="BK30" s="104">
        <v>32.407330867600002</v>
      </c>
      <c r="BL30" s="38"/>
      <c r="BM30" s="3">
        <v>3</v>
      </c>
      <c r="BN30" s="3">
        <v>242.73560037341218</v>
      </c>
      <c r="BP30" s="3"/>
      <c r="BQ30" s="3"/>
      <c r="BS30" s="42"/>
      <c r="BT30" s="42">
        <v>0</v>
      </c>
      <c r="BU30" s="962"/>
      <c r="BV30" s="41"/>
      <c r="BW30" s="42"/>
      <c r="BX30" s="36"/>
      <c r="BY30" s="76"/>
      <c r="BZ30" s="42">
        <v>0</v>
      </c>
      <c r="CA30" s="959"/>
      <c r="CB30" s="41"/>
      <c r="CC30" s="41">
        <v>0</v>
      </c>
      <c r="CD30" s="967"/>
      <c r="CE30" s="76">
        <v>0</v>
      </c>
      <c r="CF30" s="55"/>
      <c r="CG30" s="41">
        <v>3</v>
      </c>
      <c r="CH30" s="38">
        <v>275.14293124101221</v>
      </c>
      <c r="CI30" s="76">
        <v>0</v>
      </c>
      <c r="CJ30" s="55"/>
      <c r="CK30" s="955"/>
      <c r="CL30" s="950">
        <v>1292</v>
      </c>
      <c r="CM30" s="955"/>
      <c r="CN30" s="950">
        <v>444.99428501928332</v>
      </c>
      <c r="CO30" s="76">
        <v>103.38197744541138</v>
      </c>
      <c r="CP30" s="42">
        <v>0</v>
      </c>
      <c r="CQ30" s="5"/>
      <c r="CR30" s="76">
        <v>124.86297817174597</v>
      </c>
      <c r="CS30" s="954">
        <v>0</v>
      </c>
      <c r="CT30" s="9"/>
      <c r="CU30" s="76">
        <v>156.17827713541953</v>
      </c>
      <c r="CV30" s="42">
        <v>0</v>
      </c>
      <c r="CW30" s="5"/>
      <c r="CX30" s="76">
        <v>57.86951273057457</v>
      </c>
      <c r="CY30" s="42">
        <v>0</v>
      </c>
      <c r="CZ30" s="5"/>
      <c r="DA30" s="76">
        <v>32.980617657691397</v>
      </c>
      <c r="DB30" s="42">
        <v>0</v>
      </c>
      <c r="DC30" s="5"/>
      <c r="DD30" s="76">
        <v>63.645000739503601</v>
      </c>
      <c r="DE30" s="42">
        <v>0</v>
      </c>
      <c r="DF30" s="5"/>
      <c r="DG30" s="76">
        <v>51.166785345959994</v>
      </c>
      <c r="DH30" s="42"/>
      <c r="DI30" s="5"/>
      <c r="DJ30" s="42">
        <v>590.0851492263065</v>
      </c>
      <c r="DK30" s="42">
        <f t="shared" si="6"/>
        <v>0</v>
      </c>
      <c r="DL30" s="58">
        <f t="shared" si="7"/>
        <v>-590.0851492263065</v>
      </c>
      <c r="DM30" s="2">
        <v>1</v>
      </c>
    </row>
    <row r="31" spans="1:117" ht="24.9" customHeight="1" x14ac:dyDescent="0.3">
      <c r="A31" s="318">
        <v>150000841</v>
      </c>
      <c r="B31" s="44" t="s">
        <v>1771</v>
      </c>
      <c r="C31" s="956">
        <v>1</v>
      </c>
      <c r="D31" s="957" t="s">
        <v>454</v>
      </c>
      <c r="E31" s="949">
        <f>'побудинковий звіт'!E264</f>
        <v>1563</v>
      </c>
      <c r="F31" s="950">
        <f>'побудинковий звіт'!AS264</f>
        <v>14738.454069251176</v>
      </c>
      <c r="G31" s="950">
        <f t="shared" si="0"/>
        <v>0</v>
      </c>
      <c r="H31" s="950">
        <f t="shared" si="1"/>
        <v>-14738.454069251176</v>
      </c>
      <c r="I31" s="42">
        <f>'[2]поточний ремонт'!I31+'[1]поточний ремонт'!I31</f>
        <v>0</v>
      </c>
      <c r="J31" s="42">
        <f>'[2]поточний ремонт'!J31+'[1]поточний ремонт'!J31</f>
        <v>0</v>
      </c>
      <c r="K31" s="958"/>
      <c r="L31" s="42">
        <f>'[2]поточний ремонт'!L31+'[1]поточний ремонт'!L31</f>
        <v>0</v>
      </c>
      <c r="M31" s="42">
        <f>'[2]поточний ремонт'!M31+'[1]поточний ремонт'!M31</f>
        <v>0</v>
      </c>
      <c r="N31" s="36"/>
      <c r="O31" s="42">
        <f>'[2]поточний ремонт'!O31+'[1]поточний ремонт'!O31</f>
        <v>0</v>
      </c>
      <c r="P31" s="42">
        <f>'[2]поточний ремонт'!P31+'[1]поточний ремонт'!P31</f>
        <v>0</v>
      </c>
      <c r="Q31" s="959"/>
      <c r="R31" s="42">
        <f>'[2]поточний ремонт'!R31+'[1]поточний ремонт'!R31</f>
        <v>0</v>
      </c>
      <c r="S31" s="42">
        <f>'[2]поточний ремонт'!S31+'[1]поточний ремонт'!S31</f>
        <v>0</v>
      </c>
      <c r="T31" s="960"/>
      <c r="U31" s="42">
        <f>'[2]поточний ремонт'!U31+'[1]поточний ремонт'!U31</f>
        <v>0</v>
      </c>
      <c r="V31" s="42">
        <f>'[2]поточний ремонт'!V31+'[1]поточний ремонт'!V31</f>
        <v>0</v>
      </c>
      <c r="W31" s="42">
        <f>'[2]поточний ремонт'!W31+'[1]поточний ремонт'!W31</f>
        <v>0</v>
      </c>
      <c r="X31" s="42">
        <f>'[2]поточний ремонт'!X31+'[1]поточний ремонт'!X31</f>
        <v>0</v>
      </c>
      <c r="Y31" s="42">
        <f>'[2]поточний ремонт'!Y31+'[1]поточний ремонт'!Y31</f>
        <v>0</v>
      </c>
      <c r="Z31" s="42">
        <f>'[2]поточний ремонт'!Z31+'[1]поточний ремонт'!Z31</f>
        <v>0</v>
      </c>
      <c r="AA31" s="42">
        <f>'[2]поточний ремонт'!AA31+'[1]поточний ремонт'!AA31</f>
        <v>0</v>
      </c>
      <c r="AB31" s="42">
        <f>'[2]поточний ремонт'!AB31+'[1]поточний ремонт'!AB31</f>
        <v>0</v>
      </c>
      <c r="AC31" s="42">
        <f>'[2]поточний ремонт'!AC31+'[1]поточний ремонт'!AC31</f>
        <v>0</v>
      </c>
      <c r="AD31" s="42">
        <f>'[2]поточний ремонт'!AD31+'[1]поточний ремонт'!AD31</f>
        <v>0</v>
      </c>
      <c r="AE31" s="42">
        <f>'[2]поточний ремонт'!AE31+'[1]поточний ремонт'!AE31</f>
        <v>0</v>
      </c>
      <c r="AF31" s="42">
        <f>'[2]поточний ремонт'!AF31+'[1]поточний ремонт'!AF31</f>
        <v>0</v>
      </c>
      <c r="AG31" s="5"/>
      <c r="AH31" s="42">
        <f>'[2]поточний ремонт'!AH31+'[1]поточний ремонт'!AH31</f>
        <v>0</v>
      </c>
      <c r="AI31" s="42">
        <f>'[2]поточний ремонт'!AI31+'[1]поточний ремонт'!AI31</f>
        <v>0</v>
      </c>
      <c r="AJ31" s="5"/>
      <c r="AK31" s="42">
        <f>'[2]поточний ремонт'!AK31+'[1]поточний ремонт'!AK31</f>
        <v>0</v>
      </c>
      <c r="AL31" s="42">
        <f>'[2]поточний ремонт'!AL31+'[1]поточний ремонт'!AL31</f>
        <v>0</v>
      </c>
      <c r="AM31" s="5"/>
      <c r="AN31" s="42">
        <f>'[2]поточний ремонт'!AN31+'[1]поточний ремонт'!AN31</f>
        <v>0</v>
      </c>
      <c r="AO31" s="42">
        <f>'[2]поточний ремонт'!AO31+'[1]поточний ремонт'!AO31</f>
        <v>0</v>
      </c>
      <c r="AP31" s="5"/>
      <c r="AQ31" s="42">
        <f>'[2]поточний ремонт'!AQ31+'[1]поточний ремонт'!AQ31</f>
        <v>0</v>
      </c>
      <c r="AR31" s="42">
        <f>'[2]поточний ремонт'!AR31+'[1]поточний ремонт'!AR31</f>
        <v>0</v>
      </c>
      <c r="AS31" s="5"/>
      <c r="AT31" s="42">
        <f>'[2]поточний ремонт'!AT31+'[1]поточний ремонт'!AT31</f>
        <v>0</v>
      </c>
      <c r="AU31" s="42">
        <f>'[2]поточний ремонт'!AU31+'[1]поточний ремонт'!AU31</f>
        <v>0</v>
      </c>
      <c r="AV31" s="5"/>
      <c r="AW31" s="42">
        <f>'[2]поточний ремонт'!AW31+'[1]поточний ремонт'!AW31</f>
        <v>0</v>
      </c>
      <c r="AX31" s="42">
        <f>'[2]поточний ремонт'!AX31+'[1]поточний ремонт'!AX31</f>
        <v>0</v>
      </c>
      <c r="AY31" s="5"/>
      <c r="AZ31" s="42">
        <f t="shared" si="2"/>
        <v>0</v>
      </c>
      <c r="BA31" s="42">
        <f t="shared" si="3"/>
        <v>0</v>
      </c>
      <c r="BB31" s="58">
        <f t="shared" si="4"/>
        <v>0</v>
      </c>
      <c r="BD31" s="2">
        <v>1</v>
      </c>
      <c r="BF31" s="29">
        <v>0</v>
      </c>
      <c r="BG31" s="318">
        <v>150000841</v>
      </c>
      <c r="BI31" s="104">
        <v>0</v>
      </c>
      <c r="BJ31" s="104">
        <f t="shared" si="5"/>
        <v>0</v>
      </c>
      <c r="BK31" s="104">
        <v>0</v>
      </c>
      <c r="BL31" s="38"/>
      <c r="BM31" s="3"/>
      <c r="BN31" s="3">
        <v>0</v>
      </c>
      <c r="BP31" s="3"/>
      <c r="BQ31" s="3"/>
      <c r="BS31" s="42"/>
      <c r="BT31" s="42">
        <v>0</v>
      </c>
      <c r="BU31" s="958"/>
      <c r="BV31" s="41"/>
      <c r="BW31" s="42"/>
      <c r="BX31" s="36"/>
      <c r="BY31" s="76"/>
      <c r="BZ31" s="42">
        <v>0</v>
      </c>
      <c r="CA31" s="959"/>
      <c r="CB31" s="41"/>
      <c r="CC31" s="41">
        <v>0</v>
      </c>
      <c r="CD31" s="960"/>
      <c r="CE31" s="76">
        <v>0</v>
      </c>
      <c r="CF31" s="55"/>
      <c r="CG31" s="41">
        <v>0</v>
      </c>
      <c r="CH31" s="38">
        <v>0</v>
      </c>
      <c r="CI31" s="76">
        <v>0</v>
      </c>
      <c r="CJ31" s="55"/>
      <c r="CK31" s="955"/>
      <c r="CL31" s="950"/>
      <c r="CM31" s="955"/>
      <c r="CN31" s="950">
        <v>0</v>
      </c>
      <c r="CO31" s="76">
        <v>0</v>
      </c>
      <c r="CP31" s="42">
        <v>0</v>
      </c>
      <c r="CQ31" s="5"/>
      <c r="CR31" s="76">
        <v>0</v>
      </c>
      <c r="CS31" s="954">
        <v>0</v>
      </c>
      <c r="CT31" s="5"/>
      <c r="CU31" s="76">
        <v>0</v>
      </c>
      <c r="CV31" s="42">
        <v>0</v>
      </c>
      <c r="CW31" s="5"/>
      <c r="CX31" s="76">
        <v>0</v>
      </c>
      <c r="CY31" s="42">
        <v>0</v>
      </c>
      <c r="CZ31" s="5"/>
      <c r="DA31" s="76">
        <v>0</v>
      </c>
      <c r="DB31" s="42">
        <v>0</v>
      </c>
      <c r="DC31" s="5"/>
      <c r="DD31" s="76">
        <v>0</v>
      </c>
      <c r="DE31" s="42">
        <v>0</v>
      </c>
      <c r="DF31" s="5"/>
      <c r="DG31" s="76">
        <v>0</v>
      </c>
      <c r="DH31" s="42"/>
      <c r="DI31" s="5"/>
      <c r="DJ31" s="42">
        <v>0</v>
      </c>
      <c r="DK31" s="42">
        <f t="shared" si="6"/>
        <v>0</v>
      </c>
      <c r="DL31" s="58">
        <f t="shared" si="7"/>
        <v>0</v>
      </c>
      <c r="DM31" s="2">
        <v>1</v>
      </c>
    </row>
    <row r="32" spans="1:117" ht="24.9" customHeight="1" x14ac:dyDescent="0.3">
      <c r="A32" s="318">
        <v>150000848</v>
      </c>
      <c r="B32" s="44" t="s">
        <v>1772</v>
      </c>
      <c r="C32" s="956">
        <v>2</v>
      </c>
      <c r="D32" s="957" t="s">
        <v>454</v>
      </c>
      <c r="E32" s="949">
        <f>'побудинковий звіт'!E265</f>
        <v>3710.3599999999997</v>
      </c>
      <c r="F32" s="950">
        <f>'побудинковий звіт'!AS265</f>
        <v>41700.528164556366</v>
      </c>
      <c r="G32" s="950">
        <f t="shared" si="0"/>
        <v>0</v>
      </c>
      <c r="H32" s="950">
        <f t="shared" si="1"/>
        <v>-41700.528164556366</v>
      </c>
      <c r="I32" s="42">
        <f>'[2]поточний ремонт'!I32+'[1]поточний ремонт'!I32</f>
        <v>0</v>
      </c>
      <c r="J32" s="42">
        <f>'[2]поточний ремонт'!J32+'[1]поточний ремонт'!J32</f>
        <v>0</v>
      </c>
      <c r="K32" s="958"/>
      <c r="L32" s="42">
        <f>'[2]поточний ремонт'!L32+'[1]поточний ремонт'!L32</f>
        <v>0</v>
      </c>
      <c r="M32" s="42">
        <f>'[2]поточний ремонт'!M32+'[1]поточний ремонт'!M32</f>
        <v>0</v>
      </c>
      <c r="N32" s="36"/>
      <c r="O32" s="42">
        <f>'[2]поточний ремонт'!O32+'[1]поточний ремонт'!O32</f>
        <v>0</v>
      </c>
      <c r="P32" s="42">
        <f>'[2]поточний ремонт'!P32+'[1]поточний ремонт'!P32</f>
        <v>0</v>
      </c>
      <c r="Q32" s="959"/>
      <c r="R32" s="42">
        <f>'[2]поточний ремонт'!R32+'[1]поточний ремонт'!R32</f>
        <v>0</v>
      </c>
      <c r="S32" s="42">
        <f>'[2]поточний ремонт'!S32+'[1]поточний ремонт'!S32</f>
        <v>0</v>
      </c>
      <c r="T32" s="960"/>
      <c r="U32" s="42">
        <f>'[2]поточний ремонт'!U32+'[1]поточний ремонт'!U32</f>
        <v>0</v>
      </c>
      <c r="V32" s="42">
        <f>'[2]поточний ремонт'!V32+'[1]поточний ремонт'!V32</f>
        <v>0</v>
      </c>
      <c r="W32" s="42">
        <f>'[2]поточний ремонт'!W32+'[1]поточний ремонт'!W32</f>
        <v>0</v>
      </c>
      <c r="X32" s="42">
        <f>'[2]поточний ремонт'!X32+'[1]поточний ремонт'!X32</f>
        <v>0</v>
      </c>
      <c r="Y32" s="42">
        <f>'[2]поточний ремонт'!Y32+'[1]поточний ремонт'!Y32</f>
        <v>0</v>
      </c>
      <c r="Z32" s="42">
        <f>'[2]поточний ремонт'!Z32+'[1]поточний ремонт'!Z32</f>
        <v>0</v>
      </c>
      <c r="AA32" s="42">
        <f>'[2]поточний ремонт'!AA32+'[1]поточний ремонт'!AA32</f>
        <v>0</v>
      </c>
      <c r="AB32" s="42">
        <f>'[2]поточний ремонт'!AB32+'[1]поточний ремонт'!AB32</f>
        <v>0</v>
      </c>
      <c r="AC32" s="42">
        <f>'[2]поточний ремонт'!AC32+'[1]поточний ремонт'!AC32</f>
        <v>0</v>
      </c>
      <c r="AD32" s="42">
        <f>'[2]поточний ремонт'!AD32+'[1]поточний ремонт'!AD32</f>
        <v>0</v>
      </c>
      <c r="AE32" s="42">
        <f>'[2]поточний ремонт'!AE32+'[1]поточний ремонт'!AE32</f>
        <v>202.39530665224703</v>
      </c>
      <c r="AF32" s="42">
        <f>'[2]поточний ремонт'!AF32+'[1]поточний ремонт'!AF32</f>
        <v>0</v>
      </c>
      <c r="AG32" s="5"/>
      <c r="AH32" s="42">
        <f>'[2]поточний ремонт'!AH32+'[1]поточний ремонт'!AH32</f>
        <v>290.07916974074033</v>
      </c>
      <c r="AI32" s="42">
        <f>'[2]поточний ремонт'!AI32+'[1]поточний ремонт'!AI32</f>
        <v>0</v>
      </c>
      <c r="AJ32" s="5"/>
      <c r="AK32" s="42">
        <f>'[2]поточний ремонт'!AK32+'[1]поточний ремонт'!AK32</f>
        <v>127.83692614423417</v>
      </c>
      <c r="AL32" s="42">
        <f>'[2]поточний ремонт'!AL32+'[1]поточний ремонт'!AL32</f>
        <v>0</v>
      </c>
      <c r="AM32" s="5"/>
      <c r="AN32" s="42">
        <f>'[2]поточний ремонт'!AN32+'[1]поточний ремонт'!AN32</f>
        <v>0</v>
      </c>
      <c r="AO32" s="42">
        <f>'[2]поточний ремонт'!AO32+'[1]поточний ремонт'!AO32</f>
        <v>0</v>
      </c>
      <c r="AP32" s="5"/>
      <c r="AQ32" s="42">
        <f>'[2]поточний ремонт'!AQ32+'[1]поточний ремонт'!AQ32</f>
        <v>0</v>
      </c>
      <c r="AR32" s="42">
        <f>'[2]поточний ремонт'!AR32+'[1]поточний ремонт'!AR32</f>
        <v>0</v>
      </c>
      <c r="AS32" s="5"/>
      <c r="AT32" s="42">
        <f>'[2]поточний ремонт'!AT32+'[1]поточний ремонт'!AT32</f>
        <v>89.673349952189952</v>
      </c>
      <c r="AU32" s="42">
        <f>'[2]поточний ремонт'!AU32+'[1]поточний ремонт'!AU32</f>
        <v>0</v>
      </c>
      <c r="AV32" s="5"/>
      <c r="AW32" s="42">
        <f>'[2]поточний ремонт'!AW32+'[1]поточний ремонт'!AW32</f>
        <v>38.805764507289481</v>
      </c>
      <c r="AX32" s="42">
        <f>'[2]поточний ремонт'!AX32+'[1]поточний ремонт'!AX32</f>
        <v>0</v>
      </c>
      <c r="AY32" s="5"/>
      <c r="AZ32" s="42">
        <f t="shared" si="2"/>
        <v>748.79051699670094</v>
      </c>
      <c r="BA32" s="42">
        <f t="shared" si="3"/>
        <v>0</v>
      </c>
      <c r="BB32" s="58">
        <f t="shared" si="4"/>
        <v>-748.79051699670094</v>
      </c>
      <c r="BD32" s="2">
        <v>2</v>
      </c>
      <c r="BF32" s="29">
        <v>0.38149837765117223</v>
      </c>
      <c r="BG32" s="318">
        <v>150000848</v>
      </c>
      <c r="BI32" s="104">
        <v>0</v>
      </c>
      <c r="BJ32" s="104">
        <f t="shared" si="5"/>
        <v>0</v>
      </c>
      <c r="BK32" s="104">
        <v>0</v>
      </c>
      <c r="BL32" s="38"/>
      <c r="BM32" s="3"/>
      <c r="BN32" s="3">
        <v>0</v>
      </c>
      <c r="BP32" s="3"/>
      <c r="BQ32" s="3"/>
      <c r="BS32" s="42"/>
      <c r="BT32" s="42">
        <v>0</v>
      </c>
      <c r="BU32" s="958"/>
      <c r="BV32" s="41"/>
      <c r="BW32" s="42"/>
      <c r="BX32" s="36"/>
      <c r="BY32" s="76"/>
      <c r="BZ32" s="42">
        <v>0</v>
      </c>
      <c r="CA32" s="959"/>
      <c r="CB32" s="41"/>
      <c r="CC32" s="41">
        <v>0</v>
      </c>
      <c r="CD32" s="960"/>
      <c r="CE32" s="76">
        <v>0</v>
      </c>
      <c r="CF32" s="55"/>
      <c r="CG32" s="41">
        <v>0</v>
      </c>
      <c r="CH32" s="38">
        <v>0</v>
      </c>
      <c r="CI32" s="76">
        <v>0</v>
      </c>
      <c r="CJ32" s="55"/>
      <c r="CK32" s="955"/>
      <c r="CL32" s="950"/>
      <c r="CM32" s="955"/>
      <c r="CN32" s="950">
        <v>0</v>
      </c>
      <c r="CO32" s="76">
        <v>18.154294714904815</v>
      </c>
      <c r="CP32" s="42">
        <v>0</v>
      </c>
      <c r="CQ32" s="5"/>
      <c r="CR32" s="76">
        <v>24.462986820579289</v>
      </c>
      <c r="CS32" s="954">
        <v>0</v>
      </c>
      <c r="CT32" s="5"/>
      <c r="CU32" s="76">
        <v>12.657121400419223</v>
      </c>
      <c r="CV32" s="42">
        <v>0</v>
      </c>
      <c r="CW32" s="5"/>
      <c r="CX32" s="76">
        <v>0</v>
      </c>
      <c r="CY32" s="42">
        <v>0</v>
      </c>
      <c r="CZ32" s="5"/>
      <c r="DA32" s="76">
        <v>0</v>
      </c>
      <c r="DB32" s="42">
        <v>0</v>
      </c>
      <c r="DC32" s="5"/>
      <c r="DD32" s="76">
        <v>4.9307126480382886</v>
      </c>
      <c r="DE32" s="42">
        <v>0</v>
      </c>
      <c r="DF32" s="5"/>
      <c r="DG32" s="76">
        <v>0</v>
      </c>
      <c r="DH32" s="42"/>
      <c r="DI32" s="5"/>
      <c r="DJ32" s="42">
        <v>60.205115583941613</v>
      </c>
      <c r="DK32" s="42">
        <f t="shared" si="6"/>
        <v>0</v>
      </c>
      <c r="DL32" s="58">
        <f t="shared" si="7"/>
        <v>-60.205115583941613</v>
      </c>
      <c r="DM32" s="2">
        <v>2</v>
      </c>
    </row>
    <row r="33" spans="1:117" ht="24.9" customHeight="1" x14ac:dyDescent="0.3">
      <c r="A33" s="318">
        <v>150000845</v>
      </c>
      <c r="B33" s="44" t="s">
        <v>1773</v>
      </c>
      <c r="C33" s="956">
        <v>1</v>
      </c>
      <c r="D33" s="957" t="s">
        <v>454</v>
      </c>
      <c r="E33" s="949">
        <f>'побудинковий звіт'!E266</f>
        <v>2749.6000000000004</v>
      </c>
      <c r="F33" s="950">
        <f>'побудинковий звіт'!AS266</f>
        <v>33715.755775910082</v>
      </c>
      <c r="G33" s="950">
        <f t="shared" si="0"/>
        <v>0</v>
      </c>
      <c r="H33" s="950">
        <f t="shared" si="1"/>
        <v>-33715.755775910082</v>
      </c>
      <c r="I33" s="42">
        <f>'[2]поточний ремонт'!I33+'[1]поточний ремонт'!I33</f>
        <v>0</v>
      </c>
      <c r="J33" s="42">
        <f>'[2]поточний ремонт'!J33+'[1]поточний ремонт'!J33</f>
        <v>0</v>
      </c>
      <c r="K33" s="958"/>
      <c r="L33" s="42">
        <f>'[2]поточний ремонт'!L33+'[1]поточний ремонт'!L33</f>
        <v>0</v>
      </c>
      <c r="M33" s="42">
        <f>'[2]поточний ремонт'!M33+'[1]поточний ремонт'!M33</f>
        <v>0</v>
      </c>
      <c r="N33" s="36"/>
      <c r="O33" s="42">
        <f>'[2]поточний ремонт'!O33+'[1]поточний ремонт'!O33</f>
        <v>0</v>
      </c>
      <c r="P33" s="42">
        <f>'[2]поточний ремонт'!P33+'[1]поточний ремонт'!P33</f>
        <v>0</v>
      </c>
      <c r="Q33" s="959"/>
      <c r="R33" s="42">
        <f>'[2]поточний ремонт'!R33+'[1]поточний ремонт'!R33</f>
        <v>0</v>
      </c>
      <c r="S33" s="42">
        <f>'[2]поточний ремонт'!S33+'[1]поточний ремонт'!S33</f>
        <v>0</v>
      </c>
      <c r="T33" s="960"/>
      <c r="U33" s="42">
        <f>'[2]поточний ремонт'!U33+'[1]поточний ремонт'!U33</f>
        <v>0</v>
      </c>
      <c r="V33" s="42">
        <f>'[2]поточний ремонт'!V33+'[1]поточний ремонт'!V33</f>
        <v>0</v>
      </c>
      <c r="W33" s="42">
        <f>'[2]поточний ремонт'!W33+'[1]поточний ремонт'!W33</f>
        <v>0</v>
      </c>
      <c r="X33" s="42">
        <f>'[2]поточний ремонт'!X33+'[1]поточний ремонт'!X33</f>
        <v>0</v>
      </c>
      <c r="Y33" s="42">
        <f>'[2]поточний ремонт'!Y33+'[1]поточний ремонт'!Y33</f>
        <v>0</v>
      </c>
      <c r="Z33" s="42">
        <f>'[2]поточний ремонт'!Z33+'[1]поточний ремонт'!Z33</f>
        <v>0</v>
      </c>
      <c r="AA33" s="42">
        <f>'[2]поточний ремонт'!AA33+'[1]поточний ремонт'!AA33</f>
        <v>0</v>
      </c>
      <c r="AB33" s="42">
        <f>'[2]поточний ремонт'!AB33+'[1]поточний ремонт'!AB33</f>
        <v>0</v>
      </c>
      <c r="AC33" s="42">
        <f>'[2]поточний ремонт'!AC33+'[1]поточний ремонт'!AC33</f>
        <v>0</v>
      </c>
      <c r="AD33" s="42">
        <f>'[2]поточний ремонт'!AD33+'[1]поточний ремонт'!AD33</f>
        <v>0</v>
      </c>
      <c r="AE33" s="42">
        <f>'[2]поточний ремонт'!AE33+'[1]поточний ремонт'!AE33</f>
        <v>0</v>
      </c>
      <c r="AF33" s="42">
        <f>'[2]поточний ремонт'!AF33+'[1]поточний ремонт'!AF33</f>
        <v>0</v>
      </c>
      <c r="AG33" s="5"/>
      <c r="AH33" s="42">
        <f>'[2]поточний ремонт'!AH33+'[1]поточний ремонт'!AH33</f>
        <v>0</v>
      </c>
      <c r="AI33" s="42">
        <f>'[2]поточний ремонт'!AI33+'[1]поточний ремонт'!AI33</f>
        <v>0</v>
      </c>
      <c r="AJ33" s="5"/>
      <c r="AK33" s="42">
        <f>'[2]поточний ремонт'!AK33+'[1]поточний ремонт'!AK33</f>
        <v>0</v>
      </c>
      <c r="AL33" s="42">
        <f>'[2]поточний ремонт'!AL33+'[1]поточний ремонт'!AL33</f>
        <v>0</v>
      </c>
      <c r="AM33" s="5"/>
      <c r="AN33" s="42">
        <f>'[2]поточний ремонт'!AN33+'[1]поточний ремонт'!AN33</f>
        <v>0</v>
      </c>
      <c r="AO33" s="42">
        <f>'[2]поточний ремонт'!AO33+'[1]поточний ремонт'!AO33</f>
        <v>0</v>
      </c>
      <c r="AP33" s="5"/>
      <c r="AQ33" s="42">
        <f>'[2]поточний ремонт'!AQ33+'[1]поточний ремонт'!AQ33</f>
        <v>0</v>
      </c>
      <c r="AR33" s="42">
        <f>'[2]поточний ремонт'!AR33+'[1]поточний ремонт'!AR33</f>
        <v>0</v>
      </c>
      <c r="AS33" s="5"/>
      <c r="AT33" s="42">
        <f>'[2]поточний ремонт'!AT33+'[1]поточний ремонт'!AT33</f>
        <v>0</v>
      </c>
      <c r="AU33" s="42">
        <f>'[2]поточний ремонт'!AU33+'[1]поточний ремонт'!AU33</f>
        <v>0</v>
      </c>
      <c r="AV33" s="5"/>
      <c r="AW33" s="42">
        <f>'[2]поточний ремонт'!AW33+'[1]поточний ремонт'!AW33</f>
        <v>0</v>
      </c>
      <c r="AX33" s="42">
        <f>'[2]поточний ремонт'!AX33+'[1]поточний ремонт'!AX33</f>
        <v>0</v>
      </c>
      <c r="AY33" s="5"/>
      <c r="AZ33" s="42">
        <f t="shared" si="2"/>
        <v>0</v>
      </c>
      <c r="BA33" s="42">
        <f t="shared" si="3"/>
        <v>0</v>
      </c>
      <c r="BB33" s="58">
        <f t="shared" si="4"/>
        <v>0</v>
      </c>
      <c r="BD33" s="2">
        <v>1</v>
      </c>
      <c r="BF33" s="29">
        <v>0</v>
      </c>
      <c r="BG33" s="318">
        <v>150000845</v>
      </c>
      <c r="BI33" s="104">
        <v>0</v>
      </c>
      <c r="BJ33" s="104">
        <f t="shared" si="5"/>
        <v>0</v>
      </c>
      <c r="BK33" s="104">
        <v>0</v>
      </c>
      <c r="BL33" s="38"/>
      <c r="BM33" s="3"/>
      <c r="BN33" s="3">
        <v>0</v>
      </c>
      <c r="BP33" s="3"/>
      <c r="BQ33" s="3"/>
      <c r="BS33" s="42"/>
      <c r="BT33" s="42">
        <v>0</v>
      </c>
      <c r="BU33" s="958"/>
      <c r="BV33" s="41"/>
      <c r="BW33" s="42"/>
      <c r="BX33" s="36"/>
      <c r="BY33" s="76"/>
      <c r="BZ33" s="42">
        <v>0</v>
      </c>
      <c r="CA33" s="959"/>
      <c r="CB33" s="41"/>
      <c r="CC33" s="41">
        <v>0</v>
      </c>
      <c r="CD33" s="960"/>
      <c r="CE33" s="76">
        <v>0</v>
      </c>
      <c r="CF33" s="55"/>
      <c r="CG33" s="41">
        <v>0</v>
      </c>
      <c r="CH33" s="38">
        <v>0</v>
      </c>
      <c r="CI33" s="76">
        <v>0</v>
      </c>
      <c r="CJ33" s="55"/>
      <c r="CK33" s="955"/>
      <c r="CL33" s="950"/>
      <c r="CM33" s="955"/>
      <c r="CN33" s="950">
        <v>0</v>
      </c>
      <c r="CO33" s="76">
        <v>0</v>
      </c>
      <c r="CP33" s="42">
        <v>0</v>
      </c>
      <c r="CQ33" s="5"/>
      <c r="CR33" s="76">
        <v>0</v>
      </c>
      <c r="CS33" s="954">
        <v>0</v>
      </c>
      <c r="CT33" s="5"/>
      <c r="CU33" s="76">
        <v>0</v>
      </c>
      <c r="CV33" s="42">
        <v>0</v>
      </c>
      <c r="CW33" s="5"/>
      <c r="CX33" s="76">
        <v>0</v>
      </c>
      <c r="CY33" s="42">
        <v>0</v>
      </c>
      <c r="CZ33" s="5"/>
      <c r="DA33" s="76">
        <v>0</v>
      </c>
      <c r="DB33" s="42">
        <v>0</v>
      </c>
      <c r="DC33" s="5"/>
      <c r="DD33" s="76">
        <v>0</v>
      </c>
      <c r="DE33" s="42">
        <v>0</v>
      </c>
      <c r="DF33" s="5"/>
      <c r="DG33" s="76">
        <v>0</v>
      </c>
      <c r="DH33" s="42"/>
      <c r="DI33" s="5"/>
      <c r="DJ33" s="42">
        <v>0</v>
      </c>
      <c r="DK33" s="42">
        <f t="shared" si="6"/>
        <v>0</v>
      </c>
      <c r="DL33" s="58">
        <f t="shared" si="7"/>
        <v>0</v>
      </c>
      <c r="DM33" s="2">
        <v>1</v>
      </c>
    </row>
    <row r="34" spans="1:117" ht="24.9" customHeight="1" x14ac:dyDescent="0.3">
      <c r="A34" s="318">
        <v>150000672</v>
      </c>
      <c r="B34" s="46" t="s">
        <v>1739</v>
      </c>
      <c r="C34" s="975">
        <v>5</v>
      </c>
      <c r="D34" s="976" t="s">
        <v>822</v>
      </c>
      <c r="E34" s="949">
        <f>'побудинковий звіт'!E215</f>
        <v>3826</v>
      </c>
      <c r="F34" s="950">
        <f>'побудинковий звіт'!AS215</f>
        <v>65946.176245823517</v>
      </c>
      <c r="G34" s="950">
        <f t="shared" si="0"/>
        <v>33215.801027832538</v>
      </c>
      <c r="H34" s="950">
        <f t="shared" si="1"/>
        <v>-32730.375217990979</v>
      </c>
      <c r="I34" s="42">
        <f>'[2]поточний ремонт'!I34+'[1]поточний ремонт'!I34</f>
        <v>0</v>
      </c>
      <c r="J34" s="42">
        <f>'[2]поточний ремонт'!J34+'[1]поточний ремонт'!J34</f>
        <v>0</v>
      </c>
      <c r="K34" s="958"/>
      <c r="L34" s="42">
        <f>'[2]поточний ремонт'!L34+'[1]поточний ремонт'!L34</f>
        <v>0</v>
      </c>
      <c r="M34" s="42">
        <f>'[2]поточний ремонт'!M34+'[1]поточний ремонт'!M34</f>
        <v>0</v>
      </c>
      <c r="N34" s="36"/>
      <c r="O34" s="42">
        <f>'[2]поточний ремонт'!O34+'[1]поточний ремонт'!O34</f>
        <v>0</v>
      </c>
      <c r="P34" s="42">
        <f>'[2]поточний ремонт'!P34+'[1]поточний ремонт'!P34</f>
        <v>0</v>
      </c>
      <c r="Q34" s="959"/>
      <c r="R34" s="42">
        <f>'[2]поточний ремонт'!R34+'[1]поточний ремонт'!R34</f>
        <v>0</v>
      </c>
      <c r="S34" s="42">
        <f>'[2]поточний ремонт'!S34+'[1]поточний ремонт'!S34</f>
        <v>0</v>
      </c>
      <c r="T34" s="960"/>
      <c r="U34" s="42">
        <f>'[2]поточний ремонт'!U34+'[1]поточний ремонт'!U34</f>
        <v>0</v>
      </c>
      <c r="V34" s="42">
        <f>'[2]поточний ремонт'!V34+'[1]поточний ремонт'!V34</f>
        <v>0</v>
      </c>
      <c r="W34" s="42">
        <f>'[2]поточний ремонт'!W34+'[1]поточний ремонт'!W34</f>
        <v>0</v>
      </c>
      <c r="X34" s="42">
        <f>'[2]поточний ремонт'!X34+'[1]поточний ремонт'!X34</f>
        <v>596.80347240384026</v>
      </c>
      <c r="Y34" s="42">
        <f>'[2]поточний ремонт'!Y34+'[1]поточний ремонт'!Y34</f>
        <v>31846.265645312033</v>
      </c>
      <c r="Z34" s="42">
        <f>'[2]поточний ремонт'!Z34+'[1]поточний ремонт'!Z34</f>
        <v>0</v>
      </c>
      <c r="AA34" s="42">
        <f>'[2]поточний ремонт'!AA34+'[1]поточний ремонт'!AA34</f>
        <v>0</v>
      </c>
      <c r="AB34" s="42">
        <f>'[2]поточний ремонт'!AB34+'[1]поточний ремонт'!AB34</f>
        <v>508.49721339591429</v>
      </c>
      <c r="AC34" s="42">
        <f>'[2]поточний ремонт'!AC34+'[1]поточний ремонт'!AC34</f>
        <v>0</v>
      </c>
      <c r="AD34" s="42">
        <f>'[2]поточний ремонт'!AD34+'[1]поточний ремонт'!AD34</f>
        <v>264.23469672074521</v>
      </c>
      <c r="AE34" s="42">
        <f>'[2]поточний ремонт'!AE34+'[1]поточний ремонт'!AE34</f>
        <v>2069.319012229219</v>
      </c>
      <c r="AF34" s="42">
        <f>'[2]поточний ремонт'!AF34+'[1]поточний ремонт'!AF34</f>
        <v>1378.7254319870619</v>
      </c>
      <c r="AG34" s="9"/>
      <c r="AH34" s="42">
        <f>'[2]поточний ремонт'!AH34+'[1]поточний ремонт'!AH34</f>
        <v>3333.6984137678473</v>
      </c>
      <c r="AI34" s="42">
        <f>'[2]поточний ремонт'!AI34+'[1]поточний ремонт'!AI34</f>
        <v>0</v>
      </c>
      <c r="AJ34" s="5"/>
      <c r="AK34" s="42">
        <f>'[2]поточний ремонт'!AK34+'[1]поточний ремонт'!AK34</f>
        <v>2315.0221399466991</v>
      </c>
      <c r="AL34" s="42">
        <f>'[2]поточний ремонт'!AL34+'[1]поточний ремонт'!AL34</f>
        <v>367.97798214586402</v>
      </c>
      <c r="AM34" s="5"/>
      <c r="AN34" s="42">
        <f>'[2]поточний ремонт'!AN34+'[1]поточний ремонт'!AN34</f>
        <v>0</v>
      </c>
      <c r="AO34" s="42">
        <f>'[2]поточний ремонт'!AO34+'[1]поточний ремонт'!AO34</f>
        <v>0</v>
      </c>
      <c r="AP34" s="5"/>
      <c r="AQ34" s="42">
        <f>'[2]поточний ремонт'!AQ34+'[1]поточний ремонт'!AQ34</f>
        <v>137.84135996429129</v>
      </c>
      <c r="AR34" s="42">
        <f>'[2]поточний ремонт'!AR34+'[1]поточний ремонт'!AR34</f>
        <v>2126.4971065112836</v>
      </c>
      <c r="AS34" s="5"/>
      <c r="AT34" s="42">
        <f>'[2]поточний ремонт'!AT34+'[1]поточний ремонт'!AT34</f>
        <v>1378.8447964717075</v>
      </c>
      <c r="AU34" s="42">
        <f>'[2]поточний ремонт'!AU34+'[1]поточний ремонт'!AU34</f>
        <v>400.47451438863499</v>
      </c>
      <c r="AV34" s="5"/>
      <c r="AW34" s="42">
        <f>'[2]поточний ремонт'!AW34+'[1]поточний ремонт'!AW34</f>
        <v>1233.7561277661982</v>
      </c>
      <c r="AX34" s="42">
        <f>'[2]поточний ремонт'!AX34+'[1]поточний ремонт'!AX34</f>
        <v>3582.6837588106009</v>
      </c>
      <c r="AY34" s="5"/>
      <c r="AZ34" s="42">
        <f t="shared" si="2"/>
        <v>10468.481850145963</v>
      </c>
      <c r="BA34" s="42">
        <f t="shared" si="3"/>
        <v>7856.3587938434457</v>
      </c>
      <c r="BB34" s="58">
        <f t="shared" si="4"/>
        <v>-2612.1230563025174</v>
      </c>
      <c r="BD34" s="2">
        <v>2</v>
      </c>
      <c r="BF34" s="29">
        <v>4.6945332520918761</v>
      </c>
      <c r="BG34" s="318">
        <v>150000672</v>
      </c>
      <c r="BI34" s="104">
        <v>43.75</v>
      </c>
      <c r="BJ34" s="104">
        <f t="shared" si="5"/>
        <v>6.1539712499999997</v>
      </c>
      <c r="BK34" s="104">
        <v>50.456253574999998</v>
      </c>
      <c r="BL34" s="38"/>
      <c r="BM34" s="3"/>
      <c r="BN34" s="3">
        <v>0</v>
      </c>
      <c r="BP34" s="3"/>
      <c r="BQ34" s="3"/>
      <c r="BS34" s="42"/>
      <c r="BT34" s="42">
        <v>0</v>
      </c>
      <c r="BU34" s="958"/>
      <c r="BV34" s="41"/>
      <c r="BW34" s="42"/>
      <c r="BX34" s="36"/>
      <c r="BY34" s="76"/>
      <c r="BZ34" s="42">
        <v>0</v>
      </c>
      <c r="CA34" s="959"/>
      <c r="CB34" s="41"/>
      <c r="CC34" s="41">
        <v>0</v>
      </c>
      <c r="CD34" s="960"/>
      <c r="CE34" s="76">
        <v>0</v>
      </c>
      <c r="CF34" s="55"/>
      <c r="CG34" s="41">
        <v>0</v>
      </c>
      <c r="CH34" s="38">
        <v>50.456253574999998</v>
      </c>
      <c r="CI34" s="76">
        <v>0</v>
      </c>
      <c r="CJ34" s="55"/>
      <c r="CK34" s="955"/>
      <c r="CL34" s="950"/>
      <c r="CM34" s="955"/>
      <c r="CN34" s="950">
        <v>0</v>
      </c>
      <c r="CO34" s="76">
        <v>169.1759163626312</v>
      </c>
      <c r="CP34" s="42">
        <v>0</v>
      </c>
      <c r="CQ34" s="9"/>
      <c r="CR34" s="76">
        <v>276.84761169373553</v>
      </c>
      <c r="CS34" s="954">
        <v>0</v>
      </c>
      <c r="CT34" s="5"/>
      <c r="CU34" s="76">
        <v>197.91835367724582</v>
      </c>
      <c r="CV34" s="42">
        <v>0</v>
      </c>
      <c r="CW34" s="5"/>
      <c r="CX34" s="76">
        <v>0</v>
      </c>
      <c r="CY34" s="42">
        <v>0</v>
      </c>
      <c r="CZ34" s="5"/>
      <c r="DA34" s="76">
        <v>0</v>
      </c>
      <c r="DB34" s="42">
        <v>0</v>
      </c>
      <c r="DC34" s="5"/>
      <c r="DD34" s="76">
        <v>87.209301208072532</v>
      </c>
      <c r="DE34" s="42">
        <v>0</v>
      </c>
      <c r="DF34" s="5"/>
      <c r="DG34" s="76">
        <v>100.44294613611928</v>
      </c>
      <c r="DH34" s="42"/>
      <c r="DI34" s="5"/>
      <c r="DJ34" s="42">
        <v>831.59412907780427</v>
      </c>
      <c r="DK34" s="42">
        <f t="shared" si="6"/>
        <v>0</v>
      </c>
      <c r="DL34" s="58">
        <f t="shared" si="7"/>
        <v>-831.59412907780427</v>
      </c>
      <c r="DM34" s="2">
        <v>2</v>
      </c>
    </row>
    <row r="35" spans="1:117" ht="24.9" customHeight="1" x14ac:dyDescent="0.3">
      <c r="A35" s="318">
        <v>150000673</v>
      </c>
      <c r="B35" s="44" t="s">
        <v>1741</v>
      </c>
      <c r="C35" s="956">
        <v>2</v>
      </c>
      <c r="D35" s="957" t="s">
        <v>454</v>
      </c>
      <c r="E35" s="949">
        <f>'побудинковий звіт'!E216</f>
        <v>15465.15</v>
      </c>
      <c r="F35" s="950">
        <f>'побудинковий звіт'!AS216</f>
        <v>234597.49862874122</v>
      </c>
      <c r="G35" s="950">
        <f t="shared" si="0"/>
        <v>7268</v>
      </c>
      <c r="H35" s="950">
        <f t="shared" si="1"/>
        <v>-227329.49862874122</v>
      </c>
      <c r="I35" s="42">
        <f>'[2]поточний ремонт'!I35+'[1]поточний ремонт'!I35</f>
        <v>0</v>
      </c>
      <c r="J35" s="42">
        <f>'[2]поточний ремонт'!J35+'[1]поточний ремонт'!J35</f>
        <v>0</v>
      </c>
      <c r="K35" s="962"/>
      <c r="L35" s="42">
        <f>'[2]поточний ремонт'!L35+'[1]поточний ремонт'!L35</f>
        <v>0</v>
      </c>
      <c r="M35" s="42">
        <f>'[2]поточний ремонт'!M35+'[1]поточний ремонт'!M35</f>
        <v>0</v>
      </c>
      <c r="N35" s="36"/>
      <c r="O35" s="42">
        <f>'[2]поточний ремонт'!O35+'[1]поточний ремонт'!O35</f>
        <v>0</v>
      </c>
      <c r="P35" s="42">
        <f>'[2]поточний ремонт'!P35+'[1]поточний ремонт'!P35</f>
        <v>0</v>
      </c>
      <c r="Q35" s="959"/>
      <c r="R35" s="42">
        <f>'[2]поточний ремонт'!R35+'[1]поточний ремонт'!R35</f>
        <v>0</v>
      </c>
      <c r="S35" s="42">
        <f>'[2]поточний ремонт'!S35+'[1]поточний ремонт'!S35</f>
        <v>0</v>
      </c>
      <c r="T35" s="960"/>
      <c r="U35" s="42">
        <f>'[2]поточний ремонт'!U35+'[1]поточний ремонт'!U35</f>
        <v>0</v>
      </c>
      <c r="V35" s="42">
        <f>'[2]поточний ремонт'!V35+'[1]поточний ремонт'!V35</f>
        <v>0</v>
      </c>
      <c r="W35" s="42">
        <f>'[2]поточний ремонт'!W35+'[1]поточний ремонт'!W35</f>
        <v>0</v>
      </c>
      <c r="X35" s="42">
        <f>'[2]поточний ремонт'!X35+'[1]поточний ремонт'!X35</f>
        <v>0</v>
      </c>
      <c r="Y35" s="42">
        <f>'[2]поточний ремонт'!Y35+'[1]поточний ремонт'!Y35</f>
        <v>7268</v>
      </c>
      <c r="Z35" s="42">
        <f>'[2]поточний ремонт'!Z35+'[1]поточний ремонт'!Z35</f>
        <v>0</v>
      </c>
      <c r="AA35" s="42">
        <f>'[2]поточний ремонт'!AA35+'[1]поточний ремонт'!AA35</f>
        <v>0</v>
      </c>
      <c r="AB35" s="42">
        <f>'[2]поточний ремонт'!AB35+'[1]поточний ремонт'!AB35</f>
        <v>0</v>
      </c>
      <c r="AC35" s="42">
        <f>'[2]поточний ремонт'!AC35+'[1]поточний ремонт'!AC35</f>
        <v>0</v>
      </c>
      <c r="AD35" s="42">
        <f>'[2]поточний ремонт'!AD35+'[1]поточний ремонт'!AD35</f>
        <v>0</v>
      </c>
      <c r="AE35" s="42">
        <f>'[2]поточний ремонт'!AE35+'[1]поточний ремонт'!AE35</f>
        <v>631.07467332826536</v>
      </c>
      <c r="AF35" s="42">
        <f>'[2]поточний ремонт'!AF35+'[1]поточний ремонт'!AF35</f>
        <v>0</v>
      </c>
      <c r="AG35" s="5"/>
      <c r="AH35" s="42">
        <f>'[2]поточний ремонт'!AH35+'[1]поточний ремонт'!AH35</f>
        <v>783.04557228669978</v>
      </c>
      <c r="AI35" s="42">
        <f>'[2]поточний ремонт'!AI35+'[1]поточний ремонт'!AI35</f>
        <v>0</v>
      </c>
      <c r="AJ35" s="5"/>
      <c r="AK35" s="42">
        <f>'[2]поточний ремонт'!AK35+'[1]поточний ремонт'!AK35</f>
        <v>420.77371777150404</v>
      </c>
      <c r="AL35" s="42">
        <f>'[2]поточний ремонт'!AL35+'[1]поточний ремонт'!AL35</f>
        <v>0</v>
      </c>
      <c r="AM35" s="5"/>
      <c r="AN35" s="42">
        <f>'[2]поточний ремонт'!AN35+'[1]поточний ремонт'!AN35</f>
        <v>0</v>
      </c>
      <c r="AO35" s="42">
        <f>'[2]поточний ремонт'!AO35+'[1]поточний ремонт'!AO35</f>
        <v>0</v>
      </c>
      <c r="AP35" s="5"/>
      <c r="AQ35" s="42">
        <f>'[2]поточний ремонт'!AQ35+'[1]поточний ремонт'!AQ35</f>
        <v>0</v>
      </c>
      <c r="AR35" s="42">
        <f>'[2]поточний ремонт'!AR35+'[1]поточний ремонт'!AR35</f>
        <v>0</v>
      </c>
      <c r="AS35" s="5"/>
      <c r="AT35" s="42">
        <f>'[2]поточний ремонт'!AT35+'[1]поточний ремонт'!AT35</f>
        <v>226.12759305021785</v>
      </c>
      <c r="AU35" s="42">
        <f>'[2]поточний ремонт'!AU35+'[1]поточний ремонт'!AU35</f>
        <v>0</v>
      </c>
      <c r="AV35" s="5"/>
      <c r="AW35" s="42">
        <f>'[2]поточний ремонт'!AW35+'[1]поточний ремонт'!AW35</f>
        <v>31.214014296485885</v>
      </c>
      <c r="AX35" s="42">
        <f>'[2]поточний ремонт'!AX35+'[1]поточний ремонт'!AX35</f>
        <v>0</v>
      </c>
      <c r="AY35" s="5"/>
      <c r="AZ35" s="42">
        <f t="shared" si="2"/>
        <v>2092.2355707331731</v>
      </c>
      <c r="BA35" s="42">
        <f t="shared" si="3"/>
        <v>0</v>
      </c>
      <c r="BB35" s="58">
        <f t="shared" si="4"/>
        <v>-2092.2355707331731</v>
      </c>
      <c r="BD35" s="2">
        <v>2</v>
      </c>
      <c r="BF35" s="29">
        <v>0.88115609202508505</v>
      </c>
      <c r="BG35" s="318">
        <v>150000673</v>
      </c>
      <c r="BI35" s="104">
        <v>0</v>
      </c>
      <c r="BJ35" s="104">
        <f t="shared" si="5"/>
        <v>0</v>
      </c>
      <c r="BK35" s="104">
        <v>0</v>
      </c>
      <c r="BL35" s="38"/>
      <c r="BM35" s="3"/>
      <c r="BN35" s="3">
        <v>0</v>
      </c>
      <c r="BP35" s="3"/>
      <c r="BQ35" s="3"/>
      <c r="BS35" s="42"/>
      <c r="BT35" s="42">
        <v>0</v>
      </c>
      <c r="BU35" s="962"/>
      <c r="BV35" s="41"/>
      <c r="BW35" s="42"/>
      <c r="BX35" s="36"/>
      <c r="BY35" s="76"/>
      <c r="BZ35" s="42">
        <v>0</v>
      </c>
      <c r="CA35" s="959"/>
      <c r="CB35" s="41"/>
      <c r="CC35" s="41">
        <v>0</v>
      </c>
      <c r="CD35" s="960"/>
      <c r="CE35" s="76">
        <v>0</v>
      </c>
      <c r="CF35" s="55"/>
      <c r="CG35" s="41">
        <v>0</v>
      </c>
      <c r="CH35" s="38">
        <v>0</v>
      </c>
      <c r="CI35" s="76">
        <v>0</v>
      </c>
      <c r="CJ35" s="55"/>
      <c r="CK35" s="955"/>
      <c r="CL35" s="950"/>
      <c r="CM35" s="955"/>
      <c r="CN35" s="950">
        <v>0</v>
      </c>
      <c r="CO35" s="76">
        <v>53.212012788557537</v>
      </c>
      <c r="CP35" s="42">
        <v>0</v>
      </c>
      <c r="CQ35" s="5"/>
      <c r="CR35" s="76">
        <v>66.2462984877765</v>
      </c>
      <c r="CS35" s="954">
        <v>0</v>
      </c>
      <c r="CT35" s="5"/>
      <c r="CU35" s="76">
        <v>33.281590902092354</v>
      </c>
      <c r="CV35" s="42">
        <v>0</v>
      </c>
      <c r="CW35" s="5"/>
      <c r="CX35" s="76">
        <v>0</v>
      </c>
      <c r="CY35" s="42">
        <v>0</v>
      </c>
      <c r="CZ35" s="5"/>
      <c r="DA35" s="76">
        <v>0</v>
      </c>
      <c r="DB35" s="42">
        <v>0</v>
      </c>
      <c r="DC35" s="5"/>
      <c r="DD35" s="76">
        <v>9.885650556902343</v>
      </c>
      <c r="DE35" s="42">
        <v>0</v>
      </c>
      <c r="DF35" s="5"/>
      <c r="DG35" s="76">
        <v>0</v>
      </c>
      <c r="DH35" s="42"/>
      <c r="DI35" s="5"/>
      <c r="DJ35" s="42">
        <v>162.62555273532871</v>
      </c>
      <c r="DK35" s="42">
        <f t="shared" si="6"/>
        <v>0</v>
      </c>
      <c r="DL35" s="58">
        <f t="shared" si="7"/>
        <v>-162.62555273532871</v>
      </c>
      <c r="DM35" s="2">
        <v>2</v>
      </c>
    </row>
    <row r="36" spans="1:117" ht="24.9" customHeight="1" x14ac:dyDescent="0.3">
      <c r="A36" s="318">
        <v>150000676</v>
      </c>
      <c r="B36" s="44" t="s">
        <v>1743</v>
      </c>
      <c r="C36" s="956">
        <v>9</v>
      </c>
      <c r="D36" s="957" t="s">
        <v>454</v>
      </c>
      <c r="E36" s="949">
        <f>'побудинковий звіт'!E217</f>
        <v>479.4</v>
      </c>
      <c r="F36" s="950">
        <f>'побудинковий звіт'!AS217</f>
        <v>7308.5754507342754</v>
      </c>
      <c r="G36" s="950">
        <f t="shared" si="0"/>
        <v>9177.8468265443153</v>
      </c>
      <c r="H36" s="950">
        <f t="shared" si="1"/>
        <v>1869.2713758100399</v>
      </c>
      <c r="I36" s="42">
        <f>'[2]поточний ремонт'!I36+'[1]поточний ремонт'!I36</f>
        <v>28</v>
      </c>
      <c r="J36" s="42">
        <f>'[2]поточний ремонт'!J36+'[1]поточний ремонт'!J36</f>
        <v>6909.0500852971436</v>
      </c>
      <c r="K36" s="958"/>
      <c r="L36" s="42">
        <f>'[2]поточний ремонт'!L36+'[1]поточний ремонт'!L36</f>
        <v>0</v>
      </c>
      <c r="M36" s="42">
        <f>'[2]поточний ремонт'!M36+'[1]поточний ремонт'!M36</f>
        <v>0</v>
      </c>
      <c r="N36" s="36"/>
      <c r="O36" s="42">
        <f>'[2]поточний ремонт'!O36+'[1]поточний ремонт'!O36</f>
        <v>0</v>
      </c>
      <c r="P36" s="42">
        <f>'[2]поточний ремонт'!P36+'[1]поточний ремонт'!P36</f>
        <v>0</v>
      </c>
      <c r="Q36" s="959"/>
      <c r="R36" s="42">
        <f>'[2]поточний ремонт'!R36+'[1]поточний ремонт'!R36</f>
        <v>1</v>
      </c>
      <c r="S36" s="42">
        <f>'[2]поточний ремонт'!S36+'[1]поточний ремонт'!S36</f>
        <v>655</v>
      </c>
      <c r="T36" s="967"/>
      <c r="U36" s="42">
        <f>'[2]поточний ремонт'!U36+'[1]поточний ремонт'!U36</f>
        <v>0</v>
      </c>
      <c r="V36" s="42">
        <f>'[2]поточний ремонт'!V36+'[1]поточний ремонт'!V36</f>
        <v>0</v>
      </c>
      <c r="W36" s="42">
        <f>'[2]поточний ремонт'!W36+'[1]поточний ремонт'!W36</f>
        <v>0</v>
      </c>
      <c r="X36" s="42">
        <f>'[2]поточний ремонт'!X36+'[1]поточний ремонт'!X36</f>
        <v>0</v>
      </c>
      <c r="Y36" s="42">
        <f>'[2]поточний ремонт'!Y36+'[1]поточний ремонт'!Y36</f>
        <v>0</v>
      </c>
      <c r="Z36" s="42">
        <f>'[2]поточний ремонт'!Z36+'[1]поточний ремонт'!Z36</f>
        <v>0</v>
      </c>
      <c r="AA36" s="42">
        <f>'[2]поточний ремонт'!AA36+'[1]поточний ремонт'!AA36</f>
        <v>0</v>
      </c>
      <c r="AB36" s="42">
        <f>'[2]поточний ремонт'!AB36+'[1]поточний ремонт'!AB36</f>
        <v>0</v>
      </c>
      <c r="AC36" s="42">
        <f>'[2]поточний ремонт'!AC36+'[1]поточний ремонт'!AC36</f>
        <v>0</v>
      </c>
      <c r="AD36" s="42">
        <f>'[2]поточний ремонт'!AD36+'[1]поточний ремонт'!AD36</f>
        <v>1613.7967412471708</v>
      </c>
      <c r="AE36" s="42">
        <f>'[2]поточний ремонт'!AE36+'[1]поточний ремонт'!AE36</f>
        <v>1276.0440065627558</v>
      </c>
      <c r="AF36" s="42">
        <f>'[2]поточний ремонт'!AF36+'[1]поточний ремонт'!AF36</f>
        <v>0</v>
      </c>
      <c r="AG36" s="965"/>
      <c r="AH36" s="42">
        <f>'[2]поточний ремонт'!AH36+'[1]поточний ремонт'!AH36</f>
        <v>1571.1346521612295</v>
      </c>
      <c r="AI36" s="42">
        <f>'[2]поточний ремонт'!AI36+'[1]поточний ремонт'!AI36</f>
        <v>0</v>
      </c>
      <c r="AJ36" s="5"/>
      <c r="AK36" s="42">
        <f>'[2]поточний ремонт'!AK36+'[1]поточний ремонт'!AK36</f>
        <v>1644.8668496314669</v>
      </c>
      <c r="AL36" s="42">
        <f>'[2]поточний ремонт'!AL36+'[1]поточний ремонт'!AL36</f>
        <v>0</v>
      </c>
      <c r="AM36" s="5"/>
      <c r="AN36" s="42">
        <f>'[2]поточний ремонт'!AN36+'[1]поточний ремонт'!AN36</f>
        <v>830.8552309818175</v>
      </c>
      <c r="AO36" s="42">
        <f>'[2]поточний ремонт'!AO36+'[1]поточний ремонт'!AO36</f>
        <v>0</v>
      </c>
      <c r="AP36" s="5"/>
      <c r="AQ36" s="42">
        <f>'[2]поточний ремонт'!AQ36+'[1]поточний ремонт'!AQ36</f>
        <v>413.971169521734</v>
      </c>
      <c r="AR36" s="42">
        <f>'[2]поточний ремонт'!AR36+'[1]поточний ремонт'!AR36</f>
        <v>0</v>
      </c>
      <c r="AS36" s="5"/>
      <c r="AT36" s="42">
        <f>'[2]поточний ремонт'!AT36+'[1]поточний ремонт'!AT36</f>
        <v>1031.5186628104179</v>
      </c>
      <c r="AU36" s="42">
        <f>'[2]поточний ремонт'!AU36+'[1]поточний ремонт'!AU36</f>
        <v>0</v>
      </c>
      <c r="AV36" s="5"/>
      <c r="AW36" s="42">
        <f>'[2]поточний ремонт'!AW36+'[1]поточний ремонт'!AW36</f>
        <v>53.487331030661736</v>
      </c>
      <c r="AX36" s="42">
        <f>'[2]поточний ремонт'!AX36+'[1]поточний ремонт'!AX36</f>
        <v>5709.2126109029996</v>
      </c>
      <c r="AY36" s="5"/>
      <c r="AZ36" s="42">
        <f t="shared" si="2"/>
        <v>6821.8779027000846</v>
      </c>
      <c r="BA36" s="42">
        <f t="shared" si="3"/>
        <v>5709.2126109029996</v>
      </c>
      <c r="BB36" s="58">
        <f t="shared" si="4"/>
        <v>-1112.665291797085</v>
      </c>
      <c r="BD36" s="2">
        <v>2</v>
      </c>
      <c r="BF36" s="29">
        <v>6.1318707461443971</v>
      </c>
      <c r="BG36" s="318">
        <v>150000676</v>
      </c>
      <c r="BI36" s="104">
        <v>0</v>
      </c>
      <c r="BJ36" s="104">
        <f t="shared" si="5"/>
        <v>0</v>
      </c>
      <c r="BK36" s="104">
        <v>0</v>
      </c>
      <c r="BL36" s="38"/>
      <c r="BM36" s="3"/>
      <c r="BN36" s="3">
        <v>0</v>
      </c>
      <c r="BP36" s="3"/>
      <c r="BQ36" s="3"/>
      <c r="BS36" s="42"/>
      <c r="BT36" s="42">
        <v>0</v>
      </c>
      <c r="BU36" s="958"/>
      <c r="BV36" s="41"/>
      <c r="BW36" s="42"/>
      <c r="BX36" s="36"/>
      <c r="BY36" s="76"/>
      <c r="BZ36" s="42">
        <v>0</v>
      </c>
      <c r="CA36" s="959"/>
      <c r="CB36" s="41"/>
      <c r="CC36" s="41">
        <v>0</v>
      </c>
      <c r="CD36" s="967"/>
      <c r="CE36" s="76">
        <v>0</v>
      </c>
      <c r="CF36" s="55"/>
      <c r="CG36" s="41">
        <v>0</v>
      </c>
      <c r="CH36" s="38">
        <v>0</v>
      </c>
      <c r="CI36" s="76">
        <v>0</v>
      </c>
      <c r="CJ36" s="55"/>
      <c r="CK36" s="955"/>
      <c r="CL36" s="950"/>
      <c r="CM36" s="955"/>
      <c r="CN36" s="950">
        <v>0</v>
      </c>
      <c r="CO36" s="76">
        <v>102.88656407545174</v>
      </c>
      <c r="CP36" s="42">
        <v>0</v>
      </c>
      <c r="CQ36" s="965"/>
      <c r="CR36" s="76">
        <v>131.33785728165827</v>
      </c>
      <c r="CS36" s="954">
        <v>0</v>
      </c>
      <c r="CT36" s="5"/>
      <c r="CU36" s="76">
        <v>132.42759472639216</v>
      </c>
      <c r="CV36" s="42">
        <v>0</v>
      </c>
      <c r="CW36" s="5"/>
      <c r="CX36" s="76">
        <v>72.861456563370382</v>
      </c>
      <c r="CY36" s="42">
        <v>0</v>
      </c>
      <c r="CZ36" s="5"/>
      <c r="DA36" s="76">
        <v>32.980617657691397</v>
      </c>
      <c r="DB36" s="42">
        <v>0</v>
      </c>
      <c r="DC36" s="5"/>
      <c r="DD36" s="76">
        <v>85.733479971199358</v>
      </c>
      <c r="DE36" s="42">
        <v>0</v>
      </c>
      <c r="DF36" s="5"/>
      <c r="DG36" s="76">
        <v>0</v>
      </c>
      <c r="DH36" s="42"/>
      <c r="DI36" s="5"/>
      <c r="DJ36" s="42">
        <v>558.22757027576336</v>
      </c>
      <c r="DK36" s="42">
        <f t="shared" si="6"/>
        <v>0</v>
      </c>
      <c r="DL36" s="58">
        <f t="shared" si="7"/>
        <v>-558.22757027576336</v>
      </c>
      <c r="DM36" s="2">
        <v>2</v>
      </c>
    </row>
    <row r="37" spans="1:117" ht="24.9" customHeight="1" x14ac:dyDescent="0.3">
      <c r="A37" s="318">
        <v>150000671</v>
      </c>
      <c r="B37" s="44" t="s">
        <v>1745</v>
      </c>
      <c r="C37" s="956">
        <v>1</v>
      </c>
      <c r="D37" s="957" t="s">
        <v>454</v>
      </c>
      <c r="E37" s="949">
        <f>'побудинковий звіт'!E218</f>
        <v>5144.8999999999996</v>
      </c>
      <c r="F37" s="950">
        <f>'побудинковий звіт'!AS218</f>
        <v>92823.170743726936</v>
      </c>
      <c r="G37" s="950">
        <f t="shared" si="0"/>
        <v>9554.8719355906323</v>
      </c>
      <c r="H37" s="950">
        <f t="shared" si="1"/>
        <v>-83268.2988081363</v>
      </c>
      <c r="I37" s="42">
        <f>'[2]поточний ремонт'!I37+'[1]поточний ремонт'!I37</f>
        <v>16.920000000000002</v>
      </c>
      <c r="J37" s="42">
        <f>'[2]поточний ремонт'!J37+'[1]поточний ремонт'!J37</f>
        <v>8881.427907137253</v>
      </c>
      <c r="K37" s="958"/>
      <c r="L37" s="42">
        <f>'[2]поточний ремонт'!L37+'[1]поточний ремонт'!L37</f>
        <v>0</v>
      </c>
      <c r="M37" s="42">
        <f>'[2]поточний ремонт'!M37+'[1]поточний ремонт'!M37</f>
        <v>0</v>
      </c>
      <c r="N37" s="36"/>
      <c r="O37" s="42">
        <f>'[2]поточний ремонт'!O37+'[1]поточний ремонт'!O37</f>
        <v>0</v>
      </c>
      <c r="P37" s="42">
        <f>'[2]поточний ремонт'!P37+'[1]поточний ремонт'!P37</f>
        <v>0</v>
      </c>
      <c r="Q37" s="959"/>
      <c r="R37" s="42">
        <f>'[2]поточний ремонт'!R37+'[1]поточний ремонт'!R37</f>
        <v>0</v>
      </c>
      <c r="S37" s="42">
        <f>'[2]поточний ремонт'!S37+'[1]поточний ремонт'!S37</f>
        <v>0</v>
      </c>
      <c r="T37" s="960"/>
      <c r="U37" s="42">
        <f>'[2]поточний ремонт'!U37+'[1]поточний ремонт'!U37</f>
        <v>0</v>
      </c>
      <c r="V37" s="42">
        <f>'[2]поточний ремонт'!V37+'[1]поточний ремонт'!V37</f>
        <v>0</v>
      </c>
      <c r="W37" s="42">
        <f>'[2]поточний ремонт'!W37+'[1]поточний ремонт'!W37</f>
        <v>0</v>
      </c>
      <c r="X37" s="42">
        <f>'[2]поточний ремонт'!X37+'[1]поточний ремонт'!X37</f>
        <v>0</v>
      </c>
      <c r="Y37" s="42">
        <f>'[2]поточний ремонт'!Y37+'[1]поточний ремонт'!Y37</f>
        <v>0</v>
      </c>
      <c r="Z37" s="42">
        <f>'[2]поточний ремонт'!Z37+'[1]поточний ремонт'!Z37</f>
        <v>0</v>
      </c>
      <c r="AA37" s="42">
        <f>'[2]поточний ремонт'!AA37+'[1]поточний ремонт'!AA37</f>
        <v>0</v>
      </c>
      <c r="AB37" s="42">
        <f>'[2]поточний ремонт'!AB37+'[1]поточний ремонт'!AB37</f>
        <v>0</v>
      </c>
      <c r="AC37" s="42">
        <f>'[2]поточний ремонт'!AC37+'[1]поточний ремонт'!AC37</f>
        <v>0</v>
      </c>
      <c r="AD37" s="42">
        <f>'[2]поточний ремонт'!AD37+'[1]поточний ремонт'!AD37</f>
        <v>673.44402845337891</v>
      </c>
      <c r="AE37" s="42">
        <f>'[2]поточний ремонт'!AE37+'[1]поточний ремонт'!AE37</f>
        <v>0</v>
      </c>
      <c r="AF37" s="42">
        <f>'[2]поточний ремонт'!AF37+'[1]поточний ремонт'!AF37</f>
        <v>0</v>
      </c>
      <c r="AG37" s="5"/>
      <c r="AH37" s="42">
        <f>'[2]поточний ремонт'!AH37+'[1]поточний ремонт'!AH37</f>
        <v>0</v>
      </c>
      <c r="AI37" s="42">
        <f>'[2]поточний ремонт'!AI37+'[1]поточний ремонт'!AI37</f>
        <v>0</v>
      </c>
      <c r="AJ37" s="5"/>
      <c r="AK37" s="42">
        <f>'[2]поточний ремонт'!AK37+'[1]поточний ремонт'!AK37</f>
        <v>0</v>
      </c>
      <c r="AL37" s="42">
        <f>'[2]поточний ремонт'!AL37+'[1]поточний ремонт'!AL37</f>
        <v>0</v>
      </c>
      <c r="AM37" s="5"/>
      <c r="AN37" s="42">
        <f>'[2]поточний ремонт'!AN37+'[1]поточний ремонт'!AN37</f>
        <v>0</v>
      </c>
      <c r="AO37" s="42">
        <f>'[2]поточний ремонт'!AO37+'[1]поточний ремонт'!AO37</f>
        <v>0</v>
      </c>
      <c r="AP37" s="5"/>
      <c r="AQ37" s="42">
        <f>'[2]поточний ремонт'!AQ37+'[1]поточний ремонт'!AQ37</f>
        <v>0</v>
      </c>
      <c r="AR37" s="42">
        <f>'[2]поточний ремонт'!AR37+'[1]поточний ремонт'!AR37</f>
        <v>0</v>
      </c>
      <c r="AS37" s="5"/>
      <c r="AT37" s="42">
        <f>'[2]поточний ремонт'!AT37+'[1]поточний ремонт'!AT37</f>
        <v>0</v>
      </c>
      <c r="AU37" s="42">
        <f>'[2]поточний ремонт'!AU37+'[1]поточний ремонт'!AU37</f>
        <v>0</v>
      </c>
      <c r="AV37" s="5"/>
      <c r="AW37" s="42">
        <f>'[2]поточний ремонт'!AW37+'[1]поточний ремонт'!AW37</f>
        <v>0</v>
      </c>
      <c r="AX37" s="42">
        <f>'[2]поточний ремонт'!AX37+'[1]поточний ремонт'!AX37</f>
        <v>0</v>
      </c>
      <c r="AY37" s="5"/>
      <c r="AZ37" s="42">
        <f t="shared" si="2"/>
        <v>0</v>
      </c>
      <c r="BA37" s="42">
        <f t="shared" si="3"/>
        <v>0</v>
      </c>
      <c r="BB37" s="58">
        <f t="shared" si="4"/>
        <v>0</v>
      </c>
      <c r="BD37" s="2">
        <v>2</v>
      </c>
      <c r="BF37" s="29">
        <v>0</v>
      </c>
      <c r="BG37" s="318">
        <v>150000671</v>
      </c>
      <c r="BI37" s="104">
        <v>0</v>
      </c>
      <c r="BJ37" s="104">
        <f t="shared" si="5"/>
        <v>0</v>
      </c>
      <c r="BK37" s="104">
        <v>0</v>
      </c>
      <c r="BL37" s="38"/>
      <c r="BM37" s="3"/>
      <c r="BN37" s="3">
        <v>0</v>
      </c>
      <c r="BP37" s="3"/>
      <c r="BQ37" s="3"/>
      <c r="BS37" s="42"/>
      <c r="BT37" s="42">
        <v>0</v>
      </c>
      <c r="BU37" s="958"/>
      <c r="BV37" s="41"/>
      <c r="BW37" s="42"/>
      <c r="BX37" s="36"/>
      <c r="BY37" s="76"/>
      <c r="BZ37" s="42">
        <v>0</v>
      </c>
      <c r="CA37" s="959"/>
      <c r="CB37" s="41"/>
      <c r="CC37" s="41">
        <v>0</v>
      </c>
      <c r="CD37" s="960"/>
      <c r="CE37" s="76">
        <v>0</v>
      </c>
      <c r="CF37" s="55"/>
      <c r="CG37" s="41">
        <v>0</v>
      </c>
      <c r="CH37" s="38">
        <v>0</v>
      </c>
      <c r="CI37" s="76">
        <v>0</v>
      </c>
      <c r="CJ37" s="55"/>
      <c r="CK37" s="955"/>
      <c r="CL37" s="950"/>
      <c r="CM37" s="955"/>
      <c r="CN37" s="950">
        <v>0</v>
      </c>
      <c r="CO37" s="76">
        <v>0</v>
      </c>
      <c r="CP37" s="42">
        <v>0</v>
      </c>
      <c r="CQ37" s="5"/>
      <c r="CR37" s="76">
        <v>0</v>
      </c>
      <c r="CS37" s="954">
        <v>0</v>
      </c>
      <c r="CT37" s="5"/>
      <c r="CU37" s="76">
        <v>0</v>
      </c>
      <c r="CV37" s="42">
        <v>0</v>
      </c>
      <c r="CW37" s="5"/>
      <c r="CX37" s="76">
        <v>0</v>
      </c>
      <c r="CY37" s="42">
        <v>0</v>
      </c>
      <c r="CZ37" s="5"/>
      <c r="DA37" s="76">
        <v>0</v>
      </c>
      <c r="DB37" s="42">
        <v>0</v>
      </c>
      <c r="DC37" s="5"/>
      <c r="DD37" s="76">
        <v>0</v>
      </c>
      <c r="DE37" s="42">
        <v>0</v>
      </c>
      <c r="DF37" s="5"/>
      <c r="DG37" s="76">
        <v>0</v>
      </c>
      <c r="DH37" s="42"/>
      <c r="DI37" s="5"/>
      <c r="DJ37" s="42">
        <v>0</v>
      </c>
      <c r="DK37" s="42">
        <f t="shared" si="6"/>
        <v>0</v>
      </c>
      <c r="DL37" s="58">
        <f t="shared" si="7"/>
        <v>0</v>
      </c>
      <c r="DM37" s="2">
        <v>2</v>
      </c>
    </row>
    <row r="38" spans="1:117" ht="24.9" customHeight="1" x14ac:dyDescent="0.3">
      <c r="A38" s="318">
        <v>150000726</v>
      </c>
      <c r="B38" s="44" t="s">
        <v>1747</v>
      </c>
      <c r="C38" s="956">
        <v>2</v>
      </c>
      <c r="D38" s="957" t="s">
        <v>454</v>
      </c>
      <c r="E38" s="949">
        <f>'побудинковий звіт'!E219</f>
        <v>404.5</v>
      </c>
      <c r="F38" s="950">
        <f>'побудинковий звіт'!AS219</f>
        <v>6944.7725585159715</v>
      </c>
      <c r="G38" s="950">
        <f t="shared" si="0"/>
        <v>0</v>
      </c>
      <c r="H38" s="950">
        <f t="shared" si="1"/>
        <v>-6944.7725585159715</v>
      </c>
      <c r="I38" s="42">
        <f>'[2]поточний ремонт'!I38+'[1]поточний ремонт'!I38</f>
        <v>0</v>
      </c>
      <c r="J38" s="42">
        <f>'[2]поточний ремонт'!J38+'[1]поточний ремонт'!J38</f>
        <v>0</v>
      </c>
      <c r="K38" s="958"/>
      <c r="L38" s="42">
        <f>'[2]поточний ремонт'!L38+'[1]поточний ремонт'!L38</f>
        <v>0</v>
      </c>
      <c r="M38" s="42">
        <f>'[2]поточний ремонт'!M38+'[1]поточний ремонт'!M38</f>
        <v>0</v>
      </c>
      <c r="N38" s="36"/>
      <c r="O38" s="42">
        <f>'[2]поточний ремонт'!O38+'[1]поточний ремонт'!O38</f>
        <v>0</v>
      </c>
      <c r="P38" s="42">
        <f>'[2]поточний ремонт'!P38+'[1]поточний ремонт'!P38</f>
        <v>0</v>
      </c>
      <c r="Q38" s="959"/>
      <c r="R38" s="42">
        <f>'[2]поточний ремонт'!R38+'[1]поточний ремонт'!R38</f>
        <v>0</v>
      </c>
      <c r="S38" s="42">
        <f>'[2]поточний ремонт'!S38+'[1]поточний ремонт'!S38</f>
        <v>0</v>
      </c>
      <c r="T38" s="960"/>
      <c r="U38" s="42">
        <f>'[2]поточний ремонт'!U38+'[1]поточний ремонт'!U38</f>
        <v>0</v>
      </c>
      <c r="V38" s="42">
        <f>'[2]поточний ремонт'!V38+'[1]поточний ремонт'!V38</f>
        <v>0</v>
      </c>
      <c r="W38" s="42">
        <f>'[2]поточний ремонт'!W38+'[1]поточний ремонт'!W38</f>
        <v>0</v>
      </c>
      <c r="X38" s="42">
        <f>'[2]поточний ремонт'!X38+'[1]поточний ремонт'!X38</f>
        <v>0</v>
      </c>
      <c r="Y38" s="42">
        <f>'[2]поточний ремонт'!Y38+'[1]поточний ремонт'!Y38</f>
        <v>0</v>
      </c>
      <c r="Z38" s="42">
        <f>'[2]поточний ремонт'!Z38+'[1]поточний ремонт'!Z38</f>
        <v>0</v>
      </c>
      <c r="AA38" s="42">
        <f>'[2]поточний ремонт'!AA38+'[1]поточний ремонт'!AA38</f>
        <v>0</v>
      </c>
      <c r="AB38" s="42">
        <f>'[2]поточний ремонт'!AB38+'[1]поточний ремонт'!AB38</f>
        <v>0</v>
      </c>
      <c r="AC38" s="42">
        <f>'[2]поточний ремонт'!AC38+'[1]поточний ремонт'!AC38</f>
        <v>0</v>
      </c>
      <c r="AD38" s="42">
        <f>'[2]поточний ремонт'!AD38+'[1]поточний ремонт'!AD38</f>
        <v>0</v>
      </c>
      <c r="AE38" s="42">
        <f>'[2]поточний ремонт'!AE38+'[1]поточний ремонт'!AE38</f>
        <v>320.98897324209418</v>
      </c>
      <c r="AF38" s="42">
        <f>'[2]поточний ремонт'!AF38+'[1]поточний ремонт'!AF38</f>
        <v>0</v>
      </c>
      <c r="AG38" s="5"/>
      <c r="AH38" s="42">
        <f>'[2]поточний ремонт'!AH38+'[1]поточний ремонт'!AH38</f>
        <v>430.69770990449786</v>
      </c>
      <c r="AI38" s="42">
        <f>'[2]поточний ремонт'!AI38+'[1]поточний ремонт'!AI38</f>
        <v>0</v>
      </c>
      <c r="AJ38" s="5"/>
      <c r="AK38" s="42">
        <f>'[2]поточний ремонт'!AK38+'[1]поточний ремонт'!AK38</f>
        <v>292.39837418664638</v>
      </c>
      <c r="AL38" s="42">
        <f>'[2]поточний ремонт'!AL38+'[1]поточний ремонт'!AL38</f>
        <v>0</v>
      </c>
      <c r="AM38" s="5"/>
      <c r="AN38" s="42">
        <f>'[2]поточний ремонт'!AN38+'[1]поточний ремонт'!AN38</f>
        <v>0</v>
      </c>
      <c r="AO38" s="42">
        <f>'[2]поточний ремонт'!AO38+'[1]поточний ремонт'!AO38</f>
        <v>0</v>
      </c>
      <c r="AP38" s="5"/>
      <c r="AQ38" s="42">
        <f>'[2]поточний ремонт'!AQ38+'[1]поточний ремонт'!AQ38</f>
        <v>0</v>
      </c>
      <c r="AR38" s="42">
        <f>'[2]поточний ремонт'!AR38+'[1]поточний ремонт'!AR38</f>
        <v>0</v>
      </c>
      <c r="AS38" s="5"/>
      <c r="AT38" s="42">
        <f>'[2]поточний ремонт'!AT38+'[1]поточний ремонт'!AT38</f>
        <v>111.24235466268424</v>
      </c>
      <c r="AU38" s="42">
        <f>'[2]поточний ремонт'!AU38+'[1]поточний ремонт'!AU38</f>
        <v>0</v>
      </c>
      <c r="AV38" s="5"/>
      <c r="AW38" s="42">
        <f>'[2]поточний ремонт'!AW38+'[1]поточний ремонт'!AW38</f>
        <v>38.805764507289481</v>
      </c>
      <c r="AX38" s="42">
        <f>'[2]поточний ремонт'!AX38+'[1]поточний ремонт'!AX38</f>
        <v>0</v>
      </c>
      <c r="AY38" s="5"/>
      <c r="AZ38" s="42">
        <f t="shared" si="2"/>
        <v>1194.1331765032121</v>
      </c>
      <c r="BA38" s="42">
        <f t="shared" si="3"/>
        <v>0</v>
      </c>
      <c r="BB38" s="58">
        <f t="shared" si="4"/>
        <v>-1194.1331765032121</v>
      </c>
      <c r="BD38" s="2">
        <v>2</v>
      </c>
      <c r="BF38" s="29">
        <v>0.59693103731253483</v>
      </c>
      <c r="BG38" s="318">
        <v>150000726</v>
      </c>
      <c r="BI38" s="104">
        <v>0</v>
      </c>
      <c r="BJ38" s="104">
        <f t="shared" si="5"/>
        <v>0</v>
      </c>
      <c r="BK38" s="104">
        <v>0</v>
      </c>
      <c r="BL38" s="38"/>
      <c r="BM38" s="3"/>
      <c r="BN38" s="3">
        <v>0</v>
      </c>
      <c r="BP38" s="3"/>
      <c r="BQ38" s="3"/>
      <c r="BS38" s="42"/>
      <c r="BT38" s="42">
        <v>0</v>
      </c>
      <c r="BU38" s="958"/>
      <c r="BV38" s="41"/>
      <c r="BW38" s="42"/>
      <c r="BX38" s="36"/>
      <c r="BY38" s="76"/>
      <c r="BZ38" s="42">
        <v>0</v>
      </c>
      <c r="CA38" s="959"/>
      <c r="CB38" s="41"/>
      <c r="CC38" s="41">
        <v>0</v>
      </c>
      <c r="CD38" s="960"/>
      <c r="CE38" s="76">
        <v>0</v>
      </c>
      <c r="CF38" s="55"/>
      <c r="CG38" s="41">
        <v>0</v>
      </c>
      <c r="CH38" s="38">
        <v>0</v>
      </c>
      <c r="CI38" s="76">
        <v>0</v>
      </c>
      <c r="CJ38" s="55"/>
      <c r="CK38" s="955"/>
      <c r="CL38" s="950"/>
      <c r="CM38" s="955"/>
      <c r="CN38" s="950">
        <v>0</v>
      </c>
      <c r="CO38" s="76">
        <v>27.523621395901053</v>
      </c>
      <c r="CP38" s="42">
        <v>0</v>
      </c>
      <c r="CQ38" s="5"/>
      <c r="CR38" s="76">
        <v>36.04386687945734</v>
      </c>
      <c r="CS38" s="954">
        <v>0</v>
      </c>
      <c r="CT38" s="5"/>
      <c r="CU38" s="76">
        <v>23.888722067063025</v>
      </c>
      <c r="CV38" s="42">
        <v>0</v>
      </c>
      <c r="CW38" s="5"/>
      <c r="CX38" s="76">
        <v>0</v>
      </c>
      <c r="CY38" s="42">
        <v>0</v>
      </c>
      <c r="CZ38" s="5"/>
      <c r="DA38" s="76">
        <v>0</v>
      </c>
      <c r="DB38" s="42">
        <v>0</v>
      </c>
      <c r="DC38" s="5"/>
      <c r="DD38" s="76">
        <v>6.5655994250196654</v>
      </c>
      <c r="DE38" s="42">
        <v>0</v>
      </c>
      <c r="DF38" s="5"/>
      <c r="DG38" s="76">
        <v>0</v>
      </c>
      <c r="DH38" s="42"/>
      <c r="DI38" s="5"/>
      <c r="DJ38" s="42">
        <v>94.021809767441084</v>
      </c>
      <c r="DK38" s="42">
        <f t="shared" si="6"/>
        <v>0</v>
      </c>
      <c r="DL38" s="58">
        <f t="shared" si="7"/>
        <v>-94.021809767441084</v>
      </c>
      <c r="DM38" s="2">
        <v>2</v>
      </c>
    </row>
    <row r="39" spans="1:117" ht="24.9" customHeight="1" x14ac:dyDescent="0.3">
      <c r="A39" s="318">
        <v>150000728</v>
      </c>
      <c r="B39" s="44" t="s">
        <v>1748</v>
      </c>
      <c r="C39" s="956">
        <v>2</v>
      </c>
      <c r="D39" s="957" t="s">
        <v>454</v>
      </c>
      <c r="E39" s="949">
        <f>'побудинковий звіт'!E220</f>
        <v>7448.76</v>
      </c>
      <c r="F39" s="950">
        <f>'побудинковий звіт'!AS220</f>
        <v>128102.50685564085</v>
      </c>
      <c r="G39" s="950">
        <f t="shared" si="0"/>
        <v>128.65513255941875</v>
      </c>
      <c r="H39" s="950">
        <f t="shared" si="1"/>
        <v>-127973.85172308143</v>
      </c>
      <c r="I39" s="42">
        <f>'[2]поточний ремонт'!I39+'[1]поточний ремонт'!I39</f>
        <v>0</v>
      </c>
      <c r="J39" s="42">
        <f>'[2]поточний ремонт'!J39+'[1]поточний ремонт'!J39</f>
        <v>0</v>
      </c>
      <c r="K39" s="958"/>
      <c r="L39" s="42">
        <f>'[2]поточний ремонт'!L39+'[1]поточний ремонт'!L39</f>
        <v>0</v>
      </c>
      <c r="M39" s="42">
        <f>'[2]поточний ремонт'!M39+'[1]поточний ремонт'!M39</f>
        <v>0</v>
      </c>
      <c r="N39" s="36"/>
      <c r="O39" s="42">
        <f>'[2]поточний ремонт'!O39+'[1]поточний ремонт'!O39</f>
        <v>0</v>
      </c>
      <c r="P39" s="42">
        <f>'[2]поточний ремонт'!P39+'[1]поточний ремонт'!P39</f>
        <v>0</v>
      </c>
      <c r="Q39" s="959"/>
      <c r="R39" s="42">
        <f>'[2]поточний ремонт'!R39+'[1]поточний ремонт'!R39</f>
        <v>0</v>
      </c>
      <c r="S39" s="42">
        <f>'[2]поточний ремонт'!S39+'[1]поточний ремонт'!S39</f>
        <v>0</v>
      </c>
      <c r="T39" s="960"/>
      <c r="U39" s="42">
        <f>'[2]поточний ремонт'!U39+'[1]поточний ремонт'!U39</f>
        <v>0</v>
      </c>
      <c r="V39" s="42">
        <f>'[2]поточний ремонт'!V39+'[1]поточний ремонт'!V39</f>
        <v>0</v>
      </c>
      <c r="W39" s="42">
        <f>'[2]поточний ремонт'!W39+'[1]поточний ремонт'!W39</f>
        <v>0</v>
      </c>
      <c r="X39" s="42">
        <f>'[2]поточний ремонт'!X39+'[1]поточний ремонт'!X39</f>
        <v>0</v>
      </c>
      <c r="Y39" s="42">
        <f>'[2]поточний ремонт'!Y39+'[1]поточний ремонт'!Y39</f>
        <v>0</v>
      </c>
      <c r="Z39" s="42">
        <f>'[2]поточний ремонт'!Z39+'[1]поточний ремонт'!Z39</f>
        <v>0</v>
      </c>
      <c r="AA39" s="42">
        <f>'[2]поточний ремонт'!AA39+'[1]поточний ремонт'!AA39</f>
        <v>0</v>
      </c>
      <c r="AB39" s="42">
        <f>'[2]поточний ремонт'!AB39+'[1]поточний ремонт'!AB39</f>
        <v>0</v>
      </c>
      <c r="AC39" s="42">
        <f>'[2]поточний ремонт'!AC39+'[1]поточний ремонт'!AC39</f>
        <v>0</v>
      </c>
      <c r="AD39" s="42">
        <f>'[2]поточний ремонт'!AD39+'[1]поточний ремонт'!AD39</f>
        <v>128.65513255941875</v>
      </c>
      <c r="AE39" s="42">
        <f>'[2]поточний ремонт'!AE39+'[1]поточний ремонт'!AE39</f>
        <v>350.17318525708674</v>
      </c>
      <c r="AF39" s="42">
        <f>'[2]поточний ремонт'!AF39+'[1]поточний ремонт'!AF39</f>
        <v>0</v>
      </c>
      <c r="AG39" s="5"/>
      <c r="AH39" s="42">
        <f>'[2]поточний ремонт'!AH39+'[1]поточний ремонт'!AH39</f>
        <v>430.69770990449786</v>
      </c>
      <c r="AI39" s="42">
        <f>'[2]поточний ремонт'!AI39+'[1]поточний ремонт'!AI39</f>
        <v>0</v>
      </c>
      <c r="AJ39" s="5"/>
      <c r="AK39" s="42">
        <f>'[2]поточний ремонт'!AK39+'[1]поточний ремонт'!AK39</f>
        <v>315.87176308877747</v>
      </c>
      <c r="AL39" s="42">
        <f>'[2]поточний ремонт'!AL39+'[1]поточний ремонт'!AL39</f>
        <v>0</v>
      </c>
      <c r="AM39" s="5"/>
      <c r="AN39" s="42">
        <f>'[2]поточний ремонт'!AN39+'[1]поточний ремонт'!AN39</f>
        <v>0</v>
      </c>
      <c r="AO39" s="42">
        <f>'[2]поточний ремонт'!AO39+'[1]поточний ремонт'!AO39</f>
        <v>0</v>
      </c>
      <c r="AP39" s="5"/>
      <c r="AQ39" s="42">
        <f>'[2]поточний ремонт'!AQ39+'[1]поточний ремонт'!AQ39</f>
        <v>0</v>
      </c>
      <c r="AR39" s="42">
        <f>'[2]поточний ремонт'!AR39+'[1]поточний ремонт'!AR39</f>
        <v>0</v>
      </c>
      <c r="AS39" s="5"/>
      <c r="AT39" s="42">
        <f>'[2]поточний ремонт'!AT39+'[1]поточний ремонт'!AT39</f>
        <v>110.54215885025015</v>
      </c>
      <c r="AU39" s="42">
        <f>'[2]поточний ремонт'!AU39+'[1]поточний ремонт'!AU39</f>
        <v>0</v>
      </c>
      <c r="AV39" s="5"/>
      <c r="AW39" s="42">
        <f>'[2]поточний ремонт'!AW39+'[1]поточний ремонт'!AW39</f>
        <v>38.805764507289481</v>
      </c>
      <c r="AX39" s="42">
        <f>'[2]поточний ремонт'!AX39+'[1]поточний ремонт'!AX39</f>
        <v>0</v>
      </c>
      <c r="AY39" s="5"/>
      <c r="AZ39" s="42">
        <f t="shared" si="2"/>
        <v>1246.0905816079019</v>
      </c>
      <c r="BA39" s="42">
        <f t="shared" si="3"/>
        <v>0</v>
      </c>
      <c r="BB39" s="58">
        <f t="shared" si="4"/>
        <v>-1246.0905816079019</v>
      </c>
      <c r="BD39" s="2">
        <v>2</v>
      </c>
      <c r="BF39" s="29">
        <v>0.65812851826040664</v>
      </c>
      <c r="BG39" s="318">
        <v>150000728</v>
      </c>
      <c r="BI39" s="104">
        <v>0</v>
      </c>
      <c r="BJ39" s="104">
        <f t="shared" si="5"/>
        <v>0</v>
      </c>
      <c r="BK39" s="104">
        <v>0</v>
      </c>
      <c r="BL39" s="38"/>
      <c r="BM39" s="3"/>
      <c r="BN39" s="3">
        <v>0</v>
      </c>
      <c r="BP39" s="3"/>
      <c r="BQ39" s="3"/>
      <c r="BS39" s="42"/>
      <c r="BT39" s="42">
        <v>0</v>
      </c>
      <c r="BU39" s="958"/>
      <c r="BV39" s="41"/>
      <c r="BW39" s="42"/>
      <c r="BX39" s="36"/>
      <c r="BY39" s="76"/>
      <c r="BZ39" s="42">
        <v>0</v>
      </c>
      <c r="CA39" s="959"/>
      <c r="CB39" s="41"/>
      <c r="CC39" s="41">
        <v>0</v>
      </c>
      <c r="CD39" s="960"/>
      <c r="CE39" s="76">
        <v>0</v>
      </c>
      <c r="CF39" s="55"/>
      <c r="CG39" s="41">
        <v>0</v>
      </c>
      <c r="CH39" s="38">
        <v>0</v>
      </c>
      <c r="CI39" s="76">
        <v>0</v>
      </c>
      <c r="CJ39" s="55"/>
      <c r="CK39" s="955"/>
      <c r="CL39" s="950"/>
      <c r="CM39" s="955"/>
      <c r="CN39" s="950">
        <v>0</v>
      </c>
      <c r="CO39" s="76">
        <v>29.109441766525801</v>
      </c>
      <c r="CP39" s="42">
        <v>0</v>
      </c>
      <c r="CQ39" s="5"/>
      <c r="CR39" s="76">
        <v>36.04386687945734</v>
      </c>
      <c r="CS39" s="954">
        <v>0</v>
      </c>
      <c r="CT39" s="5"/>
      <c r="CU39" s="76">
        <v>26.930452682025226</v>
      </c>
      <c r="CV39" s="42">
        <v>0</v>
      </c>
      <c r="CW39" s="5"/>
      <c r="CX39" s="76">
        <v>0</v>
      </c>
      <c r="CY39" s="42">
        <v>0</v>
      </c>
      <c r="CZ39" s="5"/>
      <c r="DA39" s="76">
        <v>0</v>
      </c>
      <c r="DB39" s="42">
        <v>0</v>
      </c>
      <c r="DC39" s="5"/>
      <c r="DD39" s="76">
        <v>6.5655994250196654</v>
      </c>
      <c r="DE39" s="42">
        <v>0</v>
      </c>
      <c r="DF39" s="5"/>
      <c r="DG39" s="76">
        <v>0</v>
      </c>
      <c r="DH39" s="42"/>
      <c r="DI39" s="5"/>
      <c r="DJ39" s="42">
        <v>98.649360753028034</v>
      </c>
      <c r="DK39" s="42">
        <f t="shared" si="6"/>
        <v>0</v>
      </c>
      <c r="DL39" s="58">
        <f t="shared" si="7"/>
        <v>-98.649360753028034</v>
      </c>
      <c r="DM39" s="2">
        <v>2</v>
      </c>
    </row>
    <row r="40" spans="1:117" ht="24.9" customHeight="1" x14ac:dyDescent="0.3">
      <c r="A40" s="318">
        <v>150000729</v>
      </c>
      <c r="B40" s="44" t="s">
        <v>1749</v>
      </c>
      <c r="C40" s="956">
        <v>5</v>
      </c>
      <c r="D40" s="957" t="s">
        <v>454</v>
      </c>
      <c r="E40" s="949">
        <f>'побудинковий звіт'!E221</f>
        <v>6115.75</v>
      </c>
      <c r="F40" s="950">
        <f>'побудинковий звіт'!AS221</f>
        <v>121096.8286667479</v>
      </c>
      <c r="G40" s="950">
        <f t="shared" si="0"/>
        <v>12093.119782606744</v>
      </c>
      <c r="H40" s="950">
        <f t="shared" si="1"/>
        <v>-109003.70888414115</v>
      </c>
      <c r="I40" s="42">
        <f>'[2]поточний ремонт'!I40+'[1]поточний ремонт'!I40</f>
        <v>28.5</v>
      </c>
      <c r="J40" s="42">
        <f>'[2]поточний ремонт'!J40+'[1]поточний ремонт'!J40</f>
        <v>11945.135679900821</v>
      </c>
      <c r="K40" s="969"/>
      <c r="L40" s="42">
        <f>'[2]поточний ремонт'!L40+'[1]поточний ремонт'!L40</f>
        <v>0</v>
      </c>
      <c r="M40" s="42">
        <f>'[2]поточний ремонт'!M40+'[1]поточний ремонт'!M40</f>
        <v>0</v>
      </c>
      <c r="N40" s="36"/>
      <c r="O40" s="42">
        <f>'[2]поточний ремонт'!O40+'[1]поточний ремонт'!O40</f>
        <v>0</v>
      </c>
      <c r="P40" s="42">
        <f>'[2]поточний ремонт'!P40+'[1]поточний ремонт'!P40</f>
        <v>0</v>
      </c>
      <c r="Q40" s="959"/>
      <c r="R40" s="42">
        <f>'[2]поточний ремонт'!R40+'[1]поточний ремонт'!R40</f>
        <v>0</v>
      </c>
      <c r="S40" s="42">
        <f>'[2]поточний ремонт'!S40+'[1]поточний ремонт'!S40</f>
        <v>0</v>
      </c>
      <c r="T40" s="960"/>
      <c r="U40" s="42">
        <f>'[2]поточний ремонт'!U40+'[1]поточний ремонт'!U40</f>
        <v>0</v>
      </c>
      <c r="V40" s="42">
        <f>'[2]поточний ремонт'!V40+'[1]поточний ремонт'!V40</f>
        <v>0</v>
      </c>
      <c r="W40" s="42">
        <f>'[2]поточний ремонт'!W40+'[1]поточний ремонт'!W40</f>
        <v>0</v>
      </c>
      <c r="X40" s="42">
        <f>'[2]поточний ремонт'!X40+'[1]поточний ремонт'!X40</f>
        <v>0</v>
      </c>
      <c r="Y40" s="42">
        <f>'[2]поточний ремонт'!Y40+'[1]поточний ремонт'!Y40</f>
        <v>0</v>
      </c>
      <c r="Z40" s="42">
        <f>'[2]поточний ремонт'!Z40+'[1]поточний ремонт'!Z40</f>
        <v>0</v>
      </c>
      <c r="AA40" s="42">
        <f>'[2]поточний ремонт'!AA40+'[1]поточний ремонт'!AA40</f>
        <v>0</v>
      </c>
      <c r="AB40" s="42">
        <f>'[2]поточний ремонт'!AB40+'[1]поточний ремонт'!AB40</f>
        <v>0</v>
      </c>
      <c r="AC40" s="42">
        <f>'[2]поточний ремонт'!AC40+'[1]поточний ремонт'!AC40</f>
        <v>147.98410270592336</v>
      </c>
      <c r="AD40" s="42">
        <f>'[2]поточний ремонт'!AD40+'[1]поточний ремонт'!AD40</f>
        <v>0</v>
      </c>
      <c r="AE40" s="42">
        <f>'[2]поточний ремонт'!AE40+'[1]поточний ремонт'!AE40</f>
        <v>1482.0776309697803</v>
      </c>
      <c r="AF40" s="42">
        <f>'[2]поточний ремонт'!AF40+'[1]поточний ремонт'!AF40</f>
        <v>3047.6754916444115</v>
      </c>
      <c r="AG40" s="9"/>
      <c r="AH40" s="42">
        <f>'[2]поточний ремонт'!AH40+'[1]поточний ремонт'!AH40</f>
        <v>2485.5079974653263</v>
      </c>
      <c r="AI40" s="42">
        <f>'[2]поточний ремонт'!AI40+'[1]поточний ремонт'!AI40</f>
        <v>0</v>
      </c>
      <c r="AJ40" s="5"/>
      <c r="AK40" s="42">
        <f>'[2]поточний ремонт'!AK40+'[1]поточний ремонт'!AK40</f>
        <v>1375.2866544576625</v>
      </c>
      <c r="AL40" s="42">
        <f>'[2]поточний ремонт'!AL40+'[1]поточний ремонт'!AL40</f>
        <v>0</v>
      </c>
      <c r="AM40" s="5"/>
      <c r="AN40" s="42">
        <f>'[2]поточний ремонт'!AN40+'[1]поточний ремонт'!AN40</f>
        <v>0</v>
      </c>
      <c r="AO40" s="42">
        <f>'[2]поточний ремонт'!AO40+'[1]поточний ремонт'!AO40</f>
        <v>0</v>
      </c>
      <c r="AP40" s="5"/>
      <c r="AQ40" s="42">
        <f>'[2]поточний ремонт'!AQ40+'[1]поточний ремонт'!AQ40</f>
        <v>110.27308797143304</v>
      </c>
      <c r="AR40" s="42">
        <f>'[2]поточний ремонт'!AR40+'[1]поточний ремонт'!AR40</f>
        <v>504.72798816099402</v>
      </c>
      <c r="AS40" s="5"/>
      <c r="AT40" s="42">
        <f>'[2]поточний ремонт'!AT40+'[1]поточний ремонт'!AT40</f>
        <v>984.26692534891163</v>
      </c>
      <c r="AU40" s="42">
        <f>'[2]поточний ремонт'!AU40+'[1]поточний ремонт'!AU40</f>
        <v>1314.7192261408081</v>
      </c>
      <c r="AV40" s="5"/>
      <c r="AW40" s="42">
        <f>'[2]поточний ремонт'!AW40+'[1]поточний ремонт'!AW40</f>
        <v>52.797171920588674</v>
      </c>
      <c r="AX40" s="42">
        <f>'[2]поточний ремонт'!AX40+'[1]поточний ремонт'!AX40</f>
        <v>0</v>
      </c>
      <c r="AY40" s="5"/>
      <c r="AZ40" s="42">
        <f t="shared" si="2"/>
        <v>6490.2094681337021</v>
      </c>
      <c r="BA40" s="42">
        <f t="shared" si="3"/>
        <v>4867.1227059462135</v>
      </c>
      <c r="BB40" s="58">
        <f t="shared" si="4"/>
        <v>-1623.0867621874886</v>
      </c>
      <c r="BD40" s="2">
        <v>2</v>
      </c>
      <c r="BF40" s="29">
        <v>3.075502043721567</v>
      </c>
      <c r="BG40" s="318">
        <v>150000729</v>
      </c>
      <c r="BI40" s="104">
        <v>0</v>
      </c>
      <c r="BJ40" s="104">
        <f t="shared" si="5"/>
        <v>0</v>
      </c>
      <c r="BK40" s="104">
        <v>0</v>
      </c>
      <c r="BL40" s="38"/>
      <c r="BM40" s="3"/>
      <c r="BN40" s="3">
        <v>0</v>
      </c>
      <c r="BP40" s="3"/>
      <c r="BQ40" s="3"/>
      <c r="BS40" s="42"/>
      <c r="BT40" s="42">
        <v>0</v>
      </c>
      <c r="BU40" s="969"/>
      <c r="BV40" s="41"/>
      <c r="BW40" s="42"/>
      <c r="BX40" s="36"/>
      <c r="BY40" s="76"/>
      <c r="BZ40" s="42">
        <v>0</v>
      </c>
      <c r="CA40" s="959"/>
      <c r="CB40" s="41"/>
      <c r="CC40" s="41">
        <v>0</v>
      </c>
      <c r="CD40" s="960"/>
      <c r="CE40" s="76">
        <v>0</v>
      </c>
      <c r="CF40" s="55"/>
      <c r="CG40" s="41">
        <v>0</v>
      </c>
      <c r="CH40" s="38">
        <v>0</v>
      </c>
      <c r="CI40" s="76">
        <v>0</v>
      </c>
      <c r="CJ40" s="55"/>
      <c r="CK40" s="955"/>
      <c r="CL40" s="950"/>
      <c r="CM40" s="955"/>
      <c r="CN40" s="950">
        <v>0</v>
      </c>
      <c r="CO40" s="76">
        <v>124.90229499772016</v>
      </c>
      <c r="CP40" s="42">
        <v>0</v>
      </c>
      <c r="CQ40" s="9"/>
      <c r="CR40" s="76">
        <v>192.86836255487205</v>
      </c>
      <c r="CS40" s="954">
        <v>0</v>
      </c>
      <c r="CT40" s="5"/>
      <c r="CU40" s="76">
        <v>112.51618710358807</v>
      </c>
      <c r="CV40" s="42">
        <v>0</v>
      </c>
      <c r="CW40" s="5"/>
      <c r="CX40" s="76">
        <v>0</v>
      </c>
      <c r="CY40" s="42">
        <v>0</v>
      </c>
      <c r="CZ40" s="5"/>
      <c r="DA40" s="76">
        <v>0</v>
      </c>
      <c r="DB40" s="42">
        <v>0</v>
      </c>
      <c r="DC40" s="5"/>
      <c r="DD40" s="76">
        <v>64.480016574972723</v>
      </c>
      <c r="DE40" s="42">
        <v>0</v>
      </c>
      <c r="DF40" s="5"/>
      <c r="DG40" s="76">
        <v>0</v>
      </c>
      <c r="DH40" s="42"/>
      <c r="DI40" s="5"/>
      <c r="DJ40" s="42">
        <v>494.76686123115303</v>
      </c>
      <c r="DK40" s="42">
        <f t="shared" si="6"/>
        <v>0</v>
      </c>
      <c r="DL40" s="58">
        <f t="shared" si="7"/>
        <v>-494.76686123115303</v>
      </c>
      <c r="DM40" s="2">
        <v>2</v>
      </c>
    </row>
    <row r="41" spans="1:117" ht="24.9" customHeight="1" x14ac:dyDescent="0.3">
      <c r="A41" s="318">
        <v>150000721</v>
      </c>
      <c r="B41" s="44" t="s">
        <v>1750</v>
      </c>
      <c r="C41" s="956">
        <v>4</v>
      </c>
      <c r="D41" s="957" t="s">
        <v>454</v>
      </c>
      <c r="E41" s="949">
        <f>'побудинковий звіт'!E222</f>
        <v>2163.62</v>
      </c>
      <c r="F41" s="950">
        <f>'побудинковий звіт'!AS222</f>
        <v>33213.178634788397</v>
      </c>
      <c r="G41" s="950">
        <f t="shared" si="0"/>
        <v>1658.5223638915074</v>
      </c>
      <c r="H41" s="950">
        <f t="shared" si="1"/>
        <v>-31554.656270896889</v>
      </c>
      <c r="I41" s="42">
        <f>'[2]поточний ремонт'!I41+'[1]поточний ремонт'!I41</f>
        <v>0</v>
      </c>
      <c r="J41" s="42">
        <f>'[2]поточний ремонт'!J41+'[1]поточний ремонт'!J41</f>
        <v>0</v>
      </c>
      <c r="K41" s="958"/>
      <c r="L41" s="42">
        <f>'[2]поточний ремонт'!L41+'[1]поточний ремонт'!L41</f>
        <v>0</v>
      </c>
      <c r="M41" s="42">
        <f>'[2]поточний ремонт'!M41+'[1]поточний ремонт'!M41</f>
        <v>0</v>
      </c>
      <c r="N41" s="36"/>
      <c r="O41" s="42">
        <f>'[2]поточний ремонт'!O41+'[1]поточний ремонт'!O41</f>
        <v>0</v>
      </c>
      <c r="P41" s="42">
        <f>'[2]поточний ремонт'!P41+'[1]поточний ремонт'!P41</f>
        <v>0</v>
      </c>
      <c r="Q41" s="959"/>
      <c r="R41" s="42">
        <f>'[2]поточний ремонт'!R41+'[1]поточний ремонт'!R41</f>
        <v>0</v>
      </c>
      <c r="S41" s="42">
        <f>'[2]поточний ремонт'!S41+'[1]поточний ремонт'!S41</f>
        <v>0</v>
      </c>
      <c r="T41" s="960"/>
      <c r="U41" s="42">
        <f>'[2]поточний ремонт'!U41+'[1]поточний ремонт'!U41</f>
        <v>0</v>
      </c>
      <c r="V41" s="42">
        <f>'[2]поточний ремонт'!V41+'[1]поточний ремонт'!V41</f>
        <v>0</v>
      </c>
      <c r="W41" s="42">
        <f>'[2]поточний ремонт'!W41+'[1]поточний ремонт'!W41</f>
        <v>0</v>
      </c>
      <c r="X41" s="42">
        <f>'[2]поточний ремонт'!X41+'[1]поточний ремонт'!X41</f>
        <v>531.18919349498378</v>
      </c>
      <c r="Y41" s="42">
        <f>'[2]поточний ремонт'!Y41+'[1]поточний ремонт'!Y41</f>
        <v>0</v>
      </c>
      <c r="Z41" s="42">
        <f>'[2]поточний ремонт'!Z41+'[1]поточний ремонт'!Z41</f>
        <v>0</v>
      </c>
      <c r="AA41" s="42">
        <f>'[2]поточний ремонт'!AA41+'[1]поточний ремонт'!AA41</f>
        <v>0</v>
      </c>
      <c r="AB41" s="42">
        <f>'[2]поточний ремонт'!AB41+'[1]поточний ремонт'!AB41</f>
        <v>0</v>
      </c>
      <c r="AC41" s="42">
        <f>'[2]поточний ремонт'!AC41+'[1]поточний ремонт'!AC41</f>
        <v>0</v>
      </c>
      <c r="AD41" s="42">
        <f>'[2]поточний ремонт'!AD41+'[1]поточний ремонт'!AD41</f>
        <v>1127.3331703965237</v>
      </c>
      <c r="AE41" s="42">
        <f>'[2]поточний ремонт'!AE41+'[1]поточний ремонт'!AE41</f>
        <v>1664.1992667376512</v>
      </c>
      <c r="AF41" s="42">
        <f>'[2]поточний ремонт'!AF41+'[1]поточний ремонт'!AF41</f>
        <v>0</v>
      </c>
      <c r="AG41" s="5"/>
      <c r="AH41" s="42">
        <f>'[2]поточний ремонт'!AH41+'[1]поточний ремонт'!AH41</f>
        <v>1847.5640798000964</v>
      </c>
      <c r="AI41" s="42">
        <f>'[2]поточний ремонт'!AI41+'[1]поточний ремонт'!AI41</f>
        <v>0</v>
      </c>
      <c r="AJ41" s="5"/>
      <c r="AK41" s="42">
        <f>'[2]поточний ремонт'!AK41+'[1]поточний ремонт'!AK41</f>
        <v>2024.801178795766</v>
      </c>
      <c r="AL41" s="42">
        <f>'[2]поточний ремонт'!AL41+'[1]поточний ремонт'!AL41</f>
        <v>0</v>
      </c>
      <c r="AM41" s="5"/>
      <c r="AN41" s="42">
        <f>'[2]поточний ремонт'!AN41+'[1]поточний ремонт'!AN41</f>
        <v>0</v>
      </c>
      <c r="AO41" s="42">
        <f>'[2]поточний ремонт'!AO41+'[1]поточний ремонт'!AO41</f>
        <v>0</v>
      </c>
      <c r="AP41" s="5"/>
      <c r="AQ41" s="42">
        <f>'[2]поточний ремонт'!AQ41+'[1]поточний ремонт'!AQ41</f>
        <v>0</v>
      </c>
      <c r="AR41" s="42">
        <f>'[2]поточний ремонт'!AR41+'[1]поточний ремонт'!AR41</f>
        <v>0</v>
      </c>
      <c r="AS41" s="5"/>
      <c r="AT41" s="42">
        <f>'[2]поточний ремонт'!AT41+'[1]поточний ремонт'!AT41</f>
        <v>864.27256987305395</v>
      </c>
      <c r="AU41" s="42">
        <f>'[2]поточний ремонт'!AU41+'[1]поточний ремонт'!AU41</f>
        <v>606.64902946580617</v>
      </c>
      <c r="AV41" s="5"/>
      <c r="AW41" s="42">
        <f>'[2]поточний ремонт'!AW41+'[1]поточний ремонт'!AW41</f>
        <v>26.790721818290397</v>
      </c>
      <c r="AX41" s="42">
        <f>'[2]поточний ремонт'!AX41+'[1]поточний ремонт'!AX41</f>
        <v>0</v>
      </c>
      <c r="AY41" s="5"/>
      <c r="AZ41" s="42">
        <f t="shared" si="2"/>
        <v>6427.627817024857</v>
      </c>
      <c r="BA41" s="42">
        <f t="shared" si="3"/>
        <v>606.64902946580617</v>
      </c>
      <c r="BB41" s="58">
        <f t="shared" si="4"/>
        <v>-5820.9787875590509</v>
      </c>
      <c r="BD41" s="2">
        <v>2</v>
      </c>
      <c r="BF41" s="29">
        <v>4.0742332483075998</v>
      </c>
      <c r="BG41" s="318">
        <v>150000721</v>
      </c>
      <c r="BI41" s="104">
        <v>38.94</v>
      </c>
      <c r="BJ41" s="104">
        <f t="shared" si="5"/>
        <v>5.4773860679999995</v>
      </c>
      <c r="BK41" s="104">
        <v>44.908948896239998</v>
      </c>
      <c r="BL41" s="38"/>
      <c r="BM41" s="3"/>
      <c r="BN41" s="3">
        <v>0</v>
      </c>
      <c r="BP41" s="3"/>
      <c r="BQ41" s="3"/>
      <c r="BS41" s="42"/>
      <c r="BT41" s="42">
        <v>0</v>
      </c>
      <c r="BU41" s="958"/>
      <c r="BV41" s="41"/>
      <c r="BW41" s="42"/>
      <c r="BX41" s="36"/>
      <c r="BY41" s="76"/>
      <c r="BZ41" s="42">
        <v>0</v>
      </c>
      <c r="CA41" s="959"/>
      <c r="CB41" s="41"/>
      <c r="CC41" s="41">
        <v>0</v>
      </c>
      <c r="CD41" s="960"/>
      <c r="CE41" s="76">
        <v>0</v>
      </c>
      <c r="CF41" s="55"/>
      <c r="CG41" s="41">
        <v>0</v>
      </c>
      <c r="CH41" s="38">
        <v>44.908948896239998</v>
      </c>
      <c r="CI41" s="76">
        <v>0</v>
      </c>
      <c r="CJ41" s="55"/>
      <c r="CK41" s="955"/>
      <c r="CL41" s="950"/>
      <c r="CM41" s="955"/>
      <c r="CN41" s="950">
        <v>0</v>
      </c>
      <c r="CO41" s="76">
        <v>138.3933635151181</v>
      </c>
      <c r="CP41" s="42">
        <v>0</v>
      </c>
      <c r="CQ41" s="5"/>
      <c r="CR41" s="76">
        <v>159.50965981279245</v>
      </c>
      <c r="CS41" s="954">
        <v>0</v>
      </c>
      <c r="CT41" s="5"/>
      <c r="CU41" s="76">
        <v>173.06441722151624</v>
      </c>
      <c r="CV41" s="42">
        <v>0</v>
      </c>
      <c r="CW41" s="5"/>
      <c r="CX41" s="76">
        <v>0</v>
      </c>
      <c r="CY41" s="42">
        <v>0</v>
      </c>
      <c r="CZ41" s="5"/>
      <c r="DA41" s="76">
        <v>0</v>
      </c>
      <c r="DB41" s="42">
        <v>0</v>
      </c>
      <c r="DC41" s="5"/>
      <c r="DD41" s="76">
        <v>56.616278627634784</v>
      </c>
      <c r="DE41" s="42">
        <v>0</v>
      </c>
      <c r="DF41" s="5"/>
      <c r="DG41" s="76">
        <v>0</v>
      </c>
      <c r="DH41" s="42"/>
      <c r="DI41" s="5"/>
      <c r="DJ41" s="42">
        <v>527.58371917706154</v>
      </c>
      <c r="DK41" s="42">
        <f t="shared" si="6"/>
        <v>0</v>
      </c>
      <c r="DL41" s="58">
        <f t="shared" si="7"/>
        <v>-527.58371917706154</v>
      </c>
      <c r="DM41" s="2">
        <v>2</v>
      </c>
    </row>
    <row r="42" spans="1:117" ht="24.9" customHeight="1" x14ac:dyDescent="0.3">
      <c r="A42" s="318">
        <v>150000722</v>
      </c>
      <c r="B42" s="44" t="s">
        <v>1751</v>
      </c>
      <c r="C42" s="956">
        <v>5</v>
      </c>
      <c r="D42" s="957" t="s">
        <v>454</v>
      </c>
      <c r="E42" s="949">
        <f>'побудинковий звіт'!E223</f>
        <v>4312.1400000000003</v>
      </c>
      <c r="F42" s="950">
        <f>'побудинковий звіт'!AS223</f>
        <v>62937.30096715784</v>
      </c>
      <c r="G42" s="950">
        <f t="shared" si="0"/>
        <v>99958.943169517443</v>
      </c>
      <c r="H42" s="950">
        <f t="shared" si="1"/>
        <v>37021.642202359602</v>
      </c>
      <c r="I42" s="42">
        <f>'[2]поточний ремонт'!I42+'[1]поточний ремонт'!I42</f>
        <v>70</v>
      </c>
      <c r="J42" s="42">
        <f>'[2]поточний ремонт'!J42+'[1]поточний ремонт'!J42</f>
        <v>21214</v>
      </c>
      <c r="K42" s="958"/>
      <c r="L42" s="42">
        <f>'[2]поточний ремонт'!L42+'[1]поточний ремонт'!L42</f>
        <v>0</v>
      </c>
      <c r="M42" s="42">
        <f>'[2]поточний ремонт'!M42+'[1]поточний ремонт'!M42</f>
        <v>3128</v>
      </c>
      <c r="N42" s="36"/>
      <c r="O42" s="42">
        <f>'[2]поточний ремонт'!O42+'[1]поточний ремонт'!O42</f>
        <v>123</v>
      </c>
      <c r="P42" s="42">
        <f>'[2]поточний ремонт'!P42+'[1]поточний ремонт'!P42</f>
        <v>69605.682387106674</v>
      </c>
      <c r="Q42" s="978"/>
      <c r="R42" s="42">
        <f>'[2]поточний ремонт'!R42+'[1]поточний ремонт'!R42</f>
        <v>0</v>
      </c>
      <c r="S42" s="42">
        <f>'[2]поточний ремонт'!S42+'[1]поточний ремонт'!S42</f>
        <v>0</v>
      </c>
      <c r="T42" s="960"/>
      <c r="U42" s="42">
        <f>'[2]поточний ремонт'!U42+'[1]поточний ремонт'!U42</f>
        <v>0</v>
      </c>
      <c r="V42" s="42">
        <f>'[2]поточний ремонт'!V42+'[1]поточний ремонт'!V42</f>
        <v>0</v>
      </c>
      <c r="W42" s="42">
        <f>'[2]поточний ремонт'!W42+'[1]поточний ремонт'!W42</f>
        <v>4</v>
      </c>
      <c r="X42" s="42">
        <f>'[2]поточний ремонт'!X42+'[1]поточний ремонт'!X42</f>
        <v>314.62926953336381</v>
      </c>
      <c r="Y42" s="42">
        <f>'[2]поточний ремонт'!Y42+'[1]поточний ремонт'!Y42</f>
        <v>4476.2756749261926</v>
      </c>
      <c r="Z42" s="42">
        <f>'[2]поточний ремонт'!Z42+'[1]поточний ремонт'!Z42</f>
        <v>0</v>
      </c>
      <c r="AA42" s="42">
        <f>'[2]поточний ремонт'!AA42+'[1]поточний ремонт'!AA42</f>
        <v>0</v>
      </c>
      <c r="AB42" s="42">
        <f>'[2]поточний ремонт'!AB42+'[1]поточний ремонт'!AB42</f>
        <v>0</v>
      </c>
      <c r="AC42" s="42">
        <f>'[2]поточний ремонт'!AC42+'[1]поточний ремонт'!AC42</f>
        <v>0</v>
      </c>
      <c r="AD42" s="42">
        <f>'[2]поточний ремонт'!AD42+'[1]поточний ремонт'!AD42</f>
        <v>1220.3558379512126</v>
      </c>
      <c r="AE42" s="42">
        <f>'[2]поточний ремонт'!AE42+'[1]поточний ремонт'!AE42</f>
        <v>1980.2934277852555</v>
      </c>
      <c r="AF42" s="42">
        <f>'[2]поточний ремонт'!AF42+'[1]поточний ремонт'!AF42</f>
        <v>1817.6889085106104</v>
      </c>
      <c r="AG42" s="5"/>
      <c r="AH42" s="42">
        <f>'[2]поточний ремонт'!AH42+'[1]поточний ремонт'!AH42</f>
        <v>2676.7185730800325</v>
      </c>
      <c r="AI42" s="42">
        <f>'[2]поточний ремонт'!AI42+'[1]поточний ремонт'!AI42</f>
        <v>4955.6566349614295</v>
      </c>
      <c r="AJ42" s="5"/>
      <c r="AK42" s="42">
        <f>'[2]поточний ремонт'!AK42+'[1]поточний ремонт'!AK42</f>
        <v>2877.6135157232852</v>
      </c>
      <c r="AL42" s="42">
        <f>'[2]поточний ремонт'!AL42+'[1]поточний ремонт'!AL42</f>
        <v>0</v>
      </c>
      <c r="AM42" s="5"/>
      <c r="AN42" s="42">
        <f>'[2]поточний ремонт'!AN42+'[1]поточний ремонт'!AN42</f>
        <v>0</v>
      </c>
      <c r="AO42" s="42">
        <f>'[2]поточний ремонт'!AO42+'[1]поточний ремонт'!AO42</f>
        <v>0</v>
      </c>
      <c r="AP42" s="5"/>
      <c r="AQ42" s="42">
        <f>'[2]поточний ремонт'!AQ42+'[1]поточний ремонт'!AQ42</f>
        <v>137.84135996429129</v>
      </c>
      <c r="AR42" s="42">
        <f>'[2]поточний ремонт'!AR42+'[1]поточний ремонт'!AR42</f>
        <v>0</v>
      </c>
      <c r="AS42" s="5"/>
      <c r="AT42" s="42">
        <f>'[2]поточний ремонт'!AT42+'[1]поточний ремонт'!AT42</f>
        <v>1398.5338603653292</v>
      </c>
      <c r="AU42" s="42">
        <f>'[2]поточний ремонт'!AU42+'[1]поточний ремонт'!AU42</f>
        <v>0</v>
      </c>
      <c r="AV42" s="5"/>
      <c r="AW42" s="42">
        <f>'[2]поточний ремонт'!AW42+'[1]поточний ремонт'!AW42</f>
        <v>28.359265250274611</v>
      </c>
      <c r="AX42" s="42">
        <f>'[2]поточний ремонт'!AX42+'[1]поточний ремонт'!AX42</f>
        <v>3881.1204258349726</v>
      </c>
      <c r="AY42" s="5"/>
      <c r="AZ42" s="42">
        <f t="shared" si="2"/>
        <v>9099.3600021684688</v>
      </c>
      <c r="BA42" s="42">
        <f t="shared" si="3"/>
        <v>10654.465969307013</v>
      </c>
      <c r="BB42" s="58">
        <f t="shared" si="4"/>
        <v>1555.1059671385447</v>
      </c>
      <c r="BD42" s="2">
        <v>2</v>
      </c>
      <c r="BF42" s="29">
        <v>5.1988647597601361</v>
      </c>
      <c r="BG42" s="318">
        <v>150000722</v>
      </c>
      <c r="BI42" s="104">
        <v>0</v>
      </c>
      <c r="BJ42" s="104">
        <f t="shared" si="5"/>
        <v>0</v>
      </c>
      <c r="BK42" s="104">
        <v>0</v>
      </c>
      <c r="BL42" s="38"/>
      <c r="BM42" s="3">
        <v>4</v>
      </c>
      <c r="BN42" s="3">
        <v>314.20208540987488</v>
      </c>
      <c r="BP42" s="3"/>
      <c r="BQ42" s="3"/>
      <c r="BS42" s="42"/>
      <c r="BT42" s="42">
        <v>0</v>
      </c>
      <c r="BU42" s="958"/>
      <c r="BV42" s="41"/>
      <c r="BW42" s="42"/>
      <c r="BX42" s="36"/>
      <c r="BY42" s="76">
        <v>17</v>
      </c>
      <c r="BZ42" s="42">
        <v>5577.0998514638895</v>
      </c>
      <c r="CA42" s="978"/>
      <c r="CB42" s="41"/>
      <c r="CC42" s="41">
        <v>0</v>
      </c>
      <c r="CD42" s="960"/>
      <c r="CE42" s="76">
        <v>0</v>
      </c>
      <c r="CF42" s="55"/>
      <c r="CG42" s="41">
        <v>4</v>
      </c>
      <c r="CH42" s="38">
        <v>314.20208540987488</v>
      </c>
      <c r="CI42" s="76">
        <v>0</v>
      </c>
      <c r="CJ42" s="971"/>
      <c r="CK42" s="955"/>
      <c r="CL42" s="950"/>
      <c r="CM42" s="955"/>
      <c r="CN42" s="950">
        <v>0</v>
      </c>
      <c r="CO42" s="76">
        <v>161.7351427124832</v>
      </c>
      <c r="CP42" s="42">
        <v>0</v>
      </c>
      <c r="CQ42" s="5"/>
      <c r="CR42" s="76">
        <v>222.44441035159772</v>
      </c>
      <c r="CS42" s="954">
        <v>0</v>
      </c>
      <c r="CT42" s="5"/>
      <c r="CU42" s="76">
        <v>234.98659368582938</v>
      </c>
      <c r="CV42" s="42">
        <v>0</v>
      </c>
      <c r="CW42" s="5"/>
      <c r="CX42" s="76">
        <v>0</v>
      </c>
      <c r="CY42" s="42">
        <v>0</v>
      </c>
      <c r="CZ42" s="5"/>
      <c r="DA42" s="76">
        <v>0</v>
      </c>
      <c r="DB42" s="42">
        <v>0</v>
      </c>
      <c r="DC42" s="5"/>
      <c r="DD42" s="76">
        <v>89.755690102530579</v>
      </c>
      <c r="DE42" s="42">
        <v>0</v>
      </c>
      <c r="DF42" s="5"/>
      <c r="DG42" s="76">
        <v>0</v>
      </c>
      <c r="DH42" s="42"/>
      <c r="DI42" s="5"/>
      <c r="DJ42" s="42">
        <v>708.92183685244083</v>
      </c>
      <c r="DK42" s="42">
        <f t="shared" si="6"/>
        <v>0</v>
      </c>
      <c r="DL42" s="58">
        <f t="shared" si="7"/>
        <v>-708.92183685244083</v>
      </c>
      <c r="DM42" s="2">
        <v>2</v>
      </c>
    </row>
    <row r="43" spans="1:117" ht="24.9" customHeight="1" x14ac:dyDescent="0.3">
      <c r="A43" s="318">
        <v>150000723</v>
      </c>
      <c r="B43" s="44" t="s">
        <v>1752</v>
      </c>
      <c r="C43" s="956">
        <v>5</v>
      </c>
      <c r="D43" s="957" t="s">
        <v>454</v>
      </c>
      <c r="E43" s="949">
        <f>'побудинковий звіт'!E224</f>
        <v>2140.64</v>
      </c>
      <c r="F43" s="950">
        <f>'побудинковий звіт'!AS224</f>
        <v>35528.616612302882</v>
      </c>
      <c r="G43" s="950">
        <f t="shared" si="0"/>
        <v>7903.6887280702831</v>
      </c>
      <c r="H43" s="950">
        <f t="shared" si="1"/>
        <v>-27624.927884232598</v>
      </c>
      <c r="I43" s="42">
        <f>'[2]поточний ремонт'!I43+'[1]поточний ремонт'!I43</f>
        <v>0</v>
      </c>
      <c r="J43" s="42">
        <f>'[2]поточний ремонт'!J43+'[1]поточний ремонт'!J43</f>
        <v>0</v>
      </c>
      <c r="K43" s="958"/>
      <c r="L43" s="42">
        <f>'[2]поточний ремонт'!L43+'[1]поточний ремонт'!L43</f>
        <v>0</v>
      </c>
      <c r="M43" s="42">
        <f>'[2]поточний ремонт'!M43+'[1]поточний ремонт'!M43</f>
        <v>0</v>
      </c>
      <c r="N43" s="36"/>
      <c r="O43" s="42">
        <f>'[2]поточний ремонт'!O43+'[1]поточний ремонт'!O43</f>
        <v>0</v>
      </c>
      <c r="P43" s="42">
        <f>'[2]поточний ремонт'!P43+'[1]поточний ремонт'!P43</f>
        <v>0</v>
      </c>
      <c r="Q43" s="978"/>
      <c r="R43" s="42">
        <f>'[2]поточний ремонт'!R43+'[1]поточний ремонт'!R43</f>
        <v>0</v>
      </c>
      <c r="S43" s="42">
        <f>'[2]поточний ремонт'!S43+'[1]поточний ремонт'!S43</f>
        <v>0</v>
      </c>
      <c r="T43" s="960"/>
      <c r="U43" s="42">
        <f>'[2]поточний ремонт'!U43+'[1]поточний ремонт'!U43</f>
        <v>0</v>
      </c>
      <c r="V43" s="42">
        <f>'[2]поточний ремонт'!V43+'[1]поточний ремонт'!V43</f>
        <v>0</v>
      </c>
      <c r="W43" s="42">
        <f>'[2]поточний ремонт'!W43+'[1]поточний ремонт'!W43</f>
        <v>0</v>
      </c>
      <c r="X43" s="42">
        <f>'[2]поточний ремонт'!X43+'[1]поточний ремонт'!X43</f>
        <v>6242.22329078851</v>
      </c>
      <c r="Y43" s="42">
        <f>'[2]поточний ремонт'!Y43+'[1]поточний ремонт'!Y43</f>
        <v>0</v>
      </c>
      <c r="Z43" s="42">
        <f>'[2]поточний ремонт'!Z43+'[1]поточний ремонт'!Z43</f>
        <v>0</v>
      </c>
      <c r="AA43" s="42">
        <f>'[2]поточний ремонт'!AA43+'[1]поточний ремонт'!AA43</f>
        <v>0</v>
      </c>
      <c r="AB43" s="42">
        <f>'[2]поточний ремонт'!AB43+'[1]поточний ремонт'!AB43</f>
        <v>860.88916276447526</v>
      </c>
      <c r="AC43" s="42">
        <f>'[2]поточний ремонт'!AC43+'[1]поточний ремонт'!AC43</f>
        <v>0</v>
      </c>
      <c r="AD43" s="42">
        <f>'[2]поточний ремонт'!AD43+'[1]поточний ремонт'!AD43</f>
        <v>800.57627451729797</v>
      </c>
      <c r="AE43" s="42">
        <f>'[2]поточний ремонт'!AE43+'[1]поточний ремонт'!AE43</f>
        <v>1982.0423041105171</v>
      </c>
      <c r="AF43" s="42">
        <f>'[2]поточний ремонт'!AF43+'[1]поточний ремонт'!AF43</f>
        <v>3329.307448707822</v>
      </c>
      <c r="AG43" s="9"/>
      <c r="AH43" s="42">
        <f>'[2]поточний ремонт'!AH43+'[1]поточний ремонт'!AH43</f>
        <v>2590.7125673742535</v>
      </c>
      <c r="AI43" s="42">
        <f>'[2]поточний ремонт'!AI43+'[1]поточний ремонт'!AI43</f>
        <v>0</v>
      </c>
      <c r="AJ43" s="5"/>
      <c r="AK43" s="42">
        <f>'[2]поточний ремонт'!AK43+'[1]поточний ремонт'!AK43</f>
        <v>2701.0345771826196</v>
      </c>
      <c r="AL43" s="42">
        <f>'[2]поточний ремонт'!AL43+'[1]поточний ремонт'!AL43</f>
        <v>0</v>
      </c>
      <c r="AM43" s="5"/>
      <c r="AN43" s="42">
        <f>'[2]поточний ремонт'!AN43+'[1]поточний ремонт'!AN43</f>
        <v>0</v>
      </c>
      <c r="AO43" s="42">
        <f>'[2]поточний ремонт'!AO43+'[1]поточний ремонт'!AO43</f>
        <v>0</v>
      </c>
      <c r="AP43" s="5"/>
      <c r="AQ43" s="42">
        <f>'[2]поточний ремонт'!AQ43+'[1]поточний ремонт'!AQ43</f>
        <v>0</v>
      </c>
      <c r="AR43" s="42">
        <f>'[2]поточний ремонт'!AR43+'[1]поточний ремонт'!AR43</f>
        <v>0</v>
      </c>
      <c r="AS43" s="5"/>
      <c r="AT43" s="42">
        <f>'[2]поточний ремонт'!AT43+'[1]поточний ремонт'!AT43</f>
        <v>1398.5678170211443</v>
      </c>
      <c r="AU43" s="42">
        <f>'[2]поточний ремонт'!AU43+'[1]поточний ремонт'!AU43</f>
        <v>0</v>
      </c>
      <c r="AV43" s="5"/>
      <c r="AW43" s="42">
        <f>'[2]поточний ремонт'!AW43+'[1]поточний ремонт'!AW43</f>
        <v>25.598628809982401</v>
      </c>
      <c r="AX43" s="42">
        <f>'[2]поточний ремонт'!AX43+'[1]поточний ремонт'!AX43</f>
        <v>0</v>
      </c>
      <c r="AY43" s="5"/>
      <c r="AZ43" s="42">
        <f t="shared" si="2"/>
        <v>8697.9558944985183</v>
      </c>
      <c r="BA43" s="42">
        <f t="shared" si="3"/>
        <v>3329.307448707822</v>
      </c>
      <c r="BB43" s="58">
        <f t="shared" si="4"/>
        <v>-5368.6484457906963</v>
      </c>
      <c r="BD43" s="2">
        <v>2</v>
      </c>
      <c r="BF43" s="29">
        <v>5.2220876701914296</v>
      </c>
      <c r="BG43" s="318">
        <v>150000723</v>
      </c>
      <c r="BI43" s="104">
        <v>457.6</v>
      </c>
      <c r="BJ43" s="104">
        <f t="shared" si="5"/>
        <v>64.367022719999994</v>
      </c>
      <c r="BK43" s="104">
        <v>527.74358024959997</v>
      </c>
      <c r="BL43" s="38"/>
      <c r="BM43" s="3"/>
      <c r="BN43" s="3">
        <v>0</v>
      </c>
      <c r="BP43" s="3"/>
      <c r="BQ43" s="3"/>
      <c r="BS43" s="42"/>
      <c r="BT43" s="42">
        <v>0</v>
      </c>
      <c r="BU43" s="958"/>
      <c r="BV43" s="41"/>
      <c r="BW43" s="42"/>
      <c r="BX43" s="36"/>
      <c r="BY43" s="76"/>
      <c r="BZ43" s="42">
        <v>0</v>
      </c>
      <c r="CA43" s="978"/>
      <c r="CB43" s="41"/>
      <c r="CC43" s="41">
        <v>0</v>
      </c>
      <c r="CD43" s="960"/>
      <c r="CE43" s="76">
        <v>0</v>
      </c>
      <c r="CF43" s="55"/>
      <c r="CG43" s="41">
        <v>0</v>
      </c>
      <c r="CH43" s="38">
        <v>527.74358024959997</v>
      </c>
      <c r="CI43" s="76">
        <v>0</v>
      </c>
      <c r="CJ43" s="55"/>
      <c r="CK43" s="955"/>
      <c r="CL43" s="950"/>
      <c r="CM43" s="955"/>
      <c r="CN43" s="950">
        <v>0</v>
      </c>
      <c r="CO43" s="76">
        <v>161.76319254251757</v>
      </c>
      <c r="CP43" s="42">
        <v>0</v>
      </c>
      <c r="CQ43" s="9"/>
      <c r="CR43" s="76">
        <v>222.44441035159772</v>
      </c>
      <c r="CS43" s="954">
        <v>0</v>
      </c>
      <c r="CT43" s="5"/>
      <c r="CU43" s="76">
        <v>236.39588253679813</v>
      </c>
      <c r="CV43" s="42">
        <v>0</v>
      </c>
      <c r="CW43" s="5"/>
      <c r="CX43" s="76">
        <v>0</v>
      </c>
      <c r="CY43" s="42">
        <v>0</v>
      </c>
      <c r="CZ43" s="5"/>
      <c r="DA43" s="76">
        <v>0</v>
      </c>
      <c r="DB43" s="42">
        <v>0</v>
      </c>
      <c r="DC43" s="5"/>
      <c r="DD43" s="76">
        <v>89.759052147660768</v>
      </c>
      <c r="DE43" s="42">
        <v>0</v>
      </c>
      <c r="DF43" s="5"/>
      <c r="DG43" s="76">
        <v>0</v>
      </c>
      <c r="DH43" s="42"/>
      <c r="DI43" s="5"/>
      <c r="DJ43" s="42">
        <v>710.36253757857423</v>
      </c>
      <c r="DK43" s="42">
        <f t="shared" si="6"/>
        <v>0</v>
      </c>
      <c r="DL43" s="58">
        <f t="shared" si="7"/>
        <v>-710.36253757857423</v>
      </c>
      <c r="DM43" s="2">
        <v>2</v>
      </c>
    </row>
    <row r="44" spans="1:117" ht="24.9" customHeight="1" x14ac:dyDescent="0.3">
      <c r="A44" s="318">
        <v>150000724</v>
      </c>
      <c r="B44" s="44" t="s">
        <v>1753</v>
      </c>
      <c r="C44" s="956">
        <v>5</v>
      </c>
      <c r="D44" s="957" t="s">
        <v>454</v>
      </c>
      <c r="E44" s="949">
        <f>'побудинковий звіт'!E225</f>
        <v>605.5</v>
      </c>
      <c r="F44" s="950">
        <f>'побудинковий звіт'!AS225</f>
        <v>7941.7053326678679</v>
      </c>
      <c r="G44" s="950">
        <f t="shared" si="0"/>
        <v>19685.069240630281</v>
      </c>
      <c r="H44" s="950">
        <f t="shared" si="1"/>
        <v>11743.363907962412</v>
      </c>
      <c r="I44" s="42">
        <f>'[2]поточний ремонт'!I44+'[1]поточний ремонт'!I44</f>
        <v>10.975</v>
      </c>
      <c r="J44" s="42">
        <f>'[2]поточний ремонт'!J44+'[1]поточний ремонт'!J44</f>
        <v>9370.9662240047692</v>
      </c>
      <c r="K44" s="958"/>
      <c r="L44" s="42">
        <f>'[2]поточний ремонт'!L44+'[1]поточний ремонт'!L44</f>
        <v>0</v>
      </c>
      <c r="M44" s="42">
        <f>'[2]поточний ремонт'!M44+'[1]поточний ремонт'!M44</f>
        <v>0</v>
      </c>
      <c r="N44" s="36"/>
      <c r="O44" s="42">
        <f>'[2]поточний ремонт'!O44+'[1]поточний ремонт'!O44</f>
        <v>0</v>
      </c>
      <c r="P44" s="42">
        <f>'[2]поточний ремонт'!P44+'[1]поточний ремонт'!P44</f>
        <v>0</v>
      </c>
      <c r="Q44" s="978"/>
      <c r="R44" s="42">
        <f>'[2]поточний ремонт'!R44+'[1]поточний ремонт'!R44</f>
        <v>0</v>
      </c>
      <c r="S44" s="42">
        <f>'[2]поточний ремонт'!S44+'[1]поточний ремонт'!S44</f>
        <v>0</v>
      </c>
      <c r="T44" s="960"/>
      <c r="U44" s="42">
        <f>'[2]поточний ремонт'!U44+'[1]поточний ремонт'!U44</f>
        <v>0</v>
      </c>
      <c r="V44" s="42">
        <f>'[2]поточний ремонт'!V44+'[1]поточний ремонт'!V44</f>
        <v>0</v>
      </c>
      <c r="W44" s="42">
        <f>'[2]поточний ремонт'!W44+'[1]поточний ремонт'!W44</f>
        <v>0</v>
      </c>
      <c r="X44" s="42">
        <f>'[2]поточний ремонт'!X44+'[1]поточний ремонт'!X44</f>
        <v>0</v>
      </c>
      <c r="Y44" s="42">
        <f>'[2]поточний ремонт'!Y44+'[1]поточний ремонт'!Y44</f>
        <v>7131.7698783863052</v>
      </c>
      <c r="Z44" s="42">
        <f>'[2]поточний ремонт'!Z44+'[1]поточний ремонт'!Z44</f>
        <v>0</v>
      </c>
      <c r="AA44" s="42">
        <f>'[2]поточний ремонт'!AA44+'[1]поточний ремонт'!AA44</f>
        <v>0</v>
      </c>
      <c r="AB44" s="42">
        <f>'[2]поточний ремонт'!AB44+'[1]поточний ремонт'!AB44</f>
        <v>0</v>
      </c>
      <c r="AC44" s="42">
        <f>'[2]поточний ремонт'!AC44+'[1]поточний ремонт'!AC44</f>
        <v>0</v>
      </c>
      <c r="AD44" s="42">
        <f>'[2]поточний ремонт'!AD44+'[1]поточний ремонт'!AD44</f>
        <v>3182.3331382392057</v>
      </c>
      <c r="AE44" s="42">
        <f>'[2]поточний ремонт'!AE44+'[1]поточний ремонт'!AE44</f>
        <v>2038.9661213794766</v>
      </c>
      <c r="AF44" s="42">
        <f>'[2]поточний ремонт'!AF44+'[1]поточний ремонт'!AF44</f>
        <v>1294.188597259516</v>
      </c>
      <c r="AG44" s="5"/>
      <c r="AH44" s="42">
        <f>'[2]поточний ремонт'!AH44+'[1]поточний ремонт'!AH44</f>
        <v>2676.7185730800325</v>
      </c>
      <c r="AI44" s="42">
        <f>'[2]поточний ремонт'!AI44+'[1]поточний ремонт'!AI44</f>
        <v>0</v>
      </c>
      <c r="AJ44" s="5"/>
      <c r="AK44" s="42">
        <f>'[2]поточний ремонт'!AK44+'[1]поточний ремонт'!AK44</f>
        <v>2701.0345771826196</v>
      </c>
      <c r="AL44" s="42">
        <f>'[2]поточний ремонт'!AL44+'[1]поточний ремонт'!AL44</f>
        <v>0</v>
      </c>
      <c r="AM44" s="5"/>
      <c r="AN44" s="42">
        <f>'[2]поточний ремонт'!AN44+'[1]поточний ремонт'!AN44</f>
        <v>0</v>
      </c>
      <c r="AO44" s="42">
        <f>'[2]поточний ремонт'!AO44+'[1]поточний ремонт'!AO44</f>
        <v>0</v>
      </c>
      <c r="AP44" s="5"/>
      <c r="AQ44" s="42">
        <f>'[2]поточний ремонт'!AQ44+'[1]поточний ремонт'!AQ44</f>
        <v>0</v>
      </c>
      <c r="AR44" s="42">
        <f>'[2]поточний ремонт'!AR44+'[1]поточний ремонт'!AR44</f>
        <v>0</v>
      </c>
      <c r="AS44" s="5"/>
      <c r="AT44" s="42">
        <f>'[2]поточний ремонт'!AT44+'[1]поточний ремонт'!AT44</f>
        <v>1398.5678170211443</v>
      </c>
      <c r="AU44" s="42">
        <f>'[2]поточний ремонт'!AU44+'[1]поточний ремонт'!AU44</f>
        <v>131.88487087213676</v>
      </c>
      <c r="AV44" s="5"/>
      <c r="AW44" s="42">
        <f>'[2]поточний ремонт'!AW44+'[1]поточний ремонт'!AW44</f>
        <v>26.414271394614186</v>
      </c>
      <c r="AX44" s="42">
        <f>'[2]поточний ремонт'!AX44+'[1]поточний ремонт'!AX44</f>
        <v>7293.4097856278477</v>
      </c>
      <c r="AY44" s="5"/>
      <c r="AZ44" s="42">
        <f t="shared" si="2"/>
        <v>8841.7013600578885</v>
      </c>
      <c r="BA44" s="42">
        <f t="shared" si="3"/>
        <v>8719.4832537595012</v>
      </c>
      <c r="BB44" s="58">
        <f t="shared" si="4"/>
        <v>-122.21810629838728</v>
      </c>
      <c r="BD44" s="2">
        <v>2</v>
      </c>
      <c r="BF44" s="29">
        <v>5.2068978419847971</v>
      </c>
      <c r="BG44" s="318">
        <v>150000724</v>
      </c>
      <c r="BI44" s="104">
        <v>0</v>
      </c>
      <c r="BJ44" s="104">
        <f t="shared" si="5"/>
        <v>0</v>
      </c>
      <c r="BK44" s="104">
        <v>0</v>
      </c>
      <c r="BL44" s="38"/>
      <c r="BM44" s="3"/>
      <c r="BN44" s="3">
        <v>0</v>
      </c>
      <c r="BP44" s="3"/>
      <c r="BQ44" s="3"/>
      <c r="BS44" s="42"/>
      <c r="BT44" s="42">
        <v>0</v>
      </c>
      <c r="BU44" s="958"/>
      <c r="BV44" s="41"/>
      <c r="BW44" s="42"/>
      <c r="BX44" s="36"/>
      <c r="BY44" s="76"/>
      <c r="BZ44" s="42">
        <v>0</v>
      </c>
      <c r="CA44" s="978"/>
      <c r="CB44" s="41"/>
      <c r="CC44" s="41">
        <v>0</v>
      </c>
      <c r="CD44" s="960"/>
      <c r="CE44" s="76">
        <v>0</v>
      </c>
      <c r="CF44" s="55"/>
      <c r="CG44" s="41">
        <v>0</v>
      </c>
      <c r="CH44" s="38">
        <v>0</v>
      </c>
      <c r="CI44" s="76">
        <v>0</v>
      </c>
      <c r="CJ44" s="55"/>
      <c r="CK44" s="955"/>
      <c r="CL44" s="950"/>
      <c r="CM44" s="955"/>
      <c r="CN44" s="950">
        <v>0</v>
      </c>
      <c r="CO44" s="76">
        <v>161.73768957262746</v>
      </c>
      <c r="CP44" s="42">
        <v>1292.5792133935711</v>
      </c>
      <c r="CQ44" s="5"/>
      <c r="CR44" s="76">
        <v>222.44441035159772</v>
      </c>
      <c r="CS44" s="954">
        <v>0</v>
      </c>
      <c r="CT44" s="5"/>
      <c r="CU44" s="76">
        <v>236.39588253679813</v>
      </c>
      <c r="CV44" s="42">
        <v>0</v>
      </c>
      <c r="CW44" s="5"/>
      <c r="CX44" s="76">
        <v>0</v>
      </c>
      <c r="CY44" s="42">
        <v>0</v>
      </c>
      <c r="CZ44" s="5"/>
      <c r="DA44" s="76">
        <v>0</v>
      </c>
      <c r="DB44" s="42">
        <v>0</v>
      </c>
      <c r="DC44" s="5"/>
      <c r="DD44" s="76">
        <v>89.759052147660768</v>
      </c>
      <c r="DE44" s="42">
        <v>0</v>
      </c>
      <c r="DF44" s="5"/>
      <c r="DG44" s="76">
        <v>0</v>
      </c>
      <c r="DH44" s="42"/>
      <c r="DI44" s="5"/>
      <c r="DJ44" s="42">
        <v>710.33703460868412</v>
      </c>
      <c r="DK44" s="42">
        <f t="shared" si="6"/>
        <v>1292.5792133935711</v>
      </c>
      <c r="DL44" s="58">
        <f t="shared" si="7"/>
        <v>582.24217878488696</v>
      </c>
      <c r="DM44" s="2">
        <v>2</v>
      </c>
    </row>
    <row r="45" spans="1:117" ht="24.9" customHeight="1" x14ac:dyDescent="0.3">
      <c r="A45" s="318">
        <v>150000725</v>
      </c>
      <c r="B45" s="44" t="s">
        <v>1754</v>
      </c>
      <c r="C45" s="956">
        <v>5</v>
      </c>
      <c r="D45" s="957" t="s">
        <v>454</v>
      </c>
      <c r="E45" s="949">
        <f>'побудинковий звіт'!E226</f>
        <v>2135.1</v>
      </c>
      <c r="F45" s="950">
        <f>'побудинковий звіт'!AS226</f>
        <v>33722.223370918793</v>
      </c>
      <c r="G45" s="950">
        <f t="shared" si="0"/>
        <v>59628.339641065351</v>
      </c>
      <c r="H45" s="950">
        <f t="shared" si="1"/>
        <v>25906.116270146558</v>
      </c>
      <c r="I45" s="42">
        <f>'[2]поточний ремонт'!I45+'[1]поточний ремонт'!I45</f>
        <v>140</v>
      </c>
      <c r="J45" s="42">
        <f>'[2]поточний ремонт'!J45+'[1]поточний ремонт'!J45</f>
        <v>43193.740006575557</v>
      </c>
      <c r="K45" s="958"/>
      <c r="L45" s="42">
        <f>'[2]поточний ремонт'!L45+'[1]поточний ремонт'!L45</f>
        <v>0</v>
      </c>
      <c r="M45" s="42">
        <f>'[2]поточний ремонт'!M45+'[1]поточний ремонт'!M45</f>
        <v>0</v>
      </c>
      <c r="N45" s="36"/>
      <c r="O45" s="42">
        <f>'[2]поточний ремонт'!O45+'[1]поточний ремонт'!O45</f>
        <v>0</v>
      </c>
      <c r="P45" s="42">
        <f>'[2]поточний ремонт'!P45+'[1]поточний ремонт'!P45</f>
        <v>0</v>
      </c>
      <c r="Q45" s="959"/>
      <c r="R45" s="42">
        <f>'[2]поточний ремонт'!R45+'[1]поточний ремонт'!R45</f>
        <v>0</v>
      </c>
      <c r="S45" s="42">
        <f>'[2]поточний ремонт'!S45+'[1]поточний ремонт'!S45</f>
        <v>0</v>
      </c>
      <c r="T45" s="960"/>
      <c r="U45" s="42">
        <f>'[2]поточний ремонт'!U45+'[1]поточний ремонт'!U45</f>
        <v>0</v>
      </c>
      <c r="V45" s="42">
        <f>'[2]поточний ремонт'!V45+'[1]поточний ремонт'!V45</f>
        <v>0</v>
      </c>
      <c r="W45" s="42">
        <f>'[2]поточний ремонт'!W45+'[1]поточний ремонт'!W45</f>
        <v>16</v>
      </c>
      <c r="X45" s="42">
        <f>'[2]поточний ремонт'!X45+'[1]поточний ремонт'!X45</f>
        <v>15596.175520571929</v>
      </c>
      <c r="Y45" s="42">
        <f>'[2]поточний ремонт'!Y45+'[1]поточний ремонт'!Y45</f>
        <v>838.42411391786356</v>
      </c>
      <c r="Z45" s="42">
        <f>'[2]поточний ремонт'!Z45+'[1]поточний ремонт'!Z45</f>
        <v>0</v>
      </c>
      <c r="AA45" s="42">
        <f>'[2]поточний ремонт'!AA45+'[1]поточний ремонт'!AA45</f>
        <v>0</v>
      </c>
      <c r="AB45" s="42">
        <f>'[2]поточний ремонт'!AB45+'[1]поточний ремонт'!AB45</f>
        <v>0</v>
      </c>
      <c r="AC45" s="42">
        <f>'[2]поточний ремонт'!AC45+'[1]поточний ремонт'!AC45</f>
        <v>0</v>
      </c>
      <c r="AD45" s="42">
        <f>'[2]поточний ремонт'!AD45+'[1]поточний ремонт'!AD45</f>
        <v>0</v>
      </c>
      <c r="AE45" s="42">
        <f>'[2]поточний ремонт'!AE45+'[1]поточний ремонт'!AE45</f>
        <v>2131.9955489757476</v>
      </c>
      <c r="AF45" s="42">
        <f>'[2]поточний ремонт'!AF45+'[1]поточний ремонт'!AF45</f>
        <v>0</v>
      </c>
      <c r="AG45" s="5"/>
      <c r="AH45" s="42">
        <f>'[2]поточний ремонт'!AH45+'[1]поточний ремонт'!AH45</f>
        <v>2820.0619159229973</v>
      </c>
      <c r="AI45" s="42">
        <f>'[2]поточний ремонт'!AI45+'[1]поточний ремонт'!AI45</f>
        <v>5966.4304807987955</v>
      </c>
      <c r="AJ45" s="5"/>
      <c r="AK45" s="42">
        <f>'[2]поточний ремонт'!AK45+'[1]поточний ремонт'!AK45</f>
        <v>2845.1607509336304</v>
      </c>
      <c r="AL45" s="42">
        <f>'[2]поточний ремонт'!AL45+'[1]поточний ремонт'!AL45</f>
        <v>0</v>
      </c>
      <c r="AM45" s="5"/>
      <c r="AN45" s="42">
        <f>'[2]поточний ремонт'!AN45+'[1]поточний ремонт'!AN45</f>
        <v>0</v>
      </c>
      <c r="AO45" s="42">
        <f>'[2]поточний ремонт'!AO45+'[1]поточний ремонт'!AO45</f>
        <v>0</v>
      </c>
      <c r="AP45" s="5"/>
      <c r="AQ45" s="42">
        <f>'[2]поточний ремонт'!AQ45+'[1]поточний ремонт'!AQ45</f>
        <v>0</v>
      </c>
      <c r="AR45" s="42">
        <f>'[2]поточний ремонт'!AR45+'[1]поточний ремонт'!AR45</f>
        <v>0</v>
      </c>
      <c r="AS45" s="5"/>
      <c r="AT45" s="42">
        <f>'[2]поточний ремонт'!AT45+'[1]поточний ремонт'!AT45</f>
        <v>1398.5678170211443</v>
      </c>
      <c r="AU45" s="42">
        <f>'[2]поточний ремонт'!AU45+'[1]поточний ремонт'!AU45</f>
        <v>0</v>
      </c>
      <c r="AV45" s="5"/>
      <c r="AW45" s="42">
        <f>'[2]поточний ремонт'!AW45+'[1]поточний ремонт'!AW45</f>
        <v>26.414271394614186</v>
      </c>
      <c r="AX45" s="42">
        <f>'[2]поточний ремонт'!AX45+'[1]поточний ремонт'!AX45</f>
        <v>0</v>
      </c>
      <c r="AY45" s="5"/>
      <c r="AZ45" s="42">
        <f t="shared" si="2"/>
        <v>9222.2003042481356</v>
      </c>
      <c r="BA45" s="42">
        <f t="shared" si="3"/>
        <v>5966.4304807987955</v>
      </c>
      <c r="BB45" s="58">
        <f t="shared" si="4"/>
        <v>-3255.76982344934</v>
      </c>
      <c r="BD45" s="2">
        <v>2</v>
      </c>
      <c r="BF45" s="29">
        <v>5.2173554544809013</v>
      </c>
      <c r="BG45" s="318">
        <v>150000725</v>
      </c>
      <c r="BI45" s="104">
        <v>0</v>
      </c>
      <c r="BJ45" s="104">
        <f t="shared" si="5"/>
        <v>0</v>
      </c>
      <c r="BK45" s="104">
        <v>0</v>
      </c>
      <c r="BL45" s="38"/>
      <c r="BM45" s="3"/>
      <c r="BN45" s="3">
        <v>0</v>
      </c>
      <c r="BP45" s="3">
        <v>16</v>
      </c>
      <c r="BQ45" s="3">
        <v>15575</v>
      </c>
      <c r="BS45" s="42"/>
      <c r="BT45" s="42">
        <v>0</v>
      </c>
      <c r="BU45" s="958"/>
      <c r="BV45" s="41"/>
      <c r="BW45" s="42"/>
      <c r="BX45" s="36"/>
      <c r="BY45" s="76"/>
      <c r="BZ45" s="42">
        <v>0</v>
      </c>
      <c r="CA45" s="959"/>
      <c r="CB45" s="41"/>
      <c r="CC45" s="41">
        <v>0</v>
      </c>
      <c r="CD45" s="960"/>
      <c r="CE45" s="76">
        <v>0</v>
      </c>
      <c r="CF45" s="55"/>
      <c r="CG45" s="41">
        <v>16</v>
      </c>
      <c r="CH45" s="38">
        <v>15575</v>
      </c>
      <c r="CI45" s="76">
        <v>0</v>
      </c>
      <c r="CJ45" s="55"/>
      <c r="CK45" s="955"/>
      <c r="CL45" s="950"/>
      <c r="CM45" s="955"/>
      <c r="CN45" s="950">
        <v>0</v>
      </c>
      <c r="CO45" s="76">
        <v>161.73768957262746</v>
      </c>
      <c r="CP45" s="42">
        <v>0</v>
      </c>
      <c r="CQ45" s="5"/>
      <c r="CR45" s="76">
        <v>222.44441035159772</v>
      </c>
      <c r="CS45" s="954">
        <v>0</v>
      </c>
      <c r="CT45" s="5"/>
      <c r="CU45" s="76">
        <v>234.69993902206198</v>
      </c>
      <c r="CV45" s="42">
        <v>0</v>
      </c>
      <c r="CW45" s="5"/>
      <c r="CX45" s="76">
        <v>0</v>
      </c>
      <c r="CY45" s="42">
        <v>0</v>
      </c>
      <c r="CZ45" s="5"/>
      <c r="DA45" s="76">
        <v>0</v>
      </c>
      <c r="DB45" s="42">
        <v>0</v>
      </c>
      <c r="DC45" s="5"/>
      <c r="DD45" s="76">
        <v>89.759052147660768</v>
      </c>
      <c r="DE45" s="42">
        <v>0</v>
      </c>
      <c r="DF45" s="5"/>
      <c r="DG45" s="76">
        <v>0</v>
      </c>
      <c r="DH45" s="42"/>
      <c r="DI45" s="5"/>
      <c r="DJ45" s="42">
        <v>708.64109109394792</v>
      </c>
      <c r="DK45" s="42">
        <f t="shared" si="6"/>
        <v>0</v>
      </c>
      <c r="DL45" s="58">
        <f t="shared" si="7"/>
        <v>-708.64109109394792</v>
      </c>
      <c r="DM45" s="2">
        <v>2</v>
      </c>
    </row>
    <row r="46" spans="1:117" ht="24.9" customHeight="1" x14ac:dyDescent="0.3">
      <c r="A46" s="318">
        <v>150000648</v>
      </c>
      <c r="B46" s="44" t="s">
        <v>1807</v>
      </c>
      <c r="C46" s="956">
        <v>9</v>
      </c>
      <c r="D46" s="957" t="s">
        <v>454</v>
      </c>
      <c r="E46" s="949">
        <f>'побудинковий звіт'!E121</f>
        <v>2425.9</v>
      </c>
      <c r="F46" s="950">
        <f>'побудинковий звіт'!AS121</f>
        <v>51212.587186320663</v>
      </c>
      <c r="G46" s="950">
        <f t="shared" si="0"/>
        <v>61946.912743143344</v>
      </c>
      <c r="H46" s="950">
        <f t="shared" si="1"/>
        <v>10734.325556822681</v>
      </c>
      <c r="I46" s="42">
        <f>'[2]поточний ремонт'!I46+'[1]поточний ремонт'!I46</f>
        <v>8</v>
      </c>
      <c r="J46" s="42">
        <f>'[2]поточний ремонт'!J46+'[1]поточний ремонт'!J46</f>
        <v>1937</v>
      </c>
      <c r="K46" s="958"/>
      <c r="L46" s="42">
        <f>'[2]поточний ремонт'!L46+'[1]поточний ремонт'!L46</f>
        <v>0</v>
      </c>
      <c r="M46" s="42">
        <f>'[2]поточний ремонт'!M46+'[1]поточний ремонт'!M46</f>
        <v>0</v>
      </c>
      <c r="N46" s="36"/>
      <c r="O46" s="42">
        <f>'[2]поточний ремонт'!O46+'[1]поточний ремонт'!O46</f>
        <v>0</v>
      </c>
      <c r="P46" s="42">
        <f>'[2]поточний ремонт'!P46+'[1]поточний ремонт'!P46</f>
        <v>0</v>
      </c>
      <c r="Q46" s="959"/>
      <c r="R46" s="42">
        <f>'[2]поточний ремонт'!R46+'[1]поточний ремонт'!R46</f>
        <v>1</v>
      </c>
      <c r="S46" s="42">
        <f>'[2]поточний ремонт'!S46+'[1]поточний ремонт'!S46</f>
        <v>2722.7971606600272</v>
      </c>
      <c r="T46" s="960"/>
      <c r="U46" s="42">
        <f>'[2]поточний ремонт'!U46+'[1]поточний ремонт'!U46</f>
        <v>0</v>
      </c>
      <c r="V46" s="42">
        <f>'[2]поточний ремонт'!V46+'[1]поточний ремонт'!V46</f>
        <v>0</v>
      </c>
      <c r="W46" s="42">
        <f>'[2]поточний ремонт'!W46+'[1]поточний ремонт'!W46</f>
        <v>0</v>
      </c>
      <c r="X46" s="42">
        <f>'[2]поточний ремонт'!X46+'[1]поточний ремонт'!X46</f>
        <v>0</v>
      </c>
      <c r="Y46" s="42">
        <f>'[2]поточний ремонт'!Y46+'[1]поточний ремонт'!Y46</f>
        <v>55223.878679031317</v>
      </c>
      <c r="Z46" s="42">
        <f>'[2]поточний ремонт'!Z46+'[1]поточний ремонт'!Z46</f>
        <v>0</v>
      </c>
      <c r="AA46" s="42">
        <f>'[2]поточний ремонт'!AA46+'[1]поточний ремонт'!AA46</f>
        <v>0</v>
      </c>
      <c r="AB46" s="42">
        <f>'[2]поточний ремонт'!AB46+'[1]поточний ремонт'!AB46</f>
        <v>824.77083308471185</v>
      </c>
      <c r="AC46" s="42">
        <f>'[2]поточний ремонт'!AC46+'[1]поточний ремонт'!AC46</f>
        <v>0</v>
      </c>
      <c r="AD46" s="42">
        <f>'[2]поточний ремонт'!AD46+'[1]поточний ремонт'!AD46</f>
        <v>1238.4660703672903</v>
      </c>
      <c r="AE46" s="42">
        <f>'[2]поточний ремонт'!AE46+'[1]поточний ремонт'!AE46</f>
        <v>903.2348018563215</v>
      </c>
      <c r="AF46" s="42">
        <f>'[2]поточний ремонт'!AF46+'[1]поточний ремонт'!AF46</f>
        <v>0</v>
      </c>
      <c r="AG46" s="5"/>
      <c r="AH46" s="42">
        <f>'[2]поточний ремонт'!AH46+'[1]поточний ремонт'!AH46</f>
        <v>1021.6694622485564</v>
      </c>
      <c r="AI46" s="42">
        <f>'[2]поточний ремонт'!AI46+'[1]поточний ремонт'!AI46</f>
        <v>0</v>
      </c>
      <c r="AJ46" s="5"/>
      <c r="AK46" s="42">
        <f>'[2]поточний ремонт'!AK46+'[1]поточний ремонт'!AK46</f>
        <v>2048.4647239566061</v>
      </c>
      <c r="AL46" s="42">
        <f>'[2]поточний ремонт'!AL46+'[1]поточний ремонт'!AL46</f>
        <v>639.51295309639056</v>
      </c>
      <c r="AM46" s="5"/>
      <c r="AN46" s="42">
        <f>'[2]поточний ремонт'!AN46+'[1]поточний ремонт'!AN46</f>
        <v>695.89878543384225</v>
      </c>
      <c r="AO46" s="42">
        <f>'[2]поточний ремонт'!AO46+'[1]поточний ремонт'!AO46</f>
        <v>0</v>
      </c>
      <c r="AP46" s="5"/>
      <c r="AQ46" s="42">
        <f>'[2]поточний ремонт'!AQ46+'[1]поточний ремонт'!AQ46</f>
        <v>211.58029675967668</v>
      </c>
      <c r="AR46" s="42">
        <f>'[2]поточний ремонт'!AR46+'[1]поточний ремонт'!AR46</f>
        <v>0</v>
      </c>
      <c r="AS46" s="5"/>
      <c r="AT46" s="42">
        <f>'[2]поточний ремонт'!AT46+'[1]поточний ремонт'!AT46</f>
        <v>536.29665633632635</v>
      </c>
      <c r="AU46" s="42">
        <f>'[2]поточний ремонт'!AU46+'[1]поточний ремонт'!AU46</f>
        <v>0</v>
      </c>
      <c r="AV46" s="5"/>
      <c r="AW46" s="42">
        <f>'[2]поточний ремонт'!AW46+'[1]поточний ремонт'!AW46</f>
        <v>62.741737279368607</v>
      </c>
      <c r="AX46" s="42">
        <f>'[2]поточний ремонт'!AX46+'[1]поточний ремонт'!AX46</f>
        <v>4182.1384116839999</v>
      </c>
      <c r="AY46" s="5"/>
      <c r="AZ46" s="42">
        <f t="shared" si="2"/>
        <v>5479.8864638706973</v>
      </c>
      <c r="BA46" s="42">
        <f t="shared" si="3"/>
        <v>4821.6513647803904</v>
      </c>
      <c r="BB46" s="58">
        <f t="shared" si="4"/>
        <v>-658.2350990903069</v>
      </c>
      <c r="BD46" s="2">
        <v>3</v>
      </c>
      <c r="BF46" s="29">
        <v>285.17895338918277</v>
      </c>
      <c r="BG46" s="318">
        <v>150000648</v>
      </c>
      <c r="BI46" s="104">
        <v>0</v>
      </c>
      <c r="BJ46" s="104">
        <f t="shared" si="5"/>
        <v>0</v>
      </c>
      <c r="BK46" s="104">
        <v>0</v>
      </c>
      <c r="BL46" s="38"/>
      <c r="BM46" s="3"/>
      <c r="BN46" s="3">
        <v>0</v>
      </c>
      <c r="BP46" s="3"/>
      <c r="BQ46" s="3"/>
      <c r="BS46" s="42"/>
      <c r="BT46" s="42">
        <v>0</v>
      </c>
      <c r="BU46" s="958"/>
      <c r="BV46" s="41"/>
      <c r="BW46" s="42"/>
      <c r="BX46" s="36"/>
      <c r="BY46" s="76"/>
      <c r="BZ46" s="42">
        <v>0</v>
      </c>
      <c r="CA46" s="959"/>
      <c r="CB46" s="41">
        <v>0</v>
      </c>
      <c r="CC46" s="41">
        <v>0</v>
      </c>
      <c r="CD46" s="960"/>
      <c r="CE46" s="76">
        <v>0</v>
      </c>
      <c r="CF46" s="55"/>
      <c r="CG46" s="41">
        <v>0</v>
      </c>
      <c r="CH46" s="38">
        <v>0</v>
      </c>
      <c r="CI46" s="76">
        <v>0</v>
      </c>
      <c r="CJ46" s="55"/>
      <c r="CK46" s="955"/>
      <c r="CL46" s="950"/>
      <c r="CM46" s="955"/>
      <c r="CN46" s="950">
        <v>0</v>
      </c>
      <c r="CO46" s="76">
        <v>62.497746157882887</v>
      </c>
      <c r="CP46" s="42">
        <v>0</v>
      </c>
      <c r="CQ46" s="5"/>
      <c r="CR46" s="76">
        <v>76.511705523972509</v>
      </c>
      <c r="CS46" s="954">
        <v>0</v>
      </c>
      <c r="CT46" s="5"/>
      <c r="CU46" s="76">
        <v>167.94803726419445</v>
      </c>
      <c r="CV46" s="42">
        <v>0</v>
      </c>
      <c r="CW46" s="5"/>
      <c r="CX46" s="76">
        <v>55.796537669338626</v>
      </c>
      <c r="CY46" s="42">
        <v>0</v>
      </c>
      <c r="CZ46" s="5"/>
      <c r="DA46" s="76">
        <v>16.490308828845698</v>
      </c>
      <c r="DB46" s="42">
        <v>0</v>
      </c>
      <c r="DC46" s="5"/>
      <c r="DD46" s="76">
        <v>21.690396695009156</v>
      </c>
      <c r="DE46" s="42">
        <v>0</v>
      </c>
      <c r="DF46" s="5"/>
      <c r="DG46" s="76">
        <v>0</v>
      </c>
      <c r="DH46" s="42"/>
      <c r="DI46" s="5"/>
      <c r="DJ46" s="42">
        <v>400.93473213924335</v>
      </c>
      <c r="DK46" s="42">
        <f t="shared" si="6"/>
        <v>0</v>
      </c>
      <c r="DL46" s="58">
        <f t="shared" si="7"/>
        <v>-400.93473213924335</v>
      </c>
      <c r="DM46" s="2">
        <v>3</v>
      </c>
    </row>
    <row r="47" spans="1:117" ht="24.9" customHeight="1" x14ac:dyDescent="0.3">
      <c r="A47" s="318">
        <v>150000497</v>
      </c>
      <c r="B47" s="44" t="s">
        <v>340</v>
      </c>
      <c r="C47" s="956">
        <v>9</v>
      </c>
      <c r="D47" s="957" t="s">
        <v>454</v>
      </c>
      <c r="E47" s="949">
        <f>'побудинковий звіт'!E14</f>
        <v>3179.26</v>
      </c>
      <c r="F47" s="950">
        <f>'побудинковий звіт'!AS14</f>
        <v>43713.889923322713</v>
      </c>
      <c r="G47" s="950">
        <f t="shared" si="0"/>
        <v>10007.308689914929</v>
      </c>
      <c r="H47" s="950">
        <f t="shared" si="1"/>
        <v>-33706.581233407785</v>
      </c>
      <c r="I47" s="42">
        <f>'[2]поточний ремонт'!I47+'[1]поточний ремонт'!I47</f>
        <v>0</v>
      </c>
      <c r="J47" s="42">
        <f>'[2]поточний ремонт'!J47+'[1]поточний ремонт'!J47</f>
        <v>0</v>
      </c>
      <c r="K47" s="964"/>
      <c r="L47" s="42">
        <f>'[2]поточний ремонт'!L47+'[1]поточний ремонт'!L47</f>
        <v>0</v>
      </c>
      <c r="M47" s="42">
        <f>'[2]поточний ремонт'!M47+'[1]поточний ремонт'!M47</f>
        <v>0</v>
      </c>
      <c r="N47" s="36"/>
      <c r="O47" s="42">
        <f>'[2]поточний ремонт'!O47+'[1]поточний ремонт'!O47</f>
        <v>0</v>
      </c>
      <c r="P47" s="42">
        <f>'[2]поточний ремонт'!P47+'[1]поточний ремонт'!P47</f>
        <v>0</v>
      </c>
      <c r="Q47" s="959"/>
      <c r="R47" s="42">
        <f>'[2]поточний ремонт'!R47+'[1]поточний ремонт'!R47</f>
        <v>0</v>
      </c>
      <c r="S47" s="42">
        <f>'[2]поточний ремонт'!S47+'[1]поточний ремонт'!S47</f>
        <v>0</v>
      </c>
      <c r="T47" s="960"/>
      <c r="U47" s="42">
        <f>'[2]поточний ремонт'!U47+'[1]поточний ремонт'!U47</f>
        <v>0</v>
      </c>
      <c r="V47" s="42">
        <f>'[2]поточний ремонт'!V47+'[1]поточний ремонт'!V47</f>
        <v>0</v>
      </c>
      <c r="W47" s="42">
        <f>'[2]поточний ремонт'!W47+'[1]поточний ремонт'!W47</f>
        <v>7</v>
      </c>
      <c r="X47" s="42">
        <f>'[2]поточний ремонт'!X47+'[1]поточний ремонт'!X47</f>
        <v>1319.5434145081633</v>
      </c>
      <c r="Y47" s="42">
        <f>'[2]поточний ремонт'!Y47+'[1]поточний ремонт'!Y47</f>
        <v>7864.6253898669129</v>
      </c>
      <c r="Z47" s="42">
        <f>'[2]поточний ремонт'!Z47+'[1]поточний ремонт'!Z47</f>
        <v>0</v>
      </c>
      <c r="AA47" s="42">
        <f>'[2]поточний ремонт'!AA47+'[1]поточний ремонт'!AA47</f>
        <v>0</v>
      </c>
      <c r="AB47" s="42">
        <f>'[2]поточний ремонт'!AB47+'[1]поточний ремонт'!AB47</f>
        <v>396.02666297208384</v>
      </c>
      <c r="AC47" s="42">
        <f>'[2]поточний ремонт'!AC47+'[1]поточний ремонт'!AC47</f>
        <v>427.11322256776924</v>
      </c>
      <c r="AD47" s="42">
        <f>'[2]поточний ремонт'!AD47+'[1]поточний ремонт'!AD47</f>
        <v>0</v>
      </c>
      <c r="AE47" s="42">
        <f>'[2]поточний ремонт'!AE47+'[1]поточний ремонт'!AE47</f>
        <v>1468.276062776459</v>
      </c>
      <c r="AF47" s="42">
        <f>'[2]поточний ремонт'!AF47+'[1]поточний ремонт'!AF47</f>
        <v>10985.280685587217</v>
      </c>
      <c r="AG47" s="5"/>
      <c r="AH47" s="42">
        <f>'[2]поточний ремонт'!AH47+'[1]поточний ремонт'!AH47</f>
        <v>1415.0796278909347</v>
      </c>
      <c r="AI47" s="42">
        <f>'[2]поточний ремонт'!AI47+'[1]поточний ремонт'!AI47</f>
        <v>1542.89744798531</v>
      </c>
      <c r="AJ47" s="5"/>
      <c r="AK47" s="42">
        <f>'[2]поточний ремонт'!AK47+'[1]поточний ремонт'!AK47</f>
        <v>1406.3516167263292</v>
      </c>
      <c r="AL47" s="42">
        <f>'[2]поточний ремонт'!AL47+'[1]поточний ремонт'!AL47</f>
        <v>1957.6765178958926</v>
      </c>
      <c r="AM47" s="5"/>
      <c r="AN47" s="42">
        <f>'[2]поточний ремонт'!AN47+'[1]поточний ремонт'!AN47</f>
        <v>606.49667921783998</v>
      </c>
      <c r="AO47" s="42">
        <f>'[2]поточний ремонт'!AO47+'[1]поточний ремонт'!AO47</f>
        <v>912.29523135982788</v>
      </c>
      <c r="AP47" s="5"/>
      <c r="AQ47" s="42">
        <f>'[2]поточний ремонт'!AQ47+'[1]поточний ремонт'!AQ47</f>
        <v>402.94386072459065</v>
      </c>
      <c r="AR47" s="42">
        <f>'[2]поточний ремонт'!AR47+'[1]поточний ремонт'!AR47</f>
        <v>0</v>
      </c>
      <c r="AS47" s="5"/>
      <c r="AT47" s="42">
        <f>'[2]поточний ремонт'!AT47+'[1]поточний ремонт'!AT47</f>
        <v>1153.2332865507212</v>
      </c>
      <c r="AU47" s="42">
        <f>'[2]поточний ремонт'!AU47+'[1]поточний ремонт'!AU47</f>
        <v>5904.4234222670102</v>
      </c>
      <c r="AV47" s="5"/>
      <c r="AW47" s="42">
        <f>'[2]поточний ремонт'!AW47+'[1]поточний ремонт'!AW47</f>
        <v>311.90844034223414</v>
      </c>
      <c r="AX47" s="42">
        <f>'[2]поточний ремонт'!AX47+'[1]поточний ремонт'!AX47</f>
        <v>0</v>
      </c>
      <c r="AY47" s="5"/>
      <c r="AZ47" s="42">
        <f t="shared" si="2"/>
        <v>6764.2895742291084</v>
      </c>
      <c r="BA47" s="42">
        <f t="shared" si="3"/>
        <v>21302.573305095255</v>
      </c>
      <c r="BB47" s="58">
        <f t="shared" si="4"/>
        <v>14538.283730866147</v>
      </c>
      <c r="BD47" s="2">
        <v>1</v>
      </c>
      <c r="BF47" s="29">
        <v>227.77449042766989</v>
      </c>
      <c r="BG47" s="318">
        <v>150000497</v>
      </c>
      <c r="BI47" s="104">
        <v>0</v>
      </c>
      <c r="BJ47" s="104">
        <f t="shared" si="5"/>
        <v>0</v>
      </c>
      <c r="BK47" s="104">
        <v>0</v>
      </c>
      <c r="BL47" s="38"/>
      <c r="BM47" s="3">
        <v>3</v>
      </c>
      <c r="BN47" s="3">
        <v>891.33157437400178</v>
      </c>
      <c r="BP47" s="3"/>
      <c r="BQ47" s="3"/>
      <c r="BS47" s="42"/>
      <c r="BT47" s="42">
        <v>0</v>
      </c>
      <c r="BU47" s="964"/>
      <c r="BV47" s="41"/>
      <c r="BW47" s="42"/>
      <c r="BX47" s="36"/>
      <c r="BY47" s="76"/>
      <c r="BZ47" s="42">
        <v>0</v>
      </c>
      <c r="CA47" s="959"/>
      <c r="CB47" s="41">
        <v>0</v>
      </c>
      <c r="CC47" s="41">
        <v>0</v>
      </c>
      <c r="CD47" s="960"/>
      <c r="CE47" s="76">
        <v>0</v>
      </c>
      <c r="CF47" s="55"/>
      <c r="CG47" s="41">
        <v>3</v>
      </c>
      <c r="CH47" s="38">
        <v>891.33157437400178</v>
      </c>
      <c r="CI47" s="76">
        <v>0</v>
      </c>
      <c r="CJ47" s="55"/>
      <c r="CK47" s="955"/>
      <c r="CL47" s="950"/>
      <c r="CM47" s="955">
        <v>236</v>
      </c>
      <c r="CN47" s="950">
        <v>0</v>
      </c>
      <c r="CO47" s="76">
        <v>94.889741545992408</v>
      </c>
      <c r="CP47" s="42">
        <v>0</v>
      </c>
      <c r="CQ47" s="5"/>
      <c r="CR47" s="76">
        <v>114.23699709593653</v>
      </c>
      <c r="CS47" s="954">
        <v>0</v>
      </c>
      <c r="CT47" s="5"/>
      <c r="CU47" s="76">
        <v>112.40640487719344</v>
      </c>
      <c r="CV47" s="42">
        <v>0</v>
      </c>
      <c r="CW47" s="5"/>
      <c r="CX47" s="76">
        <v>52.715942671092179</v>
      </c>
      <c r="CY47" s="42">
        <v>911.16074970125203</v>
      </c>
      <c r="CZ47" s="5"/>
      <c r="DA47" s="76">
        <v>32.980617657691397</v>
      </c>
      <c r="DB47" s="42">
        <v>0</v>
      </c>
      <c r="DC47" s="5"/>
      <c r="DD47" s="76">
        <v>58.924411006931976</v>
      </c>
      <c r="DE47" s="42">
        <v>0</v>
      </c>
      <c r="DF47" s="5"/>
      <c r="DG47" s="76">
        <v>26.931157963619381</v>
      </c>
      <c r="DH47" s="42"/>
      <c r="DI47" s="5"/>
      <c r="DJ47" s="42">
        <v>493.08527281845733</v>
      </c>
      <c r="DK47" s="42">
        <f t="shared" si="6"/>
        <v>911.16074970125203</v>
      </c>
      <c r="DL47" s="58">
        <f t="shared" si="7"/>
        <v>418.0754768827947</v>
      </c>
      <c r="DM47" s="2">
        <v>1</v>
      </c>
    </row>
    <row r="48" spans="1:117" ht="24.9" customHeight="1" x14ac:dyDescent="0.3">
      <c r="A48" s="318">
        <v>150000495</v>
      </c>
      <c r="B48" s="44" t="s">
        <v>147</v>
      </c>
      <c r="C48" s="956">
        <v>2</v>
      </c>
      <c r="D48" s="957" t="s">
        <v>454</v>
      </c>
      <c r="E48" s="949">
        <f>'побудинковий звіт'!E15</f>
        <v>2915.8</v>
      </c>
      <c r="F48" s="950">
        <f>'побудинковий звіт'!AS15</f>
        <v>37780.807387763336</v>
      </c>
      <c r="G48" s="950">
        <f t="shared" si="0"/>
        <v>494.43015558954403</v>
      </c>
      <c r="H48" s="950">
        <f t="shared" si="1"/>
        <v>-37286.377232173792</v>
      </c>
      <c r="I48" s="42">
        <f>'[2]поточний ремонт'!I48+'[1]поточний ремонт'!I48</f>
        <v>0</v>
      </c>
      <c r="J48" s="42">
        <f>'[2]поточний ремонт'!J48+'[1]поточний ремонт'!J48</f>
        <v>0</v>
      </c>
      <c r="K48" s="962"/>
      <c r="L48" s="42">
        <f>'[2]поточний ремонт'!L48+'[1]поточний ремонт'!L48</f>
        <v>0</v>
      </c>
      <c r="M48" s="42">
        <f>'[2]поточний ремонт'!M48+'[1]поточний ремонт'!M48</f>
        <v>0</v>
      </c>
      <c r="N48" s="36"/>
      <c r="O48" s="42">
        <f>'[2]поточний ремонт'!O48+'[1]поточний ремонт'!O48</f>
        <v>0</v>
      </c>
      <c r="P48" s="42">
        <f>'[2]поточний ремонт'!P48+'[1]поточний ремонт'!P48</f>
        <v>0</v>
      </c>
      <c r="Q48" s="959"/>
      <c r="R48" s="42">
        <f>'[2]поточний ремонт'!R48+'[1]поточний ремонт'!R48</f>
        <v>0</v>
      </c>
      <c r="S48" s="42">
        <f>'[2]поточний ремонт'!S48+'[1]поточний ремонт'!S48</f>
        <v>0</v>
      </c>
      <c r="T48" s="960"/>
      <c r="U48" s="42">
        <f>'[2]поточний ремонт'!U48+'[1]поточний ремонт'!U48</f>
        <v>0</v>
      </c>
      <c r="V48" s="42">
        <f>'[2]поточний ремонт'!V48+'[1]поточний ремонт'!V48</f>
        <v>0</v>
      </c>
      <c r="W48" s="42">
        <f>'[2]поточний ремонт'!W48+'[1]поточний ремонт'!W48</f>
        <v>0</v>
      </c>
      <c r="X48" s="42">
        <f>'[2]поточний ремонт'!X48+'[1]поточний ремонт'!X48</f>
        <v>114.31344225700985</v>
      </c>
      <c r="Y48" s="42">
        <f>'[2]поточний ремонт'!Y48+'[1]поточний ремонт'!Y48</f>
        <v>0</v>
      </c>
      <c r="Z48" s="42">
        <f>'[2]поточний ремонт'!Z48+'[1]поточний ремонт'!Z48</f>
        <v>0</v>
      </c>
      <c r="AA48" s="42">
        <f>'[2]поточний ремонт'!AA48+'[1]поточний ремонт'!AA48</f>
        <v>0</v>
      </c>
      <c r="AB48" s="42">
        <f>'[2]поточний ремонт'!AB48+'[1]поточний ремонт'!AB48</f>
        <v>0</v>
      </c>
      <c r="AC48" s="42">
        <f>'[2]поточний ремонт'!AC48+'[1]поточний ремонт'!AC48</f>
        <v>380.11671333253418</v>
      </c>
      <c r="AD48" s="42">
        <f>'[2]поточний ремонт'!AD48+'[1]поточний ремонт'!AD48</f>
        <v>0</v>
      </c>
      <c r="AE48" s="42">
        <f>'[2]поточний ремонт'!AE48+'[1]поточний ремонт'!AE48</f>
        <v>367.23590140962767</v>
      </c>
      <c r="AF48" s="42">
        <f>'[2]поточний ремонт'!AF48+'[1]поточний ремонт'!AF48</f>
        <v>0</v>
      </c>
      <c r="AG48" s="5"/>
      <c r="AH48" s="42">
        <f>'[2]поточний ремонт'!AH48+'[1]поточний ремонт'!AH48</f>
        <v>538.65053419094522</v>
      </c>
      <c r="AI48" s="42">
        <f>'[2]поточний ремонт'!AI48+'[1]поточний ремонт'!AI48</f>
        <v>0</v>
      </c>
      <c r="AJ48" s="5"/>
      <c r="AK48" s="42">
        <f>'[2]поточний ремонт'!AK48+'[1]поточний ремонт'!AK48</f>
        <v>176.55747417096572</v>
      </c>
      <c r="AL48" s="42">
        <f>'[2]поточний ремонт'!AL48+'[1]поточний ремонт'!AL48</f>
        <v>0</v>
      </c>
      <c r="AM48" s="5"/>
      <c r="AN48" s="42">
        <f>'[2]поточний ремонт'!AN48+'[1]поточний ремонт'!AN48</f>
        <v>0</v>
      </c>
      <c r="AO48" s="42">
        <f>'[2]поточний ремонт'!AO48+'[1]поточний ремонт'!AO48</f>
        <v>0</v>
      </c>
      <c r="AP48" s="5"/>
      <c r="AQ48" s="42">
        <f>'[2]поточний ремонт'!AQ48+'[1]поточний ремонт'!AQ48</f>
        <v>33.081926391429903</v>
      </c>
      <c r="AR48" s="42">
        <f>'[2]поточний ремонт'!AR48+'[1]поточний ремонт'!AR48</f>
        <v>0</v>
      </c>
      <c r="AS48" s="5"/>
      <c r="AT48" s="42">
        <f>'[2]поточний ремонт'!AT48+'[1]поточний ремонт'!AT48</f>
        <v>130.30722108671688</v>
      </c>
      <c r="AU48" s="42">
        <f>'[2]поточний ремонт'!AU48+'[1]поточний ремонт'!AU48</f>
        <v>0</v>
      </c>
      <c r="AV48" s="5"/>
      <c r="AW48" s="42">
        <f>'[2]поточний ремонт'!AW48+'[1]поточний ремонт'!AW48</f>
        <v>161.13351683929983</v>
      </c>
      <c r="AX48" s="42">
        <f>'[2]поточний ремонт'!AX48+'[1]поточний ремонт'!AX48</f>
        <v>855.20707564400414</v>
      </c>
      <c r="AY48" s="5"/>
      <c r="AZ48" s="42">
        <f t="shared" si="2"/>
        <v>1406.9665740889852</v>
      </c>
      <c r="BA48" s="42">
        <f t="shared" si="3"/>
        <v>855.20707564400414</v>
      </c>
      <c r="BB48" s="58">
        <f t="shared" si="4"/>
        <v>-551.75949844498109</v>
      </c>
      <c r="BD48" s="2">
        <v>1</v>
      </c>
      <c r="BF48" s="29">
        <v>19.204108725851547</v>
      </c>
      <c r="BG48" s="318">
        <v>150000495</v>
      </c>
      <c r="BI48" s="104">
        <v>8.3800000000000008</v>
      </c>
      <c r="BJ48" s="104">
        <f t="shared" si="5"/>
        <v>1.178749236</v>
      </c>
      <c r="BK48" s="104">
        <v>9.6645349704800019</v>
      </c>
      <c r="BL48" s="38"/>
      <c r="BM48" s="3"/>
      <c r="BN48" s="3">
        <v>0</v>
      </c>
      <c r="BP48" s="3"/>
      <c r="BQ48" s="3"/>
      <c r="BS48" s="42"/>
      <c r="BT48" s="42">
        <v>0</v>
      </c>
      <c r="BU48" s="962"/>
      <c r="BV48" s="41"/>
      <c r="BW48" s="42"/>
      <c r="BX48" s="36"/>
      <c r="BY48" s="76"/>
      <c r="BZ48" s="42">
        <v>0</v>
      </c>
      <c r="CA48" s="959"/>
      <c r="CB48" s="41">
        <v>0</v>
      </c>
      <c r="CC48" s="41">
        <v>0</v>
      </c>
      <c r="CD48" s="960"/>
      <c r="CE48" s="76">
        <v>0</v>
      </c>
      <c r="CF48" s="55"/>
      <c r="CG48" s="41">
        <v>0</v>
      </c>
      <c r="CH48" s="38">
        <v>9.6645349704800019</v>
      </c>
      <c r="CI48" s="76">
        <v>0</v>
      </c>
      <c r="CJ48" s="55"/>
      <c r="CK48" s="955"/>
      <c r="CL48" s="950"/>
      <c r="CM48" s="955"/>
      <c r="CN48" s="950">
        <v>0</v>
      </c>
      <c r="CO48" s="76">
        <v>33.848154149861578</v>
      </c>
      <c r="CP48" s="42">
        <v>0</v>
      </c>
      <c r="CQ48" s="5"/>
      <c r="CR48" s="76">
        <v>45.667834559974651</v>
      </c>
      <c r="CS48" s="954">
        <v>0</v>
      </c>
      <c r="CT48" s="5"/>
      <c r="CU48" s="76">
        <v>15.751031814435738</v>
      </c>
      <c r="CV48" s="42">
        <v>0</v>
      </c>
      <c r="CW48" s="5"/>
      <c r="CX48" s="76">
        <v>0</v>
      </c>
      <c r="CY48" s="42">
        <v>0</v>
      </c>
      <c r="CZ48" s="5"/>
      <c r="DA48" s="76">
        <v>0</v>
      </c>
      <c r="DB48" s="42">
        <v>0</v>
      </c>
      <c r="DC48" s="5"/>
      <c r="DD48" s="76">
        <v>9.8856385409863776</v>
      </c>
      <c r="DE48" s="42">
        <v>0</v>
      </c>
      <c r="DF48" s="5"/>
      <c r="DG48" s="76">
        <v>13.953532419340904</v>
      </c>
      <c r="DH48" s="42"/>
      <c r="DI48" s="5"/>
      <c r="DJ48" s="42">
        <v>119.10619148459924</v>
      </c>
      <c r="DK48" s="42">
        <f t="shared" si="6"/>
        <v>0</v>
      </c>
      <c r="DL48" s="58">
        <f t="shared" si="7"/>
        <v>-119.10619148459924</v>
      </c>
      <c r="DM48" s="2">
        <v>1</v>
      </c>
    </row>
    <row r="49" spans="1:117" ht="24.9" customHeight="1" x14ac:dyDescent="0.3">
      <c r="A49" s="318">
        <v>150000496</v>
      </c>
      <c r="B49" s="44" t="s">
        <v>148</v>
      </c>
      <c r="C49" s="956">
        <v>2</v>
      </c>
      <c r="D49" s="957" t="s">
        <v>454</v>
      </c>
      <c r="E49" s="949">
        <f>'побудинковий звіт'!E16</f>
        <v>2296.6</v>
      </c>
      <c r="F49" s="950">
        <f>'побудинковий звіт'!AS16</f>
        <v>26366.941840442487</v>
      </c>
      <c r="G49" s="950">
        <f t="shared" si="0"/>
        <v>114.31344225700985</v>
      </c>
      <c r="H49" s="950">
        <f t="shared" si="1"/>
        <v>-26252.628398185476</v>
      </c>
      <c r="I49" s="42">
        <f>'[2]поточний ремонт'!I49+'[1]поточний ремонт'!I49</f>
        <v>0</v>
      </c>
      <c r="J49" s="42">
        <f>'[2]поточний ремонт'!J49+'[1]поточний ремонт'!J49</f>
        <v>0</v>
      </c>
      <c r="K49" s="958"/>
      <c r="L49" s="42">
        <f>'[2]поточний ремонт'!L49+'[1]поточний ремонт'!L49</f>
        <v>0</v>
      </c>
      <c r="M49" s="42">
        <f>'[2]поточний ремонт'!M49+'[1]поточний ремонт'!M49</f>
        <v>0</v>
      </c>
      <c r="N49" s="36"/>
      <c r="O49" s="42">
        <f>'[2]поточний ремонт'!O49+'[1]поточний ремонт'!O49</f>
        <v>0</v>
      </c>
      <c r="P49" s="42">
        <f>'[2]поточний ремонт'!P49+'[1]поточний ремонт'!P49</f>
        <v>0</v>
      </c>
      <c r="Q49" s="959"/>
      <c r="R49" s="42">
        <f>'[2]поточний ремонт'!R49+'[1]поточний ремонт'!R49</f>
        <v>0</v>
      </c>
      <c r="S49" s="42">
        <f>'[2]поточний ремонт'!S49+'[1]поточний ремонт'!S49</f>
        <v>0</v>
      </c>
      <c r="T49" s="960"/>
      <c r="U49" s="42">
        <f>'[2]поточний ремонт'!U49+'[1]поточний ремонт'!U49</f>
        <v>0</v>
      </c>
      <c r="V49" s="42">
        <f>'[2]поточний ремонт'!V49+'[1]поточний ремонт'!V49</f>
        <v>0</v>
      </c>
      <c r="W49" s="42">
        <f>'[2]поточний ремонт'!W49+'[1]поточний ремонт'!W49</f>
        <v>0</v>
      </c>
      <c r="X49" s="42">
        <f>'[2]поточний ремонт'!X49+'[1]поточний ремонт'!X49</f>
        <v>114.31344225700985</v>
      </c>
      <c r="Y49" s="42">
        <f>'[2]поточний ремонт'!Y49+'[1]поточний ремонт'!Y49</f>
        <v>0</v>
      </c>
      <c r="Z49" s="42">
        <f>'[2]поточний ремонт'!Z49+'[1]поточний ремонт'!Z49</f>
        <v>0</v>
      </c>
      <c r="AA49" s="42">
        <f>'[2]поточний ремонт'!AA49+'[1]поточний ремонт'!AA49</f>
        <v>0</v>
      </c>
      <c r="AB49" s="42">
        <f>'[2]поточний ремонт'!AB49+'[1]поточний ремонт'!AB49</f>
        <v>0</v>
      </c>
      <c r="AC49" s="42">
        <f>'[2]поточний ремонт'!AC49+'[1]поточний ремонт'!AC49</f>
        <v>0</v>
      </c>
      <c r="AD49" s="42">
        <f>'[2]поточний ремонт'!AD49+'[1]поточний ремонт'!AD49</f>
        <v>0</v>
      </c>
      <c r="AE49" s="42">
        <f>'[2]поточний ремонт'!AE49+'[1]поточний ремонт'!AE49</f>
        <v>365.08513785154929</v>
      </c>
      <c r="AF49" s="42">
        <f>'[2]поточний ремонт'!AF49+'[1]поточний ремонт'!AF49</f>
        <v>0</v>
      </c>
      <c r="AG49" s="5"/>
      <c r="AH49" s="42">
        <f>'[2]поточний ремонт'!AH49+'[1]поточний ремонт'!AH49</f>
        <v>536.5003840483007</v>
      </c>
      <c r="AI49" s="42">
        <f>'[2]поточний ремонт'!AI49+'[1]поточний ремонт'!AI49</f>
        <v>0</v>
      </c>
      <c r="AJ49" s="5"/>
      <c r="AK49" s="42">
        <f>'[2]поточний ремонт'!AK49+'[1]поточний ремонт'!AK49</f>
        <v>239.82261122875784</v>
      </c>
      <c r="AL49" s="42">
        <f>'[2]поточний ремонт'!AL49+'[1]поточний ремонт'!AL49</f>
        <v>0</v>
      </c>
      <c r="AM49" s="5"/>
      <c r="AN49" s="42">
        <f>'[2]поточний ремонт'!AN49+'[1]поточний ремонт'!AN49</f>
        <v>0</v>
      </c>
      <c r="AO49" s="42">
        <f>'[2]поточний ремонт'!AO49+'[1]поточний ремонт'!AO49</f>
        <v>0</v>
      </c>
      <c r="AP49" s="5"/>
      <c r="AQ49" s="42">
        <f>'[2]поточний ремонт'!AQ49+'[1]поточний ремонт'!AQ49</f>
        <v>33.081926391429903</v>
      </c>
      <c r="AR49" s="42">
        <f>'[2]поточний ремонт'!AR49+'[1]поточний ремонт'!AR49</f>
        <v>0</v>
      </c>
      <c r="AS49" s="5"/>
      <c r="AT49" s="42">
        <f>'[2]поточний ремонт'!AT49+'[1]поточний ремонт'!AT49</f>
        <v>132.25220945458935</v>
      </c>
      <c r="AU49" s="42">
        <f>'[2]поточний ремонт'!AU49+'[1]поточний ремонт'!AU49</f>
        <v>0</v>
      </c>
      <c r="AV49" s="5"/>
      <c r="AW49" s="42">
        <f>'[2]поточний ремонт'!AW49+'[1]поточний ремонт'!AW49</f>
        <v>158.23695393879728</v>
      </c>
      <c r="AX49" s="42">
        <f>'[2]поточний ремонт'!AX49+'[1]поточний ремонт'!AX49</f>
        <v>0</v>
      </c>
      <c r="AY49" s="5"/>
      <c r="AZ49" s="42">
        <f t="shared" si="2"/>
        <v>1464.9792229134243</v>
      </c>
      <c r="BA49" s="42">
        <f t="shared" si="3"/>
        <v>0</v>
      </c>
      <c r="BB49" s="58">
        <f t="shared" si="4"/>
        <v>-1464.9792229134243</v>
      </c>
      <c r="BD49" s="2">
        <v>1</v>
      </c>
      <c r="BF49" s="29">
        <v>18.870546713779202</v>
      </c>
      <c r="BG49" s="318">
        <v>150000496</v>
      </c>
      <c r="BI49" s="104">
        <v>8.3800000000000008</v>
      </c>
      <c r="BJ49" s="104">
        <f t="shared" si="5"/>
        <v>1.178749236</v>
      </c>
      <c r="BK49" s="104">
        <v>9.6645349704800019</v>
      </c>
      <c r="BL49" s="38"/>
      <c r="BM49" s="3"/>
      <c r="BN49" s="3">
        <v>0</v>
      </c>
      <c r="BP49" s="3"/>
      <c r="BQ49" s="3"/>
      <c r="BS49" s="42"/>
      <c r="BT49" s="42">
        <v>0</v>
      </c>
      <c r="BU49" s="958"/>
      <c r="BV49" s="41"/>
      <c r="BW49" s="42"/>
      <c r="BX49" s="36"/>
      <c r="BY49" s="76"/>
      <c r="BZ49" s="42">
        <v>0</v>
      </c>
      <c r="CA49" s="959"/>
      <c r="CB49" s="41">
        <v>0</v>
      </c>
      <c r="CC49" s="41">
        <v>0</v>
      </c>
      <c r="CD49" s="960"/>
      <c r="CE49" s="76">
        <v>0</v>
      </c>
      <c r="CF49" s="55"/>
      <c r="CG49" s="41">
        <v>0</v>
      </c>
      <c r="CH49" s="38">
        <v>9.6645349704800019</v>
      </c>
      <c r="CI49" s="76">
        <v>0</v>
      </c>
      <c r="CJ49" s="55"/>
      <c r="CK49" s="955"/>
      <c r="CL49" s="950"/>
      <c r="CM49" s="955"/>
      <c r="CN49" s="950">
        <v>0</v>
      </c>
      <c r="CO49" s="76">
        <v>33.848154149861578</v>
      </c>
      <c r="CP49" s="42">
        <v>0</v>
      </c>
      <c r="CQ49" s="5"/>
      <c r="CR49" s="76">
        <v>45.667834559974651</v>
      </c>
      <c r="CS49" s="954">
        <v>0</v>
      </c>
      <c r="CT49" s="5"/>
      <c r="CU49" s="76">
        <v>15.308054786734004</v>
      </c>
      <c r="CV49" s="42">
        <v>0</v>
      </c>
      <c r="CW49" s="5"/>
      <c r="CX49" s="76">
        <v>0</v>
      </c>
      <c r="CY49" s="42">
        <v>0</v>
      </c>
      <c r="CZ49" s="5"/>
      <c r="DA49" s="76">
        <v>0</v>
      </c>
      <c r="DB49" s="42">
        <v>0</v>
      </c>
      <c r="DC49" s="5"/>
      <c r="DD49" s="76">
        <v>9.8856385409863776</v>
      </c>
      <c r="DE49" s="42">
        <v>0</v>
      </c>
      <c r="DF49" s="5"/>
      <c r="DG49" s="76">
        <v>13.62015361438073</v>
      </c>
      <c r="DH49" s="42"/>
      <c r="DI49" s="5"/>
      <c r="DJ49" s="42">
        <v>118.32983565193733</v>
      </c>
      <c r="DK49" s="42">
        <f t="shared" si="6"/>
        <v>0</v>
      </c>
      <c r="DL49" s="58">
        <f t="shared" si="7"/>
        <v>-118.32983565193733</v>
      </c>
      <c r="DM49" s="2">
        <v>1</v>
      </c>
    </row>
    <row r="50" spans="1:117" ht="24.9" customHeight="1" x14ac:dyDescent="0.3">
      <c r="A50" s="318">
        <v>150000498</v>
      </c>
      <c r="B50" s="44" t="s">
        <v>241</v>
      </c>
      <c r="C50" s="956">
        <v>5</v>
      </c>
      <c r="D50" s="957" t="s">
        <v>454</v>
      </c>
      <c r="E50" s="949">
        <f>'побудинковий звіт'!E17</f>
        <v>2573.6</v>
      </c>
      <c r="F50" s="950">
        <f>'побудинковий звіт'!AS17</f>
        <v>41473.838802794926</v>
      </c>
      <c r="G50" s="950">
        <f t="shared" si="0"/>
        <v>3716.1082407194926</v>
      </c>
      <c r="H50" s="950">
        <f t="shared" si="1"/>
        <v>-37757.730562075434</v>
      </c>
      <c r="I50" s="42">
        <f>'[2]поточний ремонт'!I50+'[1]поточний ремонт'!I50</f>
        <v>5.09</v>
      </c>
      <c r="J50" s="42">
        <f>'[2]поточний ремонт'!J50+'[1]поточний ремонт'!J50</f>
        <v>1233.0101596835389</v>
      </c>
      <c r="K50" s="962"/>
      <c r="L50" s="42">
        <f>'[2]поточний ремонт'!L50+'[1]поточний ремонт'!L50</f>
        <v>0</v>
      </c>
      <c r="M50" s="42">
        <f>'[2]поточний ремонт'!M50+'[1]поточний ремонт'!M50</f>
        <v>0</v>
      </c>
      <c r="N50" s="36"/>
      <c r="O50" s="42">
        <f>'[2]поточний ремонт'!O50+'[1]поточний ремонт'!O50</f>
        <v>0</v>
      </c>
      <c r="P50" s="42">
        <f>'[2]поточний ремонт'!P50+'[1]поточний ремонт'!P50</f>
        <v>0</v>
      </c>
      <c r="Q50" s="959"/>
      <c r="R50" s="42">
        <f>'[2]поточний ремонт'!R50+'[1]поточний ремонт'!R50</f>
        <v>0</v>
      </c>
      <c r="S50" s="42">
        <f>'[2]поточний ремонт'!S50+'[1]поточний ремонт'!S50</f>
        <v>0</v>
      </c>
      <c r="T50" s="960"/>
      <c r="U50" s="42">
        <f>'[2]поточний ремонт'!U50+'[1]поточний ремонт'!U50</f>
        <v>0</v>
      </c>
      <c r="V50" s="42">
        <f>'[2]поточний ремонт'!V50+'[1]поточний ремонт'!V50</f>
        <v>0</v>
      </c>
      <c r="W50" s="42">
        <f>'[2]поточний ремонт'!W50+'[1]поточний ремонт'!W50</f>
        <v>3</v>
      </c>
      <c r="X50" s="42">
        <f>'[2]поточний ремонт'!X50+'[1]поточний ремонт'!X50</f>
        <v>966.50241530106041</v>
      </c>
      <c r="Y50" s="42">
        <f>'[2]поточний ремонт'!Y50+'[1]поточний ремонт'!Y50</f>
        <v>0</v>
      </c>
      <c r="Z50" s="42">
        <f>'[2]поточний ремонт'!Z50+'[1]поточний ремонт'!Z50</f>
        <v>0</v>
      </c>
      <c r="AA50" s="42">
        <f>'[2]поточний ремонт'!AA50+'[1]поточний ремонт'!AA50</f>
        <v>0</v>
      </c>
      <c r="AB50" s="42">
        <f>'[2]поточний ремонт'!AB50+'[1]поточний ремонт'!AB50</f>
        <v>0</v>
      </c>
      <c r="AC50" s="42">
        <f>'[2]поточний ремонт'!AC50+'[1]поточний ремонт'!AC50</f>
        <v>0</v>
      </c>
      <c r="AD50" s="42">
        <f>'[2]поточний ремонт'!AD50+'[1]поточний ремонт'!AD50</f>
        <v>1516.5956657348934</v>
      </c>
      <c r="AE50" s="42">
        <f>'[2]поточний ремонт'!AE50+'[1]поточний ремонт'!AE50</f>
        <v>2956.0619635570019</v>
      </c>
      <c r="AF50" s="42">
        <f>'[2]поточний ремонт'!AF50+'[1]поточний ремонт'!AF50</f>
        <v>275.42523712368603</v>
      </c>
      <c r="AG50" s="965"/>
      <c r="AH50" s="42">
        <f>'[2]поточний ремонт'!AH50+'[1]поточний ремонт'!AH50</f>
        <v>4564.4895319104135</v>
      </c>
      <c r="AI50" s="42">
        <f>'[2]поточний ремонт'!AI50+'[1]поточний ремонт'!AI50</f>
        <v>0</v>
      </c>
      <c r="AJ50" s="5"/>
      <c r="AK50" s="42">
        <f>'[2]поточний ремонт'!AK50+'[1]поточний ремонт'!AK50</f>
        <v>2787.8836277273863</v>
      </c>
      <c r="AL50" s="42">
        <f>'[2]поточний ремонт'!AL50+'[1]поточний ремонт'!AL50</f>
        <v>5278.2855364948446</v>
      </c>
      <c r="AM50" s="5"/>
      <c r="AN50" s="42">
        <f>'[2]поточний ремонт'!AN50+'[1]поточний ремонт'!AN50</f>
        <v>0</v>
      </c>
      <c r="AO50" s="42">
        <f>'[2]поточний ремонт'!AO50+'[1]поточний ремонт'!AO50</f>
        <v>0</v>
      </c>
      <c r="AP50" s="5"/>
      <c r="AQ50" s="42">
        <f>'[2]поточний ремонт'!AQ50+'[1]поточний ремонт'!AQ50</f>
        <v>192.97790395000783</v>
      </c>
      <c r="AR50" s="42">
        <f>'[2]поточний ремонт'!AR50+'[1]поточний ремонт'!AR50</f>
        <v>416.32736112493444</v>
      </c>
      <c r="AS50" s="5"/>
      <c r="AT50" s="42">
        <f>'[2]поточний ремонт'!AT50+'[1]поточний ремонт'!AT50</f>
        <v>2712.9790311621086</v>
      </c>
      <c r="AU50" s="42">
        <f>'[2]поточний ремонт'!AU50+'[1]поточний ремонт'!AU50</f>
        <v>897.64144058308545</v>
      </c>
      <c r="AV50" s="5"/>
      <c r="AW50" s="42">
        <f>'[2]поточний ремонт'!AW50+'[1]поточний ремонт'!AW50</f>
        <v>927.98720137003716</v>
      </c>
      <c r="AX50" s="42">
        <f>'[2]поточний ремонт'!AX50+'[1]поточний ремонт'!AX50</f>
        <v>10517.130919935411</v>
      </c>
      <c r="AY50" s="5"/>
      <c r="AZ50" s="42">
        <f t="shared" si="2"/>
        <v>14142.379259676956</v>
      </c>
      <c r="BA50" s="42">
        <f t="shared" si="3"/>
        <v>17384.810495261961</v>
      </c>
      <c r="BB50" s="58">
        <f t="shared" si="4"/>
        <v>3242.4312355850052</v>
      </c>
      <c r="BD50" s="2">
        <v>1</v>
      </c>
      <c r="BF50" s="29">
        <v>228.59742821742478</v>
      </c>
      <c r="BG50" s="318">
        <v>150000498</v>
      </c>
      <c r="BI50" s="104">
        <v>52.76</v>
      </c>
      <c r="BJ50" s="104">
        <f t="shared" si="5"/>
        <v>7.4213376719999991</v>
      </c>
      <c r="BK50" s="104">
        <v>60.847358596959999</v>
      </c>
      <c r="BL50" s="38"/>
      <c r="BM50" s="3">
        <v>3</v>
      </c>
      <c r="BN50" s="3">
        <v>246.45645239183523</v>
      </c>
      <c r="BP50" s="3"/>
      <c r="BQ50" s="3"/>
      <c r="BS50" s="42"/>
      <c r="BT50" s="42">
        <v>0</v>
      </c>
      <c r="BU50" s="962"/>
      <c r="BV50" s="41"/>
      <c r="BW50" s="42"/>
      <c r="BX50" s="36"/>
      <c r="BY50" s="76"/>
      <c r="BZ50" s="42">
        <v>0</v>
      </c>
      <c r="CA50" s="959"/>
      <c r="CB50" s="41">
        <v>0</v>
      </c>
      <c r="CC50" s="41">
        <v>0</v>
      </c>
      <c r="CD50" s="960"/>
      <c r="CE50" s="76">
        <v>0</v>
      </c>
      <c r="CF50" s="55"/>
      <c r="CG50" s="41">
        <v>3</v>
      </c>
      <c r="CH50" s="38">
        <v>307.30381098879525</v>
      </c>
      <c r="CI50" s="76">
        <v>0</v>
      </c>
      <c r="CJ50" s="55"/>
      <c r="CK50" s="955"/>
      <c r="CL50" s="950"/>
      <c r="CM50" s="955"/>
      <c r="CN50" s="950">
        <v>0</v>
      </c>
      <c r="CO50" s="76">
        <v>236.27878257228377</v>
      </c>
      <c r="CP50" s="42">
        <v>0</v>
      </c>
      <c r="CQ50" s="965"/>
      <c r="CR50" s="76">
        <v>366.77519552996273</v>
      </c>
      <c r="CS50" s="954">
        <v>0</v>
      </c>
      <c r="CT50" s="5"/>
      <c r="CU50" s="76">
        <v>220.67083291668632</v>
      </c>
      <c r="CV50" s="42">
        <v>0</v>
      </c>
      <c r="CW50" s="5"/>
      <c r="CX50" s="76">
        <v>0</v>
      </c>
      <c r="CY50" s="42">
        <v>0</v>
      </c>
      <c r="CZ50" s="5"/>
      <c r="DA50" s="76">
        <v>0</v>
      </c>
      <c r="DB50" s="42">
        <v>0</v>
      </c>
      <c r="DC50" s="5"/>
      <c r="DD50" s="76">
        <v>165.60413228623474</v>
      </c>
      <c r="DE50" s="42">
        <v>0</v>
      </c>
      <c r="DF50" s="5"/>
      <c r="DG50" s="76">
        <v>80.126716280937799</v>
      </c>
      <c r="DH50" s="42"/>
      <c r="DI50" s="5"/>
      <c r="DJ50" s="42">
        <v>1069.4556595861054</v>
      </c>
      <c r="DK50" s="42">
        <f t="shared" si="6"/>
        <v>0</v>
      </c>
      <c r="DL50" s="58">
        <f t="shared" si="7"/>
        <v>-1069.4556595861054</v>
      </c>
      <c r="DM50" s="2">
        <v>1</v>
      </c>
    </row>
    <row r="51" spans="1:117" ht="24.9" customHeight="1" x14ac:dyDescent="0.3">
      <c r="A51" s="318">
        <v>150000969</v>
      </c>
      <c r="B51" s="44" t="s">
        <v>192</v>
      </c>
      <c r="C51" s="956">
        <v>3</v>
      </c>
      <c r="D51" s="957" t="s">
        <v>454</v>
      </c>
      <c r="E51" s="949">
        <f>'побудинковий звіт'!E18</f>
        <v>3566.7</v>
      </c>
      <c r="F51" s="950">
        <f>'побудинковий звіт'!AS18</f>
        <v>61502.497990735603</v>
      </c>
      <c r="G51" s="950">
        <f t="shared" si="0"/>
        <v>0</v>
      </c>
      <c r="H51" s="950">
        <f t="shared" si="1"/>
        <v>-61502.497990735603</v>
      </c>
      <c r="I51" s="42">
        <f>'[2]поточний ремонт'!I51+'[1]поточний ремонт'!I51</f>
        <v>0</v>
      </c>
      <c r="J51" s="42">
        <f>'[2]поточний ремонт'!J51+'[1]поточний ремонт'!J51</f>
        <v>0</v>
      </c>
      <c r="K51" s="958"/>
      <c r="L51" s="42">
        <f>'[2]поточний ремонт'!L51+'[1]поточний ремонт'!L51</f>
        <v>0</v>
      </c>
      <c r="M51" s="42">
        <f>'[2]поточний ремонт'!M51+'[1]поточний ремонт'!M51</f>
        <v>0</v>
      </c>
      <c r="N51" s="36"/>
      <c r="O51" s="42">
        <f>'[2]поточний ремонт'!O51+'[1]поточний ремонт'!O51</f>
        <v>0</v>
      </c>
      <c r="P51" s="42">
        <f>'[2]поточний ремонт'!P51+'[1]поточний ремонт'!P51</f>
        <v>0</v>
      </c>
      <c r="Q51" s="959"/>
      <c r="R51" s="42">
        <f>'[2]поточний ремонт'!R51+'[1]поточний ремонт'!R51</f>
        <v>0</v>
      </c>
      <c r="S51" s="42">
        <f>'[2]поточний ремонт'!S51+'[1]поточний ремонт'!S51</f>
        <v>0</v>
      </c>
      <c r="T51" s="960"/>
      <c r="U51" s="42">
        <f>'[2]поточний ремонт'!U51+'[1]поточний ремонт'!U51</f>
        <v>0</v>
      </c>
      <c r="V51" s="42">
        <f>'[2]поточний ремонт'!V51+'[1]поточний ремонт'!V51</f>
        <v>0</v>
      </c>
      <c r="W51" s="42">
        <f>'[2]поточний ремонт'!W51+'[1]поточний ремонт'!W51</f>
        <v>0</v>
      </c>
      <c r="X51" s="42">
        <f>'[2]поточний ремонт'!X51+'[1]поточний ремонт'!X51</f>
        <v>0</v>
      </c>
      <c r="Y51" s="42">
        <f>'[2]поточний ремонт'!Y51+'[1]поточний ремонт'!Y51</f>
        <v>0</v>
      </c>
      <c r="Z51" s="42">
        <f>'[2]поточний ремонт'!Z51+'[1]поточний ремонт'!Z51</f>
        <v>0</v>
      </c>
      <c r="AA51" s="42">
        <f>'[2]поточний ремонт'!AA51+'[1]поточний ремонт'!AA51</f>
        <v>0</v>
      </c>
      <c r="AB51" s="42">
        <f>'[2]поточний ремонт'!AB51+'[1]поточний ремонт'!AB51</f>
        <v>0</v>
      </c>
      <c r="AC51" s="42">
        <f>'[2]поточний ремонт'!AC51+'[1]поточний ремонт'!AC51</f>
        <v>0</v>
      </c>
      <c r="AD51" s="42">
        <f>'[2]поточний ремонт'!AD51+'[1]поточний ремонт'!AD51</f>
        <v>0</v>
      </c>
      <c r="AE51" s="42">
        <f>'[2]поточний ремонт'!AE51+'[1]поточний ремонт'!AE51</f>
        <v>621.70939956349139</v>
      </c>
      <c r="AF51" s="42">
        <f>'[2]поточний ремонт'!AF51+'[1]поточний ремонт'!AF51</f>
        <v>372.72529226087789</v>
      </c>
      <c r="AG51" s="5"/>
      <c r="AH51" s="42">
        <f>'[2]поточний ремонт'!AH51+'[1]поточний ремонт'!AH51</f>
        <v>956.48853037059496</v>
      </c>
      <c r="AI51" s="42">
        <f>'[2]поточний ремонт'!AI51+'[1]поточний ремонт'!AI51</f>
        <v>0</v>
      </c>
      <c r="AJ51" s="5"/>
      <c r="AK51" s="42">
        <f>'[2]поточний ремонт'!AK51+'[1]поточний ремонт'!AK51</f>
        <v>438.98535345579432</v>
      </c>
      <c r="AL51" s="42">
        <f>'[2]поточний ремонт'!AL51+'[1]поточний ремонт'!AL51</f>
        <v>660.51051783229582</v>
      </c>
      <c r="AM51" s="5"/>
      <c r="AN51" s="42">
        <f>'[2]поточний ремонт'!AN51+'[1]поточний ремонт'!AN51</f>
        <v>0</v>
      </c>
      <c r="AO51" s="42">
        <f>'[2]поточний ремонт'!AO51+'[1]поточний ремонт'!AO51</f>
        <v>0</v>
      </c>
      <c r="AP51" s="5"/>
      <c r="AQ51" s="42">
        <f>'[2]поточний ремонт'!AQ51+'[1]поточний ремонт'!AQ51</f>
        <v>49.622889587144876</v>
      </c>
      <c r="AR51" s="42">
        <f>'[2]поточний ремонт'!AR51+'[1]поточний ремонт'!AR51</f>
        <v>0</v>
      </c>
      <c r="AS51" s="5"/>
      <c r="AT51" s="42">
        <f>'[2]поточний ремонт'!AT51+'[1]поточний ремонт'!AT51</f>
        <v>327.66727313978612</v>
      </c>
      <c r="AU51" s="42">
        <f>'[2]поточний ремонт'!AU51+'[1]поточний ремонт'!AU51</f>
        <v>0</v>
      </c>
      <c r="AV51" s="5"/>
      <c r="AW51" s="42">
        <f>'[2]поточний ремонт'!AW51+'[1]поточний ремонт'!AW51</f>
        <v>53.989264928896702</v>
      </c>
      <c r="AX51" s="42">
        <f>'[2]поточний ремонт'!AX51+'[1]поточний ремонт'!AX51</f>
        <v>0</v>
      </c>
      <c r="AY51" s="5"/>
      <c r="AZ51" s="42">
        <f t="shared" si="2"/>
        <v>2448.4627110457086</v>
      </c>
      <c r="BA51" s="42">
        <f t="shared" si="3"/>
        <v>1033.2358100931738</v>
      </c>
      <c r="BB51" s="58">
        <f t="shared" si="4"/>
        <v>-1415.2269009525348</v>
      </c>
      <c r="BD51" s="2">
        <v>2</v>
      </c>
      <c r="BF51" s="29">
        <v>1.0983414241718283</v>
      </c>
      <c r="BG51" s="318">
        <v>150000969</v>
      </c>
      <c r="BI51" s="104">
        <v>0</v>
      </c>
      <c r="BJ51" s="104">
        <f t="shared" si="5"/>
        <v>0</v>
      </c>
      <c r="BK51" s="104">
        <v>0</v>
      </c>
      <c r="BL51" s="38"/>
      <c r="BM51" s="3"/>
      <c r="BN51" s="3">
        <v>0</v>
      </c>
      <c r="BP51" s="3"/>
      <c r="BQ51" s="3"/>
      <c r="BS51" s="42"/>
      <c r="BT51" s="42">
        <v>0</v>
      </c>
      <c r="BU51" s="958"/>
      <c r="BV51" s="41"/>
      <c r="BW51" s="42"/>
      <c r="BX51" s="36"/>
      <c r="BY51" s="76"/>
      <c r="BZ51" s="42">
        <v>0</v>
      </c>
      <c r="CA51" s="959"/>
      <c r="CB51" s="41">
        <v>0</v>
      </c>
      <c r="CC51" s="41">
        <v>0</v>
      </c>
      <c r="CD51" s="960"/>
      <c r="CE51" s="76">
        <v>0</v>
      </c>
      <c r="CF51" s="55"/>
      <c r="CG51" s="41">
        <v>0</v>
      </c>
      <c r="CH51" s="38">
        <v>0</v>
      </c>
      <c r="CI51" s="76">
        <v>0</v>
      </c>
      <c r="CJ51" s="55"/>
      <c r="CK51" s="955"/>
      <c r="CL51" s="950"/>
      <c r="CM51" s="955"/>
      <c r="CN51" s="950">
        <v>0</v>
      </c>
      <c r="CO51" s="76">
        <v>51.892251133658675</v>
      </c>
      <c r="CP51" s="42">
        <v>0</v>
      </c>
      <c r="CQ51" s="5"/>
      <c r="CR51" s="76">
        <v>81.502893220459157</v>
      </c>
      <c r="CS51" s="954">
        <v>0</v>
      </c>
      <c r="CT51" s="5"/>
      <c r="CU51" s="76">
        <v>35.714246205914094</v>
      </c>
      <c r="CV51" s="42">
        <v>0</v>
      </c>
      <c r="CW51" s="5"/>
      <c r="CX51" s="76">
        <v>0</v>
      </c>
      <c r="CY51" s="42">
        <v>0</v>
      </c>
      <c r="CZ51" s="5"/>
      <c r="DA51" s="76">
        <v>0</v>
      </c>
      <c r="DB51" s="42">
        <v>0</v>
      </c>
      <c r="DC51" s="5"/>
      <c r="DD51" s="76">
        <v>19.763241944729856</v>
      </c>
      <c r="DE51" s="42">
        <v>0</v>
      </c>
      <c r="DF51" s="5"/>
      <c r="DG51" s="76">
        <v>0</v>
      </c>
      <c r="DH51" s="42"/>
      <c r="DI51" s="5"/>
      <c r="DJ51" s="42">
        <v>188.87263250476178</v>
      </c>
      <c r="DK51" s="42">
        <f t="shared" si="6"/>
        <v>0</v>
      </c>
      <c r="DL51" s="58">
        <f t="shared" si="7"/>
        <v>-188.87263250476178</v>
      </c>
      <c r="DM51" s="2">
        <v>2</v>
      </c>
    </row>
    <row r="52" spans="1:117" ht="24.9" customHeight="1" x14ac:dyDescent="0.3">
      <c r="A52" s="318">
        <v>150000989</v>
      </c>
      <c r="B52" s="44" t="s">
        <v>37</v>
      </c>
      <c r="C52" s="956">
        <v>1</v>
      </c>
      <c r="D52" s="957" t="s">
        <v>454</v>
      </c>
      <c r="E52" s="949">
        <f>'побудинковий звіт'!E19</f>
        <v>3627.2000000000003</v>
      </c>
      <c r="F52" s="950">
        <f>'побудинковий звіт'!AS19</f>
        <v>47235.86674917255</v>
      </c>
      <c r="G52" s="950">
        <f t="shared" si="0"/>
        <v>6753.653135392804</v>
      </c>
      <c r="H52" s="950">
        <f t="shared" si="1"/>
        <v>-40482.21361377975</v>
      </c>
      <c r="I52" s="42">
        <f>'[2]поточний ремонт'!I52+'[1]поточний ремонт'!I52</f>
        <v>17</v>
      </c>
      <c r="J52" s="42">
        <f>'[2]поточний ремонт'!J52+'[1]поточний ремонт'!J52</f>
        <v>5782.1899237149701</v>
      </c>
      <c r="K52" s="958"/>
      <c r="L52" s="42">
        <f>'[2]поточний ремонт'!L52+'[1]поточний ремонт'!L52</f>
        <v>0</v>
      </c>
      <c r="M52" s="42">
        <f>'[2]поточний ремонт'!M52+'[1]поточний ремонт'!M52</f>
        <v>0</v>
      </c>
      <c r="N52" s="36"/>
      <c r="O52" s="42">
        <f>'[2]поточний ремонт'!O52+'[1]поточний ремонт'!O52</f>
        <v>0</v>
      </c>
      <c r="P52" s="42">
        <f>'[2]поточний ремонт'!P52+'[1]поточний ремонт'!P52</f>
        <v>0</v>
      </c>
      <c r="Q52" s="959"/>
      <c r="R52" s="42">
        <f>'[2]поточний ремонт'!R52+'[1]поточний ремонт'!R52</f>
        <v>0</v>
      </c>
      <c r="S52" s="42">
        <f>'[2]поточний ремонт'!S52+'[1]поточний ремонт'!S52</f>
        <v>0</v>
      </c>
      <c r="T52" s="960"/>
      <c r="U52" s="42">
        <f>'[2]поточний ремонт'!U52+'[1]поточний ремонт'!U52</f>
        <v>0</v>
      </c>
      <c r="V52" s="42">
        <f>'[2]поточний ремонт'!V52+'[1]поточний ремонт'!V52</f>
        <v>0</v>
      </c>
      <c r="W52" s="42">
        <f>'[2]поточний ремонт'!W52+'[1]поточний ремонт'!W52</f>
        <v>0</v>
      </c>
      <c r="X52" s="42">
        <f>'[2]поточний ремонт'!X52+'[1]поточний ремонт'!X52</f>
        <v>0</v>
      </c>
      <c r="Y52" s="42">
        <f>'[2]поточний ремонт'!Y52+'[1]поточний ремонт'!Y52</f>
        <v>971.46321167783356</v>
      </c>
      <c r="Z52" s="42">
        <f>'[2]поточний ремонт'!Z52+'[1]поточний ремонт'!Z52</f>
        <v>0</v>
      </c>
      <c r="AA52" s="42">
        <f>'[2]поточний ремонт'!AA52+'[1]поточний ремонт'!AA52</f>
        <v>0</v>
      </c>
      <c r="AB52" s="42">
        <f>'[2]поточний ремонт'!AB52+'[1]поточний ремонт'!AB52</f>
        <v>0</v>
      </c>
      <c r="AC52" s="42">
        <f>'[2]поточний ремонт'!AC52+'[1]поточний ремонт'!AC52</f>
        <v>0</v>
      </c>
      <c r="AD52" s="42">
        <f>'[2]поточний ремонт'!AD52+'[1]поточний ремонт'!AD52</f>
        <v>0</v>
      </c>
      <c r="AE52" s="42">
        <f>'[2]поточний ремонт'!AE52+'[1]поточний ремонт'!AE52</f>
        <v>0</v>
      </c>
      <c r="AF52" s="42">
        <f>'[2]поточний ремонт'!AF52+'[1]поточний ремонт'!AF52</f>
        <v>0</v>
      </c>
      <c r="AG52" s="5"/>
      <c r="AH52" s="42">
        <f>'[2]поточний ремонт'!AH52+'[1]поточний ремонт'!AH52</f>
        <v>0</v>
      </c>
      <c r="AI52" s="42">
        <f>'[2]поточний ремонт'!AI52+'[1]поточний ремонт'!AI52</f>
        <v>0</v>
      </c>
      <c r="AJ52" s="5"/>
      <c r="AK52" s="42">
        <f>'[2]поточний ремонт'!AK52+'[1]поточний ремонт'!AK52</f>
        <v>0</v>
      </c>
      <c r="AL52" s="42">
        <f>'[2]поточний ремонт'!AL52+'[1]поточний ремонт'!AL52</f>
        <v>0</v>
      </c>
      <c r="AM52" s="5"/>
      <c r="AN52" s="42">
        <f>'[2]поточний ремонт'!AN52+'[1]поточний ремонт'!AN52</f>
        <v>0</v>
      </c>
      <c r="AO52" s="42">
        <f>'[2]поточний ремонт'!AO52+'[1]поточний ремонт'!AO52</f>
        <v>0</v>
      </c>
      <c r="AP52" s="5"/>
      <c r="AQ52" s="42">
        <f>'[2]поточний ремонт'!AQ52+'[1]поточний ремонт'!AQ52</f>
        <v>0</v>
      </c>
      <c r="AR52" s="42">
        <f>'[2]поточний ремонт'!AR52+'[1]поточний ремонт'!AR52</f>
        <v>0</v>
      </c>
      <c r="AS52" s="5"/>
      <c r="AT52" s="42">
        <f>'[2]поточний ремонт'!AT52+'[1]поточний ремонт'!AT52</f>
        <v>0</v>
      </c>
      <c r="AU52" s="42">
        <f>'[2]поточний ремонт'!AU52+'[1]поточний ремонт'!AU52</f>
        <v>0</v>
      </c>
      <c r="AV52" s="5"/>
      <c r="AW52" s="42">
        <f>'[2]поточний ремонт'!AW52+'[1]поточний ремонт'!AW52</f>
        <v>0</v>
      </c>
      <c r="AX52" s="42">
        <f>'[2]поточний ремонт'!AX52+'[1]поточний ремонт'!AX52</f>
        <v>0</v>
      </c>
      <c r="AY52" s="5"/>
      <c r="AZ52" s="42">
        <f t="shared" si="2"/>
        <v>0</v>
      </c>
      <c r="BA52" s="42">
        <f t="shared" si="3"/>
        <v>0</v>
      </c>
      <c r="BB52" s="58">
        <f t="shared" si="4"/>
        <v>0</v>
      </c>
      <c r="BD52" s="2">
        <v>3</v>
      </c>
      <c r="BF52" s="29">
        <v>0</v>
      </c>
      <c r="BG52" s="318">
        <v>150000989</v>
      </c>
      <c r="BI52" s="104">
        <v>0</v>
      </c>
      <c r="BJ52" s="104">
        <f t="shared" si="5"/>
        <v>0</v>
      </c>
      <c r="BK52" s="104">
        <v>0</v>
      </c>
      <c r="BL52" s="38"/>
      <c r="BM52" s="3"/>
      <c r="BN52" s="3">
        <v>0</v>
      </c>
      <c r="BP52" s="3"/>
      <c r="BQ52" s="3"/>
      <c r="BS52" s="42"/>
      <c r="BT52" s="42">
        <v>0</v>
      </c>
      <c r="BU52" s="958"/>
      <c r="BV52" s="41"/>
      <c r="BW52" s="42"/>
      <c r="BX52" s="36"/>
      <c r="BY52" s="76"/>
      <c r="BZ52" s="42">
        <v>0</v>
      </c>
      <c r="CA52" s="959"/>
      <c r="CB52" s="41">
        <v>0</v>
      </c>
      <c r="CC52" s="41">
        <v>0</v>
      </c>
      <c r="CD52" s="960"/>
      <c r="CE52" s="76">
        <v>0</v>
      </c>
      <c r="CF52" s="55"/>
      <c r="CG52" s="41">
        <v>0</v>
      </c>
      <c r="CH52" s="38">
        <v>0</v>
      </c>
      <c r="CI52" s="76">
        <v>0</v>
      </c>
      <c r="CJ52" s="55"/>
      <c r="CK52" s="955"/>
      <c r="CL52" s="950"/>
      <c r="CM52" s="955"/>
      <c r="CN52" s="950">
        <v>0</v>
      </c>
      <c r="CO52" s="76">
        <v>0</v>
      </c>
      <c r="CP52" s="42">
        <v>0</v>
      </c>
      <c r="CQ52" s="5"/>
      <c r="CR52" s="76">
        <v>0</v>
      </c>
      <c r="CS52" s="954">
        <v>0</v>
      </c>
      <c r="CT52" s="5"/>
      <c r="CU52" s="76">
        <v>0</v>
      </c>
      <c r="CV52" s="42">
        <v>0</v>
      </c>
      <c r="CW52" s="5"/>
      <c r="CX52" s="76">
        <v>0</v>
      </c>
      <c r="CY52" s="42">
        <v>0</v>
      </c>
      <c r="CZ52" s="5"/>
      <c r="DA52" s="76">
        <v>0</v>
      </c>
      <c r="DB52" s="42">
        <v>0</v>
      </c>
      <c r="DC52" s="5"/>
      <c r="DD52" s="76">
        <v>0</v>
      </c>
      <c r="DE52" s="42">
        <v>0</v>
      </c>
      <c r="DF52" s="5"/>
      <c r="DG52" s="76">
        <v>0</v>
      </c>
      <c r="DH52" s="42"/>
      <c r="DI52" s="5"/>
      <c r="DJ52" s="42">
        <v>0</v>
      </c>
      <c r="DK52" s="42">
        <f t="shared" si="6"/>
        <v>0</v>
      </c>
      <c r="DL52" s="58">
        <f t="shared" si="7"/>
        <v>0</v>
      </c>
      <c r="DM52" s="2">
        <v>3</v>
      </c>
    </row>
    <row r="53" spans="1:117" ht="24.9" customHeight="1" x14ac:dyDescent="0.3">
      <c r="A53" s="318">
        <v>150000970</v>
      </c>
      <c r="B53" s="44" t="s">
        <v>242</v>
      </c>
      <c r="C53" s="956">
        <v>5</v>
      </c>
      <c r="D53" s="957" t="s">
        <v>454</v>
      </c>
      <c r="E53" s="949">
        <f>'побудинковий звіт'!E20</f>
        <v>1366.3</v>
      </c>
      <c r="F53" s="950">
        <f>'побудинковий звіт'!AS20</f>
        <v>17545.950808184538</v>
      </c>
      <c r="G53" s="950">
        <f t="shared" si="0"/>
        <v>6092.1120329133755</v>
      </c>
      <c r="H53" s="950">
        <f t="shared" si="1"/>
        <v>-11453.838775271162</v>
      </c>
      <c r="I53" s="42">
        <f>'[2]поточний ремонт'!I53+'[1]поточний ремонт'!I53</f>
        <v>1.5</v>
      </c>
      <c r="J53" s="42">
        <f>'[2]поточний ремонт'!J53+'[1]поточний ремонт'!J53</f>
        <v>168.24349920584268</v>
      </c>
      <c r="K53" s="958"/>
      <c r="L53" s="42">
        <f>'[2]поточний ремонт'!L53+'[1]поточний ремонт'!L53</f>
        <v>0</v>
      </c>
      <c r="M53" s="42">
        <f>'[2]поточний ремонт'!M53+'[1]поточний ремонт'!M53</f>
        <v>0</v>
      </c>
      <c r="N53" s="36"/>
      <c r="O53" s="42">
        <f>'[2]поточний ремонт'!O53+'[1]поточний ремонт'!O53</f>
        <v>0</v>
      </c>
      <c r="P53" s="42">
        <f>'[2]поточний ремонт'!P53+'[1]поточний ремонт'!P53</f>
        <v>0</v>
      </c>
      <c r="Q53" s="959"/>
      <c r="R53" s="42">
        <f>'[2]поточний ремонт'!R53+'[1]поточний ремонт'!R53</f>
        <v>0</v>
      </c>
      <c r="S53" s="42">
        <f>'[2]поточний ремонт'!S53+'[1]поточний ремонт'!S53</f>
        <v>0</v>
      </c>
      <c r="T53" s="960"/>
      <c r="U53" s="42">
        <f>'[2]поточний ремонт'!U53+'[1]поточний ремонт'!U53</f>
        <v>0</v>
      </c>
      <c r="V53" s="42">
        <f>'[2]поточний ремонт'!V53+'[1]поточний ремонт'!V53</f>
        <v>0</v>
      </c>
      <c r="W53" s="42">
        <f>'[2]поточний ремонт'!W53+'[1]поточний ремонт'!W53</f>
        <v>0</v>
      </c>
      <c r="X53" s="42">
        <f>'[2]поточний ремонт'!X53+'[1]поточний ремонт'!X53</f>
        <v>0</v>
      </c>
      <c r="Y53" s="42">
        <f>'[2]поточний ремонт'!Y53+'[1]поточний ремонт'!Y53</f>
        <v>5923.8685337075331</v>
      </c>
      <c r="Z53" s="42">
        <f>'[2]поточний ремонт'!Z53+'[1]поточний ремонт'!Z53</f>
        <v>0</v>
      </c>
      <c r="AA53" s="42">
        <f>'[2]поточний ремонт'!AA53+'[1]поточний ремонт'!AA53</f>
        <v>0</v>
      </c>
      <c r="AB53" s="42">
        <f>'[2]поточний ремонт'!AB53+'[1]поточний ремонт'!AB53</f>
        <v>0</v>
      </c>
      <c r="AC53" s="42">
        <f>'[2]поточний ремонт'!AC53+'[1]поточний ремонт'!AC53</f>
        <v>0</v>
      </c>
      <c r="AD53" s="42">
        <f>'[2]поточний ремонт'!AD53+'[1]поточний ремонт'!AD53</f>
        <v>0</v>
      </c>
      <c r="AE53" s="42">
        <f>'[2]поточний ремонт'!AE53+'[1]поточний ремонт'!AE53</f>
        <v>1460.6826858355566</v>
      </c>
      <c r="AF53" s="42">
        <f>'[2]поточний ремонт'!AF53+'[1]поточний ремонт'!AF53</f>
        <v>3357.4912038997713</v>
      </c>
      <c r="AG53" s="5"/>
      <c r="AH53" s="42">
        <f>'[2]поточний ремонт'!AH53+'[1]поточний ремонт'!AH53</f>
        <v>2207.0734999794458</v>
      </c>
      <c r="AI53" s="42">
        <f>'[2]поточний ремонт'!AI53+'[1]поточний ремонт'!AI53</f>
        <v>1778.882322286561</v>
      </c>
      <c r="AJ53" s="5"/>
      <c r="AK53" s="42">
        <f>'[2]поточний ремонт'!AK53+'[1]поточний ремонт'!AK53</f>
        <v>2032.1034016097319</v>
      </c>
      <c r="AL53" s="42">
        <f>'[2]поточний ремонт'!AL53+'[1]поточний ремонт'!AL53</f>
        <v>0</v>
      </c>
      <c r="AM53" s="5"/>
      <c r="AN53" s="42">
        <f>'[2]поточний ремонт'!AN53+'[1]поточний ремонт'!AN53</f>
        <v>0</v>
      </c>
      <c r="AO53" s="42">
        <f>'[2]поточний ремонт'!AO53+'[1]поточний ремонт'!AO53</f>
        <v>0</v>
      </c>
      <c r="AP53" s="5"/>
      <c r="AQ53" s="42">
        <f>'[2]поточний ремонт'!AQ53+'[1]поточний ремонт'!AQ53</f>
        <v>110.27308797143304</v>
      </c>
      <c r="AR53" s="42">
        <f>'[2]поточний ремонт'!AR53+'[1]поточний ремонт'!AR53</f>
        <v>0</v>
      </c>
      <c r="AS53" s="5"/>
      <c r="AT53" s="42">
        <f>'[2]поточний ремонт'!AT53+'[1]поточний ремонт'!AT53</f>
        <v>911.04962355520001</v>
      </c>
      <c r="AU53" s="42">
        <f>'[2]поточний ремонт'!AU53+'[1]поточний ремонт'!AU53</f>
        <v>1268.3668267310927</v>
      </c>
      <c r="AV53" s="5"/>
      <c r="AW53" s="42">
        <f>'[2]поточний ремонт'!AW53+'[1]поточний ремонт'!AW53</f>
        <v>34.288359423174953</v>
      </c>
      <c r="AX53" s="42">
        <f>'[2]поточний ремонт'!AX53+'[1]поточний ремонт'!AX53</f>
        <v>0</v>
      </c>
      <c r="AY53" s="5"/>
      <c r="AZ53" s="42">
        <f t="shared" si="2"/>
        <v>6755.4706583745428</v>
      </c>
      <c r="BA53" s="42">
        <f t="shared" si="3"/>
        <v>6404.7403529174244</v>
      </c>
      <c r="BB53" s="58">
        <f t="shared" si="4"/>
        <v>-350.73030545711845</v>
      </c>
      <c r="BD53" s="2">
        <v>2</v>
      </c>
      <c r="BF53" s="29">
        <v>4.3044175680542489</v>
      </c>
      <c r="BG53" s="318">
        <v>150000970</v>
      </c>
      <c r="BI53" s="104">
        <v>0</v>
      </c>
      <c r="BJ53" s="104">
        <f t="shared" si="5"/>
        <v>0</v>
      </c>
      <c r="BK53" s="104">
        <v>0</v>
      </c>
      <c r="BL53" s="38"/>
      <c r="BM53" s="3"/>
      <c r="BN53" s="3">
        <v>0</v>
      </c>
      <c r="BP53" s="3"/>
      <c r="BQ53" s="3"/>
      <c r="BS53" s="42"/>
      <c r="BT53" s="42">
        <v>0</v>
      </c>
      <c r="BU53" s="958"/>
      <c r="BV53" s="41"/>
      <c r="BW53" s="42"/>
      <c r="BX53" s="36"/>
      <c r="BY53" s="76"/>
      <c r="BZ53" s="42">
        <v>0</v>
      </c>
      <c r="CA53" s="959"/>
      <c r="CB53" s="41">
        <v>0</v>
      </c>
      <c r="CC53" s="41">
        <v>0</v>
      </c>
      <c r="CD53" s="960"/>
      <c r="CE53" s="76">
        <v>0</v>
      </c>
      <c r="CF53" s="55"/>
      <c r="CG53" s="41">
        <v>0</v>
      </c>
      <c r="CH53" s="38">
        <v>0</v>
      </c>
      <c r="CI53" s="76">
        <v>0</v>
      </c>
      <c r="CJ53" s="55"/>
      <c r="CK53" s="955"/>
      <c r="CL53" s="950"/>
      <c r="CM53" s="955"/>
      <c r="CN53" s="950">
        <v>0</v>
      </c>
      <c r="CO53" s="76">
        <v>117.53522012424784</v>
      </c>
      <c r="CP53" s="42">
        <v>0</v>
      </c>
      <c r="CQ53" s="5"/>
      <c r="CR53" s="76">
        <v>182.33148274553318</v>
      </c>
      <c r="CS53" s="954">
        <v>0</v>
      </c>
      <c r="CT53" s="5"/>
      <c r="CU53" s="76">
        <v>167.70813930096779</v>
      </c>
      <c r="CV53" s="42">
        <v>0</v>
      </c>
      <c r="CW53" s="5"/>
      <c r="CX53" s="76">
        <v>0</v>
      </c>
      <c r="CY53" s="42">
        <v>0</v>
      </c>
      <c r="CZ53" s="5"/>
      <c r="DA53" s="76">
        <v>0</v>
      </c>
      <c r="DB53" s="42">
        <v>0</v>
      </c>
      <c r="DC53" s="5"/>
      <c r="DD53" s="76">
        <v>56.803266478894642</v>
      </c>
      <c r="DE53" s="42">
        <v>0</v>
      </c>
      <c r="DF53" s="5"/>
      <c r="DG53" s="76">
        <v>0</v>
      </c>
      <c r="DH53" s="42"/>
      <c r="DI53" s="5"/>
      <c r="DJ53" s="42">
        <v>524.37810864964342</v>
      </c>
      <c r="DK53" s="42">
        <f t="shared" si="6"/>
        <v>0</v>
      </c>
      <c r="DL53" s="58">
        <f t="shared" si="7"/>
        <v>-524.37810864964342</v>
      </c>
      <c r="DM53" s="2">
        <v>2</v>
      </c>
    </row>
    <row r="54" spans="1:117" ht="24.9" customHeight="1" x14ac:dyDescent="0.3">
      <c r="A54" s="318">
        <v>150000971</v>
      </c>
      <c r="B54" s="44" t="s">
        <v>193</v>
      </c>
      <c r="C54" s="956">
        <v>3</v>
      </c>
      <c r="D54" s="957" t="s">
        <v>454</v>
      </c>
      <c r="E54" s="949">
        <f>'побудинковий звіт'!E21</f>
        <v>1588.6</v>
      </c>
      <c r="F54" s="950">
        <f>'побудинковий звіт'!AS21</f>
        <v>16793.232607372996</v>
      </c>
      <c r="G54" s="950">
        <f t="shared" si="0"/>
        <v>8060.0376561816392</v>
      </c>
      <c r="H54" s="950">
        <f t="shared" si="1"/>
        <v>-8733.1949511913572</v>
      </c>
      <c r="I54" s="42">
        <f>'[2]поточний ремонт'!I54+'[1]поточний ремонт'!I54</f>
        <v>0</v>
      </c>
      <c r="J54" s="42">
        <f>'[2]поточний ремонт'!J54+'[1]поточний ремонт'!J54</f>
        <v>0</v>
      </c>
      <c r="K54" s="958"/>
      <c r="L54" s="42">
        <f>'[2]поточний ремонт'!L54+'[1]поточний ремонт'!L54</f>
        <v>0</v>
      </c>
      <c r="M54" s="42">
        <f>'[2]поточний ремонт'!M54+'[1]поточний ремонт'!M54</f>
        <v>0</v>
      </c>
      <c r="N54" s="36"/>
      <c r="O54" s="42">
        <f>'[2]поточний ремонт'!O54+'[1]поточний ремонт'!O54</f>
        <v>0</v>
      </c>
      <c r="P54" s="42">
        <f>'[2]поточний ремонт'!P54+'[1]поточний ремонт'!P54</f>
        <v>0</v>
      </c>
      <c r="Q54" s="959"/>
      <c r="R54" s="42">
        <f>'[2]поточний ремонт'!R54+'[1]поточний ремонт'!R54</f>
        <v>0</v>
      </c>
      <c r="S54" s="42">
        <f>'[2]поточний ремонт'!S54+'[1]поточний ремонт'!S54</f>
        <v>0</v>
      </c>
      <c r="T54" s="960"/>
      <c r="U54" s="42">
        <f>'[2]поточний ремонт'!U54+'[1]поточний ремонт'!U54</f>
        <v>0</v>
      </c>
      <c r="V54" s="42">
        <f>'[2]поточний ремонт'!V54+'[1]поточний ремонт'!V54</f>
        <v>0</v>
      </c>
      <c r="W54" s="42">
        <f>'[2]поточний ремонт'!W54+'[1]поточний ремонт'!W54</f>
        <v>0</v>
      </c>
      <c r="X54" s="42">
        <f>'[2]поточний ремонт'!X54+'[1]поточний ремонт'!X54</f>
        <v>0</v>
      </c>
      <c r="Y54" s="42">
        <f>'[2]поточний ремонт'!Y54+'[1]поточний ремонт'!Y54</f>
        <v>0</v>
      </c>
      <c r="Z54" s="42">
        <f>'[2]поточний ремонт'!Z54+'[1]поточний ремонт'!Z54</f>
        <v>0</v>
      </c>
      <c r="AA54" s="42">
        <f>'[2]поточний ремонт'!AA54+'[1]поточний ремонт'!AA54</f>
        <v>0</v>
      </c>
      <c r="AB54" s="42">
        <f>'[2]поточний ремонт'!AB54+'[1]поточний ремонт'!AB54</f>
        <v>0</v>
      </c>
      <c r="AC54" s="42">
        <f>'[2]поточний ремонт'!AC54+'[1]поточний ремонт'!AC54</f>
        <v>4390.5539088451233</v>
      </c>
      <c r="AD54" s="42">
        <f>'[2]поточний ремонт'!AD54+'[1]поточний ремонт'!AD54</f>
        <v>3669.4837473365155</v>
      </c>
      <c r="AE54" s="42">
        <f>'[2]поточний ремонт'!AE54+'[1]поточний ремонт'!AE54</f>
        <v>1024.8602536337537</v>
      </c>
      <c r="AF54" s="42">
        <f>'[2]поточний ремонт'!AF54+'[1]поточний ремонт'!AF54</f>
        <v>0</v>
      </c>
      <c r="AG54" s="5"/>
      <c r="AH54" s="42">
        <f>'[2]поточний ремонт'!AH54+'[1]поточний ремонт'!AH54</f>
        <v>1483.0643238290704</v>
      </c>
      <c r="AI54" s="42">
        <f>'[2]поточний ремонт'!AI54+'[1]поточний ремонт'!AI54</f>
        <v>0</v>
      </c>
      <c r="AJ54" s="5"/>
      <c r="AK54" s="42">
        <f>'[2]поточний ремонт'!AK54+'[1]поточний ремонт'!AK54</f>
        <v>887.14365870552388</v>
      </c>
      <c r="AL54" s="42">
        <f>'[2]поточний ремонт'!AL54+'[1]поточний ремонт'!AL54</f>
        <v>0</v>
      </c>
      <c r="AM54" s="5"/>
      <c r="AN54" s="42">
        <f>'[2]поточний ремонт'!AN54+'[1]поточний ремонт'!AN54</f>
        <v>0</v>
      </c>
      <c r="AO54" s="42">
        <f>'[2]поточний ремонт'!AO54+'[1]поточний ремонт'!AO54</f>
        <v>0</v>
      </c>
      <c r="AP54" s="5"/>
      <c r="AQ54" s="42">
        <f>'[2]поточний ремонт'!AQ54+'[1]поточний ремонт'!AQ54</f>
        <v>66.163852782859806</v>
      </c>
      <c r="AR54" s="42">
        <f>'[2]поточний ремонт'!AR54+'[1]поточний ремонт'!AR54</f>
        <v>0</v>
      </c>
      <c r="AS54" s="5"/>
      <c r="AT54" s="42">
        <f>'[2]поточний ремонт'!AT54+'[1]поточний ремонт'!AT54</f>
        <v>715.84356472749005</v>
      </c>
      <c r="AU54" s="42">
        <f>'[2]поточний ремонт'!AU54+'[1]поточний ремонт'!AU54</f>
        <v>10073.774540164291</v>
      </c>
      <c r="AV54" s="9"/>
      <c r="AW54" s="42">
        <f>'[2]поточний ремонт'!AW54+'[1]поточний ремонт'!AW54</f>
        <v>34.288359423174953</v>
      </c>
      <c r="AX54" s="42">
        <f>'[2]поточний ремонт'!AX54+'[1]поточний ремонт'!AX54</f>
        <v>0</v>
      </c>
      <c r="AY54" s="5"/>
      <c r="AZ54" s="42">
        <f t="shared" si="2"/>
        <v>4211.3640131018738</v>
      </c>
      <c r="BA54" s="42">
        <f t="shared" si="3"/>
        <v>10073.774540164291</v>
      </c>
      <c r="BB54" s="58">
        <f t="shared" si="4"/>
        <v>5862.4105270624177</v>
      </c>
      <c r="BD54" s="2">
        <v>2</v>
      </c>
      <c r="BF54" s="29">
        <v>2.0639617243882125</v>
      </c>
      <c r="BG54" s="318">
        <v>150000971</v>
      </c>
      <c r="BI54" s="104">
        <v>0</v>
      </c>
      <c r="BJ54" s="104">
        <f t="shared" si="5"/>
        <v>0</v>
      </c>
      <c r="BK54" s="104">
        <v>0</v>
      </c>
      <c r="BL54" s="38"/>
      <c r="BM54" s="3"/>
      <c r="BN54" s="3">
        <v>0</v>
      </c>
      <c r="BP54" s="3"/>
      <c r="BQ54" s="3"/>
      <c r="BS54" s="42"/>
      <c r="BT54" s="42">
        <v>0</v>
      </c>
      <c r="BU54" s="958"/>
      <c r="BV54" s="41"/>
      <c r="BW54" s="42"/>
      <c r="BX54" s="36"/>
      <c r="BY54" s="76"/>
      <c r="BZ54" s="42">
        <v>0</v>
      </c>
      <c r="CA54" s="959"/>
      <c r="CB54" s="41">
        <v>0</v>
      </c>
      <c r="CC54" s="41">
        <v>0</v>
      </c>
      <c r="CD54" s="960"/>
      <c r="CE54" s="76">
        <v>0</v>
      </c>
      <c r="CF54" s="55"/>
      <c r="CG54" s="41">
        <v>0</v>
      </c>
      <c r="CH54" s="38">
        <v>0</v>
      </c>
      <c r="CI54" s="76">
        <v>0</v>
      </c>
      <c r="CJ54" s="55"/>
      <c r="CK54" s="955"/>
      <c r="CL54" s="950"/>
      <c r="CM54" s="955"/>
      <c r="CN54" s="950">
        <v>0</v>
      </c>
      <c r="CO54" s="76">
        <v>82.211527339273175</v>
      </c>
      <c r="CP54" s="42">
        <v>0</v>
      </c>
      <c r="CQ54" s="5"/>
      <c r="CR54" s="76">
        <v>127.03963965971626</v>
      </c>
      <c r="CS54" s="954">
        <v>0</v>
      </c>
      <c r="CT54" s="5"/>
      <c r="CU54" s="76">
        <v>74.612146727400756</v>
      </c>
      <c r="CV54" s="42">
        <v>0</v>
      </c>
      <c r="CW54" s="5"/>
      <c r="CX54" s="76">
        <v>0</v>
      </c>
      <c r="CY54" s="42">
        <v>0</v>
      </c>
      <c r="CZ54" s="5"/>
      <c r="DA54" s="76">
        <v>0</v>
      </c>
      <c r="DB54" s="42">
        <v>0</v>
      </c>
      <c r="DC54" s="5"/>
      <c r="DD54" s="76">
        <v>43.66879852262678</v>
      </c>
      <c r="DE54" s="42">
        <v>0</v>
      </c>
      <c r="DF54" s="9"/>
      <c r="DG54" s="76">
        <v>0</v>
      </c>
      <c r="DH54" s="42"/>
      <c r="DI54" s="5"/>
      <c r="DJ54" s="42">
        <v>327.53211224901696</v>
      </c>
      <c r="DK54" s="42">
        <f t="shared" si="6"/>
        <v>0</v>
      </c>
      <c r="DL54" s="58">
        <f t="shared" si="7"/>
        <v>-327.53211224901696</v>
      </c>
      <c r="DM54" s="2">
        <v>2</v>
      </c>
    </row>
    <row r="55" spans="1:117" ht="24.9" customHeight="1" x14ac:dyDescent="0.3">
      <c r="A55" s="318">
        <v>150000991</v>
      </c>
      <c r="B55" s="44" t="s">
        <v>341</v>
      </c>
      <c r="C55" s="956">
        <v>9</v>
      </c>
      <c r="D55" s="957" t="s">
        <v>454</v>
      </c>
      <c r="E55" s="949">
        <f>'побудинковий звіт'!E22</f>
        <v>2593.7999999999997</v>
      </c>
      <c r="F55" s="950">
        <f>'побудинковий звіт'!AS22</f>
        <v>36494.217866568273</v>
      </c>
      <c r="G55" s="950">
        <f t="shared" si="0"/>
        <v>4251.2812292618282</v>
      </c>
      <c r="H55" s="950">
        <f t="shared" si="1"/>
        <v>-32242.936637306444</v>
      </c>
      <c r="I55" s="42">
        <f>'[2]поточний ремонт'!I55+'[1]поточний ремонт'!I55</f>
        <v>0</v>
      </c>
      <c r="J55" s="42">
        <f>'[2]поточний ремонт'!J55+'[1]поточний ремонт'!J55</f>
        <v>0</v>
      </c>
      <c r="K55" s="958"/>
      <c r="L55" s="42">
        <f>'[2]поточний ремонт'!L55+'[1]поточний ремонт'!L55</f>
        <v>0</v>
      </c>
      <c r="M55" s="42">
        <f>'[2]поточний ремонт'!M55+'[1]поточний ремонт'!M55</f>
        <v>0</v>
      </c>
      <c r="N55" s="36"/>
      <c r="O55" s="42">
        <f>'[2]поточний ремонт'!O55+'[1]поточний ремонт'!O55</f>
        <v>0</v>
      </c>
      <c r="P55" s="42">
        <f>'[2]поточний ремонт'!P55+'[1]поточний ремонт'!P55</f>
        <v>0</v>
      </c>
      <c r="Q55" s="959"/>
      <c r="R55" s="42">
        <f>'[2]поточний ремонт'!R55+'[1]поточний ремонт'!R55</f>
        <v>0</v>
      </c>
      <c r="S55" s="42">
        <f>'[2]поточний ремонт'!S55+'[1]поточний ремонт'!S55</f>
        <v>0</v>
      </c>
      <c r="T55" s="960"/>
      <c r="U55" s="42">
        <f>'[2]поточний ремонт'!U55+'[1]поточний ремонт'!U55</f>
        <v>0</v>
      </c>
      <c r="V55" s="42">
        <f>'[2]поточний ремонт'!V55+'[1]поточний ремонт'!V55</f>
        <v>0</v>
      </c>
      <c r="W55" s="42">
        <f>'[2]поточний ремонт'!W55+'[1]поточний ремонт'!W55</f>
        <v>0</v>
      </c>
      <c r="X55" s="42">
        <f>'[2]поточний ремонт'!X55+'[1]поточний ремонт'!X55</f>
        <v>0</v>
      </c>
      <c r="Y55" s="42">
        <f>'[2]поточний ремонт'!Y55+'[1]поточний ремонт'!Y55</f>
        <v>1710.4411597478049</v>
      </c>
      <c r="Z55" s="42">
        <f>'[2]поточний ремонт'!Z55+'[1]поточний ремонт'!Z55</f>
        <v>0</v>
      </c>
      <c r="AA55" s="42">
        <f>'[2]поточний ремонт'!AA55+'[1]поточний ремонт'!AA55</f>
        <v>0</v>
      </c>
      <c r="AB55" s="42">
        <f>'[2]поточний ремонт'!AB55+'[1]поточний ремонт'!AB55</f>
        <v>0</v>
      </c>
      <c r="AC55" s="42">
        <f>'[2]поточний ремонт'!AC55+'[1]поточний ремонт'!AC55</f>
        <v>2540.8400695140231</v>
      </c>
      <c r="AD55" s="42">
        <f>'[2]поточний ремонт'!AD55+'[1]поточний ремонт'!AD55</f>
        <v>0</v>
      </c>
      <c r="AE55" s="42">
        <f>'[2]поточний ремонт'!AE55+'[1]поточний ремонт'!AE55</f>
        <v>1326.4405968315884</v>
      </c>
      <c r="AF55" s="42">
        <f>'[2]поточний ремонт'!AF55+'[1]поточний ремонт'!AF55</f>
        <v>3264.9694063399338</v>
      </c>
      <c r="AG55" s="5"/>
      <c r="AH55" s="42">
        <f>'[2]поточний ремонт'!AH55+'[1]поточний ремонт'!AH55</f>
        <v>1336.8608994490548</v>
      </c>
      <c r="AI55" s="42">
        <f>'[2]поточний ремонт'!AI55+'[1]поточний ремонт'!AI55</f>
        <v>0</v>
      </c>
      <c r="AJ55" s="5"/>
      <c r="AK55" s="42">
        <f>'[2]поточний ремонт'!AK55+'[1]поточний ремонт'!AK55</f>
        <v>1086.7949527393178</v>
      </c>
      <c r="AL55" s="42">
        <f>'[2]поточний ремонт'!AL55+'[1]поточний ремонт'!AL55</f>
        <v>806.97263289390003</v>
      </c>
      <c r="AM55" s="5"/>
      <c r="AN55" s="42">
        <f>'[2]поточний ремонт'!AN55+'[1]поточний ремонт'!AN55</f>
        <v>561.06830127557487</v>
      </c>
      <c r="AO55" s="42">
        <f>'[2]поточний ремонт'!AO55+'[1]поточний ремонт'!AO55</f>
        <v>1047.800462372076</v>
      </c>
      <c r="AP55" s="5"/>
      <c r="AQ55" s="42">
        <f>'[2]поточний ремонт'!AQ55+'[1]поточний ремонт'!AQ55</f>
        <v>415.80905432125786</v>
      </c>
      <c r="AR55" s="42">
        <f>'[2]поточний ремонт'!AR55+'[1]поточний ремонт'!AR55</f>
        <v>0</v>
      </c>
      <c r="AS55" s="5"/>
      <c r="AT55" s="42">
        <f>'[2]поточний ремонт'!AT55+'[1]поточний ремонт'!AT55</f>
        <v>1480.5875449063324</v>
      </c>
      <c r="AU55" s="42">
        <f>'[2]поточний ремонт'!AU55+'[1]поточний ремонт'!AU55</f>
        <v>0</v>
      </c>
      <c r="AV55" s="5"/>
      <c r="AW55" s="42">
        <f>'[2]поточний ремонт'!AW55+'[1]поточний ремонт'!AW55</f>
        <v>119.20930083080034</v>
      </c>
      <c r="AX55" s="42">
        <f>'[2]поточний ремонт'!AX55+'[1]поточний ремонт'!AX55</f>
        <v>0</v>
      </c>
      <c r="AY55" s="5"/>
      <c r="AZ55" s="42">
        <f t="shared" si="2"/>
        <v>6326.7706503539266</v>
      </c>
      <c r="BA55" s="42">
        <f t="shared" si="3"/>
        <v>5119.7425016059096</v>
      </c>
      <c r="BB55" s="58">
        <f t="shared" si="4"/>
        <v>-1207.028148748017</v>
      </c>
      <c r="BD55" s="2">
        <v>3</v>
      </c>
      <c r="BF55" s="29">
        <v>152.47169363772375</v>
      </c>
      <c r="BG55" s="318">
        <v>150000991</v>
      </c>
      <c r="BI55" s="104">
        <v>0</v>
      </c>
      <c r="BJ55" s="104">
        <f t="shared" si="5"/>
        <v>0</v>
      </c>
      <c r="BK55" s="104">
        <v>0</v>
      </c>
      <c r="BL55" s="38"/>
      <c r="BM55" s="3"/>
      <c r="BN55" s="3">
        <v>0</v>
      </c>
      <c r="BP55" s="3"/>
      <c r="BQ55" s="3"/>
      <c r="BS55" s="42"/>
      <c r="BT55" s="42">
        <v>0</v>
      </c>
      <c r="BU55" s="958"/>
      <c r="BV55" s="41"/>
      <c r="BW55" s="42"/>
      <c r="BX55" s="36"/>
      <c r="BY55" s="76"/>
      <c r="BZ55" s="42">
        <v>0</v>
      </c>
      <c r="CA55" s="959"/>
      <c r="CB55" s="41">
        <v>0</v>
      </c>
      <c r="CC55" s="41">
        <v>0</v>
      </c>
      <c r="CD55" s="960"/>
      <c r="CE55" s="76">
        <v>0</v>
      </c>
      <c r="CF55" s="55"/>
      <c r="CG55" s="41">
        <v>0</v>
      </c>
      <c r="CH55" s="38">
        <v>0</v>
      </c>
      <c r="CI55" s="76">
        <v>0</v>
      </c>
      <c r="CJ55" s="55"/>
      <c r="CK55" s="955"/>
      <c r="CL55" s="950"/>
      <c r="CM55" s="955"/>
      <c r="CN55" s="950">
        <v>0</v>
      </c>
      <c r="CO55" s="76">
        <v>88.75900440000531</v>
      </c>
      <c r="CP55" s="42">
        <v>0</v>
      </c>
      <c r="CQ55" s="5"/>
      <c r="CR55" s="76">
        <v>100.21665622868703</v>
      </c>
      <c r="CS55" s="954">
        <v>0</v>
      </c>
      <c r="CT55" s="5"/>
      <c r="CU55" s="76">
        <v>85.340073871543112</v>
      </c>
      <c r="CV55" s="42">
        <v>0</v>
      </c>
      <c r="CW55" s="5"/>
      <c r="CX55" s="76">
        <v>50.586994711653801</v>
      </c>
      <c r="CY55" s="42">
        <v>0</v>
      </c>
      <c r="CZ55" s="5"/>
      <c r="DA55" s="76">
        <v>32.980617657691397</v>
      </c>
      <c r="DB55" s="42">
        <v>0</v>
      </c>
      <c r="DC55" s="5"/>
      <c r="DD55" s="76">
        <v>104.27028025908592</v>
      </c>
      <c r="DE55" s="42">
        <v>0</v>
      </c>
      <c r="DF55" s="5"/>
      <c r="DG55" s="76">
        <v>0</v>
      </c>
      <c r="DH55" s="42"/>
      <c r="DI55" s="5"/>
      <c r="DJ55" s="42">
        <v>462.15362712866659</v>
      </c>
      <c r="DK55" s="42">
        <f t="shared" si="6"/>
        <v>0</v>
      </c>
      <c r="DL55" s="58">
        <f t="shared" si="7"/>
        <v>-462.15362712866659</v>
      </c>
      <c r="DM55" s="2">
        <v>3</v>
      </c>
    </row>
    <row r="56" spans="1:117" ht="24.9" customHeight="1" x14ac:dyDescent="0.3">
      <c r="A56" s="318">
        <v>150000999</v>
      </c>
      <c r="B56" s="44" t="s">
        <v>40</v>
      </c>
      <c r="C56" s="956">
        <v>1</v>
      </c>
      <c r="D56" s="957" t="s">
        <v>454</v>
      </c>
      <c r="E56" s="949">
        <f>'побудинковий звіт'!E23</f>
        <v>1869.8999999999999</v>
      </c>
      <c r="F56" s="950">
        <f>'побудинковий звіт'!AS23</f>
        <v>23142.820916718629</v>
      </c>
      <c r="G56" s="950">
        <f t="shared" si="0"/>
        <v>0</v>
      </c>
      <c r="H56" s="950">
        <f t="shared" si="1"/>
        <v>-23142.820916718629</v>
      </c>
      <c r="I56" s="42">
        <f>'[2]поточний ремонт'!I56+'[1]поточний ремонт'!I56</f>
        <v>0</v>
      </c>
      <c r="J56" s="42">
        <f>'[2]поточний ремонт'!J56+'[1]поточний ремонт'!J56</f>
        <v>0</v>
      </c>
      <c r="K56" s="958"/>
      <c r="L56" s="42">
        <f>'[2]поточний ремонт'!L56+'[1]поточний ремонт'!L56</f>
        <v>0</v>
      </c>
      <c r="M56" s="42">
        <f>'[2]поточний ремонт'!M56+'[1]поточний ремонт'!M56</f>
        <v>0</v>
      </c>
      <c r="N56" s="36"/>
      <c r="O56" s="42">
        <f>'[2]поточний ремонт'!O56+'[1]поточний ремонт'!O56</f>
        <v>0</v>
      </c>
      <c r="P56" s="42">
        <f>'[2]поточний ремонт'!P56+'[1]поточний ремонт'!P56</f>
        <v>0</v>
      </c>
      <c r="Q56" s="959"/>
      <c r="R56" s="42">
        <f>'[2]поточний ремонт'!R56+'[1]поточний ремонт'!R56</f>
        <v>0</v>
      </c>
      <c r="S56" s="42">
        <f>'[2]поточний ремонт'!S56+'[1]поточний ремонт'!S56</f>
        <v>0</v>
      </c>
      <c r="T56" s="960"/>
      <c r="U56" s="42">
        <f>'[2]поточний ремонт'!U56+'[1]поточний ремонт'!U56</f>
        <v>0</v>
      </c>
      <c r="V56" s="42">
        <f>'[2]поточний ремонт'!V56+'[1]поточний ремонт'!V56</f>
        <v>0</v>
      </c>
      <c r="W56" s="42">
        <f>'[2]поточний ремонт'!W56+'[1]поточний ремонт'!W56</f>
        <v>0</v>
      </c>
      <c r="X56" s="42">
        <f>'[2]поточний ремонт'!X56+'[1]поточний ремонт'!X56</f>
        <v>0</v>
      </c>
      <c r="Y56" s="42">
        <f>'[2]поточний ремонт'!Y56+'[1]поточний ремонт'!Y56</f>
        <v>0</v>
      </c>
      <c r="Z56" s="42">
        <f>'[2]поточний ремонт'!Z56+'[1]поточний ремонт'!Z56</f>
        <v>0</v>
      </c>
      <c r="AA56" s="42">
        <f>'[2]поточний ремонт'!AA56+'[1]поточний ремонт'!AA56</f>
        <v>0</v>
      </c>
      <c r="AB56" s="42">
        <f>'[2]поточний ремонт'!AB56+'[1]поточний ремонт'!AB56</f>
        <v>0</v>
      </c>
      <c r="AC56" s="42">
        <f>'[2]поточний ремонт'!AC56+'[1]поточний ремонт'!AC56</f>
        <v>0</v>
      </c>
      <c r="AD56" s="42">
        <f>'[2]поточний ремонт'!AD56+'[1]поточний ремонт'!AD56</f>
        <v>0</v>
      </c>
      <c r="AE56" s="42">
        <f>'[2]поточний ремонт'!AE56+'[1]поточний ремонт'!AE56</f>
        <v>0</v>
      </c>
      <c r="AF56" s="42">
        <f>'[2]поточний ремонт'!AF56+'[1]поточний ремонт'!AF56</f>
        <v>0</v>
      </c>
      <c r="AG56" s="5"/>
      <c r="AH56" s="42">
        <f>'[2]поточний ремонт'!AH56+'[1]поточний ремонт'!AH56</f>
        <v>0</v>
      </c>
      <c r="AI56" s="42">
        <f>'[2]поточний ремонт'!AI56+'[1]поточний ремонт'!AI56</f>
        <v>0</v>
      </c>
      <c r="AJ56" s="5"/>
      <c r="AK56" s="42">
        <f>'[2]поточний ремонт'!AK56+'[1]поточний ремонт'!AK56</f>
        <v>0</v>
      </c>
      <c r="AL56" s="42">
        <f>'[2]поточний ремонт'!AL56+'[1]поточний ремонт'!AL56</f>
        <v>0</v>
      </c>
      <c r="AM56" s="5"/>
      <c r="AN56" s="42">
        <f>'[2]поточний ремонт'!AN56+'[1]поточний ремонт'!AN56</f>
        <v>0</v>
      </c>
      <c r="AO56" s="42">
        <f>'[2]поточний ремонт'!AO56+'[1]поточний ремонт'!AO56</f>
        <v>0</v>
      </c>
      <c r="AP56" s="5"/>
      <c r="AQ56" s="42">
        <f>'[2]поточний ремонт'!AQ56+'[1]поточний ремонт'!AQ56</f>
        <v>0</v>
      </c>
      <c r="AR56" s="42">
        <f>'[2]поточний ремонт'!AR56+'[1]поточний ремонт'!AR56</f>
        <v>0</v>
      </c>
      <c r="AS56" s="5"/>
      <c r="AT56" s="42">
        <f>'[2]поточний ремонт'!AT56+'[1]поточний ремонт'!AT56</f>
        <v>0</v>
      </c>
      <c r="AU56" s="42">
        <f>'[2]поточний ремонт'!AU56+'[1]поточний ремонт'!AU56</f>
        <v>0</v>
      </c>
      <c r="AV56" s="5"/>
      <c r="AW56" s="42">
        <f>'[2]поточний ремонт'!AW56+'[1]поточний ремонт'!AW56</f>
        <v>0</v>
      </c>
      <c r="AX56" s="42">
        <f>'[2]поточний ремонт'!AX56+'[1]поточний ремонт'!AX56</f>
        <v>0</v>
      </c>
      <c r="AY56" s="5"/>
      <c r="AZ56" s="42">
        <f t="shared" si="2"/>
        <v>0</v>
      </c>
      <c r="BA56" s="42">
        <f t="shared" si="3"/>
        <v>0</v>
      </c>
      <c r="BB56" s="58">
        <f t="shared" si="4"/>
        <v>0</v>
      </c>
      <c r="BD56" s="2">
        <v>3</v>
      </c>
      <c r="BF56" s="29">
        <v>0</v>
      </c>
      <c r="BG56" s="318">
        <v>150000999</v>
      </c>
      <c r="BI56" s="104">
        <v>0</v>
      </c>
      <c r="BJ56" s="104">
        <f t="shared" si="5"/>
        <v>0</v>
      </c>
      <c r="BK56" s="104">
        <v>0</v>
      </c>
      <c r="BL56" s="38"/>
      <c r="BM56" s="3"/>
      <c r="BN56" s="3">
        <v>0</v>
      </c>
      <c r="BP56" s="3"/>
      <c r="BQ56" s="3"/>
      <c r="BS56" s="42"/>
      <c r="BT56" s="42">
        <v>0</v>
      </c>
      <c r="BU56" s="958"/>
      <c r="BV56" s="41"/>
      <c r="BW56" s="42"/>
      <c r="BX56" s="36"/>
      <c r="BY56" s="76"/>
      <c r="BZ56" s="42">
        <v>0</v>
      </c>
      <c r="CA56" s="959"/>
      <c r="CB56" s="41">
        <v>0</v>
      </c>
      <c r="CC56" s="41">
        <v>0</v>
      </c>
      <c r="CD56" s="960"/>
      <c r="CE56" s="76">
        <v>0</v>
      </c>
      <c r="CF56" s="55"/>
      <c r="CG56" s="41">
        <v>0</v>
      </c>
      <c r="CH56" s="38">
        <v>0</v>
      </c>
      <c r="CI56" s="76">
        <v>0</v>
      </c>
      <c r="CJ56" s="55"/>
      <c r="CK56" s="955"/>
      <c r="CL56" s="950"/>
      <c r="CM56" s="955"/>
      <c r="CN56" s="950">
        <v>0</v>
      </c>
      <c r="CO56" s="76">
        <v>0</v>
      </c>
      <c r="CP56" s="42">
        <v>0</v>
      </c>
      <c r="CQ56" s="5"/>
      <c r="CR56" s="76">
        <v>0</v>
      </c>
      <c r="CS56" s="954">
        <v>0</v>
      </c>
      <c r="CT56" s="5"/>
      <c r="CU56" s="76">
        <v>0</v>
      </c>
      <c r="CV56" s="42">
        <v>0</v>
      </c>
      <c r="CW56" s="5"/>
      <c r="CX56" s="76">
        <v>0</v>
      </c>
      <c r="CY56" s="42">
        <v>0</v>
      </c>
      <c r="CZ56" s="5"/>
      <c r="DA56" s="76">
        <v>0</v>
      </c>
      <c r="DB56" s="42">
        <v>0</v>
      </c>
      <c r="DC56" s="5"/>
      <c r="DD56" s="76">
        <v>0</v>
      </c>
      <c r="DE56" s="42">
        <v>0</v>
      </c>
      <c r="DF56" s="5"/>
      <c r="DG56" s="76">
        <v>0</v>
      </c>
      <c r="DH56" s="42"/>
      <c r="DI56" s="5"/>
      <c r="DJ56" s="42">
        <v>0</v>
      </c>
      <c r="DK56" s="42">
        <f t="shared" si="6"/>
        <v>0</v>
      </c>
      <c r="DL56" s="58">
        <f t="shared" si="7"/>
        <v>0</v>
      </c>
      <c r="DM56" s="2">
        <v>3</v>
      </c>
    </row>
    <row r="57" spans="1:117" ht="24.9" customHeight="1" x14ac:dyDescent="0.3">
      <c r="A57" s="318">
        <v>150000993</v>
      </c>
      <c r="B57" s="44" t="s">
        <v>41</v>
      </c>
      <c r="C57" s="956">
        <v>1</v>
      </c>
      <c r="D57" s="957" t="s">
        <v>454</v>
      </c>
      <c r="E57" s="949">
        <f>'побудинковий звіт'!E24</f>
        <v>275.3</v>
      </c>
      <c r="F57" s="950">
        <f>'побудинковий звіт'!AS24</f>
        <v>2834.3029461345386</v>
      </c>
      <c r="G57" s="950">
        <f t="shared" si="0"/>
        <v>13823.951424754938</v>
      </c>
      <c r="H57" s="950">
        <f t="shared" si="1"/>
        <v>10989.648478620398</v>
      </c>
      <c r="I57" s="42">
        <f>'[2]поточний ремонт'!I57+'[1]поточний ремонт'!I57</f>
        <v>0</v>
      </c>
      <c r="J57" s="42">
        <f>'[2]поточний ремонт'!J57+'[1]поточний ремонт'!J57</f>
        <v>0</v>
      </c>
      <c r="K57" s="958"/>
      <c r="L57" s="42">
        <f>'[2]поточний ремонт'!L57+'[1]поточний ремонт'!L57</f>
        <v>0</v>
      </c>
      <c r="M57" s="42">
        <f>'[2]поточний ремонт'!M57+'[1]поточний ремонт'!M57</f>
        <v>0</v>
      </c>
      <c r="N57" s="36"/>
      <c r="O57" s="42">
        <f>'[2]поточний ремонт'!O57+'[1]поточний ремонт'!O57</f>
        <v>0</v>
      </c>
      <c r="P57" s="42">
        <f>'[2]поточний ремонт'!P57+'[1]поточний ремонт'!P57</f>
        <v>0</v>
      </c>
      <c r="Q57" s="959"/>
      <c r="R57" s="42">
        <f>'[2]поточний ремонт'!R57+'[1]поточний ремонт'!R57</f>
        <v>0</v>
      </c>
      <c r="S57" s="42">
        <f>'[2]поточний ремонт'!S57+'[1]поточний ремонт'!S57</f>
        <v>0</v>
      </c>
      <c r="T57" s="960"/>
      <c r="U57" s="42">
        <f>'[2]поточний ремонт'!U57+'[1]поточний ремонт'!U57</f>
        <v>0</v>
      </c>
      <c r="V57" s="42">
        <f>'[2]поточний ремонт'!V57+'[1]поточний ремонт'!V57</f>
        <v>0</v>
      </c>
      <c r="W57" s="42">
        <f>'[2]поточний ремонт'!W57+'[1]поточний ремонт'!W57</f>
        <v>0</v>
      </c>
      <c r="X57" s="42">
        <f>'[2]поточний ремонт'!X57+'[1]поточний ремонт'!X57</f>
        <v>0</v>
      </c>
      <c r="Y57" s="42">
        <f>'[2]поточний ремонт'!Y57+'[1]поточний ремонт'!Y57</f>
        <v>13823.951424754938</v>
      </c>
      <c r="Z57" s="42">
        <f>'[2]поточний ремонт'!Z57+'[1]поточний ремонт'!Z57</f>
        <v>0</v>
      </c>
      <c r="AA57" s="42">
        <f>'[2]поточний ремонт'!AA57+'[1]поточний ремонт'!AA57</f>
        <v>0</v>
      </c>
      <c r="AB57" s="42">
        <f>'[2]поточний ремонт'!AB57+'[1]поточний ремонт'!AB57</f>
        <v>0</v>
      </c>
      <c r="AC57" s="42">
        <f>'[2]поточний ремонт'!AC57+'[1]поточний ремонт'!AC57</f>
        <v>0</v>
      </c>
      <c r="AD57" s="42">
        <f>'[2]поточний ремонт'!AD57+'[1]поточний ремонт'!AD57</f>
        <v>0</v>
      </c>
      <c r="AE57" s="42">
        <f>'[2]поточний ремонт'!AE57+'[1]поточний ремонт'!AE57</f>
        <v>0</v>
      </c>
      <c r="AF57" s="42">
        <f>'[2]поточний ремонт'!AF57+'[1]поточний ремонт'!AF57</f>
        <v>0</v>
      </c>
      <c r="AG57" s="5"/>
      <c r="AH57" s="42">
        <f>'[2]поточний ремонт'!AH57+'[1]поточний ремонт'!AH57</f>
        <v>0</v>
      </c>
      <c r="AI57" s="42">
        <f>'[2]поточний ремонт'!AI57+'[1]поточний ремонт'!AI57</f>
        <v>0</v>
      </c>
      <c r="AJ57" s="5"/>
      <c r="AK57" s="42">
        <f>'[2]поточний ремонт'!AK57+'[1]поточний ремонт'!AK57</f>
        <v>0</v>
      </c>
      <c r="AL57" s="42">
        <f>'[2]поточний ремонт'!AL57+'[1]поточний ремонт'!AL57</f>
        <v>0</v>
      </c>
      <c r="AM57" s="5"/>
      <c r="AN57" s="42">
        <f>'[2]поточний ремонт'!AN57+'[1]поточний ремонт'!AN57</f>
        <v>0</v>
      </c>
      <c r="AO57" s="42">
        <f>'[2]поточний ремонт'!AO57+'[1]поточний ремонт'!AO57</f>
        <v>0</v>
      </c>
      <c r="AP57" s="5"/>
      <c r="AQ57" s="42">
        <f>'[2]поточний ремонт'!AQ57+'[1]поточний ремонт'!AQ57</f>
        <v>0</v>
      </c>
      <c r="AR57" s="42">
        <f>'[2]поточний ремонт'!AR57+'[1]поточний ремонт'!AR57</f>
        <v>0</v>
      </c>
      <c r="AS57" s="5"/>
      <c r="AT57" s="42">
        <f>'[2]поточний ремонт'!AT57+'[1]поточний ремонт'!AT57</f>
        <v>0</v>
      </c>
      <c r="AU57" s="42">
        <f>'[2]поточний ремонт'!AU57+'[1]поточний ремонт'!AU57</f>
        <v>0</v>
      </c>
      <c r="AV57" s="5"/>
      <c r="AW57" s="42">
        <f>'[2]поточний ремонт'!AW57+'[1]поточний ремонт'!AW57</f>
        <v>0</v>
      </c>
      <c r="AX57" s="42">
        <f>'[2]поточний ремонт'!AX57+'[1]поточний ремонт'!AX57</f>
        <v>0</v>
      </c>
      <c r="AY57" s="5"/>
      <c r="AZ57" s="42">
        <f t="shared" si="2"/>
        <v>0</v>
      </c>
      <c r="BA57" s="42">
        <f t="shared" si="3"/>
        <v>0</v>
      </c>
      <c r="BB57" s="58">
        <f t="shared" si="4"/>
        <v>0</v>
      </c>
      <c r="BD57" s="2">
        <v>3</v>
      </c>
      <c r="BF57" s="29">
        <v>0</v>
      </c>
      <c r="BG57" s="318">
        <v>150000993</v>
      </c>
      <c r="BI57" s="104">
        <v>0</v>
      </c>
      <c r="BJ57" s="104">
        <f t="shared" si="5"/>
        <v>0</v>
      </c>
      <c r="BK57" s="104">
        <v>0</v>
      </c>
      <c r="BL57" s="38"/>
      <c r="BM57" s="3"/>
      <c r="BN57" s="3">
        <v>0</v>
      </c>
      <c r="BP57" s="3"/>
      <c r="BQ57" s="3"/>
      <c r="BS57" s="42"/>
      <c r="BT57" s="42">
        <v>0</v>
      </c>
      <c r="BU57" s="958"/>
      <c r="BV57" s="41"/>
      <c r="BW57" s="42"/>
      <c r="BX57" s="36"/>
      <c r="BY57" s="76"/>
      <c r="BZ57" s="42">
        <v>0</v>
      </c>
      <c r="CA57" s="959"/>
      <c r="CB57" s="41">
        <v>0</v>
      </c>
      <c r="CC57" s="41">
        <v>0</v>
      </c>
      <c r="CD57" s="960"/>
      <c r="CE57" s="76">
        <v>0</v>
      </c>
      <c r="CF57" s="55"/>
      <c r="CG57" s="41">
        <v>0</v>
      </c>
      <c r="CH57" s="38">
        <v>0</v>
      </c>
      <c r="CI57" s="76">
        <v>0</v>
      </c>
      <c r="CJ57" s="55"/>
      <c r="CK57" s="955"/>
      <c r="CL57" s="950"/>
      <c r="CM57" s="955"/>
      <c r="CN57" s="950">
        <v>0</v>
      </c>
      <c r="CO57" s="76">
        <v>0</v>
      </c>
      <c r="CP57" s="42">
        <v>0</v>
      </c>
      <c r="CQ57" s="5"/>
      <c r="CR57" s="76">
        <v>0</v>
      </c>
      <c r="CS57" s="954">
        <v>0</v>
      </c>
      <c r="CT57" s="5"/>
      <c r="CU57" s="76">
        <v>0</v>
      </c>
      <c r="CV57" s="42">
        <v>0</v>
      </c>
      <c r="CW57" s="5"/>
      <c r="CX57" s="76">
        <v>0</v>
      </c>
      <c r="CY57" s="42">
        <v>0</v>
      </c>
      <c r="CZ57" s="5"/>
      <c r="DA57" s="76">
        <v>0</v>
      </c>
      <c r="DB57" s="42">
        <v>0</v>
      </c>
      <c r="DC57" s="5"/>
      <c r="DD57" s="76">
        <v>0</v>
      </c>
      <c r="DE57" s="42">
        <v>0</v>
      </c>
      <c r="DF57" s="5"/>
      <c r="DG57" s="76">
        <v>0</v>
      </c>
      <c r="DH57" s="42"/>
      <c r="DI57" s="5"/>
      <c r="DJ57" s="42">
        <v>0</v>
      </c>
      <c r="DK57" s="42">
        <f t="shared" si="6"/>
        <v>0</v>
      </c>
      <c r="DL57" s="58">
        <f t="shared" si="7"/>
        <v>0</v>
      </c>
      <c r="DM57" s="2">
        <v>3</v>
      </c>
    </row>
    <row r="58" spans="1:117" ht="24.9" customHeight="1" x14ac:dyDescent="0.3">
      <c r="A58" s="318">
        <v>150001004</v>
      </c>
      <c r="B58" s="44" t="s">
        <v>43</v>
      </c>
      <c r="C58" s="956">
        <v>1</v>
      </c>
      <c r="D58" s="957" t="s">
        <v>454</v>
      </c>
      <c r="E58" s="949">
        <f>'побудинковий звіт'!E25</f>
        <v>1578.7</v>
      </c>
      <c r="F58" s="950">
        <f>'побудинковий звіт'!AS25</f>
        <v>27952.323021697004</v>
      </c>
      <c r="G58" s="950">
        <f t="shared" si="0"/>
        <v>0</v>
      </c>
      <c r="H58" s="950">
        <f t="shared" si="1"/>
        <v>-27952.323021697004</v>
      </c>
      <c r="I58" s="42">
        <f>'[2]поточний ремонт'!I58+'[1]поточний ремонт'!I58</f>
        <v>0</v>
      </c>
      <c r="J58" s="42">
        <f>'[2]поточний ремонт'!J58+'[1]поточний ремонт'!J58</f>
        <v>0</v>
      </c>
      <c r="K58" s="958"/>
      <c r="L58" s="42">
        <f>'[2]поточний ремонт'!L58+'[1]поточний ремонт'!L58</f>
        <v>0</v>
      </c>
      <c r="M58" s="42">
        <f>'[2]поточний ремонт'!M58+'[1]поточний ремонт'!M58</f>
        <v>0</v>
      </c>
      <c r="N58" s="36"/>
      <c r="O58" s="42">
        <f>'[2]поточний ремонт'!O58+'[1]поточний ремонт'!O58</f>
        <v>0</v>
      </c>
      <c r="P58" s="42">
        <f>'[2]поточний ремонт'!P58+'[1]поточний ремонт'!P58</f>
        <v>0</v>
      </c>
      <c r="Q58" s="959"/>
      <c r="R58" s="42">
        <f>'[2]поточний ремонт'!R58+'[1]поточний ремонт'!R58</f>
        <v>0</v>
      </c>
      <c r="S58" s="42">
        <f>'[2]поточний ремонт'!S58+'[1]поточний ремонт'!S58</f>
        <v>0</v>
      </c>
      <c r="T58" s="960"/>
      <c r="U58" s="42">
        <f>'[2]поточний ремонт'!U58+'[1]поточний ремонт'!U58</f>
        <v>0</v>
      </c>
      <c r="V58" s="42">
        <f>'[2]поточний ремонт'!V58+'[1]поточний ремонт'!V58</f>
        <v>0</v>
      </c>
      <c r="W58" s="42">
        <f>'[2]поточний ремонт'!W58+'[1]поточний ремонт'!W58</f>
        <v>0</v>
      </c>
      <c r="X58" s="42">
        <f>'[2]поточний ремонт'!X58+'[1]поточний ремонт'!X58</f>
        <v>0</v>
      </c>
      <c r="Y58" s="42">
        <f>'[2]поточний ремонт'!Y58+'[1]поточний ремонт'!Y58</f>
        <v>0</v>
      </c>
      <c r="Z58" s="42">
        <f>'[2]поточний ремонт'!Z58+'[1]поточний ремонт'!Z58</f>
        <v>0</v>
      </c>
      <c r="AA58" s="42">
        <f>'[2]поточний ремонт'!AA58+'[1]поточний ремонт'!AA58</f>
        <v>0</v>
      </c>
      <c r="AB58" s="42">
        <f>'[2]поточний ремонт'!AB58+'[1]поточний ремонт'!AB58</f>
        <v>0</v>
      </c>
      <c r="AC58" s="42">
        <f>'[2]поточний ремонт'!AC58+'[1]поточний ремонт'!AC58</f>
        <v>0</v>
      </c>
      <c r="AD58" s="42">
        <f>'[2]поточний ремонт'!AD58+'[1]поточний ремонт'!AD58</f>
        <v>0</v>
      </c>
      <c r="AE58" s="42">
        <f>'[2]поточний ремонт'!AE58+'[1]поточний ремонт'!AE58</f>
        <v>0</v>
      </c>
      <c r="AF58" s="42">
        <f>'[2]поточний ремонт'!AF58+'[1]поточний ремонт'!AF58</f>
        <v>0</v>
      </c>
      <c r="AG58" s="5"/>
      <c r="AH58" s="42">
        <f>'[2]поточний ремонт'!AH58+'[1]поточний ремонт'!AH58</f>
        <v>0</v>
      </c>
      <c r="AI58" s="42">
        <f>'[2]поточний ремонт'!AI58+'[1]поточний ремонт'!AI58</f>
        <v>0</v>
      </c>
      <c r="AJ58" s="5"/>
      <c r="AK58" s="42">
        <f>'[2]поточний ремонт'!AK58+'[1]поточний ремонт'!AK58</f>
        <v>0</v>
      </c>
      <c r="AL58" s="42">
        <f>'[2]поточний ремонт'!AL58+'[1]поточний ремонт'!AL58</f>
        <v>0</v>
      </c>
      <c r="AM58" s="5"/>
      <c r="AN58" s="42">
        <f>'[2]поточний ремонт'!AN58+'[1]поточний ремонт'!AN58</f>
        <v>0</v>
      </c>
      <c r="AO58" s="42">
        <f>'[2]поточний ремонт'!AO58+'[1]поточний ремонт'!AO58</f>
        <v>0</v>
      </c>
      <c r="AP58" s="5"/>
      <c r="AQ58" s="42">
        <f>'[2]поточний ремонт'!AQ58+'[1]поточний ремонт'!AQ58</f>
        <v>0</v>
      </c>
      <c r="AR58" s="42">
        <f>'[2]поточний ремонт'!AR58+'[1]поточний ремонт'!AR58</f>
        <v>0</v>
      </c>
      <c r="AS58" s="5"/>
      <c r="AT58" s="42">
        <f>'[2]поточний ремонт'!AT58+'[1]поточний ремонт'!AT58</f>
        <v>0</v>
      </c>
      <c r="AU58" s="42">
        <f>'[2]поточний ремонт'!AU58+'[1]поточний ремонт'!AU58</f>
        <v>0</v>
      </c>
      <c r="AV58" s="5"/>
      <c r="AW58" s="42">
        <f>'[2]поточний ремонт'!AW58+'[1]поточний ремонт'!AW58</f>
        <v>0</v>
      </c>
      <c r="AX58" s="42">
        <f>'[2]поточний ремонт'!AX58+'[1]поточний ремонт'!AX58</f>
        <v>0</v>
      </c>
      <c r="AY58" s="5"/>
      <c r="AZ58" s="42">
        <f t="shared" si="2"/>
        <v>0</v>
      </c>
      <c r="BA58" s="42">
        <f t="shared" si="3"/>
        <v>0</v>
      </c>
      <c r="BB58" s="58">
        <f t="shared" si="4"/>
        <v>0</v>
      </c>
      <c r="BD58" s="2">
        <v>3</v>
      </c>
      <c r="BF58" s="29">
        <v>0</v>
      </c>
      <c r="BG58" s="318">
        <v>150001004</v>
      </c>
      <c r="BI58" s="104">
        <v>0</v>
      </c>
      <c r="BJ58" s="104">
        <f t="shared" si="5"/>
        <v>0</v>
      </c>
      <c r="BK58" s="104">
        <v>0</v>
      </c>
      <c r="BL58" s="38"/>
      <c r="BM58" s="3"/>
      <c r="BN58" s="3">
        <v>0</v>
      </c>
      <c r="BP58" s="3"/>
      <c r="BQ58" s="3"/>
      <c r="BS58" s="42"/>
      <c r="BT58" s="42">
        <v>0</v>
      </c>
      <c r="BU58" s="958"/>
      <c r="BV58" s="41"/>
      <c r="BW58" s="42"/>
      <c r="BX58" s="36"/>
      <c r="BY58" s="76"/>
      <c r="BZ58" s="42">
        <v>0</v>
      </c>
      <c r="CA58" s="959"/>
      <c r="CB58" s="41">
        <v>0</v>
      </c>
      <c r="CC58" s="41">
        <v>0</v>
      </c>
      <c r="CD58" s="960"/>
      <c r="CE58" s="76">
        <v>0</v>
      </c>
      <c r="CF58" s="55"/>
      <c r="CG58" s="41">
        <v>0</v>
      </c>
      <c r="CH58" s="38">
        <v>0</v>
      </c>
      <c r="CI58" s="76">
        <v>0</v>
      </c>
      <c r="CJ58" s="55"/>
      <c r="CK58" s="955"/>
      <c r="CL58" s="950"/>
      <c r="CM58" s="955"/>
      <c r="CN58" s="950">
        <v>0</v>
      </c>
      <c r="CO58" s="76">
        <v>0</v>
      </c>
      <c r="CP58" s="42">
        <v>0</v>
      </c>
      <c r="CQ58" s="5"/>
      <c r="CR58" s="76">
        <v>0</v>
      </c>
      <c r="CS58" s="954">
        <v>0</v>
      </c>
      <c r="CT58" s="5"/>
      <c r="CU58" s="76">
        <v>0</v>
      </c>
      <c r="CV58" s="42">
        <v>0</v>
      </c>
      <c r="CW58" s="5"/>
      <c r="CX58" s="76">
        <v>0</v>
      </c>
      <c r="CY58" s="42">
        <v>0</v>
      </c>
      <c r="CZ58" s="5"/>
      <c r="DA58" s="76">
        <v>0</v>
      </c>
      <c r="DB58" s="42">
        <v>0</v>
      </c>
      <c r="DC58" s="5"/>
      <c r="DD58" s="76">
        <v>0</v>
      </c>
      <c r="DE58" s="42">
        <v>0</v>
      </c>
      <c r="DF58" s="5"/>
      <c r="DG58" s="76">
        <v>0</v>
      </c>
      <c r="DH58" s="42"/>
      <c r="DI58" s="5"/>
      <c r="DJ58" s="42">
        <v>0</v>
      </c>
      <c r="DK58" s="42">
        <f t="shared" si="6"/>
        <v>0</v>
      </c>
      <c r="DL58" s="58">
        <f t="shared" si="7"/>
        <v>0</v>
      </c>
      <c r="DM58" s="2">
        <v>3</v>
      </c>
    </row>
    <row r="59" spans="1:117" ht="24.9" customHeight="1" x14ac:dyDescent="0.3">
      <c r="A59" s="318">
        <v>150000994</v>
      </c>
      <c r="B59" s="44" t="s">
        <v>44</v>
      </c>
      <c r="C59" s="956">
        <v>1</v>
      </c>
      <c r="D59" s="957" t="s">
        <v>454</v>
      </c>
      <c r="E59" s="949">
        <f>'побудинковий звіт'!E26</f>
        <v>631.1</v>
      </c>
      <c r="F59" s="950">
        <f>'побудинковий звіт'!AS26</f>
        <v>5456.8263486916721</v>
      </c>
      <c r="G59" s="950">
        <f t="shared" si="0"/>
        <v>0</v>
      </c>
      <c r="H59" s="950">
        <f t="shared" si="1"/>
        <v>-5456.8263486916721</v>
      </c>
      <c r="I59" s="42">
        <f>'[2]поточний ремонт'!I59+'[1]поточний ремонт'!I59</f>
        <v>0</v>
      </c>
      <c r="J59" s="42">
        <f>'[2]поточний ремонт'!J59+'[1]поточний ремонт'!J59</f>
        <v>0</v>
      </c>
      <c r="K59" s="958"/>
      <c r="L59" s="42">
        <f>'[2]поточний ремонт'!L59+'[1]поточний ремонт'!L59</f>
        <v>0</v>
      </c>
      <c r="M59" s="42">
        <f>'[2]поточний ремонт'!M59+'[1]поточний ремонт'!M59</f>
        <v>0</v>
      </c>
      <c r="N59" s="36"/>
      <c r="O59" s="42">
        <f>'[2]поточний ремонт'!O59+'[1]поточний ремонт'!O59</f>
        <v>0</v>
      </c>
      <c r="P59" s="42">
        <f>'[2]поточний ремонт'!P59+'[1]поточний ремонт'!P59</f>
        <v>0</v>
      </c>
      <c r="Q59" s="959"/>
      <c r="R59" s="42">
        <f>'[2]поточний ремонт'!R59+'[1]поточний ремонт'!R59</f>
        <v>0</v>
      </c>
      <c r="S59" s="42">
        <f>'[2]поточний ремонт'!S59+'[1]поточний ремонт'!S59</f>
        <v>0</v>
      </c>
      <c r="T59" s="960"/>
      <c r="U59" s="42">
        <f>'[2]поточний ремонт'!U59+'[1]поточний ремонт'!U59</f>
        <v>0</v>
      </c>
      <c r="V59" s="42">
        <f>'[2]поточний ремонт'!V59+'[1]поточний ремонт'!V59</f>
        <v>0</v>
      </c>
      <c r="W59" s="42">
        <f>'[2]поточний ремонт'!W59+'[1]поточний ремонт'!W59</f>
        <v>0</v>
      </c>
      <c r="X59" s="42">
        <f>'[2]поточний ремонт'!X59+'[1]поточний ремонт'!X59</f>
        <v>0</v>
      </c>
      <c r="Y59" s="42">
        <f>'[2]поточний ремонт'!Y59+'[1]поточний ремонт'!Y59</f>
        <v>0</v>
      </c>
      <c r="Z59" s="42">
        <f>'[2]поточний ремонт'!Z59+'[1]поточний ремонт'!Z59</f>
        <v>0</v>
      </c>
      <c r="AA59" s="42">
        <f>'[2]поточний ремонт'!AA59+'[1]поточний ремонт'!AA59</f>
        <v>0</v>
      </c>
      <c r="AB59" s="42">
        <f>'[2]поточний ремонт'!AB59+'[1]поточний ремонт'!AB59</f>
        <v>0</v>
      </c>
      <c r="AC59" s="42">
        <f>'[2]поточний ремонт'!AC59+'[1]поточний ремонт'!AC59</f>
        <v>0</v>
      </c>
      <c r="AD59" s="42">
        <f>'[2]поточний ремонт'!AD59+'[1]поточний ремонт'!AD59</f>
        <v>0</v>
      </c>
      <c r="AE59" s="42">
        <f>'[2]поточний ремонт'!AE59+'[1]поточний ремонт'!AE59</f>
        <v>0</v>
      </c>
      <c r="AF59" s="42">
        <f>'[2]поточний ремонт'!AF59+'[1]поточний ремонт'!AF59</f>
        <v>0</v>
      </c>
      <c r="AG59" s="5"/>
      <c r="AH59" s="42">
        <f>'[2]поточний ремонт'!AH59+'[1]поточний ремонт'!AH59</f>
        <v>0</v>
      </c>
      <c r="AI59" s="42">
        <f>'[2]поточний ремонт'!AI59+'[1]поточний ремонт'!AI59</f>
        <v>0</v>
      </c>
      <c r="AJ59" s="5"/>
      <c r="AK59" s="42">
        <f>'[2]поточний ремонт'!AK59+'[1]поточний ремонт'!AK59</f>
        <v>0</v>
      </c>
      <c r="AL59" s="42">
        <f>'[2]поточний ремонт'!AL59+'[1]поточний ремонт'!AL59</f>
        <v>0</v>
      </c>
      <c r="AM59" s="5"/>
      <c r="AN59" s="42">
        <f>'[2]поточний ремонт'!AN59+'[1]поточний ремонт'!AN59</f>
        <v>0</v>
      </c>
      <c r="AO59" s="42">
        <f>'[2]поточний ремонт'!AO59+'[1]поточний ремонт'!AO59</f>
        <v>0</v>
      </c>
      <c r="AP59" s="5"/>
      <c r="AQ59" s="42">
        <f>'[2]поточний ремонт'!AQ59+'[1]поточний ремонт'!AQ59</f>
        <v>0</v>
      </c>
      <c r="AR59" s="42">
        <f>'[2]поточний ремонт'!AR59+'[1]поточний ремонт'!AR59</f>
        <v>0</v>
      </c>
      <c r="AS59" s="5"/>
      <c r="AT59" s="42">
        <f>'[2]поточний ремонт'!AT59+'[1]поточний ремонт'!AT59</f>
        <v>3.8899767357449502</v>
      </c>
      <c r="AU59" s="42">
        <f>'[2]поточний ремонт'!AU59+'[1]поточний ремонт'!AU59</f>
        <v>0</v>
      </c>
      <c r="AV59" s="5"/>
      <c r="AW59" s="42">
        <f>'[2]поточний ремонт'!AW59+'[1]поточний ремонт'!AW59</f>
        <v>0</v>
      </c>
      <c r="AX59" s="42">
        <f>'[2]поточний ремонт'!AX59+'[1]поточний ремонт'!AX59</f>
        <v>0</v>
      </c>
      <c r="AY59" s="5"/>
      <c r="AZ59" s="42">
        <f t="shared" si="2"/>
        <v>3.8899767357449502</v>
      </c>
      <c r="BA59" s="42">
        <f t="shared" si="3"/>
        <v>0</v>
      </c>
      <c r="BB59" s="58">
        <f t="shared" si="4"/>
        <v>-3.8899767357449502</v>
      </c>
      <c r="BD59" s="2">
        <v>3</v>
      </c>
      <c r="BF59" s="29">
        <v>0</v>
      </c>
      <c r="BG59" s="318">
        <v>150000994</v>
      </c>
      <c r="BI59" s="104">
        <v>0</v>
      </c>
      <c r="BJ59" s="104">
        <f t="shared" si="5"/>
        <v>0</v>
      </c>
      <c r="BK59" s="104">
        <v>0</v>
      </c>
      <c r="BL59" s="38"/>
      <c r="BM59" s="3"/>
      <c r="BN59" s="3">
        <v>0</v>
      </c>
      <c r="BP59" s="3"/>
      <c r="BQ59" s="3"/>
      <c r="BS59" s="42"/>
      <c r="BT59" s="42">
        <v>0</v>
      </c>
      <c r="BU59" s="958"/>
      <c r="BV59" s="41"/>
      <c r="BW59" s="42"/>
      <c r="BX59" s="36"/>
      <c r="BY59" s="76"/>
      <c r="BZ59" s="42">
        <v>0</v>
      </c>
      <c r="CA59" s="959"/>
      <c r="CB59" s="41">
        <v>0</v>
      </c>
      <c r="CC59" s="41">
        <v>0</v>
      </c>
      <c r="CD59" s="960"/>
      <c r="CE59" s="76">
        <v>0</v>
      </c>
      <c r="CF59" s="55"/>
      <c r="CG59" s="41">
        <v>0</v>
      </c>
      <c r="CH59" s="38">
        <v>0</v>
      </c>
      <c r="CI59" s="76">
        <v>0</v>
      </c>
      <c r="CJ59" s="55"/>
      <c r="CK59" s="955"/>
      <c r="CL59" s="950"/>
      <c r="CM59" s="955"/>
      <c r="CN59" s="950">
        <v>0</v>
      </c>
      <c r="CO59" s="76">
        <v>0</v>
      </c>
      <c r="CP59" s="42">
        <v>0</v>
      </c>
      <c r="CQ59" s="5"/>
      <c r="CR59" s="76">
        <v>0</v>
      </c>
      <c r="CS59" s="954">
        <v>0</v>
      </c>
      <c r="CT59" s="5"/>
      <c r="CU59" s="76">
        <v>0</v>
      </c>
      <c r="CV59" s="42">
        <v>0</v>
      </c>
      <c r="CW59" s="5"/>
      <c r="CX59" s="76">
        <v>0</v>
      </c>
      <c r="CY59" s="42">
        <v>0</v>
      </c>
      <c r="CZ59" s="5"/>
      <c r="DA59" s="76">
        <v>0</v>
      </c>
      <c r="DB59" s="42">
        <v>0</v>
      </c>
      <c r="DC59" s="5"/>
      <c r="DD59" s="76">
        <v>0</v>
      </c>
      <c r="DE59" s="42">
        <v>0</v>
      </c>
      <c r="DF59" s="5"/>
      <c r="DG59" s="76">
        <v>0</v>
      </c>
      <c r="DH59" s="42"/>
      <c r="DI59" s="5"/>
      <c r="DJ59" s="42">
        <v>0</v>
      </c>
      <c r="DK59" s="42">
        <f t="shared" si="6"/>
        <v>0</v>
      </c>
      <c r="DL59" s="58">
        <f t="shared" si="7"/>
        <v>0</v>
      </c>
      <c r="DM59" s="2">
        <v>3</v>
      </c>
    </row>
    <row r="60" spans="1:117" ht="24.9" customHeight="1" x14ac:dyDescent="0.3">
      <c r="A60" s="318">
        <v>150000995</v>
      </c>
      <c r="B60" s="44" t="s">
        <v>47</v>
      </c>
      <c r="C60" s="956">
        <v>1</v>
      </c>
      <c r="D60" s="957" t="s">
        <v>454</v>
      </c>
      <c r="E60" s="949">
        <f>'побудинковий звіт'!E27</f>
        <v>128.19999999999999</v>
      </c>
      <c r="F60" s="950">
        <f>'побудинковий звіт'!AS27</f>
        <v>2493.7413299148056</v>
      </c>
      <c r="G60" s="950">
        <f t="shared" si="0"/>
        <v>0</v>
      </c>
      <c r="H60" s="950">
        <f t="shared" si="1"/>
        <v>-2493.7413299148056</v>
      </c>
      <c r="I60" s="42">
        <f>'[2]поточний ремонт'!I60+'[1]поточний ремонт'!I60</f>
        <v>0</v>
      </c>
      <c r="J60" s="42">
        <f>'[2]поточний ремонт'!J60+'[1]поточний ремонт'!J60</f>
        <v>0</v>
      </c>
      <c r="K60" s="958"/>
      <c r="L60" s="42">
        <f>'[2]поточний ремонт'!L60+'[1]поточний ремонт'!L60</f>
        <v>0</v>
      </c>
      <c r="M60" s="42">
        <f>'[2]поточний ремонт'!M60+'[1]поточний ремонт'!M60</f>
        <v>0</v>
      </c>
      <c r="N60" s="36"/>
      <c r="O60" s="42">
        <f>'[2]поточний ремонт'!O60+'[1]поточний ремонт'!O60</f>
        <v>0</v>
      </c>
      <c r="P60" s="42">
        <f>'[2]поточний ремонт'!P60+'[1]поточний ремонт'!P60</f>
        <v>0</v>
      </c>
      <c r="Q60" s="959"/>
      <c r="R60" s="42">
        <f>'[2]поточний ремонт'!R60+'[1]поточний ремонт'!R60</f>
        <v>0</v>
      </c>
      <c r="S60" s="42">
        <f>'[2]поточний ремонт'!S60+'[1]поточний ремонт'!S60</f>
        <v>0</v>
      </c>
      <c r="T60" s="960"/>
      <c r="U60" s="42">
        <f>'[2]поточний ремонт'!U60+'[1]поточний ремонт'!U60</f>
        <v>0</v>
      </c>
      <c r="V60" s="42">
        <f>'[2]поточний ремонт'!V60+'[1]поточний ремонт'!V60</f>
        <v>0</v>
      </c>
      <c r="W60" s="42">
        <f>'[2]поточний ремонт'!W60+'[1]поточний ремонт'!W60</f>
        <v>0</v>
      </c>
      <c r="X60" s="42">
        <f>'[2]поточний ремонт'!X60+'[1]поточний ремонт'!X60</f>
        <v>0</v>
      </c>
      <c r="Y60" s="42">
        <f>'[2]поточний ремонт'!Y60+'[1]поточний ремонт'!Y60</f>
        <v>0</v>
      </c>
      <c r="Z60" s="42">
        <f>'[2]поточний ремонт'!Z60+'[1]поточний ремонт'!Z60</f>
        <v>0</v>
      </c>
      <c r="AA60" s="42">
        <f>'[2]поточний ремонт'!AA60+'[1]поточний ремонт'!AA60</f>
        <v>0</v>
      </c>
      <c r="AB60" s="42">
        <f>'[2]поточний ремонт'!AB60+'[1]поточний ремонт'!AB60</f>
        <v>0</v>
      </c>
      <c r="AC60" s="42">
        <f>'[2]поточний ремонт'!AC60+'[1]поточний ремонт'!AC60</f>
        <v>0</v>
      </c>
      <c r="AD60" s="42">
        <f>'[2]поточний ремонт'!AD60+'[1]поточний ремонт'!AD60</f>
        <v>0</v>
      </c>
      <c r="AE60" s="42">
        <f>'[2]поточний ремонт'!AE60+'[1]поточний ремонт'!AE60</f>
        <v>0</v>
      </c>
      <c r="AF60" s="42">
        <f>'[2]поточний ремонт'!AF60+'[1]поточний ремонт'!AF60</f>
        <v>0</v>
      </c>
      <c r="AG60" s="5"/>
      <c r="AH60" s="42">
        <f>'[2]поточний ремонт'!AH60+'[1]поточний ремонт'!AH60</f>
        <v>0</v>
      </c>
      <c r="AI60" s="42">
        <f>'[2]поточний ремонт'!AI60+'[1]поточний ремонт'!AI60</f>
        <v>0</v>
      </c>
      <c r="AJ60" s="5"/>
      <c r="AK60" s="42">
        <f>'[2]поточний ремонт'!AK60+'[1]поточний ремонт'!AK60</f>
        <v>0</v>
      </c>
      <c r="AL60" s="42">
        <f>'[2]поточний ремонт'!AL60+'[1]поточний ремонт'!AL60</f>
        <v>0</v>
      </c>
      <c r="AM60" s="5"/>
      <c r="AN60" s="42">
        <f>'[2]поточний ремонт'!AN60+'[1]поточний ремонт'!AN60</f>
        <v>0</v>
      </c>
      <c r="AO60" s="42">
        <f>'[2]поточний ремонт'!AO60+'[1]поточний ремонт'!AO60</f>
        <v>0</v>
      </c>
      <c r="AP60" s="5"/>
      <c r="AQ60" s="42">
        <f>'[2]поточний ремонт'!AQ60+'[1]поточний ремонт'!AQ60</f>
        <v>0</v>
      </c>
      <c r="AR60" s="42">
        <f>'[2]поточний ремонт'!AR60+'[1]поточний ремонт'!AR60</f>
        <v>0</v>
      </c>
      <c r="AS60" s="5"/>
      <c r="AT60" s="42">
        <f>'[2]поточний ремонт'!AT60+'[1]поточний ремонт'!AT60</f>
        <v>3.8899767357449502</v>
      </c>
      <c r="AU60" s="42">
        <f>'[2]поточний ремонт'!AU60+'[1]поточний ремонт'!AU60</f>
        <v>0</v>
      </c>
      <c r="AV60" s="5"/>
      <c r="AW60" s="42">
        <f>'[2]поточний ремонт'!AW60+'[1]поточний ремонт'!AW60</f>
        <v>0</v>
      </c>
      <c r="AX60" s="42">
        <f>'[2]поточний ремонт'!AX60+'[1]поточний ремонт'!AX60</f>
        <v>0</v>
      </c>
      <c r="AY60" s="5"/>
      <c r="AZ60" s="42">
        <f t="shared" si="2"/>
        <v>3.8899767357449502</v>
      </c>
      <c r="BA60" s="42">
        <f t="shared" si="3"/>
        <v>0</v>
      </c>
      <c r="BB60" s="58">
        <f t="shared" si="4"/>
        <v>-3.8899767357449502</v>
      </c>
      <c r="BD60" s="2">
        <v>3</v>
      </c>
      <c r="BF60" s="29">
        <v>0</v>
      </c>
      <c r="BG60" s="318">
        <v>150000995</v>
      </c>
      <c r="BI60" s="104">
        <v>0</v>
      </c>
      <c r="BJ60" s="104">
        <f t="shared" si="5"/>
        <v>0</v>
      </c>
      <c r="BK60" s="104">
        <v>0</v>
      </c>
      <c r="BL60" s="38"/>
      <c r="BM60" s="3"/>
      <c r="BN60" s="3">
        <v>0</v>
      </c>
      <c r="BP60" s="3"/>
      <c r="BQ60" s="3"/>
      <c r="BS60" s="42"/>
      <c r="BT60" s="42">
        <v>0</v>
      </c>
      <c r="BU60" s="958"/>
      <c r="BV60" s="41"/>
      <c r="BW60" s="42"/>
      <c r="BX60" s="36"/>
      <c r="BY60" s="76"/>
      <c r="BZ60" s="42">
        <v>0</v>
      </c>
      <c r="CA60" s="959"/>
      <c r="CB60" s="41">
        <v>0</v>
      </c>
      <c r="CC60" s="41">
        <v>0</v>
      </c>
      <c r="CD60" s="960"/>
      <c r="CE60" s="76">
        <v>0</v>
      </c>
      <c r="CF60" s="55"/>
      <c r="CG60" s="41">
        <v>0</v>
      </c>
      <c r="CH60" s="38">
        <v>0</v>
      </c>
      <c r="CI60" s="76">
        <v>0</v>
      </c>
      <c r="CJ60" s="55"/>
      <c r="CK60" s="955"/>
      <c r="CL60" s="950"/>
      <c r="CM60" s="955"/>
      <c r="CN60" s="950">
        <v>0</v>
      </c>
      <c r="CO60" s="76">
        <v>0</v>
      </c>
      <c r="CP60" s="42">
        <v>0</v>
      </c>
      <c r="CQ60" s="5"/>
      <c r="CR60" s="76">
        <v>0</v>
      </c>
      <c r="CS60" s="954">
        <v>0</v>
      </c>
      <c r="CT60" s="5"/>
      <c r="CU60" s="76">
        <v>0</v>
      </c>
      <c r="CV60" s="42">
        <v>0</v>
      </c>
      <c r="CW60" s="5"/>
      <c r="CX60" s="76">
        <v>0</v>
      </c>
      <c r="CY60" s="42">
        <v>0</v>
      </c>
      <c r="CZ60" s="5"/>
      <c r="DA60" s="76">
        <v>0</v>
      </c>
      <c r="DB60" s="42">
        <v>0</v>
      </c>
      <c r="DC60" s="5"/>
      <c r="DD60" s="76">
        <v>0</v>
      </c>
      <c r="DE60" s="42">
        <v>0</v>
      </c>
      <c r="DF60" s="5"/>
      <c r="DG60" s="76">
        <v>0</v>
      </c>
      <c r="DH60" s="42"/>
      <c r="DI60" s="5"/>
      <c r="DJ60" s="42">
        <v>0</v>
      </c>
      <c r="DK60" s="42">
        <f t="shared" si="6"/>
        <v>0</v>
      </c>
      <c r="DL60" s="58">
        <f t="shared" si="7"/>
        <v>0</v>
      </c>
      <c r="DM60" s="2">
        <v>3</v>
      </c>
    </row>
    <row r="61" spans="1:117" ht="24.9" customHeight="1" x14ac:dyDescent="0.3">
      <c r="A61" s="318">
        <v>150001002</v>
      </c>
      <c r="B61" s="44" t="s">
        <v>48</v>
      </c>
      <c r="C61" s="956">
        <v>1</v>
      </c>
      <c r="D61" s="957" t="s">
        <v>454</v>
      </c>
      <c r="E61" s="949">
        <f>'побудинковий звіт'!E28</f>
        <v>4216.3</v>
      </c>
      <c r="F61" s="950">
        <f>'побудинковий звіт'!AS28</f>
        <v>61990.924290505587</v>
      </c>
      <c r="G61" s="950">
        <f t="shared" si="0"/>
        <v>0</v>
      </c>
      <c r="H61" s="950">
        <f t="shared" si="1"/>
        <v>-61990.924290505587</v>
      </c>
      <c r="I61" s="42">
        <f>'[2]поточний ремонт'!I61+'[1]поточний ремонт'!I61</f>
        <v>0</v>
      </c>
      <c r="J61" s="42">
        <f>'[2]поточний ремонт'!J61+'[1]поточний ремонт'!J61</f>
        <v>0</v>
      </c>
      <c r="K61" s="958"/>
      <c r="L61" s="42">
        <f>'[2]поточний ремонт'!L61+'[1]поточний ремонт'!L61</f>
        <v>0</v>
      </c>
      <c r="M61" s="42">
        <f>'[2]поточний ремонт'!M61+'[1]поточний ремонт'!M61</f>
        <v>0</v>
      </c>
      <c r="N61" s="36"/>
      <c r="O61" s="42">
        <f>'[2]поточний ремонт'!O61+'[1]поточний ремонт'!O61</f>
        <v>0</v>
      </c>
      <c r="P61" s="42">
        <f>'[2]поточний ремонт'!P61+'[1]поточний ремонт'!P61</f>
        <v>0</v>
      </c>
      <c r="Q61" s="959"/>
      <c r="R61" s="42">
        <f>'[2]поточний ремонт'!R61+'[1]поточний ремонт'!R61</f>
        <v>0</v>
      </c>
      <c r="S61" s="42">
        <f>'[2]поточний ремонт'!S61+'[1]поточний ремонт'!S61</f>
        <v>0</v>
      </c>
      <c r="T61" s="960"/>
      <c r="U61" s="42">
        <f>'[2]поточний ремонт'!U61+'[1]поточний ремонт'!U61</f>
        <v>0</v>
      </c>
      <c r="V61" s="42">
        <f>'[2]поточний ремонт'!V61+'[1]поточний ремонт'!V61</f>
        <v>0</v>
      </c>
      <c r="W61" s="42">
        <f>'[2]поточний ремонт'!W61+'[1]поточний ремонт'!W61</f>
        <v>0</v>
      </c>
      <c r="X61" s="42">
        <f>'[2]поточний ремонт'!X61+'[1]поточний ремонт'!X61</f>
        <v>0</v>
      </c>
      <c r="Y61" s="42">
        <f>'[2]поточний ремонт'!Y61+'[1]поточний ремонт'!Y61</f>
        <v>0</v>
      </c>
      <c r="Z61" s="42">
        <f>'[2]поточний ремонт'!Z61+'[1]поточний ремонт'!Z61</f>
        <v>0</v>
      </c>
      <c r="AA61" s="42">
        <f>'[2]поточний ремонт'!AA61+'[1]поточний ремонт'!AA61</f>
        <v>0</v>
      </c>
      <c r="AB61" s="42">
        <f>'[2]поточний ремонт'!AB61+'[1]поточний ремонт'!AB61</f>
        <v>0</v>
      </c>
      <c r="AC61" s="42">
        <f>'[2]поточний ремонт'!AC61+'[1]поточний ремонт'!AC61</f>
        <v>0</v>
      </c>
      <c r="AD61" s="42">
        <f>'[2]поточний ремонт'!AD61+'[1]поточний ремонт'!AD61</f>
        <v>0</v>
      </c>
      <c r="AE61" s="42">
        <f>'[2]поточний ремонт'!AE61+'[1]поточний ремонт'!AE61</f>
        <v>0</v>
      </c>
      <c r="AF61" s="42">
        <f>'[2]поточний ремонт'!AF61+'[1]поточний ремонт'!AF61</f>
        <v>0</v>
      </c>
      <c r="AG61" s="5"/>
      <c r="AH61" s="42">
        <f>'[2]поточний ремонт'!AH61+'[1]поточний ремонт'!AH61</f>
        <v>0</v>
      </c>
      <c r="AI61" s="42">
        <f>'[2]поточний ремонт'!AI61+'[1]поточний ремонт'!AI61</f>
        <v>0</v>
      </c>
      <c r="AJ61" s="5"/>
      <c r="AK61" s="42">
        <f>'[2]поточний ремонт'!AK61+'[1]поточний ремонт'!AK61</f>
        <v>0</v>
      </c>
      <c r="AL61" s="42">
        <f>'[2]поточний ремонт'!AL61+'[1]поточний ремонт'!AL61</f>
        <v>0</v>
      </c>
      <c r="AM61" s="5"/>
      <c r="AN61" s="42">
        <f>'[2]поточний ремонт'!AN61+'[1]поточний ремонт'!AN61</f>
        <v>0</v>
      </c>
      <c r="AO61" s="42">
        <f>'[2]поточний ремонт'!AO61+'[1]поточний ремонт'!AO61</f>
        <v>0</v>
      </c>
      <c r="AP61" s="5"/>
      <c r="AQ61" s="42">
        <f>'[2]поточний ремонт'!AQ61+'[1]поточний ремонт'!AQ61</f>
        <v>0</v>
      </c>
      <c r="AR61" s="42">
        <f>'[2]поточний ремонт'!AR61+'[1]поточний ремонт'!AR61</f>
        <v>0</v>
      </c>
      <c r="AS61" s="5"/>
      <c r="AT61" s="42">
        <f>'[2]поточний ремонт'!AT61+'[1]поточний ремонт'!AT61</f>
        <v>3.8899767357449502</v>
      </c>
      <c r="AU61" s="42">
        <f>'[2]поточний ремонт'!AU61+'[1]поточний ремонт'!AU61</f>
        <v>0</v>
      </c>
      <c r="AV61" s="5"/>
      <c r="AW61" s="42">
        <f>'[2]поточний ремонт'!AW61+'[1]поточний ремонт'!AW61</f>
        <v>0</v>
      </c>
      <c r="AX61" s="42">
        <f>'[2]поточний ремонт'!AX61+'[1]поточний ремонт'!AX61</f>
        <v>0</v>
      </c>
      <c r="AY61" s="5"/>
      <c r="AZ61" s="42">
        <f t="shared" si="2"/>
        <v>3.8899767357449502</v>
      </c>
      <c r="BA61" s="42">
        <f t="shared" si="3"/>
        <v>0</v>
      </c>
      <c r="BB61" s="58">
        <f t="shared" si="4"/>
        <v>-3.8899767357449502</v>
      </c>
      <c r="BD61" s="2">
        <v>3</v>
      </c>
      <c r="BF61" s="29">
        <v>0</v>
      </c>
      <c r="BG61" s="318">
        <v>150001002</v>
      </c>
      <c r="BI61" s="104">
        <v>0</v>
      </c>
      <c r="BJ61" s="104">
        <f t="shared" si="5"/>
        <v>0</v>
      </c>
      <c r="BK61" s="104">
        <v>0</v>
      </c>
      <c r="BL61" s="38"/>
      <c r="BM61" s="3"/>
      <c r="BN61" s="3">
        <v>0</v>
      </c>
      <c r="BP61" s="3"/>
      <c r="BQ61" s="3"/>
      <c r="BS61" s="42"/>
      <c r="BT61" s="42">
        <v>0</v>
      </c>
      <c r="BU61" s="958"/>
      <c r="BV61" s="41"/>
      <c r="BW61" s="42"/>
      <c r="BX61" s="36"/>
      <c r="BY61" s="76"/>
      <c r="BZ61" s="42">
        <v>0</v>
      </c>
      <c r="CA61" s="959"/>
      <c r="CB61" s="41">
        <v>0</v>
      </c>
      <c r="CC61" s="41">
        <v>0</v>
      </c>
      <c r="CD61" s="960"/>
      <c r="CE61" s="76">
        <v>0</v>
      </c>
      <c r="CF61" s="55"/>
      <c r="CG61" s="41">
        <v>0</v>
      </c>
      <c r="CH61" s="38">
        <v>0</v>
      </c>
      <c r="CI61" s="76">
        <v>0</v>
      </c>
      <c r="CJ61" s="55"/>
      <c r="CK61" s="955"/>
      <c r="CL61" s="950"/>
      <c r="CM61" s="955"/>
      <c r="CN61" s="950">
        <v>0</v>
      </c>
      <c r="CO61" s="76">
        <v>0</v>
      </c>
      <c r="CP61" s="42">
        <v>0</v>
      </c>
      <c r="CQ61" s="5"/>
      <c r="CR61" s="76">
        <v>0</v>
      </c>
      <c r="CS61" s="954">
        <v>0</v>
      </c>
      <c r="CT61" s="5"/>
      <c r="CU61" s="76">
        <v>0</v>
      </c>
      <c r="CV61" s="42">
        <v>0</v>
      </c>
      <c r="CW61" s="5"/>
      <c r="CX61" s="76">
        <v>0</v>
      </c>
      <c r="CY61" s="42">
        <v>0</v>
      </c>
      <c r="CZ61" s="5"/>
      <c r="DA61" s="76">
        <v>0</v>
      </c>
      <c r="DB61" s="42">
        <v>0</v>
      </c>
      <c r="DC61" s="5"/>
      <c r="DD61" s="76">
        <v>0</v>
      </c>
      <c r="DE61" s="42">
        <v>0</v>
      </c>
      <c r="DF61" s="5"/>
      <c r="DG61" s="76">
        <v>0</v>
      </c>
      <c r="DH61" s="42"/>
      <c r="DI61" s="5"/>
      <c r="DJ61" s="42">
        <v>0</v>
      </c>
      <c r="DK61" s="42">
        <f t="shared" si="6"/>
        <v>0</v>
      </c>
      <c r="DL61" s="58">
        <f t="shared" si="7"/>
        <v>0</v>
      </c>
      <c r="DM61" s="2">
        <v>3</v>
      </c>
    </row>
    <row r="62" spans="1:117" ht="24.9" customHeight="1" x14ac:dyDescent="0.3">
      <c r="A62" s="318">
        <v>150000972</v>
      </c>
      <c r="B62" s="44" t="s">
        <v>201</v>
      </c>
      <c r="C62" s="956">
        <v>4</v>
      </c>
      <c r="D62" s="957" t="s">
        <v>454</v>
      </c>
      <c r="E62" s="949">
        <f>'побудинковий звіт'!E29</f>
        <v>172.4</v>
      </c>
      <c r="F62" s="950">
        <f>'побудинковий звіт'!AS29</f>
        <v>1985.4900254973634</v>
      </c>
      <c r="G62" s="950">
        <f t="shared" si="0"/>
        <v>39423.629023001762</v>
      </c>
      <c r="H62" s="950">
        <f t="shared" si="1"/>
        <v>37438.1389975044</v>
      </c>
      <c r="I62" s="42">
        <f>'[2]поточний ремонт'!I62+'[1]поточний ремонт'!I62</f>
        <v>45.75</v>
      </c>
      <c r="J62" s="42">
        <f>'[2]поточний ремонт'!J62+'[1]поточний ремонт'!J62</f>
        <v>26372.608600955697</v>
      </c>
      <c r="K62" s="958"/>
      <c r="L62" s="42">
        <f>'[2]поточний ремонт'!L62+'[1]поточний ремонт'!L62</f>
        <v>0</v>
      </c>
      <c r="M62" s="42">
        <f>'[2]поточний ремонт'!M62+'[1]поточний ремонт'!M62</f>
        <v>0</v>
      </c>
      <c r="N62" s="960"/>
      <c r="O62" s="42">
        <f>'[2]поточний ремонт'!O62+'[1]поточний ремонт'!O62</f>
        <v>0</v>
      </c>
      <c r="P62" s="42">
        <f>'[2]поточний ремонт'!P62+'[1]поточний ремонт'!P62</f>
        <v>0</v>
      </c>
      <c r="Q62" s="959"/>
      <c r="R62" s="42">
        <f>'[2]поточний ремонт'!R62+'[1]поточний ремонт'!R62</f>
        <v>0</v>
      </c>
      <c r="S62" s="42">
        <f>'[2]поточний ремонт'!S62+'[1]поточний ремонт'!S62</f>
        <v>0</v>
      </c>
      <c r="T62" s="960"/>
      <c r="U62" s="42">
        <f>'[2]поточний ремонт'!U62+'[1]поточний ремонт'!U62</f>
        <v>0</v>
      </c>
      <c r="V62" s="42">
        <f>'[2]поточний ремонт'!V62+'[1]поточний ремонт'!V62</f>
        <v>0</v>
      </c>
      <c r="W62" s="42">
        <f>'[2]поточний ремонт'!W62+'[1]поточний ремонт'!W62</f>
        <v>1</v>
      </c>
      <c r="X62" s="42">
        <f>'[2]поточний ремонт'!X62+'[1]поточний ремонт'!X62</f>
        <v>425.20994454615061</v>
      </c>
      <c r="Y62" s="42">
        <f>'[2]поточний ремонт'!Y62+'[1]поточний ремонт'!Y62</f>
        <v>9861.8104774999156</v>
      </c>
      <c r="Z62" s="42">
        <f>'[2]поточний ремонт'!Z62+'[1]поточний ремонт'!Z62</f>
        <v>0</v>
      </c>
      <c r="AA62" s="42">
        <f>'[2]поточний ремонт'!AA62+'[1]поточний ремонт'!AA62</f>
        <v>0</v>
      </c>
      <c r="AB62" s="42">
        <f>'[2]поточний ремонт'!AB62+'[1]поточний ремонт'!AB62</f>
        <v>2764</v>
      </c>
      <c r="AC62" s="42">
        <f>'[2]поточний ремонт'!AC62+'[1]поточний ремонт'!AC62</f>
        <v>0</v>
      </c>
      <c r="AD62" s="42">
        <f>'[2]поточний ремонт'!AD62+'[1]поточний ремонт'!AD62</f>
        <v>0</v>
      </c>
      <c r="AE62" s="42">
        <f>'[2]поточний ремонт'!AE62+'[1]поточний ремонт'!AE62</f>
        <v>1456.2549934027218</v>
      </c>
      <c r="AF62" s="42">
        <f>'[2]поточний ремонт'!AF62+'[1]поточний ремонт'!AF62</f>
        <v>7960.6446587581977</v>
      </c>
      <c r="AG62" s="5"/>
      <c r="AH62" s="42">
        <f>'[2]поточний ремонт'!AH62+'[1]поточний ремонт'!AH62</f>
        <v>1799.4870871366427</v>
      </c>
      <c r="AI62" s="42">
        <f>'[2]поточний ремонт'!AI62+'[1]поточний ремонт'!AI62</f>
        <v>0</v>
      </c>
      <c r="AJ62" s="5"/>
      <c r="AK62" s="42">
        <f>'[2]поточний ремонт'!AK62+'[1]поточний ремонт'!AK62</f>
        <v>1766.1764007852339</v>
      </c>
      <c r="AL62" s="42">
        <f>'[2]поточний ремонт'!AL62+'[1]поточний ремонт'!AL62</f>
        <v>0</v>
      </c>
      <c r="AM62" s="5"/>
      <c r="AN62" s="42">
        <f>'[2]поточний ремонт'!AN62+'[1]поточний ремонт'!AN62</f>
        <v>0</v>
      </c>
      <c r="AO62" s="42">
        <f>'[2]поточний ремонт'!AO62+'[1]поточний ремонт'!AO62</f>
        <v>0</v>
      </c>
      <c r="AP62" s="5"/>
      <c r="AQ62" s="42">
        <f>'[2]поточний ремонт'!AQ62+'[1]поточний ремонт'!AQ62</f>
        <v>88.218470377146446</v>
      </c>
      <c r="AR62" s="42">
        <f>'[2]поточний ремонт'!AR62+'[1]поточний ремонт'!AR62</f>
        <v>2560.2511340297519</v>
      </c>
      <c r="AS62" s="5"/>
      <c r="AT62" s="42">
        <f>'[2]поточний ремонт'!AT62+'[1]поточний ремонт'!AT62</f>
        <v>810.38991353062784</v>
      </c>
      <c r="AU62" s="42">
        <f>'[2]поточний ремонт'!AU62+'[1]поточний ремонт'!AU62</f>
        <v>867.75934537491833</v>
      </c>
      <c r="AV62" s="5"/>
      <c r="AW62" s="42">
        <f>'[2]поточний ремонт'!AW62+'[1]поточний ремонт'!AW62</f>
        <v>49.785568531179003</v>
      </c>
      <c r="AX62" s="42">
        <f>'[2]поточний ремонт'!AX62+'[1]поточний ремонт'!AX62</f>
        <v>0</v>
      </c>
      <c r="AY62" s="5"/>
      <c r="AZ62" s="42">
        <f t="shared" si="2"/>
        <v>5970.3124337635509</v>
      </c>
      <c r="BA62" s="42">
        <f t="shared" si="3"/>
        <v>11388.655138162867</v>
      </c>
      <c r="BB62" s="58">
        <f t="shared" si="4"/>
        <v>5418.3427043993161</v>
      </c>
      <c r="BD62" s="2">
        <v>2</v>
      </c>
      <c r="BF62" s="29">
        <v>3.3582665380296342</v>
      </c>
      <c r="BG62" s="318">
        <v>150000972</v>
      </c>
      <c r="BI62" s="104">
        <v>24.5</v>
      </c>
      <c r="BJ62" s="104">
        <f t="shared" si="5"/>
        <v>3.4462238999999997</v>
      </c>
      <c r="BK62" s="104">
        <v>28.255502002</v>
      </c>
      <c r="BL62" s="38"/>
      <c r="BM62" s="3"/>
      <c r="BN62" s="3">
        <v>0</v>
      </c>
      <c r="BP62" s="3"/>
      <c r="BQ62" s="3"/>
      <c r="BS62" s="42"/>
      <c r="BT62" s="42">
        <v>0</v>
      </c>
      <c r="BU62" s="958"/>
      <c r="BV62" s="41"/>
      <c r="BW62" s="42"/>
      <c r="BX62" s="960"/>
      <c r="BY62" s="76"/>
      <c r="BZ62" s="42">
        <v>0</v>
      </c>
      <c r="CA62" s="959"/>
      <c r="CB62" s="41">
        <v>0</v>
      </c>
      <c r="CC62" s="41">
        <v>0</v>
      </c>
      <c r="CD62" s="960"/>
      <c r="CE62" s="76">
        <v>0</v>
      </c>
      <c r="CF62" s="55"/>
      <c r="CG62" s="41">
        <v>0</v>
      </c>
      <c r="CH62" s="38">
        <v>28.255502002</v>
      </c>
      <c r="CI62" s="76">
        <v>0</v>
      </c>
      <c r="CJ62" s="55"/>
      <c r="CK62" s="955"/>
      <c r="CL62" s="950"/>
      <c r="CM62" s="955"/>
      <c r="CN62" s="950">
        <v>0</v>
      </c>
      <c r="CO62" s="76">
        <v>116.35071965263569</v>
      </c>
      <c r="CP62" s="42">
        <v>0</v>
      </c>
      <c r="CQ62" s="5"/>
      <c r="CR62" s="76">
        <v>147.56465387440588</v>
      </c>
      <c r="CS62" s="954">
        <v>0</v>
      </c>
      <c r="CT62" s="5"/>
      <c r="CU62" s="76">
        <v>142.88173050925735</v>
      </c>
      <c r="CV62" s="42">
        <v>0</v>
      </c>
      <c r="CW62" s="5"/>
      <c r="CX62" s="76">
        <v>0</v>
      </c>
      <c r="CY62" s="42">
        <v>0</v>
      </c>
      <c r="CZ62" s="5"/>
      <c r="DA62" s="76">
        <v>0</v>
      </c>
      <c r="DB62" s="42">
        <v>0</v>
      </c>
      <c r="DC62" s="5"/>
      <c r="DD62" s="76">
        <v>51.916835135996294</v>
      </c>
      <c r="DE62" s="42">
        <v>0</v>
      </c>
      <c r="DF62" s="5"/>
      <c r="DG62" s="76">
        <v>0</v>
      </c>
      <c r="DH62" s="42"/>
      <c r="DI62" s="5"/>
      <c r="DJ62" s="42">
        <v>458.71393917229517</v>
      </c>
      <c r="DK62" s="42">
        <f t="shared" si="6"/>
        <v>0</v>
      </c>
      <c r="DL62" s="58">
        <f t="shared" si="7"/>
        <v>-458.71393917229517</v>
      </c>
      <c r="DM62" s="2">
        <v>2</v>
      </c>
    </row>
    <row r="63" spans="1:117" ht="24.9" customHeight="1" x14ac:dyDescent="0.3">
      <c r="A63" s="318">
        <v>150000974</v>
      </c>
      <c r="B63" s="44" t="s">
        <v>202</v>
      </c>
      <c r="C63" s="956">
        <v>4</v>
      </c>
      <c r="D63" s="957" t="s">
        <v>454</v>
      </c>
      <c r="E63" s="949">
        <f>'побудинковий звіт'!E30</f>
        <v>261.2</v>
      </c>
      <c r="F63" s="950">
        <f>'побудинковий звіт'!AS30</f>
        <v>3782.0388370597693</v>
      </c>
      <c r="G63" s="950">
        <f t="shared" si="0"/>
        <v>4350.3579441780439</v>
      </c>
      <c r="H63" s="950">
        <f t="shared" si="1"/>
        <v>568.31910711827459</v>
      </c>
      <c r="I63" s="42">
        <f>'[2]поточний ремонт'!I63+'[1]поточний ремонт'!I63</f>
        <v>1</v>
      </c>
      <c r="J63" s="42">
        <f>'[2]поточний ремонт'!J63+'[1]поточний ремонт'!J63</f>
        <v>976.06503571296116</v>
      </c>
      <c r="K63" s="958"/>
      <c r="L63" s="42">
        <f>'[2]поточний ремонт'!L63+'[1]поточний ремонт'!L63</f>
        <v>0</v>
      </c>
      <c r="M63" s="42">
        <f>'[2]поточний ремонт'!M63+'[1]поточний ремонт'!M63</f>
        <v>0</v>
      </c>
      <c r="N63" s="36"/>
      <c r="O63" s="42">
        <f>'[2]поточний ремонт'!O63+'[1]поточний ремонт'!O63</f>
        <v>0</v>
      </c>
      <c r="P63" s="42">
        <f>'[2]поточний ремонт'!P63+'[1]поточний ремонт'!P63</f>
        <v>0</v>
      </c>
      <c r="Q63" s="959"/>
      <c r="R63" s="42">
        <f>'[2]поточний ремонт'!R63+'[1]поточний ремонт'!R63</f>
        <v>0</v>
      </c>
      <c r="S63" s="42">
        <f>'[2]поточний ремонт'!S63+'[1]поточний ремонт'!S63</f>
        <v>0</v>
      </c>
      <c r="T63" s="960"/>
      <c r="U63" s="42">
        <f>'[2]поточний ремонт'!U63+'[1]поточний ремонт'!U63</f>
        <v>0</v>
      </c>
      <c r="V63" s="42">
        <f>'[2]поточний ремонт'!V63+'[1]поточний ремонт'!V63</f>
        <v>0</v>
      </c>
      <c r="W63" s="42">
        <f>'[2]поточний ремонт'!W63+'[1]поточний ремонт'!W63</f>
        <v>0</v>
      </c>
      <c r="X63" s="42">
        <f>'[2]поточний ремонт'!X63+'[1]поточний ремонт'!X63</f>
        <v>0</v>
      </c>
      <c r="Y63" s="42">
        <f>'[2]поточний ремонт'!Y63+'[1]поточний ремонт'!Y63</f>
        <v>0</v>
      </c>
      <c r="Z63" s="42">
        <f>'[2]поточний ремонт'!Z63+'[1]поточний ремонт'!Z63</f>
        <v>0</v>
      </c>
      <c r="AA63" s="42">
        <f>'[2]поточний ремонт'!AA63+'[1]поточний ремонт'!AA63</f>
        <v>0</v>
      </c>
      <c r="AB63" s="42">
        <f>'[2]поточний ремонт'!AB63+'[1]поточний ремонт'!AB63</f>
        <v>0</v>
      </c>
      <c r="AC63" s="42">
        <f>'[2]поточний ремонт'!AC63+'[1]поточний ремонт'!AC63</f>
        <v>449.61045320942515</v>
      </c>
      <c r="AD63" s="42">
        <f>'[2]поточний ремонт'!AD63+'[1]поточний ремонт'!AD63</f>
        <v>2924.6824552556573</v>
      </c>
      <c r="AE63" s="42">
        <f>'[2]поточний ремонт'!AE63+'[1]поточний ремонт'!AE63</f>
        <v>1145.6064747396795</v>
      </c>
      <c r="AF63" s="42">
        <f>'[2]поточний ремонт'!AF63+'[1]поточний ремонт'!AF63</f>
        <v>0</v>
      </c>
      <c r="AG63" s="965"/>
      <c r="AH63" s="42">
        <f>'[2]поточний ремонт'!AH63+'[1]поточний ремонт'!AH63</f>
        <v>1247.5674722117903</v>
      </c>
      <c r="AI63" s="42">
        <f>'[2]поточний ремонт'!AI63+'[1]поточний ремонт'!AI63</f>
        <v>0</v>
      </c>
      <c r="AJ63" s="965"/>
      <c r="AK63" s="42">
        <f>'[2]поточний ремонт'!AK63+'[1]поточний ремонт'!AK63</f>
        <v>1691.5501933734936</v>
      </c>
      <c r="AL63" s="42">
        <f>'[2]поточний ремонт'!AL63+'[1]поточний ремонт'!AL63</f>
        <v>0</v>
      </c>
      <c r="AM63" s="5"/>
      <c r="AN63" s="42">
        <f>'[2]поточний ремонт'!AN63+'[1]поточний ремонт'!AN63</f>
        <v>1059.9883403011011</v>
      </c>
      <c r="AO63" s="42">
        <f>'[2]поточний ремонт'!AO63+'[1]поточний ремонт'!AO63</f>
        <v>0</v>
      </c>
      <c r="AP63" s="5"/>
      <c r="AQ63" s="42">
        <f>'[2]поточний ремонт'!AQ63+'[1]поточний ремонт'!AQ63</f>
        <v>88.218470377146446</v>
      </c>
      <c r="AR63" s="42">
        <f>'[2]поточний ремонт'!AR63+'[1]поточний ремонт'!AR63</f>
        <v>148.72415250426442</v>
      </c>
      <c r="AS63" s="5"/>
      <c r="AT63" s="42">
        <f>'[2]поточний ремонт'!AT63+'[1]поточний ремонт'!AT63</f>
        <v>809.25058002907485</v>
      </c>
      <c r="AU63" s="42">
        <f>'[2]поточний ремонт'!AU63+'[1]поточний ремонт'!AU63</f>
        <v>0</v>
      </c>
      <c r="AV63" s="5"/>
      <c r="AW63" s="42">
        <f>'[2]поточний ремонт'!AW63+'[1]поточний ремонт'!AW63</f>
        <v>34.288359423174953</v>
      </c>
      <c r="AX63" s="42">
        <f>'[2]поточний ремонт'!AX63+'[1]поточний ремонт'!AX63</f>
        <v>0</v>
      </c>
      <c r="AY63" s="5"/>
      <c r="AZ63" s="42">
        <f t="shared" si="2"/>
        <v>6076.4698904554607</v>
      </c>
      <c r="BA63" s="42">
        <f t="shared" si="3"/>
        <v>148.72415250426442</v>
      </c>
      <c r="BB63" s="58">
        <f t="shared" si="4"/>
        <v>-5927.7457379511961</v>
      </c>
      <c r="BD63" s="2">
        <v>2</v>
      </c>
      <c r="BF63" s="29">
        <v>3.3820298558105857</v>
      </c>
      <c r="BG63" s="318">
        <v>150000974</v>
      </c>
      <c r="BI63" s="104">
        <v>0</v>
      </c>
      <c r="BJ63" s="104">
        <f t="shared" si="5"/>
        <v>0</v>
      </c>
      <c r="BK63" s="104">
        <v>0</v>
      </c>
      <c r="BL63" s="38"/>
      <c r="BM63" s="3"/>
      <c r="BN63" s="3">
        <v>0</v>
      </c>
      <c r="BP63" s="3"/>
      <c r="BQ63" s="3"/>
      <c r="BS63" s="42"/>
      <c r="BT63" s="42">
        <v>0</v>
      </c>
      <c r="BU63" s="958"/>
      <c r="BV63" s="41"/>
      <c r="BW63" s="42"/>
      <c r="BX63" s="36"/>
      <c r="BY63" s="76"/>
      <c r="BZ63" s="42">
        <v>0</v>
      </c>
      <c r="CA63" s="959"/>
      <c r="CB63" s="41">
        <v>0</v>
      </c>
      <c r="CC63" s="41">
        <v>0</v>
      </c>
      <c r="CD63" s="960"/>
      <c r="CE63" s="76">
        <v>0</v>
      </c>
      <c r="CF63" s="55"/>
      <c r="CG63" s="41">
        <v>0</v>
      </c>
      <c r="CH63" s="38">
        <v>0</v>
      </c>
      <c r="CI63" s="76">
        <v>0</v>
      </c>
      <c r="CJ63" s="55"/>
      <c r="CK63" s="955"/>
      <c r="CL63" s="950"/>
      <c r="CM63" s="955">
        <v>449</v>
      </c>
      <c r="CN63" s="950">
        <v>0</v>
      </c>
      <c r="CO63" s="76">
        <v>92.043761140970886</v>
      </c>
      <c r="CP63" s="42">
        <v>0</v>
      </c>
      <c r="CQ63" s="965"/>
      <c r="CR63" s="76">
        <v>101.16848586476439</v>
      </c>
      <c r="CS63" s="954">
        <v>0</v>
      </c>
      <c r="CT63" s="965"/>
      <c r="CU63" s="76">
        <v>139.21296560454007</v>
      </c>
      <c r="CV63" s="42">
        <v>0</v>
      </c>
      <c r="CW63" s="5"/>
      <c r="CX63" s="76">
        <v>83.189606132103251</v>
      </c>
      <c r="CY63" s="42">
        <v>0</v>
      </c>
      <c r="CZ63" s="5"/>
      <c r="DA63" s="76">
        <v>0</v>
      </c>
      <c r="DB63" s="42">
        <v>0</v>
      </c>
      <c r="DC63" s="5"/>
      <c r="DD63" s="76">
        <v>49.78972611547767</v>
      </c>
      <c r="DE63" s="42">
        <v>0</v>
      </c>
      <c r="DF63" s="5"/>
      <c r="DG63" s="76">
        <v>0</v>
      </c>
      <c r="DH63" s="42"/>
      <c r="DI63" s="5"/>
      <c r="DJ63" s="42">
        <v>465.40454485785625</v>
      </c>
      <c r="DK63" s="42">
        <f t="shared" si="6"/>
        <v>0</v>
      </c>
      <c r="DL63" s="58">
        <f t="shared" si="7"/>
        <v>-465.40454485785625</v>
      </c>
      <c r="DM63" s="2">
        <v>2</v>
      </c>
    </row>
    <row r="64" spans="1:117" ht="24.9" customHeight="1" x14ac:dyDescent="0.3">
      <c r="A64" s="318">
        <v>150000975</v>
      </c>
      <c r="B64" s="44" t="s">
        <v>203</v>
      </c>
      <c r="C64" s="956">
        <v>4</v>
      </c>
      <c r="D64" s="957" t="s">
        <v>454</v>
      </c>
      <c r="E64" s="949">
        <f>'побудинковий звіт'!E31</f>
        <v>252.8</v>
      </c>
      <c r="F64" s="950">
        <f>'побудинковий звіт'!AS31</f>
        <v>4449.6739240094321</v>
      </c>
      <c r="G64" s="950">
        <f t="shared" si="0"/>
        <v>6197.6493862811785</v>
      </c>
      <c r="H64" s="950">
        <f t="shared" si="1"/>
        <v>1747.9754622717464</v>
      </c>
      <c r="I64" s="42">
        <f>'[2]поточний ремонт'!I64+'[1]поточний ремонт'!I64</f>
        <v>0</v>
      </c>
      <c r="J64" s="42">
        <f>'[2]поточний ремонт'!J64+'[1]поточний ремонт'!J64</f>
        <v>0</v>
      </c>
      <c r="K64" s="958"/>
      <c r="L64" s="42">
        <f>'[2]поточний ремонт'!L64+'[1]поточний ремонт'!L64</f>
        <v>0</v>
      </c>
      <c r="M64" s="42">
        <f>'[2]поточний ремонт'!M64+'[1]поточний ремонт'!M64</f>
        <v>0</v>
      </c>
      <c r="N64" s="36"/>
      <c r="O64" s="42">
        <f>'[2]поточний ремонт'!O64+'[1]поточний ремонт'!O64</f>
        <v>0</v>
      </c>
      <c r="P64" s="42">
        <f>'[2]поточний ремонт'!P64+'[1]поточний ремонт'!P64</f>
        <v>0</v>
      </c>
      <c r="Q64" s="959"/>
      <c r="R64" s="42">
        <f>'[2]поточний ремонт'!R64+'[1]поточний ремонт'!R64</f>
        <v>0</v>
      </c>
      <c r="S64" s="42">
        <f>'[2]поточний ремонт'!S64+'[1]поточний ремонт'!S64</f>
        <v>0</v>
      </c>
      <c r="T64" s="960"/>
      <c r="U64" s="42">
        <f>'[2]поточний ремонт'!U64+'[1]поточний ремонт'!U64</f>
        <v>0</v>
      </c>
      <c r="V64" s="42">
        <f>'[2]поточний ремонт'!V64+'[1]поточний ремонт'!V64</f>
        <v>0</v>
      </c>
      <c r="W64" s="42">
        <f>'[2]поточний ремонт'!W64+'[1]поточний ремонт'!W64</f>
        <v>0</v>
      </c>
      <c r="X64" s="42">
        <f>'[2]поточний ремонт'!X64+'[1]поточний ремонт'!X64</f>
        <v>0</v>
      </c>
      <c r="Y64" s="42">
        <f>'[2]поточний ремонт'!Y64+'[1]поточний ремонт'!Y64</f>
        <v>0</v>
      </c>
      <c r="Z64" s="42">
        <f>'[2]поточний ремонт'!Z64+'[1]поточний ремонт'!Z64</f>
        <v>0</v>
      </c>
      <c r="AA64" s="42">
        <f>'[2]поточний ремонт'!AA64+'[1]поточний ремонт'!AA64</f>
        <v>0</v>
      </c>
      <c r="AB64" s="42">
        <f>'[2]поточний ремонт'!AB64+'[1]поточний ремонт'!AB64</f>
        <v>0</v>
      </c>
      <c r="AC64" s="42">
        <f>'[2]поточний ремонт'!AC64+'[1]поточний ремонт'!AC64</f>
        <v>1009.3704606572395</v>
      </c>
      <c r="AD64" s="42">
        <f>'[2]поточний ремонт'!AD64+'[1]поточний ремонт'!AD64</f>
        <v>5188.2789256239394</v>
      </c>
      <c r="AE64" s="42">
        <f>'[2]поточний ремонт'!AE64+'[1]поточний ремонт'!AE64</f>
        <v>1717.4339425362734</v>
      </c>
      <c r="AF64" s="42">
        <f>'[2]поточний ремонт'!AF64+'[1]поточний ремонт'!AF64</f>
        <v>0</v>
      </c>
      <c r="AG64" s="5"/>
      <c r="AH64" s="42">
        <f>'[2]поточний ремонт'!AH64+'[1]поточний ремонт'!AH64</f>
        <v>2409.4919393336622</v>
      </c>
      <c r="AI64" s="42">
        <f>'[2]поточний ремонт'!AI64+'[1]поточний ремонт'!AI64</f>
        <v>0</v>
      </c>
      <c r="AJ64" s="5"/>
      <c r="AK64" s="42">
        <f>'[2]поточний ремонт'!AK64+'[1]поточний ремонт'!AK64</f>
        <v>2337.9050862001436</v>
      </c>
      <c r="AL64" s="42">
        <f>'[2]поточний ремонт'!AL64+'[1]поточний ремонт'!AL64</f>
        <v>0</v>
      </c>
      <c r="AM64" s="5"/>
      <c r="AN64" s="42">
        <f>'[2]поточний ремонт'!AN64+'[1]поточний ремонт'!AN64</f>
        <v>0</v>
      </c>
      <c r="AO64" s="42">
        <f>'[2]поточний ремонт'!AO64+'[1]поточний ремонт'!AO64</f>
        <v>0</v>
      </c>
      <c r="AP64" s="5"/>
      <c r="AQ64" s="42">
        <f>'[2]поточний ремонт'!AQ64+'[1]поточний ремонт'!AQ64</f>
        <v>110.27308797143304</v>
      </c>
      <c r="AR64" s="42">
        <f>'[2]поточний ремонт'!AR64+'[1]поточний ремонт'!AR64</f>
        <v>0</v>
      </c>
      <c r="AS64" s="5"/>
      <c r="AT64" s="42">
        <f>'[2]поточний ремонт'!AT64+'[1]поточний ремонт'!AT64</f>
        <v>1212.7647573230745</v>
      </c>
      <c r="AU64" s="42">
        <f>'[2]поточний ремонт'!AU64+'[1]поточний ремонт'!AU64</f>
        <v>0</v>
      </c>
      <c r="AV64" s="5"/>
      <c r="AW64" s="42">
        <f>'[2]поточний ремонт'!AW64+'[1]поточний ремонт'!AW64</f>
        <v>89.28149214854156</v>
      </c>
      <c r="AX64" s="42">
        <f>'[2]поточний ремонт'!AX64+'[1]поточний ремонт'!AX64</f>
        <v>3989.4135767078797</v>
      </c>
      <c r="AY64" s="5"/>
      <c r="AZ64" s="42">
        <f t="shared" si="2"/>
        <v>7877.150305513127</v>
      </c>
      <c r="BA64" s="42">
        <f t="shared" si="3"/>
        <v>3989.4135767078797</v>
      </c>
      <c r="BB64" s="58">
        <f t="shared" si="4"/>
        <v>-3887.7367288052474</v>
      </c>
      <c r="BD64" s="2">
        <v>2</v>
      </c>
      <c r="BF64" s="29">
        <v>4.7521231488406723</v>
      </c>
      <c r="BG64" s="318">
        <v>150000975</v>
      </c>
      <c r="BI64" s="104">
        <v>0</v>
      </c>
      <c r="BJ64" s="104">
        <f t="shared" si="5"/>
        <v>0</v>
      </c>
      <c r="BK64" s="104">
        <v>0</v>
      </c>
      <c r="BL64" s="38"/>
      <c r="BM64" s="3"/>
      <c r="BN64" s="3">
        <v>0</v>
      </c>
      <c r="BP64" s="3"/>
      <c r="BQ64" s="3"/>
      <c r="BS64" s="42"/>
      <c r="BT64" s="42">
        <v>0</v>
      </c>
      <c r="BU64" s="958"/>
      <c r="BV64" s="41"/>
      <c r="BW64" s="42"/>
      <c r="BX64" s="36"/>
      <c r="BY64" s="76"/>
      <c r="BZ64" s="42">
        <v>0</v>
      </c>
      <c r="CA64" s="959"/>
      <c r="CB64" s="41">
        <v>0</v>
      </c>
      <c r="CC64" s="41">
        <v>0</v>
      </c>
      <c r="CD64" s="960"/>
      <c r="CE64" s="76">
        <v>0</v>
      </c>
      <c r="CF64" s="55"/>
      <c r="CG64" s="41">
        <v>0</v>
      </c>
      <c r="CH64" s="38">
        <v>0</v>
      </c>
      <c r="CI64" s="76">
        <v>0</v>
      </c>
      <c r="CJ64" s="55"/>
      <c r="CK64" s="955"/>
      <c r="CL64" s="950"/>
      <c r="CM64" s="955">
        <v>1008</v>
      </c>
      <c r="CN64" s="950">
        <v>0</v>
      </c>
      <c r="CO64" s="76">
        <v>138.89838069576888</v>
      </c>
      <c r="CP64" s="42">
        <v>0</v>
      </c>
      <c r="CQ64" s="5"/>
      <c r="CR64" s="76">
        <v>208.33372466120261</v>
      </c>
      <c r="CS64" s="954">
        <v>0</v>
      </c>
      <c r="CT64" s="5"/>
      <c r="CU64" s="76">
        <v>202.33130575794451</v>
      </c>
      <c r="CV64" s="42">
        <v>0</v>
      </c>
      <c r="CW64" s="5"/>
      <c r="CX64" s="76">
        <v>0</v>
      </c>
      <c r="CY64" s="42">
        <v>0</v>
      </c>
      <c r="CZ64" s="5"/>
      <c r="DA64" s="76">
        <v>0</v>
      </c>
      <c r="DB64" s="42">
        <v>0</v>
      </c>
      <c r="DC64" s="5"/>
      <c r="DD64" s="76">
        <v>91.20324742154807</v>
      </c>
      <c r="DE64" s="42">
        <v>0</v>
      </c>
      <c r="DF64" s="5"/>
      <c r="DG64" s="76">
        <v>0</v>
      </c>
      <c r="DH64" s="42"/>
      <c r="DI64" s="5"/>
      <c r="DJ64" s="42">
        <v>640.76665853646409</v>
      </c>
      <c r="DK64" s="42">
        <f t="shared" si="6"/>
        <v>0</v>
      </c>
      <c r="DL64" s="58">
        <f t="shared" si="7"/>
        <v>-640.76665853646409</v>
      </c>
      <c r="DM64" s="2">
        <v>2</v>
      </c>
    </row>
    <row r="65" spans="1:117" ht="24.9" customHeight="1" x14ac:dyDescent="0.3">
      <c r="A65" s="318">
        <v>150000976</v>
      </c>
      <c r="B65" s="44" t="s">
        <v>149</v>
      </c>
      <c r="C65" s="956">
        <v>2</v>
      </c>
      <c r="D65" s="957" t="s">
        <v>454</v>
      </c>
      <c r="E65" s="949">
        <f>'побудинковий звіт'!E32</f>
        <v>3175.9</v>
      </c>
      <c r="F65" s="950">
        <f>'побудинковий звіт'!AS32</f>
        <v>47643.902955598118</v>
      </c>
      <c r="G65" s="950">
        <f t="shared" si="0"/>
        <v>2951.25575148403</v>
      </c>
      <c r="H65" s="950">
        <f t="shared" si="1"/>
        <v>-44692.647204114088</v>
      </c>
      <c r="I65" s="42">
        <f>'[2]поточний ремонт'!I65+'[1]поточний ремонт'!I65</f>
        <v>8.49</v>
      </c>
      <c r="J65" s="42">
        <f>'[2]поточний ремонт'!J65+'[1]поточний ремонт'!J65</f>
        <v>2055.0318869290213</v>
      </c>
      <c r="K65" s="958"/>
      <c r="L65" s="42">
        <f>'[2]поточний ремонт'!L65+'[1]поточний ремонт'!L65</f>
        <v>0</v>
      </c>
      <c r="M65" s="42">
        <f>'[2]поточний ремонт'!M65+'[1]поточний ремонт'!M65</f>
        <v>0</v>
      </c>
      <c r="N65" s="36"/>
      <c r="O65" s="42">
        <f>'[2]поточний ремонт'!O65+'[1]поточний ремонт'!O65</f>
        <v>0</v>
      </c>
      <c r="P65" s="42">
        <f>'[2]поточний ремонт'!P65+'[1]поточний ремонт'!P65</f>
        <v>0</v>
      </c>
      <c r="Q65" s="959"/>
      <c r="R65" s="42">
        <f>'[2]поточний ремонт'!R65+'[1]поточний ремонт'!R65</f>
        <v>0</v>
      </c>
      <c r="S65" s="42">
        <f>'[2]поточний ремонт'!S65+'[1]поточний ремонт'!S65</f>
        <v>0</v>
      </c>
      <c r="T65" s="960"/>
      <c r="U65" s="42">
        <f>'[2]поточний ремонт'!U65+'[1]поточний ремонт'!U65</f>
        <v>0</v>
      </c>
      <c r="V65" s="42">
        <f>'[2]поточний ремонт'!V65+'[1]поточний ремонт'!V65</f>
        <v>0</v>
      </c>
      <c r="W65" s="42">
        <f>'[2]поточний ремонт'!W65+'[1]поточний ремонт'!W65</f>
        <v>0</v>
      </c>
      <c r="X65" s="42">
        <f>'[2]поточний ремонт'!X65+'[1]поточний ремонт'!X65</f>
        <v>0</v>
      </c>
      <c r="Y65" s="42">
        <f>'[2]поточний ремонт'!Y65+'[1]поточний ремонт'!Y65</f>
        <v>0</v>
      </c>
      <c r="Z65" s="42">
        <f>'[2]поточний ремонт'!Z65+'[1]поточний ремонт'!Z65</f>
        <v>0</v>
      </c>
      <c r="AA65" s="42">
        <f>'[2]поточний ремонт'!AA65+'[1]поточний ремонт'!AA65</f>
        <v>0</v>
      </c>
      <c r="AB65" s="42">
        <f>'[2]поточний ремонт'!AB65+'[1]поточний ремонт'!AB65</f>
        <v>0</v>
      </c>
      <c r="AC65" s="42">
        <f>'[2]поточний ремонт'!AC65+'[1]поточний ремонт'!AC65</f>
        <v>0</v>
      </c>
      <c r="AD65" s="42">
        <f>'[2]поточний ремонт'!AD65+'[1]поточний ремонт'!AD65</f>
        <v>896.2238645550085</v>
      </c>
      <c r="AE65" s="42">
        <f>'[2]поточний ремонт'!AE65+'[1]поточний ремонт'!AE65</f>
        <v>817.28010387572681</v>
      </c>
      <c r="AF65" s="42">
        <f>'[2]поточний ремонт'!AF65+'[1]поточний ремонт'!AF65</f>
        <v>0</v>
      </c>
      <c r="AG65" s="5"/>
      <c r="AH65" s="42">
        <f>'[2]поточний ремонт'!AH65+'[1]поточний ремонт'!AH65</f>
        <v>1032.0669784720221</v>
      </c>
      <c r="AI65" s="42">
        <f>'[2]поточний ремонт'!AI65+'[1]поточний ремонт'!AI65</f>
        <v>0</v>
      </c>
      <c r="AJ65" s="5"/>
      <c r="AK65" s="42">
        <f>'[2]поточний ремонт'!AK65+'[1]поточний ремонт'!AK65</f>
        <v>534.49287309918634</v>
      </c>
      <c r="AL65" s="42">
        <f>'[2]поточний ремонт'!AL65+'[1]поточний ремонт'!AL65</f>
        <v>0</v>
      </c>
      <c r="AM65" s="5"/>
      <c r="AN65" s="42">
        <f>'[2]поточний ремонт'!AN65+'[1]поточний ремонт'!AN65</f>
        <v>341.13178478687007</v>
      </c>
      <c r="AO65" s="42">
        <f>'[2]поточний ремонт'!AO65+'[1]поточний ремонт'!AO65</f>
        <v>0</v>
      </c>
      <c r="AP65" s="5"/>
      <c r="AQ65" s="42">
        <f>'[2]поточний ремонт'!AQ65+'[1]поточний ремонт'!AQ65</f>
        <v>0</v>
      </c>
      <c r="AR65" s="42">
        <f>'[2]поточний ремонт'!AR65+'[1]поточний ремонт'!AR65</f>
        <v>0</v>
      </c>
      <c r="AS65" s="5"/>
      <c r="AT65" s="42">
        <f>'[2]поточний ремонт'!AT65+'[1]поточний ремонт'!AT65</f>
        <v>410.13574209981823</v>
      </c>
      <c r="AU65" s="42">
        <f>'[2]поточний ремонт'!AU65+'[1]поточний ремонт'!AU65</f>
        <v>0</v>
      </c>
      <c r="AV65" s="5"/>
      <c r="AW65" s="42">
        <f>'[2]поточний ремонт'!AW65+'[1]поточний ремонт'!AW65</f>
        <v>339.44222927174837</v>
      </c>
      <c r="AX65" s="42">
        <f>'[2]поточний ремонт'!AX65+'[1]поточний ремонт'!AX65</f>
        <v>2960.3255682942668</v>
      </c>
      <c r="AY65" s="5"/>
      <c r="AZ65" s="42">
        <f t="shared" si="2"/>
        <v>3474.5497116053721</v>
      </c>
      <c r="BA65" s="42">
        <f t="shared" si="3"/>
        <v>2960.3255682942668</v>
      </c>
      <c r="BB65" s="58">
        <f t="shared" si="4"/>
        <v>-514.22414331110531</v>
      </c>
      <c r="BD65" s="2">
        <v>2</v>
      </c>
      <c r="BF65" s="29">
        <v>1.5278922391305181</v>
      </c>
      <c r="BG65" s="318">
        <v>150000976</v>
      </c>
      <c r="BI65" s="104">
        <v>0</v>
      </c>
      <c r="BJ65" s="104">
        <f t="shared" si="5"/>
        <v>0</v>
      </c>
      <c r="BK65" s="104">
        <v>0</v>
      </c>
      <c r="BL65" s="38"/>
      <c r="BM65" s="3"/>
      <c r="BN65" s="3">
        <v>0</v>
      </c>
      <c r="BP65" s="3"/>
      <c r="BQ65" s="3"/>
      <c r="BS65" s="42"/>
      <c r="BT65" s="42">
        <v>0</v>
      </c>
      <c r="BU65" s="958"/>
      <c r="BV65" s="41"/>
      <c r="BW65" s="42"/>
      <c r="BX65" s="36"/>
      <c r="BY65" s="76"/>
      <c r="BZ65" s="42">
        <v>0</v>
      </c>
      <c r="CA65" s="959"/>
      <c r="CB65" s="41">
        <v>0</v>
      </c>
      <c r="CC65" s="41">
        <v>0</v>
      </c>
      <c r="CD65" s="960"/>
      <c r="CE65" s="76">
        <v>0</v>
      </c>
      <c r="CF65" s="55"/>
      <c r="CG65" s="41">
        <v>0</v>
      </c>
      <c r="CH65" s="38">
        <v>0</v>
      </c>
      <c r="CI65" s="76">
        <v>0</v>
      </c>
      <c r="CJ65" s="55"/>
      <c r="CK65" s="955"/>
      <c r="CL65" s="950"/>
      <c r="CM65" s="955"/>
      <c r="CN65" s="950">
        <v>0</v>
      </c>
      <c r="CO65" s="76">
        <v>68.335821756708029</v>
      </c>
      <c r="CP65" s="42">
        <v>0</v>
      </c>
      <c r="CQ65" s="5"/>
      <c r="CR65" s="76">
        <v>89.092350960335338</v>
      </c>
      <c r="CS65" s="954">
        <v>0</v>
      </c>
      <c r="CT65" s="5"/>
      <c r="CU65" s="76">
        <v>46.114140934044357</v>
      </c>
      <c r="CV65" s="42">
        <v>0</v>
      </c>
      <c r="CW65" s="5"/>
      <c r="CX65" s="76">
        <v>30.848583200830014</v>
      </c>
      <c r="CY65" s="42">
        <v>0</v>
      </c>
      <c r="CZ65" s="5"/>
      <c r="DA65" s="76">
        <v>0</v>
      </c>
      <c r="DB65" s="42">
        <v>0</v>
      </c>
      <c r="DC65" s="5"/>
      <c r="DD65" s="76">
        <v>14.816363198934827</v>
      </c>
      <c r="DE65" s="42">
        <v>0</v>
      </c>
      <c r="DF65" s="5"/>
      <c r="DG65" s="76">
        <v>29.545458721885282</v>
      </c>
      <c r="DH65" s="42"/>
      <c r="DI65" s="5"/>
      <c r="DJ65" s="42">
        <v>278.75271877273786</v>
      </c>
      <c r="DK65" s="42">
        <f t="shared" si="6"/>
        <v>0</v>
      </c>
      <c r="DL65" s="58">
        <f t="shared" si="7"/>
        <v>-278.75271877273786</v>
      </c>
      <c r="DM65" s="2">
        <v>2</v>
      </c>
    </row>
    <row r="66" spans="1:117" ht="24.9" customHeight="1" x14ac:dyDescent="0.3">
      <c r="A66" s="318">
        <v>150000977</v>
      </c>
      <c r="B66" s="44" t="s">
        <v>150</v>
      </c>
      <c r="C66" s="956">
        <v>2</v>
      </c>
      <c r="D66" s="957" t="s">
        <v>454</v>
      </c>
      <c r="E66" s="949">
        <f>'побудинковий звіт'!E33</f>
        <v>602.5</v>
      </c>
      <c r="F66" s="950">
        <f>'побудинковий звіт'!AS33</f>
        <v>9606.7290188029729</v>
      </c>
      <c r="G66" s="950">
        <f t="shared" si="0"/>
        <v>5359.4381794659275</v>
      </c>
      <c r="H66" s="950">
        <f t="shared" si="1"/>
        <v>-4247.2908393370453</v>
      </c>
      <c r="I66" s="42">
        <f>'[2]поточний ремонт'!I66+'[1]поточний ремонт'!I66</f>
        <v>22.56</v>
      </c>
      <c r="J66" s="42">
        <f>'[2]поточний ремонт'!J66+'[1]поточний ремонт'!J66</f>
        <v>5359.4381794659275</v>
      </c>
      <c r="K66" s="958"/>
      <c r="L66" s="42">
        <f>'[2]поточний ремонт'!L66+'[1]поточний ремонт'!L66</f>
        <v>0</v>
      </c>
      <c r="M66" s="42">
        <f>'[2]поточний ремонт'!M66+'[1]поточний ремонт'!M66</f>
        <v>0</v>
      </c>
      <c r="N66" s="36"/>
      <c r="O66" s="42">
        <f>'[2]поточний ремонт'!O66+'[1]поточний ремонт'!O66</f>
        <v>0</v>
      </c>
      <c r="P66" s="42">
        <f>'[2]поточний ремонт'!P66+'[1]поточний ремонт'!P66</f>
        <v>0</v>
      </c>
      <c r="Q66" s="959"/>
      <c r="R66" s="42">
        <f>'[2]поточний ремонт'!R66+'[1]поточний ремонт'!R66</f>
        <v>0</v>
      </c>
      <c r="S66" s="42">
        <f>'[2]поточний ремонт'!S66+'[1]поточний ремонт'!S66</f>
        <v>0</v>
      </c>
      <c r="T66" s="960"/>
      <c r="U66" s="42">
        <f>'[2]поточний ремонт'!U66+'[1]поточний ремонт'!U66</f>
        <v>0</v>
      </c>
      <c r="V66" s="42">
        <f>'[2]поточний ремонт'!V66+'[1]поточний ремонт'!V66</f>
        <v>0</v>
      </c>
      <c r="W66" s="42">
        <f>'[2]поточний ремонт'!W66+'[1]поточний ремонт'!W66</f>
        <v>0</v>
      </c>
      <c r="X66" s="42">
        <f>'[2]поточний ремонт'!X66+'[1]поточний ремонт'!X66</f>
        <v>0</v>
      </c>
      <c r="Y66" s="42">
        <f>'[2]поточний ремонт'!Y66+'[1]поточний ремонт'!Y66</f>
        <v>0</v>
      </c>
      <c r="Z66" s="42">
        <f>'[2]поточний ремонт'!Z66+'[1]поточний ремонт'!Z66</f>
        <v>0</v>
      </c>
      <c r="AA66" s="42">
        <f>'[2]поточний ремонт'!AA66+'[1]поточний ремонт'!AA66</f>
        <v>0</v>
      </c>
      <c r="AB66" s="42">
        <f>'[2]поточний ремонт'!AB66+'[1]поточний ремонт'!AB66</f>
        <v>0</v>
      </c>
      <c r="AC66" s="42">
        <f>'[2]поточний ремонт'!AC66+'[1]поточний ремонт'!AC66</f>
        <v>0</v>
      </c>
      <c r="AD66" s="42">
        <f>'[2]поточний ремонт'!AD66+'[1]поточний ремонт'!AD66</f>
        <v>0</v>
      </c>
      <c r="AE66" s="42">
        <f>'[2]поточний ремонт'!AE66+'[1]поточний ремонт'!AE66</f>
        <v>674.61487126186034</v>
      </c>
      <c r="AF66" s="42">
        <f>'[2]поточний ремонт'!AF66+'[1]поточний ремонт'!AF66</f>
        <v>0</v>
      </c>
      <c r="AG66" s="5"/>
      <c r="AH66" s="42">
        <f>'[2]поточний ремонт'!AH66+'[1]поточний ремонт'!AH66</f>
        <v>890.92350960335341</v>
      </c>
      <c r="AI66" s="42">
        <f>'[2]поточний ремонт'!AI66+'[1]поточний ремонт'!AI66</f>
        <v>0</v>
      </c>
      <c r="AJ66" s="5"/>
      <c r="AK66" s="42">
        <f>'[2]поточний ремонт'!AK66+'[1]поточний ремонт'!AK66</f>
        <v>528.86388444950489</v>
      </c>
      <c r="AL66" s="42">
        <f>'[2]поточний ремонт'!AL66+'[1]поточний ремонт'!AL66</f>
        <v>0</v>
      </c>
      <c r="AM66" s="5"/>
      <c r="AN66" s="42">
        <f>'[2]поточний ремонт'!AN66+'[1]поточний ремонт'!AN66</f>
        <v>0</v>
      </c>
      <c r="AO66" s="42">
        <f>'[2]поточний ремонт'!AO66+'[1]поточний ремонт'!AO66</f>
        <v>0</v>
      </c>
      <c r="AP66" s="5"/>
      <c r="AQ66" s="42">
        <f>'[2]поточний ремонт'!AQ66+'[1]поточний ремонт'!AQ66</f>
        <v>0</v>
      </c>
      <c r="AR66" s="42">
        <f>'[2]поточний ремонт'!AR66+'[1]поточний ремонт'!AR66</f>
        <v>0</v>
      </c>
      <c r="AS66" s="5"/>
      <c r="AT66" s="42">
        <f>'[2]поточний ремонт'!AT66+'[1]поточний ремонт'!AT66</f>
        <v>148.16363198934826</v>
      </c>
      <c r="AU66" s="42">
        <f>'[2]поточний ремонт'!AU66+'[1]поточний ремонт'!AU66</f>
        <v>0</v>
      </c>
      <c r="AV66" s="5"/>
      <c r="AW66" s="42">
        <f>'[2]поточний ремонт'!AW66+'[1]поточний ремонт'!AW66</f>
        <v>0</v>
      </c>
      <c r="AX66" s="42">
        <f>'[2]поточний ремонт'!AX66+'[1]поточний ремонт'!AX66</f>
        <v>3554.2861399005856</v>
      </c>
      <c r="AY66" s="5"/>
      <c r="AZ66" s="42">
        <f t="shared" si="2"/>
        <v>2242.5658973040668</v>
      </c>
      <c r="BA66" s="42">
        <f t="shared" si="3"/>
        <v>3554.2861399005856</v>
      </c>
      <c r="BB66" s="58">
        <f t="shared" si="4"/>
        <v>1311.7202425965188</v>
      </c>
      <c r="BD66" s="2">
        <v>2</v>
      </c>
      <c r="BF66" s="29">
        <v>1.3222453341791971</v>
      </c>
      <c r="BG66" s="318">
        <v>150000977</v>
      </c>
      <c r="BI66" s="104">
        <v>0</v>
      </c>
      <c r="BJ66" s="104">
        <f t="shared" si="5"/>
        <v>0</v>
      </c>
      <c r="BK66" s="104">
        <v>0</v>
      </c>
      <c r="BL66" s="38"/>
      <c r="BM66" s="3"/>
      <c r="BN66" s="3">
        <v>0</v>
      </c>
      <c r="BP66" s="3"/>
      <c r="BQ66" s="3"/>
      <c r="BS66" s="42"/>
      <c r="BT66" s="42">
        <v>0</v>
      </c>
      <c r="BU66" s="958"/>
      <c r="BV66" s="41"/>
      <c r="BW66" s="42"/>
      <c r="BX66" s="36"/>
      <c r="BY66" s="76"/>
      <c r="BZ66" s="42">
        <v>0</v>
      </c>
      <c r="CA66" s="959"/>
      <c r="CB66" s="41">
        <v>0</v>
      </c>
      <c r="CC66" s="41">
        <v>0</v>
      </c>
      <c r="CD66" s="960"/>
      <c r="CE66" s="76">
        <v>0</v>
      </c>
      <c r="CF66" s="55"/>
      <c r="CG66" s="41">
        <v>0</v>
      </c>
      <c r="CH66" s="38">
        <v>0</v>
      </c>
      <c r="CI66" s="76">
        <v>0</v>
      </c>
      <c r="CJ66" s="55"/>
      <c r="CK66" s="955"/>
      <c r="CL66" s="950"/>
      <c r="CM66" s="955"/>
      <c r="CN66" s="950">
        <v>0</v>
      </c>
      <c r="CO66" s="76">
        <v>67.461487126186029</v>
      </c>
      <c r="CP66" s="42">
        <v>0</v>
      </c>
      <c r="CQ66" s="5"/>
      <c r="CR66" s="76">
        <v>89.092350960335338</v>
      </c>
      <c r="CS66" s="954">
        <v>0</v>
      </c>
      <c r="CT66" s="5"/>
      <c r="CU66" s="76">
        <v>52.886388444950484</v>
      </c>
      <c r="CV66" s="42">
        <v>0</v>
      </c>
      <c r="CW66" s="5"/>
      <c r="CX66" s="76">
        <v>0</v>
      </c>
      <c r="CY66" s="42">
        <v>0</v>
      </c>
      <c r="CZ66" s="5"/>
      <c r="DA66" s="76">
        <v>0</v>
      </c>
      <c r="DB66" s="42">
        <v>0</v>
      </c>
      <c r="DC66" s="5"/>
      <c r="DD66" s="76">
        <v>14.816363198934827</v>
      </c>
      <c r="DE66" s="42">
        <v>0</v>
      </c>
      <c r="DF66" s="5"/>
      <c r="DG66" s="76">
        <v>0</v>
      </c>
      <c r="DH66" s="42"/>
      <c r="DI66" s="5"/>
      <c r="DJ66" s="42">
        <v>224.25658973040666</v>
      </c>
      <c r="DK66" s="42">
        <f t="shared" si="6"/>
        <v>0</v>
      </c>
      <c r="DL66" s="58">
        <f t="shared" si="7"/>
        <v>-224.25658973040666</v>
      </c>
      <c r="DM66" s="2">
        <v>2</v>
      </c>
    </row>
    <row r="67" spans="1:117" ht="24.9" customHeight="1" x14ac:dyDescent="0.3">
      <c r="A67" s="318">
        <v>150000978</v>
      </c>
      <c r="B67" s="44" t="s">
        <v>243</v>
      </c>
      <c r="C67" s="956">
        <v>5</v>
      </c>
      <c r="D67" s="957" t="s">
        <v>454</v>
      </c>
      <c r="E67" s="949">
        <f>'побудинковий звіт'!E34</f>
        <v>4198.7</v>
      </c>
      <c r="F67" s="950">
        <f>'побудинковий звіт'!AS34</f>
        <v>64747.960612021525</v>
      </c>
      <c r="G67" s="950">
        <f t="shared" si="0"/>
        <v>14081.617266865727</v>
      </c>
      <c r="H67" s="950">
        <f t="shared" si="1"/>
        <v>-50666.343345155794</v>
      </c>
      <c r="I67" s="42">
        <f>'[2]поточний ремонт'!I67+'[1]поточний ремонт'!I67</f>
        <v>2.85</v>
      </c>
      <c r="J67" s="42">
        <f>'[2]поточний ремонт'!J67+'[1]поточний ремонт'!J67</f>
        <v>829.52850986175474</v>
      </c>
      <c r="K67" s="958"/>
      <c r="L67" s="42">
        <f>'[2]поточний ремонт'!L67+'[1]поточний ремонт'!L67</f>
        <v>0</v>
      </c>
      <c r="M67" s="42">
        <f>'[2]поточний ремонт'!M67+'[1]поточний ремонт'!M67</f>
        <v>0</v>
      </c>
      <c r="N67" s="36"/>
      <c r="O67" s="42">
        <f>'[2]поточний ремонт'!O67+'[1]поточний ремонт'!O67</f>
        <v>0</v>
      </c>
      <c r="P67" s="42">
        <f>'[2]поточний ремонт'!P67+'[1]поточний ремонт'!P67</f>
        <v>0</v>
      </c>
      <c r="Q67" s="959"/>
      <c r="R67" s="42">
        <f>'[2]поточний ремонт'!R67+'[1]поточний ремонт'!R67</f>
        <v>0</v>
      </c>
      <c r="S67" s="42">
        <f>'[2]поточний ремонт'!S67+'[1]поточний ремонт'!S67</f>
        <v>0</v>
      </c>
      <c r="T67" s="960"/>
      <c r="U67" s="42">
        <f>'[2]поточний ремонт'!U67+'[1]поточний ремонт'!U67</f>
        <v>0</v>
      </c>
      <c r="V67" s="42">
        <f>'[2]поточний ремонт'!V67+'[1]поточний ремонт'!V67</f>
        <v>0</v>
      </c>
      <c r="W67" s="42">
        <f>'[2]поточний ремонт'!W67+'[1]поточний ремонт'!W67</f>
        <v>3</v>
      </c>
      <c r="X67" s="42">
        <f>'[2]поточний ремонт'!X67+'[1]поточний ремонт'!X67</f>
        <v>750.13094114117484</v>
      </c>
      <c r="Y67" s="42">
        <f>'[2]поточний ремонт'!Y67+'[1]поточний ремонт'!Y67</f>
        <v>6618.3837551860233</v>
      </c>
      <c r="Z67" s="42">
        <f>'[2]поточний ремонт'!Z67+'[1]поточний ремонт'!Z67</f>
        <v>0</v>
      </c>
      <c r="AA67" s="42">
        <f>'[2]поточний ремонт'!AA67+'[1]поточний ремонт'!AA67</f>
        <v>0</v>
      </c>
      <c r="AB67" s="42">
        <f>'[2]поточний ремонт'!AB67+'[1]поточний ремонт'!AB67</f>
        <v>0</v>
      </c>
      <c r="AC67" s="42">
        <f>'[2]поточний ремонт'!AC67+'[1]поточний ремонт'!AC67</f>
        <v>548.64776063233376</v>
      </c>
      <c r="AD67" s="42">
        <f>'[2]поточний ремонт'!AD67+'[1]поточний ремонт'!AD67</f>
        <v>5334.9263000444407</v>
      </c>
      <c r="AE67" s="42">
        <f>'[2]поточний ремонт'!AE67+'[1]поточний ремонт'!AE67</f>
        <v>1050.0160878399581</v>
      </c>
      <c r="AF67" s="42">
        <f>'[2]поточний ремонт'!AF67+'[1]поточний ремонт'!AF67</f>
        <v>16832.148707978471</v>
      </c>
      <c r="AG67" s="5"/>
      <c r="AH67" s="42">
        <f>'[2]поточний ремонт'!AH67+'[1]поточний ремонт'!AH67</f>
        <v>1424.3755973098519</v>
      </c>
      <c r="AI67" s="42">
        <f>'[2]поточний ремонт'!AI67+'[1]поточний ремонт'!AI67</f>
        <v>0</v>
      </c>
      <c r="AJ67" s="5"/>
      <c r="AK67" s="42">
        <f>'[2]поточний ремонт'!AK67+'[1]поточний ремонт'!AK67</f>
        <v>1191.8464305523471</v>
      </c>
      <c r="AL67" s="42">
        <f>'[2]поточний ремонт'!AL67+'[1]поточний ремонт'!AL67</f>
        <v>0</v>
      </c>
      <c r="AM67" s="5"/>
      <c r="AN67" s="42">
        <f>'[2]поточний ремонт'!AN67+'[1]поточний ремонт'!AN67</f>
        <v>0</v>
      </c>
      <c r="AO67" s="42">
        <f>'[2]поточний ремонт'!AO67+'[1]поточний ремонт'!AO67</f>
        <v>0</v>
      </c>
      <c r="AP67" s="5"/>
      <c r="AQ67" s="42">
        <f>'[2]поточний ремонт'!AQ67+'[1]поточний ремонт'!AQ67</f>
        <v>82.704815978574771</v>
      </c>
      <c r="AR67" s="42">
        <f>'[2]поточний ремонт'!AR67+'[1]поточний ремонт'!AR67</f>
        <v>0</v>
      </c>
      <c r="AS67" s="5"/>
      <c r="AT67" s="42">
        <f>'[2]поточний ремонт'!AT67+'[1]поточний ремонт'!AT67</f>
        <v>516.68660379954781</v>
      </c>
      <c r="AU67" s="42">
        <f>'[2]поточний ремонт'!AU67+'[1]поточний ремонт'!AU67</f>
        <v>3281.1161694687517</v>
      </c>
      <c r="AV67" s="5"/>
      <c r="AW67" s="42">
        <f>'[2]поточний ремонт'!AW67+'[1]поточний ремонт'!AW67</f>
        <v>53.989264928896702</v>
      </c>
      <c r="AX67" s="42">
        <f>'[2]поточний ремонт'!AX67+'[1]поточний ремонт'!AX67</f>
        <v>1394.0767414220215</v>
      </c>
      <c r="AY67" s="5"/>
      <c r="AZ67" s="42">
        <f t="shared" si="2"/>
        <v>4319.6188004091764</v>
      </c>
      <c r="BA67" s="42">
        <f t="shared" si="3"/>
        <v>21507.341618869243</v>
      </c>
      <c r="BB67" s="58">
        <f t="shared" si="4"/>
        <v>17187.722818460068</v>
      </c>
      <c r="BD67" s="2">
        <v>2</v>
      </c>
      <c r="BF67" s="29">
        <v>2.7270123312117294</v>
      </c>
      <c r="BG67" s="318">
        <v>150000978</v>
      </c>
      <c r="BI67" s="104">
        <v>0</v>
      </c>
      <c r="BJ67" s="104">
        <f t="shared" si="5"/>
        <v>0</v>
      </c>
      <c r="BK67" s="104">
        <v>0</v>
      </c>
      <c r="BL67" s="38"/>
      <c r="BM67" s="3"/>
      <c r="BN67" s="3">
        <v>0</v>
      </c>
      <c r="BP67" s="3"/>
      <c r="BQ67" s="3"/>
      <c r="BS67" s="42"/>
      <c r="BT67" s="42">
        <v>0</v>
      </c>
      <c r="BU67" s="958"/>
      <c r="BV67" s="41"/>
      <c r="BW67" s="42"/>
      <c r="BX67" s="36"/>
      <c r="BY67" s="76"/>
      <c r="BZ67" s="42">
        <v>0</v>
      </c>
      <c r="CA67" s="959"/>
      <c r="CB67" s="41">
        <v>0</v>
      </c>
      <c r="CC67" s="41">
        <v>0</v>
      </c>
      <c r="CD67" s="960"/>
      <c r="CE67" s="76">
        <v>0</v>
      </c>
      <c r="CF67" s="55"/>
      <c r="CG67" s="41">
        <v>0</v>
      </c>
      <c r="CH67" s="38">
        <v>0</v>
      </c>
      <c r="CI67" s="76">
        <v>0</v>
      </c>
      <c r="CJ67" s="55"/>
      <c r="CK67" s="955"/>
      <c r="CL67" s="950"/>
      <c r="CM67" s="955"/>
      <c r="CN67" s="950">
        <v>0</v>
      </c>
      <c r="CO67" s="76">
        <v>84.611857446792584</v>
      </c>
      <c r="CP67" s="42">
        <v>0</v>
      </c>
      <c r="CQ67" s="5"/>
      <c r="CR67" s="76">
        <v>112.642466497418</v>
      </c>
      <c r="CS67" s="954">
        <v>0</v>
      </c>
      <c r="CT67" s="5"/>
      <c r="CU67" s="76">
        <v>98.525570266837363</v>
      </c>
      <c r="CV67" s="42">
        <v>0</v>
      </c>
      <c r="CW67" s="5"/>
      <c r="CX67" s="76">
        <v>0</v>
      </c>
      <c r="CY67" s="42">
        <v>0</v>
      </c>
      <c r="CZ67" s="5"/>
      <c r="DA67" s="76">
        <v>0</v>
      </c>
      <c r="DB67" s="42">
        <v>0</v>
      </c>
      <c r="DC67" s="5"/>
      <c r="DD67" s="76">
        <v>32.862786381711686</v>
      </c>
      <c r="DE67" s="42">
        <v>0</v>
      </c>
      <c r="DF67" s="5"/>
      <c r="DG67" s="76">
        <v>0</v>
      </c>
      <c r="DH67" s="42"/>
      <c r="DI67" s="5"/>
      <c r="DJ67" s="42">
        <v>328.64268059275958</v>
      </c>
      <c r="DK67" s="42">
        <f t="shared" si="6"/>
        <v>0</v>
      </c>
      <c r="DL67" s="58">
        <f t="shared" si="7"/>
        <v>-328.64268059275958</v>
      </c>
      <c r="DM67" s="2">
        <v>2</v>
      </c>
    </row>
    <row r="68" spans="1:117" ht="24.9" customHeight="1" x14ac:dyDescent="0.3">
      <c r="A68" s="318">
        <v>150000966</v>
      </c>
      <c r="B68" s="44" t="s">
        <v>204</v>
      </c>
      <c r="C68" s="956">
        <v>4</v>
      </c>
      <c r="D68" s="957" t="s">
        <v>454</v>
      </c>
      <c r="E68" s="949">
        <f>'побудинковий звіт'!E35</f>
        <v>229.7</v>
      </c>
      <c r="F68" s="950">
        <f>'побудинковий звіт'!AS35</f>
        <v>3431.4482611431872</v>
      </c>
      <c r="G68" s="950">
        <f t="shared" si="0"/>
        <v>0</v>
      </c>
      <c r="H68" s="950">
        <f t="shared" si="1"/>
        <v>-3431.4482611431872</v>
      </c>
      <c r="I68" s="42">
        <f>'[2]поточний ремонт'!I68+'[1]поточний ремонт'!I68</f>
        <v>0</v>
      </c>
      <c r="J68" s="42">
        <f>'[2]поточний ремонт'!J68+'[1]поточний ремонт'!J68</f>
        <v>0</v>
      </c>
      <c r="K68" s="958"/>
      <c r="L68" s="42">
        <f>'[2]поточний ремонт'!L68+'[1]поточний ремонт'!L68</f>
        <v>0</v>
      </c>
      <c r="M68" s="42">
        <f>'[2]поточний ремонт'!M68+'[1]поточний ремонт'!M68</f>
        <v>0</v>
      </c>
      <c r="N68" s="36"/>
      <c r="O68" s="42">
        <f>'[2]поточний ремонт'!O68+'[1]поточний ремонт'!O68</f>
        <v>0</v>
      </c>
      <c r="P68" s="42">
        <f>'[2]поточний ремонт'!P68+'[1]поточний ремонт'!P68</f>
        <v>0</v>
      </c>
      <c r="Q68" s="959"/>
      <c r="R68" s="42">
        <f>'[2]поточний ремонт'!R68+'[1]поточний ремонт'!R68</f>
        <v>0</v>
      </c>
      <c r="S68" s="42">
        <f>'[2]поточний ремонт'!S68+'[1]поточний ремонт'!S68</f>
        <v>0</v>
      </c>
      <c r="T68" s="960"/>
      <c r="U68" s="42">
        <f>'[2]поточний ремонт'!U68+'[1]поточний ремонт'!U68</f>
        <v>0</v>
      </c>
      <c r="V68" s="42">
        <f>'[2]поточний ремонт'!V68+'[1]поточний ремонт'!V68</f>
        <v>0</v>
      </c>
      <c r="W68" s="42">
        <f>'[2]поточний ремонт'!W68+'[1]поточний ремонт'!W68</f>
        <v>0</v>
      </c>
      <c r="X68" s="42">
        <f>'[2]поточний ремонт'!X68+'[1]поточний ремонт'!X68</f>
        <v>0</v>
      </c>
      <c r="Y68" s="42">
        <f>'[2]поточний ремонт'!Y68+'[1]поточний ремонт'!Y68</f>
        <v>0</v>
      </c>
      <c r="Z68" s="42">
        <f>'[2]поточний ремонт'!Z68+'[1]поточний ремонт'!Z68</f>
        <v>0</v>
      </c>
      <c r="AA68" s="42">
        <f>'[2]поточний ремонт'!AA68+'[1]поточний ремонт'!AA68</f>
        <v>0</v>
      </c>
      <c r="AB68" s="42">
        <f>'[2]поточний ремонт'!AB68+'[1]поточний ремонт'!AB68</f>
        <v>0</v>
      </c>
      <c r="AC68" s="42">
        <f>'[2]поточний ремонт'!AC68+'[1]поточний ремонт'!AC68</f>
        <v>0</v>
      </c>
      <c r="AD68" s="42">
        <f>'[2]поточний ремонт'!AD68+'[1]поточний ремонт'!AD68</f>
        <v>0</v>
      </c>
      <c r="AE68" s="42">
        <f>'[2]поточний ремонт'!AE68+'[1]поточний ремонт'!AE68</f>
        <v>843.78977793612421</v>
      </c>
      <c r="AF68" s="42">
        <f>'[2]поточний ремонт'!AF68+'[1]поточний ремонт'!AF68</f>
        <v>0</v>
      </c>
      <c r="AG68" s="5"/>
      <c r="AH68" s="42">
        <f>'[2]поточний ремонт'!AH68+'[1]поточний ремонт'!AH68</f>
        <v>1130.4713305569235</v>
      </c>
      <c r="AI68" s="42">
        <f>'[2]поточний ремонт'!AI68+'[1]поточний ремонт'!AI68</f>
        <v>2503.3916264483914</v>
      </c>
      <c r="AJ68" s="5"/>
      <c r="AK68" s="42">
        <f>'[2]поточний ремонт'!AK68+'[1]поточний ремонт'!AK68</f>
        <v>778.78124857232433</v>
      </c>
      <c r="AL68" s="42">
        <f>'[2]поточний ремонт'!AL68+'[1]поточний ремонт'!AL68</f>
        <v>378.07232362048796</v>
      </c>
      <c r="AM68" s="5"/>
      <c r="AN68" s="42">
        <f>'[2]поточний ремонт'!AN68+'[1]поточний ремонт'!AN68</f>
        <v>0</v>
      </c>
      <c r="AO68" s="42">
        <f>'[2]поточний ремонт'!AO68+'[1]поточний ремонт'!AO68</f>
        <v>0</v>
      </c>
      <c r="AP68" s="5"/>
      <c r="AQ68" s="42">
        <f>'[2]поточний ремонт'!AQ68+'[1]поточний ремонт'!AQ68</f>
        <v>44.109235188573223</v>
      </c>
      <c r="AR68" s="42">
        <f>'[2]поточний ремонт'!AR68+'[1]поточний ремонт'!AR68</f>
        <v>0</v>
      </c>
      <c r="AS68" s="5"/>
      <c r="AT68" s="42">
        <f>'[2]поточний ремонт'!AT68+'[1]поточний ремонт'!AT68</f>
        <v>438.89730261181319</v>
      </c>
      <c r="AU68" s="42">
        <f>'[2]поточний ремонт'!AU68+'[1]поточний ремонт'!AU68</f>
        <v>565.91387857950178</v>
      </c>
      <c r="AV68" s="5"/>
      <c r="AW68" s="42">
        <f>'[2]поточний ремонт'!AW68+'[1]поточний ремонт'!AW68</f>
        <v>38.711651901370431</v>
      </c>
      <c r="AX68" s="42">
        <f>'[2]поточний ремонт'!AX68+'[1]поточний ремонт'!AX68</f>
        <v>0</v>
      </c>
      <c r="AY68" s="5"/>
      <c r="AZ68" s="42">
        <f t="shared" si="2"/>
        <v>3274.7605467671287</v>
      </c>
      <c r="BA68" s="42">
        <f t="shared" si="3"/>
        <v>3447.3778286483812</v>
      </c>
      <c r="BB68" s="58">
        <f t="shared" si="4"/>
        <v>172.61728188125244</v>
      </c>
      <c r="BD68" s="2">
        <v>2</v>
      </c>
      <c r="BF68" s="29">
        <v>1.7199705379241843</v>
      </c>
      <c r="BG68" s="318">
        <v>150000966</v>
      </c>
      <c r="BI68" s="104">
        <v>0</v>
      </c>
      <c r="BJ68" s="104">
        <f t="shared" si="5"/>
        <v>0</v>
      </c>
      <c r="BK68" s="104">
        <v>0</v>
      </c>
      <c r="BL68" s="38"/>
      <c r="BM68" s="3"/>
      <c r="BN68" s="3">
        <v>0</v>
      </c>
      <c r="BP68" s="3"/>
      <c r="BQ68" s="3"/>
      <c r="BS68" s="42"/>
      <c r="BT68" s="42">
        <v>0</v>
      </c>
      <c r="BU68" s="958"/>
      <c r="BV68" s="41"/>
      <c r="BW68" s="42"/>
      <c r="BX68" s="36"/>
      <c r="BY68" s="76"/>
      <c r="BZ68" s="42">
        <v>0</v>
      </c>
      <c r="CA68" s="959"/>
      <c r="CB68" s="41">
        <v>0</v>
      </c>
      <c r="CC68" s="41">
        <v>0</v>
      </c>
      <c r="CD68" s="960"/>
      <c r="CE68" s="76">
        <v>0</v>
      </c>
      <c r="CF68" s="55"/>
      <c r="CG68" s="41">
        <v>0</v>
      </c>
      <c r="CH68" s="38">
        <v>0</v>
      </c>
      <c r="CI68" s="76">
        <v>0</v>
      </c>
      <c r="CJ68" s="55"/>
      <c r="CK68" s="955"/>
      <c r="CL68" s="950"/>
      <c r="CM68" s="955"/>
      <c r="CN68" s="950">
        <v>0</v>
      </c>
      <c r="CO68" s="76">
        <v>67.080587841203069</v>
      </c>
      <c r="CP68" s="42">
        <v>0</v>
      </c>
      <c r="CQ68" s="5"/>
      <c r="CR68" s="76">
        <v>96.81293766625403</v>
      </c>
      <c r="CS68" s="954">
        <v>0</v>
      </c>
      <c r="CT68" s="5"/>
      <c r="CU68" s="76">
        <v>67.147496892016292</v>
      </c>
      <c r="CV68" s="42">
        <v>0</v>
      </c>
      <c r="CW68" s="5"/>
      <c r="CX68" s="76">
        <v>0</v>
      </c>
      <c r="CY68" s="42">
        <v>0</v>
      </c>
      <c r="CZ68" s="5"/>
      <c r="DA68" s="76">
        <v>0</v>
      </c>
      <c r="DB68" s="42">
        <v>0</v>
      </c>
      <c r="DC68" s="5"/>
      <c r="DD68" s="76">
        <v>28.667504304214575</v>
      </c>
      <c r="DE68" s="42">
        <v>0</v>
      </c>
      <c r="DF68" s="5"/>
      <c r="DG68" s="76">
        <v>0</v>
      </c>
      <c r="DH68" s="42"/>
      <c r="DI68" s="5"/>
      <c r="DJ68" s="42">
        <v>259.70852670368794</v>
      </c>
      <c r="DK68" s="42">
        <f t="shared" si="6"/>
        <v>0</v>
      </c>
      <c r="DL68" s="58">
        <f t="shared" si="7"/>
        <v>-259.70852670368794</v>
      </c>
      <c r="DM68" s="2">
        <v>2</v>
      </c>
    </row>
    <row r="69" spans="1:117" ht="24.9" customHeight="1" x14ac:dyDescent="0.3">
      <c r="A69" s="318">
        <v>150000967</v>
      </c>
      <c r="B69" s="44" t="s">
        <v>205</v>
      </c>
      <c r="C69" s="956">
        <v>4</v>
      </c>
      <c r="D69" s="957" t="s">
        <v>454</v>
      </c>
      <c r="E69" s="949">
        <f>'побудинковий звіт'!E36</f>
        <v>409.7</v>
      </c>
      <c r="F69" s="950">
        <f>'побудинковий звіт'!AS36</f>
        <v>5680.8453104743912</v>
      </c>
      <c r="G69" s="950">
        <f t="shared" si="0"/>
        <v>3393.9667289920499</v>
      </c>
      <c r="H69" s="950">
        <f t="shared" si="1"/>
        <v>-2286.8785814823414</v>
      </c>
      <c r="I69" s="42">
        <f>'[2]поточний ремонт'!I69+'[1]поточний ремонт'!I69</f>
        <v>0</v>
      </c>
      <c r="J69" s="42">
        <f>'[2]поточний ремонт'!J69+'[1]поточний ремонт'!J69</f>
        <v>0</v>
      </c>
      <c r="K69" s="958"/>
      <c r="L69" s="42">
        <f>'[2]поточний ремонт'!L69+'[1]поточний ремонт'!L69</f>
        <v>0</v>
      </c>
      <c r="M69" s="42">
        <f>'[2]поточний ремонт'!M69+'[1]поточний ремонт'!M69</f>
        <v>0</v>
      </c>
      <c r="N69" s="960"/>
      <c r="O69" s="42">
        <f>'[2]поточний ремонт'!O69+'[1]поточний ремонт'!O69</f>
        <v>0</v>
      </c>
      <c r="P69" s="42">
        <f>'[2]поточний ремонт'!P69+'[1]поточний ремонт'!P69</f>
        <v>0</v>
      </c>
      <c r="Q69" s="959"/>
      <c r="R69" s="42">
        <f>'[2]поточний ремонт'!R69+'[1]поточний ремонт'!R69</f>
        <v>0</v>
      </c>
      <c r="S69" s="42">
        <f>'[2]поточний ремонт'!S69+'[1]поточний ремонт'!S69</f>
        <v>0</v>
      </c>
      <c r="T69" s="960"/>
      <c r="U69" s="42">
        <f>'[2]поточний ремонт'!U69+'[1]поточний ремонт'!U69</f>
        <v>0</v>
      </c>
      <c r="V69" s="42">
        <f>'[2]поточний ремонт'!V69+'[1]поточний ремонт'!V69</f>
        <v>0</v>
      </c>
      <c r="W69" s="42">
        <f>'[2]поточний ремонт'!W69+'[1]поточний ремонт'!W69</f>
        <v>0</v>
      </c>
      <c r="X69" s="42">
        <f>'[2]поточний ремонт'!X69+'[1]поточний ремонт'!X69</f>
        <v>262.59352785768971</v>
      </c>
      <c r="Y69" s="42">
        <f>'[2]поточний ремонт'!Y69+'[1]поточний ремонт'!Y69</f>
        <v>0</v>
      </c>
      <c r="Z69" s="42">
        <f>'[2]поточний ремонт'!Z69+'[1]поточний ремонт'!Z69</f>
        <v>0</v>
      </c>
      <c r="AA69" s="42">
        <f>'[2]поточний ремонт'!AA69+'[1]поточний ремонт'!AA69</f>
        <v>0</v>
      </c>
      <c r="AB69" s="42">
        <f>'[2]поточний ремонт'!AB69+'[1]поточний ремонт'!AB69</f>
        <v>912.69028472757088</v>
      </c>
      <c r="AC69" s="42">
        <f>'[2]поточний ремонт'!AC69+'[1]поточний ремонт'!AC69</f>
        <v>0</v>
      </c>
      <c r="AD69" s="42">
        <f>'[2]поточний ремонт'!AD69+'[1]поточний ремонт'!AD69</f>
        <v>2218.6829164067894</v>
      </c>
      <c r="AE69" s="42">
        <f>'[2]поточний ремонт'!AE69+'[1]поточний ремонт'!AE69</f>
        <v>910.60457595382718</v>
      </c>
      <c r="AF69" s="42">
        <f>'[2]поточний ремонт'!AF69+'[1]поточний ремонт'!AF69</f>
        <v>0</v>
      </c>
      <c r="AG69" s="5"/>
      <c r="AH69" s="42">
        <f>'[2]поточний ремонт'!AH69+'[1]поточний ремонт'!AH69</f>
        <v>1162.5939748222854</v>
      </c>
      <c r="AI69" s="42">
        <f>'[2]поточний ремонт'!AI69+'[1]поточний ремонт'!AI69</f>
        <v>0</v>
      </c>
      <c r="AJ69" s="5"/>
      <c r="AK69" s="42">
        <f>'[2]поточний ремонт'!AK69+'[1]поточний ремонт'!AK69</f>
        <v>1098.9113582112991</v>
      </c>
      <c r="AL69" s="42">
        <f>'[2]поточний ремонт'!AL69+'[1]поточний ремонт'!AL69</f>
        <v>1322.1204411355916</v>
      </c>
      <c r="AM69" s="5"/>
      <c r="AN69" s="42">
        <f>'[2]поточний ремонт'!AN69+'[1]поточний ремонт'!AN69</f>
        <v>0</v>
      </c>
      <c r="AO69" s="42">
        <f>'[2]поточний ремонт'!AO69+'[1]поточний ремонт'!AO69</f>
        <v>0</v>
      </c>
      <c r="AP69" s="5"/>
      <c r="AQ69" s="42">
        <f>'[2]поточний ремонт'!AQ69+'[1]поточний ремонт'!AQ69</f>
        <v>110.27308797143304</v>
      </c>
      <c r="AR69" s="42">
        <f>'[2]поточний ремонт'!AR69+'[1]поточний ремонт'!AR69</f>
        <v>0</v>
      </c>
      <c r="AS69" s="5"/>
      <c r="AT69" s="42">
        <f>'[2]поточний ремонт'!AT69+'[1]поточний ремонт'!AT69</f>
        <v>472.88634582441483</v>
      </c>
      <c r="AU69" s="42">
        <f>'[2]поточний ремонт'!AU69+'[1]поточний ремонт'!AU69</f>
        <v>0</v>
      </c>
      <c r="AV69" s="5"/>
      <c r="AW69" s="42">
        <f>'[2]поточний ремонт'!AW69+'[1]поточний ремонт'!AW69</f>
        <v>40.374307939273699</v>
      </c>
      <c r="AX69" s="42">
        <f>'[2]поточний ремонт'!AX69+'[1]поточний ремонт'!AX69</f>
        <v>0</v>
      </c>
      <c r="AY69" s="5"/>
      <c r="AZ69" s="42">
        <f t="shared" si="2"/>
        <v>3795.6436507225339</v>
      </c>
      <c r="BA69" s="42">
        <f t="shared" si="3"/>
        <v>1322.1204411355916</v>
      </c>
      <c r="BB69" s="58">
        <f t="shared" si="4"/>
        <v>-2473.5232095869424</v>
      </c>
      <c r="BD69" s="2">
        <v>2</v>
      </c>
      <c r="BF69" s="29">
        <v>2.1823693563797151</v>
      </c>
      <c r="BG69" s="318">
        <v>150000967</v>
      </c>
      <c r="BI69" s="104">
        <v>19.25</v>
      </c>
      <c r="BJ69" s="104">
        <f t="shared" si="5"/>
        <v>2.7077473499999996</v>
      </c>
      <c r="BK69" s="104">
        <v>22.200751573000002</v>
      </c>
      <c r="BL69" s="38"/>
      <c r="BM69" s="3"/>
      <c r="BN69" s="3">
        <v>0</v>
      </c>
      <c r="BP69" s="3"/>
      <c r="BQ69" s="3"/>
      <c r="BS69" s="42"/>
      <c r="BT69" s="42">
        <v>0</v>
      </c>
      <c r="BU69" s="958"/>
      <c r="BV69" s="41"/>
      <c r="BW69" s="42"/>
      <c r="BX69" s="960"/>
      <c r="BY69" s="76"/>
      <c r="BZ69" s="42">
        <v>0</v>
      </c>
      <c r="CA69" s="959"/>
      <c r="CB69" s="41">
        <v>0</v>
      </c>
      <c r="CC69" s="41">
        <v>0</v>
      </c>
      <c r="CD69" s="960"/>
      <c r="CE69" s="76">
        <v>0</v>
      </c>
      <c r="CF69" s="55"/>
      <c r="CG69" s="41">
        <v>0</v>
      </c>
      <c r="CH69" s="38">
        <v>22.200751573000002</v>
      </c>
      <c r="CI69" s="76">
        <v>0</v>
      </c>
      <c r="CJ69" s="55"/>
      <c r="CK69" s="955"/>
      <c r="CL69" s="950"/>
      <c r="CM69" s="955"/>
      <c r="CN69" s="950">
        <v>0</v>
      </c>
      <c r="CO69" s="76">
        <v>73.460140401144486</v>
      </c>
      <c r="CP69" s="42">
        <v>0</v>
      </c>
      <c r="CQ69" s="5"/>
      <c r="CR69" s="76">
        <v>99.99339749450769</v>
      </c>
      <c r="CS69" s="954">
        <v>0</v>
      </c>
      <c r="CT69" s="5"/>
      <c r="CU69" s="76">
        <v>95.681229302492454</v>
      </c>
      <c r="CV69" s="42">
        <v>0</v>
      </c>
      <c r="CW69" s="5"/>
      <c r="CX69" s="76">
        <v>0</v>
      </c>
      <c r="CY69" s="42">
        <v>0</v>
      </c>
      <c r="CZ69" s="5"/>
      <c r="DA69" s="76">
        <v>0</v>
      </c>
      <c r="DB69" s="42">
        <v>0</v>
      </c>
      <c r="DC69" s="5"/>
      <c r="DD69" s="76">
        <v>30.028070076793693</v>
      </c>
      <c r="DE69" s="42">
        <v>0</v>
      </c>
      <c r="DF69" s="5"/>
      <c r="DG69" s="76">
        <v>0</v>
      </c>
      <c r="DH69" s="42"/>
      <c r="DI69" s="5"/>
      <c r="DJ69" s="42">
        <v>299.16283727493834</v>
      </c>
      <c r="DK69" s="42">
        <f t="shared" si="6"/>
        <v>0</v>
      </c>
      <c r="DL69" s="58">
        <f t="shared" si="7"/>
        <v>-299.16283727493834</v>
      </c>
      <c r="DM69" s="2">
        <v>2</v>
      </c>
    </row>
    <row r="70" spans="1:117" ht="24.9" customHeight="1" x14ac:dyDescent="0.3">
      <c r="A70" s="318">
        <v>150000968</v>
      </c>
      <c r="B70" s="44" t="s">
        <v>244</v>
      </c>
      <c r="C70" s="956">
        <v>5</v>
      </c>
      <c r="D70" s="957" t="s">
        <v>454</v>
      </c>
      <c r="E70" s="949">
        <f>'побудинковий звіт'!E37</f>
        <v>450.6</v>
      </c>
      <c r="F70" s="950">
        <f>'побудинковий звіт'!AS37</f>
        <v>4403.2986158791782</v>
      </c>
      <c r="G70" s="950">
        <f t="shared" si="0"/>
        <v>4101.7419157678305</v>
      </c>
      <c r="H70" s="950">
        <f t="shared" si="1"/>
        <v>-301.55670011134771</v>
      </c>
      <c r="I70" s="42">
        <f>'[2]поточний ремонт'!I70+'[1]поточний ремонт'!I70</f>
        <v>5</v>
      </c>
      <c r="J70" s="42">
        <f>'[2]поточний ремонт'!J70+'[1]поточний ремонт'!J70</f>
        <v>1524.7186977040847</v>
      </c>
      <c r="K70" s="958"/>
      <c r="L70" s="42">
        <f>'[2]поточний ремонт'!L70+'[1]поточний ремонт'!L70</f>
        <v>0</v>
      </c>
      <c r="M70" s="42">
        <f>'[2]поточний ремонт'!M70+'[1]поточний ремонт'!M70</f>
        <v>0</v>
      </c>
      <c r="N70" s="36"/>
      <c r="O70" s="42">
        <f>'[2]поточний ремонт'!O70+'[1]поточний ремонт'!O70</f>
        <v>0</v>
      </c>
      <c r="P70" s="42">
        <f>'[2]поточний ремонт'!P70+'[1]поточний ремонт'!P70</f>
        <v>0</v>
      </c>
      <c r="Q70" s="959"/>
      <c r="R70" s="42">
        <f>'[2]поточний ремонт'!R70+'[1]поточний ремонт'!R70</f>
        <v>0</v>
      </c>
      <c r="S70" s="42">
        <f>'[2]поточний ремонт'!S70+'[1]поточний ремонт'!S70</f>
        <v>0</v>
      </c>
      <c r="T70" s="960"/>
      <c r="U70" s="42">
        <f>'[2]поточний ремонт'!U70+'[1]поточний ремонт'!U70</f>
        <v>0</v>
      </c>
      <c r="V70" s="42">
        <f>'[2]поточний ремонт'!V70+'[1]поточний ремонт'!V70</f>
        <v>0</v>
      </c>
      <c r="W70" s="42">
        <f>'[2]поточний ремонт'!W70+'[1]поточний ремонт'!W70</f>
        <v>0</v>
      </c>
      <c r="X70" s="42">
        <f>'[2]поточний ремонт'!X70+'[1]поточний ремонт'!X70</f>
        <v>358.08208344230422</v>
      </c>
      <c r="Y70" s="42">
        <f>'[2]поточний ремонт'!Y70+'[1]поточний ремонт'!Y70</f>
        <v>0</v>
      </c>
      <c r="Z70" s="42">
        <f>'[2]поточний ремонт'!Z70+'[1]поточний ремонт'!Z70</f>
        <v>0</v>
      </c>
      <c r="AA70" s="42">
        <f>'[2]поточний ремонт'!AA70+'[1]поточний ремонт'!AA70</f>
        <v>0</v>
      </c>
      <c r="AB70" s="42">
        <f>'[2]поточний ремонт'!AB70+'[1]поточний ремонт'!AB70</f>
        <v>0</v>
      </c>
      <c r="AC70" s="42">
        <f>'[2]поточний ремонт'!AC70+'[1]поточний ремонт'!AC70</f>
        <v>2218.941134621442</v>
      </c>
      <c r="AD70" s="42">
        <f>'[2]поточний ремонт'!AD70+'[1]поточний ремонт'!AD70</f>
        <v>0</v>
      </c>
      <c r="AE70" s="42">
        <f>'[2]поточний ремонт'!AE70+'[1]поточний ремонт'!AE70</f>
        <v>1029.3812202455756</v>
      </c>
      <c r="AF70" s="42">
        <f>'[2]поточний ремонт'!AF70+'[1]поточний ремонт'!AF70</f>
        <v>534.67626702048801</v>
      </c>
      <c r="AG70" s="5"/>
      <c r="AH70" s="42">
        <f>'[2]поточний ремонт'!AH70+'[1]поточний ремонт'!AH70</f>
        <v>1309.7009230354799</v>
      </c>
      <c r="AI70" s="42">
        <f>'[2]поточний ремонт'!AI70+'[1]поточний ремонт'!AI70</f>
        <v>0</v>
      </c>
      <c r="AJ70" s="5"/>
      <c r="AK70" s="42">
        <f>'[2]поточний ремонт'!AK70+'[1]поточний ремонт'!AK70</f>
        <v>1576.7622734862834</v>
      </c>
      <c r="AL70" s="42">
        <f>'[2]поточний ремонт'!AL70+'[1]поточний ремонт'!AL70</f>
        <v>0</v>
      </c>
      <c r="AM70" s="5"/>
      <c r="AN70" s="42">
        <f>'[2]поточний ремонт'!AN70+'[1]поточний ремонт'!AN70</f>
        <v>0</v>
      </c>
      <c r="AO70" s="42">
        <f>'[2]поточний ремонт'!AO70+'[1]поточний ремонт'!AO70</f>
        <v>0</v>
      </c>
      <c r="AP70" s="5"/>
      <c r="AQ70" s="42">
        <f>'[2]поточний ремонт'!AQ70+'[1]поточний ремонт'!AQ70</f>
        <v>82.704815978574771</v>
      </c>
      <c r="AR70" s="42">
        <f>'[2]поточний ремонт'!AR70+'[1]поточний ремонт'!AR70</f>
        <v>0</v>
      </c>
      <c r="AS70" s="5"/>
      <c r="AT70" s="42">
        <f>'[2]поточний ремонт'!AT70+'[1]поточний ремонт'!AT70</f>
        <v>538.46017314545952</v>
      </c>
      <c r="AU70" s="42">
        <f>'[2]поточний ремонт'!AU70+'[1]поточний ремонт'!AU70</f>
        <v>0</v>
      </c>
      <c r="AV70" s="5"/>
      <c r="AW70" s="42">
        <f>'[2]поточний ремонт'!AW70+'[1]поточний ремонт'!AW70</f>
        <v>39.401811011443485</v>
      </c>
      <c r="AX70" s="42">
        <f>'[2]поточний ремонт'!AX70+'[1]поточний ремонт'!AX70</f>
        <v>0</v>
      </c>
      <c r="AY70" s="5"/>
      <c r="AZ70" s="42">
        <f t="shared" si="2"/>
        <v>4576.4112169028167</v>
      </c>
      <c r="BA70" s="42">
        <f t="shared" si="3"/>
        <v>534.67626702048801</v>
      </c>
      <c r="BB70" s="58">
        <f t="shared" si="4"/>
        <v>-4041.7349498823287</v>
      </c>
      <c r="BD70" s="2">
        <v>2</v>
      </c>
      <c r="BF70" s="29">
        <v>3.3562217534633567</v>
      </c>
      <c r="BG70" s="318">
        <v>150000968</v>
      </c>
      <c r="BI70" s="104">
        <v>26.25</v>
      </c>
      <c r="BJ70" s="104">
        <f t="shared" si="5"/>
        <v>3.6923827499999997</v>
      </c>
      <c r="BK70" s="104">
        <v>30.273752145</v>
      </c>
      <c r="BL70" s="38"/>
      <c r="BM70" s="3"/>
      <c r="BN70" s="3">
        <v>0</v>
      </c>
      <c r="BP70" s="3"/>
      <c r="BQ70" s="3"/>
      <c r="BS70" s="42"/>
      <c r="BT70" s="42">
        <v>0</v>
      </c>
      <c r="BU70" s="958"/>
      <c r="BV70" s="41"/>
      <c r="BW70" s="42"/>
      <c r="BX70" s="36"/>
      <c r="BY70" s="76"/>
      <c r="BZ70" s="42">
        <v>0</v>
      </c>
      <c r="CA70" s="959"/>
      <c r="CB70" s="41">
        <v>0</v>
      </c>
      <c r="CC70" s="41">
        <v>0</v>
      </c>
      <c r="CD70" s="960"/>
      <c r="CE70" s="76">
        <v>0</v>
      </c>
      <c r="CF70" s="55"/>
      <c r="CG70" s="41">
        <v>0</v>
      </c>
      <c r="CH70" s="38">
        <v>30.273752145</v>
      </c>
      <c r="CI70" s="76">
        <v>0</v>
      </c>
      <c r="CJ70" s="55"/>
      <c r="CK70" s="955"/>
      <c r="CL70" s="950"/>
      <c r="CM70" s="955"/>
      <c r="CN70" s="950">
        <v>0</v>
      </c>
      <c r="CO70" s="76">
        <v>84.611857446792584</v>
      </c>
      <c r="CP70" s="42">
        <v>0</v>
      </c>
      <c r="CQ70" s="5"/>
      <c r="CR70" s="76">
        <v>112.642466497418</v>
      </c>
      <c r="CS70" s="954">
        <v>0</v>
      </c>
      <c r="CT70" s="5"/>
      <c r="CU70" s="76">
        <v>137.35200269798972</v>
      </c>
      <c r="CV70" s="42">
        <v>0</v>
      </c>
      <c r="CW70" s="5"/>
      <c r="CX70" s="76">
        <v>0</v>
      </c>
      <c r="CY70" s="42">
        <v>0</v>
      </c>
      <c r="CZ70" s="5"/>
      <c r="DA70" s="76">
        <v>0</v>
      </c>
      <c r="DB70" s="42">
        <v>0</v>
      </c>
      <c r="DC70" s="5"/>
      <c r="DD70" s="76">
        <v>35.018585326851472</v>
      </c>
      <c r="DE70" s="42">
        <v>0</v>
      </c>
      <c r="DF70" s="5"/>
      <c r="DG70" s="76">
        <v>0</v>
      </c>
      <c r="DH70" s="42"/>
      <c r="DI70" s="5"/>
      <c r="DJ70" s="42">
        <v>369.62491196905177</v>
      </c>
      <c r="DK70" s="42">
        <f t="shared" si="6"/>
        <v>0</v>
      </c>
      <c r="DL70" s="58">
        <f t="shared" si="7"/>
        <v>-369.62491196905177</v>
      </c>
      <c r="DM70" s="2">
        <v>2</v>
      </c>
    </row>
    <row r="71" spans="1:117" ht="24.9" customHeight="1" x14ac:dyDescent="0.3">
      <c r="A71" s="318">
        <v>150000981</v>
      </c>
      <c r="B71" s="44" t="s">
        <v>342</v>
      </c>
      <c r="C71" s="956">
        <v>9</v>
      </c>
      <c r="D71" s="957" t="s">
        <v>454</v>
      </c>
      <c r="E71" s="949">
        <f>'побудинковий звіт'!E38</f>
        <v>2099.6999999999998</v>
      </c>
      <c r="F71" s="950">
        <f>'побудинковий звіт'!AS38</f>
        <v>30385.134858655154</v>
      </c>
      <c r="G71" s="950">
        <f t="shared" si="0"/>
        <v>95803.600312378723</v>
      </c>
      <c r="H71" s="950">
        <f t="shared" si="1"/>
        <v>65418.465453723569</v>
      </c>
      <c r="I71" s="42">
        <f>'[2]поточний ремонт'!I71+'[1]поточний ремонт'!I71</f>
        <v>16.68</v>
      </c>
      <c r="J71" s="42">
        <f>'[2]поточний ремонт'!J71+'[1]поточний ремонт'!J71</f>
        <v>10119.387264513789</v>
      </c>
      <c r="K71" s="958"/>
      <c r="L71" s="42">
        <f>'[2]поточний ремонт'!L71+'[1]поточний ремонт'!L71</f>
        <v>1</v>
      </c>
      <c r="M71" s="42">
        <f>'[2]поточний ремонт'!M71+'[1]поточний ремонт'!M71</f>
        <v>34259.470179127304</v>
      </c>
      <c r="N71" s="36"/>
      <c r="O71" s="42">
        <f>'[2]поточний ремонт'!O71+'[1]поточний ремонт'!O71</f>
        <v>0</v>
      </c>
      <c r="P71" s="42">
        <f>'[2]поточний ремонт'!P71+'[1]поточний ремонт'!P71</f>
        <v>0</v>
      </c>
      <c r="Q71" s="959"/>
      <c r="R71" s="42">
        <f>'[2]поточний ремонт'!R71+'[1]поточний ремонт'!R71</f>
        <v>2</v>
      </c>
      <c r="S71" s="42">
        <f>'[2]поточний ремонт'!S71+'[1]поточний ремонт'!S71</f>
        <v>14058.403926086521</v>
      </c>
      <c r="T71" s="960"/>
      <c r="U71" s="42">
        <f>'[2]поточний ремонт'!U71+'[1]поточний ремонт'!U71</f>
        <v>8752</v>
      </c>
      <c r="V71" s="42">
        <f>'[2]поточний ремонт'!V71+'[1]поточний ремонт'!V71</f>
        <v>0</v>
      </c>
      <c r="W71" s="42">
        <f>'[2]поточний ремонт'!W71+'[1]поточний ремонт'!W71</f>
        <v>0</v>
      </c>
      <c r="X71" s="42">
        <f>'[2]поточний ремонт'!X71+'[1]поточний ремонт'!X71</f>
        <v>455.34399791634723</v>
      </c>
      <c r="Y71" s="42">
        <f>'[2]поточний ремонт'!Y71+'[1]поточний ремонт'!Y71</f>
        <v>26578.538320987871</v>
      </c>
      <c r="Z71" s="42">
        <f>'[2]поточний ремонт'!Z71+'[1]поточний ремонт'!Z71</f>
        <v>0</v>
      </c>
      <c r="AA71" s="42">
        <f>'[2]поточний ремонт'!AA71+'[1]поточний ремонт'!AA71</f>
        <v>0</v>
      </c>
      <c r="AB71" s="42">
        <f>'[2]поточний ремонт'!AB71+'[1]поточний ремонт'!AB71</f>
        <v>0</v>
      </c>
      <c r="AC71" s="42">
        <f>'[2]поточний ремонт'!AC71+'[1]поточний ремонт'!AC71</f>
        <v>680.13014662143041</v>
      </c>
      <c r="AD71" s="42">
        <f>'[2]поточний ремонт'!AD71+'[1]поточний ремонт'!AD71</f>
        <v>900.32647712546577</v>
      </c>
      <c r="AE71" s="42">
        <f>'[2]поточний ремонт'!AE71+'[1]поточний ремонт'!AE71</f>
        <v>504.63829497068048</v>
      </c>
      <c r="AF71" s="42">
        <f>'[2]поточний ремонт'!AF71+'[1]поточний ремонт'!AF71</f>
        <v>0</v>
      </c>
      <c r="AG71" s="5"/>
      <c r="AH71" s="42">
        <f>'[2]поточний ремонт'!AH71+'[1]поточний ремонт'!AH71</f>
        <v>377.96015498629095</v>
      </c>
      <c r="AI71" s="42">
        <f>'[2]поточний ремонт'!AI71+'[1]поточний ремонт'!AI71</f>
        <v>0</v>
      </c>
      <c r="AJ71" s="965"/>
      <c r="AK71" s="42">
        <f>'[2]поточний ремонт'!AK71+'[1]поточний ремонт'!AK71</f>
        <v>541.55410448177122</v>
      </c>
      <c r="AL71" s="42">
        <f>'[2]поточний ремонт'!AL71+'[1]поточний ремонт'!AL71</f>
        <v>0</v>
      </c>
      <c r="AM71" s="9"/>
      <c r="AN71" s="42">
        <f>'[2]поточний ремонт'!AN71+'[1]поточний ремонт'!AN71</f>
        <v>194.66542485435872</v>
      </c>
      <c r="AO71" s="42">
        <f>'[2]поточний ремонт'!AO71+'[1]поточний ремонт'!AO71</f>
        <v>0</v>
      </c>
      <c r="AP71" s="5"/>
      <c r="AQ71" s="42">
        <f>'[2]поточний ремонт'!AQ71+'[1]поточний ремонт'!AQ71</f>
        <v>107.97325565782403</v>
      </c>
      <c r="AR71" s="42">
        <f>'[2]поточний ремонт'!AR71+'[1]поточний ремонт'!AR71</f>
        <v>0</v>
      </c>
      <c r="AS71" s="5"/>
      <c r="AT71" s="42">
        <f>'[2]поточний ремонт'!AT71+'[1]поточний ремонт'!AT71</f>
        <v>396.06868524799188</v>
      </c>
      <c r="AU71" s="42">
        <f>'[2]поточний ремонт'!AU71+'[1]поточний ремонт'!AU71</f>
        <v>2203.3106709928916</v>
      </c>
      <c r="AV71" s="5"/>
      <c r="AW71" s="42">
        <f>'[2]поточний ремонт'!AW71+'[1]поточний ремонт'!AW71</f>
        <v>50.193389823494897</v>
      </c>
      <c r="AX71" s="42">
        <f>'[2]поточний ремонт'!AX71+'[1]поточний ремонт'!AX71</f>
        <v>2808.4596569599998</v>
      </c>
      <c r="AY71" s="5"/>
      <c r="AZ71" s="42">
        <f t="shared" si="2"/>
        <v>2173.053310022412</v>
      </c>
      <c r="BA71" s="42">
        <f t="shared" si="3"/>
        <v>5011.7703279528914</v>
      </c>
      <c r="BB71" s="58">
        <f t="shared" si="4"/>
        <v>2838.7170179304794</v>
      </c>
      <c r="BD71" s="2">
        <v>3</v>
      </c>
      <c r="BF71" s="29">
        <v>165.52862883785181</v>
      </c>
      <c r="BG71" s="318">
        <v>150000981</v>
      </c>
      <c r="BI71" s="104">
        <v>33.380000000000003</v>
      </c>
      <c r="BJ71" s="104">
        <f t="shared" si="5"/>
        <v>4.6953042360000001</v>
      </c>
      <c r="BK71" s="104">
        <v>38.496679870480001</v>
      </c>
      <c r="BL71" s="38"/>
      <c r="BM71" s="3"/>
      <c r="BN71" s="3">
        <v>0</v>
      </c>
      <c r="BP71" s="3"/>
      <c r="BQ71" s="3"/>
      <c r="BS71" s="42"/>
      <c r="BT71" s="42">
        <v>0</v>
      </c>
      <c r="BU71" s="958"/>
      <c r="BV71" s="41"/>
      <c r="BW71" s="42"/>
      <c r="BX71" s="36"/>
      <c r="BY71" s="76"/>
      <c r="BZ71" s="42">
        <v>0</v>
      </c>
      <c r="CA71" s="959"/>
      <c r="CB71" s="41">
        <v>1</v>
      </c>
      <c r="CC71" s="41">
        <v>0</v>
      </c>
      <c r="CD71" s="960"/>
      <c r="CE71" s="76">
        <v>0</v>
      </c>
      <c r="CF71" s="55"/>
      <c r="CG71" s="41">
        <v>0</v>
      </c>
      <c r="CH71" s="38">
        <v>38.496679870480001</v>
      </c>
      <c r="CI71" s="76">
        <v>0</v>
      </c>
      <c r="CJ71" s="55"/>
      <c r="CK71" s="955"/>
      <c r="CL71" s="950"/>
      <c r="CM71" s="955"/>
      <c r="CN71" s="950">
        <v>0</v>
      </c>
      <c r="CO71" s="76">
        <v>22.462403780588428</v>
      </c>
      <c r="CP71" s="42">
        <v>0</v>
      </c>
      <c r="CQ71" s="5"/>
      <c r="CR71" s="76">
        <v>30.422107952889679</v>
      </c>
      <c r="CS71" s="954">
        <v>0</v>
      </c>
      <c r="CT71" s="965"/>
      <c r="CU71" s="76">
        <v>38.34683273588805</v>
      </c>
      <c r="CV71" s="42">
        <v>0</v>
      </c>
      <c r="CW71" s="9"/>
      <c r="CX71" s="76">
        <v>15.046391549974324</v>
      </c>
      <c r="CY71" s="42">
        <v>0</v>
      </c>
      <c r="CZ71" s="5"/>
      <c r="DA71" s="76">
        <v>6.5961235315382805</v>
      </c>
      <c r="DB71" s="42">
        <v>0</v>
      </c>
      <c r="DC71" s="5"/>
      <c r="DD71" s="76">
        <v>17.430653054924321</v>
      </c>
      <c r="DE71" s="42">
        <v>0</v>
      </c>
      <c r="DF71" s="5"/>
      <c r="DG71" s="76">
        <v>0</v>
      </c>
      <c r="DH71" s="42"/>
      <c r="DI71" s="5"/>
      <c r="DJ71" s="42">
        <v>130.30451260580307</v>
      </c>
      <c r="DK71" s="42">
        <f t="shared" si="6"/>
        <v>0</v>
      </c>
      <c r="DL71" s="58">
        <f t="shared" si="7"/>
        <v>-130.30451260580307</v>
      </c>
      <c r="DM71" s="2">
        <v>3</v>
      </c>
    </row>
    <row r="72" spans="1:117" ht="24.9" customHeight="1" x14ac:dyDescent="0.3">
      <c r="A72" s="318">
        <v>150000982</v>
      </c>
      <c r="B72" s="44" t="s">
        <v>343</v>
      </c>
      <c r="C72" s="956">
        <v>9</v>
      </c>
      <c r="D72" s="957" t="s">
        <v>454</v>
      </c>
      <c r="E72" s="949">
        <f>'побудинковий звіт'!E39</f>
        <v>2787.1</v>
      </c>
      <c r="F72" s="950">
        <f>'побудинковий звіт'!AS39</f>
        <v>33501.412190929237</v>
      </c>
      <c r="G72" s="950">
        <f t="shared" si="0"/>
        <v>144617.42536006306</v>
      </c>
      <c r="H72" s="950">
        <f t="shared" si="1"/>
        <v>111116.01316913383</v>
      </c>
      <c r="I72" s="42">
        <f>'[2]поточний ремонт'!I72+'[1]поточний ремонт'!I72</f>
        <v>222.29</v>
      </c>
      <c r="J72" s="42">
        <f>'[2]поточний ремонт'!J72+'[1]поточний ремонт'!J72</f>
        <v>129429.01128883737</v>
      </c>
      <c r="K72" s="964"/>
      <c r="L72" s="42">
        <f>'[2]поточний ремонт'!L72+'[1]поточний ремонт'!L72</f>
        <v>0</v>
      </c>
      <c r="M72" s="42">
        <f>'[2]поточний ремонт'!M72+'[1]поточний ремонт'!M72</f>
        <v>0</v>
      </c>
      <c r="N72" s="36"/>
      <c r="O72" s="42">
        <f>'[2]поточний ремонт'!O72+'[1]поточний ремонт'!O72</f>
        <v>0</v>
      </c>
      <c r="P72" s="42">
        <f>'[2]поточний ремонт'!P72+'[1]поточний ремонт'!P72</f>
        <v>0</v>
      </c>
      <c r="Q72" s="966"/>
      <c r="R72" s="42">
        <f>'[2]поточний ремонт'!R72+'[1]поточний ремонт'!R72</f>
        <v>1</v>
      </c>
      <c r="S72" s="42">
        <f>'[2]поточний ремонт'!S72+'[1]поточний ремонт'!S72</f>
        <v>11734.845112225681</v>
      </c>
      <c r="T72" s="967"/>
      <c r="U72" s="42">
        <f>'[2]поточний ремонт'!U72+'[1]поточний ремонт'!U72</f>
        <v>0</v>
      </c>
      <c r="V72" s="42">
        <f>'[2]поточний ремонт'!V72+'[1]поточний ремонт'!V72</f>
        <v>0</v>
      </c>
      <c r="W72" s="42">
        <f>'[2]поточний ремонт'!W72+'[1]поточний ремонт'!W72</f>
        <v>0</v>
      </c>
      <c r="X72" s="42">
        <f>'[2]поточний ремонт'!X72+'[1]поточний ремонт'!X72</f>
        <v>887.08868138106823</v>
      </c>
      <c r="Y72" s="42">
        <f>'[2]поточний ремонт'!Y72+'[1]поточний ремонт'!Y72</f>
        <v>1364.4802776189422</v>
      </c>
      <c r="Z72" s="42">
        <f>'[2]поточний ремонт'!Z72+'[1]поточний ремонт'!Z72</f>
        <v>0</v>
      </c>
      <c r="AA72" s="42">
        <f>'[2]поточний ремонт'!AA72+'[1]поточний ремонт'!AA72</f>
        <v>0</v>
      </c>
      <c r="AB72" s="42">
        <f>'[2]поточний ремонт'!AB72+'[1]поточний ремонт'!AB72</f>
        <v>1202</v>
      </c>
      <c r="AC72" s="42">
        <f>'[2]поточний ремонт'!AC72+'[1]поточний ремонт'!AC72</f>
        <v>0</v>
      </c>
      <c r="AD72" s="42">
        <f>'[2]поточний ремонт'!AD72+'[1]поточний ремонт'!AD72</f>
        <v>0</v>
      </c>
      <c r="AE72" s="42">
        <f>'[2]поточний ремонт'!AE72+'[1]поточний ремонт'!AE72</f>
        <v>1043.1723659601482</v>
      </c>
      <c r="AF72" s="42">
        <f>'[2]поточний ремонт'!AF72+'[1]поточний ремонт'!AF72</f>
        <v>0</v>
      </c>
      <c r="AG72" s="965"/>
      <c r="AH72" s="42">
        <f>'[2]поточний ремонт'!AH72+'[1]поточний ремонт'!AH72</f>
        <v>1664.4427299967067</v>
      </c>
      <c r="AI72" s="42">
        <f>'[2]поточний ремонт'!AI72+'[1]поточний ремонт'!AI72</f>
        <v>5944.4275492047309</v>
      </c>
      <c r="AJ72" s="5"/>
      <c r="AK72" s="42">
        <f>'[2]поточний ремонт'!AK72+'[1]поточний ремонт'!AK72</f>
        <v>1630.228602699945</v>
      </c>
      <c r="AL72" s="42">
        <f>'[2]поточний ремонт'!AL72+'[1]поточний ремонт'!AL72</f>
        <v>4822.4608747513121</v>
      </c>
      <c r="AM72" s="9"/>
      <c r="AN72" s="42">
        <f>'[2]поточний ремонт'!AN72+'[1]поточний ремонт'!AN72</f>
        <v>469.39784941210189</v>
      </c>
      <c r="AO72" s="42">
        <f>'[2]поточний ремонт'!AO72+'[1]поточний ремонт'!AO72</f>
        <v>807</v>
      </c>
      <c r="AP72" s="5"/>
      <c r="AQ72" s="42">
        <f>'[2]поточний ремонт'!AQ72+'[1]поточний ремонт'!AQ72</f>
        <v>323.91968446591562</v>
      </c>
      <c r="AR72" s="42">
        <f>'[2]поточний ремонт'!AR72+'[1]поточний ремонт'!AR72</f>
        <v>0</v>
      </c>
      <c r="AS72" s="965"/>
      <c r="AT72" s="42">
        <f>'[2]поточний ремонт'!AT72+'[1]поточний ремонт'!AT72</f>
        <v>1011.5482392284537</v>
      </c>
      <c r="AU72" s="42">
        <f>'[2]поточний ремонт'!AU72+'[1]поточний ремонт'!AU72</f>
        <v>1010.4232548013701</v>
      </c>
      <c r="AV72" s="5"/>
      <c r="AW72" s="42">
        <f>'[2]поточний ремонт'!AW72+'[1]поточний ремонт'!AW72</f>
        <v>112.9351271028635</v>
      </c>
      <c r="AX72" s="42">
        <f>'[2]поточний ремонт'!AX72+'[1]поточний ремонт'!AX72</f>
        <v>0</v>
      </c>
      <c r="AY72" s="5"/>
      <c r="AZ72" s="42">
        <f t="shared" si="2"/>
        <v>6255.6445988661344</v>
      </c>
      <c r="BA72" s="42">
        <f t="shared" si="3"/>
        <v>12584.311678757413</v>
      </c>
      <c r="BB72" s="58">
        <f t="shared" si="4"/>
        <v>6328.6670798912783</v>
      </c>
      <c r="BD72" s="2">
        <v>3</v>
      </c>
      <c r="BF72" s="29">
        <v>444.97111227078665</v>
      </c>
      <c r="BG72" s="318">
        <v>150000982</v>
      </c>
      <c r="BI72" s="104">
        <v>65.03</v>
      </c>
      <c r="BJ72" s="104">
        <f t="shared" si="5"/>
        <v>9.1472628660000002</v>
      </c>
      <c r="BK72" s="104">
        <v>74.998175313879997</v>
      </c>
      <c r="BL72" s="38"/>
      <c r="BM72" s="3"/>
      <c r="BN72" s="3">
        <v>0</v>
      </c>
      <c r="BP72" s="3"/>
      <c r="BQ72" s="3"/>
      <c r="BS72" s="42"/>
      <c r="BT72" s="42">
        <v>0</v>
      </c>
      <c r="BU72" s="964"/>
      <c r="BV72" s="41"/>
      <c r="BW72" s="42"/>
      <c r="BX72" s="36"/>
      <c r="BY72" s="76"/>
      <c r="BZ72" s="42">
        <v>0</v>
      </c>
      <c r="CA72" s="966"/>
      <c r="CB72" s="41">
        <v>0</v>
      </c>
      <c r="CC72" s="41">
        <v>0</v>
      </c>
      <c r="CD72" s="967"/>
      <c r="CE72" s="76">
        <v>0</v>
      </c>
      <c r="CF72" s="55"/>
      <c r="CG72" s="41">
        <v>0</v>
      </c>
      <c r="CH72" s="38">
        <v>74.998175313879997</v>
      </c>
      <c r="CI72" s="76">
        <v>0</v>
      </c>
      <c r="CJ72" s="55"/>
      <c r="CK72" s="955"/>
      <c r="CL72" s="950"/>
      <c r="CM72" s="955"/>
      <c r="CN72" s="950">
        <v>0</v>
      </c>
      <c r="CO72" s="76">
        <v>40.612155994323253</v>
      </c>
      <c r="CP72" s="42">
        <v>0</v>
      </c>
      <c r="CQ72" s="965"/>
      <c r="CR72" s="76">
        <v>90.865249567069739</v>
      </c>
      <c r="CS72" s="954">
        <v>0</v>
      </c>
      <c r="CT72" s="5"/>
      <c r="CU72" s="76">
        <v>105.81371524185468</v>
      </c>
      <c r="CV72" s="42">
        <v>860.26092055955996</v>
      </c>
      <c r="CW72" s="9"/>
      <c r="CX72" s="76">
        <v>35.518448681618807</v>
      </c>
      <c r="CY72" s="42">
        <v>0</v>
      </c>
      <c r="CZ72" s="5"/>
      <c r="DA72" s="76">
        <v>19.788362425549849</v>
      </c>
      <c r="DB72" s="42">
        <v>0</v>
      </c>
      <c r="DC72" s="965"/>
      <c r="DD72" s="76">
        <v>24.435801658547344</v>
      </c>
      <c r="DE72" s="42">
        <v>0</v>
      </c>
      <c r="DF72" s="5"/>
      <c r="DG72" s="76">
        <v>0</v>
      </c>
      <c r="DH72" s="42"/>
      <c r="DI72" s="5"/>
      <c r="DJ72" s="42">
        <v>317.03373356896367</v>
      </c>
      <c r="DK72" s="42">
        <f t="shared" si="6"/>
        <v>860.26092055955996</v>
      </c>
      <c r="DL72" s="58">
        <f t="shared" si="7"/>
        <v>543.22718699059624</v>
      </c>
      <c r="DM72" s="2">
        <v>3</v>
      </c>
    </row>
    <row r="73" spans="1:117" ht="24.9" customHeight="1" x14ac:dyDescent="0.3">
      <c r="A73" s="318">
        <v>150000983</v>
      </c>
      <c r="B73" s="44" t="s">
        <v>344</v>
      </c>
      <c r="C73" s="956">
        <v>9</v>
      </c>
      <c r="D73" s="957" t="s">
        <v>454</v>
      </c>
      <c r="E73" s="949">
        <f>'побудинковий звіт'!E40</f>
        <v>3560.8</v>
      </c>
      <c r="F73" s="950">
        <f>'побудинковий звіт'!AS40</f>
        <v>61141.652581400034</v>
      </c>
      <c r="G73" s="950">
        <f t="shared" si="0"/>
        <v>24933.61323186646</v>
      </c>
      <c r="H73" s="950">
        <f t="shared" si="1"/>
        <v>-36208.039349533574</v>
      </c>
      <c r="I73" s="42">
        <f>'[2]поточний ремонт'!I73+'[1]поточний ремонт'!I73</f>
        <v>0</v>
      </c>
      <c r="J73" s="42">
        <f>'[2]поточний ремонт'!J73+'[1]поточний ремонт'!J73</f>
        <v>0</v>
      </c>
      <c r="K73" s="958"/>
      <c r="L73" s="42">
        <f>'[2]поточний ремонт'!L73+'[1]поточний ремонт'!L73</f>
        <v>0</v>
      </c>
      <c r="M73" s="42">
        <f>'[2]поточний ремонт'!M73+'[1]поточний ремонт'!M73</f>
        <v>0</v>
      </c>
      <c r="N73" s="36"/>
      <c r="O73" s="42">
        <f>'[2]поточний ремонт'!O73+'[1]поточний ремонт'!O73</f>
        <v>0</v>
      </c>
      <c r="P73" s="42">
        <f>'[2]поточний ремонт'!P73+'[1]поточний ремонт'!P73</f>
        <v>0</v>
      </c>
      <c r="Q73" s="959"/>
      <c r="R73" s="42">
        <f>'[2]поточний ремонт'!R73+'[1]поточний ремонт'!R73</f>
        <v>1</v>
      </c>
      <c r="S73" s="42">
        <f>'[2]поточний ремонт'!S73+'[1]поточний ремонт'!S73</f>
        <v>1393</v>
      </c>
      <c r="T73" s="968"/>
      <c r="U73" s="42">
        <f>'[2]поточний ремонт'!U73+'[1]поточний ремонт'!U73</f>
        <v>0</v>
      </c>
      <c r="V73" s="42">
        <f>'[2]поточний ремонт'!V73+'[1]поточний ремонт'!V73</f>
        <v>0</v>
      </c>
      <c r="W73" s="42">
        <f>'[2]поточний ремонт'!W73+'[1]поточний ремонт'!W73</f>
        <v>8</v>
      </c>
      <c r="X73" s="42">
        <f>'[2]поточний ремонт'!X73+'[1]поточний ремонт'!X73</f>
        <v>1007.2146111144707</v>
      </c>
      <c r="Y73" s="42">
        <f>'[2]поточний ремонт'!Y73+'[1]поточний ремонт'!Y73</f>
        <v>10016.301868254644</v>
      </c>
      <c r="Z73" s="42">
        <f>'[2]поточний ремонт'!Z73+'[1]поточний ремонт'!Z73</f>
        <v>0</v>
      </c>
      <c r="AA73" s="42">
        <f>'[2]поточний ремонт'!AA73+'[1]поточний ремонт'!AA73</f>
        <v>0</v>
      </c>
      <c r="AB73" s="42">
        <f>'[2]поточний ремонт'!AB73+'[1]поточний ремонт'!AB73</f>
        <v>10441.205353381454</v>
      </c>
      <c r="AC73" s="42">
        <f>'[2]поточний ремонт'!AC73+'[1]поточний ремонт'!AC73</f>
        <v>1357.6117887339126</v>
      </c>
      <c r="AD73" s="42">
        <f>'[2]поточний ремонт'!AD73+'[1]поточний ремонт'!AD73</f>
        <v>718.27961038197873</v>
      </c>
      <c r="AE73" s="42">
        <f>'[2]поточний ремонт'!AE73+'[1]поточний ремонт'!AE73</f>
        <v>733.64488543229561</v>
      </c>
      <c r="AF73" s="42">
        <f>'[2]поточний ремонт'!AF73+'[1]поточний ремонт'!AF73</f>
        <v>0</v>
      </c>
      <c r="AG73" s="965"/>
      <c r="AH73" s="42">
        <f>'[2]поточний ремонт'!AH73+'[1]поточний ремонт'!AH73</f>
        <v>707.25890072866105</v>
      </c>
      <c r="AI73" s="42">
        <f>'[2]поточний ремонт'!AI73+'[1]поточний ремонт'!AI73</f>
        <v>0</v>
      </c>
      <c r="AJ73" s="5"/>
      <c r="AK73" s="42">
        <f>'[2]поточний ремонт'!AK73+'[1]поточний ремонт'!AK73</f>
        <v>999.0587483084613</v>
      </c>
      <c r="AL73" s="42">
        <f>'[2]поточний ремонт'!AL73+'[1]поточний ремонт'!AL73</f>
        <v>0</v>
      </c>
      <c r="AM73" s="5"/>
      <c r="AN73" s="42">
        <f>'[2]поточний ремонт'!AN73+'[1]поточний ремонт'!AN73</f>
        <v>342.85878254410636</v>
      </c>
      <c r="AO73" s="42">
        <f>'[2]поточний ремонт'!AO73+'[1]поточний ремонт'!AO73</f>
        <v>390.29985691784998</v>
      </c>
      <c r="AP73" s="5"/>
      <c r="AQ73" s="42">
        <f>'[2]поточний ремонт'!AQ73+'[1]поточний ремонт'!AQ73</f>
        <v>217.78439611517194</v>
      </c>
      <c r="AR73" s="42">
        <f>'[2]поточний ремонт'!AR73+'[1]поточний ремонт'!AR73</f>
        <v>0</v>
      </c>
      <c r="AS73" s="965"/>
      <c r="AT73" s="42">
        <f>'[2]поточний ремонт'!AT73+'[1]поточний ремонт'!AT73</f>
        <v>677.43827015095701</v>
      </c>
      <c r="AU73" s="42">
        <f>'[2]поточний ремонт'!AU73+'[1]поточний ремонт'!AU73</f>
        <v>0</v>
      </c>
      <c r="AV73" s="5"/>
      <c r="AW73" s="42">
        <f>'[2]поточний ремонт'!AW73+'[1]поточний ремонт'!AW73</f>
        <v>75.290084735242345</v>
      </c>
      <c r="AX73" s="42">
        <f>'[2]поточний ремонт'!AX73+'[1]поточний ремонт'!AX73</f>
        <v>0</v>
      </c>
      <c r="AY73" s="5"/>
      <c r="AZ73" s="42">
        <f t="shared" si="2"/>
        <v>3753.3340680148963</v>
      </c>
      <c r="BA73" s="42">
        <f t="shared" si="3"/>
        <v>390.29985691784998</v>
      </c>
      <c r="BB73" s="58">
        <f t="shared" si="4"/>
        <v>-3363.0342110970464</v>
      </c>
      <c r="BD73" s="2">
        <v>3</v>
      </c>
      <c r="BF73" s="29">
        <v>288.4231910240689</v>
      </c>
      <c r="BG73" s="318">
        <v>150000983</v>
      </c>
      <c r="BI73" s="104">
        <v>0</v>
      </c>
      <c r="BJ73" s="104">
        <f t="shared" si="5"/>
        <v>0</v>
      </c>
      <c r="BK73" s="104">
        <v>0</v>
      </c>
      <c r="BL73" s="38"/>
      <c r="BM73" s="3"/>
      <c r="BN73" s="3">
        <v>0</v>
      </c>
      <c r="BP73" s="3"/>
      <c r="BQ73" s="3"/>
      <c r="BS73" s="42"/>
      <c r="BT73" s="42">
        <v>0</v>
      </c>
      <c r="BU73" s="958"/>
      <c r="BV73" s="41"/>
      <c r="BW73" s="42"/>
      <c r="BX73" s="36"/>
      <c r="BY73" s="76"/>
      <c r="BZ73" s="42">
        <v>0</v>
      </c>
      <c r="CA73" s="959"/>
      <c r="CB73" s="41">
        <v>0</v>
      </c>
      <c r="CC73" s="41">
        <v>0</v>
      </c>
      <c r="CD73" s="968"/>
      <c r="CE73" s="76">
        <v>0</v>
      </c>
      <c r="CF73" s="55"/>
      <c r="CG73" s="41">
        <v>0</v>
      </c>
      <c r="CH73" s="38">
        <v>0</v>
      </c>
      <c r="CI73" s="76">
        <v>0</v>
      </c>
      <c r="CJ73" s="55"/>
      <c r="CK73" s="955"/>
      <c r="CL73" s="950"/>
      <c r="CM73" s="955"/>
      <c r="CN73" s="950">
        <v>0</v>
      </c>
      <c r="CO73" s="76">
        <v>26.70420630466306</v>
      </c>
      <c r="CP73" s="42">
        <v>0</v>
      </c>
      <c r="CQ73" s="965"/>
      <c r="CR73" s="76">
        <v>34.575860107691469</v>
      </c>
      <c r="CS73" s="954">
        <v>0</v>
      </c>
      <c r="CT73" s="5"/>
      <c r="CU73" s="76">
        <v>68.714332679559377</v>
      </c>
      <c r="CV73" s="42">
        <v>0</v>
      </c>
      <c r="CW73" s="5"/>
      <c r="CX73" s="76">
        <v>25.64420955114651</v>
      </c>
      <c r="CY73" s="42">
        <v>0</v>
      </c>
      <c r="CZ73" s="5"/>
      <c r="DA73" s="76">
        <v>13.192247063076561</v>
      </c>
      <c r="DB73" s="42">
        <v>0</v>
      </c>
      <c r="DC73" s="965"/>
      <c r="DD73" s="76">
        <v>22.495964651723806</v>
      </c>
      <c r="DE73" s="42">
        <v>0</v>
      </c>
      <c r="DF73" s="5"/>
      <c r="DG73" s="76">
        <v>0</v>
      </c>
      <c r="DH73" s="42"/>
      <c r="DI73" s="5"/>
      <c r="DJ73" s="42">
        <v>191.32682035786078</v>
      </c>
      <c r="DK73" s="42">
        <f t="shared" si="6"/>
        <v>0</v>
      </c>
      <c r="DL73" s="58">
        <f t="shared" si="7"/>
        <v>-191.32682035786078</v>
      </c>
      <c r="DM73" s="2">
        <v>3</v>
      </c>
    </row>
    <row r="74" spans="1:117" ht="24.9" customHeight="1" x14ac:dyDescent="0.3">
      <c r="A74" s="318">
        <v>150000984</v>
      </c>
      <c r="B74" s="44" t="s">
        <v>345</v>
      </c>
      <c r="C74" s="956">
        <v>9</v>
      </c>
      <c r="D74" s="957" t="s">
        <v>454</v>
      </c>
      <c r="E74" s="949">
        <f>'побудинковий звіт'!E41</f>
        <v>3573.3</v>
      </c>
      <c r="F74" s="950">
        <f>'побудинковий звіт'!AS41</f>
        <v>61235.03669994315</v>
      </c>
      <c r="G74" s="950">
        <f t="shared" si="0"/>
        <v>171562.4200753808</v>
      </c>
      <c r="H74" s="950">
        <f t="shared" si="1"/>
        <v>110327.38337543764</v>
      </c>
      <c r="I74" s="42">
        <f>'[2]поточний ремонт'!I74+'[1]поточний ремонт'!I74</f>
        <v>192.73</v>
      </c>
      <c r="J74" s="42">
        <f>'[2]поточний ремонт'!J74+'[1]поточний ремонт'!J74</f>
        <v>133118.08178203093</v>
      </c>
      <c r="K74" s="958"/>
      <c r="L74" s="42">
        <f>'[2]поточний ремонт'!L74+'[1]поточний ремонт'!L74</f>
        <v>0</v>
      </c>
      <c r="M74" s="42">
        <f>'[2]поточний ремонт'!M74+'[1]поточний ремонт'!M74</f>
        <v>0</v>
      </c>
      <c r="N74" s="36"/>
      <c r="O74" s="42">
        <f>'[2]поточний ремонт'!O74+'[1]поточний ремонт'!O74</f>
        <v>0</v>
      </c>
      <c r="P74" s="42">
        <f>'[2]поточний ремонт'!P74+'[1]поточний ремонт'!P74</f>
        <v>0</v>
      </c>
      <c r="Q74" s="966"/>
      <c r="R74" s="42">
        <f>'[2]поточний ремонт'!R74+'[1]поточний ремонт'!R74</f>
        <v>1</v>
      </c>
      <c r="S74" s="42">
        <f>'[2]поточний ремонт'!S74+'[1]поточний ремонт'!S74</f>
        <v>874.62877346840946</v>
      </c>
      <c r="T74" s="968"/>
      <c r="U74" s="42">
        <f>'[2]поточний ремонт'!U74+'[1]поточний ремонт'!U74</f>
        <v>0</v>
      </c>
      <c r="V74" s="42">
        <f>'[2]поточний ремонт'!V74+'[1]поточний ремонт'!V74</f>
        <v>0</v>
      </c>
      <c r="W74" s="42">
        <f>'[2]поточний ремонт'!W74+'[1]поточний ремонт'!W74</f>
        <v>0</v>
      </c>
      <c r="X74" s="42">
        <f>'[2]поточний ремонт'!X74+'[1]поточний ремонт'!X74</f>
        <v>0</v>
      </c>
      <c r="Y74" s="42">
        <f>'[2]поточний ремонт'!Y74+'[1]поточний ремонт'!Y74</f>
        <v>22276.51854785781</v>
      </c>
      <c r="Z74" s="42">
        <f>'[2]поточний ремонт'!Z74+'[1]поточний ремонт'!Z74</f>
        <v>0</v>
      </c>
      <c r="AA74" s="42">
        <f>'[2]поточний ремонт'!AA74+'[1]поточний ремонт'!AA74</f>
        <v>0</v>
      </c>
      <c r="AB74" s="42">
        <f>'[2]поточний ремонт'!AB74+'[1]поточний ремонт'!AB74</f>
        <v>11769.270781471272</v>
      </c>
      <c r="AC74" s="42">
        <f>'[2]поточний ремонт'!AC74+'[1]поточний ремонт'!AC74</f>
        <v>0</v>
      </c>
      <c r="AD74" s="42">
        <f>'[2]поточний ремонт'!AD74+'[1]поточний ремонт'!AD74</f>
        <v>3523.9201905523601</v>
      </c>
      <c r="AE74" s="42">
        <f>'[2]поточний ремонт'!AE74+'[1]поточний ремонт'!AE74</f>
        <v>2791.6309716536498</v>
      </c>
      <c r="AF74" s="42">
        <f>'[2]поточний ремонт'!AF74+'[1]поточний ремонт'!AF74</f>
        <v>1606.1249901208598</v>
      </c>
      <c r="AG74" s="5"/>
      <c r="AH74" s="42">
        <f>'[2]поточний ремонт'!AH74+'[1]поточний ремонт'!AH74</f>
        <v>3150.3491102086309</v>
      </c>
      <c r="AI74" s="42">
        <f>'[2]поточний ремонт'!AI74+'[1]поточний ремонт'!AI74</f>
        <v>0</v>
      </c>
      <c r="AJ74" s="5"/>
      <c r="AK74" s="42">
        <f>'[2]поточний ремонт'!AK74+'[1]поточний ремонт'!AK74</f>
        <v>5486.0040123631406</v>
      </c>
      <c r="AL74" s="42">
        <f>'[2]поточний ремонт'!AL74+'[1]поточний ремонт'!AL74</f>
        <v>790.158006</v>
      </c>
      <c r="AM74" s="5"/>
      <c r="AN74" s="42">
        <f>'[2]поточний ремонт'!AN74+'[1]поточний ремонт'!AN74</f>
        <v>1497.8929979699255</v>
      </c>
      <c r="AO74" s="42">
        <f>'[2]поточний ремонт'!AO74+'[1]поточний ремонт'!AO74</f>
        <v>1148</v>
      </c>
      <c r="AP74" s="5"/>
      <c r="AQ74" s="42">
        <f>'[2]поточний ремонт'!AQ74+'[1]поточний ремонт'!AQ74</f>
        <v>626.47020241228165</v>
      </c>
      <c r="AR74" s="42">
        <f>'[2]поточний ремонт'!AR74+'[1]поточний ремонт'!AR74</f>
        <v>0</v>
      </c>
      <c r="AS74" s="5"/>
      <c r="AT74" s="42">
        <f>'[2]поточний ремонт'!AT74+'[1]поточний ремонт'!AT74</f>
        <v>2420.5090058344013</v>
      </c>
      <c r="AU74" s="42">
        <f>'[2]поточний ремонт'!AU74+'[1]поточний ремонт'!AU74</f>
        <v>7579.4949772765867</v>
      </c>
      <c r="AV74" s="5"/>
      <c r="AW74" s="42">
        <f>'[2]поточний ремонт'!AW74+'[1]поточний ремонт'!AW74</f>
        <v>131.75764828667408</v>
      </c>
      <c r="AX74" s="42">
        <f>'[2]поточний ремонт'!AX74+'[1]поточний ремонт'!AX74</f>
        <v>18412.818962083449</v>
      </c>
      <c r="AY74" s="5"/>
      <c r="AZ74" s="42">
        <f t="shared" si="2"/>
        <v>16104.613948728704</v>
      </c>
      <c r="BA74" s="42">
        <f t="shared" si="3"/>
        <v>29536.596935480895</v>
      </c>
      <c r="BB74" s="58">
        <f t="shared" si="4"/>
        <v>13431.982986752191</v>
      </c>
      <c r="BD74" s="2">
        <v>3</v>
      </c>
      <c r="BF74" s="29">
        <v>731.72808078606261</v>
      </c>
      <c r="BG74" s="318">
        <v>150000984</v>
      </c>
      <c r="BI74" s="104">
        <v>0</v>
      </c>
      <c r="BJ74" s="104">
        <f t="shared" si="5"/>
        <v>0</v>
      </c>
      <c r="BK74" s="104">
        <v>0</v>
      </c>
      <c r="BL74" s="36"/>
      <c r="BM74" s="3"/>
      <c r="BN74" s="3">
        <v>0</v>
      </c>
      <c r="BP74" s="3"/>
      <c r="BQ74" s="3"/>
      <c r="BS74" s="42"/>
      <c r="BT74" s="42">
        <v>0</v>
      </c>
      <c r="BU74" s="958"/>
      <c r="BV74" s="41"/>
      <c r="BW74" s="42"/>
      <c r="BX74" s="36"/>
      <c r="BY74" s="76"/>
      <c r="BZ74" s="42">
        <v>0</v>
      </c>
      <c r="CA74" s="966"/>
      <c r="CB74" s="41">
        <v>0</v>
      </c>
      <c r="CC74" s="41">
        <v>0</v>
      </c>
      <c r="CD74" s="968"/>
      <c r="CE74" s="76">
        <v>0</v>
      </c>
      <c r="CF74" s="55"/>
      <c r="CG74" s="41">
        <v>0</v>
      </c>
      <c r="CH74" s="38">
        <v>0</v>
      </c>
      <c r="CI74" s="76">
        <v>0</v>
      </c>
      <c r="CJ74" s="55"/>
      <c r="CK74" s="955"/>
      <c r="CL74" s="950"/>
      <c r="CM74" s="955"/>
      <c r="CN74" s="950">
        <v>0</v>
      </c>
      <c r="CO74" s="76">
        <v>177.66898556682935</v>
      </c>
      <c r="CP74" s="42">
        <v>0</v>
      </c>
      <c r="CQ74" s="5"/>
      <c r="CR74" s="76">
        <v>234.79140086135266</v>
      </c>
      <c r="CS74" s="954">
        <v>0</v>
      </c>
      <c r="CT74" s="5"/>
      <c r="CU74" s="76">
        <v>459.86366742251522</v>
      </c>
      <c r="CV74" s="42">
        <v>0</v>
      </c>
      <c r="CW74" s="5"/>
      <c r="CX74" s="76">
        <v>135.12905485607575</v>
      </c>
      <c r="CY74" s="42">
        <v>0</v>
      </c>
      <c r="CZ74" s="5"/>
      <c r="DA74" s="76">
        <v>49.470906063874629</v>
      </c>
      <c r="DB74" s="42">
        <v>0</v>
      </c>
      <c r="DC74" s="5"/>
      <c r="DD74" s="76">
        <v>137.53503432501498</v>
      </c>
      <c r="DE74" s="42">
        <v>0</v>
      </c>
      <c r="DF74" s="5"/>
      <c r="DG74" s="76">
        <v>0</v>
      </c>
      <c r="DH74" s="42"/>
      <c r="DI74" s="5"/>
      <c r="DJ74" s="42">
        <v>1194.4590490956627</v>
      </c>
      <c r="DK74" s="42">
        <f t="shared" si="6"/>
        <v>0</v>
      </c>
      <c r="DL74" s="58">
        <f t="shared" si="7"/>
        <v>-1194.4590490956627</v>
      </c>
      <c r="DM74" s="2">
        <v>3</v>
      </c>
    </row>
    <row r="75" spans="1:117" ht="24.9" customHeight="1" x14ac:dyDescent="0.3">
      <c r="A75" s="318">
        <v>150000986</v>
      </c>
      <c r="B75" s="44" t="s">
        <v>346</v>
      </c>
      <c r="C75" s="956">
        <v>9</v>
      </c>
      <c r="D75" s="957" t="s">
        <v>454</v>
      </c>
      <c r="E75" s="949">
        <f>'побудинковий звіт'!E42</f>
        <v>3565.8</v>
      </c>
      <c r="F75" s="950">
        <f>'побудинковий звіт'!AS42</f>
        <v>54239.416701913811</v>
      </c>
      <c r="G75" s="950">
        <f t="shared" ref="G75:G138" si="8">J75+M75+P75+S75+U75+X75+Y75+AA75+AB75+AC75+AD75</f>
        <v>96540.079919554453</v>
      </c>
      <c r="H75" s="950">
        <f t="shared" ref="H75:H138" si="9">G75-F75</f>
        <v>42300.663217640642</v>
      </c>
      <c r="I75" s="42">
        <f>'[2]поточний ремонт'!I75+'[1]поточний ремонт'!I75</f>
        <v>17.399999999999999</v>
      </c>
      <c r="J75" s="42">
        <f>'[2]поточний ремонт'!J75+'[1]поточний ремонт'!J75</f>
        <v>4647.0896634747551</v>
      </c>
      <c r="K75" s="964"/>
      <c r="L75" s="42">
        <f>'[2]поточний ремонт'!L75+'[1]поточний ремонт'!L75</f>
        <v>0</v>
      </c>
      <c r="M75" s="42">
        <f>'[2]поточний ремонт'!M75+'[1]поточний ремонт'!M75</f>
        <v>0</v>
      </c>
      <c r="N75" s="36"/>
      <c r="O75" s="42">
        <f>'[2]поточний ремонт'!O75+'[1]поточний ремонт'!O75</f>
        <v>30</v>
      </c>
      <c r="P75" s="42">
        <f>'[2]поточний ремонт'!P75+'[1]поточний ремонт'!P75</f>
        <v>10965.2446272</v>
      </c>
      <c r="Q75" s="966"/>
      <c r="R75" s="42">
        <f>'[2]поточний ремонт'!R75+'[1]поточний ремонт'!R75</f>
        <v>5</v>
      </c>
      <c r="S75" s="42">
        <f>'[2]поточний ремонт'!S75+'[1]поточний ремонт'!S75</f>
        <v>73956.508830724968</v>
      </c>
      <c r="T75" s="960"/>
      <c r="U75" s="42">
        <f>'[2]поточний ремонт'!U75+'[1]поточний ремонт'!U75</f>
        <v>0</v>
      </c>
      <c r="V75" s="42">
        <f>'[2]поточний ремонт'!V75+'[1]поточний ремонт'!V75</f>
        <v>0</v>
      </c>
      <c r="W75" s="42">
        <f>'[2]поточний ремонт'!W75+'[1]поточний ремонт'!W75</f>
        <v>0</v>
      </c>
      <c r="X75" s="42">
        <f>'[2]поточний ремонт'!X75+'[1]поточний ремонт'!X75</f>
        <v>592.42832589577085</v>
      </c>
      <c r="Y75" s="42">
        <f>'[2]поточний ремонт'!Y75+'[1]поточний ремонт'!Y75</f>
        <v>3239</v>
      </c>
      <c r="Z75" s="42">
        <f>'[2]поточний ремонт'!Z75+'[1]поточний ремонт'!Z75</f>
        <v>0</v>
      </c>
      <c r="AA75" s="42">
        <f>'[2]поточний ремонт'!AA75+'[1]поточний ремонт'!AA75</f>
        <v>0</v>
      </c>
      <c r="AB75" s="42">
        <f>'[2]поточний ремонт'!AB75+'[1]поточний ремонт'!AB75</f>
        <v>0</v>
      </c>
      <c r="AC75" s="42">
        <f>'[2]поточний ремонт'!AC75+'[1]поточний ремонт'!AC75</f>
        <v>257.34941308423663</v>
      </c>
      <c r="AD75" s="42">
        <f>'[2]поточний ремонт'!AD75+'[1]поточний ремонт'!AD75</f>
        <v>2882.4590591747242</v>
      </c>
      <c r="AE75" s="42">
        <f>'[2]поточний ремонт'!AE75+'[1]поточний ремонт'!AE75</f>
        <v>1824.2996265627455</v>
      </c>
      <c r="AF75" s="42">
        <f>'[2]поточний ремонт'!AF75+'[1]поточний ремонт'!AF75</f>
        <v>1129.1021187651984</v>
      </c>
      <c r="AG75" s="5"/>
      <c r="AH75" s="42">
        <f>'[2]поточний ремонт'!AH75+'[1]поточний ремонт'!AH75</f>
        <v>2102.4548615407862</v>
      </c>
      <c r="AI75" s="42">
        <f>'[2]поточний ремонт'!AI75+'[1]поточний ремонт'!AI75</f>
        <v>2343.503577452595</v>
      </c>
      <c r="AJ75" s="5"/>
      <c r="AK75" s="42">
        <f>'[2]поточний ремонт'!AK75+'[1]поточний ремонт'!AK75</f>
        <v>3516.139250574045</v>
      </c>
      <c r="AL75" s="42">
        <f>'[2]поточний ремонт'!AL75+'[1]поточний ремонт'!AL75</f>
        <v>1054.5142952903445</v>
      </c>
      <c r="AM75" s="5"/>
      <c r="AN75" s="42">
        <f>'[2]поточний ремонт'!AN75+'[1]поточний ремонт'!AN75</f>
        <v>1041.8580415156739</v>
      </c>
      <c r="AO75" s="42">
        <f>'[2]поточний ремонт'!AO75+'[1]поточний ремонт'!AO75</f>
        <v>1276.3538271621001</v>
      </c>
      <c r="AP75" s="5"/>
      <c r="AQ75" s="42">
        <f>'[2]поточний ремонт'!AQ75+'[1]поточний ремонт'!AQ75</f>
        <v>417.64693912078178</v>
      </c>
      <c r="AR75" s="42">
        <f>'[2]поточний ремонт'!AR75+'[1]поточний ремонт'!AR75</f>
        <v>0</v>
      </c>
      <c r="AS75" s="5"/>
      <c r="AT75" s="42">
        <f>'[2]поточний ремонт'!AT75+'[1]поточний ремонт'!AT75</f>
        <v>1705.9984995695763</v>
      </c>
      <c r="AU75" s="42">
        <f>'[2]поточний ремонт'!AU75+'[1]поточний ремонт'!AU75</f>
        <v>2516.4344032549598</v>
      </c>
      <c r="AV75" s="5"/>
      <c r="AW75" s="42">
        <f>'[2]поточний ремонт'!AW75+'[1]поточний ремонт'!AW75</f>
        <v>81.564258463179186</v>
      </c>
      <c r="AX75" s="42">
        <f>'[2]поточний ремонт'!AX75+'[1]поточний ремонт'!AX75</f>
        <v>0</v>
      </c>
      <c r="AY75" s="5"/>
      <c r="AZ75" s="42">
        <f t="shared" ref="AZ75:AZ138" si="10">AE75+AH75+AK75+AN75+AQ75+AT75+AW75</f>
        <v>10689.961477346787</v>
      </c>
      <c r="BA75" s="42">
        <f t="shared" ref="BA75:BA138" si="11">AF75+AI75+AL75+AO75+AR75+AU75+AX75</f>
        <v>8319.9082219251977</v>
      </c>
      <c r="BB75" s="58">
        <f t="shared" ref="BB75:BB138" si="12">BA75-AZ75</f>
        <v>-2370.0532554215897</v>
      </c>
      <c r="BD75" s="2">
        <v>3</v>
      </c>
      <c r="BF75" s="29">
        <v>492.21962106992186</v>
      </c>
      <c r="BG75" s="318">
        <v>150000986</v>
      </c>
      <c r="BI75" s="104">
        <v>13.84</v>
      </c>
      <c r="BJ75" s="104">
        <f t="shared" ref="BJ75:BJ138" si="13">BI75*$BJ$10</f>
        <v>1.9467648479999997</v>
      </c>
      <c r="BK75" s="104">
        <v>15.961475416639999</v>
      </c>
      <c r="BL75" s="38"/>
      <c r="BM75" s="3"/>
      <c r="BN75" s="3">
        <v>0</v>
      </c>
      <c r="BP75" s="3"/>
      <c r="BQ75" s="3"/>
      <c r="BS75" s="42"/>
      <c r="BT75" s="42">
        <v>0</v>
      </c>
      <c r="BU75" s="964"/>
      <c r="BV75" s="41"/>
      <c r="BW75" s="42"/>
      <c r="BX75" s="36"/>
      <c r="BY75" s="76">
        <v>30</v>
      </c>
      <c r="BZ75" s="42">
        <v>10950.3566976</v>
      </c>
      <c r="CA75" s="966"/>
      <c r="CB75" s="41">
        <v>2</v>
      </c>
      <c r="CC75" s="41">
        <v>0</v>
      </c>
      <c r="CD75" s="960"/>
      <c r="CE75" s="76">
        <v>0</v>
      </c>
      <c r="CF75" s="55"/>
      <c r="CG75" s="41">
        <v>0</v>
      </c>
      <c r="CH75" s="38">
        <v>15.961475416639999</v>
      </c>
      <c r="CI75" s="76">
        <v>0</v>
      </c>
      <c r="CJ75" s="55"/>
      <c r="CK75" s="955"/>
      <c r="CL75" s="950"/>
      <c r="CM75" s="955">
        <v>257</v>
      </c>
      <c r="CN75" s="950">
        <v>0</v>
      </c>
      <c r="CO75" s="76">
        <v>118.81636543642115</v>
      </c>
      <c r="CP75" s="42">
        <v>0</v>
      </c>
      <c r="CQ75" s="5"/>
      <c r="CR75" s="76">
        <v>156.74761259420535</v>
      </c>
      <c r="CS75" s="954">
        <v>0</v>
      </c>
      <c r="CT75" s="5"/>
      <c r="CU75" s="76">
        <v>304.41632375605059</v>
      </c>
      <c r="CV75" s="42">
        <v>0</v>
      </c>
      <c r="CW75" s="5"/>
      <c r="CX75" s="76">
        <v>92.946232799750248</v>
      </c>
      <c r="CY75" s="42">
        <v>0</v>
      </c>
      <c r="CZ75" s="5"/>
      <c r="DA75" s="76">
        <v>32.980617657691397</v>
      </c>
      <c r="DB75" s="42">
        <v>0</v>
      </c>
      <c r="DC75" s="5"/>
      <c r="DD75" s="76">
        <v>112.05081838234747</v>
      </c>
      <c r="DE75" s="42">
        <v>0</v>
      </c>
      <c r="DF75" s="5"/>
      <c r="DG75" s="76">
        <v>0</v>
      </c>
      <c r="DH75" s="42"/>
      <c r="DI75" s="5"/>
      <c r="DJ75" s="42">
        <v>817.95797062646625</v>
      </c>
      <c r="DK75" s="42">
        <f t="shared" ref="DK75:DK138" si="14">CP75+CS75+CV75+CY75+DB75+DE75+DH75</f>
        <v>0</v>
      </c>
      <c r="DL75" s="58">
        <f t="shared" ref="DL75:DL138" si="15">DK75-DJ75</f>
        <v>-817.95797062646625</v>
      </c>
      <c r="DM75" s="2">
        <v>3</v>
      </c>
    </row>
    <row r="76" spans="1:117" ht="24.9" customHeight="1" x14ac:dyDescent="0.3">
      <c r="A76" s="318">
        <v>150000996</v>
      </c>
      <c r="B76" s="44" t="s">
        <v>245</v>
      </c>
      <c r="C76" s="956">
        <v>5</v>
      </c>
      <c r="D76" s="957" t="s">
        <v>454</v>
      </c>
      <c r="E76" s="949">
        <f>'побудинковий звіт'!E43</f>
        <v>3571.86</v>
      </c>
      <c r="F76" s="950">
        <f>'побудинковий звіт'!AS43</f>
        <v>61824.791426984186</v>
      </c>
      <c r="G76" s="950">
        <f t="shared" si="8"/>
        <v>14058.999417682222</v>
      </c>
      <c r="H76" s="950">
        <f t="shared" si="9"/>
        <v>-47765.792009301964</v>
      </c>
      <c r="I76" s="42">
        <f>'[2]поточний ремонт'!I76+'[1]поточний ремонт'!I76</f>
        <v>0</v>
      </c>
      <c r="J76" s="42">
        <f>'[2]поточний ремонт'!J76+'[1]поточний ремонт'!J76</f>
        <v>0</v>
      </c>
      <c r="K76" s="969"/>
      <c r="L76" s="42">
        <f>'[2]поточний ремонт'!L76+'[1]поточний ремонт'!L76</f>
        <v>0</v>
      </c>
      <c r="M76" s="42">
        <f>'[2]поточний ремонт'!M76+'[1]поточний ремонт'!M76</f>
        <v>0</v>
      </c>
      <c r="N76" s="36"/>
      <c r="O76" s="42">
        <f>'[2]поточний ремонт'!O76+'[1]поточний ремонт'!O76</f>
        <v>0</v>
      </c>
      <c r="P76" s="42">
        <f>'[2]поточний ремонт'!P76+'[1]поточний ремонт'!P76</f>
        <v>0</v>
      </c>
      <c r="Q76" s="959"/>
      <c r="R76" s="42">
        <f>'[2]поточний ремонт'!R76+'[1]поточний ремонт'!R76</f>
        <v>0</v>
      </c>
      <c r="S76" s="42">
        <f>'[2]поточний ремонт'!S76+'[1]поточний ремонт'!S76</f>
        <v>0</v>
      </c>
      <c r="T76" s="960"/>
      <c r="U76" s="42">
        <f>'[2]поточний ремонт'!U76+'[1]поточний ремонт'!U76</f>
        <v>0</v>
      </c>
      <c r="V76" s="42">
        <f>'[2]поточний ремонт'!V76+'[1]поточний ремонт'!V76</f>
        <v>0</v>
      </c>
      <c r="W76" s="42">
        <f>'[2]поточний ремонт'!W76+'[1]поточний ремонт'!W76</f>
        <v>6</v>
      </c>
      <c r="X76" s="42">
        <f>'[2]поточний ремонт'!X76+'[1]поточний ремонт'!X76</f>
        <v>472.50065312689196</v>
      </c>
      <c r="Y76" s="42">
        <f>'[2]поточний ремонт'!Y76+'[1]поточний ремонт'!Y76</f>
        <v>12235.596652839951</v>
      </c>
      <c r="Z76" s="42">
        <f>'[2]поточний ремонт'!Z76+'[1]поточний ремонт'!Z76</f>
        <v>0</v>
      </c>
      <c r="AA76" s="42">
        <f>'[2]поточний ремонт'!AA76+'[1]поточний ремонт'!AA76</f>
        <v>0</v>
      </c>
      <c r="AB76" s="42">
        <f>'[2]поточний ремонт'!AB76+'[1]поточний ремонт'!AB76</f>
        <v>141.95896387798635</v>
      </c>
      <c r="AC76" s="42">
        <f>'[2]поточний ремонт'!AC76+'[1]поточний ремонт'!AC76</f>
        <v>308.86052674384905</v>
      </c>
      <c r="AD76" s="42">
        <f>'[2]поточний ремонт'!AD76+'[1]поточний ремонт'!AD76</f>
        <v>900.0826210935428</v>
      </c>
      <c r="AE76" s="42">
        <f>'[2]поточний ремонт'!AE76+'[1]поточний ремонт'!AE76</f>
        <v>1909.6320795328274</v>
      </c>
      <c r="AF76" s="42">
        <f>'[2]поточний ремонт'!AF76+'[1]поточний ремонт'!AF76</f>
        <v>0</v>
      </c>
      <c r="AG76" s="5"/>
      <c r="AH76" s="42">
        <f>'[2]поточний ремонт'!AH76+'[1]поточний ремонт'!AH76</f>
        <v>2560.4037623702466</v>
      </c>
      <c r="AI76" s="42">
        <f>'[2]поточний ремонт'!AI76+'[1]поточний ремонт'!AI76</f>
        <v>0</v>
      </c>
      <c r="AJ76" s="5"/>
      <c r="AK76" s="42">
        <f>'[2]поточний ремонт'!AK76+'[1]поточний ремонт'!AK76</f>
        <v>2410.0351224553301</v>
      </c>
      <c r="AL76" s="42">
        <f>'[2]поточний ремонт'!AL76+'[1]поточний ремонт'!AL76</f>
        <v>0</v>
      </c>
      <c r="AM76" s="5"/>
      <c r="AN76" s="42">
        <f>'[2]поточний ремонт'!AN76+'[1]поточний ремонт'!AN76</f>
        <v>0</v>
      </c>
      <c r="AO76" s="42">
        <f>'[2]поточний ремонт'!AO76+'[1]поточний ремонт'!AO76</f>
        <v>0</v>
      </c>
      <c r="AP76" s="5"/>
      <c r="AQ76" s="42">
        <f>'[2]поточний ремонт'!AQ76+'[1]поточний ремонт'!AQ76</f>
        <v>49.622889587144876</v>
      </c>
      <c r="AR76" s="42">
        <f>'[2]поточний ремонт'!AR76+'[1]поточний ремонт'!AR76</f>
        <v>0</v>
      </c>
      <c r="AS76" s="5"/>
      <c r="AT76" s="42">
        <f>'[2]поточний ремонт'!AT76+'[1]поточний ремонт'!AT76</f>
        <v>1337.3387578490754</v>
      </c>
      <c r="AU76" s="42">
        <f>'[2]поточний ремонт'!AU76+'[1]поточний ремонт'!AU76</f>
        <v>0</v>
      </c>
      <c r="AV76" s="5"/>
      <c r="AW76" s="42">
        <f>'[2]поточний ремонт'!AW76+'[1]поточний ремонт'!AW76</f>
        <v>87.681577847917652</v>
      </c>
      <c r="AX76" s="42">
        <f>'[2]поточний ремонт'!AX76+'[1]поточний ремонт'!AX76</f>
        <v>0</v>
      </c>
      <c r="AY76" s="5"/>
      <c r="AZ76" s="42">
        <f t="shared" si="10"/>
        <v>8354.7141896425419</v>
      </c>
      <c r="BA76" s="42">
        <f t="shared" si="11"/>
        <v>0</v>
      </c>
      <c r="BB76" s="58">
        <f t="shared" si="12"/>
        <v>-8354.7141896425419</v>
      </c>
      <c r="BD76" s="2">
        <v>2</v>
      </c>
      <c r="BF76" s="29">
        <v>132.41206972932221</v>
      </c>
      <c r="BG76" s="318">
        <v>150000996</v>
      </c>
      <c r="BI76" s="104">
        <v>0</v>
      </c>
      <c r="BJ76" s="104">
        <f t="shared" si="13"/>
        <v>0</v>
      </c>
      <c r="BK76" s="104">
        <v>0</v>
      </c>
      <c r="BL76" s="38"/>
      <c r="BM76" s="3"/>
      <c r="BN76" s="3">
        <v>0</v>
      </c>
      <c r="BP76" s="3"/>
      <c r="BQ76" s="3"/>
      <c r="BS76" s="42"/>
      <c r="BT76" s="42">
        <v>0</v>
      </c>
      <c r="BU76" s="969"/>
      <c r="BV76" s="41"/>
      <c r="BW76" s="42"/>
      <c r="BX76" s="36"/>
      <c r="BY76" s="76"/>
      <c r="BZ76" s="42">
        <v>0</v>
      </c>
      <c r="CA76" s="959"/>
      <c r="CB76" s="41">
        <v>0</v>
      </c>
      <c r="CC76" s="41">
        <v>0</v>
      </c>
      <c r="CD76" s="960"/>
      <c r="CE76" s="76">
        <v>0</v>
      </c>
      <c r="CF76" s="55"/>
      <c r="CG76" s="41">
        <v>0</v>
      </c>
      <c r="CH76" s="38">
        <v>0</v>
      </c>
      <c r="CI76" s="76">
        <v>0</v>
      </c>
      <c r="CJ76" s="55"/>
      <c r="CK76" s="955"/>
      <c r="CL76" s="950"/>
      <c r="CM76" s="955"/>
      <c r="CN76" s="950">
        <v>898.86054469191072</v>
      </c>
      <c r="CO76" s="76">
        <v>156.04462248894714</v>
      </c>
      <c r="CP76" s="42">
        <v>0</v>
      </c>
      <c r="CQ76" s="5"/>
      <c r="CR76" s="76">
        <v>219.44353856902279</v>
      </c>
      <c r="CS76" s="954">
        <v>0</v>
      </c>
      <c r="CT76" s="5"/>
      <c r="CU76" s="76">
        <v>209.18937447049265</v>
      </c>
      <c r="CV76" s="42">
        <v>0</v>
      </c>
      <c r="CW76" s="5"/>
      <c r="CX76" s="76">
        <v>0</v>
      </c>
      <c r="CY76" s="42">
        <v>0</v>
      </c>
      <c r="CZ76" s="5"/>
      <c r="DA76" s="76">
        <v>0</v>
      </c>
      <c r="DB76" s="42">
        <v>0</v>
      </c>
      <c r="DC76" s="5"/>
      <c r="DD76" s="76">
        <v>83.128678399414</v>
      </c>
      <c r="DE76" s="42">
        <v>0</v>
      </c>
      <c r="DF76" s="5"/>
      <c r="DG76" s="76">
        <v>0</v>
      </c>
      <c r="DH76" s="42"/>
      <c r="DI76" s="5"/>
      <c r="DJ76" s="42">
        <v>667.80621392787657</v>
      </c>
      <c r="DK76" s="42">
        <f t="shared" si="14"/>
        <v>0</v>
      </c>
      <c r="DL76" s="58">
        <f t="shared" si="15"/>
        <v>-667.80621392787657</v>
      </c>
      <c r="DM76" s="2">
        <v>2</v>
      </c>
    </row>
    <row r="77" spans="1:117" ht="24.9" customHeight="1" x14ac:dyDescent="0.3">
      <c r="A77" s="318">
        <v>150000987</v>
      </c>
      <c r="B77" s="44" t="s">
        <v>50</v>
      </c>
      <c r="C77" s="956">
        <v>1</v>
      </c>
      <c r="D77" s="957" t="s">
        <v>454</v>
      </c>
      <c r="E77" s="949">
        <f>'побудинковий звіт'!E44</f>
        <v>3820.4</v>
      </c>
      <c r="F77" s="950">
        <f>'побудинковий звіт'!AS44</f>
        <v>62141.277994961485</v>
      </c>
      <c r="G77" s="950">
        <f t="shared" si="8"/>
        <v>0</v>
      </c>
      <c r="H77" s="950">
        <f t="shared" si="9"/>
        <v>-62141.277994961485</v>
      </c>
      <c r="I77" s="42">
        <f>'[2]поточний ремонт'!I77+'[1]поточний ремонт'!I77</f>
        <v>0</v>
      </c>
      <c r="J77" s="42">
        <f>'[2]поточний ремонт'!J77+'[1]поточний ремонт'!J77</f>
        <v>0</v>
      </c>
      <c r="K77" s="958"/>
      <c r="L77" s="42">
        <f>'[2]поточний ремонт'!L77+'[1]поточний ремонт'!L77</f>
        <v>0</v>
      </c>
      <c r="M77" s="42">
        <f>'[2]поточний ремонт'!M77+'[1]поточний ремонт'!M77</f>
        <v>0</v>
      </c>
      <c r="N77" s="36"/>
      <c r="O77" s="42">
        <f>'[2]поточний ремонт'!O77+'[1]поточний ремонт'!O77</f>
        <v>0</v>
      </c>
      <c r="P77" s="42">
        <f>'[2]поточний ремонт'!P77+'[1]поточний ремонт'!P77</f>
        <v>0</v>
      </c>
      <c r="Q77" s="959"/>
      <c r="R77" s="42">
        <f>'[2]поточний ремонт'!R77+'[1]поточний ремонт'!R77</f>
        <v>0</v>
      </c>
      <c r="S77" s="42">
        <f>'[2]поточний ремонт'!S77+'[1]поточний ремонт'!S77</f>
        <v>0</v>
      </c>
      <c r="T77" s="960"/>
      <c r="U77" s="42">
        <f>'[2]поточний ремонт'!U77+'[1]поточний ремонт'!U77</f>
        <v>0</v>
      </c>
      <c r="V77" s="42">
        <f>'[2]поточний ремонт'!V77+'[1]поточний ремонт'!V77</f>
        <v>0</v>
      </c>
      <c r="W77" s="42">
        <f>'[2]поточний ремонт'!W77+'[1]поточний ремонт'!W77</f>
        <v>0</v>
      </c>
      <c r="X77" s="42">
        <f>'[2]поточний ремонт'!X77+'[1]поточний ремонт'!X77</f>
        <v>0</v>
      </c>
      <c r="Y77" s="42">
        <f>'[2]поточний ремонт'!Y77+'[1]поточний ремонт'!Y77</f>
        <v>0</v>
      </c>
      <c r="Z77" s="42">
        <f>'[2]поточний ремонт'!Z77+'[1]поточний ремонт'!Z77</f>
        <v>0</v>
      </c>
      <c r="AA77" s="42">
        <f>'[2]поточний ремонт'!AA77+'[1]поточний ремонт'!AA77</f>
        <v>0</v>
      </c>
      <c r="AB77" s="42">
        <f>'[2]поточний ремонт'!AB77+'[1]поточний ремонт'!AB77</f>
        <v>0</v>
      </c>
      <c r="AC77" s="42">
        <f>'[2]поточний ремонт'!AC77+'[1]поточний ремонт'!AC77</f>
        <v>0</v>
      </c>
      <c r="AD77" s="42">
        <f>'[2]поточний ремонт'!AD77+'[1]поточний ремонт'!AD77</f>
        <v>0</v>
      </c>
      <c r="AE77" s="42">
        <f>'[2]поточний ремонт'!AE77+'[1]поточний ремонт'!AE77</f>
        <v>0</v>
      </c>
      <c r="AF77" s="42">
        <f>'[2]поточний ремонт'!AF77+'[1]поточний ремонт'!AF77</f>
        <v>0</v>
      </c>
      <c r="AG77" s="5"/>
      <c r="AH77" s="42">
        <f>'[2]поточний ремонт'!AH77+'[1]поточний ремонт'!AH77</f>
        <v>0</v>
      </c>
      <c r="AI77" s="42">
        <f>'[2]поточний ремонт'!AI77+'[1]поточний ремонт'!AI77</f>
        <v>0</v>
      </c>
      <c r="AJ77" s="5"/>
      <c r="AK77" s="42">
        <f>'[2]поточний ремонт'!AK77+'[1]поточний ремонт'!AK77</f>
        <v>0</v>
      </c>
      <c r="AL77" s="42">
        <f>'[2]поточний ремонт'!AL77+'[1]поточний ремонт'!AL77</f>
        <v>0</v>
      </c>
      <c r="AM77" s="5"/>
      <c r="AN77" s="42">
        <f>'[2]поточний ремонт'!AN77+'[1]поточний ремонт'!AN77</f>
        <v>0</v>
      </c>
      <c r="AO77" s="42">
        <f>'[2]поточний ремонт'!AO77+'[1]поточний ремонт'!AO77</f>
        <v>0</v>
      </c>
      <c r="AP77" s="5"/>
      <c r="AQ77" s="42">
        <f>'[2]поточний ремонт'!AQ77+'[1]поточний ремонт'!AQ77</f>
        <v>0</v>
      </c>
      <c r="AR77" s="42">
        <f>'[2]поточний ремонт'!AR77+'[1]поточний ремонт'!AR77</f>
        <v>0</v>
      </c>
      <c r="AS77" s="5"/>
      <c r="AT77" s="42">
        <f>'[2]поточний ремонт'!AT77+'[1]поточний ремонт'!AT77</f>
        <v>0</v>
      </c>
      <c r="AU77" s="42">
        <f>'[2]поточний ремонт'!AU77+'[1]поточний ремонт'!AU77</f>
        <v>0</v>
      </c>
      <c r="AV77" s="5"/>
      <c r="AW77" s="42">
        <f>'[2]поточний ремонт'!AW77+'[1]поточний ремонт'!AW77</f>
        <v>0</v>
      </c>
      <c r="AX77" s="42">
        <f>'[2]поточний ремонт'!AX77+'[1]поточний ремонт'!AX77</f>
        <v>0</v>
      </c>
      <c r="AY77" s="5"/>
      <c r="AZ77" s="42">
        <f t="shared" si="10"/>
        <v>0</v>
      </c>
      <c r="BA77" s="42">
        <f t="shared" si="11"/>
        <v>0</v>
      </c>
      <c r="BB77" s="58">
        <f t="shared" si="12"/>
        <v>0</v>
      </c>
      <c r="BD77" s="2">
        <v>3</v>
      </c>
      <c r="BF77" s="29">
        <v>0</v>
      </c>
      <c r="BG77" s="318">
        <v>150000987</v>
      </c>
      <c r="BI77" s="104">
        <v>0</v>
      </c>
      <c r="BJ77" s="104">
        <f t="shared" si="13"/>
        <v>0</v>
      </c>
      <c r="BK77" s="104">
        <v>0</v>
      </c>
      <c r="BL77" s="38"/>
      <c r="BM77" s="3"/>
      <c r="BN77" s="3">
        <v>0</v>
      </c>
      <c r="BP77" s="3"/>
      <c r="BQ77" s="3"/>
      <c r="BS77" s="42"/>
      <c r="BT77" s="42">
        <v>0</v>
      </c>
      <c r="BU77" s="958"/>
      <c r="BV77" s="41"/>
      <c r="BW77" s="42"/>
      <c r="BX77" s="36"/>
      <c r="BY77" s="76"/>
      <c r="BZ77" s="42">
        <v>0</v>
      </c>
      <c r="CA77" s="959"/>
      <c r="CB77" s="41">
        <v>0</v>
      </c>
      <c r="CC77" s="41">
        <v>0</v>
      </c>
      <c r="CD77" s="960"/>
      <c r="CE77" s="76">
        <v>0</v>
      </c>
      <c r="CF77" s="55"/>
      <c r="CG77" s="41">
        <v>0</v>
      </c>
      <c r="CH77" s="38">
        <v>0</v>
      </c>
      <c r="CI77" s="76">
        <v>0</v>
      </c>
      <c r="CJ77" s="55"/>
      <c r="CK77" s="955"/>
      <c r="CL77" s="950"/>
      <c r="CM77" s="955"/>
      <c r="CN77" s="950">
        <v>0</v>
      </c>
      <c r="CO77" s="76">
        <v>0</v>
      </c>
      <c r="CP77" s="42">
        <v>0</v>
      </c>
      <c r="CQ77" s="5"/>
      <c r="CR77" s="76">
        <v>0</v>
      </c>
      <c r="CS77" s="954">
        <v>0</v>
      </c>
      <c r="CT77" s="5"/>
      <c r="CU77" s="76">
        <v>0</v>
      </c>
      <c r="CV77" s="42">
        <v>0</v>
      </c>
      <c r="CW77" s="5"/>
      <c r="CX77" s="76">
        <v>0</v>
      </c>
      <c r="CY77" s="42">
        <v>0</v>
      </c>
      <c r="CZ77" s="5"/>
      <c r="DA77" s="76">
        <v>0</v>
      </c>
      <c r="DB77" s="42">
        <v>0</v>
      </c>
      <c r="DC77" s="5"/>
      <c r="DD77" s="76">
        <v>0</v>
      </c>
      <c r="DE77" s="42">
        <v>0</v>
      </c>
      <c r="DF77" s="5"/>
      <c r="DG77" s="76">
        <v>0</v>
      </c>
      <c r="DH77" s="42"/>
      <c r="DI77" s="5"/>
      <c r="DJ77" s="42">
        <v>0</v>
      </c>
      <c r="DK77" s="42">
        <f t="shared" si="14"/>
        <v>0</v>
      </c>
      <c r="DL77" s="58">
        <f t="shared" si="15"/>
        <v>0</v>
      </c>
      <c r="DM77" s="2">
        <v>3</v>
      </c>
    </row>
    <row r="78" spans="1:117" ht="24.9" customHeight="1" x14ac:dyDescent="0.3">
      <c r="A78" s="318">
        <v>150000988</v>
      </c>
      <c r="B78" s="44" t="s">
        <v>51</v>
      </c>
      <c r="C78" s="956">
        <v>1</v>
      </c>
      <c r="D78" s="957" t="s">
        <v>454</v>
      </c>
      <c r="E78" s="949">
        <f>'побудинковий звіт'!E45</f>
        <v>4170.6000000000004</v>
      </c>
      <c r="F78" s="950">
        <f>'побудинковий звіт'!AS45</f>
        <v>63934.311477439995</v>
      </c>
      <c r="G78" s="950">
        <f t="shared" si="8"/>
        <v>10192.764529694025</v>
      </c>
      <c r="H78" s="950">
        <f t="shared" si="9"/>
        <v>-53741.54694774597</v>
      </c>
      <c r="I78" s="42">
        <f>'[2]поточний ремонт'!I78+'[1]поточний ремонт'!I78</f>
        <v>0</v>
      </c>
      <c r="J78" s="42">
        <f>'[2]поточний ремонт'!J78+'[1]поточний ремонт'!J78</f>
        <v>0</v>
      </c>
      <c r="K78" s="958"/>
      <c r="L78" s="42">
        <f>'[2]поточний ремонт'!L78+'[1]поточний ремонт'!L78</f>
        <v>0</v>
      </c>
      <c r="M78" s="42">
        <f>'[2]поточний ремонт'!M78+'[1]поточний ремонт'!M78</f>
        <v>0</v>
      </c>
      <c r="N78" s="36"/>
      <c r="O78" s="42">
        <f>'[2]поточний ремонт'!O78+'[1]поточний ремонт'!O78</f>
        <v>0</v>
      </c>
      <c r="P78" s="42">
        <f>'[2]поточний ремонт'!P78+'[1]поточний ремонт'!P78</f>
        <v>0</v>
      </c>
      <c r="Q78" s="959"/>
      <c r="R78" s="42">
        <f>'[2]поточний ремонт'!R78+'[1]поточний ремонт'!R78</f>
        <v>0</v>
      </c>
      <c r="S78" s="42">
        <f>'[2]поточний ремонт'!S78+'[1]поточний ремонт'!S78</f>
        <v>0</v>
      </c>
      <c r="T78" s="960"/>
      <c r="U78" s="42">
        <f>'[2]поточний ремонт'!U78+'[1]поточний ремонт'!U78</f>
        <v>0</v>
      </c>
      <c r="V78" s="42">
        <f>'[2]поточний ремонт'!V78+'[1]поточний ремонт'!V78</f>
        <v>0</v>
      </c>
      <c r="W78" s="42">
        <f>'[2]поточний ремонт'!W78+'[1]поточний ремонт'!W78</f>
        <v>0</v>
      </c>
      <c r="X78" s="42">
        <f>'[2]поточний ремонт'!X78+'[1]поточний ремонт'!X78</f>
        <v>0</v>
      </c>
      <c r="Y78" s="42">
        <f>'[2]поточний ремонт'!Y78+'[1]поточний ремонт'!Y78</f>
        <v>10192.764529694025</v>
      </c>
      <c r="Z78" s="42">
        <f>'[2]поточний ремонт'!Z78+'[1]поточний ремонт'!Z78</f>
        <v>0</v>
      </c>
      <c r="AA78" s="42">
        <f>'[2]поточний ремонт'!AA78+'[1]поточний ремонт'!AA78</f>
        <v>0</v>
      </c>
      <c r="AB78" s="42">
        <f>'[2]поточний ремонт'!AB78+'[1]поточний ремонт'!AB78</f>
        <v>0</v>
      </c>
      <c r="AC78" s="42">
        <f>'[2]поточний ремонт'!AC78+'[1]поточний ремонт'!AC78</f>
        <v>0</v>
      </c>
      <c r="AD78" s="42">
        <f>'[2]поточний ремонт'!AD78+'[1]поточний ремонт'!AD78</f>
        <v>0</v>
      </c>
      <c r="AE78" s="42">
        <f>'[2]поточний ремонт'!AE78+'[1]поточний ремонт'!AE78</f>
        <v>0</v>
      </c>
      <c r="AF78" s="42">
        <f>'[2]поточний ремонт'!AF78+'[1]поточний ремонт'!AF78</f>
        <v>0</v>
      </c>
      <c r="AG78" s="5"/>
      <c r="AH78" s="42">
        <f>'[2]поточний ремонт'!AH78+'[1]поточний ремонт'!AH78</f>
        <v>0</v>
      </c>
      <c r="AI78" s="42">
        <f>'[2]поточний ремонт'!AI78+'[1]поточний ремонт'!AI78</f>
        <v>0</v>
      </c>
      <c r="AJ78" s="5"/>
      <c r="AK78" s="42">
        <f>'[2]поточний ремонт'!AK78+'[1]поточний ремонт'!AK78</f>
        <v>0</v>
      </c>
      <c r="AL78" s="42">
        <f>'[2]поточний ремонт'!AL78+'[1]поточний ремонт'!AL78</f>
        <v>0</v>
      </c>
      <c r="AM78" s="5"/>
      <c r="AN78" s="42">
        <f>'[2]поточний ремонт'!AN78+'[1]поточний ремонт'!AN78</f>
        <v>0</v>
      </c>
      <c r="AO78" s="42">
        <f>'[2]поточний ремонт'!AO78+'[1]поточний ремонт'!AO78</f>
        <v>0</v>
      </c>
      <c r="AP78" s="5"/>
      <c r="AQ78" s="42">
        <f>'[2]поточний ремонт'!AQ78+'[1]поточний ремонт'!AQ78</f>
        <v>0</v>
      </c>
      <c r="AR78" s="42">
        <f>'[2]поточний ремонт'!AR78+'[1]поточний ремонт'!AR78</f>
        <v>0</v>
      </c>
      <c r="AS78" s="5"/>
      <c r="AT78" s="42">
        <f>'[2]поточний ремонт'!AT78+'[1]поточний ремонт'!AT78</f>
        <v>0</v>
      </c>
      <c r="AU78" s="42">
        <f>'[2]поточний ремонт'!AU78+'[1]поточний ремонт'!AU78</f>
        <v>0</v>
      </c>
      <c r="AV78" s="5"/>
      <c r="AW78" s="42">
        <f>'[2]поточний ремонт'!AW78+'[1]поточний ремонт'!AW78</f>
        <v>0</v>
      </c>
      <c r="AX78" s="42">
        <f>'[2]поточний ремонт'!AX78+'[1]поточний ремонт'!AX78</f>
        <v>0</v>
      </c>
      <c r="AY78" s="5"/>
      <c r="AZ78" s="42">
        <f t="shared" si="10"/>
        <v>0</v>
      </c>
      <c r="BA78" s="42">
        <f t="shared" si="11"/>
        <v>0</v>
      </c>
      <c r="BB78" s="58">
        <f t="shared" si="12"/>
        <v>0</v>
      </c>
      <c r="BD78" s="2">
        <v>3</v>
      </c>
      <c r="BF78" s="29">
        <v>0</v>
      </c>
      <c r="BG78" s="318">
        <v>150000988</v>
      </c>
      <c r="BI78" s="104">
        <v>0</v>
      </c>
      <c r="BJ78" s="104">
        <f t="shared" si="13"/>
        <v>0</v>
      </c>
      <c r="BK78" s="104">
        <v>0</v>
      </c>
      <c r="BL78" s="38"/>
      <c r="BM78" s="3"/>
      <c r="BN78" s="3">
        <v>0</v>
      </c>
      <c r="BP78" s="3"/>
      <c r="BQ78" s="3"/>
      <c r="BS78" s="42"/>
      <c r="BT78" s="42">
        <v>0</v>
      </c>
      <c r="BU78" s="958"/>
      <c r="BV78" s="41"/>
      <c r="BW78" s="42"/>
      <c r="BX78" s="36"/>
      <c r="BY78" s="76"/>
      <c r="BZ78" s="42">
        <v>0</v>
      </c>
      <c r="CA78" s="959"/>
      <c r="CB78" s="41">
        <v>0</v>
      </c>
      <c r="CC78" s="41">
        <v>0</v>
      </c>
      <c r="CD78" s="960"/>
      <c r="CE78" s="76">
        <v>0</v>
      </c>
      <c r="CF78" s="55"/>
      <c r="CG78" s="41">
        <v>0</v>
      </c>
      <c r="CH78" s="38">
        <v>0</v>
      </c>
      <c r="CI78" s="76">
        <v>0</v>
      </c>
      <c r="CJ78" s="55"/>
      <c r="CK78" s="955"/>
      <c r="CL78" s="950"/>
      <c r="CM78" s="955"/>
      <c r="CN78" s="950">
        <v>0</v>
      </c>
      <c r="CO78" s="76">
        <v>0</v>
      </c>
      <c r="CP78" s="42">
        <v>0</v>
      </c>
      <c r="CQ78" s="5"/>
      <c r="CR78" s="76">
        <v>0</v>
      </c>
      <c r="CS78" s="954">
        <v>0</v>
      </c>
      <c r="CT78" s="5"/>
      <c r="CU78" s="76">
        <v>0</v>
      </c>
      <c r="CV78" s="42">
        <v>0</v>
      </c>
      <c r="CW78" s="5"/>
      <c r="CX78" s="76">
        <v>0</v>
      </c>
      <c r="CY78" s="42">
        <v>0</v>
      </c>
      <c r="CZ78" s="5"/>
      <c r="DA78" s="76">
        <v>0</v>
      </c>
      <c r="DB78" s="42">
        <v>0</v>
      </c>
      <c r="DC78" s="5"/>
      <c r="DD78" s="76">
        <v>0</v>
      </c>
      <c r="DE78" s="42">
        <v>0</v>
      </c>
      <c r="DF78" s="5"/>
      <c r="DG78" s="76">
        <v>0</v>
      </c>
      <c r="DH78" s="42"/>
      <c r="DI78" s="5"/>
      <c r="DJ78" s="42">
        <v>0</v>
      </c>
      <c r="DK78" s="42">
        <f t="shared" si="14"/>
        <v>0</v>
      </c>
      <c r="DL78" s="58">
        <f t="shared" si="15"/>
        <v>0</v>
      </c>
      <c r="DM78" s="2">
        <v>3</v>
      </c>
    </row>
    <row r="79" spans="1:117" ht="24.9" customHeight="1" x14ac:dyDescent="0.3">
      <c r="A79" s="318">
        <v>150000548</v>
      </c>
      <c r="B79" s="44" t="s">
        <v>246</v>
      </c>
      <c r="C79" s="956">
        <v>5</v>
      </c>
      <c r="D79" s="957" t="s">
        <v>454</v>
      </c>
      <c r="E79" s="949">
        <f>'побудинковий звіт'!E46</f>
        <v>409.93</v>
      </c>
      <c r="F79" s="950">
        <f>'побудинковий звіт'!AS46</f>
        <v>5558.747555415438</v>
      </c>
      <c r="G79" s="950">
        <f t="shared" si="8"/>
        <v>29925.014341413647</v>
      </c>
      <c r="H79" s="950">
        <f t="shared" si="9"/>
        <v>24366.26678599821</v>
      </c>
      <c r="I79" s="42">
        <f>'[2]поточний ремонт'!I79+'[1]поточний ремонт'!I79</f>
        <v>36</v>
      </c>
      <c r="J79" s="42">
        <f>'[2]поточний ремонт'!J79+'[1]поточний ремонт'!J79</f>
        <v>23231.346498836312</v>
      </c>
      <c r="K79" s="964"/>
      <c r="L79" s="42">
        <f>'[2]поточний ремонт'!L79+'[1]поточний ремонт'!L79</f>
        <v>0</v>
      </c>
      <c r="M79" s="42">
        <f>'[2]поточний ремонт'!M79+'[1]поточний ремонт'!M79</f>
        <v>2131.6402572925035</v>
      </c>
      <c r="N79" s="36"/>
      <c r="O79" s="42">
        <f>'[2]поточний ремонт'!O79+'[1]поточний ремонт'!O79</f>
        <v>0</v>
      </c>
      <c r="P79" s="42">
        <f>'[2]поточний ремонт'!P79+'[1]поточний ремонт'!P79</f>
        <v>0</v>
      </c>
      <c r="Q79" s="959"/>
      <c r="R79" s="42">
        <f>'[2]поточний ремонт'!R79+'[1]поточний ремонт'!R79</f>
        <v>0</v>
      </c>
      <c r="S79" s="42">
        <f>'[2]поточний ремонт'!S79+'[1]поточний ремонт'!S79</f>
        <v>0</v>
      </c>
      <c r="T79" s="960"/>
      <c r="U79" s="42">
        <f>'[2]поточний ремонт'!U79+'[1]поточний ремонт'!U79</f>
        <v>0</v>
      </c>
      <c r="V79" s="42">
        <f>'[2]поточний ремонт'!V79+'[1]поточний ремонт'!V79</f>
        <v>0</v>
      </c>
      <c r="W79" s="42">
        <f>'[2]поточний ремонт'!W79+'[1]поточний ремонт'!W79</f>
        <v>4</v>
      </c>
      <c r="X79" s="42">
        <f>'[2]поточний ремонт'!X79+'[1]поточний ремонт'!X79</f>
        <v>832.52967614147985</v>
      </c>
      <c r="Y79" s="42">
        <f>'[2]поточний ремонт'!Y79+'[1]поточний ремонт'!Y79</f>
        <v>0</v>
      </c>
      <c r="Z79" s="42">
        <f>'[2]поточний ремонт'!Z79+'[1]поточний ремонт'!Z79</f>
        <v>0</v>
      </c>
      <c r="AA79" s="42">
        <f>'[2]поточний ремонт'!AA79+'[1]поточний ремонт'!AA79</f>
        <v>0</v>
      </c>
      <c r="AB79" s="42">
        <f>'[2]поточний ремонт'!AB79+'[1]поточний ремонт'!AB79</f>
        <v>2624.6088461660761</v>
      </c>
      <c r="AC79" s="42">
        <f>'[2]поточний ремонт'!AC79+'[1]поточний ремонт'!AC79</f>
        <v>0</v>
      </c>
      <c r="AD79" s="42">
        <f>'[2]поточний ремонт'!AD79+'[1]поточний ремонт'!AD79</f>
        <v>1104.8890629772777</v>
      </c>
      <c r="AE79" s="42">
        <f>'[2]поточний ремонт'!AE79+'[1]поточний ремонт'!AE79</f>
        <v>1510.5396056282004</v>
      </c>
      <c r="AF79" s="42">
        <f>'[2]поточний ремонт'!AF79+'[1]поточний ремонт'!AF79</f>
        <v>425.98817545704691</v>
      </c>
      <c r="AG79" s="5"/>
      <c r="AH79" s="42">
        <f>'[2]поточний ремонт'!AH79+'[1]поточний ремонт'!AH79</f>
        <v>2154.925797311424</v>
      </c>
      <c r="AI79" s="42">
        <f>'[2]поточний ремонт'!AI79+'[1]поточний ремонт'!AI79</f>
        <v>2913.6280338663282</v>
      </c>
      <c r="AJ79" s="5"/>
      <c r="AK79" s="42">
        <f>'[2]поточний ремонт'!AK79+'[1]поточний ремонт'!AK79</f>
        <v>1179.5922127745503</v>
      </c>
      <c r="AL79" s="42">
        <f>'[2]поточний ремонт'!AL79+'[1]поточний ремонт'!AL79</f>
        <v>51.992053775999999</v>
      </c>
      <c r="AM79" s="5"/>
      <c r="AN79" s="42">
        <f>'[2]поточний ремонт'!AN79+'[1]поточний ремонт'!AN79</f>
        <v>786.16348604816574</v>
      </c>
      <c r="AO79" s="42">
        <f>'[2]поточний ремонт'!AO79+'[1]поточний ремонт'!AO79</f>
        <v>0</v>
      </c>
      <c r="AP79" s="5"/>
      <c r="AQ79" s="42">
        <f>'[2]поточний ремонт'!AQ79+'[1]поточний ремонт'!AQ79</f>
        <v>524.13941603615615</v>
      </c>
      <c r="AR79" s="42">
        <f>'[2]поточний ремонт'!AR79+'[1]поточний ремонт'!AR79</f>
        <v>7.7228418000000003</v>
      </c>
      <c r="AS79" s="5"/>
      <c r="AT79" s="42">
        <f>'[2]поточний ремонт'!AT79+'[1]поточний ремонт'!AT79</f>
        <v>1026.3243605421635</v>
      </c>
      <c r="AU79" s="42">
        <f>'[2]поточний ремонт'!AU79+'[1]поточний ремонт'!AU79</f>
        <v>1298.6085154476873</v>
      </c>
      <c r="AV79" s="5"/>
      <c r="AW79" s="42">
        <f>'[2]поточний ремонт'!AW79+'[1]поточний ремонт'!AW79</f>
        <v>692.1908980123028</v>
      </c>
      <c r="AX79" s="42">
        <f>'[2]поточний ремонт'!AX79+'[1]поточний ремонт'!AX79</f>
        <v>0</v>
      </c>
      <c r="AY79" s="5"/>
      <c r="AZ79" s="42">
        <f t="shared" si="10"/>
        <v>7873.8757763529629</v>
      </c>
      <c r="BA79" s="42">
        <f t="shared" si="11"/>
        <v>4697.9396203470624</v>
      </c>
      <c r="BB79" s="58">
        <f t="shared" si="12"/>
        <v>-3175.9361560059006</v>
      </c>
      <c r="BD79" s="2">
        <v>1</v>
      </c>
      <c r="BF79" s="29">
        <v>102.32038079003591</v>
      </c>
      <c r="BG79" s="318">
        <v>150000548</v>
      </c>
      <c r="BI79" s="104">
        <v>0</v>
      </c>
      <c r="BJ79" s="104">
        <f t="shared" si="13"/>
        <v>0</v>
      </c>
      <c r="BK79" s="104">
        <v>0</v>
      </c>
      <c r="BL79" s="38"/>
      <c r="BM79" s="3"/>
      <c r="BN79" s="3">
        <v>0</v>
      </c>
      <c r="BP79" s="3"/>
      <c r="BQ79" s="3"/>
      <c r="BS79" s="42"/>
      <c r="BT79" s="42">
        <v>0</v>
      </c>
      <c r="BU79" s="964"/>
      <c r="BV79" s="41"/>
      <c r="BW79" s="42"/>
      <c r="BX79" s="36"/>
      <c r="BY79" s="76"/>
      <c r="BZ79" s="42">
        <v>0</v>
      </c>
      <c r="CA79" s="959"/>
      <c r="CB79" s="41">
        <v>0</v>
      </c>
      <c r="CC79" s="41">
        <v>0</v>
      </c>
      <c r="CD79" s="960"/>
      <c r="CE79" s="76">
        <v>0</v>
      </c>
      <c r="CF79" s="55"/>
      <c r="CG79" s="41">
        <v>0</v>
      </c>
      <c r="CH79" s="38">
        <v>0</v>
      </c>
      <c r="CI79" s="76">
        <v>0</v>
      </c>
      <c r="CJ79" s="55"/>
      <c r="CK79" s="955"/>
      <c r="CL79" s="950"/>
      <c r="CM79" s="955"/>
      <c r="CN79" s="950">
        <v>0</v>
      </c>
      <c r="CO79" s="76">
        <v>120.48800102301557</v>
      </c>
      <c r="CP79" s="42">
        <v>425.45843929794648</v>
      </c>
      <c r="CQ79" s="5"/>
      <c r="CR79" s="76">
        <v>175.83146161726015</v>
      </c>
      <c r="CS79" s="954">
        <v>0</v>
      </c>
      <c r="CT79" s="5"/>
      <c r="CU79" s="76">
        <v>96.631979953753728</v>
      </c>
      <c r="CV79" s="42">
        <v>0</v>
      </c>
      <c r="CW79" s="5"/>
      <c r="CX79" s="76">
        <v>53.772048920633878</v>
      </c>
      <c r="CY79" s="42">
        <v>0</v>
      </c>
      <c r="CZ79" s="5"/>
      <c r="DA79" s="76">
        <v>44.980177589529568</v>
      </c>
      <c r="DB79" s="42">
        <v>0</v>
      </c>
      <c r="DC79" s="5"/>
      <c r="DD79" s="76">
        <v>65.1232632172904</v>
      </c>
      <c r="DE79" s="42">
        <v>0</v>
      </c>
      <c r="DF79" s="5"/>
      <c r="DG79" s="76">
        <v>59.172188112108344</v>
      </c>
      <c r="DH79" s="42"/>
      <c r="DI79" s="5"/>
      <c r="DJ79" s="42">
        <v>615.99912043359166</v>
      </c>
      <c r="DK79" s="42">
        <f t="shared" si="14"/>
        <v>425.45843929794648</v>
      </c>
      <c r="DL79" s="58">
        <f t="shared" si="15"/>
        <v>-190.54068113564517</v>
      </c>
      <c r="DM79" s="2">
        <v>1</v>
      </c>
    </row>
    <row r="80" spans="1:117" ht="24.9" customHeight="1" x14ac:dyDescent="0.3">
      <c r="A80" s="318">
        <v>150000549</v>
      </c>
      <c r="B80" s="44" t="s">
        <v>206</v>
      </c>
      <c r="C80" s="956">
        <v>4</v>
      </c>
      <c r="D80" s="957" t="s">
        <v>454</v>
      </c>
      <c r="E80" s="949">
        <f>'побудинковий звіт'!E47</f>
        <v>403.93</v>
      </c>
      <c r="F80" s="950">
        <f>'побудинковий звіт'!AS47</f>
        <v>5379.290511166857</v>
      </c>
      <c r="G80" s="950">
        <f t="shared" si="8"/>
        <v>912.19252952684133</v>
      </c>
      <c r="H80" s="950">
        <f t="shared" si="9"/>
        <v>-4467.0979816400159</v>
      </c>
      <c r="I80" s="42">
        <f>'[2]поточний ремонт'!I80+'[1]поточний ремонт'!I80</f>
        <v>0</v>
      </c>
      <c r="J80" s="42">
        <f>'[2]поточний ремонт'!J80+'[1]поточний ремонт'!J80</f>
        <v>0</v>
      </c>
      <c r="K80" s="958"/>
      <c r="L80" s="42">
        <f>'[2]поточний ремонт'!L80+'[1]поточний ремонт'!L80</f>
        <v>0</v>
      </c>
      <c r="M80" s="42">
        <f>'[2]поточний ремонт'!M80+'[1]поточний ремонт'!M80</f>
        <v>0</v>
      </c>
      <c r="N80" s="36"/>
      <c r="O80" s="42">
        <f>'[2]поточний ремонт'!O80+'[1]поточний ремонт'!O80</f>
        <v>0</v>
      </c>
      <c r="P80" s="42">
        <f>'[2]поточний ремонт'!P80+'[1]поточний ремонт'!P80</f>
        <v>0</v>
      </c>
      <c r="Q80" s="959"/>
      <c r="R80" s="42">
        <f>'[2]поточний ремонт'!R80+'[1]поточний ремонт'!R80</f>
        <v>0</v>
      </c>
      <c r="S80" s="42">
        <f>'[2]поточний ремонт'!S80+'[1]поточний ремонт'!S80</f>
        <v>0</v>
      </c>
      <c r="T80" s="960"/>
      <c r="U80" s="42">
        <f>'[2]поточний ремонт'!U80+'[1]поточний ремонт'!U80</f>
        <v>0</v>
      </c>
      <c r="V80" s="42">
        <f>'[2]поточний ремонт'!V80+'[1]поточний ремонт'!V80</f>
        <v>0</v>
      </c>
      <c r="W80" s="42">
        <f>'[2]поточний ремонт'!W80+'[1]поточний ремонт'!W80</f>
        <v>0</v>
      </c>
      <c r="X80" s="42">
        <f>'[2]поточний ремонт'!X80+'[1]поточний ремонт'!X80</f>
        <v>0</v>
      </c>
      <c r="Y80" s="42">
        <f>'[2]поточний ремонт'!Y80+'[1]поточний ремонт'!Y80</f>
        <v>912.19252952684133</v>
      </c>
      <c r="Z80" s="42">
        <f>'[2]поточний ремонт'!Z80+'[1]поточний ремонт'!Z80</f>
        <v>0</v>
      </c>
      <c r="AA80" s="42">
        <f>'[2]поточний ремонт'!AA80+'[1]поточний ремонт'!AA80</f>
        <v>0</v>
      </c>
      <c r="AB80" s="42">
        <f>'[2]поточний ремонт'!AB80+'[1]поточний ремонт'!AB80</f>
        <v>0</v>
      </c>
      <c r="AC80" s="42">
        <f>'[2]поточний ремонт'!AC80+'[1]поточний ремонт'!AC80</f>
        <v>0</v>
      </c>
      <c r="AD80" s="42">
        <f>'[2]поточний ремонт'!AD80+'[1]поточний ремонт'!AD80</f>
        <v>0</v>
      </c>
      <c r="AE80" s="42">
        <f>'[2]поточний ремонт'!AE80+'[1]поточний ремонт'!AE80</f>
        <v>854.40765490034551</v>
      </c>
      <c r="AF80" s="42">
        <f>'[2]поточний ремонт'!AF80+'[1]поточний ремонт'!AF80</f>
        <v>0</v>
      </c>
      <c r="AG80" s="5"/>
      <c r="AH80" s="42">
        <f>'[2]поточний ремонт'!AH80+'[1]поточний ремонт'!AH80</f>
        <v>1676.1134284666664</v>
      </c>
      <c r="AI80" s="42">
        <f>'[2]поточний ремонт'!AI80+'[1]поточний ремонт'!AI80</f>
        <v>0</v>
      </c>
      <c r="AJ80" s="5"/>
      <c r="AK80" s="42">
        <f>'[2]поточний ремонт'!AK80+'[1]поточний ремонт'!AK80</f>
        <v>479.91948475327195</v>
      </c>
      <c r="AL80" s="42">
        <f>'[2]поточний ремонт'!AL80+'[1]поточний ремонт'!AL80</f>
        <v>0</v>
      </c>
      <c r="AM80" s="5"/>
      <c r="AN80" s="42">
        <f>'[2]поточний ремонт'!AN80+'[1]поточний ремонт'!AN80</f>
        <v>426.66880957686283</v>
      </c>
      <c r="AO80" s="42">
        <f>'[2]поточний ремонт'!AO80+'[1]поточний ремонт'!AO80</f>
        <v>0</v>
      </c>
      <c r="AP80" s="5"/>
      <c r="AQ80" s="42">
        <f>'[2]поточний ремонт'!AQ80+'[1]поточний ремонт'!AQ80</f>
        <v>66.163852782859806</v>
      </c>
      <c r="AR80" s="42">
        <f>'[2]поточний ремонт'!AR80+'[1]поточний ремонт'!AR80</f>
        <v>0</v>
      </c>
      <c r="AS80" s="5"/>
      <c r="AT80" s="42">
        <f>'[2]поточний ремонт'!AT80+'[1]поточний ремонт'!AT80</f>
        <v>536.38959259714898</v>
      </c>
      <c r="AU80" s="42">
        <f>'[2]поточний ремонт'!AU80+'[1]поточний ремонт'!AU80</f>
        <v>0</v>
      </c>
      <c r="AV80" s="5"/>
      <c r="AW80" s="42">
        <f>'[2]поточний ремонт'!AW80+'[1]поточний ремонт'!AW80</f>
        <v>364.99839306623153</v>
      </c>
      <c r="AX80" s="42">
        <f>'[2]поточний ремонт'!AX80+'[1]поточний ремонт'!AX80</f>
        <v>374.54545586028001</v>
      </c>
      <c r="AY80" s="5"/>
      <c r="AZ80" s="42">
        <f t="shared" si="10"/>
        <v>4404.6612161433859</v>
      </c>
      <c r="BA80" s="42">
        <f t="shared" si="11"/>
        <v>374.54545586028001</v>
      </c>
      <c r="BB80" s="58">
        <f t="shared" si="12"/>
        <v>-4030.1157602831058</v>
      </c>
      <c r="BD80" s="2">
        <v>1</v>
      </c>
      <c r="BF80" s="29">
        <v>54.675205211309745</v>
      </c>
      <c r="BG80" s="318">
        <v>150000549</v>
      </c>
      <c r="BI80" s="104">
        <v>0</v>
      </c>
      <c r="BJ80" s="104">
        <f t="shared" si="13"/>
        <v>0</v>
      </c>
      <c r="BK80" s="104">
        <v>0</v>
      </c>
      <c r="BL80" s="38"/>
      <c r="BM80" s="3"/>
      <c r="BN80" s="3">
        <v>0</v>
      </c>
      <c r="BP80" s="3"/>
      <c r="BQ80" s="3"/>
      <c r="BS80" s="42"/>
      <c r="BT80" s="42">
        <v>0</v>
      </c>
      <c r="BU80" s="958"/>
      <c r="BV80" s="41"/>
      <c r="BW80" s="42"/>
      <c r="BX80" s="36"/>
      <c r="BY80" s="76"/>
      <c r="BZ80" s="42">
        <v>0</v>
      </c>
      <c r="CA80" s="959"/>
      <c r="CB80" s="41">
        <v>0</v>
      </c>
      <c r="CC80" s="41">
        <v>0</v>
      </c>
      <c r="CD80" s="960"/>
      <c r="CE80" s="76">
        <v>0</v>
      </c>
      <c r="CF80" s="55"/>
      <c r="CG80" s="41">
        <v>0</v>
      </c>
      <c r="CH80" s="38">
        <v>0</v>
      </c>
      <c r="CI80" s="76">
        <v>0</v>
      </c>
      <c r="CJ80" s="55"/>
      <c r="CK80" s="955"/>
      <c r="CL80" s="950"/>
      <c r="CM80" s="955"/>
      <c r="CN80" s="950">
        <v>0</v>
      </c>
      <c r="CO80" s="76">
        <v>67.804320685652442</v>
      </c>
      <c r="CP80" s="42">
        <v>0</v>
      </c>
      <c r="CQ80" s="5"/>
      <c r="CR80" s="76">
        <v>132.42225554457045</v>
      </c>
      <c r="CS80" s="954">
        <v>0</v>
      </c>
      <c r="CT80" s="5"/>
      <c r="CU80" s="76">
        <v>39.306365333160741</v>
      </c>
      <c r="CV80" s="42">
        <v>0</v>
      </c>
      <c r="CW80" s="5"/>
      <c r="CX80" s="76">
        <v>40.427519598448129</v>
      </c>
      <c r="CY80" s="42">
        <v>0</v>
      </c>
      <c r="CZ80" s="5"/>
      <c r="DA80" s="76">
        <v>0</v>
      </c>
      <c r="DB80" s="42">
        <v>0</v>
      </c>
      <c r="DC80" s="5"/>
      <c r="DD80" s="76">
        <v>31.954630512739072</v>
      </c>
      <c r="DE80" s="42">
        <v>0</v>
      </c>
      <c r="DF80" s="5"/>
      <c r="DG80" s="76">
        <v>27.264536768579557</v>
      </c>
      <c r="DH80" s="42"/>
      <c r="DI80" s="5"/>
      <c r="DJ80" s="42">
        <v>339.17962844315036</v>
      </c>
      <c r="DK80" s="42">
        <f t="shared" si="14"/>
        <v>0</v>
      </c>
      <c r="DL80" s="58">
        <f t="shared" si="15"/>
        <v>-339.17962844315036</v>
      </c>
      <c r="DM80" s="2">
        <v>1</v>
      </c>
    </row>
    <row r="81" spans="1:117" ht="24.9" customHeight="1" x14ac:dyDescent="0.3">
      <c r="A81" s="318">
        <v>150000547</v>
      </c>
      <c r="B81" s="44" t="s">
        <v>247</v>
      </c>
      <c r="C81" s="956">
        <v>5</v>
      </c>
      <c r="D81" s="957" t="s">
        <v>454</v>
      </c>
      <c r="E81" s="949">
        <f>'побудинковий звіт'!E48</f>
        <v>4892.3</v>
      </c>
      <c r="F81" s="950">
        <f>'побудинковий звіт'!AS48</f>
        <v>46297.028860884391</v>
      </c>
      <c r="G81" s="950">
        <f t="shared" si="8"/>
        <v>19213.553176788675</v>
      </c>
      <c r="H81" s="950">
        <f t="shared" si="9"/>
        <v>-27083.475684095716</v>
      </c>
      <c r="I81" s="42">
        <f>'[2]поточний ремонт'!I81+'[1]поточний ремонт'!I81</f>
        <v>0</v>
      </c>
      <c r="J81" s="42">
        <f>'[2]поточний ремонт'!J81+'[1]поточний ремонт'!J81</f>
        <v>0</v>
      </c>
      <c r="K81" s="958"/>
      <c r="L81" s="42">
        <f>'[2]поточний ремонт'!L81+'[1]поточний ремонт'!L81</f>
        <v>0</v>
      </c>
      <c r="M81" s="42">
        <f>'[2]поточний ремонт'!M81+'[1]поточний ремонт'!M81</f>
        <v>0</v>
      </c>
      <c r="N81" s="36"/>
      <c r="O81" s="42">
        <f>'[2]поточний ремонт'!O81+'[1]поточний ремонт'!O81</f>
        <v>0</v>
      </c>
      <c r="P81" s="42">
        <f>'[2]поточний ремонт'!P81+'[1]поточний ремонт'!P81</f>
        <v>0</v>
      </c>
      <c r="Q81" s="959"/>
      <c r="R81" s="42">
        <f>'[2]поточний ремонт'!R81+'[1]поточний ремонт'!R81</f>
        <v>0</v>
      </c>
      <c r="S81" s="42">
        <f>'[2]поточний ремонт'!S81+'[1]поточний ремонт'!S81</f>
        <v>0</v>
      </c>
      <c r="T81" s="960"/>
      <c r="U81" s="42">
        <f>'[2]поточний ремонт'!U81+'[1]поточний ремонт'!U81</f>
        <v>0</v>
      </c>
      <c r="V81" s="42">
        <f>'[2]поточний ремонт'!V81+'[1]поточний ремонт'!V81</f>
        <v>0</v>
      </c>
      <c r="W81" s="42">
        <f>'[2]поточний ремонт'!W81+'[1]поточний ремонт'!W81</f>
        <v>0</v>
      </c>
      <c r="X81" s="42">
        <f>'[2]поточний ремонт'!X81+'[1]поточний ремонт'!X81</f>
        <v>0</v>
      </c>
      <c r="Y81" s="42">
        <f>'[2]поточний ремонт'!Y81+'[1]поточний ремонт'!Y81</f>
        <v>19213.553176788675</v>
      </c>
      <c r="Z81" s="42">
        <f>'[2]поточний ремонт'!Z81+'[1]поточний ремонт'!Z81</f>
        <v>0</v>
      </c>
      <c r="AA81" s="42">
        <f>'[2]поточний ремонт'!AA81+'[1]поточний ремонт'!AA81</f>
        <v>0</v>
      </c>
      <c r="AB81" s="42">
        <f>'[2]поточний ремонт'!AB81+'[1]поточний ремонт'!AB81</f>
        <v>0</v>
      </c>
      <c r="AC81" s="42">
        <f>'[2]поточний ремонт'!AC81+'[1]поточний ремонт'!AC81</f>
        <v>0</v>
      </c>
      <c r="AD81" s="42">
        <f>'[2]поточний ремонт'!AD81+'[1]поточний ремонт'!AD81</f>
        <v>0</v>
      </c>
      <c r="AE81" s="42">
        <f>'[2]поточний ремонт'!AE81+'[1]поточний ремонт'!AE81</f>
        <v>1909.3387858689771</v>
      </c>
      <c r="AF81" s="42">
        <f>'[2]поточний ремонт'!AF81+'[1]поточний ремонт'!AF81</f>
        <v>951.97722752600112</v>
      </c>
      <c r="AG81" s="5"/>
      <c r="AH81" s="42">
        <f>'[2]поточний ремонт'!AH81+'[1]поточний ремонт'!AH81</f>
        <v>2752.0885506111304</v>
      </c>
      <c r="AI81" s="42">
        <f>'[2]поточний ремонт'!AI81+'[1]поточний ремонт'!AI81</f>
        <v>3916.8740418133639</v>
      </c>
      <c r="AJ81" s="5"/>
      <c r="AK81" s="42">
        <f>'[2]поточний ремонт'!AK81+'[1]поточний ремонт'!AK81</f>
        <v>1428.4075284060007</v>
      </c>
      <c r="AL81" s="42">
        <f>'[2]поточний ремонт'!AL81+'[1]поточний ремонт'!AL81</f>
        <v>0</v>
      </c>
      <c r="AM81" s="5"/>
      <c r="AN81" s="42">
        <f>'[2]поточний ремонт'!AN81+'[1]поточний ремонт'!AN81</f>
        <v>738.90481727217912</v>
      </c>
      <c r="AO81" s="42">
        <f>'[2]поточний ремонт'!AO81+'[1]поточний ремонт'!AO81</f>
        <v>0</v>
      </c>
      <c r="AP81" s="5"/>
      <c r="AQ81" s="42">
        <f>'[2]поточний ремонт'!AQ81+'[1]поточний ремонт'!AQ81</f>
        <v>677.41056538709631</v>
      </c>
      <c r="AR81" s="42">
        <f>'[2]поточний ремонт'!AR81+'[1]поточний ремонт'!AR81</f>
        <v>7.7228418000000003</v>
      </c>
      <c r="AS81" s="5"/>
      <c r="AT81" s="42">
        <f>'[2]поточний ремонт'!AT81+'[1]поточний ремонт'!AT81</f>
        <v>1440.4627861056185</v>
      </c>
      <c r="AU81" s="42">
        <f>'[2]поточний ремонт'!AU81+'[1]поточний ремонт'!AU81</f>
        <v>694.82260686979976</v>
      </c>
      <c r="AV81" s="5"/>
      <c r="AW81" s="42">
        <f>'[2]поточний ремонт'!AW81+'[1]поточний ремонт'!AW81</f>
        <v>224.79389694457677</v>
      </c>
      <c r="AX81" s="42">
        <f>'[2]поточний ремонт'!AX81+'[1]поточний ремонт'!AX81</f>
        <v>2240.1847182129</v>
      </c>
      <c r="AY81" s="5"/>
      <c r="AZ81" s="42">
        <f t="shared" si="10"/>
        <v>9171.40693059558</v>
      </c>
      <c r="BA81" s="42">
        <f t="shared" si="11"/>
        <v>7811.5814362220644</v>
      </c>
      <c r="BB81" s="58">
        <f t="shared" si="12"/>
        <v>-1359.8254943735155</v>
      </c>
      <c r="BD81" s="2">
        <v>1</v>
      </c>
      <c r="BF81" s="29">
        <v>128.15508564661971</v>
      </c>
      <c r="BG81" s="318">
        <v>150000547</v>
      </c>
      <c r="BI81" s="104">
        <v>0</v>
      </c>
      <c r="BJ81" s="104">
        <f t="shared" si="13"/>
        <v>0</v>
      </c>
      <c r="BK81" s="104">
        <v>0</v>
      </c>
      <c r="BL81" s="38"/>
      <c r="BM81" s="3"/>
      <c r="BN81" s="3">
        <v>0</v>
      </c>
      <c r="BP81" s="3"/>
      <c r="BQ81" s="3"/>
      <c r="BS81" s="42"/>
      <c r="BT81" s="42">
        <v>0</v>
      </c>
      <c r="BU81" s="958"/>
      <c r="BV81" s="41"/>
      <c r="BW81" s="42"/>
      <c r="BX81" s="36"/>
      <c r="BY81" s="76"/>
      <c r="BZ81" s="42">
        <v>0</v>
      </c>
      <c r="CA81" s="959"/>
      <c r="CB81" s="41">
        <v>0</v>
      </c>
      <c r="CC81" s="41">
        <v>0</v>
      </c>
      <c r="CD81" s="960"/>
      <c r="CE81" s="76">
        <v>0</v>
      </c>
      <c r="CF81" s="55"/>
      <c r="CG81" s="41">
        <v>0</v>
      </c>
      <c r="CH81" s="38">
        <v>0</v>
      </c>
      <c r="CI81" s="76">
        <v>0</v>
      </c>
      <c r="CJ81" s="55"/>
      <c r="CK81" s="955"/>
      <c r="CL81" s="950"/>
      <c r="CM81" s="955"/>
      <c r="CN81" s="950">
        <v>0</v>
      </c>
      <c r="CO81" s="76">
        <v>148.48715468790544</v>
      </c>
      <c r="CP81" s="42">
        <v>599.0640554819463</v>
      </c>
      <c r="CQ81" s="5"/>
      <c r="CR81" s="76">
        <v>215.71437418210596</v>
      </c>
      <c r="CS81" s="954">
        <v>2818.2707794305834</v>
      </c>
      <c r="CT81" s="5"/>
      <c r="CU81" s="76">
        <v>112.6289509225978</v>
      </c>
      <c r="CV81" s="42">
        <v>0</v>
      </c>
      <c r="CW81" s="5"/>
      <c r="CX81" s="76">
        <v>67.008273276759709</v>
      </c>
      <c r="CY81" s="42">
        <v>0</v>
      </c>
      <c r="CZ81" s="5"/>
      <c r="DA81" s="76">
        <v>59.973570119372766</v>
      </c>
      <c r="DB81" s="42">
        <v>0</v>
      </c>
      <c r="DC81" s="5"/>
      <c r="DD81" s="76">
        <v>92.84294984290716</v>
      </c>
      <c r="DE81" s="42">
        <v>0</v>
      </c>
      <c r="DF81" s="5"/>
      <c r="DG81" s="76">
        <v>19.927301531169658</v>
      </c>
      <c r="DH81" s="42"/>
      <c r="DI81" s="5"/>
      <c r="DJ81" s="42">
        <v>716.58257456281854</v>
      </c>
      <c r="DK81" s="42">
        <f t="shared" si="14"/>
        <v>3417.3348349125299</v>
      </c>
      <c r="DL81" s="58">
        <f t="shared" si="15"/>
        <v>2700.7522603497114</v>
      </c>
      <c r="DM81" s="2">
        <v>1</v>
      </c>
    </row>
    <row r="82" spans="1:117" ht="24.9" customHeight="1" x14ac:dyDescent="0.3">
      <c r="A82" s="318">
        <v>150000510</v>
      </c>
      <c r="B82" s="44" t="s">
        <v>248</v>
      </c>
      <c r="C82" s="956">
        <v>5</v>
      </c>
      <c r="D82" s="957" t="s">
        <v>454</v>
      </c>
      <c r="E82" s="949">
        <f>'побудинковий звіт'!E49</f>
        <v>756</v>
      </c>
      <c r="F82" s="950">
        <f>'побудинковий звіт'!AS49</f>
        <v>10185.32355847114</v>
      </c>
      <c r="G82" s="950">
        <f t="shared" si="8"/>
        <v>381.95422233845773</v>
      </c>
      <c r="H82" s="950">
        <f t="shared" si="9"/>
        <v>-9803.3693361326823</v>
      </c>
      <c r="I82" s="42">
        <f>'[2]поточний ремонт'!I82+'[1]поточний ремонт'!I82</f>
        <v>0</v>
      </c>
      <c r="J82" s="42">
        <f>'[2]поточний ремонт'!J82+'[1]поточний ремонт'!J82</f>
        <v>0</v>
      </c>
      <c r="K82" s="958"/>
      <c r="L82" s="42">
        <f>'[2]поточний ремонт'!L82+'[1]поточний ремонт'!L82</f>
        <v>0</v>
      </c>
      <c r="M82" s="42">
        <f>'[2]поточний ремонт'!M82+'[1]поточний ремонт'!M82</f>
        <v>0</v>
      </c>
      <c r="N82" s="36"/>
      <c r="O82" s="42">
        <f>'[2]поточний ремонт'!O82+'[1]поточний ремонт'!O82</f>
        <v>0</v>
      </c>
      <c r="P82" s="42">
        <f>'[2]поточний ремонт'!P82+'[1]поточний ремонт'!P82</f>
        <v>0</v>
      </c>
      <c r="Q82" s="959"/>
      <c r="R82" s="42">
        <f>'[2]поточний ремонт'!R82+'[1]поточний ремонт'!R82</f>
        <v>0</v>
      </c>
      <c r="S82" s="42">
        <f>'[2]поточний ремонт'!S82+'[1]поточний ремонт'!S82</f>
        <v>0</v>
      </c>
      <c r="T82" s="960"/>
      <c r="U82" s="42">
        <f>'[2]поточний ремонт'!U82+'[1]поточний ремонт'!U82</f>
        <v>0</v>
      </c>
      <c r="V82" s="42">
        <f>'[2]поточний ремонт'!V82+'[1]поточний ремонт'!V82</f>
        <v>0</v>
      </c>
      <c r="W82" s="42">
        <f>'[2]поточний ремонт'!W82+'[1]поточний ремонт'!W82</f>
        <v>0</v>
      </c>
      <c r="X82" s="42">
        <f>'[2]поточний ремонт'!X82+'[1]поточний ремонт'!X82</f>
        <v>381.95422233845773</v>
      </c>
      <c r="Y82" s="42">
        <f>'[2]поточний ремонт'!Y82+'[1]поточний ремонт'!Y82</f>
        <v>0</v>
      </c>
      <c r="Z82" s="42">
        <f>'[2]поточний ремонт'!Z82+'[1]поточний ремонт'!Z82</f>
        <v>0</v>
      </c>
      <c r="AA82" s="42">
        <f>'[2]поточний ремонт'!AA82+'[1]поточний ремонт'!AA82</f>
        <v>0</v>
      </c>
      <c r="AB82" s="42">
        <f>'[2]поточний ремонт'!AB82+'[1]поточний ремонт'!AB82</f>
        <v>0</v>
      </c>
      <c r="AC82" s="42">
        <f>'[2]поточний ремонт'!AC82+'[1]поточний ремонт'!AC82</f>
        <v>0</v>
      </c>
      <c r="AD82" s="42">
        <f>'[2]поточний ремонт'!AD82+'[1]поточний ремонт'!AD82</f>
        <v>0</v>
      </c>
      <c r="AE82" s="42">
        <f>'[2]поточний ремонт'!AE82+'[1]поточний ремонт'!AE82</f>
        <v>1332.9452238490601</v>
      </c>
      <c r="AF82" s="42">
        <f>'[2]поточний ремонт'!AF82+'[1]поточний ремонт'!AF82</f>
        <v>707.12426764617521</v>
      </c>
      <c r="AG82" s="5"/>
      <c r="AH82" s="42">
        <f>'[2]поточний ремонт'!AH82+'[1]поточний ремонт'!AH82</f>
        <v>1542.6018370944353</v>
      </c>
      <c r="AI82" s="42">
        <f>'[2]поточний ремонт'!AI82+'[1]поточний ремонт'!AI82</f>
        <v>2230.5521223824899</v>
      </c>
      <c r="AJ82" s="5"/>
      <c r="AK82" s="42">
        <f>'[2]поточний ремонт'!AK82+'[1]поточний ремонт'!AK82</f>
        <v>2057.972689399096</v>
      </c>
      <c r="AL82" s="42">
        <f>'[2]поточний ремонт'!AL82+'[1]поточний ремонт'!AL82</f>
        <v>0</v>
      </c>
      <c r="AM82" s="5"/>
      <c r="AN82" s="42">
        <f>'[2]поточний ремонт'!AN82+'[1]поточний ремонт'!AN82</f>
        <v>0</v>
      </c>
      <c r="AO82" s="42">
        <f>'[2]поточний ремонт'!AO82+'[1]поточний ремонт'!AO82</f>
        <v>0</v>
      </c>
      <c r="AP82" s="5"/>
      <c r="AQ82" s="42">
        <f>'[2]поточний ремонт'!AQ82+'[1]поточний ремонт'!AQ82</f>
        <v>110.27308797143304</v>
      </c>
      <c r="AR82" s="42">
        <f>'[2]поточний ремонт'!AR82+'[1]поточний ремонт'!AR82</f>
        <v>464.80188273267919</v>
      </c>
      <c r="AS82" s="5"/>
      <c r="AT82" s="42">
        <f>'[2]поточний ремонт'!AT82+'[1]поточний ремонт'!AT82</f>
        <v>956.95560187840579</v>
      </c>
      <c r="AU82" s="42">
        <f>'[2]поточний ремонт'!AU82+'[1]поточний ремонт'!AU82</f>
        <v>0</v>
      </c>
      <c r="AV82" s="9"/>
      <c r="AW82" s="42">
        <f>'[2]поточний ремонт'!AW82+'[1]поточний ремонт'!AW82</f>
        <v>47.275899040004248</v>
      </c>
      <c r="AX82" s="42">
        <f>'[2]поточний ремонт'!AX82+'[1]поточний ремонт'!AX82</f>
        <v>0</v>
      </c>
      <c r="AY82" s="5"/>
      <c r="AZ82" s="42">
        <f t="shared" si="10"/>
        <v>6048.0243392324346</v>
      </c>
      <c r="BA82" s="42">
        <f t="shared" si="11"/>
        <v>3402.4782727613442</v>
      </c>
      <c r="BB82" s="58">
        <f t="shared" si="12"/>
        <v>-2645.5460664710904</v>
      </c>
      <c r="BD82" s="2">
        <v>2</v>
      </c>
      <c r="BF82" s="29">
        <v>4.2211656249986715</v>
      </c>
      <c r="BG82" s="318">
        <v>150000510</v>
      </c>
      <c r="BI82" s="104">
        <v>28</v>
      </c>
      <c r="BJ82" s="104">
        <f t="shared" si="13"/>
        <v>3.9385415999999998</v>
      </c>
      <c r="BK82" s="104">
        <v>32.292002287999999</v>
      </c>
      <c r="BL82" s="38"/>
      <c r="BM82" s="3"/>
      <c r="BN82" s="3">
        <v>0</v>
      </c>
      <c r="BP82" s="3"/>
      <c r="BQ82" s="3"/>
      <c r="BS82" s="42"/>
      <c r="BT82" s="42">
        <v>0</v>
      </c>
      <c r="BU82" s="958"/>
      <c r="BV82" s="41"/>
      <c r="BW82" s="42"/>
      <c r="BX82" s="36"/>
      <c r="BY82" s="76"/>
      <c r="BZ82" s="42">
        <v>0</v>
      </c>
      <c r="CA82" s="959"/>
      <c r="CB82" s="41">
        <v>0</v>
      </c>
      <c r="CC82" s="41">
        <v>0</v>
      </c>
      <c r="CD82" s="960"/>
      <c r="CE82" s="76">
        <v>0</v>
      </c>
      <c r="CF82" s="55"/>
      <c r="CG82" s="41">
        <v>0</v>
      </c>
      <c r="CH82" s="38">
        <v>32.292002287999999</v>
      </c>
      <c r="CI82" s="76">
        <v>0</v>
      </c>
      <c r="CJ82" s="55"/>
      <c r="CK82" s="955"/>
      <c r="CL82" s="950"/>
      <c r="CM82" s="955"/>
      <c r="CN82" s="950">
        <v>0</v>
      </c>
      <c r="CO82" s="76">
        <v>99.650552224093673</v>
      </c>
      <c r="CP82" s="42">
        <v>0</v>
      </c>
      <c r="CQ82" s="5"/>
      <c r="CR82" s="76">
        <v>132.93444295331673</v>
      </c>
      <c r="CS82" s="954">
        <v>0</v>
      </c>
      <c r="CT82" s="5"/>
      <c r="CU82" s="76">
        <v>169.54804091581531</v>
      </c>
      <c r="CV82" s="42">
        <v>0</v>
      </c>
      <c r="CW82" s="5"/>
      <c r="CX82" s="76">
        <v>0</v>
      </c>
      <c r="CY82" s="42">
        <v>0</v>
      </c>
      <c r="CZ82" s="5"/>
      <c r="DA82" s="76">
        <v>0</v>
      </c>
      <c r="DB82" s="42">
        <v>0</v>
      </c>
      <c r="DC82" s="5"/>
      <c r="DD82" s="76">
        <v>61.236720446205524</v>
      </c>
      <c r="DE82" s="42">
        <v>0</v>
      </c>
      <c r="DF82" s="9"/>
      <c r="DG82" s="76">
        <v>0</v>
      </c>
      <c r="DH82" s="42"/>
      <c r="DI82" s="5"/>
      <c r="DJ82" s="42">
        <v>463.36975653943125</v>
      </c>
      <c r="DK82" s="42">
        <f t="shared" si="14"/>
        <v>0</v>
      </c>
      <c r="DL82" s="58">
        <f t="shared" si="15"/>
        <v>-463.36975653943125</v>
      </c>
      <c r="DM82" s="2">
        <v>2</v>
      </c>
    </row>
    <row r="83" spans="1:117" ht="24.9" customHeight="1" x14ac:dyDescent="0.3">
      <c r="A83" s="318">
        <v>150000511</v>
      </c>
      <c r="B83" s="44" t="s">
        <v>249</v>
      </c>
      <c r="C83" s="956">
        <v>5</v>
      </c>
      <c r="D83" s="957" t="s">
        <v>454</v>
      </c>
      <c r="E83" s="949">
        <f>'побудинковий звіт'!E50</f>
        <v>256.90000000000003</v>
      </c>
      <c r="F83" s="950">
        <f>'побудинковий звіт'!AS50</f>
        <v>2978.8757269890639</v>
      </c>
      <c r="G83" s="950">
        <f t="shared" si="8"/>
        <v>297</v>
      </c>
      <c r="H83" s="950">
        <f t="shared" si="9"/>
        <v>-2681.8757269890639</v>
      </c>
      <c r="I83" s="42">
        <f>'[2]поточний ремонт'!I83+'[1]поточний ремонт'!I83</f>
        <v>0</v>
      </c>
      <c r="J83" s="42">
        <f>'[2]поточний ремонт'!J83+'[1]поточний ремонт'!J83</f>
        <v>0</v>
      </c>
      <c r="K83" s="958"/>
      <c r="L83" s="42">
        <f>'[2]поточний ремонт'!L83+'[1]поточний ремонт'!L83</f>
        <v>0</v>
      </c>
      <c r="M83" s="42">
        <f>'[2]поточний ремонт'!M83+'[1]поточний ремонт'!M83</f>
        <v>0</v>
      </c>
      <c r="N83" s="36"/>
      <c r="O83" s="42">
        <f>'[2]поточний ремонт'!O83+'[1]поточний ремонт'!O83</f>
        <v>0</v>
      </c>
      <c r="P83" s="42">
        <f>'[2]поточний ремонт'!P83+'[1]поточний ремонт'!P83</f>
        <v>0</v>
      </c>
      <c r="Q83" s="959"/>
      <c r="R83" s="42">
        <f>'[2]поточний ремонт'!R83+'[1]поточний ремонт'!R83</f>
        <v>0</v>
      </c>
      <c r="S83" s="42">
        <f>'[2]поточний ремонт'!S83+'[1]поточний ремонт'!S83</f>
        <v>0</v>
      </c>
      <c r="T83" s="960"/>
      <c r="U83" s="42">
        <f>'[2]поточний ремонт'!U83+'[1]поточний ремонт'!U83</f>
        <v>0</v>
      </c>
      <c r="V83" s="42">
        <f>'[2]поточний ремонт'!V83+'[1]поточний ремонт'!V83</f>
        <v>0</v>
      </c>
      <c r="W83" s="42">
        <f>'[2]поточний ремонт'!W83+'[1]поточний ремонт'!W83</f>
        <v>4</v>
      </c>
      <c r="X83" s="42">
        <f>'[2]поточний ремонт'!X83+'[1]поточний ремонт'!X83</f>
        <v>297</v>
      </c>
      <c r="Y83" s="42">
        <f>'[2]поточний ремонт'!Y83+'[1]поточний ремонт'!Y83</f>
        <v>0</v>
      </c>
      <c r="Z83" s="42">
        <f>'[2]поточний ремонт'!Z83+'[1]поточний ремонт'!Z83</f>
        <v>0</v>
      </c>
      <c r="AA83" s="42">
        <f>'[2]поточний ремонт'!AA83+'[1]поточний ремонт'!AA83</f>
        <v>0</v>
      </c>
      <c r="AB83" s="42">
        <f>'[2]поточний ремонт'!AB83+'[1]поточний ремонт'!AB83</f>
        <v>0</v>
      </c>
      <c r="AC83" s="42">
        <f>'[2]поточний ремонт'!AC83+'[1]поточний ремонт'!AC83</f>
        <v>0</v>
      </c>
      <c r="AD83" s="42">
        <f>'[2]поточний ремонт'!AD83+'[1]поточний ремонт'!AD83</f>
        <v>0</v>
      </c>
      <c r="AE83" s="42">
        <f>'[2]поточний ремонт'!AE83+'[1]поточний ремонт'!AE83</f>
        <v>1936.1500485617667</v>
      </c>
      <c r="AF83" s="42">
        <f>'[2]поточний ремонт'!AF83+'[1]поточний ремонт'!AF83</f>
        <v>2630.8750602537534</v>
      </c>
      <c r="AG83" s="5"/>
      <c r="AH83" s="42">
        <f>'[2]поточний ремонт'!AH83+'[1]поточний ремонт'!AH83</f>
        <v>3194.9349491934017</v>
      </c>
      <c r="AI83" s="42">
        <f>'[2]поточний ремонт'!AI83+'[1]поточний ремонт'!AI83</f>
        <v>0</v>
      </c>
      <c r="AJ83" s="5"/>
      <c r="AK83" s="42">
        <f>'[2]поточний ремонт'!AK83+'[1]поточний ремонт'!AK83</f>
        <v>2441.3863171656981</v>
      </c>
      <c r="AL83" s="42">
        <f>'[2]поточний ремонт'!AL83+'[1]поточний ремонт'!AL83</f>
        <v>0</v>
      </c>
      <c r="AM83" s="5"/>
      <c r="AN83" s="42">
        <f>'[2]поточний ремонт'!AN83+'[1]поточний ремонт'!AN83</f>
        <v>0</v>
      </c>
      <c r="AO83" s="42">
        <f>'[2]поточний ремонт'!AO83+'[1]поточний ремонт'!AO83</f>
        <v>0</v>
      </c>
      <c r="AP83" s="5"/>
      <c r="AQ83" s="42">
        <f>'[2]поточний ремонт'!AQ83+'[1]поточний ремонт'!AQ83</f>
        <v>137.84135996429129</v>
      </c>
      <c r="AR83" s="42">
        <f>'[2]поточний ремонт'!AR83+'[1]поточний ремонт'!AR83</f>
        <v>2477.1850515697056</v>
      </c>
      <c r="AS83" s="5"/>
      <c r="AT83" s="42">
        <f>'[2]поточний ремонт'!AT83+'[1]поточний ремонт'!AT83</f>
        <v>1387.783189347987</v>
      </c>
      <c r="AU83" s="42">
        <f>'[2]поточний ремонт'!AU83+'[1]поточний ремонт'!AU83</f>
        <v>0</v>
      </c>
      <c r="AV83" s="5"/>
      <c r="AW83" s="42">
        <f>'[2]поточний ремонт'!AW83+'[1]поточний ремонт'!AW83</f>
        <v>47.275899040004248</v>
      </c>
      <c r="AX83" s="42">
        <f>'[2]поточний ремонт'!AX83+'[1]поточний ремонт'!AX83</f>
        <v>0</v>
      </c>
      <c r="AY83" s="5"/>
      <c r="AZ83" s="42">
        <f t="shared" si="10"/>
        <v>9145.3717632731459</v>
      </c>
      <c r="BA83" s="42">
        <f t="shared" si="11"/>
        <v>5108.060111823459</v>
      </c>
      <c r="BB83" s="58">
        <f t="shared" si="12"/>
        <v>-4037.3116514496869</v>
      </c>
      <c r="BD83" s="2">
        <v>2</v>
      </c>
      <c r="BF83" s="29">
        <v>4.7022742222356397</v>
      </c>
      <c r="BG83" s="318">
        <v>150000511</v>
      </c>
      <c r="BI83" s="104">
        <v>0</v>
      </c>
      <c r="BJ83" s="104">
        <f t="shared" si="13"/>
        <v>0</v>
      </c>
      <c r="BK83" s="104">
        <v>0</v>
      </c>
      <c r="BL83" s="38"/>
      <c r="BM83" s="3"/>
      <c r="BN83" s="3">
        <v>0</v>
      </c>
      <c r="BP83" s="3"/>
      <c r="BQ83" s="3"/>
      <c r="BS83" s="42"/>
      <c r="BT83" s="42">
        <v>0</v>
      </c>
      <c r="BU83" s="958"/>
      <c r="BV83" s="41"/>
      <c r="BW83" s="42"/>
      <c r="BX83" s="36"/>
      <c r="BY83" s="76"/>
      <c r="BZ83" s="42">
        <v>0</v>
      </c>
      <c r="CA83" s="959"/>
      <c r="CB83" s="41">
        <v>0</v>
      </c>
      <c r="CC83" s="41">
        <v>0</v>
      </c>
      <c r="CD83" s="960"/>
      <c r="CE83" s="76">
        <v>0</v>
      </c>
      <c r="CF83" s="55"/>
      <c r="CG83" s="41">
        <v>0</v>
      </c>
      <c r="CH83" s="38">
        <v>0</v>
      </c>
      <c r="CI83" s="76">
        <v>0</v>
      </c>
      <c r="CJ83" s="55"/>
      <c r="CK83" s="955"/>
      <c r="CL83" s="950"/>
      <c r="CM83" s="955"/>
      <c r="CN83" s="950">
        <v>0</v>
      </c>
      <c r="CO83" s="76">
        <v>159.0451346721687</v>
      </c>
      <c r="CP83" s="42">
        <v>0</v>
      </c>
      <c r="CQ83" s="5"/>
      <c r="CR83" s="76">
        <v>245.36814207708687</v>
      </c>
      <c r="CS83" s="954">
        <v>0</v>
      </c>
      <c r="CT83" s="5"/>
      <c r="CU83" s="76">
        <v>182.94222494346428</v>
      </c>
      <c r="CV83" s="42">
        <v>0</v>
      </c>
      <c r="CW83" s="5"/>
      <c r="CX83" s="76">
        <v>0</v>
      </c>
      <c r="CY83" s="42">
        <v>0</v>
      </c>
      <c r="CZ83" s="5"/>
      <c r="DA83" s="76">
        <v>0</v>
      </c>
      <c r="DB83" s="42">
        <v>2474.104556452226</v>
      </c>
      <c r="DC83" s="5"/>
      <c r="DD83" s="76">
        <v>87.314369523557232</v>
      </c>
      <c r="DE83" s="42">
        <v>0</v>
      </c>
      <c r="DF83" s="5"/>
      <c r="DG83" s="76">
        <v>0</v>
      </c>
      <c r="DH83" s="42"/>
      <c r="DI83" s="5"/>
      <c r="DJ83" s="42">
        <v>674.6698712162771</v>
      </c>
      <c r="DK83" s="42">
        <f t="shared" si="14"/>
        <v>2474.104556452226</v>
      </c>
      <c r="DL83" s="58">
        <f t="shared" si="15"/>
        <v>1799.434685235949</v>
      </c>
      <c r="DM83" s="2">
        <v>2</v>
      </c>
    </row>
    <row r="84" spans="1:117" ht="24.9" customHeight="1" x14ac:dyDescent="0.3">
      <c r="A84" s="318">
        <v>150000512</v>
      </c>
      <c r="B84" s="44" t="s">
        <v>250</v>
      </c>
      <c r="C84" s="956">
        <v>5</v>
      </c>
      <c r="D84" s="957" t="s">
        <v>454</v>
      </c>
      <c r="E84" s="949">
        <f>'побудинковий звіт'!E51</f>
        <v>3068.2</v>
      </c>
      <c r="F84" s="950">
        <f>'побудинковий звіт'!AS51</f>
        <v>32752.77152748331</v>
      </c>
      <c r="G84" s="950">
        <f t="shared" si="8"/>
        <v>1719.7387849206921</v>
      </c>
      <c r="H84" s="950">
        <f t="shared" si="9"/>
        <v>-31033.032742562616</v>
      </c>
      <c r="I84" s="42">
        <f>'[2]поточний ремонт'!I84+'[1]поточний ремонт'!I84</f>
        <v>0</v>
      </c>
      <c r="J84" s="42">
        <f>'[2]поточний ремонт'!J84+'[1]поточний ремонт'!J84</f>
        <v>0</v>
      </c>
      <c r="K84" s="958"/>
      <c r="L84" s="42">
        <f>'[2]поточний ремонт'!L84+'[1]поточний ремонт'!L84</f>
        <v>0</v>
      </c>
      <c r="M84" s="42">
        <f>'[2]поточний ремонт'!M84+'[1]поточний ремонт'!M84</f>
        <v>0</v>
      </c>
      <c r="N84" s="36"/>
      <c r="O84" s="42">
        <f>'[2]поточний ремонт'!O84+'[1]поточний ремонт'!O84</f>
        <v>0</v>
      </c>
      <c r="P84" s="42">
        <f>'[2]поточний ремонт'!P84+'[1]поточний ремонт'!P84</f>
        <v>0</v>
      </c>
      <c r="Q84" s="959"/>
      <c r="R84" s="42">
        <f>'[2]поточний ремонт'!R84+'[1]поточний ремонт'!R84</f>
        <v>0</v>
      </c>
      <c r="S84" s="42">
        <f>'[2]поточний ремонт'!S84+'[1]поточний ремонт'!S84</f>
        <v>0</v>
      </c>
      <c r="T84" s="960"/>
      <c r="U84" s="42">
        <f>'[2]поточний ремонт'!U84+'[1]поточний ремонт'!U84</f>
        <v>0</v>
      </c>
      <c r="V84" s="42">
        <f>'[2]поточний ремонт'!V84+'[1]поточний ремонт'!V84</f>
        <v>0</v>
      </c>
      <c r="W84" s="42">
        <f>'[2]поточний ремонт'!W84+'[1]поточний ремонт'!W84</f>
        <v>0</v>
      </c>
      <c r="X84" s="42">
        <f>'[2]поточний ремонт'!X84+'[1]поточний ремонт'!X84</f>
        <v>0</v>
      </c>
      <c r="Y84" s="42">
        <f>'[2]поточний ремонт'!Y84+'[1]поточний ремонт'!Y84</f>
        <v>0</v>
      </c>
      <c r="Z84" s="42">
        <f>'[2]поточний ремонт'!Z84+'[1]поточний ремонт'!Z84</f>
        <v>0</v>
      </c>
      <c r="AA84" s="42">
        <f>'[2]поточний ремонт'!AA84+'[1]поточний ремонт'!AA84</f>
        <v>0</v>
      </c>
      <c r="AB84" s="42">
        <f>'[2]поточний ремонт'!AB84+'[1]поточний ремонт'!AB84</f>
        <v>298.61285236026208</v>
      </c>
      <c r="AC84" s="42">
        <f>'[2]поточний ремонт'!AC84+'[1]поточний ремонт'!AC84</f>
        <v>1421.1259325604301</v>
      </c>
      <c r="AD84" s="42">
        <f>'[2]поточний ремонт'!AD84+'[1]поточний ремонт'!AD84</f>
        <v>0</v>
      </c>
      <c r="AE84" s="42">
        <f>'[2]поточний ремонт'!AE84+'[1]поточний ремонт'!AE84</f>
        <v>931.28551837329928</v>
      </c>
      <c r="AF84" s="42">
        <f>'[2]поточний ремонт'!AF84+'[1]поточний ремонт'!AF84</f>
        <v>0</v>
      </c>
      <c r="AG84" s="5"/>
      <c r="AH84" s="42">
        <f>'[2]поточний ремонт'!AH84+'[1]поточний ремонт'!AH84</f>
        <v>1627.2362312293842</v>
      </c>
      <c r="AI84" s="42">
        <f>'[2]поточний ремонт'!AI84+'[1]поточний ремонт'!AI84</f>
        <v>0</v>
      </c>
      <c r="AJ84" s="5"/>
      <c r="AK84" s="42">
        <f>'[2]поточний ремонт'!AK84+'[1]поточний ремонт'!AK84</f>
        <v>1456.9079906933459</v>
      </c>
      <c r="AL84" s="42">
        <f>'[2]поточний ремонт'!AL84+'[1]поточний ремонт'!AL84</f>
        <v>0</v>
      </c>
      <c r="AM84" s="5"/>
      <c r="AN84" s="42">
        <f>'[2]поточний ремонт'!AN84+'[1]поточний ремонт'!AN84</f>
        <v>0</v>
      </c>
      <c r="AO84" s="42">
        <f>'[2]поточний ремонт'!AO84+'[1]поточний ремонт'!AO84</f>
        <v>0</v>
      </c>
      <c r="AP84" s="5"/>
      <c r="AQ84" s="42">
        <f>'[2]поточний ремонт'!AQ84+'[1]поточний ремонт'!AQ84</f>
        <v>82.704815978574771</v>
      </c>
      <c r="AR84" s="42">
        <f>'[2]поточний ремонт'!AR84+'[1]поточний ремонт'!AR84</f>
        <v>603.48322308377033</v>
      </c>
      <c r="AS84" s="5"/>
      <c r="AT84" s="42">
        <f>'[2]поточний ремонт'!AT84+'[1]поточний ремонт'!AT84</f>
        <v>537.9657134783738</v>
      </c>
      <c r="AU84" s="42">
        <f>'[2]поточний ремонт'!AU84+'[1]поточний ремонт'!AU84</f>
        <v>0</v>
      </c>
      <c r="AV84" s="5"/>
      <c r="AW84" s="42">
        <f>'[2]поточний ремонт'!AW84+'[1]поточний ремонт'!AW84</f>
        <v>45.299534315704136</v>
      </c>
      <c r="AX84" s="42">
        <f>'[2]поточний ремонт'!AX84+'[1]поточний ремонт'!AX84</f>
        <v>0</v>
      </c>
      <c r="AY84" s="5"/>
      <c r="AZ84" s="42">
        <f t="shared" si="10"/>
        <v>4681.399804068682</v>
      </c>
      <c r="BA84" s="42">
        <f t="shared" si="11"/>
        <v>603.48322308377033</v>
      </c>
      <c r="BB84" s="58">
        <f t="shared" si="12"/>
        <v>-4077.9165809849119</v>
      </c>
      <c r="BD84" s="2">
        <v>2</v>
      </c>
      <c r="BF84" s="29">
        <v>2.6703425875177573</v>
      </c>
      <c r="BG84" s="318">
        <v>150000512</v>
      </c>
      <c r="BI84" s="104">
        <v>0</v>
      </c>
      <c r="BJ84" s="104">
        <f t="shared" si="13"/>
        <v>0</v>
      </c>
      <c r="BK84" s="104">
        <v>0</v>
      </c>
      <c r="BL84" s="38"/>
      <c r="BM84" s="3"/>
      <c r="BN84" s="3">
        <v>0</v>
      </c>
      <c r="BP84" s="3"/>
      <c r="BQ84" s="3"/>
      <c r="BS84" s="42"/>
      <c r="BT84" s="42">
        <v>0</v>
      </c>
      <c r="BU84" s="958"/>
      <c r="BV84" s="41"/>
      <c r="BW84" s="42"/>
      <c r="BX84" s="36"/>
      <c r="BY84" s="76"/>
      <c r="BZ84" s="42">
        <v>0</v>
      </c>
      <c r="CA84" s="959"/>
      <c r="CB84" s="41">
        <v>0</v>
      </c>
      <c r="CC84" s="41">
        <v>0</v>
      </c>
      <c r="CD84" s="960"/>
      <c r="CE84" s="76">
        <v>0</v>
      </c>
      <c r="CF84" s="55"/>
      <c r="CG84" s="41">
        <v>0</v>
      </c>
      <c r="CH84" s="38">
        <v>0</v>
      </c>
      <c r="CI84" s="76">
        <v>0</v>
      </c>
      <c r="CJ84" s="55"/>
      <c r="CK84" s="955"/>
      <c r="CL84" s="950"/>
      <c r="CM84" s="955"/>
      <c r="CN84" s="950">
        <v>0</v>
      </c>
      <c r="CO84" s="76">
        <v>70.595674441481407</v>
      </c>
      <c r="CP84" s="42">
        <v>0</v>
      </c>
      <c r="CQ84" s="5"/>
      <c r="CR84" s="76">
        <v>125.6314726853437</v>
      </c>
      <c r="CS84" s="954">
        <v>0</v>
      </c>
      <c r="CT84" s="5"/>
      <c r="CU84" s="76">
        <v>119.45823316845545</v>
      </c>
      <c r="CV84" s="42">
        <v>0</v>
      </c>
      <c r="CW84" s="5"/>
      <c r="CX84" s="76">
        <v>0</v>
      </c>
      <c r="CY84" s="42">
        <v>0</v>
      </c>
      <c r="CZ84" s="5"/>
      <c r="DA84" s="76">
        <v>0</v>
      </c>
      <c r="DB84" s="42">
        <v>602.73276355673079</v>
      </c>
      <c r="DC84" s="5"/>
      <c r="DD84" s="76">
        <v>35.019697931659508</v>
      </c>
      <c r="DE84" s="42">
        <v>0</v>
      </c>
      <c r="DF84" s="5"/>
      <c r="DG84" s="76">
        <v>0</v>
      </c>
      <c r="DH84" s="42"/>
      <c r="DI84" s="5"/>
      <c r="DJ84" s="42">
        <v>350.70507822694003</v>
      </c>
      <c r="DK84" s="42">
        <f t="shared" si="14"/>
        <v>602.73276355673079</v>
      </c>
      <c r="DL84" s="58">
        <f t="shared" si="15"/>
        <v>252.02768532979076</v>
      </c>
      <c r="DM84" s="2">
        <v>2</v>
      </c>
    </row>
    <row r="85" spans="1:117" ht="24.9" customHeight="1" x14ac:dyDescent="0.3">
      <c r="A85" s="318">
        <v>150000513</v>
      </c>
      <c r="B85" s="44" t="s">
        <v>333</v>
      </c>
      <c r="C85" s="956">
        <v>6</v>
      </c>
      <c r="D85" s="957" t="s">
        <v>454</v>
      </c>
      <c r="E85" s="949">
        <f>'побудинковий звіт'!E52</f>
        <v>1469.4299999999998</v>
      </c>
      <c r="F85" s="950">
        <f>'побудинковий звіт'!AS52</f>
        <v>24264.398841207098</v>
      </c>
      <c r="G85" s="950">
        <f t="shared" si="8"/>
        <v>26426.693973976271</v>
      </c>
      <c r="H85" s="950">
        <f t="shared" si="9"/>
        <v>2162.2951327691735</v>
      </c>
      <c r="I85" s="42">
        <f>'[2]поточний ремонт'!I85+'[1]поточний ремонт'!I85</f>
        <v>0</v>
      </c>
      <c r="J85" s="42">
        <f>'[2]поточний ремонт'!J85+'[1]поточний ремонт'!J85</f>
        <v>0</v>
      </c>
      <c r="K85" s="958"/>
      <c r="L85" s="42">
        <f>'[2]поточний ремонт'!L85+'[1]поточний ремонт'!L85</f>
        <v>0</v>
      </c>
      <c r="M85" s="42">
        <f>'[2]поточний ремонт'!M85+'[1]поточний ремонт'!M85</f>
        <v>0</v>
      </c>
      <c r="N85" s="36"/>
      <c r="O85" s="42">
        <f>'[2]поточний ремонт'!O85+'[1]поточний ремонт'!O85</f>
        <v>0</v>
      </c>
      <c r="P85" s="42">
        <f>'[2]поточний ремонт'!P85+'[1]поточний ремонт'!P85</f>
        <v>0</v>
      </c>
      <c r="Q85" s="959"/>
      <c r="R85" s="42">
        <f>'[2]поточний ремонт'!R85+'[1]поточний ремонт'!R85</f>
        <v>0</v>
      </c>
      <c r="S85" s="42">
        <f>'[2]поточний ремонт'!S85+'[1]поточний ремонт'!S85</f>
        <v>0</v>
      </c>
      <c r="T85" s="960"/>
      <c r="U85" s="42">
        <f>'[2]поточний ремонт'!U85+'[1]поточний ремонт'!U85</f>
        <v>0</v>
      </c>
      <c r="V85" s="42">
        <f>'[2]поточний ремонт'!V85+'[1]поточний ремонт'!V85</f>
        <v>0</v>
      </c>
      <c r="W85" s="42">
        <f>'[2]поточний ремонт'!W85+'[1]поточний ремонт'!W85</f>
        <v>0</v>
      </c>
      <c r="X85" s="42">
        <f>'[2]поточний ремонт'!X85+'[1]поточний ремонт'!X85</f>
        <v>0</v>
      </c>
      <c r="Y85" s="42">
        <f>'[2]поточний ремонт'!Y85+'[1]поточний ремонт'!Y85</f>
        <v>16963.276291658505</v>
      </c>
      <c r="Z85" s="42">
        <f>'[2]поточний ремонт'!Z85+'[1]поточний ремонт'!Z85</f>
        <v>0</v>
      </c>
      <c r="AA85" s="42">
        <f>'[2]поточний ремонт'!AA85+'[1]поточний ремонт'!AA85</f>
        <v>0</v>
      </c>
      <c r="AB85" s="42">
        <f>'[2]поточний ремонт'!AB85+'[1]поточний ремонт'!AB85</f>
        <v>0</v>
      </c>
      <c r="AC85" s="42">
        <f>'[2]поточний ремонт'!AC85+'[1]поточний ремонт'!AC85</f>
        <v>5311.4236627943292</v>
      </c>
      <c r="AD85" s="42">
        <f>'[2]поточний ремонт'!AD85+'[1]поточний ремонт'!AD85</f>
        <v>4151.9940195234367</v>
      </c>
      <c r="AE85" s="42">
        <f>'[2]поточний ремонт'!AE85+'[1]поточний ремонт'!AE85</f>
        <v>1604.1208706321268</v>
      </c>
      <c r="AF85" s="42">
        <f>'[2]поточний ремонт'!AF85+'[1]поточний ремонт'!AF85</f>
        <v>0</v>
      </c>
      <c r="AG85" s="5"/>
      <c r="AH85" s="42">
        <f>'[2]поточний ремонт'!AH85+'[1]поточний ремонт'!AH85</f>
        <v>2149.0840849573774</v>
      </c>
      <c r="AI85" s="42">
        <f>'[2]поточний ремонт'!AI85+'[1]поточний ремонт'!AI85</f>
        <v>0</v>
      </c>
      <c r="AJ85" s="5"/>
      <c r="AK85" s="42">
        <f>'[2]поточний ремонт'!AK85+'[1]поточний ремонт'!AK85</f>
        <v>2595.4654728001951</v>
      </c>
      <c r="AL85" s="42">
        <f>'[2]поточний ремонт'!AL85+'[1]поточний ремонт'!AL85</f>
        <v>9563.0944083643353</v>
      </c>
      <c r="AM85" s="5"/>
      <c r="AN85" s="42">
        <f>'[2]поточний ремонт'!AN85+'[1]поточний ремонт'!AN85</f>
        <v>1066.6200087996936</v>
      </c>
      <c r="AO85" s="42">
        <f>'[2]поточний ремонт'!AO85+'[1]поточний ремонт'!AO85</f>
        <v>0</v>
      </c>
      <c r="AP85" s="5"/>
      <c r="AQ85" s="42">
        <f>'[2]поточний ремонт'!AQ85+'[1]поточний ремонт'!AQ85</f>
        <v>390.61659625884829</v>
      </c>
      <c r="AR85" s="42">
        <f>'[2]поточний ремонт'!AR85+'[1]поточний ремонт'!AR85</f>
        <v>0</v>
      </c>
      <c r="AS85" s="5"/>
      <c r="AT85" s="42">
        <f>'[2]поточний ремонт'!AT85+'[1]поточний ремонт'!AT85</f>
        <v>612.3268306109494</v>
      </c>
      <c r="AU85" s="42">
        <f>'[2]поточний ремонт'!AU85+'[1]поточний ремонт'!AU85</f>
        <v>2861.2110204274854</v>
      </c>
      <c r="AV85" s="5"/>
      <c r="AW85" s="42">
        <f>'[2]поточний ремонт'!AW85+'[1]поточний ремонт'!AW85</f>
        <v>53.989264928896702</v>
      </c>
      <c r="AX85" s="42">
        <f>'[2]поточний ремонт'!AX85+'[1]поточний ремонт'!AX85</f>
        <v>5934.5907324580003</v>
      </c>
      <c r="AY85" s="5"/>
      <c r="AZ85" s="42">
        <f t="shared" si="10"/>
        <v>8472.2231289880874</v>
      </c>
      <c r="BA85" s="42">
        <f t="shared" si="11"/>
        <v>18358.896161249821</v>
      </c>
      <c r="BB85" s="58">
        <f t="shared" si="12"/>
        <v>9886.6730322617332</v>
      </c>
      <c r="BD85" s="2">
        <v>2</v>
      </c>
      <c r="BF85" s="29">
        <v>5.2512988782811059</v>
      </c>
      <c r="BG85" s="318">
        <v>150000513</v>
      </c>
      <c r="BI85" s="104">
        <v>0</v>
      </c>
      <c r="BJ85" s="104">
        <f t="shared" si="13"/>
        <v>0</v>
      </c>
      <c r="BK85" s="104">
        <v>0</v>
      </c>
      <c r="BL85" s="38"/>
      <c r="BM85" s="3"/>
      <c r="BN85" s="3">
        <v>0</v>
      </c>
      <c r="BP85" s="3"/>
      <c r="BQ85" s="3"/>
      <c r="BS85" s="42"/>
      <c r="BT85" s="42">
        <v>0</v>
      </c>
      <c r="BU85" s="958"/>
      <c r="BV85" s="41"/>
      <c r="BW85" s="42"/>
      <c r="BX85" s="36"/>
      <c r="BY85" s="76"/>
      <c r="BZ85" s="42">
        <v>0</v>
      </c>
      <c r="CA85" s="959"/>
      <c r="CB85" s="41">
        <v>0</v>
      </c>
      <c r="CC85" s="41">
        <v>0</v>
      </c>
      <c r="CD85" s="960"/>
      <c r="CE85" s="76">
        <v>0</v>
      </c>
      <c r="CF85" s="55"/>
      <c r="CG85" s="41">
        <v>0</v>
      </c>
      <c r="CH85" s="38">
        <v>0</v>
      </c>
      <c r="CI85" s="76">
        <v>12574.847177704429</v>
      </c>
      <c r="CJ85" s="55"/>
      <c r="CK85" s="955"/>
      <c r="CL85" s="950"/>
      <c r="CM85" s="955"/>
      <c r="CN85" s="950">
        <v>0</v>
      </c>
      <c r="CO85" s="76">
        <v>127.18333563388848</v>
      </c>
      <c r="CP85" s="42">
        <v>0</v>
      </c>
      <c r="CQ85" s="5"/>
      <c r="CR85" s="76">
        <v>173.75147446923006</v>
      </c>
      <c r="CS85" s="954">
        <v>0</v>
      </c>
      <c r="CT85" s="5"/>
      <c r="CU85" s="76">
        <v>214.32563800043778</v>
      </c>
      <c r="CV85" s="42">
        <v>0</v>
      </c>
      <c r="CW85" s="5"/>
      <c r="CX85" s="76">
        <v>82.057717972193146</v>
      </c>
      <c r="CY85" s="42">
        <v>0</v>
      </c>
      <c r="CZ85" s="5"/>
      <c r="DA85" s="76">
        <v>34.489628303940485</v>
      </c>
      <c r="DB85" s="42">
        <v>0</v>
      </c>
      <c r="DC85" s="5"/>
      <c r="DD85" s="76">
        <v>36.876583345726203</v>
      </c>
      <c r="DE85" s="42">
        <v>0</v>
      </c>
      <c r="DF85" s="5"/>
      <c r="DG85" s="76">
        <v>0</v>
      </c>
      <c r="DH85" s="42"/>
      <c r="DI85" s="5"/>
      <c r="DJ85" s="42">
        <v>668.68437772541608</v>
      </c>
      <c r="DK85" s="42">
        <f t="shared" si="14"/>
        <v>0</v>
      </c>
      <c r="DL85" s="58">
        <f t="shared" si="15"/>
        <v>-668.68437772541608</v>
      </c>
      <c r="DM85" s="2">
        <v>2</v>
      </c>
    </row>
    <row r="86" spans="1:117" ht="24.9" customHeight="1" x14ac:dyDescent="0.3">
      <c r="A86" s="318">
        <v>150000538</v>
      </c>
      <c r="B86" s="44" t="s">
        <v>207</v>
      </c>
      <c r="C86" s="956">
        <v>4</v>
      </c>
      <c r="D86" s="957" t="s">
        <v>454</v>
      </c>
      <c r="E86" s="949">
        <f>'побудинковий звіт'!E53</f>
        <v>4089.1</v>
      </c>
      <c r="F86" s="950">
        <f>'побудинковий звіт'!AS53</f>
        <v>77972.133682478205</v>
      </c>
      <c r="G86" s="950">
        <f t="shared" si="8"/>
        <v>0</v>
      </c>
      <c r="H86" s="950">
        <f t="shared" si="9"/>
        <v>-77972.133682478205</v>
      </c>
      <c r="I86" s="42">
        <f>'[2]поточний ремонт'!I86+'[1]поточний ремонт'!I86</f>
        <v>0</v>
      </c>
      <c r="J86" s="42">
        <f>'[2]поточний ремонт'!J86+'[1]поточний ремонт'!J86</f>
        <v>0</v>
      </c>
      <c r="K86" s="958"/>
      <c r="L86" s="42">
        <f>'[2]поточний ремонт'!L86+'[1]поточний ремонт'!L86</f>
        <v>0</v>
      </c>
      <c r="M86" s="42">
        <f>'[2]поточний ремонт'!M86+'[1]поточний ремонт'!M86</f>
        <v>0</v>
      </c>
      <c r="N86" s="36"/>
      <c r="O86" s="42">
        <f>'[2]поточний ремонт'!O86+'[1]поточний ремонт'!O86</f>
        <v>0</v>
      </c>
      <c r="P86" s="42">
        <f>'[2]поточний ремонт'!P86+'[1]поточний ремонт'!P86</f>
        <v>0</v>
      </c>
      <c r="Q86" s="959"/>
      <c r="R86" s="42">
        <f>'[2]поточний ремонт'!R86+'[1]поточний ремонт'!R86</f>
        <v>0</v>
      </c>
      <c r="S86" s="42">
        <f>'[2]поточний ремонт'!S86+'[1]поточний ремонт'!S86</f>
        <v>0</v>
      </c>
      <c r="T86" s="960"/>
      <c r="U86" s="42">
        <f>'[2]поточний ремонт'!U86+'[1]поточний ремонт'!U86</f>
        <v>0</v>
      </c>
      <c r="V86" s="42">
        <f>'[2]поточний ремонт'!V86+'[1]поточний ремонт'!V86</f>
        <v>0</v>
      </c>
      <c r="W86" s="42">
        <f>'[2]поточний ремонт'!W86+'[1]поточний ремонт'!W86</f>
        <v>0</v>
      </c>
      <c r="X86" s="42">
        <f>'[2]поточний ремонт'!X86+'[1]поточний ремонт'!X86</f>
        <v>0</v>
      </c>
      <c r="Y86" s="42">
        <f>'[2]поточний ремонт'!Y86+'[1]поточний ремонт'!Y86</f>
        <v>0</v>
      </c>
      <c r="Z86" s="42">
        <f>'[2]поточний ремонт'!Z86+'[1]поточний ремонт'!Z86</f>
        <v>0</v>
      </c>
      <c r="AA86" s="42">
        <f>'[2]поточний ремонт'!AA86+'[1]поточний ремонт'!AA86</f>
        <v>0</v>
      </c>
      <c r="AB86" s="42">
        <f>'[2]поточний ремонт'!AB86+'[1]поточний ремонт'!AB86</f>
        <v>0</v>
      </c>
      <c r="AC86" s="42">
        <f>'[2]поточний ремонт'!AC86+'[1]поточний ремонт'!AC86</f>
        <v>0</v>
      </c>
      <c r="AD86" s="42">
        <f>'[2]поточний ремонт'!AD86+'[1]поточний ремонт'!AD86</f>
        <v>0</v>
      </c>
      <c r="AE86" s="42">
        <f>'[2]поточний ремонт'!AE86+'[1]поточний ремонт'!AE86</f>
        <v>772.76579124497778</v>
      </c>
      <c r="AF86" s="42">
        <f>'[2]поточний ремонт'!AF86+'[1]поточний ремонт'!AF86</f>
        <v>0</v>
      </c>
      <c r="AG86" s="5"/>
      <c r="AH86" s="42">
        <f>'[2]поточний ремонт'!AH86+'[1]поточний ремонт'!AH86</f>
        <v>894.01307699847462</v>
      </c>
      <c r="AI86" s="42">
        <f>'[2]поточний ремонт'!AI86+'[1]поточний ремонт'!AI86</f>
        <v>0</v>
      </c>
      <c r="AJ86" s="5"/>
      <c r="AK86" s="42">
        <f>'[2]поточний ремонт'!AK86+'[1]поточний ремонт'!AK86</f>
        <v>1072.1771810193156</v>
      </c>
      <c r="AL86" s="42">
        <f>'[2]поточний ремонт'!AL86+'[1]поточний ремонт'!AL86</f>
        <v>0</v>
      </c>
      <c r="AM86" s="5"/>
      <c r="AN86" s="42">
        <f>'[2]поточний ремонт'!AN86+'[1]поточний ремонт'!AN86</f>
        <v>0</v>
      </c>
      <c r="AO86" s="42">
        <f>'[2]поточний ремонт'!AO86+'[1]поточний ремонт'!AO86</f>
        <v>0</v>
      </c>
      <c r="AP86" s="5"/>
      <c r="AQ86" s="42">
        <f>'[2]поточний ремонт'!AQ86+'[1]поточний ремонт'!AQ86</f>
        <v>66.163852782859806</v>
      </c>
      <c r="AR86" s="42">
        <f>'[2]поточний ремонт'!AR86+'[1]поточний ремонт'!AR86</f>
        <v>0</v>
      </c>
      <c r="AS86" s="5"/>
      <c r="AT86" s="42">
        <f>'[2]поточний ремонт'!AT86+'[1]поточний ремонт'!AT86</f>
        <v>473.6254414042063</v>
      </c>
      <c r="AU86" s="42">
        <f>'[2]поточний ремонт'!AU86+'[1]поточний ремонт'!AU86</f>
        <v>0</v>
      </c>
      <c r="AV86" s="5"/>
      <c r="AW86" s="42">
        <f>'[2]поточний ремонт'!AW86+'[1]поточний ремонт'!AW86</f>
        <v>53.989264928896702</v>
      </c>
      <c r="AX86" s="42">
        <f>'[2]поточний ремонт'!AX86+'[1]поточний ремонт'!AX86</f>
        <v>0</v>
      </c>
      <c r="AY86" s="5"/>
      <c r="AZ86" s="42">
        <f t="shared" si="10"/>
        <v>3332.7346083787311</v>
      </c>
      <c r="BA86" s="42">
        <f t="shared" si="11"/>
        <v>0</v>
      </c>
      <c r="BB86" s="58">
        <f t="shared" si="12"/>
        <v>-3332.7346083787311</v>
      </c>
      <c r="BD86" s="2">
        <v>2</v>
      </c>
      <c r="BF86" s="29">
        <v>2.1460014023080682</v>
      </c>
      <c r="BG86" s="318">
        <v>150000538</v>
      </c>
      <c r="BI86" s="104">
        <v>0</v>
      </c>
      <c r="BJ86" s="104">
        <f t="shared" si="13"/>
        <v>0</v>
      </c>
      <c r="BK86" s="104">
        <v>0</v>
      </c>
      <c r="BL86" s="38"/>
      <c r="BM86" s="3"/>
      <c r="BN86" s="3">
        <v>0</v>
      </c>
      <c r="BP86" s="3"/>
      <c r="BQ86" s="3"/>
      <c r="BS86" s="42"/>
      <c r="BT86" s="42">
        <v>0</v>
      </c>
      <c r="BU86" s="958"/>
      <c r="BV86" s="41"/>
      <c r="BW86" s="42"/>
      <c r="BX86" s="36"/>
      <c r="BY86" s="76"/>
      <c r="BZ86" s="42">
        <v>0</v>
      </c>
      <c r="CA86" s="959"/>
      <c r="CB86" s="41">
        <v>0</v>
      </c>
      <c r="CC86" s="41">
        <v>0</v>
      </c>
      <c r="CD86" s="960"/>
      <c r="CE86" s="76">
        <v>0</v>
      </c>
      <c r="CF86" s="55"/>
      <c r="CG86" s="41">
        <v>0</v>
      </c>
      <c r="CH86" s="38">
        <v>0</v>
      </c>
      <c r="CI86" s="76">
        <v>0</v>
      </c>
      <c r="CJ86" s="55"/>
      <c r="CK86" s="955"/>
      <c r="CL86" s="950"/>
      <c r="CM86" s="955"/>
      <c r="CN86" s="950">
        <v>0</v>
      </c>
      <c r="CO86" s="76">
        <v>62.285310400733074</v>
      </c>
      <c r="CP86" s="42">
        <v>0</v>
      </c>
      <c r="CQ86" s="5"/>
      <c r="CR86" s="76">
        <v>76.807407836933493</v>
      </c>
      <c r="CS86" s="954">
        <v>0</v>
      </c>
      <c r="CT86" s="5"/>
      <c r="CU86" s="76">
        <v>93.699044819561607</v>
      </c>
      <c r="CV86" s="42">
        <v>0</v>
      </c>
      <c r="CW86" s="5"/>
      <c r="CX86" s="76">
        <v>0</v>
      </c>
      <c r="CY86" s="42">
        <v>0</v>
      </c>
      <c r="CZ86" s="5"/>
      <c r="DA86" s="76">
        <v>0</v>
      </c>
      <c r="DB86" s="42">
        <v>0</v>
      </c>
      <c r="DC86" s="5"/>
      <c r="DD86" s="76">
        <v>30.028070076793693</v>
      </c>
      <c r="DE86" s="42">
        <v>0</v>
      </c>
      <c r="DF86" s="5"/>
      <c r="DG86" s="76">
        <v>0</v>
      </c>
      <c r="DH86" s="42"/>
      <c r="DI86" s="5"/>
      <c r="DJ86" s="42">
        <v>262.81983313402185</v>
      </c>
      <c r="DK86" s="42">
        <f t="shared" si="14"/>
        <v>0</v>
      </c>
      <c r="DL86" s="58">
        <f t="shared" si="15"/>
        <v>-262.81983313402185</v>
      </c>
      <c r="DM86" s="2">
        <v>2</v>
      </c>
    </row>
    <row r="87" spans="1:117" ht="24.9" customHeight="1" x14ac:dyDescent="0.3">
      <c r="A87" s="318">
        <v>150000514</v>
      </c>
      <c r="B87" s="44" t="s">
        <v>151</v>
      </c>
      <c r="C87" s="956">
        <v>2</v>
      </c>
      <c r="D87" s="957" t="s">
        <v>454</v>
      </c>
      <c r="E87" s="949">
        <f>'побудинковий звіт'!E54</f>
        <v>298.60000000000002</v>
      </c>
      <c r="F87" s="950">
        <f>'побудинковий звіт'!AS54</f>
        <v>3645.9734012287681</v>
      </c>
      <c r="G87" s="950">
        <f t="shared" si="8"/>
        <v>0</v>
      </c>
      <c r="H87" s="950">
        <f t="shared" si="9"/>
        <v>-3645.9734012287681</v>
      </c>
      <c r="I87" s="42">
        <f>'[2]поточний ремонт'!I87+'[1]поточний ремонт'!I87</f>
        <v>0</v>
      </c>
      <c r="J87" s="42">
        <f>'[2]поточний ремонт'!J87+'[1]поточний ремонт'!J87</f>
        <v>0</v>
      </c>
      <c r="K87" s="958"/>
      <c r="L87" s="42">
        <f>'[2]поточний ремонт'!L87+'[1]поточний ремонт'!L87</f>
        <v>0</v>
      </c>
      <c r="M87" s="42">
        <f>'[2]поточний ремонт'!M87+'[1]поточний ремонт'!M87</f>
        <v>0</v>
      </c>
      <c r="N87" s="36"/>
      <c r="O87" s="42">
        <f>'[2]поточний ремонт'!O87+'[1]поточний ремонт'!O87</f>
        <v>0</v>
      </c>
      <c r="P87" s="42">
        <f>'[2]поточний ремонт'!P87+'[1]поточний ремонт'!P87</f>
        <v>0</v>
      </c>
      <c r="Q87" s="959"/>
      <c r="R87" s="42">
        <f>'[2]поточний ремонт'!R87+'[1]поточний ремонт'!R87</f>
        <v>0</v>
      </c>
      <c r="S87" s="42">
        <f>'[2]поточний ремонт'!S87+'[1]поточний ремонт'!S87</f>
        <v>0</v>
      </c>
      <c r="T87" s="960"/>
      <c r="U87" s="42">
        <f>'[2]поточний ремонт'!U87+'[1]поточний ремонт'!U87</f>
        <v>0</v>
      </c>
      <c r="V87" s="42">
        <f>'[2]поточний ремонт'!V87+'[1]поточний ремонт'!V87</f>
        <v>0</v>
      </c>
      <c r="W87" s="42">
        <f>'[2]поточний ремонт'!W87+'[1]поточний ремонт'!W87</f>
        <v>0</v>
      </c>
      <c r="X87" s="42">
        <f>'[2]поточний ремонт'!X87+'[1]поточний ремонт'!X87</f>
        <v>0</v>
      </c>
      <c r="Y87" s="42">
        <f>'[2]поточний ремонт'!Y87+'[1]поточний ремонт'!Y87</f>
        <v>0</v>
      </c>
      <c r="Z87" s="42">
        <f>'[2]поточний ремонт'!Z87+'[1]поточний ремонт'!Z87</f>
        <v>0</v>
      </c>
      <c r="AA87" s="42">
        <f>'[2]поточний ремонт'!AA87+'[1]поточний ремонт'!AA87</f>
        <v>0</v>
      </c>
      <c r="AB87" s="42">
        <f>'[2]поточний ремонт'!AB87+'[1]поточний ремонт'!AB87</f>
        <v>0</v>
      </c>
      <c r="AC87" s="42">
        <f>'[2]поточний ремонт'!AC87+'[1]поточний ремонт'!AC87</f>
        <v>0</v>
      </c>
      <c r="AD87" s="42">
        <f>'[2]поточний ремонт'!AD87+'[1]поточний ремонт'!AD87</f>
        <v>0</v>
      </c>
      <c r="AE87" s="42">
        <f>'[2]поточний ремонт'!AE87+'[1]поточний ремонт'!AE87</f>
        <v>313.46260571746529</v>
      </c>
      <c r="AF87" s="42">
        <f>'[2]поточний ремонт'!AF87+'[1]поточний ремонт'!AF87</f>
        <v>0</v>
      </c>
      <c r="AG87" s="5"/>
      <c r="AH87" s="42">
        <f>'[2]поточний ремонт'!AH87+'[1]поточний ремонт'!AH87</f>
        <v>429.08986402191289</v>
      </c>
      <c r="AI87" s="42">
        <f>'[2]поточний ремонт'!AI87+'[1]поточний ремонт'!AI87</f>
        <v>0</v>
      </c>
      <c r="AJ87" s="5"/>
      <c r="AK87" s="42">
        <f>'[2]поточний ремонт'!AK87+'[1]поточний ремонт'!AK87</f>
        <v>91.003255736855593</v>
      </c>
      <c r="AL87" s="42">
        <f>'[2]поточний ремонт'!AL87+'[1]поточний ремонт'!AL87</f>
        <v>0</v>
      </c>
      <c r="AM87" s="5"/>
      <c r="AN87" s="42">
        <f>'[2]поточний ремонт'!AN87+'[1]поточний ремонт'!AN87</f>
        <v>0</v>
      </c>
      <c r="AO87" s="42">
        <f>'[2]поточний ремонт'!AO87+'[1]поточний ремонт'!AO87</f>
        <v>0</v>
      </c>
      <c r="AP87" s="5"/>
      <c r="AQ87" s="42">
        <f>'[2]поточний ремонт'!AQ87+'[1]поточний ремонт'!AQ87</f>
        <v>0</v>
      </c>
      <c r="AR87" s="42">
        <f>'[2]поточний ремонт'!AR87+'[1]поточний ремонт'!AR87</f>
        <v>0</v>
      </c>
      <c r="AS87" s="5"/>
      <c r="AT87" s="42">
        <f>'[2]поточний ремонт'!AT87+'[1]поточний ремонт'!AT87</f>
        <v>104.99797752135547</v>
      </c>
      <c r="AU87" s="42">
        <f>'[2]поточний ремонт'!AU87+'[1]поточний ремонт'!AU87</f>
        <v>0</v>
      </c>
      <c r="AV87" s="5"/>
      <c r="AW87" s="42">
        <f>'[2]поточний ремонт'!AW87+'[1]поточний ремонт'!AW87</f>
        <v>11.042545761168878</v>
      </c>
      <c r="AX87" s="42">
        <f>'[2]поточний ремонт'!AX87+'[1]поточний ремонт'!AX87</f>
        <v>0</v>
      </c>
      <c r="AY87" s="5"/>
      <c r="AZ87" s="42">
        <f t="shared" si="10"/>
        <v>949.59624875875818</v>
      </c>
      <c r="BA87" s="42">
        <f t="shared" si="11"/>
        <v>0</v>
      </c>
      <c r="BB87" s="58">
        <f t="shared" si="12"/>
        <v>-949.59624875875818</v>
      </c>
      <c r="BD87" s="2">
        <v>2</v>
      </c>
      <c r="BF87" s="29">
        <v>0.37025206253664689</v>
      </c>
      <c r="BG87" s="318">
        <v>150000514</v>
      </c>
      <c r="BI87" s="104">
        <v>0</v>
      </c>
      <c r="BJ87" s="104">
        <f t="shared" si="13"/>
        <v>0</v>
      </c>
      <c r="BK87" s="104">
        <v>0</v>
      </c>
      <c r="BL87" s="38"/>
      <c r="BM87" s="3"/>
      <c r="BN87" s="3">
        <v>0</v>
      </c>
      <c r="BP87" s="3"/>
      <c r="BQ87" s="3"/>
      <c r="BS87" s="42"/>
      <c r="BT87" s="42">
        <v>0</v>
      </c>
      <c r="BU87" s="958"/>
      <c r="BV87" s="41"/>
      <c r="BW87" s="42"/>
      <c r="BX87" s="36"/>
      <c r="BY87" s="76"/>
      <c r="BZ87" s="42">
        <v>0</v>
      </c>
      <c r="CA87" s="959"/>
      <c r="CB87" s="41">
        <v>0</v>
      </c>
      <c r="CC87" s="41">
        <v>0</v>
      </c>
      <c r="CD87" s="960"/>
      <c r="CE87" s="76">
        <v>0</v>
      </c>
      <c r="CF87" s="55"/>
      <c r="CG87" s="41">
        <v>0</v>
      </c>
      <c r="CH87" s="38">
        <v>0</v>
      </c>
      <c r="CI87" s="76">
        <v>0</v>
      </c>
      <c r="CJ87" s="55"/>
      <c r="CK87" s="955"/>
      <c r="CL87" s="950"/>
      <c r="CM87" s="955"/>
      <c r="CN87" s="950">
        <v>0</v>
      </c>
      <c r="CO87" s="76">
        <v>25.897230972721005</v>
      </c>
      <c r="CP87" s="42">
        <v>0</v>
      </c>
      <c r="CQ87" s="5"/>
      <c r="CR87" s="76">
        <v>30.775406552125418</v>
      </c>
      <c r="CS87" s="954">
        <v>0</v>
      </c>
      <c r="CT87" s="5"/>
      <c r="CU87" s="76">
        <v>6.0518306708320306</v>
      </c>
      <c r="CV87" s="42">
        <v>0</v>
      </c>
      <c r="CW87" s="5"/>
      <c r="CX87" s="76">
        <v>0</v>
      </c>
      <c r="CY87" s="42">
        <v>0</v>
      </c>
      <c r="CZ87" s="5"/>
      <c r="DA87" s="76">
        <v>0</v>
      </c>
      <c r="DB87" s="42">
        <v>0</v>
      </c>
      <c r="DC87" s="5"/>
      <c r="DD87" s="76">
        <v>6.5655994250196654</v>
      </c>
      <c r="DE87" s="42">
        <v>0</v>
      </c>
      <c r="DF87" s="5"/>
      <c r="DG87" s="76">
        <v>0</v>
      </c>
      <c r="DH87" s="42"/>
      <c r="DI87" s="5"/>
      <c r="DJ87" s="42">
        <v>69.290067620698125</v>
      </c>
      <c r="DK87" s="42">
        <f t="shared" si="14"/>
        <v>0</v>
      </c>
      <c r="DL87" s="58">
        <f t="shared" si="15"/>
        <v>-69.290067620698125</v>
      </c>
      <c r="DM87" s="2">
        <v>2</v>
      </c>
    </row>
    <row r="88" spans="1:117" ht="24.9" customHeight="1" x14ac:dyDescent="0.3">
      <c r="A88" s="318">
        <v>150000515</v>
      </c>
      <c r="B88" s="44" t="s">
        <v>53</v>
      </c>
      <c r="C88" s="956">
        <v>1</v>
      </c>
      <c r="D88" s="957" t="s">
        <v>454</v>
      </c>
      <c r="E88" s="949">
        <f>'побудинковий звіт'!E55</f>
        <v>298.39999999999998</v>
      </c>
      <c r="F88" s="950">
        <f>'побудинковий звіт'!AS55</f>
        <v>3651.1174642665414</v>
      </c>
      <c r="G88" s="950">
        <f t="shared" si="8"/>
        <v>3158.5233342702945</v>
      </c>
      <c r="H88" s="950">
        <f t="shared" si="9"/>
        <v>-492.59412999624692</v>
      </c>
      <c r="I88" s="42">
        <f>'[2]поточний ремонт'!I88+'[1]поточний ремонт'!I88</f>
        <v>5.0999999999999996</v>
      </c>
      <c r="J88" s="42">
        <f>'[2]поточний ремонт'!J88+'[1]поточний ремонт'!J88</f>
        <v>3158.5233342702945</v>
      </c>
      <c r="K88" s="958"/>
      <c r="L88" s="42">
        <f>'[2]поточний ремонт'!L88+'[1]поточний ремонт'!L88</f>
        <v>0</v>
      </c>
      <c r="M88" s="42">
        <f>'[2]поточний ремонт'!M88+'[1]поточний ремонт'!M88</f>
        <v>0</v>
      </c>
      <c r="N88" s="36"/>
      <c r="O88" s="42">
        <f>'[2]поточний ремонт'!O88+'[1]поточний ремонт'!O88</f>
        <v>0</v>
      </c>
      <c r="P88" s="42">
        <f>'[2]поточний ремонт'!P88+'[1]поточний ремонт'!P88</f>
        <v>0</v>
      </c>
      <c r="Q88" s="959"/>
      <c r="R88" s="42">
        <f>'[2]поточний ремонт'!R88+'[1]поточний ремонт'!R88</f>
        <v>0</v>
      </c>
      <c r="S88" s="42">
        <f>'[2]поточний ремонт'!S88+'[1]поточний ремонт'!S88</f>
        <v>0</v>
      </c>
      <c r="T88" s="960"/>
      <c r="U88" s="42">
        <f>'[2]поточний ремонт'!U88+'[1]поточний ремонт'!U88</f>
        <v>0</v>
      </c>
      <c r="V88" s="42">
        <f>'[2]поточний ремонт'!V88+'[1]поточний ремонт'!V88</f>
        <v>0</v>
      </c>
      <c r="W88" s="42">
        <f>'[2]поточний ремонт'!W88+'[1]поточний ремонт'!W88</f>
        <v>0</v>
      </c>
      <c r="X88" s="42">
        <f>'[2]поточний ремонт'!X88+'[1]поточний ремонт'!X88</f>
        <v>0</v>
      </c>
      <c r="Y88" s="42">
        <f>'[2]поточний ремонт'!Y88+'[1]поточний ремонт'!Y88</f>
        <v>0</v>
      </c>
      <c r="Z88" s="42">
        <f>'[2]поточний ремонт'!Z88+'[1]поточний ремонт'!Z88</f>
        <v>0</v>
      </c>
      <c r="AA88" s="42">
        <f>'[2]поточний ремонт'!AA88+'[1]поточний ремонт'!AA88</f>
        <v>0</v>
      </c>
      <c r="AB88" s="42">
        <f>'[2]поточний ремонт'!AB88+'[1]поточний ремонт'!AB88</f>
        <v>0</v>
      </c>
      <c r="AC88" s="42">
        <f>'[2]поточний ремонт'!AC88+'[1]поточний ремонт'!AC88</f>
        <v>0</v>
      </c>
      <c r="AD88" s="42">
        <f>'[2]поточний ремонт'!AD88+'[1]поточний ремонт'!AD88</f>
        <v>0</v>
      </c>
      <c r="AE88" s="42">
        <f>'[2]поточний ремонт'!AE88+'[1]поточний ремонт'!AE88</f>
        <v>0</v>
      </c>
      <c r="AF88" s="42">
        <f>'[2]поточний ремонт'!AF88+'[1]поточний ремонт'!AF88</f>
        <v>0</v>
      </c>
      <c r="AG88" s="5"/>
      <c r="AH88" s="42">
        <f>'[2]поточний ремонт'!AH88+'[1]поточний ремонт'!AH88</f>
        <v>0</v>
      </c>
      <c r="AI88" s="42">
        <f>'[2]поточний ремонт'!AI88+'[1]поточний ремонт'!AI88</f>
        <v>0</v>
      </c>
      <c r="AJ88" s="5"/>
      <c r="AK88" s="42">
        <f>'[2]поточний ремонт'!AK88+'[1]поточний ремонт'!AK88</f>
        <v>0</v>
      </c>
      <c r="AL88" s="42">
        <f>'[2]поточний ремонт'!AL88+'[1]поточний ремонт'!AL88</f>
        <v>0</v>
      </c>
      <c r="AM88" s="5"/>
      <c r="AN88" s="42">
        <f>'[2]поточний ремонт'!AN88+'[1]поточний ремонт'!AN88</f>
        <v>0</v>
      </c>
      <c r="AO88" s="42">
        <f>'[2]поточний ремонт'!AO88+'[1]поточний ремонт'!AO88</f>
        <v>0</v>
      </c>
      <c r="AP88" s="5"/>
      <c r="AQ88" s="42">
        <f>'[2]поточний ремонт'!AQ88+'[1]поточний ремонт'!AQ88</f>
        <v>0</v>
      </c>
      <c r="AR88" s="42">
        <f>'[2]поточний ремонт'!AR88+'[1]поточний ремонт'!AR88</f>
        <v>0</v>
      </c>
      <c r="AS88" s="5"/>
      <c r="AT88" s="42">
        <f>'[2]поточний ремонт'!AT88+'[1]поточний ремонт'!AT88</f>
        <v>0</v>
      </c>
      <c r="AU88" s="42">
        <f>'[2]поточний ремонт'!AU88+'[1]поточний ремонт'!AU88</f>
        <v>0</v>
      </c>
      <c r="AV88" s="5"/>
      <c r="AW88" s="42">
        <f>'[2]поточний ремонт'!AW88+'[1]поточний ремонт'!AW88</f>
        <v>0</v>
      </c>
      <c r="AX88" s="42">
        <f>'[2]поточний ремонт'!AX88+'[1]поточний ремонт'!AX88</f>
        <v>1673.295126862</v>
      </c>
      <c r="AY88" s="5"/>
      <c r="AZ88" s="42">
        <f t="shared" si="10"/>
        <v>0</v>
      </c>
      <c r="BA88" s="42">
        <f t="shared" si="11"/>
        <v>1673.295126862</v>
      </c>
      <c r="BB88" s="58">
        <f t="shared" si="12"/>
        <v>1673.295126862</v>
      </c>
      <c r="BD88" s="2">
        <v>2</v>
      </c>
      <c r="BF88" s="29">
        <v>0</v>
      </c>
      <c r="BG88" s="318">
        <v>150000515</v>
      </c>
      <c r="BI88" s="104">
        <v>0</v>
      </c>
      <c r="BJ88" s="104">
        <f t="shared" si="13"/>
        <v>0</v>
      </c>
      <c r="BK88" s="104">
        <v>0</v>
      </c>
      <c r="BL88" s="38"/>
      <c r="BM88" s="3"/>
      <c r="BN88" s="3">
        <v>0</v>
      </c>
      <c r="BP88" s="3"/>
      <c r="BQ88" s="3"/>
      <c r="BS88" s="42"/>
      <c r="BT88" s="42">
        <v>0</v>
      </c>
      <c r="BU88" s="958"/>
      <c r="BV88" s="41"/>
      <c r="BW88" s="42"/>
      <c r="BX88" s="36"/>
      <c r="BY88" s="76"/>
      <c r="BZ88" s="42">
        <v>0</v>
      </c>
      <c r="CA88" s="959"/>
      <c r="CB88" s="41">
        <v>0</v>
      </c>
      <c r="CC88" s="41">
        <v>0</v>
      </c>
      <c r="CD88" s="960"/>
      <c r="CE88" s="76">
        <v>0</v>
      </c>
      <c r="CF88" s="55"/>
      <c r="CG88" s="41">
        <v>0</v>
      </c>
      <c r="CH88" s="38">
        <v>0</v>
      </c>
      <c r="CI88" s="76">
        <v>0</v>
      </c>
      <c r="CJ88" s="55"/>
      <c r="CK88" s="955"/>
      <c r="CL88" s="950"/>
      <c r="CM88" s="955"/>
      <c r="CN88" s="950">
        <v>0</v>
      </c>
      <c r="CO88" s="76">
        <v>0</v>
      </c>
      <c r="CP88" s="42">
        <v>0</v>
      </c>
      <c r="CQ88" s="5"/>
      <c r="CR88" s="76">
        <v>0</v>
      </c>
      <c r="CS88" s="954">
        <v>0</v>
      </c>
      <c r="CT88" s="5"/>
      <c r="CU88" s="76">
        <v>0</v>
      </c>
      <c r="CV88" s="42">
        <v>0</v>
      </c>
      <c r="CW88" s="5"/>
      <c r="CX88" s="76">
        <v>0</v>
      </c>
      <c r="CY88" s="42">
        <v>0</v>
      </c>
      <c r="CZ88" s="5"/>
      <c r="DA88" s="76">
        <v>0</v>
      </c>
      <c r="DB88" s="42">
        <v>0</v>
      </c>
      <c r="DC88" s="5"/>
      <c r="DD88" s="76">
        <v>0</v>
      </c>
      <c r="DE88" s="42">
        <v>0</v>
      </c>
      <c r="DF88" s="5"/>
      <c r="DG88" s="76">
        <v>0</v>
      </c>
      <c r="DH88" s="42"/>
      <c r="DI88" s="5"/>
      <c r="DJ88" s="42">
        <v>0</v>
      </c>
      <c r="DK88" s="42">
        <f t="shared" si="14"/>
        <v>0</v>
      </c>
      <c r="DL88" s="58">
        <f t="shared" si="15"/>
        <v>0</v>
      </c>
      <c r="DM88" s="2">
        <v>2</v>
      </c>
    </row>
    <row r="89" spans="1:117" ht="24.9" customHeight="1" x14ac:dyDescent="0.3">
      <c r="A89" s="318">
        <v>150000539</v>
      </c>
      <c r="B89" s="44" t="s">
        <v>54</v>
      </c>
      <c r="C89" s="956">
        <v>1</v>
      </c>
      <c r="D89" s="957" t="s">
        <v>454</v>
      </c>
      <c r="E89" s="949">
        <f>'побудинковий звіт'!E56</f>
        <v>315.7</v>
      </c>
      <c r="F89" s="950">
        <f>'побудинковий звіт'!AS56</f>
        <v>3852.3472277861374</v>
      </c>
      <c r="G89" s="950">
        <f t="shared" si="8"/>
        <v>0</v>
      </c>
      <c r="H89" s="950">
        <f t="shared" si="9"/>
        <v>-3852.3472277861374</v>
      </c>
      <c r="I89" s="42">
        <f>'[2]поточний ремонт'!I89+'[1]поточний ремонт'!I89</f>
        <v>0</v>
      </c>
      <c r="J89" s="42">
        <f>'[2]поточний ремонт'!J89+'[1]поточний ремонт'!J89</f>
        <v>0</v>
      </c>
      <c r="K89" s="958"/>
      <c r="L89" s="42">
        <f>'[2]поточний ремонт'!L89+'[1]поточний ремонт'!L89</f>
        <v>0</v>
      </c>
      <c r="M89" s="42">
        <f>'[2]поточний ремонт'!M89+'[1]поточний ремонт'!M89</f>
        <v>0</v>
      </c>
      <c r="N89" s="36"/>
      <c r="O89" s="42">
        <f>'[2]поточний ремонт'!O89+'[1]поточний ремонт'!O89</f>
        <v>0</v>
      </c>
      <c r="P89" s="42">
        <f>'[2]поточний ремонт'!P89+'[1]поточний ремонт'!P89</f>
        <v>0</v>
      </c>
      <c r="Q89" s="959"/>
      <c r="R89" s="42">
        <f>'[2]поточний ремонт'!R89+'[1]поточний ремонт'!R89</f>
        <v>0</v>
      </c>
      <c r="S89" s="42">
        <f>'[2]поточний ремонт'!S89+'[1]поточний ремонт'!S89</f>
        <v>0</v>
      </c>
      <c r="T89" s="960"/>
      <c r="U89" s="42">
        <f>'[2]поточний ремонт'!U89+'[1]поточний ремонт'!U89</f>
        <v>0</v>
      </c>
      <c r="V89" s="42">
        <f>'[2]поточний ремонт'!V89+'[1]поточний ремонт'!V89</f>
        <v>0</v>
      </c>
      <c r="W89" s="42">
        <f>'[2]поточний ремонт'!W89+'[1]поточний ремонт'!W89</f>
        <v>0</v>
      </c>
      <c r="X89" s="42">
        <f>'[2]поточний ремонт'!X89+'[1]поточний ремонт'!X89</f>
        <v>0</v>
      </c>
      <c r="Y89" s="42">
        <f>'[2]поточний ремонт'!Y89+'[1]поточний ремонт'!Y89</f>
        <v>0</v>
      </c>
      <c r="Z89" s="42">
        <f>'[2]поточний ремонт'!Z89+'[1]поточний ремонт'!Z89</f>
        <v>0</v>
      </c>
      <c r="AA89" s="42">
        <f>'[2]поточний ремонт'!AA89+'[1]поточний ремонт'!AA89</f>
        <v>0</v>
      </c>
      <c r="AB89" s="42">
        <f>'[2]поточний ремонт'!AB89+'[1]поточний ремонт'!AB89</f>
        <v>0</v>
      </c>
      <c r="AC89" s="42">
        <f>'[2]поточний ремонт'!AC89+'[1]поточний ремонт'!AC89</f>
        <v>0</v>
      </c>
      <c r="AD89" s="42">
        <f>'[2]поточний ремонт'!AD89+'[1]поточний ремонт'!AD89</f>
        <v>0</v>
      </c>
      <c r="AE89" s="42">
        <f>'[2]поточний ремонт'!AE89+'[1]поточний ремонт'!AE89</f>
        <v>0</v>
      </c>
      <c r="AF89" s="42">
        <f>'[2]поточний ремонт'!AF89+'[1]поточний ремонт'!AF89</f>
        <v>0</v>
      </c>
      <c r="AG89" s="5"/>
      <c r="AH89" s="42">
        <f>'[2]поточний ремонт'!AH89+'[1]поточний ремонт'!AH89</f>
        <v>0</v>
      </c>
      <c r="AI89" s="42">
        <f>'[2]поточний ремонт'!AI89+'[1]поточний ремонт'!AI89</f>
        <v>0</v>
      </c>
      <c r="AJ89" s="5"/>
      <c r="AK89" s="42">
        <f>'[2]поточний ремонт'!AK89+'[1]поточний ремонт'!AK89</f>
        <v>0</v>
      </c>
      <c r="AL89" s="42">
        <f>'[2]поточний ремонт'!AL89+'[1]поточний ремонт'!AL89</f>
        <v>0</v>
      </c>
      <c r="AM89" s="5"/>
      <c r="AN89" s="42">
        <f>'[2]поточний ремонт'!AN89+'[1]поточний ремонт'!AN89</f>
        <v>0</v>
      </c>
      <c r="AO89" s="42">
        <f>'[2]поточний ремонт'!AO89+'[1]поточний ремонт'!AO89</f>
        <v>0</v>
      </c>
      <c r="AP89" s="5"/>
      <c r="AQ89" s="42">
        <f>'[2]поточний ремонт'!AQ89+'[1]поточний ремонт'!AQ89</f>
        <v>0</v>
      </c>
      <c r="AR89" s="42">
        <f>'[2]поточний ремонт'!AR89+'[1]поточний ремонт'!AR89</f>
        <v>0</v>
      </c>
      <c r="AS89" s="5"/>
      <c r="AT89" s="42">
        <f>'[2]поточний ремонт'!AT89+'[1]поточний ремонт'!AT89</f>
        <v>0</v>
      </c>
      <c r="AU89" s="42">
        <f>'[2]поточний ремонт'!AU89+'[1]поточний ремонт'!AU89</f>
        <v>0</v>
      </c>
      <c r="AV89" s="5"/>
      <c r="AW89" s="42">
        <f>'[2]поточний ремонт'!AW89+'[1]поточний ремонт'!AW89</f>
        <v>0</v>
      </c>
      <c r="AX89" s="42">
        <f>'[2]поточний ремонт'!AX89+'[1]поточний ремонт'!AX89</f>
        <v>0</v>
      </c>
      <c r="AY89" s="5"/>
      <c r="AZ89" s="42">
        <f t="shared" si="10"/>
        <v>0</v>
      </c>
      <c r="BA89" s="42">
        <f t="shared" si="11"/>
        <v>0</v>
      </c>
      <c r="BB89" s="58">
        <f t="shared" si="12"/>
        <v>0</v>
      </c>
      <c r="BD89" s="2">
        <v>2</v>
      </c>
      <c r="BF89" s="29">
        <v>0</v>
      </c>
      <c r="BG89" s="318">
        <v>150000539</v>
      </c>
      <c r="BI89" s="104">
        <v>0</v>
      </c>
      <c r="BJ89" s="104">
        <f t="shared" si="13"/>
        <v>0</v>
      </c>
      <c r="BK89" s="104">
        <v>0</v>
      </c>
      <c r="BL89" s="38"/>
      <c r="BM89" s="3"/>
      <c r="BN89" s="3">
        <v>0</v>
      </c>
      <c r="BP89" s="3"/>
      <c r="BQ89" s="3"/>
      <c r="BS89" s="42"/>
      <c r="BT89" s="42">
        <v>0</v>
      </c>
      <c r="BU89" s="958"/>
      <c r="BV89" s="41"/>
      <c r="BW89" s="42"/>
      <c r="BX89" s="36"/>
      <c r="BY89" s="76"/>
      <c r="BZ89" s="42">
        <v>0</v>
      </c>
      <c r="CA89" s="959"/>
      <c r="CB89" s="41">
        <v>0</v>
      </c>
      <c r="CC89" s="41">
        <v>0</v>
      </c>
      <c r="CD89" s="960"/>
      <c r="CE89" s="76">
        <v>0</v>
      </c>
      <c r="CF89" s="55"/>
      <c r="CG89" s="41">
        <v>0</v>
      </c>
      <c r="CH89" s="38">
        <v>0</v>
      </c>
      <c r="CI89" s="76">
        <v>0</v>
      </c>
      <c r="CJ89" s="55"/>
      <c r="CK89" s="955"/>
      <c r="CL89" s="950"/>
      <c r="CM89" s="955"/>
      <c r="CN89" s="950">
        <v>0</v>
      </c>
      <c r="CO89" s="76">
        <v>0</v>
      </c>
      <c r="CP89" s="42">
        <v>0</v>
      </c>
      <c r="CQ89" s="5"/>
      <c r="CR89" s="76">
        <v>0</v>
      </c>
      <c r="CS89" s="954">
        <v>0</v>
      </c>
      <c r="CT89" s="5"/>
      <c r="CU89" s="76">
        <v>0</v>
      </c>
      <c r="CV89" s="42">
        <v>0</v>
      </c>
      <c r="CW89" s="5"/>
      <c r="CX89" s="76">
        <v>0</v>
      </c>
      <c r="CY89" s="42">
        <v>0</v>
      </c>
      <c r="CZ89" s="5"/>
      <c r="DA89" s="76">
        <v>0</v>
      </c>
      <c r="DB89" s="42">
        <v>0</v>
      </c>
      <c r="DC89" s="5"/>
      <c r="DD89" s="76">
        <v>0</v>
      </c>
      <c r="DE89" s="42">
        <v>0</v>
      </c>
      <c r="DF89" s="5"/>
      <c r="DG89" s="76">
        <v>0</v>
      </c>
      <c r="DH89" s="42"/>
      <c r="DI89" s="5"/>
      <c r="DJ89" s="42">
        <v>0</v>
      </c>
      <c r="DK89" s="42">
        <f t="shared" si="14"/>
        <v>0</v>
      </c>
      <c r="DL89" s="58">
        <f t="shared" si="15"/>
        <v>0</v>
      </c>
      <c r="DM89" s="2">
        <v>2</v>
      </c>
    </row>
    <row r="90" spans="1:117" ht="24.9" customHeight="1" x14ac:dyDescent="0.3">
      <c r="A90" s="318">
        <v>150000517</v>
      </c>
      <c r="B90" s="44" t="s">
        <v>251</v>
      </c>
      <c r="C90" s="956">
        <v>5</v>
      </c>
      <c r="D90" s="957" t="s">
        <v>454</v>
      </c>
      <c r="E90" s="949">
        <f>'побудинковий звіт'!E57</f>
        <v>240.1</v>
      </c>
      <c r="F90" s="950">
        <f>'побудинковий звіт'!AS57</f>
        <v>3398.085213503</v>
      </c>
      <c r="G90" s="950">
        <f t="shared" si="8"/>
        <v>2334.8346163493156</v>
      </c>
      <c r="H90" s="950">
        <f t="shared" si="9"/>
        <v>-1063.2505971536843</v>
      </c>
      <c r="I90" s="42">
        <f>'[2]поточний ремонт'!I90+'[1]поточний ремонт'!I90</f>
        <v>2.85</v>
      </c>
      <c r="J90" s="42">
        <f>'[2]поточний ремонт'!J90+'[1]поточний ремонт'!J90</f>
        <v>2113.846816282065</v>
      </c>
      <c r="K90" s="958"/>
      <c r="L90" s="42">
        <f>'[2]поточний ремонт'!L90+'[1]поточний ремонт'!L90</f>
        <v>0</v>
      </c>
      <c r="M90" s="42">
        <f>'[2]поточний ремонт'!M90+'[1]поточний ремонт'!M90</f>
        <v>0</v>
      </c>
      <c r="N90" s="36"/>
      <c r="O90" s="42">
        <f>'[2]поточний ремонт'!O90+'[1]поточний ремонт'!O90</f>
        <v>0</v>
      </c>
      <c r="P90" s="42">
        <f>'[2]поточний ремонт'!P90+'[1]поточний ремонт'!P90</f>
        <v>0</v>
      </c>
      <c r="Q90" s="959"/>
      <c r="R90" s="42">
        <f>'[2]поточний ремонт'!R90+'[1]поточний ремонт'!R90</f>
        <v>0</v>
      </c>
      <c r="S90" s="42">
        <f>'[2]поточний ремонт'!S90+'[1]поточний ремонт'!S90</f>
        <v>0</v>
      </c>
      <c r="T90" s="960"/>
      <c r="U90" s="42">
        <f>'[2]поточний ремонт'!U90+'[1]поточний ремонт'!U90</f>
        <v>0</v>
      </c>
      <c r="V90" s="42">
        <f>'[2]поточний ремонт'!V90+'[1]поточний ремонт'!V90</f>
        <v>0</v>
      </c>
      <c r="W90" s="42">
        <f>'[2]поточний ремонт'!W90+'[1]поточний ремонт'!W90</f>
        <v>0</v>
      </c>
      <c r="X90" s="42">
        <f>'[2]поточний ремонт'!X90+'[1]поточний ремонт'!X90</f>
        <v>220.98780006725059</v>
      </c>
      <c r="Y90" s="42">
        <f>'[2]поточний ремонт'!Y90+'[1]поточний ремонт'!Y90</f>
        <v>0</v>
      </c>
      <c r="Z90" s="42">
        <f>'[2]поточний ремонт'!Z90+'[1]поточний ремонт'!Z90</f>
        <v>0</v>
      </c>
      <c r="AA90" s="42">
        <f>'[2]поточний ремонт'!AA90+'[1]поточний ремонт'!AA90</f>
        <v>0</v>
      </c>
      <c r="AB90" s="42">
        <f>'[2]поточний ремонт'!AB90+'[1]поточний ремонт'!AB90</f>
        <v>0</v>
      </c>
      <c r="AC90" s="42">
        <f>'[2]поточний ремонт'!AC90+'[1]поточний ремонт'!AC90</f>
        <v>0</v>
      </c>
      <c r="AD90" s="42">
        <f>'[2]поточний ремонт'!AD90+'[1]поточний ремонт'!AD90</f>
        <v>0</v>
      </c>
      <c r="AE90" s="42">
        <f>'[2]поточний ремонт'!AE90+'[1]поточний ремонт'!AE90</f>
        <v>1115.2736210971977</v>
      </c>
      <c r="AF90" s="42">
        <f>'[2]поточний ремонт'!AF90+'[1]поточний ремонт'!AF90</f>
        <v>0</v>
      </c>
      <c r="AG90" s="9"/>
      <c r="AH90" s="42">
        <f>'[2]поточний ремонт'!AH90+'[1]поточний ремонт'!AH90</f>
        <v>1437.4569325026566</v>
      </c>
      <c r="AI90" s="42">
        <f>'[2]поточний ремонт'!AI90+'[1]поточний ремонт'!AI90</f>
        <v>0</v>
      </c>
      <c r="AJ90" s="5"/>
      <c r="AK90" s="42">
        <f>'[2]поточний ремонт'!AK90+'[1]поточний ремонт'!AK90</f>
        <v>1476.9460170820989</v>
      </c>
      <c r="AL90" s="42">
        <f>'[2]поточний ремонт'!AL90+'[1]поточний ремонт'!AL90</f>
        <v>0</v>
      </c>
      <c r="AM90" s="5"/>
      <c r="AN90" s="42">
        <f>'[2]поточний ремонт'!AN90+'[1]поточний ремонт'!AN90</f>
        <v>0</v>
      </c>
      <c r="AO90" s="42">
        <f>'[2]поточний ремонт'!AO90+'[1]поточний ремонт'!AO90</f>
        <v>0</v>
      </c>
      <c r="AP90" s="5"/>
      <c r="AQ90" s="42">
        <f>'[2]поточний ремонт'!AQ90+'[1]поточний ремонт'!AQ90</f>
        <v>0</v>
      </c>
      <c r="AR90" s="42">
        <f>'[2]поточний ремонт'!AR90+'[1]поточний ремонт'!AR90</f>
        <v>0</v>
      </c>
      <c r="AS90" s="5"/>
      <c r="AT90" s="42">
        <f>'[2]поточний ремонт'!AT90+'[1]поточний ремонт'!AT90</f>
        <v>515.51964632013164</v>
      </c>
      <c r="AU90" s="42">
        <f>'[2]поточний ремонт'!AU90+'[1]поточний ремонт'!AU90</f>
        <v>2103.7172245762877</v>
      </c>
      <c r="AV90" s="5"/>
      <c r="AW90" s="42">
        <f>'[2]поточний ремонт'!AW90+'[1]поточний ремонт'!AW90</f>
        <v>39.997857515597488</v>
      </c>
      <c r="AX90" s="42">
        <f>'[2]поточний ремонт'!AX90+'[1]поточний ремонт'!AX90</f>
        <v>0</v>
      </c>
      <c r="AY90" s="5"/>
      <c r="AZ90" s="42">
        <f t="shared" si="10"/>
        <v>4585.1940745176826</v>
      </c>
      <c r="BA90" s="42">
        <f t="shared" si="11"/>
        <v>2103.7172245762877</v>
      </c>
      <c r="BB90" s="58">
        <f t="shared" si="12"/>
        <v>-2481.4768499413949</v>
      </c>
      <c r="BD90" s="2">
        <v>2</v>
      </c>
      <c r="BF90" s="29">
        <v>2.8066128732560975</v>
      </c>
      <c r="BG90" s="318">
        <v>150000517</v>
      </c>
      <c r="BI90" s="104">
        <v>16.2</v>
      </c>
      <c r="BJ90" s="104">
        <f t="shared" si="13"/>
        <v>2.2787276399999996</v>
      </c>
      <c r="BK90" s="104">
        <v>18.6832298952</v>
      </c>
      <c r="BL90" s="38"/>
      <c r="BM90" s="3"/>
      <c r="BN90" s="3">
        <v>0</v>
      </c>
      <c r="BP90" s="3"/>
      <c r="BQ90" s="3"/>
      <c r="BS90" s="42"/>
      <c r="BT90" s="42">
        <v>0</v>
      </c>
      <c r="BU90" s="958"/>
      <c r="BV90" s="41"/>
      <c r="BW90" s="42"/>
      <c r="BX90" s="36"/>
      <c r="BY90" s="76"/>
      <c r="BZ90" s="42">
        <v>0</v>
      </c>
      <c r="CA90" s="959"/>
      <c r="CB90" s="41">
        <v>0</v>
      </c>
      <c r="CC90" s="41">
        <v>0</v>
      </c>
      <c r="CD90" s="960"/>
      <c r="CE90" s="76">
        <v>0</v>
      </c>
      <c r="CF90" s="55"/>
      <c r="CG90" s="41">
        <v>0</v>
      </c>
      <c r="CH90" s="38">
        <v>18.6832298952</v>
      </c>
      <c r="CI90" s="76">
        <v>0</v>
      </c>
      <c r="CJ90" s="55"/>
      <c r="CK90" s="955"/>
      <c r="CL90" s="950"/>
      <c r="CM90" s="955"/>
      <c r="CN90" s="950">
        <v>0</v>
      </c>
      <c r="CO90" s="76">
        <v>86.488316039639756</v>
      </c>
      <c r="CP90" s="42">
        <v>0</v>
      </c>
      <c r="CQ90" s="9"/>
      <c r="CR90" s="76">
        <v>125.2915763456533</v>
      </c>
      <c r="CS90" s="954">
        <v>0</v>
      </c>
      <c r="CT90" s="5"/>
      <c r="CU90" s="76">
        <v>122.91287177498243</v>
      </c>
      <c r="CV90" s="42">
        <v>0</v>
      </c>
      <c r="CW90" s="5"/>
      <c r="CX90" s="76">
        <v>0</v>
      </c>
      <c r="CY90" s="42">
        <v>0</v>
      </c>
      <c r="CZ90" s="5"/>
      <c r="DA90" s="76">
        <v>0</v>
      </c>
      <c r="DB90" s="42">
        <v>0</v>
      </c>
      <c r="DC90" s="5"/>
      <c r="DD90" s="76">
        <v>32.862789900653013</v>
      </c>
      <c r="DE90" s="42">
        <v>0</v>
      </c>
      <c r="DF90" s="5"/>
      <c r="DG90" s="76">
        <v>0</v>
      </c>
      <c r="DH90" s="42"/>
      <c r="DI90" s="5"/>
      <c r="DJ90" s="42">
        <v>367.5555540609285</v>
      </c>
      <c r="DK90" s="42">
        <f t="shared" si="14"/>
        <v>0</v>
      </c>
      <c r="DL90" s="58">
        <f t="shared" si="15"/>
        <v>-367.5555540609285</v>
      </c>
      <c r="DM90" s="2">
        <v>2</v>
      </c>
    </row>
    <row r="91" spans="1:117" ht="24.9" customHeight="1" x14ac:dyDescent="0.3">
      <c r="A91" s="318">
        <v>150000518</v>
      </c>
      <c r="B91" s="44" t="s">
        <v>194</v>
      </c>
      <c r="C91" s="956">
        <v>3</v>
      </c>
      <c r="D91" s="957" t="s">
        <v>454</v>
      </c>
      <c r="E91" s="949">
        <f>'побудинковий звіт'!E58</f>
        <v>135.5</v>
      </c>
      <c r="F91" s="950">
        <f>'побудинковий звіт'!AS58</f>
        <v>2213.2730885656388</v>
      </c>
      <c r="G91" s="950">
        <f t="shared" si="8"/>
        <v>1201.3758952571091</v>
      </c>
      <c r="H91" s="950">
        <f t="shared" si="9"/>
        <v>-1011.8971933085297</v>
      </c>
      <c r="I91" s="42">
        <f>'[2]поточний ремонт'!I91+'[1]поточний ремонт'!I91</f>
        <v>0</v>
      </c>
      <c r="J91" s="42">
        <f>'[2]поточний ремонт'!J91+'[1]поточний ремонт'!J91</f>
        <v>0</v>
      </c>
      <c r="K91" s="958"/>
      <c r="L91" s="42">
        <f>'[2]поточний ремонт'!L91+'[1]поточний ремонт'!L91</f>
        <v>0</v>
      </c>
      <c r="M91" s="42">
        <f>'[2]поточний ремонт'!M91+'[1]поточний ремонт'!M91</f>
        <v>0</v>
      </c>
      <c r="N91" s="36"/>
      <c r="O91" s="42">
        <f>'[2]поточний ремонт'!O91+'[1]поточний ремонт'!O91</f>
        <v>0</v>
      </c>
      <c r="P91" s="42">
        <f>'[2]поточний ремонт'!P91+'[1]поточний ремонт'!P91</f>
        <v>0</v>
      </c>
      <c r="Q91" s="959"/>
      <c r="R91" s="42">
        <f>'[2]поточний ремонт'!R91+'[1]поточний ремонт'!R91</f>
        <v>0</v>
      </c>
      <c r="S91" s="42">
        <f>'[2]поточний ремонт'!S91+'[1]поточний ремонт'!S91</f>
        <v>0</v>
      </c>
      <c r="T91" s="960"/>
      <c r="U91" s="42">
        <f>'[2]поточний ремонт'!U91+'[1]поточний ремонт'!U91</f>
        <v>0</v>
      </c>
      <c r="V91" s="42">
        <f>'[2]поточний ремонт'!V91+'[1]поточний ремонт'!V91</f>
        <v>0</v>
      </c>
      <c r="W91" s="42">
        <f>'[2]поточний ремонт'!W91+'[1]поточний ремонт'!W91</f>
        <v>0</v>
      </c>
      <c r="X91" s="42">
        <f>'[2]поточний ремонт'!X91+'[1]поточний ремонт'!X91</f>
        <v>298.74276675757949</v>
      </c>
      <c r="Y91" s="42">
        <f>'[2]поточний ремонт'!Y91+'[1]поточний ремонт'!Y91</f>
        <v>902.63312849952956</v>
      </c>
      <c r="Z91" s="42">
        <f>'[2]поточний ремонт'!Z91+'[1]поточний ремонт'!Z91</f>
        <v>0</v>
      </c>
      <c r="AA91" s="42">
        <f>'[2]поточний ремонт'!AA91+'[1]поточний ремонт'!AA91</f>
        <v>0</v>
      </c>
      <c r="AB91" s="42">
        <f>'[2]поточний ремонт'!AB91+'[1]поточний ремонт'!AB91</f>
        <v>0</v>
      </c>
      <c r="AC91" s="42">
        <f>'[2]поточний ремонт'!AC91+'[1]поточний ремонт'!AC91</f>
        <v>0</v>
      </c>
      <c r="AD91" s="42">
        <f>'[2]поточний ремонт'!AD91+'[1]поточний ремонт'!AD91</f>
        <v>0</v>
      </c>
      <c r="AE91" s="42">
        <f>'[2]поточний ремонт'!AE91+'[1]поточний ремонт'!AE91</f>
        <v>624.79672455495665</v>
      </c>
      <c r="AF91" s="42">
        <f>'[2]поточний ремонт'!AF91+'[1]поточний ремонт'!AF91</f>
        <v>0</v>
      </c>
      <c r="AG91" s="5"/>
      <c r="AH91" s="42">
        <f>'[2]поточний ремонт'!AH91+'[1]поточний ремонт'!AH91</f>
        <v>999.15557715630223</v>
      </c>
      <c r="AI91" s="42">
        <f>'[2]поточний ремонт'!AI91+'[1]поточний ремонт'!AI91</f>
        <v>0</v>
      </c>
      <c r="AJ91" s="5"/>
      <c r="AK91" s="42">
        <f>'[2]поточний ремонт'!AK91+'[1]поточний ремонт'!AK91</f>
        <v>527.75312396294498</v>
      </c>
      <c r="AL91" s="42">
        <f>'[2]поточний ремонт'!AL91+'[1]поточний ремонт'!AL91</f>
        <v>0</v>
      </c>
      <c r="AM91" s="5"/>
      <c r="AN91" s="42">
        <f>'[2]поточний ремонт'!AN91+'[1]поточний ремонт'!AN91</f>
        <v>0</v>
      </c>
      <c r="AO91" s="42">
        <f>'[2]поточний ремонт'!AO91+'[1]поточний ремонт'!AO91</f>
        <v>0</v>
      </c>
      <c r="AP91" s="5"/>
      <c r="AQ91" s="42">
        <f>'[2]поточний ремонт'!AQ91+'[1]поточний ремонт'!AQ91</f>
        <v>49.622889587144876</v>
      </c>
      <c r="AR91" s="42">
        <f>'[2]поточний ремонт'!AR91+'[1]поточний ремонт'!AR91</f>
        <v>0</v>
      </c>
      <c r="AS91" s="5"/>
      <c r="AT91" s="42">
        <f>'[2]поточний ремонт'!AT91+'[1]поточний ремонт'!AT91</f>
        <v>357.18843273398721</v>
      </c>
      <c r="AU91" s="42">
        <f>'[2]поточний ремонт'!AU91+'[1]поточний ремонт'!AU91</f>
        <v>0</v>
      </c>
      <c r="AV91" s="5"/>
      <c r="AW91" s="42">
        <f>'[2]поточний ремонт'!AW91+'[1]поточний ремонт'!AW91</f>
        <v>31.464981245603362</v>
      </c>
      <c r="AX91" s="42">
        <f>'[2]поточний ремонт'!AX91+'[1]поточний ремонт'!AX91</f>
        <v>0</v>
      </c>
      <c r="AY91" s="5"/>
      <c r="AZ91" s="42">
        <f t="shared" si="10"/>
        <v>2589.9817292409393</v>
      </c>
      <c r="BA91" s="42">
        <f t="shared" si="11"/>
        <v>0</v>
      </c>
      <c r="BB91" s="58">
        <f t="shared" si="12"/>
        <v>-2589.9817292409393</v>
      </c>
      <c r="BD91" s="2">
        <v>2</v>
      </c>
      <c r="BF91" s="29">
        <v>1.2378249428000325</v>
      </c>
      <c r="BG91" s="318">
        <v>150000518</v>
      </c>
      <c r="BI91" s="104">
        <v>21.9</v>
      </c>
      <c r="BJ91" s="104">
        <f t="shared" si="13"/>
        <v>3.0805021799999994</v>
      </c>
      <c r="BK91" s="104">
        <v>25.2569589324</v>
      </c>
      <c r="BL91" s="38"/>
      <c r="BM91" s="3"/>
      <c r="BN91" s="3">
        <v>0</v>
      </c>
      <c r="BP91" s="3"/>
      <c r="BQ91" s="3"/>
      <c r="BS91" s="42"/>
      <c r="BT91" s="42">
        <v>0</v>
      </c>
      <c r="BU91" s="958"/>
      <c r="BV91" s="41"/>
      <c r="BW91" s="42"/>
      <c r="BX91" s="36"/>
      <c r="BY91" s="76"/>
      <c r="BZ91" s="42">
        <v>0</v>
      </c>
      <c r="CA91" s="959"/>
      <c r="CB91" s="41">
        <v>0</v>
      </c>
      <c r="CC91" s="41">
        <v>0</v>
      </c>
      <c r="CD91" s="960"/>
      <c r="CE91" s="76">
        <v>0</v>
      </c>
      <c r="CF91" s="55"/>
      <c r="CG91" s="41">
        <v>0</v>
      </c>
      <c r="CH91" s="38">
        <v>25.2569589324</v>
      </c>
      <c r="CI91" s="76">
        <v>0</v>
      </c>
      <c r="CJ91" s="55"/>
      <c r="CK91" s="955"/>
      <c r="CL91" s="950"/>
      <c r="CM91" s="955"/>
      <c r="CN91" s="950">
        <v>0</v>
      </c>
      <c r="CO91" s="76">
        <v>52.751571377579829</v>
      </c>
      <c r="CP91" s="42">
        <v>0</v>
      </c>
      <c r="CQ91" s="5"/>
      <c r="CR91" s="76">
        <v>85.727353298251955</v>
      </c>
      <c r="CS91" s="954">
        <v>0</v>
      </c>
      <c r="CT91" s="5"/>
      <c r="CU91" s="76">
        <v>43.763816489504663</v>
      </c>
      <c r="CV91" s="42">
        <v>0</v>
      </c>
      <c r="CW91" s="5"/>
      <c r="CX91" s="76">
        <v>0</v>
      </c>
      <c r="CY91" s="42">
        <v>0</v>
      </c>
      <c r="CZ91" s="5"/>
      <c r="DA91" s="76">
        <v>0</v>
      </c>
      <c r="DB91" s="42">
        <v>0</v>
      </c>
      <c r="DC91" s="5"/>
      <c r="DD91" s="76">
        <v>20.889421956804203</v>
      </c>
      <c r="DE91" s="42">
        <v>0</v>
      </c>
      <c r="DF91" s="5"/>
      <c r="DG91" s="76">
        <v>0</v>
      </c>
      <c r="DH91" s="42"/>
      <c r="DI91" s="5"/>
      <c r="DJ91" s="42">
        <v>203.13216312214064</v>
      </c>
      <c r="DK91" s="42">
        <f t="shared" si="14"/>
        <v>0</v>
      </c>
      <c r="DL91" s="58">
        <f t="shared" si="15"/>
        <v>-203.13216312214064</v>
      </c>
      <c r="DM91" s="2">
        <v>2</v>
      </c>
    </row>
    <row r="92" spans="1:117" ht="24.9" customHeight="1" x14ac:dyDescent="0.3">
      <c r="A92" s="318">
        <v>150000519</v>
      </c>
      <c r="B92" s="44" t="s">
        <v>412</v>
      </c>
      <c r="C92" s="956">
        <v>10</v>
      </c>
      <c r="D92" s="957" t="s">
        <v>454</v>
      </c>
      <c r="E92" s="949">
        <f>'побудинковий звіт'!E59</f>
        <v>229.9</v>
      </c>
      <c r="F92" s="950">
        <f>'побудинковий звіт'!AS59</f>
        <v>3409.8801014368005</v>
      </c>
      <c r="G92" s="950">
        <f t="shared" si="8"/>
        <v>101930.92266971112</v>
      </c>
      <c r="H92" s="950">
        <f t="shared" si="9"/>
        <v>98521.042568274308</v>
      </c>
      <c r="I92" s="42">
        <f>'[2]поточний ремонт'!I92+'[1]поточний ремонт'!I92</f>
        <v>279.94</v>
      </c>
      <c r="J92" s="42">
        <f>'[2]поточний ремонт'!J92+'[1]поточний ремонт'!J92</f>
        <v>100133.22389941652</v>
      </c>
      <c r="K92" s="958"/>
      <c r="L92" s="42">
        <f>'[2]поточний ремонт'!L92+'[1]поточний ремонт'!L92</f>
        <v>0</v>
      </c>
      <c r="M92" s="42">
        <f>'[2]поточний ремонт'!M92+'[1]поточний ремонт'!M92</f>
        <v>0</v>
      </c>
      <c r="N92" s="970"/>
      <c r="O92" s="42">
        <f>'[2]поточний ремонт'!O92+'[1]поточний ремонт'!O92</f>
        <v>0</v>
      </c>
      <c r="P92" s="42">
        <f>'[2]поточний ремонт'!P92+'[1]поточний ремонт'!P92</f>
        <v>0</v>
      </c>
      <c r="Q92" s="959"/>
      <c r="R92" s="42">
        <f>'[2]поточний ремонт'!R92+'[1]поточний ремонт'!R92</f>
        <v>2</v>
      </c>
      <c r="S92" s="42">
        <f>'[2]поточний ремонт'!S92+'[1]поточний ремонт'!S92</f>
        <v>1797.6987702945846</v>
      </c>
      <c r="T92" s="960"/>
      <c r="U92" s="42">
        <f>'[2]поточний ремонт'!U92+'[1]поточний ремонт'!U92</f>
        <v>0</v>
      </c>
      <c r="V92" s="42">
        <f>'[2]поточний ремонт'!V92+'[1]поточний ремонт'!V92</f>
        <v>0</v>
      </c>
      <c r="W92" s="42">
        <f>'[2]поточний ремонт'!W92+'[1]поточний ремонт'!W92</f>
        <v>0</v>
      </c>
      <c r="X92" s="42">
        <f>'[2]поточний ремонт'!X92+'[1]поточний ремонт'!X92</f>
        <v>0</v>
      </c>
      <c r="Y92" s="42">
        <f>'[2]поточний ремонт'!Y92+'[1]поточний ремонт'!Y92</f>
        <v>0</v>
      </c>
      <c r="Z92" s="42">
        <f>'[2]поточний ремонт'!Z92+'[1]поточний ремонт'!Z92</f>
        <v>0</v>
      </c>
      <c r="AA92" s="42">
        <f>'[2]поточний ремонт'!AA92+'[1]поточний ремонт'!AA92</f>
        <v>0</v>
      </c>
      <c r="AB92" s="42">
        <f>'[2]поточний ремонт'!AB92+'[1]поточний ремонт'!AB92</f>
        <v>0</v>
      </c>
      <c r="AC92" s="42">
        <f>'[2]поточний ремонт'!AC92+'[1]поточний ремонт'!AC92</f>
        <v>0</v>
      </c>
      <c r="AD92" s="42">
        <f>'[2]поточний ремонт'!AD92+'[1]поточний ремонт'!AD92</f>
        <v>0</v>
      </c>
      <c r="AE92" s="42">
        <f>'[2]поточний ремонт'!AE92+'[1]поточний ремонт'!AE92</f>
        <v>806.11748607304264</v>
      </c>
      <c r="AF92" s="42">
        <f>'[2]поточний ремонт'!AF92+'[1]поточний ремонт'!AF92</f>
        <v>356.5310496730479</v>
      </c>
      <c r="AG92" s="965"/>
      <c r="AH92" s="42">
        <f>'[2]поточний ремонт'!AH92+'[1]поточний ремонт'!AH92</f>
        <v>875.60948285038444</v>
      </c>
      <c r="AI92" s="42">
        <f>'[2]поточний ремонт'!AI92+'[1]поточний ремонт'!AI92</f>
        <v>0</v>
      </c>
      <c r="AJ92" s="5"/>
      <c r="AK92" s="42">
        <f>'[2]поточний ремонт'!AK92+'[1]поточний ремонт'!AK92</f>
        <v>1003.649297680429</v>
      </c>
      <c r="AL92" s="42">
        <f>'[2]поточний ремонт'!AL92+'[1]поточний ремонт'!AL92</f>
        <v>0</v>
      </c>
      <c r="AM92" s="5"/>
      <c r="AN92" s="42">
        <f>'[2]поточний ремонт'!AN92+'[1]поточний ремонт'!AN92</f>
        <v>520.69011419567187</v>
      </c>
      <c r="AO92" s="42">
        <f>'[2]поточний ремонт'!AO92+'[1]поточний ремонт'!AO92</f>
        <v>0</v>
      </c>
      <c r="AP92" s="5"/>
      <c r="AQ92" s="42">
        <f>'[2]поточний ремонт'!AQ92+'[1]поточний ремонт'!AQ92</f>
        <v>221.05101469829924</v>
      </c>
      <c r="AR92" s="42">
        <f>'[2]поточний ремонт'!AR92+'[1]поточний ремонт'!AR92</f>
        <v>0</v>
      </c>
      <c r="AS92" s="5"/>
      <c r="AT92" s="42">
        <f>'[2]поточний ремонт'!AT92+'[1]поточний ремонт'!AT92</f>
        <v>707.42121365668663</v>
      </c>
      <c r="AU92" s="42">
        <f>'[2]поточний ремонт'!AU92+'[1]поточний ремонт'!AU92</f>
        <v>0</v>
      </c>
      <c r="AV92" s="5"/>
      <c r="AW92" s="42">
        <f>'[2]поточний ремонт'!AW92+'[1]поточний ремонт'!AW92</f>
        <v>15.967772137599315</v>
      </c>
      <c r="AX92" s="42">
        <f>'[2]поточний ремонт'!AX92+'[1]поточний ремонт'!AX92</f>
        <v>2082.2614168294685</v>
      </c>
      <c r="AY92" s="5"/>
      <c r="AZ92" s="42">
        <f t="shared" si="10"/>
        <v>4150.5063812921126</v>
      </c>
      <c r="BA92" s="42">
        <f t="shared" si="11"/>
        <v>2438.7924665025166</v>
      </c>
      <c r="BB92" s="58">
        <f t="shared" si="12"/>
        <v>-1711.7139147895959</v>
      </c>
      <c r="BD92" s="2">
        <v>2</v>
      </c>
      <c r="BF92" s="29">
        <v>3.9395695790141922</v>
      </c>
      <c r="BG92" s="318">
        <v>150000519</v>
      </c>
      <c r="BI92" s="104">
        <v>0</v>
      </c>
      <c r="BJ92" s="104">
        <f t="shared" si="13"/>
        <v>0</v>
      </c>
      <c r="BK92" s="104">
        <v>0</v>
      </c>
      <c r="BL92" s="38"/>
      <c r="BM92" s="3"/>
      <c r="BN92" s="3">
        <v>0</v>
      </c>
      <c r="BP92" s="3"/>
      <c r="BQ92" s="3"/>
      <c r="BS92" s="42">
        <v>31</v>
      </c>
      <c r="BT92" s="42">
        <v>11698.319052177596</v>
      </c>
      <c r="BU92" s="958"/>
      <c r="BV92" s="41"/>
      <c r="BW92" s="42"/>
      <c r="BX92" s="970"/>
      <c r="BY92" s="76"/>
      <c r="BZ92" s="42">
        <v>0</v>
      </c>
      <c r="CA92" s="959"/>
      <c r="CB92" s="41">
        <v>0</v>
      </c>
      <c r="CC92" s="41">
        <v>0</v>
      </c>
      <c r="CD92" s="960"/>
      <c r="CE92" s="76">
        <v>0</v>
      </c>
      <c r="CF92" s="55"/>
      <c r="CG92" s="41">
        <v>0</v>
      </c>
      <c r="CH92" s="38">
        <v>0</v>
      </c>
      <c r="CI92" s="76">
        <v>0</v>
      </c>
      <c r="CJ92" s="55"/>
      <c r="CK92" s="955"/>
      <c r="CL92" s="950"/>
      <c r="CM92" s="955"/>
      <c r="CN92" s="950">
        <v>0</v>
      </c>
      <c r="CO92" s="76">
        <v>53.363609128295316</v>
      </c>
      <c r="CP92" s="42">
        <v>0</v>
      </c>
      <c r="CQ92" s="965"/>
      <c r="CR92" s="76">
        <v>71.204425992837912</v>
      </c>
      <c r="CS92" s="954">
        <v>0</v>
      </c>
      <c r="CT92" s="5"/>
      <c r="CU92" s="76">
        <v>76.221300316253789</v>
      </c>
      <c r="CV92" s="42">
        <v>0</v>
      </c>
      <c r="CW92" s="5"/>
      <c r="CX92" s="76">
        <v>43.192884385986233</v>
      </c>
      <c r="CY92" s="42">
        <v>0</v>
      </c>
      <c r="CZ92" s="5"/>
      <c r="DA92" s="76">
        <v>17.609972466285939</v>
      </c>
      <c r="DB92" s="42">
        <v>0</v>
      </c>
      <c r="DC92" s="5"/>
      <c r="DD92" s="76">
        <v>51.78215256279816</v>
      </c>
      <c r="DE92" s="42">
        <v>0</v>
      </c>
      <c r="DF92" s="5"/>
      <c r="DG92" s="76">
        <v>0</v>
      </c>
      <c r="DH92" s="42"/>
      <c r="DI92" s="5"/>
      <c r="DJ92" s="42">
        <v>313.3743448524574</v>
      </c>
      <c r="DK92" s="42">
        <f t="shared" si="14"/>
        <v>0</v>
      </c>
      <c r="DL92" s="58">
        <f t="shared" si="15"/>
        <v>-313.3743448524574</v>
      </c>
      <c r="DM92" s="2">
        <v>2</v>
      </c>
    </row>
    <row r="93" spans="1:117" ht="24.9" customHeight="1" x14ac:dyDescent="0.3">
      <c r="A93" s="318">
        <v>150000521</v>
      </c>
      <c r="B93" s="44" t="s">
        <v>252</v>
      </c>
      <c r="C93" s="956">
        <v>5</v>
      </c>
      <c r="D93" s="957" t="s">
        <v>454</v>
      </c>
      <c r="E93" s="949">
        <f>'побудинковий звіт'!E60</f>
        <v>2167.6</v>
      </c>
      <c r="F93" s="950">
        <f>'побудинковий звіт'!AS60</f>
        <v>21337.621596322955</v>
      </c>
      <c r="G93" s="950">
        <f t="shared" si="8"/>
        <v>13278.231661375376</v>
      </c>
      <c r="H93" s="950">
        <f t="shared" si="9"/>
        <v>-8059.3899349475796</v>
      </c>
      <c r="I93" s="42">
        <f>'[2]поточний ремонт'!I93+'[1]поточний ремонт'!I93</f>
        <v>0</v>
      </c>
      <c r="J93" s="42">
        <f>'[2]поточний ремонт'!J93+'[1]поточний ремонт'!J93</f>
        <v>0</v>
      </c>
      <c r="K93" s="958"/>
      <c r="L93" s="42">
        <f>'[2]поточний ремонт'!L93+'[1]поточний ремонт'!L93</f>
        <v>0</v>
      </c>
      <c r="M93" s="42">
        <f>'[2]поточний ремонт'!M93+'[1]поточний ремонт'!M93</f>
        <v>0</v>
      </c>
      <c r="N93" s="36"/>
      <c r="O93" s="42">
        <f>'[2]поточний ремонт'!O93+'[1]поточний ремонт'!O93</f>
        <v>0</v>
      </c>
      <c r="P93" s="42">
        <f>'[2]поточний ремонт'!P93+'[1]поточний ремонт'!P93</f>
        <v>0</v>
      </c>
      <c r="Q93" s="959"/>
      <c r="R93" s="42">
        <f>'[2]поточний ремонт'!R93+'[1]поточний ремонт'!R93</f>
        <v>0</v>
      </c>
      <c r="S93" s="42">
        <f>'[2]поточний ремонт'!S93+'[1]поточний ремонт'!S93</f>
        <v>0</v>
      </c>
      <c r="T93" s="960"/>
      <c r="U93" s="42">
        <f>'[2]поточний ремонт'!U93+'[1]поточний ремонт'!U93</f>
        <v>0</v>
      </c>
      <c r="V93" s="42">
        <f>'[2]поточний ремонт'!V93+'[1]поточний ремонт'!V93</f>
        <v>0</v>
      </c>
      <c r="W93" s="42">
        <f>'[2]поточний ремонт'!W93+'[1]поточний ремонт'!W93</f>
        <v>0</v>
      </c>
      <c r="X93" s="42">
        <f>'[2]поточний ремонт'!X93+'[1]поточний ремонт'!X93</f>
        <v>0</v>
      </c>
      <c r="Y93" s="42">
        <f>'[2]поточний ремонт'!Y93+'[1]поточний ремонт'!Y93</f>
        <v>12162.824263467934</v>
      </c>
      <c r="Z93" s="42">
        <f>'[2]поточний ремонт'!Z93+'[1]поточний ремонт'!Z93</f>
        <v>0</v>
      </c>
      <c r="AA93" s="42">
        <f>'[2]поточний ремонт'!AA93+'[1]поточний ремонт'!AA93</f>
        <v>0</v>
      </c>
      <c r="AB93" s="42">
        <f>'[2]поточний ремонт'!AB93+'[1]поточний ремонт'!AB93</f>
        <v>0</v>
      </c>
      <c r="AC93" s="42">
        <f>'[2]поточний ремонт'!AC93+'[1]поточний ремонт'!AC93</f>
        <v>1115.4073979074426</v>
      </c>
      <c r="AD93" s="42">
        <f>'[2]поточний ремонт'!AD93+'[1]поточний ремонт'!AD93</f>
        <v>0</v>
      </c>
      <c r="AE93" s="42">
        <f>'[2]поточний ремонт'!AE93+'[1]поточний ремонт'!AE93</f>
        <v>930.89462008434214</v>
      </c>
      <c r="AF93" s="42">
        <f>'[2]поточний ремонт'!AF93+'[1]поточний ремонт'!AF93</f>
        <v>0</v>
      </c>
      <c r="AG93" s="965"/>
      <c r="AH93" s="42">
        <f>'[2]поточний ремонт'!AH93+'[1]поточний ремонт'!AH93</f>
        <v>1552.1316067770283</v>
      </c>
      <c r="AI93" s="42">
        <f>'[2]поточний ремонт'!AI93+'[1]поточний ремонт'!AI93</f>
        <v>0</v>
      </c>
      <c r="AJ93" s="5"/>
      <c r="AK93" s="42">
        <f>'[2]поточний ремонт'!AK93+'[1]поточний ремонт'!AK93</f>
        <v>1232.5769630755547</v>
      </c>
      <c r="AL93" s="42">
        <f>'[2]поточний ремонт'!AL93+'[1]поточний ремонт'!AL93</f>
        <v>0</v>
      </c>
      <c r="AM93" s="5"/>
      <c r="AN93" s="42">
        <f>'[2]поточний ремонт'!AN93+'[1]поточний ремонт'!AN93</f>
        <v>0</v>
      </c>
      <c r="AO93" s="42">
        <f>'[2]поточний ремонт'!AO93+'[1]поточний ремонт'!AO93</f>
        <v>0</v>
      </c>
      <c r="AP93" s="5"/>
      <c r="AQ93" s="42">
        <f>'[2]поточний ремонт'!AQ93+'[1]поточний ремонт'!AQ93</f>
        <v>82.704815978574771</v>
      </c>
      <c r="AR93" s="42">
        <f>'[2]поточний ремонт'!AR93+'[1]поточний ремонт'!AR93</f>
        <v>148.16961909976442</v>
      </c>
      <c r="AS93" s="5"/>
      <c r="AT93" s="42">
        <f>'[2]поточний ремонт'!AT93+'[1]поточний ремонт'!AT93</f>
        <v>534.72548735569819</v>
      </c>
      <c r="AU93" s="42">
        <f>'[2]поточний ремонт'!AU93+'[1]поточний ремонт'!AU93</f>
        <v>0</v>
      </c>
      <c r="AV93" s="5"/>
      <c r="AW93" s="42">
        <f>'[2]поточний ремонт'!AW93+'[1]поточний ремонт'!AW93</f>
        <v>38.805764507289481</v>
      </c>
      <c r="AX93" s="42">
        <f>'[2]поточний ремонт'!AX93+'[1]поточний ремонт'!AX93</f>
        <v>0</v>
      </c>
      <c r="AY93" s="5"/>
      <c r="AZ93" s="42">
        <f t="shared" si="10"/>
        <v>4371.839257778488</v>
      </c>
      <c r="BA93" s="42">
        <f t="shared" si="11"/>
        <v>148.16961909976442</v>
      </c>
      <c r="BB93" s="58">
        <f t="shared" si="12"/>
        <v>-4223.6696386787235</v>
      </c>
      <c r="BD93" s="2">
        <v>2</v>
      </c>
      <c r="BF93" s="29">
        <v>2.7557269487638814</v>
      </c>
      <c r="BG93" s="318">
        <v>150000521</v>
      </c>
      <c r="BI93" s="104">
        <v>0</v>
      </c>
      <c r="BJ93" s="104">
        <f t="shared" si="13"/>
        <v>0</v>
      </c>
      <c r="BK93" s="104">
        <v>0</v>
      </c>
      <c r="BL93" s="38"/>
      <c r="BM93" s="3"/>
      <c r="BN93" s="3">
        <v>0</v>
      </c>
      <c r="BP93" s="3"/>
      <c r="BQ93" s="3"/>
      <c r="BS93" s="42"/>
      <c r="BT93" s="42">
        <v>0</v>
      </c>
      <c r="BU93" s="958"/>
      <c r="BV93" s="41"/>
      <c r="BW93" s="42"/>
      <c r="BX93" s="36"/>
      <c r="BY93" s="76"/>
      <c r="BZ93" s="42">
        <v>0</v>
      </c>
      <c r="CA93" s="959"/>
      <c r="CB93" s="41">
        <v>0</v>
      </c>
      <c r="CC93" s="41">
        <v>0</v>
      </c>
      <c r="CD93" s="960"/>
      <c r="CE93" s="76">
        <v>0</v>
      </c>
      <c r="CF93" s="55"/>
      <c r="CG93" s="41">
        <v>0</v>
      </c>
      <c r="CH93" s="38">
        <v>0</v>
      </c>
      <c r="CI93" s="76">
        <v>0</v>
      </c>
      <c r="CJ93" s="55"/>
      <c r="CK93" s="955"/>
      <c r="CL93" s="950"/>
      <c r="CM93" s="955"/>
      <c r="CN93" s="950">
        <v>0</v>
      </c>
      <c r="CO93" s="76">
        <v>74.981910665014013</v>
      </c>
      <c r="CP93" s="42">
        <v>0</v>
      </c>
      <c r="CQ93" s="965"/>
      <c r="CR93" s="76">
        <v>125.2915763456533</v>
      </c>
      <c r="CS93" s="954">
        <v>0</v>
      </c>
      <c r="CT93" s="5"/>
      <c r="CU93" s="76">
        <v>94.61227527461206</v>
      </c>
      <c r="CV93" s="42">
        <v>0</v>
      </c>
      <c r="CW93" s="5"/>
      <c r="CX93" s="76">
        <v>0</v>
      </c>
      <c r="CY93" s="42">
        <v>0</v>
      </c>
      <c r="CZ93" s="5"/>
      <c r="DA93" s="76">
        <v>0</v>
      </c>
      <c r="DB93" s="42">
        <v>0</v>
      </c>
      <c r="DC93" s="5"/>
      <c r="DD93" s="76">
        <v>34.847164755479909</v>
      </c>
      <c r="DE93" s="42">
        <v>0</v>
      </c>
      <c r="DF93" s="5"/>
      <c r="DG93" s="76">
        <v>0</v>
      </c>
      <c r="DH93" s="42"/>
      <c r="DI93" s="5"/>
      <c r="DJ93" s="42">
        <v>329.73292704075931</v>
      </c>
      <c r="DK93" s="42">
        <f t="shared" si="14"/>
        <v>0</v>
      </c>
      <c r="DL93" s="58">
        <f t="shared" si="15"/>
        <v>-329.73292704075931</v>
      </c>
      <c r="DM93" s="2">
        <v>2</v>
      </c>
    </row>
    <row r="94" spans="1:117" ht="24.9" customHeight="1" x14ac:dyDescent="0.3">
      <c r="A94" s="318">
        <v>150000523</v>
      </c>
      <c r="B94" s="44" t="s">
        <v>57</v>
      </c>
      <c r="C94" s="956">
        <v>1</v>
      </c>
      <c r="D94" s="957" t="s">
        <v>454</v>
      </c>
      <c r="E94" s="949">
        <f>'побудинковий звіт'!E61</f>
        <v>2330.37</v>
      </c>
      <c r="F94" s="950">
        <f>'побудинковий звіт'!AS61</f>
        <v>27905.501390250254</v>
      </c>
      <c r="G94" s="950">
        <f t="shared" si="8"/>
        <v>0</v>
      </c>
      <c r="H94" s="950">
        <f t="shared" si="9"/>
        <v>-27905.501390250254</v>
      </c>
      <c r="I94" s="42">
        <f>'[2]поточний ремонт'!I94+'[1]поточний ремонт'!I94</f>
        <v>0</v>
      </c>
      <c r="J94" s="42">
        <f>'[2]поточний ремонт'!J94+'[1]поточний ремонт'!J94</f>
        <v>0</v>
      </c>
      <c r="K94" s="958"/>
      <c r="L94" s="42">
        <f>'[2]поточний ремонт'!L94+'[1]поточний ремонт'!L94</f>
        <v>0</v>
      </c>
      <c r="M94" s="42">
        <f>'[2]поточний ремонт'!M94+'[1]поточний ремонт'!M94</f>
        <v>0</v>
      </c>
      <c r="N94" s="36"/>
      <c r="O94" s="42">
        <f>'[2]поточний ремонт'!O94+'[1]поточний ремонт'!O94</f>
        <v>0</v>
      </c>
      <c r="P94" s="42">
        <f>'[2]поточний ремонт'!P94+'[1]поточний ремонт'!P94</f>
        <v>0</v>
      </c>
      <c r="Q94" s="959"/>
      <c r="R94" s="42">
        <f>'[2]поточний ремонт'!R94+'[1]поточний ремонт'!R94</f>
        <v>0</v>
      </c>
      <c r="S94" s="42">
        <f>'[2]поточний ремонт'!S94+'[1]поточний ремонт'!S94</f>
        <v>0</v>
      </c>
      <c r="T94" s="960"/>
      <c r="U94" s="42">
        <f>'[2]поточний ремонт'!U94+'[1]поточний ремонт'!U94</f>
        <v>0</v>
      </c>
      <c r="V94" s="42">
        <f>'[2]поточний ремонт'!V94+'[1]поточний ремонт'!V94</f>
        <v>0</v>
      </c>
      <c r="W94" s="42">
        <f>'[2]поточний ремонт'!W94+'[1]поточний ремонт'!W94</f>
        <v>0</v>
      </c>
      <c r="X94" s="42">
        <f>'[2]поточний ремонт'!X94+'[1]поточний ремонт'!X94</f>
        <v>0</v>
      </c>
      <c r="Y94" s="42">
        <f>'[2]поточний ремонт'!Y94+'[1]поточний ремонт'!Y94</f>
        <v>0</v>
      </c>
      <c r="Z94" s="42">
        <f>'[2]поточний ремонт'!Z94+'[1]поточний ремонт'!Z94</f>
        <v>0</v>
      </c>
      <c r="AA94" s="42">
        <f>'[2]поточний ремонт'!AA94+'[1]поточний ремонт'!AA94</f>
        <v>0</v>
      </c>
      <c r="AB94" s="42">
        <f>'[2]поточний ремонт'!AB94+'[1]поточний ремонт'!AB94</f>
        <v>0</v>
      </c>
      <c r="AC94" s="42">
        <f>'[2]поточний ремонт'!AC94+'[1]поточний ремонт'!AC94</f>
        <v>0</v>
      </c>
      <c r="AD94" s="42">
        <f>'[2]поточний ремонт'!AD94+'[1]поточний ремонт'!AD94</f>
        <v>0</v>
      </c>
      <c r="AE94" s="42">
        <f>'[2]поточний ремонт'!AE94+'[1]поточний ремонт'!AE94</f>
        <v>0</v>
      </c>
      <c r="AF94" s="42">
        <f>'[2]поточний ремонт'!AF94+'[1]поточний ремонт'!AF94</f>
        <v>0</v>
      </c>
      <c r="AG94" s="5"/>
      <c r="AH94" s="42">
        <f>'[2]поточний ремонт'!AH94+'[1]поточний ремонт'!AH94</f>
        <v>0</v>
      </c>
      <c r="AI94" s="42">
        <f>'[2]поточний ремонт'!AI94+'[1]поточний ремонт'!AI94</f>
        <v>0</v>
      </c>
      <c r="AJ94" s="5"/>
      <c r="AK94" s="42">
        <f>'[2]поточний ремонт'!AK94+'[1]поточний ремонт'!AK94</f>
        <v>0</v>
      </c>
      <c r="AL94" s="42">
        <f>'[2]поточний ремонт'!AL94+'[1]поточний ремонт'!AL94</f>
        <v>0</v>
      </c>
      <c r="AM94" s="5"/>
      <c r="AN94" s="42">
        <f>'[2]поточний ремонт'!AN94+'[1]поточний ремонт'!AN94</f>
        <v>0</v>
      </c>
      <c r="AO94" s="42">
        <f>'[2]поточний ремонт'!AO94+'[1]поточний ремонт'!AO94</f>
        <v>0</v>
      </c>
      <c r="AP94" s="5"/>
      <c r="AQ94" s="42">
        <f>'[2]поточний ремонт'!AQ94+'[1]поточний ремонт'!AQ94</f>
        <v>0</v>
      </c>
      <c r="AR94" s="42">
        <f>'[2]поточний ремонт'!AR94+'[1]поточний ремонт'!AR94</f>
        <v>0</v>
      </c>
      <c r="AS94" s="5"/>
      <c r="AT94" s="42">
        <f>'[2]поточний ремонт'!AT94+'[1]поточний ремонт'!AT94</f>
        <v>0</v>
      </c>
      <c r="AU94" s="42">
        <f>'[2]поточний ремонт'!AU94+'[1]поточний ремонт'!AU94</f>
        <v>0</v>
      </c>
      <c r="AV94" s="5"/>
      <c r="AW94" s="42">
        <f>'[2]поточний ремонт'!AW94+'[1]поточний ремонт'!AW94</f>
        <v>0</v>
      </c>
      <c r="AX94" s="42">
        <f>'[2]поточний ремонт'!AX94+'[1]поточний ремонт'!AX94</f>
        <v>0</v>
      </c>
      <c r="AY94" s="5"/>
      <c r="AZ94" s="42">
        <f t="shared" si="10"/>
        <v>0</v>
      </c>
      <c r="BA94" s="42">
        <f t="shared" si="11"/>
        <v>0</v>
      </c>
      <c r="BB94" s="58">
        <f t="shared" si="12"/>
        <v>0</v>
      </c>
      <c r="BD94" s="2">
        <v>1</v>
      </c>
      <c r="BF94" s="29">
        <v>0</v>
      </c>
      <c r="BG94" s="318">
        <v>150000523</v>
      </c>
      <c r="BI94" s="104">
        <v>0</v>
      </c>
      <c r="BJ94" s="104">
        <f t="shared" si="13"/>
        <v>0</v>
      </c>
      <c r="BK94" s="104">
        <v>0</v>
      </c>
      <c r="BL94" s="38"/>
      <c r="BM94" s="3"/>
      <c r="BN94" s="3">
        <v>0</v>
      </c>
      <c r="BP94" s="3"/>
      <c r="BQ94" s="3"/>
      <c r="BS94" s="42"/>
      <c r="BT94" s="42">
        <v>0</v>
      </c>
      <c r="BU94" s="958"/>
      <c r="BV94" s="41"/>
      <c r="BW94" s="42"/>
      <c r="BX94" s="36"/>
      <c r="BY94" s="76"/>
      <c r="BZ94" s="42">
        <v>0</v>
      </c>
      <c r="CA94" s="959"/>
      <c r="CB94" s="41">
        <v>0</v>
      </c>
      <c r="CC94" s="41">
        <v>0</v>
      </c>
      <c r="CD94" s="960"/>
      <c r="CE94" s="76">
        <v>0</v>
      </c>
      <c r="CF94" s="55"/>
      <c r="CG94" s="41">
        <v>0</v>
      </c>
      <c r="CH94" s="38">
        <v>0</v>
      </c>
      <c r="CI94" s="76">
        <v>0</v>
      </c>
      <c r="CJ94" s="55"/>
      <c r="CK94" s="955"/>
      <c r="CL94" s="950"/>
      <c r="CM94" s="955"/>
      <c r="CN94" s="950">
        <v>0</v>
      </c>
      <c r="CO94" s="76">
        <v>0</v>
      </c>
      <c r="CP94" s="42">
        <v>0</v>
      </c>
      <c r="CQ94" s="5"/>
      <c r="CR94" s="76">
        <v>0</v>
      </c>
      <c r="CS94" s="954">
        <v>0</v>
      </c>
      <c r="CT94" s="5"/>
      <c r="CU94" s="76">
        <v>0</v>
      </c>
      <c r="CV94" s="42">
        <v>0</v>
      </c>
      <c r="CW94" s="5"/>
      <c r="CX94" s="76">
        <v>0</v>
      </c>
      <c r="CY94" s="42">
        <v>0</v>
      </c>
      <c r="CZ94" s="5"/>
      <c r="DA94" s="76">
        <v>0</v>
      </c>
      <c r="DB94" s="42">
        <v>0</v>
      </c>
      <c r="DC94" s="5"/>
      <c r="DD94" s="76">
        <v>0</v>
      </c>
      <c r="DE94" s="42">
        <v>0</v>
      </c>
      <c r="DF94" s="5"/>
      <c r="DG94" s="76">
        <v>0</v>
      </c>
      <c r="DH94" s="42"/>
      <c r="DI94" s="5"/>
      <c r="DJ94" s="42">
        <v>0</v>
      </c>
      <c r="DK94" s="42">
        <f t="shared" si="14"/>
        <v>0</v>
      </c>
      <c r="DL94" s="58">
        <f t="shared" si="15"/>
        <v>0</v>
      </c>
      <c r="DM94" s="2">
        <v>1</v>
      </c>
    </row>
    <row r="95" spans="1:117" ht="24.9" customHeight="1" x14ac:dyDescent="0.3">
      <c r="A95" s="318">
        <v>150000529</v>
      </c>
      <c r="B95" s="44" t="s">
        <v>347</v>
      </c>
      <c r="C95" s="956">
        <v>9</v>
      </c>
      <c r="D95" s="957" t="s">
        <v>454</v>
      </c>
      <c r="E95" s="949">
        <f>'побудинковий звіт'!E62</f>
        <v>3253.63</v>
      </c>
      <c r="F95" s="950">
        <f>'побудинковий звіт'!AS62</f>
        <v>26680.359115421932</v>
      </c>
      <c r="G95" s="950">
        <f t="shared" si="8"/>
        <v>262033.22299150092</v>
      </c>
      <c r="H95" s="950">
        <f t="shared" si="9"/>
        <v>235352.86387607898</v>
      </c>
      <c r="I95" s="42">
        <f>'[2]поточний ремонт'!I95+'[1]поточний ремонт'!I95</f>
        <v>0</v>
      </c>
      <c r="J95" s="42">
        <f>'[2]поточний ремонт'!J95+'[1]поточний ремонт'!J95</f>
        <v>0</v>
      </c>
      <c r="K95" s="958"/>
      <c r="L95" s="42">
        <f>'[2]поточний ремонт'!L95+'[1]поточний ремонт'!L95</f>
        <v>0</v>
      </c>
      <c r="M95" s="42">
        <f>'[2]поточний ремонт'!M95+'[1]поточний ремонт'!M95</f>
        <v>0</v>
      </c>
      <c r="N95" s="36"/>
      <c r="O95" s="42">
        <f>'[2]поточний ремонт'!O95+'[1]поточний ремонт'!O95</f>
        <v>0</v>
      </c>
      <c r="P95" s="42">
        <f>'[2]поточний ремонт'!P95+'[1]поточний ремонт'!P95</f>
        <v>0</v>
      </c>
      <c r="Q95" s="959"/>
      <c r="R95" s="42">
        <f>'[2]поточний ремонт'!R95+'[1]поточний ремонт'!R95</f>
        <v>3</v>
      </c>
      <c r="S95" s="42">
        <f>'[2]поточний ремонт'!S95+'[1]поточний ремонт'!S95</f>
        <v>83179.782410124186</v>
      </c>
      <c r="T95" s="967"/>
      <c r="U95" s="42">
        <f>'[2]поточний ремонт'!U95+'[1]поточний ремонт'!U95</f>
        <v>625.73787870407091</v>
      </c>
      <c r="V95" s="42">
        <f>'[2]поточний ремонт'!V95+'[1]поточний ремонт'!V95</f>
        <v>0</v>
      </c>
      <c r="W95" s="42">
        <f>'[2]поточний ремонт'!W95+'[1]поточний ремонт'!W95</f>
        <v>0</v>
      </c>
      <c r="X95" s="42">
        <f>'[2]поточний ремонт'!X95+'[1]поточний ремонт'!X95</f>
        <v>444.29460791298465</v>
      </c>
      <c r="Y95" s="42">
        <f>'[2]поточний ремонт'!Y95+'[1]поточний ремонт'!Y95</f>
        <v>163448.29606625371</v>
      </c>
      <c r="Z95" s="42">
        <f>'[2]поточний ремонт'!Z95+'[1]поточний ремонт'!Z95</f>
        <v>0</v>
      </c>
      <c r="AA95" s="42">
        <f>'[2]поточний ремонт'!AA95+'[1]поточний ремонт'!AA95</f>
        <v>0</v>
      </c>
      <c r="AB95" s="42">
        <f>'[2]поточний ремонт'!AB95+'[1]поточний ремонт'!AB95</f>
        <v>730.99249630931035</v>
      </c>
      <c r="AC95" s="42">
        <f>'[2]поточний ремонт'!AC95+'[1]поточний ремонт'!AC95</f>
        <v>0</v>
      </c>
      <c r="AD95" s="42">
        <f>'[2]поточний ремонт'!AD95+'[1]поточний ремонт'!AD95</f>
        <v>13604.119532196655</v>
      </c>
      <c r="AE95" s="42">
        <f>'[2]поточний ремонт'!AE95+'[1]поточний ремонт'!AE95</f>
        <v>859.61147773293624</v>
      </c>
      <c r="AF95" s="42">
        <f>'[2]поточний ремонт'!AF95+'[1]поточний ремонт'!AF95</f>
        <v>1208.1729645920855</v>
      </c>
      <c r="AG95" s="965"/>
      <c r="AH95" s="42">
        <f>'[2]поточний ремонт'!AH95+'[1]поточний ремонт'!AH95</f>
        <v>674.69587373347122</v>
      </c>
      <c r="AI95" s="42">
        <f>'[2]поточний ремонт'!AI95+'[1]поточний ремонт'!AI95</f>
        <v>0</v>
      </c>
      <c r="AJ95" s="5"/>
      <c r="AK95" s="42">
        <f>'[2]поточний ремонт'!AK95+'[1]поточний ремонт'!AK95</f>
        <v>1309.6787148919341</v>
      </c>
      <c r="AL95" s="42">
        <f>'[2]поточний ремонт'!AL95+'[1]поточний ремонт'!AL95</f>
        <v>4662.2944534681219</v>
      </c>
      <c r="AM95" s="5"/>
      <c r="AN95" s="42">
        <f>'[2]поточний ремонт'!AN95+'[1]поточний ремонт'!AN95</f>
        <v>605.4211966909819</v>
      </c>
      <c r="AO95" s="42">
        <f>'[2]поточний ремонт'!AO95+'[1]поточний ремонт'!AO95</f>
        <v>858.1913451964266</v>
      </c>
      <c r="AP95" s="5"/>
      <c r="AQ95" s="42">
        <f>'[2]поточний ремонт'!AQ95+'[1]поточний ремонт'!AQ95</f>
        <v>570.11440240998616</v>
      </c>
      <c r="AR95" s="42">
        <f>'[2]поточний ремонт'!AR95+'[1]поточний ремонт'!AR95</f>
        <v>0</v>
      </c>
      <c r="AS95" s="5"/>
      <c r="AT95" s="42">
        <f>'[2]поточний ремонт'!AT95+'[1]поточний ремонт'!AT95</f>
        <v>2000.8774018470165</v>
      </c>
      <c r="AU95" s="42">
        <f>'[2]поточний ремонт'!AU95+'[1]поточний ремонт'!AU95</f>
        <v>17005.371001367155</v>
      </c>
      <c r="AV95" s="5"/>
      <c r="AW95" s="42">
        <f>'[2]поточний ремонт'!AW95+'[1]поточний ремонт'!AW95</f>
        <v>1271.8763932628176</v>
      </c>
      <c r="AX95" s="42">
        <f>'[2]поточний ремонт'!AX95+'[1]поточний ремонт'!AX95</f>
        <v>0</v>
      </c>
      <c r="AY95" s="5"/>
      <c r="AZ95" s="42">
        <f t="shared" si="10"/>
        <v>7292.2754605691443</v>
      </c>
      <c r="BA95" s="42">
        <f t="shared" si="11"/>
        <v>23734.029764623789</v>
      </c>
      <c r="BB95" s="58">
        <f t="shared" si="12"/>
        <v>16441.754304054644</v>
      </c>
      <c r="BD95" s="2">
        <v>1</v>
      </c>
      <c r="BF95" s="29">
        <v>419.49547598634831</v>
      </c>
      <c r="BG95" s="318">
        <v>150000529</v>
      </c>
      <c r="BI95" s="104">
        <v>32.57</v>
      </c>
      <c r="BJ95" s="104">
        <f t="shared" si="13"/>
        <v>4.5813678539999998</v>
      </c>
      <c r="BK95" s="104">
        <v>37.562518375720003</v>
      </c>
      <c r="BL95" s="38"/>
      <c r="BM95" s="3"/>
      <c r="BN95" s="3">
        <v>0</v>
      </c>
      <c r="BP95" s="3"/>
      <c r="BQ95" s="3"/>
      <c r="BS95" s="42"/>
      <c r="BT95" s="42">
        <v>0</v>
      </c>
      <c r="BU95" s="958"/>
      <c r="BV95" s="41"/>
      <c r="BW95" s="42"/>
      <c r="BX95" s="36"/>
      <c r="BY95" s="76"/>
      <c r="BZ95" s="42">
        <v>0</v>
      </c>
      <c r="CA95" s="959"/>
      <c r="CB95" s="41">
        <v>1</v>
      </c>
      <c r="CC95" s="41">
        <v>3552.3869656739203</v>
      </c>
      <c r="CD95" s="967"/>
      <c r="CE95" s="76">
        <v>0</v>
      </c>
      <c r="CF95" s="55"/>
      <c r="CG95" s="41">
        <v>0</v>
      </c>
      <c r="CH95" s="38">
        <v>37.562518375720003</v>
      </c>
      <c r="CI95" s="76">
        <v>5706.2666538116373</v>
      </c>
      <c r="CJ95" s="971"/>
      <c r="CK95" s="955"/>
      <c r="CL95" s="950">
        <v>730</v>
      </c>
      <c r="CM95" s="955"/>
      <c r="CN95" s="950">
        <v>0</v>
      </c>
      <c r="CO95" s="76">
        <v>39.83418414043642</v>
      </c>
      <c r="CP95" s="42">
        <v>0</v>
      </c>
      <c r="CQ95" s="965"/>
      <c r="CR95" s="76">
        <v>53.63388201544052</v>
      </c>
      <c r="CS95" s="954">
        <v>0</v>
      </c>
      <c r="CT95" s="5"/>
      <c r="CU95" s="76">
        <v>109.78690332871349</v>
      </c>
      <c r="CV95" s="42">
        <v>0</v>
      </c>
      <c r="CW95" s="5"/>
      <c r="CX95" s="76">
        <v>45.16819652124186</v>
      </c>
      <c r="CY95" s="42">
        <v>0</v>
      </c>
      <c r="CZ95" s="5"/>
      <c r="DA95" s="76">
        <v>38.977966500563689</v>
      </c>
      <c r="DB95" s="42">
        <v>0</v>
      </c>
      <c r="DC95" s="5"/>
      <c r="DD95" s="76">
        <v>61.909424468835716</v>
      </c>
      <c r="DE95" s="42">
        <v>0</v>
      </c>
      <c r="DF95" s="5"/>
      <c r="DG95" s="76">
        <v>116.37111192658503</v>
      </c>
      <c r="DH95" s="42"/>
      <c r="DI95" s="5"/>
      <c r="DJ95" s="42">
        <v>465.68166890181669</v>
      </c>
      <c r="DK95" s="42">
        <f t="shared" si="14"/>
        <v>0</v>
      </c>
      <c r="DL95" s="58">
        <f t="shared" si="15"/>
        <v>-465.68166890181669</v>
      </c>
      <c r="DM95" s="2">
        <v>1</v>
      </c>
    </row>
    <row r="96" spans="1:117" ht="24.9" customHeight="1" x14ac:dyDescent="0.3">
      <c r="A96" s="318">
        <v>150000531</v>
      </c>
      <c r="B96" s="44" t="s">
        <v>348</v>
      </c>
      <c r="C96" s="956">
        <v>9</v>
      </c>
      <c r="D96" s="957" t="s">
        <v>454</v>
      </c>
      <c r="E96" s="949">
        <f>'побудинковий звіт'!E63</f>
        <v>922.6</v>
      </c>
      <c r="F96" s="950">
        <f>'побудинковий звіт'!AS63</f>
        <v>10320.467686680873</v>
      </c>
      <c r="G96" s="950">
        <f t="shared" si="8"/>
        <v>158889.15732305142</v>
      </c>
      <c r="H96" s="950">
        <f t="shared" si="9"/>
        <v>148568.68963637055</v>
      </c>
      <c r="I96" s="42">
        <f>'[2]поточний ремонт'!I96+'[1]поточний ремонт'!I96</f>
        <v>13.04</v>
      </c>
      <c r="J96" s="42">
        <f>'[2]поточний ремонт'!J96+'[1]поточний ремонт'!J96</f>
        <v>10201.98889215947</v>
      </c>
      <c r="K96" s="964"/>
      <c r="L96" s="42">
        <f>'[2]поточний ремонт'!L96+'[1]поточний ремонт'!L96</f>
        <v>0</v>
      </c>
      <c r="M96" s="42">
        <f>'[2]поточний ремонт'!M96+'[1]поточний ремонт'!M96</f>
        <v>0</v>
      </c>
      <c r="N96" s="36"/>
      <c r="O96" s="42">
        <f>'[2]поточний ремонт'!O96+'[1]поточний ремонт'!O96</f>
        <v>0</v>
      </c>
      <c r="P96" s="42">
        <f>'[2]поточний ремонт'!P96+'[1]поточний ремонт'!P96</f>
        <v>0</v>
      </c>
      <c r="Q96" s="972"/>
      <c r="R96" s="42">
        <f>'[2]поточний ремонт'!R96+'[1]поточний ремонт'!R96</f>
        <v>2</v>
      </c>
      <c r="S96" s="42">
        <f>'[2]поточний ремонт'!S96+'[1]поточний ремонт'!S96</f>
        <v>5270.0295080617316</v>
      </c>
      <c r="T96" s="967"/>
      <c r="U96" s="42">
        <f>'[2]поточний ремонт'!U96+'[1]поточний ремонт'!U96</f>
        <v>6044.6101309980277</v>
      </c>
      <c r="V96" s="42">
        <f>'[2]поточний ремонт'!V96+'[1]поточний ремонт'!V96</f>
        <v>0</v>
      </c>
      <c r="W96" s="42">
        <f>'[2]поточний ремонт'!W96+'[1]поточний ремонт'!W96</f>
        <v>2</v>
      </c>
      <c r="X96" s="42">
        <f>'[2]поточний ремонт'!X96+'[1]поточний ремонт'!X96</f>
        <v>416.72138896153609</v>
      </c>
      <c r="Y96" s="42">
        <f>'[2]поточний ремонт'!Y96+'[1]поточний ремонт'!Y96</f>
        <v>121849.0642584812</v>
      </c>
      <c r="Z96" s="42">
        <f>'[2]поточний ремонт'!Z96+'[1]поточний ремонт'!Z96</f>
        <v>0</v>
      </c>
      <c r="AA96" s="42">
        <f>'[2]поточний ремонт'!AA96+'[1]поточний ремонт'!AA96</f>
        <v>0</v>
      </c>
      <c r="AB96" s="42">
        <f>'[2]поточний ремонт'!AB96+'[1]поточний ремонт'!AB96</f>
        <v>0</v>
      </c>
      <c r="AC96" s="42">
        <f>'[2]поточний ремонт'!AC96+'[1]поточний ремонт'!AC96</f>
        <v>6898.8419279611844</v>
      </c>
      <c r="AD96" s="42">
        <f>'[2]поточний ремонт'!AD96+'[1]поточний ремонт'!AD96</f>
        <v>8207.9012164282613</v>
      </c>
      <c r="AE96" s="42">
        <f>'[2]поточний ремонт'!AE96+'[1]поточний ремонт'!AE96</f>
        <v>1934.2134137628827</v>
      </c>
      <c r="AF96" s="42">
        <f>'[2]поточний ремонт'!AF96+'[1]поточний ремонт'!AF96</f>
        <v>1318.7578567516159</v>
      </c>
      <c r="AG96" s="5"/>
      <c r="AH96" s="42">
        <f>'[2]поточний ремонт'!AH96+'[1]поточний ремонт'!AH96</f>
        <v>2166.0330683761231</v>
      </c>
      <c r="AI96" s="42">
        <f>'[2]поточний ремонт'!AI96+'[1]поточний ремонт'!AI96</f>
        <v>0</v>
      </c>
      <c r="AJ96" s="5"/>
      <c r="AK96" s="42">
        <f>'[2]поточний ремонт'!AK96+'[1]поточний ремонт'!AK96</f>
        <v>2772.7835946806158</v>
      </c>
      <c r="AL96" s="42">
        <f>'[2]поточний ремонт'!AL96+'[1]поточний ремонт'!AL96</f>
        <v>1142.8186032487322</v>
      </c>
      <c r="AM96" s="5"/>
      <c r="AN96" s="42">
        <f>'[2]поточний ремонт'!AN96+'[1]поточний ремонт'!AN96</f>
        <v>1071.742998932358</v>
      </c>
      <c r="AO96" s="42">
        <f>'[2]поточний ремонт'!AO96+'[1]поточний ремонт'!AO96</f>
        <v>1287.2999011257489</v>
      </c>
      <c r="AP96" s="5"/>
      <c r="AQ96" s="42">
        <f>'[2]поточний ремонт'!AQ96+'[1]поточний ремонт'!AQ96</f>
        <v>1718.8300951579615</v>
      </c>
      <c r="AR96" s="42">
        <f>'[2]поточний ремонт'!AR96+'[1]поточний ремонт'!AR96</f>
        <v>0</v>
      </c>
      <c r="AS96" s="5"/>
      <c r="AT96" s="42">
        <f>'[2]поточний ремонт'!AT96+'[1]поточний ремонт'!AT96</f>
        <v>2174.0265374373121</v>
      </c>
      <c r="AU96" s="42">
        <f>'[2]поточний ремонт'!AU96+'[1]поточний ремонт'!AU96</f>
        <v>19489.093255930969</v>
      </c>
      <c r="AV96" s="5"/>
      <c r="AW96" s="42">
        <f>'[2]поточний ремонт'!AW96+'[1]поточний ремонт'!AW96</f>
        <v>794.04287336510356</v>
      </c>
      <c r="AX96" s="42">
        <f>'[2]поточний ремонт'!AX96+'[1]поточний ремонт'!AX96</f>
        <v>0</v>
      </c>
      <c r="AY96" s="5"/>
      <c r="AZ96" s="42">
        <f t="shared" si="10"/>
        <v>12631.672581712357</v>
      </c>
      <c r="BA96" s="42">
        <f t="shared" si="11"/>
        <v>23237.969617057068</v>
      </c>
      <c r="BB96" s="58">
        <f t="shared" si="12"/>
        <v>10606.297035344711</v>
      </c>
      <c r="BD96" s="2">
        <v>1</v>
      </c>
      <c r="BF96" s="29">
        <v>433.85654343874785</v>
      </c>
      <c r="BG96" s="318">
        <v>150000531</v>
      </c>
      <c r="BI96" s="104">
        <v>17.5</v>
      </c>
      <c r="BJ96" s="104">
        <f t="shared" si="13"/>
        <v>2.4615885</v>
      </c>
      <c r="BK96" s="104">
        <v>20.182501429999999</v>
      </c>
      <c r="BL96" s="38"/>
      <c r="BM96" s="3"/>
      <c r="BN96" s="3">
        <v>0</v>
      </c>
      <c r="BP96" s="3"/>
      <c r="BQ96" s="3"/>
      <c r="BS96" s="42"/>
      <c r="BT96" s="42">
        <v>0</v>
      </c>
      <c r="BU96" s="964"/>
      <c r="BV96" s="41"/>
      <c r="BW96" s="42"/>
      <c r="BX96" s="36"/>
      <c r="BY96" s="76"/>
      <c r="BZ96" s="42">
        <v>0</v>
      </c>
      <c r="CA96" s="972"/>
      <c r="CB96" s="41">
        <v>0</v>
      </c>
      <c r="CC96" s="41">
        <v>0</v>
      </c>
      <c r="CD96" s="967"/>
      <c r="CE96" s="76">
        <v>0</v>
      </c>
      <c r="CF96" s="55"/>
      <c r="CG96" s="41">
        <v>0</v>
      </c>
      <c r="CH96" s="38">
        <v>20.182501429999999</v>
      </c>
      <c r="CI96" s="76">
        <v>0</v>
      </c>
      <c r="CJ96" s="55"/>
      <c r="CK96" s="955"/>
      <c r="CL96" s="950"/>
      <c r="CM96" s="955"/>
      <c r="CN96" s="950">
        <v>936.62573479642947</v>
      </c>
      <c r="CO96" s="76">
        <v>130.73436117350818</v>
      </c>
      <c r="CP96" s="42">
        <v>0</v>
      </c>
      <c r="CQ96" s="5"/>
      <c r="CR96" s="76">
        <v>175.65387450922373</v>
      </c>
      <c r="CS96" s="954">
        <v>0</v>
      </c>
      <c r="CT96" s="5"/>
      <c r="CU96" s="76">
        <v>241.85458620861681</v>
      </c>
      <c r="CV96" s="42">
        <v>0</v>
      </c>
      <c r="CW96" s="5"/>
      <c r="CX96" s="76">
        <v>92.819346361517901</v>
      </c>
      <c r="CY96" s="42">
        <v>0</v>
      </c>
      <c r="CZ96" s="5"/>
      <c r="DA96" s="76">
        <v>146.1613169921593</v>
      </c>
      <c r="DB96" s="42">
        <v>0</v>
      </c>
      <c r="DC96" s="5"/>
      <c r="DD96" s="76">
        <v>117.91086604202961</v>
      </c>
      <c r="DE96" s="42">
        <v>0</v>
      </c>
      <c r="DF96" s="5"/>
      <c r="DG96" s="76">
        <v>71.011447135298681</v>
      </c>
      <c r="DH96" s="42"/>
      <c r="DI96" s="5"/>
      <c r="DJ96" s="42">
        <v>976.14579842235423</v>
      </c>
      <c r="DK96" s="42">
        <f t="shared" si="14"/>
        <v>0</v>
      </c>
      <c r="DL96" s="58">
        <f t="shared" si="15"/>
        <v>-976.14579842235423</v>
      </c>
      <c r="DM96" s="2">
        <v>1</v>
      </c>
    </row>
    <row r="97" spans="1:117" ht="24.9" customHeight="1" x14ac:dyDescent="0.3">
      <c r="A97" s="318">
        <v>150000532</v>
      </c>
      <c r="B97" s="44" t="s">
        <v>253</v>
      </c>
      <c r="C97" s="956">
        <v>5</v>
      </c>
      <c r="D97" s="957" t="s">
        <v>454</v>
      </c>
      <c r="E97" s="949">
        <f>'побудинковий звіт'!E64</f>
        <v>0</v>
      </c>
      <c r="F97" s="950">
        <f>'побудинковий звіт'!AS64</f>
        <v>10894.088610326024</v>
      </c>
      <c r="G97" s="950">
        <f t="shared" si="8"/>
        <v>20147.457799496944</v>
      </c>
      <c r="H97" s="950">
        <f t="shared" si="9"/>
        <v>9253.3691891709204</v>
      </c>
      <c r="I97" s="42">
        <f>'[2]поточний ремонт'!I97+'[1]поточний ремонт'!I97</f>
        <v>51.89</v>
      </c>
      <c r="J97" s="42">
        <f>'[2]поточний ремонт'!J97+'[1]поточний ремонт'!J97</f>
        <v>20065.674414543733</v>
      </c>
      <c r="K97" s="958"/>
      <c r="L97" s="42">
        <f>'[2]поточний ремонт'!L97+'[1]поточний ремонт'!L97</f>
        <v>0</v>
      </c>
      <c r="M97" s="42">
        <f>'[2]поточний ремонт'!M97+'[1]поточний ремонт'!M97</f>
        <v>0</v>
      </c>
      <c r="N97" s="36"/>
      <c r="O97" s="42">
        <f>'[2]поточний ремонт'!O97+'[1]поточний ремонт'!O97</f>
        <v>0</v>
      </c>
      <c r="P97" s="42">
        <f>'[2]поточний ремонт'!P97+'[1]поточний ремонт'!P97</f>
        <v>0</v>
      </c>
      <c r="Q97" s="959"/>
      <c r="R97" s="42">
        <f>'[2]поточний ремонт'!R97+'[1]поточний ремонт'!R97</f>
        <v>0</v>
      </c>
      <c r="S97" s="42">
        <f>'[2]поточний ремонт'!S97+'[1]поточний ремонт'!S97</f>
        <v>0</v>
      </c>
      <c r="T97" s="960"/>
      <c r="U97" s="42">
        <f>'[2]поточний ремонт'!U97+'[1]поточний ремонт'!U97</f>
        <v>0</v>
      </c>
      <c r="V97" s="42">
        <f>'[2]поточний ремонт'!V97+'[1]поточний ремонт'!V97</f>
        <v>0</v>
      </c>
      <c r="W97" s="42">
        <f>'[2]поточний ремонт'!W97+'[1]поточний ремонт'!W97</f>
        <v>0</v>
      </c>
      <c r="X97" s="42">
        <f>'[2]поточний ремонт'!X97+'[1]поточний ремонт'!X97</f>
        <v>0</v>
      </c>
      <c r="Y97" s="42">
        <f>'[2]поточний ремонт'!Y97+'[1]поточний ремонт'!Y97</f>
        <v>0</v>
      </c>
      <c r="Z97" s="42">
        <f>'[2]поточний ремонт'!Z97+'[1]поточний ремонт'!Z97</f>
        <v>0</v>
      </c>
      <c r="AA97" s="42">
        <f>'[2]поточний ремонт'!AA97+'[1]поточний ремонт'!AA97</f>
        <v>0</v>
      </c>
      <c r="AB97" s="42">
        <f>'[2]поточний ремонт'!AB97+'[1]поточний ремонт'!AB97</f>
        <v>0</v>
      </c>
      <c r="AC97" s="42">
        <f>'[2]поточний ремонт'!AC97+'[1]поточний ремонт'!AC97</f>
        <v>0</v>
      </c>
      <c r="AD97" s="42">
        <f>'[2]поточний ремонт'!AD97+'[1]поточний ремонт'!AD97</f>
        <v>81.783384953212092</v>
      </c>
      <c r="AE97" s="42">
        <f>'[2]поточний ремонт'!AE97+'[1]поточний ремонт'!AE97</f>
        <v>1481.3518736905023</v>
      </c>
      <c r="AF97" s="42">
        <f>'[2]поточний ремонт'!AF97+'[1]поточний ремонт'!AF97</f>
        <v>1489.9095250946195</v>
      </c>
      <c r="AG97" s="5"/>
      <c r="AH97" s="42">
        <f>'[2]поточний ремонт'!AH97+'[1]поточний ремонт'!AH97</f>
        <v>2147.7333613624146</v>
      </c>
      <c r="AI97" s="42">
        <f>'[2]поточний ремонт'!AI97+'[1]поточний ремонт'!AI97</f>
        <v>2370.3930450573271</v>
      </c>
      <c r="AJ97" s="5"/>
      <c r="AK97" s="42">
        <f>'[2]поточний ремонт'!AK97+'[1]поточний ремонт'!AK97</f>
        <v>701.74615545264874</v>
      </c>
      <c r="AL97" s="42">
        <f>'[2]поточний ремонт'!AL97+'[1]поточний ремонт'!AL97</f>
        <v>0</v>
      </c>
      <c r="AM97" s="5"/>
      <c r="AN97" s="42">
        <f>'[2]поточний ремонт'!AN97+'[1]поточний ремонт'!AN97</f>
        <v>615.21260834171096</v>
      </c>
      <c r="AO97" s="42">
        <f>'[2]поточний ремонт'!AO97+'[1]поточний ремонт'!AO97</f>
        <v>0</v>
      </c>
      <c r="AP97" s="5"/>
      <c r="AQ97" s="42">
        <f>'[2]поточний ремонт'!AQ97+'[1]поточний ремонт'!AQ97</f>
        <v>524.13941603615615</v>
      </c>
      <c r="AR97" s="42">
        <f>'[2]поточний ремонт'!AR97+'[1]поточний ремонт'!AR97</f>
        <v>0</v>
      </c>
      <c r="AS97" s="5"/>
      <c r="AT97" s="42">
        <f>'[2]поточний ремонт'!AT97+'[1]поточний ремонт'!AT97</f>
        <v>1094.9826479016895</v>
      </c>
      <c r="AU97" s="42">
        <f>'[2]поточний ремонт'!AU97+'[1]поточний ремонт'!AU97</f>
        <v>6060.7122425584621</v>
      </c>
      <c r="AV97" s="5"/>
      <c r="AW97" s="42">
        <f>'[2]поточний ремонт'!AW97+'[1]поточний ремонт'!AW97</f>
        <v>646.14710559356263</v>
      </c>
      <c r="AX97" s="42">
        <f>'[2]поточний ремонт'!AX97+'[1]поточний ремонт'!AX97</f>
        <v>0</v>
      </c>
      <c r="AY97" s="5"/>
      <c r="AZ97" s="42">
        <f t="shared" si="10"/>
        <v>7211.3131683786842</v>
      </c>
      <c r="BA97" s="42">
        <f t="shared" si="11"/>
        <v>9921.0148127104076</v>
      </c>
      <c r="BB97" s="58">
        <f t="shared" si="12"/>
        <v>2709.7016443317234</v>
      </c>
      <c r="BD97" s="2">
        <v>1</v>
      </c>
      <c r="BF97" s="29">
        <v>116.37857136045761</v>
      </c>
      <c r="BG97" s="318">
        <v>150000532</v>
      </c>
      <c r="BI97" s="104">
        <v>0</v>
      </c>
      <c r="BJ97" s="104">
        <f t="shared" si="13"/>
        <v>0</v>
      </c>
      <c r="BK97" s="104">
        <v>0</v>
      </c>
      <c r="BL97" s="38"/>
      <c r="BM97" s="3"/>
      <c r="BN97" s="3">
        <v>0</v>
      </c>
      <c r="BP97" s="3"/>
      <c r="BQ97" s="3"/>
      <c r="BS97" s="42"/>
      <c r="BT97" s="42">
        <v>0</v>
      </c>
      <c r="BU97" s="958"/>
      <c r="BV97" s="41"/>
      <c r="BW97" s="42"/>
      <c r="BX97" s="36"/>
      <c r="BY97" s="76"/>
      <c r="BZ97" s="42">
        <v>0</v>
      </c>
      <c r="CA97" s="959"/>
      <c r="CB97" s="41">
        <v>0</v>
      </c>
      <c r="CC97" s="41">
        <v>0</v>
      </c>
      <c r="CD97" s="960"/>
      <c r="CE97" s="76">
        <v>0</v>
      </c>
      <c r="CF97" s="55"/>
      <c r="CG97" s="41">
        <v>0</v>
      </c>
      <c r="CH97" s="38">
        <v>0</v>
      </c>
      <c r="CI97" s="76">
        <v>0</v>
      </c>
      <c r="CJ97" s="55"/>
      <c r="CK97" s="955"/>
      <c r="CL97" s="950"/>
      <c r="CM97" s="955"/>
      <c r="CN97" s="950">
        <v>0</v>
      </c>
      <c r="CO97" s="76">
        <v>121.04738785439493</v>
      </c>
      <c r="CP97" s="42">
        <v>373.71814321041592</v>
      </c>
      <c r="CQ97" s="5"/>
      <c r="CR97" s="76">
        <v>170.64873003859248</v>
      </c>
      <c r="CS97" s="954">
        <v>0</v>
      </c>
      <c r="CT97" s="5"/>
      <c r="CU97" s="76">
        <v>48.99671904578414</v>
      </c>
      <c r="CV97" s="42">
        <v>0</v>
      </c>
      <c r="CW97" s="5"/>
      <c r="CX97" s="76">
        <v>57.377306866395919</v>
      </c>
      <c r="CY97" s="42">
        <v>0</v>
      </c>
      <c r="CZ97" s="5"/>
      <c r="DA97" s="76">
        <v>44.980177589529568</v>
      </c>
      <c r="DB97" s="42">
        <v>0</v>
      </c>
      <c r="DC97" s="5"/>
      <c r="DD97" s="76">
        <v>61.284913654107179</v>
      </c>
      <c r="DE97" s="42">
        <v>2158.648619631942</v>
      </c>
      <c r="DF97" s="5"/>
      <c r="DG97" s="76">
        <v>61.145370719090117</v>
      </c>
      <c r="DH97" s="42"/>
      <c r="DI97" s="5"/>
      <c r="DJ97" s="42">
        <v>565.4806057678943</v>
      </c>
      <c r="DK97" s="42">
        <f t="shared" si="14"/>
        <v>2532.3667628423577</v>
      </c>
      <c r="DL97" s="58">
        <f t="shared" si="15"/>
        <v>1966.8861570744634</v>
      </c>
      <c r="DM97" s="2">
        <v>1</v>
      </c>
    </row>
    <row r="98" spans="1:117" ht="24.9" customHeight="1" x14ac:dyDescent="0.3">
      <c r="A98" s="318">
        <v>150000533</v>
      </c>
      <c r="B98" s="44" t="s">
        <v>349</v>
      </c>
      <c r="C98" s="956">
        <v>9</v>
      </c>
      <c r="D98" s="957" t="s">
        <v>454</v>
      </c>
      <c r="E98" s="949">
        <f>'побудинковий звіт'!E65</f>
        <v>1867.1</v>
      </c>
      <c r="F98" s="950">
        <f>'побудинковий звіт'!AS65</f>
        <v>24686.674640317498</v>
      </c>
      <c r="G98" s="950">
        <f t="shared" si="8"/>
        <v>81000.219081355317</v>
      </c>
      <c r="H98" s="950">
        <f t="shared" si="9"/>
        <v>56313.544441037819</v>
      </c>
      <c r="I98" s="42">
        <f>'[2]поточний ремонт'!I98+'[1]поточний ремонт'!I98</f>
        <v>0</v>
      </c>
      <c r="J98" s="42">
        <f>'[2]поточний ремонт'!J98+'[1]поточний ремонт'!J98</f>
        <v>0</v>
      </c>
      <c r="K98" s="958"/>
      <c r="L98" s="42">
        <f>'[2]поточний ремонт'!L98+'[1]поточний ремонт'!L98</f>
        <v>0</v>
      </c>
      <c r="M98" s="42">
        <f>'[2]поточний ремонт'!M98+'[1]поточний ремонт'!M98</f>
        <v>0</v>
      </c>
      <c r="N98" s="36"/>
      <c r="O98" s="42">
        <f>'[2]поточний ремонт'!O98+'[1]поточний ремонт'!O98</f>
        <v>0</v>
      </c>
      <c r="P98" s="42">
        <f>'[2]поточний ремонт'!P98+'[1]поточний ремонт'!P98</f>
        <v>0</v>
      </c>
      <c r="Q98" s="959"/>
      <c r="R98" s="42">
        <f>'[2]поточний ремонт'!R98+'[1]поточний ремонт'!R98</f>
        <v>3</v>
      </c>
      <c r="S98" s="42">
        <f>'[2]поточний ремонт'!S98+'[1]поточний ремонт'!S98</f>
        <v>3256.519026027478</v>
      </c>
      <c r="T98" s="967"/>
      <c r="U98" s="42">
        <f>'[2]поточний ремонт'!U98+'[1]поточний ремонт'!U98</f>
        <v>0</v>
      </c>
      <c r="V98" s="42">
        <f>'[2]поточний ремонт'!V98+'[1]поточний ремонт'!V98</f>
        <v>0</v>
      </c>
      <c r="W98" s="42">
        <f>'[2]поточний ремонт'!W98+'[1]поточний ремонт'!W98</f>
        <v>7</v>
      </c>
      <c r="X98" s="42">
        <f>'[2]поточний ремонт'!X98+'[1]поточний ремонт'!X98</f>
        <v>288.44939339168258</v>
      </c>
      <c r="Y98" s="42">
        <f>'[2]поточний ремонт'!Y98+'[1]поточний ремонт'!Y98</f>
        <v>37305.435753616635</v>
      </c>
      <c r="Z98" s="42">
        <f>'[2]поточний ремонт'!Z98+'[1]поточний ремонт'!Z98</f>
        <v>0</v>
      </c>
      <c r="AA98" s="42">
        <f>'[2]поточний ремонт'!AA98+'[1]поточний ремонт'!AA98</f>
        <v>0</v>
      </c>
      <c r="AB98" s="42">
        <f>'[2]поточний ремонт'!AB98+'[1]поточний ремонт'!AB98</f>
        <v>7814.8163222597514</v>
      </c>
      <c r="AC98" s="42">
        <f>'[2]поточний ремонт'!AC98+'[1]поточний ремонт'!AC98</f>
        <v>7137.3138285740006</v>
      </c>
      <c r="AD98" s="42">
        <f>'[2]поточний ремонт'!AD98+'[1]поточний ремонт'!AD98</f>
        <v>25197.684757485782</v>
      </c>
      <c r="AE98" s="42">
        <f>'[2]поточний ремонт'!AE98+'[1]поточний ремонт'!AE98</f>
        <v>1051.1190025807823</v>
      </c>
      <c r="AF98" s="42">
        <f>'[2]поточний ремонт'!AF98+'[1]поточний ремонт'!AF98</f>
        <v>2529.6937279996509</v>
      </c>
      <c r="AG98" s="9"/>
      <c r="AH98" s="42">
        <f>'[2]поточний ремонт'!AH98+'[1]поточний ремонт'!AH98</f>
        <v>1510.1350495973563</v>
      </c>
      <c r="AI98" s="42">
        <f>'[2]поточний ремонт'!AI98+'[1]поточний ремонт'!AI98</f>
        <v>7245.668937201659</v>
      </c>
      <c r="AJ98" s="5"/>
      <c r="AK98" s="42">
        <f>'[2]поточний ремонт'!AK98+'[1]поточний ремонт'!AK98</f>
        <v>1155.0590136988073</v>
      </c>
      <c r="AL98" s="42">
        <f>'[2]поточний ремонт'!AL98+'[1]поточний ремонт'!AL98</f>
        <v>0</v>
      </c>
      <c r="AM98" s="5"/>
      <c r="AN98" s="42">
        <f>'[2]поточний ремонт'!AN98+'[1]поточний ремонт'!AN98</f>
        <v>730.68882044495854</v>
      </c>
      <c r="AO98" s="42">
        <f>'[2]поточний ремонт'!AO98+'[1]поточний ремонт'!AO98</f>
        <v>3476.2876682233041</v>
      </c>
      <c r="AP98" s="5"/>
      <c r="AQ98" s="42">
        <f>'[2]поточний ремонт'!AQ98+'[1]поточний ремонт'!AQ98</f>
        <v>1285.5332632479463</v>
      </c>
      <c r="AR98" s="42">
        <f>'[2]поточний ремонт'!AR98+'[1]поточний ремонт'!AR98</f>
        <v>1065.6453268944231</v>
      </c>
      <c r="AS98" s="5"/>
      <c r="AT98" s="42">
        <f>'[2]поточний ремонт'!AT98+'[1]поточний ремонт'!AT98</f>
        <v>1576.0640192087901</v>
      </c>
      <c r="AU98" s="42">
        <f>'[2]поточний ремонт'!AU98+'[1]поточний ремонт'!AU98</f>
        <v>6556.1410798053876</v>
      </c>
      <c r="AV98" s="5"/>
      <c r="AW98" s="42">
        <f>'[2]поточний ремонт'!AW98+'[1]поточний ремонт'!AW98</f>
        <v>1229.5422001266131</v>
      </c>
      <c r="AX98" s="42">
        <f>'[2]поточний ремонт'!AX98+'[1]поточний ремонт'!AX98</f>
        <v>23204.609039609684</v>
      </c>
      <c r="AY98" s="5"/>
      <c r="AZ98" s="42">
        <f t="shared" si="10"/>
        <v>8538.1413689052533</v>
      </c>
      <c r="BA98" s="42">
        <f t="shared" si="11"/>
        <v>44078.045779734108</v>
      </c>
      <c r="BB98" s="58">
        <f t="shared" si="12"/>
        <v>35539.904410828851</v>
      </c>
      <c r="BD98" s="2">
        <v>1</v>
      </c>
      <c r="BF98" s="29">
        <v>544.20189185863364</v>
      </c>
      <c r="BG98" s="318">
        <v>150000533</v>
      </c>
      <c r="BI98" s="104">
        <v>1.1200000000000001</v>
      </c>
      <c r="BJ98" s="104">
        <f t="shared" si="13"/>
        <v>0.157541664</v>
      </c>
      <c r="BK98" s="104">
        <v>1.2916800915200002</v>
      </c>
      <c r="BL98" s="38"/>
      <c r="BM98" s="3"/>
      <c r="BN98" s="3">
        <v>0</v>
      </c>
      <c r="BP98" s="3"/>
      <c r="BQ98" s="3"/>
      <c r="BS98" s="42"/>
      <c r="BT98" s="42">
        <v>0</v>
      </c>
      <c r="BU98" s="958"/>
      <c r="BV98" s="41"/>
      <c r="BW98" s="42"/>
      <c r="BX98" s="36"/>
      <c r="BY98" s="76"/>
      <c r="BZ98" s="42">
        <v>0</v>
      </c>
      <c r="CA98" s="959"/>
      <c r="CB98" s="41">
        <v>0</v>
      </c>
      <c r="CC98" s="41">
        <v>0</v>
      </c>
      <c r="CD98" s="967"/>
      <c r="CE98" s="76">
        <v>0</v>
      </c>
      <c r="CF98" s="55"/>
      <c r="CG98" s="41">
        <v>0</v>
      </c>
      <c r="CH98" s="38">
        <v>1.2916800915200002</v>
      </c>
      <c r="CI98" s="76">
        <v>0</v>
      </c>
      <c r="CJ98" s="964"/>
      <c r="CK98" s="955"/>
      <c r="CL98" s="950"/>
      <c r="CM98" s="955"/>
      <c r="CN98" s="950">
        <v>172.95297588114539</v>
      </c>
      <c r="CO98" s="76">
        <v>86.324481105329667</v>
      </c>
      <c r="CP98" s="42">
        <v>0</v>
      </c>
      <c r="CQ98" s="9"/>
      <c r="CR98" s="76">
        <v>118.37314891177445</v>
      </c>
      <c r="CS98" s="954">
        <v>0</v>
      </c>
      <c r="CT98" s="5"/>
      <c r="CU98" s="76">
        <v>92.323172835290876</v>
      </c>
      <c r="CV98" s="42">
        <v>0</v>
      </c>
      <c r="CW98" s="5"/>
      <c r="CX98" s="76">
        <v>57.664965605098686</v>
      </c>
      <c r="CY98" s="42">
        <v>0</v>
      </c>
      <c r="CZ98" s="5"/>
      <c r="DA98" s="76">
        <v>97.437639220398921</v>
      </c>
      <c r="DB98" s="42">
        <v>0</v>
      </c>
      <c r="DC98" s="5"/>
      <c r="DD98" s="76">
        <v>117.69617415465216</v>
      </c>
      <c r="DE98" s="42">
        <v>0</v>
      </c>
      <c r="DF98" s="5"/>
      <c r="DG98" s="76">
        <v>114.42215885942146</v>
      </c>
      <c r="DH98" s="42"/>
      <c r="DI98" s="5"/>
      <c r="DJ98" s="42">
        <v>684.24174069196624</v>
      </c>
      <c r="DK98" s="42">
        <f t="shared" si="14"/>
        <v>0</v>
      </c>
      <c r="DL98" s="58">
        <f t="shared" si="15"/>
        <v>-684.24174069196624</v>
      </c>
      <c r="DM98" s="2">
        <v>1</v>
      </c>
    </row>
    <row r="99" spans="1:117" ht="24.9" customHeight="1" x14ac:dyDescent="0.3">
      <c r="A99" s="318">
        <v>150000534</v>
      </c>
      <c r="B99" s="44" t="s">
        <v>254</v>
      </c>
      <c r="C99" s="956">
        <v>5</v>
      </c>
      <c r="D99" s="957" t="s">
        <v>454</v>
      </c>
      <c r="E99" s="949">
        <f>'побудинковий звіт'!E66</f>
        <v>1171.21</v>
      </c>
      <c r="F99" s="950">
        <f>'побудинковий звіт'!AS66</f>
        <v>14588.509230208359</v>
      </c>
      <c r="G99" s="950">
        <f t="shared" si="8"/>
        <v>818.56495711009256</v>
      </c>
      <c r="H99" s="950">
        <f t="shared" si="9"/>
        <v>-13769.944273098266</v>
      </c>
      <c r="I99" s="42">
        <f>'[2]поточний ремонт'!I99+'[1]поточний ремонт'!I99</f>
        <v>0</v>
      </c>
      <c r="J99" s="42">
        <f>'[2]поточний ремонт'!J99+'[1]поточний ремонт'!J99</f>
        <v>0</v>
      </c>
      <c r="K99" s="958"/>
      <c r="L99" s="42">
        <f>'[2]поточний ремонт'!L99+'[1]поточний ремонт'!L99</f>
        <v>0</v>
      </c>
      <c r="M99" s="42">
        <f>'[2]поточний ремонт'!M99+'[1]поточний ремонт'!M99</f>
        <v>0</v>
      </c>
      <c r="N99" s="961"/>
      <c r="O99" s="42">
        <f>'[2]поточний ремонт'!O99+'[1]поточний ремонт'!O99</f>
        <v>0</v>
      </c>
      <c r="P99" s="42">
        <f>'[2]поточний ремонт'!P99+'[1]поточний ремонт'!P99</f>
        <v>0</v>
      </c>
      <c r="Q99" s="959"/>
      <c r="R99" s="42">
        <f>'[2]поточний ремонт'!R99+'[1]поточний ремонт'!R99</f>
        <v>0</v>
      </c>
      <c r="S99" s="42">
        <f>'[2]поточний ремонт'!S99+'[1]поточний ремонт'!S99</f>
        <v>0</v>
      </c>
      <c r="T99" s="960"/>
      <c r="U99" s="42">
        <f>'[2]поточний ремонт'!U99+'[1]поточний ремонт'!U99</f>
        <v>0</v>
      </c>
      <c r="V99" s="42">
        <f>'[2]поточний ремонт'!V99+'[1]поточний ремонт'!V99</f>
        <v>0</v>
      </c>
      <c r="W99" s="42">
        <f>'[2]поточний ремонт'!W99+'[1]поточний ремонт'!W99</f>
        <v>0</v>
      </c>
      <c r="X99" s="42">
        <f>'[2]поточний ремонт'!X99+'[1]поточний ремонт'!X99</f>
        <v>0</v>
      </c>
      <c r="Y99" s="42">
        <f>'[2]поточний ремонт'!Y99+'[1]поточний ремонт'!Y99</f>
        <v>818.56495711009256</v>
      </c>
      <c r="Z99" s="42">
        <f>'[2]поточний ремонт'!Z99+'[1]поточний ремонт'!Z99</f>
        <v>0</v>
      </c>
      <c r="AA99" s="42">
        <f>'[2]поточний ремонт'!AA99+'[1]поточний ремонт'!AA99</f>
        <v>0</v>
      </c>
      <c r="AB99" s="42">
        <f>'[2]поточний ремонт'!AB99+'[1]поточний ремонт'!AB99</f>
        <v>0</v>
      </c>
      <c r="AC99" s="42">
        <f>'[2]поточний ремонт'!AC99+'[1]поточний ремонт'!AC99</f>
        <v>0</v>
      </c>
      <c r="AD99" s="42">
        <f>'[2]поточний ремонт'!AD99+'[1]поточний ремонт'!AD99</f>
        <v>0</v>
      </c>
      <c r="AE99" s="42">
        <f>'[2]поточний ремонт'!AE99+'[1]поточний ремонт'!AE99</f>
        <v>1631.8467451098004</v>
      </c>
      <c r="AF99" s="42">
        <f>'[2]поточний ремонт'!AF99+'[1]поточний ремонт'!AF99</f>
        <v>874.56975125450276</v>
      </c>
      <c r="AG99" s="5"/>
      <c r="AH99" s="42">
        <f>'[2]поточний ремонт'!AH99+'[1]поточний ремонт'!AH99</f>
        <v>2083.2288570830806</v>
      </c>
      <c r="AI99" s="42">
        <f>'[2]поточний ремонт'!AI99+'[1]поточний ремонт'!AI99</f>
        <v>3946.9223552812609</v>
      </c>
      <c r="AJ99" s="9"/>
      <c r="AK99" s="42">
        <f>'[2]поточний ремонт'!AK99+'[1]поточний ремонт'!AK99</f>
        <v>1465.8842339931318</v>
      </c>
      <c r="AL99" s="42">
        <f>'[2]поточний ремонт'!AL99+'[1]поточний ремонт'!AL99</f>
        <v>0</v>
      </c>
      <c r="AM99" s="5"/>
      <c r="AN99" s="42">
        <f>'[2]поточний ремонт'!AN99+'[1]поточний ремонт'!AN99</f>
        <v>742.38895326115244</v>
      </c>
      <c r="AO99" s="42">
        <f>'[2]поточний ремонт'!AO99+'[1]поточний ремонт'!AO99</f>
        <v>0</v>
      </c>
      <c r="AP99" s="5"/>
      <c r="AQ99" s="42">
        <f>'[2]поточний ремонт'!AQ99+'[1]поточний ремонт'!AQ99</f>
        <v>524.13941603615615</v>
      </c>
      <c r="AR99" s="42">
        <f>'[2]поточний ремонт'!AR99+'[1]поточний ремонт'!AR99</f>
        <v>0</v>
      </c>
      <c r="AS99" s="5"/>
      <c r="AT99" s="42">
        <f>'[2]поточний ремонт'!AT99+'[1]поточний ремонт'!AT99</f>
        <v>1147.308522566462</v>
      </c>
      <c r="AU99" s="42">
        <f>'[2]поточний ремонт'!AU99+'[1]поточний ремонт'!AU99</f>
        <v>3451.8002312702101</v>
      </c>
      <c r="AV99" s="5"/>
      <c r="AW99" s="42">
        <f>'[2]поточний ремонт'!AW99+'[1]поточний ремонт'!AW99</f>
        <v>730.50337136567373</v>
      </c>
      <c r="AX99" s="42">
        <f>'[2]поточний ремонт'!AX99+'[1]поточний ремонт'!AX99</f>
        <v>0</v>
      </c>
      <c r="AY99" s="5"/>
      <c r="AZ99" s="42">
        <f t="shared" si="10"/>
        <v>8325.3000994154572</v>
      </c>
      <c r="BA99" s="42">
        <f t="shared" si="11"/>
        <v>8273.292337805975</v>
      </c>
      <c r="BB99" s="58">
        <f t="shared" si="12"/>
        <v>-52.007761609482259</v>
      </c>
      <c r="BD99" s="2">
        <v>1</v>
      </c>
      <c r="BF99" s="29">
        <v>115.92821592679131</v>
      </c>
      <c r="BG99" s="318">
        <v>150000534</v>
      </c>
      <c r="BI99" s="104">
        <v>0</v>
      </c>
      <c r="BJ99" s="104">
        <f t="shared" si="13"/>
        <v>0</v>
      </c>
      <c r="BK99" s="104">
        <v>0</v>
      </c>
      <c r="BL99" s="38"/>
      <c r="BM99" s="3"/>
      <c r="BN99" s="3">
        <v>0</v>
      </c>
      <c r="BP99" s="3"/>
      <c r="BQ99" s="3"/>
      <c r="BS99" s="42"/>
      <c r="BT99" s="42">
        <v>0</v>
      </c>
      <c r="BU99" s="958"/>
      <c r="BV99" s="41"/>
      <c r="BW99" s="42"/>
      <c r="BX99" s="961"/>
      <c r="BY99" s="76"/>
      <c r="BZ99" s="42">
        <v>0</v>
      </c>
      <c r="CA99" s="959"/>
      <c r="CB99" s="41">
        <v>0</v>
      </c>
      <c r="CC99" s="41">
        <v>0</v>
      </c>
      <c r="CD99" s="960"/>
      <c r="CE99" s="76">
        <v>0</v>
      </c>
      <c r="CF99" s="55"/>
      <c r="CG99" s="41">
        <v>0</v>
      </c>
      <c r="CH99" s="38">
        <v>0</v>
      </c>
      <c r="CI99" s="76">
        <v>0</v>
      </c>
      <c r="CJ99" s="55"/>
      <c r="CK99" s="955"/>
      <c r="CL99" s="950"/>
      <c r="CM99" s="955"/>
      <c r="CN99" s="950">
        <v>0</v>
      </c>
      <c r="CO99" s="76">
        <v>128.5912850176822</v>
      </c>
      <c r="CP99" s="42">
        <v>346.41471448329588</v>
      </c>
      <c r="CQ99" s="5"/>
      <c r="CR99" s="76">
        <v>170.64873003859248</v>
      </c>
      <c r="CS99" s="954">
        <v>0</v>
      </c>
      <c r="CT99" s="9"/>
      <c r="CU99" s="76">
        <v>119.10558709089396</v>
      </c>
      <c r="CV99" s="42">
        <v>0</v>
      </c>
      <c r="CW99" s="5"/>
      <c r="CX99" s="76">
        <v>58.85880111369633</v>
      </c>
      <c r="CY99" s="42">
        <v>0</v>
      </c>
      <c r="CZ99" s="5"/>
      <c r="DA99" s="76">
        <v>44.980177589529568</v>
      </c>
      <c r="DB99" s="42">
        <v>0</v>
      </c>
      <c r="DC99" s="5"/>
      <c r="DD99" s="76">
        <v>61.284913654107179</v>
      </c>
      <c r="DE99" s="42">
        <v>952.84965418607874</v>
      </c>
      <c r="DF99" s="5"/>
      <c r="DG99" s="76">
        <v>61.145370719090117</v>
      </c>
      <c r="DH99" s="42"/>
      <c r="DI99" s="5"/>
      <c r="DJ99" s="42">
        <v>644.61486522359189</v>
      </c>
      <c r="DK99" s="42">
        <f t="shared" si="14"/>
        <v>1299.2643686693746</v>
      </c>
      <c r="DL99" s="58">
        <f t="shared" si="15"/>
        <v>654.64950344578267</v>
      </c>
      <c r="DM99" s="2">
        <v>1</v>
      </c>
    </row>
    <row r="100" spans="1:117" ht="24.9" customHeight="1" x14ac:dyDescent="0.3">
      <c r="A100" s="318">
        <v>150000535</v>
      </c>
      <c r="B100" s="44" t="s">
        <v>350</v>
      </c>
      <c r="C100" s="956">
        <v>9</v>
      </c>
      <c r="D100" s="957" t="s">
        <v>454</v>
      </c>
      <c r="E100" s="949">
        <f>'побудинковий звіт'!E67</f>
        <v>1448.3</v>
      </c>
      <c r="F100" s="950">
        <f>'побудинковий звіт'!AS67</f>
        <v>13775.708168024916</v>
      </c>
      <c r="G100" s="950">
        <f t="shared" si="8"/>
        <v>270453.86448502663</v>
      </c>
      <c r="H100" s="950">
        <f t="shared" si="9"/>
        <v>256678.1563170017</v>
      </c>
      <c r="I100" s="42">
        <f>'[2]поточний ремонт'!I100+'[1]поточний ремонт'!I100</f>
        <v>140.44999999999999</v>
      </c>
      <c r="J100" s="42">
        <f>'[2]поточний ремонт'!J100+'[1]поточний ремонт'!J100</f>
        <v>52180.748766131255</v>
      </c>
      <c r="K100" s="964"/>
      <c r="L100" s="42">
        <f>'[2]поточний ремонт'!L100+'[1]поточний ремонт'!L100</f>
        <v>0</v>
      </c>
      <c r="M100" s="42">
        <f>'[2]поточний ремонт'!M100+'[1]поточний ремонт'!M100</f>
        <v>0</v>
      </c>
      <c r="N100" s="36"/>
      <c r="O100" s="42">
        <f>'[2]поточний ремонт'!O100+'[1]поточний ремонт'!O100</f>
        <v>0</v>
      </c>
      <c r="P100" s="42">
        <f>'[2]поточний ремонт'!P100+'[1]поточний ремонт'!P100</f>
        <v>0</v>
      </c>
      <c r="Q100" s="972"/>
      <c r="R100" s="42">
        <f>'[2]поточний ремонт'!R100+'[1]поточний ремонт'!R100</f>
        <v>8</v>
      </c>
      <c r="S100" s="42">
        <f>'[2]поточний ремонт'!S100+'[1]поточний ремонт'!S100</f>
        <v>187489.85459841409</v>
      </c>
      <c r="T100" s="967"/>
      <c r="U100" s="42">
        <f>'[2]поточний ремонт'!U100+'[1]поточний ремонт'!U100</f>
        <v>18156</v>
      </c>
      <c r="V100" s="42">
        <f>'[2]поточний ремонт'!V100+'[1]поточний ремонт'!V100</f>
        <v>0</v>
      </c>
      <c r="W100" s="42">
        <f>'[2]поточний ремонт'!W100+'[1]поточний ремонт'!W100</f>
        <v>0</v>
      </c>
      <c r="X100" s="42">
        <f>'[2]поточний ремонт'!X100+'[1]поточний ремонт'!X100</f>
        <v>0</v>
      </c>
      <c r="Y100" s="42">
        <f>'[2]поточний ремонт'!Y100+'[1]поточний ремонт'!Y100</f>
        <v>612.49416320357818</v>
      </c>
      <c r="Z100" s="42">
        <f>'[2]поточний ремонт'!Z100+'[1]поточний ремонт'!Z100</f>
        <v>0</v>
      </c>
      <c r="AA100" s="42">
        <f>'[2]поточний ремонт'!AA100+'[1]поточний ремонт'!AA100</f>
        <v>0</v>
      </c>
      <c r="AB100" s="42">
        <f>'[2]поточний ремонт'!AB100+'[1]поточний ремонт'!AB100</f>
        <v>0</v>
      </c>
      <c r="AC100" s="42">
        <f>'[2]поточний ремонт'!AC100+'[1]поточний ремонт'!AC100</f>
        <v>2907.6372586792791</v>
      </c>
      <c r="AD100" s="42">
        <f>'[2]поточний ремонт'!AD100+'[1]поточний ремонт'!AD100</f>
        <v>9107.1296985983936</v>
      </c>
      <c r="AE100" s="42">
        <f>'[2]поточний ремонт'!AE100+'[1]поточний ремонт'!AE100</f>
        <v>3164.3199319999117</v>
      </c>
      <c r="AF100" s="42">
        <f>'[2]поточний ремонт'!AF100+'[1]поточний ремонт'!AF100</f>
        <v>2932.8689434617359</v>
      </c>
      <c r="AG100" s="965"/>
      <c r="AH100" s="42">
        <f>'[2]поточний ремонт'!AH100+'[1]поточний ремонт'!AH100</f>
        <v>3603.9717380453035</v>
      </c>
      <c r="AI100" s="42">
        <f>'[2]поточний ремонт'!AI100+'[1]поточний ремонт'!AI100</f>
        <v>8106.5454623041142</v>
      </c>
      <c r="AJ100" s="9"/>
      <c r="AK100" s="42">
        <f>'[2]поточний ремонт'!AK100+'[1]поточний ремонт'!AK100</f>
        <v>4244.2283847029412</v>
      </c>
      <c r="AL100" s="42">
        <f>'[2]поточний ремонт'!AL100+'[1]поточний ремонт'!AL100</f>
        <v>380.93953441624404</v>
      </c>
      <c r="AM100" s="5"/>
      <c r="AN100" s="42">
        <f>'[2]поточний ремонт'!AN100+'[1]поточний ремонт'!AN100</f>
        <v>1657.6510199771806</v>
      </c>
      <c r="AO100" s="42">
        <f>'[2]поточний ремонт'!AO100+'[1]поточний ремонт'!AO100</f>
        <v>438.45034351095308</v>
      </c>
      <c r="AP100" s="5"/>
      <c r="AQ100" s="42">
        <f>'[2]поточний ремонт'!AQ100+'[1]поточний ремонт'!AQ100</f>
        <v>2761.7134974369892</v>
      </c>
      <c r="AR100" s="42">
        <f>'[2]поточний ремонт'!AR100+'[1]поточний ремонт'!AR100</f>
        <v>0</v>
      </c>
      <c r="AS100" s="5"/>
      <c r="AT100" s="42">
        <f>'[2]поточний ремонт'!AT100+'[1]поточний ремонт'!AT100</f>
        <v>4473.6472370738356</v>
      </c>
      <c r="AU100" s="42">
        <f>'[2]поточний ремонт'!AU100+'[1]поточний ремонт'!AU100</f>
        <v>7900.0737895957591</v>
      </c>
      <c r="AV100" s="5"/>
      <c r="AW100" s="42">
        <f>'[2]поточний ремонт'!AW100+'[1]поточний ремонт'!AW100</f>
        <v>1288.628437116409</v>
      </c>
      <c r="AX100" s="42">
        <f>'[2]поточний ремонт'!AX100+'[1]поточний ремонт'!AX100</f>
        <v>0</v>
      </c>
      <c r="AY100" s="5"/>
      <c r="AZ100" s="42">
        <f t="shared" si="10"/>
        <v>21194.160246352571</v>
      </c>
      <c r="BA100" s="42">
        <f t="shared" si="11"/>
        <v>19758.878073288804</v>
      </c>
      <c r="BB100" s="58">
        <f t="shared" si="12"/>
        <v>-1435.2821730637661</v>
      </c>
      <c r="BD100" s="2">
        <v>1</v>
      </c>
      <c r="BF100" s="29">
        <v>592.56555990156812</v>
      </c>
      <c r="BG100" s="318">
        <v>150000535</v>
      </c>
      <c r="BI100" s="104">
        <v>0</v>
      </c>
      <c r="BJ100" s="104">
        <f t="shared" si="13"/>
        <v>0</v>
      </c>
      <c r="BK100" s="104">
        <v>0</v>
      </c>
      <c r="BL100" s="38"/>
      <c r="BM100" s="3"/>
      <c r="BN100" s="3">
        <v>0</v>
      </c>
      <c r="BP100" s="3"/>
      <c r="BQ100" s="3"/>
      <c r="BS100" s="42"/>
      <c r="BT100" s="42">
        <v>0</v>
      </c>
      <c r="BU100" s="964"/>
      <c r="BV100" s="41"/>
      <c r="BW100" s="42"/>
      <c r="BX100" s="36"/>
      <c r="BY100" s="76"/>
      <c r="BZ100" s="42">
        <v>0</v>
      </c>
      <c r="CA100" s="972"/>
      <c r="CB100" s="41">
        <v>1</v>
      </c>
      <c r="CC100" s="41">
        <v>12136.15485511292</v>
      </c>
      <c r="CD100" s="967"/>
      <c r="CE100" s="76">
        <v>0</v>
      </c>
      <c r="CF100" s="55"/>
      <c r="CG100" s="41">
        <v>0</v>
      </c>
      <c r="CH100" s="38">
        <v>0</v>
      </c>
      <c r="CI100" s="76">
        <v>0</v>
      </c>
      <c r="CJ100" s="964"/>
      <c r="CK100" s="955"/>
      <c r="CL100" s="950"/>
      <c r="CM100" s="955"/>
      <c r="CN100" s="950">
        <v>1579.1943059231439</v>
      </c>
      <c r="CO100" s="76">
        <v>216.10669270435505</v>
      </c>
      <c r="CP100" s="42">
        <v>0</v>
      </c>
      <c r="CQ100" s="965"/>
      <c r="CR100" s="76">
        <v>295.93287227943603</v>
      </c>
      <c r="CS100" s="954">
        <v>0</v>
      </c>
      <c r="CT100" s="9"/>
      <c r="CU100" s="76">
        <v>345.13591598592677</v>
      </c>
      <c r="CV100" s="42">
        <v>0</v>
      </c>
      <c r="CW100" s="5"/>
      <c r="CX100" s="76">
        <v>144.94143385251968</v>
      </c>
      <c r="CY100" s="42">
        <v>0</v>
      </c>
      <c r="CZ100" s="5"/>
      <c r="DA100" s="76">
        <v>243.59409805099727</v>
      </c>
      <c r="DB100" s="42">
        <v>0</v>
      </c>
      <c r="DC100" s="5"/>
      <c r="DD100" s="76">
        <v>294.24043538663039</v>
      </c>
      <c r="DE100" s="42">
        <v>0</v>
      </c>
      <c r="DF100" s="5"/>
      <c r="DG100" s="76">
        <v>116.37111192658503</v>
      </c>
      <c r="DH100" s="42"/>
      <c r="DI100" s="5"/>
      <c r="DJ100" s="42">
        <v>1656.3225601864501</v>
      </c>
      <c r="DK100" s="42">
        <f t="shared" si="14"/>
        <v>0</v>
      </c>
      <c r="DL100" s="58">
        <f t="shared" si="15"/>
        <v>-1656.3225601864501</v>
      </c>
      <c r="DM100" s="2">
        <v>1</v>
      </c>
    </row>
    <row r="101" spans="1:117" ht="24.9" customHeight="1" x14ac:dyDescent="0.3">
      <c r="A101" s="318">
        <v>150000645</v>
      </c>
      <c r="B101" s="44" t="s">
        <v>65</v>
      </c>
      <c r="C101" s="956">
        <v>1</v>
      </c>
      <c r="D101" s="957" t="s">
        <v>454</v>
      </c>
      <c r="E101" s="949">
        <f>'побудинковий звіт'!E68</f>
        <v>2116.1999999999998</v>
      </c>
      <c r="F101" s="950">
        <f>'побудинковий звіт'!AS68</f>
        <v>14504.458166747932</v>
      </c>
      <c r="G101" s="950">
        <f t="shared" si="8"/>
        <v>0</v>
      </c>
      <c r="H101" s="950">
        <f t="shared" si="9"/>
        <v>-14504.458166747932</v>
      </c>
      <c r="I101" s="42">
        <f>'[2]поточний ремонт'!I101+'[1]поточний ремонт'!I101</f>
        <v>0</v>
      </c>
      <c r="J101" s="42">
        <f>'[2]поточний ремонт'!J101+'[1]поточний ремонт'!J101</f>
        <v>0</v>
      </c>
      <c r="K101" s="958"/>
      <c r="L101" s="42">
        <f>'[2]поточний ремонт'!L101+'[1]поточний ремонт'!L101</f>
        <v>0</v>
      </c>
      <c r="M101" s="42">
        <f>'[2]поточний ремонт'!M101+'[1]поточний ремонт'!M101</f>
        <v>0</v>
      </c>
      <c r="N101" s="36"/>
      <c r="O101" s="42">
        <f>'[2]поточний ремонт'!O101+'[1]поточний ремонт'!O101</f>
        <v>0</v>
      </c>
      <c r="P101" s="42">
        <f>'[2]поточний ремонт'!P101+'[1]поточний ремонт'!P101</f>
        <v>0</v>
      </c>
      <c r="Q101" s="959"/>
      <c r="R101" s="42">
        <f>'[2]поточний ремонт'!R101+'[1]поточний ремонт'!R101</f>
        <v>0</v>
      </c>
      <c r="S101" s="42">
        <f>'[2]поточний ремонт'!S101+'[1]поточний ремонт'!S101</f>
        <v>0</v>
      </c>
      <c r="T101" s="960"/>
      <c r="U101" s="42">
        <f>'[2]поточний ремонт'!U101+'[1]поточний ремонт'!U101</f>
        <v>0</v>
      </c>
      <c r="V101" s="42">
        <f>'[2]поточний ремонт'!V101+'[1]поточний ремонт'!V101</f>
        <v>0</v>
      </c>
      <c r="W101" s="42">
        <f>'[2]поточний ремонт'!W101+'[1]поточний ремонт'!W101</f>
        <v>0</v>
      </c>
      <c r="X101" s="42">
        <f>'[2]поточний ремонт'!X101+'[1]поточний ремонт'!X101</f>
        <v>0</v>
      </c>
      <c r="Y101" s="42">
        <f>'[2]поточний ремонт'!Y101+'[1]поточний ремонт'!Y101</f>
        <v>0</v>
      </c>
      <c r="Z101" s="42">
        <f>'[2]поточний ремонт'!Z101+'[1]поточний ремонт'!Z101</f>
        <v>0</v>
      </c>
      <c r="AA101" s="42">
        <f>'[2]поточний ремонт'!AA101+'[1]поточний ремонт'!AA101</f>
        <v>0</v>
      </c>
      <c r="AB101" s="42">
        <f>'[2]поточний ремонт'!AB101+'[1]поточний ремонт'!AB101</f>
        <v>0</v>
      </c>
      <c r="AC101" s="42">
        <f>'[2]поточний ремонт'!AC101+'[1]поточний ремонт'!AC101</f>
        <v>0</v>
      </c>
      <c r="AD101" s="42">
        <f>'[2]поточний ремонт'!AD101+'[1]поточний ремонт'!AD101</f>
        <v>0</v>
      </c>
      <c r="AE101" s="42">
        <f>'[2]поточний ремонт'!AE101+'[1]поточний ремонт'!AE101</f>
        <v>0</v>
      </c>
      <c r="AF101" s="42">
        <f>'[2]поточний ремонт'!AF101+'[1]поточний ремонт'!AF101</f>
        <v>0</v>
      </c>
      <c r="AG101" s="5"/>
      <c r="AH101" s="42">
        <f>'[2]поточний ремонт'!AH101+'[1]поточний ремонт'!AH101</f>
        <v>0</v>
      </c>
      <c r="AI101" s="42">
        <f>'[2]поточний ремонт'!AI101+'[1]поточний ремонт'!AI101</f>
        <v>0</v>
      </c>
      <c r="AJ101" s="5"/>
      <c r="AK101" s="42">
        <f>'[2]поточний ремонт'!AK101+'[1]поточний ремонт'!AK101</f>
        <v>0</v>
      </c>
      <c r="AL101" s="42">
        <f>'[2]поточний ремонт'!AL101+'[1]поточний ремонт'!AL101</f>
        <v>0</v>
      </c>
      <c r="AM101" s="5"/>
      <c r="AN101" s="42">
        <f>'[2]поточний ремонт'!AN101+'[1]поточний ремонт'!AN101</f>
        <v>0</v>
      </c>
      <c r="AO101" s="42">
        <f>'[2]поточний ремонт'!AO101+'[1]поточний ремонт'!AO101</f>
        <v>0</v>
      </c>
      <c r="AP101" s="5"/>
      <c r="AQ101" s="42">
        <f>'[2]поточний ремонт'!AQ101+'[1]поточний ремонт'!AQ101</f>
        <v>0</v>
      </c>
      <c r="AR101" s="42">
        <f>'[2]поточний ремонт'!AR101+'[1]поточний ремонт'!AR101</f>
        <v>0</v>
      </c>
      <c r="AS101" s="5"/>
      <c r="AT101" s="42">
        <f>'[2]поточний ремонт'!AT101+'[1]поточний ремонт'!AT101</f>
        <v>0</v>
      </c>
      <c r="AU101" s="42">
        <f>'[2]поточний ремонт'!AU101+'[1]поточний ремонт'!AU101</f>
        <v>0</v>
      </c>
      <c r="AV101" s="5"/>
      <c r="AW101" s="42">
        <f>'[2]поточний ремонт'!AW101+'[1]поточний ремонт'!AW101</f>
        <v>0</v>
      </c>
      <c r="AX101" s="42">
        <f>'[2]поточний ремонт'!AX101+'[1]поточний ремонт'!AX101</f>
        <v>0</v>
      </c>
      <c r="AY101" s="5"/>
      <c r="AZ101" s="42">
        <f t="shared" si="10"/>
        <v>0</v>
      </c>
      <c r="BA101" s="42">
        <f t="shared" si="11"/>
        <v>0</v>
      </c>
      <c r="BB101" s="58">
        <f t="shared" si="12"/>
        <v>0</v>
      </c>
      <c r="BD101" s="2">
        <v>3</v>
      </c>
      <c r="BF101" s="29">
        <v>0</v>
      </c>
      <c r="BG101" s="318">
        <v>150000645</v>
      </c>
      <c r="BI101" s="104">
        <v>0</v>
      </c>
      <c r="BJ101" s="104">
        <f t="shared" si="13"/>
        <v>0</v>
      </c>
      <c r="BK101" s="104">
        <v>0</v>
      </c>
      <c r="BL101" s="38"/>
      <c r="BM101" s="3"/>
      <c r="BN101" s="3">
        <v>0</v>
      </c>
      <c r="BP101" s="3"/>
      <c r="BQ101" s="3"/>
      <c r="BS101" s="42"/>
      <c r="BT101" s="42">
        <v>0</v>
      </c>
      <c r="BU101" s="958"/>
      <c r="BV101" s="41"/>
      <c r="BW101" s="42"/>
      <c r="BX101" s="36"/>
      <c r="BY101" s="76"/>
      <c r="BZ101" s="42">
        <v>0</v>
      </c>
      <c r="CA101" s="959"/>
      <c r="CB101" s="41">
        <v>0</v>
      </c>
      <c r="CC101" s="41">
        <v>0</v>
      </c>
      <c r="CD101" s="960"/>
      <c r="CE101" s="76">
        <v>0</v>
      </c>
      <c r="CF101" s="55"/>
      <c r="CG101" s="41">
        <v>0</v>
      </c>
      <c r="CH101" s="38">
        <v>0</v>
      </c>
      <c r="CI101" s="76">
        <v>0</v>
      </c>
      <c r="CJ101" s="55"/>
      <c r="CK101" s="955"/>
      <c r="CL101" s="950"/>
      <c r="CM101" s="955"/>
      <c r="CN101" s="950">
        <v>0</v>
      </c>
      <c r="CO101" s="76">
        <v>0</v>
      </c>
      <c r="CP101" s="42">
        <v>0</v>
      </c>
      <c r="CQ101" s="5"/>
      <c r="CR101" s="76">
        <v>0</v>
      </c>
      <c r="CS101" s="954">
        <v>0</v>
      </c>
      <c r="CT101" s="5"/>
      <c r="CU101" s="76">
        <v>0</v>
      </c>
      <c r="CV101" s="42">
        <v>0</v>
      </c>
      <c r="CW101" s="5"/>
      <c r="CX101" s="76">
        <v>0</v>
      </c>
      <c r="CY101" s="42">
        <v>0</v>
      </c>
      <c r="CZ101" s="5"/>
      <c r="DA101" s="76">
        <v>0</v>
      </c>
      <c r="DB101" s="42">
        <v>0</v>
      </c>
      <c r="DC101" s="5"/>
      <c r="DD101" s="76">
        <v>0</v>
      </c>
      <c r="DE101" s="42">
        <v>0</v>
      </c>
      <c r="DF101" s="5"/>
      <c r="DG101" s="76">
        <v>0</v>
      </c>
      <c r="DH101" s="42"/>
      <c r="DI101" s="5"/>
      <c r="DJ101" s="42">
        <v>0</v>
      </c>
      <c r="DK101" s="42">
        <f t="shared" si="14"/>
        <v>0</v>
      </c>
      <c r="DL101" s="58">
        <f t="shared" si="15"/>
        <v>0</v>
      </c>
      <c r="DM101" s="2">
        <v>3</v>
      </c>
    </row>
    <row r="102" spans="1:117" ht="24.9" customHeight="1" x14ac:dyDescent="0.3">
      <c r="A102" s="318">
        <v>150000643</v>
      </c>
      <c r="B102" s="44" t="s">
        <v>66</v>
      </c>
      <c r="C102" s="956">
        <v>1</v>
      </c>
      <c r="D102" s="957" t="s">
        <v>454</v>
      </c>
      <c r="E102" s="949">
        <f>'побудинковий звіт'!E69</f>
        <v>2215.63</v>
      </c>
      <c r="F102" s="950">
        <f>'побудинковий звіт'!AS69</f>
        <v>49065.403535007863</v>
      </c>
      <c r="G102" s="950">
        <f t="shared" si="8"/>
        <v>5406.1248042904917</v>
      </c>
      <c r="H102" s="950">
        <f t="shared" si="9"/>
        <v>-43659.278730717371</v>
      </c>
      <c r="I102" s="42">
        <f>'[2]поточний ремонт'!I102+'[1]поточний ремонт'!I102</f>
        <v>4.2699999999999996</v>
      </c>
      <c r="J102" s="42">
        <f>'[2]поточний ремонт'!J102+'[1]поточний ремонт'!J102</f>
        <v>1244.5672455863019</v>
      </c>
      <c r="K102" s="958"/>
      <c r="L102" s="42">
        <f>'[2]поточний ремонт'!L102+'[1]поточний ремонт'!L102</f>
        <v>0</v>
      </c>
      <c r="M102" s="42">
        <f>'[2]поточний ремонт'!M102+'[1]поточний ремонт'!M102</f>
        <v>0</v>
      </c>
      <c r="N102" s="36"/>
      <c r="O102" s="42">
        <f>'[2]поточний ремонт'!O102+'[1]поточний ремонт'!O102</f>
        <v>0</v>
      </c>
      <c r="P102" s="42">
        <f>'[2]поточний ремонт'!P102+'[1]поточний ремонт'!P102</f>
        <v>0</v>
      </c>
      <c r="Q102" s="959"/>
      <c r="R102" s="42">
        <f>'[2]поточний ремонт'!R102+'[1]поточний ремонт'!R102</f>
        <v>0</v>
      </c>
      <c r="S102" s="42">
        <f>'[2]поточний ремонт'!S102+'[1]поточний ремонт'!S102</f>
        <v>0</v>
      </c>
      <c r="T102" s="960"/>
      <c r="U102" s="42">
        <f>'[2]поточний ремонт'!U102+'[1]поточний ремонт'!U102</f>
        <v>0</v>
      </c>
      <c r="V102" s="42">
        <f>'[2]поточний ремонт'!V102+'[1]поточний ремонт'!V102</f>
        <v>0</v>
      </c>
      <c r="W102" s="42">
        <f>'[2]поточний ремонт'!W102+'[1]поточний ремонт'!W102</f>
        <v>0</v>
      </c>
      <c r="X102" s="42">
        <f>'[2]поточний ремонт'!X102+'[1]поточний ремонт'!X102</f>
        <v>0</v>
      </c>
      <c r="Y102" s="42">
        <f>'[2]поточний ремонт'!Y102+'[1]поточний ремонт'!Y102</f>
        <v>0</v>
      </c>
      <c r="Z102" s="42">
        <f>'[2]поточний ремонт'!Z102+'[1]поточний ремонт'!Z102</f>
        <v>0</v>
      </c>
      <c r="AA102" s="42">
        <f>'[2]поточний ремонт'!AA102+'[1]поточний ремонт'!AA102</f>
        <v>0</v>
      </c>
      <c r="AB102" s="42">
        <f>'[2]поточний ремонт'!AB102+'[1]поточний ремонт'!AB102</f>
        <v>0</v>
      </c>
      <c r="AC102" s="42">
        <f>'[2]поточний ремонт'!AC102+'[1]поточний ремонт'!AC102</f>
        <v>4161.5575587041903</v>
      </c>
      <c r="AD102" s="42">
        <f>'[2]поточний ремонт'!AD102+'[1]поточний ремонт'!AD102</f>
        <v>0</v>
      </c>
      <c r="AE102" s="42">
        <f>'[2]поточний ремонт'!AE102+'[1]поточний ремонт'!AE102</f>
        <v>0</v>
      </c>
      <c r="AF102" s="42">
        <f>'[2]поточний ремонт'!AF102+'[1]поточний ремонт'!AF102</f>
        <v>0</v>
      </c>
      <c r="AG102" s="5"/>
      <c r="AH102" s="42">
        <f>'[2]поточний ремонт'!AH102+'[1]поточний ремонт'!AH102</f>
        <v>0</v>
      </c>
      <c r="AI102" s="42">
        <f>'[2]поточний ремонт'!AI102+'[1]поточний ремонт'!AI102</f>
        <v>0</v>
      </c>
      <c r="AJ102" s="5"/>
      <c r="AK102" s="42">
        <f>'[2]поточний ремонт'!AK102+'[1]поточний ремонт'!AK102</f>
        <v>0</v>
      </c>
      <c r="AL102" s="42">
        <f>'[2]поточний ремонт'!AL102+'[1]поточний ремонт'!AL102</f>
        <v>0</v>
      </c>
      <c r="AM102" s="5"/>
      <c r="AN102" s="42">
        <f>'[2]поточний ремонт'!AN102+'[1]поточний ремонт'!AN102</f>
        <v>0</v>
      </c>
      <c r="AO102" s="42">
        <f>'[2]поточний ремонт'!AO102+'[1]поточний ремонт'!AO102</f>
        <v>0</v>
      </c>
      <c r="AP102" s="5"/>
      <c r="AQ102" s="42">
        <f>'[2]поточний ремонт'!AQ102+'[1]поточний ремонт'!AQ102</f>
        <v>0</v>
      </c>
      <c r="AR102" s="42">
        <f>'[2]поточний ремонт'!AR102+'[1]поточний ремонт'!AR102</f>
        <v>0</v>
      </c>
      <c r="AS102" s="5"/>
      <c r="AT102" s="42">
        <f>'[2]поточний ремонт'!AT102+'[1]поточний ремонт'!AT102</f>
        <v>0</v>
      </c>
      <c r="AU102" s="42">
        <f>'[2]поточний ремонт'!AU102+'[1]поточний ремонт'!AU102</f>
        <v>0</v>
      </c>
      <c r="AV102" s="5"/>
      <c r="AW102" s="42">
        <f>'[2]поточний ремонт'!AW102+'[1]поточний ремонт'!AW102</f>
        <v>0</v>
      </c>
      <c r="AX102" s="42">
        <f>'[2]поточний ремонт'!AX102+'[1]поточний ремонт'!AX102</f>
        <v>0</v>
      </c>
      <c r="AY102" s="5"/>
      <c r="AZ102" s="42">
        <f t="shared" si="10"/>
        <v>0</v>
      </c>
      <c r="BA102" s="42">
        <f t="shared" si="11"/>
        <v>0</v>
      </c>
      <c r="BB102" s="58">
        <f t="shared" si="12"/>
        <v>0</v>
      </c>
      <c r="BD102" s="2">
        <v>3</v>
      </c>
      <c r="BF102" s="29">
        <v>0</v>
      </c>
      <c r="BG102" s="318">
        <v>150000643</v>
      </c>
      <c r="BI102" s="104">
        <v>0</v>
      </c>
      <c r="BJ102" s="104">
        <f t="shared" si="13"/>
        <v>0</v>
      </c>
      <c r="BK102" s="104">
        <v>0</v>
      </c>
      <c r="BL102" s="38"/>
      <c r="BM102" s="3"/>
      <c r="BN102" s="3">
        <v>0</v>
      </c>
      <c r="BP102" s="3"/>
      <c r="BQ102" s="3"/>
      <c r="BS102" s="42"/>
      <c r="BT102" s="42">
        <v>0</v>
      </c>
      <c r="BU102" s="958"/>
      <c r="BV102" s="41"/>
      <c r="BW102" s="42"/>
      <c r="BX102" s="36"/>
      <c r="BY102" s="76"/>
      <c r="BZ102" s="42">
        <v>0</v>
      </c>
      <c r="CA102" s="959"/>
      <c r="CB102" s="41">
        <v>0</v>
      </c>
      <c r="CC102" s="41">
        <v>0</v>
      </c>
      <c r="CD102" s="960"/>
      <c r="CE102" s="76">
        <v>0</v>
      </c>
      <c r="CF102" s="55"/>
      <c r="CG102" s="41">
        <v>0</v>
      </c>
      <c r="CH102" s="38">
        <v>0</v>
      </c>
      <c r="CI102" s="76">
        <v>0</v>
      </c>
      <c r="CJ102" s="55"/>
      <c r="CK102" s="955"/>
      <c r="CL102" s="950"/>
      <c r="CM102" s="955"/>
      <c r="CN102" s="950">
        <v>0</v>
      </c>
      <c r="CO102" s="76">
        <v>0</v>
      </c>
      <c r="CP102" s="42">
        <v>0</v>
      </c>
      <c r="CQ102" s="5"/>
      <c r="CR102" s="76">
        <v>0</v>
      </c>
      <c r="CS102" s="954">
        <v>0</v>
      </c>
      <c r="CT102" s="5"/>
      <c r="CU102" s="76">
        <v>0</v>
      </c>
      <c r="CV102" s="42">
        <v>0</v>
      </c>
      <c r="CW102" s="5"/>
      <c r="CX102" s="76">
        <v>0</v>
      </c>
      <c r="CY102" s="42">
        <v>0</v>
      </c>
      <c r="CZ102" s="5"/>
      <c r="DA102" s="76">
        <v>0</v>
      </c>
      <c r="DB102" s="42">
        <v>0</v>
      </c>
      <c r="DC102" s="5"/>
      <c r="DD102" s="76">
        <v>0</v>
      </c>
      <c r="DE102" s="42">
        <v>0</v>
      </c>
      <c r="DF102" s="5"/>
      <c r="DG102" s="76">
        <v>0</v>
      </c>
      <c r="DH102" s="42"/>
      <c r="DI102" s="5"/>
      <c r="DJ102" s="42">
        <v>0</v>
      </c>
      <c r="DK102" s="42">
        <f t="shared" si="14"/>
        <v>0</v>
      </c>
      <c r="DL102" s="58">
        <f t="shared" si="15"/>
        <v>0</v>
      </c>
      <c r="DM102" s="2">
        <v>3</v>
      </c>
    </row>
    <row r="103" spans="1:117" ht="24.9" customHeight="1" x14ac:dyDescent="0.3">
      <c r="A103" s="318">
        <v>150000644</v>
      </c>
      <c r="B103" s="44" t="s">
        <v>67</v>
      </c>
      <c r="C103" s="956">
        <v>1</v>
      </c>
      <c r="D103" s="957" t="s">
        <v>454</v>
      </c>
      <c r="E103" s="949">
        <f>'побудинковий звіт'!E70</f>
        <v>5955.55</v>
      </c>
      <c r="F103" s="950">
        <f>'побудинковий звіт'!AS70</f>
        <v>165990.14451688915</v>
      </c>
      <c r="G103" s="950">
        <f t="shared" si="8"/>
        <v>0</v>
      </c>
      <c r="H103" s="950">
        <f t="shared" si="9"/>
        <v>-165990.14451688915</v>
      </c>
      <c r="I103" s="42">
        <f>'[2]поточний ремонт'!I103+'[1]поточний ремонт'!I103</f>
        <v>0</v>
      </c>
      <c r="J103" s="42">
        <f>'[2]поточний ремонт'!J103+'[1]поточний ремонт'!J103</f>
        <v>0</v>
      </c>
      <c r="K103" s="958"/>
      <c r="L103" s="42">
        <f>'[2]поточний ремонт'!L103+'[1]поточний ремонт'!L103</f>
        <v>0</v>
      </c>
      <c r="M103" s="42">
        <f>'[2]поточний ремонт'!M103+'[1]поточний ремонт'!M103</f>
        <v>0</v>
      </c>
      <c r="N103" s="36"/>
      <c r="O103" s="42">
        <f>'[2]поточний ремонт'!O103+'[1]поточний ремонт'!O103</f>
        <v>0</v>
      </c>
      <c r="P103" s="42">
        <f>'[2]поточний ремонт'!P103+'[1]поточний ремонт'!P103</f>
        <v>0</v>
      </c>
      <c r="Q103" s="959"/>
      <c r="R103" s="42">
        <f>'[2]поточний ремонт'!R103+'[1]поточний ремонт'!R103</f>
        <v>0</v>
      </c>
      <c r="S103" s="42">
        <f>'[2]поточний ремонт'!S103+'[1]поточний ремонт'!S103</f>
        <v>0</v>
      </c>
      <c r="T103" s="960"/>
      <c r="U103" s="42">
        <f>'[2]поточний ремонт'!U103+'[1]поточний ремонт'!U103</f>
        <v>0</v>
      </c>
      <c r="V103" s="42">
        <f>'[2]поточний ремонт'!V103+'[1]поточний ремонт'!V103</f>
        <v>0</v>
      </c>
      <c r="W103" s="42">
        <f>'[2]поточний ремонт'!W103+'[1]поточний ремонт'!W103</f>
        <v>0</v>
      </c>
      <c r="X103" s="42">
        <f>'[2]поточний ремонт'!X103+'[1]поточний ремонт'!X103</f>
        <v>0</v>
      </c>
      <c r="Y103" s="42">
        <f>'[2]поточний ремонт'!Y103+'[1]поточний ремонт'!Y103</f>
        <v>0</v>
      </c>
      <c r="Z103" s="42">
        <f>'[2]поточний ремонт'!Z103+'[1]поточний ремонт'!Z103</f>
        <v>0</v>
      </c>
      <c r="AA103" s="42">
        <f>'[2]поточний ремонт'!AA103+'[1]поточний ремонт'!AA103</f>
        <v>0</v>
      </c>
      <c r="AB103" s="42">
        <f>'[2]поточний ремонт'!AB103+'[1]поточний ремонт'!AB103</f>
        <v>0</v>
      </c>
      <c r="AC103" s="42">
        <f>'[2]поточний ремонт'!AC103+'[1]поточний ремонт'!AC103</f>
        <v>0</v>
      </c>
      <c r="AD103" s="42">
        <f>'[2]поточний ремонт'!AD103+'[1]поточний ремонт'!AD103</f>
        <v>0</v>
      </c>
      <c r="AE103" s="42">
        <f>'[2]поточний ремонт'!AE103+'[1]поточний ремонт'!AE103</f>
        <v>0</v>
      </c>
      <c r="AF103" s="42">
        <f>'[2]поточний ремонт'!AF103+'[1]поточний ремонт'!AF103</f>
        <v>0</v>
      </c>
      <c r="AG103" s="5"/>
      <c r="AH103" s="42">
        <f>'[2]поточний ремонт'!AH103+'[1]поточний ремонт'!AH103</f>
        <v>0</v>
      </c>
      <c r="AI103" s="42">
        <f>'[2]поточний ремонт'!AI103+'[1]поточний ремонт'!AI103</f>
        <v>0</v>
      </c>
      <c r="AJ103" s="5"/>
      <c r="AK103" s="42">
        <f>'[2]поточний ремонт'!AK103+'[1]поточний ремонт'!AK103</f>
        <v>116.74514330291768</v>
      </c>
      <c r="AL103" s="42">
        <f>'[2]поточний ремонт'!AL103+'[1]поточний ремонт'!AL103</f>
        <v>0</v>
      </c>
      <c r="AM103" s="5"/>
      <c r="AN103" s="42">
        <f>'[2]поточний ремонт'!AN103+'[1]поточний ремонт'!AN103</f>
        <v>0</v>
      </c>
      <c r="AO103" s="42">
        <f>'[2]поточний ремонт'!AO103+'[1]поточний ремонт'!AO103</f>
        <v>0</v>
      </c>
      <c r="AP103" s="5"/>
      <c r="AQ103" s="42">
        <f>'[2]поточний ремонт'!AQ103+'[1]поточний ремонт'!AQ103</f>
        <v>0</v>
      </c>
      <c r="AR103" s="42">
        <f>'[2]поточний ремонт'!AR103+'[1]поточний ремонт'!AR103</f>
        <v>0</v>
      </c>
      <c r="AS103" s="5"/>
      <c r="AT103" s="42">
        <f>'[2]поточний ремонт'!AT103+'[1]поточний ремонт'!AT103</f>
        <v>0</v>
      </c>
      <c r="AU103" s="42">
        <f>'[2]поточний ремонт'!AU103+'[1]поточний ремонт'!AU103</f>
        <v>0</v>
      </c>
      <c r="AV103" s="5"/>
      <c r="AW103" s="42">
        <f>'[2]поточний ремонт'!AW103+'[1]поточний ремонт'!AW103</f>
        <v>0</v>
      </c>
      <c r="AX103" s="42">
        <f>'[2]поточний ремонт'!AX103+'[1]поточний ремонт'!AX103</f>
        <v>0</v>
      </c>
      <c r="AY103" s="5"/>
      <c r="AZ103" s="42">
        <f t="shared" si="10"/>
        <v>116.74514330291768</v>
      </c>
      <c r="BA103" s="42">
        <f t="shared" si="11"/>
        <v>0</v>
      </c>
      <c r="BB103" s="58">
        <f t="shared" si="12"/>
        <v>-116.74514330291768</v>
      </c>
      <c r="BD103" s="2">
        <v>3</v>
      </c>
      <c r="BF103" s="29">
        <v>0</v>
      </c>
      <c r="BG103" s="318">
        <v>150000644</v>
      </c>
      <c r="BI103" s="104">
        <v>0</v>
      </c>
      <c r="BJ103" s="104">
        <f t="shared" si="13"/>
        <v>0</v>
      </c>
      <c r="BK103" s="104">
        <v>0</v>
      </c>
      <c r="BL103" s="38"/>
      <c r="BM103" s="3"/>
      <c r="BN103" s="3">
        <v>0</v>
      </c>
      <c r="BP103" s="3"/>
      <c r="BQ103" s="3"/>
      <c r="BS103" s="42"/>
      <c r="BT103" s="42">
        <v>0</v>
      </c>
      <c r="BU103" s="958"/>
      <c r="BV103" s="41"/>
      <c r="BW103" s="42"/>
      <c r="BX103" s="36"/>
      <c r="BY103" s="76"/>
      <c r="BZ103" s="42">
        <v>0</v>
      </c>
      <c r="CA103" s="959"/>
      <c r="CB103" s="41">
        <v>0</v>
      </c>
      <c r="CC103" s="41">
        <v>0</v>
      </c>
      <c r="CD103" s="960"/>
      <c r="CE103" s="76">
        <v>0</v>
      </c>
      <c r="CF103" s="55"/>
      <c r="CG103" s="41">
        <v>0</v>
      </c>
      <c r="CH103" s="38">
        <v>0</v>
      </c>
      <c r="CI103" s="76">
        <v>0</v>
      </c>
      <c r="CJ103" s="55"/>
      <c r="CK103" s="955"/>
      <c r="CL103" s="950"/>
      <c r="CM103" s="955"/>
      <c r="CN103" s="950">
        <v>0</v>
      </c>
      <c r="CO103" s="76">
        <v>0</v>
      </c>
      <c r="CP103" s="42">
        <v>0</v>
      </c>
      <c r="CQ103" s="5"/>
      <c r="CR103" s="76">
        <v>0</v>
      </c>
      <c r="CS103" s="954">
        <v>0</v>
      </c>
      <c r="CT103" s="5"/>
      <c r="CU103" s="76">
        <v>8.3822381405302675</v>
      </c>
      <c r="CV103" s="42">
        <v>0</v>
      </c>
      <c r="CW103" s="5"/>
      <c r="CX103" s="76">
        <v>0</v>
      </c>
      <c r="CY103" s="42">
        <v>0</v>
      </c>
      <c r="CZ103" s="5"/>
      <c r="DA103" s="76">
        <v>0</v>
      </c>
      <c r="DB103" s="42">
        <v>0</v>
      </c>
      <c r="DC103" s="5"/>
      <c r="DD103" s="76">
        <v>0</v>
      </c>
      <c r="DE103" s="42">
        <v>0</v>
      </c>
      <c r="DF103" s="5"/>
      <c r="DG103" s="76">
        <v>0</v>
      </c>
      <c r="DH103" s="42"/>
      <c r="DI103" s="5"/>
      <c r="DJ103" s="42">
        <v>8.3822381405302675</v>
      </c>
      <c r="DK103" s="42">
        <f t="shared" si="14"/>
        <v>0</v>
      </c>
      <c r="DL103" s="58">
        <f t="shared" si="15"/>
        <v>-8.3822381405302675</v>
      </c>
      <c r="DM103" s="2">
        <v>3</v>
      </c>
    </row>
    <row r="104" spans="1:117" ht="24.9" customHeight="1" x14ac:dyDescent="0.3">
      <c r="A104" s="318">
        <v>150000566</v>
      </c>
      <c r="B104" s="44" t="s">
        <v>68</v>
      </c>
      <c r="C104" s="956">
        <v>1</v>
      </c>
      <c r="D104" s="957" t="s">
        <v>454</v>
      </c>
      <c r="E104" s="949">
        <f>'побудинковий звіт'!E71</f>
        <v>3858.65</v>
      </c>
      <c r="F104" s="950">
        <f>'побудинковий звіт'!AS71</f>
        <v>103123.74695816974</v>
      </c>
      <c r="G104" s="950">
        <f t="shared" si="8"/>
        <v>0</v>
      </c>
      <c r="H104" s="950">
        <f t="shared" si="9"/>
        <v>-103123.74695816974</v>
      </c>
      <c r="I104" s="42">
        <f>'[2]поточний ремонт'!I104+'[1]поточний ремонт'!I104</f>
        <v>0</v>
      </c>
      <c r="J104" s="42">
        <f>'[2]поточний ремонт'!J104+'[1]поточний ремонт'!J104</f>
        <v>0</v>
      </c>
      <c r="K104" s="958"/>
      <c r="L104" s="42">
        <f>'[2]поточний ремонт'!L104+'[1]поточний ремонт'!L104</f>
        <v>0</v>
      </c>
      <c r="M104" s="42">
        <f>'[2]поточний ремонт'!M104+'[1]поточний ремонт'!M104</f>
        <v>0</v>
      </c>
      <c r="N104" s="36"/>
      <c r="O104" s="42">
        <f>'[2]поточний ремонт'!O104+'[1]поточний ремонт'!O104</f>
        <v>0</v>
      </c>
      <c r="P104" s="42">
        <f>'[2]поточний ремонт'!P104+'[1]поточний ремонт'!P104</f>
        <v>0</v>
      </c>
      <c r="Q104" s="959"/>
      <c r="R104" s="42">
        <f>'[2]поточний ремонт'!R104+'[1]поточний ремонт'!R104</f>
        <v>0</v>
      </c>
      <c r="S104" s="42">
        <f>'[2]поточний ремонт'!S104+'[1]поточний ремонт'!S104</f>
        <v>0</v>
      </c>
      <c r="T104" s="960"/>
      <c r="U104" s="42">
        <f>'[2]поточний ремонт'!U104+'[1]поточний ремонт'!U104</f>
        <v>0</v>
      </c>
      <c r="V104" s="42">
        <f>'[2]поточний ремонт'!V104+'[1]поточний ремонт'!V104</f>
        <v>0</v>
      </c>
      <c r="W104" s="42">
        <f>'[2]поточний ремонт'!W104+'[1]поточний ремонт'!W104</f>
        <v>0</v>
      </c>
      <c r="X104" s="42">
        <f>'[2]поточний ремонт'!X104+'[1]поточний ремонт'!X104</f>
        <v>0</v>
      </c>
      <c r="Y104" s="42">
        <f>'[2]поточний ремонт'!Y104+'[1]поточний ремонт'!Y104</f>
        <v>0</v>
      </c>
      <c r="Z104" s="42">
        <f>'[2]поточний ремонт'!Z104+'[1]поточний ремонт'!Z104</f>
        <v>0</v>
      </c>
      <c r="AA104" s="42">
        <f>'[2]поточний ремонт'!AA104+'[1]поточний ремонт'!AA104</f>
        <v>0</v>
      </c>
      <c r="AB104" s="42">
        <f>'[2]поточний ремонт'!AB104+'[1]поточний ремонт'!AB104</f>
        <v>0</v>
      </c>
      <c r="AC104" s="42">
        <f>'[2]поточний ремонт'!AC104+'[1]поточний ремонт'!AC104</f>
        <v>0</v>
      </c>
      <c r="AD104" s="42">
        <f>'[2]поточний ремонт'!AD104+'[1]поточний ремонт'!AD104</f>
        <v>0</v>
      </c>
      <c r="AE104" s="42">
        <f>'[2]поточний ремонт'!AE104+'[1]поточний ремонт'!AE104</f>
        <v>0</v>
      </c>
      <c r="AF104" s="42">
        <f>'[2]поточний ремонт'!AF104+'[1]поточний ремонт'!AF104</f>
        <v>0</v>
      </c>
      <c r="AG104" s="5"/>
      <c r="AH104" s="42">
        <f>'[2]поточний ремонт'!AH104+'[1]поточний ремонт'!AH104</f>
        <v>0</v>
      </c>
      <c r="AI104" s="42">
        <f>'[2]поточний ремонт'!AI104+'[1]поточний ремонт'!AI104</f>
        <v>0</v>
      </c>
      <c r="AJ104" s="5"/>
      <c r="AK104" s="42">
        <f>'[2]поточний ремонт'!AK104+'[1]поточний ремонт'!AK104</f>
        <v>0</v>
      </c>
      <c r="AL104" s="42">
        <f>'[2]поточний ремонт'!AL104+'[1]поточний ремонт'!AL104</f>
        <v>0</v>
      </c>
      <c r="AM104" s="5"/>
      <c r="AN104" s="42">
        <f>'[2]поточний ремонт'!AN104+'[1]поточний ремонт'!AN104</f>
        <v>0</v>
      </c>
      <c r="AO104" s="42">
        <f>'[2]поточний ремонт'!AO104+'[1]поточний ремонт'!AO104</f>
        <v>0</v>
      </c>
      <c r="AP104" s="5"/>
      <c r="AQ104" s="42">
        <f>'[2]поточний ремонт'!AQ104+'[1]поточний ремонт'!AQ104</f>
        <v>0</v>
      </c>
      <c r="AR104" s="42">
        <f>'[2]поточний ремонт'!AR104+'[1]поточний ремонт'!AR104</f>
        <v>0</v>
      </c>
      <c r="AS104" s="5"/>
      <c r="AT104" s="42">
        <f>'[2]поточний ремонт'!AT104+'[1]поточний ремонт'!AT104</f>
        <v>0</v>
      </c>
      <c r="AU104" s="42">
        <f>'[2]поточний ремонт'!AU104+'[1]поточний ремонт'!AU104</f>
        <v>0</v>
      </c>
      <c r="AV104" s="5"/>
      <c r="AW104" s="42">
        <f>'[2]поточний ремонт'!AW104+'[1]поточний ремонт'!AW104</f>
        <v>0</v>
      </c>
      <c r="AX104" s="42">
        <f>'[2]поточний ремонт'!AX104+'[1]поточний ремонт'!AX104</f>
        <v>0</v>
      </c>
      <c r="AY104" s="5"/>
      <c r="AZ104" s="42">
        <f t="shared" si="10"/>
        <v>0</v>
      </c>
      <c r="BA104" s="42">
        <f t="shared" si="11"/>
        <v>0</v>
      </c>
      <c r="BB104" s="58">
        <f t="shared" si="12"/>
        <v>0</v>
      </c>
      <c r="BD104" s="2">
        <v>1</v>
      </c>
      <c r="BF104" s="29">
        <v>0</v>
      </c>
      <c r="BG104" s="318">
        <v>150000566</v>
      </c>
      <c r="BI104" s="104">
        <v>0</v>
      </c>
      <c r="BJ104" s="104">
        <f t="shared" si="13"/>
        <v>0</v>
      </c>
      <c r="BK104" s="104">
        <v>0</v>
      </c>
      <c r="BL104" s="38"/>
      <c r="BM104" s="3"/>
      <c r="BN104" s="3">
        <v>0</v>
      </c>
      <c r="BP104" s="3"/>
      <c r="BQ104" s="3"/>
      <c r="BS104" s="42"/>
      <c r="BT104" s="42">
        <v>0</v>
      </c>
      <c r="BU104" s="958"/>
      <c r="BV104" s="41"/>
      <c r="BW104" s="42"/>
      <c r="BX104" s="36"/>
      <c r="BY104" s="76"/>
      <c r="BZ104" s="42">
        <v>0</v>
      </c>
      <c r="CA104" s="959"/>
      <c r="CB104" s="41">
        <v>0</v>
      </c>
      <c r="CC104" s="41">
        <v>0</v>
      </c>
      <c r="CD104" s="960"/>
      <c r="CE104" s="76">
        <v>0</v>
      </c>
      <c r="CF104" s="55"/>
      <c r="CG104" s="41">
        <v>0</v>
      </c>
      <c r="CH104" s="38">
        <v>0</v>
      </c>
      <c r="CI104" s="76">
        <v>0</v>
      </c>
      <c r="CJ104" s="55"/>
      <c r="CK104" s="955"/>
      <c r="CL104" s="950"/>
      <c r="CM104" s="955"/>
      <c r="CN104" s="950">
        <v>0</v>
      </c>
      <c r="CO104" s="76">
        <v>0</v>
      </c>
      <c r="CP104" s="42">
        <v>0</v>
      </c>
      <c r="CQ104" s="5"/>
      <c r="CR104" s="76">
        <v>0</v>
      </c>
      <c r="CS104" s="954">
        <v>0</v>
      </c>
      <c r="CT104" s="5"/>
      <c r="CU104" s="76">
        <v>0</v>
      </c>
      <c r="CV104" s="42">
        <v>0</v>
      </c>
      <c r="CW104" s="5"/>
      <c r="CX104" s="76">
        <v>0</v>
      </c>
      <c r="CY104" s="42">
        <v>0</v>
      </c>
      <c r="CZ104" s="5"/>
      <c r="DA104" s="76">
        <v>0</v>
      </c>
      <c r="DB104" s="42">
        <v>0</v>
      </c>
      <c r="DC104" s="5"/>
      <c r="DD104" s="76">
        <v>0</v>
      </c>
      <c r="DE104" s="42">
        <v>0</v>
      </c>
      <c r="DF104" s="5"/>
      <c r="DG104" s="76">
        <v>0</v>
      </c>
      <c r="DH104" s="42"/>
      <c r="DI104" s="5"/>
      <c r="DJ104" s="42">
        <v>0</v>
      </c>
      <c r="DK104" s="42">
        <f t="shared" si="14"/>
        <v>0</v>
      </c>
      <c r="DL104" s="58">
        <f t="shared" si="15"/>
        <v>0</v>
      </c>
      <c r="DM104" s="2">
        <v>1</v>
      </c>
    </row>
    <row r="105" spans="1:117" ht="24.9" customHeight="1" x14ac:dyDescent="0.3">
      <c r="A105" s="318">
        <v>150000569</v>
      </c>
      <c r="B105" s="44" t="s">
        <v>72</v>
      </c>
      <c r="C105" s="956">
        <v>1</v>
      </c>
      <c r="D105" s="957" t="s">
        <v>454</v>
      </c>
      <c r="E105" s="949">
        <f>'побудинковий звіт'!E72</f>
        <v>9797.7000000000007</v>
      </c>
      <c r="F105" s="950">
        <f>'побудинковий звіт'!AS72</f>
        <v>232452.08405456739</v>
      </c>
      <c r="G105" s="950">
        <f t="shared" si="8"/>
        <v>0</v>
      </c>
      <c r="H105" s="950">
        <f t="shared" si="9"/>
        <v>-232452.08405456739</v>
      </c>
      <c r="I105" s="42">
        <f>'[2]поточний ремонт'!I105+'[1]поточний ремонт'!I105</f>
        <v>0</v>
      </c>
      <c r="J105" s="42">
        <f>'[2]поточний ремонт'!J105+'[1]поточний ремонт'!J105</f>
        <v>0</v>
      </c>
      <c r="K105" s="958"/>
      <c r="L105" s="42">
        <f>'[2]поточний ремонт'!L105+'[1]поточний ремонт'!L105</f>
        <v>0</v>
      </c>
      <c r="M105" s="42">
        <f>'[2]поточний ремонт'!M105+'[1]поточний ремонт'!M105</f>
        <v>0</v>
      </c>
      <c r="N105" s="36"/>
      <c r="O105" s="42">
        <f>'[2]поточний ремонт'!O105+'[1]поточний ремонт'!O105</f>
        <v>0</v>
      </c>
      <c r="P105" s="42">
        <f>'[2]поточний ремонт'!P105+'[1]поточний ремонт'!P105</f>
        <v>0</v>
      </c>
      <c r="Q105" s="959"/>
      <c r="R105" s="42">
        <f>'[2]поточний ремонт'!R105+'[1]поточний ремонт'!R105</f>
        <v>0</v>
      </c>
      <c r="S105" s="42">
        <f>'[2]поточний ремонт'!S105+'[1]поточний ремонт'!S105</f>
        <v>0</v>
      </c>
      <c r="T105" s="960"/>
      <c r="U105" s="42">
        <f>'[2]поточний ремонт'!U105+'[1]поточний ремонт'!U105</f>
        <v>0</v>
      </c>
      <c r="V105" s="42">
        <f>'[2]поточний ремонт'!V105+'[1]поточний ремонт'!V105</f>
        <v>0</v>
      </c>
      <c r="W105" s="42">
        <f>'[2]поточний ремонт'!W105+'[1]поточний ремонт'!W105</f>
        <v>0</v>
      </c>
      <c r="X105" s="42">
        <f>'[2]поточний ремонт'!X105+'[1]поточний ремонт'!X105</f>
        <v>0</v>
      </c>
      <c r="Y105" s="42">
        <f>'[2]поточний ремонт'!Y105+'[1]поточний ремонт'!Y105</f>
        <v>0</v>
      </c>
      <c r="Z105" s="42">
        <f>'[2]поточний ремонт'!Z105+'[1]поточний ремонт'!Z105</f>
        <v>0</v>
      </c>
      <c r="AA105" s="42">
        <f>'[2]поточний ремонт'!AA105+'[1]поточний ремонт'!AA105</f>
        <v>0</v>
      </c>
      <c r="AB105" s="42">
        <f>'[2]поточний ремонт'!AB105+'[1]поточний ремонт'!AB105</f>
        <v>0</v>
      </c>
      <c r="AC105" s="42">
        <f>'[2]поточний ремонт'!AC105+'[1]поточний ремонт'!AC105</f>
        <v>0</v>
      </c>
      <c r="AD105" s="42">
        <f>'[2]поточний ремонт'!AD105+'[1]поточний ремонт'!AD105</f>
        <v>0</v>
      </c>
      <c r="AE105" s="42">
        <f>'[2]поточний ремонт'!AE105+'[1]поточний ремонт'!AE105</f>
        <v>0</v>
      </c>
      <c r="AF105" s="42">
        <f>'[2]поточний ремонт'!AF105+'[1]поточний ремонт'!AF105</f>
        <v>0</v>
      </c>
      <c r="AG105" s="5"/>
      <c r="AH105" s="42">
        <f>'[2]поточний ремонт'!AH105+'[1]поточний ремонт'!AH105</f>
        <v>0</v>
      </c>
      <c r="AI105" s="42">
        <f>'[2]поточний ремонт'!AI105+'[1]поточний ремонт'!AI105</f>
        <v>0</v>
      </c>
      <c r="AJ105" s="5"/>
      <c r="AK105" s="42">
        <f>'[2]поточний ремонт'!AK105+'[1]поточний ремонт'!AK105</f>
        <v>0</v>
      </c>
      <c r="AL105" s="42">
        <f>'[2]поточний ремонт'!AL105+'[1]поточний ремонт'!AL105</f>
        <v>0</v>
      </c>
      <c r="AM105" s="5"/>
      <c r="AN105" s="42">
        <f>'[2]поточний ремонт'!AN105+'[1]поточний ремонт'!AN105</f>
        <v>0</v>
      </c>
      <c r="AO105" s="42">
        <f>'[2]поточний ремонт'!AO105+'[1]поточний ремонт'!AO105</f>
        <v>0</v>
      </c>
      <c r="AP105" s="5"/>
      <c r="AQ105" s="42">
        <f>'[2]поточний ремонт'!AQ105+'[1]поточний ремонт'!AQ105</f>
        <v>0</v>
      </c>
      <c r="AR105" s="42">
        <f>'[2]поточний ремонт'!AR105+'[1]поточний ремонт'!AR105</f>
        <v>0</v>
      </c>
      <c r="AS105" s="5"/>
      <c r="AT105" s="42">
        <f>'[2]поточний ремонт'!AT105+'[1]поточний ремонт'!AT105</f>
        <v>0</v>
      </c>
      <c r="AU105" s="42">
        <f>'[2]поточний ремонт'!AU105+'[1]поточний ремонт'!AU105</f>
        <v>0</v>
      </c>
      <c r="AV105" s="5"/>
      <c r="AW105" s="42">
        <f>'[2]поточний ремонт'!AW105+'[1]поточний ремонт'!AW105</f>
        <v>0</v>
      </c>
      <c r="AX105" s="42">
        <f>'[2]поточний ремонт'!AX105+'[1]поточний ремонт'!AX105</f>
        <v>0</v>
      </c>
      <c r="AY105" s="5"/>
      <c r="AZ105" s="42">
        <f t="shared" si="10"/>
        <v>0</v>
      </c>
      <c r="BA105" s="42">
        <f t="shared" si="11"/>
        <v>0</v>
      </c>
      <c r="BB105" s="58">
        <f t="shared" si="12"/>
        <v>0</v>
      </c>
      <c r="BD105" s="2">
        <v>1</v>
      </c>
      <c r="BF105" s="29">
        <v>0</v>
      </c>
      <c r="BG105" s="318">
        <v>150000569</v>
      </c>
      <c r="BI105" s="104">
        <v>0</v>
      </c>
      <c r="BJ105" s="104">
        <f t="shared" si="13"/>
        <v>0</v>
      </c>
      <c r="BK105" s="104">
        <v>0</v>
      </c>
      <c r="BL105" s="38"/>
      <c r="BM105" s="3"/>
      <c r="BN105" s="3">
        <v>0</v>
      </c>
      <c r="BP105" s="3"/>
      <c r="BQ105" s="3"/>
      <c r="BS105" s="42"/>
      <c r="BT105" s="42">
        <v>0</v>
      </c>
      <c r="BU105" s="958"/>
      <c r="BV105" s="41"/>
      <c r="BW105" s="42"/>
      <c r="BX105" s="36"/>
      <c r="BY105" s="76"/>
      <c r="BZ105" s="42">
        <v>0</v>
      </c>
      <c r="CA105" s="959"/>
      <c r="CB105" s="41">
        <v>0</v>
      </c>
      <c r="CC105" s="41">
        <v>0</v>
      </c>
      <c r="CD105" s="960"/>
      <c r="CE105" s="76">
        <v>0</v>
      </c>
      <c r="CF105" s="55"/>
      <c r="CG105" s="41">
        <v>0</v>
      </c>
      <c r="CH105" s="38">
        <v>0</v>
      </c>
      <c r="CI105" s="76">
        <v>0</v>
      </c>
      <c r="CJ105" s="55"/>
      <c r="CK105" s="955"/>
      <c r="CL105" s="950"/>
      <c r="CM105" s="955"/>
      <c r="CN105" s="950">
        <v>0</v>
      </c>
      <c r="CO105" s="76">
        <v>0</v>
      </c>
      <c r="CP105" s="42">
        <v>0</v>
      </c>
      <c r="CQ105" s="5"/>
      <c r="CR105" s="76">
        <v>0</v>
      </c>
      <c r="CS105" s="954">
        <v>0</v>
      </c>
      <c r="CT105" s="5"/>
      <c r="CU105" s="76">
        <v>0</v>
      </c>
      <c r="CV105" s="42">
        <v>0</v>
      </c>
      <c r="CW105" s="5"/>
      <c r="CX105" s="76">
        <v>0</v>
      </c>
      <c r="CY105" s="42">
        <v>0</v>
      </c>
      <c r="CZ105" s="5"/>
      <c r="DA105" s="76">
        <v>0</v>
      </c>
      <c r="DB105" s="42">
        <v>0</v>
      </c>
      <c r="DC105" s="5"/>
      <c r="DD105" s="76">
        <v>0</v>
      </c>
      <c r="DE105" s="42">
        <v>0</v>
      </c>
      <c r="DF105" s="5"/>
      <c r="DG105" s="76">
        <v>0</v>
      </c>
      <c r="DH105" s="42"/>
      <c r="DI105" s="5"/>
      <c r="DJ105" s="42">
        <v>0</v>
      </c>
      <c r="DK105" s="42">
        <f t="shared" si="14"/>
        <v>0</v>
      </c>
      <c r="DL105" s="58">
        <f t="shared" si="15"/>
        <v>0</v>
      </c>
      <c r="DM105" s="2">
        <v>1</v>
      </c>
    </row>
    <row r="106" spans="1:117" ht="24.9" customHeight="1" x14ac:dyDescent="0.3">
      <c r="A106" s="318">
        <v>150000570</v>
      </c>
      <c r="B106" s="44" t="s">
        <v>74</v>
      </c>
      <c r="C106" s="956">
        <v>1</v>
      </c>
      <c r="D106" s="957" t="s">
        <v>454</v>
      </c>
      <c r="E106" s="949">
        <f>'побудинковий звіт'!E73</f>
        <v>6582.6</v>
      </c>
      <c r="F106" s="950">
        <f>'побудинковий звіт'!AS73</f>
        <v>165152.17224375604</v>
      </c>
      <c r="G106" s="950">
        <f t="shared" si="8"/>
        <v>0</v>
      </c>
      <c r="H106" s="950">
        <f t="shared" si="9"/>
        <v>-165152.17224375604</v>
      </c>
      <c r="I106" s="42">
        <f>'[2]поточний ремонт'!I106+'[1]поточний ремонт'!I106</f>
        <v>0</v>
      </c>
      <c r="J106" s="42">
        <f>'[2]поточний ремонт'!J106+'[1]поточний ремонт'!J106</f>
        <v>0</v>
      </c>
      <c r="K106" s="958"/>
      <c r="L106" s="42">
        <f>'[2]поточний ремонт'!L106+'[1]поточний ремонт'!L106</f>
        <v>0</v>
      </c>
      <c r="M106" s="42">
        <f>'[2]поточний ремонт'!M106+'[1]поточний ремонт'!M106</f>
        <v>0</v>
      </c>
      <c r="N106" s="36"/>
      <c r="O106" s="42">
        <f>'[2]поточний ремонт'!O106+'[1]поточний ремонт'!O106</f>
        <v>0</v>
      </c>
      <c r="P106" s="42">
        <f>'[2]поточний ремонт'!P106+'[1]поточний ремонт'!P106</f>
        <v>0</v>
      </c>
      <c r="Q106" s="959"/>
      <c r="R106" s="42">
        <f>'[2]поточний ремонт'!R106+'[1]поточний ремонт'!R106</f>
        <v>0</v>
      </c>
      <c r="S106" s="42">
        <f>'[2]поточний ремонт'!S106+'[1]поточний ремонт'!S106</f>
        <v>0</v>
      </c>
      <c r="T106" s="960"/>
      <c r="U106" s="42">
        <f>'[2]поточний ремонт'!U106+'[1]поточний ремонт'!U106</f>
        <v>0</v>
      </c>
      <c r="V106" s="42">
        <f>'[2]поточний ремонт'!V106+'[1]поточний ремонт'!V106</f>
        <v>0</v>
      </c>
      <c r="W106" s="42">
        <f>'[2]поточний ремонт'!W106+'[1]поточний ремонт'!W106</f>
        <v>0</v>
      </c>
      <c r="X106" s="42">
        <f>'[2]поточний ремонт'!X106+'[1]поточний ремонт'!X106</f>
        <v>0</v>
      </c>
      <c r="Y106" s="42">
        <f>'[2]поточний ремонт'!Y106+'[1]поточний ремонт'!Y106</f>
        <v>0</v>
      </c>
      <c r="Z106" s="42">
        <f>'[2]поточний ремонт'!Z106+'[1]поточний ремонт'!Z106</f>
        <v>0</v>
      </c>
      <c r="AA106" s="42">
        <f>'[2]поточний ремонт'!AA106+'[1]поточний ремонт'!AA106</f>
        <v>0</v>
      </c>
      <c r="AB106" s="42">
        <f>'[2]поточний ремонт'!AB106+'[1]поточний ремонт'!AB106</f>
        <v>0</v>
      </c>
      <c r="AC106" s="42">
        <f>'[2]поточний ремонт'!AC106+'[1]поточний ремонт'!AC106</f>
        <v>0</v>
      </c>
      <c r="AD106" s="42">
        <f>'[2]поточний ремонт'!AD106+'[1]поточний ремонт'!AD106</f>
        <v>0</v>
      </c>
      <c r="AE106" s="42">
        <f>'[2]поточний ремонт'!AE106+'[1]поточний ремонт'!AE106</f>
        <v>0</v>
      </c>
      <c r="AF106" s="42">
        <f>'[2]поточний ремонт'!AF106+'[1]поточний ремонт'!AF106</f>
        <v>0</v>
      </c>
      <c r="AG106" s="5"/>
      <c r="AH106" s="42">
        <f>'[2]поточний ремонт'!AH106+'[1]поточний ремонт'!AH106</f>
        <v>0</v>
      </c>
      <c r="AI106" s="42">
        <f>'[2]поточний ремонт'!AI106+'[1]поточний ремонт'!AI106</f>
        <v>0</v>
      </c>
      <c r="AJ106" s="5"/>
      <c r="AK106" s="42">
        <f>'[2]поточний ремонт'!AK106+'[1]поточний ремонт'!AK106</f>
        <v>0</v>
      </c>
      <c r="AL106" s="42">
        <f>'[2]поточний ремонт'!AL106+'[1]поточний ремонт'!AL106</f>
        <v>0</v>
      </c>
      <c r="AM106" s="5"/>
      <c r="AN106" s="42">
        <f>'[2]поточний ремонт'!AN106+'[1]поточний ремонт'!AN106</f>
        <v>0</v>
      </c>
      <c r="AO106" s="42">
        <f>'[2]поточний ремонт'!AO106+'[1]поточний ремонт'!AO106</f>
        <v>0</v>
      </c>
      <c r="AP106" s="5"/>
      <c r="AQ106" s="42">
        <f>'[2]поточний ремонт'!AQ106+'[1]поточний ремонт'!AQ106</f>
        <v>0</v>
      </c>
      <c r="AR106" s="42">
        <f>'[2]поточний ремонт'!AR106+'[1]поточний ремонт'!AR106</f>
        <v>0</v>
      </c>
      <c r="AS106" s="5"/>
      <c r="AT106" s="42">
        <f>'[2]поточний ремонт'!AT106+'[1]поточний ремонт'!AT106</f>
        <v>0</v>
      </c>
      <c r="AU106" s="42">
        <f>'[2]поточний ремонт'!AU106+'[1]поточний ремонт'!AU106</f>
        <v>0</v>
      </c>
      <c r="AV106" s="5"/>
      <c r="AW106" s="42">
        <f>'[2]поточний ремонт'!AW106+'[1]поточний ремонт'!AW106</f>
        <v>0</v>
      </c>
      <c r="AX106" s="42">
        <f>'[2]поточний ремонт'!AX106+'[1]поточний ремонт'!AX106</f>
        <v>0</v>
      </c>
      <c r="AY106" s="5"/>
      <c r="AZ106" s="42">
        <f t="shared" si="10"/>
        <v>0</v>
      </c>
      <c r="BA106" s="42">
        <f t="shared" si="11"/>
        <v>0</v>
      </c>
      <c r="BB106" s="58">
        <f t="shared" si="12"/>
        <v>0</v>
      </c>
      <c r="BD106" s="2">
        <v>1</v>
      </c>
      <c r="BF106" s="29">
        <v>0</v>
      </c>
      <c r="BG106" s="318">
        <v>150000570</v>
      </c>
      <c r="BI106" s="104">
        <v>0</v>
      </c>
      <c r="BJ106" s="104">
        <f t="shared" si="13"/>
        <v>0</v>
      </c>
      <c r="BK106" s="104">
        <v>0</v>
      </c>
      <c r="BL106" s="38"/>
      <c r="BM106" s="3"/>
      <c r="BN106" s="3">
        <v>0</v>
      </c>
      <c r="BP106" s="3"/>
      <c r="BQ106" s="3"/>
      <c r="BS106" s="42"/>
      <c r="BT106" s="42">
        <v>0</v>
      </c>
      <c r="BU106" s="958"/>
      <c r="BV106" s="41"/>
      <c r="BW106" s="42"/>
      <c r="BX106" s="36"/>
      <c r="BY106" s="76"/>
      <c r="BZ106" s="42">
        <v>0</v>
      </c>
      <c r="CA106" s="959"/>
      <c r="CB106" s="41">
        <v>0</v>
      </c>
      <c r="CC106" s="41">
        <v>0</v>
      </c>
      <c r="CD106" s="960"/>
      <c r="CE106" s="76">
        <v>0</v>
      </c>
      <c r="CF106" s="55"/>
      <c r="CG106" s="41">
        <v>0</v>
      </c>
      <c r="CH106" s="38">
        <v>0</v>
      </c>
      <c r="CI106" s="76">
        <v>0</v>
      </c>
      <c r="CJ106" s="55"/>
      <c r="CK106" s="955"/>
      <c r="CL106" s="950"/>
      <c r="CM106" s="955"/>
      <c r="CN106" s="950">
        <v>0</v>
      </c>
      <c r="CO106" s="76">
        <v>0</v>
      </c>
      <c r="CP106" s="42">
        <v>0</v>
      </c>
      <c r="CQ106" s="5"/>
      <c r="CR106" s="76">
        <v>0</v>
      </c>
      <c r="CS106" s="954">
        <v>0</v>
      </c>
      <c r="CT106" s="5"/>
      <c r="CU106" s="76">
        <v>0</v>
      </c>
      <c r="CV106" s="42">
        <v>0</v>
      </c>
      <c r="CW106" s="5"/>
      <c r="CX106" s="76">
        <v>0</v>
      </c>
      <c r="CY106" s="42">
        <v>0</v>
      </c>
      <c r="CZ106" s="5"/>
      <c r="DA106" s="76">
        <v>0</v>
      </c>
      <c r="DB106" s="42">
        <v>0</v>
      </c>
      <c r="DC106" s="5"/>
      <c r="DD106" s="76">
        <v>0</v>
      </c>
      <c r="DE106" s="42">
        <v>0</v>
      </c>
      <c r="DF106" s="5"/>
      <c r="DG106" s="76">
        <v>0</v>
      </c>
      <c r="DH106" s="42"/>
      <c r="DI106" s="5"/>
      <c r="DJ106" s="42">
        <v>0</v>
      </c>
      <c r="DK106" s="42">
        <f t="shared" si="14"/>
        <v>0</v>
      </c>
      <c r="DL106" s="58">
        <f t="shared" si="15"/>
        <v>0</v>
      </c>
      <c r="DM106" s="2">
        <v>1</v>
      </c>
    </row>
    <row r="107" spans="1:117" ht="24.9" customHeight="1" x14ac:dyDescent="0.3">
      <c r="A107" s="318">
        <v>150000573</v>
      </c>
      <c r="B107" s="44" t="s">
        <v>75</v>
      </c>
      <c r="C107" s="956">
        <v>1</v>
      </c>
      <c r="D107" s="957" t="s">
        <v>454</v>
      </c>
      <c r="E107" s="949">
        <f>'побудинковий звіт'!E74</f>
        <v>3447.57</v>
      </c>
      <c r="F107" s="950">
        <f>'побудинковий звіт'!AS74</f>
        <v>45264.228445748027</v>
      </c>
      <c r="G107" s="950">
        <f t="shared" si="8"/>
        <v>0</v>
      </c>
      <c r="H107" s="950">
        <f t="shared" si="9"/>
        <v>-45264.228445748027</v>
      </c>
      <c r="I107" s="42">
        <f>'[2]поточний ремонт'!I107+'[1]поточний ремонт'!I107</f>
        <v>0</v>
      </c>
      <c r="J107" s="42">
        <f>'[2]поточний ремонт'!J107+'[1]поточний ремонт'!J107</f>
        <v>0</v>
      </c>
      <c r="K107" s="958"/>
      <c r="L107" s="42">
        <f>'[2]поточний ремонт'!L107+'[1]поточний ремонт'!L107</f>
        <v>0</v>
      </c>
      <c r="M107" s="42">
        <f>'[2]поточний ремонт'!M107+'[1]поточний ремонт'!M107</f>
        <v>0</v>
      </c>
      <c r="N107" s="36"/>
      <c r="O107" s="42">
        <f>'[2]поточний ремонт'!O107+'[1]поточний ремонт'!O107</f>
        <v>0</v>
      </c>
      <c r="P107" s="42">
        <f>'[2]поточний ремонт'!P107+'[1]поточний ремонт'!P107</f>
        <v>0</v>
      </c>
      <c r="Q107" s="959"/>
      <c r="R107" s="42">
        <f>'[2]поточний ремонт'!R107+'[1]поточний ремонт'!R107</f>
        <v>0</v>
      </c>
      <c r="S107" s="42">
        <f>'[2]поточний ремонт'!S107+'[1]поточний ремонт'!S107</f>
        <v>0</v>
      </c>
      <c r="T107" s="960"/>
      <c r="U107" s="42">
        <f>'[2]поточний ремонт'!U107+'[1]поточний ремонт'!U107</f>
        <v>0</v>
      </c>
      <c r="V107" s="42">
        <f>'[2]поточний ремонт'!V107+'[1]поточний ремонт'!V107</f>
        <v>0</v>
      </c>
      <c r="W107" s="42">
        <f>'[2]поточний ремонт'!W107+'[1]поточний ремонт'!W107</f>
        <v>0</v>
      </c>
      <c r="X107" s="42">
        <f>'[2]поточний ремонт'!X107+'[1]поточний ремонт'!X107</f>
        <v>0</v>
      </c>
      <c r="Y107" s="42">
        <f>'[2]поточний ремонт'!Y107+'[1]поточний ремонт'!Y107</f>
        <v>0</v>
      </c>
      <c r="Z107" s="42">
        <f>'[2]поточний ремонт'!Z107+'[1]поточний ремонт'!Z107</f>
        <v>0</v>
      </c>
      <c r="AA107" s="42">
        <f>'[2]поточний ремонт'!AA107+'[1]поточний ремонт'!AA107</f>
        <v>0</v>
      </c>
      <c r="AB107" s="42">
        <f>'[2]поточний ремонт'!AB107+'[1]поточний ремонт'!AB107</f>
        <v>0</v>
      </c>
      <c r="AC107" s="42">
        <f>'[2]поточний ремонт'!AC107+'[1]поточний ремонт'!AC107</f>
        <v>0</v>
      </c>
      <c r="AD107" s="42">
        <f>'[2]поточний ремонт'!AD107+'[1]поточний ремонт'!AD107</f>
        <v>0</v>
      </c>
      <c r="AE107" s="42">
        <f>'[2]поточний ремонт'!AE107+'[1]поточний ремонт'!AE107</f>
        <v>0</v>
      </c>
      <c r="AF107" s="42">
        <f>'[2]поточний ремонт'!AF107+'[1]поточний ремонт'!AF107</f>
        <v>0</v>
      </c>
      <c r="AG107" s="5"/>
      <c r="AH107" s="42">
        <f>'[2]поточний ремонт'!AH107+'[1]поточний ремонт'!AH107</f>
        <v>0</v>
      </c>
      <c r="AI107" s="42">
        <f>'[2]поточний ремонт'!AI107+'[1]поточний ремонт'!AI107</f>
        <v>0</v>
      </c>
      <c r="AJ107" s="5"/>
      <c r="AK107" s="42">
        <f>'[2]поточний ремонт'!AK107+'[1]поточний ремонт'!AK107</f>
        <v>0</v>
      </c>
      <c r="AL107" s="42">
        <f>'[2]поточний ремонт'!AL107+'[1]поточний ремонт'!AL107</f>
        <v>0</v>
      </c>
      <c r="AM107" s="5"/>
      <c r="AN107" s="42">
        <f>'[2]поточний ремонт'!AN107+'[1]поточний ремонт'!AN107</f>
        <v>0</v>
      </c>
      <c r="AO107" s="42">
        <f>'[2]поточний ремонт'!AO107+'[1]поточний ремонт'!AO107</f>
        <v>0</v>
      </c>
      <c r="AP107" s="5"/>
      <c r="AQ107" s="42">
        <f>'[2]поточний ремонт'!AQ107+'[1]поточний ремонт'!AQ107</f>
        <v>0</v>
      </c>
      <c r="AR107" s="42">
        <f>'[2]поточний ремонт'!AR107+'[1]поточний ремонт'!AR107</f>
        <v>0</v>
      </c>
      <c r="AS107" s="5"/>
      <c r="AT107" s="42">
        <f>'[2]поточний ремонт'!AT107+'[1]поточний ремонт'!AT107</f>
        <v>0</v>
      </c>
      <c r="AU107" s="42">
        <f>'[2]поточний ремонт'!AU107+'[1]поточний ремонт'!AU107</f>
        <v>0</v>
      </c>
      <c r="AV107" s="5"/>
      <c r="AW107" s="42">
        <f>'[2]поточний ремонт'!AW107+'[1]поточний ремонт'!AW107</f>
        <v>0</v>
      </c>
      <c r="AX107" s="42">
        <f>'[2]поточний ремонт'!AX107+'[1]поточний ремонт'!AX107</f>
        <v>0</v>
      </c>
      <c r="AY107" s="5"/>
      <c r="AZ107" s="42">
        <f t="shared" si="10"/>
        <v>0</v>
      </c>
      <c r="BA107" s="42">
        <f t="shared" si="11"/>
        <v>0</v>
      </c>
      <c r="BB107" s="58">
        <f t="shared" si="12"/>
        <v>0</v>
      </c>
      <c r="BD107" s="2">
        <v>1</v>
      </c>
      <c r="BF107" s="29">
        <v>0</v>
      </c>
      <c r="BG107" s="318">
        <v>150000573</v>
      </c>
      <c r="BI107" s="104">
        <v>0</v>
      </c>
      <c r="BJ107" s="104">
        <f t="shared" si="13"/>
        <v>0</v>
      </c>
      <c r="BK107" s="104">
        <v>0</v>
      </c>
      <c r="BL107" s="38"/>
      <c r="BM107" s="3"/>
      <c r="BN107" s="3">
        <v>0</v>
      </c>
      <c r="BP107" s="3"/>
      <c r="BQ107" s="3"/>
      <c r="BS107" s="42"/>
      <c r="BT107" s="42">
        <v>0</v>
      </c>
      <c r="BU107" s="958"/>
      <c r="BV107" s="41"/>
      <c r="BW107" s="42"/>
      <c r="BX107" s="36"/>
      <c r="BY107" s="76"/>
      <c r="BZ107" s="42">
        <v>0</v>
      </c>
      <c r="CA107" s="959"/>
      <c r="CB107" s="41">
        <v>0</v>
      </c>
      <c r="CC107" s="41">
        <v>0</v>
      </c>
      <c r="CD107" s="960"/>
      <c r="CE107" s="76">
        <v>0</v>
      </c>
      <c r="CF107" s="55"/>
      <c r="CG107" s="41">
        <v>0</v>
      </c>
      <c r="CH107" s="38">
        <v>0</v>
      </c>
      <c r="CI107" s="76">
        <v>0</v>
      </c>
      <c r="CJ107" s="55"/>
      <c r="CK107" s="955"/>
      <c r="CL107" s="950"/>
      <c r="CM107" s="955"/>
      <c r="CN107" s="950">
        <v>0</v>
      </c>
      <c r="CO107" s="76">
        <v>0</v>
      </c>
      <c r="CP107" s="42">
        <v>0</v>
      </c>
      <c r="CQ107" s="5"/>
      <c r="CR107" s="76">
        <v>0</v>
      </c>
      <c r="CS107" s="954">
        <v>0</v>
      </c>
      <c r="CT107" s="5"/>
      <c r="CU107" s="76">
        <v>0</v>
      </c>
      <c r="CV107" s="42">
        <v>0</v>
      </c>
      <c r="CW107" s="5"/>
      <c r="CX107" s="76">
        <v>0</v>
      </c>
      <c r="CY107" s="42">
        <v>0</v>
      </c>
      <c r="CZ107" s="5"/>
      <c r="DA107" s="76">
        <v>0</v>
      </c>
      <c r="DB107" s="42">
        <v>0</v>
      </c>
      <c r="DC107" s="5"/>
      <c r="DD107" s="76">
        <v>0</v>
      </c>
      <c r="DE107" s="42">
        <v>0</v>
      </c>
      <c r="DF107" s="5"/>
      <c r="DG107" s="76">
        <v>0</v>
      </c>
      <c r="DH107" s="42"/>
      <c r="DI107" s="5"/>
      <c r="DJ107" s="42">
        <v>0</v>
      </c>
      <c r="DK107" s="42">
        <f t="shared" si="14"/>
        <v>0</v>
      </c>
      <c r="DL107" s="58">
        <f t="shared" si="15"/>
        <v>0</v>
      </c>
      <c r="DM107" s="2">
        <v>1</v>
      </c>
    </row>
    <row r="108" spans="1:117" ht="24.9" customHeight="1" x14ac:dyDescent="0.3">
      <c r="A108" s="318">
        <v>150000658</v>
      </c>
      <c r="B108" s="44" t="s">
        <v>351</v>
      </c>
      <c r="C108" s="956">
        <v>9</v>
      </c>
      <c r="D108" s="957" t="s">
        <v>454</v>
      </c>
      <c r="E108" s="949">
        <f>'побудинковий звіт'!E75</f>
        <v>244.2</v>
      </c>
      <c r="F108" s="950">
        <f>'побудинковий звіт'!AS75</f>
        <v>33.476399999999998</v>
      </c>
      <c r="G108" s="950">
        <f t="shared" si="8"/>
        <v>59689.158793534058</v>
      </c>
      <c r="H108" s="950">
        <f t="shared" si="9"/>
        <v>59655.682393534058</v>
      </c>
      <c r="I108" s="42">
        <f>'[2]поточний ремонт'!I108+'[1]поточний ремонт'!I108</f>
        <v>52.36</v>
      </c>
      <c r="J108" s="42">
        <f>'[2]поточний ремонт'!J108+'[1]поточний ремонт'!J108</f>
        <v>54007.488939855604</v>
      </c>
      <c r="K108" s="964"/>
      <c r="L108" s="42">
        <f>'[2]поточний ремонт'!L108+'[1]поточний ремонт'!L108</f>
        <v>0</v>
      </c>
      <c r="M108" s="42">
        <f>'[2]поточний ремонт'!M108+'[1]поточний ремонт'!M108</f>
        <v>0</v>
      </c>
      <c r="N108" s="36"/>
      <c r="O108" s="42">
        <f>'[2]поточний ремонт'!O108+'[1]поточний ремонт'!O108</f>
        <v>0</v>
      </c>
      <c r="P108" s="42">
        <f>'[2]поточний ремонт'!P108+'[1]поточний ремонт'!P108</f>
        <v>0</v>
      </c>
      <c r="Q108" s="966"/>
      <c r="R108" s="42">
        <f>'[2]поточний ремонт'!R108+'[1]поточний ремонт'!R108</f>
        <v>1</v>
      </c>
      <c r="S108" s="42">
        <f>'[2]поточний ремонт'!S108+'[1]поточний ремонт'!S108</f>
        <v>5114.4469532842641</v>
      </c>
      <c r="T108" s="960"/>
      <c r="U108" s="42">
        <f>'[2]поточний ремонт'!U108+'[1]поточний ремонт'!U108</f>
        <v>0</v>
      </c>
      <c r="V108" s="42">
        <f>'[2]поточний ремонт'!V108+'[1]поточний ремонт'!V108</f>
        <v>0</v>
      </c>
      <c r="W108" s="42">
        <f>'[2]поточний ремонт'!W108+'[1]поточний ремонт'!W108</f>
        <v>0</v>
      </c>
      <c r="X108" s="42">
        <f>'[2]поточний ремонт'!X108+'[1]поточний ремонт'!X108</f>
        <v>130.41008448413061</v>
      </c>
      <c r="Y108" s="42">
        <f>'[2]поточний ремонт'!Y108+'[1]поточний ремонт'!Y108</f>
        <v>0</v>
      </c>
      <c r="Z108" s="42">
        <f>'[2]поточний ремонт'!Z108+'[1]поточний ремонт'!Z108</f>
        <v>0</v>
      </c>
      <c r="AA108" s="42">
        <f>'[2]поточний ремонт'!AA108+'[1]поточний ремонт'!AA108</f>
        <v>0</v>
      </c>
      <c r="AB108" s="42">
        <f>'[2]поточний ремонт'!AB108+'[1]поточний ремонт'!AB108</f>
        <v>0</v>
      </c>
      <c r="AC108" s="42">
        <f>'[2]поточний ремонт'!AC108+'[1]поточний ремонт'!AC108</f>
        <v>0</v>
      </c>
      <c r="AD108" s="42">
        <f>'[2]поточний ремонт'!AD108+'[1]поточний ремонт'!AD108</f>
        <v>436.81281591006319</v>
      </c>
      <c r="AE108" s="42">
        <f>'[2]поточний ремонт'!AE108+'[1]поточний ремонт'!AE108</f>
        <v>1565.4538480648202</v>
      </c>
      <c r="AF108" s="42">
        <f>'[2]поточний ремонт'!AF108+'[1]поточний ремонт'!AF108</f>
        <v>0</v>
      </c>
      <c r="AG108" s="5"/>
      <c r="AH108" s="42">
        <f>'[2]поточний ремонт'!AH108+'[1]поточний ремонт'!AH108</f>
        <v>1776.7126494292424</v>
      </c>
      <c r="AI108" s="42">
        <f>'[2]поточний ремонт'!AI108+'[1]поточний ремонт'!AI108</f>
        <v>675.61308906772877</v>
      </c>
      <c r="AJ108" s="5"/>
      <c r="AK108" s="42">
        <f>'[2]поточний ремонт'!AK108+'[1]поточний ремонт'!AK108</f>
        <v>1370.4034105377643</v>
      </c>
      <c r="AL108" s="42">
        <f>'[2]поточний ремонт'!AL108+'[1]поточний ремонт'!AL108</f>
        <v>858.89868450435006</v>
      </c>
      <c r="AM108" s="5"/>
      <c r="AN108" s="42">
        <f>'[2]поточний ремонт'!AN108+'[1]поточний ремонт'!AN108</f>
        <v>685.91494410618566</v>
      </c>
      <c r="AO108" s="42">
        <f>'[2]поточний ремонт'!AO108+'[1]поточний ремонт'!AO108</f>
        <v>546.58312943999999</v>
      </c>
      <c r="AP108" s="5"/>
      <c r="AQ108" s="42">
        <f>'[2]поточний ремонт'!AQ108+'[1]поточний ремонт'!AQ108</f>
        <v>352.86397625176909</v>
      </c>
      <c r="AR108" s="42">
        <f>'[2]поточний ремонт'!AR108+'[1]поточний ремонт'!AR108</f>
        <v>0</v>
      </c>
      <c r="AS108" s="5"/>
      <c r="AT108" s="42">
        <f>'[2]поточний ремонт'!AT108+'[1]поточний ремонт'!AT108</f>
        <v>1126.2803813138553</v>
      </c>
      <c r="AU108" s="42">
        <f>'[2]поточний ремонт'!AU108+'[1]поточний ремонт'!AU108</f>
        <v>0</v>
      </c>
      <c r="AV108" s="5"/>
      <c r="AW108" s="42">
        <f>'[2]поточний ремонт'!AW108+'[1]поточний ремонт'!AW108</f>
        <v>81.564258463179186</v>
      </c>
      <c r="AX108" s="42">
        <f>'[2]поточний ремонт'!AX108+'[1]поточний ремонт'!AX108</f>
        <v>0</v>
      </c>
      <c r="AY108" s="5"/>
      <c r="AZ108" s="42">
        <f t="shared" si="10"/>
        <v>6959.1934681668163</v>
      </c>
      <c r="BA108" s="42">
        <f t="shared" si="11"/>
        <v>2081.0949030120787</v>
      </c>
      <c r="BB108" s="58">
        <f t="shared" si="12"/>
        <v>-4878.098565154738</v>
      </c>
      <c r="BD108" s="2">
        <v>3</v>
      </c>
      <c r="BF108" s="29">
        <v>377.33324270456535</v>
      </c>
      <c r="BG108" s="318">
        <v>150000658</v>
      </c>
      <c r="BI108" s="104">
        <v>9.56</v>
      </c>
      <c r="BJ108" s="104">
        <f t="shared" si="13"/>
        <v>1.3447306319999999</v>
      </c>
      <c r="BK108" s="104">
        <v>11.025412209760001</v>
      </c>
      <c r="BL108" s="38"/>
      <c r="BM108" s="3"/>
      <c r="BN108" s="3">
        <v>0</v>
      </c>
      <c r="BP108" s="3"/>
      <c r="BQ108" s="3"/>
      <c r="BS108" s="42"/>
      <c r="BT108" s="42">
        <v>0</v>
      </c>
      <c r="BU108" s="964"/>
      <c r="BV108" s="41"/>
      <c r="BW108" s="42"/>
      <c r="BX108" s="36"/>
      <c r="BY108" s="76"/>
      <c r="BZ108" s="42">
        <v>0</v>
      </c>
      <c r="CA108" s="966"/>
      <c r="CB108" s="41">
        <v>0</v>
      </c>
      <c r="CC108" s="41">
        <v>0</v>
      </c>
      <c r="CD108" s="960"/>
      <c r="CE108" s="76">
        <v>0</v>
      </c>
      <c r="CF108" s="55"/>
      <c r="CG108" s="41">
        <v>0</v>
      </c>
      <c r="CH108" s="38">
        <v>11.025412209760001</v>
      </c>
      <c r="CI108" s="76">
        <v>0</v>
      </c>
      <c r="CJ108" s="55"/>
      <c r="CK108" s="955"/>
      <c r="CL108" s="950"/>
      <c r="CM108" s="955"/>
      <c r="CN108" s="950">
        <v>0</v>
      </c>
      <c r="CO108" s="76">
        <v>90.931813679204481</v>
      </c>
      <c r="CP108" s="42">
        <v>0</v>
      </c>
      <c r="CQ108" s="5"/>
      <c r="CR108" s="76">
        <v>123.75503608726197</v>
      </c>
      <c r="CS108" s="954">
        <v>0</v>
      </c>
      <c r="CT108" s="5"/>
      <c r="CU108" s="76">
        <v>93.186116132092351</v>
      </c>
      <c r="CV108" s="42">
        <v>0</v>
      </c>
      <c r="CW108" s="5"/>
      <c r="CX108" s="76">
        <v>58.613377572592491</v>
      </c>
      <c r="CY108" s="42">
        <v>0</v>
      </c>
      <c r="CZ108" s="5"/>
      <c r="DA108" s="76">
        <v>26.384494126153122</v>
      </c>
      <c r="DB108" s="42">
        <v>0</v>
      </c>
      <c r="DC108" s="5"/>
      <c r="DD108" s="76">
        <v>62.357469083709724</v>
      </c>
      <c r="DE108" s="42">
        <v>0</v>
      </c>
      <c r="DF108" s="5"/>
      <c r="DG108" s="76">
        <v>0</v>
      </c>
      <c r="DH108" s="42"/>
      <c r="DI108" s="5"/>
      <c r="DJ108" s="42">
        <v>455.22830668101409</v>
      </c>
      <c r="DK108" s="42">
        <f t="shared" si="14"/>
        <v>0</v>
      </c>
      <c r="DL108" s="58">
        <f t="shared" si="15"/>
        <v>-455.22830668101409</v>
      </c>
      <c r="DM108" s="2">
        <v>3</v>
      </c>
    </row>
    <row r="109" spans="1:117" ht="24.9" customHeight="1" x14ac:dyDescent="0.3">
      <c r="A109" s="318">
        <v>150000659</v>
      </c>
      <c r="B109" s="44" t="s">
        <v>413</v>
      </c>
      <c r="C109" s="956">
        <v>10</v>
      </c>
      <c r="D109" s="957" t="s">
        <v>454</v>
      </c>
      <c r="E109" s="949">
        <f>'побудинковий звіт'!E76</f>
        <v>323.7</v>
      </c>
      <c r="F109" s="950">
        <f>'побудинковий звіт'!AS76</f>
        <v>3926.583298344045</v>
      </c>
      <c r="G109" s="950">
        <f t="shared" si="8"/>
        <v>132.05404403729605</v>
      </c>
      <c r="H109" s="950">
        <f t="shared" si="9"/>
        <v>-3794.529254306749</v>
      </c>
      <c r="I109" s="42">
        <f>'[2]поточний ремонт'!I109+'[1]поточний ремонт'!I109</f>
        <v>0</v>
      </c>
      <c r="J109" s="42">
        <f>'[2]поточний ремонт'!J109+'[1]поточний ремонт'!J109</f>
        <v>0</v>
      </c>
      <c r="K109" s="958"/>
      <c r="L109" s="42">
        <f>'[2]поточний ремонт'!L109+'[1]поточний ремонт'!L109</f>
        <v>0</v>
      </c>
      <c r="M109" s="42">
        <f>'[2]поточний ремонт'!M109+'[1]поточний ремонт'!M109</f>
        <v>0</v>
      </c>
      <c r="N109" s="36"/>
      <c r="O109" s="42">
        <f>'[2]поточний ремонт'!O109+'[1]поточний ремонт'!O109</f>
        <v>0</v>
      </c>
      <c r="P109" s="42">
        <f>'[2]поточний ремонт'!P109+'[1]поточний ремонт'!P109</f>
        <v>0</v>
      </c>
      <c r="Q109" s="959"/>
      <c r="R109" s="42">
        <f>'[2]поточний ремонт'!R109+'[1]поточний ремонт'!R109</f>
        <v>0</v>
      </c>
      <c r="S109" s="42">
        <f>'[2]поточний ремонт'!S109+'[1]поточний ремонт'!S109</f>
        <v>0</v>
      </c>
      <c r="T109" s="960"/>
      <c r="U109" s="42">
        <f>'[2]поточний ремонт'!U109+'[1]поточний ремонт'!U109</f>
        <v>0</v>
      </c>
      <c r="V109" s="42">
        <f>'[2]поточний ремонт'!V109+'[1]поточний ремонт'!V109</f>
        <v>0</v>
      </c>
      <c r="W109" s="42">
        <f>'[2]поточний ремонт'!W109+'[1]поточний ремонт'!W109</f>
        <v>0</v>
      </c>
      <c r="X109" s="42">
        <f>'[2]поточний ремонт'!X109+'[1]поточний ремонт'!X109</f>
        <v>0</v>
      </c>
      <c r="Y109" s="42">
        <f>'[2]поточний ремонт'!Y109+'[1]поточний ремонт'!Y109</f>
        <v>0</v>
      </c>
      <c r="Z109" s="42">
        <f>'[2]поточний ремонт'!Z109+'[1]поточний ремонт'!Z109</f>
        <v>0</v>
      </c>
      <c r="AA109" s="42">
        <f>'[2]поточний ремонт'!AA109+'[1]поточний ремонт'!AA109</f>
        <v>0</v>
      </c>
      <c r="AB109" s="42">
        <f>'[2]поточний ремонт'!AB109+'[1]поточний ремонт'!AB109</f>
        <v>132.05404403729605</v>
      </c>
      <c r="AC109" s="42">
        <f>'[2]поточний ремонт'!AC109+'[1]поточний ремонт'!AC109</f>
        <v>0</v>
      </c>
      <c r="AD109" s="42">
        <f>'[2]поточний ремонт'!AD109+'[1]поточний ремонт'!AD109</f>
        <v>0</v>
      </c>
      <c r="AE109" s="42">
        <f>'[2]поточний ремонт'!AE109+'[1]поточний ремонт'!AE109</f>
        <v>871.57296884058258</v>
      </c>
      <c r="AF109" s="42">
        <f>'[2]поточний ремонт'!AF109+'[1]поточний ремонт'!AF109</f>
        <v>0</v>
      </c>
      <c r="AG109" s="965"/>
      <c r="AH109" s="42">
        <f>'[2]поточний ремонт'!AH109+'[1]поточний ремонт'!AH109</f>
        <v>1089.144304790088</v>
      </c>
      <c r="AI109" s="42">
        <f>'[2]поточний ремонт'!AI109+'[1]поточний ремонт'!AI109</f>
        <v>0</v>
      </c>
      <c r="AJ109" s="5"/>
      <c r="AK109" s="42">
        <f>'[2]поточний ремонт'!AK109+'[1]поточний ремонт'!AK109</f>
        <v>1387.7015055919437</v>
      </c>
      <c r="AL109" s="42">
        <f>'[2]поточний ремонт'!AL109+'[1]поточний ремонт'!AL109</f>
        <v>0</v>
      </c>
      <c r="AM109" s="5"/>
      <c r="AN109" s="42">
        <f>'[2]поточний ремонт'!AN109+'[1]поточний ремонт'!AN109</f>
        <v>444.16290880172562</v>
      </c>
      <c r="AO109" s="42">
        <f>'[2]поточний ремонт'!AO109+'[1]поточний ремонт'!AO109</f>
        <v>0</v>
      </c>
      <c r="AP109" s="5"/>
      <c r="AQ109" s="42">
        <f>'[2]поточний ремонт'!AQ109+'[1]поточний ремонт'!AQ109</f>
        <v>142.06205967173688</v>
      </c>
      <c r="AR109" s="42">
        <f>'[2]поточний ремонт'!AR109+'[1]поточний ремонт'!AR109</f>
        <v>0</v>
      </c>
      <c r="AS109" s="965"/>
      <c r="AT109" s="42">
        <f>'[2]поточний ремонт'!AT109+'[1]поточний ремонт'!AT109</f>
        <v>539.00017695197062</v>
      </c>
      <c r="AU109" s="42">
        <f>'[2]поточний ремонт'!AU109+'[1]поточний ремонт'!AU109</f>
        <v>1268.7893401217375</v>
      </c>
      <c r="AV109" s="5"/>
      <c r="AW109" s="42">
        <f>'[2]поточний ремонт'!AW109+'[1]поточний ремонт'!AW109</f>
        <v>43.919216095558028</v>
      </c>
      <c r="AX109" s="42">
        <f>'[2]поточний ремонт'!AX109+'[1]поточний ремонт'!AX109</f>
        <v>0</v>
      </c>
      <c r="AY109" s="5"/>
      <c r="AZ109" s="42">
        <f t="shared" si="10"/>
        <v>4517.5631407436058</v>
      </c>
      <c r="BA109" s="42">
        <f t="shared" si="11"/>
        <v>1268.7893401217375</v>
      </c>
      <c r="BB109" s="58">
        <f t="shared" si="12"/>
        <v>-3248.7738006218683</v>
      </c>
      <c r="BD109" s="2">
        <v>3</v>
      </c>
      <c r="BF109" s="29">
        <v>194.81123733356466</v>
      </c>
      <c r="BG109" s="318">
        <v>150000659</v>
      </c>
      <c r="BI109" s="104">
        <v>0</v>
      </c>
      <c r="BJ109" s="104">
        <f t="shared" si="13"/>
        <v>0</v>
      </c>
      <c r="BK109" s="104">
        <v>0</v>
      </c>
      <c r="BL109" s="38"/>
      <c r="BM109" s="3"/>
      <c r="BN109" s="3">
        <v>0</v>
      </c>
      <c r="BP109" s="3"/>
      <c r="BQ109" s="3"/>
      <c r="BS109" s="42"/>
      <c r="BT109" s="42">
        <v>0</v>
      </c>
      <c r="BU109" s="958"/>
      <c r="BV109" s="41"/>
      <c r="BW109" s="42"/>
      <c r="BX109" s="36"/>
      <c r="BY109" s="76"/>
      <c r="BZ109" s="42">
        <v>0</v>
      </c>
      <c r="CA109" s="959"/>
      <c r="CB109" s="41">
        <v>0</v>
      </c>
      <c r="CC109" s="41">
        <v>0</v>
      </c>
      <c r="CD109" s="960"/>
      <c r="CE109" s="76">
        <v>0</v>
      </c>
      <c r="CF109" s="55"/>
      <c r="CG109" s="41">
        <v>0</v>
      </c>
      <c r="CH109" s="38">
        <v>0</v>
      </c>
      <c r="CI109" s="76">
        <v>0</v>
      </c>
      <c r="CJ109" s="55"/>
      <c r="CK109" s="955"/>
      <c r="CL109" s="950"/>
      <c r="CM109" s="955"/>
      <c r="CN109" s="950">
        <v>0</v>
      </c>
      <c r="CO109" s="76">
        <v>60.402060160786945</v>
      </c>
      <c r="CP109" s="42">
        <v>0</v>
      </c>
      <c r="CQ109" s="965"/>
      <c r="CR109" s="76">
        <v>83.567048369170081</v>
      </c>
      <c r="CS109" s="954">
        <v>0</v>
      </c>
      <c r="CT109" s="5"/>
      <c r="CU109" s="76">
        <v>113.95994274184017</v>
      </c>
      <c r="CV109" s="42">
        <v>0</v>
      </c>
      <c r="CW109" s="5"/>
      <c r="CX109" s="76">
        <v>39.352776087875228</v>
      </c>
      <c r="CY109" s="42">
        <v>0</v>
      </c>
      <c r="CZ109" s="5"/>
      <c r="DA109" s="76">
        <v>11.245034186051155</v>
      </c>
      <c r="DB109" s="42">
        <v>0</v>
      </c>
      <c r="DC109" s="965"/>
      <c r="DD109" s="76">
        <v>24.017015038369166</v>
      </c>
      <c r="DE109" s="42">
        <v>0</v>
      </c>
      <c r="DF109" s="5"/>
      <c r="DG109" s="76">
        <v>0</v>
      </c>
      <c r="DH109" s="42"/>
      <c r="DI109" s="5"/>
      <c r="DJ109" s="42">
        <v>332.54387658409274</v>
      </c>
      <c r="DK109" s="42">
        <f t="shared" si="14"/>
        <v>0</v>
      </c>
      <c r="DL109" s="58">
        <f t="shared" si="15"/>
        <v>-332.54387658409274</v>
      </c>
      <c r="DM109" s="2">
        <v>3</v>
      </c>
    </row>
    <row r="110" spans="1:117" ht="24.9" customHeight="1" x14ac:dyDescent="0.3">
      <c r="A110" s="318">
        <v>150000660</v>
      </c>
      <c r="B110" s="44" t="s">
        <v>414</v>
      </c>
      <c r="C110" s="956">
        <v>10</v>
      </c>
      <c r="D110" s="957" t="s">
        <v>454</v>
      </c>
      <c r="E110" s="949">
        <f>'побудинковий звіт'!E77</f>
        <v>2189.75</v>
      </c>
      <c r="F110" s="950">
        <f>'побудинковий звіт'!AS77</f>
        <v>32360.27533765736</v>
      </c>
      <c r="G110" s="950">
        <f t="shared" si="8"/>
        <v>3530.7624298674409</v>
      </c>
      <c r="H110" s="950">
        <f t="shared" si="9"/>
        <v>-28829.512907789918</v>
      </c>
      <c r="I110" s="42">
        <f>'[2]поточний ремонт'!I110+'[1]поточний ремонт'!I110</f>
        <v>0</v>
      </c>
      <c r="J110" s="42">
        <f>'[2]поточний ремонт'!J110+'[1]поточний ремонт'!J110</f>
        <v>0</v>
      </c>
      <c r="K110" s="958"/>
      <c r="L110" s="42">
        <f>'[2]поточний ремонт'!L110+'[1]поточний ремонт'!L110</f>
        <v>0</v>
      </c>
      <c r="M110" s="42">
        <f>'[2]поточний ремонт'!M110+'[1]поточний ремонт'!M110</f>
        <v>0</v>
      </c>
      <c r="N110" s="36"/>
      <c r="O110" s="42">
        <f>'[2]поточний ремонт'!O110+'[1]поточний ремонт'!O110</f>
        <v>0</v>
      </c>
      <c r="P110" s="42">
        <f>'[2]поточний ремонт'!P110+'[1]поточний ремонт'!P110</f>
        <v>0</v>
      </c>
      <c r="Q110" s="959"/>
      <c r="R110" s="42">
        <f>'[2]поточний ремонт'!R110+'[1]поточний ремонт'!R110</f>
        <v>0</v>
      </c>
      <c r="S110" s="42">
        <f>'[2]поточний ремонт'!S110+'[1]поточний ремонт'!S110</f>
        <v>0</v>
      </c>
      <c r="T110" s="960"/>
      <c r="U110" s="42">
        <f>'[2]поточний ремонт'!U110+'[1]поточний ремонт'!U110</f>
        <v>0</v>
      </c>
      <c r="V110" s="42">
        <f>'[2]поточний ремонт'!V110+'[1]поточний ремонт'!V110</f>
        <v>0</v>
      </c>
      <c r="W110" s="42">
        <f>'[2]поточний ремонт'!W110+'[1]поточний ремонт'!W110</f>
        <v>0</v>
      </c>
      <c r="X110" s="42">
        <f>'[2]поточний ремонт'!X110+'[1]поточний ремонт'!X110</f>
        <v>0</v>
      </c>
      <c r="Y110" s="42">
        <f>'[2]поточний ремонт'!Y110+'[1]поточний ремонт'!Y110</f>
        <v>557.0591754698678</v>
      </c>
      <c r="Z110" s="42">
        <f>'[2]поточний ремонт'!Z110+'[1]поточний ремонт'!Z110</f>
        <v>0</v>
      </c>
      <c r="AA110" s="42">
        <f>'[2]поточний ремонт'!AA110+'[1]поточний ремонт'!AA110</f>
        <v>0</v>
      </c>
      <c r="AB110" s="42">
        <f>'[2]поточний ремонт'!AB110+'[1]поточний ремонт'!AB110</f>
        <v>0</v>
      </c>
      <c r="AC110" s="42">
        <f>'[2]поточний ремонт'!AC110+'[1]поточний ремонт'!AC110</f>
        <v>2173.126979880275</v>
      </c>
      <c r="AD110" s="42">
        <f>'[2]поточний ремонт'!AD110+'[1]поточний ремонт'!AD110</f>
        <v>800.57627451729797</v>
      </c>
      <c r="AE110" s="42">
        <f>'[2]поточний ремонт'!AE110+'[1]поточний ремонт'!AE110</f>
        <v>1604.6318134490316</v>
      </c>
      <c r="AF110" s="42">
        <f>'[2]поточний ремонт'!AF110+'[1]поточний ремонт'!AF110</f>
        <v>0</v>
      </c>
      <c r="AG110" s="5"/>
      <c r="AH110" s="42">
        <f>'[2]поточний ремонт'!AH110+'[1]поточний ремонт'!AH110</f>
        <v>2144.9639219338637</v>
      </c>
      <c r="AI110" s="42">
        <f>'[2]поточний ремонт'!AI110+'[1]поточний ремонт'!AI110</f>
        <v>1678.8759548064568</v>
      </c>
      <c r="AJ110" s="5"/>
      <c r="AK110" s="42">
        <f>'[2]поточний ремонт'!AK110+'[1]поточний ремонт'!AK110</f>
        <v>2574.2028620289448</v>
      </c>
      <c r="AL110" s="42">
        <f>'[2]поточний ремонт'!AL110+'[1]поточний ремонт'!AL110</f>
        <v>1045.5776340554444</v>
      </c>
      <c r="AM110" s="5"/>
      <c r="AN110" s="42">
        <f>'[2]поточний ремонт'!AN110+'[1]поточний ремонт'!AN110</f>
        <v>792.65509784953952</v>
      </c>
      <c r="AO110" s="42">
        <f>'[2]поточний ремонт'!AO110+'[1]поточний ремонт'!AO110</f>
        <v>1837.8578088519419</v>
      </c>
      <c r="AP110" s="5"/>
      <c r="AQ110" s="42">
        <f>'[2]поточний ремонт'!AQ110+'[1]поточний ремонт'!AQ110</f>
        <v>444.06206710331281</v>
      </c>
      <c r="AR110" s="42">
        <f>'[2]поточний ремонт'!AR110+'[1]поточний ремонт'!AR110</f>
        <v>0</v>
      </c>
      <c r="AS110" s="5"/>
      <c r="AT110" s="42">
        <f>'[2]поточний ремонт'!AT110+'[1]поточний ремонт'!AT110</f>
        <v>1161.4468724389276</v>
      </c>
      <c r="AU110" s="42">
        <f>'[2]поточний ремонт'!AU110+'[1]поточний ремонт'!AU110</f>
        <v>3431.9152114880726</v>
      </c>
      <c r="AV110" s="5"/>
      <c r="AW110" s="42">
        <f>'[2]поточний ремонт'!AW110+'[1]поточний ремонт'!AW110</f>
        <v>81.564258463179186</v>
      </c>
      <c r="AX110" s="42">
        <f>'[2]поточний ремонт'!AX110+'[1]поточний ремонт'!AX110</f>
        <v>0</v>
      </c>
      <c r="AY110" s="5"/>
      <c r="AZ110" s="42">
        <f t="shared" si="10"/>
        <v>8803.5268932667987</v>
      </c>
      <c r="BA110" s="42">
        <f t="shared" si="11"/>
        <v>7994.2266092019154</v>
      </c>
      <c r="BB110" s="58">
        <f t="shared" si="12"/>
        <v>-809.30028406488327</v>
      </c>
      <c r="BD110" s="2">
        <v>3</v>
      </c>
      <c r="BF110" s="29">
        <v>348.47148807715683</v>
      </c>
      <c r="BG110" s="318">
        <v>150000660</v>
      </c>
      <c r="BI110" s="104">
        <v>0</v>
      </c>
      <c r="BJ110" s="104">
        <f t="shared" si="13"/>
        <v>0</v>
      </c>
      <c r="BK110" s="104">
        <v>0</v>
      </c>
      <c r="BL110" s="38"/>
      <c r="BM110" s="3"/>
      <c r="BN110" s="3">
        <v>0</v>
      </c>
      <c r="BP110" s="3"/>
      <c r="BQ110" s="3"/>
      <c r="BS110" s="42"/>
      <c r="BT110" s="42">
        <v>0</v>
      </c>
      <c r="BU110" s="958"/>
      <c r="BV110" s="41"/>
      <c r="BW110" s="42"/>
      <c r="BX110" s="36"/>
      <c r="BY110" s="76"/>
      <c r="BZ110" s="42">
        <v>0</v>
      </c>
      <c r="CA110" s="959"/>
      <c r="CB110" s="41">
        <v>0</v>
      </c>
      <c r="CC110" s="41">
        <v>0</v>
      </c>
      <c r="CD110" s="960"/>
      <c r="CE110" s="76">
        <v>0</v>
      </c>
      <c r="CF110" s="55"/>
      <c r="CG110" s="41">
        <v>0</v>
      </c>
      <c r="CH110" s="38">
        <v>0</v>
      </c>
      <c r="CI110" s="76">
        <v>0</v>
      </c>
      <c r="CJ110" s="55"/>
      <c r="CK110" s="955"/>
      <c r="CL110" s="950"/>
      <c r="CM110" s="955">
        <v>522</v>
      </c>
      <c r="CN110" s="950">
        <v>0</v>
      </c>
      <c r="CO110" s="76">
        <v>102.97041282959211</v>
      </c>
      <c r="CP110" s="42">
        <v>0</v>
      </c>
      <c r="CQ110" s="5"/>
      <c r="CR110" s="76">
        <v>163.83462271395283</v>
      </c>
      <c r="CS110" s="954">
        <v>0</v>
      </c>
      <c r="CT110" s="5"/>
      <c r="CU110" s="76">
        <v>213.55674621182038</v>
      </c>
      <c r="CV110" s="42">
        <v>0</v>
      </c>
      <c r="CW110" s="5"/>
      <c r="CX110" s="76">
        <v>71.299562066251895</v>
      </c>
      <c r="CY110" s="42">
        <v>0</v>
      </c>
      <c r="CZ110" s="5"/>
      <c r="DA110" s="76">
        <v>35.232039279818451</v>
      </c>
      <c r="DB110" s="42">
        <v>0</v>
      </c>
      <c r="DC110" s="5"/>
      <c r="DD110" s="76">
        <v>66.998913247967849</v>
      </c>
      <c r="DE110" s="42">
        <v>0</v>
      </c>
      <c r="DF110" s="5"/>
      <c r="DG110" s="76">
        <v>0</v>
      </c>
      <c r="DH110" s="42"/>
      <c r="DI110" s="5"/>
      <c r="DJ110" s="42">
        <v>653.89229634940352</v>
      </c>
      <c r="DK110" s="42">
        <f t="shared" si="14"/>
        <v>0</v>
      </c>
      <c r="DL110" s="58">
        <f t="shared" si="15"/>
        <v>-653.89229634940352</v>
      </c>
      <c r="DM110" s="2">
        <v>3</v>
      </c>
    </row>
    <row r="111" spans="1:117" ht="24.9" customHeight="1" x14ac:dyDescent="0.3">
      <c r="A111" s="318">
        <v>150000597</v>
      </c>
      <c r="B111" s="44" t="s">
        <v>352</v>
      </c>
      <c r="C111" s="956">
        <v>9</v>
      </c>
      <c r="D111" s="957" t="s">
        <v>454</v>
      </c>
      <c r="E111" s="949">
        <f>'побудинковий звіт'!E78</f>
        <v>1174.6199999999999</v>
      </c>
      <c r="F111" s="950">
        <f>'побудинковий звіт'!AS78</f>
        <v>14489.144722341773</v>
      </c>
      <c r="G111" s="950">
        <f t="shared" si="8"/>
        <v>40040.531894384425</v>
      </c>
      <c r="H111" s="950">
        <f t="shared" si="9"/>
        <v>25551.387172042654</v>
      </c>
      <c r="I111" s="42">
        <f>'[2]поточний ремонт'!I111+'[1]поточний ремонт'!I111</f>
        <v>0</v>
      </c>
      <c r="J111" s="42">
        <f>'[2]поточний ремонт'!J111+'[1]поточний ремонт'!J111</f>
        <v>0</v>
      </c>
      <c r="K111" s="958"/>
      <c r="L111" s="42">
        <f>'[2]поточний ремонт'!L111+'[1]поточний ремонт'!L111</f>
        <v>4</v>
      </c>
      <c r="M111" s="42">
        <f>'[2]поточний ремонт'!M111+'[1]поточний ремонт'!M111</f>
        <v>22887.409348734509</v>
      </c>
      <c r="N111" s="36"/>
      <c r="O111" s="42">
        <f>'[2]поточний ремонт'!O111+'[1]поточний ремонт'!O111</f>
        <v>0</v>
      </c>
      <c r="P111" s="42">
        <f>'[2]поточний ремонт'!P111+'[1]поточний ремонт'!P111</f>
        <v>0</v>
      </c>
      <c r="Q111" s="959"/>
      <c r="R111" s="42">
        <f>'[2]поточний ремонт'!R111+'[1]поточний ремонт'!R111</f>
        <v>1</v>
      </c>
      <c r="S111" s="42">
        <f>'[2]поточний ремонт'!S111+'[1]поточний ремонт'!S111</f>
        <v>3684</v>
      </c>
      <c r="T111" s="960"/>
      <c r="U111" s="42">
        <f>'[2]поточний ремонт'!U111+'[1]поточний ремонт'!U111</f>
        <v>0</v>
      </c>
      <c r="V111" s="42">
        <f>'[2]поточний ремонт'!V111+'[1]поточний ремонт'!V111</f>
        <v>0</v>
      </c>
      <c r="W111" s="42">
        <f>'[2]поточний ремонт'!W111+'[1]поточний ремонт'!W111</f>
        <v>0</v>
      </c>
      <c r="X111" s="42">
        <f>'[2]поточний ремонт'!X111+'[1]поточний ремонт'!X111</f>
        <v>0</v>
      </c>
      <c r="Y111" s="42">
        <f>'[2]поточний ремонт'!Y111+'[1]поточний ремонт'!Y111</f>
        <v>13273.773583128312</v>
      </c>
      <c r="Z111" s="42">
        <f>'[2]поточний ремонт'!Z111+'[1]поточний ремонт'!Z111</f>
        <v>0</v>
      </c>
      <c r="AA111" s="42">
        <f>'[2]поточний ремонт'!AA111+'[1]поточний ремонт'!AA111</f>
        <v>0</v>
      </c>
      <c r="AB111" s="42">
        <f>'[2]поточний ремонт'!AB111+'[1]поточний ремонт'!AB111</f>
        <v>0</v>
      </c>
      <c r="AC111" s="42">
        <f>'[2]поточний ремонт'!AC111+'[1]поточний ремонт'!AC111</f>
        <v>0</v>
      </c>
      <c r="AD111" s="42">
        <f>'[2]поточний ремонт'!AD111+'[1]поточний ремонт'!AD111</f>
        <v>195.34896252160601</v>
      </c>
      <c r="AE111" s="42">
        <f>'[2]поточний ремонт'!AE111+'[1]поточний ремонт'!AE111</f>
        <v>874.87607068992986</v>
      </c>
      <c r="AF111" s="42">
        <f>'[2]поточний ремонт'!AF111+'[1]поточний ремонт'!AF111</f>
        <v>879.8909979625663</v>
      </c>
      <c r="AG111" s="5"/>
      <c r="AH111" s="42">
        <f>'[2]поточний ремонт'!AH111+'[1]поточний ремонт'!AH111</f>
        <v>552.5952013575743</v>
      </c>
      <c r="AI111" s="42">
        <f>'[2]поточний ремонт'!AI111+'[1]поточний ремонт'!AI111</f>
        <v>2376.414288087331</v>
      </c>
      <c r="AJ111" s="9"/>
      <c r="AK111" s="42">
        <f>'[2]поточний ремонт'!AK111+'[1]поточний ремонт'!AK111</f>
        <v>530.20552197527013</v>
      </c>
      <c r="AL111" s="42">
        <f>'[2]поточний ремонт'!AL111+'[1]поточний ремонт'!AL111</f>
        <v>0</v>
      </c>
      <c r="AM111" s="5"/>
      <c r="AN111" s="42">
        <f>'[2]поточний ремонт'!AN111+'[1]поточний ремонт'!AN111</f>
        <v>365.50636531497474</v>
      </c>
      <c r="AO111" s="42">
        <f>'[2]поточний ремонт'!AO111+'[1]поточний ремонт'!AO111</f>
        <v>0</v>
      </c>
      <c r="AP111" s="5"/>
      <c r="AQ111" s="42">
        <f>'[2]поточний ремонт'!AQ111+'[1]поточний ремонт'!AQ111</f>
        <v>270.16411290160261</v>
      </c>
      <c r="AR111" s="42">
        <f>'[2]поточний ремонт'!AR111+'[1]поточний ремонт'!AR111</f>
        <v>0</v>
      </c>
      <c r="AS111" s="5"/>
      <c r="AT111" s="42">
        <f>'[2]поточний ремонт'!AT111+'[1]поточний ремонт'!AT111</f>
        <v>1020.3649960398951</v>
      </c>
      <c r="AU111" s="42">
        <f>'[2]поточний ремонт'!AU111+'[1]поточний ремонт'!AU111</f>
        <v>6144.6952894282495</v>
      </c>
      <c r="AV111" s="5"/>
      <c r="AW111" s="42">
        <f>'[2]поточний ремонт'!AW111+'[1]поточний ремонт'!AW111</f>
        <v>552.75054513352541</v>
      </c>
      <c r="AX111" s="42">
        <f>'[2]поточний ремонт'!AX111+'[1]поточний ремонт'!AX111</f>
        <v>0</v>
      </c>
      <c r="AY111" s="5"/>
      <c r="AZ111" s="42">
        <f t="shared" si="10"/>
        <v>4166.4628134127715</v>
      </c>
      <c r="BA111" s="42">
        <f t="shared" si="11"/>
        <v>9401.0005754781469</v>
      </c>
      <c r="BB111" s="58">
        <f t="shared" si="12"/>
        <v>5234.5377620653753</v>
      </c>
      <c r="BD111" s="2">
        <v>1</v>
      </c>
      <c r="BF111" s="29">
        <v>220.21633228384223</v>
      </c>
      <c r="BG111" s="318">
        <v>150000597</v>
      </c>
      <c r="BI111" s="104">
        <v>0</v>
      </c>
      <c r="BJ111" s="104">
        <f t="shared" si="13"/>
        <v>0</v>
      </c>
      <c r="BK111" s="104">
        <v>0</v>
      </c>
      <c r="BL111" s="38"/>
      <c r="BM111" s="3"/>
      <c r="BN111" s="3">
        <v>0</v>
      </c>
      <c r="BP111" s="3"/>
      <c r="BQ111" s="3"/>
      <c r="BS111" s="42"/>
      <c r="BT111" s="42">
        <v>0</v>
      </c>
      <c r="BU111" s="958"/>
      <c r="BV111" s="41"/>
      <c r="BW111" s="42"/>
      <c r="BX111" s="36"/>
      <c r="BY111" s="76"/>
      <c r="BZ111" s="42">
        <v>0</v>
      </c>
      <c r="CA111" s="959"/>
      <c r="CB111" s="41">
        <v>0</v>
      </c>
      <c r="CC111" s="41">
        <v>0</v>
      </c>
      <c r="CD111" s="960"/>
      <c r="CE111" s="76">
        <v>0</v>
      </c>
      <c r="CF111" s="55"/>
      <c r="CG111" s="41">
        <v>0</v>
      </c>
      <c r="CH111" s="38">
        <v>0</v>
      </c>
      <c r="CI111" s="76">
        <v>0</v>
      </c>
      <c r="CJ111" s="55"/>
      <c r="CK111" s="955"/>
      <c r="CL111" s="950"/>
      <c r="CM111" s="955"/>
      <c r="CN111" s="950">
        <v>0</v>
      </c>
      <c r="CO111" s="76">
        <v>36.13386334429407</v>
      </c>
      <c r="CP111" s="42">
        <v>0</v>
      </c>
      <c r="CQ111" s="5"/>
      <c r="CR111" s="76">
        <v>48.430140069725375</v>
      </c>
      <c r="CS111" s="954">
        <v>0</v>
      </c>
      <c r="CT111" s="9"/>
      <c r="CU111" s="76">
        <v>39.492510287000435</v>
      </c>
      <c r="CV111" s="42">
        <v>0</v>
      </c>
      <c r="CW111" s="5"/>
      <c r="CX111" s="76">
        <v>27.181285898511838</v>
      </c>
      <c r="CY111" s="42">
        <v>0</v>
      </c>
      <c r="CZ111" s="5"/>
      <c r="DA111" s="76">
        <v>13.192247063076561</v>
      </c>
      <c r="DB111" s="42">
        <v>0</v>
      </c>
      <c r="DC111" s="5"/>
      <c r="DD111" s="76">
        <v>41.525105838156655</v>
      </c>
      <c r="DE111" s="42">
        <v>0</v>
      </c>
      <c r="DF111" s="5"/>
      <c r="DG111" s="76">
        <v>47.080739261645796</v>
      </c>
      <c r="DH111" s="42"/>
      <c r="DI111" s="5"/>
      <c r="DJ111" s="42">
        <v>253.03589176241076</v>
      </c>
      <c r="DK111" s="42">
        <f t="shared" si="14"/>
        <v>0</v>
      </c>
      <c r="DL111" s="58">
        <f t="shared" si="15"/>
        <v>-253.03589176241076</v>
      </c>
      <c r="DM111" s="2">
        <v>1</v>
      </c>
    </row>
    <row r="112" spans="1:117" ht="24.9" customHeight="1" x14ac:dyDescent="0.3">
      <c r="A112" s="318">
        <v>150000598</v>
      </c>
      <c r="B112" s="44" t="s">
        <v>76</v>
      </c>
      <c r="C112" s="956">
        <v>1</v>
      </c>
      <c r="D112" s="957" t="s">
        <v>454</v>
      </c>
      <c r="E112" s="949">
        <f>'побудинковий звіт'!E79</f>
        <v>2745.3</v>
      </c>
      <c r="F112" s="950">
        <f>'побудинковий звіт'!AS79</f>
        <v>62814.261053753376</v>
      </c>
      <c r="G112" s="950">
        <f t="shared" si="8"/>
        <v>0</v>
      </c>
      <c r="H112" s="950">
        <f t="shared" si="9"/>
        <v>-62814.261053753376</v>
      </c>
      <c r="I112" s="42">
        <f>'[2]поточний ремонт'!I112+'[1]поточний ремонт'!I112</f>
        <v>0</v>
      </c>
      <c r="J112" s="42">
        <f>'[2]поточний ремонт'!J112+'[1]поточний ремонт'!J112</f>
        <v>0</v>
      </c>
      <c r="K112" s="958"/>
      <c r="L112" s="42">
        <f>'[2]поточний ремонт'!L112+'[1]поточний ремонт'!L112</f>
        <v>0</v>
      </c>
      <c r="M112" s="42">
        <f>'[2]поточний ремонт'!M112+'[1]поточний ремонт'!M112</f>
        <v>0</v>
      </c>
      <c r="N112" s="36"/>
      <c r="O112" s="42">
        <f>'[2]поточний ремонт'!O112+'[1]поточний ремонт'!O112</f>
        <v>0</v>
      </c>
      <c r="P112" s="42">
        <f>'[2]поточний ремонт'!P112+'[1]поточний ремонт'!P112</f>
        <v>0</v>
      </c>
      <c r="Q112" s="959"/>
      <c r="R112" s="42">
        <f>'[2]поточний ремонт'!R112+'[1]поточний ремонт'!R112</f>
        <v>0</v>
      </c>
      <c r="S112" s="42">
        <f>'[2]поточний ремонт'!S112+'[1]поточний ремонт'!S112</f>
        <v>0</v>
      </c>
      <c r="T112" s="960"/>
      <c r="U112" s="42">
        <f>'[2]поточний ремонт'!U112+'[1]поточний ремонт'!U112</f>
        <v>0</v>
      </c>
      <c r="V112" s="42">
        <f>'[2]поточний ремонт'!V112+'[1]поточний ремонт'!V112</f>
        <v>0</v>
      </c>
      <c r="W112" s="42">
        <f>'[2]поточний ремонт'!W112+'[1]поточний ремонт'!W112</f>
        <v>0</v>
      </c>
      <c r="X112" s="42">
        <f>'[2]поточний ремонт'!X112+'[1]поточний ремонт'!X112</f>
        <v>0</v>
      </c>
      <c r="Y112" s="42">
        <f>'[2]поточний ремонт'!Y112+'[1]поточний ремонт'!Y112</f>
        <v>0</v>
      </c>
      <c r="Z112" s="42">
        <f>'[2]поточний ремонт'!Z112+'[1]поточний ремонт'!Z112</f>
        <v>0</v>
      </c>
      <c r="AA112" s="42">
        <f>'[2]поточний ремонт'!AA112+'[1]поточний ремонт'!AA112</f>
        <v>0</v>
      </c>
      <c r="AB112" s="42">
        <f>'[2]поточний ремонт'!AB112+'[1]поточний ремонт'!AB112</f>
        <v>0</v>
      </c>
      <c r="AC112" s="42">
        <f>'[2]поточний ремонт'!AC112+'[1]поточний ремонт'!AC112</f>
        <v>0</v>
      </c>
      <c r="AD112" s="42">
        <f>'[2]поточний ремонт'!AD112+'[1]поточний ремонт'!AD112</f>
        <v>0</v>
      </c>
      <c r="AE112" s="42">
        <f>'[2]поточний ремонт'!AE112+'[1]поточний ремонт'!AE112</f>
        <v>29.317985858130616</v>
      </c>
      <c r="AF112" s="42">
        <f>'[2]поточний ремонт'!AF112+'[1]поточний ремонт'!AF112</f>
        <v>0</v>
      </c>
      <c r="AG112" s="5"/>
      <c r="AH112" s="42">
        <f>'[2]поточний ремонт'!AH112+'[1]поточний ремонт'!AH112</f>
        <v>0</v>
      </c>
      <c r="AI112" s="42">
        <f>'[2]поточний ремонт'!AI112+'[1]поточний ремонт'!AI112</f>
        <v>0</v>
      </c>
      <c r="AJ112" s="5"/>
      <c r="AK112" s="42">
        <f>'[2]поточний ремонт'!AK112+'[1]поточний ремонт'!AK112</f>
        <v>0</v>
      </c>
      <c r="AL112" s="42">
        <f>'[2]поточний ремонт'!AL112+'[1]поточний ремонт'!AL112</f>
        <v>0</v>
      </c>
      <c r="AM112" s="5"/>
      <c r="AN112" s="42">
        <f>'[2]поточний ремонт'!AN112+'[1]поточний ремонт'!AN112</f>
        <v>0</v>
      </c>
      <c r="AO112" s="42">
        <f>'[2]поточний ремонт'!AO112+'[1]поточний ремонт'!AO112</f>
        <v>0</v>
      </c>
      <c r="AP112" s="5"/>
      <c r="AQ112" s="42">
        <f>'[2]поточний ремонт'!AQ112+'[1]поточний ремонт'!AQ112</f>
        <v>0</v>
      </c>
      <c r="AR112" s="42">
        <f>'[2]поточний ремонт'!AR112+'[1]поточний ремонт'!AR112</f>
        <v>0</v>
      </c>
      <c r="AS112" s="5"/>
      <c r="AT112" s="42">
        <f>'[2]поточний ремонт'!AT112+'[1]поточний ремонт'!AT112</f>
        <v>0</v>
      </c>
      <c r="AU112" s="42">
        <f>'[2]поточний ремонт'!AU112+'[1]поточний ремонт'!AU112</f>
        <v>0</v>
      </c>
      <c r="AV112" s="5"/>
      <c r="AW112" s="42">
        <f>'[2]поточний ремонт'!AW112+'[1]поточний ремонт'!AW112</f>
        <v>0</v>
      </c>
      <c r="AX112" s="42">
        <f>'[2]поточний ремонт'!AX112+'[1]поточний ремонт'!AX112</f>
        <v>0</v>
      </c>
      <c r="AY112" s="5"/>
      <c r="AZ112" s="42">
        <f t="shared" si="10"/>
        <v>29.317985858130616</v>
      </c>
      <c r="BA112" s="42">
        <f t="shared" si="11"/>
        <v>0</v>
      </c>
      <c r="BB112" s="58">
        <f t="shared" si="12"/>
        <v>-29.317985858130616</v>
      </c>
      <c r="BD112" s="2">
        <v>1</v>
      </c>
      <c r="BF112" s="29">
        <v>0</v>
      </c>
      <c r="BG112" s="318">
        <v>150000598</v>
      </c>
      <c r="BI112" s="104">
        <v>0</v>
      </c>
      <c r="BJ112" s="104">
        <f t="shared" si="13"/>
        <v>0</v>
      </c>
      <c r="BK112" s="104">
        <v>0</v>
      </c>
      <c r="BL112" s="38"/>
      <c r="BM112" s="3"/>
      <c r="BN112" s="3">
        <v>0</v>
      </c>
      <c r="BP112" s="3"/>
      <c r="BQ112" s="3"/>
      <c r="BS112" s="42"/>
      <c r="BT112" s="42">
        <v>0</v>
      </c>
      <c r="BU112" s="958"/>
      <c r="BV112" s="41"/>
      <c r="BW112" s="42"/>
      <c r="BX112" s="36"/>
      <c r="BY112" s="76"/>
      <c r="BZ112" s="42">
        <v>0</v>
      </c>
      <c r="CA112" s="959"/>
      <c r="CB112" s="41">
        <v>0</v>
      </c>
      <c r="CC112" s="41">
        <v>0</v>
      </c>
      <c r="CD112" s="960"/>
      <c r="CE112" s="76">
        <v>0</v>
      </c>
      <c r="CF112" s="55"/>
      <c r="CG112" s="41">
        <v>0</v>
      </c>
      <c r="CH112" s="38">
        <v>0</v>
      </c>
      <c r="CI112" s="76">
        <v>0</v>
      </c>
      <c r="CJ112" s="55"/>
      <c r="CK112" s="955"/>
      <c r="CL112" s="950"/>
      <c r="CM112" s="955"/>
      <c r="CN112" s="950">
        <v>0</v>
      </c>
      <c r="CO112" s="76">
        <v>2.0919047435055638</v>
      </c>
      <c r="CP112" s="42">
        <v>0</v>
      </c>
      <c r="CQ112" s="5"/>
      <c r="CR112" s="76">
        <v>0</v>
      </c>
      <c r="CS112" s="954">
        <v>0</v>
      </c>
      <c r="CT112" s="5"/>
      <c r="CU112" s="76">
        <v>0</v>
      </c>
      <c r="CV112" s="42">
        <v>0</v>
      </c>
      <c r="CW112" s="5"/>
      <c r="CX112" s="76">
        <v>0</v>
      </c>
      <c r="CY112" s="42">
        <v>0</v>
      </c>
      <c r="CZ112" s="5"/>
      <c r="DA112" s="76">
        <v>0</v>
      </c>
      <c r="DB112" s="42">
        <v>0</v>
      </c>
      <c r="DC112" s="5"/>
      <c r="DD112" s="76">
        <v>0</v>
      </c>
      <c r="DE112" s="42">
        <v>0</v>
      </c>
      <c r="DF112" s="5"/>
      <c r="DG112" s="76">
        <v>0</v>
      </c>
      <c r="DH112" s="42"/>
      <c r="DI112" s="5"/>
      <c r="DJ112" s="42">
        <v>2.0919047435055638</v>
      </c>
      <c r="DK112" s="42">
        <f t="shared" si="14"/>
        <v>0</v>
      </c>
      <c r="DL112" s="58">
        <f t="shared" si="15"/>
        <v>-2.0919047435055638</v>
      </c>
      <c r="DM112" s="2">
        <v>1</v>
      </c>
    </row>
    <row r="113" spans="1:117" ht="24.9" customHeight="1" x14ac:dyDescent="0.3">
      <c r="A113" s="318">
        <v>150000592</v>
      </c>
      <c r="B113" s="44" t="s">
        <v>353</v>
      </c>
      <c r="C113" s="956">
        <v>9</v>
      </c>
      <c r="D113" s="957" t="s">
        <v>454</v>
      </c>
      <c r="E113" s="949">
        <f>'побудинковий звіт'!E80</f>
        <v>2889.25</v>
      </c>
      <c r="F113" s="950">
        <f>'побудинковий звіт'!AS80</f>
        <v>25660.138658147996</v>
      </c>
      <c r="G113" s="950">
        <f t="shared" si="8"/>
        <v>145671.96310130207</v>
      </c>
      <c r="H113" s="950">
        <f t="shared" si="9"/>
        <v>120011.82444315407</v>
      </c>
      <c r="I113" s="42">
        <f>'[2]поточний ремонт'!I113+'[1]поточний ремонт'!I113</f>
        <v>27</v>
      </c>
      <c r="J113" s="42">
        <f>'[2]поточний ремонт'!J113+'[1]поточний ремонт'!J113</f>
        <v>13568.557660823375</v>
      </c>
      <c r="K113" s="964"/>
      <c r="L113" s="42">
        <f>'[2]поточний ремонт'!L113+'[1]поточний ремонт'!L113</f>
        <v>0</v>
      </c>
      <c r="M113" s="42">
        <f>'[2]поточний ремонт'!M113+'[1]поточний ремонт'!M113</f>
        <v>0</v>
      </c>
      <c r="N113" s="36"/>
      <c r="O113" s="42">
        <f>'[2]поточний ремонт'!O113+'[1]поточний ремонт'!O113</f>
        <v>240.6</v>
      </c>
      <c r="P113" s="42">
        <f>'[2]поточний ремонт'!P113+'[1]поточний ремонт'!P113</f>
        <v>90740.217388277</v>
      </c>
      <c r="Q113" s="959"/>
      <c r="R113" s="42">
        <f>'[2]поточний ремонт'!R113+'[1]поточний ремонт'!R113</f>
        <v>3</v>
      </c>
      <c r="S113" s="42">
        <f>'[2]поточний ремонт'!S113+'[1]поточний ремонт'!S113</f>
        <v>5808</v>
      </c>
      <c r="T113" s="960"/>
      <c r="U113" s="42">
        <f>'[2]поточний ремонт'!U113+'[1]поточний ремонт'!U113</f>
        <v>0</v>
      </c>
      <c r="V113" s="42">
        <f>'[2]поточний ремонт'!V113+'[1]поточний ремонт'!V113</f>
        <v>0</v>
      </c>
      <c r="W113" s="42">
        <f>'[2]поточний ремонт'!W113+'[1]поточний ремонт'!W113</f>
        <v>39</v>
      </c>
      <c r="X113" s="42">
        <f>'[2]поточний ремонт'!X113+'[1]поточний ремонт'!X113</f>
        <v>15091.273162868205</v>
      </c>
      <c r="Y113" s="42">
        <f>'[2]поточний ремонт'!Y113+'[1]поточний ремонт'!Y113</f>
        <v>9840.2501341062944</v>
      </c>
      <c r="Z113" s="42">
        <f>'[2]поточний ремонт'!Z113+'[1]поточний ремонт'!Z113</f>
        <v>0</v>
      </c>
      <c r="AA113" s="42">
        <f>'[2]поточний ремонт'!AA113+'[1]поточний ремонт'!AA113</f>
        <v>0</v>
      </c>
      <c r="AB113" s="42">
        <f>'[2]поточний ремонт'!AB113+'[1]поточний ремонт'!AB113</f>
        <v>239.74637320845852</v>
      </c>
      <c r="AC113" s="42">
        <f>'[2]поточний ремонт'!AC113+'[1]поточний ремонт'!AC113</f>
        <v>0</v>
      </c>
      <c r="AD113" s="42">
        <f>'[2]поточний ремонт'!AD113+'[1]поточний ремонт'!AD113</f>
        <v>10383.91838201873</v>
      </c>
      <c r="AE113" s="42">
        <f>'[2]поточний ремонт'!AE113+'[1]поточний ремонт'!AE113</f>
        <v>1270.2628201844773</v>
      </c>
      <c r="AF113" s="42">
        <f>'[2]поточний ремонт'!AF113+'[1]поточний ремонт'!AF113</f>
        <v>273.9376929885193</v>
      </c>
      <c r="AG113" s="5"/>
      <c r="AH113" s="42">
        <f>'[2]поточний ремонт'!AH113+'[1]поточний ремонт'!AH113</f>
        <v>1756.5756109032052</v>
      </c>
      <c r="AI113" s="42">
        <f>'[2]поточний ремонт'!AI113+'[1]поточний ремонт'!AI113</f>
        <v>946.36313919312875</v>
      </c>
      <c r="AJ113" s="5"/>
      <c r="AK113" s="42">
        <f>'[2]поточний ремонт'!AK113+'[1]поточний ремонт'!AK113</f>
        <v>2529.1382458057942</v>
      </c>
      <c r="AL113" s="42">
        <f>'[2]поточний ремонт'!AL113+'[1]поточний ремонт'!AL113</f>
        <v>5448.9572363782754</v>
      </c>
      <c r="AM113" s="5"/>
      <c r="AN113" s="42">
        <f>'[2]поточний ремонт'!AN113+'[1]поточний ремонт'!AN113</f>
        <v>895.3799612847065</v>
      </c>
      <c r="AO113" s="42">
        <f>'[2]поточний ремонт'!AO113+'[1]поточний ремонт'!AO113</f>
        <v>0</v>
      </c>
      <c r="AP113" s="5"/>
      <c r="AQ113" s="42">
        <f>'[2]поточний ремонт'!AQ113+'[1]поточний ремонт'!AQ113</f>
        <v>1418.045984838679</v>
      </c>
      <c r="AR113" s="42">
        <f>'[2]поточний ремонт'!AR113+'[1]поточний ремонт'!AR113</f>
        <v>0</v>
      </c>
      <c r="AS113" s="5"/>
      <c r="AT113" s="42">
        <f>'[2]поточний ремонт'!AT113+'[1]поточний ремонт'!AT113</f>
        <v>2469.5767825886114</v>
      </c>
      <c r="AU113" s="42">
        <f>'[2]поточний ремонт'!AU113+'[1]поточний ремонт'!AU113</f>
        <v>4508.5081936278448</v>
      </c>
      <c r="AV113" s="5"/>
      <c r="AW113" s="42">
        <f>'[2]поточний ремонт'!AW113+'[1]поточний ремонт'!AW113</f>
        <v>1009.3373692282782</v>
      </c>
      <c r="AX113" s="42">
        <f>'[2]поточний ремонт'!AX113+'[1]поточний ремонт'!AX113</f>
        <v>13771.414254505135</v>
      </c>
      <c r="AY113" s="5"/>
      <c r="AZ113" s="42">
        <f t="shared" si="10"/>
        <v>11348.316774833753</v>
      </c>
      <c r="BA113" s="42">
        <f t="shared" si="11"/>
        <v>24949.180516692904</v>
      </c>
      <c r="BB113" s="58">
        <f t="shared" si="12"/>
        <v>13600.863741859152</v>
      </c>
      <c r="BD113" s="2">
        <v>1</v>
      </c>
      <c r="BF113" s="29">
        <v>455.11126179361327</v>
      </c>
      <c r="BG113" s="318">
        <v>150000592</v>
      </c>
      <c r="BI113" s="104">
        <v>47.31</v>
      </c>
      <c r="BJ113" s="104">
        <f t="shared" si="13"/>
        <v>6.654728682</v>
      </c>
      <c r="BK113" s="104">
        <v>54.561951008760005</v>
      </c>
      <c r="BL113" s="38"/>
      <c r="BM113" s="3"/>
      <c r="BN113" s="3">
        <v>0</v>
      </c>
      <c r="BP113" s="3"/>
      <c r="BQ113" s="3"/>
      <c r="BS113" s="42"/>
      <c r="BT113" s="42">
        <v>0</v>
      </c>
      <c r="BU113" s="964"/>
      <c r="BV113" s="41"/>
      <c r="BW113" s="42"/>
      <c r="BX113" s="36"/>
      <c r="BY113" s="76"/>
      <c r="BZ113" s="42">
        <v>0</v>
      </c>
      <c r="CA113" s="959"/>
      <c r="CB113" s="41">
        <v>0</v>
      </c>
      <c r="CC113" s="41">
        <v>0</v>
      </c>
      <c r="CD113" s="960"/>
      <c r="CE113" s="76">
        <v>0</v>
      </c>
      <c r="CF113" s="55"/>
      <c r="CG113" s="41">
        <v>0</v>
      </c>
      <c r="CH113" s="38">
        <v>54.561951008760005</v>
      </c>
      <c r="CI113" s="76">
        <v>0</v>
      </c>
      <c r="CJ113" s="57"/>
      <c r="CK113" s="955"/>
      <c r="CL113" s="950"/>
      <c r="CM113" s="955"/>
      <c r="CN113" s="950">
        <v>0</v>
      </c>
      <c r="CO113" s="76">
        <v>101.03495302517592</v>
      </c>
      <c r="CP113" s="42">
        <v>0</v>
      </c>
      <c r="CQ113" s="5"/>
      <c r="CR113" s="76">
        <v>137.36446270309173</v>
      </c>
      <c r="CS113" s="954">
        <v>0</v>
      </c>
      <c r="CT113" s="5"/>
      <c r="CU113" s="76">
        <v>170.59280779378611</v>
      </c>
      <c r="CV113" s="42">
        <v>809.40839105643749</v>
      </c>
      <c r="CW113" s="5"/>
      <c r="CX113" s="76">
        <v>71.041347984537339</v>
      </c>
      <c r="CY113" s="42">
        <v>0</v>
      </c>
      <c r="CZ113" s="5"/>
      <c r="DA113" s="76">
        <v>116.92661838614831</v>
      </c>
      <c r="DB113" s="42">
        <v>0</v>
      </c>
      <c r="DC113" s="5"/>
      <c r="DD113" s="76">
        <v>133.90819147261246</v>
      </c>
      <c r="DE113" s="42">
        <v>0</v>
      </c>
      <c r="DF113" s="5"/>
      <c r="DG113" s="76">
        <v>93.691279530941856</v>
      </c>
      <c r="DH113" s="42"/>
      <c r="DI113" s="5"/>
      <c r="DJ113" s="42">
        <v>824.55966089629374</v>
      </c>
      <c r="DK113" s="42">
        <f t="shared" si="14"/>
        <v>809.40839105643749</v>
      </c>
      <c r="DL113" s="58">
        <f t="shared" si="15"/>
        <v>-15.151269839856241</v>
      </c>
      <c r="DM113" s="2">
        <v>1</v>
      </c>
    </row>
    <row r="114" spans="1:117" ht="24.9" customHeight="1" x14ac:dyDescent="0.3">
      <c r="A114" s="318">
        <v>150000599</v>
      </c>
      <c r="B114" s="44" t="s">
        <v>77</v>
      </c>
      <c r="C114" s="956">
        <v>1</v>
      </c>
      <c r="D114" s="957" t="s">
        <v>454</v>
      </c>
      <c r="E114" s="949">
        <f>'побудинковий звіт'!E81</f>
        <v>3220</v>
      </c>
      <c r="F114" s="950">
        <f>'побудинковий звіт'!AS81</f>
        <v>31411.317008712322</v>
      </c>
      <c r="G114" s="950">
        <f t="shared" si="8"/>
        <v>0</v>
      </c>
      <c r="H114" s="950">
        <f t="shared" si="9"/>
        <v>-31411.317008712322</v>
      </c>
      <c r="I114" s="42">
        <f>'[2]поточний ремонт'!I114+'[1]поточний ремонт'!I114</f>
        <v>0</v>
      </c>
      <c r="J114" s="42">
        <f>'[2]поточний ремонт'!J114+'[1]поточний ремонт'!J114</f>
        <v>0</v>
      </c>
      <c r="K114" s="958"/>
      <c r="L114" s="42">
        <f>'[2]поточний ремонт'!L114+'[1]поточний ремонт'!L114</f>
        <v>0</v>
      </c>
      <c r="M114" s="42">
        <f>'[2]поточний ремонт'!M114+'[1]поточний ремонт'!M114</f>
        <v>0</v>
      </c>
      <c r="N114" s="36"/>
      <c r="O114" s="42">
        <f>'[2]поточний ремонт'!O114+'[1]поточний ремонт'!O114</f>
        <v>0</v>
      </c>
      <c r="P114" s="42">
        <f>'[2]поточний ремонт'!P114+'[1]поточний ремонт'!P114</f>
        <v>0</v>
      </c>
      <c r="Q114" s="959"/>
      <c r="R114" s="42">
        <f>'[2]поточний ремонт'!R114+'[1]поточний ремонт'!R114</f>
        <v>0</v>
      </c>
      <c r="S114" s="42">
        <f>'[2]поточний ремонт'!S114+'[1]поточний ремонт'!S114</f>
        <v>0</v>
      </c>
      <c r="T114" s="960"/>
      <c r="U114" s="42">
        <f>'[2]поточний ремонт'!U114+'[1]поточний ремонт'!U114</f>
        <v>0</v>
      </c>
      <c r="V114" s="42">
        <f>'[2]поточний ремонт'!V114+'[1]поточний ремонт'!V114</f>
        <v>0</v>
      </c>
      <c r="W114" s="42">
        <f>'[2]поточний ремонт'!W114+'[1]поточний ремонт'!W114</f>
        <v>0</v>
      </c>
      <c r="X114" s="42">
        <f>'[2]поточний ремонт'!X114+'[1]поточний ремонт'!X114</f>
        <v>0</v>
      </c>
      <c r="Y114" s="42">
        <f>'[2]поточний ремонт'!Y114+'[1]поточний ремонт'!Y114</f>
        <v>0</v>
      </c>
      <c r="Z114" s="42">
        <f>'[2]поточний ремонт'!Z114+'[1]поточний ремонт'!Z114</f>
        <v>0</v>
      </c>
      <c r="AA114" s="42">
        <f>'[2]поточний ремонт'!AA114+'[1]поточний ремонт'!AA114</f>
        <v>0</v>
      </c>
      <c r="AB114" s="42">
        <f>'[2]поточний ремонт'!AB114+'[1]поточний ремонт'!AB114</f>
        <v>0</v>
      </c>
      <c r="AC114" s="42">
        <f>'[2]поточний ремонт'!AC114+'[1]поточний ремонт'!AC114</f>
        <v>0</v>
      </c>
      <c r="AD114" s="42">
        <f>'[2]поточний ремонт'!AD114+'[1]поточний ремонт'!AD114</f>
        <v>0</v>
      </c>
      <c r="AE114" s="42">
        <f>'[2]поточний ремонт'!AE114+'[1]поточний ремонт'!AE114</f>
        <v>0</v>
      </c>
      <c r="AF114" s="42">
        <f>'[2]поточний ремонт'!AF114+'[1]поточний ремонт'!AF114</f>
        <v>0</v>
      </c>
      <c r="AG114" s="5"/>
      <c r="AH114" s="42">
        <f>'[2]поточний ремонт'!AH114+'[1]поточний ремонт'!AH114</f>
        <v>0</v>
      </c>
      <c r="AI114" s="42">
        <f>'[2]поточний ремонт'!AI114+'[1]поточний ремонт'!AI114</f>
        <v>0</v>
      </c>
      <c r="AJ114" s="5"/>
      <c r="AK114" s="42">
        <f>'[2]поточний ремонт'!AK114+'[1]поточний ремонт'!AK114</f>
        <v>0</v>
      </c>
      <c r="AL114" s="42">
        <f>'[2]поточний ремонт'!AL114+'[1]поточний ремонт'!AL114</f>
        <v>0</v>
      </c>
      <c r="AM114" s="5"/>
      <c r="AN114" s="42">
        <f>'[2]поточний ремонт'!AN114+'[1]поточний ремонт'!AN114</f>
        <v>0</v>
      </c>
      <c r="AO114" s="42">
        <f>'[2]поточний ремонт'!AO114+'[1]поточний ремонт'!AO114</f>
        <v>0</v>
      </c>
      <c r="AP114" s="5"/>
      <c r="AQ114" s="42">
        <f>'[2]поточний ремонт'!AQ114+'[1]поточний ремонт'!AQ114</f>
        <v>0</v>
      </c>
      <c r="AR114" s="42">
        <f>'[2]поточний ремонт'!AR114+'[1]поточний ремонт'!AR114</f>
        <v>0</v>
      </c>
      <c r="AS114" s="5"/>
      <c r="AT114" s="42">
        <f>'[2]поточний ремонт'!AT114+'[1]поточний ремонт'!AT114</f>
        <v>0</v>
      </c>
      <c r="AU114" s="42">
        <f>'[2]поточний ремонт'!AU114+'[1]поточний ремонт'!AU114</f>
        <v>0</v>
      </c>
      <c r="AV114" s="5"/>
      <c r="AW114" s="42">
        <f>'[2]поточний ремонт'!AW114+'[1]поточний ремонт'!AW114</f>
        <v>0</v>
      </c>
      <c r="AX114" s="42">
        <f>'[2]поточний ремонт'!AX114+'[1]поточний ремонт'!AX114</f>
        <v>0</v>
      </c>
      <c r="AY114" s="5"/>
      <c r="AZ114" s="42">
        <f t="shared" si="10"/>
        <v>0</v>
      </c>
      <c r="BA114" s="42">
        <f t="shared" si="11"/>
        <v>0</v>
      </c>
      <c r="BB114" s="58">
        <f t="shared" si="12"/>
        <v>0</v>
      </c>
      <c r="BD114" s="2">
        <v>1</v>
      </c>
      <c r="BF114" s="29">
        <v>0</v>
      </c>
      <c r="BG114" s="318">
        <v>150000599</v>
      </c>
      <c r="BI114" s="104">
        <v>0</v>
      </c>
      <c r="BJ114" s="104">
        <f t="shared" si="13"/>
        <v>0</v>
      </c>
      <c r="BK114" s="104">
        <v>0</v>
      </c>
      <c r="BL114" s="38"/>
      <c r="BM114" s="3"/>
      <c r="BN114" s="3">
        <v>0</v>
      </c>
      <c r="BP114" s="3"/>
      <c r="BQ114" s="3"/>
      <c r="BS114" s="42"/>
      <c r="BT114" s="42">
        <v>0</v>
      </c>
      <c r="BU114" s="958"/>
      <c r="BV114" s="41"/>
      <c r="BW114" s="42"/>
      <c r="BX114" s="36"/>
      <c r="BY114" s="76"/>
      <c r="BZ114" s="42">
        <v>0</v>
      </c>
      <c r="CA114" s="959"/>
      <c r="CB114" s="41">
        <v>0</v>
      </c>
      <c r="CC114" s="41">
        <v>0</v>
      </c>
      <c r="CD114" s="960"/>
      <c r="CE114" s="76">
        <v>0</v>
      </c>
      <c r="CF114" s="55"/>
      <c r="CG114" s="41">
        <v>0</v>
      </c>
      <c r="CH114" s="38">
        <v>0</v>
      </c>
      <c r="CI114" s="76">
        <v>0</v>
      </c>
      <c r="CJ114" s="55"/>
      <c r="CK114" s="955"/>
      <c r="CL114" s="950"/>
      <c r="CM114" s="955"/>
      <c r="CN114" s="950">
        <v>0</v>
      </c>
      <c r="CO114" s="76">
        <v>0</v>
      </c>
      <c r="CP114" s="42">
        <v>0</v>
      </c>
      <c r="CQ114" s="5"/>
      <c r="CR114" s="76">
        <v>0</v>
      </c>
      <c r="CS114" s="954">
        <v>0</v>
      </c>
      <c r="CT114" s="5"/>
      <c r="CU114" s="76">
        <v>0</v>
      </c>
      <c r="CV114" s="42">
        <v>0</v>
      </c>
      <c r="CW114" s="5"/>
      <c r="CX114" s="76">
        <v>0</v>
      </c>
      <c r="CY114" s="42">
        <v>0</v>
      </c>
      <c r="CZ114" s="5"/>
      <c r="DA114" s="76">
        <v>0</v>
      </c>
      <c r="DB114" s="42">
        <v>0</v>
      </c>
      <c r="DC114" s="5"/>
      <c r="DD114" s="76">
        <v>0</v>
      </c>
      <c r="DE114" s="42">
        <v>0</v>
      </c>
      <c r="DF114" s="5"/>
      <c r="DG114" s="76">
        <v>0</v>
      </c>
      <c r="DH114" s="42"/>
      <c r="DI114" s="5"/>
      <c r="DJ114" s="42">
        <v>0</v>
      </c>
      <c r="DK114" s="42">
        <f t="shared" si="14"/>
        <v>0</v>
      </c>
      <c r="DL114" s="58">
        <f t="shared" si="15"/>
        <v>0</v>
      </c>
      <c r="DM114" s="2">
        <v>1</v>
      </c>
    </row>
    <row r="115" spans="1:117" ht="24.9" customHeight="1" x14ac:dyDescent="0.3">
      <c r="A115" s="318">
        <v>150000593</v>
      </c>
      <c r="B115" s="44" t="s">
        <v>255</v>
      </c>
      <c r="C115" s="956">
        <v>5</v>
      </c>
      <c r="D115" s="957" t="s">
        <v>454</v>
      </c>
      <c r="E115" s="949">
        <f>'побудинковий звіт'!E82</f>
        <v>1872.1999999999998</v>
      </c>
      <c r="F115" s="950">
        <f>'побудинковий звіт'!AS82</f>
        <v>20668.836747923797</v>
      </c>
      <c r="G115" s="950">
        <f t="shared" si="8"/>
        <v>11294.690281706295</v>
      </c>
      <c r="H115" s="950">
        <f t="shared" si="9"/>
        <v>-9374.1464662175022</v>
      </c>
      <c r="I115" s="42">
        <f>'[2]поточний ремонт'!I115+'[1]поточний ремонт'!I115</f>
        <v>21.34</v>
      </c>
      <c r="J115" s="42">
        <f>'[2]поточний ремонт'!J115+'[1]поточний ремонт'!J115</f>
        <v>11040.417899406693</v>
      </c>
      <c r="K115" s="958"/>
      <c r="L115" s="42">
        <f>'[2]поточний ремонт'!L115+'[1]поточний ремонт'!L115</f>
        <v>0</v>
      </c>
      <c r="M115" s="42">
        <f>'[2]поточний ремонт'!M115+'[1]поточний ремонт'!M115</f>
        <v>0</v>
      </c>
      <c r="N115" s="961"/>
      <c r="O115" s="42">
        <f>'[2]поточний ремонт'!O115+'[1]поточний ремонт'!O115</f>
        <v>0</v>
      </c>
      <c r="P115" s="42">
        <f>'[2]поточний ремонт'!P115+'[1]поточний ремонт'!P115</f>
        <v>0</v>
      </c>
      <c r="Q115" s="959"/>
      <c r="R115" s="42">
        <f>'[2]поточний ремонт'!R115+'[1]поточний ремонт'!R115</f>
        <v>0</v>
      </c>
      <c r="S115" s="42">
        <f>'[2]поточний ремонт'!S115+'[1]поточний ремонт'!S115</f>
        <v>0</v>
      </c>
      <c r="T115" s="960"/>
      <c r="U115" s="42">
        <f>'[2]поточний ремонт'!U115+'[1]поточний ремонт'!U115</f>
        <v>0</v>
      </c>
      <c r="V115" s="42">
        <f>'[2]поточний ремонт'!V115+'[1]поточний ремонт'!V115</f>
        <v>0</v>
      </c>
      <c r="W115" s="42">
        <f>'[2]поточний ремонт'!W115+'[1]поточний ремонт'!W115</f>
        <v>0</v>
      </c>
      <c r="X115" s="42">
        <f>'[2]поточний ремонт'!X115+'[1]поточний ремонт'!X115</f>
        <v>254.27238229960193</v>
      </c>
      <c r="Y115" s="42">
        <f>'[2]поточний ремонт'!Y115+'[1]поточний ремонт'!Y115</f>
        <v>0</v>
      </c>
      <c r="Z115" s="42">
        <f>'[2]поточний ремонт'!Z115+'[1]поточний ремонт'!Z115</f>
        <v>0</v>
      </c>
      <c r="AA115" s="42">
        <f>'[2]поточний ремонт'!AA115+'[1]поточний ремонт'!AA115</f>
        <v>0</v>
      </c>
      <c r="AB115" s="42">
        <f>'[2]поточний ремонт'!AB115+'[1]поточний ремонт'!AB115</f>
        <v>0</v>
      </c>
      <c r="AC115" s="42">
        <f>'[2]поточний ремонт'!AC115+'[1]поточний ремонт'!AC115</f>
        <v>0</v>
      </c>
      <c r="AD115" s="42">
        <f>'[2]поточний ремонт'!AD115+'[1]поточний ремонт'!AD115</f>
        <v>0</v>
      </c>
      <c r="AE115" s="42">
        <f>'[2]поточний ремонт'!AE115+'[1]поточний ремонт'!AE115</f>
        <v>1154.9100590826222</v>
      </c>
      <c r="AF115" s="42">
        <f>'[2]поточний ремонт'!AF115+'[1]поточний ремонт'!AF115</f>
        <v>0</v>
      </c>
      <c r="AG115" s="5"/>
      <c r="AH115" s="42">
        <f>'[2]поточний ремонт'!AH115+'[1]поточний ремонт'!AH115</f>
        <v>1483.0671408008038</v>
      </c>
      <c r="AI115" s="42">
        <f>'[2]поточний ремонт'!AI115+'[1]поточний ремонт'!AI115</f>
        <v>0</v>
      </c>
      <c r="AJ115" s="5"/>
      <c r="AK115" s="42">
        <f>'[2]поточний ремонт'!AK115+'[1]поточний ремонт'!AK115</f>
        <v>470.4749811713279</v>
      </c>
      <c r="AL115" s="42">
        <f>'[2]поточний ремонт'!AL115+'[1]поточний ремонт'!AL115</f>
        <v>0</v>
      </c>
      <c r="AM115" s="5"/>
      <c r="AN115" s="42">
        <f>'[2]поточний ремонт'!AN115+'[1]поточний ремонт'!AN115</f>
        <v>0</v>
      </c>
      <c r="AO115" s="42">
        <f>'[2]поточний ремонт'!AO115+'[1]поточний ремонт'!AO115</f>
        <v>0</v>
      </c>
      <c r="AP115" s="5"/>
      <c r="AQ115" s="42">
        <f>'[2]поточний ремонт'!AQ115+'[1]поточний ремонт'!AQ115</f>
        <v>82.704815978574771</v>
      </c>
      <c r="AR115" s="42">
        <f>'[2]поточний ремонт'!AR115+'[1]поточний ремонт'!AR115</f>
        <v>0</v>
      </c>
      <c r="AS115" s="5"/>
      <c r="AT115" s="42">
        <f>'[2]поточний ремонт'!AT115+'[1]поточний ремонт'!AT115</f>
        <v>593.77796364692449</v>
      </c>
      <c r="AU115" s="42">
        <f>'[2]поточний ремонт'!AU115+'[1]поточний ремонт'!AU115</f>
        <v>0</v>
      </c>
      <c r="AV115" s="5"/>
      <c r="AW115" s="42">
        <f>'[2]поточний ремонт'!AW115+'[1]поточний ремонт'!AW115</f>
        <v>461.39980229064673</v>
      </c>
      <c r="AX115" s="42">
        <f>'[2]поточний ремонт'!AX115+'[1]поточний ремонт'!AX115</f>
        <v>0</v>
      </c>
      <c r="AY115" s="5"/>
      <c r="AZ115" s="42">
        <f t="shared" si="10"/>
        <v>4246.3347629708996</v>
      </c>
      <c r="BA115" s="42">
        <f t="shared" si="11"/>
        <v>0</v>
      </c>
      <c r="BB115" s="58">
        <f t="shared" si="12"/>
        <v>-4246.3347629708996</v>
      </c>
      <c r="BD115" s="2">
        <v>1</v>
      </c>
      <c r="BF115" s="29">
        <v>88.725159342812674</v>
      </c>
      <c r="BG115" s="318">
        <v>150000593</v>
      </c>
      <c r="BI115" s="104">
        <v>18.64</v>
      </c>
      <c r="BJ115" s="104">
        <f t="shared" si="13"/>
        <v>2.6219434079999999</v>
      </c>
      <c r="BK115" s="104">
        <v>21.49724723744</v>
      </c>
      <c r="BL115" s="38"/>
      <c r="BM115" s="3"/>
      <c r="BN115" s="3">
        <v>0</v>
      </c>
      <c r="BP115" s="3"/>
      <c r="BQ115" s="3"/>
      <c r="BS115" s="42"/>
      <c r="BT115" s="42">
        <v>0</v>
      </c>
      <c r="BU115" s="958"/>
      <c r="BV115" s="41"/>
      <c r="BW115" s="42"/>
      <c r="BX115" s="961"/>
      <c r="BY115" s="76"/>
      <c r="BZ115" s="42">
        <v>0</v>
      </c>
      <c r="CA115" s="959"/>
      <c r="CB115" s="41">
        <v>0</v>
      </c>
      <c r="CC115" s="41">
        <v>0</v>
      </c>
      <c r="CD115" s="960"/>
      <c r="CE115" s="76">
        <v>0</v>
      </c>
      <c r="CF115" s="55"/>
      <c r="CG115" s="41">
        <v>0</v>
      </c>
      <c r="CH115" s="38">
        <v>21.49724723744</v>
      </c>
      <c r="CI115" s="76">
        <v>0</v>
      </c>
      <c r="CJ115" s="55"/>
      <c r="CK115" s="955"/>
      <c r="CL115" s="950"/>
      <c r="CM115" s="955"/>
      <c r="CN115" s="950">
        <v>0</v>
      </c>
      <c r="CO115" s="76">
        <v>93.026044717577292</v>
      </c>
      <c r="CP115" s="42">
        <v>0</v>
      </c>
      <c r="CQ115" s="5"/>
      <c r="CR115" s="76">
        <v>125.76260165138621</v>
      </c>
      <c r="CS115" s="954">
        <v>0</v>
      </c>
      <c r="CT115" s="5"/>
      <c r="CU115" s="76">
        <v>37.647844460903009</v>
      </c>
      <c r="CV115" s="42">
        <v>0</v>
      </c>
      <c r="CW115" s="5"/>
      <c r="CX115" s="76">
        <v>0</v>
      </c>
      <c r="CY115" s="42">
        <v>0</v>
      </c>
      <c r="CZ115" s="5"/>
      <c r="DA115" s="76">
        <v>0</v>
      </c>
      <c r="DB115" s="42">
        <v>0</v>
      </c>
      <c r="DC115" s="5"/>
      <c r="DD115" s="76">
        <v>35.089393768434277</v>
      </c>
      <c r="DE115" s="42">
        <v>0</v>
      </c>
      <c r="DF115" s="5"/>
      <c r="DG115" s="76">
        <v>39.440035279691216</v>
      </c>
      <c r="DH115" s="42"/>
      <c r="DI115" s="5"/>
      <c r="DJ115" s="42">
        <v>330.96591987799195</v>
      </c>
      <c r="DK115" s="42">
        <f t="shared" si="14"/>
        <v>0</v>
      </c>
      <c r="DL115" s="58">
        <f t="shared" si="15"/>
        <v>-330.96591987799195</v>
      </c>
      <c r="DM115" s="2">
        <v>1</v>
      </c>
    </row>
    <row r="116" spans="1:117" ht="24.9" customHeight="1" x14ac:dyDescent="0.3">
      <c r="A116" s="318">
        <v>150000594</v>
      </c>
      <c r="B116" s="44" t="s">
        <v>354</v>
      </c>
      <c r="C116" s="956">
        <v>9</v>
      </c>
      <c r="D116" s="957" t="s">
        <v>454</v>
      </c>
      <c r="E116" s="949">
        <f>'побудинковий звіт'!E83</f>
        <v>3630</v>
      </c>
      <c r="F116" s="950">
        <f>'побудинковий звіт'!AS83</f>
        <v>50381.951743087717</v>
      </c>
      <c r="G116" s="950">
        <f t="shared" si="8"/>
        <v>118078.69292835369</v>
      </c>
      <c r="H116" s="950">
        <f t="shared" si="9"/>
        <v>67696.741185265972</v>
      </c>
      <c r="I116" s="42">
        <f>'[2]поточний ремонт'!I116+'[1]поточний ремонт'!I116</f>
        <v>183.18</v>
      </c>
      <c r="J116" s="42">
        <f>'[2]поточний ремонт'!J116+'[1]поточний ремонт'!J116</f>
        <v>78707.718617414037</v>
      </c>
      <c r="K116" s="958"/>
      <c r="L116" s="42">
        <f>'[2]поточний ремонт'!L116+'[1]поточний ремонт'!L116</f>
        <v>0</v>
      </c>
      <c r="M116" s="42">
        <f>'[2]поточний ремонт'!M116+'[1]поточний ремонт'!M116</f>
        <v>0</v>
      </c>
      <c r="N116" s="36"/>
      <c r="O116" s="42">
        <f>'[2]поточний ремонт'!O116+'[1]поточний ремонт'!O116</f>
        <v>22</v>
      </c>
      <c r="P116" s="42">
        <f>'[2]поточний ремонт'!P116+'[1]поточний ремонт'!P116</f>
        <v>7641.7970605390801</v>
      </c>
      <c r="Q116" s="972"/>
      <c r="R116" s="42">
        <f>'[2]поточний ремонт'!R116+'[1]поточний ремонт'!R116</f>
        <v>3.2</v>
      </c>
      <c r="S116" s="42">
        <f>'[2]поточний ремонт'!S116+'[1]поточний ремонт'!S116</f>
        <v>2746.9540318684703</v>
      </c>
      <c r="T116" s="967"/>
      <c r="U116" s="42">
        <f>'[2]поточний ремонт'!U116+'[1]поточний ремонт'!U116</f>
        <v>501.46671936717797</v>
      </c>
      <c r="V116" s="42">
        <f>'[2]поточний ремонт'!V116+'[1]поточний ремонт'!V116</f>
        <v>0</v>
      </c>
      <c r="W116" s="42">
        <f>'[2]поточний ремонт'!W116+'[1]поточний ремонт'!W116</f>
        <v>26</v>
      </c>
      <c r="X116" s="42">
        <f>'[2]поточний ремонт'!X116+'[1]поточний ремонт'!X116</f>
        <v>15741</v>
      </c>
      <c r="Y116" s="42">
        <f>'[2]поточний ремонт'!Y116+'[1]поточний ремонт'!Y116</f>
        <v>1461.450710299772</v>
      </c>
      <c r="Z116" s="42">
        <f>'[2]поточний ремонт'!Z116+'[1]поточний ремонт'!Z116</f>
        <v>0</v>
      </c>
      <c r="AA116" s="42">
        <f>'[2]поточний ремонт'!AA116+'[1]поточний ремонт'!AA116</f>
        <v>0</v>
      </c>
      <c r="AB116" s="42">
        <f>'[2]поточний ремонт'!AB116+'[1]поточний ремонт'!AB116</f>
        <v>1613.4120936844872</v>
      </c>
      <c r="AC116" s="42">
        <f>'[2]поточний ремонт'!AC116+'[1]поточний ремонт'!AC116</f>
        <v>2198.1924197024159</v>
      </c>
      <c r="AD116" s="42">
        <f>'[2]поточний ремонт'!AD116+'[1]поточний ремонт'!AD116</f>
        <v>7466.7012754782536</v>
      </c>
      <c r="AE116" s="42">
        <f>'[2]поточний ремонт'!AE116+'[1]поточний ремонт'!AE116</f>
        <v>912.8878763804712</v>
      </c>
      <c r="AF116" s="42">
        <f>'[2]поточний ремонт'!AF116+'[1]поточний ремонт'!AF116</f>
        <v>591.28868768881694</v>
      </c>
      <c r="AG116" s="5"/>
      <c r="AH116" s="42">
        <f>'[2]поточний ремонт'!AH116+'[1]поточний ремонт'!AH116</f>
        <v>1145.8913575815427</v>
      </c>
      <c r="AI116" s="42">
        <f>'[2]поточний ремонт'!AI116+'[1]поточний ремонт'!AI116</f>
        <v>4042.1656489151546</v>
      </c>
      <c r="AJ116" s="5"/>
      <c r="AK116" s="42">
        <f>'[2]поточний ремонт'!AK116+'[1]поточний ремонт'!AK116</f>
        <v>1390.1597803203374</v>
      </c>
      <c r="AL116" s="42">
        <f>'[2]поточний ремонт'!AL116+'[1]поточний ремонт'!AL116</f>
        <v>0</v>
      </c>
      <c r="AM116" s="5"/>
      <c r="AN116" s="42">
        <f>'[2]поточний ремонт'!AN116+'[1]поточний ремонт'!AN116</f>
        <v>622.82222563750838</v>
      </c>
      <c r="AO116" s="42">
        <f>'[2]поточний ремонт'!AO116+'[1]поточний ремонт'!AO116</f>
        <v>429.10855592932234</v>
      </c>
      <c r="AP116" s="5"/>
      <c r="AQ116" s="42">
        <f>'[2]поточний ремонт'!AQ116+'[1]поточний ремонт'!AQ116</f>
        <v>1024.3930362719796</v>
      </c>
      <c r="AR116" s="42">
        <f>'[2]поточний ремонт'!AR116+'[1]поточний ремонт'!AR116</f>
        <v>1437.5564717240734</v>
      </c>
      <c r="AS116" s="5"/>
      <c r="AT116" s="42">
        <f>'[2]поточний ремонт'!AT116+'[1]поточний ремонт'!AT116</f>
        <v>2307.883910854805</v>
      </c>
      <c r="AU116" s="42">
        <f>'[2]поточний ремонт'!AU116+'[1]поточний ремонт'!AU116</f>
        <v>8278.3467130710269</v>
      </c>
      <c r="AV116" s="5"/>
      <c r="AW116" s="42">
        <f>'[2]поточний ремонт'!AW116+'[1]поточний ремонт'!AW116</f>
        <v>1009.3373692282782</v>
      </c>
      <c r="AX116" s="42">
        <f>'[2]поточний ремонт'!AX116+'[1]поточний ремонт'!AX116</f>
        <v>14227.048163898313</v>
      </c>
      <c r="AY116" s="5"/>
      <c r="AZ116" s="42">
        <f t="shared" si="10"/>
        <v>8413.3755562749229</v>
      </c>
      <c r="BA116" s="42">
        <f t="shared" si="11"/>
        <v>29005.514241226709</v>
      </c>
      <c r="BB116" s="58">
        <f t="shared" si="12"/>
        <v>20592.138684951788</v>
      </c>
      <c r="BD116" s="2">
        <v>1</v>
      </c>
      <c r="BF116" s="29">
        <v>433.52550161461772</v>
      </c>
      <c r="BG116" s="318">
        <v>150000594</v>
      </c>
      <c r="BI116" s="104">
        <v>0</v>
      </c>
      <c r="BJ116" s="104">
        <f t="shared" si="13"/>
        <v>0</v>
      </c>
      <c r="BK116" s="104">
        <v>0</v>
      </c>
      <c r="BL116" s="38"/>
      <c r="BM116" s="3"/>
      <c r="BN116" s="3">
        <v>0</v>
      </c>
      <c r="BP116" s="3"/>
      <c r="BQ116" s="3"/>
      <c r="BS116" s="42">
        <v>27</v>
      </c>
      <c r="BT116" s="42">
        <v>11218.079495799693</v>
      </c>
      <c r="BU116" s="958"/>
      <c r="BV116" s="41"/>
      <c r="BW116" s="42"/>
      <c r="BX116" s="36"/>
      <c r="BY116" s="76"/>
      <c r="BZ116" s="42">
        <v>0</v>
      </c>
      <c r="CA116" s="972"/>
      <c r="CB116" s="41">
        <v>0.6</v>
      </c>
      <c r="CC116" s="41">
        <v>0</v>
      </c>
      <c r="CD116" s="967"/>
      <c r="CE116" s="76">
        <v>500.7858589332792</v>
      </c>
      <c r="CF116" s="55"/>
      <c r="CG116" s="41">
        <v>0</v>
      </c>
      <c r="CH116" s="38">
        <v>0</v>
      </c>
      <c r="CI116" s="76">
        <v>1459.4664430965724</v>
      </c>
      <c r="CJ116" s="55"/>
      <c r="CK116" s="955"/>
      <c r="CL116" s="950"/>
      <c r="CM116" s="955"/>
      <c r="CN116" s="950">
        <v>0</v>
      </c>
      <c r="CO116" s="76">
        <v>67.068426524629018</v>
      </c>
      <c r="CP116" s="42">
        <v>0</v>
      </c>
      <c r="CQ116" s="5"/>
      <c r="CR116" s="76">
        <v>91.576308468727831</v>
      </c>
      <c r="CS116" s="954">
        <v>0</v>
      </c>
      <c r="CT116" s="5"/>
      <c r="CU116" s="76">
        <v>106.39336735901357</v>
      </c>
      <c r="CV116" s="42">
        <v>0</v>
      </c>
      <c r="CW116" s="5"/>
      <c r="CX116" s="76">
        <v>45.368572381708539</v>
      </c>
      <c r="CY116" s="42">
        <v>0</v>
      </c>
      <c r="CZ116" s="5"/>
      <c r="DA116" s="76">
        <v>77.95107892409888</v>
      </c>
      <c r="DB116" s="42">
        <v>0</v>
      </c>
      <c r="DC116" s="5"/>
      <c r="DD116" s="76">
        <v>89.272127648408315</v>
      </c>
      <c r="DE116" s="42">
        <v>0</v>
      </c>
      <c r="DF116" s="5"/>
      <c r="DG116" s="76">
        <v>93.691279530941856</v>
      </c>
      <c r="DH116" s="42"/>
      <c r="DI116" s="5"/>
      <c r="DJ116" s="42">
        <v>571.32116083752794</v>
      </c>
      <c r="DK116" s="42">
        <f t="shared" si="14"/>
        <v>0</v>
      </c>
      <c r="DL116" s="58">
        <f t="shared" si="15"/>
        <v>-571.32116083752794</v>
      </c>
      <c r="DM116" s="2">
        <v>1</v>
      </c>
    </row>
    <row r="117" spans="1:117" ht="24.9" customHeight="1" x14ac:dyDescent="0.3">
      <c r="A117" s="318">
        <v>150000627</v>
      </c>
      <c r="B117" s="44" t="s">
        <v>355</v>
      </c>
      <c r="C117" s="956">
        <v>9</v>
      </c>
      <c r="D117" s="957" t="s">
        <v>454</v>
      </c>
      <c r="E117" s="949">
        <f>'побудинковий звіт'!E84</f>
        <v>1469</v>
      </c>
      <c r="F117" s="950">
        <f>'побудинковий звіт'!AS84</f>
        <v>16176.465743980829</v>
      </c>
      <c r="G117" s="950">
        <f t="shared" si="8"/>
        <v>98845.099691158859</v>
      </c>
      <c r="H117" s="950">
        <f t="shared" si="9"/>
        <v>82668.633947178023</v>
      </c>
      <c r="I117" s="42">
        <f>'[2]поточний ремонт'!I117+'[1]поточний ремонт'!I117</f>
        <v>0</v>
      </c>
      <c r="J117" s="42">
        <f>'[2]поточний ремонт'!J117+'[1]поточний ремонт'!J117</f>
        <v>0</v>
      </c>
      <c r="K117" s="958"/>
      <c r="L117" s="42">
        <f>'[2]поточний ремонт'!L117+'[1]поточний ремонт'!L117</f>
        <v>0</v>
      </c>
      <c r="M117" s="42">
        <f>'[2]поточний ремонт'!M117+'[1]поточний ремонт'!M117</f>
        <v>0</v>
      </c>
      <c r="N117" s="36"/>
      <c r="O117" s="42">
        <f>'[2]поточний ремонт'!O117+'[1]поточний ремонт'!O117</f>
        <v>0</v>
      </c>
      <c r="P117" s="42">
        <f>'[2]поточний ремонт'!P117+'[1]поточний ремонт'!P117</f>
        <v>0</v>
      </c>
      <c r="Q117" s="959"/>
      <c r="R117" s="42">
        <f>'[2]поточний ремонт'!R117+'[1]поточний ремонт'!R117</f>
        <v>4</v>
      </c>
      <c r="S117" s="42">
        <f>'[2]поточний ремонт'!S117+'[1]поточний ремонт'!S117</f>
        <v>76186.604002047534</v>
      </c>
      <c r="T117" s="968"/>
      <c r="U117" s="42">
        <f>'[2]поточний ремонт'!U117+'[1]поточний ремонт'!U117</f>
        <v>20398.153049100831</v>
      </c>
      <c r="V117" s="42">
        <f>'[2]поточний ремонт'!V117+'[1]поточний ремонт'!V117</f>
        <v>0</v>
      </c>
      <c r="W117" s="42">
        <f>'[2]поточний ремонт'!W117+'[1]поточний ремонт'!W117</f>
        <v>0</v>
      </c>
      <c r="X117" s="42">
        <f>'[2]поточний ремонт'!X117+'[1]поточний ремонт'!X117</f>
        <v>0</v>
      </c>
      <c r="Y117" s="42">
        <f>'[2]поточний ремонт'!Y117+'[1]поточний ремонт'!Y117</f>
        <v>0</v>
      </c>
      <c r="Z117" s="42">
        <f>'[2]поточний ремонт'!Z117+'[1]поточний ремонт'!Z117</f>
        <v>0</v>
      </c>
      <c r="AA117" s="42">
        <f>'[2]поточний ремонт'!AA117+'[1]поточний ремонт'!AA117</f>
        <v>0</v>
      </c>
      <c r="AB117" s="42">
        <f>'[2]поточний ремонт'!AB117+'[1]поточний ремонт'!AB117</f>
        <v>0</v>
      </c>
      <c r="AC117" s="42">
        <f>'[2]поточний ремонт'!AC117+'[1]поточний ремонт'!AC117</f>
        <v>0</v>
      </c>
      <c r="AD117" s="42">
        <f>'[2]поточний ремонт'!AD117+'[1]поточний ремонт'!AD117</f>
        <v>2260.3426400104913</v>
      </c>
      <c r="AE117" s="42">
        <f>'[2]поточний ремонт'!AE117+'[1]поточний ремонт'!AE117</f>
        <v>1003.2518378827403</v>
      </c>
      <c r="AF117" s="42">
        <f>'[2]поточний ремонт'!AF117+'[1]поточний ремонт'!AF117</f>
        <v>527.72371755561187</v>
      </c>
      <c r="AG117" s="5"/>
      <c r="AH117" s="42">
        <f>'[2]поточний ремонт'!AH117+'[1]поточний ремонт'!AH117</f>
        <v>1232.2018275760624</v>
      </c>
      <c r="AI117" s="42">
        <f>'[2]поточний ремонт'!AI117+'[1]поточний ремонт'!AI117</f>
        <v>0</v>
      </c>
      <c r="AJ117" s="965"/>
      <c r="AK117" s="42">
        <f>'[2]поточний ремонт'!AK117+'[1]поточний ремонт'!AK117</f>
        <v>1531.5909118628931</v>
      </c>
      <c r="AL117" s="42">
        <f>'[2]поточний ремонт'!AL117+'[1]поточний ремонт'!AL117</f>
        <v>14861.681466427579</v>
      </c>
      <c r="AM117" s="5"/>
      <c r="AN117" s="42">
        <f>'[2]поточний ремонт'!AN117+'[1]поточний ремонт'!AN117</f>
        <v>530.78309602894069</v>
      </c>
      <c r="AO117" s="42">
        <f>'[2]поточний ремонт'!AO117+'[1]поточний ремонт'!AO117</f>
        <v>12458.673079920201</v>
      </c>
      <c r="AP117" s="5"/>
      <c r="AQ117" s="42">
        <f>'[2]поточний ремонт'!AQ117+'[1]поточний ремонт'!AQ117</f>
        <v>396.51126392625707</v>
      </c>
      <c r="AR117" s="42">
        <f>'[2]поточний ремонт'!AR117+'[1]поточний ремонт'!AR117</f>
        <v>0</v>
      </c>
      <c r="AS117" s="5"/>
      <c r="AT117" s="42">
        <f>'[2]поточний ремонт'!AT117+'[1]поточний ремонт'!AT117</f>
        <v>1304.1431350708287</v>
      </c>
      <c r="AU117" s="42">
        <f>'[2]поточний ремонт'!AU117+'[1]поточний ремонт'!AU117</f>
        <v>3136.3490224332895</v>
      </c>
      <c r="AV117" s="5"/>
      <c r="AW117" s="42">
        <f>'[2]поточний ремонт'!AW117+'[1]поточний ремонт'!AW117</f>
        <v>406.23660902073925</v>
      </c>
      <c r="AX117" s="42">
        <f>'[2]поточний ремонт'!AX117+'[1]поточний ремонт'!AX117</f>
        <v>0</v>
      </c>
      <c r="AY117" s="5"/>
      <c r="AZ117" s="42">
        <f t="shared" si="10"/>
        <v>6404.7186813684621</v>
      </c>
      <c r="BA117" s="42">
        <f t="shared" si="11"/>
        <v>30984.427286336682</v>
      </c>
      <c r="BB117" s="58">
        <f t="shared" si="12"/>
        <v>24579.708604968218</v>
      </c>
      <c r="BD117" s="2">
        <v>1</v>
      </c>
      <c r="BF117" s="29">
        <v>176.46458220737233</v>
      </c>
      <c r="BG117" s="318">
        <v>150000627</v>
      </c>
      <c r="BI117" s="104">
        <v>0</v>
      </c>
      <c r="BJ117" s="104">
        <f t="shared" si="13"/>
        <v>0</v>
      </c>
      <c r="BK117" s="104">
        <v>0</v>
      </c>
      <c r="BL117" s="38"/>
      <c r="BM117" s="3"/>
      <c r="BN117" s="3">
        <v>0</v>
      </c>
      <c r="BP117" s="3"/>
      <c r="BQ117" s="3"/>
      <c r="BS117" s="42"/>
      <c r="BT117" s="42">
        <v>0</v>
      </c>
      <c r="BU117" s="958"/>
      <c r="BV117" s="41"/>
      <c r="BW117" s="42"/>
      <c r="BX117" s="36"/>
      <c r="BY117" s="76"/>
      <c r="BZ117" s="42">
        <v>0</v>
      </c>
      <c r="CA117" s="959"/>
      <c r="CB117" s="41">
        <v>0</v>
      </c>
      <c r="CC117" s="41">
        <v>0</v>
      </c>
      <c r="CD117" s="968"/>
      <c r="CE117" s="76">
        <v>0</v>
      </c>
      <c r="CF117" s="55"/>
      <c r="CG117" s="41">
        <v>0</v>
      </c>
      <c r="CH117" s="38">
        <v>0</v>
      </c>
      <c r="CI117" s="76">
        <v>0</v>
      </c>
      <c r="CJ117" s="55"/>
      <c r="CK117" s="955"/>
      <c r="CL117" s="950"/>
      <c r="CM117" s="955"/>
      <c r="CN117" s="950">
        <v>0</v>
      </c>
      <c r="CO117" s="76">
        <v>68.918875258101465</v>
      </c>
      <c r="CP117" s="42">
        <v>0</v>
      </c>
      <c r="CQ117" s="5"/>
      <c r="CR117" s="76">
        <v>98.143327095968175</v>
      </c>
      <c r="CS117" s="954">
        <v>0</v>
      </c>
      <c r="CT117" s="965"/>
      <c r="CU117" s="76">
        <v>106.85158842153281</v>
      </c>
      <c r="CV117" s="42">
        <v>0</v>
      </c>
      <c r="CW117" s="5"/>
      <c r="CX117" s="76">
        <v>47.005876051883021</v>
      </c>
      <c r="CY117" s="42">
        <v>0</v>
      </c>
      <c r="CZ117" s="5"/>
      <c r="DA117" s="76">
        <v>32.980617657691397</v>
      </c>
      <c r="DB117" s="42">
        <v>0</v>
      </c>
      <c r="DC117" s="5"/>
      <c r="DD117" s="76">
        <v>71.717715476797508</v>
      </c>
      <c r="DE117" s="42">
        <v>0</v>
      </c>
      <c r="DF117" s="5"/>
      <c r="DG117" s="76">
        <v>32.574408953449151</v>
      </c>
      <c r="DH117" s="42"/>
      <c r="DI117" s="5"/>
      <c r="DJ117" s="42">
        <v>458.19240891542358</v>
      </c>
      <c r="DK117" s="42">
        <f t="shared" si="14"/>
        <v>0</v>
      </c>
      <c r="DL117" s="58">
        <f t="shared" si="15"/>
        <v>-458.19240891542358</v>
      </c>
      <c r="DM117" s="2">
        <v>1</v>
      </c>
    </row>
    <row r="118" spans="1:117" ht="24.9" customHeight="1" x14ac:dyDescent="0.3">
      <c r="A118" s="318">
        <v>150000628</v>
      </c>
      <c r="B118" s="44" t="s">
        <v>356</v>
      </c>
      <c r="C118" s="956">
        <v>9</v>
      </c>
      <c r="D118" s="957" t="s">
        <v>454</v>
      </c>
      <c r="E118" s="949">
        <f>'побудинковий звіт'!E85</f>
        <v>253.5</v>
      </c>
      <c r="F118" s="950">
        <f>'побудинковий звіт'!AS85</f>
        <v>5396.0464718889862</v>
      </c>
      <c r="G118" s="950">
        <f t="shared" si="8"/>
        <v>56771.733659736055</v>
      </c>
      <c r="H118" s="950">
        <f t="shared" si="9"/>
        <v>51375.68718784707</v>
      </c>
      <c r="I118" s="42">
        <f>'[2]поточний ремонт'!I118+'[1]поточний ремонт'!I118</f>
        <v>0</v>
      </c>
      <c r="J118" s="42">
        <f>'[2]поточний ремонт'!J118+'[1]поточний ремонт'!J118</f>
        <v>0</v>
      </c>
      <c r="K118" s="958"/>
      <c r="L118" s="42">
        <f>'[2]поточний ремонт'!L118+'[1]поточний ремонт'!L118</f>
        <v>0</v>
      </c>
      <c r="M118" s="42">
        <f>'[2]поточний ремонт'!M118+'[1]поточний ремонт'!M118</f>
        <v>0</v>
      </c>
      <c r="N118" s="36"/>
      <c r="O118" s="42">
        <f>'[2]поточний ремонт'!O118+'[1]поточний ремонт'!O118</f>
        <v>0</v>
      </c>
      <c r="P118" s="42">
        <f>'[2]поточний ремонт'!P118+'[1]поточний ремонт'!P118</f>
        <v>0</v>
      </c>
      <c r="Q118" s="959"/>
      <c r="R118" s="42">
        <f>'[2]поточний ремонт'!R118+'[1]поточний ремонт'!R118</f>
        <v>5</v>
      </c>
      <c r="S118" s="42">
        <f>'[2]поточний ремонт'!S118+'[1]поточний ремонт'!S118</f>
        <v>10747.553382012204</v>
      </c>
      <c r="T118" s="968"/>
      <c r="U118" s="42">
        <f>'[2]поточний ремонт'!U118+'[1]поточний ремонт'!U118</f>
        <v>35495.871010820425</v>
      </c>
      <c r="V118" s="42">
        <f>'[2]поточний ремонт'!V118+'[1]поточний ремонт'!V118</f>
        <v>0</v>
      </c>
      <c r="W118" s="42">
        <f>'[2]поточний ремонт'!W118+'[1]поточний ремонт'!W118</f>
        <v>1</v>
      </c>
      <c r="X118" s="42">
        <f>'[2]поточний ремонт'!X118+'[1]поточний ремонт'!X118</f>
        <v>490.57299197688803</v>
      </c>
      <c r="Y118" s="42">
        <f>'[2]поточний ремонт'!Y118+'[1]поточний ремонт'!Y118</f>
        <v>3993.66172091417</v>
      </c>
      <c r="Z118" s="42">
        <f>'[2]поточний ремонт'!Z118+'[1]поточний ремонт'!Z118</f>
        <v>0</v>
      </c>
      <c r="AA118" s="42">
        <f>'[2]поточний ремонт'!AA118+'[1]поточний ремонт'!AA118</f>
        <v>0</v>
      </c>
      <c r="AB118" s="42">
        <f>'[2]поточний ремонт'!AB118+'[1]поточний ремонт'!AB118</f>
        <v>194.13056640554791</v>
      </c>
      <c r="AC118" s="42">
        <f>'[2]поточний ремонт'!AC118+'[1]поточний ремонт'!AC118</f>
        <v>4672.6522608566156</v>
      </c>
      <c r="AD118" s="42">
        <f>'[2]поточний ремонт'!AD118+'[1]поточний ремонт'!AD118</f>
        <v>1177.2917267502032</v>
      </c>
      <c r="AE118" s="42">
        <f>'[2]поточний ремонт'!AE118+'[1]поточний ремонт'!AE118</f>
        <v>1506.0433560996357</v>
      </c>
      <c r="AF118" s="42">
        <f>'[2]поточний ремонт'!AF118+'[1]поточний ремонт'!AF118</f>
        <v>1305.8791734196134</v>
      </c>
      <c r="AG118" s="5"/>
      <c r="AH118" s="42">
        <f>'[2]поточний ремонт'!AH118+'[1]поточний ремонт'!AH118</f>
        <v>1551.6991855588378</v>
      </c>
      <c r="AI118" s="42">
        <f>'[2]поточний ремонт'!AI118+'[1]поточний ремонт'!AI118</f>
        <v>0</v>
      </c>
      <c r="AJ118" s="965"/>
      <c r="AK118" s="42">
        <f>'[2]поточний ремонт'!AK118+'[1]поточний ремонт'!AK118</f>
        <v>1555.9920028177539</v>
      </c>
      <c r="AL118" s="42">
        <f>'[2]поточний ремонт'!AL118+'[1]поточний ремонт'!AL118</f>
        <v>1095.8237984348568</v>
      </c>
      <c r="AM118" s="5"/>
      <c r="AN118" s="42">
        <f>'[2]поточний ремонт'!AN118+'[1]поточний ремонт'!AN118</f>
        <v>644.95955600189745</v>
      </c>
      <c r="AO118" s="42">
        <f>'[2]поточний ремонт'!AO118+'[1]поточний ремонт'!AO118</f>
        <v>2364.6819563445451</v>
      </c>
      <c r="AP118" s="5"/>
      <c r="AQ118" s="42">
        <f>'[2]поточний ремонт'!AQ118+'[1]поточний ремонт'!AQ118</f>
        <v>396.51126392625707</v>
      </c>
      <c r="AR118" s="42">
        <f>'[2]поточний ремонт'!AR118+'[1]поточний ремонт'!AR118</f>
        <v>1307.0381522802945</v>
      </c>
      <c r="AS118" s="5"/>
      <c r="AT118" s="42">
        <f>'[2]поточний ремонт'!AT118+'[1]поточний ремонт'!AT118</f>
        <v>1220.1158949910266</v>
      </c>
      <c r="AU118" s="42">
        <f>'[2]поточний ремонт'!AU118+'[1]поточний ремонт'!AU118</f>
        <v>0</v>
      </c>
      <c r="AV118" s="5"/>
      <c r="AW118" s="42">
        <f>'[2]поточний ремонт'!AW118+'[1]поточний ремонт'!AW118</f>
        <v>410.3880066668292</v>
      </c>
      <c r="AX118" s="42">
        <f>'[2]поточний ремонт'!AX118+'[1]поточний ремонт'!AX118</f>
        <v>0</v>
      </c>
      <c r="AY118" s="5"/>
      <c r="AZ118" s="42">
        <f t="shared" si="10"/>
        <v>7285.7092660622384</v>
      </c>
      <c r="BA118" s="42">
        <f t="shared" si="11"/>
        <v>6073.4230804793096</v>
      </c>
      <c r="BB118" s="58">
        <f t="shared" si="12"/>
        <v>-1212.2861855829287</v>
      </c>
      <c r="BD118" s="2">
        <v>1</v>
      </c>
      <c r="BF118" s="29">
        <v>217.30677456509352</v>
      </c>
      <c r="BG118" s="318">
        <v>150000628</v>
      </c>
      <c r="BI118" s="104">
        <v>5.25</v>
      </c>
      <c r="BJ118" s="104">
        <f t="shared" si="13"/>
        <v>0.7384765499999999</v>
      </c>
      <c r="BK118" s="104">
        <v>6.0547504290000003</v>
      </c>
      <c r="BL118" s="38"/>
      <c r="BM118" s="3"/>
      <c r="BN118" s="3">
        <v>0</v>
      </c>
      <c r="BP118" s="3"/>
      <c r="BQ118" s="3"/>
      <c r="BS118" s="42"/>
      <c r="BT118" s="42">
        <v>0</v>
      </c>
      <c r="BU118" s="958"/>
      <c r="BV118" s="41"/>
      <c r="BW118" s="42"/>
      <c r="BX118" s="36"/>
      <c r="BY118" s="76"/>
      <c r="BZ118" s="42">
        <v>0</v>
      </c>
      <c r="CA118" s="959"/>
      <c r="CB118" s="41">
        <v>2</v>
      </c>
      <c r="CC118" s="41">
        <v>0</v>
      </c>
      <c r="CD118" s="968"/>
      <c r="CE118" s="76">
        <v>0</v>
      </c>
      <c r="CF118" s="55"/>
      <c r="CG118" s="41">
        <v>0</v>
      </c>
      <c r="CH118" s="38">
        <v>6.0547504290000003</v>
      </c>
      <c r="CI118" s="76">
        <v>749.45216726617389</v>
      </c>
      <c r="CJ118" s="55"/>
      <c r="CK118" s="955"/>
      <c r="CL118" s="950"/>
      <c r="CM118" s="955"/>
      <c r="CN118" s="950">
        <v>0</v>
      </c>
      <c r="CO118" s="76">
        <v>102.21010856618543</v>
      </c>
      <c r="CP118" s="42">
        <v>425.45843929794648</v>
      </c>
      <c r="CQ118" s="5"/>
      <c r="CR118" s="76">
        <v>123.50596291920525</v>
      </c>
      <c r="CS118" s="954">
        <v>0</v>
      </c>
      <c r="CT118" s="965"/>
      <c r="CU118" s="76">
        <v>121.11838351689461</v>
      </c>
      <c r="CV118" s="42">
        <v>0</v>
      </c>
      <c r="CW118" s="5"/>
      <c r="CX118" s="76">
        <v>56.104620871358016</v>
      </c>
      <c r="CY118" s="42">
        <v>0</v>
      </c>
      <c r="CZ118" s="5"/>
      <c r="DA118" s="76">
        <v>32.980617657691397</v>
      </c>
      <c r="DB118" s="42">
        <v>0</v>
      </c>
      <c r="DC118" s="5"/>
      <c r="DD118" s="76">
        <v>62.856810959251952</v>
      </c>
      <c r="DE118" s="42">
        <v>0</v>
      </c>
      <c r="DF118" s="5"/>
      <c r="DG118" s="76">
        <v>32.907787758409334</v>
      </c>
      <c r="DH118" s="42"/>
      <c r="DI118" s="5"/>
      <c r="DJ118" s="42">
        <v>531.68429224899603</v>
      </c>
      <c r="DK118" s="42">
        <f t="shared" si="14"/>
        <v>425.45843929794648</v>
      </c>
      <c r="DL118" s="58">
        <f t="shared" si="15"/>
        <v>-106.22585295104955</v>
      </c>
      <c r="DM118" s="2">
        <v>1</v>
      </c>
    </row>
    <row r="119" spans="1:117" ht="24.9" customHeight="1" x14ac:dyDescent="0.3">
      <c r="A119" s="318">
        <v>150000625</v>
      </c>
      <c r="B119" s="44" t="s">
        <v>415</v>
      </c>
      <c r="C119" s="956">
        <v>10</v>
      </c>
      <c r="D119" s="957" t="s">
        <v>454</v>
      </c>
      <c r="E119" s="949">
        <f>'побудинковий звіт'!E86</f>
        <v>200.6</v>
      </c>
      <c r="F119" s="950">
        <f>'побудинковий звіт'!AS86</f>
        <v>2886.7560402730765</v>
      </c>
      <c r="G119" s="950">
        <f t="shared" si="8"/>
        <v>103906.26426801117</v>
      </c>
      <c r="H119" s="950">
        <f t="shared" si="9"/>
        <v>101019.5082277381</v>
      </c>
      <c r="I119" s="42">
        <f>'[2]поточний ремонт'!I119+'[1]поточний ремонт'!I119</f>
        <v>111</v>
      </c>
      <c r="J119" s="42">
        <f>'[2]поточний ремонт'!J119+'[1]поточний ремонт'!J119</f>
        <v>40003.79389604579</v>
      </c>
      <c r="K119" s="958"/>
      <c r="L119" s="42">
        <f>'[2]поточний ремонт'!L119+'[1]поточний ремонт'!L119</f>
        <v>2</v>
      </c>
      <c r="M119" s="42">
        <f>'[2]поточний ремонт'!M119+'[1]поточний ремонт'!M119</f>
        <v>17680.285702466706</v>
      </c>
      <c r="N119" s="36"/>
      <c r="O119" s="42">
        <f>'[2]поточний ремонт'!O119+'[1]поточний ремонт'!O119</f>
        <v>0</v>
      </c>
      <c r="P119" s="42">
        <f>'[2]поточний ремонт'!P119+'[1]поточний ремонт'!P119</f>
        <v>0</v>
      </c>
      <c r="Q119" s="959"/>
      <c r="R119" s="42">
        <f>'[2]поточний ремонт'!R119+'[1]поточний ремонт'!R119</f>
        <v>0</v>
      </c>
      <c r="S119" s="42">
        <f>'[2]поточний ремонт'!S119+'[1]поточний ремонт'!S119</f>
        <v>0</v>
      </c>
      <c r="T119" s="960"/>
      <c r="U119" s="42">
        <f>'[2]поточний ремонт'!U119+'[1]поточний ремонт'!U119</f>
        <v>22206.253498503</v>
      </c>
      <c r="V119" s="42">
        <f>'[2]поточний ремонт'!V119+'[1]поточний ремонт'!V119</f>
        <v>0</v>
      </c>
      <c r="W119" s="42">
        <f>'[2]поточний ремонт'!W119+'[1]поточний ремонт'!W119</f>
        <v>0</v>
      </c>
      <c r="X119" s="42">
        <f>'[2]поточний ремонт'!X119+'[1]поточний ремонт'!X119</f>
        <v>117.72374781360327</v>
      </c>
      <c r="Y119" s="42">
        <f>'[2]поточний ремонт'!Y119+'[1]поточний ремонт'!Y119</f>
        <v>21857.468344713299</v>
      </c>
      <c r="Z119" s="42">
        <f>'[2]поточний ремонт'!Z119+'[1]поточний ремонт'!Z119</f>
        <v>0</v>
      </c>
      <c r="AA119" s="42">
        <f>'[2]поточний ремонт'!AA119+'[1]поточний ремонт'!AA119</f>
        <v>0</v>
      </c>
      <c r="AB119" s="42">
        <f>'[2]поточний ремонт'!AB119+'[1]поточний ремонт'!AB119</f>
        <v>0</v>
      </c>
      <c r="AC119" s="42">
        <f>'[2]поточний ремонт'!AC119+'[1]поточний ремонт'!AC119</f>
        <v>1276.028042300406</v>
      </c>
      <c r="AD119" s="42">
        <f>'[2]поточний ремонт'!AD119+'[1]поточний ремонт'!AD119</f>
        <v>764.71103616835831</v>
      </c>
      <c r="AE119" s="42">
        <f>'[2]поточний ремонт'!AE119+'[1]поточний ремонт'!AE119</f>
        <v>1711.4115534692971</v>
      </c>
      <c r="AF119" s="42">
        <f>'[2]поточний ремонт'!AF119+'[1]поточний ремонт'!AF119</f>
        <v>1781.8600666715056</v>
      </c>
      <c r="AG119" s="5"/>
      <c r="AH119" s="42">
        <f>'[2]поточний ремонт'!AH119+'[1]поточний ремонт'!AH119</f>
        <v>1631.4432739070901</v>
      </c>
      <c r="AI119" s="42">
        <f>'[2]поточний ремонт'!AI119+'[1]поточний ремонт'!AI119</f>
        <v>12550.256093164056</v>
      </c>
      <c r="AJ119" s="973"/>
      <c r="AK119" s="42">
        <f>'[2]поточний ремонт'!AK119+'[1]поточний ремонт'!AK119</f>
        <v>1713.0980832908244</v>
      </c>
      <c r="AL119" s="42">
        <f>'[2]поточний ремонт'!AL119+'[1]поточний ремонт'!AL119</f>
        <v>2661.5714154231418</v>
      </c>
      <c r="AM119" s="5"/>
      <c r="AN119" s="42">
        <f>'[2]поточний ремонт'!AN119+'[1]поточний ремонт'!AN119</f>
        <v>668.44130368859112</v>
      </c>
      <c r="AO119" s="42">
        <f>'[2]поточний ремонт'!AO119+'[1]поточний ремонт'!AO119</f>
        <v>532.08207401446475</v>
      </c>
      <c r="AP119" s="5"/>
      <c r="AQ119" s="42">
        <f>'[2]поточний ремонт'!AQ119+'[1]поточний ремонт'!AQ119</f>
        <v>427.52110390759782</v>
      </c>
      <c r="AR119" s="42">
        <f>'[2]поточний ремонт'!AR119+'[1]поточний ремонт'!AR119</f>
        <v>0</v>
      </c>
      <c r="AS119" s="5"/>
      <c r="AT119" s="42">
        <f>'[2]поточний ремонт'!AT119+'[1]поточний ремонт'!AT119</f>
        <v>1290.9848684275985</v>
      </c>
      <c r="AU119" s="42">
        <f>'[2]поточний ремонт'!AU119+'[1]поточний ремонт'!AU119</f>
        <v>4878.569249700744</v>
      </c>
      <c r="AV119" s="9"/>
      <c r="AW119" s="42">
        <f>'[2]поточний ремонт'!AW119+'[1]поточний ремонт'!AW119</f>
        <v>335.84441311431328</v>
      </c>
      <c r="AX119" s="42">
        <f>'[2]поточний ремонт'!AX119+'[1]поточний ремонт'!AX119</f>
        <v>0</v>
      </c>
      <c r="AY119" s="5"/>
      <c r="AZ119" s="42">
        <f t="shared" si="10"/>
        <v>7778.7445998053117</v>
      </c>
      <c r="BA119" s="42">
        <f t="shared" si="11"/>
        <v>22404.338898973914</v>
      </c>
      <c r="BB119" s="58">
        <f t="shared" si="12"/>
        <v>14625.594299168602</v>
      </c>
      <c r="BD119" s="2">
        <v>1</v>
      </c>
      <c r="BF119" s="29">
        <v>283.99500418189564</v>
      </c>
      <c r="BG119" s="318">
        <v>150000625</v>
      </c>
      <c r="BI119" s="104">
        <v>8.6300000000000008</v>
      </c>
      <c r="BJ119" s="104">
        <f t="shared" si="13"/>
        <v>1.2139147859999999</v>
      </c>
      <c r="BK119" s="104">
        <v>9.9528564194800015</v>
      </c>
      <c r="BL119" s="38"/>
      <c r="BM119" s="3"/>
      <c r="BN119" s="3">
        <v>0</v>
      </c>
      <c r="BP119" s="3"/>
      <c r="BQ119" s="3"/>
      <c r="BS119" s="42"/>
      <c r="BT119" s="42">
        <v>0</v>
      </c>
      <c r="BU119" s="958"/>
      <c r="BV119" s="41"/>
      <c r="BW119" s="42"/>
      <c r="BX119" s="36"/>
      <c r="BY119" s="76"/>
      <c r="BZ119" s="42">
        <v>0</v>
      </c>
      <c r="CA119" s="959"/>
      <c r="CB119" s="41">
        <v>0</v>
      </c>
      <c r="CC119" s="41">
        <v>0</v>
      </c>
      <c r="CD119" s="960"/>
      <c r="CE119" s="76">
        <v>0</v>
      </c>
      <c r="CF119" s="55"/>
      <c r="CG119" s="41">
        <v>0</v>
      </c>
      <c r="CH119" s="38">
        <v>9.9528564194800015</v>
      </c>
      <c r="CI119" s="76">
        <v>0</v>
      </c>
      <c r="CJ119" s="55"/>
      <c r="CK119" s="955"/>
      <c r="CL119" s="950"/>
      <c r="CM119" s="955"/>
      <c r="CN119" s="950">
        <v>763.67275891528402</v>
      </c>
      <c r="CO119" s="76">
        <v>112.32027171131804</v>
      </c>
      <c r="CP119" s="42">
        <v>425.45843929794648</v>
      </c>
      <c r="CQ119" s="5"/>
      <c r="CR119" s="76">
        <v>133.63672181485069</v>
      </c>
      <c r="CS119" s="954">
        <v>0</v>
      </c>
      <c r="CT119" s="973"/>
      <c r="CU119" s="76">
        <v>124.87352522650177</v>
      </c>
      <c r="CV119" s="42">
        <v>0</v>
      </c>
      <c r="CW119" s="5"/>
      <c r="CX119" s="76">
        <v>58.382551877163472</v>
      </c>
      <c r="CY119" s="42">
        <v>0</v>
      </c>
      <c r="CZ119" s="5"/>
      <c r="DA119" s="76">
        <v>35.232039279818451</v>
      </c>
      <c r="DB119" s="42">
        <v>0</v>
      </c>
      <c r="DC119" s="5"/>
      <c r="DD119" s="76">
        <v>64.637189513920404</v>
      </c>
      <c r="DE119" s="42">
        <v>0</v>
      </c>
      <c r="DF119" s="9"/>
      <c r="DG119" s="76">
        <v>26.931157963619381</v>
      </c>
      <c r="DH119" s="42"/>
      <c r="DI119" s="5"/>
      <c r="DJ119" s="42">
        <v>556.01345738719215</v>
      </c>
      <c r="DK119" s="42">
        <f t="shared" si="14"/>
        <v>425.45843929794648</v>
      </c>
      <c r="DL119" s="58">
        <f t="shared" si="15"/>
        <v>-130.55501808924566</v>
      </c>
      <c r="DM119" s="2">
        <v>1</v>
      </c>
    </row>
    <row r="120" spans="1:117" ht="24.9" customHeight="1" x14ac:dyDescent="0.3">
      <c r="A120" s="318">
        <v>150000629</v>
      </c>
      <c r="B120" s="44" t="s">
        <v>357</v>
      </c>
      <c r="C120" s="956">
        <v>9</v>
      </c>
      <c r="D120" s="957" t="s">
        <v>454</v>
      </c>
      <c r="E120" s="949">
        <f>'побудинковий звіт'!E87</f>
        <v>83.8</v>
      </c>
      <c r="F120" s="950">
        <f>'побудинковий звіт'!AS87</f>
        <v>1229.7977165310485</v>
      </c>
      <c r="G120" s="950">
        <f t="shared" si="8"/>
        <v>125473.14484314648</v>
      </c>
      <c r="H120" s="950">
        <f t="shared" si="9"/>
        <v>124243.34712661544</v>
      </c>
      <c r="I120" s="42">
        <f>'[2]поточний ремонт'!I120+'[1]поточний ремонт'!I120</f>
        <v>0</v>
      </c>
      <c r="J120" s="42">
        <f>'[2]поточний ремонт'!J120+'[1]поточний ремонт'!J120</f>
        <v>0</v>
      </c>
      <c r="K120" s="962"/>
      <c r="L120" s="42">
        <f>'[2]поточний ремонт'!L120+'[1]поточний ремонт'!L120</f>
        <v>0</v>
      </c>
      <c r="M120" s="42">
        <f>'[2]поточний ремонт'!M120+'[1]поточний ремонт'!M120</f>
        <v>0</v>
      </c>
      <c r="N120" s="961"/>
      <c r="O120" s="42">
        <f>'[2]поточний ремонт'!O120+'[1]поточний ремонт'!O120</f>
        <v>0</v>
      </c>
      <c r="P120" s="42">
        <f>'[2]поточний ремонт'!P120+'[1]поточний ремонт'!P120</f>
        <v>0</v>
      </c>
      <c r="Q120" s="959"/>
      <c r="R120" s="42">
        <f>'[2]поточний ремонт'!R120+'[1]поточний ремонт'!R120</f>
        <v>3</v>
      </c>
      <c r="S120" s="42">
        <f>'[2]поточний ремонт'!S120+'[1]поточний ремонт'!S120</f>
        <v>6244.5781952977832</v>
      </c>
      <c r="T120" s="967"/>
      <c r="U120" s="42">
        <f>'[2]поточний ремонт'!U120+'[1]поточний ремонт'!U120</f>
        <v>625.73787870407091</v>
      </c>
      <c r="V120" s="42">
        <f>'[2]поточний ремонт'!V120+'[1]поточний ремонт'!V120</f>
        <v>0</v>
      </c>
      <c r="W120" s="42">
        <f>'[2]поточний ремонт'!W120+'[1]поточний ремонт'!W120</f>
        <v>19</v>
      </c>
      <c r="X120" s="42">
        <f>'[2]поточний ремонт'!X120+'[1]поточний ремонт'!X120</f>
        <v>11745.10164492008</v>
      </c>
      <c r="Y120" s="42">
        <f>'[2]поточний ремонт'!Y120+'[1]поточний ремонт'!Y120</f>
        <v>100374.43048689424</v>
      </c>
      <c r="Z120" s="42">
        <f>'[2]поточний ремонт'!Z120+'[1]поточний ремонт'!Z120</f>
        <v>0</v>
      </c>
      <c r="AA120" s="42">
        <f>'[2]поточний ремонт'!AA120+'[1]поточний ремонт'!AA120</f>
        <v>0</v>
      </c>
      <c r="AB120" s="42">
        <f>'[2]поточний ремонт'!AB120+'[1]поточний ремонт'!AB120</f>
        <v>0</v>
      </c>
      <c r="AC120" s="42">
        <f>'[2]поточний ремонт'!AC120+'[1]поточний ремонт'!AC120</f>
        <v>0</v>
      </c>
      <c r="AD120" s="42">
        <f>'[2]поточний ремонт'!AD120+'[1]поточний ремонт'!AD120</f>
        <v>6483.2966373303097</v>
      </c>
      <c r="AE120" s="42">
        <f>'[2]поточний ремонт'!AE120+'[1]поточний ремонт'!AE120</f>
        <v>2376.6586987790015</v>
      </c>
      <c r="AF120" s="42">
        <f>'[2]поточний ремонт'!AF120+'[1]поточний ремонт'!AF120</f>
        <v>785.69544137118487</v>
      </c>
      <c r="AG120" s="5"/>
      <c r="AH120" s="42">
        <f>'[2]поточний ремонт'!AH120+'[1]поточний ремонт'!AH120</f>
        <v>2722.6175266051305</v>
      </c>
      <c r="AI120" s="42">
        <f>'[2]поточний ремонт'!AI120+'[1]поточний ремонт'!AI120</f>
        <v>3309.3753905172575</v>
      </c>
      <c r="AJ120" s="5"/>
      <c r="AK120" s="42">
        <f>'[2]поточний ремонт'!AK120+'[1]поточний ремонт'!AK120</f>
        <v>4471.3485365387032</v>
      </c>
      <c r="AL120" s="42">
        <f>'[2]поточний ремонт'!AL120+'[1]поточний ремонт'!AL120</f>
        <v>51.992053775999999</v>
      </c>
      <c r="AM120" s="5"/>
      <c r="AN120" s="42">
        <f>'[2]поточний ремонт'!AN120+'[1]поточний ремонт'!AN120</f>
        <v>1455.2260902603496</v>
      </c>
      <c r="AO120" s="42">
        <f>'[2]поточний ремонт'!AO120+'[1]поточний ремонт'!AO120</f>
        <v>0</v>
      </c>
      <c r="AP120" s="5"/>
      <c r="AQ120" s="42">
        <f>'[2]поточний ремонт'!AQ120+'[1]поточний ремонт'!AQ120</f>
        <v>2111.6197571963594</v>
      </c>
      <c r="AR120" s="42">
        <f>'[2]поточний ремонт'!AR120+'[1]поточний ремонт'!AR120</f>
        <v>0</v>
      </c>
      <c r="AS120" s="5"/>
      <c r="AT120" s="42">
        <f>'[2]поточний ремонт'!AT120+'[1]поточний ремонт'!AT120</f>
        <v>3056.4214977086749</v>
      </c>
      <c r="AU120" s="42">
        <f>'[2]поточний ремонт'!AU120+'[1]поточний ремонт'!AU120</f>
        <v>631.08057496383105</v>
      </c>
      <c r="AV120" s="9"/>
      <c r="AW120" s="42">
        <f>'[2]поточний ремонт'!AW120+'[1]поточний ремонт'!AW120</f>
        <v>1090.4319571107819</v>
      </c>
      <c r="AX120" s="42">
        <f>'[2]поточний ремонт'!AX120+'[1]поточний ремонт'!AX120</f>
        <v>12840.309038746444</v>
      </c>
      <c r="AY120" s="5"/>
      <c r="AZ120" s="42">
        <f t="shared" si="10"/>
        <v>17284.324064198998</v>
      </c>
      <c r="BA120" s="42">
        <f t="shared" si="11"/>
        <v>17618.452499374718</v>
      </c>
      <c r="BB120" s="58">
        <f t="shared" si="12"/>
        <v>334.12843517572037</v>
      </c>
      <c r="BD120" s="2">
        <v>1</v>
      </c>
      <c r="BF120" s="29">
        <v>446.08826921495034</v>
      </c>
      <c r="BG120" s="318">
        <v>150000629</v>
      </c>
      <c r="BI120" s="104">
        <v>8.6300000000000008</v>
      </c>
      <c r="BJ120" s="104">
        <f t="shared" si="13"/>
        <v>1.2139147859999999</v>
      </c>
      <c r="BK120" s="104">
        <v>9.9528564194800015</v>
      </c>
      <c r="BL120" s="38"/>
      <c r="BM120" s="3"/>
      <c r="BN120" s="3">
        <v>0</v>
      </c>
      <c r="BP120" s="3"/>
      <c r="BQ120" s="3"/>
      <c r="BS120" s="42"/>
      <c r="BT120" s="42">
        <v>0</v>
      </c>
      <c r="BU120" s="962"/>
      <c r="BV120" s="41"/>
      <c r="BW120" s="42"/>
      <c r="BX120" s="961"/>
      <c r="BY120" s="76"/>
      <c r="BZ120" s="42">
        <v>0</v>
      </c>
      <c r="CA120" s="959"/>
      <c r="CB120" s="41">
        <v>0</v>
      </c>
      <c r="CC120" s="41">
        <v>0</v>
      </c>
      <c r="CD120" s="967"/>
      <c r="CE120" s="76">
        <v>0</v>
      </c>
      <c r="CF120" s="55"/>
      <c r="CG120" s="41">
        <v>0</v>
      </c>
      <c r="CH120" s="38">
        <v>9.9528564194800015</v>
      </c>
      <c r="CI120" s="76">
        <v>0</v>
      </c>
      <c r="CJ120" s="55"/>
      <c r="CK120" s="955"/>
      <c r="CL120" s="950"/>
      <c r="CM120" s="955"/>
      <c r="CN120" s="950">
        <v>0</v>
      </c>
      <c r="CO120" s="76">
        <v>161.66804270236327</v>
      </c>
      <c r="CP120" s="42">
        <v>0</v>
      </c>
      <c r="CQ120" s="5"/>
      <c r="CR120" s="76">
        <v>222.61623667036437</v>
      </c>
      <c r="CS120" s="954">
        <v>0</v>
      </c>
      <c r="CT120" s="5"/>
      <c r="CU120" s="76">
        <v>353.84838667705782</v>
      </c>
      <c r="CV120" s="42">
        <v>0</v>
      </c>
      <c r="CW120" s="5"/>
      <c r="CX120" s="76">
        <v>129.77303219156963</v>
      </c>
      <c r="CY120" s="42">
        <v>0</v>
      </c>
      <c r="CZ120" s="5"/>
      <c r="DA120" s="76">
        <v>194.87769731024719</v>
      </c>
      <c r="DB120" s="42">
        <v>0</v>
      </c>
      <c r="DC120" s="5"/>
      <c r="DD120" s="76">
        <v>152.94289157412265</v>
      </c>
      <c r="DE120" s="42">
        <v>630.29579684292298</v>
      </c>
      <c r="DF120" s="9"/>
      <c r="DG120" s="76">
        <v>93.216145822728791</v>
      </c>
      <c r="DH120" s="42"/>
      <c r="DI120" s="5"/>
      <c r="DJ120" s="42">
        <v>1308.9424329484536</v>
      </c>
      <c r="DK120" s="42">
        <f t="shared" si="14"/>
        <v>630.29579684292298</v>
      </c>
      <c r="DL120" s="58">
        <f t="shared" si="15"/>
        <v>-678.64663610553066</v>
      </c>
      <c r="DM120" s="2">
        <v>1</v>
      </c>
    </row>
    <row r="121" spans="1:117" ht="24.9" customHeight="1" x14ac:dyDescent="0.3">
      <c r="A121" s="318">
        <v>150000626</v>
      </c>
      <c r="B121" s="44" t="s">
        <v>358</v>
      </c>
      <c r="C121" s="956">
        <v>9</v>
      </c>
      <c r="D121" s="957" t="s">
        <v>454</v>
      </c>
      <c r="E121" s="949">
        <f>'побудинковий звіт'!E88</f>
        <v>1894.4</v>
      </c>
      <c r="F121" s="950">
        <f>'побудинковий звіт'!AS88</f>
        <v>24154.965258270771</v>
      </c>
      <c r="G121" s="950">
        <f t="shared" si="8"/>
        <v>48849.191914540323</v>
      </c>
      <c r="H121" s="950">
        <f t="shared" si="9"/>
        <v>24694.226656269551</v>
      </c>
      <c r="I121" s="42">
        <f>'[2]поточний ремонт'!I121+'[1]поточний ремонт'!I121</f>
        <v>50</v>
      </c>
      <c r="J121" s="42">
        <f>'[2]поточний ремонт'!J121+'[1]поточний ремонт'!J121</f>
        <v>3470.0655956439427</v>
      </c>
      <c r="K121" s="958"/>
      <c r="L121" s="42">
        <f>'[2]поточний ремонт'!L121+'[1]поточний ремонт'!L121</f>
        <v>0</v>
      </c>
      <c r="M121" s="42">
        <f>'[2]поточний ремонт'!M121+'[1]поточний ремонт'!M121</f>
        <v>0</v>
      </c>
      <c r="N121" s="36"/>
      <c r="O121" s="42">
        <f>'[2]поточний ремонт'!O121+'[1]поточний ремонт'!O121</f>
        <v>0</v>
      </c>
      <c r="P121" s="42">
        <f>'[2]поточний ремонт'!P121+'[1]поточний ремонт'!P121</f>
        <v>0</v>
      </c>
      <c r="Q121" s="959"/>
      <c r="R121" s="42">
        <f>'[2]поточний ремонт'!R121+'[1]поточний ремонт'!R121</f>
        <v>2</v>
      </c>
      <c r="S121" s="42">
        <f>'[2]поточний ремонт'!S121+'[1]поточний ремонт'!S121</f>
        <v>2309.2088202836799</v>
      </c>
      <c r="T121" s="967"/>
      <c r="U121" s="42">
        <f>'[2]поточний ремонт'!U121+'[1]поточний ремонт'!U121</f>
        <v>0</v>
      </c>
      <c r="V121" s="42">
        <f>'[2]поточний ремонт'!V121+'[1]поточний ремонт'!V121</f>
        <v>0</v>
      </c>
      <c r="W121" s="42">
        <f>'[2]поточний ремонт'!W121+'[1]поточний ремонт'!W121</f>
        <v>0</v>
      </c>
      <c r="X121" s="42">
        <f>'[2]поточний ремонт'!X121+'[1]поточний ремонт'!X121</f>
        <v>558.60805016999461</v>
      </c>
      <c r="Y121" s="42">
        <f>'[2]поточний ремонт'!Y121+'[1]поточний ремонт'!Y121</f>
        <v>1617.8928592264022</v>
      </c>
      <c r="Z121" s="42">
        <f>'[2]поточний ремонт'!Z121+'[1]поточний ремонт'!Z121</f>
        <v>0</v>
      </c>
      <c r="AA121" s="42">
        <f>'[2]поточний ремонт'!AA121+'[1]поточний ремонт'!AA121</f>
        <v>0</v>
      </c>
      <c r="AB121" s="42">
        <f>'[2]поточний ремонт'!AB121+'[1]поточний ремонт'!AB121</f>
        <v>36615.693624879983</v>
      </c>
      <c r="AC121" s="42">
        <f>'[2]поточний ремонт'!AC121+'[1]поточний ремонт'!AC121</f>
        <v>432.83200907898043</v>
      </c>
      <c r="AD121" s="42">
        <f>'[2]поточний ремонт'!AD121+'[1]поточний ремонт'!AD121</f>
        <v>3844.8909552573459</v>
      </c>
      <c r="AE121" s="42">
        <f>'[2]поточний ремонт'!AE121+'[1]поточний ремонт'!AE121</f>
        <v>1710.4895738887776</v>
      </c>
      <c r="AF121" s="42">
        <f>'[2]поточний ремонт'!AF121+'[1]поточний ремонт'!AF121</f>
        <v>4158.7804158993649</v>
      </c>
      <c r="AG121" s="5"/>
      <c r="AH121" s="42">
        <f>'[2]поточний ремонт'!AH121+'[1]поточний ремонт'!AH121</f>
        <v>2537.3700001360689</v>
      </c>
      <c r="AI121" s="42">
        <f>'[2]поточний ремонт'!AI121+'[1]поточний ремонт'!AI121</f>
        <v>0</v>
      </c>
      <c r="AJ121" s="5"/>
      <c r="AK121" s="42">
        <f>'[2]поточний ремонт'!AK121+'[1]поточний ремонт'!AK121</f>
        <v>2916.4728069719381</v>
      </c>
      <c r="AL121" s="42">
        <f>'[2]поточний ремонт'!AL121+'[1]поточний ремонт'!AL121</f>
        <v>4732.4747414387084</v>
      </c>
      <c r="AM121" s="5"/>
      <c r="AN121" s="42">
        <f>'[2]поточний ремонт'!AN121+'[1]поточний ремонт'!AN121</f>
        <v>1159.599766054132</v>
      </c>
      <c r="AO121" s="42">
        <f>'[2]поточний ремонт'!AO121+'[1]поточний ремонт'!AO121</f>
        <v>14082.981954027804</v>
      </c>
      <c r="AP121" s="5"/>
      <c r="AQ121" s="42">
        <f>'[2]поточний ремонт'!AQ121+'[1]поточний ремонт'!AQ121</f>
        <v>1223.1186780773378</v>
      </c>
      <c r="AR121" s="42">
        <f>'[2]поточний ремонт'!AR121+'[1]поточний ремонт'!AR121</f>
        <v>19.323966600000002</v>
      </c>
      <c r="AS121" s="5"/>
      <c r="AT121" s="42">
        <f>'[2]поточний ремонт'!AT121+'[1]поточний ремонт'!AT121</f>
        <v>2154.1403995466612</v>
      </c>
      <c r="AU121" s="42">
        <f>'[2]поточний ремонт'!AU121+'[1]поточний ремонт'!AU121</f>
        <v>8721.1802635600779</v>
      </c>
      <c r="AV121" s="5"/>
      <c r="AW121" s="42">
        <f>'[2]поточний ремонт'!AW121+'[1]поточний ремонт'!AW121</f>
        <v>791.92916475677021</v>
      </c>
      <c r="AX121" s="42">
        <f>'[2]поточний ремонт'!AX121+'[1]поточний ремонт'!AX121</f>
        <v>0</v>
      </c>
      <c r="AY121" s="5"/>
      <c r="AZ121" s="42">
        <f t="shared" si="10"/>
        <v>12493.120389431686</v>
      </c>
      <c r="BA121" s="42">
        <f t="shared" si="11"/>
        <v>31714.741341525958</v>
      </c>
      <c r="BB121" s="58">
        <f t="shared" si="12"/>
        <v>19221.620952094272</v>
      </c>
      <c r="BD121" s="2">
        <v>1</v>
      </c>
      <c r="BF121" s="29">
        <v>350.80772870491194</v>
      </c>
      <c r="BG121" s="318">
        <v>150000626</v>
      </c>
      <c r="BI121" s="104">
        <v>40.950000000000003</v>
      </c>
      <c r="BJ121" s="104">
        <f t="shared" si="13"/>
        <v>5.7601170899999996</v>
      </c>
      <c r="BK121" s="104">
        <v>47.227053346200002</v>
      </c>
      <c r="BL121" s="38"/>
      <c r="BM121" s="3"/>
      <c r="BN121" s="3">
        <v>0</v>
      </c>
      <c r="BP121" s="3"/>
      <c r="BQ121" s="3"/>
      <c r="BS121" s="42"/>
      <c r="BT121" s="42">
        <v>0</v>
      </c>
      <c r="BU121" s="958"/>
      <c r="BV121" s="41"/>
      <c r="BW121" s="42"/>
      <c r="BX121" s="36"/>
      <c r="BY121" s="76"/>
      <c r="BZ121" s="42">
        <v>0</v>
      </c>
      <c r="CA121" s="959"/>
      <c r="CB121" s="41">
        <v>0</v>
      </c>
      <c r="CC121" s="41">
        <v>0</v>
      </c>
      <c r="CD121" s="967"/>
      <c r="CE121" s="76">
        <v>0</v>
      </c>
      <c r="CF121" s="55"/>
      <c r="CG121" s="41">
        <v>0</v>
      </c>
      <c r="CH121" s="38">
        <v>47.227053346200002</v>
      </c>
      <c r="CI121" s="76">
        <v>0</v>
      </c>
      <c r="CJ121" s="55"/>
      <c r="CK121" s="955"/>
      <c r="CL121" s="950"/>
      <c r="CM121" s="955"/>
      <c r="CN121" s="950">
        <v>811.52134264233246</v>
      </c>
      <c r="CO121" s="76">
        <v>134.8386285665128</v>
      </c>
      <c r="CP121" s="42">
        <v>3832.0460739747</v>
      </c>
      <c r="CQ121" s="5"/>
      <c r="CR121" s="76">
        <v>205.12644202695014</v>
      </c>
      <c r="CS121" s="954">
        <v>0</v>
      </c>
      <c r="CT121" s="5"/>
      <c r="CU121" s="76">
        <v>230.50207294495644</v>
      </c>
      <c r="CV121" s="42">
        <v>0</v>
      </c>
      <c r="CW121" s="5"/>
      <c r="CX121" s="76">
        <v>92.454226601088408</v>
      </c>
      <c r="CY121" s="42">
        <v>0</v>
      </c>
      <c r="CZ121" s="5"/>
      <c r="DA121" s="76">
        <v>97.444916251409211</v>
      </c>
      <c r="DB121" s="42">
        <v>0</v>
      </c>
      <c r="DC121" s="5"/>
      <c r="DD121" s="76">
        <v>160.26562450566868</v>
      </c>
      <c r="DE121" s="42">
        <v>619.64272494072293</v>
      </c>
      <c r="DF121" s="5"/>
      <c r="DG121" s="76">
        <v>63.506112576590589</v>
      </c>
      <c r="DH121" s="42"/>
      <c r="DI121" s="5"/>
      <c r="DJ121" s="42">
        <v>984.13802347317619</v>
      </c>
      <c r="DK121" s="42">
        <f t="shared" si="14"/>
        <v>4451.6887989154229</v>
      </c>
      <c r="DL121" s="58">
        <f t="shared" si="15"/>
        <v>3467.550775442247</v>
      </c>
      <c r="DM121" s="2">
        <v>1</v>
      </c>
    </row>
    <row r="122" spans="1:117" ht="24.9" customHeight="1" x14ac:dyDescent="0.3">
      <c r="A122" s="318">
        <v>150000603</v>
      </c>
      <c r="B122" s="44" t="s">
        <v>153</v>
      </c>
      <c r="C122" s="956">
        <v>2</v>
      </c>
      <c r="D122" s="957" t="s">
        <v>454</v>
      </c>
      <c r="E122" s="949">
        <f>'побудинковий звіт'!E89</f>
        <v>847.5</v>
      </c>
      <c r="F122" s="950">
        <f>'побудинковий звіт'!AS89</f>
        <v>10520.747859677258</v>
      </c>
      <c r="G122" s="950">
        <f t="shared" si="8"/>
        <v>0</v>
      </c>
      <c r="H122" s="950">
        <f t="shared" si="9"/>
        <v>-10520.747859677258</v>
      </c>
      <c r="I122" s="42">
        <f>'[2]поточний ремонт'!I122+'[1]поточний ремонт'!I122</f>
        <v>0</v>
      </c>
      <c r="J122" s="42">
        <f>'[2]поточний ремонт'!J122+'[1]поточний ремонт'!J122</f>
        <v>0</v>
      </c>
      <c r="K122" s="958"/>
      <c r="L122" s="42">
        <f>'[2]поточний ремонт'!L122+'[1]поточний ремонт'!L122</f>
        <v>0</v>
      </c>
      <c r="M122" s="42">
        <f>'[2]поточний ремонт'!M122+'[1]поточний ремонт'!M122</f>
        <v>0</v>
      </c>
      <c r="N122" s="36"/>
      <c r="O122" s="42">
        <f>'[2]поточний ремонт'!O122+'[1]поточний ремонт'!O122</f>
        <v>0</v>
      </c>
      <c r="P122" s="42">
        <f>'[2]поточний ремонт'!P122+'[1]поточний ремонт'!P122</f>
        <v>0</v>
      </c>
      <c r="Q122" s="959"/>
      <c r="R122" s="42">
        <f>'[2]поточний ремонт'!R122+'[1]поточний ремонт'!R122</f>
        <v>0</v>
      </c>
      <c r="S122" s="42">
        <f>'[2]поточний ремонт'!S122+'[1]поточний ремонт'!S122</f>
        <v>0</v>
      </c>
      <c r="T122" s="960"/>
      <c r="U122" s="42">
        <f>'[2]поточний ремонт'!U122+'[1]поточний ремонт'!U122</f>
        <v>0</v>
      </c>
      <c r="V122" s="42">
        <f>'[2]поточний ремонт'!V122+'[1]поточний ремонт'!V122</f>
        <v>0</v>
      </c>
      <c r="W122" s="42">
        <f>'[2]поточний ремонт'!W122+'[1]поточний ремонт'!W122</f>
        <v>0</v>
      </c>
      <c r="X122" s="42">
        <f>'[2]поточний ремонт'!X122+'[1]поточний ремонт'!X122</f>
        <v>0</v>
      </c>
      <c r="Y122" s="42">
        <f>'[2]поточний ремонт'!Y122+'[1]поточний ремонт'!Y122</f>
        <v>0</v>
      </c>
      <c r="Z122" s="42">
        <f>'[2]поточний ремонт'!Z122+'[1]поточний ремонт'!Z122</f>
        <v>0</v>
      </c>
      <c r="AA122" s="42">
        <f>'[2]поточний ремонт'!AA122+'[1]поточний ремонт'!AA122</f>
        <v>0</v>
      </c>
      <c r="AB122" s="42">
        <f>'[2]поточний ремонт'!AB122+'[1]поточний ремонт'!AB122</f>
        <v>0</v>
      </c>
      <c r="AC122" s="42">
        <f>'[2]поточний ремонт'!AC122+'[1]поточний ремонт'!AC122</f>
        <v>0</v>
      </c>
      <c r="AD122" s="42">
        <f>'[2]поточний ремонт'!AD122+'[1]поточний ремонт'!AD122</f>
        <v>0</v>
      </c>
      <c r="AE122" s="42">
        <f>'[2]поточний ремонт'!AE122+'[1]поточний ремонт'!AE122</f>
        <v>447.87624073476388</v>
      </c>
      <c r="AF122" s="42">
        <f>'[2]поточний ремонт'!AF122+'[1]поточний ремонт'!AF122</f>
        <v>0</v>
      </c>
      <c r="AG122" s="5"/>
      <c r="AH122" s="42">
        <f>'[2]поточний ремонт'!AH122+'[1]поточний ремонт'!AH122</f>
        <v>462.90784997040299</v>
      </c>
      <c r="AI122" s="42">
        <f>'[2]поточний ремонт'!AI122+'[1]поточний ремонт'!AI122</f>
        <v>0</v>
      </c>
      <c r="AJ122" s="5"/>
      <c r="AK122" s="42">
        <f>'[2]поточний ремонт'!AK122+'[1]поточний ремонт'!AK122</f>
        <v>281.71468016829658</v>
      </c>
      <c r="AL122" s="42">
        <f>'[2]поточний ремонт'!AL122+'[1]поточний ремонт'!AL122</f>
        <v>1370.1486166811239</v>
      </c>
      <c r="AM122" s="5"/>
      <c r="AN122" s="42">
        <f>'[2]поточний ремонт'!AN122+'[1]поточний ремонт'!AN122</f>
        <v>0</v>
      </c>
      <c r="AO122" s="42">
        <f>'[2]поточний ремонт'!AO122+'[1]поточний ремонт'!AO122</f>
        <v>0</v>
      </c>
      <c r="AP122" s="5"/>
      <c r="AQ122" s="42">
        <f>'[2]поточний ремонт'!AQ122+'[1]поточний ремонт'!AQ122</f>
        <v>0</v>
      </c>
      <c r="AR122" s="42">
        <f>'[2]поточний ремонт'!AR122+'[1]поточний ремонт'!AR122</f>
        <v>0</v>
      </c>
      <c r="AS122" s="5"/>
      <c r="AT122" s="42">
        <f>'[2]поточний ремонт'!AT122+'[1]поточний ремонт'!AT122</f>
        <v>114.03534042706106</v>
      </c>
      <c r="AU122" s="42">
        <f>'[2]поточний ремонт'!AU122+'[1]поточний ремонт'!AU122</f>
        <v>0</v>
      </c>
      <c r="AV122" s="5"/>
      <c r="AW122" s="42">
        <f>'[2]поточний ремонт'!AW122+'[1]поточний ремонт'!AW122</f>
        <v>38.805764507289481</v>
      </c>
      <c r="AX122" s="42">
        <f>'[2]поточний ремонт'!AX122+'[1]поточний ремонт'!AX122</f>
        <v>0</v>
      </c>
      <c r="AY122" s="5"/>
      <c r="AZ122" s="42">
        <f t="shared" si="10"/>
        <v>1345.339875807814</v>
      </c>
      <c r="BA122" s="42">
        <f t="shared" si="11"/>
        <v>1370.1486166811239</v>
      </c>
      <c r="BB122" s="58">
        <f t="shared" si="12"/>
        <v>24.808740873309944</v>
      </c>
      <c r="BD122" s="2">
        <v>2</v>
      </c>
      <c r="BF122" s="29">
        <v>0.7403580690328454</v>
      </c>
      <c r="BG122" s="318">
        <v>150000603</v>
      </c>
      <c r="BI122" s="104">
        <v>0</v>
      </c>
      <c r="BJ122" s="104">
        <f t="shared" si="13"/>
        <v>0</v>
      </c>
      <c r="BK122" s="104">
        <v>0</v>
      </c>
      <c r="BL122" s="38"/>
      <c r="BM122" s="3"/>
      <c r="BN122" s="3">
        <v>0</v>
      </c>
      <c r="BP122" s="3"/>
      <c r="BQ122" s="3"/>
      <c r="BS122" s="42"/>
      <c r="BT122" s="42">
        <v>0</v>
      </c>
      <c r="BU122" s="958"/>
      <c r="BV122" s="41"/>
      <c r="BW122" s="42"/>
      <c r="BX122" s="36"/>
      <c r="BY122" s="76"/>
      <c r="BZ122" s="42">
        <v>0</v>
      </c>
      <c r="CA122" s="959"/>
      <c r="CB122" s="41">
        <v>0</v>
      </c>
      <c r="CC122" s="41">
        <v>0</v>
      </c>
      <c r="CD122" s="960"/>
      <c r="CE122" s="76">
        <v>0</v>
      </c>
      <c r="CF122" s="55"/>
      <c r="CG122" s="41">
        <v>0</v>
      </c>
      <c r="CH122" s="38">
        <v>0</v>
      </c>
      <c r="CI122" s="76">
        <v>0</v>
      </c>
      <c r="CJ122" s="55"/>
      <c r="CK122" s="955"/>
      <c r="CL122" s="950"/>
      <c r="CM122" s="955"/>
      <c r="CN122" s="950">
        <v>0</v>
      </c>
      <c r="CO122" s="76">
        <v>32.78582383606674</v>
      </c>
      <c r="CP122" s="42">
        <v>0</v>
      </c>
      <c r="CQ122" s="5"/>
      <c r="CR122" s="76">
        <v>37.583121974547481</v>
      </c>
      <c r="CS122" s="954">
        <v>0</v>
      </c>
      <c r="CT122" s="5"/>
      <c r="CU122" s="76">
        <v>22.922071685666602</v>
      </c>
      <c r="CV122" s="42">
        <v>0</v>
      </c>
      <c r="CW122" s="5"/>
      <c r="CX122" s="76">
        <v>0</v>
      </c>
      <c r="CY122" s="42">
        <v>0</v>
      </c>
      <c r="CZ122" s="5"/>
      <c r="DA122" s="76">
        <v>0</v>
      </c>
      <c r="DB122" s="42">
        <v>0</v>
      </c>
      <c r="DC122" s="5"/>
      <c r="DD122" s="76">
        <v>6.6341537148290231</v>
      </c>
      <c r="DE122" s="42">
        <v>0</v>
      </c>
      <c r="DF122" s="5"/>
      <c r="DG122" s="76">
        <v>0</v>
      </c>
      <c r="DH122" s="42"/>
      <c r="DI122" s="5"/>
      <c r="DJ122" s="42">
        <v>99.925171211109856</v>
      </c>
      <c r="DK122" s="42">
        <f t="shared" si="14"/>
        <v>0</v>
      </c>
      <c r="DL122" s="58">
        <f t="shared" si="15"/>
        <v>-99.925171211109856</v>
      </c>
      <c r="DM122" s="2">
        <v>2</v>
      </c>
    </row>
    <row r="123" spans="1:117" ht="24.9" customHeight="1" x14ac:dyDescent="0.3">
      <c r="A123" s="318">
        <v>150001562</v>
      </c>
      <c r="B123" s="44" t="s">
        <v>208</v>
      </c>
      <c r="C123" s="956">
        <v>4</v>
      </c>
      <c r="D123" s="957" t="s">
        <v>454</v>
      </c>
      <c r="E123" s="949">
        <f>'побудинковий звіт'!E90</f>
        <v>2696.4</v>
      </c>
      <c r="F123" s="950">
        <f>'побудинковий звіт'!AS90</f>
        <v>40015.781183542786</v>
      </c>
      <c r="G123" s="950">
        <f t="shared" si="8"/>
        <v>134423.24756411678</v>
      </c>
      <c r="H123" s="950">
        <f t="shared" si="9"/>
        <v>94407.466380573998</v>
      </c>
      <c r="I123" s="42">
        <f>'[2]поточний ремонт'!I123+'[1]поточний ремонт'!I123</f>
        <v>0</v>
      </c>
      <c r="J123" s="42">
        <f>'[2]поточний ремонт'!J123+'[1]поточний ремонт'!J123</f>
        <v>0</v>
      </c>
      <c r="K123" s="958"/>
      <c r="L123" s="42">
        <f>'[2]поточний ремонт'!L123+'[1]поточний ремонт'!L123</f>
        <v>0</v>
      </c>
      <c r="M123" s="42">
        <f>'[2]поточний ремонт'!M123+'[1]поточний ремонт'!M123</f>
        <v>0</v>
      </c>
      <c r="N123" s="36"/>
      <c r="O123" s="42">
        <f>'[2]поточний ремонт'!O123+'[1]поточний ремонт'!O123</f>
        <v>0</v>
      </c>
      <c r="P123" s="42">
        <f>'[2]поточний ремонт'!P123+'[1]поточний ремонт'!P123</f>
        <v>0</v>
      </c>
      <c r="Q123" s="959"/>
      <c r="R123" s="42">
        <f>'[2]поточний ремонт'!R123+'[1]поточний ремонт'!R123</f>
        <v>0</v>
      </c>
      <c r="S123" s="42">
        <f>'[2]поточний ремонт'!S123+'[1]поточний ремонт'!S123</f>
        <v>0</v>
      </c>
      <c r="T123" s="960"/>
      <c r="U123" s="42">
        <f>'[2]поточний ремонт'!U123+'[1]поточний ремонт'!U123</f>
        <v>0</v>
      </c>
      <c r="V123" s="42">
        <f>'[2]поточний ремонт'!V123+'[1]поточний ремонт'!V123</f>
        <v>0</v>
      </c>
      <c r="W123" s="42">
        <f>'[2]поточний ремонт'!W123+'[1]поточний ремонт'!W123</f>
        <v>0</v>
      </c>
      <c r="X123" s="42">
        <f>'[2]поточний ремонт'!X123+'[1]поточний ремонт'!X123</f>
        <v>0</v>
      </c>
      <c r="Y123" s="42">
        <f>'[2]поточний ремонт'!Y123+'[1]поточний ремонт'!Y123</f>
        <v>134423.24756411678</v>
      </c>
      <c r="Z123" s="42">
        <f>'[2]поточний ремонт'!Z123+'[1]поточний ремонт'!Z123</f>
        <v>0</v>
      </c>
      <c r="AA123" s="42">
        <f>'[2]поточний ремонт'!AA123+'[1]поточний ремонт'!AA123</f>
        <v>0</v>
      </c>
      <c r="AB123" s="42">
        <f>'[2]поточний ремонт'!AB123+'[1]поточний ремонт'!AB123</f>
        <v>0</v>
      </c>
      <c r="AC123" s="42">
        <f>'[2]поточний ремонт'!AC123+'[1]поточний ремонт'!AC123</f>
        <v>0</v>
      </c>
      <c r="AD123" s="42">
        <f>'[2]поточний ремонт'!AD123+'[1]поточний ремонт'!AD123</f>
        <v>0</v>
      </c>
      <c r="AE123" s="42">
        <f>'[2]поточний ремонт'!AE123+'[1]поточний ремонт'!AE123</f>
        <v>1708.1601940441888</v>
      </c>
      <c r="AF123" s="42">
        <f>'[2]поточний ремонт'!AF123+'[1]поточний ремонт'!AF123</f>
        <v>0</v>
      </c>
      <c r="AG123" s="5"/>
      <c r="AH123" s="42">
        <f>'[2]поточний ремонт'!AH123+'[1]поточний ремонт'!AH123</f>
        <v>1223.37828310704</v>
      </c>
      <c r="AI123" s="42">
        <f>'[2]поточний ремонт'!AI123+'[1]поточний ремонт'!AI123</f>
        <v>0</v>
      </c>
      <c r="AJ123" s="5"/>
      <c r="AK123" s="42">
        <f>'[2]поточний ремонт'!AK123+'[1]поточний ремонт'!AK123</f>
        <v>0</v>
      </c>
      <c r="AL123" s="42">
        <f>'[2]поточний ремонт'!AL123+'[1]поточний ремонт'!AL123</f>
        <v>0</v>
      </c>
      <c r="AM123" s="5"/>
      <c r="AN123" s="42">
        <f>'[2]поточний ремонт'!AN123+'[1]поточний ремонт'!AN123</f>
        <v>0</v>
      </c>
      <c r="AO123" s="42">
        <f>'[2]поточний ремонт'!AO123+'[1]поточний ремонт'!AO123</f>
        <v>0</v>
      </c>
      <c r="AP123" s="5"/>
      <c r="AQ123" s="42">
        <f>'[2]поточний ремонт'!AQ123+'[1]поточний ремонт'!AQ123</f>
        <v>0</v>
      </c>
      <c r="AR123" s="42">
        <f>'[2]поточний ремонт'!AR123+'[1]поточний ремонт'!AR123</f>
        <v>0</v>
      </c>
      <c r="AS123" s="5"/>
      <c r="AT123" s="42">
        <f>'[2]поточний ремонт'!AT123+'[1]поточний ремонт'!AT123</f>
        <v>801.48768283257755</v>
      </c>
      <c r="AU123" s="42">
        <f>'[2]поточний ремонт'!AU123+'[1]поточний ремонт'!AU123</f>
        <v>0</v>
      </c>
      <c r="AV123" s="5"/>
      <c r="AW123" s="42">
        <f>'[2]поточний ремонт'!AW123+'[1]поточний ремонт'!AW123</f>
        <v>0</v>
      </c>
      <c r="AX123" s="42">
        <f>'[2]поточний ремонт'!AX123+'[1]поточний ремонт'!AX123</f>
        <v>0</v>
      </c>
      <c r="AY123" s="5"/>
      <c r="AZ123" s="42">
        <f t="shared" si="10"/>
        <v>3733.0261599838068</v>
      </c>
      <c r="BA123" s="42">
        <f t="shared" si="11"/>
        <v>0</v>
      </c>
      <c r="BB123" s="58">
        <f t="shared" si="12"/>
        <v>-3733.0261599838068</v>
      </c>
      <c r="BD123" s="2">
        <v>2</v>
      </c>
      <c r="BF123" s="29">
        <v>3.5564645849180874</v>
      </c>
      <c r="BG123" s="318">
        <v>150001562</v>
      </c>
      <c r="BI123" s="104">
        <v>0</v>
      </c>
      <c r="BJ123" s="104">
        <f t="shared" si="13"/>
        <v>0</v>
      </c>
      <c r="BK123" s="104">
        <v>0</v>
      </c>
      <c r="BL123" s="38"/>
      <c r="BM123" s="3"/>
      <c r="BN123" s="3">
        <v>0</v>
      </c>
      <c r="BP123" s="3"/>
      <c r="BQ123" s="3"/>
      <c r="BS123" s="42"/>
      <c r="BT123" s="42">
        <v>0</v>
      </c>
      <c r="BU123" s="958"/>
      <c r="BV123" s="41"/>
      <c r="BW123" s="42"/>
      <c r="BX123" s="36"/>
      <c r="BY123" s="76"/>
      <c r="BZ123" s="42">
        <v>0</v>
      </c>
      <c r="CA123" s="959"/>
      <c r="CB123" s="41">
        <v>0</v>
      </c>
      <c r="CC123" s="41">
        <v>0</v>
      </c>
      <c r="CD123" s="960"/>
      <c r="CE123" s="76">
        <v>0</v>
      </c>
      <c r="CF123" s="55"/>
      <c r="CG123" s="41">
        <v>0</v>
      </c>
      <c r="CH123" s="38">
        <v>0</v>
      </c>
      <c r="CI123" s="76">
        <v>0</v>
      </c>
      <c r="CJ123" s="55"/>
      <c r="CK123" s="955"/>
      <c r="CL123" s="950"/>
      <c r="CM123" s="955"/>
      <c r="CN123" s="950">
        <v>0</v>
      </c>
      <c r="CO123" s="76">
        <v>139.14317160682816</v>
      </c>
      <c r="CP123" s="42">
        <v>0</v>
      </c>
      <c r="CQ123" s="5"/>
      <c r="CR123" s="76">
        <v>101.16848586476439</v>
      </c>
      <c r="CS123" s="954">
        <v>0</v>
      </c>
      <c r="CT123" s="5"/>
      <c r="CU123" s="76">
        <v>0</v>
      </c>
      <c r="CV123" s="42">
        <v>0</v>
      </c>
      <c r="CW123" s="5"/>
      <c r="CX123" s="76">
        <v>0</v>
      </c>
      <c r="CY123" s="42">
        <v>0</v>
      </c>
      <c r="CZ123" s="5"/>
      <c r="DA123" s="76">
        <v>0</v>
      </c>
      <c r="DB123" s="42">
        <v>0</v>
      </c>
      <c r="DC123" s="5"/>
      <c r="DD123" s="76">
        <v>60.580332383952396</v>
      </c>
      <c r="DE123" s="42">
        <v>0</v>
      </c>
      <c r="DF123" s="5"/>
      <c r="DG123" s="76">
        <v>0</v>
      </c>
      <c r="DH123" s="42"/>
      <c r="DI123" s="5"/>
      <c r="DJ123" s="42">
        <v>300.89198985554492</v>
      </c>
      <c r="DK123" s="42">
        <f t="shared" si="14"/>
        <v>0</v>
      </c>
      <c r="DL123" s="58">
        <f t="shared" si="15"/>
        <v>-300.89198985554492</v>
      </c>
      <c r="DM123" s="2">
        <v>2</v>
      </c>
    </row>
    <row r="124" spans="1:117" ht="24.9" customHeight="1" x14ac:dyDescent="0.3">
      <c r="A124" s="318">
        <v>150000604</v>
      </c>
      <c r="B124" s="44" t="s">
        <v>154</v>
      </c>
      <c r="C124" s="956">
        <v>2</v>
      </c>
      <c r="D124" s="957" t="s">
        <v>454</v>
      </c>
      <c r="E124" s="949">
        <f>'побудинковий звіт'!E91</f>
        <v>1940</v>
      </c>
      <c r="F124" s="950">
        <f>'побудинковий звіт'!AS91</f>
        <v>24044.684396513847</v>
      </c>
      <c r="G124" s="950">
        <f t="shared" si="8"/>
        <v>109.74192315099162</v>
      </c>
      <c r="H124" s="950">
        <f t="shared" si="9"/>
        <v>-23934.942473362855</v>
      </c>
      <c r="I124" s="42">
        <f>'[2]поточний ремонт'!I124+'[1]поточний ремонт'!I124</f>
        <v>0</v>
      </c>
      <c r="J124" s="42">
        <f>'[2]поточний ремонт'!J124+'[1]поточний ремонт'!J124</f>
        <v>0</v>
      </c>
      <c r="K124" s="958"/>
      <c r="L124" s="42">
        <f>'[2]поточний ремонт'!L124+'[1]поточний ремонт'!L124</f>
        <v>0</v>
      </c>
      <c r="M124" s="42">
        <f>'[2]поточний ремонт'!M124+'[1]поточний ремонт'!M124</f>
        <v>0</v>
      </c>
      <c r="N124" s="36"/>
      <c r="O124" s="42">
        <f>'[2]поточний ремонт'!O124+'[1]поточний ремонт'!O124</f>
        <v>0</v>
      </c>
      <c r="P124" s="42">
        <f>'[2]поточний ремонт'!P124+'[1]поточний ремонт'!P124</f>
        <v>0</v>
      </c>
      <c r="Q124" s="959"/>
      <c r="R124" s="42">
        <f>'[2]поточний ремонт'!R124+'[1]поточний ремонт'!R124</f>
        <v>0</v>
      </c>
      <c r="S124" s="42">
        <f>'[2]поточний ремонт'!S124+'[1]поточний ремонт'!S124</f>
        <v>0</v>
      </c>
      <c r="T124" s="960"/>
      <c r="U124" s="42">
        <f>'[2]поточний ремонт'!U124+'[1]поточний ремонт'!U124</f>
        <v>0</v>
      </c>
      <c r="V124" s="42">
        <f>'[2]поточний ремонт'!V124+'[1]поточний ремонт'!V124</f>
        <v>0</v>
      </c>
      <c r="W124" s="42">
        <f>'[2]поточний ремонт'!W124+'[1]поточний ремонт'!W124</f>
        <v>0</v>
      </c>
      <c r="X124" s="42">
        <f>'[2]поточний ремонт'!X124+'[1]поточний ремонт'!X124</f>
        <v>0</v>
      </c>
      <c r="Y124" s="42">
        <f>'[2]поточний ремонт'!Y124+'[1]поточний ремонт'!Y124</f>
        <v>0</v>
      </c>
      <c r="Z124" s="42">
        <f>'[2]поточний ремонт'!Z124+'[1]поточний ремонт'!Z124</f>
        <v>0</v>
      </c>
      <c r="AA124" s="42">
        <f>'[2]поточний ремонт'!AA124+'[1]поточний ремонт'!AA124</f>
        <v>0</v>
      </c>
      <c r="AB124" s="42">
        <f>'[2]поточний ремонт'!AB124+'[1]поточний ремонт'!AB124</f>
        <v>0</v>
      </c>
      <c r="AC124" s="42">
        <f>'[2]поточний ремонт'!AC124+'[1]поточний ремонт'!AC124</f>
        <v>109.74192315099162</v>
      </c>
      <c r="AD124" s="42">
        <f>'[2]поточний ремонт'!AD124+'[1]поточний ремонт'!AD124</f>
        <v>0</v>
      </c>
      <c r="AE124" s="42">
        <f>'[2]поточний ремонт'!AE124+'[1]поточний ремонт'!AE124</f>
        <v>370.66605220554902</v>
      </c>
      <c r="AF124" s="42">
        <f>'[2]поточний ремонт'!AF124+'[1]поточний ремонт'!AF124</f>
        <v>0</v>
      </c>
      <c r="AG124" s="5"/>
      <c r="AH124" s="42">
        <f>'[2]поточний ремонт'!AH124+'[1]поточний ремонт'!AH124</f>
        <v>441.48683077700599</v>
      </c>
      <c r="AI124" s="42">
        <f>'[2]поточний ремонт'!AI124+'[1]поточний ремонт'!AI124</f>
        <v>0</v>
      </c>
      <c r="AJ124" s="5"/>
      <c r="AK124" s="42">
        <f>'[2]поточний ремонт'!AK124+'[1]поточний ремонт'!AK124</f>
        <v>230.68632555026869</v>
      </c>
      <c r="AL124" s="42">
        <f>'[2]поточний ремонт'!AL124+'[1]поточний ремонт'!AL124</f>
        <v>1825.0324797898315</v>
      </c>
      <c r="AM124" s="5"/>
      <c r="AN124" s="42">
        <f>'[2]поточний ремонт'!AN124+'[1]поточний ремонт'!AN124</f>
        <v>0</v>
      </c>
      <c r="AO124" s="42">
        <f>'[2]поточний ремонт'!AO124+'[1]поточний ремонт'!AO124</f>
        <v>0</v>
      </c>
      <c r="AP124" s="5"/>
      <c r="AQ124" s="42">
        <f>'[2]поточний ремонт'!AQ124+'[1]поточний ремонт'!AQ124</f>
        <v>0</v>
      </c>
      <c r="AR124" s="42">
        <f>'[2]поточний ремонт'!AR124+'[1]поточний ремонт'!AR124</f>
        <v>0</v>
      </c>
      <c r="AS124" s="5"/>
      <c r="AT124" s="42">
        <f>'[2]поточний ремонт'!AT124+'[1]поточний ремонт'!AT124</f>
        <v>110.10525454596835</v>
      </c>
      <c r="AU124" s="42">
        <f>'[2]поточний ремонт'!AU124+'[1]поточний ремонт'!AU124</f>
        <v>0</v>
      </c>
      <c r="AV124" s="5"/>
      <c r="AW124" s="42">
        <f>'[2]поточний ремонт'!AW124+'[1]поточний ремонт'!AW124</f>
        <v>38.805764507289481</v>
      </c>
      <c r="AX124" s="42">
        <f>'[2]поточний ремонт'!AX124+'[1]поточний ремонт'!AX124</f>
        <v>0</v>
      </c>
      <c r="AY124" s="5"/>
      <c r="AZ124" s="42">
        <f t="shared" si="10"/>
        <v>1191.7502275860816</v>
      </c>
      <c r="BA124" s="42">
        <f t="shared" si="11"/>
        <v>1825.0324797898315</v>
      </c>
      <c r="BB124" s="58">
        <f t="shared" si="12"/>
        <v>633.28225220374998</v>
      </c>
      <c r="BD124" s="2">
        <v>2</v>
      </c>
      <c r="BF124" s="29">
        <v>0.66031935886713244</v>
      </c>
      <c r="BG124" s="318">
        <v>150000604</v>
      </c>
      <c r="BI124" s="104">
        <v>0</v>
      </c>
      <c r="BJ124" s="104">
        <f t="shared" si="13"/>
        <v>0</v>
      </c>
      <c r="BK124" s="104">
        <v>0</v>
      </c>
      <c r="BL124" s="38"/>
      <c r="BM124" s="3"/>
      <c r="BN124" s="3">
        <v>0</v>
      </c>
      <c r="BP124" s="3"/>
      <c r="BQ124" s="3"/>
      <c r="BS124" s="42"/>
      <c r="BT124" s="42">
        <v>0</v>
      </c>
      <c r="BU124" s="958"/>
      <c r="BV124" s="41"/>
      <c r="BW124" s="42"/>
      <c r="BX124" s="36"/>
      <c r="BY124" s="76"/>
      <c r="BZ124" s="42">
        <v>0</v>
      </c>
      <c r="CA124" s="959"/>
      <c r="CB124" s="41">
        <v>0</v>
      </c>
      <c r="CC124" s="41">
        <v>0</v>
      </c>
      <c r="CD124" s="960"/>
      <c r="CE124" s="76">
        <v>0</v>
      </c>
      <c r="CF124" s="55"/>
      <c r="CG124" s="41">
        <v>0</v>
      </c>
      <c r="CH124" s="38">
        <v>0</v>
      </c>
      <c r="CI124" s="76">
        <v>0</v>
      </c>
      <c r="CJ124" s="55"/>
      <c r="CK124" s="955"/>
      <c r="CL124" s="950"/>
      <c r="CM124" s="955"/>
      <c r="CN124" s="950">
        <v>0</v>
      </c>
      <c r="CO124" s="76">
        <v>30.823549995773117</v>
      </c>
      <c r="CP124" s="42">
        <v>0</v>
      </c>
      <c r="CQ124" s="5"/>
      <c r="CR124" s="76">
        <v>37.11209666881458</v>
      </c>
      <c r="CS124" s="954">
        <v>0</v>
      </c>
      <c r="CT124" s="5"/>
      <c r="CU124" s="76">
        <v>18.740653605102914</v>
      </c>
      <c r="CV124" s="42">
        <v>0</v>
      </c>
      <c r="CW124" s="5"/>
      <c r="CX124" s="76">
        <v>0</v>
      </c>
      <c r="CY124" s="42">
        <v>0</v>
      </c>
      <c r="CZ124" s="5"/>
      <c r="DA124" s="76">
        <v>0</v>
      </c>
      <c r="DB124" s="42">
        <v>0</v>
      </c>
      <c r="DC124" s="5"/>
      <c r="DD124" s="76">
        <v>6.603222277517153</v>
      </c>
      <c r="DE124" s="42">
        <v>0</v>
      </c>
      <c r="DF124" s="5"/>
      <c r="DG124" s="76">
        <v>0</v>
      </c>
      <c r="DH124" s="42"/>
      <c r="DI124" s="5"/>
      <c r="DJ124" s="42">
        <v>93.279522547207762</v>
      </c>
      <c r="DK124" s="42">
        <f t="shared" si="14"/>
        <v>0</v>
      </c>
      <c r="DL124" s="58">
        <f t="shared" si="15"/>
        <v>-93.279522547207762</v>
      </c>
      <c r="DM124" s="2">
        <v>2</v>
      </c>
    </row>
    <row r="125" spans="1:117" ht="24.9" customHeight="1" x14ac:dyDescent="0.3">
      <c r="A125" s="318">
        <v>150000605</v>
      </c>
      <c r="B125" s="44" t="s">
        <v>155</v>
      </c>
      <c r="C125" s="956">
        <v>2</v>
      </c>
      <c r="D125" s="957" t="s">
        <v>454</v>
      </c>
      <c r="E125" s="949">
        <f>'побудинковий звіт'!E92</f>
        <v>300.7</v>
      </c>
      <c r="F125" s="950">
        <f>'побудинковий звіт'!AS92</f>
        <v>4324.8993794132557</v>
      </c>
      <c r="G125" s="950">
        <f t="shared" si="8"/>
        <v>0</v>
      </c>
      <c r="H125" s="950">
        <f t="shared" si="9"/>
        <v>-4324.8993794132557</v>
      </c>
      <c r="I125" s="42">
        <f>'[2]поточний ремонт'!I125+'[1]поточний ремонт'!I125</f>
        <v>0</v>
      </c>
      <c r="J125" s="42">
        <f>'[2]поточний ремонт'!J125+'[1]поточний ремонт'!J125</f>
        <v>0</v>
      </c>
      <c r="K125" s="958"/>
      <c r="L125" s="42">
        <f>'[2]поточний ремонт'!L125+'[1]поточний ремонт'!L125</f>
        <v>0</v>
      </c>
      <c r="M125" s="42">
        <f>'[2]поточний ремонт'!M125+'[1]поточний ремонт'!M125</f>
        <v>0</v>
      </c>
      <c r="N125" s="961"/>
      <c r="O125" s="42">
        <f>'[2]поточний ремонт'!O125+'[1]поточний ремонт'!O125</f>
        <v>0</v>
      </c>
      <c r="P125" s="42">
        <f>'[2]поточний ремонт'!P125+'[1]поточний ремонт'!P125</f>
        <v>0</v>
      </c>
      <c r="Q125" s="959"/>
      <c r="R125" s="42">
        <f>'[2]поточний ремонт'!R125+'[1]поточний ремонт'!R125</f>
        <v>0</v>
      </c>
      <c r="S125" s="42">
        <f>'[2]поточний ремонт'!S125+'[1]поточний ремонт'!S125</f>
        <v>0</v>
      </c>
      <c r="T125" s="960"/>
      <c r="U125" s="42">
        <f>'[2]поточний ремонт'!U125+'[1]поточний ремонт'!U125</f>
        <v>0</v>
      </c>
      <c r="V125" s="42">
        <f>'[2]поточний ремонт'!V125+'[1]поточний ремонт'!V125</f>
        <v>0</v>
      </c>
      <c r="W125" s="42">
        <f>'[2]поточний ремонт'!W125+'[1]поточний ремонт'!W125</f>
        <v>0</v>
      </c>
      <c r="X125" s="42">
        <f>'[2]поточний ремонт'!X125+'[1]поточний ремонт'!X125</f>
        <v>0</v>
      </c>
      <c r="Y125" s="42">
        <f>'[2]поточний ремонт'!Y125+'[1]поточний ремонт'!Y125</f>
        <v>0</v>
      </c>
      <c r="Z125" s="42">
        <f>'[2]поточний ремонт'!Z125+'[1]поточний ремонт'!Z125</f>
        <v>0</v>
      </c>
      <c r="AA125" s="42">
        <f>'[2]поточний ремонт'!AA125+'[1]поточний ремонт'!AA125</f>
        <v>0</v>
      </c>
      <c r="AB125" s="42">
        <f>'[2]поточний ремонт'!AB125+'[1]поточний ремонт'!AB125</f>
        <v>0</v>
      </c>
      <c r="AC125" s="42">
        <f>'[2]поточний ремонт'!AC125+'[1]поточний ремонт'!AC125</f>
        <v>0</v>
      </c>
      <c r="AD125" s="42">
        <f>'[2]поточний ремонт'!AD125+'[1]поточний ремонт'!AD125</f>
        <v>0</v>
      </c>
      <c r="AE125" s="42">
        <f>'[2]поточний ремонт'!AE125+'[1]поточний ремонт'!AE125</f>
        <v>342.49820521732323</v>
      </c>
      <c r="AF125" s="42">
        <f>'[2]поточний ремонт'!AF125+'[1]поточний ремонт'!AF125</f>
        <v>0</v>
      </c>
      <c r="AG125" s="5"/>
      <c r="AH125" s="42">
        <f>'[2]поточний ремонт'!AH125+'[1]поточний ремонт'!AH125</f>
        <v>510.24434400568691</v>
      </c>
      <c r="AI125" s="42">
        <f>'[2]поточний ремонт'!AI125+'[1]поточний ремонт'!AI125</f>
        <v>0</v>
      </c>
      <c r="AJ125" s="5"/>
      <c r="AK125" s="42">
        <f>'[2]поточний ремонт'!AK125+'[1]поточний ремонт'!AK125</f>
        <v>176.56613121223887</v>
      </c>
      <c r="AL125" s="42">
        <f>'[2]поточний ремонт'!AL125+'[1]поточний ремонт'!AL125</f>
        <v>0</v>
      </c>
      <c r="AM125" s="5"/>
      <c r="AN125" s="42">
        <f>'[2]поточний ремонт'!AN125+'[1]поточний ремонт'!AN125</f>
        <v>0</v>
      </c>
      <c r="AO125" s="42">
        <f>'[2]поточний ремонт'!AO125+'[1]поточний ремонт'!AO125</f>
        <v>0</v>
      </c>
      <c r="AP125" s="5"/>
      <c r="AQ125" s="42">
        <f>'[2]поточний ремонт'!AQ125+'[1]поточний ремонт'!AQ125</f>
        <v>0</v>
      </c>
      <c r="AR125" s="42">
        <f>'[2]поточний ремонт'!AR125+'[1]поточний ремонт'!AR125</f>
        <v>0</v>
      </c>
      <c r="AS125" s="5"/>
      <c r="AT125" s="42">
        <f>'[2]поточний ремонт'!AT125+'[1]поточний ремонт'!AT125</f>
        <v>105.00909122675914</v>
      </c>
      <c r="AU125" s="42">
        <f>'[2]поточний ремонт'!AU125+'[1]поточний ремонт'!AU125</f>
        <v>0</v>
      </c>
      <c r="AV125" s="5"/>
      <c r="AW125" s="42">
        <f>'[2]поточний ремонт'!AW125+'[1]поточний ремонт'!AW125</f>
        <v>38.805764507289481</v>
      </c>
      <c r="AX125" s="42">
        <f>'[2]поточний ремонт'!AX125+'[1]поточний ремонт'!AX125</f>
        <v>0</v>
      </c>
      <c r="AY125" s="5"/>
      <c r="AZ125" s="42">
        <f t="shared" si="10"/>
        <v>1173.1235361692977</v>
      </c>
      <c r="BA125" s="42">
        <f t="shared" si="11"/>
        <v>0</v>
      </c>
      <c r="BB125" s="58">
        <f t="shared" si="12"/>
        <v>-1173.1235361692977</v>
      </c>
      <c r="BD125" s="2">
        <v>2</v>
      </c>
      <c r="BF125" s="29">
        <v>0.55355239329936556</v>
      </c>
      <c r="BG125" s="318">
        <v>150000605</v>
      </c>
      <c r="BI125" s="104">
        <v>0</v>
      </c>
      <c r="BJ125" s="104">
        <f t="shared" si="13"/>
        <v>0</v>
      </c>
      <c r="BK125" s="104">
        <v>0</v>
      </c>
      <c r="BL125" s="38"/>
      <c r="BM125" s="3"/>
      <c r="BN125" s="3">
        <v>0</v>
      </c>
      <c r="BP125" s="3"/>
      <c r="BQ125" s="3"/>
      <c r="BS125" s="42"/>
      <c r="BT125" s="42">
        <v>0</v>
      </c>
      <c r="BU125" s="958"/>
      <c r="BV125" s="41"/>
      <c r="BW125" s="42"/>
      <c r="BX125" s="961"/>
      <c r="BY125" s="76"/>
      <c r="BZ125" s="42">
        <v>0</v>
      </c>
      <c r="CA125" s="959"/>
      <c r="CB125" s="41">
        <v>0</v>
      </c>
      <c r="CC125" s="41">
        <v>0</v>
      </c>
      <c r="CD125" s="960"/>
      <c r="CE125" s="76">
        <v>0</v>
      </c>
      <c r="CF125" s="55"/>
      <c r="CG125" s="41">
        <v>0</v>
      </c>
      <c r="CH125" s="38">
        <v>0</v>
      </c>
      <c r="CI125" s="76">
        <v>0</v>
      </c>
      <c r="CJ125" s="55"/>
      <c r="CK125" s="955"/>
      <c r="CL125" s="950"/>
      <c r="CM125" s="955"/>
      <c r="CN125" s="950">
        <v>0</v>
      </c>
      <c r="CO125" s="76">
        <v>31.312457875762227</v>
      </c>
      <c r="CP125" s="42">
        <v>0</v>
      </c>
      <c r="CQ125" s="5"/>
      <c r="CR125" s="76">
        <v>43.91977124591169</v>
      </c>
      <c r="CS125" s="954">
        <v>0</v>
      </c>
      <c r="CT125" s="5"/>
      <c r="CU125" s="76">
        <v>13.464853947341089</v>
      </c>
      <c r="CV125" s="42">
        <v>0</v>
      </c>
      <c r="CW125" s="5"/>
      <c r="CX125" s="76">
        <v>0</v>
      </c>
      <c r="CY125" s="42">
        <v>0</v>
      </c>
      <c r="CZ125" s="5"/>
      <c r="DA125" s="76">
        <v>0</v>
      </c>
      <c r="DB125" s="42">
        <v>0</v>
      </c>
      <c r="DC125" s="5"/>
      <c r="DD125" s="76">
        <v>4.9307126480382886</v>
      </c>
      <c r="DE125" s="42">
        <v>0</v>
      </c>
      <c r="DF125" s="5"/>
      <c r="DG125" s="76">
        <v>0</v>
      </c>
      <c r="DH125" s="42"/>
      <c r="DI125" s="5"/>
      <c r="DJ125" s="42">
        <v>93.627795717053303</v>
      </c>
      <c r="DK125" s="42">
        <f t="shared" si="14"/>
        <v>0</v>
      </c>
      <c r="DL125" s="58">
        <f t="shared" si="15"/>
        <v>-93.627795717053303</v>
      </c>
      <c r="DM125" s="2">
        <v>2</v>
      </c>
    </row>
    <row r="126" spans="1:117" ht="24.9" customHeight="1" x14ac:dyDescent="0.3">
      <c r="A126" s="318">
        <v>150000606</v>
      </c>
      <c r="B126" s="44" t="s">
        <v>156</v>
      </c>
      <c r="C126" s="956">
        <v>2</v>
      </c>
      <c r="D126" s="957" t="s">
        <v>454</v>
      </c>
      <c r="E126" s="949">
        <f>'побудинковий звіт'!E93</f>
        <v>8439.9</v>
      </c>
      <c r="F126" s="950">
        <f>'побудинковий звіт'!AS93</f>
        <v>173649.39269449894</v>
      </c>
      <c r="G126" s="950">
        <f t="shared" si="8"/>
        <v>3027.1912537052463</v>
      </c>
      <c r="H126" s="950">
        <f t="shared" si="9"/>
        <v>-170622.20144079369</v>
      </c>
      <c r="I126" s="42">
        <f>'[2]поточний ремонт'!I126+'[1]поточний ремонт'!I126</f>
        <v>2.85</v>
      </c>
      <c r="J126" s="42">
        <f>'[2]поточний ремонт'!J126+'[1]поточний ремонт'!J126</f>
        <v>2044.543127122223</v>
      </c>
      <c r="K126" s="958"/>
      <c r="L126" s="42">
        <f>'[2]поточний ремонт'!L126+'[1]поточний ремонт'!L126</f>
        <v>0</v>
      </c>
      <c r="M126" s="42">
        <f>'[2]поточний ремонт'!M126+'[1]поточний ремонт'!M126</f>
        <v>0</v>
      </c>
      <c r="N126" s="36"/>
      <c r="O126" s="42">
        <f>'[2]поточний ремонт'!O126+'[1]поточний ремонт'!O126</f>
        <v>0</v>
      </c>
      <c r="P126" s="42">
        <f>'[2]поточний ремонт'!P126+'[1]поточний ремонт'!P126</f>
        <v>0</v>
      </c>
      <c r="Q126" s="959"/>
      <c r="R126" s="42">
        <f>'[2]поточний ремонт'!R126+'[1]поточний ремонт'!R126</f>
        <v>0</v>
      </c>
      <c r="S126" s="42">
        <f>'[2]поточний ремонт'!S126+'[1]поточний ремонт'!S126</f>
        <v>0</v>
      </c>
      <c r="T126" s="960"/>
      <c r="U126" s="42">
        <f>'[2]поточний ремонт'!U126+'[1]поточний ремонт'!U126</f>
        <v>0</v>
      </c>
      <c r="V126" s="42">
        <f>'[2]поточний ремонт'!V126+'[1]поточний ремонт'!V126</f>
        <v>0</v>
      </c>
      <c r="W126" s="42">
        <f>'[2]поточний ремонт'!W126+'[1]поточний ремонт'!W126</f>
        <v>0</v>
      </c>
      <c r="X126" s="42">
        <f>'[2]поточний ремонт'!X126+'[1]поточний ремонт'!X126</f>
        <v>0</v>
      </c>
      <c r="Y126" s="42">
        <f>'[2]поточний ремонт'!Y126+'[1]поточний ремонт'!Y126</f>
        <v>0</v>
      </c>
      <c r="Z126" s="42">
        <f>'[2]поточний ремонт'!Z126+'[1]поточний ремонт'!Z126</f>
        <v>0</v>
      </c>
      <c r="AA126" s="42">
        <f>'[2]поточний ремонт'!AA126+'[1]поточний ремонт'!AA126</f>
        <v>0</v>
      </c>
      <c r="AB126" s="42">
        <f>'[2]поточний ремонт'!AB126+'[1]поточний ремонт'!AB126</f>
        <v>0</v>
      </c>
      <c r="AC126" s="42">
        <f>'[2]поточний ремонт'!AC126+'[1]поточний ремонт'!AC126</f>
        <v>0</v>
      </c>
      <c r="AD126" s="42">
        <f>'[2]поточний ремонт'!AD126+'[1]поточний ремонт'!AD126</f>
        <v>982.6481265830231</v>
      </c>
      <c r="AE126" s="42">
        <f>'[2]поточний ремонт'!AE126+'[1]поточний ремонт'!AE126</f>
        <v>703.46786092472928</v>
      </c>
      <c r="AF126" s="42">
        <f>'[2]поточний ремонт'!AF126+'[1]поточний ремонт'!AF126</f>
        <v>0</v>
      </c>
      <c r="AG126" s="5"/>
      <c r="AH126" s="42">
        <f>'[2]поточний ремонт'!AH126+'[1]поточний ремонт'!AH126</f>
        <v>917.74607801967932</v>
      </c>
      <c r="AI126" s="42">
        <f>'[2]поточний ремонт'!AI126+'[1]поточний ремонт'!AI126</f>
        <v>0</v>
      </c>
      <c r="AJ126" s="5"/>
      <c r="AK126" s="42">
        <f>'[2]поточний ремонт'!AK126+'[1]поточний ремонт'!AK126</f>
        <v>385.26608683117615</v>
      </c>
      <c r="AL126" s="42">
        <f>'[2]поточний ремонт'!AL126+'[1]поточний ремонт'!AL126</f>
        <v>663.8087342452958</v>
      </c>
      <c r="AM126" s="5"/>
      <c r="AN126" s="42">
        <f>'[2]поточний ремонт'!AN126+'[1]поточний ремонт'!AN126</f>
        <v>0</v>
      </c>
      <c r="AO126" s="42">
        <f>'[2]поточний ремонт'!AO126+'[1]поточний ремонт'!AO126</f>
        <v>0</v>
      </c>
      <c r="AP126" s="5"/>
      <c r="AQ126" s="42">
        <f>'[2]поточний ремонт'!AQ126+'[1]поточний ремонт'!AQ126</f>
        <v>0</v>
      </c>
      <c r="AR126" s="42">
        <f>'[2]поточний ремонт'!AR126+'[1]поточний ремонт'!AR126</f>
        <v>0</v>
      </c>
      <c r="AS126" s="5"/>
      <c r="AT126" s="42">
        <f>'[2]поточний ремонт'!AT126+'[1]поточний ремонт'!AT126</f>
        <v>390.88034090253365</v>
      </c>
      <c r="AU126" s="42">
        <f>'[2]поточний ремонт'!AU126+'[1]поточний ремонт'!AU126</f>
        <v>0</v>
      </c>
      <c r="AV126" s="5"/>
      <c r="AW126" s="42">
        <f>'[2]поточний ремонт'!AW126+'[1]поточний ремонт'!AW126</f>
        <v>73.031382193185095</v>
      </c>
      <c r="AX126" s="42">
        <f>'[2]поточний ремонт'!AX126+'[1]поточний ремонт'!AX126</f>
        <v>2694.642809421</v>
      </c>
      <c r="AY126" s="5"/>
      <c r="AZ126" s="42">
        <f t="shared" si="10"/>
        <v>2470.3917488713037</v>
      </c>
      <c r="BA126" s="42">
        <f t="shared" si="11"/>
        <v>3358.4515436662959</v>
      </c>
      <c r="BB126" s="58">
        <f t="shared" si="12"/>
        <v>888.05979479499229</v>
      </c>
      <c r="BD126" s="2">
        <v>2</v>
      </c>
      <c r="BF126" s="29">
        <v>1.1184971577537048</v>
      </c>
      <c r="BG126" s="318">
        <v>150000606</v>
      </c>
      <c r="BI126" s="104">
        <v>0</v>
      </c>
      <c r="BJ126" s="104">
        <f t="shared" si="13"/>
        <v>0</v>
      </c>
      <c r="BK126" s="104">
        <v>0</v>
      </c>
      <c r="BL126" s="38"/>
      <c r="BM126" s="3"/>
      <c r="BN126" s="3">
        <v>0</v>
      </c>
      <c r="BP126" s="3"/>
      <c r="BQ126" s="3"/>
      <c r="BS126" s="42"/>
      <c r="BT126" s="42">
        <v>0</v>
      </c>
      <c r="BU126" s="958"/>
      <c r="BV126" s="41"/>
      <c r="BW126" s="42"/>
      <c r="BX126" s="36"/>
      <c r="BY126" s="76"/>
      <c r="BZ126" s="42">
        <v>0</v>
      </c>
      <c r="CA126" s="959"/>
      <c r="CB126" s="41">
        <v>0</v>
      </c>
      <c r="CC126" s="41">
        <v>0</v>
      </c>
      <c r="CD126" s="960"/>
      <c r="CE126" s="76">
        <v>0</v>
      </c>
      <c r="CF126" s="55"/>
      <c r="CG126" s="41">
        <v>0</v>
      </c>
      <c r="CH126" s="38">
        <v>0</v>
      </c>
      <c r="CI126" s="76">
        <v>0</v>
      </c>
      <c r="CJ126" s="55"/>
      <c r="CK126" s="955"/>
      <c r="CL126" s="950"/>
      <c r="CM126" s="955"/>
      <c r="CN126" s="950">
        <v>0</v>
      </c>
      <c r="CO126" s="76">
        <v>64.915344776360584</v>
      </c>
      <c r="CP126" s="42">
        <v>0</v>
      </c>
      <c r="CQ126" s="5"/>
      <c r="CR126" s="76">
        <v>79.050766841872388</v>
      </c>
      <c r="CS126" s="954">
        <v>0</v>
      </c>
      <c r="CT126" s="5"/>
      <c r="CU126" s="76">
        <v>32.059977814750283</v>
      </c>
      <c r="CV126" s="42">
        <v>0</v>
      </c>
      <c r="CW126" s="5"/>
      <c r="CX126" s="76">
        <v>0</v>
      </c>
      <c r="CY126" s="42">
        <v>0</v>
      </c>
      <c r="CZ126" s="5"/>
      <c r="DA126" s="76">
        <v>0</v>
      </c>
      <c r="DB126" s="42">
        <v>0</v>
      </c>
      <c r="DC126" s="5"/>
      <c r="DD126" s="76">
        <v>14.816361579593538</v>
      </c>
      <c r="DE126" s="42">
        <v>0</v>
      </c>
      <c r="DF126" s="5"/>
      <c r="DG126" s="76">
        <v>0</v>
      </c>
      <c r="DH126" s="42"/>
      <c r="DI126" s="5"/>
      <c r="DJ126" s="42">
        <v>190.84245101257679</v>
      </c>
      <c r="DK126" s="42">
        <f t="shared" si="14"/>
        <v>0</v>
      </c>
      <c r="DL126" s="58">
        <f t="shared" si="15"/>
        <v>-190.84245101257679</v>
      </c>
      <c r="DM126" s="2">
        <v>2</v>
      </c>
    </row>
    <row r="127" spans="1:117" ht="24.9" customHeight="1" x14ac:dyDescent="0.3">
      <c r="A127" s="318">
        <v>150000607</v>
      </c>
      <c r="B127" s="44" t="s">
        <v>157</v>
      </c>
      <c r="C127" s="956">
        <v>2</v>
      </c>
      <c r="D127" s="957" t="s">
        <v>454</v>
      </c>
      <c r="E127" s="949">
        <f>'побудинковий звіт'!E94</f>
        <v>7612.5</v>
      </c>
      <c r="F127" s="950">
        <f>'побудинковий звіт'!AS94</f>
        <v>132690.40457643737</v>
      </c>
      <c r="G127" s="950">
        <f t="shared" si="8"/>
        <v>4146.265511210212</v>
      </c>
      <c r="H127" s="950">
        <f t="shared" si="9"/>
        <v>-128544.13906522717</v>
      </c>
      <c r="I127" s="42">
        <f>'[2]поточний ремонт'!I127+'[1]поточний ремонт'!I127</f>
        <v>0</v>
      </c>
      <c r="J127" s="42">
        <f>'[2]поточний ремонт'!J127+'[1]поточний ремонт'!J127</f>
        <v>0</v>
      </c>
      <c r="K127" s="958"/>
      <c r="L127" s="42">
        <f>'[2]поточний ремонт'!L127+'[1]поточний ремонт'!L127</f>
        <v>0</v>
      </c>
      <c r="M127" s="42">
        <f>'[2]поточний ремонт'!M127+'[1]поточний ремонт'!M127</f>
        <v>0</v>
      </c>
      <c r="N127" s="36"/>
      <c r="O127" s="42">
        <f>'[2]поточний ремонт'!O127+'[1]поточний ремонт'!O127</f>
        <v>0</v>
      </c>
      <c r="P127" s="42">
        <f>'[2]поточний ремонт'!P127+'[1]поточний ремонт'!P127</f>
        <v>0</v>
      </c>
      <c r="Q127" s="959"/>
      <c r="R127" s="42">
        <f>'[2]поточний ремонт'!R127+'[1]поточний ремонт'!R127</f>
        <v>0</v>
      </c>
      <c r="S127" s="42">
        <f>'[2]поточний ремонт'!S127+'[1]поточний ремонт'!S127</f>
        <v>0</v>
      </c>
      <c r="T127" s="960"/>
      <c r="U127" s="42">
        <f>'[2]поточний ремонт'!U127+'[1]поточний ремонт'!U127</f>
        <v>0</v>
      </c>
      <c r="V127" s="42">
        <f>'[2]поточний ремонт'!V127+'[1]поточний ремонт'!V127</f>
        <v>0</v>
      </c>
      <c r="W127" s="42">
        <f>'[2]поточний ремонт'!W127+'[1]поточний ремонт'!W127</f>
        <v>4</v>
      </c>
      <c r="X127" s="42">
        <f>'[2]поточний ремонт'!X127+'[1]поточний ремонт'!X127</f>
        <v>2537</v>
      </c>
      <c r="Y127" s="42">
        <f>'[2]поточний ремонт'!Y127+'[1]поточний ремонт'!Y127</f>
        <v>1609.265511210212</v>
      </c>
      <c r="Z127" s="42">
        <f>'[2]поточний ремонт'!Z127+'[1]поточний ремонт'!Z127</f>
        <v>0</v>
      </c>
      <c r="AA127" s="42">
        <f>'[2]поточний ремонт'!AA127+'[1]поточний ремонт'!AA127</f>
        <v>0</v>
      </c>
      <c r="AB127" s="42">
        <f>'[2]поточний ремонт'!AB127+'[1]поточний ремонт'!AB127</f>
        <v>0</v>
      </c>
      <c r="AC127" s="42">
        <f>'[2]поточний ремонт'!AC127+'[1]поточний ремонт'!AC127</f>
        <v>0</v>
      </c>
      <c r="AD127" s="42">
        <f>'[2]поточний ремонт'!AD127+'[1]поточний ремонт'!AD127</f>
        <v>0</v>
      </c>
      <c r="AE127" s="42">
        <f>'[2]поточний ремонт'!AE127+'[1]поточний ремонт'!AE127</f>
        <v>819.202632456836</v>
      </c>
      <c r="AF127" s="42">
        <f>'[2]поточний ремонт'!AF127+'[1]поточний ремонт'!AF127</f>
        <v>0</v>
      </c>
      <c r="AG127" s="5"/>
      <c r="AH127" s="42">
        <f>'[2]поточний ремонт'!AH127+'[1]поточний ремонт'!AH127</f>
        <v>1099.9561773600401</v>
      </c>
      <c r="AI127" s="42">
        <f>'[2]поточний ремонт'!AI127+'[1]поточний ремонт'!AI127</f>
        <v>0</v>
      </c>
      <c r="AJ127" s="5"/>
      <c r="AK127" s="42">
        <f>'[2]поточний ремонт'!AK127+'[1]поточний ремонт'!AK127</f>
        <v>601.7393475355143</v>
      </c>
      <c r="AL127" s="42">
        <f>'[2]поточний ремонт'!AL127+'[1]поточний ремонт'!AL127</f>
        <v>0</v>
      </c>
      <c r="AM127" s="5"/>
      <c r="AN127" s="42">
        <f>'[2]поточний ремонт'!AN127+'[1]поточний ремонт'!AN127</f>
        <v>0</v>
      </c>
      <c r="AO127" s="42">
        <f>'[2]поточний ремонт'!AO127+'[1]поточний ремонт'!AO127</f>
        <v>0</v>
      </c>
      <c r="AP127" s="5"/>
      <c r="AQ127" s="42">
        <f>'[2]поточний ремонт'!AQ127+'[1]поточний ремонт'!AQ127</f>
        <v>0</v>
      </c>
      <c r="AR127" s="42">
        <f>'[2]поточний ремонт'!AR127+'[1]поточний ремонт'!AR127</f>
        <v>0</v>
      </c>
      <c r="AS127" s="5"/>
      <c r="AT127" s="42">
        <f>'[2]поточний ремонт'!AT127+'[1]поточний ремонт'!AT127</f>
        <v>254.55701535764396</v>
      </c>
      <c r="AU127" s="42">
        <f>'[2]поточний ремонт'!AU127+'[1]поточний ремонт'!AU127</f>
        <v>0</v>
      </c>
      <c r="AV127" s="5"/>
      <c r="AW127" s="42">
        <f>'[2]поточний ремонт'!AW127+'[1]поточний ремонт'!AW127</f>
        <v>73.031382193185095</v>
      </c>
      <c r="AX127" s="42">
        <f>'[2]поточний ремонт'!AX127+'[1]поточний ремонт'!AX127</f>
        <v>5378.2915641319996</v>
      </c>
      <c r="AY127" s="5"/>
      <c r="AZ127" s="42">
        <f t="shared" si="10"/>
        <v>2848.4865549032197</v>
      </c>
      <c r="BA127" s="42">
        <f t="shared" si="11"/>
        <v>5378.2915641319996</v>
      </c>
      <c r="BB127" s="58">
        <f t="shared" si="12"/>
        <v>2529.8050092287799</v>
      </c>
      <c r="BD127" s="2">
        <v>2</v>
      </c>
      <c r="BF127" s="29">
        <v>1.4529654903804983</v>
      </c>
      <c r="BG127" s="318">
        <v>150000607</v>
      </c>
      <c r="BI127" s="104">
        <v>0</v>
      </c>
      <c r="BJ127" s="104">
        <f t="shared" si="13"/>
        <v>0</v>
      </c>
      <c r="BK127" s="104">
        <v>0</v>
      </c>
      <c r="BL127" s="38"/>
      <c r="BM127" s="3"/>
      <c r="BN127" s="3">
        <v>0</v>
      </c>
      <c r="BP127" s="3"/>
      <c r="BQ127" s="3"/>
      <c r="BS127" s="42"/>
      <c r="BT127" s="42">
        <v>0</v>
      </c>
      <c r="BU127" s="958"/>
      <c r="BV127" s="41"/>
      <c r="BW127" s="42"/>
      <c r="BX127" s="36"/>
      <c r="BY127" s="76"/>
      <c r="BZ127" s="42">
        <v>0</v>
      </c>
      <c r="CA127" s="959"/>
      <c r="CB127" s="41">
        <v>0</v>
      </c>
      <c r="CC127" s="41">
        <v>0</v>
      </c>
      <c r="CD127" s="960"/>
      <c r="CE127" s="76">
        <v>0</v>
      </c>
      <c r="CF127" s="55"/>
      <c r="CG127" s="41">
        <v>0</v>
      </c>
      <c r="CH127" s="38">
        <v>0</v>
      </c>
      <c r="CI127" s="76">
        <v>0</v>
      </c>
      <c r="CJ127" s="55"/>
      <c r="CK127" s="955"/>
      <c r="CL127" s="950"/>
      <c r="CM127" s="955"/>
      <c r="CN127" s="950">
        <v>0</v>
      </c>
      <c r="CO127" s="76">
        <v>68.436997775912687</v>
      </c>
      <c r="CP127" s="42">
        <v>0</v>
      </c>
      <c r="CQ127" s="5"/>
      <c r="CR127" s="76">
        <v>94.856066133218263</v>
      </c>
      <c r="CS127" s="954">
        <v>0</v>
      </c>
      <c r="CT127" s="5"/>
      <c r="CU127" s="76">
        <v>51.446319261431483</v>
      </c>
      <c r="CV127" s="42">
        <v>0</v>
      </c>
      <c r="CW127" s="5"/>
      <c r="CX127" s="76">
        <v>0</v>
      </c>
      <c r="CY127" s="42">
        <v>0</v>
      </c>
      <c r="CZ127" s="5"/>
      <c r="DA127" s="76">
        <v>0</v>
      </c>
      <c r="DB127" s="42">
        <v>0</v>
      </c>
      <c r="DC127" s="5"/>
      <c r="DD127" s="76">
        <v>14.816361579593538</v>
      </c>
      <c r="DE127" s="42">
        <v>0</v>
      </c>
      <c r="DF127" s="5"/>
      <c r="DG127" s="76">
        <v>0</v>
      </c>
      <c r="DH127" s="42"/>
      <c r="DI127" s="5"/>
      <c r="DJ127" s="42">
        <v>229.55574475015598</v>
      </c>
      <c r="DK127" s="42">
        <f t="shared" si="14"/>
        <v>0</v>
      </c>
      <c r="DL127" s="58">
        <f t="shared" si="15"/>
        <v>-229.55574475015598</v>
      </c>
      <c r="DM127" s="2">
        <v>2</v>
      </c>
    </row>
    <row r="128" spans="1:117" ht="24.9" customHeight="1" x14ac:dyDescent="0.3">
      <c r="A128" s="318">
        <v>150000608</v>
      </c>
      <c r="B128" s="44" t="s">
        <v>158</v>
      </c>
      <c r="C128" s="956">
        <v>2</v>
      </c>
      <c r="D128" s="957" t="s">
        <v>454</v>
      </c>
      <c r="E128" s="949">
        <f>'побудинковий звіт'!E95</f>
        <v>2492.3200000000002</v>
      </c>
      <c r="F128" s="950">
        <f>'побудинковий звіт'!AS95</f>
        <v>25342.725276278405</v>
      </c>
      <c r="G128" s="950">
        <f t="shared" si="8"/>
        <v>4253.4214024014063</v>
      </c>
      <c r="H128" s="950">
        <f t="shared" si="9"/>
        <v>-21089.303873876997</v>
      </c>
      <c r="I128" s="42">
        <f>'[2]поточний ремонт'!I128+'[1]поточний ремонт'!I128</f>
        <v>9.11</v>
      </c>
      <c r="J128" s="42">
        <f>'[2]поточний ремонт'!J128+'[1]поточний ремонт'!J128</f>
        <v>3972.4259860546335</v>
      </c>
      <c r="K128" s="958"/>
      <c r="L128" s="42">
        <f>'[2]поточний ремонт'!L128+'[1]поточний ремонт'!L128</f>
        <v>0</v>
      </c>
      <c r="M128" s="42">
        <f>'[2]поточний ремонт'!M128+'[1]поточний ремонт'!M128</f>
        <v>0</v>
      </c>
      <c r="N128" s="36"/>
      <c r="O128" s="42">
        <f>'[2]поточний ремонт'!O128+'[1]поточний ремонт'!O128</f>
        <v>0</v>
      </c>
      <c r="P128" s="42">
        <f>'[2]поточний ремонт'!P128+'[1]поточний ремонт'!P128</f>
        <v>0</v>
      </c>
      <c r="Q128" s="959"/>
      <c r="R128" s="42">
        <f>'[2]поточний ремонт'!R128+'[1]поточний ремонт'!R128</f>
        <v>0</v>
      </c>
      <c r="S128" s="42">
        <f>'[2]поточний ремонт'!S128+'[1]поточний ремонт'!S128</f>
        <v>0</v>
      </c>
      <c r="T128" s="960"/>
      <c r="U128" s="42">
        <f>'[2]поточний ремонт'!U128+'[1]поточний ремонт'!U128</f>
        <v>0</v>
      </c>
      <c r="V128" s="42">
        <f>'[2]поточний ремонт'!V128+'[1]поточний ремонт'!V128</f>
        <v>0</v>
      </c>
      <c r="W128" s="42">
        <f>'[2]поточний ремонт'!W128+'[1]поточний ремонт'!W128</f>
        <v>0</v>
      </c>
      <c r="X128" s="42">
        <f>'[2]поточний ремонт'!X128+'[1]поточний ремонт'!X128</f>
        <v>0</v>
      </c>
      <c r="Y128" s="42">
        <f>'[2]поточний ремонт'!Y128+'[1]поточний ремонт'!Y128</f>
        <v>0</v>
      </c>
      <c r="Z128" s="42">
        <f>'[2]поточний ремонт'!Z128+'[1]поточний ремонт'!Z128</f>
        <v>0</v>
      </c>
      <c r="AA128" s="42">
        <f>'[2]поточний ремонт'!AA128+'[1]поточний ремонт'!AA128</f>
        <v>0</v>
      </c>
      <c r="AB128" s="42">
        <f>'[2]поточний ремонт'!AB128+'[1]поточний ремонт'!AB128</f>
        <v>0</v>
      </c>
      <c r="AC128" s="42">
        <f>'[2]поточний ремонт'!AC128+'[1]поточний ремонт'!AC128</f>
        <v>0</v>
      </c>
      <c r="AD128" s="42">
        <f>'[2]поточний ремонт'!AD128+'[1]поточний ремонт'!AD128</f>
        <v>280.99541634677252</v>
      </c>
      <c r="AE128" s="42">
        <f>'[2]поточний ремонт'!AE128+'[1]поточний ремонт'!AE128</f>
        <v>623.19917306647301</v>
      </c>
      <c r="AF128" s="42">
        <f>'[2]поточний ремонт'!AF128+'[1]поточний ремонт'!AF128</f>
        <v>0</v>
      </c>
      <c r="AG128" s="5"/>
      <c r="AH128" s="42">
        <f>'[2]поточний ремонт'!AH128+'[1]поточний ремонт'!AH128</f>
        <v>915.80365569394144</v>
      </c>
      <c r="AI128" s="42">
        <f>'[2]поточний ремонт'!AI128+'[1]поточний ремонт'!AI128</f>
        <v>0</v>
      </c>
      <c r="AJ128" s="5"/>
      <c r="AK128" s="42">
        <f>'[2]поточний ремонт'!AK128+'[1]поточний ремонт'!AK128</f>
        <v>245.10777746199739</v>
      </c>
      <c r="AL128" s="42">
        <f>'[2]поточний ремонт'!AL128+'[1]поточний ремонт'!AL128</f>
        <v>0</v>
      </c>
      <c r="AM128" s="5"/>
      <c r="AN128" s="42">
        <f>'[2]поточний ремонт'!AN128+'[1]поточний ремонт'!AN128</f>
        <v>0</v>
      </c>
      <c r="AO128" s="42">
        <f>'[2]поточний ремонт'!AO128+'[1]поточний ремонт'!AO128</f>
        <v>0</v>
      </c>
      <c r="AP128" s="5"/>
      <c r="AQ128" s="42">
        <f>'[2]поточний ремонт'!AQ128+'[1]поточний ремонт'!AQ128</f>
        <v>0</v>
      </c>
      <c r="AR128" s="42">
        <f>'[2]поточний ремонт'!AR128+'[1]поточний ремонт'!AR128</f>
        <v>0</v>
      </c>
      <c r="AS128" s="5"/>
      <c r="AT128" s="42">
        <f>'[2]поточний ремонт'!AT128+'[1]поточний ремонт'!AT128</f>
        <v>167.26607307307998</v>
      </c>
      <c r="AU128" s="42">
        <f>'[2]поточний ремонт'!AU128+'[1]поточний ремонт'!AU128</f>
        <v>2663.3659014179279</v>
      </c>
      <c r="AV128" s="5"/>
      <c r="AW128" s="42">
        <f>'[2]поточний ремонт'!AW128+'[1]поточний ремонт'!AW128</f>
        <v>73.031382193185095</v>
      </c>
      <c r="AX128" s="42">
        <f>'[2]поточний ремонт'!AX128+'[1]поточний ремонт'!AX128</f>
        <v>1572.14982353</v>
      </c>
      <c r="AY128" s="5"/>
      <c r="AZ128" s="42">
        <f t="shared" si="10"/>
        <v>2024.408061488677</v>
      </c>
      <c r="BA128" s="42">
        <f t="shared" si="11"/>
        <v>4235.515724947928</v>
      </c>
      <c r="BB128" s="58">
        <f t="shared" si="12"/>
        <v>2211.1076634592509</v>
      </c>
      <c r="BD128" s="2">
        <v>2</v>
      </c>
      <c r="BF128" s="29">
        <v>0.85838595531918249</v>
      </c>
      <c r="BG128" s="318">
        <v>150000608</v>
      </c>
      <c r="BI128" s="104">
        <v>0</v>
      </c>
      <c r="BJ128" s="104">
        <f t="shared" si="13"/>
        <v>0</v>
      </c>
      <c r="BK128" s="104">
        <v>0</v>
      </c>
      <c r="BL128" s="38"/>
      <c r="BM128" s="3"/>
      <c r="BN128" s="3">
        <v>0</v>
      </c>
      <c r="BP128" s="3"/>
      <c r="BQ128" s="3"/>
      <c r="BS128" s="42"/>
      <c r="BT128" s="42">
        <v>0</v>
      </c>
      <c r="BU128" s="958"/>
      <c r="BV128" s="41"/>
      <c r="BW128" s="42"/>
      <c r="BX128" s="36"/>
      <c r="BY128" s="76"/>
      <c r="BZ128" s="42">
        <v>0</v>
      </c>
      <c r="CA128" s="959"/>
      <c r="CB128" s="41">
        <v>0</v>
      </c>
      <c r="CC128" s="41">
        <v>0</v>
      </c>
      <c r="CD128" s="960"/>
      <c r="CE128" s="76">
        <v>0</v>
      </c>
      <c r="CF128" s="55"/>
      <c r="CG128" s="41">
        <v>0</v>
      </c>
      <c r="CH128" s="38">
        <v>0</v>
      </c>
      <c r="CI128" s="76">
        <v>0</v>
      </c>
      <c r="CJ128" s="55"/>
      <c r="CK128" s="955"/>
      <c r="CL128" s="950"/>
      <c r="CM128" s="955"/>
      <c r="CN128" s="950">
        <v>0</v>
      </c>
      <c r="CO128" s="76">
        <v>52.368240658970002</v>
      </c>
      <c r="CP128" s="42">
        <v>0</v>
      </c>
      <c r="CQ128" s="5"/>
      <c r="CR128" s="76">
        <v>79.390663181562786</v>
      </c>
      <c r="CS128" s="954">
        <v>0</v>
      </c>
      <c r="CT128" s="5"/>
      <c r="CU128" s="76">
        <v>19.501850291599844</v>
      </c>
      <c r="CV128" s="42">
        <v>0</v>
      </c>
      <c r="CW128" s="5"/>
      <c r="CX128" s="76">
        <v>0</v>
      </c>
      <c r="CY128" s="42">
        <v>0</v>
      </c>
      <c r="CZ128" s="5"/>
      <c r="DA128" s="76">
        <v>0</v>
      </c>
      <c r="DB128" s="42">
        <v>0</v>
      </c>
      <c r="DC128" s="5"/>
      <c r="DD128" s="76">
        <v>9.885650556902343</v>
      </c>
      <c r="DE128" s="42">
        <v>0</v>
      </c>
      <c r="DF128" s="5"/>
      <c r="DG128" s="76">
        <v>0</v>
      </c>
      <c r="DH128" s="42"/>
      <c r="DI128" s="5"/>
      <c r="DJ128" s="42">
        <v>161.14640468903497</v>
      </c>
      <c r="DK128" s="42">
        <f t="shared" si="14"/>
        <v>0</v>
      </c>
      <c r="DL128" s="58">
        <f t="shared" si="15"/>
        <v>-161.14640468903497</v>
      </c>
      <c r="DM128" s="2">
        <v>2</v>
      </c>
    </row>
    <row r="129" spans="1:117" ht="24.9" customHeight="1" x14ac:dyDescent="0.3">
      <c r="A129" s="318">
        <v>150000609</v>
      </c>
      <c r="B129" s="44" t="s">
        <v>159</v>
      </c>
      <c r="C129" s="956">
        <v>2</v>
      </c>
      <c r="D129" s="957" t="s">
        <v>454</v>
      </c>
      <c r="E129" s="949">
        <f>'побудинковий звіт'!E96</f>
        <v>11379.7</v>
      </c>
      <c r="F129" s="950">
        <f>'побудинковий звіт'!AS96</f>
        <v>204972.64041675886</v>
      </c>
      <c r="G129" s="950">
        <f t="shared" si="8"/>
        <v>0</v>
      </c>
      <c r="H129" s="950">
        <f t="shared" si="9"/>
        <v>-204972.64041675886</v>
      </c>
      <c r="I129" s="42">
        <f>'[2]поточний ремонт'!I129+'[1]поточний ремонт'!I129</f>
        <v>0</v>
      </c>
      <c r="J129" s="42">
        <f>'[2]поточний ремонт'!J129+'[1]поточний ремонт'!J129</f>
        <v>0</v>
      </c>
      <c r="K129" s="958"/>
      <c r="L129" s="42">
        <f>'[2]поточний ремонт'!L129+'[1]поточний ремонт'!L129</f>
        <v>0</v>
      </c>
      <c r="M129" s="42">
        <f>'[2]поточний ремонт'!M129+'[1]поточний ремонт'!M129</f>
        <v>0</v>
      </c>
      <c r="N129" s="36"/>
      <c r="O129" s="42">
        <f>'[2]поточний ремонт'!O129+'[1]поточний ремонт'!O129</f>
        <v>0</v>
      </c>
      <c r="P129" s="42">
        <f>'[2]поточний ремонт'!P129+'[1]поточний ремонт'!P129</f>
        <v>0</v>
      </c>
      <c r="Q129" s="959"/>
      <c r="R129" s="42">
        <f>'[2]поточний ремонт'!R129+'[1]поточний ремонт'!R129</f>
        <v>0</v>
      </c>
      <c r="S129" s="42">
        <f>'[2]поточний ремонт'!S129+'[1]поточний ремонт'!S129</f>
        <v>0</v>
      </c>
      <c r="T129" s="960"/>
      <c r="U129" s="42">
        <f>'[2]поточний ремонт'!U129+'[1]поточний ремонт'!U129</f>
        <v>0</v>
      </c>
      <c r="V129" s="42">
        <f>'[2]поточний ремонт'!V129+'[1]поточний ремонт'!V129</f>
        <v>0</v>
      </c>
      <c r="W129" s="42">
        <f>'[2]поточний ремонт'!W129+'[1]поточний ремонт'!W129</f>
        <v>0</v>
      </c>
      <c r="X129" s="42">
        <f>'[2]поточний ремонт'!X129+'[1]поточний ремонт'!X129</f>
        <v>0</v>
      </c>
      <c r="Y129" s="42">
        <f>'[2]поточний ремонт'!Y129+'[1]поточний ремонт'!Y129</f>
        <v>0</v>
      </c>
      <c r="Z129" s="42">
        <f>'[2]поточний ремонт'!Z129+'[1]поточний ремонт'!Z129</f>
        <v>0</v>
      </c>
      <c r="AA129" s="42">
        <f>'[2]поточний ремонт'!AA129+'[1]поточний ремонт'!AA129</f>
        <v>0</v>
      </c>
      <c r="AB129" s="42">
        <f>'[2]поточний ремонт'!AB129+'[1]поточний ремонт'!AB129</f>
        <v>0</v>
      </c>
      <c r="AC129" s="42">
        <f>'[2]поточний ремонт'!AC129+'[1]поточний ремонт'!AC129</f>
        <v>0</v>
      </c>
      <c r="AD129" s="42">
        <f>'[2]поточний ремонт'!AD129+'[1]поточний ремонт'!AD129</f>
        <v>0</v>
      </c>
      <c r="AE129" s="42">
        <f>'[2]поточний ремонт'!AE129+'[1]поточний ремонт'!AE129</f>
        <v>434.15732244098905</v>
      </c>
      <c r="AF129" s="42">
        <f>'[2]поточний ремонт'!AF129+'[1]поточний ремонт'!AF129</f>
        <v>0</v>
      </c>
      <c r="AG129" s="5"/>
      <c r="AH129" s="42">
        <f>'[2]поточний ремонт'!AH129+'[1]поточний ремонт'!AH129</f>
        <v>883.92614231852451</v>
      </c>
      <c r="AI129" s="42">
        <f>'[2]поточний ремонт'!AI129+'[1]поточний ремонт'!AI129</f>
        <v>0</v>
      </c>
      <c r="AJ129" s="5"/>
      <c r="AK129" s="42">
        <f>'[2]поточний ремонт'!AK129+'[1]поточний ремонт'!AK129</f>
        <v>228.20677869284555</v>
      </c>
      <c r="AL129" s="42">
        <f>'[2]поточний ремонт'!AL129+'[1]поточний ремонт'!AL129</f>
        <v>0</v>
      </c>
      <c r="AM129" s="5"/>
      <c r="AN129" s="42">
        <f>'[2]поточний ремонт'!AN129+'[1]поточний ремонт'!AN129</f>
        <v>0</v>
      </c>
      <c r="AO129" s="42">
        <f>'[2]поточний ремонт'!AO129+'[1]поточний ремонт'!AO129</f>
        <v>0</v>
      </c>
      <c r="AP129" s="5"/>
      <c r="AQ129" s="42">
        <f>'[2]поточний ремонт'!AQ129+'[1]поточний ремонт'!AQ129</f>
        <v>0</v>
      </c>
      <c r="AR129" s="42">
        <f>'[2]поточний ремонт'!AR129+'[1]поточний ремонт'!AR129</f>
        <v>0</v>
      </c>
      <c r="AS129" s="5"/>
      <c r="AT129" s="42">
        <f>'[2]поточний ремонт'!AT129+'[1]поточний ремонт'!AT129</f>
        <v>223.55702359488615</v>
      </c>
      <c r="AU129" s="42">
        <f>'[2]поточний ремонт'!AU129+'[1]поточний ремонт'!AU129</f>
        <v>0</v>
      </c>
      <c r="AV129" s="5"/>
      <c r="AW129" s="42">
        <f>'[2]поточний ремонт'!AW129+'[1]поточний ремонт'!AW129</f>
        <v>31.214014296485885</v>
      </c>
      <c r="AX129" s="42">
        <f>'[2]поточний ремонт'!AX129+'[1]поточний ремонт'!AX129</f>
        <v>0</v>
      </c>
      <c r="AY129" s="5"/>
      <c r="AZ129" s="42">
        <f t="shared" si="10"/>
        <v>1801.0612813437313</v>
      </c>
      <c r="BA129" s="42">
        <f t="shared" si="11"/>
        <v>0</v>
      </c>
      <c r="BB129" s="58">
        <f t="shared" si="12"/>
        <v>-1801.0612813437313</v>
      </c>
      <c r="BD129" s="2">
        <v>2</v>
      </c>
      <c r="BF129" s="29">
        <v>0.67864939194340423</v>
      </c>
      <c r="BG129" s="318">
        <v>150000609</v>
      </c>
      <c r="BI129" s="104">
        <v>0</v>
      </c>
      <c r="BJ129" s="104">
        <f t="shared" si="13"/>
        <v>0</v>
      </c>
      <c r="BK129" s="104">
        <v>0</v>
      </c>
      <c r="BL129" s="38"/>
      <c r="BM129" s="3"/>
      <c r="BN129" s="3">
        <v>0</v>
      </c>
      <c r="BP129" s="3"/>
      <c r="BQ129" s="3"/>
      <c r="BS129" s="42"/>
      <c r="BT129" s="42">
        <v>0</v>
      </c>
      <c r="BU129" s="958"/>
      <c r="BV129" s="41"/>
      <c r="BW129" s="42"/>
      <c r="BX129" s="36"/>
      <c r="BY129" s="76"/>
      <c r="BZ129" s="42">
        <v>0</v>
      </c>
      <c r="CA129" s="959"/>
      <c r="CB129" s="41">
        <v>0</v>
      </c>
      <c r="CC129" s="41">
        <v>0</v>
      </c>
      <c r="CD129" s="960"/>
      <c r="CE129" s="76">
        <v>0</v>
      </c>
      <c r="CF129" s="55"/>
      <c r="CG129" s="41">
        <v>0</v>
      </c>
      <c r="CH129" s="38">
        <v>0</v>
      </c>
      <c r="CI129" s="76">
        <v>0</v>
      </c>
      <c r="CJ129" s="55"/>
      <c r="CK129" s="955"/>
      <c r="CL129" s="950"/>
      <c r="CM129" s="955"/>
      <c r="CN129" s="950">
        <v>0</v>
      </c>
      <c r="CO129" s="76">
        <v>37.189627316625085</v>
      </c>
      <c r="CP129" s="42">
        <v>0</v>
      </c>
      <c r="CQ129" s="5"/>
      <c r="CR129" s="76">
        <v>76.234473738452195</v>
      </c>
      <c r="CS129" s="954">
        <v>0</v>
      </c>
      <c r="CT129" s="5"/>
      <c r="CU129" s="76">
        <v>18.651574085234429</v>
      </c>
      <c r="CV129" s="42">
        <v>0</v>
      </c>
      <c r="CW129" s="5"/>
      <c r="CX129" s="76">
        <v>0</v>
      </c>
      <c r="CY129" s="42">
        <v>0</v>
      </c>
      <c r="CZ129" s="5"/>
      <c r="DA129" s="76">
        <v>0</v>
      </c>
      <c r="DB129" s="42">
        <v>0</v>
      </c>
      <c r="DC129" s="5"/>
      <c r="DD129" s="76">
        <v>9.885650556902343</v>
      </c>
      <c r="DE129" s="42">
        <v>0</v>
      </c>
      <c r="DF129" s="5"/>
      <c r="DG129" s="76">
        <v>0</v>
      </c>
      <c r="DH129" s="42"/>
      <c r="DI129" s="5"/>
      <c r="DJ129" s="42">
        <v>141.96132569721405</v>
      </c>
      <c r="DK129" s="42">
        <f t="shared" si="14"/>
        <v>0</v>
      </c>
      <c r="DL129" s="58">
        <f t="shared" si="15"/>
        <v>-141.96132569721405</v>
      </c>
      <c r="DM129" s="2">
        <v>2</v>
      </c>
    </row>
    <row r="130" spans="1:117" ht="24.9" customHeight="1" x14ac:dyDescent="0.3">
      <c r="A130" s="318">
        <v>150000610</v>
      </c>
      <c r="B130" s="44" t="s">
        <v>160</v>
      </c>
      <c r="C130" s="956">
        <v>2</v>
      </c>
      <c r="D130" s="957" t="s">
        <v>454</v>
      </c>
      <c r="E130" s="949">
        <f>'побудинковий звіт'!E97</f>
        <v>2481.34</v>
      </c>
      <c r="F130" s="950">
        <f>'побудинковий звіт'!AS97</f>
        <v>46934.956575439028</v>
      </c>
      <c r="G130" s="950">
        <f t="shared" si="8"/>
        <v>0</v>
      </c>
      <c r="H130" s="950">
        <f t="shared" si="9"/>
        <v>-46934.956575439028</v>
      </c>
      <c r="I130" s="42">
        <f>'[2]поточний ремонт'!I130+'[1]поточний ремонт'!I130</f>
        <v>0</v>
      </c>
      <c r="J130" s="42">
        <f>'[2]поточний ремонт'!J130+'[1]поточний ремонт'!J130</f>
        <v>0</v>
      </c>
      <c r="K130" s="962"/>
      <c r="L130" s="42">
        <f>'[2]поточний ремонт'!L130+'[1]поточний ремонт'!L130</f>
        <v>0</v>
      </c>
      <c r="M130" s="42">
        <f>'[2]поточний ремонт'!M130+'[1]поточний ремонт'!M130</f>
        <v>0</v>
      </c>
      <c r="N130" s="36"/>
      <c r="O130" s="42">
        <f>'[2]поточний ремонт'!O130+'[1]поточний ремонт'!O130</f>
        <v>0</v>
      </c>
      <c r="P130" s="42">
        <f>'[2]поточний ремонт'!P130+'[1]поточний ремонт'!P130</f>
        <v>0</v>
      </c>
      <c r="Q130" s="959"/>
      <c r="R130" s="42">
        <f>'[2]поточний ремонт'!R130+'[1]поточний ремонт'!R130</f>
        <v>0</v>
      </c>
      <c r="S130" s="42">
        <f>'[2]поточний ремонт'!S130+'[1]поточний ремонт'!S130</f>
        <v>0</v>
      </c>
      <c r="T130" s="960"/>
      <c r="U130" s="42">
        <f>'[2]поточний ремонт'!U130+'[1]поточний ремонт'!U130</f>
        <v>0</v>
      </c>
      <c r="V130" s="42">
        <f>'[2]поточний ремонт'!V130+'[1]поточний ремонт'!V130</f>
        <v>0</v>
      </c>
      <c r="W130" s="42">
        <f>'[2]поточний ремонт'!W130+'[1]поточний ремонт'!W130</f>
        <v>0</v>
      </c>
      <c r="X130" s="42">
        <f>'[2]поточний ремонт'!X130+'[1]поточний ремонт'!X130</f>
        <v>0</v>
      </c>
      <c r="Y130" s="42">
        <f>'[2]поточний ремонт'!Y130+'[1]поточний ремонт'!Y130</f>
        <v>0</v>
      </c>
      <c r="Z130" s="42">
        <f>'[2]поточний ремонт'!Z130+'[1]поточний ремонт'!Z130</f>
        <v>0</v>
      </c>
      <c r="AA130" s="42">
        <f>'[2]поточний ремонт'!AA130+'[1]поточний ремонт'!AA130</f>
        <v>0</v>
      </c>
      <c r="AB130" s="42">
        <f>'[2]поточний ремонт'!AB130+'[1]поточний ремонт'!AB130</f>
        <v>0</v>
      </c>
      <c r="AC130" s="42">
        <f>'[2]поточний ремонт'!AC130+'[1]поточний ремонт'!AC130</f>
        <v>0</v>
      </c>
      <c r="AD130" s="42">
        <f>'[2]поточний ремонт'!AD130+'[1]поточний ремонт'!AD130</f>
        <v>0</v>
      </c>
      <c r="AE130" s="42">
        <f>'[2]поточний ремонт'!AE130+'[1]поточний ремонт'!AE130</f>
        <v>546.00978128662439</v>
      </c>
      <c r="AF130" s="42">
        <f>'[2]поточний ремонт'!AF130+'[1]поточний ремонт'!AF130</f>
        <v>0</v>
      </c>
      <c r="AG130" s="5"/>
      <c r="AH130" s="42">
        <f>'[2]поточний ремонт'!AH130+'[1]поточний ремонт'!AH130</f>
        <v>756.17013285134806</v>
      </c>
      <c r="AI130" s="42">
        <f>'[2]поточний ремонт'!AI130+'[1]поточний ремонт'!AI130</f>
        <v>0</v>
      </c>
      <c r="AJ130" s="5"/>
      <c r="AK130" s="42">
        <f>'[2]поточний ремонт'!AK130+'[1]поточний ремонт'!AK130</f>
        <v>250.71291304919617</v>
      </c>
      <c r="AL130" s="42">
        <f>'[2]поточний ремонт'!AL130+'[1]поточний ремонт'!AL130</f>
        <v>0</v>
      </c>
      <c r="AM130" s="5"/>
      <c r="AN130" s="42">
        <f>'[2]поточний ремонт'!AN130+'[1]поточний ремонт'!AN130</f>
        <v>0</v>
      </c>
      <c r="AO130" s="42">
        <f>'[2]поточний ремонт'!AO130+'[1]поточний ремонт'!AO130</f>
        <v>0</v>
      </c>
      <c r="AP130" s="5"/>
      <c r="AQ130" s="42">
        <f>'[2]поточний ремонт'!AQ130+'[1]поточний ремонт'!AQ130</f>
        <v>0</v>
      </c>
      <c r="AR130" s="42">
        <f>'[2]поточний ремонт'!AR130+'[1]поточний ремонт'!AR130</f>
        <v>0</v>
      </c>
      <c r="AS130" s="5"/>
      <c r="AT130" s="42">
        <f>'[2]поточний ремонт'!AT130+'[1]поточний ремонт'!AT130</f>
        <v>228.46145773091354</v>
      </c>
      <c r="AU130" s="42">
        <f>'[2]поточний ремонт'!AU130+'[1]поточний ремонт'!AU130</f>
        <v>0</v>
      </c>
      <c r="AV130" s="905"/>
      <c r="AW130" s="42">
        <f>'[2]поточний ремонт'!AW130+'[1]поточний ремонт'!AW130</f>
        <v>31.214014296485885</v>
      </c>
      <c r="AX130" s="42">
        <f>'[2]поточний ремонт'!AX130+'[1]поточний ремонт'!AX130</f>
        <v>585.74381097000003</v>
      </c>
      <c r="AY130" s="5"/>
      <c r="AZ130" s="42">
        <f t="shared" si="10"/>
        <v>1812.568299214568</v>
      </c>
      <c r="BA130" s="42">
        <f t="shared" si="11"/>
        <v>585.74381097000003</v>
      </c>
      <c r="BB130" s="58">
        <f t="shared" si="12"/>
        <v>-1226.8244882445679</v>
      </c>
      <c r="BD130" s="2">
        <v>2</v>
      </c>
      <c r="BF130" s="29">
        <v>0.69405830421070847</v>
      </c>
      <c r="BG130" s="318">
        <v>150000610</v>
      </c>
      <c r="BI130" s="104">
        <v>0</v>
      </c>
      <c r="BJ130" s="104">
        <f t="shared" si="13"/>
        <v>0</v>
      </c>
      <c r="BK130" s="104">
        <v>0</v>
      </c>
      <c r="BL130" s="38"/>
      <c r="BM130" s="3"/>
      <c r="BN130" s="3">
        <v>0</v>
      </c>
      <c r="BP130" s="3"/>
      <c r="BQ130" s="3"/>
      <c r="BS130" s="42"/>
      <c r="BT130" s="42">
        <v>0</v>
      </c>
      <c r="BU130" s="962"/>
      <c r="BV130" s="41"/>
      <c r="BW130" s="42"/>
      <c r="BX130" s="36"/>
      <c r="BY130" s="76"/>
      <c r="BZ130" s="42">
        <v>0</v>
      </c>
      <c r="CA130" s="959"/>
      <c r="CB130" s="41">
        <v>0</v>
      </c>
      <c r="CC130" s="41">
        <v>0</v>
      </c>
      <c r="CD130" s="960"/>
      <c r="CE130" s="76">
        <v>0</v>
      </c>
      <c r="CF130" s="55"/>
      <c r="CG130" s="41">
        <v>0</v>
      </c>
      <c r="CH130" s="38">
        <v>0</v>
      </c>
      <c r="CI130" s="76">
        <v>0</v>
      </c>
      <c r="CJ130" s="55"/>
      <c r="CK130" s="955"/>
      <c r="CL130" s="950"/>
      <c r="CM130" s="955"/>
      <c r="CN130" s="950">
        <v>0</v>
      </c>
      <c r="CO130" s="76">
        <v>51.50061610868876</v>
      </c>
      <c r="CP130" s="42">
        <v>0</v>
      </c>
      <c r="CQ130" s="5"/>
      <c r="CR130" s="76">
        <v>63.585363890216911</v>
      </c>
      <c r="CS130" s="954">
        <v>0</v>
      </c>
      <c r="CT130" s="5"/>
      <c r="CU130" s="76">
        <v>18.440691263830832</v>
      </c>
      <c r="CV130" s="42">
        <v>0</v>
      </c>
      <c r="CW130" s="5"/>
      <c r="CX130" s="76">
        <v>0</v>
      </c>
      <c r="CY130" s="42">
        <v>0</v>
      </c>
      <c r="CZ130" s="5"/>
      <c r="DA130" s="76">
        <v>0</v>
      </c>
      <c r="DB130" s="42">
        <v>0</v>
      </c>
      <c r="DC130" s="5"/>
      <c r="DD130" s="76">
        <v>9.8856385409863776</v>
      </c>
      <c r="DE130" s="42">
        <v>0</v>
      </c>
      <c r="DF130" s="905"/>
      <c r="DG130" s="76">
        <v>0</v>
      </c>
      <c r="DH130" s="42"/>
      <c r="DI130" s="5"/>
      <c r="DJ130" s="42">
        <v>143.41230980372288</v>
      </c>
      <c r="DK130" s="42">
        <f t="shared" si="14"/>
        <v>0</v>
      </c>
      <c r="DL130" s="58">
        <f t="shared" si="15"/>
        <v>-143.41230980372288</v>
      </c>
      <c r="DM130" s="2">
        <v>2</v>
      </c>
    </row>
    <row r="131" spans="1:117" ht="24.9" customHeight="1" x14ac:dyDescent="0.3">
      <c r="A131" s="1015">
        <v>150000611</v>
      </c>
      <c r="B131" s="44" t="s">
        <v>195</v>
      </c>
      <c r="C131" s="956">
        <v>3</v>
      </c>
      <c r="D131" s="957" t="s">
        <v>454</v>
      </c>
      <c r="E131" s="949">
        <f>'побудинковий звіт'!E98</f>
        <v>11464.41</v>
      </c>
      <c r="F131" s="950">
        <f>'побудинковий звіт'!AS98</f>
        <v>209429.06272667303</v>
      </c>
      <c r="G131" s="950">
        <f t="shared" si="8"/>
        <v>0</v>
      </c>
      <c r="H131" s="950">
        <f t="shared" si="9"/>
        <v>-209429.06272667303</v>
      </c>
      <c r="I131" s="42">
        <f>'[2]поточний ремонт'!I131+'[1]поточний ремонт'!I131</f>
        <v>0</v>
      </c>
      <c r="J131" s="42">
        <f>'[2]поточний ремонт'!J131+'[1]поточний ремонт'!J131</f>
        <v>0</v>
      </c>
      <c r="K131" s="958"/>
      <c r="L131" s="42">
        <f>'[2]поточний ремонт'!L131+'[1]поточний ремонт'!L131</f>
        <v>0</v>
      </c>
      <c r="M131" s="42">
        <f>'[2]поточний ремонт'!M131+'[1]поточний ремонт'!M131</f>
        <v>0</v>
      </c>
      <c r="N131" s="36"/>
      <c r="O131" s="42">
        <f>'[2]поточний ремонт'!O131+'[1]поточний ремонт'!O131</f>
        <v>0</v>
      </c>
      <c r="P131" s="42">
        <f>'[2]поточний ремонт'!P131+'[1]поточний ремонт'!P131</f>
        <v>0</v>
      </c>
      <c r="Q131" s="959"/>
      <c r="R131" s="42">
        <f>'[2]поточний ремонт'!R131+'[1]поточний ремонт'!R131</f>
        <v>0</v>
      </c>
      <c r="S131" s="42">
        <f>'[2]поточний ремонт'!S131+'[1]поточний ремонт'!S131</f>
        <v>0</v>
      </c>
      <c r="T131" s="960"/>
      <c r="U131" s="42">
        <f>'[2]поточний ремонт'!U131+'[1]поточний ремонт'!U131</f>
        <v>0</v>
      </c>
      <c r="V131" s="42">
        <f>'[2]поточний ремонт'!V131+'[1]поточний ремонт'!V131</f>
        <v>0</v>
      </c>
      <c r="W131" s="42">
        <f>'[2]поточний ремонт'!W131+'[1]поточний ремонт'!W131</f>
        <v>0</v>
      </c>
      <c r="X131" s="42">
        <f>'[2]поточний ремонт'!X131+'[1]поточний ремонт'!X131</f>
        <v>0</v>
      </c>
      <c r="Y131" s="42">
        <f>'[2]поточний ремонт'!Y131+'[1]поточний ремонт'!Y131</f>
        <v>0</v>
      </c>
      <c r="Z131" s="42">
        <f>'[2]поточний ремонт'!Z131+'[1]поточний ремонт'!Z131</f>
        <v>0</v>
      </c>
      <c r="AA131" s="42">
        <f>'[2]поточний ремонт'!AA131+'[1]поточний ремонт'!AA131</f>
        <v>0</v>
      </c>
      <c r="AB131" s="42">
        <f>'[2]поточний ремонт'!AB131+'[1]поточний ремонт'!AB131</f>
        <v>0</v>
      </c>
      <c r="AC131" s="42">
        <f>'[2]поточний ремонт'!AC131+'[1]поточний ремонт'!AC131</f>
        <v>0</v>
      </c>
      <c r="AD131" s="42">
        <f>'[2]поточний ремонт'!AD131+'[1]поточний ремонт'!AD131</f>
        <v>0</v>
      </c>
      <c r="AE131" s="42">
        <f>'[2]поточний ремонт'!AE131+'[1]поточний ремонт'!AE131</f>
        <v>774.3198092969883</v>
      </c>
      <c r="AF131" s="42">
        <f>'[2]поточний ремонт'!AF131+'[1]поточний ремонт'!AF131</f>
        <v>0</v>
      </c>
      <c r="AG131" s="5"/>
      <c r="AH131" s="42">
        <f>'[2]поточний ремонт'!AH131+'[1]поточний ремонт'!AH131</f>
        <v>1212.1269276697378</v>
      </c>
      <c r="AI131" s="42">
        <f>'[2]поточний ремонт'!AI131+'[1]поточний ремонт'!AI131</f>
        <v>0</v>
      </c>
      <c r="AJ131" s="5"/>
      <c r="AK131" s="42">
        <f>'[2]поточний ремонт'!AK131+'[1]поточний ремонт'!AK131</f>
        <v>753.47323811125602</v>
      </c>
      <c r="AL131" s="42">
        <f>'[2]поточний ремонт'!AL131+'[1]поточний ремонт'!AL131</f>
        <v>0</v>
      </c>
      <c r="AM131" s="5"/>
      <c r="AN131" s="42">
        <f>'[2]поточний ремонт'!AN131+'[1]поточний ремонт'!AN131</f>
        <v>0</v>
      </c>
      <c r="AO131" s="42">
        <f>'[2]поточний ремонт'!AO131+'[1]поточний ремонт'!AO131</f>
        <v>0</v>
      </c>
      <c r="AP131" s="5"/>
      <c r="AQ131" s="42">
        <f>'[2]поточний ремонт'!AQ131+'[1]поточний ремонт'!AQ131</f>
        <v>49.622889587144876</v>
      </c>
      <c r="AR131" s="42">
        <f>'[2]поточний ремонт'!AR131+'[1]поточний ремонт'!AR131</f>
        <v>0</v>
      </c>
      <c r="AS131" s="5"/>
      <c r="AT131" s="42">
        <f>'[2]поточний ремонт'!AT131+'[1]поточний ремонт'!AT131</f>
        <v>339.50483895786778</v>
      </c>
      <c r="AU131" s="42">
        <f>'[2]поточний ремонт'!AU131+'[1]поточний ремонт'!AU131</f>
        <v>0</v>
      </c>
      <c r="AV131" s="5"/>
      <c r="AW131" s="42">
        <f>'[2]поточний ремонт'!AW131+'[1]поточний ремонт'!AW131</f>
        <v>81.940708886855418</v>
      </c>
      <c r="AX131" s="42">
        <f>'[2]поточний ремонт'!AX131+'[1]поточний ремонт'!AX131</f>
        <v>0</v>
      </c>
      <c r="AY131" s="5"/>
      <c r="AZ131" s="42">
        <f t="shared" si="10"/>
        <v>3210.9884125098506</v>
      </c>
      <c r="BA131" s="42">
        <f t="shared" si="11"/>
        <v>0</v>
      </c>
      <c r="BB131" s="58">
        <f t="shared" si="12"/>
        <v>-3210.9884125098506</v>
      </c>
      <c r="BD131" s="2">
        <v>2</v>
      </c>
      <c r="BF131" s="29">
        <v>1.618300928168066</v>
      </c>
      <c r="BG131" s="1015">
        <v>150000611</v>
      </c>
      <c r="BI131" s="104">
        <v>0</v>
      </c>
      <c r="BJ131" s="104">
        <f t="shared" si="13"/>
        <v>0</v>
      </c>
      <c r="BK131" s="104">
        <v>0</v>
      </c>
      <c r="BL131" s="38"/>
      <c r="BM131" s="3"/>
      <c r="BN131" s="3">
        <v>0</v>
      </c>
      <c r="BP131" s="3"/>
      <c r="BQ131" s="3"/>
      <c r="BS131" s="42"/>
      <c r="BT131" s="42">
        <v>0</v>
      </c>
      <c r="BU131" s="958"/>
      <c r="BV131" s="41"/>
      <c r="BW131" s="42"/>
      <c r="BX131" s="36"/>
      <c r="BY131" s="76"/>
      <c r="BZ131" s="42">
        <v>0</v>
      </c>
      <c r="CA131" s="959"/>
      <c r="CB131" s="41">
        <v>0</v>
      </c>
      <c r="CC131" s="41">
        <v>0</v>
      </c>
      <c r="CD131" s="960"/>
      <c r="CE131" s="76">
        <v>0</v>
      </c>
      <c r="CF131" s="55"/>
      <c r="CG131" s="41">
        <v>0</v>
      </c>
      <c r="CH131" s="38">
        <v>0</v>
      </c>
      <c r="CI131" s="76">
        <v>0</v>
      </c>
      <c r="CJ131" s="964"/>
      <c r="CK131" s="955"/>
      <c r="CL131" s="950"/>
      <c r="CM131" s="955"/>
      <c r="CN131" s="950">
        <v>0</v>
      </c>
      <c r="CO131" s="76">
        <v>64.048627957001514</v>
      </c>
      <c r="CP131" s="42">
        <v>0</v>
      </c>
      <c r="CQ131" s="5"/>
      <c r="CR131" s="76">
        <v>104.89765025168121</v>
      </c>
      <c r="CS131" s="954">
        <v>0</v>
      </c>
      <c r="CT131" s="5"/>
      <c r="CU131" s="76">
        <v>66.175846957186351</v>
      </c>
      <c r="CV131" s="42">
        <v>0</v>
      </c>
      <c r="CW131" s="5"/>
      <c r="CX131" s="76">
        <v>0</v>
      </c>
      <c r="CY131" s="42">
        <v>0</v>
      </c>
      <c r="CZ131" s="5"/>
      <c r="DA131" s="76">
        <v>0</v>
      </c>
      <c r="DB131" s="42">
        <v>0</v>
      </c>
      <c r="DC131" s="5"/>
      <c r="DD131" s="76">
        <v>17.958097949756905</v>
      </c>
      <c r="DE131" s="42">
        <v>0</v>
      </c>
      <c r="DF131" s="5"/>
      <c r="DG131" s="76">
        <v>0</v>
      </c>
      <c r="DH131" s="42"/>
      <c r="DI131" s="5"/>
      <c r="DJ131" s="42">
        <v>253.08022311562598</v>
      </c>
      <c r="DK131" s="42">
        <f t="shared" si="14"/>
        <v>0</v>
      </c>
      <c r="DL131" s="58">
        <f t="shared" si="15"/>
        <v>-253.08022311562598</v>
      </c>
      <c r="DM131" s="2">
        <v>2</v>
      </c>
    </row>
    <row r="132" spans="1:117" ht="24.9" customHeight="1" x14ac:dyDescent="0.3">
      <c r="A132" s="318">
        <v>150000623</v>
      </c>
      <c r="B132" s="44" t="s">
        <v>209</v>
      </c>
      <c r="C132" s="956">
        <v>4</v>
      </c>
      <c r="D132" s="957" t="s">
        <v>454</v>
      </c>
      <c r="E132" s="949">
        <f>'побудинковий звіт'!E99</f>
        <v>216</v>
      </c>
      <c r="F132" s="950">
        <f>'побудинковий звіт'!AS99</f>
        <v>3647.2843499020664</v>
      </c>
      <c r="G132" s="950">
        <f t="shared" si="8"/>
        <v>0</v>
      </c>
      <c r="H132" s="950">
        <f t="shared" si="9"/>
        <v>-3647.2843499020664</v>
      </c>
      <c r="I132" s="42">
        <f>'[2]поточний ремонт'!I132+'[1]поточний ремонт'!I132</f>
        <v>0</v>
      </c>
      <c r="J132" s="42">
        <f>'[2]поточний ремонт'!J132+'[1]поточний ремонт'!J132</f>
        <v>0</v>
      </c>
      <c r="K132" s="958"/>
      <c r="L132" s="42">
        <f>'[2]поточний ремонт'!L132+'[1]поточний ремонт'!L132</f>
        <v>0</v>
      </c>
      <c r="M132" s="42">
        <f>'[2]поточний ремонт'!M132+'[1]поточний ремонт'!M132</f>
        <v>0</v>
      </c>
      <c r="N132" s="36"/>
      <c r="O132" s="42">
        <f>'[2]поточний ремонт'!O132+'[1]поточний ремонт'!O132</f>
        <v>0</v>
      </c>
      <c r="P132" s="42">
        <f>'[2]поточний ремонт'!P132+'[1]поточний ремонт'!P132</f>
        <v>0</v>
      </c>
      <c r="Q132" s="959"/>
      <c r="R132" s="42">
        <f>'[2]поточний ремонт'!R132+'[1]поточний ремонт'!R132</f>
        <v>0</v>
      </c>
      <c r="S132" s="42">
        <f>'[2]поточний ремонт'!S132+'[1]поточний ремонт'!S132</f>
        <v>0</v>
      </c>
      <c r="T132" s="960"/>
      <c r="U132" s="42">
        <f>'[2]поточний ремонт'!U132+'[1]поточний ремонт'!U132</f>
        <v>0</v>
      </c>
      <c r="V132" s="42">
        <f>'[2]поточний ремонт'!V132+'[1]поточний ремонт'!V132</f>
        <v>0</v>
      </c>
      <c r="W132" s="42">
        <f>'[2]поточний ремонт'!W132+'[1]поточний ремонт'!W132</f>
        <v>0</v>
      </c>
      <c r="X132" s="42">
        <f>'[2]поточний ремонт'!X132+'[1]поточний ремонт'!X132</f>
        <v>0</v>
      </c>
      <c r="Y132" s="42">
        <f>'[2]поточний ремонт'!Y132+'[1]поточний ремонт'!Y132</f>
        <v>0</v>
      </c>
      <c r="Z132" s="42">
        <f>'[2]поточний ремонт'!Z132+'[1]поточний ремонт'!Z132</f>
        <v>0</v>
      </c>
      <c r="AA132" s="42">
        <f>'[2]поточний ремонт'!AA132+'[1]поточний ремонт'!AA132</f>
        <v>0</v>
      </c>
      <c r="AB132" s="42">
        <f>'[2]поточний ремонт'!AB132+'[1]поточний ремонт'!AB132</f>
        <v>0</v>
      </c>
      <c r="AC132" s="42">
        <f>'[2]поточний ремонт'!AC132+'[1]поточний ремонт'!AC132</f>
        <v>0</v>
      </c>
      <c r="AD132" s="42">
        <f>'[2]поточний ремонт'!AD132+'[1]поточний ремонт'!AD132</f>
        <v>0</v>
      </c>
      <c r="AE132" s="42">
        <f>'[2]поточний ремонт'!AE132+'[1]поточний ремонт'!AE132</f>
        <v>944.6206696723757</v>
      </c>
      <c r="AF132" s="42">
        <f>'[2]поточний ремонт'!AF132+'[1]поточний ремонт'!AF132</f>
        <v>0</v>
      </c>
      <c r="AG132" s="9"/>
      <c r="AH132" s="42">
        <f>'[2]поточний ремонт'!AH132+'[1]поточний ремонт'!AH132</f>
        <v>1269.3698221808559</v>
      </c>
      <c r="AI132" s="42">
        <f>'[2]поточний ремонт'!AI132+'[1]поточний ремонт'!AI132</f>
        <v>0</v>
      </c>
      <c r="AJ132" s="5"/>
      <c r="AK132" s="42">
        <f>'[2]поточний ремонт'!AK132+'[1]поточний ремонт'!AK132</f>
        <v>1036.885692392148</v>
      </c>
      <c r="AL132" s="42">
        <f>'[2]поточний ремонт'!AL132+'[1]поточний ремонт'!AL132</f>
        <v>0</v>
      </c>
      <c r="AM132" s="5"/>
      <c r="AN132" s="42">
        <f>'[2]поточний ремонт'!AN132+'[1]поточний ремонт'!AN132</f>
        <v>0</v>
      </c>
      <c r="AO132" s="42">
        <f>'[2]поточний ремонт'!AO132+'[1]поточний ремонт'!AO132</f>
        <v>0</v>
      </c>
      <c r="AP132" s="5"/>
      <c r="AQ132" s="42">
        <f>'[2]поточний ремонт'!AQ132+'[1]поточний ремонт'!AQ132</f>
        <v>66.163852782859806</v>
      </c>
      <c r="AR132" s="42">
        <f>'[2]поточний ремонт'!AR132+'[1]поточний ремонт'!AR132</f>
        <v>0</v>
      </c>
      <c r="AS132" s="5"/>
      <c r="AT132" s="42">
        <f>'[2]поточний ремонт'!AT132+'[1]поточний ремонт'!AT132</f>
        <v>476.49333561030858</v>
      </c>
      <c r="AU132" s="42">
        <f>'[2]поточний ремонт'!AU132+'[1]поточний ремонт'!AU132</f>
        <v>591.10217486236036</v>
      </c>
      <c r="AV132" s="5"/>
      <c r="AW132" s="42">
        <f>'[2]поточний ремонт'!AW132+'[1]поточний ремонт'!AW132</f>
        <v>81.940708886855418</v>
      </c>
      <c r="AX132" s="42">
        <f>'[2]поточний ремонт'!AX132+'[1]поточний ремонт'!AX132</f>
        <v>0</v>
      </c>
      <c r="AY132" s="5"/>
      <c r="AZ132" s="42">
        <f t="shared" si="10"/>
        <v>3875.4740815254036</v>
      </c>
      <c r="BA132" s="42">
        <f t="shared" si="11"/>
        <v>591.10217486236036</v>
      </c>
      <c r="BB132" s="58">
        <f t="shared" si="12"/>
        <v>-3284.3719066630433</v>
      </c>
      <c r="BD132" s="2">
        <v>2</v>
      </c>
      <c r="BF132" s="29">
        <v>2.1487764670765874</v>
      </c>
      <c r="BG132" s="318">
        <v>150000623</v>
      </c>
      <c r="BI132" s="104">
        <v>0</v>
      </c>
      <c r="BJ132" s="104">
        <f t="shared" si="13"/>
        <v>0</v>
      </c>
      <c r="BK132" s="104">
        <v>0</v>
      </c>
      <c r="BL132" s="38"/>
      <c r="BM132" s="3"/>
      <c r="BN132" s="3">
        <v>0</v>
      </c>
      <c r="BP132" s="3"/>
      <c r="BQ132" s="3"/>
      <c r="BS132" s="42"/>
      <c r="BT132" s="42">
        <v>0</v>
      </c>
      <c r="BU132" s="958"/>
      <c r="BV132" s="41"/>
      <c r="BW132" s="42"/>
      <c r="BX132" s="36"/>
      <c r="BY132" s="76"/>
      <c r="BZ132" s="42">
        <v>0</v>
      </c>
      <c r="CA132" s="959"/>
      <c r="CB132" s="41">
        <v>0</v>
      </c>
      <c r="CC132" s="41">
        <v>0</v>
      </c>
      <c r="CD132" s="960"/>
      <c r="CE132" s="76">
        <v>0</v>
      </c>
      <c r="CF132" s="55"/>
      <c r="CG132" s="41">
        <v>0</v>
      </c>
      <c r="CH132" s="38">
        <v>0</v>
      </c>
      <c r="CI132" s="76">
        <v>0</v>
      </c>
      <c r="CJ132" s="55"/>
      <c r="CK132" s="955"/>
      <c r="CL132" s="950"/>
      <c r="CM132" s="955"/>
      <c r="CN132" s="950">
        <v>0</v>
      </c>
      <c r="CO132" s="76">
        <v>74.638014796919734</v>
      </c>
      <c r="CP132" s="42">
        <v>0</v>
      </c>
      <c r="CQ132" s="9"/>
      <c r="CR132" s="76">
        <v>100.48865234005868</v>
      </c>
      <c r="CS132" s="954">
        <v>0</v>
      </c>
      <c r="CT132" s="5"/>
      <c r="CU132" s="76">
        <v>83.35095844830397</v>
      </c>
      <c r="CV132" s="42">
        <v>0</v>
      </c>
      <c r="CW132" s="5"/>
      <c r="CX132" s="76">
        <v>0</v>
      </c>
      <c r="CY132" s="42">
        <v>0</v>
      </c>
      <c r="CZ132" s="5"/>
      <c r="DA132" s="76">
        <v>0</v>
      </c>
      <c r="DB132" s="42">
        <v>0</v>
      </c>
      <c r="DC132" s="5"/>
      <c r="DD132" s="76">
        <v>30.242693680127168</v>
      </c>
      <c r="DE132" s="42">
        <v>0</v>
      </c>
      <c r="DF132" s="5"/>
      <c r="DG132" s="76">
        <v>0</v>
      </c>
      <c r="DH132" s="42"/>
      <c r="DI132" s="5"/>
      <c r="DJ132" s="42">
        <v>288.72031926540956</v>
      </c>
      <c r="DK132" s="42">
        <f t="shared" si="14"/>
        <v>0</v>
      </c>
      <c r="DL132" s="58">
        <f t="shared" si="15"/>
        <v>-288.72031926540956</v>
      </c>
      <c r="DM132" s="2">
        <v>2</v>
      </c>
    </row>
    <row r="133" spans="1:117" ht="24.9" customHeight="1" x14ac:dyDescent="0.3">
      <c r="A133" s="318">
        <v>150000612</v>
      </c>
      <c r="B133" s="44" t="s">
        <v>161</v>
      </c>
      <c r="C133" s="956">
        <v>2</v>
      </c>
      <c r="D133" s="957" t="s">
        <v>454</v>
      </c>
      <c r="E133" s="949">
        <f>'побудинковий звіт'!E100</f>
        <v>216.8</v>
      </c>
      <c r="F133" s="950">
        <f>'побудинковий звіт'!AS100</f>
        <v>3130.2679352551518</v>
      </c>
      <c r="G133" s="950">
        <f t="shared" si="8"/>
        <v>0</v>
      </c>
      <c r="H133" s="950">
        <f t="shared" si="9"/>
        <v>-3130.2679352551518</v>
      </c>
      <c r="I133" s="42">
        <f>'[2]поточний ремонт'!I133+'[1]поточний ремонт'!I133</f>
        <v>0</v>
      </c>
      <c r="J133" s="42">
        <f>'[2]поточний ремонт'!J133+'[1]поточний ремонт'!J133</f>
        <v>0</v>
      </c>
      <c r="K133" s="958"/>
      <c r="L133" s="42">
        <f>'[2]поточний ремонт'!L133+'[1]поточний ремонт'!L133</f>
        <v>0</v>
      </c>
      <c r="M133" s="42">
        <f>'[2]поточний ремонт'!M133+'[1]поточний ремонт'!M133</f>
        <v>0</v>
      </c>
      <c r="N133" s="36"/>
      <c r="O133" s="42">
        <f>'[2]поточний ремонт'!O133+'[1]поточний ремонт'!O133</f>
        <v>0</v>
      </c>
      <c r="P133" s="42">
        <f>'[2]поточний ремонт'!P133+'[1]поточний ремонт'!P133</f>
        <v>0</v>
      </c>
      <c r="Q133" s="959"/>
      <c r="R133" s="42">
        <f>'[2]поточний ремонт'!R133+'[1]поточний ремонт'!R133</f>
        <v>0</v>
      </c>
      <c r="S133" s="42">
        <f>'[2]поточний ремонт'!S133+'[1]поточний ремонт'!S133</f>
        <v>0</v>
      </c>
      <c r="T133" s="960"/>
      <c r="U133" s="42">
        <f>'[2]поточний ремонт'!U133+'[1]поточний ремонт'!U133</f>
        <v>0</v>
      </c>
      <c r="V133" s="42">
        <f>'[2]поточний ремонт'!V133+'[1]поточний ремонт'!V133</f>
        <v>0</v>
      </c>
      <c r="W133" s="42">
        <f>'[2]поточний ремонт'!W133+'[1]поточний ремонт'!W133</f>
        <v>0</v>
      </c>
      <c r="X133" s="42">
        <f>'[2]поточний ремонт'!X133+'[1]поточний ремонт'!X133</f>
        <v>0</v>
      </c>
      <c r="Y133" s="42">
        <f>'[2]поточний ремонт'!Y133+'[1]поточний ремонт'!Y133</f>
        <v>0</v>
      </c>
      <c r="Z133" s="42">
        <f>'[2]поточний ремонт'!Z133+'[1]поточний ремонт'!Z133</f>
        <v>0</v>
      </c>
      <c r="AA133" s="42">
        <f>'[2]поточний ремонт'!AA133+'[1]поточний ремонт'!AA133</f>
        <v>0</v>
      </c>
      <c r="AB133" s="42">
        <f>'[2]поточний ремонт'!AB133+'[1]поточний ремонт'!AB133</f>
        <v>0</v>
      </c>
      <c r="AC133" s="42">
        <f>'[2]поточний ремонт'!AC133+'[1]поточний ремонт'!AC133</f>
        <v>0</v>
      </c>
      <c r="AD133" s="42">
        <f>'[2]поточний ремонт'!AD133+'[1]поточний ремонт'!AD133</f>
        <v>0</v>
      </c>
      <c r="AE133" s="42">
        <f>'[2]поточний ремонт'!AE133+'[1]поточний ремонт'!AE133</f>
        <v>387.02722355991682</v>
      </c>
      <c r="AF133" s="42">
        <f>'[2]поточний ремонт'!AF133+'[1]поточний ремонт'!AF133</f>
        <v>0</v>
      </c>
      <c r="AG133" s="5"/>
      <c r="AH133" s="42">
        <f>'[2]поточний ремонт'!AH133+'[1]поточний ремонт'!AH133</f>
        <v>862.5926189256711</v>
      </c>
      <c r="AI133" s="42">
        <f>'[2]поточний ремонт'!AI133+'[1]поточний ремонт'!AI133</f>
        <v>0</v>
      </c>
      <c r="AJ133" s="5"/>
      <c r="AK133" s="42">
        <f>'[2]поточний ремонт'!AK133+'[1]поточний ремонт'!AK133</f>
        <v>201.84956272075212</v>
      </c>
      <c r="AL133" s="42">
        <f>'[2]поточний ремонт'!AL133+'[1]поточний ремонт'!AL133</f>
        <v>0</v>
      </c>
      <c r="AM133" s="5"/>
      <c r="AN133" s="42">
        <f>'[2]поточний ремонт'!AN133+'[1]поточний ремонт'!AN133</f>
        <v>0</v>
      </c>
      <c r="AO133" s="42">
        <f>'[2]поточний ремонт'!AO133+'[1]поточний ремонт'!AO133</f>
        <v>0</v>
      </c>
      <c r="AP133" s="5"/>
      <c r="AQ133" s="42">
        <f>'[2]поточний ремонт'!AQ133+'[1]поточний ремонт'!AQ133</f>
        <v>0</v>
      </c>
      <c r="AR133" s="42">
        <f>'[2]поточний ремонт'!AR133+'[1]поточний ремонт'!AR133</f>
        <v>0</v>
      </c>
      <c r="AS133" s="5"/>
      <c r="AT133" s="42">
        <f>'[2]поточний ремонт'!AT133+'[1]поточний ремонт'!AT133</f>
        <v>225.66079584192843</v>
      </c>
      <c r="AU133" s="42">
        <f>'[2]поточний ремонт'!AU133+'[1]поточний ремонт'!AU133</f>
        <v>0</v>
      </c>
      <c r="AV133" s="5"/>
      <c r="AW133" s="42">
        <f>'[2]поточний ремонт'!AW133+'[1]поточний ремонт'!AW133</f>
        <v>31.214014296485885</v>
      </c>
      <c r="AX133" s="42">
        <f>'[2]поточний ремонт'!AX133+'[1]поточний ремонт'!AX133</f>
        <v>0</v>
      </c>
      <c r="AY133" s="5"/>
      <c r="AZ133" s="42">
        <f t="shared" si="10"/>
        <v>1708.3442153447543</v>
      </c>
      <c r="BA133" s="42">
        <f t="shared" si="11"/>
        <v>0</v>
      </c>
      <c r="BB133" s="58">
        <f t="shared" si="12"/>
        <v>-1708.3442153447543</v>
      </c>
      <c r="BD133" s="2">
        <v>2</v>
      </c>
      <c r="BF133" s="29">
        <v>0.72849831854843683</v>
      </c>
      <c r="BG133" s="318">
        <v>150000612</v>
      </c>
      <c r="BI133" s="104">
        <v>0</v>
      </c>
      <c r="BJ133" s="104">
        <f t="shared" si="13"/>
        <v>0</v>
      </c>
      <c r="BK133" s="104">
        <v>0</v>
      </c>
      <c r="BL133" s="38"/>
      <c r="BM133" s="3"/>
      <c r="BN133" s="3">
        <v>0</v>
      </c>
      <c r="BP133" s="3"/>
      <c r="BQ133" s="3"/>
      <c r="BS133" s="42"/>
      <c r="BT133" s="42">
        <v>0</v>
      </c>
      <c r="BU133" s="958"/>
      <c r="BV133" s="41"/>
      <c r="BW133" s="42"/>
      <c r="BX133" s="36"/>
      <c r="BY133" s="76"/>
      <c r="BZ133" s="42">
        <v>0</v>
      </c>
      <c r="CA133" s="959"/>
      <c r="CB133" s="41">
        <v>0</v>
      </c>
      <c r="CC133" s="41">
        <v>0</v>
      </c>
      <c r="CD133" s="960"/>
      <c r="CE133" s="76">
        <v>0</v>
      </c>
      <c r="CF133" s="55"/>
      <c r="CG133" s="41">
        <v>0</v>
      </c>
      <c r="CH133" s="38">
        <v>0</v>
      </c>
      <c r="CI133" s="76">
        <v>0</v>
      </c>
      <c r="CJ133" s="55"/>
      <c r="CK133" s="955"/>
      <c r="CL133" s="950"/>
      <c r="CM133" s="955"/>
      <c r="CN133" s="950">
        <v>0</v>
      </c>
      <c r="CO133" s="76">
        <v>33.396892982465303</v>
      </c>
      <c r="CP133" s="42">
        <v>0</v>
      </c>
      <c r="CQ133" s="5"/>
      <c r="CR133" s="76">
        <v>74.12224369955581</v>
      </c>
      <c r="CS133" s="954">
        <v>0</v>
      </c>
      <c r="CT133" s="5"/>
      <c r="CU133" s="76">
        <v>13.823258793407316</v>
      </c>
      <c r="CV133" s="42">
        <v>0</v>
      </c>
      <c r="CW133" s="5"/>
      <c r="CX133" s="76">
        <v>0</v>
      </c>
      <c r="CY133" s="42">
        <v>0</v>
      </c>
      <c r="CZ133" s="5"/>
      <c r="DA133" s="76">
        <v>0</v>
      </c>
      <c r="DB133" s="42">
        <v>0</v>
      </c>
      <c r="DC133" s="5"/>
      <c r="DD133" s="76">
        <v>9.885650556902343</v>
      </c>
      <c r="DE133" s="42">
        <v>0</v>
      </c>
      <c r="DF133" s="5"/>
      <c r="DG133" s="76">
        <v>0</v>
      </c>
      <c r="DH133" s="42"/>
      <c r="DI133" s="5"/>
      <c r="DJ133" s="42">
        <v>131.22804603233078</v>
      </c>
      <c r="DK133" s="42">
        <f t="shared" si="14"/>
        <v>0</v>
      </c>
      <c r="DL133" s="58">
        <f t="shared" si="15"/>
        <v>-131.22804603233078</v>
      </c>
      <c r="DM133" s="2">
        <v>2</v>
      </c>
    </row>
    <row r="134" spans="1:117" ht="24.9" customHeight="1" x14ac:dyDescent="0.3">
      <c r="A134" s="318">
        <v>150000613</v>
      </c>
      <c r="B134" s="44" t="s">
        <v>210</v>
      </c>
      <c r="C134" s="956">
        <v>4</v>
      </c>
      <c r="D134" s="957" t="s">
        <v>454</v>
      </c>
      <c r="E134" s="949">
        <f>'побудинковий звіт'!E101</f>
        <v>214.7</v>
      </c>
      <c r="F134" s="950">
        <f>'побудинковий звіт'!AS101</f>
        <v>3121.5454364709653</v>
      </c>
      <c r="G134" s="950">
        <f t="shared" si="8"/>
        <v>8161.6750204002765</v>
      </c>
      <c r="H134" s="950">
        <f t="shared" si="9"/>
        <v>5040.1295839293107</v>
      </c>
      <c r="I134" s="42">
        <f>'[2]поточний ремонт'!I134+'[1]поточний ремонт'!I134</f>
        <v>0</v>
      </c>
      <c r="J134" s="42">
        <f>'[2]поточний ремонт'!J134+'[1]поточний ремонт'!J134</f>
        <v>0</v>
      </c>
      <c r="K134" s="958"/>
      <c r="L134" s="42">
        <f>'[2]поточний ремонт'!L134+'[1]поточний ремонт'!L134</f>
        <v>0</v>
      </c>
      <c r="M134" s="42">
        <f>'[2]поточний ремонт'!M134+'[1]поточний ремонт'!M134</f>
        <v>0</v>
      </c>
      <c r="N134" s="36"/>
      <c r="O134" s="42">
        <f>'[2]поточний ремонт'!O134+'[1]поточний ремонт'!O134</f>
        <v>0</v>
      </c>
      <c r="P134" s="42">
        <f>'[2]поточний ремонт'!P134+'[1]поточний ремонт'!P134</f>
        <v>0</v>
      </c>
      <c r="Q134" s="959"/>
      <c r="R134" s="42">
        <f>'[2]поточний ремонт'!R134+'[1]поточний ремонт'!R134</f>
        <v>0</v>
      </c>
      <c r="S134" s="42">
        <f>'[2]поточний ремонт'!S134+'[1]поточний ремонт'!S134</f>
        <v>0</v>
      </c>
      <c r="T134" s="960"/>
      <c r="U134" s="42">
        <f>'[2]поточний ремонт'!U134+'[1]поточний ремонт'!U134</f>
        <v>0</v>
      </c>
      <c r="V134" s="42">
        <f>'[2]поточний ремонт'!V134+'[1]поточний ремонт'!V134</f>
        <v>0</v>
      </c>
      <c r="W134" s="42">
        <f>'[2]поточний ремонт'!W134+'[1]поточний ремонт'!W134</f>
        <v>0</v>
      </c>
      <c r="X134" s="42">
        <f>'[2]поточний ремонт'!X134+'[1]поточний ремонт'!X134</f>
        <v>0</v>
      </c>
      <c r="Y134" s="42">
        <f>'[2]поточний ремонт'!Y134+'[1]поточний ремонт'!Y134</f>
        <v>6588.8720060969135</v>
      </c>
      <c r="Z134" s="42">
        <f>'[2]поточний ремонт'!Z134+'[1]поточний ремонт'!Z134</f>
        <v>0</v>
      </c>
      <c r="AA134" s="42">
        <f>'[2]поточний ремонт'!AA134+'[1]поточний ремонт'!AA134</f>
        <v>0</v>
      </c>
      <c r="AB134" s="42">
        <f>'[2]поточний ремонт'!AB134+'[1]поточний ремонт'!AB134</f>
        <v>0</v>
      </c>
      <c r="AC134" s="42">
        <f>'[2]поточний ремонт'!AC134+'[1]поточний ремонт'!AC134</f>
        <v>0</v>
      </c>
      <c r="AD134" s="42">
        <f>'[2]поточний ремонт'!AD134+'[1]поточний ремонт'!AD134</f>
        <v>1572.8030143033629</v>
      </c>
      <c r="AE134" s="42">
        <f>'[2]поточний ремонт'!AE134+'[1]поточний ремонт'!AE134</f>
        <v>940.73439944733229</v>
      </c>
      <c r="AF134" s="42">
        <f>'[2]поточний ремонт'!AF134+'[1]поточний ремонт'!AF134</f>
        <v>0</v>
      </c>
      <c r="AG134" s="5"/>
      <c r="AH134" s="42">
        <f>'[2]поточний ремонт'!AH134+'[1]поточний ремонт'!AH134</f>
        <v>1264.3677482407907</v>
      </c>
      <c r="AI134" s="42">
        <f>'[2]поточний ремонт'!AI134+'[1]поточний ремонт'!AI134</f>
        <v>0</v>
      </c>
      <c r="AJ134" s="5"/>
      <c r="AK134" s="42">
        <f>'[2]поточний ремонт'!AK134+'[1]поточний ремонт'!AK134</f>
        <v>1030.8544340286969</v>
      </c>
      <c r="AL134" s="42">
        <f>'[2]поточний ремонт'!AL134+'[1]поточний ремонт'!AL134</f>
        <v>0</v>
      </c>
      <c r="AM134" s="5"/>
      <c r="AN134" s="42">
        <f>'[2]поточний ремонт'!AN134+'[1]поточний ремонт'!AN134</f>
        <v>0</v>
      </c>
      <c r="AO134" s="42">
        <f>'[2]поточний ремонт'!AO134+'[1]поточний ремонт'!AO134</f>
        <v>0</v>
      </c>
      <c r="AP134" s="5"/>
      <c r="AQ134" s="42">
        <f>'[2]поточний ремонт'!AQ134+'[1]поточний ремонт'!AQ134</f>
        <v>66.163852782859806</v>
      </c>
      <c r="AR134" s="42">
        <f>'[2]поточний ремонт'!AR134+'[1]поточний ремонт'!AR134</f>
        <v>0</v>
      </c>
      <c r="AS134" s="5"/>
      <c r="AT134" s="42">
        <f>'[2]поточний ремонт'!AT134+'[1]поточний ремонт'!AT134</f>
        <v>472.30288732705696</v>
      </c>
      <c r="AU134" s="42">
        <f>'[2]поточний ремонт'!AU134+'[1]поточний ремонт'!AU134</f>
        <v>0</v>
      </c>
      <c r="AV134" s="5"/>
      <c r="AW134" s="42">
        <f>'[2]поточний ремонт'!AW134+'[1]поточний ремонт'!AW134</f>
        <v>66.035678486535474</v>
      </c>
      <c r="AX134" s="42">
        <f>'[2]поточний ремонт'!AX134+'[1]поточний ремонт'!AX134</f>
        <v>0</v>
      </c>
      <c r="AY134" s="5"/>
      <c r="AZ134" s="42">
        <f t="shared" si="10"/>
        <v>3840.4590003132716</v>
      </c>
      <c r="BA134" s="42">
        <f t="shared" si="11"/>
        <v>0</v>
      </c>
      <c r="BB134" s="58">
        <f t="shared" si="12"/>
        <v>-3840.4590003132716</v>
      </c>
      <c r="BD134" s="2">
        <v>2</v>
      </c>
      <c r="BF134" s="29">
        <v>2.1648134203178198</v>
      </c>
      <c r="BG134" s="318">
        <v>150000613</v>
      </c>
      <c r="BI134" s="104">
        <v>0</v>
      </c>
      <c r="BJ134" s="104">
        <f t="shared" si="13"/>
        <v>0</v>
      </c>
      <c r="BK134" s="104">
        <v>0</v>
      </c>
      <c r="BL134" s="38"/>
      <c r="BM134" s="3"/>
      <c r="BN134" s="3">
        <v>0</v>
      </c>
      <c r="BP134" s="3"/>
      <c r="BQ134" s="3"/>
      <c r="BS134" s="42"/>
      <c r="BT134" s="42">
        <v>0</v>
      </c>
      <c r="BU134" s="958"/>
      <c r="BV134" s="41"/>
      <c r="BW134" s="42"/>
      <c r="BX134" s="36"/>
      <c r="BY134" s="76"/>
      <c r="BZ134" s="42">
        <v>0</v>
      </c>
      <c r="CA134" s="959"/>
      <c r="CB134" s="41">
        <v>0</v>
      </c>
      <c r="CC134" s="41">
        <v>0</v>
      </c>
      <c r="CD134" s="960"/>
      <c r="CE134" s="76">
        <v>0</v>
      </c>
      <c r="CF134" s="55"/>
      <c r="CG134" s="41">
        <v>0</v>
      </c>
      <c r="CH134" s="38">
        <v>0</v>
      </c>
      <c r="CI134" s="76">
        <v>0</v>
      </c>
      <c r="CJ134" s="55"/>
      <c r="CK134" s="955"/>
      <c r="CL134" s="950"/>
      <c r="CM134" s="955"/>
      <c r="CN134" s="950">
        <v>0</v>
      </c>
      <c r="CO134" s="76">
        <v>73.17678565268487</v>
      </c>
      <c r="CP134" s="42">
        <v>0</v>
      </c>
      <c r="CQ134" s="5"/>
      <c r="CR134" s="76">
        <v>99.99339749450769</v>
      </c>
      <c r="CS134" s="954">
        <v>0</v>
      </c>
      <c r="CT134" s="5"/>
      <c r="CU134" s="76">
        <v>82.261984003453094</v>
      </c>
      <c r="CV134" s="42">
        <v>0</v>
      </c>
      <c r="CW134" s="5"/>
      <c r="CX134" s="76">
        <v>0</v>
      </c>
      <c r="CY134" s="42">
        <v>0</v>
      </c>
      <c r="CZ134" s="5"/>
      <c r="DA134" s="76">
        <v>0</v>
      </c>
      <c r="DB134" s="42">
        <v>0</v>
      </c>
      <c r="DC134" s="5"/>
      <c r="DD134" s="76">
        <v>30.028073840457441</v>
      </c>
      <c r="DE134" s="42">
        <v>0</v>
      </c>
      <c r="DF134" s="5"/>
      <c r="DG134" s="76">
        <v>0</v>
      </c>
      <c r="DH134" s="42"/>
      <c r="DI134" s="5"/>
      <c r="DJ134" s="42">
        <v>285.46024099110315</v>
      </c>
      <c r="DK134" s="42">
        <f t="shared" si="14"/>
        <v>0</v>
      </c>
      <c r="DL134" s="58">
        <f t="shared" si="15"/>
        <v>-285.46024099110315</v>
      </c>
      <c r="DM134" s="2">
        <v>2</v>
      </c>
    </row>
    <row r="135" spans="1:117" ht="24.9" customHeight="1" x14ac:dyDescent="0.3">
      <c r="A135" s="318">
        <v>150000614</v>
      </c>
      <c r="B135" s="44" t="s">
        <v>162</v>
      </c>
      <c r="C135" s="956">
        <v>2</v>
      </c>
      <c r="D135" s="957" t="s">
        <v>454</v>
      </c>
      <c r="E135" s="949">
        <f>'побудинковий звіт'!E102</f>
        <v>397.8</v>
      </c>
      <c r="F135" s="950">
        <f>'побудинковий звіт'!AS102</f>
        <v>6558.8182974823894</v>
      </c>
      <c r="G135" s="950">
        <f t="shared" si="8"/>
        <v>0</v>
      </c>
      <c r="H135" s="950">
        <f t="shared" si="9"/>
        <v>-6558.8182974823894</v>
      </c>
      <c r="I135" s="42">
        <f>'[2]поточний ремонт'!I135+'[1]поточний ремонт'!I135</f>
        <v>0</v>
      </c>
      <c r="J135" s="42">
        <f>'[2]поточний ремонт'!J135+'[1]поточний ремонт'!J135</f>
        <v>0</v>
      </c>
      <c r="K135" s="958"/>
      <c r="L135" s="42">
        <f>'[2]поточний ремонт'!L135+'[1]поточний ремонт'!L135</f>
        <v>0</v>
      </c>
      <c r="M135" s="42">
        <f>'[2]поточний ремонт'!M135+'[1]поточний ремонт'!M135</f>
        <v>0</v>
      </c>
      <c r="N135" s="36"/>
      <c r="O135" s="42">
        <f>'[2]поточний ремонт'!O135+'[1]поточний ремонт'!O135</f>
        <v>0</v>
      </c>
      <c r="P135" s="42">
        <f>'[2]поточний ремонт'!P135+'[1]поточний ремонт'!P135</f>
        <v>0</v>
      </c>
      <c r="Q135" s="959"/>
      <c r="R135" s="42">
        <f>'[2]поточний ремонт'!R135+'[1]поточний ремонт'!R135</f>
        <v>0</v>
      </c>
      <c r="S135" s="42">
        <f>'[2]поточний ремонт'!S135+'[1]поточний ремонт'!S135</f>
        <v>0</v>
      </c>
      <c r="T135" s="960"/>
      <c r="U135" s="42">
        <f>'[2]поточний ремонт'!U135+'[1]поточний ремонт'!U135</f>
        <v>0</v>
      </c>
      <c r="V135" s="42">
        <f>'[2]поточний ремонт'!V135+'[1]поточний ремонт'!V135</f>
        <v>0</v>
      </c>
      <c r="W135" s="42">
        <f>'[2]поточний ремонт'!W135+'[1]поточний ремонт'!W135</f>
        <v>0</v>
      </c>
      <c r="X135" s="42">
        <f>'[2]поточний ремонт'!X135+'[1]поточний ремонт'!X135</f>
        <v>0</v>
      </c>
      <c r="Y135" s="42">
        <f>'[2]поточний ремонт'!Y135+'[1]поточний ремонт'!Y135</f>
        <v>0</v>
      </c>
      <c r="Z135" s="42">
        <f>'[2]поточний ремонт'!Z135+'[1]поточний ремонт'!Z135</f>
        <v>0</v>
      </c>
      <c r="AA135" s="42">
        <f>'[2]поточний ремонт'!AA135+'[1]поточний ремонт'!AA135</f>
        <v>0</v>
      </c>
      <c r="AB135" s="42">
        <f>'[2]поточний ремонт'!AB135+'[1]поточний ремонт'!AB135</f>
        <v>0</v>
      </c>
      <c r="AC135" s="42">
        <f>'[2]поточний ремонт'!AC135+'[1]поточний ремонт'!AC135</f>
        <v>0</v>
      </c>
      <c r="AD135" s="42">
        <f>'[2]поточний ремонт'!AD135+'[1]поточний ремонт'!AD135</f>
        <v>0</v>
      </c>
      <c r="AE135" s="42">
        <f>'[2]поточний ремонт'!AE135+'[1]поточний ремонт'!AE135</f>
        <v>541.39374260747468</v>
      </c>
      <c r="AF135" s="42">
        <f>'[2]поточний ремонт'!AF135+'[1]поточний ремонт'!AF135</f>
        <v>0</v>
      </c>
      <c r="AG135" s="5"/>
      <c r="AH135" s="42">
        <f>'[2]поточний ремонт'!AH135+'[1]поточний ремонт'!AH135</f>
        <v>691.54452933658274</v>
      </c>
      <c r="AI135" s="42">
        <f>'[2]поточний ремонт'!AI135+'[1]поточний ремонт'!AI135</f>
        <v>0</v>
      </c>
      <c r="AJ135" s="5"/>
      <c r="AK135" s="42">
        <f>'[2]поточний ремонт'!AK135+'[1]поточний ремонт'!AK135</f>
        <v>332.13910029943304</v>
      </c>
      <c r="AL135" s="42">
        <f>'[2]поточний ремонт'!AL135+'[1]поточний ремонт'!AL135</f>
        <v>518.61230642048793</v>
      </c>
      <c r="AM135" s="5"/>
      <c r="AN135" s="42">
        <f>'[2]поточний ремонт'!AN135+'[1]поточний ремонт'!AN135</f>
        <v>0</v>
      </c>
      <c r="AO135" s="42">
        <f>'[2]поточний ремонт'!AO135+'[1]поточний ремонт'!AO135</f>
        <v>0</v>
      </c>
      <c r="AP135" s="5"/>
      <c r="AQ135" s="42">
        <f>'[2]поточний ремонт'!AQ135+'[1]поточний ремонт'!AQ135</f>
        <v>0</v>
      </c>
      <c r="AR135" s="42">
        <f>'[2]поточний ремонт'!AR135+'[1]поточний ремонт'!AR135</f>
        <v>0</v>
      </c>
      <c r="AS135" s="5"/>
      <c r="AT135" s="42">
        <f>'[2]поточний ремонт'!AT135+'[1]поточний ремонт'!AT135</f>
        <v>297.76267170840629</v>
      </c>
      <c r="AU135" s="42">
        <f>'[2]поточний ремонт'!AU135+'[1]поточний ремонт'!AU135</f>
        <v>69.538740391940053</v>
      </c>
      <c r="AV135" s="5"/>
      <c r="AW135" s="42">
        <f>'[2]поточний ремонт'!AW135+'[1]поточний ремонт'!AW135</f>
        <v>31.214014296485885</v>
      </c>
      <c r="AX135" s="42">
        <f>'[2]поточний ремонт'!AX135+'[1]поточний ремонт'!AX135</f>
        <v>0</v>
      </c>
      <c r="AY135" s="5"/>
      <c r="AZ135" s="42">
        <f t="shared" si="10"/>
        <v>1894.0540582483825</v>
      </c>
      <c r="BA135" s="42">
        <f t="shared" si="11"/>
        <v>588.15104681242792</v>
      </c>
      <c r="BB135" s="58">
        <f t="shared" si="12"/>
        <v>-1305.9030114359546</v>
      </c>
      <c r="BD135" s="2">
        <v>2</v>
      </c>
      <c r="BF135" s="29">
        <v>0.9147489813282127</v>
      </c>
      <c r="BG135" s="318">
        <v>150000614</v>
      </c>
      <c r="BI135" s="104">
        <v>0</v>
      </c>
      <c r="BJ135" s="104">
        <f t="shared" si="13"/>
        <v>0</v>
      </c>
      <c r="BK135" s="104">
        <v>0</v>
      </c>
      <c r="BL135" s="38"/>
      <c r="BM135" s="3"/>
      <c r="BN135" s="3">
        <v>0</v>
      </c>
      <c r="BP135" s="3"/>
      <c r="BQ135" s="3"/>
      <c r="BS135" s="42"/>
      <c r="BT135" s="42">
        <v>0</v>
      </c>
      <c r="BU135" s="958"/>
      <c r="BV135" s="41"/>
      <c r="BW135" s="42"/>
      <c r="BX135" s="36"/>
      <c r="BY135" s="76"/>
      <c r="BZ135" s="42">
        <v>0</v>
      </c>
      <c r="CA135" s="959"/>
      <c r="CB135" s="41">
        <v>0</v>
      </c>
      <c r="CC135" s="41">
        <v>0</v>
      </c>
      <c r="CD135" s="960"/>
      <c r="CE135" s="76">
        <v>0</v>
      </c>
      <c r="CF135" s="55"/>
      <c r="CG135" s="41">
        <v>0</v>
      </c>
      <c r="CH135" s="38">
        <v>0</v>
      </c>
      <c r="CI135" s="76">
        <v>0</v>
      </c>
      <c r="CJ135" s="55"/>
      <c r="CK135" s="955"/>
      <c r="CL135" s="950"/>
      <c r="CM135" s="955"/>
      <c r="CN135" s="950">
        <v>0</v>
      </c>
      <c r="CO135" s="76">
        <v>47.400116796147813</v>
      </c>
      <c r="CP135" s="42">
        <v>0</v>
      </c>
      <c r="CQ135" s="5"/>
      <c r="CR135" s="76">
        <v>58.889878506691225</v>
      </c>
      <c r="CS135" s="954">
        <v>0</v>
      </c>
      <c r="CT135" s="5"/>
      <c r="CU135" s="76">
        <v>24.844068318529949</v>
      </c>
      <c r="CV135" s="42">
        <v>0</v>
      </c>
      <c r="CW135" s="5"/>
      <c r="CX135" s="76">
        <v>0</v>
      </c>
      <c r="CY135" s="42">
        <v>0</v>
      </c>
      <c r="CZ135" s="5"/>
      <c r="DA135" s="76">
        <v>0</v>
      </c>
      <c r="DB135" s="42">
        <v>0</v>
      </c>
      <c r="DC135" s="5"/>
      <c r="DD135" s="76">
        <v>17.418560594119956</v>
      </c>
      <c r="DE135" s="42">
        <v>0</v>
      </c>
      <c r="DF135" s="5"/>
      <c r="DG135" s="76">
        <v>0</v>
      </c>
      <c r="DH135" s="42"/>
      <c r="DI135" s="5"/>
      <c r="DJ135" s="42">
        <v>148.55262421548892</v>
      </c>
      <c r="DK135" s="42">
        <f t="shared" si="14"/>
        <v>0</v>
      </c>
      <c r="DL135" s="58">
        <f t="shared" si="15"/>
        <v>-148.55262421548892</v>
      </c>
      <c r="DM135" s="2">
        <v>2</v>
      </c>
    </row>
    <row r="136" spans="1:117" ht="24.9" customHeight="1" x14ac:dyDescent="0.3">
      <c r="A136" s="318">
        <v>150000615</v>
      </c>
      <c r="B136" s="44" t="s">
        <v>256</v>
      </c>
      <c r="C136" s="956">
        <v>5</v>
      </c>
      <c r="D136" s="957" t="s">
        <v>454</v>
      </c>
      <c r="E136" s="949">
        <f>'побудинковий звіт'!E103</f>
        <v>245.6</v>
      </c>
      <c r="F136" s="950">
        <f>'побудинковий звіт'!AS103</f>
        <v>3984.6948022519191</v>
      </c>
      <c r="G136" s="950">
        <f t="shared" si="8"/>
        <v>3571.1522528744817</v>
      </c>
      <c r="H136" s="950">
        <f t="shared" si="9"/>
        <v>-413.54254937743735</v>
      </c>
      <c r="I136" s="42">
        <f>'[2]поточний ремонт'!I136+'[1]поточний ремонт'!I136</f>
        <v>0</v>
      </c>
      <c r="J136" s="42">
        <f>'[2]поточний ремонт'!J136+'[1]поточний ремонт'!J136</f>
        <v>0</v>
      </c>
      <c r="K136" s="958"/>
      <c r="L136" s="42">
        <f>'[2]поточний ремонт'!L136+'[1]поточний ремонт'!L136</f>
        <v>0</v>
      </c>
      <c r="M136" s="42">
        <f>'[2]поточний ремонт'!M136+'[1]поточний ремонт'!M136</f>
        <v>0</v>
      </c>
      <c r="N136" s="36"/>
      <c r="O136" s="42">
        <f>'[2]поточний ремонт'!O136+'[1]поточний ремонт'!O136</f>
        <v>0</v>
      </c>
      <c r="P136" s="42">
        <f>'[2]поточний ремонт'!P136+'[1]поточний ремонт'!P136</f>
        <v>0</v>
      </c>
      <c r="Q136" s="959"/>
      <c r="R136" s="42">
        <f>'[2]поточний ремонт'!R136+'[1]поточний ремонт'!R136</f>
        <v>0</v>
      </c>
      <c r="S136" s="42">
        <f>'[2]поточний ремонт'!S136+'[1]поточний ремонт'!S136</f>
        <v>0</v>
      </c>
      <c r="T136" s="960"/>
      <c r="U136" s="42">
        <f>'[2]поточний ремонт'!U136+'[1]поточний ремонт'!U136</f>
        <v>0</v>
      </c>
      <c r="V136" s="42">
        <f>'[2]поточний ремонт'!V136+'[1]поточний ремонт'!V136</f>
        <v>0</v>
      </c>
      <c r="W136" s="42">
        <f>'[2]поточний ремонт'!W136+'[1]поточний ремонт'!W136</f>
        <v>0</v>
      </c>
      <c r="X136" s="42">
        <f>'[2]поточний ремонт'!X136+'[1]поточний ремонт'!X136</f>
        <v>330.57488376610007</v>
      </c>
      <c r="Y136" s="42">
        <f>'[2]поточний ремонт'!Y136+'[1]поточний ремонт'!Y136</f>
        <v>1760.5446491460186</v>
      </c>
      <c r="Z136" s="42">
        <f>'[2]поточний ремонт'!Z136+'[1]поточний ремонт'!Z136</f>
        <v>0</v>
      </c>
      <c r="AA136" s="42">
        <f>'[2]поточний ремонт'!AA136+'[1]поточний ремонт'!AA136</f>
        <v>0</v>
      </c>
      <c r="AB136" s="42">
        <f>'[2]поточний ремонт'!AB136+'[1]поточний ремонт'!AB136</f>
        <v>0</v>
      </c>
      <c r="AC136" s="42">
        <f>'[2]поточний ремонт'!AC136+'[1]поточний ремонт'!AC136</f>
        <v>971.31879646579591</v>
      </c>
      <c r="AD136" s="42">
        <f>'[2]поточний ремонт'!AD136+'[1]поточний ремонт'!AD136</f>
        <v>508.7139234965673</v>
      </c>
      <c r="AE136" s="42">
        <f>'[2]поточний ремонт'!AE136+'[1]поточний ремонт'!AE136</f>
        <v>1468.3163935772839</v>
      </c>
      <c r="AF136" s="42">
        <f>'[2]поточний ремонт'!AF136+'[1]поточний ремонт'!AF136</f>
        <v>948.1245720560587</v>
      </c>
      <c r="AG136" s="5"/>
      <c r="AH136" s="42">
        <f>'[2]поточний ремонт'!AH136+'[1]поточний ремонт'!AH136</f>
        <v>2217.4499244662002</v>
      </c>
      <c r="AI136" s="42">
        <f>'[2]поточний ремонт'!AI136+'[1]поточний ремонт'!AI136</f>
        <v>0</v>
      </c>
      <c r="AJ136" s="5"/>
      <c r="AK136" s="42">
        <f>'[2]поточний ремонт'!AK136+'[1]поточний ремонт'!AK136</f>
        <v>1868.5479026920134</v>
      </c>
      <c r="AL136" s="42">
        <f>'[2]поточний ремонт'!AL136+'[1]поточний ремонт'!AL136</f>
        <v>0</v>
      </c>
      <c r="AM136" s="5"/>
      <c r="AN136" s="42">
        <f>'[2]поточний ремонт'!AN136+'[1]поточний ремонт'!AN136</f>
        <v>0</v>
      </c>
      <c r="AO136" s="42">
        <f>'[2]поточний ремонт'!AO136+'[1]поточний ремонт'!AO136</f>
        <v>0</v>
      </c>
      <c r="AP136" s="5"/>
      <c r="AQ136" s="42">
        <f>'[2]поточний ремонт'!AQ136+'[1]поточний ремонт'!AQ136</f>
        <v>110.27308797143304</v>
      </c>
      <c r="AR136" s="42">
        <f>'[2]поточний ремонт'!AR136+'[1]поточний ремонт'!AR136</f>
        <v>0</v>
      </c>
      <c r="AS136" s="5"/>
      <c r="AT136" s="42">
        <f>'[2]поточний ремонт'!AT136+'[1]поточний ремонт'!AT136</f>
        <v>874.77368051675387</v>
      </c>
      <c r="AU136" s="42">
        <f>'[2]поточний ремонт'!AU136+'[1]поточний ремонт'!AU136</f>
        <v>0</v>
      </c>
      <c r="AV136" s="5"/>
      <c r="AW136" s="42">
        <f>'[2]поточний ремонт'!AW136+'[1]поточний ремонт'!AW136</f>
        <v>66.035678486535474</v>
      </c>
      <c r="AX136" s="42">
        <f>'[2]поточний ремонт'!AX136+'[1]поточний ремонт'!AX136</f>
        <v>0</v>
      </c>
      <c r="AY136" s="5"/>
      <c r="AZ136" s="42">
        <f t="shared" si="10"/>
        <v>6605.3966677102198</v>
      </c>
      <c r="BA136" s="42">
        <f t="shared" si="11"/>
        <v>948.1245720560587</v>
      </c>
      <c r="BB136" s="58">
        <f t="shared" si="12"/>
        <v>-5657.2720956541616</v>
      </c>
      <c r="BD136" s="2">
        <v>2</v>
      </c>
      <c r="BF136" s="29">
        <v>3.8516584482683114</v>
      </c>
      <c r="BG136" s="318">
        <v>150000615</v>
      </c>
      <c r="BI136" s="104">
        <v>0</v>
      </c>
      <c r="BJ136" s="104">
        <f t="shared" si="13"/>
        <v>0</v>
      </c>
      <c r="BK136" s="104">
        <v>0</v>
      </c>
      <c r="BL136" s="38"/>
      <c r="BM136" s="3"/>
      <c r="BN136" s="3">
        <v>0</v>
      </c>
      <c r="BP136" s="3"/>
      <c r="BQ136" s="3"/>
      <c r="BS136" s="42"/>
      <c r="BT136" s="42">
        <v>0</v>
      </c>
      <c r="BU136" s="958"/>
      <c r="BV136" s="41"/>
      <c r="BW136" s="42"/>
      <c r="BX136" s="36"/>
      <c r="BY136" s="76"/>
      <c r="BZ136" s="42">
        <v>0</v>
      </c>
      <c r="CA136" s="959"/>
      <c r="CB136" s="41">
        <v>0</v>
      </c>
      <c r="CC136" s="41">
        <v>0</v>
      </c>
      <c r="CD136" s="960"/>
      <c r="CE136" s="76">
        <v>0</v>
      </c>
      <c r="CF136" s="55"/>
      <c r="CG136" s="41">
        <v>0</v>
      </c>
      <c r="CH136" s="38">
        <v>0</v>
      </c>
      <c r="CI136" s="76">
        <v>1758.154290728558</v>
      </c>
      <c r="CJ136" s="55"/>
      <c r="CK136" s="955"/>
      <c r="CL136" s="950"/>
      <c r="CM136" s="955">
        <v>970</v>
      </c>
      <c r="CN136" s="950">
        <v>0</v>
      </c>
      <c r="CO136" s="76">
        <v>122.21452165745661</v>
      </c>
      <c r="CP136" s="42">
        <v>0</v>
      </c>
      <c r="CQ136" s="5"/>
      <c r="CR136" s="76">
        <v>185.4877130339687</v>
      </c>
      <c r="CS136" s="954">
        <v>0</v>
      </c>
      <c r="CT136" s="5"/>
      <c r="CU136" s="76">
        <v>156.83336142253489</v>
      </c>
      <c r="CV136" s="42">
        <v>0</v>
      </c>
      <c r="CW136" s="5"/>
      <c r="CX136" s="76">
        <v>0</v>
      </c>
      <c r="CY136" s="42">
        <v>0</v>
      </c>
      <c r="CZ136" s="5"/>
      <c r="DA136" s="76">
        <v>0</v>
      </c>
      <c r="DB136" s="42">
        <v>0</v>
      </c>
      <c r="DC136" s="5"/>
      <c r="DD136" s="76">
        <v>54.151345706297761</v>
      </c>
      <c r="DE136" s="42">
        <v>0</v>
      </c>
      <c r="DF136" s="5"/>
      <c r="DG136" s="76">
        <v>0</v>
      </c>
      <c r="DH136" s="42"/>
      <c r="DI136" s="5"/>
      <c r="DJ136" s="42">
        <v>518.68694182025797</v>
      </c>
      <c r="DK136" s="42">
        <f t="shared" si="14"/>
        <v>0</v>
      </c>
      <c r="DL136" s="58">
        <f t="shared" si="15"/>
        <v>-518.68694182025797</v>
      </c>
      <c r="DM136" s="2">
        <v>2</v>
      </c>
    </row>
    <row r="137" spans="1:117" ht="24.9" customHeight="1" x14ac:dyDescent="0.3">
      <c r="A137" s="318">
        <v>150000616</v>
      </c>
      <c r="B137" s="44" t="s">
        <v>257</v>
      </c>
      <c r="C137" s="956">
        <v>5</v>
      </c>
      <c r="D137" s="957" t="s">
        <v>454</v>
      </c>
      <c r="E137" s="949">
        <f>'побудинковий звіт'!E104</f>
        <v>325.60000000000002</v>
      </c>
      <c r="F137" s="950">
        <f>'побудинковий звіт'!AS104</f>
        <v>3014.67748620569</v>
      </c>
      <c r="G137" s="950">
        <f t="shared" si="8"/>
        <v>2510.9764815886001</v>
      </c>
      <c r="H137" s="950">
        <f t="shared" si="9"/>
        <v>-503.70100461708989</v>
      </c>
      <c r="I137" s="42">
        <f>'[2]поточний ремонт'!I137+'[1]поточний ремонт'!I137</f>
        <v>0</v>
      </c>
      <c r="J137" s="42">
        <f>'[2]поточний ремонт'!J137+'[1]поточний ремонт'!J137</f>
        <v>0</v>
      </c>
      <c r="K137" s="958"/>
      <c r="L137" s="42">
        <f>'[2]поточний ремонт'!L137+'[1]поточний ремонт'!L137</f>
        <v>0</v>
      </c>
      <c r="M137" s="42">
        <f>'[2]поточний ремонт'!M137+'[1]поточний ремонт'!M137</f>
        <v>0</v>
      </c>
      <c r="N137" s="36"/>
      <c r="O137" s="42">
        <f>'[2]поточний ремонт'!O137+'[1]поточний ремонт'!O137</f>
        <v>0</v>
      </c>
      <c r="P137" s="42">
        <f>'[2]поточний ремонт'!P137+'[1]поточний ремонт'!P137</f>
        <v>0</v>
      </c>
      <c r="Q137" s="959"/>
      <c r="R137" s="42">
        <f>'[2]поточний ремонт'!R137+'[1]поточний ремонт'!R137</f>
        <v>0</v>
      </c>
      <c r="S137" s="42">
        <f>'[2]поточний ремонт'!S137+'[1]поточний ремонт'!S137</f>
        <v>0</v>
      </c>
      <c r="T137" s="960"/>
      <c r="U137" s="42">
        <f>'[2]поточний ремонт'!U137+'[1]поточний ремонт'!U137</f>
        <v>0</v>
      </c>
      <c r="V137" s="42">
        <f>'[2]поточний ремонт'!V137+'[1]поточний ремонт'!V137</f>
        <v>0</v>
      </c>
      <c r="W137" s="42">
        <f>'[2]поточний ремонт'!W137+'[1]поточний ремонт'!W137</f>
        <v>3</v>
      </c>
      <c r="X137" s="42">
        <f>'[2]поточний ремонт'!X137+'[1]поточний ремонт'!X137</f>
        <v>2093.2328333769215</v>
      </c>
      <c r="Y137" s="42">
        <f>'[2]поточний ремонт'!Y137+'[1]поточний ремонт'!Y137</f>
        <v>0</v>
      </c>
      <c r="Z137" s="42">
        <f>'[2]поточний ремонт'!Z137+'[1]поточний ремонт'!Z137</f>
        <v>0</v>
      </c>
      <c r="AA137" s="42">
        <f>'[2]поточний ремонт'!AA137+'[1]поточний ремонт'!AA137</f>
        <v>0</v>
      </c>
      <c r="AB137" s="42">
        <f>'[2]поточний ремонт'!AB137+'[1]поточний ремонт'!AB137</f>
        <v>0</v>
      </c>
      <c r="AC137" s="42">
        <f>'[2]поточний ремонт'!AC137+'[1]поточний ремонт'!AC137</f>
        <v>0</v>
      </c>
      <c r="AD137" s="42">
        <f>'[2]поточний ремонт'!AD137+'[1]поточний ремонт'!AD137</f>
        <v>417.74364821167865</v>
      </c>
      <c r="AE137" s="42">
        <f>'[2]поточний ремонт'!AE137+'[1]поточний ремонт'!AE137</f>
        <v>1047.8957446211036</v>
      </c>
      <c r="AF137" s="42">
        <f>'[2]поточний ремонт'!AF137+'[1]поточний ремонт'!AF137</f>
        <v>489.07359764550097</v>
      </c>
      <c r="AG137" s="5"/>
      <c r="AH137" s="42">
        <f>'[2]поточний ремонт'!AH137+'[1]поточний ремонт'!AH137</f>
        <v>1480.4599353555459</v>
      </c>
      <c r="AI137" s="42">
        <f>'[2]поточний ремонт'!AI137+'[1]поточний ремонт'!AI137</f>
        <v>0</v>
      </c>
      <c r="AJ137" s="5"/>
      <c r="AK137" s="42">
        <f>'[2]поточний ремонт'!AK137+'[1]поточний ремонт'!AK137</f>
        <v>1432.9067009988851</v>
      </c>
      <c r="AL137" s="42">
        <f>'[2]поточний ремонт'!AL137+'[1]поточний ремонт'!AL137</f>
        <v>0</v>
      </c>
      <c r="AM137" s="5"/>
      <c r="AN137" s="42">
        <f>'[2]поточний ремонт'!AN137+'[1]поточний ремонт'!AN137</f>
        <v>0</v>
      </c>
      <c r="AO137" s="42">
        <f>'[2]поточний ремонт'!AO137+'[1]поточний ремонт'!AO137</f>
        <v>0</v>
      </c>
      <c r="AP137" s="5"/>
      <c r="AQ137" s="42">
        <f>'[2]поточний ремонт'!AQ137+'[1]поточний ремонт'!AQ137</f>
        <v>82.704815978574771</v>
      </c>
      <c r="AR137" s="42">
        <f>'[2]поточний ремонт'!AR137+'[1]поточний ремонт'!AR137</f>
        <v>0</v>
      </c>
      <c r="AS137" s="5"/>
      <c r="AT137" s="42">
        <f>'[2]поточний ремонт'!AT137+'[1]поточний ремонт'!AT137</f>
        <v>536.72890244138466</v>
      </c>
      <c r="AU137" s="42">
        <f>'[2]поточний ремонт'!AU137+'[1]поточний ремонт'!AU137</f>
        <v>0</v>
      </c>
      <c r="AV137" s="5"/>
      <c r="AW137" s="42">
        <f>'[2]поточний ремонт'!AW137+'[1]поточний ремонт'!AW137</f>
        <v>66.035678486535474</v>
      </c>
      <c r="AX137" s="42">
        <f>'[2]поточний ремонт'!AX137+'[1]поточний ремонт'!AX137</f>
        <v>0</v>
      </c>
      <c r="AY137" s="5"/>
      <c r="AZ137" s="42">
        <f t="shared" si="10"/>
        <v>4646.7317778820288</v>
      </c>
      <c r="BA137" s="42">
        <f t="shared" si="11"/>
        <v>489.07359764550097</v>
      </c>
      <c r="BB137" s="58">
        <f t="shared" si="12"/>
        <v>-4157.6581802365281</v>
      </c>
      <c r="BD137" s="2">
        <v>2</v>
      </c>
      <c r="BF137" s="29">
        <v>2.7645487336069632</v>
      </c>
      <c r="BG137" s="318">
        <v>150000616</v>
      </c>
      <c r="BI137" s="104">
        <v>10.5</v>
      </c>
      <c r="BJ137" s="104">
        <f t="shared" si="13"/>
        <v>1.4769530999999998</v>
      </c>
      <c r="BK137" s="104">
        <v>12.109500858000001</v>
      </c>
      <c r="BL137" s="38"/>
      <c r="BM137" s="3"/>
      <c r="BN137" s="3">
        <v>0</v>
      </c>
      <c r="BP137" s="3"/>
      <c r="BQ137" s="3"/>
      <c r="BS137" s="42"/>
      <c r="BT137" s="42">
        <v>0</v>
      </c>
      <c r="BU137" s="958"/>
      <c r="BV137" s="41"/>
      <c r="BW137" s="42"/>
      <c r="BX137" s="36"/>
      <c r="BY137" s="76"/>
      <c r="BZ137" s="42">
        <v>0</v>
      </c>
      <c r="CA137" s="959"/>
      <c r="CB137" s="41">
        <v>0</v>
      </c>
      <c r="CC137" s="41">
        <v>0</v>
      </c>
      <c r="CD137" s="960"/>
      <c r="CE137" s="76">
        <v>0</v>
      </c>
      <c r="CF137" s="55"/>
      <c r="CG137" s="41">
        <v>0</v>
      </c>
      <c r="CH137" s="38">
        <v>12.109500858000001</v>
      </c>
      <c r="CI137" s="76">
        <v>0</v>
      </c>
      <c r="CJ137" s="55"/>
      <c r="CK137" s="955"/>
      <c r="CL137" s="950"/>
      <c r="CM137" s="955"/>
      <c r="CN137" s="950">
        <v>0</v>
      </c>
      <c r="CO137" s="76">
        <v>84.895212195252199</v>
      </c>
      <c r="CP137" s="42">
        <v>0</v>
      </c>
      <c r="CQ137" s="5"/>
      <c r="CR137" s="76">
        <v>125.2915763456533</v>
      </c>
      <c r="CS137" s="954">
        <v>0</v>
      </c>
      <c r="CT137" s="5"/>
      <c r="CU137" s="76">
        <v>120.33204869918764</v>
      </c>
      <c r="CV137" s="42">
        <v>0</v>
      </c>
      <c r="CW137" s="5"/>
      <c r="CX137" s="76">
        <v>0</v>
      </c>
      <c r="CY137" s="42">
        <v>0</v>
      </c>
      <c r="CZ137" s="5"/>
      <c r="DA137" s="76">
        <v>0</v>
      </c>
      <c r="DB137" s="42">
        <v>0</v>
      </c>
      <c r="DC137" s="5"/>
      <c r="DD137" s="76">
        <v>34.847172385853952</v>
      </c>
      <c r="DE137" s="42">
        <v>0</v>
      </c>
      <c r="DF137" s="5"/>
      <c r="DG137" s="76">
        <v>0</v>
      </c>
      <c r="DH137" s="42"/>
      <c r="DI137" s="5"/>
      <c r="DJ137" s="42">
        <v>365.36600962594707</v>
      </c>
      <c r="DK137" s="42">
        <f t="shared" si="14"/>
        <v>0</v>
      </c>
      <c r="DL137" s="58">
        <f t="shared" si="15"/>
        <v>-365.36600962594707</v>
      </c>
      <c r="DM137" s="2">
        <v>2</v>
      </c>
    </row>
    <row r="138" spans="1:117" ht="24.9" customHeight="1" x14ac:dyDescent="0.3">
      <c r="A138" s="318">
        <v>150000618</v>
      </c>
      <c r="B138" s="44" t="s">
        <v>416</v>
      </c>
      <c r="C138" s="956">
        <v>10</v>
      </c>
      <c r="D138" s="957" t="s">
        <v>454</v>
      </c>
      <c r="E138" s="949">
        <f>'побудинковий звіт'!E105</f>
        <v>151.6</v>
      </c>
      <c r="F138" s="950">
        <f>'побудинковий звіт'!AS105</f>
        <v>1592.8130162680709</v>
      </c>
      <c r="G138" s="950">
        <f t="shared" si="8"/>
        <v>13708.834179402862</v>
      </c>
      <c r="H138" s="950">
        <f t="shared" si="9"/>
        <v>12116.021163134792</v>
      </c>
      <c r="I138" s="42">
        <f>'[2]поточний ремонт'!I138+'[1]поточний ремонт'!I138</f>
        <v>0</v>
      </c>
      <c r="J138" s="42">
        <f>'[2]поточний ремонт'!J138+'[1]поточний ремонт'!J138</f>
        <v>0</v>
      </c>
      <c r="K138" s="958"/>
      <c r="L138" s="42">
        <f>'[2]поточний ремонт'!L138+'[1]поточний ремонт'!L138</f>
        <v>0</v>
      </c>
      <c r="M138" s="42">
        <f>'[2]поточний ремонт'!M138+'[1]поточний ремонт'!M138</f>
        <v>0</v>
      </c>
      <c r="N138" s="36"/>
      <c r="O138" s="42">
        <f>'[2]поточний ремонт'!O138+'[1]поточний ремонт'!O138</f>
        <v>0</v>
      </c>
      <c r="P138" s="42">
        <f>'[2]поточний ремонт'!P138+'[1]поточний ремонт'!P138</f>
        <v>0</v>
      </c>
      <c r="Q138" s="959"/>
      <c r="R138" s="42">
        <f>'[2]поточний ремонт'!R138+'[1]поточний ремонт'!R138</f>
        <v>1</v>
      </c>
      <c r="S138" s="42">
        <f>'[2]поточний ремонт'!S138+'[1]поточний ремонт'!S138</f>
        <v>3991</v>
      </c>
      <c r="T138" s="960"/>
      <c r="U138" s="42">
        <f>'[2]поточний ремонт'!U138+'[1]поточний ремонт'!U138</f>
        <v>0</v>
      </c>
      <c r="V138" s="42">
        <f>'[2]поточний ремонт'!V138+'[1]поточний ремонт'!V138</f>
        <v>0</v>
      </c>
      <c r="W138" s="42">
        <f>'[2]поточний ремонт'!W138+'[1]поточний ремонт'!W138</f>
        <v>0</v>
      </c>
      <c r="X138" s="42">
        <f>'[2]поточний ремонт'!X138+'[1]поточний ремонт'!X138</f>
        <v>0</v>
      </c>
      <c r="Y138" s="42">
        <f>'[2]поточний ремонт'!Y138+'[1]поточний ремонт'!Y138</f>
        <v>754.00971516886102</v>
      </c>
      <c r="Z138" s="42">
        <f>'[2]поточний ремонт'!Z138+'[1]поточний ремонт'!Z138</f>
        <v>0</v>
      </c>
      <c r="AA138" s="42">
        <f>'[2]поточний ремонт'!AA138+'[1]поточний ремонт'!AA138</f>
        <v>0</v>
      </c>
      <c r="AB138" s="42">
        <f>'[2]поточний ремонт'!AB138+'[1]поточний ремонт'!AB138</f>
        <v>8503.974369666892</v>
      </c>
      <c r="AC138" s="42">
        <f>'[2]поточний ремонт'!AC138+'[1]поточний ремонт'!AC138</f>
        <v>0</v>
      </c>
      <c r="AD138" s="42">
        <f>'[2]поточний ремонт'!AD138+'[1]поточний ремонт'!AD138</f>
        <v>459.85009456710986</v>
      </c>
      <c r="AE138" s="42">
        <f>'[2]поточний ремонт'!AE138+'[1]поточний ремонт'!AE138</f>
        <v>812.66865997568584</v>
      </c>
      <c r="AF138" s="42">
        <f>'[2]поточний ремонт'!AF138+'[1]поточний ремонт'!AF138</f>
        <v>0</v>
      </c>
      <c r="AG138" s="5"/>
      <c r="AH138" s="42">
        <f>'[2]поточний ремонт'!AH138+'[1]поточний ремонт'!AH138</f>
        <v>954.7949662211995</v>
      </c>
      <c r="AI138" s="42">
        <f>'[2]поточний ремонт'!AI138+'[1]поточний ремонт'!AI138</f>
        <v>0</v>
      </c>
      <c r="AJ138" s="5"/>
      <c r="AK138" s="42">
        <f>'[2]поточний ремонт'!AK138+'[1]поточний ремонт'!AK138</f>
        <v>1137.0911323304081</v>
      </c>
      <c r="AL138" s="42">
        <f>'[2]поточний ремонт'!AL138+'[1]поточний ремонт'!AL138</f>
        <v>0</v>
      </c>
      <c r="AM138" s="5"/>
      <c r="AN138" s="42">
        <f>'[2]поточний ремонт'!AN138+'[1]поточний ремонт'!AN138</f>
        <v>367.14335114521191</v>
      </c>
      <c r="AO138" s="42">
        <f>'[2]поточний ремонт'!AO138+'[1]поточний ремонт'!AO138</f>
        <v>0</v>
      </c>
      <c r="AP138" s="5"/>
      <c r="AQ138" s="42">
        <f>'[2]поточний ремонт'!AQ138+'[1]поточний ремонт'!AQ138</f>
        <v>221.05101469829924</v>
      </c>
      <c r="AR138" s="42">
        <f>'[2]поточний ремонт'!AR138+'[1]поточний ремонт'!AR138</f>
        <v>0</v>
      </c>
      <c r="AS138" s="5"/>
      <c r="AT138" s="42">
        <f>'[2]поточний ремонт'!AT138+'[1]поточний ремонт'!AT138</f>
        <v>628.21847694989401</v>
      </c>
      <c r="AU138" s="42">
        <f>'[2]поточний ремонт'!AU138+'[1]поточний ремонт'!AU138</f>
        <v>0</v>
      </c>
      <c r="AV138" s="5"/>
      <c r="AW138" s="42">
        <f>'[2]поточний ремонт'!AW138+'[1]поточний ремонт'!AW138</f>
        <v>6.0545776474590696</v>
      </c>
      <c r="AX138" s="42">
        <f>'[2]поточний ремонт'!AX138+'[1]поточний ремонт'!AX138</f>
        <v>0</v>
      </c>
      <c r="AY138" s="5"/>
      <c r="AZ138" s="42">
        <f t="shared" si="10"/>
        <v>4127.0221789681582</v>
      </c>
      <c r="BA138" s="42">
        <f t="shared" si="11"/>
        <v>0</v>
      </c>
      <c r="BB138" s="58">
        <f t="shared" si="12"/>
        <v>-4127.0221789681582</v>
      </c>
      <c r="BD138" s="2">
        <v>2</v>
      </c>
      <c r="BF138" s="29">
        <v>4.0080698619844828</v>
      </c>
      <c r="BG138" s="318">
        <v>150000618</v>
      </c>
      <c r="BI138" s="104">
        <v>0</v>
      </c>
      <c r="BJ138" s="104">
        <f t="shared" si="13"/>
        <v>0</v>
      </c>
      <c r="BK138" s="104">
        <v>0</v>
      </c>
      <c r="BL138" s="38"/>
      <c r="BM138" s="3"/>
      <c r="BN138" s="3">
        <v>0</v>
      </c>
      <c r="BP138" s="3"/>
      <c r="BQ138" s="3"/>
      <c r="BS138" s="42"/>
      <c r="BT138" s="42">
        <v>0</v>
      </c>
      <c r="BU138" s="958"/>
      <c r="BV138" s="41"/>
      <c r="BW138" s="42"/>
      <c r="BX138" s="36"/>
      <c r="BY138" s="76"/>
      <c r="BZ138" s="42">
        <v>0</v>
      </c>
      <c r="CA138" s="959"/>
      <c r="CB138" s="41">
        <v>0</v>
      </c>
      <c r="CC138" s="41">
        <v>0</v>
      </c>
      <c r="CD138" s="960"/>
      <c r="CE138" s="76">
        <v>0</v>
      </c>
      <c r="CF138" s="55"/>
      <c r="CG138" s="41">
        <v>0</v>
      </c>
      <c r="CH138" s="38">
        <v>0</v>
      </c>
      <c r="CI138" s="76">
        <v>0</v>
      </c>
      <c r="CJ138" s="55"/>
      <c r="CK138" s="955"/>
      <c r="CL138" s="950"/>
      <c r="CM138" s="955"/>
      <c r="CN138" s="950">
        <v>0</v>
      </c>
      <c r="CO138" s="76">
        <v>52.636998233877371</v>
      </c>
      <c r="CP138" s="42">
        <v>0</v>
      </c>
      <c r="CQ138" s="5"/>
      <c r="CR138" s="76">
        <v>70.422683675383809</v>
      </c>
      <c r="CS138" s="954">
        <v>0</v>
      </c>
      <c r="CT138" s="5"/>
      <c r="CU138" s="76">
        <v>86.26499651943341</v>
      </c>
      <c r="CV138" s="42">
        <v>0</v>
      </c>
      <c r="CW138" s="5"/>
      <c r="CX138" s="76">
        <v>31.015276135174716</v>
      </c>
      <c r="CY138" s="42">
        <v>0</v>
      </c>
      <c r="CZ138" s="5"/>
      <c r="DA138" s="76">
        <v>17.609972466285939</v>
      </c>
      <c r="DB138" s="42">
        <v>0</v>
      </c>
      <c r="DC138" s="5"/>
      <c r="DD138" s="76">
        <v>43.339787663818534</v>
      </c>
      <c r="DE138" s="42">
        <v>0</v>
      </c>
      <c r="DF138" s="5"/>
      <c r="DG138" s="76">
        <v>0</v>
      </c>
      <c r="DH138" s="42"/>
      <c r="DI138" s="5"/>
      <c r="DJ138" s="42">
        <v>301.28971469397374</v>
      </c>
      <c r="DK138" s="42">
        <f t="shared" si="14"/>
        <v>0</v>
      </c>
      <c r="DL138" s="58">
        <f t="shared" si="15"/>
        <v>-301.28971469397374</v>
      </c>
      <c r="DM138" s="2">
        <v>2</v>
      </c>
    </row>
    <row r="139" spans="1:117" ht="24.9" customHeight="1" x14ac:dyDescent="0.3">
      <c r="A139" s="318">
        <v>150000619</v>
      </c>
      <c r="B139" s="44" t="s">
        <v>359</v>
      </c>
      <c r="C139" s="956">
        <v>9</v>
      </c>
      <c r="D139" s="957" t="s">
        <v>454</v>
      </c>
      <c r="E139" s="949">
        <f>'побудинковий звіт'!E106</f>
        <v>5046.8999999999996</v>
      </c>
      <c r="F139" s="950">
        <f>'побудинковий звіт'!AS106</f>
        <v>120477.60366673392</v>
      </c>
      <c r="G139" s="950">
        <f t="shared" ref="G139:G202" si="16">J139+M139+P139+S139+U139+X139+Y139+AA139+AB139+AC139+AD139</f>
        <v>24754.278670043823</v>
      </c>
      <c r="H139" s="950">
        <f t="shared" ref="H139:H202" si="17">G139-F139</f>
        <v>-95723.324996690091</v>
      </c>
      <c r="I139" s="42">
        <f>'[2]поточний ремонт'!I139+'[1]поточний ремонт'!I139</f>
        <v>8.48</v>
      </c>
      <c r="J139" s="42">
        <f>'[2]поточний ремонт'!J139+'[1]поточний ремонт'!J139</f>
        <v>2939.5444524387003</v>
      </c>
      <c r="K139" s="958"/>
      <c r="L139" s="42">
        <f>'[2]поточний ремонт'!L139+'[1]поточний ремонт'!L139</f>
        <v>0</v>
      </c>
      <c r="M139" s="42">
        <f>'[2]поточний ремонт'!M139+'[1]поточний ремонт'!M139</f>
        <v>0</v>
      </c>
      <c r="N139" s="961"/>
      <c r="O139" s="42">
        <f>'[2]поточний ремонт'!O139+'[1]поточний ремонт'!O139</f>
        <v>0</v>
      </c>
      <c r="P139" s="42">
        <f>'[2]поточний ремонт'!P139+'[1]поточний ремонт'!P139</f>
        <v>0</v>
      </c>
      <c r="Q139" s="959"/>
      <c r="R139" s="42">
        <f>'[2]поточний ремонт'!R139+'[1]поточний ремонт'!R139</f>
        <v>0</v>
      </c>
      <c r="S139" s="42">
        <f>'[2]поточний ремонт'!S139+'[1]поточний ремонт'!S139</f>
        <v>0</v>
      </c>
      <c r="T139" s="960"/>
      <c r="U139" s="42">
        <f>'[2]поточний ремонт'!U139+'[1]поточний ремонт'!U139</f>
        <v>0</v>
      </c>
      <c r="V139" s="42">
        <f>'[2]поточний ремонт'!V139+'[1]поточний ремонт'!V139</f>
        <v>0</v>
      </c>
      <c r="W139" s="42">
        <f>'[2]поточний ремонт'!W139+'[1]поточний ремонт'!W139</f>
        <v>0</v>
      </c>
      <c r="X139" s="42">
        <f>'[2]поточний ремонт'!X139+'[1]поточний ремонт'!X139</f>
        <v>0</v>
      </c>
      <c r="Y139" s="42">
        <f>'[2]поточний ремонт'!Y139+'[1]поточний ремонт'!Y139</f>
        <v>18459.961579053943</v>
      </c>
      <c r="Z139" s="42">
        <f>'[2]поточний ремонт'!Z139+'[1]поточний ремонт'!Z139</f>
        <v>0</v>
      </c>
      <c r="AA139" s="42">
        <f>'[2]поточний ремонт'!AA139+'[1]поточний ремонт'!AA139</f>
        <v>0</v>
      </c>
      <c r="AB139" s="42">
        <f>'[2]поточний ремонт'!AB139+'[1]поточний ремонт'!AB139</f>
        <v>0</v>
      </c>
      <c r="AC139" s="42">
        <f>'[2]поточний ремонт'!AC139+'[1]поточний ремонт'!AC139</f>
        <v>2284.8379327418475</v>
      </c>
      <c r="AD139" s="42">
        <f>'[2]поточний ремонт'!AD139+'[1]поточний ремонт'!AD139</f>
        <v>1069.9347058093294</v>
      </c>
      <c r="AE139" s="42">
        <f>'[2]поточний ремонт'!AE139+'[1]поточний ремонт'!AE139</f>
        <v>1733.6390502023528</v>
      </c>
      <c r="AF139" s="42">
        <f>'[2]поточний ремонт'!AF139+'[1]поточний ремонт'!AF139</f>
        <v>2520.8461648616899</v>
      </c>
      <c r="AG139" s="5"/>
      <c r="AH139" s="42">
        <f>'[2]поточний ремонт'!AH139+'[1]поточний ремонт'!AH139</f>
        <v>1805.5002990356261</v>
      </c>
      <c r="AI139" s="42">
        <f>'[2]поточний ремонт'!AI139+'[1]поточний ремонт'!AI139</f>
        <v>0</v>
      </c>
      <c r="AJ139" s="5"/>
      <c r="AK139" s="42">
        <f>'[2]поточний ремонт'!AK139+'[1]поточний ремонт'!AK139</f>
        <v>1802.342121595713</v>
      </c>
      <c r="AL139" s="42">
        <f>'[2]поточний ремонт'!AL139+'[1]поточний ремонт'!AL139</f>
        <v>0</v>
      </c>
      <c r="AM139" s="5"/>
      <c r="AN139" s="42">
        <f>'[2]поточний ремонт'!AN139+'[1]поточний ремонт'!AN139</f>
        <v>664.40241920785138</v>
      </c>
      <c r="AO139" s="42">
        <f>'[2]поточний ремонт'!AO139+'[1]поточний ремонт'!AO139</f>
        <v>0</v>
      </c>
      <c r="AP139" s="5"/>
      <c r="AQ139" s="42">
        <f>'[2]поточний ремонт'!AQ139+'[1]поточний ремонт'!AQ139</f>
        <v>413.971169521734</v>
      </c>
      <c r="AR139" s="42">
        <f>'[2]поточний ремонт'!AR139+'[1]поточний ремонт'!AR139</f>
        <v>0</v>
      </c>
      <c r="AS139" s="5"/>
      <c r="AT139" s="42">
        <f>'[2]поточний ремонт'!AT139+'[1]поточний ремонт'!AT139</f>
        <v>1305.7095903051052</v>
      </c>
      <c r="AU139" s="42">
        <f>'[2]поточний ремонт'!AU139+'[1]поточний ремонт'!AU139</f>
        <v>0</v>
      </c>
      <c r="AV139" s="5"/>
      <c r="AW139" s="42">
        <f>'[2]поточний ремонт'!AW139+'[1]поточний ремонт'!AW139</f>
        <v>53.487331030661736</v>
      </c>
      <c r="AX139" s="42">
        <f>'[2]поточний ремонт'!AX139+'[1]поточний ремонт'!AX139</f>
        <v>5492.6297331160004</v>
      </c>
      <c r="AY139" s="5"/>
      <c r="AZ139" s="42">
        <f t="shared" ref="AZ139:AZ202" si="18">AE139+AH139+AK139+AN139+AQ139+AT139+AW139</f>
        <v>7779.0519808990439</v>
      </c>
      <c r="BA139" s="42">
        <f t="shared" ref="BA139:BA202" si="19">AF139+AI139+AL139+AO139+AR139+AU139+AX139</f>
        <v>8013.4758979776907</v>
      </c>
      <c r="BB139" s="58">
        <f t="shared" ref="BB139:BB202" si="20">BA139-AZ139</f>
        <v>234.42391707864681</v>
      </c>
      <c r="BD139" s="2">
        <v>2</v>
      </c>
      <c r="BF139" s="29">
        <v>6.2135160727550423</v>
      </c>
      <c r="BG139" s="318">
        <v>150000619</v>
      </c>
      <c r="BI139" s="104">
        <v>0</v>
      </c>
      <c r="BJ139" s="104">
        <f t="shared" ref="BJ139:BJ202" si="21">BI139*$BJ$10</f>
        <v>0</v>
      </c>
      <c r="BK139" s="104">
        <v>0</v>
      </c>
      <c r="BL139" s="38"/>
      <c r="BM139" s="3"/>
      <c r="BN139" s="3">
        <v>0</v>
      </c>
      <c r="BP139" s="3"/>
      <c r="BQ139" s="3"/>
      <c r="BS139" s="42"/>
      <c r="BT139" s="42">
        <v>0</v>
      </c>
      <c r="BU139" s="958"/>
      <c r="BV139" s="41"/>
      <c r="BW139" s="42"/>
      <c r="BX139" s="961"/>
      <c r="BY139" s="76"/>
      <c r="BZ139" s="42">
        <v>0</v>
      </c>
      <c r="CA139" s="959"/>
      <c r="CB139" s="41">
        <v>0</v>
      </c>
      <c r="CC139" s="41">
        <v>0</v>
      </c>
      <c r="CD139" s="960"/>
      <c r="CE139" s="76">
        <v>0</v>
      </c>
      <c r="CF139" s="55"/>
      <c r="CG139" s="41">
        <v>0</v>
      </c>
      <c r="CH139" s="38">
        <v>0</v>
      </c>
      <c r="CI139" s="76">
        <v>0</v>
      </c>
      <c r="CJ139" s="55"/>
      <c r="CK139" s="955"/>
      <c r="CL139" s="950"/>
      <c r="CM139" s="955"/>
      <c r="CN139" s="950">
        <v>0</v>
      </c>
      <c r="CO139" s="76">
        <v>104.34178770313731</v>
      </c>
      <c r="CP139" s="42">
        <v>0</v>
      </c>
      <c r="CQ139" s="5"/>
      <c r="CR139" s="76">
        <v>132.66832458043814</v>
      </c>
      <c r="CS139" s="954">
        <v>0</v>
      </c>
      <c r="CT139" s="5"/>
      <c r="CU139" s="76">
        <v>137.02384284704263</v>
      </c>
      <c r="CV139" s="42">
        <v>0</v>
      </c>
      <c r="CW139" s="5"/>
      <c r="CX139" s="76">
        <v>57.183779780945919</v>
      </c>
      <c r="CY139" s="42">
        <v>0</v>
      </c>
      <c r="CZ139" s="5"/>
      <c r="DA139" s="76">
        <v>32.980617657691397</v>
      </c>
      <c r="DB139" s="42">
        <v>0</v>
      </c>
      <c r="DC139" s="5"/>
      <c r="DD139" s="76">
        <v>86.533694527001416</v>
      </c>
      <c r="DE139" s="42">
        <v>0</v>
      </c>
      <c r="DF139" s="5"/>
      <c r="DG139" s="76">
        <v>0</v>
      </c>
      <c r="DH139" s="42"/>
      <c r="DI139" s="5"/>
      <c r="DJ139" s="42">
        <v>550.73204709625691</v>
      </c>
      <c r="DK139" s="42">
        <f t="shared" ref="DK139:DK202" si="22">CP139+CS139+CV139+CY139+DB139+DE139+DH139</f>
        <v>0</v>
      </c>
      <c r="DL139" s="58">
        <f t="shared" ref="DL139:DL202" si="23">DK139-DJ139</f>
        <v>-550.73204709625691</v>
      </c>
      <c r="DM139" s="2">
        <v>2</v>
      </c>
    </row>
    <row r="140" spans="1:117" ht="24.9" customHeight="1" x14ac:dyDescent="0.3">
      <c r="A140" s="318">
        <v>150000621</v>
      </c>
      <c r="B140" s="44" t="s">
        <v>80</v>
      </c>
      <c r="C140" s="956">
        <v>1</v>
      </c>
      <c r="D140" s="957" t="s">
        <v>454</v>
      </c>
      <c r="E140" s="949">
        <f>'побудинковий звіт'!E107</f>
        <v>2605.5</v>
      </c>
      <c r="F140" s="950">
        <f>'побудинковий звіт'!AS107</f>
        <v>49822.15819194998</v>
      </c>
      <c r="G140" s="950">
        <f t="shared" si="16"/>
        <v>7236</v>
      </c>
      <c r="H140" s="950">
        <f t="shared" si="17"/>
        <v>-42586.15819194998</v>
      </c>
      <c r="I140" s="42">
        <f>'[2]поточний ремонт'!I140+'[1]поточний ремонт'!I140</f>
        <v>29.5</v>
      </c>
      <c r="J140" s="42">
        <f>'[2]поточний ремонт'!J140+'[1]поточний ремонт'!J140</f>
        <v>7236</v>
      </c>
      <c r="K140" s="958"/>
      <c r="L140" s="42">
        <f>'[2]поточний ремонт'!L140+'[1]поточний ремонт'!L140</f>
        <v>0</v>
      </c>
      <c r="M140" s="42">
        <f>'[2]поточний ремонт'!M140+'[1]поточний ремонт'!M140</f>
        <v>0</v>
      </c>
      <c r="N140" s="36"/>
      <c r="O140" s="42">
        <f>'[2]поточний ремонт'!O140+'[1]поточний ремонт'!O140</f>
        <v>0</v>
      </c>
      <c r="P140" s="42">
        <f>'[2]поточний ремонт'!P140+'[1]поточний ремонт'!P140</f>
        <v>0</v>
      </c>
      <c r="Q140" s="959"/>
      <c r="R140" s="42">
        <f>'[2]поточний ремонт'!R140+'[1]поточний ремонт'!R140</f>
        <v>0</v>
      </c>
      <c r="S140" s="42">
        <f>'[2]поточний ремонт'!S140+'[1]поточний ремонт'!S140</f>
        <v>0</v>
      </c>
      <c r="T140" s="960"/>
      <c r="U140" s="42">
        <f>'[2]поточний ремонт'!U140+'[1]поточний ремонт'!U140</f>
        <v>0</v>
      </c>
      <c r="V140" s="42">
        <f>'[2]поточний ремонт'!V140+'[1]поточний ремонт'!V140</f>
        <v>0</v>
      </c>
      <c r="W140" s="42">
        <f>'[2]поточний ремонт'!W140+'[1]поточний ремонт'!W140</f>
        <v>0</v>
      </c>
      <c r="X140" s="42">
        <f>'[2]поточний ремонт'!X140+'[1]поточний ремонт'!X140</f>
        <v>0</v>
      </c>
      <c r="Y140" s="42">
        <f>'[2]поточний ремонт'!Y140+'[1]поточний ремонт'!Y140</f>
        <v>0</v>
      </c>
      <c r="Z140" s="42">
        <f>'[2]поточний ремонт'!Z140+'[1]поточний ремонт'!Z140</f>
        <v>0</v>
      </c>
      <c r="AA140" s="42">
        <f>'[2]поточний ремонт'!AA140+'[1]поточний ремонт'!AA140</f>
        <v>0</v>
      </c>
      <c r="AB140" s="42">
        <f>'[2]поточний ремонт'!AB140+'[1]поточний ремонт'!AB140</f>
        <v>0</v>
      </c>
      <c r="AC140" s="42">
        <f>'[2]поточний ремонт'!AC140+'[1]поточний ремонт'!AC140</f>
        <v>0</v>
      </c>
      <c r="AD140" s="42">
        <f>'[2]поточний ремонт'!AD140+'[1]поточний ремонт'!AD140</f>
        <v>0</v>
      </c>
      <c r="AE140" s="42">
        <f>'[2]поточний ремонт'!AE140+'[1]поточний ремонт'!AE140</f>
        <v>0</v>
      </c>
      <c r="AF140" s="42">
        <f>'[2]поточний ремонт'!AF140+'[1]поточний ремонт'!AF140</f>
        <v>0</v>
      </c>
      <c r="AG140" s="5"/>
      <c r="AH140" s="42">
        <f>'[2]поточний ремонт'!AH140+'[1]поточний ремонт'!AH140</f>
        <v>0</v>
      </c>
      <c r="AI140" s="42">
        <f>'[2]поточний ремонт'!AI140+'[1]поточний ремонт'!AI140</f>
        <v>0</v>
      </c>
      <c r="AJ140" s="5"/>
      <c r="AK140" s="42">
        <f>'[2]поточний ремонт'!AK140+'[1]поточний ремонт'!AK140</f>
        <v>0</v>
      </c>
      <c r="AL140" s="42">
        <f>'[2]поточний ремонт'!AL140+'[1]поточний ремонт'!AL140</f>
        <v>0</v>
      </c>
      <c r="AM140" s="5"/>
      <c r="AN140" s="42">
        <f>'[2]поточний ремонт'!AN140+'[1]поточний ремонт'!AN140</f>
        <v>0</v>
      </c>
      <c r="AO140" s="42">
        <f>'[2]поточний ремонт'!AO140+'[1]поточний ремонт'!AO140</f>
        <v>0</v>
      </c>
      <c r="AP140" s="5"/>
      <c r="AQ140" s="42">
        <f>'[2]поточний ремонт'!AQ140+'[1]поточний ремонт'!AQ140</f>
        <v>0</v>
      </c>
      <c r="AR140" s="42">
        <f>'[2]поточний ремонт'!AR140+'[1]поточний ремонт'!AR140</f>
        <v>0</v>
      </c>
      <c r="AS140" s="5"/>
      <c r="AT140" s="42">
        <f>'[2]поточний ремонт'!AT140+'[1]поточний ремонт'!AT140</f>
        <v>0</v>
      </c>
      <c r="AU140" s="42">
        <f>'[2]поточний ремонт'!AU140+'[1]поточний ремонт'!AU140</f>
        <v>0</v>
      </c>
      <c r="AV140" s="5"/>
      <c r="AW140" s="42">
        <f>'[2]поточний ремонт'!AW140+'[1]поточний ремонт'!AW140</f>
        <v>0</v>
      </c>
      <c r="AX140" s="42">
        <f>'[2]поточний ремонт'!AX140+'[1]поточний ремонт'!AX140</f>
        <v>0</v>
      </c>
      <c r="AY140" s="5"/>
      <c r="AZ140" s="42">
        <f t="shared" si="18"/>
        <v>0</v>
      </c>
      <c r="BA140" s="42">
        <f t="shared" si="19"/>
        <v>0</v>
      </c>
      <c r="BB140" s="58">
        <f t="shared" si="20"/>
        <v>0</v>
      </c>
      <c r="BD140" s="2">
        <v>2</v>
      </c>
      <c r="BF140" s="29">
        <v>0</v>
      </c>
      <c r="BG140" s="318">
        <v>150000621</v>
      </c>
      <c r="BI140" s="104">
        <v>0</v>
      </c>
      <c r="BJ140" s="104">
        <f t="shared" si="21"/>
        <v>0</v>
      </c>
      <c r="BK140" s="104">
        <v>0</v>
      </c>
      <c r="BL140" s="38"/>
      <c r="BM140" s="3"/>
      <c r="BN140" s="3">
        <v>0</v>
      </c>
      <c r="BP140" s="3"/>
      <c r="BQ140" s="3"/>
      <c r="BS140" s="42"/>
      <c r="BT140" s="42">
        <v>0</v>
      </c>
      <c r="BU140" s="958"/>
      <c r="BV140" s="41"/>
      <c r="BW140" s="42"/>
      <c r="BX140" s="36"/>
      <c r="BY140" s="76"/>
      <c r="BZ140" s="42">
        <v>0</v>
      </c>
      <c r="CA140" s="959"/>
      <c r="CB140" s="41">
        <v>0</v>
      </c>
      <c r="CC140" s="41">
        <v>0</v>
      </c>
      <c r="CD140" s="960"/>
      <c r="CE140" s="76">
        <v>0</v>
      </c>
      <c r="CF140" s="55"/>
      <c r="CG140" s="41">
        <v>0</v>
      </c>
      <c r="CH140" s="38">
        <v>0</v>
      </c>
      <c r="CI140" s="76">
        <v>0</v>
      </c>
      <c r="CJ140" s="55"/>
      <c r="CK140" s="955"/>
      <c r="CL140" s="950"/>
      <c r="CM140" s="955"/>
      <c r="CN140" s="950">
        <v>0</v>
      </c>
      <c r="CO140" s="76">
        <v>0</v>
      </c>
      <c r="CP140" s="42">
        <v>0</v>
      </c>
      <c r="CQ140" s="5"/>
      <c r="CR140" s="76">
        <v>0</v>
      </c>
      <c r="CS140" s="954">
        <v>0</v>
      </c>
      <c r="CT140" s="5"/>
      <c r="CU140" s="76">
        <v>0</v>
      </c>
      <c r="CV140" s="42">
        <v>0</v>
      </c>
      <c r="CW140" s="5"/>
      <c r="CX140" s="76">
        <v>0</v>
      </c>
      <c r="CY140" s="42">
        <v>0</v>
      </c>
      <c r="CZ140" s="5"/>
      <c r="DA140" s="76">
        <v>0</v>
      </c>
      <c r="DB140" s="42">
        <v>0</v>
      </c>
      <c r="DC140" s="5"/>
      <c r="DD140" s="76">
        <v>0</v>
      </c>
      <c r="DE140" s="42">
        <v>0</v>
      </c>
      <c r="DF140" s="5"/>
      <c r="DG140" s="76">
        <v>0</v>
      </c>
      <c r="DH140" s="42"/>
      <c r="DI140" s="5"/>
      <c r="DJ140" s="42">
        <v>0</v>
      </c>
      <c r="DK140" s="42">
        <f t="shared" si="22"/>
        <v>0</v>
      </c>
      <c r="DL140" s="58">
        <f t="shared" si="23"/>
        <v>0</v>
      </c>
      <c r="DM140" s="2">
        <v>2</v>
      </c>
    </row>
    <row r="141" spans="1:117" ht="24.9" customHeight="1" x14ac:dyDescent="0.3">
      <c r="A141" s="318">
        <v>150000590</v>
      </c>
      <c r="B141" s="44" t="s">
        <v>163</v>
      </c>
      <c r="C141" s="956">
        <v>2</v>
      </c>
      <c r="D141" s="957" t="s">
        <v>454</v>
      </c>
      <c r="E141" s="949">
        <f>'побудинковий звіт'!E108</f>
        <v>4661.7</v>
      </c>
      <c r="F141" s="950">
        <f>'побудинковий звіт'!AS108</f>
        <v>95421.960247968003</v>
      </c>
      <c r="G141" s="950">
        <f t="shared" si="16"/>
        <v>0</v>
      </c>
      <c r="H141" s="950">
        <f t="shared" si="17"/>
        <v>-95421.960247968003</v>
      </c>
      <c r="I141" s="42">
        <f>'[2]поточний ремонт'!I141+'[1]поточний ремонт'!I141</f>
        <v>0</v>
      </c>
      <c r="J141" s="42">
        <f>'[2]поточний ремонт'!J141+'[1]поточний ремонт'!J141</f>
        <v>0</v>
      </c>
      <c r="K141" s="958"/>
      <c r="L141" s="42">
        <f>'[2]поточний ремонт'!L141+'[1]поточний ремонт'!L141</f>
        <v>0</v>
      </c>
      <c r="M141" s="42">
        <f>'[2]поточний ремонт'!M141+'[1]поточний ремонт'!M141</f>
        <v>0</v>
      </c>
      <c r="N141" s="36"/>
      <c r="O141" s="42">
        <f>'[2]поточний ремонт'!O141+'[1]поточний ремонт'!O141</f>
        <v>0</v>
      </c>
      <c r="P141" s="42">
        <f>'[2]поточний ремонт'!P141+'[1]поточний ремонт'!P141</f>
        <v>0</v>
      </c>
      <c r="Q141" s="959"/>
      <c r="R141" s="42">
        <f>'[2]поточний ремонт'!R141+'[1]поточний ремонт'!R141</f>
        <v>0</v>
      </c>
      <c r="S141" s="42">
        <f>'[2]поточний ремонт'!S141+'[1]поточний ремонт'!S141</f>
        <v>0</v>
      </c>
      <c r="T141" s="960"/>
      <c r="U141" s="42">
        <f>'[2]поточний ремонт'!U141+'[1]поточний ремонт'!U141</f>
        <v>0</v>
      </c>
      <c r="V141" s="42">
        <f>'[2]поточний ремонт'!V141+'[1]поточний ремонт'!V141</f>
        <v>0</v>
      </c>
      <c r="W141" s="42">
        <f>'[2]поточний ремонт'!W141+'[1]поточний ремонт'!W141</f>
        <v>0</v>
      </c>
      <c r="X141" s="42">
        <f>'[2]поточний ремонт'!X141+'[1]поточний ремонт'!X141</f>
        <v>0</v>
      </c>
      <c r="Y141" s="42">
        <f>'[2]поточний ремонт'!Y141+'[1]поточний ремонт'!Y141</f>
        <v>0</v>
      </c>
      <c r="Z141" s="42">
        <f>'[2]поточний ремонт'!Z141+'[1]поточний ремонт'!Z141</f>
        <v>0</v>
      </c>
      <c r="AA141" s="42">
        <f>'[2]поточний ремонт'!AA141+'[1]поточний ремонт'!AA141</f>
        <v>0</v>
      </c>
      <c r="AB141" s="42">
        <f>'[2]поточний ремонт'!AB141+'[1]поточний ремонт'!AB141</f>
        <v>0</v>
      </c>
      <c r="AC141" s="42">
        <f>'[2]поточний ремонт'!AC141+'[1]поточний ремонт'!AC141</f>
        <v>0</v>
      </c>
      <c r="AD141" s="42">
        <f>'[2]поточний ремонт'!AD141+'[1]поточний ремонт'!AD141</f>
        <v>0</v>
      </c>
      <c r="AE141" s="42">
        <f>'[2]поточний ремонт'!AE141+'[1]поточний ремонт'!AE141</f>
        <v>384.55481042610012</v>
      </c>
      <c r="AF141" s="42">
        <f>'[2]поточний ремонт'!AF141+'[1]поточний ремонт'!AF141</f>
        <v>0</v>
      </c>
      <c r="AG141" s="5"/>
      <c r="AH141" s="42">
        <f>'[2]поточний ремонт'!AH141+'[1]поточний ремонт'!AH141</f>
        <v>524.50801757786883</v>
      </c>
      <c r="AI141" s="42">
        <f>'[2]поточний ремонт'!AI141+'[1]поточний ремонт'!AI141</f>
        <v>0</v>
      </c>
      <c r="AJ141" s="5"/>
      <c r="AK141" s="42">
        <f>'[2]поточний ремонт'!AK141+'[1]поточний ремонт'!AK141</f>
        <v>0</v>
      </c>
      <c r="AL141" s="42">
        <f>'[2]поточний ремонт'!AL141+'[1]поточний ремонт'!AL141</f>
        <v>0</v>
      </c>
      <c r="AM141" s="5"/>
      <c r="AN141" s="42">
        <f>'[2]поточний ремонт'!AN141+'[1]поточний ремонт'!AN141</f>
        <v>0</v>
      </c>
      <c r="AO141" s="42">
        <f>'[2]поточний ремонт'!AO141+'[1]поточний ремонт'!AO141</f>
        <v>0</v>
      </c>
      <c r="AP141" s="5"/>
      <c r="AQ141" s="42">
        <f>'[2]поточний ремонт'!AQ141+'[1]поточний ремонт'!AQ141</f>
        <v>0</v>
      </c>
      <c r="AR141" s="42">
        <f>'[2]поточний ремонт'!AR141+'[1]поточний ремонт'!AR141</f>
        <v>0</v>
      </c>
      <c r="AS141" s="5"/>
      <c r="AT141" s="42">
        <f>'[2]поточний ремонт'!AT141+'[1]поточний ремонт'!AT141</f>
        <v>130.29885782054578</v>
      </c>
      <c r="AU141" s="42">
        <f>'[2]поточний ремонт'!AU141+'[1]поточний ремонт'!AU141</f>
        <v>0</v>
      </c>
      <c r="AV141" s="5"/>
      <c r="AW141" s="42">
        <f>'[2]поточний ремонт'!AW141+'[1]поточний ремонт'!AW141</f>
        <v>25.096694911747448</v>
      </c>
      <c r="AX141" s="42">
        <f>'[2]поточний ремонт'!AX141+'[1]поточний ремонт'!AX141</f>
        <v>1147.6023835599999</v>
      </c>
      <c r="AY141" s="5"/>
      <c r="AZ141" s="42">
        <f t="shared" si="18"/>
        <v>1064.4583807362619</v>
      </c>
      <c r="BA141" s="42">
        <f t="shared" si="19"/>
        <v>1147.6023835599999</v>
      </c>
      <c r="BB141" s="58">
        <f t="shared" si="20"/>
        <v>83.144002823737992</v>
      </c>
      <c r="BD141" s="2">
        <v>3</v>
      </c>
      <c r="BF141" s="29">
        <v>27.934829588869619</v>
      </c>
      <c r="BG141" s="318">
        <v>150000590</v>
      </c>
      <c r="BI141" s="104">
        <v>0</v>
      </c>
      <c r="BJ141" s="104">
        <f t="shared" si="21"/>
        <v>0</v>
      </c>
      <c r="BK141" s="104">
        <v>0</v>
      </c>
      <c r="BL141" s="38"/>
      <c r="BM141" s="3"/>
      <c r="BN141" s="3">
        <v>0</v>
      </c>
      <c r="BP141" s="3"/>
      <c r="BQ141" s="3"/>
      <c r="BS141" s="42"/>
      <c r="BT141" s="42">
        <v>0</v>
      </c>
      <c r="BU141" s="958"/>
      <c r="BV141" s="41"/>
      <c r="BW141" s="42"/>
      <c r="BX141" s="36"/>
      <c r="BY141" s="76"/>
      <c r="BZ141" s="42">
        <v>0</v>
      </c>
      <c r="CA141" s="959"/>
      <c r="CB141" s="41">
        <v>0</v>
      </c>
      <c r="CC141" s="41">
        <v>0</v>
      </c>
      <c r="CD141" s="960"/>
      <c r="CE141" s="76">
        <v>0</v>
      </c>
      <c r="CF141" s="55"/>
      <c r="CG141" s="41">
        <v>0</v>
      </c>
      <c r="CH141" s="38">
        <v>0</v>
      </c>
      <c r="CI141" s="76">
        <v>0</v>
      </c>
      <c r="CJ141" s="964"/>
      <c r="CK141" s="955"/>
      <c r="CL141" s="950"/>
      <c r="CM141" s="955"/>
      <c r="CN141" s="950">
        <v>0</v>
      </c>
      <c r="CO141" s="76">
        <v>32.641676890027298</v>
      </c>
      <c r="CP141" s="42">
        <v>0</v>
      </c>
      <c r="CQ141" s="5"/>
      <c r="CR141" s="76">
        <v>45.119130001311447</v>
      </c>
      <c r="CS141" s="954">
        <v>0</v>
      </c>
      <c r="CT141" s="5"/>
      <c r="CU141" s="76">
        <v>0</v>
      </c>
      <c r="CV141" s="42">
        <v>0</v>
      </c>
      <c r="CW141" s="5"/>
      <c r="CX141" s="76">
        <v>0</v>
      </c>
      <c r="CY141" s="42">
        <v>0</v>
      </c>
      <c r="CZ141" s="5"/>
      <c r="DA141" s="76">
        <v>0</v>
      </c>
      <c r="DB141" s="42">
        <v>0</v>
      </c>
      <c r="DC141" s="5"/>
      <c r="DD141" s="76">
        <v>7.6108570135763136</v>
      </c>
      <c r="DE141" s="42">
        <v>0</v>
      </c>
      <c r="DF141" s="5"/>
      <c r="DG141" s="76">
        <v>0</v>
      </c>
      <c r="DH141" s="42"/>
      <c r="DI141" s="5"/>
      <c r="DJ141" s="42">
        <v>85.371663904915053</v>
      </c>
      <c r="DK141" s="42">
        <f t="shared" si="22"/>
        <v>0</v>
      </c>
      <c r="DL141" s="58">
        <f t="shared" si="23"/>
        <v>-85.371663904915053</v>
      </c>
      <c r="DM141" s="2">
        <v>3</v>
      </c>
    </row>
    <row r="142" spans="1:117" ht="24.9" customHeight="1" x14ac:dyDescent="0.3">
      <c r="A142" s="318">
        <v>150000578</v>
      </c>
      <c r="B142" s="44" t="s">
        <v>83</v>
      </c>
      <c r="C142" s="956">
        <v>1</v>
      </c>
      <c r="D142" s="957" t="s">
        <v>454</v>
      </c>
      <c r="E142" s="949">
        <f>'побудинковий звіт'!E109</f>
        <v>4714.6499999999996</v>
      </c>
      <c r="F142" s="950">
        <f>'побудинковий звіт'!AS109</f>
        <v>98206.326588025608</v>
      </c>
      <c r="G142" s="950">
        <f t="shared" si="16"/>
        <v>0</v>
      </c>
      <c r="H142" s="950">
        <f t="shared" si="17"/>
        <v>-98206.326588025608</v>
      </c>
      <c r="I142" s="42">
        <f>'[2]поточний ремонт'!I142+'[1]поточний ремонт'!I142</f>
        <v>0</v>
      </c>
      <c r="J142" s="42">
        <f>'[2]поточний ремонт'!J142+'[1]поточний ремонт'!J142</f>
        <v>0</v>
      </c>
      <c r="K142" s="958"/>
      <c r="L142" s="42">
        <f>'[2]поточний ремонт'!L142+'[1]поточний ремонт'!L142</f>
        <v>0</v>
      </c>
      <c r="M142" s="42">
        <f>'[2]поточний ремонт'!M142+'[1]поточний ремонт'!M142</f>
        <v>0</v>
      </c>
      <c r="N142" s="36"/>
      <c r="O142" s="42">
        <f>'[2]поточний ремонт'!O142+'[1]поточний ремонт'!O142</f>
        <v>0</v>
      </c>
      <c r="P142" s="42">
        <f>'[2]поточний ремонт'!P142+'[1]поточний ремонт'!P142</f>
        <v>0</v>
      </c>
      <c r="Q142" s="959"/>
      <c r="R142" s="42">
        <f>'[2]поточний ремонт'!R142+'[1]поточний ремонт'!R142</f>
        <v>0</v>
      </c>
      <c r="S142" s="42">
        <f>'[2]поточний ремонт'!S142+'[1]поточний ремонт'!S142</f>
        <v>0</v>
      </c>
      <c r="T142" s="960"/>
      <c r="U142" s="42">
        <f>'[2]поточний ремонт'!U142+'[1]поточний ремонт'!U142</f>
        <v>0</v>
      </c>
      <c r="V142" s="42">
        <f>'[2]поточний ремонт'!V142+'[1]поточний ремонт'!V142</f>
        <v>0</v>
      </c>
      <c r="W142" s="42">
        <f>'[2]поточний ремонт'!W142+'[1]поточний ремонт'!W142</f>
        <v>0</v>
      </c>
      <c r="X142" s="42">
        <f>'[2]поточний ремонт'!X142+'[1]поточний ремонт'!X142</f>
        <v>0</v>
      </c>
      <c r="Y142" s="42">
        <f>'[2]поточний ремонт'!Y142+'[1]поточний ремонт'!Y142</f>
        <v>0</v>
      </c>
      <c r="Z142" s="42">
        <f>'[2]поточний ремонт'!Z142+'[1]поточний ремонт'!Z142</f>
        <v>0</v>
      </c>
      <c r="AA142" s="42">
        <f>'[2]поточний ремонт'!AA142+'[1]поточний ремонт'!AA142</f>
        <v>0</v>
      </c>
      <c r="AB142" s="42">
        <f>'[2]поточний ремонт'!AB142+'[1]поточний ремонт'!AB142</f>
        <v>0</v>
      </c>
      <c r="AC142" s="42">
        <f>'[2]поточний ремонт'!AC142+'[1]поточний ремонт'!AC142</f>
        <v>0</v>
      </c>
      <c r="AD142" s="42">
        <f>'[2]поточний ремонт'!AD142+'[1]поточний ремонт'!AD142</f>
        <v>0</v>
      </c>
      <c r="AE142" s="42">
        <f>'[2]поточний ремонт'!AE142+'[1]поточний ремонт'!AE142</f>
        <v>0</v>
      </c>
      <c r="AF142" s="42">
        <f>'[2]поточний ремонт'!AF142+'[1]поточний ремонт'!AF142</f>
        <v>0</v>
      </c>
      <c r="AG142" s="5"/>
      <c r="AH142" s="42">
        <f>'[2]поточний ремонт'!AH142+'[1]поточний ремонт'!AH142</f>
        <v>0</v>
      </c>
      <c r="AI142" s="42">
        <f>'[2]поточний ремонт'!AI142+'[1]поточний ремонт'!AI142</f>
        <v>0</v>
      </c>
      <c r="AJ142" s="5"/>
      <c r="AK142" s="42">
        <f>'[2]поточний ремонт'!AK142+'[1]поточний ремонт'!AK142</f>
        <v>0</v>
      </c>
      <c r="AL142" s="42">
        <f>'[2]поточний ремонт'!AL142+'[1]поточний ремонт'!AL142</f>
        <v>0</v>
      </c>
      <c r="AM142" s="5"/>
      <c r="AN142" s="42">
        <f>'[2]поточний ремонт'!AN142+'[1]поточний ремонт'!AN142</f>
        <v>0</v>
      </c>
      <c r="AO142" s="42">
        <f>'[2]поточний ремонт'!AO142+'[1]поточний ремонт'!AO142</f>
        <v>0</v>
      </c>
      <c r="AP142" s="5"/>
      <c r="AQ142" s="42">
        <f>'[2]поточний ремонт'!AQ142+'[1]поточний ремонт'!AQ142</f>
        <v>0</v>
      </c>
      <c r="AR142" s="42">
        <f>'[2]поточний ремонт'!AR142+'[1]поточний ремонт'!AR142</f>
        <v>0</v>
      </c>
      <c r="AS142" s="5"/>
      <c r="AT142" s="42">
        <f>'[2]поточний ремонт'!AT142+'[1]поточний ремонт'!AT142</f>
        <v>0</v>
      </c>
      <c r="AU142" s="42">
        <f>'[2]поточний ремонт'!AU142+'[1]поточний ремонт'!AU142</f>
        <v>0</v>
      </c>
      <c r="AV142" s="5"/>
      <c r="AW142" s="42">
        <f>'[2]поточний ремонт'!AW142+'[1]поточний ремонт'!AW142</f>
        <v>0</v>
      </c>
      <c r="AX142" s="42">
        <f>'[2]поточний ремонт'!AX142+'[1]поточний ремонт'!AX142</f>
        <v>498.81265267999999</v>
      </c>
      <c r="AY142" s="5"/>
      <c r="AZ142" s="42">
        <f t="shared" si="18"/>
        <v>0</v>
      </c>
      <c r="BA142" s="42">
        <f t="shared" si="19"/>
        <v>498.81265267999999</v>
      </c>
      <c r="BB142" s="58">
        <f t="shared" si="20"/>
        <v>498.81265267999999</v>
      </c>
      <c r="BD142" s="2">
        <v>3</v>
      </c>
      <c r="BF142" s="29">
        <v>0</v>
      </c>
      <c r="BG142" s="318">
        <v>150000578</v>
      </c>
      <c r="BI142" s="104">
        <v>0</v>
      </c>
      <c r="BJ142" s="104">
        <f t="shared" si="21"/>
        <v>0</v>
      </c>
      <c r="BK142" s="104">
        <v>0</v>
      </c>
      <c r="BL142" s="38"/>
      <c r="BM142" s="3"/>
      <c r="BN142" s="3">
        <v>0</v>
      </c>
      <c r="BP142" s="3"/>
      <c r="BQ142" s="3"/>
      <c r="BS142" s="42"/>
      <c r="BT142" s="42">
        <v>0</v>
      </c>
      <c r="BU142" s="958"/>
      <c r="BV142" s="41"/>
      <c r="BW142" s="42"/>
      <c r="BX142" s="36"/>
      <c r="BY142" s="76"/>
      <c r="BZ142" s="42">
        <v>0</v>
      </c>
      <c r="CA142" s="959"/>
      <c r="CB142" s="41">
        <v>0</v>
      </c>
      <c r="CC142" s="41">
        <v>0</v>
      </c>
      <c r="CD142" s="960"/>
      <c r="CE142" s="76">
        <v>0</v>
      </c>
      <c r="CF142" s="55"/>
      <c r="CG142" s="41">
        <v>0</v>
      </c>
      <c r="CH142" s="38">
        <v>0</v>
      </c>
      <c r="CI142" s="76">
        <v>0</v>
      </c>
      <c r="CJ142" s="55"/>
      <c r="CK142" s="955"/>
      <c r="CL142" s="950"/>
      <c r="CM142" s="955"/>
      <c r="CN142" s="950">
        <v>0</v>
      </c>
      <c r="CO142" s="76">
        <v>0</v>
      </c>
      <c r="CP142" s="42">
        <v>0</v>
      </c>
      <c r="CQ142" s="5"/>
      <c r="CR142" s="76">
        <v>0</v>
      </c>
      <c r="CS142" s="954">
        <v>0</v>
      </c>
      <c r="CT142" s="5"/>
      <c r="CU142" s="76">
        <v>0</v>
      </c>
      <c r="CV142" s="42">
        <v>0</v>
      </c>
      <c r="CW142" s="5"/>
      <c r="CX142" s="76">
        <v>0</v>
      </c>
      <c r="CY142" s="42">
        <v>0</v>
      </c>
      <c r="CZ142" s="5"/>
      <c r="DA142" s="76">
        <v>0</v>
      </c>
      <c r="DB142" s="42">
        <v>0</v>
      </c>
      <c r="DC142" s="5"/>
      <c r="DD142" s="76">
        <v>0</v>
      </c>
      <c r="DE142" s="42">
        <v>0</v>
      </c>
      <c r="DF142" s="5"/>
      <c r="DG142" s="76">
        <v>0</v>
      </c>
      <c r="DH142" s="42"/>
      <c r="DI142" s="5"/>
      <c r="DJ142" s="42">
        <v>0</v>
      </c>
      <c r="DK142" s="42">
        <f t="shared" si="22"/>
        <v>0</v>
      </c>
      <c r="DL142" s="58">
        <f t="shared" si="23"/>
        <v>0</v>
      </c>
      <c r="DM142" s="2">
        <v>3</v>
      </c>
    </row>
    <row r="143" spans="1:117" ht="24.9" customHeight="1" x14ac:dyDescent="0.3">
      <c r="A143" s="318">
        <v>150000580</v>
      </c>
      <c r="B143" s="44" t="s">
        <v>84</v>
      </c>
      <c r="C143" s="956">
        <v>1</v>
      </c>
      <c r="D143" s="957" t="s">
        <v>454</v>
      </c>
      <c r="E143" s="949">
        <f>'побудинковий звіт'!E110</f>
        <v>259.3</v>
      </c>
      <c r="F143" s="950">
        <f>'побудинковий звіт'!AS110</f>
        <v>2831.7816898420283</v>
      </c>
      <c r="G143" s="950">
        <f t="shared" si="16"/>
        <v>8085.071866928437</v>
      </c>
      <c r="H143" s="950">
        <f t="shared" si="17"/>
        <v>5253.2901770864082</v>
      </c>
      <c r="I143" s="42">
        <f>'[2]поточний ремонт'!I143+'[1]поточний ремонт'!I143</f>
        <v>17.079999999999998</v>
      </c>
      <c r="J143" s="42">
        <f>'[2]поточний ремонт'!J143+'[1]поточний ремонт'!J143</f>
        <v>8085.071866928437</v>
      </c>
      <c r="K143" s="958"/>
      <c r="L143" s="42">
        <f>'[2]поточний ремонт'!L143+'[1]поточний ремонт'!L143</f>
        <v>0</v>
      </c>
      <c r="M143" s="42">
        <f>'[2]поточний ремонт'!M143+'[1]поточний ремонт'!M143</f>
        <v>0</v>
      </c>
      <c r="N143" s="36"/>
      <c r="O143" s="42">
        <f>'[2]поточний ремонт'!O143+'[1]поточний ремонт'!O143</f>
        <v>0</v>
      </c>
      <c r="P143" s="42">
        <f>'[2]поточний ремонт'!P143+'[1]поточний ремонт'!P143</f>
        <v>0</v>
      </c>
      <c r="Q143" s="959"/>
      <c r="R143" s="42">
        <f>'[2]поточний ремонт'!R143+'[1]поточний ремонт'!R143</f>
        <v>0</v>
      </c>
      <c r="S143" s="42">
        <f>'[2]поточний ремонт'!S143+'[1]поточний ремонт'!S143</f>
        <v>0</v>
      </c>
      <c r="T143" s="960"/>
      <c r="U143" s="42">
        <f>'[2]поточний ремонт'!U143+'[1]поточний ремонт'!U143</f>
        <v>0</v>
      </c>
      <c r="V143" s="42">
        <f>'[2]поточний ремонт'!V143+'[1]поточний ремонт'!V143</f>
        <v>0</v>
      </c>
      <c r="W143" s="42">
        <f>'[2]поточний ремонт'!W143+'[1]поточний ремонт'!W143</f>
        <v>0</v>
      </c>
      <c r="X143" s="42">
        <f>'[2]поточний ремонт'!X143+'[1]поточний ремонт'!X143</f>
        <v>0</v>
      </c>
      <c r="Y143" s="42">
        <f>'[2]поточний ремонт'!Y143+'[1]поточний ремонт'!Y143</f>
        <v>0</v>
      </c>
      <c r="Z143" s="42">
        <f>'[2]поточний ремонт'!Z143+'[1]поточний ремонт'!Z143</f>
        <v>0</v>
      </c>
      <c r="AA143" s="42">
        <f>'[2]поточний ремонт'!AA143+'[1]поточний ремонт'!AA143</f>
        <v>0</v>
      </c>
      <c r="AB143" s="42">
        <f>'[2]поточний ремонт'!AB143+'[1]поточний ремонт'!AB143</f>
        <v>0</v>
      </c>
      <c r="AC143" s="42">
        <f>'[2]поточний ремонт'!AC143+'[1]поточний ремонт'!AC143</f>
        <v>0</v>
      </c>
      <c r="AD143" s="42">
        <f>'[2]поточний ремонт'!AD143+'[1]поточний ремонт'!AD143</f>
        <v>0</v>
      </c>
      <c r="AE143" s="42">
        <f>'[2]поточний ремонт'!AE143+'[1]поточний ремонт'!AE143</f>
        <v>0</v>
      </c>
      <c r="AF143" s="42">
        <f>'[2]поточний ремонт'!AF143+'[1]поточний ремонт'!AF143</f>
        <v>0</v>
      </c>
      <c r="AG143" s="5"/>
      <c r="AH143" s="42">
        <f>'[2]поточний ремонт'!AH143+'[1]поточний ремонт'!AH143</f>
        <v>0</v>
      </c>
      <c r="AI143" s="42">
        <f>'[2]поточний ремонт'!AI143+'[1]поточний ремонт'!AI143</f>
        <v>0</v>
      </c>
      <c r="AJ143" s="5"/>
      <c r="AK143" s="42">
        <f>'[2]поточний ремонт'!AK143+'[1]поточний ремонт'!AK143</f>
        <v>0</v>
      </c>
      <c r="AL143" s="42">
        <f>'[2]поточний ремонт'!AL143+'[1]поточний ремонт'!AL143</f>
        <v>0</v>
      </c>
      <c r="AM143" s="5"/>
      <c r="AN143" s="42">
        <f>'[2]поточний ремонт'!AN143+'[1]поточний ремонт'!AN143</f>
        <v>0</v>
      </c>
      <c r="AO143" s="42">
        <f>'[2]поточний ремонт'!AO143+'[1]поточний ремонт'!AO143</f>
        <v>0</v>
      </c>
      <c r="AP143" s="5"/>
      <c r="AQ143" s="42">
        <f>'[2]поточний ремонт'!AQ143+'[1]поточний ремонт'!AQ143</f>
        <v>0</v>
      </c>
      <c r="AR143" s="42">
        <f>'[2]поточний ремонт'!AR143+'[1]поточний ремонт'!AR143</f>
        <v>0</v>
      </c>
      <c r="AS143" s="5"/>
      <c r="AT143" s="42">
        <f>'[2]поточний ремонт'!AT143+'[1]поточний ремонт'!AT143</f>
        <v>0</v>
      </c>
      <c r="AU143" s="42">
        <f>'[2]поточний ремонт'!AU143+'[1]поточний ремонт'!AU143</f>
        <v>0</v>
      </c>
      <c r="AV143" s="5"/>
      <c r="AW143" s="42">
        <f>'[2]поточний ремонт'!AW143+'[1]поточний ремонт'!AW143</f>
        <v>0</v>
      </c>
      <c r="AX143" s="42">
        <f>'[2]поточний ремонт'!AX143+'[1]поточний ремонт'!AX143</f>
        <v>0</v>
      </c>
      <c r="AY143" s="5"/>
      <c r="AZ143" s="42">
        <f t="shared" si="18"/>
        <v>0</v>
      </c>
      <c r="BA143" s="42">
        <f t="shared" si="19"/>
        <v>0</v>
      </c>
      <c r="BB143" s="58">
        <f t="shared" si="20"/>
        <v>0</v>
      </c>
      <c r="BD143" s="2">
        <v>3</v>
      </c>
      <c r="BF143" s="29">
        <v>0</v>
      </c>
      <c r="BG143" s="318">
        <v>150000580</v>
      </c>
      <c r="BI143" s="104">
        <v>0</v>
      </c>
      <c r="BJ143" s="104">
        <f t="shared" si="21"/>
        <v>0</v>
      </c>
      <c r="BK143" s="104">
        <v>0</v>
      </c>
      <c r="BL143" s="38"/>
      <c r="BM143" s="3"/>
      <c r="BN143" s="3">
        <v>0</v>
      </c>
      <c r="BP143" s="3"/>
      <c r="BQ143" s="3"/>
      <c r="BS143" s="42"/>
      <c r="BT143" s="42">
        <v>0</v>
      </c>
      <c r="BU143" s="958"/>
      <c r="BV143" s="41"/>
      <c r="BW143" s="42"/>
      <c r="BX143" s="36"/>
      <c r="BY143" s="76"/>
      <c r="BZ143" s="42">
        <v>0</v>
      </c>
      <c r="CA143" s="959"/>
      <c r="CB143" s="41">
        <v>0</v>
      </c>
      <c r="CC143" s="41">
        <v>0</v>
      </c>
      <c r="CD143" s="960"/>
      <c r="CE143" s="76">
        <v>0</v>
      </c>
      <c r="CF143" s="55"/>
      <c r="CG143" s="41">
        <v>0</v>
      </c>
      <c r="CH143" s="38">
        <v>0</v>
      </c>
      <c r="CI143" s="76">
        <v>0</v>
      </c>
      <c r="CJ143" s="55"/>
      <c r="CK143" s="955"/>
      <c r="CL143" s="950"/>
      <c r="CM143" s="955"/>
      <c r="CN143" s="950">
        <v>0</v>
      </c>
      <c r="CO143" s="76">
        <v>0</v>
      </c>
      <c r="CP143" s="42">
        <v>0</v>
      </c>
      <c r="CQ143" s="5"/>
      <c r="CR143" s="76">
        <v>0</v>
      </c>
      <c r="CS143" s="954">
        <v>0</v>
      </c>
      <c r="CT143" s="5"/>
      <c r="CU143" s="76">
        <v>0</v>
      </c>
      <c r="CV143" s="42">
        <v>0</v>
      </c>
      <c r="CW143" s="5"/>
      <c r="CX143" s="76">
        <v>0</v>
      </c>
      <c r="CY143" s="42">
        <v>0</v>
      </c>
      <c r="CZ143" s="5"/>
      <c r="DA143" s="76">
        <v>0</v>
      </c>
      <c r="DB143" s="42">
        <v>0</v>
      </c>
      <c r="DC143" s="5"/>
      <c r="DD143" s="76">
        <v>0</v>
      </c>
      <c r="DE143" s="42">
        <v>0</v>
      </c>
      <c r="DF143" s="5"/>
      <c r="DG143" s="76">
        <v>0</v>
      </c>
      <c r="DH143" s="42"/>
      <c r="DI143" s="5"/>
      <c r="DJ143" s="42">
        <v>0</v>
      </c>
      <c r="DK143" s="42">
        <f t="shared" si="22"/>
        <v>0</v>
      </c>
      <c r="DL143" s="58">
        <f t="shared" si="23"/>
        <v>0</v>
      </c>
      <c r="DM143" s="2">
        <v>3</v>
      </c>
    </row>
    <row r="144" spans="1:117" ht="24.9" customHeight="1" x14ac:dyDescent="0.3">
      <c r="A144" s="318">
        <v>150001054</v>
      </c>
      <c r="B144" s="44" t="s">
        <v>85</v>
      </c>
      <c r="C144" s="956">
        <v>1</v>
      </c>
      <c r="D144" s="957" t="s">
        <v>454</v>
      </c>
      <c r="E144" s="949">
        <f>'побудинковий звіт'!E111</f>
        <v>9737.6</v>
      </c>
      <c r="F144" s="950">
        <f>'побудинковий звіт'!AS111</f>
        <v>187535.79148370313</v>
      </c>
      <c r="G144" s="950">
        <f t="shared" si="16"/>
        <v>0</v>
      </c>
      <c r="H144" s="950">
        <f t="shared" si="17"/>
        <v>-187535.79148370313</v>
      </c>
      <c r="I144" s="42">
        <f>'[2]поточний ремонт'!I144+'[1]поточний ремонт'!I144</f>
        <v>0</v>
      </c>
      <c r="J144" s="42">
        <f>'[2]поточний ремонт'!J144+'[1]поточний ремонт'!J144</f>
        <v>0</v>
      </c>
      <c r="K144" s="958"/>
      <c r="L144" s="42">
        <f>'[2]поточний ремонт'!L144+'[1]поточний ремонт'!L144</f>
        <v>0</v>
      </c>
      <c r="M144" s="42">
        <f>'[2]поточний ремонт'!M144+'[1]поточний ремонт'!M144</f>
        <v>0</v>
      </c>
      <c r="N144" s="36"/>
      <c r="O144" s="42">
        <f>'[2]поточний ремонт'!O144+'[1]поточний ремонт'!O144</f>
        <v>0</v>
      </c>
      <c r="P144" s="42">
        <f>'[2]поточний ремонт'!P144+'[1]поточний ремонт'!P144</f>
        <v>0</v>
      </c>
      <c r="Q144" s="959"/>
      <c r="R144" s="42">
        <f>'[2]поточний ремонт'!R144+'[1]поточний ремонт'!R144</f>
        <v>0</v>
      </c>
      <c r="S144" s="42">
        <f>'[2]поточний ремонт'!S144+'[1]поточний ремонт'!S144</f>
        <v>0</v>
      </c>
      <c r="T144" s="960"/>
      <c r="U144" s="42">
        <f>'[2]поточний ремонт'!U144+'[1]поточний ремонт'!U144</f>
        <v>0</v>
      </c>
      <c r="V144" s="42">
        <f>'[2]поточний ремонт'!V144+'[1]поточний ремонт'!V144</f>
        <v>0</v>
      </c>
      <c r="W144" s="42">
        <f>'[2]поточний ремонт'!W144+'[1]поточний ремонт'!W144</f>
        <v>0</v>
      </c>
      <c r="X144" s="42">
        <f>'[2]поточний ремонт'!X144+'[1]поточний ремонт'!X144</f>
        <v>0</v>
      </c>
      <c r="Y144" s="42">
        <f>'[2]поточний ремонт'!Y144+'[1]поточний ремонт'!Y144</f>
        <v>0</v>
      </c>
      <c r="Z144" s="42">
        <f>'[2]поточний ремонт'!Z144+'[1]поточний ремонт'!Z144</f>
        <v>0</v>
      </c>
      <c r="AA144" s="42">
        <f>'[2]поточний ремонт'!AA144+'[1]поточний ремонт'!AA144</f>
        <v>0</v>
      </c>
      <c r="AB144" s="42">
        <f>'[2]поточний ремонт'!AB144+'[1]поточний ремонт'!AB144</f>
        <v>0</v>
      </c>
      <c r="AC144" s="42">
        <f>'[2]поточний ремонт'!AC144+'[1]поточний ремонт'!AC144</f>
        <v>0</v>
      </c>
      <c r="AD144" s="42">
        <f>'[2]поточний ремонт'!AD144+'[1]поточний ремонт'!AD144</f>
        <v>0</v>
      </c>
      <c r="AE144" s="42">
        <f>'[2]поточний ремонт'!AE144+'[1]поточний ремонт'!AE144</f>
        <v>0</v>
      </c>
      <c r="AF144" s="42">
        <f>'[2]поточний ремонт'!AF144+'[1]поточний ремонт'!AF144</f>
        <v>0</v>
      </c>
      <c r="AG144" s="5"/>
      <c r="AH144" s="42">
        <f>'[2]поточний ремонт'!AH144+'[1]поточний ремонт'!AH144</f>
        <v>0</v>
      </c>
      <c r="AI144" s="42">
        <f>'[2]поточний ремонт'!AI144+'[1]поточний ремонт'!AI144</f>
        <v>0</v>
      </c>
      <c r="AJ144" s="5"/>
      <c r="AK144" s="42">
        <f>'[2]поточний ремонт'!AK144+'[1]поточний ремонт'!AK144</f>
        <v>0</v>
      </c>
      <c r="AL144" s="42">
        <f>'[2]поточний ремонт'!AL144+'[1]поточний ремонт'!AL144</f>
        <v>0</v>
      </c>
      <c r="AM144" s="5"/>
      <c r="AN144" s="42">
        <f>'[2]поточний ремонт'!AN144+'[1]поточний ремонт'!AN144</f>
        <v>0</v>
      </c>
      <c r="AO144" s="42">
        <f>'[2]поточний ремонт'!AO144+'[1]поточний ремонт'!AO144</f>
        <v>0</v>
      </c>
      <c r="AP144" s="5"/>
      <c r="AQ144" s="42">
        <f>'[2]поточний ремонт'!AQ144+'[1]поточний ремонт'!AQ144</f>
        <v>0</v>
      </c>
      <c r="AR144" s="42">
        <f>'[2]поточний ремонт'!AR144+'[1]поточний ремонт'!AR144</f>
        <v>0</v>
      </c>
      <c r="AS144" s="5"/>
      <c r="AT144" s="42">
        <f>'[2]поточний ремонт'!AT144+'[1]поточний ремонт'!AT144</f>
        <v>0</v>
      </c>
      <c r="AU144" s="42">
        <f>'[2]поточний ремонт'!AU144+'[1]поточний ремонт'!AU144</f>
        <v>0</v>
      </c>
      <c r="AV144" s="5"/>
      <c r="AW144" s="42">
        <f>'[2]поточний ремонт'!AW144+'[1]поточний ремонт'!AW144</f>
        <v>0</v>
      </c>
      <c r="AX144" s="42">
        <f>'[2]поточний ремонт'!AX144+'[1]поточний ремонт'!AX144</f>
        <v>1901.9714648300001</v>
      </c>
      <c r="AY144" s="5"/>
      <c r="AZ144" s="42">
        <f t="shared" si="18"/>
        <v>0</v>
      </c>
      <c r="BA144" s="42">
        <f t="shared" si="19"/>
        <v>1901.9714648300001</v>
      </c>
      <c r="BB144" s="58">
        <f t="shared" si="20"/>
        <v>1901.9714648300001</v>
      </c>
      <c r="BD144" s="2">
        <v>3</v>
      </c>
      <c r="BF144" s="29">
        <v>0</v>
      </c>
      <c r="BG144" s="318">
        <v>150001054</v>
      </c>
      <c r="BI144" s="104">
        <v>0</v>
      </c>
      <c r="BJ144" s="104">
        <f t="shared" si="21"/>
        <v>0</v>
      </c>
      <c r="BK144" s="104">
        <v>0</v>
      </c>
      <c r="BL144" s="38"/>
      <c r="BM144" s="3"/>
      <c r="BN144" s="3">
        <v>0</v>
      </c>
      <c r="BP144" s="3"/>
      <c r="BQ144" s="3"/>
      <c r="BS144" s="42"/>
      <c r="BT144" s="42">
        <v>0</v>
      </c>
      <c r="BU144" s="958"/>
      <c r="BV144" s="41"/>
      <c r="BW144" s="42"/>
      <c r="BX144" s="36"/>
      <c r="BY144" s="76"/>
      <c r="BZ144" s="42">
        <v>0</v>
      </c>
      <c r="CA144" s="959"/>
      <c r="CB144" s="41">
        <v>0</v>
      </c>
      <c r="CC144" s="41">
        <v>0</v>
      </c>
      <c r="CD144" s="960"/>
      <c r="CE144" s="76">
        <v>0</v>
      </c>
      <c r="CF144" s="55"/>
      <c r="CG144" s="41">
        <v>0</v>
      </c>
      <c r="CH144" s="38">
        <v>0</v>
      </c>
      <c r="CI144" s="76">
        <v>0</v>
      </c>
      <c r="CJ144" s="55"/>
      <c r="CK144" s="955"/>
      <c r="CL144" s="950"/>
      <c r="CM144" s="955"/>
      <c r="CN144" s="950">
        <v>0</v>
      </c>
      <c r="CO144" s="76">
        <v>0</v>
      </c>
      <c r="CP144" s="42">
        <v>0</v>
      </c>
      <c r="CQ144" s="5"/>
      <c r="CR144" s="76">
        <v>0</v>
      </c>
      <c r="CS144" s="954">
        <v>0</v>
      </c>
      <c r="CT144" s="5"/>
      <c r="CU144" s="76">
        <v>0</v>
      </c>
      <c r="CV144" s="42">
        <v>0</v>
      </c>
      <c r="CW144" s="5"/>
      <c r="CX144" s="76">
        <v>0</v>
      </c>
      <c r="CY144" s="42">
        <v>0</v>
      </c>
      <c r="CZ144" s="5"/>
      <c r="DA144" s="76">
        <v>0</v>
      </c>
      <c r="DB144" s="42">
        <v>0</v>
      </c>
      <c r="DC144" s="5"/>
      <c r="DD144" s="76">
        <v>0</v>
      </c>
      <c r="DE144" s="42">
        <v>0</v>
      </c>
      <c r="DF144" s="5"/>
      <c r="DG144" s="76">
        <v>0</v>
      </c>
      <c r="DH144" s="42"/>
      <c r="DI144" s="5"/>
      <c r="DJ144" s="42">
        <v>0</v>
      </c>
      <c r="DK144" s="42">
        <f t="shared" si="22"/>
        <v>0</v>
      </c>
      <c r="DL144" s="58">
        <f t="shared" si="23"/>
        <v>0</v>
      </c>
      <c r="DM144" s="2">
        <v>3</v>
      </c>
    </row>
    <row r="145" spans="1:117" ht="24.9" customHeight="1" x14ac:dyDescent="0.3">
      <c r="A145" s="318">
        <v>150000556</v>
      </c>
      <c r="B145" s="44" t="s">
        <v>89</v>
      </c>
      <c r="C145" s="956">
        <v>1</v>
      </c>
      <c r="D145" s="957" t="s">
        <v>454</v>
      </c>
      <c r="E145" s="949">
        <f>'побудинковий звіт'!E113</f>
        <v>1899.23</v>
      </c>
      <c r="F145" s="950">
        <f>'побудинковий звіт'!AS113</f>
        <v>17099.95655346091</v>
      </c>
      <c r="G145" s="950">
        <f t="shared" si="16"/>
        <v>0</v>
      </c>
      <c r="H145" s="950">
        <f t="shared" si="17"/>
        <v>-17099.95655346091</v>
      </c>
      <c r="I145" s="42">
        <f>'[2]поточний ремонт'!I145+'[1]поточний ремонт'!I145</f>
        <v>0</v>
      </c>
      <c r="J145" s="42">
        <f>'[2]поточний ремонт'!J145+'[1]поточний ремонт'!J145</f>
        <v>0</v>
      </c>
      <c r="K145" s="958"/>
      <c r="L145" s="42">
        <f>'[2]поточний ремонт'!L145+'[1]поточний ремонт'!L145</f>
        <v>0</v>
      </c>
      <c r="M145" s="42">
        <f>'[2]поточний ремонт'!M145+'[1]поточний ремонт'!M145</f>
        <v>0</v>
      </c>
      <c r="N145" s="36"/>
      <c r="O145" s="42">
        <f>'[2]поточний ремонт'!O145+'[1]поточний ремонт'!O145</f>
        <v>0</v>
      </c>
      <c r="P145" s="42">
        <f>'[2]поточний ремонт'!P145+'[1]поточний ремонт'!P145</f>
        <v>0</v>
      </c>
      <c r="Q145" s="959"/>
      <c r="R145" s="42">
        <f>'[2]поточний ремонт'!R145+'[1]поточний ремонт'!R145</f>
        <v>0</v>
      </c>
      <c r="S145" s="42">
        <f>'[2]поточний ремонт'!S145+'[1]поточний ремонт'!S145</f>
        <v>0</v>
      </c>
      <c r="T145" s="960"/>
      <c r="U145" s="42">
        <f>'[2]поточний ремонт'!U145+'[1]поточний ремонт'!U145</f>
        <v>0</v>
      </c>
      <c r="V145" s="42">
        <f>'[2]поточний ремонт'!V145+'[1]поточний ремонт'!V145</f>
        <v>0</v>
      </c>
      <c r="W145" s="42">
        <f>'[2]поточний ремонт'!W145+'[1]поточний ремонт'!W145</f>
        <v>0</v>
      </c>
      <c r="X145" s="42">
        <f>'[2]поточний ремонт'!X145+'[1]поточний ремонт'!X145</f>
        <v>0</v>
      </c>
      <c r="Y145" s="42">
        <f>'[2]поточний ремонт'!Y145+'[1]поточний ремонт'!Y145</f>
        <v>0</v>
      </c>
      <c r="Z145" s="42">
        <f>'[2]поточний ремонт'!Z145+'[1]поточний ремонт'!Z145</f>
        <v>0</v>
      </c>
      <c r="AA145" s="42">
        <f>'[2]поточний ремонт'!AA145+'[1]поточний ремонт'!AA145</f>
        <v>0</v>
      </c>
      <c r="AB145" s="42">
        <f>'[2]поточний ремонт'!AB145+'[1]поточний ремонт'!AB145</f>
        <v>0</v>
      </c>
      <c r="AC145" s="42">
        <f>'[2]поточний ремонт'!AC145+'[1]поточний ремонт'!AC145</f>
        <v>0</v>
      </c>
      <c r="AD145" s="42">
        <f>'[2]поточний ремонт'!AD145+'[1]поточний ремонт'!AD145</f>
        <v>0</v>
      </c>
      <c r="AE145" s="42">
        <f>'[2]поточний ремонт'!AE145+'[1]поточний ремонт'!AE145</f>
        <v>0</v>
      </c>
      <c r="AF145" s="42">
        <f>'[2]поточний ремонт'!AF145+'[1]поточний ремонт'!AF145</f>
        <v>0</v>
      </c>
      <c r="AG145" s="5"/>
      <c r="AH145" s="42">
        <f>'[2]поточний ремонт'!AH145+'[1]поточний ремонт'!AH145</f>
        <v>0</v>
      </c>
      <c r="AI145" s="42">
        <f>'[2]поточний ремонт'!AI145+'[1]поточний ремонт'!AI145</f>
        <v>0</v>
      </c>
      <c r="AJ145" s="5"/>
      <c r="AK145" s="42">
        <f>'[2]поточний ремонт'!AK145+'[1]поточний ремонт'!AK145</f>
        <v>0</v>
      </c>
      <c r="AL145" s="42">
        <f>'[2]поточний ремонт'!AL145+'[1]поточний ремонт'!AL145</f>
        <v>0</v>
      </c>
      <c r="AM145" s="5"/>
      <c r="AN145" s="42">
        <f>'[2]поточний ремонт'!AN145+'[1]поточний ремонт'!AN145</f>
        <v>0</v>
      </c>
      <c r="AO145" s="42">
        <f>'[2]поточний ремонт'!AO145+'[1]поточний ремонт'!AO145</f>
        <v>0</v>
      </c>
      <c r="AP145" s="5"/>
      <c r="AQ145" s="42">
        <f>'[2]поточний ремонт'!AQ145+'[1]поточний ремонт'!AQ145</f>
        <v>0</v>
      </c>
      <c r="AR145" s="42">
        <f>'[2]поточний ремонт'!AR145+'[1]поточний ремонт'!AR145</f>
        <v>0</v>
      </c>
      <c r="AS145" s="5"/>
      <c r="AT145" s="42">
        <f>'[2]поточний ремонт'!AT145+'[1]поточний ремонт'!AT145</f>
        <v>0</v>
      </c>
      <c r="AU145" s="42">
        <f>'[2]поточний ремонт'!AU145+'[1]поточний ремонт'!AU145</f>
        <v>0</v>
      </c>
      <c r="AV145" s="5"/>
      <c r="AW145" s="42">
        <f>'[2]поточний ремонт'!AW145+'[1]поточний ремонт'!AW145</f>
        <v>0</v>
      </c>
      <c r="AX145" s="42">
        <f>'[2]поточний ремонт'!AX145+'[1]поточний ремонт'!AX145</f>
        <v>0</v>
      </c>
      <c r="AY145" s="5"/>
      <c r="AZ145" s="42">
        <f t="shared" si="18"/>
        <v>0</v>
      </c>
      <c r="BA145" s="42">
        <f t="shared" si="19"/>
        <v>0</v>
      </c>
      <c r="BB145" s="58">
        <f t="shared" si="20"/>
        <v>0</v>
      </c>
      <c r="BD145" s="2">
        <v>3</v>
      </c>
      <c r="BF145" s="29">
        <v>0</v>
      </c>
      <c r="BG145" s="318">
        <v>150000556</v>
      </c>
      <c r="BI145" s="104">
        <v>0</v>
      </c>
      <c r="BJ145" s="104">
        <f t="shared" si="21"/>
        <v>0</v>
      </c>
      <c r="BK145" s="104">
        <v>0</v>
      </c>
      <c r="BL145" s="38"/>
      <c r="BM145" s="3"/>
      <c r="BN145" s="3">
        <v>0</v>
      </c>
      <c r="BP145" s="3"/>
      <c r="BQ145" s="3"/>
      <c r="BS145" s="42"/>
      <c r="BT145" s="42">
        <v>0</v>
      </c>
      <c r="BU145" s="958"/>
      <c r="BV145" s="41"/>
      <c r="BW145" s="42"/>
      <c r="BX145" s="36"/>
      <c r="BY145" s="76"/>
      <c r="BZ145" s="42">
        <v>0</v>
      </c>
      <c r="CA145" s="959"/>
      <c r="CB145" s="41">
        <v>0</v>
      </c>
      <c r="CC145" s="41">
        <v>0</v>
      </c>
      <c r="CD145" s="960"/>
      <c r="CE145" s="76">
        <v>0</v>
      </c>
      <c r="CF145" s="55"/>
      <c r="CG145" s="41">
        <v>0</v>
      </c>
      <c r="CH145" s="38">
        <v>0</v>
      </c>
      <c r="CI145" s="76">
        <v>0</v>
      </c>
      <c r="CJ145" s="55"/>
      <c r="CK145" s="955"/>
      <c r="CL145" s="950"/>
      <c r="CM145" s="955"/>
      <c r="CN145" s="950">
        <v>0</v>
      </c>
      <c r="CO145" s="76">
        <v>0</v>
      </c>
      <c r="CP145" s="42">
        <v>0</v>
      </c>
      <c r="CQ145" s="5"/>
      <c r="CR145" s="76">
        <v>0</v>
      </c>
      <c r="CS145" s="954">
        <v>0</v>
      </c>
      <c r="CT145" s="5"/>
      <c r="CU145" s="76">
        <v>0</v>
      </c>
      <c r="CV145" s="42">
        <v>0</v>
      </c>
      <c r="CW145" s="5"/>
      <c r="CX145" s="76">
        <v>0</v>
      </c>
      <c r="CY145" s="42">
        <v>0</v>
      </c>
      <c r="CZ145" s="5"/>
      <c r="DA145" s="76">
        <v>0</v>
      </c>
      <c r="DB145" s="42">
        <v>0</v>
      </c>
      <c r="DC145" s="5"/>
      <c r="DD145" s="76">
        <v>0</v>
      </c>
      <c r="DE145" s="42">
        <v>0</v>
      </c>
      <c r="DF145" s="5"/>
      <c r="DG145" s="76">
        <v>0</v>
      </c>
      <c r="DH145" s="42"/>
      <c r="DI145" s="5"/>
      <c r="DJ145" s="42">
        <v>0</v>
      </c>
      <c r="DK145" s="42">
        <f t="shared" si="22"/>
        <v>0</v>
      </c>
      <c r="DL145" s="58">
        <f t="shared" si="23"/>
        <v>0</v>
      </c>
      <c r="DM145" s="2">
        <v>3</v>
      </c>
    </row>
    <row r="146" spans="1:117" ht="24.9" customHeight="1" x14ac:dyDescent="0.3">
      <c r="A146" s="318">
        <v>150000557</v>
      </c>
      <c r="B146" s="44" t="s">
        <v>90</v>
      </c>
      <c r="C146" s="956">
        <v>1</v>
      </c>
      <c r="D146" s="957" t="s">
        <v>454</v>
      </c>
      <c r="E146" s="949">
        <f>'побудинковий звіт'!E114</f>
        <v>9312.1</v>
      </c>
      <c r="F146" s="950">
        <f>'побудинковий звіт'!AS114</f>
        <v>172638.38486239582</v>
      </c>
      <c r="G146" s="950">
        <f t="shared" si="16"/>
        <v>0</v>
      </c>
      <c r="H146" s="950">
        <f t="shared" si="17"/>
        <v>-172638.38486239582</v>
      </c>
      <c r="I146" s="42">
        <f>'[2]поточний ремонт'!I146+'[1]поточний ремонт'!I146</f>
        <v>0</v>
      </c>
      <c r="J146" s="42">
        <f>'[2]поточний ремонт'!J146+'[1]поточний ремонт'!J146</f>
        <v>0</v>
      </c>
      <c r="K146" s="958"/>
      <c r="L146" s="42">
        <f>'[2]поточний ремонт'!L146+'[1]поточний ремонт'!L146</f>
        <v>0</v>
      </c>
      <c r="M146" s="42">
        <f>'[2]поточний ремонт'!M146+'[1]поточний ремонт'!M146</f>
        <v>0</v>
      </c>
      <c r="N146" s="36"/>
      <c r="O146" s="42">
        <f>'[2]поточний ремонт'!O146+'[1]поточний ремонт'!O146</f>
        <v>0</v>
      </c>
      <c r="P146" s="42">
        <f>'[2]поточний ремонт'!P146+'[1]поточний ремонт'!P146</f>
        <v>0</v>
      </c>
      <c r="Q146" s="959"/>
      <c r="R146" s="42">
        <f>'[2]поточний ремонт'!R146+'[1]поточний ремонт'!R146</f>
        <v>0</v>
      </c>
      <c r="S146" s="42">
        <f>'[2]поточний ремонт'!S146+'[1]поточний ремонт'!S146</f>
        <v>0</v>
      </c>
      <c r="T146" s="960"/>
      <c r="U146" s="42">
        <f>'[2]поточний ремонт'!U146+'[1]поточний ремонт'!U146</f>
        <v>0</v>
      </c>
      <c r="V146" s="42">
        <f>'[2]поточний ремонт'!V146+'[1]поточний ремонт'!V146</f>
        <v>0</v>
      </c>
      <c r="W146" s="42">
        <f>'[2]поточний ремонт'!W146+'[1]поточний ремонт'!W146</f>
        <v>0</v>
      </c>
      <c r="X146" s="42">
        <f>'[2]поточний ремонт'!X146+'[1]поточний ремонт'!X146</f>
        <v>0</v>
      </c>
      <c r="Y146" s="42">
        <f>'[2]поточний ремонт'!Y146+'[1]поточний ремонт'!Y146</f>
        <v>0</v>
      </c>
      <c r="Z146" s="42">
        <f>'[2]поточний ремонт'!Z146+'[1]поточний ремонт'!Z146</f>
        <v>0</v>
      </c>
      <c r="AA146" s="42">
        <f>'[2]поточний ремонт'!AA146+'[1]поточний ремонт'!AA146</f>
        <v>0</v>
      </c>
      <c r="AB146" s="42">
        <f>'[2]поточний ремонт'!AB146+'[1]поточний ремонт'!AB146</f>
        <v>0</v>
      </c>
      <c r="AC146" s="42">
        <f>'[2]поточний ремонт'!AC146+'[1]поточний ремонт'!AC146</f>
        <v>0</v>
      </c>
      <c r="AD146" s="42">
        <f>'[2]поточний ремонт'!AD146+'[1]поточний ремонт'!AD146</f>
        <v>0</v>
      </c>
      <c r="AE146" s="42">
        <f>'[2]поточний ремонт'!AE146+'[1]поточний ремонт'!AE146</f>
        <v>0</v>
      </c>
      <c r="AF146" s="42">
        <f>'[2]поточний ремонт'!AF146+'[1]поточний ремонт'!AF146</f>
        <v>0</v>
      </c>
      <c r="AG146" s="5"/>
      <c r="AH146" s="42">
        <f>'[2]поточний ремонт'!AH146+'[1]поточний ремонт'!AH146</f>
        <v>0</v>
      </c>
      <c r="AI146" s="42">
        <f>'[2]поточний ремонт'!AI146+'[1]поточний ремонт'!AI146</f>
        <v>0</v>
      </c>
      <c r="AJ146" s="5"/>
      <c r="AK146" s="42">
        <f>'[2]поточний ремонт'!AK146+'[1]поточний ремонт'!AK146</f>
        <v>0</v>
      </c>
      <c r="AL146" s="42">
        <f>'[2]поточний ремонт'!AL146+'[1]поточний ремонт'!AL146</f>
        <v>0</v>
      </c>
      <c r="AM146" s="5"/>
      <c r="AN146" s="42">
        <f>'[2]поточний ремонт'!AN146+'[1]поточний ремонт'!AN146</f>
        <v>0</v>
      </c>
      <c r="AO146" s="42">
        <f>'[2]поточний ремонт'!AO146+'[1]поточний ремонт'!AO146</f>
        <v>0</v>
      </c>
      <c r="AP146" s="5"/>
      <c r="AQ146" s="42">
        <f>'[2]поточний ремонт'!AQ146+'[1]поточний ремонт'!AQ146</f>
        <v>0</v>
      </c>
      <c r="AR146" s="42">
        <f>'[2]поточний ремонт'!AR146+'[1]поточний ремонт'!AR146</f>
        <v>0</v>
      </c>
      <c r="AS146" s="5"/>
      <c r="AT146" s="42">
        <f>'[2]поточний ремонт'!AT146+'[1]поточний ремонт'!AT146</f>
        <v>0</v>
      </c>
      <c r="AU146" s="42">
        <f>'[2]поточний ремонт'!AU146+'[1]поточний ремонт'!AU146</f>
        <v>0</v>
      </c>
      <c r="AV146" s="5"/>
      <c r="AW146" s="42">
        <f>'[2]поточний ремонт'!AW146+'[1]поточний ремонт'!AW146</f>
        <v>0</v>
      </c>
      <c r="AX146" s="42">
        <f>'[2]поточний ремонт'!AX146+'[1]поточний ремонт'!AX146</f>
        <v>0</v>
      </c>
      <c r="AY146" s="5"/>
      <c r="AZ146" s="42">
        <f t="shared" si="18"/>
        <v>0</v>
      </c>
      <c r="BA146" s="42">
        <f t="shared" si="19"/>
        <v>0</v>
      </c>
      <c r="BB146" s="58">
        <f t="shared" si="20"/>
        <v>0</v>
      </c>
      <c r="BD146" s="2">
        <v>3</v>
      </c>
      <c r="BF146" s="29">
        <v>0</v>
      </c>
      <c r="BG146" s="318">
        <v>150000557</v>
      </c>
      <c r="BI146" s="104">
        <v>0</v>
      </c>
      <c r="BJ146" s="104">
        <f t="shared" si="21"/>
        <v>0</v>
      </c>
      <c r="BK146" s="104">
        <v>0</v>
      </c>
      <c r="BL146" s="38"/>
      <c r="BM146" s="3"/>
      <c r="BN146" s="3">
        <v>0</v>
      </c>
      <c r="BP146" s="3"/>
      <c r="BQ146" s="3"/>
      <c r="BS146" s="42"/>
      <c r="BT146" s="42">
        <v>0</v>
      </c>
      <c r="BU146" s="958"/>
      <c r="BV146" s="41"/>
      <c r="BW146" s="42"/>
      <c r="BX146" s="36"/>
      <c r="BY146" s="76"/>
      <c r="BZ146" s="42">
        <v>0</v>
      </c>
      <c r="CA146" s="959"/>
      <c r="CB146" s="41">
        <v>0</v>
      </c>
      <c r="CC146" s="41">
        <v>0</v>
      </c>
      <c r="CD146" s="960"/>
      <c r="CE146" s="76">
        <v>0</v>
      </c>
      <c r="CF146" s="55"/>
      <c r="CG146" s="41">
        <v>0</v>
      </c>
      <c r="CH146" s="38">
        <v>0</v>
      </c>
      <c r="CI146" s="76">
        <v>0</v>
      </c>
      <c r="CJ146" s="55"/>
      <c r="CK146" s="955"/>
      <c r="CL146" s="950"/>
      <c r="CM146" s="955"/>
      <c r="CN146" s="950">
        <v>0</v>
      </c>
      <c r="CO146" s="76">
        <v>0</v>
      </c>
      <c r="CP146" s="42">
        <v>0</v>
      </c>
      <c r="CQ146" s="5"/>
      <c r="CR146" s="76">
        <v>0</v>
      </c>
      <c r="CS146" s="954">
        <v>0</v>
      </c>
      <c r="CT146" s="5"/>
      <c r="CU146" s="76">
        <v>0</v>
      </c>
      <c r="CV146" s="42">
        <v>0</v>
      </c>
      <c r="CW146" s="5"/>
      <c r="CX146" s="76">
        <v>0</v>
      </c>
      <c r="CY146" s="42">
        <v>0</v>
      </c>
      <c r="CZ146" s="5"/>
      <c r="DA146" s="76">
        <v>0</v>
      </c>
      <c r="DB146" s="42">
        <v>0</v>
      </c>
      <c r="DC146" s="5"/>
      <c r="DD146" s="76">
        <v>0</v>
      </c>
      <c r="DE146" s="42">
        <v>0</v>
      </c>
      <c r="DF146" s="5"/>
      <c r="DG146" s="76">
        <v>0</v>
      </c>
      <c r="DH146" s="42"/>
      <c r="DI146" s="5"/>
      <c r="DJ146" s="42">
        <v>0</v>
      </c>
      <c r="DK146" s="42">
        <f t="shared" si="22"/>
        <v>0</v>
      </c>
      <c r="DL146" s="58">
        <f t="shared" si="23"/>
        <v>0</v>
      </c>
      <c r="DM146" s="2">
        <v>3</v>
      </c>
    </row>
    <row r="147" spans="1:117" ht="24.9" customHeight="1" x14ac:dyDescent="0.3">
      <c r="A147" s="318">
        <v>150000553</v>
      </c>
      <c r="B147" s="44" t="s">
        <v>259</v>
      </c>
      <c r="C147" s="956">
        <v>5</v>
      </c>
      <c r="D147" s="957" t="s">
        <v>454</v>
      </c>
      <c r="E147" s="949">
        <f>'побудинковий звіт'!E115</f>
        <v>3777.4</v>
      </c>
      <c r="F147" s="950">
        <f>'побудинковий звіт'!AS115</f>
        <v>65316.526207827003</v>
      </c>
      <c r="G147" s="950">
        <f t="shared" si="16"/>
        <v>59489.923936250103</v>
      </c>
      <c r="H147" s="950">
        <f t="shared" si="17"/>
        <v>-5826.6022715768995</v>
      </c>
      <c r="I147" s="42">
        <f>'[2]поточний ремонт'!I147+'[1]поточний ремонт'!I147</f>
        <v>0</v>
      </c>
      <c r="J147" s="42">
        <f>'[2]поточний ремонт'!J147+'[1]поточний ремонт'!J147</f>
        <v>0</v>
      </c>
      <c r="K147" s="958"/>
      <c r="L147" s="42">
        <f>'[2]поточний ремонт'!L147+'[1]поточний ремонт'!L147</f>
        <v>4</v>
      </c>
      <c r="M147" s="42">
        <f>'[2]поточний ремонт'!M147+'[1]поточний ремонт'!M147</f>
        <v>18785.335522684014</v>
      </c>
      <c r="N147" s="36"/>
      <c r="O147" s="42">
        <f>'[2]поточний ремонт'!O147+'[1]поточний ремонт'!O147</f>
        <v>0</v>
      </c>
      <c r="P147" s="42">
        <f>'[2]поточний ремонт'!P147+'[1]поточний ремонт'!P147</f>
        <v>0</v>
      </c>
      <c r="Q147" s="959"/>
      <c r="R147" s="42">
        <f>'[2]поточний ремонт'!R147+'[1]поточний ремонт'!R147</f>
        <v>0</v>
      </c>
      <c r="S147" s="42">
        <f>'[2]поточний ремонт'!S147+'[1]поточний ремонт'!S147</f>
        <v>0</v>
      </c>
      <c r="T147" s="960"/>
      <c r="U147" s="42">
        <f>'[2]поточний ремонт'!U147+'[1]поточний ремонт'!U147</f>
        <v>0</v>
      </c>
      <c r="V147" s="42">
        <f>'[2]поточний ремонт'!V147+'[1]поточний ремонт'!V147</f>
        <v>0</v>
      </c>
      <c r="W147" s="42">
        <f>'[2]поточний ремонт'!W147+'[1]поточний ремонт'!W147</f>
        <v>0</v>
      </c>
      <c r="X147" s="42">
        <f>'[2]поточний ремонт'!X147+'[1]поточний ремонт'!X147</f>
        <v>238.72138896153609</v>
      </c>
      <c r="Y147" s="42">
        <f>'[2]поточний ремонт'!Y147+'[1]поточний ремонт'!Y147</f>
        <v>39429.862958970363</v>
      </c>
      <c r="Z147" s="42">
        <f>'[2]поточний ремонт'!Z147+'[1]поточний ремонт'!Z147</f>
        <v>0</v>
      </c>
      <c r="AA147" s="42">
        <f>'[2]поточний ремонт'!AA147+'[1]поточний ремонт'!AA147</f>
        <v>0</v>
      </c>
      <c r="AB147" s="42">
        <f>'[2]поточний ремонт'!AB147+'[1]поточний ремонт'!AB147</f>
        <v>0</v>
      </c>
      <c r="AC147" s="42">
        <f>'[2]поточний ремонт'!AC147+'[1]поточний ремонт'!AC147</f>
        <v>1036.0040656341851</v>
      </c>
      <c r="AD147" s="42">
        <f>'[2]поточний ремонт'!AD147+'[1]поточний ремонт'!AD147</f>
        <v>0</v>
      </c>
      <c r="AE147" s="42">
        <f>'[2]поточний ремонт'!AE147+'[1]поточний ремонт'!AE147</f>
        <v>1849.6454786753723</v>
      </c>
      <c r="AF147" s="42">
        <f>'[2]поточний ремонт'!AF147+'[1]поточний ремонт'!AF147</f>
        <v>0</v>
      </c>
      <c r="AG147" s="5"/>
      <c r="AH147" s="42">
        <f>'[2]поточний ремонт'!AH147+'[1]поточний ремонт'!AH147</f>
        <v>2897.5386999252687</v>
      </c>
      <c r="AI147" s="42">
        <f>'[2]поточний ремонт'!AI147+'[1]поточний ремонт'!AI147</f>
        <v>4033.9967426271583</v>
      </c>
      <c r="AJ147" s="9"/>
      <c r="AK147" s="42">
        <f>'[2]поточний ремонт'!AK147+'[1]поточний ремонт'!AK147</f>
        <v>1806.4194705034909</v>
      </c>
      <c r="AL147" s="42">
        <f>'[2]поточний ремонт'!AL147+'[1]поточний ремонт'!AL147</f>
        <v>0</v>
      </c>
      <c r="AM147" s="9"/>
      <c r="AN147" s="42">
        <f>'[2]поточний ремонт'!AN147+'[1]поточний ремонт'!AN147</f>
        <v>0</v>
      </c>
      <c r="AO147" s="42">
        <f>'[2]поточний ремонт'!AO147+'[1]поточний ремонт'!AO147</f>
        <v>0</v>
      </c>
      <c r="AP147" s="5"/>
      <c r="AQ147" s="42">
        <f>'[2]поточний ремонт'!AQ147+'[1]поточний ремонт'!AQ147</f>
        <v>99.245779174289751</v>
      </c>
      <c r="AR147" s="42">
        <f>'[2]поточний ремонт'!AR147+'[1]поточний ремонт'!AR147</f>
        <v>0</v>
      </c>
      <c r="AS147" s="5"/>
      <c r="AT147" s="42">
        <f>'[2]поточний ремонт'!AT147+'[1]поточний ремонт'!AT147</f>
        <v>1834.4766891688328</v>
      </c>
      <c r="AU147" s="42">
        <f>'[2]поточний ремонт'!AU147+'[1]поточний ремонт'!AU147</f>
        <v>0</v>
      </c>
      <c r="AV147" s="974"/>
      <c r="AW147" s="42">
        <f>'[2]поточний ремонт'!AW147+'[1]поточний ремонт'!AW147</f>
        <v>100.38677964698979</v>
      </c>
      <c r="AX147" s="42">
        <f>'[2]поточний ремонт'!AX147+'[1]поточний ремонт'!AX147</f>
        <v>5016.3353894336842</v>
      </c>
      <c r="AY147" s="5"/>
      <c r="AZ147" s="42">
        <f t="shared" si="18"/>
        <v>8587.7128970942431</v>
      </c>
      <c r="BA147" s="42">
        <f t="shared" si="19"/>
        <v>9050.3321320608429</v>
      </c>
      <c r="BB147" s="58">
        <f t="shared" si="20"/>
        <v>462.61923496659983</v>
      </c>
      <c r="BD147" s="2">
        <v>3</v>
      </c>
      <c r="BF147" s="29">
        <v>259.93519649284542</v>
      </c>
      <c r="BG147" s="318">
        <v>150000553</v>
      </c>
      <c r="BI147" s="104">
        <v>17.5</v>
      </c>
      <c r="BJ147" s="104">
        <f t="shared" si="21"/>
        <v>2.4615885</v>
      </c>
      <c r="BK147" s="104">
        <v>20.182501429999999</v>
      </c>
      <c r="BL147" s="38"/>
      <c r="BM147" s="3"/>
      <c r="BN147" s="3">
        <v>0</v>
      </c>
      <c r="BP147" s="3"/>
      <c r="BQ147" s="3"/>
      <c r="BS147" s="42"/>
      <c r="BT147" s="42">
        <v>0</v>
      </c>
      <c r="BU147" s="958"/>
      <c r="BV147" s="41"/>
      <c r="BW147" s="42"/>
      <c r="BX147" s="36"/>
      <c r="BY147" s="76"/>
      <c r="BZ147" s="42">
        <v>0</v>
      </c>
      <c r="CA147" s="959"/>
      <c r="CB147" s="41">
        <v>0</v>
      </c>
      <c r="CC147" s="41">
        <v>0</v>
      </c>
      <c r="CD147" s="960"/>
      <c r="CE147" s="76">
        <v>0</v>
      </c>
      <c r="CF147" s="55"/>
      <c r="CG147" s="41">
        <v>0</v>
      </c>
      <c r="CH147" s="38">
        <v>20.182501429999999</v>
      </c>
      <c r="CI147" s="76">
        <v>0</v>
      </c>
      <c r="CJ147" s="55"/>
      <c r="CK147" s="955"/>
      <c r="CL147" s="950"/>
      <c r="CM147" s="955"/>
      <c r="CN147" s="950">
        <v>0</v>
      </c>
      <c r="CO147" s="76">
        <v>155.34649275455396</v>
      </c>
      <c r="CP147" s="42">
        <v>0</v>
      </c>
      <c r="CQ147" s="5"/>
      <c r="CR147" s="76">
        <v>245.15933385811405</v>
      </c>
      <c r="CS147" s="954">
        <v>0</v>
      </c>
      <c r="CT147" s="9"/>
      <c r="CU147" s="76">
        <v>149.48381101013752</v>
      </c>
      <c r="CV147" s="42">
        <v>0</v>
      </c>
      <c r="CW147" s="9"/>
      <c r="CX147" s="76">
        <v>0</v>
      </c>
      <c r="CY147" s="42">
        <v>0</v>
      </c>
      <c r="CZ147" s="5"/>
      <c r="DA147" s="76">
        <v>0</v>
      </c>
      <c r="DB147" s="42">
        <v>0</v>
      </c>
      <c r="DC147" s="5"/>
      <c r="DD147" s="76">
        <v>129.90969572028581</v>
      </c>
      <c r="DE147" s="42">
        <v>0</v>
      </c>
      <c r="DF147" s="974"/>
      <c r="DG147" s="76">
        <v>0</v>
      </c>
      <c r="DH147" s="42"/>
      <c r="DI147" s="5"/>
      <c r="DJ147" s="42">
        <v>679.89933334309126</v>
      </c>
      <c r="DK147" s="42">
        <f t="shared" si="22"/>
        <v>0</v>
      </c>
      <c r="DL147" s="58">
        <f t="shared" si="23"/>
        <v>-679.89933334309126</v>
      </c>
      <c r="DM147" s="2">
        <v>3</v>
      </c>
    </row>
    <row r="148" spans="1:117" ht="24.9" customHeight="1" x14ac:dyDescent="0.3">
      <c r="A148" s="318">
        <v>150000493</v>
      </c>
      <c r="B148" s="44" t="s">
        <v>417</v>
      </c>
      <c r="C148" s="956">
        <v>10</v>
      </c>
      <c r="D148" s="957" t="s">
        <v>454</v>
      </c>
      <c r="E148" s="949">
        <f>'побудинковий звіт'!E116</f>
        <v>4656.33</v>
      </c>
      <c r="F148" s="950">
        <f>'побудинковий звіт'!AS116</f>
        <v>74166.515858661762</v>
      </c>
      <c r="G148" s="950">
        <f t="shared" si="16"/>
        <v>33630.925127120259</v>
      </c>
      <c r="H148" s="950">
        <f t="shared" si="17"/>
        <v>-40535.590731541502</v>
      </c>
      <c r="I148" s="42">
        <f>'[2]поточний ремонт'!I148+'[1]поточний ремонт'!I148</f>
        <v>7</v>
      </c>
      <c r="J148" s="42">
        <f>'[2]поточний ремонт'!J148+'[1]поточний ремонт'!J148</f>
        <v>2833.0986883497731</v>
      </c>
      <c r="K148" s="958"/>
      <c r="L148" s="42">
        <f>'[2]поточний ремонт'!L148+'[1]поточний ремонт'!L148</f>
        <v>0</v>
      </c>
      <c r="M148" s="42">
        <f>'[2]поточний ремонт'!M148+'[1]поточний ремонт'!M148</f>
        <v>0</v>
      </c>
      <c r="N148" s="36"/>
      <c r="O148" s="42">
        <f>'[2]поточний ремонт'!O148+'[1]поточний ремонт'!O148</f>
        <v>0</v>
      </c>
      <c r="P148" s="42">
        <f>'[2]поточний ремонт'!P148+'[1]поточний ремонт'!P148</f>
        <v>0</v>
      </c>
      <c r="Q148" s="959"/>
      <c r="R148" s="42">
        <f>'[2]поточний ремонт'!R148+'[1]поточний ремонт'!R148</f>
        <v>2</v>
      </c>
      <c r="S148" s="42">
        <f>'[2]поточний ремонт'!S148+'[1]поточний ремонт'!S148</f>
        <v>13624.070558308333</v>
      </c>
      <c r="T148" s="960"/>
      <c r="U148" s="42">
        <f>'[2]поточний ремонт'!U148+'[1]поточний ремонт'!U148</f>
        <v>0</v>
      </c>
      <c r="V148" s="42">
        <f>'[2]поточний ремонт'!V148+'[1]поточний ремонт'!V148</f>
        <v>0</v>
      </c>
      <c r="W148" s="42">
        <f>'[2]поточний ремонт'!W148+'[1]поточний ремонт'!W148</f>
        <v>0</v>
      </c>
      <c r="X148" s="42">
        <f>'[2]поточний ремонт'!X148+'[1]поточний ремонт'!X148</f>
        <v>0</v>
      </c>
      <c r="Y148" s="42">
        <f>'[2]поточний ремонт'!Y148+'[1]поточний ремонт'!Y148</f>
        <v>5964.5258388105631</v>
      </c>
      <c r="Z148" s="42">
        <f>'[2]поточний ремонт'!Z148+'[1]поточний ремонт'!Z148</f>
        <v>0</v>
      </c>
      <c r="AA148" s="42">
        <f>'[2]поточний ремонт'!AA148+'[1]поточний ремонт'!AA148</f>
        <v>0</v>
      </c>
      <c r="AB148" s="42">
        <f>'[2]поточний ремонт'!AB148+'[1]поточний ремонт'!AB148</f>
        <v>0</v>
      </c>
      <c r="AC148" s="42">
        <f>'[2]поточний ремонт'!AC148+'[1]поточний ремонт'!AC148</f>
        <v>9973.6776746803898</v>
      </c>
      <c r="AD148" s="42">
        <f>'[2]поточний ремонт'!AD148+'[1]поточний ремонт'!AD148</f>
        <v>1235.5523669712054</v>
      </c>
      <c r="AE148" s="42">
        <f>'[2]поточний ремонт'!AE148+'[1]поточний ремонт'!AE148</f>
        <v>2438.815863538447</v>
      </c>
      <c r="AF148" s="42">
        <f>'[2]поточний ремонт'!AF148+'[1]поточний ремонт'!AF148</f>
        <v>275.42523712368603</v>
      </c>
      <c r="AG148" s="5"/>
      <c r="AH148" s="42">
        <f>'[2]поточний ремонт'!AH148+'[1]поточний ремонт'!AH148</f>
        <v>2711.0868497469464</v>
      </c>
      <c r="AI148" s="42">
        <f>'[2]поточний ремонт'!AI148+'[1]поточний ремонт'!AI148</f>
        <v>2738.1815747602373</v>
      </c>
      <c r="AJ148" s="5"/>
      <c r="AK148" s="42">
        <f>'[2]поточний ремонт'!AK148+'[1]поточний ремонт'!AK148</f>
        <v>2662.521066166129</v>
      </c>
      <c r="AL148" s="42">
        <f>'[2]поточний ремонт'!AL148+'[1]поточний ремонт'!AL148</f>
        <v>0</v>
      </c>
      <c r="AM148" s="5"/>
      <c r="AN148" s="42">
        <f>'[2]поточний ремонт'!AN148+'[1]поточний ремонт'!AN148</f>
        <v>1056.4260918710331</v>
      </c>
      <c r="AO148" s="42">
        <f>'[2]поточний ремонт'!AO148+'[1]поточний ремонт'!AO148</f>
        <v>0</v>
      </c>
      <c r="AP148" s="5"/>
      <c r="AQ148" s="42">
        <f>'[2]поточний ремонт'!AQ148+'[1]поточний ремонт'!AQ148</f>
        <v>642.13952180756337</v>
      </c>
      <c r="AR148" s="42">
        <f>'[2]поточний ремонт'!AR148+'[1]поточний ремонт'!AR148</f>
        <v>5465.3785898137121</v>
      </c>
      <c r="AS148" s="5"/>
      <c r="AT148" s="42">
        <f>'[2]поточний ремонт'!AT148+'[1]поточний ремонт'!AT148</f>
        <v>2122.3952038589478</v>
      </c>
      <c r="AU148" s="42">
        <f>'[2]поточний ремонт'!AU148+'[1]поточний ремонт'!AU148</f>
        <v>2606.2652587325106</v>
      </c>
      <c r="AV148" s="5"/>
      <c r="AW148" s="42">
        <f>'[2]поточний ремонт'!AW148+'[1]поточний ремонт'!AW148</f>
        <v>497.3857931576141</v>
      </c>
      <c r="AX148" s="42">
        <f>'[2]поточний ремонт'!AX148+'[1]поточний ремонт'!AX148</f>
        <v>7020.8606057243496</v>
      </c>
      <c r="AY148" s="5"/>
      <c r="AZ148" s="42">
        <f t="shared" si="18"/>
        <v>12130.770390146683</v>
      </c>
      <c r="BA148" s="42">
        <f t="shared" si="19"/>
        <v>18106.111266154494</v>
      </c>
      <c r="BB148" s="58">
        <f t="shared" si="20"/>
        <v>5975.3408760078109</v>
      </c>
      <c r="BD148" s="2">
        <v>1</v>
      </c>
      <c r="BF148" s="29">
        <v>416.27636402405847</v>
      </c>
      <c r="BG148" s="318">
        <v>150000493</v>
      </c>
      <c r="BI148" s="104">
        <v>0</v>
      </c>
      <c r="BJ148" s="104">
        <f t="shared" si="21"/>
        <v>0</v>
      </c>
      <c r="BK148" s="104">
        <v>0</v>
      </c>
      <c r="BL148" s="38"/>
      <c r="BM148" s="3"/>
      <c r="BN148" s="3">
        <v>0</v>
      </c>
      <c r="BP148" s="3"/>
      <c r="BQ148" s="3"/>
      <c r="BS148" s="42">
        <v>7</v>
      </c>
      <c r="BT148" s="42">
        <v>2829.2520825278311</v>
      </c>
      <c r="BU148" s="958"/>
      <c r="BV148" s="41"/>
      <c r="BW148" s="42"/>
      <c r="BX148" s="36"/>
      <c r="BY148" s="76"/>
      <c r="BZ148" s="42">
        <v>0</v>
      </c>
      <c r="CA148" s="959"/>
      <c r="CB148" s="41">
        <v>0</v>
      </c>
      <c r="CC148" s="41">
        <v>0</v>
      </c>
      <c r="CD148" s="960"/>
      <c r="CE148" s="76">
        <v>0</v>
      </c>
      <c r="CF148" s="55"/>
      <c r="CG148" s="41">
        <v>0</v>
      </c>
      <c r="CH148" s="38">
        <v>0</v>
      </c>
      <c r="CI148" s="76">
        <v>0</v>
      </c>
      <c r="CJ148" s="55"/>
      <c r="CK148" s="955"/>
      <c r="CL148" s="950"/>
      <c r="CM148" s="955">
        <v>2705</v>
      </c>
      <c r="CN148" s="950">
        <v>0</v>
      </c>
      <c r="CO148" s="76">
        <v>164.23132790213461</v>
      </c>
      <c r="CP148" s="42">
        <v>0</v>
      </c>
      <c r="CQ148" s="5"/>
      <c r="CR148" s="76">
        <v>196.09002638093841</v>
      </c>
      <c r="CS148" s="954">
        <v>0</v>
      </c>
      <c r="CT148" s="5"/>
      <c r="CU148" s="76">
        <v>186.00163838043824</v>
      </c>
      <c r="CV148" s="42">
        <v>0</v>
      </c>
      <c r="CW148" s="5"/>
      <c r="CX148" s="76">
        <v>94.738670085966547</v>
      </c>
      <c r="CY148" s="42">
        <v>0</v>
      </c>
      <c r="CZ148" s="5"/>
      <c r="DA148" s="76">
        <v>52.842011746104383</v>
      </c>
      <c r="DB148" s="42">
        <v>0</v>
      </c>
      <c r="DC148" s="5"/>
      <c r="DD148" s="76">
        <v>110.03914981587937</v>
      </c>
      <c r="DE148" s="42">
        <v>1488.5898785768461</v>
      </c>
      <c r="DF148" s="5"/>
      <c r="DG148" s="76">
        <v>39.884553968079764</v>
      </c>
      <c r="DH148" s="42"/>
      <c r="DI148" s="5"/>
      <c r="DJ148" s="42">
        <v>843.82737827954134</v>
      </c>
      <c r="DK148" s="42">
        <f t="shared" si="22"/>
        <v>1488.5898785768461</v>
      </c>
      <c r="DL148" s="58">
        <f t="shared" si="23"/>
        <v>644.76250029730477</v>
      </c>
      <c r="DM148" s="2">
        <v>1</v>
      </c>
    </row>
    <row r="149" spans="1:117" ht="24.9" customHeight="1" x14ac:dyDescent="0.3">
      <c r="A149" s="318">
        <v>150000494</v>
      </c>
      <c r="B149" s="44" t="s">
        <v>418</v>
      </c>
      <c r="C149" s="956">
        <v>10</v>
      </c>
      <c r="D149" s="957" t="s">
        <v>454</v>
      </c>
      <c r="E149" s="949">
        <f>'побудинковий звіт'!E117</f>
        <v>4850.6500000000005</v>
      </c>
      <c r="F149" s="950">
        <f>'побудинковий звіт'!AS117</f>
        <v>73284.734867613835</v>
      </c>
      <c r="G149" s="950">
        <f t="shared" si="16"/>
        <v>148142.75658699835</v>
      </c>
      <c r="H149" s="950">
        <f t="shared" si="17"/>
        <v>74858.021719384516</v>
      </c>
      <c r="I149" s="42">
        <f>'[2]поточний ремонт'!I149+'[1]поточний ремонт'!I149</f>
        <v>433.4</v>
      </c>
      <c r="J149" s="42">
        <f>'[2]поточний ремонт'!J149+'[1]поточний ремонт'!J149</f>
        <v>138444.75627314893</v>
      </c>
      <c r="K149" s="958"/>
      <c r="L149" s="42">
        <f>'[2]поточний ремонт'!L149+'[1]поточний ремонт'!L149</f>
        <v>0</v>
      </c>
      <c r="M149" s="42">
        <f>'[2]поточний ремонт'!M149+'[1]поточний ремонт'!M149</f>
        <v>0</v>
      </c>
      <c r="N149" s="961"/>
      <c r="O149" s="42">
        <f>'[2]поточний ремонт'!O149+'[1]поточний ремонт'!O149</f>
        <v>0</v>
      </c>
      <c r="P149" s="42">
        <f>'[2]поточний ремонт'!P149+'[1]поточний ремонт'!P149</f>
        <v>0</v>
      </c>
      <c r="Q149" s="959"/>
      <c r="R149" s="42">
        <f>'[2]поточний ремонт'!R149+'[1]поточний ремонт'!R149</f>
        <v>2</v>
      </c>
      <c r="S149" s="42">
        <f>'[2]поточний ремонт'!S149+'[1]поточний ремонт'!S149</f>
        <v>1234.1887945894</v>
      </c>
      <c r="T149" s="963"/>
      <c r="U149" s="42">
        <f>'[2]поточний ремонт'!U149+'[1]поточний ремонт'!U149</f>
        <v>0</v>
      </c>
      <c r="V149" s="42">
        <f>'[2]поточний ремонт'!V149+'[1]поточний ремонт'!V149</f>
        <v>0</v>
      </c>
      <c r="W149" s="42">
        <f>'[2]поточний ремонт'!W149+'[1]поточний ремонт'!W149</f>
        <v>0</v>
      </c>
      <c r="X149" s="42">
        <f>'[2]поточний ремонт'!X149+'[1]поточний ремонт'!X149</f>
        <v>0</v>
      </c>
      <c r="Y149" s="42">
        <f>'[2]поточний ремонт'!Y149+'[1]поточний ремонт'!Y149</f>
        <v>2177.2480926577109</v>
      </c>
      <c r="Z149" s="42">
        <f>'[2]поточний ремонт'!Z149+'[1]поточний ремонт'!Z149</f>
        <v>0</v>
      </c>
      <c r="AA149" s="42">
        <f>'[2]поточний ремонт'!AA149+'[1]поточний ремонт'!AA149</f>
        <v>0</v>
      </c>
      <c r="AB149" s="42">
        <f>'[2]поточний ремонт'!AB149+'[1]поточний ремонт'!AB149</f>
        <v>1059.9452125690291</v>
      </c>
      <c r="AC149" s="42">
        <f>'[2]поточний ремонт'!AC149+'[1]поточний ремонт'!AC149</f>
        <v>164.36271239497705</v>
      </c>
      <c r="AD149" s="42">
        <f>'[2]поточний ремонт'!AD149+'[1]поточний ремонт'!AD149</f>
        <v>5062.2555016383003</v>
      </c>
      <c r="AE149" s="42">
        <f>'[2]поточний ремонт'!AE149+'[1]поточний ремонт'!AE149</f>
        <v>2786.8083270045408</v>
      </c>
      <c r="AF149" s="42">
        <f>'[2]поточний ремонт'!AF149+'[1]поточний ремонт'!AF149</f>
        <v>662.93141411936881</v>
      </c>
      <c r="AG149" s="965"/>
      <c r="AH149" s="42">
        <f>'[2]поточний ремонт'!AH149+'[1]поточний ремонт'!AH149</f>
        <v>3200.1728128035434</v>
      </c>
      <c r="AI149" s="42">
        <f>'[2]поточний ремонт'!AI149+'[1]поточний ремонт'!AI149</f>
        <v>0</v>
      </c>
      <c r="AJ149" s="5"/>
      <c r="AK149" s="42">
        <f>'[2]поточний ремонт'!AK149+'[1]поточний ремонт'!AK149</f>
        <v>4239.6473237053224</v>
      </c>
      <c r="AL149" s="42">
        <f>'[2]поточний ремонт'!AL149+'[1]поточний ремонт'!AL149</f>
        <v>0</v>
      </c>
      <c r="AM149" s="737"/>
      <c r="AN149" s="42">
        <f>'[2]поточний ремонт'!AN149+'[1]поточний ремонт'!AN149</f>
        <v>1369.9571182973518</v>
      </c>
      <c r="AO149" s="42">
        <f>'[2]поточний ремонт'!AO149+'[1]поточний ремонт'!AO149</f>
        <v>0</v>
      </c>
      <c r="AP149" s="5"/>
      <c r="AQ149" s="42">
        <f>'[2]поточний ремонт'!AQ149+'[1]поточний ремонт'!AQ149</f>
        <v>642.13952180756337</v>
      </c>
      <c r="AR149" s="42">
        <f>'[2]поточний ремонт'!AR149+'[1]поточний ремонт'!AR149</f>
        <v>294.13123099999996</v>
      </c>
      <c r="AS149" s="965"/>
      <c r="AT149" s="42">
        <f>'[2]поточний ремонт'!AT149+'[1]поточний ремонт'!AT149</f>
        <v>2196.3552245915143</v>
      </c>
      <c r="AU149" s="42">
        <f>'[2]поточний ремонт'!AU149+'[1]поточний ремонт'!AU149</f>
        <v>904.12540647134904</v>
      </c>
      <c r="AV149" s="5"/>
      <c r="AW149" s="42">
        <f>'[2]поточний ремонт'!AW149+'[1]поточний ремонт'!AW149</f>
        <v>507.48717094790749</v>
      </c>
      <c r="AX149" s="42">
        <f>'[2]поточний ремонт'!AX149+'[1]поточний ремонт'!AX149</f>
        <v>14635.695957452564</v>
      </c>
      <c r="AY149" s="5"/>
      <c r="AZ149" s="42">
        <f t="shared" si="18"/>
        <v>14942.567499157743</v>
      </c>
      <c r="BA149" s="42">
        <f t="shared" si="19"/>
        <v>16496.884009043282</v>
      </c>
      <c r="BB149" s="58">
        <f t="shared" si="20"/>
        <v>1554.3165098855388</v>
      </c>
      <c r="BD149" s="2">
        <v>1</v>
      </c>
      <c r="BF149" s="29">
        <v>442.17522241786628</v>
      </c>
      <c r="BG149" s="318">
        <v>150000494</v>
      </c>
      <c r="BI149" s="104">
        <v>0</v>
      </c>
      <c r="BJ149" s="104">
        <f t="shared" si="21"/>
        <v>0</v>
      </c>
      <c r="BK149" s="104">
        <v>0</v>
      </c>
      <c r="BL149" s="38"/>
      <c r="BM149" s="3"/>
      <c r="BN149" s="3">
        <v>0</v>
      </c>
      <c r="BP149" s="3"/>
      <c r="BQ149" s="3"/>
      <c r="BS149" s="42">
        <v>1</v>
      </c>
      <c r="BT149" s="42">
        <v>2885.8327411696209</v>
      </c>
      <c r="BU149" s="958"/>
      <c r="BV149" s="41"/>
      <c r="BW149" s="42"/>
      <c r="BX149" s="961"/>
      <c r="BY149" s="76"/>
      <c r="BZ149" s="42">
        <v>0</v>
      </c>
      <c r="CA149" s="959"/>
      <c r="CB149" s="41">
        <v>1</v>
      </c>
      <c r="CC149" s="41">
        <v>0</v>
      </c>
      <c r="CD149" s="963"/>
      <c r="CE149" s="76">
        <v>0</v>
      </c>
      <c r="CF149" s="55"/>
      <c r="CG149" s="41">
        <v>0</v>
      </c>
      <c r="CH149" s="38">
        <v>0</v>
      </c>
      <c r="CI149" s="76">
        <v>0</v>
      </c>
      <c r="CJ149" s="55"/>
      <c r="CK149" s="955"/>
      <c r="CL149" s="950"/>
      <c r="CM149" s="955"/>
      <c r="CN149" s="950">
        <v>0</v>
      </c>
      <c r="CO149" s="76">
        <v>184.73705865593774</v>
      </c>
      <c r="CP149" s="42">
        <v>0</v>
      </c>
      <c r="CQ149" s="965"/>
      <c r="CR149" s="76">
        <v>237.59557919486434</v>
      </c>
      <c r="CS149" s="954">
        <v>0</v>
      </c>
      <c r="CT149" s="5"/>
      <c r="CU149" s="76">
        <v>327.93801930392357</v>
      </c>
      <c r="CV149" s="42">
        <v>0</v>
      </c>
      <c r="CW149" s="737"/>
      <c r="CX149" s="76">
        <v>119.2437268388957</v>
      </c>
      <c r="CY149" s="42">
        <v>0</v>
      </c>
      <c r="CZ149" s="5"/>
      <c r="DA149" s="76">
        <v>52.842011746104383</v>
      </c>
      <c r="DB149" s="42">
        <v>0</v>
      </c>
      <c r="DC149" s="965"/>
      <c r="DD149" s="76">
        <v>111.82229407913007</v>
      </c>
      <c r="DE149" s="42">
        <v>0</v>
      </c>
      <c r="DF149" s="5"/>
      <c r="DG149" s="76">
        <v>40.884690382960294</v>
      </c>
      <c r="DH149" s="42"/>
      <c r="DI149" s="5"/>
      <c r="DJ149" s="42">
        <v>1075.063380201816</v>
      </c>
      <c r="DK149" s="42">
        <f t="shared" si="22"/>
        <v>0</v>
      </c>
      <c r="DL149" s="58">
        <f t="shared" si="23"/>
        <v>-1075.063380201816</v>
      </c>
      <c r="DM149" s="2">
        <v>1</v>
      </c>
    </row>
    <row r="150" spans="1:117" ht="24.9" customHeight="1" x14ac:dyDescent="0.3">
      <c r="A150" s="318">
        <v>150000688</v>
      </c>
      <c r="B150" s="44" t="s">
        <v>92</v>
      </c>
      <c r="C150" s="956">
        <v>1</v>
      </c>
      <c r="D150" s="957" t="s">
        <v>454</v>
      </c>
      <c r="E150" s="949">
        <f>'побудинковий звіт'!E118</f>
        <v>9562.94</v>
      </c>
      <c r="F150" s="950">
        <f>'побудинковий звіт'!AS118</f>
        <v>187056.0111686103</v>
      </c>
      <c r="G150" s="950">
        <f t="shared" si="16"/>
        <v>0</v>
      </c>
      <c r="H150" s="950">
        <f t="shared" si="17"/>
        <v>-187056.0111686103</v>
      </c>
      <c r="I150" s="42">
        <f>'[2]поточний ремонт'!I150+'[1]поточний ремонт'!I150</f>
        <v>0</v>
      </c>
      <c r="J150" s="42">
        <f>'[2]поточний ремонт'!J150+'[1]поточний ремонт'!J150</f>
        <v>0</v>
      </c>
      <c r="K150" s="958"/>
      <c r="L150" s="42">
        <f>'[2]поточний ремонт'!L150+'[1]поточний ремонт'!L150</f>
        <v>0</v>
      </c>
      <c r="M150" s="42">
        <f>'[2]поточний ремонт'!M150+'[1]поточний ремонт'!M150</f>
        <v>0</v>
      </c>
      <c r="N150" s="36"/>
      <c r="O150" s="42">
        <f>'[2]поточний ремонт'!O150+'[1]поточний ремонт'!O150</f>
        <v>0</v>
      </c>
      <c r="P150" s="42">
        <f>'[2]поточний ремонт'!P150+'[1]поточний ремонт'!P150</f>
        <v>0</v>
      </c>
      <c r="Q150" s="959"/>
      <c r="R150" s="42">
        <f>'[2]поточний ремонт'!R150+'[1]поточний ремонт'!R150</f>
        <v>0</v>
      </c>
      <c r="S150" s="42">
        <f>'[2]поточний ремонт'!S150+'[1]поточний ремонт'!S150</f>
        <v>0</v>
      </c>
      <c r="T150" s="960"/>
      <c r="U150" s="42">
        <f>'[2]поточний ремонт'!U150+'[1]поточний ремонт'!U150</f>
        <v>0</v>
      </c>
      <c r="V150" s="42">
        <f>'[2]поточний ремонт'!V150+'[1]поточний ремонт'!V150</f>
        <v>0</v>
      </c>
      <c r="W150" s="42">
        <f>'[2]поточний ремонт'!W150+'[1]поточний ремонт'!W150</f>
        <v>0</v>
      </c>
      <c r="X150" s="42">
        <f>'[2]поточний ремонт'!X150+'[1]поточний ремонт'!X150</f>
        <v>0</v>
      </c>
      <c r="Y150" s="42">
        <f>'[2]поточний ремонт'!Y150+'[1]поточний ремонт'!Y150</f>
        <v>0</v>
      </c>
      <c r="Z150" s="42">
        <f>'[2]поточний ремонт'!Z150+'[1]поточний ремонт'!Z150</f>
        <v>0</v>
      </c>
      <c r="AA150" s="42">
        <f>'[2]поточний ремонт'!AA150+'[1]поточний ремонт'!AA150</f>
        <v>0</v>
      </c>
      <c r="AB150" s="42">
        <f>'[2]поточний ремонт'!AB150+'[1]поточний ремонт'!AB150</f>
        <v>0</v>
      </c>
      <c r="AC150" s="42">
        <f>'[2]поточний ремонт'!AC150+'[1]поточний ремонт'!AC150</f>
        <v>0</v>
      </c>
      <c r="AD150" s="42">
        <f>'[2]поточний ремонт'!AD150+'[1]поточний ремонт'!AD150</f>
        <v>0</v>
      </c>
      <c r="AE150" s="42">
        <f>'[2]поточний ремонт'!AE150+'[1]поточний ремонт'!AE150</f>
        <v>0</v>
      </c>
      <c r="AF150" s="42">
        <f>'[2]поточний ремонт'!AF150+'[1]поточний ремонт'!AF150</f>
        <v>0</v>
      </c>
      <c r="AG150" s="5"/>
      <c r="AH150" s="42">
        <f>'[2]поточний ремонт'!AH150+'[1]поточний ремонт'!AH150</f>
        <v>0</v>
      </c>
      <c r="AI150" s="42">
        <f>'[2]поточний ремонт'!AI150+'[1]поточний ремонт'!AI150</f>
        <v>0</v>
      </c>
      <c r="AJ150" s="5"/>
      <c r="AK150" s="42">
        <f>'[2]поточний ремонт'!AK150+'[1]поточний ремонт'!AK150</f>
        <v>0</v>
      </c>
      <c r="AL150" s="42">
        <f>'[2]поточний ремонт'!AL150+'[1]поточний ремонт'!AL150</f>
        <v>0</v>
      </c>
      <c r="AM150" s="5"/>
      <c r="AN150" s="42">
        <f>'[2]поточний ремонт'!AN150+'[1]поточний ремонт'!AN150</f>
        <v>0</v>
      </c>
      <c r="AO150" s="42">
        <f>'[2]поточний ремонт'!AO150+'[1]поточний ремонт'!AO150</f>
        <v>0</v>
      </c>
      <c r="AP150" s="5"/>
      <c r="AQ150" s="42">
        <f>'[2]поточний ремонт'!AQ150+'[1]поточний ремонт'!AQ150</f>
        <v>0</v>
      </c>
      <c r="AR150" s="42">
        <f>'[2]поточний ремонт'!AR150+'[1]поточний ремонт'!AR150</f>
        <v>0</v>
      </c>
      <c r="AS150" s="5"/>
      <c r="AT150" s="42">
        <f>'[2]поточний ремонт'!AT150+'[1]поточний ремонт'!AT150</f>
        <v>0</v>
      </c>
      <c r="AU150" s="42">
        <f>'[2]поточний ремонт'!AU150+'[1]поточний ремонт'!AU150</f>
        <v>0</v>
      </c>
      <c r="AV150" s="5"/>
      <c r="AW150" s="42">
        <f>'[2]поточний ремонт'!AW150+'[1]поточний ремонт'!AW150</f>
        <v>0</v>
      </c>
      <c r="AX150" s="42">
        <f>'[2]поточний ремонт'!AX150+'[1]поточний ремонт'!AX150</f>
        <v>1127.6054398000001</v>
      </c>
      <c r="AY150" s="5"/>
      <c r="AZ150" s="42">
        <f t="shared" si="18"/>
        <v>0</v>
      </c>
      <c r="BA150" s="42">
        <f t="shared" si="19"/>
        <v>1127.6054398000001</v>
      </c>
      <c r="BB150" s="58">
        <f t="shared" si="20"/>
        <v>1127.6054398000001</v>
      </c>
      <c r="BD150" s="2">
        <v>3</v>
      </c>
      <c r="BF150" s="29">
        <v>0</v>
      </c>
      <c r="BG150" s="318">
        <v>150000688</v>
      </c>
      <c r="BI150" s="104">
        <v>0</v>
      </c>
      <c r="BJ150" s="104">
        <f t="shared" si="21"/>
        <v>0</v>
      </c>
      <c r="BK150" s="104">
        <v>0</v>
      </c>
      <c r="BL150" s="38"/>
      <c r="BM150" s="3"/>
      <c r="BN150" s="3">
        <v>0</v>
      </c>
      <c r="BP150" s="3"/>
      <c r="BQ150" s="3"/>
      <c r="BS150" s="42"/>
      <c r="BT150" s="42">
        <v>0</v>
      </c>
      <c r="BU150" s="958"/>
      <c r="BV150" s="41"/>
      <c r="BW150" s="42"/>
      <c r="BX150" s="36"/>
      <c r="BY150" s="76"/>
      <c r="BZ150" s="42">
        <v>0</v>
      </c>
      <c r="CA150" s="959"/>
      <c r="CB150" s="41">
        <v>0</v>
      </c>
      <c r="CC150" s="41">
        <v>0</v>
      </c>
      <c r="CD150" s="960"/>
      <c r="CE150" s="76">
        <v>0</v>
      </c>
      <c r="CF150" s="55"/>
      <c r="CG150" s="41">
        <v>0</v>
      </c>
      <c r="CH150" s="38">
        <v>0</v>
      </c>
      <c r="CI150" s="76">
        <v>0</v>
      </c>
      <c r="CJ150" s="55"/>
      <c r="CK150" s="955"/>
      <c r="CL150" s="950"/>
      <c r="CM150" s="955"/>
      <c r="CN150" s="950">
        <v>0</v>
      </c>
      <c r="CO150" s="76">
        <v>0</v>
      </c>
      <c r="CP150" s="42">
        <v>0</v>
      </c>
      <c r="CQ150" s="5"/>
      <c r="CR150" s="76">
        <v>0</v>
      </c>
      <c r="CS150" s="954">
        <v>0</v>
      </c>
      <c r="CT150" s="5"/>
      <c r="CU150" s="76">
        <v>0</v>
      </c>
      <c r="CV150" s="42">
        <v>0</v>
      </c>
      <c r="CW150" s="5"/>
      <c r="CX150" s="76">
        <v>0</v>
      </c>
      <c r="CY150" s="42">
        <v>0</v>
      </c>
      <c r="CZ150" s="5"/>
      <c r="DA150" s="76">
        <v>0</v>
      </c>
      <c r="DB150" s="42">
        <v>0</v>
      </c>
      <c r="DC150" s="5"/>
      <c r="DD150" s="76">
        <v>0</v>
      </c>
      <c r="DE150" s="42">
        <v>0</v>
      </c>
      <c r="DF150" s="5"/>
      <c r="DG150" s="76">
        <v>0</v>
      </c>
      <c r="DH150" s="42"/>
      <c r="DI150" s="5"/>
      <c r="DJ150" s="42">
        <v>0</v>
      </c>
      <c r="DK150" s="42">
        <f t="shared" si="22"/>
        <v>0</v>
      </c>
      <c r="DL150" s="58">
        <f t="shared" si="23"/>
        <v>0</v>
      </c>
      <c r="DM150" s="2">
        <v>3</v>
      </c>
    </row>
    <row r="151" spans="1:117" ht="24.9" customHeight="1" x14ac:dyDescent="0.3">
      <c r="A151" s="318">
        <v>150000689</v>
      </c>
      <c r="B151" s="44" t="s">
        <v>93</v>
      </c>
      <c r="C151" s="956">
        <v>1</v>
      </c>
      <c r="D151" s="957" t="s">
        <v>454</v>
      </c>
      <c r="E151" s="949">
        <f>'побудинковий звіт'!E119</f>
        <v>7508.96</v>
      </c>
      <c r="F151" s="950">
        <f>'побудинковий звіт'!AS119</f>
        <v>133133.3957487469</v>
      </c>
      <c r="G151" s="950">
        <f t="shared" si="16"/>
        <v>0</v>
      </c>
      <c r="H151" s="950">
        <f t="shared" si="17"/>
        <v>-133133.3957487469</v>
      </c>
      <c r="I151" s="42">
        <f>'[2]поточний ремонт'!I151+'[1]поточний ремонт'!I151</f>
        <v>0</v>
      </c>
      <c r="J151" s="42">
        <f>'[2]поточний ремонт'!J151+'[1]поточний ремонт'!J151</f>
        <v>0</v>
      </c>
      <c r="K151" s="958"/>
      <c r="L151" s="42">
        <f>'[2]поточний ремонт'!L151+'[1]поточний ремонт'!L151</f>
        <v>0</v>
      </c>
      <c r="M151" s="42">
        <f>'[2]поточний ремонт'!M151+'[1]поточний ремонт'!M151</f>
        <v>0</v>
      </c>
      <c r="N151" s="36"/>
      <c r="O151" s="42">
        <f>'[2]поточний ремонт'!O151+'[1]поточний ремонт'!O151</f>
        <v>0</v>
      </c>
      <c r="P151" s="42">
        <f>'[2]поточний ремонт'!P151+'[1]поточний ремонт'!P151</f>
        <v>0</v>
      </c>
      <c r="Q151" s="959"/>
      <c r="R151" s="42">
        <f>'[2]поточний ремонт'!R151+'[1]поточний ремонт'!R151</f>
        <v>0</v>
      </c>
      <c r="S151" s="42">
        <f>'[2]поточний ремонт'!S151+'[1]поточний ремонт'!S151</f>
        <v>0</v>
      </c>
      <c r="T151" s="960"/>
      <c r="U151" s="42">
        <f>'[2]поточний ремонт'!U151+'[1]поточний ремонт'!U151</f>
        <v>0</v>
      </c>
      <c r="V151" s="42">
        <f>'[2]поточний ремонт'!V151+'[1]поточний ремонт'!V151</f>
        <v>0</v>
      </c>
      <c r="W151" s="42">
        <f>'[2]поточний ремонт'!W151+'[1]поточний ремонт'!W151</f>
        <v>0</v>
      </c>
      <c r="X151" s="42">
        <f>'[2]поточний ремонт'!X151+'[1]поточний ремонт'!X151</f>
        <v>0</v>
      </c>
      <c r="Y151" s="42">
        <f>'[2]поточний ремонт'!Y151+'[1]поточний ремонт'!Y151</f>
        <v>0</v>
      </c>
      <c r="Z151" s="42">
        <f>'[2]поточний ремонт'!Z151+'[1]поточний ремонт'!Z151</f>
        <v>0</v>
      </c>
      <c r="AA151" s="42">
        <f>'[2]поточний ремонт'!AA151+'[1]поточний ремонт'!AA151</f>
        <v>0</v>
      </c>
      <c r="AB151" s="42">
        <f>'[2]поточний ремонт'!AB151+'[1]поточний ремонт'!AB151</f>
        <v>0</v>
      </c>
      <c r="AC151" s="42">
        <f>'[2]поточний ремонт'!AC151+'[1]поточний ремонт'!AC151</f>
        <v>0</v>
      </c>
      <c r="AD151" s="42">
        <f>'[2]поточний ремонт'!AD151+'[1]поточний ремонт'!AD151</f>
        <v>0</v>
      </c>
      <c r="AE151" s="42">
        <f>'[2]поточний ремонт'!AE151+'[1]поточний ремонт'!AE151</f>
        <v>0</v>
      </c>
      <c r="AF151" s="42">
        <f>'[2]поточний ремонт'!AF151+'[1]поточний ремонт'!AF151</f>
        <v>0</v>
      </c>
      <c r="AG151" s="5"/>
      <c r="AH151" s="42">
        <f>'[2]поточний ремонт'!AH151+'[1]поточний ремонт'!AH151</f>
        <v>0</v>
      </c>
      <c r="AI151" s="42">
        <f>'[2]поточний ремонт'!AI151+'[1]поточний ремонт'!AI151</f>
        <v>0</v>
      </c>
      <c r="AJ151" s="5"/>
      <c r="AK151" s="42">
        <f>'[2]поточний ремонт'!AK151+'[1]поточний ремонт'!AK151</f>
        <v>0</v>
      </c>
      <c r="AL151" s="42">
        <f>'[2]поточний ремонт'!AL151+'[1]поточний ремонт'!AL151</f>
        <v>0</v>
      </c>
      <c r="AM151" s="5"/>
      <c r="AN151" s="42">
        <f>'[2]поточний ремонт'!AN151+'[1]поточний ремонт'!AN151</f>
        <v>0</v>
      </c>
      <c r="AO151" s="42">
        <f>'[2]поточний ремонт'!AO151+'[1]поточний ремонт'!AO151</f>
        <v>0</v>
      </c>
      <c r="AP151" s="5"/>
      <c r="AQ151" s="42">
        <f>'[2]поточний ремонт'!AQ151+'[1]поточний ремонт'!AQ151</f>
        <v>0</v>
      </c>
      <c r="AR151" s="42">
        <f>'[2]поточний ремонт'!AR151+'[1]поточний ремонт'!AR151</f>
        <v>0</v>
      </c>
      <c r="AS151" s="5"/>
      <c r="AT151" s="42">
        <f>'[2]поточний ремонт'!AT151+'[1]поточний ремонт'!AT151</f>
        <v>0</v>
      </c>
      <c r="AU151" s="42">
        <f>'[2]поточний ремонт'!AU151+'[1]поточний ремонт'!AU151</f>
        <v>0</v>
      </c>
      <c r="AV151" s="5"/>
      <c r="AW151" s="42">
        <f>'[2]поточний ремонт'!AW151+'[1]поточний ремонт'!AW151</f>
        <v>0</v>
      </c>
      <c r="AX151" s="42">
        <f>'[2]поточний ремонт'!AX151+'[1]поточний ремонт'!AX151</f>
        <v>1075.3911977600001</v>
      </c>
      <c r="AY151" s="5"/>
      <c r="AZ151" s="42">
        <f t="shared" si="18"/>
        <v>0</v>
      </c>
      <c r="BA151" s="42">
        <f t="shared" si="19"/>
        <v>1075.3911977600001</v>
      </c>
      <c r="BB151" s="58">
        <f t="shared" si="20"/>
        <v>1075.3911977600001</v>
      </c>
      <c r="BD151" s="2">
        <v>3</v>
      </c>
      <c r="BF151" s="29">
        <v>0</v>
      </c>
      <c r="BG151" s="318">
        <v>150000689</v>
      </c>
      <c r="BI151" s="104">
        <v>0</v>
      </c>
      <c r="BJ151" s="104">
        <f t="shared" si="21"/>
        <v>0</v>
      </c>
      <c r="BK151" s="104">
        <v>0</v>
      </c>
      <c r="BL151" s="38"/>
      <c r="BM151" s="3"/>
      <c r="BN151" s="3">
        <v>0</v>
      </c>
      <c r="BP151" s="3"/>
      <c r="BQ151" s="3"/>
      <c r="BS151" s="42"/>
      <c r="BT151" s="42">
        <v>0</v>
      </c>
      <c r="BU151" s="958"/>
      <c r="BV151" s="41"/>
      <c r="BW151" s="42"/>
      <c r="BX151" s="36"/>
      <c r="BY151" s="76"/>
      <c r="BZ151" s="42">
        <v>0</v>
      </c>
      <c r="CA151" s="959"/>
      <c r="CB151" s="41">
        <v>0</v>
      </c>
      <c r="CC151" s="41">
        <v>0</v>
      </c>
      <c r="CD151" s="960"/>
      <c r="CE151" s="76">
        <v>0</v>
      </c>
      <c r="CF151" s="55"/>
      <c r="CG151" s="41">
        <v>0</v>
      </c>
      <c r="CH151" s="38">
        <v>0</v>
      </c>
      <c r="CI151" s="76">
        <v>0</v>
      </c>
      <c r="CJ151" s="55"/>
      <c r="CK151" s="955"/>
      <c r="CL151" s="950"/>
      <c r="CM151" s="955"/>
      <c r="CN151" s="950">
        <v>0</v>
      </c>
      <c r="CO151" s="76">
        <v>0</v>
      </c>
      <c r="CP151" s="42">
        <v>0</v>
      </c>
      <c r="CQ151" s="5"/>
      <c r="CR151" s="76">
        <v>0</v>
      </c>
      <c r="CS151" s="954">
        <v>0</v>
      </c>
      <c r="CT151" s="5"/>
      <c r="CU151" s="76">
        <v>0</v>
      </c>
      <c r="CV151" s="42">
        <v>0</v>
      </c>
      <c r="CW151" s="5"/>
      <c r="CX151" s="76">
        <v>0</v>
      </c>
      <c r="CY151" s="42">
        <v>0</v>
      </c>
      <c r="CZ151" s="5"/>
      <c r="DA151" s="76">
        <v>0</v>
      </c>
      <c r="DB151" s="42">
        <v>0</v>
      </c>
      <c r="DC151" s="5"/>
      <c r="DD151" s="76">
        <v>0</v>
      </c>
      <c r="DE151" s="42">
        <v>0</v>
      </c>
      <c r="DF151" s="5"/>
      <c r="DG151" s="76">
        <v>0</v>
      </c>
      <c r="DH151" s="42"/>
      <c r="DI151" s="5"/>
      <c r="DJ151" s="42">
        <v>0</v>
      </c>
      <c r="DK151" s="42">
        <f t="shared" si="22"/>
        <v>0</v>
      </c>
      <c r="DL151" s="58">
        <f t="shared" si="23"/>
        <v>0</v>
      </c>
      <c r="DM151" s="2">
        <v>3</v>
      </c>
    </row>
    <row r="152" spans="1:117" ht="24.9" customHeight="1" x14ac:dyDescent="0.3">
      <c r="A152" s="318">
        <v>150000690</v>
      </c>
      <c r="B152" s="44" t="s">
        <v>95</v>
      </c>
      <c r="C152" s="956">
        <v>1</v>
      </c>
      <c r="D152" s="957" t="s">
        <v>454</v>
      </c>
      <c r="E152" s="949">
        <f>'побудинковий звіт'!E120</f>
        <v>507.5</v>
      </c>
      <c r="F152" s="950">
        <f>'побудинковий звіт'!AS120</f>
        <v>7766.1802283599054</v>
      </c>
      <c r="G152" s="950">
        <f t="shared" si="16"/>
        <v>0</v>
      </c>
      <c r="H152" s="950">
        <f t="shared" si="17"/>
        <v>-7766.1802283599054</v>
      </c>
      <c r="I152" s="42">
        <f>'[2]поточний ремонт'!I152+'[1]поточний ремонт'!I152</f>
        <v>0</v>
      </c>
      <c r="J152" s="42">
        <f>'[2]поточний ремонт'!J152+'[1]поточний ремонт'!J152</f>
        <v>0</v>
      </c>
      <c r="K152" s="958"/>
      <c r="L152" s="42">
        <f>'[2]поточний ремонт'!L152+'[1]поточний ремонт'!L152</f>
        <v>0</v>
      </c>
      <c r="M152" s="42">
        <f>'[2]поточний ремонт'!M152+'[1]поточний ремонт'!M152</f>
        <v>0</v>
      </c>
      <c r="N152" s="36"/>
      <c r="O152" s="42">
        <f>'[2]поточний ремонт'!O152+'[1]поточний ремонт'!O152</f>
        <v>0</v>
      </c>
      <c r="P152" s="42">
        <f>'[2]поточний ремонт'!P152+'[1]поточний ремонт'!P152</f>
        <v>0</v>
      </c>
      <c r="Q152" s="959"/>
      <c r="R152" s="42">
        <f>'[2]поточний ремонт'!R152+'[1]поточний ремонт'!R152</f>
        <v>0</v>
      </c>
      <c r="S152" s="42">
        <f>'[2]поточний ремонт'!S152+'[1]поточний ремонт'!S152</f>
        <v>0</v>
      </c>
      <c r="T152" s="960"/>
      <c r="U152" s="42">
        <f>'[2]поточний ремонт'!U152+'[1]поточний ремонт'!U152</f>
        <v>0</v>
      </c>
      <c r="V152" s="42">
        <f>'[2]поточний ремонт'!V152+'[1]поточний ремонт'!V152</f>
        <v>0</v>
      </c>
      <c r="W152" s="42">
        <f>'[2]поточний ремонт'!W152+'[1]поточний ремонт'!W152</f>
        <v>0</v>
      </c>
      <c r="X152" s="42">
        <f>'[2]поточний ремонт'!X152+'[1]поточний ремонт'!X152</f>
        <v>0</v>
      </c>
      <c r="Y152" s="42">
        <f>'[2]поточний ремонт'!Y152+'[1]поточний ремонт'!Y152</f>
        <v>0</v>
      </c>
      <c r="Z152" s="42">
        <f>'[2]поточний ремонт'!Z152+'[1]поточний ремонт'!Z152</f>
        <v>0</v>
      </c>
      <c r="AA152" s="42">
        <f>'[2]поточний ремонт'!AA152+'[1]поточний ремонт'!AA152</f>
        <v>0</v>
      </c>
      <c r="AB152" s="42">
        <f>'[2]поточний ремонт'!AB152+'[1]поточний ремонт'!AB152</f>
        <v>0</v>
      </c>
      <c r="AC152" s="42">
        <f>'[2]поточний ремонт'!AC152+'[1]поточний ремонт'!AC152</f>
        <v>0</v>
      </c>
      <c r="AD152" s="42">
        <f>'[2]поточний ремонт'!AD152+'[1]поточний ремонт'!AD152</f>
        <v>0</v>
      </c>
      <c r="AE152" s="42">
        <f>'[2]поточний ремонт'!AE152+'[1]поточний ремонт'!AE152</f>
        <v>0</v>
      </c>
      <c r="AF152" s="42">
        <f>'[2]поточний ремонт'!AF152+'[1]поточний ремонт'!AF152</f>
        <v>0</v>
      </c>
      <c r="AG152" s="5"/>
      <c r="AH152" s="42">
        <f>'[2]поточний ремонт'!AH152+'[1]поточний ремонт'!AH152</f>
        <v>0</v>
      </c>
      <c r="AI152" s="42">
        <f>'[2]поточний ремонт'!AI152+'[1]поточний ремонт'!AI152</f>
        <v>0</v>
      </c>
      <c r="AJ152" s="5"/>
      <c r="AK152" s="42">
        <f>'[2]поточний ремонт'!AK152+'[1]поточний ремонт'!AK152</f>
        <v>0</v>
      </c>
      <c r="AL152" s="42">
        <f>'[2]поточний ремонт'!AL152+'[1]поточний ремонт'!AL152</f>
        <v>0</v>
      </c>
      <c r="AM152" s="5"/>
      <c r="AN152" s="42">
        <f>'[2]поточний ремонт'!AN152+'[1]поточний ремонт'!AN152</f>
        <v>0</v>
      </c>
      <c r="AO152" s="42">
        <f>'[2]поточний ремонт'!AO152+'[1]поточний ремонт'!AO152</f>
        <v>0</v>
      </c>
      <c r="AP152" s="5"/>
      <c r="AQ152" s="42">
        <f>'[2]поточний ремонт'!AQ152+'[1]поточний ремонт'!AQ152</f>
        <v>0</v>
      </c>
      <c r="AR152" s="42">
        <f>'[2]поточний ремонт'!AR152+'[1]поточний ремонт'!AR152</f>
        <v>0</v>
      </c>
      <c r="AS152" s="5"/>
      <c r="AT152" s="42">
        <f>'[2]поточний ремонт'!AT152+'[1]поточний ремонт'!AT152</f>
        <v>0</v>
      </c>
      <c r="AU152" s="42">
        <f>'[2]поточний ремонт'!AU152+'[1]поточний ремонт'!AU152</f>
        <v>0</v>
      </c>
      <c r="AV152" s="5"/>
      <c r="AW152" s="42">
        <f>'[2]поточний ремонт'!AW152+'[1]поточний ремонт'!AW152</f>
        <v>0</v>
      </c>
      <c r="AX152" s="42">
        <f>'[2]поточний ремонт'!AX152+'[1]поточний ремонт'!AX152</f>
        <v>1678.6323345200001</v>
      </c>
      <c r="AY152" s="5"/>
      <c r="AZ152" s="42">
        <f t="shared" si="18"/>
        <v>0</v>
      </c>
      <c r="BA152" s="42">
        <f t="shared" si="19"/>
        <v>1678.6323345200001</v>
      </c>
      <c r="BB152" s="58">
        <f t="shared" si="20"/>
        <v>1678.6323345200001</v>
      </c>
      <c r="BD152" s="2">
        <v>3</v>
      </c>
      <c r="BF152" s="29">
        <v>0</v>
      </c>
      <c r="BG152" s="318">
        <v>150000690</v>
      </c>
      <c r="BI152" s="104">
        <v>0</v>
      </c>
      <c r="BJ152" s="104">
        <f t="shared" si="21"/>
        <v>0</v>
      </c>
      <c r="BK152" s="104">
        <v>0</v>
      </c>
      <c r="BL152" s="38"/>
      <c r="BM152" s="3"/>
      <c r="BN152" s="3">
        <v>0</v>
      </c>
      <c r="BP152" s="3"/>
      <c r="BQ152" s="3"/>
      <c r="BS152" s="42"/>
      <c r="BT152" s="42">
        <v>0</v>
      </c>
      <c r="BU152" s="958"/>
      <c r="BV152" s="41"/>
      <c r="BW152" s="42"/>
      <c r="BX152" s="36"/>
      <c r="BY152" s="76"/>
      <c r="BZ152" s="42">
        <v>0</v>
      </c>
      <c r="CA152" s="959"/>
      <c r="CB152" s="41">
        <v>0</v>
      </c>
      <c r="CC152" s="41">
        <v>0</v>
      </c>
      <c r="CD152" s="960"/>
      <c r="CE152" s="76">
        <v>0</v>
      </c>
      <c r="CF152" s="55"/>
      <c r="CG152" s="41">
        <v>0</v>
      </c>
      <c r="CH152" s="38">
        <v>0</v>
      </c>
      <c r="CI152" s="76">
        <v>0</v>
      </c>
      <c r="CJ152" s="55"/>
      <c r="CK152" s="955"/>
      <c r="CL152" s="950"/>
      <c r="CM152" s="955"/>
      <c r="CN152" s="950">
        <v>0</v>
      </c>
      <c r="CO152" s="76">
        <v>0</v>
      </c>
      <c r="CP152" s="42">
        <v>0</v>
      </c>
      <c r="CQ152" s="5"/>
      <c r="CR152" s="76">
        <v>0</v>
      </c>
      <c r="CS152" s="954">
        <v>0</v>
      </c>
      <c r="CT152" s="5"/>
      <c r="CU152" s="76">
        <v>0</v>
      </c>
      <c r="CV152" s="42">
        <v>0</v>
      </c>
      <c r="CW152" s="5"/>
      <c r="CX152" s="76">
        <v>0</v>
      </c>
      <c r="CY152" s="42">
        <v>0</v>
      </c>
      <c r="CZ152" s="5"/>
      <c r="DA152" s="76">
        <v>0</v>
      </c>
      <c r="DB152" s="42">
        <v>0</v>
      </c>
      <c r="DC152" s="5"/>
      <c r="DD152" s="76">
        <v>0</v>
      </c>
      <c r="DE152" s="42">
        <v>0</v>
      </c>
      <c r="DF152" s="5"/>
      <c r="DG152" s="76">
        <v>0</v>
      </c>
      <c r="DH152" s="42"/>
      <c r="DI152" s="5"/>
      <c r="DJ152" s="42">
        <v>0</v>
      </c>
      <c r="DK152" s="42">
        <f t="shared" si="22"/>
        <v>0</v>
      </c>
      <c r="DL152" s="58">
        <f t="shared" si="23"/>
        <v>0</v>
      </c>
      <c r="DM152" s="2">
        <v>3</v>
      </c>
    </row>
    <row r="153" spans="1:117" ht="24.9" customHeight="1" x14ac:dyDescent="0.3">
      <c r="A153" s="318">
        <v>150000832</v>
      </c>
      <c r="B153" s="44" t="s">
        <v>1765</v>
      </c>
      <c r="C153" s="956">
        <v>10</v>
      </c>
      <c r="D153" s="957" t="s">
        <v>454</v>
      </c>
      <c r="E153" s="949">
        <f>'побудинковий звіт'!E258</f>
        <v>4189.33</v>
      </c>
      <c r="F153" s="950">
        <f>'побудинковий звіт'!AS258</f>
        <v>95838.711877779337</v>
      </c>
      <c r="G153" s="950">
        <f t="shared" si="16"/>
        <v>1951.5275975080433</v>
      </c>
      <c r="H153" s="950">
        <f t="shared" si="17"/>
        <v>-93887.184280271293</v>
      </c>
      <c r="I153" s="42">
        <f>'[2]поточний ремонт'!I153+'[1]поточний ремонт'!I153</f>
        <v>0</v>
      </c>
      <c r="J153" s="42">
        <f>'[2]поточний ремонт'!J153+'[1]поточний ремонт'!J153</f>
        <v>0</v>
      </c>
      <c r="K153" s="958"/>
      <c r="L153" s="42">
        <f>'[2]поточний ремонт'!L153+'[1]поточний ремонт'!L153</f>
        <v>0</v>
      </c>
      <c r="M153" s="42">
        <f>'[2]поточний ремонт'!M153+'[1]поточний ремонт'!M153</f>
        <v>0</v>
      </c>
      <c r="N153" s="36"/>
      <c r="O153" s="42">
        <f>'[2]поточний ремонт'!O153+'[1]поточний ремонт'!O153</f>
        <v>0</v>
      </c>
      <c r="P153" s="42">
        <f>'[2]поточний ремонт'!P153+'[1]поточний ремонт'!P153</f>
        <v>0</v>
      </c>
      <c r="Q153" s="959"/>
      <c r="R153" s="42">
        <f>'[2]поточний ремонт'!R153+'[1]поточний ремонт'!R153</f>
        <v>0</v>
      </c>
      <c r="S153" s="42">
        <f>'[2]поточний ремонт'!S153+'[1]поточний ремонт'!S153</f>
        <v>0</v>
      </c>
      <c r="T153" s="967"/>
      <c r="U153" s="42">
        <f>'[2]поточний ремонт'!U153+'[1]поточний ремонт'!U153</f>
        <v>0</v>
      </c>
      <c r="V153" s="42">
        <f>'[2]поточний ремонт'!V153+'[1]поточний ремонт'!V153</f>
        <v>0</v>
      </c>
      <c r="W153" s="42">
        <f>'[2]поточний ремонт'!W153+'[1]поточний ремонт'!W153</f>
        <v>3</v>
      </c>
      <c r="X153" s="42">
        <f>'[2]поточний ремонт'!X153+'[1]поточний ремонт'!X153</f>
        <v>258</v>
      </c>
      <c r="Y153" s="42">
        <f>'[2]поточний ремонт'!Y153+'[1]поточний ремонт'!Y153</f>
        <v>0</v>
      </c>
      <c r="Z153" s="42">
        <f>'[2]поточний ремонт'!Z153+'[1]поточний ремонт'!Z153</f>
        <v>0</v>
      </c>
      <c r="AA153" s="42">
        <f>'[2]поточний ремонт'!AA153+'[1]поточний ремонт'!AA153</f>
        <v>0</v>
      </c>
      <c r="AB153" s="42">
        <f>'[2]поточний ремонт'!AB153+'[1]поточний ремонт'!AB153</f>
        <v>0</v>
      </c>
      <c r="AC153" s="42">
        <f>'[2]поточний ремонт'!AC153+'[1]поточний ремонт'!AC153</f>
        <v>0</v>
      </c>
      <c r="AD153" s="42">
        <f>'[2]поточний ремонт'!AD153+'[1]поточний ремонт'!AD153</f>
        <v>1693.5275975080433</v>
      </c>
      <c r="AE153" s="42">
        <f>'[2]поточний ремонт'!AE153+'[1]поточний ремонт'!AE153</f>
        <v>1732.2333757315989</v>
      </c>
      <c r="AF153" s="42">
        <f>'[2]поточний ремонт'!AF153+'[1]поточний ремонт'!AF153</f>
        <v>0</v>
      </c>
      <c r="AG153" s="5"/>
      <c r="AH153" s="42">
        <f>'[2]поточний ремонт'!AH153+'[1]поточний ремонт'!AH153</f>
        <v>1535.1945282904392</v>
      </c>
      <c r="AI153" s="42">
        <f>'[2]поточний ремонт'!AI153+'[1]поточний ремонт'!AI153</f>
        <v>0</v>
      </c>
      <c r="AJ153" s="5"/>
      <c r="AK153" s="42">
        <f>'[2]поточний ремонт'!AK153+'[1]поточний ремонт'!AK153</f>
        <v>1313.8675940731273</v>
      </c>
      <c r="AL153" s="42">
        <f>'[2]поточний ремонт'!AL153+'[1]поточний ремонт'!AL153</f>
        <v>761.87906883248809</v>
      </c>
      <c r="AM153" s="5"/>
      <c r="AN153" s="42">
        <f>'[2]поточний ремонт'!AN153+'[1]поточний ремонт'!AN153</f>
        <v>723.01519494988474</v>
      </c>
      <c r="AO153" s="42">
        <f>'[2]поточний ремонт'!AO153+'[1]поточний ремонт'!AO153</f>
        <v>0</v>
      </c>
      <c r="AP153" s="5"/>
      <c r="AQ153" s="42">
        <f>'[2]поточний ремонт'!AQ153+'[1]поточний ремонт'!AQ153</f>
        <v>298.82740400855573</v>
      </c>
      <c r="AR153" s="42">
        <f>'[2]поточний ремонт'!AR153+'[1]поточний ремонт'!AR153</f>
        <v>0</v>
      </c>
      <c r="AS153" s="5"/>
      <c r="AT153" s="42">
        <f>'[2]поточний ремонт'!AT153+'[1]поточний ремонт'!AT153</f>
        <v>1224.3544284837335</v>
      </c>
      <c r="AU153" s="42">
        <f>'[2]поточний ремонт'!AU153+'[1]поточний ремонт'!AU153</f>
        <v>8383.1163482500142</v>
      </c>
      <c r="AV153" s="5"/>
      <c r="AW153" s="42">
        <f>'[2]поточний ремонт'!AW153+'[1]поточний ремонт'!AW153</f>
        <v>432.93928338857921</v>
      </c>
      <c r="AX153" s="42">
        <f>'[2]поточний ремонт'!AX153+'[1]поточний ремонт'!AX153</f>
        <v>3844.8911001287815</v>
      </c>
      <c r="AY153" s="5"/>
      <c r="AZ153" s="42">
        <f t="shared" si="18"/>
        <v>7260.4318089259195</v>
      </c>
      <c r="BA153" s="42">
        <f t="shared" si="19"/>
        <v>12989.886517211284</v>
      </c>
      <c r="BB153" s="58">
        <f t="shared" si="20"/>
        <v>5729.4547082853642</v>
      </c>
      <c r="BD153" s="2">
        <v>1</v>
      </c>
      <c r="BF153" s="29">
        <v>210.80278250336912</v>
      </c>
      <c r="BG153" s="318">
        <v>150000832</v>
      </c>
      <c r="BI153" s="104">
        <v>0</v>
      </c>
      <c r="BJ153" s="104">
        <f t="shared" si="21"/>
        <v>0</v>
      </c>
      <c r="BK153" s="104">
        <v>0</v>
      </c>
      <c r="BL153" s="38"/>
      <c r="BM153" s="3"/>
      <c r="BN153" s="3">
        <v>0</v>
      </c>
      <c r="BP153" s="3"/>
      <c r="BQ153" s="3"/>
      <c r="BS153" s="42"/>
      <c r="BT153" s="42">
        <v>0</v>
      </c>
      <c r="BU153" s="958"/>
      <c r="BV153" s="41"/>
      <c r="BW153" s="42"/>
      <c r="BX153" s="36"/>
      <c r="BY153" s="76"/>
      <c r="BZ153" s="42">
        <v>0</v>
      </c>
      <c r="CA153" s="959"/>
      <c r="CB153" s="41"/>
      <c r="CC153" s="41">
        <v>0</v>
      </c>
      <c r="CD153" s="967"/>
      <c r="CE153" s="76">
        <v>0</v>
      </c>
      <c r="CF153" s="55"/>
      <c r="CG153" s="41">
        <v>0</v>
      </c>
      <c r="CH153" s="38">
        <v>0</v>
      </c>
      <c r="CI153" s="76">
        <v>0</v>
      </c>
      <c r="CJ153" s="57"/>
      <c r="CK153" s="955"/>
      <c r="CL153" s="950"/>
      <c r="CM153" s="955"/>
      <c r="CN153" s="950">
        <v>0</v>
      </c>
      <c r="CO153" s="76">
        <v>107.20376039402515</v>
      </c>
      <c r="CP153" s="42">
        <v>0</v>
      </c>
      <c r="CQ153" s="5"/>
      <c r="CR153" s="76">
        <v>124.53291534639898</v>
      </c>
      <c r="CS153" s="954">
        <v>0</v>
      </c>
      <c r="CT153" s="5"/>
      <c r="CU153" s="76">
        <v>113.38855201587788</v>
      </c>
      <c r="CV153" s="42">
        <v>0</v>
      </c>
      <c r="CW153" s="5"/>
      <c r="CX153" s="76">
        <v>64.343823614751599</v>
      </c>
      <c r="CY153" s="42">
        <v>0</v>
      </c>
      <c r="CZ153" s="5"/>
      <c r="DA153" s="76">
        <v>22.490088794764784</v>
      </c>
      <c r="DB153" s="42">
        <v>0</v>
      </c>
      <c r="DC153" s="5"/>
      <c r="DD153" s="76">
        <v>66.615536673176337</v>
      </c>
      <c r="DE153" s="42">
        <v>0</v>
      </c>
      <c r="DF153" s="5"/>
      <c r="DG153" s="76">
        <v>39.939398527722432</v>
      </c>
      <c r="DH153" s="42"/>
      <c r="DI153" s="5"/>
      <c r="DJ153" s="42">
        <v>538.51407536671718</v>
      </c>
      <c r="DK153" s="42">
        <f t="shared" si="22"/>
        <v>0</v>
      </c>
      <c r="DL153" s="58">
        <f t="shared" si="23"/>
        <v>-538.51407536671718</v>
      </c>
      <c r="DM153" s="2">
        <v>1</v>
      </c>
    </row>
    <row r="154" spans="1:117" ht="24.9" customHeight="1" x14ac:dyDescent="0.3">
      <c r="A154" s="318">
        <v>150000833</v>
      </c>
      <c r="B154" s="44" t="s">
        <v>1766</v>
      </c>
      <c r="C154" s="956">
        <v>9</v>
      </c>
      <c r="D154" s="957" t="s">
        <v>454</v>
      </c>
      <c r="E154" s="949">
        <f>'побудинковий звіт'!E259</f>
        <v>2066.5</v>
      </c>
      <c r="F154" s="950">
        <f>'побудинковий звіт'!AS259</f>
        <v>18611.531083118145</v>
      </c>
      <c r="G154" s="950">
        <f t="shared" si="16"/>
        <v>1059.4162047011591</v>
      </c>
      <c r="H154" s="950">
        <f t="shared" si="17"/>
        <v>-17552.114878416985</v>
      </c>
      <c r="I154" s="42">
        <f>'[2]поточний ремонт'!I154+'[1]поточний ремонт'!I154</f>
        <v>0</v>
      </c>
      <c r="J154" s="42">
        <f>'[2]поточний ремонт'!J154+'[1]поточний ремонт'!J154</f>
        <v>0</v>
      </c>
      <c r="K154" s="962"/>
      <c r="L154" s="42">
        <f>'[2]поточний ремонт'!L154+'[1]поточний ремонт'!L154</f>
        <v>0</v>
      </c>
      <c r="M154" s="42">
        <f>'[2]поточний ремонт'!M154+'[1]поточний ремонт'!M154</f>
        <v>0</v>
      </c>
      <c r="N154" s="36"/>
      <c r="O154" s="42">
        <f>'[2]поточний ремонт'!O154+'[1]поточний ремонт'!O154</f>
        <v>0</v>
      </c>
      <c r="P154" s="42">
        <f>'[2]поточний ремонт'!P154+'[1]поточний ремонт'!P154</f>
        <v>0</v>
      </c>
      <c r="Q154" s="959"/>
      <c r="R154" s="42">
        <f>'[2]поточний ремонт'!R154+'[1]поточний ремонт'!R154</f>
        <v>0</v>
      </c>
      <c r="S154" s="42">
        <f>'[2]поточний ремонт'!S154+'[1]поточний ремонт'!S154</f>
        <v>0</v>
      </c>
      <c r="T154" s="967"/>
      <c r="U154" s="42">
        <f>'[2]поточний ремонт'!U154+'[1]поточний ремонт'!U154</f>
        <v>0</v>
      </c>
      <c r="V154" s="42">
        <f>'[2]поточний ремонт'!V154+'[1]поточний ремонт'!V154</f>
        <v>0</v>
      </c>
      <c r="W154" s="42">
        <f>'[2]поточний ремонт'!W154+'[1]поточний ремонт'!W154</f>
        <v>3</v>
      </c>
      <c r="X154" s="42">
        <f>'[2]поточний ремонт'!X154+'[1]поточний ремонт'!X154</f>
        <v>246.79153063759497</v>
      </c>
      <c r="Y154" s="42">
        <f>'[2]поточний ремонт'!Y154+'[1]поточний ремонт'!Y154</f>
        <v>0</v>
      </c>
      <c r="Z154" s="42">
        <f>'[2]поточний ремонт'!Z154+'[1]поточний ремонт'!Z154</f>
        <v>0</v>
      </c>
      <c r="AA154" s="42">
        <f>'[2]поточний ремонт'!AA154+'[1]поточний ремонт'!AA154</f>
        <v>0</v>
      </c>
      <c r="AB154" s="42">
        <f>'[2]поточний ремонт'!AB154+'[1]поточний ремонт'!AB154</f>
        <v>0</v>
      </c>
      <c r="AC154" s="42">
        <f>'[2]поточний ремонт'!AC154+'[1]поточний ремонт'!AC154</f>
        <v>0</v>
      </c>
      <c r="AD154" s="42">
        <f>'[2]поточний ремонт'!AD154+'[1]поточний ремонт'!AD154</f>
        <v>812.62467406356404</v>
      </c>
      <c r="AE154" s="42">
        <f>'[2]поточний ремонт'!AE154+'[1]поточний ремонт'!AE154</f>
        <v>1552.9586405849318</v>
      </c>
      <c r="AF154" s="42">
        <f>'[2]поточний ремонт'!AF154+'[1]поточний ремонт'!AF154</f>
        <v>271.65398952433094</v>
      </c>
      <c r="AG154" s="5"/>
      <c r="AH154" s="42">
        <f>'[2]поточний ремонт'!AH154+'[1]поточний ремонт'!AH154</f>
        <v>1282.723792616124</v>
      </c>
      <c r="AI154" s="42">
        <f>'[2]поточний ремонт'!AI154+'[1]поточний ремонт'!AI154</f>
        <v>0</v>
      </c>
      <c r="AJ154" s="5"/>
      <c r="AK154" s="42">
        <f>'[2]поточний ремонт'!AK154+'[1]поточний ремонт'!AK154</f>
        <v>1593.1155481570297</v>
      </c>
      <c r="AL154" s="42">
        <f>'[2]поточний ремонт'!AL154+'[1]поточний ремонт'!AL154</f>
        <v>0</v>
      </c>
      <c r="AM154" s="5"/>
      <c r="AN154" s="42">
        <f>'[2]поточний ремонт'!AN154+'[1]поточний ремонт'!AN154</f>
        <v>663.56801651203375</v>
      </c>
      <c r="AO154" s="42">
        <f>'[2]поточний ремонт'!AO154+'[1]поточний ремонт'!AO154</f>
        <v>0</v>
      </c>
      <c r="AP154" s="5"/>
      <c r="AQ154" s="42">
        <f>'[2]поточний ремонт'!AQ154+'[1]поточний ремонт'!AQ154</f>
        <v>356.35238456236465</v>
      </c>
      <c r="AR154" s="42">
        <f>'[2]поточний ремонт'!AR154+'[1]поточний ремонт'!AR154</f>
        <v>0</v>
      </c>
      <c r="AS154" s="5"/>
      <c r="AT154" s="42">
        <f>'[2]поточний ремонт'!AT154+'[1]поточний ремонт'!AT154</f>
        <v>1188.9930738093171</v>
      </c>
      <c r="AU154" s="42">
        <f>'[2]поточний ремонт'!AU154+'[1]поточний ремонт'!AU154</f>
        <v>3134.0955390085919</v>
      </c>
      <c r="AV154" s="5"/>
      <c r="AW154" s="42">
        <f>'[2]поточний ремонт'!AW154+'[1]поточний ремонт'!AW154</f>
        <v>437.74616733632473</v>
      </c>
      <c r="AX154" s="42">
        <f>'[2]поточний ремонт'!AX154+'[1]поточний ремонт'!AX154</f>
        <v>0</v>
      </c>
      <c r="AY154" s="5"/>
      <c r="AZ154" s="42">
        <f t="shared" si="18"/>
        <v>7075.457623578126</v>
      </c>
      <c r="BA154" s="42">
        <f t="shared" si="19"/>
        <v>3405.7495285329228</v>
      </c>
      <c r="BB154" s="58">
        <f t="shared" si="20"/>
        <v>-3669.7080950452032</v>
      </c>
      <c r="BD154" s="2">
        <v>1</v>
      </c>
      <c r="BF154" s="29">
        <v>222.00560750266172</v>
      </c>
      <c r="BG154" s="318">
        <v>150000833</v>
      </c>
      <c r="BI154" s="104">
        <v>0</v>
      </c>
      <c r="BJ154" s="104">
        <f t="shared" si="21"/>
        <v>0</v>
      </c>
      <c r="BK154" s="104">
        <v>0</v>
      </c>
      <c r="BL154" s="38"/>
      <c r="BM154" s="3">
        <v>3</v>
      </c>
      <c r="BN154" s="3">
        <v>246.45645239183523</v>
      </c>
      <c r="BP154" s="3"/>
      <c r="BQ154" s="3"/>
      <c r="BS154" s="42"/>
      <c r="BT154" s="42">
        <v>0</v>
      </c>
      <c r="BU154" s="962"/>
      <c r="BV154" s="41"/>
      <c r="BW154" s="42"/>
      <c r="BX154" s="36"/>
      <c r="BY154" s="76"/>
      <c r="BZ154" s="42">
        <v>0</v>
      </c>
      <c r="CA154" s="959"/>
      <c r="CB154" s="41"/>
      <c r="CC154" s="41">
        <v>0</v>
      </c>
      <c r="CD154" s="967"/>
      <c r="CE154" s="76">
        <v>0</v>
      </c>
      <c r="CF154" s="55"/>
      <c r="CG154" s="41">
        <v>3</v>
      </c>
      <c r="CH154" s="38">
        <v>246.45645239183523</v>
      </c>
      <c r="CI154" s="76">
        <v>0</v>
      </c>
      <c r="CJ154" s="964"/>
      <c r="CK154" s="955"/>
      <c r="CL154" s="950"/>
      <c r="CM154" s="955"/>
      <c r="CN154" s="950">
        <v>811.52134264233246</v>
      </c>
      <c r="CO154" s="76">
        <v>85.763008315220134</v>
      </c>
      <c r="CP154" s="42">
        <v>0</v>
      </c>
      <c r="CQ154" s="5"/>
      <c r="CR154" s="76">
        <v>92.617012840432636</v>
      </c>
      <c r="CS154" s="954">
        <v>0</v>
      </c>
      <c r="CT154" s="5"/>
      <c r="CU154" s="76">
        <v>114.95544260636071</v>
      </c>
      <c r="CV154" s="42">
        <v>0</v>
      </c>
      <c r="CW154" s="5"/>
      <c r="CX154" s="76">
        <v>55.583945133963063</v>
      </c>
      <c r="CY154" s="42">
        <v>0</v>
      </c>
      <c r="CZ154" s="5"/>
      <c r="DA154" s="76">
        <v>28.185631423854762</v>
      </c>
      <c r="DB154" s="42">
        <v>0</v>
      </c>
      <c r="DC154" s="5"/>
      <c r="DD154" s="76">
        <v>52.580945088612452</v>
      </c>
      <c r="DE154" s="42">
        <v>0</v>
      </c>
      <c r="DF154" s="5"/>
      <c r="DG154" s="76">
        <v>39.440035279691216</v>
      </c>
      <c r="DH154" s="42"/>
      <c r="DI154" s="5"/>
      <c r="DJ154" s="42">
        <v>469.12602068813499</v>
      </c>
      <c r="DK154" s="42">
        <f t="shared" si="22"/>
        <v>0</v>
      </c>
      <c r="DL154" s="58">
        <f t="shared" si="23"/>
        <v>-469.12602068813499</v>
      </c>
      <c r="DM154" s="2">
        <v>1</v>
      </c>
    </row>
    <row r="155" spans="1:117" ht="24.9" customHeight="1" x14ac:dyDescent="0.3">
      <c r="A155" s="318">
        <v>150000686</v>
      </c>
      <c r="B155" s="44" t="s">
        <v>97</v>
      </c>
      <c r="C155" s="956">
        <v>1</v>
      </c>
      <c r="D155" s="957" t="s">
        <v>454</v>
      </c>
      <c r="E155" s="949">
        <f>'побудинковий звіт'!E122</f>
        <v>452.07000000000005</v>
      </c>
      <c r="F155" s="950">
        <f>'побудинковий звіт'!AS122</f>
        <v>5089.1107133553805</v>
      </c>
      <c r="G155" s="950">
        <f t="shared" si="16"/>
        <v>0</v>
      </c>
      <c r="H155" s="950">
        <f t="shared" si="17"/>
        <v>-5089.1107133553805</v>
      </c>
      <c r="I155" s="42">
        <f>'[2]поточний ремонт'!I155+'[1]поточний ремонт'!I155</f>
        <v>0</v>
      </c>
      <c r="J155" s="42">
        <f>'[2]поточний ремонт'!J155+'[1]поточний ремонт'!J155</f>
        <v>0</v>
      </c>
      <c r="K155" s="958"/>
      <c r="L155" s="42">
        <f>'[2]поточний ремонт'!L155+'[1]поточний ремонт'!L155</f>
        <v>0</v>
      </c>
      <c r="M155" s="42">
        <f>'[2]поточний ремонт'!M155+'[1]поточний ремонт'!M155</f>
        <v>0</v>
      </c>
      <c r="N155" s="36"/>
      <c r="O155" s="42">
        <f>'[2]поточний ремонт'!O155+'[1]поточний ремонт'!O155</f>
        <v>0</v>
      </c>
      <c r="P155" s="42">
        <f>'[2]поточний ремонт'!P155+'[1]поточний ремонт'!P155</f>
        <v>0</v>
      </c>
      <c r="Q155" s="959"/>
      <c r="R155" s="42">
        <f>'[2]поточний ремонт'!R155+'[1]поточний ремонт'!R155</f>
        <v>0</v>
      </c>
      <c r="S155" s="42">
        <f>'[2]поточний ремонт'!S155+'[1]поточний ремонт'!S155</f>
        <v>0</v>
      </c>
      <c r="T155" s="960"/>
      <c r="U155" s="42">
        <f>'[2]поточний ремонт'!U155+'[1]поточний ремонт'!U155</f>
        <v>0</v>
      </c>
      <c r="V155" s="42">
        <f>'[2]поточний ремонт'!V155+'[1]поточний ремонт'!V155</f>
        <v>0</v>
      </c>
      <c r="W155" s="42">
        <f>'[2]поточний ремонт'!W155+'[1]поточний ремонт'!W155</f>
        <v>0</v>
      </c>
      <c r="X155" s="42">
        <f>'[2]поточний ремонт'!X155+'[1]поточний ремонт'!X155</f>
        <v>0</v>
      </c>
      <c r="Y155" s="42">
        <f>'[2]поточний ремонт'!Y155+'[1]поточний ремонт'!Y155</f>
        <v>0</v>
      </c>
      <c r="Z155" s="42">
        <f>'[2]поточний ремонт'!Z155+'[1]поточний ремонт'!Z155</f>
        <v>0</v>
      </c>
      <c r="AA155" s="42">
        <f>'[2]поточний ремонт'!AA155+'[1]поточний ремонт'!AA155</f>
        <v>0</v>
      </c>
      <c r="AB155" s="42">
        <f>'[2]поточний ремонт'!AB155+'[1]поточний ремонт'!AB155</f>
        <v>0</v>
      </c>
      <c r="AC155" s="42">
        <f>'[2]поточний ремонт'!AC155+'[1]поточний ремонт'!AC155</f>
        <v>0</v>
      </c>
      <c r="AD155" s="42">
        <f>'[2]поточний ремонт'!AD155+'[1]поточний ремонт'!AD155</f>
        <v>0</v>
      </c>
      <c r="AE155" s="42">
        <f>'[2]поточний ремонт'!AE155+'[1]поточний ремонт'!AE155</f>
        <v>0</v>
      </c>
      <c r="AF155" s="42">
        <f>'[2]поточний ремонт'!AF155+'[1]поточний ремонт'!AF155</f>
        <v>0</v>
      </c>
      <c r="AG155" s="5"/>
      <c r="AH155" s="42">
        <f>'[2]поточний ремонт'!AH155+'[1]поточний ремонт'!AH155</f>
        <v>0</v>
      </c>
      <c r="AI155" s="42">
        <f>'[2]поточний ремонт'!AI155+'[1]поточний ремонт'!AI155</f>
        <v>0</v>
      </c>
      <c r="AJ155" s="5"/>
      <c r="AK155" s="42">
        <f>'[2]поточний ремонт'!AK155+'[1]поточний ремонт'!AK155</f>
        <v>0</v>
      </c>
      <c r="AL155" s="42">
        <f>'[2]поточний ремонт'!AL155+'[1]поточний ремонт'!AL155</f>
        <v>0</v>
      </c>
      <c r="AM155" s="5"/>
      <c r="AN155" s="42">
        <f>'[2]поточний ремонт'!AN155+'[1]поточний ремонт'!AN155</f>
        <v>0</v>
      </c>
      <c r="AO155" s="42">
        <f>'[2]поточний ремонт'!AO155+'[1]поточний ремонт'!AO155</f>
        <v>0</v>
      </c>
      <c r="AP155" s="5"/>
      <c r="AQ155" s="42">
        <f>'[2]поточний ремонт'!AQ155+'[1]поточний ремонт'!AQ155</f>
        <v>0</v>
      </c>
      <c r="AR155" s="42">
        <f>'[2]поточний ремонт'!AR155+'[1]поточний ремонт'!AR155</f>
        <v>0</v>
      </c>
      <c r="AS155" s="5"/>
      <c r="AT155" s="42">
        <f>'[2]поточний ремонт'!AT155+'[1]поточний ремонт'!AT155</f>
        <v>0</v>
      </c>
      <c r="AU155" s="42">
        <f>'[2]поточний ремонт'!AU155+'[1]поточний ремонт'!AU155</f>
        <v>0</v>
      </c>
      <c r="AV155" s="5"/>
      <c r="AW155" s="42">
        <f>'[2]поточний ремонт'!AW155+'[1]поточний ремонт'!AW155</f>
        <v>0</v>
      </c>
      <c r="AX155" s="42">
        <f>'[2]поточний ремонт'!AX155+'[1]поточний ремонт'!AX155</f>
        <v>2388.5238380000001</v>
      </c>
      <c r="AY155" s="5"/>
      <c r="AZ155" s="42">
        <f t="shared" si="18"/>
        <v>0</v>
      </c>
      <c r="BA155" s="42">
        <f t="shared" si="19"/>
        <v>2388.5238380000001</v>
      </c>
      <c r="BB155" s="58">
        <f t="shared" si="20"/>
        <v>2388.5238380000001</v>
      </c>
      <c r="BD155" s="2">
        <v>3</v>
      </c>
      <c r="BF155" s="29">
        <v>0</v>
      </c>
      <c r="BG155" s="318">
        <v>150000686</v>
      </c>
      <c r="BI155" s="104">
        <v>0</v>
      </c>
      <c r="BJ155" s="104">
        <f t="shared" si="21"/>
        <v>0</v>
      </c>
      <c r="BK155" s="104">
        <v>0</v>
      </c>
      <c r="BL155" s="38"/>
      <c r="BM155" s="3"/>
      <c r="BN155" s="3">
        <v>0</v>
      </c>
      <c r="BP155" s="3"/>
      <c r="BQ155" s="3"/>
      <c r="BS155" s="42"/>
      <c r="BT155" s="42">
        <v>0</v>
      </c>
      <c r="BU155" s="958"/>
      <c r="BV155" s="41"/>
      <c r="BW155" s="42"/>
      <c r="BX155" s="36"/>
      <c r="BY155" s="76"/>
      <c r="BZ155" s="42">
        <v>0</v>
      </c>
      <c r="CA155" s="959"/>
      <c r="CB155" s="41">
        <v>0</v>
      </c>
      <c r="CC155" s="41">
        <v>0</v>
      </c>
      <c r="CD155" s="960"/>
      <c r="CE155" s="76">
        <v>0</v>
      </c>
      <c r="CF155" s="55"/>
      <c r="CG155" s="41">
        <v>0</v>
      </c>
      <c r="CH155" s="38">
        <v>0</v>
      </c>
      <c r="CI155" s="76">
        <v>0</v>
      </c>
      <c r="CJ155" s="55"/>
      <c r="CK155" s="955"/>
      <c r="CL155" s="950"/>
      <c r="CM155" s="955"/>
      <c r="CN155" s="950">
        <v>0</v>
      </c>
      <c r="CO155" s="76">
        <v>0</v>
      </c>
      <c r="CP155" s="42">
        <v>0</v>
      </c>
      <c r="CQ155" s="5"/>
      <c r="CR155" s="76">
        <v>0</v>
      </c>
      <c r="CS155" s="954">
        <v>0</v>
      </c>
      <c r="CT155" s="5"/>
      <c r="CU155" s="76">
        <v>0</v>
      </c>
      <c r="CV155" s="42">
        <v>0</v>
      </c>
      <c r="CW155" s="5"/>
      <c r="CX155" s="76">
        <v>0</v>
      </c>
      <c r="CY155" s="42">
        <v>0</v>
      </c>
      <c r="CZ155" s="5"/>
      <c r="DA155" s="76">
        <v>0</v>
      </c>
      <c r="DB155" s="42">
        <v>0</v>
      </c>
      <c r="DC155" s="5"/>
      <c r="DD155" s="76">
        <v>0</v>
      </c>
      <c r="DE155" s="42">
        <v>0</v>
      </c>
      <c r="DF155" s="5"/>
      <c r="DG155" s="76">
        <v>0</v>
      </c>
      <c r="DH155" s="42"/>
      <c r="DI155" s="5"/>
      <c r="DJ155" s="42">
        <v>0</v>
      </c>
      <c r="DK155" s="42">
        <f t="shared" si="22"/>
        <v>0</v>
      </c>
      <c r="DL155" s="58">
        <f t="shared" si="23"/>
        <v>0</v>
      </c>
      <c r="DM155" s="2">
        <v>3</v>
      </c>
    </row>
    <row r="156" spans="1:117" ht="24.9" customHeight="1" x14ac:dyDescent="0.3">
      <c r="A156" s="318">
        <v>150000796</v>
      </c>
      <c r="B156" s="44" t="s">
        <v>98</v>
      </c>
      <c r="C156" s="956">
        <v>1</v>
      </c>
      <c r="D156" s="957" t="s">
        <v>454</v>
      </c>
      <c r="E156" s="949">
        <f>'побудинковий звіт'!E123</f>
        <v>378.8</v>
      </c>
      <c r="F156" s="950">
        <f>'побудинковий звіт'!AS123</f>
        <v>6200.1374381722599</v>
      </c>
      <c r="G156" s="950">
        <f t="shared" si="16"/>
        <v>0</v>
      </c>
      <c r="H156" s="950">
        <f t="shared" si="17"/>
        <v>-6200.1374381722599</v>
      </c>
      <c r="I156" s="42">
        <f>'[2]поточний ремонт'!I156+'[1]поточний ремонт'!I156</f>
        <v>0</v>
      </c>
      <c r="J156" s="42">
        <f>'[2]поточний ремонт'!J156+'[1]поточний ремонт'!J156</f>
        <v>0</v>
      </c>
      <c r="K156" s="958"/>
      <c r="L156" s="42">
        <f>'[2]поточний ремонт'!L156+'[1]поточний ремонт'!L156</f>
        <v>0</v>
      </c>
      <c r="M156" s="42">
        <f>'[2]поточний ремонт'!M156+'[1]поточний ремонт'!M156</f>
        <v>0</v>
      </c>
      <c r="N156" s="36"/>
      <c r="O156" s="42">
        <f>'[2]поточний ремонт'!O156+'[1]поточний ремонт'!O156</f>
        <v>0</v>
      </c>
      <c r="P156" s="42">
        <f>'[2]поточний ремонт'!P156+'[1]поточний ремонт'!P156</f>
        <v>0</v>
      </c>
      <c r="Q156" s="959"/>
      <c r="R156" s="42">
        <f>'[2]поточний ремонт'!R156+'[1]поточний ремонт'!R156</f>
        <v>0</v>
      </c>
      <c r="S156" s="42">
        <f>'[2]поточний ремонт'!S156+'[1]поточний ремонт'!S156</f>
        <v>0</v>
      </c>
      <c r="T156" s="960"/>
      <c r="U156" s="42">
        <f>'[2]поточний ремонт'!U156+'[1]поточний ремонт'!U156</f>
        <v>0</v>
      </c>
      <c r="V156" s="42">
        <f>'[2]поточний ремонт'!V156+'[1]поточний ремонт'!V156</f>
        <v>0</v>
      </c>
      <c r="W156" s="42">
        <f>'[2]поточний ремонт'!W156+'[1]поточний ремонт'!W156</f>
        <v>0</v>
      </c>
      <c r="X156" s="42">
        <f>'[2]поточний ремонт'!X156+'[1]поточний ремонт'!X156</f>
        <v>0</v>
      </c>
      <c r="Y156" s="42">
        <f>'[2]поточний ремонт'!Y156+'[1]поточний ремонт'!Y156</f>
        <v>0</v>
      </c>
      <c r="Z156" s="42">
        <f>'[2]поточний ремонт'!Z156+'[1]поточний ремонт'!Z156</f>
        <v>0</v>
      </c>
      <c r="AA156" s="42">
        <f>'[2]поточний ремонт'!AA156+'[1]поточний ремонт'!AA156</f>
        <v>0</v>
      </c>
      <c r="AB156" s="42">
        <f>'[2]поточний ремонт'!AB156+'[1]поточний ремонт'!AB156</f>
        <v>0</v>
      </c>
      <c r="AC156" s="42">
        <f>'[2]поточний ремонт'!AC156+'[1]поточний ремонт'!AC156</f>
        <v>0</v>
      </c>
      <c r="AD156" s="42">
        <f>'[2]поточний ремонт'!AD156+'[1]поточний ремонт'!AD156</f>
        <v>0</v>
      </c>
      <c r="AE156" s="42">
        <f>'[2]поточний ремонт'!AE156+'[1]поточний ремонт'!AE156</f>
        <v>0</v>
      </c>
      <c r="AF156" s="42">
        <f>'[2]поточний ремонт'!AF156+'[1]поточний ремонт'!AF156</f>
        <v>0</v>
      </c>
      <c r="AG156" s="5"/>
      <c r="AH156" s="42">
        <f>'[2]поточний ремонт'!AH156+'[1]поточний ремонт'!AH156</f>
        <v>0</v>
      </c>
      <c r="AI156" s="42">
        <f>'[2]поточний ремонт'!AI156+'[1]поточний ремонт'!AI156</f>
        <v>0</v>
      </c>
      <c r="AJ156" s="5"/>
      <c r="AK156" s="42">
        <f>'[2]поточний ремонт'!AK156+'[1]поточний ремонт'!AK156</f>
        <v>91.780013363868434</v>
      </c>
      <c r="AL156" s="42">
        <f>'[2]поточний ремонт'!AL156+'[1]поточний ремонт'!AL156</f>
        <v>0</v>
      </c>
      <c r="AM156" s="5"/>
      <c r="AN156" s="42">
        <f>'[2]поточний ремонт'!AN156+'[1]поточний ремонт'!AN156</f>
        <v>0</v>
      </c>
      <c r="AO156" s="42">
        <f>'[2]поточний ремонт'!AO156+'[1]поточний ремонт'!AO156</f>
        <v>0</v>
      </c>
      <c r="AP156" s="5"/>
      <c r="AQ156" s="42">
        <f>'[2]поточний ремонт'!AQ156+'[1]поточний ремонт'!AQ156</f>
        <v>0</v>
      </c>
      <c r="AR156" s="42">
        <f>'[2]поточний ремонт'!AR156+'[1]поточний ремонт'!AR156</f>
        <v>0</v>
      </c>
      <c r="AS156" s="5"/>
      <c r="AT156" s="42">
        <f>'[2]поточний ремонт'!AT156+'[1]поточний ремонт'!AT156</f>
        <v>0</v>
      </c>
      <c r="AU156" s="42">
        <f>'[2]поточний ремонт'!AU156+'[1]поточний ремонт'!AU156</f>
        <v>0</v>
      </c>
      <c r="AV156" s="5"/>
      <c r="AW156" s="42">
        <f>'[2]поточний ремонт'!AW156+'[1]поточний ремонт'!AW156</f>
        <v>0</v>
      </c>
      <c r="AX156" s="42">
        <f>'[2]поточний ремонт'!AX156+'[1]поточний ремонт'!AX156</f>
        <v>0</v>
      </c>
      <c r="AY156" s="5"/>
      <c r="AZ156" s="42">
        <f t="shared" si="18"/>
        <v>91.780013363868434</v>
      </c>
      <c r="BA156" s="42">
        <f t="shared" si="19"/>
        <v>0</v>
      </c>
      <c r="BB156" s="58">
        <f t="shared" si="20"/>
        <v>-91.780013363868434</v>
      </c>
      <c r="BD156" s="2">
        <v>3</v>
      </c>
      <c r="BF156" s="29">
        <v>0</v>
      </c>
      <c r="BG156" s="318">
        <v>150000796</v>
      </c>
      <c r="BI156" s="104">
        <v>0</v>
      </c>
      <c r="BJ156" s="104">
        <f t="shared" si="21"/>
        <v>0</v>
      </c>
      <c r="BK156" s="104">
        <v>0</v>
      </c>
      <c r="BL156" s="38"/>
      <c r="BM156" s="3"/>
      <c r="BN156" s="3">
        <v>0</v>
      </c>
      <c r="BP156" s="3"/>
      <c r="BQ156" s="3"/>
      <c r="BS156" s="42"/>
      <c r="BT156" s="42">
        <v>0</v>
      </c>
      <c r="BU156" s="958"/>
      <c r="BV156" s="41"/>
      <c r="BW156" s="42"/>
      <c r="BX156" s="36"/>
      <c r="BY156" s="76"/>
      <c r="BZ156" s="42">
        <v>0</v>
      </c>
      <c r="CA156" s="959"/>
      <c r="CB156" s="41">
        <v>0</v>
      </c>
      <c r="CC156" s="41">
        <v>0</v>
      </c>
      <c r="CD156" s="960"/>
      <c r="CE156" s="76">
        <v>0</v>
      </c>
      <c r="CF156" s="55"/>
      <c r="CG156" s="41">
        <v>0</v>
      </c>
      <c r="CH156" s="38">
        <v>0</v>
      </c>
      <c r="CI156" s="76">
        <v>0</v>
      </c>
      <c r="CJ156" s="55"/>
      <c r="CK156" s="955"/>
      <c r="CL156" s="950"/>
      <c r="CM156" s="955"/>
      <c r="CN156" s="950">
        <v>0</v>
      </c>
      <c r="CO156" s="76">
        <v>0</v>
      </c>
      <c r="CP156" s="42">
        <v>0</v>
      </c>
      <c r="CQ156" s="5"/>
      <c r="CR156" s="76">
        <v>0</v>
      </c>
      <c r="CS156" s="954">
        <v>0</v>
      </c>
      <c r="CT156" s="5"/>
      <c r="CU156" s="76">
        <v>5.4206943924622211</v>
      </c>
      <c r="CV156" s="42">
        <v>0</v>
      </c>
      <c r="CW156" s="5"/>
      <c r="CX156" s="76">
        <v>0</v>
      </c>
      <c r="CY156" s="42">
        <v>0</v>
      </c>
      <c r="CZ156" s="5"/>
      <c r="DA156" s="76">
        <v>0</v>
      </c>
      <c r="DB156" s="42">
        <v>0</v>
      </c>
      <c r="DC156" s="5"/>
      <c r="DD156" s="76">
        <v>0</v>
      </c>
      <c r="DE156" s="42">
        <v>0</v>
      </c>
      <c r="DF156" s="5"/>
      <c r="DG156" s="76">
        <v>0</v>
      </c>
      <c r="DH156" s="42"/>
      <c r="DI156" s="5"/>
      <c r="DJ156" s="42">
        <v>5.4206943924622211</v>
      </c>
      <c r="DK156" s="42">
        <f t="shared" si="22"/>
        <v>0</v>
      </c>
      <c r="DL156" s="58">
        <f t="shared" si="23"/>
        <v>-5.4206943924622211</v>
      </c>
      <c r="DM156" s="2">
        <v>3</v>
      </c>
    </row>
    <row r="157" spans="1:117" ht="24.9" customHeight="1" x14ac:dyDescent="0.3">
      <c r="A157" s="318">
        <v>150001008</v>
      </c>
      <c r="B157" s="44" t="s">
        <v>211</v>
      </c>
      <c r="C157" s="956">
        <v>4</v>
      </c>
      <c r="D157" s="957" t="s">
        <v>454</v>
      </c>
      <c r="E157" s="949">
        <f>'побудинковий звіт'!E124</f>
        <v>766.3</v>
      </c>
      <c r="F157" s="950">
        <f>'побудинковий звіт'!AS124</f>
        <v>13683.317676131011</v>
      </c>
      <c r="G157" s="950">
        <f t="shared" si="16"/>
        <v>6602.1892613360724</v>
      </c>
      <c r="H157" s="950">
        <f t="shared" si="17"/>
        <v>-7081.1284147949391</v>
      </c>
      <c r="I157" s="42">
        <f>'[2]поточний ремонт'!I157+'[1]поточний ремонт'!I157</f>
        <v>0</v>
      </c>
      <c r="J157" s="42">
        <f>'[2]поточний ремонт'!J157+'[1]поточний ремонт'!J157</f>
        <v>0</v>
      </c>
      <c r="K157" s="958"/>
      <c r="L157" s="42">
        <f>'[2]поточний ремонт'!L157+'[1]поточний ремонт'!L157</f>
        <v>0</v>
      </c>
      <c r="M157" s="42">
        <f>'[2]поточний ремонт'!M157+'[1]поточний ремонт'!M157</f>
        <v>0</v>
      </c>
      <c r="N157" s="36"/>
      <c r="O157" s="42">
        <f>'[2]поточний ремонт'!O157+'[1]поточний ремонт'!O157</f>
        <v>0</v>
      </c>
      <c r="P157" s="42">
        <f>'[2]поточний ремонт'!P157+'[1]поточний ремонт'!P157</f>
        <v>0</v>
      </c>
      <c r="Q157" s="959"/>
      <c r="R157" s="42">
        <f>'[2]поточний ремонт'!R157+'[1]поточний ремонт'!R157</f>
        <v>0</v>
      </c>
      <c r="S157" s="42">
        <f>'[2]поточний ремонт'!S157+'[1]поточний ремонт'!S157</f>
        <v>0</v>
      </c>
      <c r="T157" s="960"/>
      <c r="U157" s="42">
        <f>'[2]поточний ремонт'!U157+'[1]поточний ремонт'!U157</f>
        <v>0</v>
      </c>
      <c r="V157" s="42">
        <f>'[2]поточний ремонт'!V157+'[1]поточний ремонт'!V157</f>
        <v>0</v>
      </c>
      <c r="W157" s="42">
        <f>'[2]поточний ремонт'!W157+'[1]поточний ремонт'!W157</f>
        <v>0</v>
      </c>
      <c r="X157" s="42">
        <f>'[2]поточний ремонт'!X157+'[1]поточний ремонт'!X157</f>
        <v>6036.3772473925337</v>
      </c>
      <c r="Y157" s="42">
        <f>'[2]поточний ремонт'!Y157+'[1]поточний ремонт'!Y157</f>
        <v>0</v>
      </c>
      <c r="Z157" s="42">
        <f>'[2]поточний ремонт'!Z157+'[1]поточний ремонт'!Z157</f>
        <v>0</v>
      </c>
      <c r="AA157" s="42">
        <f>'[2]поточний ремонт'!AA157+'[1]поточний ремонт'!AA157</f>
        <v>0</v>
      </c>
      <c r="AB157" s="42">
        <f>'[2]поточний ремонт'!AB157+'[1]поточний ремонт'!AB157</f>
        <v>0</v>
      </c>
      <c r="AC157" s="42">
        <f>'[2]поточний ремонт'!AC157+'[1]поточний ремонт'!AC157</f>
        <v>565.81201394353832</v>
      </c>
      <c r="AD157" s="42">
        <f>'[2]поточний ремонт'!AD157+'[1]поточний ремонт'!AD157</f>
        <v>0</v>
      </c>
      <c r="AE157" s="42">
        <f>'[2]поточний ремонт'!AE157+'[1]поточний ремонт'!AE157</f>
        <v>890.88829476481055</v>
      </c>
      <c r="AF157" s="42">
        <f>'[2]поточний ремонт'!AF157+'[1]поточний ремонт'!AF157</f>
        <v>0</v>
      </c>
      <c r="AG157" s="5"/>
      <c r="AH157" s="42">
        <f>'[2]поточний ремонт'!AH157+'[1]поточний ремонт'!AH157</f>
        <v>1141.2604514294317</v>
      </c>
      <c r="AI157" s="42">
        <f>'[2]поточний ремонт'!AI157+'[1]поточний ремонт'!AI157</f>
        <v>0</v>
      </c>
      <c r="AJ157" s="5"/>
      <c r="AK157" s="42">
        <f>'[2]поточний ремонт'!AK157+'[1]поточний ремонт'!AK157</f>
        <v>1129.9862821108541</v>
      </c>
      <c r="AL157" s="42">
        <f>'[2]поточний ремонт'!AL157+'[1]поточний ремонт'!AL157</f>
        <v>0</v>
      </c>
      <c r="AM157" s="5"/>
      <c r="AN157" s="42">
        <f>'[2]поточний ремонт'!AN157+'[1]поточний ремонт'!AN157</f>
        <v>0</v>
      </c>
      <c r="AO157" s="42">
        <f>'[2]поточний ремонт'!AO157+'[1]поточний ремонт'!AO157</f>
        <v>0</v>
      </c>
      <c r="AP157" s="5"/>
      <c r="AQ157" s="42">
        <f>'[2]поточний ремонт'!AQ157+'[1]поточний ремонт'!AQ157</f>
        <v>66.163852782859806</v>
      </c>
      <c r="AR157" s="42">
        <f>'[2]поточний ремонт'!AR157+'[1]поточний ремонт'!AR157</f>
        <v>0</v>
      </c>
      <c r="AS157" s="5"/>
      <c r="AT157" s="42">
        <f>'[2]поточний ремонт'!AT157+'[1]поточний ремонт'!AT157</f>
        <v>379.57565502973534</v>
      </c>
      <c r="AU157" s="42">
        <f>'[2]поточний ремонт'!AU157+'[1]поточний ремонт'!AU157</f>
        <v>0</v>
      </c>
      <c r="AV157" s="5"/>
      <c r="AW157" s="42">
        <f>'[2]поточний ремонт'!AW157+'[1]поточний ремонт'!AW157</f>
        <v>77.611529014578963</v>
      </c>
      <c r="AX157" s="42">
        <f>'[2]поточний ремонт'!AX157+'[1]поточний ремонт'!AX157</f>
        <v>0</v>
      </c>
      <c r="AY157" s="5"/>
      <c r="AZ157" s="42">
        <f t="shared" si="18"/>
        <v>3685.4860651322706</v>
      </c>
      <c r="BA157" s="42">
        <f t="shared" si="19"/>
        <v>0</v>
      </c>
      <c r="BB157" s="58">
        <f t="shared" si="20"/>
        <v>-3685.4860651322706</v>
      </c>
      <c r="BD157" s="2">
        <v>2</v>
      </c>
      <c r="BF157" s="29">
        <v>2.1698085369011539</v>
      </c>
      <c r="BG157" s="318">
        <v>150001008</v>
      </c>
      <c r="BI157" s="104">
        <v>442.51</v>
      </c>
      <c r="BJ157" s="104">
        <f t="shared" si="21"/>
        <v>62.24443012199999</v>
      </c>
      <c r="BK157" s="104">
        <v>510.34049758795999</v>
      </c>
      <c r="BL157" s="38"/>
      <c r="BM157" s="3"/>
      <c r="BN157" s="3">
        <v>0</v>
      </c>
      <c r="BP157" s="3"/>
      <c r="BQ157" s="3"/>
      <c r="BS157" s="42"/>
      <c r="BT157" s="42">
        <v>0</v>
      </c>
      <c r="BU157" s="958"/>
      <c r="BV157" s="41"/>
      <c r="BW157" s="42"/>
      <c r="BX157" s="36"/>
      <c r="BY157" s="76"/>
      <c r="BZ157" s="42">
        <v>0</v>
      </c>
      <c r="CA157" s="959"/>
      <c r="CB157" s="41"/>
      <c r="CC157" s="41">
        <v>0</v>
      </c>
      <c r="CD157" s="960"/>
      <c r="CE157" s="76">
        <v>0</v>
      </c>
      <c r="CF157" s="55"/>
      <c r="CG157" s="41">
        <v>0</v>
      </c>
      <c r="CH157" s="38">
        <v>510.34049758795999</v>
      </c>
      <c r="CI157" s="76">
        <v>0</v>
      </c>
      <c r="CJ157" s="55"/>
      <c r="CK157" s="955"/>
      <c r="CL157" s="950"/>
      <c r="CM157" s="955"/>
      <c r="CN157" s="950">
        <v>0</v>
      </c>
      <c r="CO157" s="76">
        <v>71.703338001730486</v>
      </c>
      <c r="CP157" s="42">
        <v>0</v>
      </c>
      <c r="CQ157" s="5"/>
      <c r="CR157" s="76">
        <v>97.881167455611291</v>
      </c>
      <c r="CS157" s="954">
        <v>0</v>
      </c>
      <c r="CT157" s="5"/>
      <c r="CU157" s="76">
        <v>97.915358698750211</v>
      </c>
      <c r="CV157" s="42">
        <v>0</v>
      </c>
      <c r="CW157" s="5"/>
      <c r="CX157" s="76">
        <v>0</v>
      </c>
      <c r="CY157" s="42">
        <v>0</v>
      </c>
      <c r="CZ157" s="5"/>
      <c r="DA157" s="76">
        <v>0</v>
      </c>
      <c r="DB157" s="42">
        <v>0</v>
      </c>
      <c r="DC157" s="5"/>
      <c r="DD157" s="76">
        <v>29.121055930900873</v>
      </c>
      <c r="DE157" s="42">
        <v>0</v>
      </c>
      <c r="DF157" s="5"/>
      <c r="DG157" s="76">
        <v>0</v>
      </c>
      <c r="DH157" s="42"/>
      <c r="DI157" s="5"/>
      <c r="DJ157" s="42">
        <v>296.62092008699284</v>
      </c>
      <c r="DK157" s="42">
        <f t="shared" si="22"/>
        <v>0</v>
      </c>
      <c r="DL157" s="58">
        <f t="shared" si="23"/>
        <v>-296.62092008699284</v>
      </c>
      <c r="DM157" s="2">
        <v>2</v>
      </c>
    </row>
    <row r="158" spans="1:117" ht="24.9" customHeight="1" x14ac:dyDescent="0.3">
      <c r="A158" s="318">
        <v>150001033</v>
      </c>
      <c r="B158" s="44" t="s">
        <v>362</v>
      </c>
      <c r="C158" s="956">
        <v>9</v>
      </c>
      <c r="D158" s="957" t="s">
        <v>454</v>
      </c>
      <c r="E158" s="949">
        <f>'побудинковий звіт'!E125</f>
        <v>994.80000000000007</v>
      </c>
      <c r="F158" s="950">
        <f>'побудинковий звіт'!AS125</f>
        <v>11836.992986557631</v>
      </c>
      <c r="G158" s="950">
        <f t="shared" si="16"/>
        <v>166144.22364315708</v>
      </c>
      <c r="H158" s="950">
        <f t="shared" si="17"/>
        <v>154307.23065659945</v>
      </c>
      <c r="I158" s="42">
        <f>'[2]поточний ремонт'!I158+'[1]поточний ремонт'!I158</f>
        <v>0</v>
      </c>
      <c r="J158" s="42">
        <f>'[2]поточний ремонт'!J158+'[1]поточний ремонт'!J158</f>
        <v>0</v>
      </c>
      <c r="K158" s="958"/>
      <c r="L158" s="42">
        <f>'[2]поточний ремонт'!L158+'[1]поточний ремонт'!L158</f>
        <v>0</v>
      </c>
      <c r="M158" s="42">
        <f>'[2]поточний ремонт'!M158+'[1]поточний ремонт'!M158</f>
        <v>0</v>
      </c>
      <c r="N158" s="36"/>
      <c r="O158" s="42">
        <f>'[2]поточний ремонт'!O158+'[1]поточний ремонт'!O158</f>
        <v>0</v>
      </c>
      <c r="P158" s="42">
        <f>'[2]поточний ремонт'!P158+'[1]поточний ремонт'!P158</f>
        <v>0</v>
      </c>
      <c r="Q158" s="959"/>
      <c r="R158" s="42">
        <f>'[2]поточний ремонт'!R158+'[1]поточний ремонт'!R158</f>
        <v>6</v>
      </c>
      <c r="S158" s="42">
        <f>'[2]поточний ремонт'!S158+'[1]поточний ремонт'!S158</f>
        <v>152260.44115863141</v>
      </c>
      <c r="T158" s="967"/>
      <c r="U158" s="42">
        <f>'[2]поточний ремонт'!U158+'[1]поточний ремонт'!U158</f>
        <v>406.57322985824641</v>
      </c>
      <c r="V158" s="42">
        <f>'[2]поточний ремонт'!V158+'[1]поточний ремонт'!V158</f>
        <v>0</v>
      </c>
      <c r="W158" s="42">
        <f>'[2]поточний ремонт'!W158+'[1]поточний ремонт'!W158</f>
        <v>0</v>
      </c>
      <c r="X158" s="42">
        <f>'[2]поточний ремонт'!X158+'[1]поточний ремонт'!X158</f>
        <v>2275.8066620430895</v>
      </c>
      <c r="Y158" s="42">
        <f>'[2]поточний ремонт'!Y158+'[1]поточний ремонт'!Y158</f>
        <v>1710.1832111045073</v>
      </c>
      <c r="Z158" s="42">
        <f>'[2]поточний ремонт'!Z158+'[1]поточний ремонт'!Z158</f>
        <v>0</v>
      </c>
      <c r="AA158" s="42">
        <f>'[2]поточний ремонт'!AA158+'[1]поточний ремонт'!AA158</f>
        <v>0</v>
      </c>
      <c r="AB158" s="42">
        <f>'[2]поточний ремонт'!AB158+'[1]поточний ремонт'!AB158</f>
        <v>974.11284754905523</v>
      </c>
      <c r="AC158" s="42">
        <f>'[2]поточний ремонт'!AC158+'[1]поточний ремонт'!AC158</f>
        <v>206.40534848596172</v>
      </c>
      <c r="AD158" s="42">
        <f>'[2]поточний ремонт'!AD158+'[1]поточний ремонт'!AD158</f>
        <v>8310.701185484786</v>
      </c>
      <c r="AE158" s="42">
        <f>'[2]поточний ремонт'!AE158+'[1]поточний ремонт'!AE158</f>
        <v>1221.0183647528381</v>
      </c>
      <c r="AF158" s="42">
        <f>'[2]поточний ремонт'!AF158+'[1]поточний ремонт'!AF158</f>
        <v>527.72371755561187</v>
      </c>
      <c r="AG158" s="5"/>
      <c r="AH158" s="42">
        <f>'[2]поточний ремонт'!AH158+'[1]поточний ремонт'!AH158</f>
        <v>1377.8926922107009</v>
      </c>
      <c r="AI158" s="42">
        <f>'[2]поточний ремонт'!AI158+'[1]поточний ремонт'!AI158</f>
        <v>0</v>
      </c>
      <c r="AJ158" s="5"/>
      <c r="AK158" s="42">
        <f>'[2]поточний ремонт'!AK158+'[1]поточний ремонт'!AK158</f>
        <v>1638.9737565494745</v>
      </c>
      <c r="AL158" s="42">
        <f>'[2]поточний ремонт'!AL158+'[1]поточний ремонт'!AL158</f>
        <v>380.93953441624404</v>
      </c>
      <c r="AM158" s="5"/>
      <c r="AN158" s="42">
        <f>'[2]поточний ремонт'!AN158+'[1]поточний ремонт'!AN158</f>
        <v>555.61324460119158</v>
      </c>
      <c r="AO158" s="42">
        <f>'[2]поточний ремонт'!AO158+'[1]поточний ремонт'!AO158</f>
        <v>0</v>
      </c>
      <c r="AP158" s="5"/>
      <c r="AQ158" s="42">
        <f>'[2]поточний ремонт'!AQ158+'[1]поточний ремонт'!AQ158</f>
        <v>459.91828950983103</v>
      </c>
      <c r="AR158" s="42">
        <f>'[2]поточний ремонт'!AR158+'[1]поточний ремонт'!AR158</f>
        <v>0</v>
      </c>
      <c r="AS158" s="5"/>
      <c r="AT158" s="42">
        <f>'[2]поточний ремонт'!AT158+'[1]поточний ремонт'!AT158</f>
        <v>1204.1765611589346</v>
      </c>
      <c r="AU158" s="42">
        <f>'[2]поточний ремонт'!AU158+'[1]поточний ремонт'!AU158</f>
        <v>18338.64421050945</v>
      </c>
      <c r="AV158" s="5"/>
      <c r="AW158" s="42">
        <f>'[2]поточний ремонт'!AW158+'[1]поточний ремонт'!AW158</f>
        <v>423.78336757597435</v>
      </c>
      <c r="AX158" s="42">
        <f>'[2]поточний ремонт'!AX158+'[1]поточний ремонт'!AX158</f>
        <v>0</v>
      </c>
      <c r="AY158" s="5"/>
      <c r="AZ158" s="42">
        <f t="shared" si="18"/>
        <v>6881.3762763589457</v>
      </c>
      <c r="BA158" s="42">
        <f t="shared" si="19"/>
        <v>19247.307462481305</v>
      </c>
      <c r="BB158" s="58">
        <f t="shared" si="20"/>
        <v>12365.93118612236</v>
      </c>
      <c r="BD158" s="2">
        <v>1</v>
      </c>
      <c r="BF158" s="29">
        <v>188.00003487136451</v>
      </c>
      <c r="BG158" s="318">
        <v>150001033</v>
      </c>
      <c r="BI158" s="104">
        <v>24.2</v>
      </c>
      <c r="BJ158" s="104">
        <f t="shared" si="21"/>
        <v>3.4040252399999997</v>
      </c>
      <c r="BK158" s="104">
        <v>27.9095162632</v>
      </c>
      <c r="BL158" s="38"/>
      <c r="BM158" s="3"/>
      <c r="BN158" s="3">
        <v>0</v>
      </c>
      <c r="BP158" s="3"/>
      <c r="BQ158" s="3"/>
      <c r="BS158" s="42"/>
      <c r="BT158" s="42">
        <v>0</v>
      </c>
      <c r="BU158" s="958"/>
      <c r="BV158" s="41"/>
      <c r="BW158" s="42"/>
      <c r="BX158" s="36"/>
      <c r="BY158" s="76"/>
      <c r="BZ158" s="42">
        <v>0</v>
      </c>
      <c r="CA158" s="959"/>
      <c r="CB158" s="41">
        <v>3</v>
      </c>
      <c r="CC158" s="41">
        <v>138864.01524754686</v>
      </c>
      <c r="CD158" s="967"/>
      <c r="CE158" s="76">
        <v>406.02120992351928</v>
      </c>
      <c r="CF158" s="55"/>
      <c r="CG158" s="41">
        <v>0</v>
      </c>
      <c r="CH158" s="38">
        <v>27.9095162632</v>
      </c>
      <c r="CI158" s="76">
        <v>0</v>
      </c>
      <c r="CJ158" s="55"/>
      <c r="CK158" s="955"/>
      <c r="CL158" s="950"/>
      <c r="CM158" s="955"/>
      <c r="CN158" s="950">
        <v>413.69229442551807</v>
      </c>
      <c r="CO158" s="76">
        <v>80.717994695241828</v>
      </c>
      <c r="CP158" s="42">
        <v>0</v>
      </c>
      <c r="CQ158" s="5"/>
      <c r="CR158" s="76">
        <v>108.42626074874063</v>
      </c>
      <c r="CS158" s="954">
        <v>0</v>
      </c>
      <c r="CT158" s="5"/>
      <c r="CU158" s="76">
        <v>122.57084240676906</v>
      </c>
      <c r="CV158" s="42">
        <v>0</v>
      </c>
      <c r="CW158" s="5"/>
      <c r="CX158" s="76">
        <v>49.752047607067865</v>
      </c>
      <c r="CY158" s="42">
        <v>0</v>
      </c>
      <c r="CZ158" s="5"/>
      <c r="DA158" s="76">
        <v>32.980617657691397</v>
      </c>
      <c r="DB158" s="42">
        <v>0</v>
      </c>
      <c r="DC158" s="5"/>
      <c r="DD158" s="76">
        <v>71.995324683650708</v>
      </c>
      <c r="DE158" s="42">
        <v>0</v>
      </c>
      <c r="DF158" s="5"/>
      <c r="DG158" s="76">
        <v>32.907787758409334</v>
      </c>
      <c r="DH158" s="42"/>
      <c r="DI158" s="5"/>
      <c r="DJ158" s="42">
        <v>499.35087555757076</v>
      </c>
      <c r="DK158" s="42">
        <f t="shared" si="22"/>
        <v>0</v>
      </c>
      <c r="DL158" s="58">
        <f t="shared" si="23"/>
        <v>-499.35087555757076</v>
      </c>
      <c r="DM158" s="2">
        <v>1</v>
      </c>
    </row>
    <row r="159" spans="1:117" ht="24.9" customHeight="1" x14ac:dyDescent="0.3">
      <c r="A159" s="318">
        <v>150001009</v>
      </c>
      <c r="B159" s="44" t="s">
        <v>212</v>
      </c>
      <c r="C159" s="956">
        <v>4</v>
      </c>
      <c r="D159" s="957" t="s">
        <v>454</v>
      </c>
      <c r="E159" s="949">
        <f>'побудинковий звіт'!E126</f>
        <v>598.30999999999995</v>
      </c>
      <c r="F159" s="950">
        <f>'побудинковий звіт'!AS126</f>
        <v>8849.7602256286627</v>
      </c>
      <c r="G159" s="950">
        <f t="shared" si="16"/>
        <v>101165.30043347427</v>
      </c>
      <c r="H159" s="950">
        <f t="shared" si="17"/>
        <v>92315.54020784561</v>
      </c>
      <c r="I159" s="42">
        <f>'[2]поточний ремонт'!I159+'[1]поточний ремонт'!I159</f>
        <v>128</v>
      </c>
      <c r="J159" s="42">
        <f>'[2]поточний ремонт'!J159+'[1]поточний ремонт'!J159</f>
        <v>99530.839845672555</v>
      </c>
      <c r="K159" s="962"/>
      <c r="L159" s="42">
        <f>'[2]поточний ремонт'!L159+'[1]поточний ремонт'!L159</f>
        <v>0</v>
      </c>
      <c r="M159" s="42">
        <f>'[2]поточний ремонт'!M159+'[1]поточний ремонт'!M159</f>
        <v>0</v>
      </c>
      <c r="N159" s="36"/>
      <c r="O159" s="42">
        <f>'[2]поточний ремонт'!O159+'[1]поточний ремонт'!O159</f>
        <v>0</v>
      </c>
      <c r="P159" s="42">
        <f>'[2]поточний ремонт'!P159+'[1]поточний ремонт'!P159</f>
        <v>0</v>
      </c>
      <c r="Q159" s="959"/>
      <c r="R159" s="42">
        <f>'[2]поточний ремонт'!R159+'[1]поточний ремонт'!R159</f>
        <v>0</v>
      </c>
      <c r="S159" s="42">
        <f>'[2]поточний ремонт'!S159+'[1]поточний ремонт'!S159</f>
        <v>0</v>
      </c>
      <c r="T159" s="960"/>
      <c r="U159" s="42">
        <f>'[2]поточний ремонт'!U159+'[1]поточний ремонт'!U159</f>
        <v>0</v>
      </c>
      <c r="V159" s="42">
        <f>'[2]поточний ремонт'!V159+'[1]поточний ремонт'!V159</f>
        <v>0</v>
      </c>
      <c r="W159" s="42">
        <f>'[2]поточний ремонт'!W159+'[1]поточний ремонт'!W159</f>
        <v>0</v>
      </c>
      <c r="X159" s="42">
        <f>'[2]поточний ремонт'!X159+'[1]поточний ремонт'!X159</f>
        <v>0</v>
      </c>
      <c r="Y159" s="42">
        <f>'[2]поточний ремонт'!Y159+'[1]поточний ремонт'!Y159</f>
        <v>0</v>
      </c>
      <c r="Z159" s="42">
        <f>'[2]поточний ремонт'!Z159+'[1]поточний ремонт'!Z159</f>
        <v>0</v>
      </c>
      <c r="AA159" s="42">
        <f>'[2]поточний ремонт'!AA159+'[1]поточний ремонт'!AA159</f>
        <v>0</v>
      </c>
      <c r="AB159" s="42">
        <f>'[2]поточний ремонт'!AB159+'[1]поточний ремонт'!AB159</f>
        <v>1246.6926820617689</v>
      </c>
      <c r="AC159" s="42">
        <f>'[2]поточний ремонт'!AC159+'[1]поточний ремонт'!AC159</f>
        <v>387.76790573994549</v>
      </c>
      <c r="AD159" s="42">
        <f>'[2]поточний ремонт'!AD159+'[1]поточний ремонт'!AD159</f>
        <v>0</v>
      </c>
      <c r="AE159" s="42">
        <f>'[2]поточний ремонт'!AE159+'[1]поточний ремонт'!AE159</f>
        <v>889.58170013839435</v>
      </c>
      <c r="AF159" s="42">
        <f>'[2]поточний ремонт'!AF159+'[1]поточний ремонт'!AF159</f>
        <v>825.81534884054884</v>
      </c>
      <c r="AG159" s="5"/>
      <c r="AH159" s="42">
        <f>'[2]поточний ремонт'!AH159+'[1]поточний ремонт'!AH159</f>
        <v>1141.2604514294317</v>
      </c>
      <c r="AI159" s="42">
        <f>'[2]поточний ремонт'!AI159+'[1]поточний ремонт'!AI159</f>
        <v>0</v>
      </c>
      <c r="AJ159" s="5"/>
      <c r="AK159" s="42">
        <f>'[2]поточний ремонт'!AK159+'[1]поточний ремонт'!AK159</f>
        <v>1093.6145863780594</v>
      </c>
      <c r="AL159" s="42">
        <f>'[2]поточний ремонт'!AL159+'[1]поточний ремонт'!AL159</f>
        <v>0</v>
      </c>
      <c r="AM159" s="5"/>
      <c r="AN159" s="42">
        <f>'[2]поточний ремонт'!AN159+'[1]поточний ремонт'!AN159</f>
        <v>0</v>
      </c>
      <c r="AO159" s="42">
        <f>'[2]поточний ремонт'!AO159+'[1]поточний ремонт'!AO159</f>
        <v>0</v>
      </c>
      <c r="AP159" s="5"/>
      <c r="AQ159" s="42">
        <f>'[2]поточний ремонт'!AQ159+'[1]поточний ремонт'!AQ159</f>
        <v>66.163852782859806</v>
      </c>
      <c r="AR159" s="42">
        <f>'[2]поточний ремонт'!AR159+'[1]поточний ремонт'!AR159</f>
        <v>0</v>
      </c>
      <c r="AS159" s="5"/>
      <c r="AT159" s="42">
        <f>'[2]поточний ремонт'!AT159+'[1]поточний ремонт'!AT159</f>
        <v>462.79190853431851</v>
      </c>
      <c r="AU159" s="42">
        <f>'[2]поточний ремонт'!AU159+'[1]поточний ремонт'!AU159</f>
        <v>0</v>
      </c>
      <c r="AV159" s="5"/>
      <c r="AW159" s="42">
        <f>'[2]поточний ремонт'!AW159+'[1]поточний ремонт'!AW159</f>
        <v>77.611529014578963</v>
      </c>
      <c r="AX159" s="42">
        <f>'[2]поточний ремонт'!AX159+'[1]поточний ремонт'!AX159</f>
        <v>0</v>
      </c>
      <c r="AY159" s="5"/>
      <c r="AZ159" s="42">
        <f t="shared" si="18"/>
        <v>3731.0240282776431</v>
      </c>
      <c r="BA159" s="42">
        <f t="shared" si="19"/>
        <v>825.81534884054884</v>
      </c>
      <c r="BB159" s="58">
        <f t="shared" si="20"/>
        <v>-2905.2086794370944</v>
      </c>
      <c r="BD159" s="2">
        <v>2</v>
      </c>
      <c r="BF159" s="29">
        <v>115.74249403253711</v>
      </c>
      <c r="BG159" s="318">
        <v>150001009</v>
      </c>
      <c r="BI159" s="104">
        <v>0</v>
      </c>
      <c r="BJ159" s="104">
        <f t="shared" si="21"/>
        <v>0</v>
      </c>
      <c r="BK159" s="104">
        <v>0</v>
      </c>
      <c r="BL159" s="38"/>
      <c r="BM159" s="3"/>
      <c r="BN159" s="3">
        <v>0</v>
      </c>
      <c r="BP159" s="3"/>
      <c r="BQ159" s="3"/>
      <c r="BS159" s="42"/>
      <c r="BT159" s="42">
        <v>0</v>
      </c>
      <c r="BU159" s="962"/>
      <c r="BV159" s="41"/>
      <c r="BW159" s="42"/>
      <c r="BX159" s="36"/>
      <c r="BY159" s="76"/>
      <c r="BZ159" s="42">
        <v>0</v>
      </c>
      <c r="CA159" s="959"/>
      <c r="CB159" s="41"/>
      <c r="CC159" s="41">
        <v>0</v>
      </c>
      <c r="CD159" s="960"/>
      <c r="CE159" s="76">
        <v>0</v>
      </c>
      <c r="CF159" s="55"/>
      <c r="CG159" s="41">
        <v>0</v>
      </c>
      <c r="CH159" s="38">
        <v>0</v>
      </c>
      <c r="CI159" s="76">
        <v>0</v>
      </c>
      <c r="CJ159" s="55"/>
      <c r="CK159" s="955"/>
      <c r="CL159" s="950">
        <v>1245</v>
      </c>
      <c r="CM159" s="955"/>
      <c r="CN159" s="950">
        <v>0</v>
      </c>
      <c r="CO159" s="76">
        <v>71.419983253270772</v>
      </c>
      <c r="CP159" s="42">
        <v>0</v>
      </c>
      <c r="CQ159" s="5"/>
      <c r="CR159" s="76">
        <v>97.881167455611291</v>
      </c>
      <c r="CS159" s="954">
        <v>0</v>
      </c>
      <c r="CT159" s="5"/>
      <c r="CU159" s="76">
        <v>92.947281269480158</v>
      </c>
      <c r="CV159" s="42">
        <v>0</v>
      </c>
      <c r="CW159" s="5"/>
      <c r="CX159" s="76">
        <v>0</v>
      </c>
      <c r="CY159" s="42">
        <v>0</v>
      </c>
      <c r="CZ159" s="5"/>
      <c r="DA159" s="76">
        <v>0</v>
      </c>
      <c r="DB159" s="42">
        <v>0</v>
      </c>
      <c r="DC159" s="5"/>
      <c r="DD159" s="76">
        <v>29.121055930900873</v>
      </c>
      <c r="DE159" s="42">
        <v>0</v>
      </c>
      <c r="DF159" s="5"/>
      <c r="DG159" s="76">
        <v>0</v>
      </c>
      <c r="DH159" s="42"/>
      <c r="DI159" s="5"/>
      <c r="DJ159" s="42">
        <v>291.36948790926306</v>
      </c>
      <c r="DK159" s="42">
        <f t="shared" si="22"/>
        <v>0</v>
      </c>
      <c r="DL159" s="58">
        <f t="shared" si="23"/>
        <v>-291.36948790926306</v>
      </c>
      <c r="DM159" s="2">
        <v>2</v>
      </c>
    </row>
    <row r="160" spans="1:117" ht="24.9" customHeight="1" x14ac:dyDescent="0.3">
      <c r="A160" s="318">
        <v>150001010</v>
      </c>
      <c r="B160" s="44" t="s">
        <v>164</v>
      </c>
      <c r="C160" s="956">
        <v>2</v>
      </c>
      <c r="D160" s="957" t="s">
        <v>454</v>
      </c>
      <c r="E160" s="949">
        <f>'побудинковий звіт'!E127</f>
        <v>465.59999999999997</v>
      </c>
      <c r="F160" s="950">
        <f>'побудинковий звіт'!AS127</f>
        <v>7615.8572870253365</v>
      </c>
      <c r="G160" s="950">
        <f t="shared" si="16"/>
        <v>1374.367025578257</v>
      </c>
      <c r="H160" s="950">
        <f t="shared" si="17"/>
        <v>-6241.4902614470793</v>
      </c>
      <c r="I160" s="42">
        <f>'[2]поточний ремонт'!I160+'[1]поточний ремонт'!I160</f>
        <v>0</v>
      </c>
      <c r="J160" s="42">
        <f>'[2]поточний ремонт'!J160+'[1]поточний ремонт'!J160</f>
        <v>0</v>
      </c>
      <c r="K160" s="958"/>
      <c r="L160" s="42">
        <f>'[2]поточний ремонт'!L160+'[1]поточний ремонт'!L160</f>
        <v>0</v>
      </c>
      <c r="M160" s="42">
        <f>'[2]поточний ремонт'!M160+'[1]поточний ремонт'!M160</f>
        <v>0</v>
      </c>
      <c r="N160" s="960"/>
      <c r="O160" s="42">
        <f>'[2]поточний ремонт'!O160+'[1]поточний ремонт'!O160</f>
        <v>0</v>
      </c>
      <c r="P160" s="42">
        <f>'[2]поточний ремонт'!P160+'[1]поточний ремонт'!P160</f>
        <v>0</v>
      </c>
      <c r="Q160" s="959"/>
      <c r="R160" s="42">
        <f>'[2]поточний ремонт'!R160+'[1]поточний ремонт'!R160</f>
        <v>0</v>
      </c>
      <c r="S160" s="42">
        <f>'[2]поточний ремонт'!S160+'[1]поточний ремонт'!S160</f>
        <v>0</v>
      </c>
      <c r="T160" s="960"/>
      <c r="U160" s="42">
        <f>'[2]поточний ремонт'!U160+'[1]поточний ремонт'!U160</f>
        <v>0</v>
      </c>
      <c r="V160" s="42">
        <f>'[2]поточний ремонт'!V160+'[1]поточний ремонт'!V160</f>
        <v>0</v>
      </c>
      <c r="W160" s="42">
        <f>'[2]поточний ремонт'!W160+'[1]поточний ремонт'!W160</f>
        <v>0</v>
      </c>
      <c r="X160" s="42">
        <f>'[2]поточний ремонт'!X160+'[1]поточний ремонт'!X160</f>
        <v>0</v>
      </c>
      <c r="Y160" s="42">
        <f>'[2]поточний ремонт'!Y160+'[1]поточний ремонт'!Y160</f>
        <v>1284.6019576058593</v>
      </c>
      <c r="Z160" s="42">
        <f>'[2]поточний ремонт'!Z160+'[1]поточний ремонт'!Z160</f>
        <v>0</v>
      </c>
      <c r="AA160" s="42">
        <f>'[2]поточний ремонт'!AA160+'[1]поточний ремонт'!AA160</f>
        <v>0</v>
      </c>
      <c r="AB160" s="42">
        <f>'[2]поточний ремонт'!AB160+'[1]поточний ремонт'!AB160</f>
        <v>0</v>
      </c>
      <c r="AC160" s="42">
        <f>'[2]поточний ремонт'!AC160+'[1]поточний ремонт'!AC160</f>
        <v>89.765067972397617</v>
      </c>
      <c r="AD160" s="42">
        <f>'[2]поточний ремонт'!AD160+'[1]поточний ремонт'!AD160</f>
        <v>0</v>
      </c>
      <c r="AE160" s="42">
        <f>'[2]поточний ремонт'!AE160+'[1]поточний ремонт'!AE160</f>
        <v>577.7670179409979</v>
      </c>
      <c r="AF160" s="42">
        <f>'[2]поточний ремонт'!AF160+'[1]поточний ремонт'!AF160</f>
        <v>0</v>
      </c>
      <c r="AG160" s="5"/>
      <c r="AH160" s="42">
        <f>'[2]поточний ремонт'!AH160+'[1]поточний ремонт'!AH160</f>
        <v>896.86874271037129</v>
      </c>
      <c r="AI160" s="42">
        <f>'[2]поточний ремонт'!AI160+'[1]поточний ремонт'!AI160</f>
        <v>0</v>
      </c>
      <c r="AJ160" s="5"/>
      <c r="AK160" s="42">
        <f>'[2]поточний ремонт'!AK160+'[1]поточний ремонт'!AK160</f>
        <v>484.29573479698519</v>
      </c>
      <c r="AL160" s="42">
        <f>'[2]поточний ремонт'!AL160+'[1]поточний ремонт'!AL160</f>
        <v>0</v>
      </c>
      <c r="AM160" s="5"/>
      <c r="AN160" s="42">
        <f>'[2]поточний ремонт'!AN160+'[1]поточний ремонт'!AN160</f>
        <v>0</v>
      </c>
      <c r="AO160" s="42">
        <f>'[2]поточний ремонт'!AO160+'[1]поточний ремонт'!AO160</f>
        <v>0</v>
      </c>
      <c r="AP160" s="5"/>
      <c r="AQ160" s="42">
        <f>'[2]поточний ремонт'!AQ160+'[1]поточний ремонт'!AQ160</f>
        <v>0</v>
      </c>
      <c r="AR160" s="42">
        <f>'[2]поточний ремонт'!AR160+'[1]поточний ремонт'!AR160</f>
        <v>0</v>
      </c>
      <c r="AS160" s="5"/>
      <c r="AT160" s="42">
        <f>'[2]поточний ремонт'!AT160+'[1]поточний ремонт'!AT160</f>
        <v>337.57456276373102</v>
      </c>
      <c r="AU160" s="42">
        <f>'[2]поточний ремонт'!AU160+'[1]поточний ремонт'!AU160</f>
        <v>0</v>
      </c>
      <c r="AV160" s="5"/>
      <c r="AW160" s="42">
        <f>'[2]поточний ремонт'!AW160+'[1]поточний ремонт'!AW160</f>
        <v>31.214014296485885</v>
      </c>
      <c r="AX160" s="42">
        <f>'[2]поточний ремонт'!AX160+'[1]поточний ремонт'!AX160</f>
        <v>569.49203397799999</v>
      </c>
      <c r="AY160" s="5"/>
      <c r="AZ160" s="42">
        <f t="shared" si="18"/>
        <v>2327.7200725085713</v>
      </c>
      <c r="BA160" s="42">
        <f t="shared" si="19"/>
        <v>569.49203397799999</v>
      </c>
      <c r="BB160" s="58">
        <f t="shared" si="20"/>
        <v>-1758.2280385305712</v>
      </c>
      <c r="BD160" s="2">
        <v>2</v>
      </c>
      <c r="BF160" s="29">
        <v>1.1199577181581886</v>
      </c>
      <c r="BG160" s="318">
        <v>150001010</v>
      </c>
      <c r="BI160" s="104">
        <v>0</v>
      </c>
      <c r="BJ160" s="104">
        <f t="shared" si="21"/>
        <v>0</v>
      </c>
      <c r="BK160" s="104">
        <v>0</v>
      </c>
      <c r="BL160" s="38"/>
      <c r="BM160" s="3"/>
      <c r="BN160" s="3">
        <v>0</v>
      </c>
      <c r="BP160" s="3"/>
      <c r="BQ160" s="3"/>
      <c r="BS160" s="42"/>
      <c r="BT160" s="42">
        <v>0</v>
      </c>
      <c r="BU160" s="958"/>
      <c r="BV160" s="41"/>
      <c r="BW160" s="42"/>
      <c r="BX160" s="960"/>
      <c r="BY160" s="76"/>
      <c r="BZ160" s="42">
        <v>0</v>
      </c>
      <c r="CA160" s="959"/>
      <c r="CB160" s="41"/>
      <c r="CC160" s="41">
        <v>0</v>
      </c>
      <c r="CD160" s="960"/>
      <c r="CE160" s="76">
        <v>0</v>
      </c>
      <c r="CF160" s="55"/>
      <c r="CG160" s="41">
        <v>0</v>
      </c>
      <c r="CH160" s="38">
        <v>0</v>
      </c>
      <c r="CI160" s="76">
        <v>1228.5574146076167</v>
      </c>
      <c r="CJ160" s="55"/>
      <c r="CK160" s="955"/>
      <c r="CL160" s="950"/>
      <c r="CM160" s="955"/>
      <c r="CN160" s="950">
        <v>0</v>
      </c>
      <c r="CO160" s="76">
        <v>47.949820419335339</v>
      </c>
      <c r="CP160" s="42">
        <v>0</v>
      </c>
      <c r="CQ160" s="5"/>
      <c r="CR160" s="76">
        <v>74.695177798037108</v>
      </c>
      <c r="CS160" s="954">
        <v>0</v>
      </c>
      <c r="CT160" s="5"/>
      <c r="CU160" s="76">
        <v>37.990742074113463</v>
      </c>
      <c r="CV160" s="42">
        <v>0</v>
      </c>
      <c r="CW160" s="5"/>
      <c r="CX160" s="76">
        <v>0</v>
      </c>
      <c r="CY160" s="42">
        <v>0</v>
      </c>
      <c r="CZ160" s="5"/>
      <c r="DA160" s="76">
        <v>0</v>
      </c>
      <c r="DB160" s="42">
        <v>0</v>
      </c>
      <c r="DC160" s="5"/>
      <c r="DD160" s="76">
        <v>20.389763532857327</v>
      </c>
      <c r="DE160" s="42">
        <v>0</v>
      </c>
      <c r="DF160" s="5"/>
      <c r="DG160" s="76">
        <v>0</v>
      </c>
      <c r="DH160" s="42"/>
      <c r="DI160" s="5"/>
      <c r="DJ160" s="42">
        <v>181.02550382434325</v>
      </c>
      <c r="DK160" s="42">
        <f t="shared" si="22"/>
        <v>0</v>
      </c>
      <c r="DL160" s="58">
        <f t="shared" si="23"/>
        <v>-181.02550382434325</v>
      </c>
      <c r="DM160" s="2">
        <v>2</v>
      </c>
    </row>
    <row r="161" spans="1:117" ht="24.9" customHeight="1" x14ac:dyDescent="0.3">
      <c r="A161" s="318">
        <v>150001011</v>
      </c>
      <c r="B161" s="44" t="s">
        <v>165</v>
      </c>
      <c r="C161" s="956">
        <v>2</v>
      </c>
      <c r="D161" s="957" t="s">
        <v>454</v>
      </c>
      <c r="E161" s="949">
        <f>'побудинковий звіт'!E128</f>
        <v>475.2</v>
      </c>
      <c r="F161" s="950">
        <f>'побудинковий звіт'!AS128</f>
        <v>7290.7411145222713</v>
      </c>
      <c r="G161" s="950">
        <f t="shared" si="16"/>
        <v>2438.8533856994241</v>
      </c>
      <c r="H161" s="950">
        <f t="shared" si="17"/>
        <v>-4851.8877288228468</v>
      </c>
      <c r="I161" s="42">
        <f>'[2]поточний ремонт'!I161+'[1]поточний ремонт'!I161</f>
        <v>0</v>
      </c>
      <c r="J161" s="42">
        <f>'[2]поточний ремонт'!J161+'[1]поточний ремонт'!J161</f>
        <v>0</v>
      </c>
      <c r="K161" s="958"/>
      <c r="L161" s="42">
        <f>'[2]поточний ремонт'!L161+'[1]поточний ремонт'!L161</f>
        <v>0</v>
      </c>
      <c r="M161" s="42">
        <f>'[2]поточний ремонт'!M161+'[1]поточний ремонт'!M161</f>
        <v>0</v>
      </c>
      <c r="N161" s="36"/>
      <c r="O161" s="42">
        <f>'[2]поточний ремонт'!O161+'[1]поточний ремонт'!O161</f>
        <v>0</v>
      </c>
      <c r="P161" s="42">
        <f>'[2]поточний ремонт'!P161+'[1]поточний ремонт'!P161</f>
        <v>0</v>
      </c>
      <c r="Q161" s="959"/>
      <c r="R161" s="42">
        <f>'[2]поточний ремонт'!R161+'[1]поточний ремонт'!R161</f>
        <v>0</v>
      </c>
      <c r="S161" s="42">
        <f>'[2]поточний ремонт'!S161+'[1]поточний ремонт'!S161</f>
        <v>0</v>
      </c>
      <c r="T161" s="960"/>
      <c r="U161" s="42">
        <f>'[2]поточний ремонт'!U161+'[1]поточний ремонт'!U161</f>
        <v>0</v>
      </c>
      <c r="V161" s="42">
        <f>'[2]поточний ремонт'!V161+'[1]поточний ремонт'!V161</f>
        <v>0</v>
      </c>
      <c r="W161" s="42">
        <f>'[2]поточний ремонт'!W161+'[1]поточний ремонт'!W161</f>
        <v>0</v>
      </c>
      <c r="X161" s="42">
        <f>'[2]поточний ремонт'!X161+'[1]поточний ремонт'!X161</f>
        <v>0</v>
      </c>
      <c r="Y161" s="42">
        <f>'[2]поточний ремонт'!Y161+'[1]поточний ремонт'!Y161</f>
        <v>2324.3911964461658</v>
      </c>
      <c r="Z161" s="42">
        <f>'[2]поточний ремонт'!Z161+'[1]поточний ремонт'!Z161</f>
        <v>0</v>
      </c>
      <c r="AA161" s="42">
        <f>'[2]поточний ремонт'!AA161+'[1]поточний ремонт'!AA161</f>
        <v>0</v>
      </c>
      <c r="AB161" s="42">
        <f>'[2]поточний ремонт'!AB161+'[1]поточний ремонт'!AB161</f>
        <v>0</v>
      </c>
      <c r="AC161" s="42">
        <f>'[2]поточний ремонт'!AC161+'[1]поточний ремонт'!AC161</f>
        <v>114.46218925325803</v>
      </c>
      <c r="AD161" s="42">
        <f>'[2]поточний ремонт'!AD161+'[1]поточний ремонт'!AD161</f>
        <v>0</v>
      </c>
      <c r="AE161" s="42">
        <f>'[2]поточний ремонт'!AE161+'[1]поточний ремонт'!AE161</f>
        <v>359.67310579571557</v>
      </c>
      <c r="AF161" s="42">
        <f>'[2]поточний ремонт'!AF161+'[1]поточний ремонт'!AF161</f>
        <v>0</v>
      </c>
      <c r="AG161" s="5"/>
      <c r="AH161" s="42">
        <f>'[2]поточний ремонт'!AH161+'[1]поточний ремонт'!AH161</f>
        <v>411.34635862069757</v>
      </c>
      <c r="AI161" s="42">
        <f>'[2]поточний ремонт'!AI161+'[1]поточний ремонт'!AI161</f>
        <v>0</v>
      </c>
      <c r="AJ161" s="5"/>
      <c r="AK161" s="42">
        <f>'[2]поточний ремонт'!AK161+'[1]поточний ремонт'!AK161</f>
        <v>286.08579313156599</v>
      </c>
      <c r="AL161" s="42">
        <f>'[2]поточний ремонт'!AL161+'[1]поточний ремонт'!AL161</f>
        <v>0</v>
      </c>
      <c r="AM161" s="5"/>
      <c r="AN161" s="42">
        <f>'[2]поточний ремонт'!AN161+'[1]поточний ремонт'!AN161</f>
        <v>0</v>
      </c>
      <c r="AO161" s="42">
        <f>'[2]поточний ремонт'!AO161+'[1]поточний ремонт'!AO161</f>
        <v>0</v>
      </c>
      <c r="AP161" s="5"/>
      <c r="AQ161" s="42">
        <f>'[2]поточний ремонт'!AQ161+'[1]поточний ремонт'!AQ161</f>
        <v>0</v>
      </c>
      <c r="AR161" s="42">
        <f>'[2]поточний ремонт'!AR161+'[1]поточний ремонт'!AR161</f>
        <v>0</v>
      </c>
      <c r="AS161" s="5"/>
      <c r="AT161" s="42">
        <f>'[2]поточний ремонт'!AT161+'[1]поточний ремонт'!AT161</f>
        <v>88.777454427691424</v>
      </c>
      <c r="AU161" s="42">
        <f>'[2]поточний ремонт'!AU161+'[1]поточний ремонт'!AU161</f>
        <v>0</v>
      </c>
      <c r="AV161" s="5"/>
      <c r="AW161" s="42">
        <f>'[2]поточний ремонт'!AW161+'[1]поточний ремонт'!AW161</f>
        <v>38.805764507289481</v>
      </c>
      <c r="AX161" s="42">
        <f>'[2]поточний ремонт'!AX161+'[1]поточний ремонт'!AX161</f>
        <v>2752.9112993839999</v>
      </c>
      <c r="AY161" s="5"/>
      <c r="AZ161" s="42">
        <f t="shared" si="18"/>
        <v>1184.6884764829601</v>
      </c>
      <c r="BA161" s="42">
        <f t="shared" si="19"/>
        <v>2752.9112993839999</v>
      </c>
      <c r="BB161" s="58">
        <f t="shared" si="20"/>
        <v>1568.2228229010398</v>
      </c>
      <c r="BD161" s="2">
        <v>2</v>
      </c>
      <c r="BF161" s="29">
        <v>0.61767099505620493</v>
      </c>
      <c r="BG161" s="318">
        <v>150001011</v>
      </c>
      <c r="BI161" s="104">
        <v>0</v>
      </c>
      <c r="BJ161" s="104">
        <f t="shared" si="21"/>
        <v>0</v>
      </c>
      <c r="BK161" s="104">
        <v>0</v>
      </c>
      <c r="BL161" s="38"/>
      <c r="BM161" s="3"/>
      <c r="BN161" s="3">
        <v>0</v>
      </c>
      <c r="BP161" s="3"/>
      <c r="BQ161" s="3"/>
      <c r="BS161" s="42"/>
      <c r="BT161" s="42">
        <v>0</v>
      </c>
      <c r="BU161" s="958"/>
      <c r="BV161" s="41"/>
      <c r="BW161" s="42"/>
      <c r="BX161" s="36"/>
      <c r="BY161" s="76"/>
      <c r="BZ161" s="42">
        <v>0</v>
      </c>
      <c r="CA161" s="959"/>
      <c r="CB161" s="41"/>
      <c r="CC161" s="41">
        <v>0</v>
      </c>
      <c r="CD161" s="960"/>
      <c r="CE161" s="76">
        <v>0</v>
      </c>
      <c r="CF161" s="55"/>
      <c r="CG161" s="41">
        <v>0</v>
      </c>
      <c r="CH161" s="38">
        <v>0</v>
      </c>
      <c r="CI161" s="76">
        <v>0</v>
      </c>
      <c r="CJ161" s="55"/>
      <c r="CK161" s="955"/>
      <c r="CL161" s="950"/>
      <c r="CM161" s="955"/>
      <c r="CN161" s="950">
        <v>0</v>
      </c>
      <c r="CO161" s="76">
        <v>29.542653280315967</v>
      </c>
      <c r="CP161" s="42">
        <v>0</v>
      </c>
      <c r="CQ161" s="5"/>
      <c r="CR161" s="76">
        <v>36.04386687945734</v>
      </c>
      <c r="CS161" s="954">
        <v>0</v>
      </c>
      <c r="CT161" s="5"/>
      <c r="CU161" s="76">
        <v>22.104545896594431</v>
      </c>
      <c r="CV161" s="42">
        <v>0</v>
      </c>
      <c r="CW161" s="5"/>
      <c r="CX161" s="76">
        <v>0</v>
      </c>
      <c r="CY161" s="42">
        <v>0</v>
      </c>
      <c r="CZ161" s="5"/>
      <c r="DA161" s="76">
        <v>0</v>
      </c>
      <c r="DB161" s="42">
        <v>0</v>
      </c>
      <c r="DC161" s="5"/>
      <c r="DD161" s="76">
        <v>6.5655994250196654</v>
      </c>
      <c r="DE161" s="42">
        <v>0</v>
      </c>
      <c r="DF161" s="5"/>
      <c r="DG161" s="76">
        <v>0</v>
      </c>
      <c r="DH161" s="42"/>
      <c r="DI161" s="5"/>
      <c r="DJ161" s="42">
        <v>94.256665481387401</v>
      </c>
      <c r="DK161" s="42">
        <f t="shared" si="22"/>
        <v>0</v>
      </c>
      <c r="DL161" s="58">
        <f t="shared" si="23"/>
        <v>-94.256665481387401</v>
      </c>
      <c r="DM161" s="2">
        <v>2</v>
      </c>
    </row>
    <row r="162" spans="1:117" ht="24.9" customHeight="1" x14ac:dyDescent="0.3">
      <c r="A162" s="1014">
        <v>150001013</v>
      </c>
      <c r="B162" s="44" t="s">
        <v>260</v>
      </c>
      <c r="C162" s="956">
        <v>5</v>
      </c>
      <c r="D162" s="957" t="s">
        <v>454</v>
      </c>
      <c r="E162" s="949">
        <f>'побудинковий звіт'!E129</f>
        <v>1107.8</v>
      </c>
      <c r="F162" s="950">
        <f>'побудинковий звіт'!AS129</f>
        <v>12018.20673179251</v>
      </c>
      <c r="G162" s="950">
        <f t="shared" si="16"/>
        <v>20176.184912791814</v>
      </c>
      <c r="H162" s="950">
        <f t="shared" si="17"/>
        <v>8157.9781809993037</v>
      </c>
      <c r="I162" s="42">
        <f>'[2]поточний ремонт'!I162+'[1]поточний ремонт'!I162</f>
        <v>2</v>
      </c>
      <c r="J162" s="42">
        <f>'[2]поточний ремонт'!J162+'[1]поточний ремонт'!J162</f>
        <v>224.33520584101547</v>
      </c>
      <c r="K162" s="962"/>
      <c r="L162" s="42">
        <f>'[2]поточний ремонт'!L162+'[1]поточний ремонт'!L162</f>
        <v>1</v>
      </c>
      <c r="M162" s="42">
        <f>'[2]поточний ремонт'!M162+'[1]поточний ремонт'!M162</f>
        <v>12557.288813615627</v>
      </c>
      <c r="N162" s="36"/>
      <c r="O162" s="42">
        <f>'[2]поточний ремонт'!O162+'[1]поточний ремонт'!O162</f>
        <v>0</v>
      </c>
      <c r="P162" s="42">
        <f>'[2]поточний ремонт'!P162+'[1]поточний ремонт'!P162</f>
        <v>0</v>
      </c>
      <c r="Q162" s="959"/>
      <c r="R162" s="42">
        <f>'[2]поточний ремонт'!R162+'[1]поточний ремонт'!R162</f>
        <v>0</v>
      </c>
      <c r="S162" s="42">
        <f>'[2]поточний ремонт'!S162+'[1]поточний ремонт'!S162</f>
        <v>0</v>
      </c>
      <c r="T162" s="960"/>
      <c r="U162" s="42">
        <f>'[2]поточний ремонт'!U162+'[1]поточний ремонт'!U162</f>
        <v>0</v>
      </c>
      <c r="V162" s="42">
        <f>'[2]поточний ремонт'!V162+'[1]поточний ремонт'!V162</f>
        <v>0</v>
      </c>
      <c r="W162" s="42">
        <f>'[2]поточний ремонт'!W162+'[1]поточний ремонт'!W162</f>
        <v>0</v>
      </c>
      <c r="X162" s="42">
        <f>'[2]поточний ремонт'!X162+'[1]поточний ремонт'!X162</f>
        <v>0</v>
      </c>
      <c r="Y162" s="42">
        <f>'[2]поточний ремонт'!Y162+'[1]поточний ремонт'!Y162</f>
        <v>6643.571156208508</v>
      </c>
      <c r="Z162" s="42">
        <f>'[2]поточний ремонт'!Z162+'[1]поточний ремонт'!Z162</f>
        <v>0</v>
      </c>
      <c r="AA162" s="42">
        <f>'[2]поточний ремонт'!AA162+'[1]поточний ремонт'!AA162</f>
        <v>0</v>
      </c>
      <c r="AB162" s="42">
        <f>'[2]поточний ремонт'!AB162+'[1]поточний ремонт'!AB162</f>
        <v>0</v>
      </c>
      <c r="AC162" s="42">
        <f>'[2]поточний ремонт'!AC162+'[1]поточний ремонт'!AC162</f>
        <v>0</v>
      </c>
      <c r="AD162" s="42">
        <f>'[2]поточний ремонт'!AD162+'[1]поточний ремонт'!AD162</f>
        <v>750.98973712666441</v>
      </c>
      <c r="AE162" s="42">
        <f>'[2]поточний ремонт'!AE162+'[1]поточний ремонт'!AE162</f>
        <v>1931.4085790879358</v>
      </c>
      <c r="AF162" s="42">
        <f>'[2]поточний ремонт'!AF162+'[1]поточний ремонт'!AF162</f>
        <v>0</v>
      </c>
      <c r="AG162" s="9"/>
      <c r="AH162" s="42">
        <f>'[2]поточний ремонт'!AH162+'[1]поточний ремонт'!AH162</f>
        <v>3050.0224854412454</v>
      </c>
      <c r="AI162" s="42">
        <f>'[2]поточний ремонт'!AI162+'[1]поточний ремонт'!AI162</f>
        <v>0</v>
      </c>
      <c r="AJ162" s="5"/>
      <c r="AK162" s="42">
        <f>'[2]поточний ремонт'!AK162+'[1]поточний ремонт'!AK162</f>
        <v>2654.3176524157175</v>
      </c>
      <c r="AL162" s="42">
        <f>'[2]поточний ремонт'!AL162+'[1]поточний ремонт'!AL162</f>
        <v>0</v>
      </c>
      <c r="AM162" s="5"/>
      <c r="AN162" s="42">
        <f>'[2]поточний ремонт'!AN162+'[1]поточний ремонт'!AN162</f>
        <v>0</v>
      </c>
      <c r="AO162" s="42">
        <f>'[2]поточний ремонт'!AO162+'[1]поточний ремонт'!AO162</f>
        <v>0</v>
      </c>
      <c r="AP162" s="5"/>
      <c r="AQ162" s="42">
        <f>'[2]поточний ремонт'!AQ162+'[1]поточний ремонт'!AQ162</f>
        <v>141.5171295633391</v>
      </c>
      <c r="AR162" s="42">
        <f>'[2]поточний ремонт'!AR162+'[1]поточний ремонт'!AR162</f>
        <v>416.32736112493444</v>
      </c>
      <c r="AS162" s="5"/>
      <c r="AT162" s="42">
        <f>'[2]поточний ремонт'!AT162+'[1]поточний ремонт'!AT162</f>
        <v>1382.5014621691262</v>
      </c>
      <c r="AU162" s="42">
        <f>'[2]поточний ремонт'!AU162+'[1]поточний ремонт'!AU162</f>
        <v>757.11718909218871</v>
      </c>
      <c r="AV162" s="5"/>
      <c r="AW162" s="42">
        <f>'[2]поточний ремонт'!AW162+'[1]поточний ремонт'!AW162</f>
        <v>53.83241058569827</v>
      </c>
      <c r="AX162" s="42">
        <f>'[2]поточний ремонт'!AX162+'[1]поточний ремонт'!AX162</f>
        <v>0</v>
      </c>
      <c r="AY162" s="5"/>
      <c r="AZ162" s="42">
        <f t="shared" si="18"/>
        <v>9213.5997192630621</v>
      </c>
      <c r="BA162" s="42">
        <f t="shared" si="19"/>
        <v>1173.4445502171232</v>
      </c>
      <c r="BB162" s="58">
        <f t="shared" si="20"/>
        <v>-8040.1551690459391</v>
      </c>
      <c r="BD162" s="2">
        <v>2</v>
      </c>
      <c r="BF162" s="29">
        <v>5.061586687342702</v>
      </c>
      <c r="BG162" s="1014">
        <v>150001013</v>
      </c>
      <c r="BI162" s="104">
        <v>0</v>
      </c>
      <c r="BJ162" s="104">
        <f t="shared" si="21"/>
        <v>0</v>
      </c>
      <c r="BK162" s="104">
        <v>0</v>
      </c>
      <c r="BL162" s="38"/>
      <c r="BM162" s="3"/>
      <c r="BN162" s="3">
        <v>0</v>
      </c>
      <c r="BP162" s="3"/>
      <c r="BQ162" s="3"/>
      <c r="BS162" s="42"/>
      <c r="BT162" s="42">
        <v>0</v>
      </c>
      <c r="BU162" s="962"/>
      <c r="BV162" s="41"/>
      <c r="BW162" s="42"/>
      <c r="BX162" s="36"/>
      <c r="BY162" s="76"/>
      <c r="BZ162" s="42">
        <v>0</v>
      </c>
      <c r="CA162" s="959"/>
      <c r="CB162" s="41"/>
      <c r="CC162" s="41">
        <v>0</v>
      </c>
      <c r="CD162" s="960"/>
      <c r="CE162" s="76">
        <v>0</v>
      </c>
      <c r="CF162" s="55"/>
      <c r="CG162" s="41">
        <v>0</v>
      </c>
      <c r="CH162" s="38">
        <v>0</v>
      </c>
      <c r="CI162" s="76">
        <v>0</v>
      </c>
      <c r="CJ162" s="55"/>
      <c r="CK162" s="955"/>
      <c r="CL162" s="950"/>
      <c r="CM162" s="955"/>
      <c r="CN162" s="950">
        <v>0</v>
      </c>
      <c r="CO162" s="76">
        <v>154.62372253297457</v>
      </c>
      <c r="CP162" s="42">
        <v>0</v>
      </c>
      <c r="CQ162" s="9"/>
      <c r="CR162" s="76">
        <v>245.21278357122625</v>
      </c>
      <c r="CS162" s="954">
        <v>0</v>
      </c>
      <c r="CT162" s="5"/>
      <c r="CU162" s="76">
        <v>215.4199605892465</v>
      </c>
      <c r="CV162" s="42">
        <v>0</v>
      </c>
      <c r="CW162" s="5"/>
      <c r="CX162" s="76">
        <v>0</v>
      </c>
      <c r="CY162" s="42">
        <v>0</v>
      </c>
      <c r="CZ162" s="5"/>
      <c r="DA162" s="76">
        <v>0</v>
      </c>
      <c r="DB162" s="42">
        <v>0</v>
      </c>
      <c r="DC162" s="5"/>
      <c r="DD162" s="76">
        <v>87.209309877955548</v>
      </c>
      <c r="DE162" s="42">
        <v>0</v>
      </c>
      <c r="DF162" s="5"/>
      <c r="DG162" s="76">
        <v>0</v>
      </c>
      <c r="DH162" s="42"/>
      <c r="DI162" s="5"/>
      <c r="DJ162" s="42">
        <v>702.46577657140278</v>
      </c>
      <c r="DK162" s="42">
        <f t="shared" si="22"/>
        <v>0</v>
      </c>
      <c r="DL162" s="58">
        <f t="shared" si="23"/>
        <v>-702.46577657140278</v>
      </c>
      <c r="DM162" s="2">
        <v>2</v>
      </c>
    </row>
    <row r="163" spans="1:117" ht="24.9" customHeight="1" x14ac:dyDescent="0.3">
      <c r="A163" s="318">
        <v>150001014</v>
      </c>
      <c r="B163" s="44" t="s">
        <v>166</v>
      </c>
      <c r="C163" s="956">
        <v>2</v>
      </c>
      <c r="D163" s="957" t="s">
        <v>454</v>
      </c>
      <c r="E163" s="949">
        <f>'побудинковий звіт'!E130</f>
        <v>1472.6</v>
      </c>
      <c r="F163" s="950">
        <f>'побудинковий звіт'!AS130</f>
        <v>19866.641455506073</v>
      </c>
      <c r="G163" s="950">
        <f t="shared" si="16"/>
        <v>0</v>
      </c>
      <c r="H163" s="950">
        <f t="shared" si="17"/>
        <v>-19866.641455506073</v>
      </c>
      <c r="I163" s="42">
        <f>'[2]поточний ремонт'!I163+'[1]поточний ремонт'!I163</f>
        <v>0</v>
      </c>
      <c r="J163" s="42">
        <f>'[2]поточний ремонт'!J163+'[1]поточний ремонт'!J163</f>
        <v>0</v>
      </c>
      <c r="K163" s="958"/>
      <c r="L163" s="42">
        <f>'[2]поточний ремонт'!L163+'[1]поточний ремонт'!L163</f>
        <v>0</v>
      </c>
      <c r="M163" s="42">
        <f>'[2]поточний ремонт'!M163+'[1]поточний ремонт'!M163</f>
        <v>0</v>
      </c>
      <c r="N163" s="36"/>
      <c r="O163" s="42">
        <f>'[2]поточний ремонт'!O163+'[1]поточний ремонт'!O163</f>
        <v>0</v>
      </c>
      <c r="P163" s="42">
        <f>'[2]поточний ремонт'!P163+'[1]поточний ремонт'!P163</f>
        <v>0</v>
      </c>
      <c r="Q163" s="959"/>
      <c r="R163" s="42">
        <f>'[2]поточний ремонт'!R163+'[1]поточний ремонт'!R163</f>
        <v>0</v>
      </c>
      <c r="S163" s="42">
        <f>'[2]поточний ремонт'!S163+'[1]поточний ремонт'!S163</f>
        <v>0</v>
      </c>
      <c r="T163" s="960"/>
      <c r="U163" s="42">
        <f>'[2]поточний ремонт'!U163+'[1]поточний ремонт'!U163</f>
        <v>0</v>
      </c>
      <c r="V163" s="42">
        <f>'[2]поточний ремонт'!V163+'[1]поточний ремонт'!V163</f>
        <v>0</v>
      </c>
      <c r="W163" s="42">
        <f>'[2]поточний ремонт'!W163+'[1]поточний ремонт'!W163</f>
        <v>0</v>
      </c>
      <c r="X163" s="42">
        <f>'[2]поточний ремонт'!X163+'[1]поточний ремонт'!X163</f>
        <v>0</v>
      </c>
      <c r="Y163" s="42">
        <f>'[2]поточний ремонт'!Y163+'[1]поточний ремонт'!Y163</f>
        <v>0</v>
      </c>
      <c r="Z163" s="42">
        <f>'[2]поточний ремонт'!Z163+'[1]поточний ремонт'!Z163</f>
        <v>0</v>
      </c>
      <c r="AA163" s="42">
        <f>'[2]поточний ремонт'!AA163+'[1]поточний ремонт'!AA163</f>
        <v>0</v>
      </c>
      <c r="AB163" s="42">
        <f>'[2]поточний ремонт'!AB163+'[1]поточний ремонт'!AB163</f>
        <v>0</v>
      </c>
      <c r="AC163" s="42">
        <f>'[2]поточний ремонт'!AC163+'[1]поточний ремонт'!AC163</f>
        <v>0</v>
      </c>
      <c r="AD163" s="42">
        <f>'[2]поточний ремонт'!AD163+'[1]поточний ремонт'!AD163</f>
        <v>0</v>
      </c>
      <c r="AE163" s="42">
        <f>'[2]поточний ремонт'!AE163+'[1]поточний ремонт'!AE163</f>
        <v>254.44015557475581</v>
      </c>
      <c r="AF163" s="42">
        <f>'[2]поточний ремонт'!AF163+'[1]поточний ремонт'!AF163</f>
        <v>0</v>
      </c>
      <c r="AG163" s="5"/>
      <c r="AH163" s="42">
        <f>'[2]поточний ремонт'!AH163+'[1]поточний ремонт'!AH163</f>
        <v>348.04797463469504</v>
      </c>
      <c r="AI163" s="42">
        <f>'[2]поточний ремонт'!AI163+'[1]поточний ремонт'!AI163</f>
        <v>0</v>
      </c>
      <c r="AJ163" s="5"/>
      <c r="AK163" s="42">
        <f>'[2]поточний ремонт'!AK163+'[1]поточний ремонт'!AK163</f>
        <v>205.43000649893943</v>
      </c>
      <c r="AL163" s="42">
        <f>'[2]поточний ремонт'!AL163+'[1]поточний ремонт'!AL163</f>
        <v>0</v>
      </c>
      <c r="AM163" s="5"/>
      <c r="AN163" s="42">
        <f>'[2]поточний ремонт'!AN163+'[1]поточний ремонт'!AN163</f>
        <v>0</v>
      </c>
      <c r="AO163" s="42">
        <f>'[2]поточний ремонт'!AO163+'[1]поточний ремонт'!AO163</f>
        <v>0</v>
      </c>
      <c r="AP163" s="5"/>
      <c r="AQ163" s="42">
        <f>'[2]поточний ремонт'!AQ163+'[1]поточний ремонт'!AQ163</f>
        <v>0</v>
      </c>
      <c r="AR163" s="42">
        <f>'[2]поточний ремонт'!AR163+'[1]поточний ремонт'!AR163</f>
        <v>0</v>
      </c>
      <c r="AS163" s="5"/>
      <c r="AT163" s="42">
        <f>'[2]поточний ремонт'!AT163+'[1]поточний ремонт'!AT163</f>
        <v>97.48030724707462</v>
      </c>
      <c r="AU163" s="42">
        <f>'[2]поточний ремонт'!AU163+'[1]поточний ремонт'!AU163</f>
        <v>0</v>
      </c>
      <c r="AV163" s="5"/>
      <c r="AW163" s="42">
        <f>'[2]поточний ремонт'!AW163+'[1]поточний ремонт'!AW163</f>
        <v>39.495923617362543</v>
      </c>
      <c r="AX163" s="42">
        <f>'[2]поточний ремонт'!AX163+'[1]поточний ремонт'!AX163</f>
        <v>0</v>
      </c>
      <c r="AY163" s="5"/>
      <c r="AZ163" s="42">
        <f t="shared" si="18"/>
        <v>944.89436757282749</v>
      </c>
      <c r="BA163" s="42">
        <f t="shared" si="19"/>
        <v>0</v>
      </c>
      <c r="BB163" s="58">
        <f t="shared" si="20"/>
        <v>-944.89436757282749</v>
      </c>
      <c r="BD163" s="2">
        <v>2</v>
      </c>
      <c r="BF163" s="29">
        <v>0.49556814524135817</v>
      </c>
      <c r="BG163" s="318">
        <v>150001014</v>
      </c>
      <c r="BI163" s="104">
        <v>0</v>
      </c>
      <c r="BJ163" s="104">
        <f t="shared" si="21"/>
        <v>0</v>
      </c>
      <c r="BK163" s="104">
        <v>0</v>
      </c>
      <c r="BL163" s="38"/>
      <c r="BM163" s="3"/>
      <c r="BN163" s="3">
        <v>0</v>
      </c>
      <c r="BP163" s="3"/>
      <c r="BQ163" s="3"/>
      <c r="BS163" s="42"/>
      <c r="BT163" s="42">
        <v>0</v>
      </c>
      <c r="BU163" s="958"/>
      <c r="BV163" s="41"/>
      <c r="BW163" s="42"/>
      <c r="BX163" s="36"/>
      <c r="BY163" s="76"/>
      <c r="BZ163" s="42">
        <v>0</v>
      </c>
      <c r="CA163" s="959"/>
      <c r="CB163" s="41"/>
      <c r="CC163" s="41">
        <v>0</v>
      </c>
      <c r="CD163" s="960"/>
      <c r="CE163" s="76">
        <v>0</v>
      </c>
      <c r="CF163" s="55"/>
      <c r="CG163" s="41">
        <v>0</v>
      </c>
      <c r="CH163" s="38">
        <v>0</v>
      </c>
      <c r="CI163" s="76">
        <v>0</v>
      </c>
      <c r="CJ163" s="55"/>
      <c r="CK163" s="955"/>
      <c r="CL163" s="950"/>
      <c r="CM163" s="955"/>
      <c r="CN163" s="950">
        <v>0</v>
      </c>
      <c r="CO163" s="76">
        <v>23.52965489579714</v>
      </c>
      <c r="CP163" s="42">
        <v>0</v>
      </c>
      <c r="CQ163" s="5"/>
      <c r="CR163" s="76">
        <v>30.202472453644113</v>
      </c>
      <c r="CS163" s="954">
        <v>0</v>
      </c>
      <c r="CT163" s="5"/>
      <c r="CU163" s="76">
        <v>14.949541071562326</v>
      </c>
      <c r="CV163" s="42">
        <v>0</v>
      </c>
      <c r="CW163" s="5"/>
      <c r="CX163" s="76">
        <v>0</v>
      </c>
      <c r="CY163" s="42">
        <v>0</v>
      </c>
      <c r="CZ163" s="5"/>
      <c r="DA163" s="76">
        <v>0</v>
      </c>
      <c r="DB163" s="42">
        <v>0</v>
      </c>
      <c r="DC163" s="5"/>
      <c r="DD163" s="76">
        <v>4.891052041696593</v>
      </c>
      <c r="DE163" s="42">
        <v>0</v>
      </c>
      <c r="DF163" s="5"/>
      <c r="DG163" s="76">
        <v>0</v>
      </c>
      <c r="DH163" s="42"/>
      <c r="DI163" s="5"/>
      <c r="DJ163" s="42">
        <v>73.572720462700175</v>
      </c>
      <c r="DK163" s="42">
        <f t="shared" si="22"/>
        <v>0</v>
      </c>
      <c r="DL163" s="58">
        <f t="shared" si="23"/>
        <v>-73.572720462700175</v>
      </c>
      <c r="DM163" s="2">
        <v>2</v>
      </c>
    </row>
    <row r="164" spans="1:117" ht="24.9" customHeight="1" x14ac:dyDescent="0.3">
      <c r="A164" s="318">
        <v>150001015</v>
      </c>
      <c r="B164" s="44" t="s">
        <v>99</v>
      </c>
      <c r="C164" s="956">
        <v>1</v>
      </c>
      <c r="D164" s="957" t="s">
        <v>454</v>
      </c>
      <c r="E164" s="949">
        <f>'побудинковий звіт'!E131</f>
        <v>498.78</v>
      </c>
      <c r="F164" s="950">
        <f>'побудинковий звіт'!AS131</f>
        <v>10139.896660573346</v>
      </c>
      <c r="G164" s="950">
        <f t="shared" si="16"/>
        <v>3483.9635226235359</v>
      </c>
      <c r="H164" s="950">
        <f t="shared" si="17"/>
        <v>-6655.9331379498099</v>
      </c>
      <c r="I164" s="42">
        <f>'[2]поточний ремонт'!I164+'[1]поточний ремонт'!I164</f>
        <v>2.84</v>
      </c>
      <c r="J164" s="42">
        <f>'[2]поточний ремонт'!J164+'[1]поточний ремонт'!J164</f>
        <v>769.17800335257834</v>
      </c>
      <c r="K164" s="958"/>
      <c r="L164" s="42">
        <f>'[2]поточний ремонт'!L164+'[1]поточний ремонт'!L164</f>
        <v>0</v>
      </c>
      <c r="M164" s="42">
        <f>'[2]поточний ремонт'!M164+'[1]поточний ремонт'!M164</f>
        <v>0</v>
      </c>
      <c r="N164" s="36"/>
      <c r="O164" s="42">
        <f>'[2]поточний ремонт'!O164+'[1]поточний ремонт'!O164</f>
        <v>0</v>
      </c>
      <c r="P164" s="42">
        <f>'[2]поточний ремонт'!P164+'[1]поточний ремонт'!P164</f>
        <v>0</v>
      </c>
      <c r="Q164" s="959"/>
      <c r="R164" s="42">
        <f>'[2]поточний ремонт'!R164+'[1]поточний ремонт'!R164</f>
        <v>0</v>
      </c>
      <c r="S164" s="42">
        <f>'[2]поточний ремонт'!S164+'[1]поточний ремонт'!S164</f>
        <v>0</v>
      </c>
      <c r="T164" s="960"/>
      <c r="U164" s="42">
        <f>'[2]поточний ремонт'!U164+'[1]поточний ремонт'!U164</f>
        <v>0</v>
      </c>
      <c r="V164" s="42">
        <f>'[2]поточний ремонт'!V164+'[1]поточний ремонт'!V164</f>
        <v>0</v>
      </c>
      <c r="W164" s="42">
        <f>'[2]поточний ремонт'!W164+'[1]поточний ремонт'!W164</f>
        <v>0</v>
      </c>
      <c r="X164" s="42">
        <f>'[2]поточний ремонт'!X164+'[1]поточний ремонт'!X164</f>
        <v>0</v>
      </c>
      <c r="Y164" s="42">
        <f>'[2]поточний ремонт'!Y164+'[1]поточний ремонт'!Y164</f>
        <v>2434.1375100879682</v>
      </c>
      <c r="Z164" s="42">
        <f>'[2]поточний ремонт'!Z164+'[1]поточний ремонт'!Z164</f>
        <v>0</v>
      </c>
      <c r="AA164" s="42">
        <f>'[2]поточний ремонт'!AA164+'[1]поточний ремонт'!AA164</f>
        <v>0</v>
      </c>
      <c r="AB164" s="42">
        <f>'[2]поточний ремонт'!AB164+'[1]поточний ремонт'!AB164</f>
        <v>0</v>
      </c>
      <c r="AC164" s="42">
        <f>'[2]поточний ремонт'!AC164+'[1]поточний ремонт'!AC164</f>
        <v>0</v>
      </c>
      <c r="AD164" s="42">
        <f>'[2]поточний ремонт'!AD164+'[1]поточний ремонт'!AD164</f>
        <v>280.64800918298931</v>
      </c>
      <c r="AE164" s="42">
        <f>'[2]поточний ремонт'!AE164+'[1]поточний ремонт'!AE164</f>
        <v>0</v>
      </c>
      <c r="AF164" s="42">
        <f>'[2]поточний ремонт'!AF164+'[1]поточний ремонт'!AF164</f>
        <v>0</v>
      </c>
      <c r="AG164" s="5"/>
      <c r="AH164" s="42">
        <f>'[2]поточний ремонт'!AH164+'[1]поточний ремонт'!AH164</f>
        <v>0</v>
      </c>
      <c r="AI164" s="42">
        <f>'[2]поточний ремонт'!AI164+'[1]поточний ремонт'!AI164</f>
        <v>0</v>
      </c>
      <c r="AJ164" s="5"/>
      <c r="AK164" s="42">
        <f>'[2]поточний ремонт'!AK164+'[1]поточний ремонт'!AK164</f>
        <v>217.03034843653631</v>
      </c>
      <c r="AL164" s="42">
        <f>'[2]поточний ремонт'!AL164+'[1]поточний ремонт'!AL164</f>
        <v>0</v>
      </c>
      <c r="AM164" s="5"/>
      <c r="AN164" s="42">
        <f>'[2]поточний ремонт'!AN164+'[1]поточний ремонт'!AN164</f>
        <v>0</v>
      </c>
      <c r="AO164" s="42">
        <f>'[2]поточний ремонт'!AO164+'[1]поточний ремонт'!AO164</f>
        <v>0</v>
      </c>
      <c r="AP164" s="5"/>
      <c r="AQ164" s="42">
        <f>'[2]поточний ремонт'!AQ164+'[1]поточний ремонт'!AQ164</f>
        <v>0</v>
      </c>
      <c r="AR164" s="42">
        <f>'[2]поточний ремонт'!AR164+'[1]поточний ремонт'!AR164</f>
        <v>0</v>
      </c>
      <c r="AS164" s="5"/>
      <c r="AT164" s="42">
        <f>'[2]поточний ремонт'!AT164+'[1]поточний ремонт'!AT164</f>
        <v>0</v>
      </c>
      <c r="AU164" s="42">
        <f>'[2]поточний ремонт'!AU164+'[1]поточний ремонт'!AU164</f>
        <v>0</v>
      </c>
      <c r="AV164" s="5"/>
      <c r="AW164" s="42">
        <f>'[2]поточний ремонт'!AW164+'[1]поточний ремонт'!AW164</f>
        <v>0</v>
      </c>
      <c r="AX164" s="42">
        <f>'[2]поточний ремонт'!AX164+'[1]поточний ремонт'!AX164</f>
        <v>0</v>
      </c>
      <c r="AY164" s="5"/>
      <c r="AZ164" s="42">
        <f t="shared" si="18"/>
        <v>217.03034843653631</v>
      </c>
      <c r="BA164" s="42">
        <f t="shared" si="19"/>
        <v>0</v>
      </c>
      <c r="BB164" s="58">
        <f t="shared" si="20"/>
        <v>-217.03034843653631</v>
      </c>
      <c r="BD164" s="2">
        <v>2</v>
      </c>
      <c r="BF164" s="29">
        <v>0</v>
      </c>
      <c r="BG164" s="318">
        <v>150001015</v>
      </c>
      <c r="BI164" s="104">
        <v>0</v>
      </c>
      <c r="BJ164" s="104">
        <f t="shared" si="21"/>
        <v>0</v>
      </c>
      <c r="BK164" s="104">
        <v>0</v>
      </c>
      <c r="BL164" s="38"/>
      <c r="BM164" s="3"/>
      <c r="BN164" s="3">
        <v>0</v>
      </c>
      <c r="BP164" s="3"/>
      <c r="BQ164" s="3"/>
      <c r="BS164" s="42"/>
      <c r="BT164" s="42">
        <v>0</v>
      </c>
      <c r="BU164" s="958"/>
      <c r="BV164" s="41"/>
      <c r="BW164" s="42"/>
      <c r="BX164" s="36"/>
      <c r="BY164" s="76"/>
      <c r="BZ164" s="42">
        <v>0</v>
      </c>
      <c r="CA164" s="959"/>
      <c r="CB164" s="41"/>
      <c r="CC164" s="41">
        <v>0</v>
      </c>
      <c r="CD164" s="960"/>
      <c r="CE164" s="76">
        <v>0</v>
      </c>
      <c r="CF164" s="55"/>
      <c r="CG164" s="41">
        <v>0</v>
      </c>
      <c r="CH164" s="38">
        <v>0</v>
      </c>
      <c r="CI164" s="76">
        <v>0</v>
      </c>
      <c r="CJ164" s="55"/>
      <c r="CK164" s="955"/>
      <c r="CL164" s="950"/>
      <c r="CM164" s="955"/>
      <c r="CN164" s="950">
        <v>0</v>
      </c>
      <c r="CO164" s="76">
        <v>0</v>
      </c>
      <c r="CP164" s="42">
        <v>0</v>
      </c>
      <c r="CQ164" s="5"/>
      <c r="CR164" s="76">
        <v>0</v>
      </c>
      <c r="CS164" s="954">
        <v>0</v>
      </c>
      <c r="CT164" s="5"/>
      <c r="CU164" s="76">
        <v>18.754314438700092</v>
      </c>
      <c r="CV164" s="42">
        <v>0</v>
      </c>
      <c r="CW164" s="5"/>
      <c r="CX164" s="76">
        <v>0</v>
      </c>
      <c r="CY164" s="42">
        <v>0</v>
      </c>
      <c r="CZ164" s="5"/>
      <c r="DA164" s="76">
        <v>0</v>
      </c>
      <c r="DB164" s="42">
        <v>0</v>
      </c>
      <c r="DC164" s="5"/>
      <c r="DD164" s="76">
        <v>0</v>
      </c>
      <c r="DE164" s="42">
        <v>0</v>
      </c>
      <c r="DF164" s="5"/>
      <c r="DG164" s="76">
        <v>0</v>
      </c>
      <c r="DH164" s="42"/>
      <c r="DI164" s="5"/>
      <c r="DJ164" s="42">
        <v>18.754314438700092</v>
      </c>
      <c r="DK164" s="42">
        <f t="shared" si="22"/>
        <v>0</v>
      </c>
      <c r="DL164" s="58">
        <f t="shared" si="23"/>
        <v>-18.754314438700092</v>
      </c>
      <c r="DM164" s="2">
        <v>2</v>
      </c>
    </row>
    <row r="165" spans="1:117" ht="24.9" customHeight="1" x14ac:dyDescent="0.3">
      <c r="A165" s="318">
        <v>150001016</v>
      </c>
      <c r="B165" s="44" t="s">
        <v>261</v>
      </c>
      <c r="C165" s="956">
        <v>5</v>
      </c>
      <c r="D165" s="957" t="s">
        <v>454</v>
      </c>
      <c r="E165" s="949">
        <f>'побудинковий звіт'!E132</f>
        <v>1482.7</v>
      </c>
      <c r="F165" s="950">
        <f>'побудинковий звіт'!AS132</f>
        <v>16749.632848116828</v>
      </c>
      <c r="G165" s="950">
        <f t="shared" si="16"/>
        <v>12261.735417630327</v>
      </c>
      <c r="H165" s="950">
        <f t="shared" si="17"/>
        <v>-4487.8974304865005</v>
      </c>
      <c r="I165" s="42">
        <f>'[2]поточний ремонт'!I165+'[1]поточний ремонт'!I165</f>
        <v>0</v>
      </c>
      <c r="J165" s="42">
        <f>'[2]поточний ремонт'!J165+'[1]поточний ремонт'!J165</f>
        <v>0</v>
      </c>
      <c r="K165" s="958"/>
      <c r="L165" s="42">
        <f>'[2]поточний ремонт'!L165+'[1]поточний ремонт'!L165</f>
        <v>0</v>
      </c>
      <c r="M165" s="42">
        <f>'[2]поточний ремонт'!M165+'[1]поточний ремонт'!M165</f>
        <v>0</v>
      </c>
      <c r="N165" s="961"/>
      <c r="O165" s="42">
        <f>'[2]поточний ремонт'!O165+'[1]поточний ремонт'!O165</f>
        <v>0</v>
      </c>
      <c r="P165" s="42">
        <f>'[2]поточний ремонт'!P165+'[1]поточний ремонт'!P165</f>
        <v>0</v>
      </c>
      <c r="Q165" s="959"/>
      <c r="R165" s="42">
        <f>'[2]поточний ремонт'!R165+'[1]поточний ремонт'!R165</f>
        <v>0</v>
      </c>
      <c r="S165" s="42">
        <f>'[2]поточний ремонт'!S165+'[1]поточний ремонт'!S165</f>
        <v>0</v>
      </c>
      <c r="T165" s="960"/>
      <c r="U165" s="42">
        <f>'[2]поточний ремонт'!U165+'[1]поточний ремонт'!U165</f>
        <v>0</v>
      </c>
      <c r="V165" s="42">
        <f>'[2]поточний ремонт'!V165+'[1]поточний ремонт'!V165</f>
        <v>0</v>
      </c>
      <c r="W165" s="42">
        <f>'[2]поточний ремонт'!W165+'[1]поточний ремонт'!W165</f>
        <v>0</v>
      </c>
      <c r="X165" s="42">
        <f>'[2]поточний ремонт'!X165+'[1]поточний ремонт'!X165</f>
        <v>0</v>
      </c>
      <c r="Y165" s="42">
        <f>'[2]поточний ремонт'!Y165+'[1]поточний ремонт'!Y165</f>
        <v>1260.8226852769128</v>
      </c>
      <c r="Z165" s="42">
        <f>'[2]поточний ремонт'!Z165+'[1]поточний ремонт'!Z165</f>
        <v>0</v>
      </c>
      <c r="AA165" s="42">
        <f>'[2]поточний ремонт'!AA165+'[1]поточний ремонт'!AA165</f>
        <v>0</v>
      </c>
      <c r="AB165" s="42">
        <f>'[2]поточний ремонт'!AB165+'[1]поточний ремонт'!AB165</f>
        <v>0</v>
      </c>
      <c r="AC165" s="42">
        <f>'[2]поточний ремонт'!AC165+'[1]поточний ремонт'!AC165</f>
        <v>0</v>
      </c>
      <c r="AD165" s="42">
        <f>'[2]поточний ремонт'!AD165+'[1]поточний ремонт'!AD165</f>
        <v>11000.912732353414</v>
      </c>
      <c r="AE165" s="42">
        <f>'[2]поточний ремонт'!AE165+'[1]поточний ремонт'!AE165</f>
        <v>1155.4940927395332</v>
      </c>
      <c r="AF165" s="42">
        <f>'[2]поточний ремонт'!AF165+'[1]поточний ремонт'!AF165</f>
        <v>0</v>
      </c>
      <c r="AG165" s="5"/>
      <c r="AH165" s="42">
        <f>'[2]поточний ремонт'!AH165+'[1]поточний ремонт'!AH165</f>
        <v>1554.3888380384083</v>
      </c>
      <c r="AI165" s="42">
        <f>'[2]поточний ремонт'!AI165+'[1]поточний ремонт'!AI165</f>
        <v>0</v>
      </c>
      <c r="AJ165" s="5"/>
      <c r="AK165" s="42">
        <f>'[2]поточний ремонт'!AK165+'[1]поточний ремонт'!AK165</f>
        <v>2598.4632400501673</v>
      </c>
      <c r="AL165" s="42">
        <f>'[2]поточний ремонт'!AL165+'[1]поточний ремонт'!AL165</f>
        <v>0</v>
      </c>
      <c r="AM165" s="5"/>
      <c r="AN165" s="42">
        <f>'[2]поточний ремонт'!AN165+'[1]поточний ремонт'!AN165</f>
        <v>1258.2311066218699</v>
      </c>
      <c r="AO165" s="42">
        <f>'[2]поточний ремонт'!AO165+'[1]поточний ремонт'!AO165</f>
        <v>0</v>
      </c>
      <c r="AP165" s="5"/>
      <c r="AQ165" s="42">
        <f>'[2]поточний ремонт'!AQ165+'[1]поточний ремонт'!AQ165</f>
        <v>110.27308797143304</v>
      </c>
      <c r="AR165" s="42">
        <f>'[2]поточний ремонт'!AR165+'[1]поточний ремонт'!AR165</f>
        <v>892.23699869614256</v>
      </c>
      <c r="AS165" s="5"/>
      <c r="AT165" s="42">
        <f>'[2]поточний ремонт'!AT165+'[1]поточний ремонт'!AT165</f>
        <v>944.50211243406329</v>
      </c>
      <c r="AU165" s="42">
        <f>'[2]поточний ремонт'!AU165+'[1]поточний ремонт'!AU165</f>
        <v>938.16598089821059</v>
      </c>
      <c r="AV165" s="5"/>
      <c r="AW165" s="42">
        <f>'[2]поточний ремонт'!AW165+'[1]поточний ремонт'!AW165</f>
        <v>74.286216938772441</v>
      </c>
      <c r="AX165" s="42">
        <f>'[2]поточний ремонт'!AX165+'[1]поточний ремонт'!AX165</f>
        <v>0</v>
      </c>
      <c r="AY165" s="5"/>
      <c r="AZ165" s="42">
        <f t="shared" si="18"/>
        <v>7695.6386947942474</v>
      </c>
      <c r="BA165" s="42">
        <f t="shared" si="19"/>
        <v>1830.4029795943532</v>
      </c>
      <c r="BB165" s="58">
        <f t="shared" si="20"/>
        <v>-5865.235715199894</v>
      </c>
      <c r="BD165" s="2">
        <v>2</v>
      </c>
      <c r="BF165" s="29">
        <v>4.6999811424005999</v>
      </c>
      <c r="BG165" s="318">
        <v>150001016</v>
      </c>
      <c r="BI165" s="104">
        <v>0</v>
      </c>
      <c r="BJ165" s="104">
        <f t="shared" si="21"/>
        <v>0</v>
      </c>
      <c r="BK165" s="104">
        <v>0</v>
      </c>
      <c r="BL165" s="38"/>
      <c r="BM165" s="3"/>
      <c r="BN165" s="3">
        <v>0</v>
      </c>
      <c r="BP165" s="3"/>
      <c r="BQ165" s="3"/>
      <c r="BS165" s="42"/>
      <c r="BT165" s="42">
        <v>0</v>
      </c>
      <c r="BU165" s="958"/>
      <c r="BV165" s="41"/>
      <c r="BW165" s="42"/>
      <c r="BX165" s="961"/>
      <c r="BY165" s="76"/>
      <c r="BZ165" s="42">
        <v>0</v>
      </c>
      <c r="CA165" s="959"/>
      <c r="CB165" s="41"/>
      <c r="CC165" s="41">
        <v>0</v>
      </c>
      <c r="CD165" s="960"/>
      <c r="CE165" s="76">
        <v>0</v>
      </c>
      <c r="CF165" s="55"/>
      <c r="CG165" s="41">
        <v>0</v>
      </c>
      <c r="CH165" s="38">
        <v>0</v>
      </c>
      <c r="CI165" s="76">
        <v>0</v>
      </c>
      <c r="CJ165" s="55"/>
      <c r="CK165" s="955"/>
      <c r="CL165" s="950"/>
      <c r="CM165" s="955"/>
      <c r="CN165" s="950">
        <v>0</v>
      </c>
      <c r="CO165" s="76">
        <v>93.719553380584799</v>
      </c>
      <c r="CP165" s="42">
        <v>0</v>
      </c>
      <c r="CQ165" s="5"/>
      <c r="CR165" s="76">
        <v>129.15186969861264</v>
      </c>
      <c r="CS165" s="954">
        <v>0</v>
      </c>
      <c r="CT165" s="5"/>
      <c r="CU165" s="76">
        <v>208.76344805397778</v>
      </c>
      <c r="CV165" s="42">
        <v>0</v>
      </c>
      <c r="CW165" s="5"/>
      <c r="CX165" s="76">
        <v>117.46053908215485</v>
      </c>
      <c r="CY165" s="42">
        <v>0</v>
      </c>
      <c r="CZ165" s="5"/>
      <c r="DA165" s="76">
        <v>0</v>
      </c>
      <c r="DB165" s="42">
        <v>0</v>
      </c>
      <c r="DC165" s="5"/>
      <c r="DD165" s="76">
        <v>60.369590590226849</v>
      </c>
      <c r="DE165" s="42">
        <v>0</v>
      </c>
      <c r="DF165" s="5"/>
      <c r="DG165" s="76">
        <v>0</v>
      </c>
      <c r="DH165" s="42"/>
      <c r="DI165" s="5"/>
      <c r="DJ165" s="42">
        <v>609.46500080555688</v>
      </c>
      <c r="DK165" s="42">
        <f t="shared" si="22"/>
        <v>0</v>
      </c>
      <c r="DL165" s="58">
        <f t="shared" si="23"/>
        <v>-609.46500080555688</v>
      </c>
      <c r="DM165" s="2">
        <v>2</v>
      </c>
    </row>
    <row r="166" spans="1:117" ht="24.9" customHeight="1" x14ac:dyDescent="0.3">
      <c r="A166" s="318">
        <v>150001007</v>
      </c>
      <c r="B166" s="44" t="s">
        <v>213</v>
      </c>
      <c r="C166" s="956">
        <v>4</v>
      </c>
      <c r="D166" s="957" t="s">
        <v>454</v>
      </c>
      <c r="E166" s="949">
        <f>'побудинковий звіт'!E133</f>
        <v>626.29999999999995</v>
      </c>
      <c r="F166" s="950">
        <f>'побудинковий звіт'!AS133</f>
        <v>9941.5368700087274</v>
      </c>
      <c r="G166" s="950">
        <f t="shared" si="16"/>
        <v>19291.888893497184</v>
      </c>
      <c r="H166" s="950">
        <f t="shared" si="17"/>
        <v>9350.3520234884563</v>
      </c>
      <c r="I166" s="42">
        <f>'[2]поточний ремонт'!I166+'[1]поточний ремонт'!I166</f>
        <v>4.2699999999999996</v>
      </c>
      <c r="J166" s="42">
        <f>'[2]поточний ремонт'!J166+'[1]поточний ремонт'!J166</f>
        <v>1447.8888934971828</v>
      </c>
      <c r="K166" s="958"/>
      <c r="L166" s="42">
        <f>'[2]поточний ремонт'!L166+'[1]поточний ремонт'!L166</f>
        <v>0</v>
      </c>
      <c r="M166" s="42">
        <f>'[2]поточний ремонт'!M166+'[1]поточний ремонт'!M166</f>
        <v>0</v>
      </c>
      <c r="N166" s="36"/>
      <c r="O166" s="42">
        <f>'[2]поточний ремонт'!O166+'[1]поточний ремонт'!O166</f>
        <v>0</v>
      </c>
      <c r="P166" s="42">
        <f>'[2]поточний ремонт'!P166+'[1]поточний ремонт'!P166</f>
        <v>0</v>
      </c>
      <c r="Q166" s="959"/>
      <c r="R166" s="42">
        <f>'[2]поточний ремонт'!R166+'[1]поточний ремонт'!R166</f>
        <v>0</v>
      </c>
      <c r="S166" s="42">
        <f>'[2]поточний ремонт'!S166+'[1]поточний ремонт'!S166</f>
        <v>0</v>
      </c>
      <c r="T166" s="960"/>
      <c r="U166" s="42">
        <f>'[2]поточний ремонт'!U166+'[1]поточний ремонт'!U166</f>
        <v>0</v>
      </c>
      <c r="V166" s="42">
        <f>'[2]поточний ремонт'!V166+'[1]поточний ремонт'!V166</f>
        <v>0</v>
      </c>
      <c r="W166" s="42">
        <f>'[2]поточний ремонт'!W166+'[1]поточний ремонт'!W166</f>
        <v>20</v>
      </c>
      <c r="X166" s="42">
        <f>'[2]поточний ремонт'!X166+'[1]поточний ремонт'!X166</f>
        <v>17079</v>
      </c>
      <c r="Y166" s="42">
        <f>'[2]поточний ремонт'!Y166+'[1]поточний ремонт'!Y166</f>
        <v>0</v>
      </c>
      <c r="Z166" s="42">
        <f>'[2]поточний ремонт'!Z166+'[1]поточний ремонт'!Z166</f>
        <v>0</v>
      </c>
      <c r="AA166" s="42">
        <f>'[2]поточний ремонт'!AA166+'[1]поточний ремонт'!AA166</f>
        <v>0</v>
      </c>
      <c r="AB166" s="42">
        <f>'[2]поточний ремонт'!AB166+'[1]поточний ремонт'!AB166</f>
        <v>0</v>
      </c>
      <c r="AC166" s="42">
        <f>'[2]поточний ремонт'!AC166+'[1]поточний ремонт'!AC166</f>
        <v>0</v>
      </c>
      <c r="AD166" s="42">
        <f>'[2]поточний ремонт'!AD166+'[1]поточний ремонт'!AD166</f>
        <v>765</v>
      </c>
      <c r="AE166" s="42">
        <f>'[2]поточний ремонт'!AE166+'[1]поточний ремонт'!AE166</f>
        <v>1398.1583177659629</v>
      </c>
      <c r="AF166" s="42">
        <f>'[2]поточний ремонт'!AF166+'[1]поточний ремонт'!AF166</f>
        <v>0</v>
      </c>
      <c r="AG166" s="5"/>
      <c r="AH166" s="42">
        <f>'[2]поточний ремонт'!AH166+'[1]поточний ремонт'!AH166</f>
        <v>1804.4829570046056</v>
      </c>
      <c r="AI166" s="42">
        <f>'[2]поточний ремонт'!AI166+'[1]поточний ремонт'!AI166</f>
        <v>0</v>
      </c>
      <c r="AJ166" s="5"/>
      <c r="AK166" s="42">
        <f>'[2]поточний ремонт'!AK166+'[1]поточний ремонт'!AK166</f>
        <v>1405.8856543579054</v>
      </c>
      <c r="AL166" s="42">
        <f>'[2]поточний ремонт'!AL166+'[1]поточний ремонт'!AL166</f>
        <v>0</v>
      </c>
      <c r="AM166" s="5"/>
      <c r="AN166" s="42">
        <f>'[2]поточний ремонт'!AN166+'[1]поточний ремонт'!AN166</f>
        <v>0</v>
      </c>
      <c r="AO166" s="42">
        <f>'[2]поточний ремонт'!AO166+'[1]поточний ремонт'!AO166</f>
        <v>0</v>
      </c>
      <c r="AP166" s="5"/>
      <c r="AQ166" s="42">
        <f>'[2]поточний ремонт'!AQ166+'[1]поточний ремонт'!AQ166</f>
        <v>88.218470377146446</v>
      </c>
      <c r="AR166" s="42">
        <f>'[2]поточний ремонт'!AR166+'[1]поточний ремонт'!AR166</f>
        <v>575.62394851667761</v>
      </c>
      <c r="AS166" s="5"/>
      <c r="AT166" s="42">
        <f>'[2]поточний ремонт'!AT166+'[1]поточний ремонт'!AT166</f>
        <v>743.98472809351313</v>
      </c>
      <c r="AU166" s="42">
        <f>'[2]поточний ремонт'!AU166+'[1]поточний ремонт'!AU166</f>
        <v>0</v>
      </c>
      <c r="AV166" s="5"/>
      <c r="AW166" s="42">
        <f>'[2]поточний ремонт'!AW166+'[1]поточний ремонт'!AW166</f>
        <v>45.299534315704136</v>
      </c>
      <c r="AX166" s="42">
        <f>'[2]поточний ремонт'!AX166+'[1]поточний ремонт'!AX166</f>
        <v>4080.4874683600001</v>
      </c>
      <c r="AY166" s="5"/>
      <c r="AZ166" s="42">
        <f t="shared" si="18"/>
        <v>5486.0296619148376</v>
      </c>
      <c r="BA166" s="42">
        <f t="shared" si="19"/>
        <v>4656.111416876678</v>
      </c>
      <c r="BB166" s="58">
        <f t="shared" si="20"/>
        <v>-829.91824503815951</v>
      </c>
      <c r="BD166" s="2">
        <v>2</v>
      </c>
      <c r="BF166" s="29">
        <v>2.9885986996547804</v>
      </c>
      <c r="BG166" s="318">
        <v>150001007</v>
      </c>
      <c r="BI166" s="104">
        <v>0</v>
      </c>
      <c r="BJ166" s="104">
        <f t="shared" si="21"/>
        <v>0</v>
      </c>
      <c r="BK166" s="104">
        <v>0</v>
      </c>
      <c r="BL166" s="38"/>
      <c r="BM166" s="3"/>
      <c r="BN166" s="3">
        <v>0</v>
      </c>
      <c r="BP166" s="3"/>
      <c r="BQ166" s="3"/>
      <c r="BS166" s="42"/>
      <c r="BT166" s="42">
        <v>0</v>
      </c>
      <c r="BU166" s="958"/>
      <c r="BV166" s="41"/>
      <c r="BW166" s="42"/>
      <c r="BX166" s="36"/>
      <c r="BY166" s="76"/>
      <c r="BZ166" s="42">
        <v>0</v>
      </c>
      <c r="CA166" s="959"/>
      <c r="CB166" s="41"/>
      <c r="CC166" s="41">
        <v>0</v>
      </c>
      <c r="CD166" s="960"/>
      <c r="CE166" s="76">
        <v>0</v>
      </c>
      <c r="CF166" s="55"/>
      <c r="CG166" s="41">
        <v>0</v>
      </c>
      <c r="CH166" s="38">
        <v>0</v>
      </c>
      <c r="CI166" s="76">
        <v>0</v>
      </c>
      <c r="CJ166" s="55"/>
      <c r="CK166" s="955"/>
      <c r="CL166" s="950"/>
      <c r="CM166" s="955"/>
      <c r="CN166" s="950">
        <v>0</v>
      </c>
      <c r="CO166" s="76">
        <v>104.84305157305938</v>
      </c>
      <c r="CP166" s="42">
        <v>0</v>
      </c>
      <c r="CQ166" s="5"/>
      <c r="CR166" s="76">
        <v>155.98930364484841</v>
      </c>
      <c r="CS166" s="954">
        <v>0</v>
      </c>
      <c r="CT166" s="5"/>
      <c r="CU166" s="76">
        <v>117.85464172943765</v>
      </c>
      <c r="CV166" s="42">
        <v>0</v>
      </c>
      <c r="CW166" s="5"/>
      <c r="CX166" s="76">
        <v>0</v>
      </c>
      <c r="CY166" s="42">
        <v>0</v>
      </c>
      <c r="CZ166" s="5"/>
      <c r="DA166" s="76">
        <v>0</v>
      </c>
      <c r="DB166" s="42">
        <v>574.90813329658079</v>
      </c>
      <c r="DC166" s="5"/>
      <c r="DD166" s="76">
        <v>43.262285721355042</v>
      </c>
      <c r="DE166" s="42">
        <v>0</v>
      </c>
      <c r="DF166" s="5"/>
      <c r="DG166" s="76">
        <v>0</v>
      </c>
      <c r="DH166" s="42"/>
      <c r="DI166" s="5"/>
      <c r="DJ166" s="42">
        <v>421.94928266870045</v>
      </c>
      <c r="DK166" s="42">
        <f t="shared" si="22"/>
        <v>574.90813329658079</v>
      </c>
      <c r="DL166" s="58">
        <f t="shared" si="23"/>
        <v>152.95885062788034</v>
      </c>
      <c r="DM166" s="2">
        <v>2</v>
      </c>
    </row>
    <row r="167" spans="1:117" ht="24.9" customHeight="1" x14ac:dyDescent="0.3">
      <c r="A167" s="318">
        <v>150001018</v>
      </c>
      <c r="B167" s="46" t="s">
        <v>429</v>
      </c>
      <c r="C167" s="975">
        <v>5</v>
      </c>
      <c r="D167" s="976" t="s">
        <v>822</v>
      </c>
      <c r="E167" s="949">
        <f>'побудинковий звіт'!E134</f>
        <v>2638.46</v>
      </c>
      <c r="F167" s="950">
        <f>'побудинковий звіт'!AS134</f>
        <v>21833.99707563996</v>
      </c>
      <c r="G167" s="950">
        <f t="shared" si="16"/>
        <v>3048.8257257788282</v>
      </c>
      <c r="H167" s="950">
        <f t="shared" si="17"/>
        <v>-18785.171349861132</v>
      </c>
      <c r="I167" s="42">
        <f>'[2]поточний ремонт'!I167+'[1]поточний ремонт'!I167</f>
        <v>0</v>
      </c>
      <c r="J167" s="42">
        <f>'[2]поточний ремонт'!J167+'[1]поточний ремонт'!J167</f>
        <v>0</v>
      </c>
      <c r="K167" s="958"/>
      <c r="L167" s="42">
        <f>'[2]поточний ремонт'!L167+'[1]поточний ремонт'!L167</f>
        <v>0</v>
      </c>
      <c r="M167" s="42">
        <f>'[2]поточний ремонт'!M167+'[1]поточний ремонт'!M167</f>
        <v>0</v>
      </c>
      <c r="N167" s="36"/>
      <c r="O167" s="42">
        <f>'[2]поточний ремонт'!O167+'[1]поточний ремонт'!O167</f>
        <v>0</v>
      </c>
      <c r="P167" s="42">
        <f>'[2]поточний ремонт'!P167+'[1]поточний ремонт'!P167</f>
        <v>0</v>
      </c>
      <c r="Q167" s="959"/>
      <c r="R167" s="42">
        <f>'[2]поточний ремонт'!R167+'[1]поточний ремонт'!R167</f>
        <v>0</v>
      </c>
      <c r="S167" s="42">
        <f>'[2]поточний ремонт'!S167+'[1]поточний ремонт'!S167</f>
        <v>0</v>
      </c>
      <c r="T167" s="960"/>
      <c r="U167" s="42">
        <f>'[2]поточний ремонт'!U167+'[1]поточний ремонт'!U167</f>
        <v>0</v>
      </c>
      <c r="V167" s="42">
        <f>'[2]поточний ремонт'!V167+'[1]поточний ремонт'!V167</f>
        <v>0</v>
      </c>
      <c r="W167" s="42">
        <f>'[2]поточний ремонт'!W167+'[1]поточний ремонт'!W167</f>
        <v>0</v>
      </c>
      <c r="X167" s="42">
        <f>'[2]поточний ремонт'!X167+'[1]поточний ремонт'!X167</f>
        <v>202.9813867284376</v>
      </c>
      <c r="Y167" s="42">
        <f>'[2]поточний ремонт'!Y167+'[1]поточний ремонт'!Y167</f>
        <v>0</v>
      </c>
      <c r="Z167" s="42">
        <f>'[2]поточний ремонт'!Z167+'[1]поточний ремонт'!Z167</f>
        <v>0</v>
      </c>
      <c r="AA167" s="42">
        <f>'[2]поточний ремонт'!AA167+'[1]поточний ремонт'!AA167</f>
        <v>0</v>
      </c>
      <c r="AB167" s="42">
        <f>'[2]поточний ремонт'!AB167+'[1]поточний ремонт'!AB167</f>
        <v>0</v>
      </c>
      <c r="AC167" s="42">
        <f>'[2]поточний ремонт'!AC167+'[1]поточний ремонт'!AC167</f>
        <v>0</v>
      </c>
      <c r="AD167" s="42">
        <f>'[2]поточний ремонт'!AD167+'[1]поточний ремонт'!AD167</f>
        <v>2845.8443390503908</v>
      </c>
      <c r="AE167" s="42">
        <f>'[2]поточний ремонт'!AE167+'[1]поточний ремонт'!AE167</f>
        <v>1139.4212573523719</v>
      </c>
      <c r="AF167" s="42">
        <f>'[2]поточний ремонт'!AF167+'[1]поточний ремонт'!AF167</f>
        <v>664.49651020956799</v>
      </c>
      <c r="AG167" s="9"/>
      <c r="AH167" s="42">
        <f>'[2]поточний ремонт'!AH167+'[1]поточний ремонт'!AH167</f>
        <v>1694.4708654764263</v>
      </c>
      <c r="AI167" s="42">
        <f>'[2]поточний ремонт'!AI167+'[1]поточний ремонт'!AI167</f>
        <v>0</v>
      </c>
      <c r="AJ167" s="5"/>
      <c r="AK167" s="42">
        <f>'[2]поточний ремонт'!AK167+'[1]поточний ремонт'!AK167</f>
        <v>2183.9747415873553</v>
      </c>
      <c r="AL167" s="42">
        <f>'[2]поточний ремонт'!AL167+'[1]поточний ремонт'!AL167</f>
        <v>0</v>
      </c>
      <c r="AM167" s="5"/>
      <c r="AN167" s="42">
        <f>'[2]поточний ремонт'!AN167+'[1]поточний ремонт'!AN167</f>
        <v>1145.3614673512991</v>
      </c>
      <c r="AO167" s="42">
        <f>'[2]поточний ремонт'!AO167+'[1]поточний ремонт'!AO167</f>
        <v>0</v>
      </c>
      <c r="AP167" s="5"/>
      <c r="AQ167" s="42">
        <f>'[2]поточний ремонт'!AQ167+'[1]поточний ремонт'!AQ167</f>
        <v>110.27308797143304</v>
      </c>
      <c r="AR167" s="42">
        <f>'[2]поточний ремонт'!AR167+'[1]поточний ремонт'!AR167</f>
        <v>866.66979229146114</v>
      </c>
      <c r="AS167" s="5"/>
      <c r="AT167" s="42">
        <f>'[2]поточний ремонт'!AT167+'[1]поточний ремонт'!AT167</f>
        <v>914.66570294198959</v>
      </c>
      <c r="AU167" s="42">
        <f>'[2]поточний ремонт'!AU167+'[1]поточний ремонт'!AU167</f>
        <v>871.72892506646372</v>
      </c>
      <c r="AV167" s="5"/>
      <c r="AW167" s="42">
        <f>'[2]поточний ремонт'!AW167+'[1]поточний ремонт'!AW167</f>
        <v>39.307698405524434</v>
      </c>
      <c r="AX167" s="42">
        <f>'[2]поточний ремонт'!AX167+'[1]поточний ремонт'!AX167</f>
        <v>0</v>
      </c>
      <c r="AY167" s="5"/>
      <c r="AZ167" s="42">
        <f t="shared" si="18"/>
        <v>7227.4748210863991</v>
      </c>
      <c r="BA167" s="42">
        <f t="shared" si="19"/>
        <v>2402.8952275674928</v>
      </c>
      <c r="BB167" s="58">
        <f t="shared" si="20"/>
        <v>-4824.5795935189062</v>
      </c>
      <c r="BD167" s="2">
        <v>2</v>
      </c>
      <c r="BF167" s="29">
        <v>4.1060296483132124</v>
      </c>
      <c r="BG167" s="318">
        <v>150001018</v>
      </c>
      <c r="BI167" s="104">
        <v>14.88</v>
      </c>
      <c r="BJ167" s="104">
        <f t="shared" si="21"/>
        <v>2.0930535359999998</v>
      </c>
      <c r="BK167" s="104">
        <v>17.160892644480001</v>
      </c>
      <c r="BL167" s="38"/>
      <c r="BM167" s="3"/>
      <c r="BN167" s="3">
        <v>0</v>
      </c>
      <c r="BP167" s="3"/>
      <c r="BQ167" s="3"/>
      <c r="BS167" s="42"/>
      <c r="BT167" s="42">
        <v>0</v>
      </c>
      <c r="BU167" s="958"/>
      <c r="BV167" s="41"/>
      <c r="BW167" s="42"/>
      <c r="BX167" s="36"/>
      <c r="BY167" s="76"/>
      <c r="BZ167" s="42">
        <v>0</v>
      </c>
      <c r="CA167" s="959"/>
      <c r="CB167" s="41"/>
      <c r="CC167" s="41">
        <v>0</v>
      </c>
      <c r="CD167" s="960"/>
      <c r="CE167" s="76">
        <v>0</v>
      </c>
      <c r="CF167" s="55"/>
      <c r="CG167" s="41">
        <v>0</v>
      </c>
      <c r="CH167" s="38">
        <v>17.160892644480001</v>
      </c>
      <c r="CI167" s="76">
        <v>0</v>
      </c>
      <c r="CJ167" s="57"/>
      <c r="CK167" s="955"/>
      <c r="CL167" s="950"/>
      <c r="CM167" s="955"/>
      <c r="CN167" s="950">
        <v>0</v>
      </c>
      <c r="CO167" s="76">
        <v>92.517364507345363</v>
      </c>
      <c r="CP167" s="42">
        <v>0</v>
      </c>
      <c r="CQ167" s="9"/>
      <c r="CR167" s="76">
        <v>138.07177431460613</v>
      </c>
      <c r="CS167" s="954">
        <v>0</v>
      </c>
      <c r="CT167" s="5"/>
      <c r="CU167" s="76">
        <v>185.46574215753765</v>
      </c>
      <c r="CV167" s="42">
        <v>0</v>
      </c>
      <c r="CW167" s="5"/>
      <c r="CX167" s="76">
        <v>106.7344708267927</v>
      </c>
      <c r="CY167" s="42">
        <v>0</v>
      </c>
      <c r="CZ167" s="5"/>
      <c r="DA167" s="76">
        <v>0</v>
      </c>
      <c r="DB167" s="42">
        <v>0</v>
      </c>
      <c r="DC167" s="5"/>
      <c r="DD167" s="76">
        <v>59.106282508825508</v>
      </c>
      <c r="DE167" s="42">
        <v>0</v>
      </c>
      <c r="DF167" s="5"/>
      <c r="DG167" s="76">
        <v>0</v>
      </c>
      <c r="DH167" s="42"/>
      <c r="DI167" s="5"/>
      <c r="DJ167" s="42">
        <v>581.89563431510737</v>
      </c>
      <c r="DK167" s="42">
        <f t="shared" si="22"/>
        <v>0</v>
      </c>
      <c r="DL167" s="58">
        <f t="shared" si="23"/>
        <v>-581.89563431510737</v>
      </c>
      <c r="DM167" s="2">
        <v>2</v>
      </c>
    </row>
    <row r="168" spans="1:117" ht="24.9" customHeight="1" x14ac:dyDescent="0.3">
      <c r="A168" s="318">
        <v>150001019</v>
      </c>
      <c r="B168" s="44" t="s">
        <v>419</v>
      </c>
      <c r="C168" s="956">
        <v>10</v>
      </c>
      <c r="D168" s="957" t="s">
        <v>454</v>
      </c>
      <c r="E168" s="949">
        <f>'побудинковий звіт'!E135</f>
        <v>1892.8</v>
      </c>
      <c r="F168" s="950">
        <f>'побудинковий звіт'!AS135</f>
        <v>21859.668201058576</v>
      </c>
      <c r="G168" s="950">
        <f t="shared" si="16"/>
        <v>29547.693459721646</v>
      </c>
      <c r="H168" s="950">
        <f t="shared" si="17"/>
        <v>7688.0252586630704</v>
      </c>
      <c r="I168" s="42">
        <f>'[2]поточний ремонт'!I168+'[1]поточний ремонт'!I168</f>
        <v>10.06</v>
      </c>
      <c r="J168" s="42">
        <f>'[2]поточний ремонт'!J168+'[1]поточний ремонт'!J168</f>
        <v>8667.8205667409147</v>
      </c>
      <c r="K168" s="962"/>
      <c r="L168" s="42">
        <f>'[2]поточний ремонт'!L168+'[1]поточний ремонт'!L168</f>
        <v>0</v>
      </c>
      <c r="M168" s="42">
        <f>'[2]поточний ремонт'!M168+'[1]поточний ремонт'!M168</f>
        <v>0</v>
      </c>
      <c r="N168" s="961"/>
      <c r="O168" s="42">
        <f>'[2]поточний ремонт'!O168+'[1]поточний ремонт'!O168</f>
        <v>0</v>
      </c>
      <c r="P168" s="42">
        <f>'[2]поточний ремонт'!P168+'[1]поточний ремонт'!P168</f>
        <v>0</v>
      </c>
      <c r="Q168" s="959"/>
      <c r="R168" s="42">
        <f>'[2]поточний ремонт'!R168+'[1]поточний ремонт'!R168</f>
        <v>2</v>
      </c>
      <c r="S168" s="42">
        <f>'[2]поточний ремонт'!S168+'[1]поточний ремонт'!S168</f>
        <v>6493</v>
      </c>
      <c r="T168" s="960"/>
      <c r="U168" s="42">
        <f>'[2]поточний ремонт'!U168+'[1]поточний ремонт'!U168</f>
        <v>0</v>
      </c>
      <c r="V168" s="42">
        <f>'[2]поточний ремонт'!V168+'[1]поточний ремонт'!V168</f>
        <v>0</v>
      </c>
      <c r="W168" s="42">
        <f>'[2]поточний ремонт'!W168+'[1]поточний ремонт'!W168</f>
        <v>7</v>
      </c>
      <c r="X168" s="42">
        <f>'[2]поточний ремонт'!X168+'[1]поточний ремонт'!X168</f>
        <v>1509</v>
      </c>
      <c r="Y168" s="42">
        <f>'[2]поточний ремонт'!Y168+'[1]поточний ремонт'!Y168</f>
        <v>6545.2351419554607</v>
      </c>
      <c r="Z168" s="42">
        <f>'[2]поточний ремонт'!Z168+'[1]поточний ремонт'!Z168</f>
        <v>0</v>
      </c>
      <c r="AA168" s="42">
        <f>'[2]поточний ремонт'!AA168+'[1]поточний ремонт'!AA168</f>
        <v>0</v>
      </c>
      <c r="AB168" s="42">
        <f>'[2]поточний ремонт'!AB168+'[1]поточний ремонт'!AB168</f>
        <v>0</v>
      </c>
      <c r="AC168" s="42">
        <f>'[2]поточний ремонт'!AC168+'[1]поточний ремонт'!AC168</f>
        <v>4208</v>
      </c>
      <c r="AD168" s="42">
        <f>'[2]поточний ремонт'!AD168+'[1]поточний ремонт'!AD168</f>
        <v>2124.6377510252701</v>
      </c>
      <c r="AE168" s="42">
        <f>'[2]поточний ремонт'!AE168+'[1]поточний ремонт'!AE168</f>
        <v>2528.2181930878369</v>
      </c>
      <c r="AF168" s="42">
        <f>'[2]поточний ремонт'!AF168+'[1]поточний ремонт'!AF168</f>
        <v>1090.179175769382</v>
      </c>
      <c r="AG168" s="5"/>
      <c r="AH168" s="42">
        <f>'[2]поточний ремонт'!AH168+'[1]поточний ремонт'!AH168</f>
        <v>2385.9917298882424</v>
      </c>
      <c r="AI168" s="42">
        <f>'[2]поточний ремонт'!AI168+'[1]поточний ремонт'!AI168</f>
        <v>4124.2642766981162</v>
      </c>
      <c r="AJ168" s="5"/>
      <c r="AK168" s="42">
        <f>'[2]поточний ремонт'!AK168+'[1]поточний ремонт'!AK168</f>
        <v>2798.5368051701275</v>
      </c>
      <c r="AL168" s="42">
        <f>'[2]поточний ремонт'!AL168+'[1]поточний ремонт'!AL168</f>
        <v>0</v>
      </c>
      <c r="AM168" s="5"/>
      <c r="AN168" s="42">
        <f>'[2]поточний ремонт'!AN168+'[1]поточний ремонт'!AN168</f>
        <v>1060.0045221094028</v>
      </c>
      <c r="AO168" s="42">
        <f>'[2]поточний ремонт'!AO168+'[1]поточний ремонт'!AO168</f>
        <v>0</v>
      </c>
      <c r="AP168" s="5"/>
      <c r="AQ168" s="42">
        <f>'[2]поточний ремонт'!AQ168+'[1]поточний ремонт'!AQ168</f>
        <v>640.30163700803951</v>
      </c>
      <c r="AR168" s="42">
        <f>'[2]поточний ремонт'!AR168+'[1]поточний ремонт'!AR168</f>
        <v>12.8826444</v>
      </c>
      <c r="AS168" s="5"/>
      <c r="AT168" s="42">
        <f>'[2]поточний ремонт'!AT168+'[1]поточний ремонт'!AT168</f>
        <v>2424.1057310079177</v>
      </c>
      <c r="AU168" s="42">
        <f>'[2]поточний ремонт'!AU168+'[1]поточний ремонт'!AU168</f>
        <v>17316.93154591486</v>
      </c>
      <c r="AV168" s="9"/>
      <c r="AW168" s="42">
        <f>'[2]поточний ремонт'!AW168+'[1]поточний ремонт'!AW168</f>
        <v>692.1908980123028</v>
      </c>
      <c r="AX168" s="42">
        <f>'[2]поточний ремонт'!AX168+'[1]поточний ремонт'!AX168</f>
        <v>8131.2028635160004</v>
      </c>
      <c r="AY168" s="5"/>
      <c r="AZ168" s="42">
        <f t="shared" si="18"/>
        <v>12529.34951628387</v>
      </c>
      <c r="BA168" s="42">
        <f t="shared" si="19"/>
        <v>30675.460506298361</v>
      </c>
      <c r="BB168" s="58">
        <f t="shared" si="20"/>
        <v>18146.110990014491</v>
      </c>
      <c r="BD168" s="2">
        <v>1</v>
      </c>
      <c r="BF168" s="29">
        <v>323.37762570935462</v>
      </c>
      <c r="BG168" s="318">
        <v>150001019</v>
      </c>
      <c r="BI168" s="104">
        <v>0</v>
      </c>
      <c r="BJ168" s="104">
        <f t="shared" si="21"/>
        <v>0</v>
      </c>
      <c r="BK168" s="104">
        <v>0</v>
      </c>
      <c r="BL168" s="38"/>
      <c r="BM168" s="3"/>
      <c r="BN168" s="3">
        <v>0</v>
      </c>
      <c r="BP168" s="3"/>
      <c r="BQ168" s="3"/>
      <c r="BS168" s="42"/>
      <c r="BT168" s="42">
        <v>0</v>
      </c>
      <c r="BU168" s="962"/>
      <c r="BV168" s="41"/>
      <c r="BW168" s="42"/>
      <c r="BX168" s="961"/>
      <c r="BY168" s="76"/>
      <c r="BZ168" s="42">
        <v>0</v>
      </c>
      <c r="CA168" s="959"/>
      <c r="CB168" s="41"/>
      <c r="CC168" s="41">
        <v>0</v>
      </c>
      <c r="CD168" s="960"/>
      <c r="CE168" s="76">
        <v>0</v>
      </c>
      <c r="CF168" s="55"/>
      <c r="CG168" s="41">
        <v>0</v>
      </c>
      <c r="CH168" s="38">
        <v>0</v>
      </c>
      <c r="CI168" s="76">
        <v>0</v>
      </c>
      <c r="CJ168" s="964"/>
      <c r="CK168" s="955"/>
      <c r="CL168" s="950"/>
      <c r="CM168" s="955"/>
      <c r="CN168" s="950">
        <v>0</v>
      </c>
      <c r="CO168" s="76">
        <v>163.94797315367498</v>
      </c>
      <c r="CP168" s="42">
        <v>0</v>
      </c>
      <c r="CQ168" s="5"/>
      <c r="CR168" s="76">
        <v>195.03699058916126</v>
      </c>
      <c r="CS168" s="954">
        <v>0</v>
      </c>
      <c r="CT168" s="5"/>
      <c r="CU168" s="76">
        <v>211.49130751604164</v>
      </c>
      <c r="CV168" s="42">
        <v>0</v>
      </c>
      <c r="CW168" s="5"/>
      <c r="CX168" s="76">
        <v>89.986764075334577</v>
      </c>
      <c r="CY168" s="42">
        <v>0</v>
      </c>
      <c r="CZ168" s="5"/>
      <c r="DA168" s="76">
        <v>52.842011746104383</v>
      </c>
      <c r="DB168" s="42">
        <v>0</v>
      </c>
      <c r="DC168" s="5"/>
      <c r="DD168" s="76">
        <v>110.03914908802879</v>
      </c>
      <c r="DE168" s="42">
        <v>1142.8902890590398</v>
      </c>
      <c r="DF168" s="9"/>
      <c r="DG168" s="76">
        <v>59.172188112108344</v>
      </c>
      <c r="DH168" s="42"/>
      <c r="DI168" s="5"/>
      <c r="DJ168" s="42">
        <v>882.51638428045396</v>
      </c>
      <c r="DK168" s="42">
        <f t="shared" si="22"/>
        <v>1142.8902890590398</v>
      </c>
      <c r="DL168" s="58">
        <f t="shared" si="23"/>
        <v>260.37390477858582</v>
      </c>
      <c r="DM168" s="2">
        <v>1</v>
      </c>
    </row>
    <row r="169" spans="1:117" ht="24.9" customHeight="1" x14ac:dyDescent="0.3">
      <c r="A169" s="318">
        <v>150001020</v>
      </c>
      <c r="B169" s="44" t="s">
        <v>100</v>
      </c>
      <c r="C169" s="956">
        <v>1</v>
      </c>
      <c r="D169" s="957" t="s">
        <v>454</v>
      </c>
      <c r="E169" s="949">
        <f>'побудинковий звіт'!E136</f>
        <v>2858</v>
      </c>
      <c r="F169" s="950">
        <f>'побудинковий звіт'!AS136</f>
        <v>41775.936839970665</v>
      </c>
      <c r="G169" s="950">
        <f t="shared" si="16"/>
        <v>0</v>
      </c>
      <c r="H169" s="950">
        <f t="shared" si="17"/>
        <v>-41775.936839970665</v>
      </c>
      <c r="I169" s="42">
        <f>'[2]поточний ремонт'!I169+'[1]поточний ремонт'!I169</f>
        <v>0</v>
      </c>
      <c r="J169" s="42">
        <f>'[2]поточний ремонт'!J169+'[1]поточний ремонт'!J169</f>
        <v>0</v>
      </c>
      <c r="K169" s="958"/>
      <c r="L169" s="42">
        <f>'[2]поточний ремонт'!L169+'[1]поточний ремонт'!L169</f>
        <v>0</v>
      </c>
      <c r="M169" s="42">
        <f>'[2]поточний ремонт'!M169+'[1]поточний ремонт'!M169</f>
        <v>0</v>
      </c>
      <c r="N169" s="36"/>
      <c r="O169" s="42">
        <f>'[2]поточний ремонт'!O169+'[1]поточний ремонт'!O169</f>
        <v>0</v>
      </c>
      <c r="P169" s="42">
        <f>'[2]поточний ремонт'!P169+'[1]поточний ремонт'!P169</f>
        <v>0</v>
      </c>
      <c r="Q169" s="959"/>
      <c r="R169" s="42">
        <f>'[2]поточний ремонт'!R169+'[1]поточний ремонт'!R169</f>
        <v>0</v>
      </c>
      <c r="S169" s="42">
        <f>'[2]поточний ремонт'!S169+'[1]поточний ремонт'!S169</f>
        <v>0</v>
      </c>
      <c r="T169" s="960"/>
      <c r="U169" s="42">
        <f>'[2]поточний ремонт'!U169+'[1]поточний ремонт'!U169</f>
        <v>0</v>
      </c>
      <c r="V169" s="42">
        <f>'[2]поточний ремонт'!V169+'[1]поточний ремонт'!V169</f>
        <v>0</v>
      </c>
      <c r="W169" s="42">
        <f>'[2]поточний ремонт'!W169+'[1]поточний ремонт'!W169</f>
        <v>0</v>
      </c>
      <c r="X169" s="42">
        <f>'[2]поточний ремонт'!X169+'[1]поточний ремонт'!X169</f>
        <v>0</v>
      </c>
      <c r="Y169" s="42">
        <f>'[2]поточний ремонт'!Y169+'[1]поточний ремонт'!Y169</f>
        <v>0</v>
      </c>
      <c r="Z169" s="42">
        <f>'[2]поточний ремонт'!Z169+'[1]поточний ремонт'!Z169</f>
        <v>0</v>
      </c>
      <c r="AA169" s="42">
        <f>'[2]поточний ремонт'!AA169+'[1]поточний ремонт'!AA169</f>
        <v>0</v>
      </c>
      <c r="AB169" s="42">
        <f>'[2]поточний ремонт'!AB169+'[1]поточний ремонт'!AB169</f>
        <v>0</v>
      </c>
      <c r="AC169" s="42">
        <f>'[2]поточний ремонт'!AC169+'[1]поточний ремонт'!AC169</f>
        <v>0</v>
      </c>
      <c r="AD169" s="42">
        <f>'[2]поточний ремонт'!AD169+'[1]поточний ремонт'!AD169</f>
        <v>0</v>
      </c>
      <c r="AE169" s="42">
        <f>'[2]поточний ремонт'!AE169+'[1]поточний ремонт'!AE169</f>
        <v>0</v>
      </c>
      <c r="AF169" s="42">
        <f>'[2]поточний ремонт'!AF169+'[1]поточний ремонт'!AF169</f>
        <v>0</v>
      </c>
      <c r="AG169" s="5"/>
      <c r="AH169" s="42">
        <f>'[2]поточний ремонт'!AH169+'[1]поточний ремонт'!AH169</f>
        <v>0</v>
      </c>
      <c r="AI169" s="42">
        <f>'[2]поточний ремонт'!AI169+'[1]поточний ремонт'!AI169</f>
        <v>0</v>
      </c>
      <c r="AJ169" s="5"/>
      <c r="AK169" s="42">
        <f>'[2]поточний ремонт'!AK169+'[1]поточний ремонт'!AK169</f>
        <v>0</v>
      </c>
      <c r="AL169" s="42">
        <f>'[2]поточний ремонт'!AL169+'[1]поточний ремонт'!AL169</f>
        <v>0</v>
      </c>
      <c r="AM169" s="5"/>
      <c r="AN169" s="42">
        <f>'[2]поточний ремонт'!AN169+'[1]поточний ремонт'!AN169</f>
        <v>0</v>
      </c>
      <c r="AO169" s="42">
        <f>'[2]поточний ремонт'!AO169+'[1]поточний ремонт'!AO169</f>
        <v>0</v>
      </c>
      <c r="AP169" s="5"/>
      <c r="AQ169" s="42">
        <f>'[2]поточний ремонт'!AQ169+'[1]поточний ремонт'!AQ169</f>
        <v>0</v>
      </c>
      <c r="AR169" s="42">
        <f>'[2]поточний ремонт'!AR169+'[1]поточний ремонт'!AR169</f>
        <v>0</v>
      </c>
      <c r="AS169" s="5"/>
      <c r="AT169" s="42">
        <f>'[2]поточний ремонт'!AT169+'[1]поточний ремонт'!AT169</f>
        <v>0</v>
      </c>
      <c r="AU169" s="42">
        <f>'[2]поточний ремонт'!AU169+'[1]поточний ремонт'!AU169</f>
        <v>0</v>
      </c>
      <c r="AV169" s="5"/>
      <c r="AW169" s="42">
        <f>'[2]поточний ремонт'!AW169+'[1]поточний ремонт'!AW169</f>
        <v>0</v>
      </c>
      <c r="AX169" s="42">
        <f>'[2]поточний ремонт'!AX169+'[1]поточний ремонт'!AX169</f>
        <v>0</v>
      </c>
      <c r="AY169" s="5"/>
      <c r="AZ169" s="42">
        <f t="shared" si="18"/>
        <v>0</v>
      </c>
      <c r="BA169" s="42">
        <f t="shared" si="19"/>
        <v>0</v>
      </c>
      <c r="BB169" s="58">
        <f t="shared" si="20"/>
        <v>0</v>
      </c>
      <c r="BD169" s="2">
        <v>2</v>
      </c>
      <c r="BF169" s="29">
        <v>0</v>
      </c>
      <c r="BG169" s="318">
        <v>150001020</v>
      </c>
      <c r="BI169" s="104">
        <v>0</v>
      </c>
      <c r="BJ169" s="104">
        <f t="shared" si="21"/>
        <v>0</v>
      </c>
      <c r="BK169" s="104">
        <v>0</v>
      </c>
      <c r="BL169" s="38"/>
      <c r="BM169" s="3"/>
      <c r="BN169" s="3">
        <v>0</v>
      </c>
      <c r="BP169" s="3"/>
      <c r="BQ169" s="3"/>
      <c r="BS169" s="42"/>
      <c r="BT169" s="42">
        <v>0</v>
      </c>
      <c r="BU169" s="958"/>
      <c r="BV169" s="41"/>
      <c r="BW169" s="42"/>
      <c r="BX169" s="36"/>
      <c r="BY169" s="76"/>
      <c r="BZ169" s="42">
        <v>0</v>
      </c>
      <c r="CA169" s="959"/>
      <c r="CB169" s="41"/>
      <c r="CC169" s="41">
        <v>0</v>
      </c>
      <c r="CD169" s="960"/>
      <c r="CE169" s="76">
        <v>0</v>
      </c>
      <c r="CF169" s="55"/>
      <c r="CG169" s="41">
        <v>0</v>
      </c>
      <c r="CH169" s="38">
        <v>0</v>
      </c>
      <c r="CI169" s="76">
        <v>0</v>
      </c>
      <c r="CJ169" s="55"/>
      <c r="CK169" s="955"/>
      <c r="CL169" s="950"/>
      <c r="CM169" s="955"/>
      <c r="CN169" s="950">
        <v>0</v>
      </c>
      <c r="CO169" s="76">
        <v>0</v>
      </c>
      <c r="CP169" s="42">
        <v>0</v>
      </c>
      <c r="CQ169" s="5"/>
      <c r="CR169" s="76">
        <v>0</v>
      </c>
      <c r="CS169" s="954">
        <v>0</v>
      </c>
      <c r="CT169" s="5"/>
      <c r="CU169" s="76">
        <v>0</v>
      </c>
      <c r="CV169" s="42">
        <v>0</v>
      </c>
      <c r="CW169" s="5"/>
      <c r="CX169" s="76">
        <v>0</v>
      </c>
      <c r="CY169" s="42">
        <v>0</v>
      </c>
      <c r="CZ169" s="5"/>
      <c r="DA169" s="76">
        <v>0</v>
      </c>
      <c r="DB169" s="42">
        <v>0</v>
      </c>
      <c r="DC169" s="5"/>
      <c r="DD169" s="76">
        <v>0</v>
      </c>
      <c r="DE169" s="42">
        <v>0</v>
      </c>
      <c r="DF169" s="5"/>
      <c r="DG169" s="76">
        <v>0</v>
      </c>
      <c r="DH169" s="42"/>
      <c r="DI169" s="5"/>
      <c r="DJ169" s="42">
        <v>0</v>
      </c>
      <c r="DK169" s="42">
        <f t="shared" si="22"/>
        <v>0</v>
      </c>
      <c r="DL169" s="58">
        <f t="shared" si="23"/>
        <v>0</v>
      </c>
      <c r="DM169" s="2">
        <v>2</v>
      </c>
    </row>
    <row r="170" spans="1:117" ht="24.9" customHeight="1" x14ac:dyDescent="0.3">
      <c r="A170" s="318">
        <v>150001021</v>
      </c>
      <c r="B170" s="44" t="s">
        <v>363</v>
      </c>
      <c r="C170" s="956">
        <v>9</v>
      </c>
      <c r="D170" s="957" t="s">
        <v>454</v>
      </c>
      <c r="E170" s="949">
        <f>'побудинковий звіт'!E137</f>
        <v>4254.1000000000004</v>
      </c>
      <c r="F170" s="950">
        <f>'побудинковий звіт'!AS137</f>
        <v>67862.557659249054</v>
      </c>
      <c r="G170" s="950">
        <f t="shared" si="16"/>
        <v>52158.836239285396</v>
      </c>
      <c r="H170" s="950">
        <f t="shared" si="17"/>
        <v>-15703.721419963658</v>
      </c>
      <c r="I170" s="42">
        <f>'[2]поточний ремонт'!I170+'[1]поточний ремонт'!I170</f>
        <v>0</v>
      </c>
      <c r="J170" s="42">
        <f>'[2]поточний ремонт'!J170+'[1]поточний ремонт'!J170</f>
        <v>0</v>
      </c>
      <c r="K170" s="964"/>
      <c r="L170" s="42">
        <f>'[2]поточний ремонт'!L170+'[1]поточний ремонт'!L170</f>
        <v>0</v>
      </c>
      <c r="M170" s="42">
        <f>'[2]поточний ремонт'!M170+'[1]поточний ремонт'!M170</f>
        <v>0</v>
      </c>
      <c r="N170" s="36"/>
      <c r="O170" s="42">
        <f>'[2]поточний ремонт'!O170+'[1]поточний ремонт'!O170</f>
        <v>0</v>
      </c>
      <c r="P170" s="42">
        <f>'[2]поточний ремонт'!P170+'[1]поточний ремонт'!P170</f>
        <v>0</v>
      </c>
      <c r="Q170" s="959"/>
      <c r="R170" s="42">
        <f>'[2]поточний ремонт'!R170+'[1]поточний ремонт'!R170</f>
        <v>7</v>
      </c>
      <c r="S170" s="42">
        <f>'[2]поточний ремонт'!S170+'[1]поточний ремонт'!S170</f>
        <v>27295.701937919068</v>
      </c>
      <c r="T170" s="968"/>
      <c r="U170" s="42">
        <f>'[2]поточний ремонт'!U170+'[1]поточний ремонт'!U170</f>
        <v>0</v>
      </c>
      <c r="V170" s="42">
        <f>'[2]поточний ремонт'!V170+'[1]поточний ремонт'!V170</f>
        <v>0</v>
      </c>
      <c r="W170" s="42">
        <f>'[2]поточний ремонт'!W170+'[1]поточний ремонт'!W170</f>
        <v>5</v>
      </c>
      <c r="X170" s="42">
        <f>'[2]поточний ремонт'!X170+'[1]поточний ремонт'!X170</f>
        <v>648.18715346270449</v>
      </c>
      <c r="Y170" s="42">
        <f>'[2]поточний ремонт'!Y170+'[1]поточний ремонт'!Y170</f>
        <v>1206.0052220678383</v>
      </c>
      <c r="Z170" s="42">
        <f>'[2]поточний ремонт'!Z170+'[1]поточний ремонт'!Z170</f>
        <v>0</v>
      </c>
      <c r="AA170" s="42">
        <f>'[2]поточний ремонт'!AA170+'[1]поточний ремонт'!AA170</f>
        <v>0</v>
      </c>
      <c r="AB170" s="42">
        <f>'[2]поточний ремонт'!AB170+'[1]поточний ремонт'!AB170</f>
        <v>150.44556759024371</v>
      </c>
      <c r="AC170" s="42">
        <f>'[2]поточний ремонт'!AC170+'[1]поточний ремонт'!AC170</f>
        <v>15277.593583474725</v>
      </c>
      <c r="AD170" s="42">
        <f>'[2]поточний ремонт'!AD170+'[1]поточний ремонт'!AD170</f>
        <v>7580.9027747708196</v>
      </c>
      <c r="AE170" s="42">
        <f>'[2]поточний ремонт'!AE170+'[1]поточний ремонт'!AE170</f>
        <v>1655.6485889763615</v>
      </c>
      <c r="AF170" s="42">
        <f>'[2]поточний ремонт'!AF170+'[1]поточний ремонт'!AF170</f>
        <v>2840.9282934168987</v>
      </c>
      <c r="AG170" s="9"/>
      <c r="AH170" s="42">
        <f>'[2]поточний ремонт'!AH170+'[1]поточний ремонт'!AH170</f>
        <v>2581.6220947923371</v>
      </c>
      <c r="AI170" s="42">
        <f>'[2]поточний ремонт'!AI170+'[1]поточний ремонт'!AI170</f>
        <v>2424.3372782689366</v>
      </c>
      <c r="AJ170" s="965"/>
      <c r="AK170" s="42">
        <f>'[2]поточний ремонт'!AK170+'[1]поточний ремонт'!AK170</f>
        <v>1700.889145224286</v>
      </c>
      <c r="AL170" s="42">
        <f>'[2]поточний ремонт'!AL170+'[1]поточний ремонт'!AL170</f>
        <v>3666.664463790195</v>
      </c>
      <c r="AM170" s="5"/>
      <c r="AN170" s="42">
        <f>'[2]поточний ремонт'!AN170+'[1]поточний ремонт'!AN170</f>
        <v>738.22077439844577</v>
      </c>
      <c r="AO170" s="42">
        <f>'[2]поточний ремонт'!AO170+'[1]поточний ремонт'!AO170</f>
        <v>1287.2999011257489</v>
      </c>
      <c r="AP170" s="5"/>
      <c r="AQ170" s="42">
        <f>'[2]поточний ремонт'!AQ170+'[1]поточний ремонт'!AQ170</f>
        <v>804.60529979285604</v>
      </c>
      <c r="AR170" s="42">
        <f>'[2]поточний ремонт'!AR170+'[1]поточний ремонт'!AR170</f>
        <v>1404.9660277373732</v>
      </c>
      <c r="AS170" s="5"/>
      <c r="AT170" s="42">
        <f>'[2]поточний ремонт'!AT170+'[1]поточний ремонт'!AT170</f>
        <v>3151.4118591118372</v>
      </c>
      <c r="AU170" s="42">
        <f>'[2]поточний ремонт'!AU170+'[1]поточний ремонт'!AU170</f>
        <v>2970.8002827908203</v>
      </c>
      <c r="AV170" s="5"/>
      <c r="AW170" s="42">
        <f>'[2]поточний ремонт'!AW170+'[1]поточний ремонт'!AW170</f>
        <v>1085.7222214106002</v>
      </c>
      <c r="AX170" s="42">
        <f>'[2]поточний ремонт'!AX170+'[1]поточний ремонт'!AX170</f>
        <v>14745.226177052</v>
      </c>
      <c r="AY170" s="5"/>
      <c r="AZ170" s="42">
        <f t="shared" si="18"/>
        <v>11718.119983706723</v>
      </c>
      <c r="BA170" s="42">
        <f t="shared" si="19"/>
        <v>29340.222424181971</v>
      </c>
      <c r="BB170" s="58">
        <f t="shared" si="20"/>
        <v>17622.102440475246</v>
      </c>
      <c r="BD170" s="2">
        <v>1</v>
      </c>
      <c r="BF170" s="29">
        <v>541.14409918184197</v>
      </c>
      <c r="BG170" s="318">
        <v>150001021</v>
      </c>
      <c r="BI170" s="104">
        <v>0</v>
      </c>
      <c r="BJ170" s="104">
        <f t="shared" si="21"/>
        <v>0</v>
      </c>
      <c r="BK170" s="104">
        <v>0</v>
      </c>
      <c r="BL170" s="38"/>
      <c r="BM170" s="3"/>
      <c r="BN170" s="3">
        <v>0</v>
      </c>
      <c r="BP170" s="3"/>
      <c r="BQ170" s="3"/>
      <c r="BS170" s="42"/>
      <c r="BT170" s="42">
        <v>0</v>
      </c>
      <c r="BU170" s="964"/>
      <c r="BV170" s="41"/>
      <c r="BW170" s="42"/>
      <c r="BX170" s="36"/>
      <c r="BY170" s="76"/>
      <c r="BZ170" s="42">
        <v>0</v>
      </c>
      <c r="CA170" s="959"/>
      <c r="CB170" s="41">
        <v>3</v>
      </c>
      <c r="CC170" s="41">
        <v>10657.183710264879</v>
      </c>
      <c r="CD170" s="968"/>
      <c r="CE170" s="76">
        <v>0</v>
      </c>
      <c r="CF170" s="55"/>
      <c r="CG170" s="41">
        <v>0</v>
      </c>
      <c r="CH170" s="38">
        <v>0</v>
      </c>
      <c r="CI170" s="76">
        <v>0</v>
      </c>
      <c r="CJ170" s="55"/>
      <c r="CK170" s="955"/>
      <c r="CL170" s="950"/>
      <c r="CM170" s="955"/>
      <c r="CN170" s="950">
        <v>0</v>
      </c>
      <c r="CO170" s="76">
        <v>81.702297626668241</v>
      </c>
      <c r="CP170" s="42">
        <v>0</v>
      </c>
      <c r="CQ170" s="9"/>
      <c r="CR170" s="76">
        <v>168.4165808621197</v>
      </c>
      <c r="CS170" s="954">
        <v>0</v>
      </c>
      <c r="CT170" s="965"/>
      <c r="CU170" s="76">
        <v>122.36267525666695</v>
      </c>
      <c r="CV170" s="42">
        <v>0</v>
      </c>
      <c r="CW170" s="5"/>
      <c r="CX170" s="76">
        <v>51.513342319762067</v>
      </c>
      <c r="CY170" s="42">
        <v>0</v>
      </c>
      <c r="CZ170" s="5"/>
      <c r="DA170" s="76">
        <v>58.46452679686373</v>
      </c>
      <c r="DB170" s="42">
        <v>1364.6302416991139</v>
      </c>
      <c r="DC170" s="5"/>
      <c r="DD170" s="76">
        <v>83.306949881271066</v>
      </c>
      <c r="DE170" s="42">
        <v>0</v>
      </c>
      <c r="DF170" s="5"/>
      <c r="DG170" s="76">
        <v>93.746869895318611</v>
      </c>
      <c r="DH170" s="42"/>
      <c r="DI170" s="5"/>
      <c r="DJ170" s="42">
        <v>659.51324263867025</v>
      </c>
      <c r="DK170" s="42">
        <f t="shared" si="22"/>
        <v>1364.6302416991139</v>
      </c>
      <c r="DL170" s="58">
        <f t="shared" si="23"/>
        <v>705.11699906044362</v>
      </c>
      <c r="DM170" s="2">
        <v>1</v>
      </c>
    </row>
    <row r="171" spans="1:117" ht="24.9" customHeight="1" x14ac:dyDescent="0.3">
      <c r="A171" s="318">
        <v>150001035</v>
      </c>
      <c r="B171" s="44" t="s">
        <v>262</v>
      </c>
      <c r="C171" s="956">
        <v>5</v>
      </c>
      <c r="D171" s="957" t="s">
        <v>454</v>
      </c>
      <c r="E171" s="949">
        <f>'побудинковий звіт'!E138</f>
        <v>130.1</v>
      </c>
      <c r="F171" s="950">
        <f>'побудинковий звіт'!AS138</f>
        <v>1859.971960567595</v>
      </c>
      <c r="G171" s="950">
        <f t="shared" si="16"/>
        <v>14165.05719471852</v>
      </c>
      <c r="H171" s="950">
        <f t="shared" si="17"/>
        <v>12305.085234150925</v>
      </c>
      <c r="I171" s="42">
        <f>'[2]поточний ремонт'!I171+'[1]поточний ремонт'!I171</f>
        <v>34.72</v>
      </c>
      <c r="J171" s="42">
        <f>'[2]поточний ремонт'!J171+'[1]поточний ремонт'!J171</f>
        <v>13151</v>
      </c>
      <c r="K171" s="962"/>
      <c r="L171" s="42">
        <f>'[2]поточний ремонт'!L171+'[1]поточний ремонт'!L171</f>
        <v>0</v>
      </c>
      <c r="M171" s="42">
        <f>'[2]поточний ремонт'!M171+'[1]поточний ремонт'!M171</f>
        <v>0</v>
      </c>
      <c r="N171" s="961"/>
      <c r="O171" s="42">
        <f>'[2]поточний ремонт'!O171+'[1]поточний ремонт'!O171</f>
        <v>0</v>
      </c>
      <c r="P171" s="42">
        <f>'[2]поточний ремонт'!P171+'[1]поточний ремонт'!P171</f>
        <v>0</v>
      </c>
      <c r="Q171" s="959"/>
      <c r="R171" s="42">
        <f>'[2]поточний ремонт'!R171+'[1]поточний ремонт'!R171</f>
        <v>0</v>
      </c>
      <c r="S171" s="42">
        <f>'[2]поточний ремонт'!S171+'[1]поточний ремонт'!S171</f>
        <v>0</v>
      </c>
      <c r="T171" s="960"/>
      <c r="U171" s="42">
        <f>'[2]поточний ремонт'!U171+'[1]поточний ремонт'!U171</f>
        <v>0</v>
      </c>
      <c r="V171" s="42">
        <f>'[2]поточний ремонт'!V171+'[1]поточний ремонт'!V171</f>
        <v>0</v>
      </c>
      <c r="W171" s="42">
        <f>'[2]поточний ремонт'!W171+'[1]поточний ремонт'!W171</f>
        <v>0</v>
      </c>
      <c r="X171" s="42">
        <f>'[2]поточний ремонт'!X171+'[1]поточний ремонт'!X171</f>
        <v>0</v>
      </c>
      <c r="Y171" s="42">
        <f>'[2]поточний ремонт'!Y171+'[1]поточний ремонт'!Y171</f>
        <v>1014.0571947185192</v>
      </c>
      <c r="Z171" s="42">
        <f>'[2]поточний ремонт'!Z171+'[1]поточний ремонт'!Z171</f>
        <v>0</v>
      </c>
      <c r="AA171" s="42">
        <f>'[2]поточний ремонт'!AA171+'[1]поточний ремонт'!AA171</f>
        <v>0</v>
      </c>
      <c r="AB171" s="42">
        <f>'[2]поточний ремонт'!AB171+'[1]поточний ремонт'!AB171</f>
        <v>0</v>
      </c>
      <c r="AC171" s="42">
        <f>'[2]поточний ремонт'!AC171+'[1]поточний ремонт'!AC171</f>
        <v>0</v>
      </c>
      <c r="AD171" s="42">
        <f>'[2]поточний ремонт'!AD171+'[1]поточний ремонт'!AD171</f>
        <v>0</v>
      </c>
      <c r="AE171" s="42">
        <f>'[2]поточний ремонт'!AE171+'[1]поточний ремонт'!AE171</f>
        <v>1789.0150719913142</v>
      </c>
      <c r="AF171" s="42">
        <f>'[2]поточний ремонт'!AF171+'[1]поточний ремонт'!AF171</f>
        <v>0</v>
      </c>
      <c r="AG171" s="5"/>
      <c r="AH171" s="42">
        <f>'[2]поточний ремонт'!AH171+'[1]поточний ремонт'!AH171</f>
        <v>2522.7392020623865</v>
      </c>
      <c r="AI171" s="42">
        <f>'[2]поточний ремонт'!AI171+'[1]поточний ремонт'!AI171</f>
        <v>2890.710092458793</v>
      </c>
      <c r="AJ171" s="5"/>
      <c r="AK171" s="42">
        <f>'[2]поточний ремонт'!AK171+'[1]поточний ремонт'!AK171</f>
        <v>1742.6651266023587</v>
      </c>
      <c r="AL171" s="42">
        <f>'[2]поточний ремонт'!AL171+'[1]поточний ремонт'!AL171</f>
        <v>0</v>
      </c>
      <c r="AM171" s="5"/>
      <c r="AN171" s="42">
        <f>'[2]поточний ремонт'!AN171+'[1]поточний ремонт'!AN171</f>
        <v>769.38094383970974</v>
      </c>
      <c r="AO171" s="42">
        <f>'[2]поточний ремонт'!AO171+'[1]поточний ремонт'!AO171</f>
        <v>0</v>
      </c>
      <c r="AP171" s="5"/>
      <c r="AQ171" s="42">
        <f>'[2]поточний ремонт'!AQ171+'[1]поточний ремонт'!AQ171</f>
        <v>682.92421978566813</v>
      </c>
      <c r="AR171" s="42">
        <f>'[2]поточний ремонт'!AR171+'[1]поточний ремонт'!AR171</f>
        <v>15.456925</v>
      </c>
      <c r="AS171" s="5"/>
      <c r="AT171" s="42">
        <f>'[2]поточний ремонт'!AT171+'[1]поточний ремонт'!AT171</f>
        <v>1322.2980022913857</v>
      </c>
      <c r="AU171" s="42">
        <f>'[2]поточний ремонт'!AU171+'[1]поточний ремонт'!AU171</f>
        <v>3069.2202026117138</v>
      </c>
      <c r="AV171" s="5"/>
      <c r="AW171" s="42">
        <f>'[2]поточний ремонт'!AW171+'[1]поточний ремонт'!AW171</f>
        <v>1361.3147397545574</v>
      </c>
      <c r="AX171" s="42">
        <f>'[2]поточний ремонт'!AX171+'[1]поточний ремонт'!AX171</f>
        <v>0</v>
      </c>
      <c r="AY171" s="5"/>
      <c r="AZ171" s="42">
        <f t="shared" si="18"/>
        <v>10190.337306327381</v>
      </c>
      <c r="BA171" s="42">
        <f t="shared" si="19"/>
        <v>5975.3872200705064</v>
      </c>
      <c r="BB171" s="58">
        <f t="shared" si="20"/>
        <v>-4214.9500862568748</v>
      </c>
      <c r="BD171" s="2">
        <v>1</v>
      </c>
      <c r="BF171" s="29">
        <v>133.17720277516</v>
      </c>
      <c r="BG171" s="318">
        <v>150001035</v>
      </c>
      <c r="BI171" s="104">
        <v>0</v>
      </c>
      <c r="BJ171" s="104">
        <f t="shared" si="21"/>
        <v>0</v>
      </c>
      <c r="BK171" s="104">
        <v>0</v>
      </c>
      <c r="BL171" s="38"/>
      <c r="BM171" s="3"/>
      <c r="BN171" s="3">
        <v>0</v>
      </c>
      <c r="BP171" s="3"/>
      <c r="BQ171" s="3"/>
      <c r="BS171" s="42"/>
      <c r="BT171" s="42">
        <v>0</v>
      </c>
      <c r="BU171" s="962"/>
      <c r="BV171" s="41"/>
      <c r="BW171" s="42"/>
      <c r="BX171" s="961"/>
      <c r="BY171" s="76"/>
      <c r="BZ171" s="42">
        <v>0</v>
      </c>
      <c r="CA171" s="959"/>
      <c r="CB171" s="41"/>
      <c r="CC171" s="41">
        <v>0</v>
      </c>
      <c r="CD171" s="960"/>
      <c r="CE171" s="76">
        <v>0</v>
      </c>
      <c r="CF171" s="55"/>
      <c r="CG171" s="41">
        <v>0</v>
      </c>
      <c r="CH171" s="38">
        <v>0</v>
      </c>
      <c r="CI171" s="76">
        <v>0</v>
      </c>
      <c r="CJ171" s="55"/>
      <c r="CK171" s="955"/>
      <c r="CL171" s="950"/>
      <c r="CM171" s="955"/>
      <c r="CN171" s="950">
        <v>0</v>
      </c>
      <c r="CO171" s="76">
        <v>148.20379993944582</v>
      </c>
      <c r="CP171" s="42">
        <v>0</v>
      </c>
      <c r="CQ171" s="5"/>
      <c r="CR171" s="76">
        <v>215.71437418210596</v>
      </c>
      <c r="CS171" s="954">
        <v>2887.1153596711774</v>
      </c>
      <c r="CT171" s="5"/>
      <c r="CU171" s="76">
        <v>145.01711010176388</v>
      </c>
      <c r="CV171" s="42">
        <v>0</v>
      </c>
      <c r="CW171" s="5"/>
      <c r="CX171" s="76">
        <v>72.106662364130642</v>
      </c>
      <c r="CY171" s="42">
        <v>0</v>
      </c>
      <c r="CZ171" s="5"/>
      <c r="DA171" s="76">
        <v>59.973570119372766</v>
      </c>
      <c r="DB171" s="42">
        <v>0</v>
      </c>
      <c r="DC171" s="5"/>
      <c r="DD171" s="76">
        <v>82.957264330606762</v>
      </c>
      <c r="DE171" s="42">
        <v>0</v>
      </c>
      <c r="DF171" s="5"/>
      <c r="DG171" s="76">
        <v>116.37111192658503</v>
      </c>
      <c r="DH171" s="42"/>
      <c r="DI171" s="5"/>
      <c r="DJ171" s="42">
        <v>840.34389296401093</v>
      </c>
      <c r="DK171" s="42">
        <f t="shared" si="22"/>
        <v>2887.1153596711774</v>
      </c>
      <c r="DL171" s="58">
        <f t="shared" si="23"/>
        <v>2046.7714667071664</v>
      </c>
      <c r="DM171" s="2">
        <v>1</v>
      </c>
    </row>
    <row r="172" spans="1:117" ht="24.9" customHeight="1" x14ac:dyDescent="0.3">
      <c r="A172" s="318">
        <v>150001022</v>
      </c>
      <c r="B172" s="44" t="s">
        <v>364</v>
      </c>
      <c r="C172" s="956">
        <v>9</v>
      </c>
      <c r="D172" s="957" t="s">
        <v>454</v>
      </c>
      <c r="E172" s="949">
        <f>'побудинковий звіт'!E139</f>
        <v>373.5</v>
      </c>
      <c r="F172" s="950">
        <f>'побудинковий звіт'!AS139</f>
        <v>5257.8053002074885</v>
      </c>
      <c r="G172" s="950">
        <f t="shared" si="16"/>
        <v>14936.591816185359</v>
      </c>
      <c r="H172" s="950">
        <f t="shared" si="17"/>
        <v>9678.7865159778703</v>
      </c>
      <c r="I172" s="42">
        <f>'[2]поточний ремонт'!I172+'[1]поточний ремонт'!I172</f>
        <v>0</v>
      </c>
      <c r="J172" s="42">
        <f>'[2]поточний ремонт'!J172+'[1]поточний ремонт'!J172</f>
        <v>0</v>
      </c>
      <c r="K172" s="958"/>
      <c r="L172" s="42">
        <f>'[2]поточний ремонт'!L172+'[1]поточний ремонт'!L172</f>
        <v>0</v>
      </c>
      <c r="M172" s="42">
        <f>'[2]поточний ремонт'!M172+'[1]поточний ремонт'!M172</f>
        <v>0</v>
      </c>
      <c r="N172" s="961"/>
      <c r="O172" s="42">
        <f>'[2]поточний ремонт'!O172+'[1]поточний ремонт'!O172</f>
        <v>0</v>
      </c>
      <c r="P172" s="42">
        <f>'[2]поточний ремонт'!P172+'[1]поточний ремонт'!P172</f>
        <v>0</v>
      </c>
      <c r="Q172" s="959"/>
      <c r="R172" s="42">
        <f>'[2]поточний ремонт'!R172+'[1]поточний ремонт'!R172</f>
        <v>0</v>
      </c>
      <c r="S172" s="42">
        <f>'[2]поточний ремонт'!S172+'[1]поточний ремонт'!S172</f>
        <v>0</v>
      </c>
      <c r="T172" s="960"/>
      <c r="U172" s="42">
        <f>'[2]поточний ремонт'!U172+'[1]поточний ремонт'!U172</f>
        <v>9906.1218846242973</v>
      </c>
      <c r="V172" s="42">
        <f>'[2]поточний ремонт'!V172+'[1]поточний ремонт'!V172</f>
        <v>0</v>
      </c>
      <c r="W172" s="42">
        <f>'[2]поточний ремонт'!W172+'[1]поточний ремонт'!W172</f>
        <v>0</v>
      </c>
      <c r="X172" s="42">
        <f>'[2]поточний ремонт'!X172+'[1]поточний ремонт'!X172</f>
        <v>0</v>
      </c>
      <c r="Y172" s="42">
        <f>'[2]поточний ремонт'!Y172+'[1]поточний ремонт'!Y172</f>
        <v>676.04908807993922</v>
      </c>
      <c r="Z172" s="42">
        <f>'[2]поточний ремонт'!Z172+'[1]поточний ремонт'!Z172</f>
        <v>0</v>
      </c>
      <c r="AA172" s="42">
        <f>'[2]поточний ремонт'!AA172+'[1]поточний ремонт'!AA172</f>
        <v>0</v>
      </c>
      <c r="AB172" s="42">
        <f>'[2]поточний ремонт'!AB172+'[1]поточний ремонт'!AB172</f>
        <v>0</v>
      </c>
      <c r="AC172" s="42">
        <f>'[2]поточний ремонт'!AC172+'[1]поточний ремонт'!AC172</f>
        <v>0</v>
      </c>
      <c r="AD172" s="42">
        <f>'[2]поточний ремонт'!AD172+'[1]поточний ремонт'!AD172</f>
        <v>4354.4208434811235</v>
      </c>
      <c r="AE172" s="42">
        <f>'[2]поточний ремонт'!AE172+'[1]поточний ремонт'!AE172</f>
        <v>1020.7539300291991</v>
      </c>
      <c r="AF172" s="42">
        <f>'[2]поточний ремонт'!AF172+'[1]поточний ремонт'!AF172</f>
        <v>1375.3748763290137</v>
      </c>
      <c r="AG172" s="5"/>
      <c r="AH172" s="42">
        <f>'[2]поточний ремонт'!AH172+'[1]поточний ремонт'!AH172</f>
        <v>1421.0182523569756</v>
      </c>
      <c r="AI172" s="42">
        <f>'[2]поточний ремонт'!AI172+'[1]поточний ремонт'!AI172</f>
        <v>4362.1880739788567</v>
      </c>
      <c r="AJ172" s="5"/>
      <c r="AK172" s="42">
        <f>'[2]поточний ремонт'!AK172+'[1]поточний ремонт'!AK172</f>
        <v>1160.2109943528601</v>
      </c>
      <c r="AL172" s="42">
        <f>'[2]поточний ремонт'!AL172+'[1]поточний ремонт'!AL172</f>
        <v>1912.9040107978021</v>
      </c>
      <c r="AM172" s="965"/>
      <c r="AN172" s="42">
        <f>'[2]поточний ремонт'!AN172+'[1]поточний ремонт'!AN172</f>
        <v>518.51039087117374</v>
      </c>
      <c r="AO172" s="42">
        <f>'[2]поточний ремонт'!AO172+'[1]поточний ремонт'!AO172</f>
        <v>0</v>
      </c>
      <c r="AP172" s="5"/>
      <c r="AQ172" s="42">
        <f>'[2]поточний ремонт'!AQ172+'[1]поточний ремонт'!AQ172</f>
        <v>373.77169927388297</v>
      </c>
      <c r="AR172" s="42">
        <f>'[2]поточний ремонт'!AR172+'[1]поточний ремонт'!AR172</f>
        <v>19.323966600000002</v>
      </c>
      <c r="AS172" s="5"/>
      <c r="AT172" s="42">
        <f>'[2]поточний ремонт'!AT172+'[1]поточний ремонт'!AT172</f>
        <v>1193.2925244807109</v>
      </c>
      <c r="AU172" s="42">
        <f>'[2]поточний ремонт'!AU172+'[1]поточний ремонт'!AU172</f>
        <v>13362.598436104201</v>
      </c>
      <c r="AV172" s="5"/>
      <c r="AW172" s="42">
        <f>'[2]поточний ремонт'!AW172+'[1]поточний ремонт'!AW172</f>
        <v>375.80686644024547</v>
      </c>
      <c r="AX172" s="42">
        <f>'[2]поточний ремонт'!AX172+'[1]поточний ремонт'!AX172</f>
        <v>5314.2915215032926</v>
      </c>
      <c r="AY172" s="5"/>
      <c r="AZ172" s="42">
        <f t="shared" si="18"/>
        <v>6063.3646578050484</v>
      </c>
      <c r="BA172" s="42">
        <f t="shared" si="19"/>
        <v>26346.680885313166</v>
      </c>
      <c r="BB172" s="58">
        <f t="shared" si="20"/>
        <v>20283.316227508119</v>
      </c>
      <c r="BD172" s="2">
        <v>1</v>
      </c>
      <c r="BF172" s="29">
        <v>561.74875429558801</v>
      </c>
      <c r="BG172" s="318">
        <v>150001022</v>
      </c>
      <c r="BI172" s="104">
        <v>0</v>
      </c>
      <c r="BJ172" s="104">
        <f t="shared" si="21"/>
        <v>0</v>
      </c>
      <c r="BK172" s="104">
        <v>0</v>
      </c>
      <c r="BL172" s="38"/>
      <c r="BM172" s="3"/>
      <c r="BN172" s="3">
        <v>0</v>
      </c>
      <c r="BP172" s="3"/>
      <c r="BQ172" s="3"/>
      <c r="BS172" s="42"/>
      <c r="BT172" s="42">
        <v>0</v>
      </c>
      <c r="BU172" s="958"/>
      <c r="BV172" s="41"/>
      <c r="BW172" s="42"/>
      <c r="BX172" s="961"/>
      <c r="BY172" s="76"/>
      <c r="BZ172" s="42">
        <v>0</v>
      </c>
      <c r="CA172" s="959"/>
      <c r="CB172" s="41"/>
      <c r="CC172" s="41">
        <v>0</v>
      </c>
      <c r="CD172" s="960"/>
      <c r="CE172" s="76">
        <v>9892.6719662466021</v>
      </c>
      <c r="CF172" s="55"/>
      <c r="CG172" s="41">
        <v>0</v>
      </c>
      <c r="CH172" s="38">
        <v>0</v>
      </c>
      <c r="CI172" s="76">
        <v>0</v>
      </c>
      <c r="CJ172" s="55"/>
      <c r="CK172" s="955"/>
      <c r="CL172" s="950"/>
      <c r="CM172" s="955"/>
      <c r="CN172" s="950">
        <v>245.61216980218978</v>
      </c>
      <c r="CO172" s="76">
        <v>68.997779864900011</v>
      </c>
      <c r="CP172" s="42">
        <v>0</v>
      </c>
      <c r="CQ172" s="5"/>
      <c r="CR172" s="76">
        <v>110.42533255977038</v>
      </c>
      <c r="CS172" s="954">
        <v>0</v>
      </c>
      <c r="CT172" s="5"/>
      <c r="CU172" s="76">
        <v>88.743493553325834</v>
      </c>
      <c r="CV172" s="42">
        <v>0</v>
      </c>
      <c r="CW172" s="965"/>
      <c r="CX172" s="76">
        <v>43.578689750987849</v>
      </c>
      <c r="CY172" s="42">
        <v>0</v>
      </c>
      <c r="CZ172" s="5"/>
      <c r="DA172" s="76">
        <v>30.729175612901876</v>
      </c>
      <c r="DB172" s="42">
        <v>0</v>
      </c>
      <c r="DC172" s="5"/>
      <c r="DD172" s="76">
        <v>64.394984903218102</v>
      </c>
      <c r="DE172" s="42">
        <v>1097.0013464971196</v>
      </c>
      <c r="DF172" s="5"/>
      <c r="DG172" s="76">
        <v>32.574408953449151</v>
      </c>
      <c r="DH172" s="42"/>
      <c r="DI172" s="5"/>
      <c r="DJ172" s="42">
        <v>439.44386519855323</v>
      </c>
      <c r="DK172" s="42">
        <f t="shared" si="22"/>
        <v>1097.0013464971196</v>
      </c>
      <c r="DL172" s="58">
        <f t="shared" si="23"/>
        <v>657.55748129856636</v>
      </c>
      <c r="DM172" s="2">
        <v>1</v>
      </c>
    </row>
    <row r="173" spans="1:117" ht="24.9" customHeight="1" x14ac:dyDescent="0.3">
      <c r="A173" s="318">
        <v>150001023</v>
      </c>
      <c r="B173" s="44" t="s">
        <v>365</v>
      </c>
      <c r="C173" s="956">
        <v>9</v>
      </c>
      <c r="D173" s="957" t="s">
        <v>454</v>
      </c>
      <c r="E173" s="949">
        <f>'побудинковий звіт'!E140</f>
        <v>173.75</v>
      </c>
      <c r="F173" s="950">
        <f>'побудинковий звіт'!AS140</f>
        <v>2631.7224914284388</v>
      </c>
      <c r="G173" s="950">
        <f t="shared" si="16"/>
        <v>11537.334296987119</v>
      </c>
      <c r="H173" s="950">
        <f t="shared" si="17"/>
        <v>8905.6118055586812</v>
      </c>
      <c r="I173" s="42">
        <f>'[2]поточний ремонт'!I173+'[1]поточний ремонт'!I173</f>
        <v>0</v>
      </c>
      <c r="J173" s="42">
        <f>'[2]поточний ремонт'!J173+'[1]поточний ремонт'!J173</f>
        <v>0</v>
      </c>
      <c r="K173" s="958"/>
      <c r="L173" s="42">
        <f>'[2]поточний ремонт'!L173+'[1]поточний ремонт'!L173</f>
        <v>0</v>
      </c>
      <c r="M173" s="42">
        <f>'[2]поточний ремонт'!M173+'[1]поточний ремонт'!M173</f>
        <v>0</v>
      </c>
      <c r="N173" s="960"/>
      <c r="O173" s="42">
        <f>'[2]поточний ремонт'!O173+'[1]поточний ремонт'!O173</f>
        <v>14</v>
      </c>
      <c r="P173" s="42">
        <f>'[2]поточний ремонт'!P173+'[1]поточний ремонт'!P173</f>
        <v>4537</v>
      </c>
      <c r="Q173" s="959"/>
      <c r="R173" s="42">
        <f>'[2]поточний ремонт'!R173+'[1]поточний ремонт'!R173</f>
        <v>1</v>
      </c>
      <c r="S173" s="42">
        <f>'[2]поточний ремонт'!S173+'[1]поточний ремонт'!S173</f>
        <v>1360.2954424036004</v>
      </c>
      <c r="T173" s="967"/>
      <c r="U173" s="42">
        <f>'[2]поточний ремонт'!U173+'[1]поточний ремонт'!U173</f>
        <v>0</v>
      </c>
      <c r="V173" s="42">
        <f>'[2]поточний ремонт'!V173+'[1]поточний ремонт'!V173</f>
        <v>0</v>
      </c>
      <c r="W173" s="42">
        <f>'[2]поточний ремонт'!W173+'[1]поточний ремонт'!W173</f>
        <v>2</v>
      </c>
      <c r="X173" s="42">
        <f>'[2]поточний ремонт'!X173+'[1]поточний ремонт'!X173</f>
        <v>1604.6386423018439</v>
      </c>
      <c r="Y173" s="42">
        <f>'[2]поточний ремонт'!Y173+'[1]поточний ремонт'!Y173</f>
        <v>676.04908807993922</v>
      </c>
      <c r="Z173" s="42">
        <f>'[2]поточний ремонт'!Z173+'[1]поточний ремонт'!Z173</f>
        <v>0</v>
      </c>
      <c r="AA173" s="42">
        <f>'[2]поточний ремонт'!AA173+'[1]поточний ремонт'!AA173</f>
        <v>0</v>
      </c>
      <c r="AB173" s="42">
        <f>'[2]поточний ремонт'!AB173+'[1]поточний ремонт'!AB173</f>
        <v>0</v>
      </c>
      <c r="AC173" s="42">
        <f>'[2]поточний ремонт'!AC173+'[1]поточний ремонт'!AC173</f>
        <v>2861.8794702557761</v>
      </c>
      <c r="AD173" s="42">
        <f>'[2]поточний ремонт'!AD173+'[1]поточний ремонт'!AD173</f>
        <v>497.47165394595845</v>
      </c>
      <c r="AE173" s="42">
        <f>'[2]поточний ремонт'!AE173+'[1]поточний ремонт'!AE173</f>
        <v>843.39594855858979</v>
      </c>
      <c r="AF173" s="42">
        <f>'[2]поточний ремонт'!AF173+'[1]поточний ремонт'!AF173</f>
        <v>674.69890186767543</v>
      </c>
      <c r="AG173" s="5"/>
      <c r="AH173" s="42">
        <f>'[2]поточний ремонт'!AH173+'[1]поточний ремонт'!AH173</f>
        <v>1390.8418711226377</v>
      </c>
      <c r="AI173" s="42">
        <f>'[2]поточний ремонт'!AI173+'[1]поточний ремонт'!AI173</f>
        <v>7834.5380818058784</v>
      </c>
      <c r="AJ173" s="9"/>
      <c r="AK173" s="42">
        <f>'[2]поточний ремонт'!AK173+'[1]поточний ремонт'!AK173</f>
        <v>1931.2754251713902</v>
      </c>
      <c r="AL173" s="42">
        <f>'[2]поточний ремонт'!AL173+'[1]поточний ремонт'!AL173</f>
        <v>4429.3308390270458</v>
      </c>
      <c r="AM173" s="5"/>
      <c r="AN173" s="42">
        <f>'[2]поточний ремонт'!AN173+'[1]поточний ремонт'!AN173</f>
        <v>613.97268893331136</v>
      </c>
      <c r="AO173" s="42">
        <f>'[2]поточний ремонт'!AO173+'[1]поточний ремонт'!AO173</f>
        <v>0</v>
      </c>
      <c r="AP173" s="5"/>
      <c r="AQ173" s="42">
        <f>'[2]поточний ремонт'!AQ173+'[1]поточний ремонт'!AQ173</f>
        <v>373.77169927388297</v>
      </c>
      <c r="AR173" s="42">
        <f>'[2]поточний ремонт'!AR173+'[1]поточний ремонт'!AR173</f>
        <v>19.323966600000002</v>
      </c>
      <c r="AS173" s="5"/>
      <c r="AT173" s="42">
        <f>'[2]поточний ремонт'!AT173+'[1]поточний ремонт'!AT173</f>
        <v>914.6891371564659</v>
      </c>
      <c r="AU173" s="42">
        <f>'[2]поточний ремонт'!AU173+'[1]поточний ремонт'!AU173</f>
        <v>11312.35572685156</v>
      </c>
      <c r="AV173" s="5"/>
      <c r="AW173" s="42">
        <f>'[2]поточний ремонт'!AW173+'[1]поточний ремонт'!AW173</f>
        <v>365.70548864995197</v>
      </c>
      <c r="AX173" s="42">
        <f>'[2]поточний ремонт'!AX173+'[1]поточний ремонт'!AX173</f>
        <v>5616.3463846574905</v>
      </c>
      <c r="AY173" s="5"/>
      <c r="AZ173" s="42">
        <f t="shared" si="18"/>
        <v>6433.6522588662301</v>
      </c>
      <c r="BA173" s="42">
        <f t="shared" si="19"/>
        <v>29886.593900809647</v>
      </c>
      <c r="BB173" s="58">
        <f t="shared" si="20"/>
        <v>23452.941641943416</v>
      </c>
      <c r="BD173" s="2">
        <v>1</v>
      </c>
      <c r="BF173" s="29">
        <v>176.02403742111991</v>
      </c>
      <c r="BG173" s="318">
        <v>150001023</v>
      </c>
      <c r="BI173" s="104">
        <v>19.18</v>
      </c>
      <c r="BJ173" s="104">
        <f t="shared" si="21"/>
        <v>2.6979009959999996</v>
      </c>
      <c r="BK173" s="104">
        <v>22.120021567279998</v>
      </c>
      <c r="BL173" s="38"/>
      <c r="BM173" s="3"/>
      <c r="BN173" s="3">
        <v>0</v>
      </c>
      <c r="BP173" s="3"/>
      <c r="BQ173" s="3"/>
      <c r="BS173" s="42"/>
      <c r="BT173" s="42">
        <v>0</v>
      </c>
      <c r="BU173" s="958"/>
      <c r="BV173" s="41"/>
      <c r="BW173" s="42"/>
      <c r="BX173" s="960"/>
      <c r="BY173" s="76"/>
      <c r="BZ173" s="42">
        <v>0</v>
      </c>
      <c r="CA173" s="959"/>
      <c r="CB173" s="41"/>
      <c r="CC173" s="41">
        <v>0</v>
      </c>
      <c r="CD173" s="967"/>
      <c r="CE173" s="76">
        <v>0</v>
      </c>
      <c r="CF173" s="55"/>
      <c r="CG173" s="41">
        <v>0</v>
      </c>
      <c r="CH173" s="38">
        <v>22.120021567279998</v>
      </c>
      <c r="CI173" s="76">
        <v>0</v>
      </c>
      <c r="CJ173" s="55"/>
      <c r="CK173" s="955"/>
      <c r="CL173" s="950"/>
      <c r="CM173" s="955"/>
      <c r="CN173" s="950">
        <v>0</v>
      </c>
      <c r="CO173" s="76">
        <v>68.997779864900011</v>
      </c>
      <c r="CP173" s="42">
        <v>0</v>
      </c>
      <c r="CQ173" s="5"/>
      <c r="CR173" s="76">
        <v>110.42533255977038</v>
      </c>
      <c r="CS173" s="954">
        <v>0</v>
      </c>
      <c r="CT173" s="9"/>
      <c r="CU173" s="76">
        <v>158.61793776766015</v>
      </c>
      <c r="CV173" s="42">
        <v>0</v>
      </c>
      <c r="CW173" s="5"/>
      <c r="CX173" s="76">
        <v>54.959248014381146</v>
      </c>
      <c r="CY173" s="42">
        <v>0</v>
      </c>
      <c r="CZ173" s="5"/>
      <c r="DA173" s="76">
        <v>30.729175612901876</v>
      </c>
      <c r="DB173" s="42">
        <v>0</v>
      </c>
      <c r="DC173" s="5"/>
      <c r="DD173" s="76">
        <v>66.940239710160171</v>
      </c>
      <c r="DE173" s="42">
        <v>0</v>
      </c>
      <c r="DF173" s="5"/>
      <c r="DG173" s="76">
        <v>31.574272538568618</v>
      </c>
      <c r="DH173" s="42"/>
      <c r="DI173" s="5"/>
      <c r="DJ173" s="42">
        <v>522.24398606834234</v>
      </c>
      <c r="DK173" s="42">
        <f t="shared" si="22"/>
        <v>0</v>
      </c>
      <c r="DL173" s="58">
        <f t="shared" si="23"/>
        <v>-522.24398606834234</v>
      </c>
      <c r="DM173" s="2">
        <v>1</v>
      </c>
    </row>
    <row r="174" spans="1:117" ht="24.9" customHeight="1" x14ac:dyDescent="0.3">
      <c r="A174" s="318">
        <v>150001024</v>
      </c>
      <c r="B174" s="44" t="s">
        <v>366</v>
      </c>
      <c r="C174" s="956">
        <v>9</v>
      </c>
      <c r="D174" s="957" t="s">
        <v>454</v>
      </c>
      <c r="E174" s="949">
        <f>'побудинковий звіт'!E141</f>
        <v>188.4</v>
      </c>
      <c r="F174" s="950">
        <f>'побудинковий звіт'!AS141</f>
        <v>2212.6415531801345</v>
      </c>
      <c r="G174" s="950">
        <f t="shared" si="16"/>
        <v>47316.855727359667</v>
      </c>
      <c r="H174" s="950">
        <f t="shared" si="17"/>
        <v>45104.214174179535</v>
      </c>
      <c r="I174" s="42">
        <f>'[2]поточний ремонт'!I174+'[1]поточний ремонт'!I174</f>
        <v>0</v>
      </c>
      <c r="J174" s="42">
        <f>'[2]поточний ремонт'!J174+'[1]поточний ремонт'!J174</f>
        <v>0</v>
      </c>
      <c r="K174" s="958"/>
      <c r="L174" s="42">
        <f>'[2]поточний ремонт'!L174+'[1]поточний ремонт'!L174</f>
        <v>0</v>
      </c>
      <c r="M174" s="42">
        <f>'[2]поточний ремонт'!M174+'[1]поточний ремонт'!M174</f>
        <v>0</v>
      </c>
      <c r="N174" s="36"/>
      <c r="O174" s="42">
        <f>'[2]поточний ремонт'!O174+'[1]поточний ремонт'!O174</f>
        <v>0</v>
      </c>
      <c r="P174" s="42">
        <f>'[2]поточний ремонт'!P174+'[1]поточний ремонт'!P174</f>
        <v>0</v>
      </c>
      <c r="Q174" s="959"/>
      <c r="R174" s="42">
        <f>'[2]поточний ремонт'!R174+'[1]поточний ремонт'!R174</f>
        <v>0</v>
      </c>
      <c r="S174" s="42">
        <f>'[2]поточний ремонт'!S174+'[1]поточний ремонт'!S174</f>
        <v>0</v>
      </c>
      <c r="T174" s="960"/>
      <c r="U174" s="42">
        <f>'[2]поточний ремонт'!U174+'[1]поточний ремонт'!U174</f>
        <v>21205.872368517652</v>
      </c>
      <c r="V174" s="42">
        <f>'[2]поточний ремонт'!V174+'[1]поточний ремонт'!V174</f>
        <v>0</v>
      </c>
      <c r="W174" s="42">
        <f>'[2]поточний ремонт'!W174+'[1]поточний ремонт'!W174</f>
        <v>0</v>
      </c>
      <c r="X174" s="42">
        <f>'[2]поточний ремонт'!X174+'[1]поточний ремонт'!X174</f>
        <v>0</v>
      </c>
      <c r="Y174" s="42">
        <f>'[2]поточний ремонт'!Y174+'[1]поточний ремонт'!Y174</f>
        <v>0</v>
      </c>
      <c r="Z174" s="42">
        <f>'[2]поточний ремонт'!Z174+'[1]поточний ремонт'!Z174</f>
        <v>0</v>
      </c>
      <c r="AA174" s="42">
        <f>'[2]поточний ремонт'!AA174+'[1]поточний ремонт'!AA174</f>
        <v>0</v>
      </c>
      <c r="AB174" s="42">
        <f>'[2]поточний ремонт'!AB174+'[1]поточний ремонт'!AB174</f>
        <v>0</v>
      </c>
      <c r="AC174" s="42">
        <f>'[2]поточний ремонт'!AC174+'[1]поточний ремонт'!AC174</f>
        <v>988.83933341490786</v>
      </c>
      <c r="AD174" s="42">
        <f>'[2]поточний ремонт'!AD174+'[1]поточний ремонт'!AD174</f>
        <v>25122.144025427107</v>
      </c>
      <c r="AE174" s="42">
        <f>'[2]поточний ремонт'!AE174+'[1]поточний ремонт'!AE174</f>
        <v>1546.6684913997101</v>
      </c>
      <c r="AF174" s="42">
        <f>'[2]поточний ремонт'!AF174+'[1]поточний ремонт'!AF174</f>
        <v>0</v>
      </c>
      <c r="AG174" s="5"/>
      <c r="AH174" s="42">
        <f>'[2]поточний ремонт'!AH174+'[1]поточний ремонт'!AH174</f>
        <v>1728.8164504504794</v>
      </c>
      <c r="AI174" s="42">
        <f>'[2]поточний ремонт'!AI174+'[1]поточний ремонт'!AI174</f>
        <v>5761.4106714731179</v>
      </c>
      <c r="AJ174" s="5"/>
      <c r="AK174" s="42">
        <f>'[2]поточний ремонт'!AK174+'[1]поточний ремонт'!AK174</f>
        <v>1779.3023204963574</v>
      </c>
      <c r="AL174" s="42">
        <f>'[2]поточний ремонт'!AL174+'[1]поточний ремонт'!AL174</f>
        <v>0</v>
      </c>
      <c r="AM174" s="5"/>
      <c r="AN174" s="42">
        <f>'[2]поточний ремонт'!AN174+'[1]поточний ремонт'!AN174</f>
        <v>783.39991474714679</v>
      </c>
      <c r="AO174" s="42">
        <f>'[2]поточний ремонт'!AO174+'[1]поточний ремонт'!AO174</f>
        <v>0</v>
      </c>
      <c r="AP174" s="5"/>
      <c r="AQ174" s="42">
        <f>'[2]поточний ремонт'!AQ174+'[1]поточний ремонт'!AQ174</f>
        <v>396.51126392625707</v>
      </c>
      <c r="AR174" s="42">
        <f>'[2]поточний ремонт'!AR174+'[1]поточний ремонт'!AR174</f>
        <v>0</v>
      </c>
      <c r="AS174" s="5"/>
      <c r="AT174" s="42">
        <f>'[2]поточний ремонт'!AT174+'[1]поточний ремонт'!AT174</f>
        <v>1395.0973596001904</v>
      </c>
      <c r="AU174" s="42">
        <f>'[2]поточний ремонт'!AU174+'[1]поточний ремонт'!AU174</f>
        <v>1888.2058801100907</v>
      </c>
      <c r="AV174" s="5"/>
      <c r="AW174" s="42">
        <f>'[2]поточний ремонт'!AW174+'[1]поточний ремонт'!AW174</f>
        <v>369.54317760964523</v>
      </c>
      <c r="AX174" s="42">
        <f>'[2]поточний ремонт'!AX174+'[1]поточний ремонт'!AX174</f>
        <v>1066.42330687</v>
      </c>
      <c r="AY174" s="5"/>
      <c r="AZ174" s="42">
        <f t="shared" si="18"/>
        <v>7999.3389782297854</v>
      </c>
      <c r="BA174" s="42">
        <f t="shared" si="19"/>
        <v>8716.0398584532086</v>
      </c>
      <c r="BB174" s="58">
        <f t="shared" si="20"/>
        <v>716.70088022342316</v>
      </c>
      <c r="BD174" s="2">
        <v>1</v>
      </c>
      <c r="BF174" s="29">
        <v>200.51561792937321</v>
      </c>
      <c r="BG174" s="318">
        <v>150001024</v>
      </c>
      <c r="BI174" s="104">
        <v>0</v>
      </c>
      <c r="BJ174" s="104">
        <f t="shared" si="21"/>
        <v>0</v>
      </c>
      <c r="BK174" s="104">
        <v>0</v>
      </c>
      <c r="BL174" s="38"/>
      <c r="BM174" s="3"/>
      <c r="BN174" s="3">
        <v>0</v>
      </c>
      <c r="BP174" s="3"/>
      <c r="BQ174" s="3"/>
      <c r="BS174" s="42"/>
      <c r="BT174" s="42">
        <v>0</v>
      </c>
      <c r="BU174" s="958"/>
      <c r="BV174" s="41"/>
      <c r="BW174" s="42"/>
      <c r="BX174" s="36"/>
      <c r="BY174" s="76"/>
      <c r="BZ174" s="42">
        <v>0</v>
      </c>
      <c r="CA174" s="959"/>
      <c r="CB174" s="41"/>
      <c r="CC174" s="41">
        <v>0</v>
      </c>
      <c r="CD174" s="960"/>
      <c r="CE174" s="76">
        <v>0</v>
      </c>
      <c r="CF174" s="55"/>
      <c r="CG174" s="41">
        <v>0</v>
      </c>
      <c r="CH174" s="38">
        <v>0</v>
      </c>
      <c r="CI174" s="76">
        <v>0</v>
      </c>
      <c r="CJ174" s="55"/>
      <c r="CK174" s="955"/>
      <c r="CL174" s="950"/>
      <c r="CM174" s="955"/>
      <c r="CN174" s="950">
        <v>956.71065312630628</v>
      </c>
      <c r="CO174" s="76">
        <v>103.38992989367803</v>
      </c>
      <c r="CP174" s="42">
        <v>0</v>
      </c>
      <c r="CQ174" s="5"/>
      <c r="CR174" s="76">
        <v>124.86297817174597</v>
      </c>
      <c r="CS174" s="954">
        <v>0</v>
      </c>
      <c r="CT174" s="5"/>
      <c r="CU174" s="76">
        <v>130.82600233785629</v>
      </c>
      <c r="CV174" s="42">
        <v>0</v>
      </c>
      <c r="CW174" s="5"/>
      <c r="CX174" s="76">
        <v>68.092279580378744</v>
      </c>
      <c r="CY174" s="42">
        <v>0</v>
      </c>
      <c r="CZ174" s="5"/>
      <c r="DA174" s="76">
        <v>32.980617657691397</v>
      </c>
      <c r="DB174" s="42">
        <v>0</v>
      </c>
      <c r="DC174" s="5"/>
      <c r="DD174" s="76">
        <v>63.645007559589921</v>
      </c>
      <c r="DE174" s="42">
        <v>0</v>
      </c>
      <c r="DF174" s="5"/>
      <c r="DG174" s="76">
        <v>31.907651343528812</v>
      </c>
      <c r="DH174" s="42"/>
      <c r="DI174" s="5"/>
      <c r="DJ174" s="42">
        <v>555.70446654446914</v>
      </c>
      <c r="DK174" s="42">
        <f t="shared" si="22"/>
        <v>0</v>
      </c>
      <c r="DL174" s="58">
        <f t="shared" si="23"/>
        <v>-555.70446654446914</v>
      </c>
      <c r="DM174" s="2">
        <v>1</v>
      </c>
    </row>
    <row r="175" spans="1:117" ht="24.9" customHeight="1" x14ac:dyDescent="0.3">
      <c r="A175" s="318">
        <v>150001025</v>
      </c>
      <c r="B175" s="44" t="s">
        <v>420</v>
      </c>
      <c r="C175" s="956">
        <v>10</v>
      </c>
      <c r="D175" s="957" t="s">
        <v>454</v>
      </c>
      <c r="E175" s="949">
        <f>'побудинковий звіт'!E142</f>
        <v>195.4</v>
      </c>
      <c r="F175" s="950">
        <f>'побудинковий звіт'!AS142</f>
        <v>2401.7023545912816</v>
      </c>
      <c r="G175" s="950">
        <f t="shared" si="16"/>
        <v>36278.470195782182</v>
      </c>
      <c r="H175" s="950">
        <f t="shared" si="17"/>
        <v>33876.7678411909</v>
      </c>
      <c r="I175" s="42">
        <f>'[2]поточний ремонт'!I175+'[1]поточний ремонт'!I175</f>
        <v>45.8</v>
      </c>
      <c r="J175" s="42">
        <f>'[2]поточний ремонт'!J175+'[1]поточний ремонт'!J175</f>
        <v>15709</v>
      </c>
      <c r="K175" s="958"/>
      <c r="L175" s="42">
        <f>'[2]поточний ремонт'!L175+'[1]поточний ремонт'!L175</f>
        <v>0</v>
      </c>
      <c r="M175" s="42">
        <f>'[2]поточний ремонт'!M175+'[1]поточний ремонт'!M175</f>
        <v>0</v>
      </c>
      <c r="N175" s="961"/>
      <c r="O175" s="42">
        <f>'[2]поточний ремонт'!O175+'[1]поточний ремонт'!O175</f>
        <v>0</v>
      </c>
      <c r="P175" s="42">
        <f>'[2]поточний ремонт'!P175+'[1]поточний ремонт'!P175</f>
        <v>0</v>
      </c>
      <c r="Q175" s="959"/>
      <c r="R175" s="42">
        <f>'[2]поточний ремонт'!R175+'[1]поточний ремонт'!R175</f>
        <v>1</v>
      </c>
      <c r="S175" s="42">
        <f>'[2]поточний ремонт'!S175+'[1]поточний ремонт'!S175</f>
        <v>7392.2310875567</v>
      </c>
      <c r="T175" s="960"/>
      <c r="U175" s="42">
        <f>'[2]поточний ремонт'!U175+'[1]поточний ремонт'!U175</f>
        <v>312.88391847490385</v>
      </c>
      <c r="V175" s="42">
        <f>'[2]поточний ремонт'!V175+'[1]поточний ремонт'!V175</f>
        <v>0</v>
      </c>
      <c r="W175" s="42">
        <f>'[2]поточний ремонт'!W175+'[1]поточний ремонт'!W175</f>
        <v>0</v>
      </c>
      <c r="X175" s="42">
        <f>'[2]поточний ремонт'!X175+'[1]поточний ремонт'!X175</f>
        <v>0</v>
      </c>
      <c r="Y175" s="42">
        <f>'[2]поточний ремонт'!Y175+'[1]поточний ремонт'!Y175</f>
        <v>2857.8554944696757</v>
      </c>
      <c r="Z175" s="42">
        <f>'[2]поточний ремонт'!Z175+'[1]поточний ремонт'!Z175</f>
        <v>0</v>
      </c>
      <c r="AA175" s="42">
        <f>'[2]поточний ремонт'!AA175+'[1]поточний ремонт'!AA175</f>
        <v>3811.1745766482672</v>
      </c>
      <c r="AB175" s="42">
        <f>'[2]поточний ремонт'!AB175+'[1]поточний ремонт'!AB175</f>
        <v>1007.3677414892687</v>
      </c>
      <c r="AC175" s="42">
        <f>'[2]поточний ремонт'!AC175+'[1]поточний ремонт'!AC175</f>
        <v>1957.6579866913721</v>
      </c>
      <c r="AD175" s="42">
        <f>'[2]поточний ремонт'!AD175+'[1]поточний ремонт'!AD175</f>
        <v>3230.2993904519894</v>
      </c>
      <c r="AE175" s="42">
        <f>'[2]поточний ремонт'!AE175+'[1]поточний ремонт'!AE175</f>
        <v>1909.9758610176812</v>
      </c>
      <c r="AF175" s="42">
        <f>'[2]поточний ремонт'!AF175+'[1]поточний ремонт'!AF175</f>
        <v>768.21609510368512</v>
      </c>
      <c r="AG175" s="5"/>
      <c r="AH175" s="42">
        <f>'[2]поточний ремонт'!AH175+'[1]поточний ремонт'!AH175</f>
        <v>1868.0312847338221</v>
      </c>
      <c r="AI175" s="42">
        <f>'[2]поточний ремонт'!AI175+'[1]поточний ремонт'!AI175</f>
        <v>6915.9624594596007</v>
      </c>
      <c r="AJ175" s="5"/>
      <c r="AK175" s="42">
        <f>'[2]поточний ремонт'!AK175+'[1]поточний ремонт'!AK175</f>
        <v>2048.8154850167402</v>
      </c>
      <c r="AL175" s="42">
        <f>'[2]поточний ремонт'!AL175+'[1]поточний ремонт'!AL175</f>
        <v>0</v>
      </c>
      <c r="AM175" s="5"/>
      <c r="AN175" s="42">
        <f>'[2]поточний ремонт'!AN175+'[1]поточний ремонт'!AN175</f>
        <v>841.45887131117047</v>
      </c>
      <c r="AO175" s="42">
        <f>'[2]поточний ремонт'!AO175+'[1]поточний ремонт'!AO175</f>
        <v>0</v>
      </c>
      <c r="AP175" s="5"/>
      <c r="AQ175" s="42">
        <f>'[2]поточний ремонт'!AQ175+'[1]поточний ремонт'!AQ175</f>
        <v>431.1968735066456</v>
      </c>
      <c r="AR175" s="42">
        <f>'[2]поточний ремонт'!AR175+'[1]поточний ремонт'!AR175</f>
        <v>7601.5646999266955</v>
      </c>
      <c r="AS175" s="5"/>
      <c r="AT175" s="42">
        <f>'[2]поточний ремонт'!AT175+'[1]поточний ремонт'!AT175</f>
        <v>1501.3513297900515</v>
      </c>
      <c r="AU175" s="42">
        <f>'[2]поточний ремонт'!AU175+'[1]поточний ремонт'!AU175</f>
        <v>7904.8496866662608</v>
      </c>
      <c r="AV175" s="5"/>
      <c r="AW175" s="42">
        <f>'[2]поточний ремонт'!AW175+'[1]поточний ремонт'!AW175</f>
        <v>473.05548333286123</v>
      </c>
      <c r="AX175" s="42">
        <f>'[2]поточний ремонт'!AX175+'[1]поточний ремонт'!AX175</f>
        <v>4743.9346073650004</v>
      </c>
      <c r="AY175" s="5"/>
      <c r="AZ175" s="42">
        <f t="shared" si="18"/>
        <v>9073.8851887089713</v>
      </c>
      <c r="BA175" s="42">
        <f t="shared" si="19"/>
        <v>27934.527548521244</v>
      </c>
      <c r="BB175" s="58">
        <f t="shared" si="20"/>
        <v>18860.642359812271</v>
      </c>
      <c r="BD175" s="2">
        <v>1</v>
      </c>
      <c r="BF175" s="29">
        <v>245.98563282433344</v>
      </c>
      <c r="BG175" s="318">
        <v>150001025</v>
      </c>
      <c r="BI175" s="104">
        <v>0</v>
      </c>
      <c r="BJ175" s="104">
        <f t="shared" si="21"/>
        <v>0</v>
      </c>
      <c r="BK175" s="104">
        <v>0</v>
      </c>
      <c r="BL175" s="38"/>
      <c r="BM175" s="3"/>
      <c r="BN175" s="3">
        <v>0</v>
      </c>
      <c r="BP175" s="3"/>
      <c r="BQ175" s="3"/>
      <c r="BS175" s="42"/>
      <c r="BT175" s="42">
        <v>0</v>
      </c>
      <c r="BU175" s="958"/>
      <c r="BV175" s="41"/>
      <c r="BW175" s="42"/>
      <c r="BX175" s="961"/>
      <c r="BY175" s="76"/>
      <c r="BZ175" s="42">
        <v>0</v>
      </c>
      <c r="CA175" s="959"/>
      <c r="CB175" s="41">
        <v>1</v>
      </c>
      <c r="CC175" s="41">
        <v>7382.1943743086003</v>
      </c>
      <c r="CD175" s="960"/>
      <c r="CE175" s="76">
        <v>0</v>
      </c>
      <c r="CF175" s="55"/>
      <c r="CG175" s="41">
        <v>0</v>
      </c>
      <c r="CH175" s="38">
        <v>0</v>
      </c>
      <c r="CI175" s="76">
        <v>541.72744007671486</v>
      </c>
      <c r="CJ175" s="55"/>
      <c r="CK175" s="955">
        <v>3806</v>
      </c>
      <c r="CL175" s="950">
        <v>1006</v>
      </c>
      <c r="CM175" s="955">
        <v>1955</v>
      </c>
      <c r="CN175" s="950">
        <v>512.08534162175954</v>
      </c>
      <c r="CO175" s="76">
        <v>126.89779672068497</v>
      </c>
      <c r="CP175" s="42">
        <v>0</v>
      </c>
      <c r="CQ175" s="5"/>
      <c r="CR175" s="76">
        <v>149.92959122555783</v>
      </c>
      <c r="CS175" s="954">
        <v>3752.7115562517447</v>
      </c>
      <c r="CT175" s="5"/>
      <c r="CU175" s="76">
        <v>157.0999671378014</v>
      </c>
      <c r="CV175" s="42">
        <v>0</v>
      </c>
      <c r="CW175" s="5"/>
      <c r="CX175" s="76">
        <v>74.54946966441409</v>
      </c>
      <c r="CY175" s="42">
        <v>0</v>
      </c>
      <c r="CZ175" s="5"/>
      <c r="DA175" s="76">
        <v>35.232039279818451</v>
      </c>
      <c r="DB175" s="42">
        <v>0</v>
      </c>
      <c r="DC175" s="5"/>
      <c r="DD175" s="76">
        <v>69.56789107816337</v>
      </c>
      <c r="DE175" s="42">
        <v>619.64272494072293</v>
      </c>
      <c r="DF175" s="5"/>
      <c r="DG175" s="76">
        <v>40.438761775753619</v>
      </c>
      <c r="DH175" s="42"/>
      <c r="DI175" s="5"/>
      <c r="DJ175" s="42">
        <v>653.7155168821937</v>
      </c>
      <c r="DK175" s="42">
        <f t="shared" si="22"/>
        <v>4372.3542811924672</v>
      </c>
      <c r="DL175" s="58">
        <f t="shared" si="23"/>
        <v>3718.6387643102735</v>
      </c>
      <c r="DM175" s="2">
        <v>1</v>
      </c>
    </row>
    <row r="176" spans="1:117" ht="24.9" customHeight="1" x14ac:dyDescent="0.3">
      <c r="A176" s="318">
        <v>150001026</v>
      </c>
      <c r="B176" s="44" t="s">
        <v>334</v>
      </c>
      <c r="C176" s="956">
        <v>8</v>
      </c>
      <c r="D176" s="957" t="s">
        <v>454</v>
      </c>
      <c r="E176" s="949">
        <f>'побудинковий звіт'!E143</f>
        <v>181.9</v>
      </c>
      <c r="F176" s="950">
        <f>'побудинковий звіт'!AS143</f>
        <v>2745.9363337031518</v>
      </c>
      <c r="G176" s="950">
        <f t="shared" si="16"/>
        <v>128081.81506624958</v>
      </c>
      <c r="H176" s="950">
        <f t="shared" si="17"/>
        <v>125335.87873254642</v>
      </c>
      <c r="I176" s="42">
        <f>'[2]поточний ремонт'!I176+'[1]поточний ремонт'!I176</f>
        <v>71.77</v>
      </c>
      <c r="J176" s="42">
        <f>'[2]поточний ремонт'!J176+'[1]поточний ремонт'!J176</f>
        <v>25813.577274356336</v>
      </c>
      <c r="K176" s="958"/>
      <c r="L176" s="42">
        <f>'[2]поточний ремонт'!L176+'[1]поточний ремонт'!L176</f>
        <v>0</v>
      </c>
      <c r="M176" s="42">
        <f>'[2]поточний ремонт'!M176+'[1]поточний ремонт'!M176</f>
        <v>0</v>
      </c>
      <c r="N176" s="36"/>
      <c r="O176" s="42">
        <f>'[2]поточний ремонт'!O176+'[1]поточний ремонт'!O176</f>
        <v>155.5</v>
      </c>
      <c r="P176" s="42">
        <f>'[2]поточний ремонт'!P176+'[1]поточний ремонт'!P176</f>
        <v>64686</v>
      </c>
      <c r="Q176" s="972"/>
      <c r="R176" s="42">
        <f>'[2]поточний ремонт'!R176+'[1]поточний ремонт'!R176</f>
        <v>4</v>
      </c>
      <c r="S176" s="42">
        <f>'[2]поточний ремонт'!S176+'[1]поточний ремонт'!S176</f>
        <v>24742.676738460937</v>
      </c>
      <c r="T176" s="967"/>
      <c r="U176" s="42">
        <f>'[2]поточний ремонт'!U176+'[1]поточний ремонт'!U176</f>
        <v>0</v>
      </c>
      <c r="V176" s="42">
        <f>'[2]поточний ремонт'!V176+'[1]поточний ремонт'!V176</f>
        <v>0</v>
      </c>
      <c r="W176" s="42">
        <f>'[2]поточний ремонт'!W176+'[1]поточний ремонт'!W176</f>
        <v>0</v>
      </c>
      <c r="X176" s="42">
        <f>'[2]поточний ремонт'!X176+'[1]поточний ремонт'!X176</f>
        <v>0</v>
      </c>
      <c r="Y176" s="42">
        <f>'[2]поточний ремонт'!Y176+'[1]поточний ремонт'!Y176</f>
        <v>821.25626898158021</v>
      </c>
      <c r="Z176" s="42">
        <f>'[2]поточний ремонт'!Z176+'[1]поточний ремонт'!Z176</f>
        <v>0</v>
      </c>
      <c r="AA176" s="42">
        <f>'[2]поточний ремонт'!AA176+'[1]поточний ремонт'!AA176</f>
        <v>0</v>
      </c>
      <c r="AB176" s="42">
        <f>'[2]поточний ремонт'!AB176+'[1]поточний ремонт'!AB176</f>
        <v>0</v>
      </c>
      <c r="AC176" s="42">
        <f>'[2]поточний ремонт'!AC176+'[1]поточний ремонт'!AC176</f>
        <v>1050.3658416965923</v>
      </c>
      <c r="AD176" s="42">
        <f>'[2]поточний ремонт'!AD176+'[1]поточний ремонт'!AD176</f>
        <v>10967.938942754126</v>
      </c>
      <c r="AE176" s="42">
        <f>'[2]поточний ремонт'!AE176+'[1]поточний ремонт'!AE176</f>
        <v>588.27818891569655</v>
      </c>
      <c r="AF176" s="42">
        <f>'[2]поточний ремонт'!AF176+'[1]поточний ремонт'!AF176</f>
        <v>273.9376929885193</v>
      </c>
      <c r="AG176" s="965"/>
      <c r="AH176" s="42">
        <f>'[2]поточний ремонт'!AH176+'[1]поточний ремонт'!AH176</f>
        <v>1018.1737728705657</v>
      </c>
      <c r="AI176" s="42">
        <f>'[2]поточний ремонт'!AI176+'[1]поточний ремонт'!AI176</f>
        <v>5771.8893240119796</v>
      </c>
      <c r="AJ176" s="965"/>
      <c r="AK176" s="42">
        <f>'[2]поточний ремонт'!AK176+'[1]поточний ремонт'!AK176</f>
        <v>533.57352669330362</v>
      </c>
      <c r="AL176" s="42">
        <f>'[2]поточний ремонт'!AL176+'[1]поточний ремонт'!AL176</f>
        <v>1523.7581376649762</v>
      </c>
      <c r="AM176" s="5"/>
      <c r="AN176" s="42">
        <f>'[2]поточний ремонт'!AN176+'[1]поточний ремонт'!AN176</f>
        <v>474.5466683266676</v>
      </c>
      <c r="AO176" s="42">
        <f>'[2]поточний ремонт'!AO176+'[1]поточний ремонт'!AO176</f>
        <v>0</v>
      </c>
      <c r="AP176" s="5"/>
      <c r="AQ176" s="42">
        <f>'[2]поточний ремонт'!AQ176+'[1]поточний ремонт'!AQ176</f>
        <v>668.7666936683097</v>
      </c>
      <c r="AR176" s="42">
        <f>'[2]поточний ремонт'!AR176+'[1]поточний ремонт'!AR176</f>
        <v>20.605486199999998</v>
      </c>
      <c r="AS176" s="5"/>
      <c r="AT176" s="42">
        <f>'[2]поточний ремонт'!AT176+'[1]поточний ремонт'!AT176</f>
        <v>834.04322461123354</v>
      </c>
      <c r="AU176" s="42">
        <f>'[2]поточний ремонт'!AU176+'[1]поточний ремонт'!AU176</f>
        <v>3525.0968402714652</v>
      </c>
      <c r="AV176" s="977"/>
      <c r="AW176" s="42">
        <f>'[2]поточний ремонт'!AW176+'[1]поточний ремонт'!AW176</f>
        <v>1090.4319571107819</v>
      </c>
      <c r="AX176" s="42">
        <f>'[2]поточний ремонт'!AX176+'[1]поточний ремонт'!AX176</f>
        <v>0</v>
      </c>
      <c r="AY176" s="5"/>
      <c r="AZ176" s="42">
        <f t="shared" si="18"/>
        <v>5207.8140321965584</v>
      </c>
      <c r="BA176" s="42">
        <f t="shared" si="19"/>
        <v>11115.28748113694</v>
      </c>
      <c r="BB176" s="58">
        <f t="shared" si="20"/>
        <v>5907.4734489403818</v>
      </c>
      <c r="BD176" s="2">
        <v>1</v>
      </c>
      <c r="BF176" s="29">
        <v>342.03201190580342</v>
      </c>
      <c r="BG176" s="318">
        <v>150001026</v>
      </c>
      <c r="BI176" s="104">
        <v>0</v>
      </c>
      <c r="BJ176" s="104">
        <f t="shared" si="21"/>
        <v>0</v>
      </c>
      <c r="BK176" s="104">
        <v>0</v>
      </c>
      <c r="BL176" s="38"/>
      <c r="BM176" s="3"/>
      <c r="BN176" s="3">
        <v>0</v>
      </c>
      <c r="BP176" s="3"/>
      <c r="BQ176" s="3"/>
      <c r="BS176" s="42">
        <v>9.9</v>
      </c>
      <c r="BT176" s="42">
        <v>5733.766404784652</v>
      </c>
      <c r="BU176" s="958"/>
      <c r="BV176" s="41"/>
      <c r="BW176" s="42"/>
      <c r="BX176" s="36"/>
      <c r="BY176" s="76"/>
      <c r="BZ176" s="42">
        <v>0</v>
      </c>
      <c r="CA176" s="972"/>
      <c r="CB176" s="41"/>
      <c r="CC176" s="41">
        <v>0</v>
      </c>
      <c r="CD176" s="967"/>
      <c r="CE176" s="76">
        <v>0</v>
      </c>
      <c r="CF176" s="55"/>
      <c r="CG176" s="41">
        <v>0</v>
      </c>
      <c r="CH176" s="38">
        <v>0</v>
      </c>
      <c r="CI176" s="76">
        <v>0</v>
      </c>
      <c r="CJ176" s="964"/>
      <c r="CK176" s="955"/>
      <c r="CL176" s="950"/>
      <c r="CM176" s="955"/>
      <c r="CN176" s="950">
        <v>181.60506228570671</v>
      </c>
      <c r="CO176" s="76">
        <v>47.21689152156668</v>
      </c>
      <c r="CP176" s="42">
        <v>0</v>
      </c>
      <c r="CQ176" s="965"/>
      <c r="CR176" s="76">
        <v>82.347825803229483</v>
      </c>
      <c r="CS176" s="954">
        <v>0</v>
      </c>
      <c r="CT176" s="965"/>
      <c r="CU176" s="76">
        <v>42.761284576601994</v>
      </c>
      <c r="CV176" s="42">
        <v>0</v>
      </c>
      <c r="CW176" s="5"/>
      <c r="CX176" s="76">
        <v>38.584495751337634</v>
      </c>
      <c r="CY176" s="42">
        <v>0</v>
      </c>
      <c r="CZ176" s="5"/>
      <c r="DA176" s="76">
        <v>57.116084523971821</v>
      </c>
      <c r="DB176" s="42">
        <v>0</v>
      </c>
      <c r="DC176" s="5"/>
      <c r="DD176" s="76">
        <v>58.909523780059018</v>
      </c>
      <c r="DE176" s="42">
        <v>0</v>
      </c>
      <c r="DF176" s="977"/>
      <c r="DG176" s="76">
        <v>93.216145822728791</v>
      </c>
      <c r="DH176" s="42"/>
      <c r="DI176" s="5"/>
      <c r="DJ176" s="42">
        <v>420.15225177949543</v>
      </c>
      <c r="DK176" s="42">
        <f t="shared" si="22"/>
        <v>0</v>
      </c>
      <c r="DL176" s="58">
        <f t="shared" si="23"/>
        <v>-420.15225177949543</v>
      </c>
      <c r="DM176" s="2">
        <v>1</v>
      </c>
    </row>
    <row r="177" spans="1:117" ht="24.9" customHeight="1" x14ac:dyDescent="0.3">
      <c r="A177" s="318">
        <v>150001027</v>
      </c>
      <c r="B177" s="44" t="s">
        <v>367</v>
      </c>
      <c r="C177" s="956">
        <v>9</v>
      </c>
      <c r="D177" s="957" t="s">
        <v>454</v>
      </c>
      <c r="E177" s="949">
        <f>'побудинковий звіт'!E144</f>
        <v>110.2</v>
      </c>
      <c r="F177" s="950">
        <f>'побудинковий звіт'!AS144</f>
        <v>1767.1782952231304</v>
      </c>
      <c r="G177" s="950">
        <f t="shared" si="16"/>
        <v>353590.20078399475</v>
      </c>
      <c r="H177" s="950">
        <f t="shared" si="17"/>
        <v>351823.02248877159</v>
      </c>
      <c r="I177" s="42">
        <f>'[2]поточний ремонт'!I177+'[1]поточний ремонт'!I177</f>
        <v>148.60399999999998</v>
      </c>
      <c r="J177" s="42">
        <f>'[2]поточний ремонт'!J177+'[1]поточний ремонт'!J177</f>
        <v>58800.404696719721</v>
      </c>
      <c r="K177" s="958"/>
      <c r="L177" s="42">
        <f>'[2]поточний ремонт'!L177+'[1]поточний ремонт'!L177</f>
        <v>0</v>
      </c>
      <c r="M177" s="42">
        <f>'[2]поточний ремонт'!M177+'[1]поточний ремонт'!M177</f>
        <v>0</v>
      </c>
      <c r="N177" s="36"/>
      <c r="O177" s="42">
        <f>'[2]поточний ремонт'!O177+'[1]поточний ремонт'!O177</f>
        <v>191.5</v>
      </c>
      <c r="P177" s="42">
        <f>'[2]поточний ремонт'!P177+'[1]поточний ремонт'!P177</f>
        <v>73863.012037863577</v>
      </c>
      <c r="Q177" s="959"/>
      <c r="R177" s="42">
        <f>'[2]поточний ремонт'!R177+'[1]поточний ремонт'!R177</f>
        <v>9</v>
      </c>
      <c r="S177" s="42">
        <f>'[2]поточний ремонт'!S177+'[1]поточний ремонт'!S177</f>
        <v>206846.64033579128</v>
      </c>
      <c r="T177" s="968"/>
      <c r="U177" s="42">
        <f>'[2]поточний ремонт'!U177+'[1]поточний ремонт'!U177</f>
        <v>55.675381971807987</v>
      </c>
      <c r="V177" s="42">
        <f>'[2]поточний ремонт'!V177+'[1]поточний ремонт'!V177</f>
        <v>0</v>
      </c>
      <c r="W177" s="42">
        <f>'[2]поточний ремонт'!W177+'[1]поточний ремонт'!W177</f>
        <v>4</v>
      </c>
      <c r="X177" s="42">
        <f>'[2]поточний ремонт'!X177+'[1]поточний ремонт'!X177</f>
        <v>351</v>
      </c>
      <c r="Y177" s="42">
        <f>'[2]поточний ремонт'!Y177+'[1]поточний ремонт'!Y177</f>
        <v>2986.5377243029961</v>
      </c>
      <c r="Z177" s="42">
        <f>'[2]поточний ремонт'!Z177+'[1]поточний ремонт'!Z177</f>
        <v>0</v>
      </c>
      <c r="AA177" s="42">
        <f>'[2]поточний ремонт'!AA177+'[1]поточний ремонт'!AA177</f>
        <v>0</v>
      </c>
      <c r="AB177" s="42">
        <f>'[2]поточний ремонт'!AB177+'[1]поточний ремонт'!AB177</f>
        <v>0</v>
      </c>
      <c r="AC177" s="42">
        <f>'[2]поточний ремонт'!AC177+'[1]поточний ремонт'!AC177</f>
        <v>0</v>
      </c>
      <c r="AD177" s="42">
        <f>'[2]поточний ремонт'!AD177+'[1]поточний ремонт'!AD177</f>
        <v>10686.930607345306</v>
      </c>
      <c r="AE177" s="42">
        <f>'[2]поточний ремонт'!AE177+'[1]поточний ремонт'!AE177</f>
        <v>2001.7529082088749</v>
      </c>
      <c r="AF177" s="42">
        <f>'[2]поточний ремонт'!AF177+'[1]поточний ремонт'!AF177</f>
        <v>1359.92186800677</v>
      </c>
      <c r="AG177" s="5"/>
      <c r="AH177" s="42">
        <f>'[2]поточний ремонт'!AH177+'[1]поточний ремонт'!AH177</f>
        <v>1876.7976321590472</v>
      </c>
      <c r="AI177" s="42">
        <f>'[2]поточний ремонт'!AI177+'[1]поточний ремонт'!AI177</f>
        <v>12807.605015221299</v>
      </c>
      <c r="AJ177" s="9"/>
      <c r="AK177" s="42">
        <f>'[2]поточний ремонт'!AK177+'[1]поточний ремонт'!AK177</f>
        <v>2620.0240305959783</v>
      </c>
      <c r="AL177" s="42">
        <f>'[2]поточний ремонт'!AL177+'[1]поточний ремонт'!AL177</f>
        <v>0</v>
      </c>
      <c r="AM177" s="965"/>
      <c r="AN177" s="42">
        <f>'[2]поточний ремонт'!AN177+'[1]поточний ремонт'!AN177</f>
        <v>1199.8497857966122</v>
      </c>
      <c r="AO177" s="42">
        <f>'[2]поточний ремонт'!AO177+'[1]поточний ремонт'!AO177</f>
        <v>0</v>
      </c>
      <c r="AP177" s="5"/>
      <c r="AQ177" s="42">
        <f>'[2]поточний ремонт'!AQ177+'[1]поточний ремонт'!AQ177</f>
        <v>1379.4504040486775</v>
      </c>
      <c r="AR177" s="42">
        <f>'[2]поточний ремонт'!AR177+'[1]поточний ремонт'!AR177</f>
        <v>1959.0823694717819</v>
      </c>
      <c r="AS177" s="5"/>
      <c r="AT177" s="42">
        <f>'[2]поточний ремонт'!AT177+'[1]поточний ремонт'!AT177</f>
        <v>2939.9347943319494</v>
      </c>
      <c r="AU177" s="42">
        <f>'[2]поточний ремонт'!AU177+'[1]поточний ремонт'!AU177</f>
        <v>10062.615039587889</v>
      </c>
      <c r="AV177" s="5"/>
      <c r="AW177" s="42">
        <f>'[2]поточний ремонт'!AW177+'[1]поточний ремонт'!AW177</f>
        <v>791.92916475677021</v>
      </c>
      <c r="AX177" s="42">
        <f>'[2]поточний ремонт'!AX177+'[1]поточний ремонт'!AX177</f>
        <v>438.67713853039999</v>
      </c>
      <c r="AY177" s="5"/>
      <c r="AZ177" s="42">
        <f t="shared" si="18"/>
        <v>12809.73871989791</v>
      </c>
      <c r="BA177" s="42">
        <f t="shared" si="19"/>
        <v>26627.901430818139</v>
      </c>
      <c r="BB177" s="58">
        <f t="shared" si="20"/>
        <v>13818.162710920229</v>
      </c>
      <c r="BD177" s="2">
        <v>1</v>
      </c>
      <c r="BF177" s="29">
        <v>584.6016270116927</v>
      </c>
      <c r="BG177" s="318">
        <v>150001027</v>
      </c>
      <c r="BI177" s="104">
        <v>0</v>
      </c>
      <c r="BJ177" s="104">
        <f t="shared" si="21"/>
        <v>0</v>
      </c>
      <c r="BK177" s="104">
        <v>0</v>
      </c>
      <c r="BL177" s="38"/>
      <c r="BM177" s="3"/>
      <c r="BN177" s="3">
        <v>0</v>
      </c>
      <c r="BP177" s="3"/>
      <c r="BQ177" s="3"/>
      <c r="BS177" s="42">
        <v>16</v>
      </c>
      <c r="BT177" s="42">
        <v>8572.6354311866671</v>
      </c>
      <c r="BU177" s="958"/>
      <c r="BV177" s="41"/>
      <c r="BW177" s="42"/>
      <c r="BX177" s="36"/>
      <c r="BY177" s="76"/>
      <c r="BZ177" s="42">
        <v>0</v>
      </c>
      <c r="CA177" s="959"/>
      <c r="CB177" s="41"/>
      <c r="CC177" s="41">
        <v>0</v>
      </c>
      <c r="CD177" s="968"/>
      <c r="CE177" s="76">
        <v>0</v>
      </c>
      <c r="CF177" s="55"/>
      <c r="CG177" s="41">
        <v>0</v>
      </c>
      <c r="CH177" s="38">
        <v>0</v>
      </c>
      <c r="CI177" s="76">
        <v>0</v>
      </c>
      <c r="CJ177" s="55"/>
      <c r="CK177" s="955"/>
      <c r="CL177" s="950"/>
      <c r="CM177" s="955"/>
      <c r="CN177" s="950">
        <v>1133.7740400408034</v>
      </c>
      <c r="CO177" s="76">
        <v>109.4183269750051</v>
      </c>
      <c r="CP177" s="42">
        <v>0</v>
      </c>
      <c r="CQ177" s="5"/>
      <c r="CR177" s="76">
        <v>146.85492339344199</v>
      </c>
      <c r="CS177" s="954">
        <v>0</v>
      </c>
      <c r="CT177" s="9"/>
      <c r="CU177" s="76">
        <v>182.34618775929607</v>
      </c>
      <c r="CV177" s="42">
        <v>0</v>
      </c>
      <c r="CW177" s="965"/>
      <c r="CX177" s="76">
        <v>100.15541108844116</v>
      </c>
      <c r="CY177" s="42">
        <v>0</v>
      </c>
      <c r="CZ177" s="5"/>
      <c r="DA177" s="76">
        <v>116.92661838614831</v>
      </c>
      <c r="DB177" s="42">
        <v>0</v>
      </c>
      <c r="DC177" s="5"/>
      <c r="DD177" s="76">
        <v>139.36113317451768</v>
      </c>
      <c r="DE177" s="42">
        <v>714.95992562667152</v>
      </c>
      <c r="DF177" s="5"/>
      <c r="DG177" s="76">
        <v>63.506112576590589</v>
      </c>
      <c r="DH177" s="42"/>
      <c r="DI177" s="5"/>
      <c r="DJ177" s="42">
        <v>858.5687133534409</v>
      </c>
      <c r="DK177" s="42">
        <f t="shared" si="22"/>
        <v>714.95992562667152</v>
      </c>
      <c r="DL177" s="58">
        <f t="shared" si="23"/>
        <v>-143.60878772676938</v>
      </c>
      <c r="DM177" s="2">
        <v>1</v>
      </c>
    </row>
    <row r="178" spans="1:117" ht="24.9" customHeight="1" x14ac:dyDescent="0.3">
      <c r="A178" s="318">
        <v>150001036</v>
      </c>
      <c r="B178" s="44" t="s">
        <v>102</v>
      </c>
      <c r="C178" s="956">
        <v>1</v>
      </c>
      <c r="D178" s="957" t="s">
        <v>454</v>
      </c>
      <c r="E178" s="949">
        <f>'побудинковий звіт'!E145</f>
        <v>3173.2999999999997</v>
      </c>
      <c r="F178" s="950">
        <f>'побудинковий звіт'!AS145</f>
        <v>43451.363678478119</v>
      </c>
      <c r="G178" s="950">
        <f t="shared" si="16"/>
        <v>0</v>
      </c>
      <c r="H178" s="950">
        <f t="shared" si="17"/>
        <v>-43451.363678478119</v>
      </c>
      <c r="I178" s="42">
        <f>'[2]поточний ремонт'!I178+'[1]поточний ремонт'!I178</f>
        <v>0</v>
      </c>
      <c r="J178" s="42">
        <f>'[2]поточний ремонт'!J178+'[1]поточний ремонт'!J178</f>
        <v>0</v>
      </c>
      <c r="K178" s="958"/>
      <c r="L178" s="42">
        <f>'[2]поточний ремонт'!L178+'[1]поточний ремонт'!L178</f>
        <v>0</v>
      </c>
      <c r="M178" s="42">
        <f>'[2]поточний ремонт'!M178+'[1]поточний ремонт'!M178</f>
        <v>0</v>
      </c>
      <c r="N178" s="36"/>
      <c r="O178" s="42">
        <f>'[2]поточний ремонт'!O178+'[1]поточний ремонт'!O178</f>
        <v>0</v>
      </c>
      <c r="P178" s="42">
        <f>'[2]поточний ремонт'!P178+'[1]поточний ремонт'!P178</f>
        <v>0</v>
      </c>
      <c r="Q178" s="959"/>
      <c r="R178" s="42">
        <f>'[2]поточний ремонт'!R178+'[1]поточний ремонт'!R178</f>
        <v>0</v>
      </c>
      <c r="S178" s="42">
        <f>'[2]поточний ремонт'!S178+'[1]поточний ремонт'!S178</f>
        <v>0</v>
      </c>
      <c r="T178" s="960"/>
      <c r="U178" s="42">
        <f>'[2]поточний ремонт'!U178+'[1]поточний ремонт'!U178</f>
        <v>0</v>
      </c>
      <c r="V178" s="42">
        <f>'[2]поточний ремонт'!V178+'[1]поточний ремонт'!V178</f>
        <v>0</v>
      </c>
      <c r="W178" s="42">
        <f>'[2]поточний ремонт'!W178+'[1]поточний ремонт'!W178</f>
        <v>0</v>
      </c>
      <c r="X178" s="42">
        <f>'[2]поточний ремонт'!X178+'[1]поточний ремонт'!X178</f>
        <v>0</v>
      </c>
      <c r="Y178" s="42">
        <f>'[2]поточний ремонт'!Y178+'[1]поточний ремонт'!Y178</f>
        <v>0</v>
      </c>
      <c r="Z178" s="42">
        <f>'[2]поточний ремонт'!Z178+'[1]поточний ремонт'!Z178</f>
        <v>0</v>
      </c>
      <c r="AA178" s="42">
        <f>'[2]поточний ремонт'!AA178+'[1]поточний ремонт'!AA178</f>
        <v>0</v>
      </c>
      <c r="AB178" s="42">
        <f>'[2]поточний ремонт'!AB178+'[1]поточний ремонт'!AB178</f>
        <v>0</v>
      </c>
      <c r="AC178" s="42">
        <f>'[2]поточний ремонт'!AC178+'[1]поточний ремонт'!AC178</f>
        <v>0</v>
      </c>
      <c r="AD178" s="42">
        <f>'[2]поточний ремонт'!AD178+'[1]поточний ремонт'!AD178</f>
        <v>0</v>
      </c>
      <c r="AE178" s="42">
        <f>'[2]поточний ремонт'!AE178+'[1]поточний ремонт'!AE178</f>
        <v>0</v>
      </c>
      <c r="AF178" s="42">
        <f>'[2]поточний ремонт'!AF178+'[1]поточний ремонт'!AF178</f>
        <v>0</v>
      </c>
      <c r="AG178" s="5"/>
      <c r="AH178" s="42">
        <f>'[2]поточний ремонт'!AH178+'[1]поточний ремонт'!AH178</f>
        <v>0</v>
      </c>
      <c r="AI178" s="42">
        <f>'[2]поточний ремонт'!AI178+'[1]поточний ремонт'!AI178</f>
        <v>0</v>
      </c>
      <c r="AJ178" s="5"/>
      <c r="AK178" s="42">
        <f>'[2]поточний ремонт'!AK178+'[1]поточний ремонт'!AK178</f>
        <v>0</v>
      </c>
      <c r="AL178" s="42">
        <f>'[2]поточний ремонт'!AL178+'[1]поточний ремонт'!AL178</f>
        <v>0</v>
      </c>
      <c r="AM178" s="5"/>
      <c r="AN178" s="42">
        <f>'[2]поточний ремонт'!AN178+'[1]поточний ремонт'!AN178</f>
        <v>0</v>
      </c>
      <c r="AO178" s="42">
        <f>'[2]поточний ремонт'!AO178+'[1]поточний ремонт'!AO178</f>
        <v>0</v>
      </c>
      <c r="AP178" s="5"/>
      <c r="AQ178" s="42">
        <f>'[2]поточний ремонт'!AQ178+'[1]поточний ремонт'!AQ178</f>
        <v>0</v>
      </c>
      <c r="AR178" s="42">
        <f>'[2]поточний ремонт'!AR178+'[1]поточний ремонт'!AR178</f>
        <v>0</v>
      </c>
      <c r="AS178" s="5"/>
      <c r="AT178" s="42">
        <f>'[2]поточний ремонт'!AT178+'[1]поточний ремонт'!AT178</f>
        <v>0</v>
      </c>
      <c r="AU178" s="42">
        <f>'[2]поточний ремонт'!AU178+'[1]поточний ремонт'!AU178</f>
        <v>0</v>
      </c>
      <c r="AV178" s="5"/>
      <c r="AW178" s="42">
        <f>'[2]поточний ремонт'!AW178+'[1]поточний ремонт'!AW178</f>
        <v>0</v>
      </c>
      <c r="AX178" s="42">
        <f>'[2]поточний ремонт'!AX178+'[1]поточний ремонт'!AX178</f>
        <v>0</v>
      </c>
      <c r="AY178" s="5"/>
      <c r="AZ178" s="42">
        <f t="shared" si="18"/>
        <v>0</v>
      </c>
      <c r="BA178" s="42">
        <f t="shared" si="19"/>
        <v>0</v>
      </c>
      <c r="BB178" s="58">
        <f t="shared" si="20"/>
        <v>0</v>
      </c>
      <c r="BD178" s="2">
        <v>1</v>
      </c>
      <c r="BF178" s="29">
        <v>0</v>
      </c>
      <c r="BG178" s="318">
        <v>150001036</v>
      </c>
      <c r="BI178" s="104">
        <v>0</v>
      </c>
      <c r="BJ178" s="104">
        <f t="shared" si="21"/>
        <v>0</v>
      </c>
      <c r="BK178" s="104">
        <v>0</v>
      </c>
      <c r="BL178" s="38"/>
      <c r="BM178" s="3"/>
      <c r="BN178" s="3">
        <v>0</v>
      </c>
      <c r="BP178" s="3"/>
      <c r="BQ178" s="3"/>
      <c r="BS178" s="42"/>
      <c r="BT178" s="42">
        <v>0</v>
      </c>
      <c r="BU178" s="958"/>
      <c r="BV178" s="41"/>
      <c r="BW178" s="42"/>
      <c r="BX178" s="36"/>
      <c r="BY178" s="76"/>
      <c r="BZ178" s="42">
        <v>0</v>
      </c>
      <c r="CA178" s="959"/>
      <c r="CB178" s="41"/>
      <c r="CC178" s="41">
        <v>0</v>
      </c>
      <c r="CD178" s="960"/>
      <c r="CE178" s="76">
        <v>0</v>
      </c>
      <c r="CF178" s="55"/>
      <c r="CG178" s="41">
        <v>0</v>
      </c>
      <c r="CH178" s="38">
        <v>0</v>
      </c>
      <c r="CI178" s="76">
        <v>0</v>
      </c>
      <c r="CJ178" s="55"/>
      <c r="CK178" s="955"/>
      <c r="CL178" s="950"/>
      <c r="CM178" s="955"/>
      <c r="CN178" s="950">
        <v>0</v>
      </c>
      <c r="CO178" s="76">
        <v>0</v>
      </c>
      <c r="CP178" s="42">
        <v>0</v>
      </c>
      <c r="CQ178" s="5"/>
      <c r="CR178" s="76">
        <v>0</v>
      </c>
      <c r="CS178" s="954">
        <v>0</v>
      </c>
      <c r="CT178" s="5"/>
      <c r="CU178" s="76">
        <v>0</v>
      </c>
      <c r="CV178" s="42">
        <v>0</v>
      </c>
      <c r="CW178" s="5"/>
      <c r="CX178" s="76">
        <v>0</v>
      </c>
      <c r="CY178" s="42">
        <v>0</v>
      </c>
      <c r="CZ178" s="5"/>
      <c r="DA178" s="76">
        <v>0</v>
      </c>
      <c r="DB178" s="42">
        <v>0</v>
      </c>
      <c r="DC178" s="5"/>
      <c r="DD178" s="76">
        <v>0</v>
      </c>
      <c r="DE178" s="42">
        <v>0</v>
      </c>
      <c r="DF178" s="5"/>
      <c r="DG178" s="76">
        <v>0</v>
      </c>
      <c r="DH178" s="42"/>
      <c r="DI178" s="5"/>
      <c r="DJ178" s="42">
        <v>0</v>
      </c>
      <c r="DK178" s="42">
        <f t="shared" si="22"/>
        <v>0</v>
      </c>
      <c r="DL178" s="58">
        <f t="shared" si="23"/>
        <v>0</v>
      </c>
      <c r="DM178" s="2">
        <v>1</v>
      </c>
    </row>
    <row r="179" spans="1:117" ht="24.9" customHeight="1" x14ac:dyDescent="0.3">
      <c r="A179" s="318">
        <v>150001029</v>
      </c>
      <c r="B179" s="44" t="s">
        <v>368</v>
      </c>
      <c r="C179" s="956">
        <v>9</v>
      </c>
      <c r="D179" s="957" t="s">
        <v>454</v>
      </c>
      <c r="E179" s="949">
        <f>'побудинковий звіт'!E146</f>
        <v>7111.58</v>
      </c>
      <c r="F179" s="950">
        <f>'побудинковий звіт'!AS146</f>
        <v>110249.66790800124</v>
      </c>
      <c r="G179" s="950">
        <f t="shared" si="16"/>
        <v>52357.444488200519</v>
      </c>
      <c r="H179" s="950">
        <f t="shared" si="17"/>
        <v>-57892.223419800721</v>
      </c>
      <c r="I179" s="42">
        <f>'[2]поточний ремонт'!I179+'[1]поточний ремонт'!I179</f>
        <v>47.51</v>
      </c>
      <c r="J179" s="42">
        <f>'[2]поточний ремонт'!J179+'[1]поточний ремонт'!J179</f>
        <v>20108.146236679895</v>
      </c>
      <c r="K179" s="958"/>
      <c r="L179" s="42">
        <f>'[2]поточний ремонт'!L179+'[1]поточний ремонт'!L179</f>
        <v>0</v>
      </c>
      <c r="M179" s="42">
        <f>'[2]поточний ремонт'!M179+'[1]поточний ремонт'!M179</f>
        <v>0</v>
      </c>
      <c r="N179" s="36"/>
      <c r="O179" s="42">
        <f>'[2]поточний ремонт'!O179+'[1]поточний ремонт'!O179</f>
        <v>0</v>
      </c>
      <c r="P179" s="42">
        <f>'[2]поточний ремонт'!P179+'[1]поточний ремонт'!P179</f>
        <v>0</v>
      </c>
      <c r="Q179" s="959"/>
      <c r="R179" s="42">
        <f>'[2]поточний ремонт'!R179+'[1]поточний ремонт'!R179</f>
        <v>0</v>
      </c>
      <c r="S179" s="42">
        <f>'[2]поточний ремонт'!S179+'[1]поточний ремонт'!S179</f>
        <v>0</v>
      </c>
      <c r="T179" s="967"/>
      <c r="U179" s="42">
        <f>'[2]поточний ремонт'!U179+'[1]поточний ремонт'!U179</f>
        <v>8830.237688871679</v>
      </c>
      <c r="V179" s="42">
        <f>'[2]поточний ремонт'!V179+'[1]поточний ремонт'!V179</f>
        <v>0</v>
      </c>
      <c r="W179" s="42">
        <f>'[2]поточний ремонт'!W179+'[1]поточний ремонт'!W179</f>
        <v>0</v>
      </c>
      <c r="X179" s="42">
        <f>'[2]поточний ремонт'!X179+'[1]поточний ремонт'!X179</f>
        <v>0</v>
      </c>
      <c r="Y179" s="42">
        <f>'[2]поточний ремонт'!Y179+'[1]поточний ремонт'!Y179</f>
        <v>0</v>
      </c>
      <c r="Z179" s="42">
        <f>'[2]поточний ремонт'!Z179+'[1]поточний ремонт'!Z179</f>
        <v>0</v>
      </c>
      <c r="AA179" s="42">
        <f>'[2]поточний ремонт'!AA179+'[1]поточний ремонт'!AA179</f>
        <v>0</v>
      </c>
      <c r="AB179" s="42">
        <f>'[2]поточний ремонт'!AB179+'[1]поточний ремонт'!AB179</f>
        <v>0</v>
      </c>
      <c r="AC179" s="42">
        <f>'[2]поточний ремонт'!AC179+'[1]поточний ремонт'!AC179</f>
        <v>15606.925818872727</v>
      </c>
      <c r="AD179" s="42">
        <f>'[2]поточний ремонт'!AD179+'[1]поточний ремонт'!AD179</f>
        <v>7812.1347437762124</v>
      </c>
      <c r="AE179" s="42">
        <f>'[2]поточний ремонт'!AE179+'[1]поточний ремонт'!AE179</f>
        <v>1817.6678340761819</v>
      </c>
      <c r="AF179" s="42">
        <f>'[2]поточний ремонт'!AF179+'[1]поточний ремонт'!AF179</f>
        <v>16019.39464425233</v>
      </c>
      <c r="AG179" s="5"/>
      <c r="AH179" s="42">
        <f>'[2]поточний ремонт'!AH179+'[1]поточний ремонт'!AH179</f>
        <v>2363.0614367442504</v>
      </c>
      <c r="AI179" s="42">
        <f>'[2]поточний ремонт'!AI179+'[1]поточний ремонт'!AI179</f>
        <v>7856.4194348167239</v>
      </c>
      <c r="AJ179" s="965"/>
      <c r="AK179" s="42">
        <f>'[2]поточний ремонт'!AK179+'[1]поточний ремонт'!AK179</f>
        <v>2777.8795257043721</v>
      </c>
      <c r="AL179" s="42">
        <f>'[2]поточний ремонт'!AL179+'[1]поточний ремонт'!AL179</f>
        <v>0</v>
      </c>
      <c r="AM179" s="5"/>
      <c r="AN179" s="42">
        <f>'[2]поточний ремонт'!AN179+'[1]поточний ремонт'!AN179</f>
        <v>1087.3021610903986</v>
      </c>
      <c r="AO179" s="42">
        <f>'[2]поточний ремонт'!AO179+'[1]поточний ремонт'!AO179</f>
        <v>0</v>
      </c>
      <c r="AP179" s="5"/>
      <c r="AQ179" s="42">
        <f>'[2]поточний ремонт'!AQ179+'[1]поточний ремонт'!AQ179</f>
        <v>1641.6389335779586</v>
      </c>
      <c r="AR179" s="42">
        <f>'[2]поточний ремонт'!AR179+'[1]поточний ремонт'!AR179</f>
        <v>0</v>
      </c>
      <c r="AS179" s="5"/>
      <c r="AT179" s="42">
        <f>'[2]поточний ремонт'!AT179+'[1]поточний ремонт'!AT179</f>
        <v>2108.7249381820639</v>
      </c>
      <c r="AU179" s="42">
        <f>'[2]поточний ремонт'!AU179+'[1]поточний ремонт'!AU179</f>
        <v>6543.0641367203325</v>
      </c>
      <c r="AV179" s="5"/>
      <c r="AW179" s="42">
        <f>'[2]поточний ремонт'!AW179+'[1]поточний ремонт'!AW179</f>
        <v>859.38125169569196</v>
      </c>
      <c r="AX179" s="42">
        <f>'[2]поточний ремонт'!AX179+'[1]поточний ремонт'!AX179</f>
        <v>13495.202156525</v>
      </c>
      <c r="AY179" s="5"/>
      <c r="AZ179" s="42">
        <f t="shared" si="18"/>
        <v>12655.656081070916</v>
      </c>
      <c r="BA179" s="42">
        <f t="shared" si="19"/>
        <v>43914.080372314384</v>
      </c>
      <c r="BB179" s="58">
        <f t="shared" si="20"/>
        <v>31258.424291243467</v>
      </c>
      <c r="BD179" s="2">
        <v>1</v>
      </c>
      <c r="BF179" s="29">
        <v>627.23696795035755</v>
      </c>
      <c r="BG179" s="318">
        <v>150001029</v>
      </c>
      <c r="BI179" s="104">
        <v>0</v>
      </c>
      <c r="BJ179" s="104">
        <f t="shared" si="21"/>
        <v>0</v>
      </c>
      <c r="BK179" s="104">
        <v>0</v>
      </c>
      <c r="BL179" s="38"/>
      <c r="BM179" s="3"/>
      <c r="BN179" s="3">
        <v>0</v>
      </c>
      <c r="BP179" s="3"/>
      <c r="BQ179" s="3"/>
      <c r="BS179" s="42"/>
      <c r="BT179" s="42">
        <v>0</v>
      </c>
      <c r="BU179" s="958"/>
      <c r="BV179" s="41"/>
      <c r="BW179" s="42"/>
      <c r="BX179" s="36"/>
      <c r="BY179" s="76"/>
      <c r="BZ179" s="42">
        <v>0</v>
      </c>
      <c r="CA179" s="959"/>
      <c r="CB179" s="41"/>
      <c r="CC179" s="41">
        <v>0</v>
      </c>
      <c r="CD179" s="967"/>
      <c r="CE179" s="76">
        <v>8818.2485393786446</v>
      </c>
      <c r="CF179" s="55"/>
      <c r="CG179" s="41">
        <v>0</v>
      </c>
      <c r="CH179" s="38">
        <v>0</v>
      </c>
      <c r="CI179" s="76">
        <v>0</v>
      </c>
      <c r="CJ179" s="55"/>
      <c r="CK179" s="955"/>
      <c r="CL179" s="950"/>
      <c r="CM179" s="955"/>
      <c r="CN179" s="950">
        <v>1153.8373926651952</v>
      </c>
      <c r="CO179" s="76">
        <v>142.80295141594192</v>
      </c>
      <c r="CP179" s="42">
        <v>0</v>
      </c>
      <c r="CQ179" s="5"/>
      <c r="CR179" s="76">
        <v>195.16163375359278</v>
      </c>
      <c r="CS179" s="954">
        <v>2489.7331696073234</v>
      </c>
      <c r="CT179" s="965"/>
      <c r="CU179" s="76">
        <v>228.89769564199534</v>
      </c>
      <c r="CV179" s="42">
        <v>0</v>
      </c>
      <c r="CW179" s="5"/>
      <c r="CX179" s="76">
        <v>95.322312002960345</v>
      </c>
      <c r="CY179" s="42">
        <v>0</v>
      </c>
      <c r="CZ179" s="5"/>
      <c r="DA179" s="76">
        <v>146.1613169921593</v>
      </c>
      <c r="DB179" s="42">
        <v>0</v>
      </c>
      <c r="DC179" s="5"/>
      <c r="DD179" s="76">
        <v>115.71405087706115</v>
      </c>
      <c r="DE179" s="42">
        <v>2402.9008855029456</v>
      </c>
      <c r="DF179" s="5"/>
      <c r="DG179" s="76">
        <v>71.510810383329883</v>
      </c>
      <c r="DH179" s="42"/>
      <c r="DI179" s="5"/>
      <c r="DJ179" s="42">
        <v>995.5707710670406</v>
      </c>
      <c r="DK179" s="42">
        <f t="shared" si="22"/>
        <v>4892.6340551102694</v>
      </c>
      <c r="DL179" s="58">
        <f t="shared" si="23"/>
        <v>3897.063284043229</v>
      </c>
      <c r="DM179" s="2">
        <v>1</v>
      </c>
    </row>
    <row r="180" spans="1:117" ht="24.9" customHeight="1" x14ac:dyDescent="0.3">
      <c r="A180" s="318">
        <v>150001030</v>
      </c>
      <c r="B180" s="44" t="s">
        <v>335</v>
      </c>
      <c r="C180" s="956">
        <v>8</v>
      </c>
      <c r="D180" s="957" t="s">
        <v>454</v>
      </c>
      <c r="E180" s="949">
        <f>'побудинковий звіт'!E147</f>
        <v>9483.7999999999993</v>
      </c>
      <c r="F180" s="950">
        <f>'побудинковий звіт'!AS147</f>
        <v>135047.77272272282</v>
      </c>
      <c r="G180" s="950">
        <f t="shared" si="16"/>
        <v>15049.396075717841</v>
      </c>
      <c r="H180" s="950">
        <f t="shared" si="17"/>
        <v>-119998.37664700497</v>
      </c>
      <c r="I180" s="42">
        <f>'[2]поточний ремонт'!I180+'[1]поточний ремонт'!I180</f>
        <v>0</v>
      </c>
      <c r="J180" s="42">
        <f>'[2]поточний ремонт'!J180+'[1]поточний ремонт'!J180</f>
        <v>0</v>
      </c>
      <c r="K180" s="958"/>
      <c r="L180" s="42">
        <f>'[2]поточний ремонт'!L180+'[1]поточний ремонт'!L180</f>
        <v>0</v>
      </c>
      <c r="M180" s="42">
        <f>'[2]поточний ремонт'!M180+'[1]поточний ремонт'!M180</f>
        <v>0</v>
      </c>
      <c r="N180" s="36"/>
      <c r="O180" s="42">
        <f>'[2]поточний ремонт'!O180+'[1]поточний ремонт'!O180</f>
        <v>0</v>
      </c>
      <c r="P180" s="42">
        <f>'[2]поточний ремонт'!P180+'[1]поточний ремонт'!P180</f>
        <v>0</v>
      </c>
      <c r="Q180" s="959"/>
      <c r="R180" s="42">
        <f>'[2]поточний ремонт'!R180+'[1]поточний ремонт'!R180</f>
        <v>8</v>
      </c>
      <c r="S180" s="42">
        <f>'[2]поточний ремонт'!S180+'[1]поточний ремонт'!S180</f>
        <v>4992.3175536183189</v>
      </c>
      <c r="T180" s="960"/>
      <c r="U180" s="42">
        <f>'[2]поточний ремонт'!U180+'[1]поточний ремонт'!U180</f>
        <v>0</v>
      </c>
      <c r="V180" s="42">
        <f>'[2]поточний ремонт'!V180+'[1]поточний ремонт'!V180</f>
        <v>0</v>
      </c>
      <c r="W180" s="42">
        <f>'[2]поточний ремонт'!W180+'[1]поточний ремонт'!W180</f>
        <v>0</v>
      </c>
      <c r="X180" s="42">
        <f>'[2]поточний ремонт'!X180+'[1]поточний ремонт'!X180</f>
        <v>12.68633667052735</v>
      </c>
      <c r="Y180" s="42">
        <f>'[2]поточний ремонт'!Y180+'[1]поточний ремонт'!Y180</f>
        <v>7152.6925247545641</v>
      </c>
      <c r="Z180" s="42">
        <f>'[2]поточний ремонт'!Z180+'[1]поточний ремонт'!Z180</f>
        <v>0</v>
      </c>
      <c r="AA180" s="42">
        <f>'[2]поточний ремонт'!AA180+'[1]поточний ремонт'!AA180</f>
        <v>0</v>
      </c>
      <c r="AB180" s="42">
        <f>'[2]поточний ремонт'!AB180+'[1]поточний ремонт'!AB180</f>
        <v>0</v>
      </c>
      <c r="AC180" s="42">
        <f>'[2]поточний ремонт'!AC180+'[1]поточний ремонт'!AC180</f>
        <v>547.26493048783993</v>
      </c>
      <c r="AD180" s="42">
        <f>'[2]поточний ремонт'!AD180+'[1]поточний ремонт'!AD180</f>
        <v>2344.4347301865914</v>
      </c>
      <c r="AE180" s="42">
        <f>'[2]поточний ремонт'!AE180+'[1]поточний ремонт'!AE180</f>
        <v>541.66090352503602</v>
      </c>
      <c r="AF180" s="42">
        <f>'[2]поточний ремонт'!AF180+'[1]поточний ремонт'!AF180</f>
        <v>963.17910696155377</v>
      </c>
      <c r="AG180" s="5"/>
      <c r="AH180" s="42">
        <f>'[2]поточний ремонт'!AH180+'[1]поточний ремонт'!AH180</f>
        <v>768.81764742256996</v>
      </c>
      <c r="AI180" s="42">
        <f>'[2]поточний ремонт'!AI180+'[1]поточний ремонт'!AI180</f>
        <v>2429.0748794864367</v>
      </c>
      <c r="AJ180" s="5"/>
      <c r="AK180" s="42">
        <f>'[2]поточний ремонт'!AK180+'[1]поточний ремонт'!AK180</f>
        <v>474.05728405624905</v>
      </c>
      <c r="AL180" s="42">
        <f>'[2]поточний ремонт'!AL180+'[1]поточний ремонт'!AL180</f>
        <v>0</v>
      </c>
      <c r="AM180" s="5"/>
      <c r="AN180" s="42">
        <f>'[2]поточний ремонт'!AN180+'[1]поточний ремонт'!AN180</f>
        <v>396.60853349741751</v>
      </c>
      <c r="AO180" s="42">
        <f>'[2]поточний ремонт'!AO180+'[1]поточний ремонт'!AO180</f>
        <v>0</v>
      </c>
      <c r="AP180" s="5"/>
      <c r="AQ180" s="42">
        <f>'[2]поточний ремонт'!AQ180+'[1]поточний ремонт'!AQ180</f>
        <v>367.58338445124895</v>
      </c>
      <c r="AR180" s="42">
        <f>'[2]поточний ремонт'!AR180+'[1]поточний ремонт'!AR180</f>
        <v>0</v>
      </c>
      <c r="AS180" s="5"/>
      <c r="AT180" s="42">
        <f>'[2]поточний ремонт'!AT180+'[1]поточний ремонт'!AT180</f>
        <v>549.97794278489812</v>
      </c>
      <c r="AU180" s="42">
        <f>'[2]поточний ремонт'!AU180+'[1]поточний ремонт'!AU180</f>
        <v>1280.8526342823393</v>
      </c>
      <c r="AV180" s="5"/>
      <c r="AW180" s="42">
        <f>'[2]поточний ремонт'!AW180+'[1]поточний ремонт'!AW180</f>
        <v>1068.5255346512038</v>
      </c>
      <c r="AX180" s="42">
        <f>'[2]поточний ремонт'!AX180+'[1]поточний ремонт'!AX180</f>
        <v>15474.132004325</v>
      </c>
      <c r="AY180" s="5"/>
      <c r="AZ180" s="42">
        <f t="shared" si="18"/>
        <v>4167.2312303886238</v>
      </c>
      <c r="BA180" s="42">
        <f t="shared" si="19"/>
        <v>20147.238625055332</v>
      </c>
      <c r="BB180" s="58">
        <f t="shared" si="20"/>
        <v>15980.007394666707</v>
      </c>
      <c r="BD180" s="2">
        <v>1</v>
      </c>
      <c r="BF180" s="29">
        <v>286.20695135286121</v>
      </c>
      <c r="BG180" s="318">
        <v>150001030</v>
      </c>
      <c r="BI180" s="104">
        <v>0.93</v>
      </c>
      <c r="BJ180" s="104">
        <f t="shared" si="21"/>
        <v>0.13081584599999999</v>
      </c>
      <c r="BK180" s="104">
        <v>1.07255579028</v>
      </c>
      <c r="BL180" s="38"/>
      <c r="BM180" s="3"/>
      <c r="BN180" s="3">
        <v>0</v>
      </c>
      <c r="BP180" s="3"/>
      <c r="BQ180" s="3"/>
      <c r="BS180" s="42"/>
      <c r="BT180" s="42">
        <v>0</v>
      </c>
      <c r="BU180" s="958"/>
      <c r="BV180" s="41"/>
      <c r="BW180" s="42"/>
      <c r="BX180" s="36"/>
      <c r="BY180" s="76"/>
      <c r="BZ180" s="42">
        <v>0</v>
      </c>
      <c r="CA180" s="959"/>
      <c r="CB180" s="41"/>
      <c r="CC180" s="41">
        <v>0</v>
      </c>
      <c r="CD180" s="960"/>
      <c r="CE180" s="76">
        <v>0</v>
      </c>
      <c r="CF180" s="55"/>
      <c r="CG180" s="41">
        <v>0</v>
      </c>
      <c r="CH180" s="38">
        <v>1.07255579028</v>
      </c>
      <c r="CI180" s="76">
        <v>0</v>
      </c>
      <c r="CJ180" s="55"/>
      <c r="CK180" s="955"/>
      <c r="CL180" s="950"/>
      <c r="CM180" s="955"/>
      <c r="CN180" s="950">
        <v>0</v>
      </c>
      <c r="CO180" s="76">
        <v>43.221517890003916</v>
      </c>
      <c r="CP180" s="42">
        <v>0</v>
      </c>
      <c r="CQ180" s="5"/>
      <c r="CR180" s="76">
        <v>60.071093490370153</v>
      </c>
      <c r="CS180" s="954">
        <v>0</v>
      </c>
      <c r="CT180" s="5"/>
      <c r="CU180" s="76">
        <v>39.009150506212009</v>
      </c>
      <c r="CV180" s="42">
        <v>0</v>
      </c>
      <c r="CW180" s="5"/>
      <c r="CX180" s="76">
        <v>32.007763596526217</v>
      </c>
      <c r="CY180" s="42">
        <v>0</v>
      </c>
      <c r="CZ180" s="5"/>
      <c r="DA180" s="76">
        <v>27.659892482584404</v>
      </c>
      <c r="DB180" s="42">
        <v>0</v>
      </c>
      <c r="DC180" s="5"/>
      <c r="DD180" s="76">
        <v>39.322345015722981</v>
      </c>
      <c r="DE180" s="42">
        <v>0</v>
      </c>
      <c r="DF180" s="5"/>
      <c r="DG180" s="76">
        <v>92.218165131400369</v>
      </c>
      <c r="DH180" s="42"/>
      <c r="DI180" s="5"/>
      <c r="DJ180" s="42">
        <v>333.50992811282003</v>
      </c>
      <c r="DK180" s="42">
        <f t="shared" si="22"/>
        <v>0</v>
      </c>
      <c r="DL180" s="58">
        <f t="shared" si="23"/>
        <v>-333.50992811282003</v>
      </c>
      <c r="DM180" s="2">
        <v>1</v>
      </c>
    </row>
    <row r="181" spans="1:117" ht="24.9" customHeight="1" x14ac:dyDescent="0.3">
      <c r="A181" s="318">
        <v>150001031</v>
      </c>
      <c r="B181" s="44" t="s">
        <v>103</v>
      </c>
      <c r="C181" s="956">
        <v>1</v>
      </c>
      <c r="D181" s="957" t="s">
        <v>454</v>
      </c>
      <c r="E181" s="949">
        <f>'побудинковий звіт'!E148</f>
        <v>0</v>
      </c>
      <c r="F181" s="950">
        <f>'побудинковий звіт'!AS148</f>
        <v>1992.4020978659726</v>
      </c>
      <c r="G181" s="950">
        <f t="shared" si="16"/>
        <v>0</v>
      </c>
      <c r="H181" s="950">
        <f t="shared" si="17"/>
        <v>-1992.4020978659726</v>
      </c>
      <c r="I181" s="42">
        <f>'[2]поточний ремонт'!I181+'[1]поточний ремонт'!I181</f>
        <v>0</v>
      </c>
      <c r="J181" s="42">
        <f>'[2]поточний ремонт'!J181+'[1]поточний ремонт'!J181</f>
        <v>0</v>
      </c>
      <c r="K181" s="958"/>
      <c r="L181" s="42">
        <f>'[2]поточний ремонт'!L181+'[1]поточний ремонт'!L181</f>
        <v>0</v>
      </c>
      <c r="M181" s="42">
        <f>'[2]поточний ремонт'!M181+'[1]поточний ремонт'!M181</f>
        <v>0</v>
      </c>
      <c r="N181" s="36"/>
      <c r="O181" s="42">
        <f>'[2]поточний ремонт'!O181+'[1]поточний ремонт'!O181</f>
        <v>0</v>
      </c>
      <c r="P181" s="42">
        <f>'[2]поточний ремонт'!P181+'[1]поточний ремонт'!P181</f>
        <v>0</v>
      </c>
      <c r="Q181" s="959"/>
      <c r="R181" s="42">
        <f>'[2]поточний ремонт'!R181+'[1]поточний ремонт'!R181</f>
        <v>0</v>
      </c>
      <c r="S181" s="42">
        <f>'[2]поточний ремонт'!S181+'[1]поточний ремонт'!S181</f>
        <v>0</v>
      </c>
      <c r="T181" s="960"/>
      <c r="U181" s="42">
        <f>'[2]поточний ремонт'!U181+'[1]поточний ремонт'!U181</f>
        <v>0</v>
      </c>
      <c r="V181" s="42">
        <f>'[2]поточний ремонт'!V181+'[1]поточний ремонт'!V181</f>
        <v>0</v>
      </c>
      <c r="W181" s="42">
        <f>'[2]поточний ремонт'!W181+'[1]поточний ремонт'!W181</f>
        <v>0</v>
      </c>
      <c r="X181" s="42">
        <f>'[2]поточний ремонт'!X181+'[1]поточний ремонт'!X181</f>
        <v>0</v>
      </c>
      <c r="Y181" s="42">
        <f>'[2]поточний ремонт'!Y181+'[1]поточний ремонт'!Y181</f>
        <v>0</v>
      </c>
      <c r="Z181" s="42">
        <f>'[2]поточний ремонт'!Z181+'[1]поточний ремонт'!Z181</f>
        <v>0</v>
      </c>
      <c r="AA181" s="42">
        <f>'[2]поточний ремонт'!AA181+'[1]поточний ремонт'!AA181</f>
        <v>0</v>
      </c>
      <c r="AB181" s="42">
        <f>'[2]поточний ремонт'!AB181+'[1]поточний ремонт'!AB181</f>
        <v>0</v>
      </c>
      <c r="AC181" s="42">
        <f>'[2]поточний ремонт'!AC181+'[1]поточний ремонт'!AC181</f>
        <v>0</v>
      </c>
      <c r="AD181" s="42">
        <f>'[2]поточний ремонт'!AD181+'[1]поточний ремонт'!AD181</f>
        <v>0</v>
      </c>
      <c r="AE181" s="42">
        <f>'[2]поточний ремонт'!AE181+'[1]поточний ремонт'!AE181</f>
        <v>0</v>
      </c>
      <c r="AF181" s="42">
        <f>'[2]поточний ремонт'!AF181+'[1]поточний ремонт'!AF181</f>
        <v>0</v>
      </c>
      <c r="AG181" s="5"/>
      <c r="AH181" s="42">
        <f>'[2]поточний ремонт'!AH181+'[1]поточний ремонт'!AH181</f>
        <v>0</v>
      </c>
      <c r="AI181" s="42">
        <f>'[2]поточний ремонт'!AI181+'[1]поточний ремонт'!AI181</f>
        <v>0</v>
      </c>
      <c r="AJ181" s="5"/>
      <c r="AK181" s="42">
        <f>'[2]поточний ремонт'!AK181+'[1]поточний ремонт'!AK181</f>
        <v>0</v>
      </c>
      <c r="AL181" s="42">
        <f>'[2]поточний ремонт'!AL181+'[1]поточний ремонт'!AL181</f>
        <v>0</v>
      </c>
      <c r="AM181" s="5"/>
      <c r="AN181" s="42">
        <f>'[2]поточний ремонт'!AN181+'[1]поточний ремонт'!AN181</f>
        <v>0</v>
      </c>
      <c r="AO181" s="42">
        <f>'[2]поточний ремонт'!AO181+'[1]поточний ремонт'!AO181</f>
        <v>0</v>
      </c>
      <c r="AP181" s="5"/>
      <c r="AQ181" s="42">
        <f>'[2]поточний ремонт'!AQ181+'[1]поточний ремонт'!AQ181</f>
        <v>0</v>
      </c>
      <c r="AR181" s="42">
        <f>'[2]поточний ремонт'!AR181+'[1]поточний ремонт'!AR181</f>
        <v>0</v>
      </c>
      <c r="AS181" s="5"/>
      <c r="AT181" s="42">
        <f>'[2]поточний ремонт'!AT181+'[1]поточний ремонт'!AT181</f>
        <v>0</v>
      </c>
      <c r="AU181" s="42">
        <f>'[2]поточний ремонт'!AU181+'[1]поточний ремонт'!AU181</f>
        <v>0</v>
      </c>
      <c r="AV181" s="5"/>
      <c r="AW181" s="42">
        <f>'[2]поточний ремонт'!AW181+'[1]поточний ремонт'!AW181</f>
        <v>0</v>
      </c>
      <c r="AX181" s="42">
        <f>'[2]поточний ремонт'!AX181+'[1]поточний ремонт'!AX181</f>
        <v>0</v>
      </c>
      <c r="AY181" s="5"/>
      <c r="AZ181" s="42">
        <f t="shared" si="18"/>
        <v>0</v>
      </c>
      <c r="BA181" s="42">
        <f t="shared" si="19"/>
        <v>0</v>
      </c>
      <c r="BB181" s="58">
        <f t="shared" si="20"/>
        <v>0</v>
      </c>
      <c r="BD181" s="2">
        <v>1</v>
      </c>
      <c r="BF181" s="29">
        <v>0</v>
      </c>
      <c r="BG181" s="318">
        <v>150001031</v>
      </c>
      <c r="BI181" s="104">
        <v>0</v>
      </c>
      <c r="BJ181" s="104">
        <f t="shared" si="21"/>
        <v>0</v>
      </c>
      <c r="BK181" s="104">
        <v>0</v>
      </c>
      <c r="BL181" s="38"/>
      <c r="BM181" s="3"/>
      <c r="BN181" s="3">
        <v>0</v>
      </c>
      <c r="BP181" s="3"/>
      <c r="BQ181" s="3"/>
      <c r="BS181" s="42"/>
      <c r="BT181" s="42">
        <v>0</v>
      </c>
      <c r="BU181" s="958"/>
      <c r="BV181" s="41"/>
      <c r="BW181" s="42"/>
      <c r="BX181" s="36"/>
      <c r="BY181" s="76"/>
      <c r="BZ181" s="42">
        <v>0</v>
      </c>
      <c r="CA181" s="959"/>
      <c r="CB181" s="41"/>
      <c r="CC181" s="41">
        <v>0</v>
      </c>
      <c r="CD181" s="960"/>
      <c r="CE181" s="76">
        <v>0</v>
      </c>
      <c r="CF181" s="55"/>
      <c r="CG181" s="41">
        <v>0</v>
      </c>
      <c r="CH181" s="38">
        <v>0</v>
      </c>
      <c r="CI181" s="76">
        <v>0</v>
      </c>
      <c r="CJ181" s="55"/>
      <c r="CK181" s="955"/>
      <c r="CL181" s="950"/>
      <c r="CM181" s="955"/>
      <c r="CN181" s="950">
        <v>0</v>
      </c>
      <c r="CO181" s="76">
        <v>0</v>
      </c>
      <c r="CP181" s="42">
        <v>0</v>
      </c>
      <c r="CQ181" s="5"/>
      <c r="CR181" s="76">
        <v>0</v>
      </c>
      <c r="CS181" s="954">
        <v>0</v>
      </c>
      <c r="CT181" s="5"/>
      <c r="CU181" s="76">
        <v>0</v>
      </c>
      <c r="CV181" s="42">
        <v>0</v>
      </c>
      <c r="CW181" s="5"/>
      <c r="CX181" s="76">
        <v>0</v>
      </c>
      <c r="CY181" s="42">
        <v>0</v>
      </c>
      <c r="CZ181" s="5"/>
      <c r="DA181" s="76">
        <v>0</v>
      </c>
      <c r="DB181" s="42">
        <v>0</v>
      </c>
      <c r="DC181" s="5"/>
      <c r="DD181" s="76">
        <v>0</v>
      </c>
      <c r="DE181" s="42">
        <v>0</v>
      </c>
      <c r="DF181" s="5"/>
      <c r="DG181" s="76">
        <v>0</v>
      </c>
      <c r="DH181" s="42"/>
      <c r="DI181" s="5"/>
      <c r="DJ181" s="42">
        <v>0</v>
      </c>
      <c r="DK181" s="42">
        <f t="shared" si="22"/>
        <v>0</v>
      </c>
      <c r="DL181" s="58">
        <f t="shared" si="23"/>
        <v>0</v>
      </c>
      <c r="DM181" s="2">
        <v>1</v>
      </c>
    </row>
    <row r="182" spans="1:117" ht="24.9" customHeight="1" x14ac:dyDescent="0.3">
      <c r="A182" s="318">
        <v>150001037</v>
      </c>
      <c r="B182" s="44" t="s">
        <v>104</v>
      </c>
      <c r="C182" s="956">
        <v>1</v>
      </c>
      <c r="D182" s="957" t="s">
        <v>454</v>
      </c>
      <c r="E182" s="949">
        <f>'побудинковий звіт'!E149</f>
        <v>0</v>
      </c>
      <c r="F182" s="950">
        <f>'побудинковий звіт'!AS149</f>
        <v>1335.8676510989476</v>
      </c>
      <c r="G182" s="950">
        <f t="shared" si="16"/>
        <v>0</v>
      </c>
      <c r="H182" s="950">
        <f t="shared" si="17"/>
        <v>-1335.8676510989476</v>
      </c>
      <c r="I182" s="42">
        <f>'[2]поточний ремонт'!I182+'[1]поточний ремонт'!I182</f>
        <v>0</v>
      </c>
      <c r="J182" s="42">
        <f>'[2]поточний ремонт'!J182+'[1]поточний ремонт'!J182</f>
        <v>0</v>
      </c>
      <c r="K182" s="958"/>
      <c r="L182" s="42">
        <f>'[2]поточний ремонт'!L182+'[1]поточний ремонт'!L182</f>
        <v>0</v>
      </c>
      <c r="M182" s="42">
        <f>'[2]поточний ремонт'!M182+'[1]поточний ремонт'!M182</f>
        <v>0</v>
      </c>
      <c r="N182" s="36"/>
      <c r="O182" s="42">
        <f>'[2]поточний ремонт'!O182+'[1]поточний ремонт'!O182</f>
        <v>0</v>
      </c>
      <c r="P182" s="42">
        <f>'[2]поточний ремонт'!P182+'[1]поточний ремонт'!P182</f>
        <v>0</v>
      </c>
      <c r="Q182" s="959"/>
      <c r="R182" s="42">
        <f>'[2]поточний ремонт'!R182+'[1]поточний ремонт'!R182</f>
        <v>0</v>
      </c>
      <c r="S182" s="42">
        <f>'[2]поточний ремонт'!S182+'[1]поточний ремонт'!S182</f>
        <v>0</v>
      </c>
      <c r="T182" s="960"/>
      <c r="U182" s="42">
        <f>'[2]поточний ремонт'!U182+'[1]поточний ремонт'!U182</f>
        <v>0</v>
      </c>
      <c r="V182" s="42">
        <f>'[2]поточний ремонт'!V182+'[1]поточний ремонт'!V182</f>
        <v>0</v>
      </c>
      <c r="W182" s="42">
        <f>'[2]поточний ремонт'!W182+'[1]поточний ремонт'!W182</f>
        <v>0</v>
      </c>
      <c r="X182" s="42">
        <f>'[2]поточний ремонт'!X182+'[1]поточний ремонт'!X182</f>
        <v>0</v>
      </c>
      <c r="Y182" s="42">
        <f>'[2]поточний ремонт'!Y182+'[1]поточний ремонт'!Y182</f>
        <v>0</v>
      </c>
      <c r="Z182" s="42">
        <f>'[2]поточний ремонт'!Z182+'[1]поточний ремонт'!Z182</f>
        <v>0</v>
      </c>
      <c r="AA182" s="42">
        <f>'[2]поточний ремонт'!AA182+'[1]поточний ремонт'!AA182</f>
        <v>0</v>
      </c>
      <c r="AB182" s="42">
        <f>'[2]поточний ремонт'!AB182+'[1]поточний ремонт'!AB182</f>
        <v>0</v>
      </c>
      <c r="AC182" s="42">
        <f>'[2]поточний ремонт'!AC182+'[1]поточний ремонт'!AC182</f>
        <v>0</v>
      </c>
      <c r="AD182" s="42">
        <f>'[2]поточний ремонт'!AD182+'[1]поточний ремонт'!AD182</f>
        <v>0</v>
      </c>
      <c r="AE182" s="42">
        <f>'[2]поточний ремонт'!AE182+'[1]поточний ремонт'!AE182</f>
        <v>0</v>
      </c>
      <c r="AF182" s="42">
        <f>'[2]поточний ремонт'!AF182+'[1]поточний ремонт'!AF182</f>
        <v>0</v>
      </c>
      <c r="AG182" s="5"/>
      <c r="AH182" s="42">
        <f>'[2]поточний ремонт'!AH182+'[1]поточний ремонт'!AH182</f>
        <v>0</v>
      </c>
      <c r="AI182" s="42">
        <f>'[2]поточний ремонт'!AI182+'[1]поточний ремонт'!AI182</f>
        <v>0</v>
      </c>
      <c r="AJ182" s="5"/>
      <c r="AK182" s="42">
        <f>'[2]поточний ремонт'!AK182+'[1]поточний ремонт'!AK182</f>
        <v>0</v>
      </c>
      <c r="AL182" s="42">
        <f>'[2]поточний ремонт'!AL182+'[1]поточний ремонт'!AL182</f>
        <v>0</v>
      </c>
      <c r="AM182" s="5"/>
      <c r="AN182" s="42">
        <f>'[2]поточний ремонт'!AN182+'[1]поточний ремонт'!AN182</f>
        <v>0</v>
      </c>
      <c r="AO182" s="42">
        <f>'[2]поточний ремонт'!AO182+'[1]поточний ремонт'!AO182</f>
        <v>0</v>
      </c>
      <c r="AP182" s="5"/>
      <c r="AQ182" s="42">
        <f>'[2]поточний ремонт'!AQ182+'[1]поточний ремонт'!AQ182</f>
        <v>0</v>
      </c>
      <c r="AR182" s="42">
        <f>'[2]поточний ремонт'!AR182+'[1]поточний ремонт'!AR182</f>
        <v>0</v>
      </c>
      <c r="AS182" s="5"/>
      <c r="AT182" s="42">
        <f>'[2]поточний ремонт'!AT182+'[1]поточний ремонт'!AT182</f>
        <v>0</v>
      </c>
      <c r="AU182" s="42">
        <f>'[2]поточний ремонт'!AU182+'[1]поточний ремонт'!AU182</f>
        <v>0</v>
      </c>
      <c r="AV182" s="5"/>
      <c r="AW182" s="42">
        <f>'[2]поточний ремонт'!AW182+'[1]поточний ремонт'!AW182</f>
        <v>0</v>
      </c>
      <c r="AX182" s="42">
        <f>'[2]поточний ремонт'!AX182+'[1]поточний ремонт'!AX182</f>
        <v>0</v>
      </c>
      <c r="AY182" s="5"/>
      <c r="AZ182" s="42">
        <f t="shared" si="18"/>
        <v>0</v>
      </c>
      <c r="BA182" s="42">
        <f t="shared" si="19"/>
        <v>0</v>
      </c>
      <c r="BB182" s="58">
        <f t="shared" si="20"/>
        <v>0</v>
      </c>
      <c r="BD182" s="2">
        <v>1</v>
      </c>
      <c r="BF182" s="29">
        <v>0</v>
      </c>
      <c r="BG182" s="318">
        <v>150001037</v>
      </c>
      <c r="BI182" s="104">
        <v>0</v>
      </c>
      <c r="BJ182" s="104">
        <f t="shared" si="21"/>
        <v>0</v>
      </c>
      <c r="BK182" s="104">
        <v>0</v>
      </c>
      <c r="BL182" s="38"/>
      <c r="BM182" s="3"/>
      <c r="BN182" s="3">
        <v>0</v>
      </c>
      <c r="BP182" s="3"/>
      <c r="BQ182" s="3"/>
      <c r="BS182" s="42"/>
      <c r="BT182" s="42">
        <v>0</v>
      </c>
      <c r="BU182" s="958"/>
      <c r="BV182" s="41"/>
      <c r="BW182" s="42"/>
      <c r="BX182" s="36"/>
      <c r="BY182" s="76"/>
      <c r="BZ182" s="42">
        <v>0</v>
      </c>
      <c r="CA182" s="959"/>
      <c r="CB182" s="41"/>
      <c r="CC182" s="41">
        <v>0</v>
      </c>
      <c r="CD182" s="960"/>
      <c r="CE182" s="76">
        <v>0</v>
      </c>
      <c r="CF182" s="55"/>
      <c r="CG182" s="41">
        <v>0</v>
      </c>
      <c r="CH182" s="38">
        <v>0</v>
      </c>
      <c r="CI182" s="76">
        <v>0</v>
      </c>
      <c r="CJ182" s="55"/>
      <c r="CK182" s="955"/>
      <c r="CL182" s="950"/>
      <c r="CM182" s="955"/>
      <c r="CN182" s="950">
        <v>0</v>
      </c>
      <c r="CO182" s="76">
        <v>0</v>
      </c>
      <c r="CP182" s="42">
        <v>0</v>
      </c>
      <c r="CQ182" s="5"/>
      <c r="CR182" s="76">
        <v>0</v>
      </c>
      <c r="CS182" s="954">
        <v>0</v>
      </c>
      <c r="CT182" s="5"/>
      <c r="CU182" s="76">
        <v>0</v>
      </c>
      <c r="CV182" s="42">
        <v>0</v>
      </c>
      <c r="CW182" s="5"/>
      <c r="CX182" s="76">
        <v>0</v>
      </c>
      <c r="CY182" s="42">
        <v>0</v>
      </c>
      <c r="CZ182" s="5"/>
      <c r="DA182" s="76">
        <v>0</v>
      </c>
      <c r="DB182" s="42">
        <v>0</v>
      </c>
      <c r="DC182" s="5"/>
      <c r="DD182" s="76">
        <v>0</v>
      </c>
      <c r="DE182" s="42">
        <v>0</v>
      </c>
      <c r="DF182" s="5"/>
      <c r="DG182" s="76">
        <v>0</v>
      </c>
      <c r="DH182" s="42"/>
      <c r="DI182" s="5"/>
      <c r="DJ182" s="42">
        <v>0</v>
      </c>
      <c r="DK182" s="42">
        <f t="shared" si="22"/>
        <v>0</v>
      </c>
      <c r="DL182" s="58">
        <f t="shared" si="23"/>
        <v>0</v>
      </c>
      <c r="DM182" s="2">
        <v>1</v>
      </c>
    </row>
    <row r="183" spans="1:117" ht="24.9" customHeight="1" x14ac:dyDescent="0.3">
      <c r="A183" s="318">
        <v>150001032</v>
      </c>
      <c r="B183" s="44" t="s">
        <v>369</v>
      </c>
      <c r="C183" s="956">
        <v>9</v>
      </c>
      <c r="D183" s="957" t="s">
        <v>454</v>
      </c>
      <c r="E183" s="949">
        <f>'побудинковий звіт'!E150</f>
        <v>142.1</v>
      </c>
      <c r="F183" s="950">
        <f>'побудинковий звіт'!AS150</f>
        <v>2002.0892102801581</v>
      </c>
      <c r="G183" s="950">
        <f t="shared" si="16"/>
        <v>249792.88699074971</v>
      </c>
      <c r="H183" s="950">
        <f t="shared" si="17"/>
        <v>247790.79778046955</v>
      </c>
      <c r="I183" s="42">
        <f>'[2]поточний ремонт'!I183+'[1]поточний ремонт'!I183</f>
        <v>6</v>
      </c>
      <c r="J183" s="42">
        <f>'[2]поточний ремонт'!J183+'[1]поточний ремонт'!J183</f>
        <v>560.4614629011819</v>
      </c>
      <c r="K183" s="958"/>
      <c r="L183" s="42">
        <f>'[2]поточний ремонт'!L183+'[1]поточний ремонт'!L183</f>
        <v>0</v>
      </c>
      <c r="M183" s="42">
        <f>'[2]поточний ремонт'!M183+'[1]поточний ремонт'!M183</f>
        <v>0</v>
      </c>
      <c r="N183" s="960"/>
      <c r="O183" s="42">
        <f>'[2]поточний ремонт'!O183+'[1]поточний ремонт'!O183</f>
        <v>0</v>
      </c>
      <c r="P183" s="42">
        <f>'[2]поточний ремонт'!P183+'[1]поточний ремонт'!P183</f>
        <v>0</v>
      </c>
      <c r="Q183" s="959"/>
      <c r="R183" s="42">
        <f>'[2]поточний ремонт'!R183+'[1]поточний ремонт'!R183</f>
        <v>6</v>
      </c>
      <c r="S183" s="42">
        <f>'[2]поточний ремонт'!S183+'[1]поточний ремонт'!S183</f>
        <v>224450.00102905795</v>
      </c>
      <c r="T183" s="968"/>
      <c r="U183" s="42">
        <f>'[2]поточний ремонт'!U183+'[1]поточний ремонт'!U183</f>
        <v>13966.914949861221</v>
      </c>
      <c r="V183" s="42">
        <f>'[2]поточний ремонт'!V183+'[1]поточний ремонт'!V183</f>
        <v>0</v>
      </c>
      <c r="W183" s="42">
        <f>'[2]поточний ремонт'!W183+'[1]поточний ремонт'!W183</f>
        <v>9</v>
      </c>
      <c r="X183" s="42">
        <f>'[2]поточний ремонт'!X183+'[1]поточний ремонт'!X183</f>
        <v>2407</v>
      </c>
      <c r="Y183" s="42">
        <f>'[2]поточний ремонт'!Y183+'[1]поточний ремонт'!Y183</f>
        <v>0</v>
      </c>
      <c r="Z183" s="42">
        <f>'[2]поточний ремонт'!Z183+'[1]поточний ремонт'!Z183</f>
        <v>0</v>
      </c>
      <c r="AA183" s="42">
        <f>'[2]поточний ремонт'!AA183+'[1]поточний ремонт'!AA183</f>
        <v>0</v>
      </c>
      <c r="AB183" s="42">
        <f>'[2]поточний ремонт'!AB183+'[1]поточний ремонт'!AB183</f>
        <v>0</v>
      </c>
      <c r="AC183" s="42">
        <f>'[2]поточний ремонт'!AC183+'[1]поточний ремонт'!AC183</f>
        <v>201.56563642701104</v>
      </c>
      <c r="AD183" s="42">
        <f>'[2]поточний ремонт'!AD183+'[1]поточний ремонт'!AD183</f>
        <v>8206.9439125023455</v>
      </c>
      <c r="AE183" s="42">
        <f>'[2]поточний ремонт'!AE183+'[1]поточний ремонт'!AE183</f>
        <v>1314.2308721593092</v>
      </c>
      <c r="AF183" s="42">
        <f>'[2]поточний ремонт'!AF183+'[1]поточний ремонт'!AF183</f>
        <v>2035.6599843986678</v>
      </c>
      <c r="AG183" s="5"/>
      <c r="AH183" s="42">
        <f>'[2]поточний ремонт'!AH183+'[1]поточний ремонт'!AH183</f>
        <v>1295.2566296949788</v>
      </c>
      <c r="AI183" s="42">
        <f>'[2]поточний ремонт'!AI183+'[1]поточний ремонт'!AI183</f>
        <v>0</v>
      </c>
      <c r="AJ183" s="5"/>
      <c r="AK183" s="42">
        <f>'[2]поточний ремонт'!AK183+'[1]поточний ремонт'!AK183</f>
        <v>2200.7533738968023</v>
      </c>
      <c r="AL183" s="42">
        <f>'[2]поточний ремонт'!AL183+'[1]поточний ремонт'!AL183</f>
        <v>761.87906883248809</v>
      </c>
      <c r="AM183" s="5"/>
      <c r="AN183" s="42">
        <f>'[2]поточний ремонт'!AN183+'[1]поточний ремонт'!AN183</f>
        <v>751.27906382141748</v>
      </c>
      <c r="AO183" s="42">
        <f>'[2]поточний ремонт'!AO183+'[1]поточний ремонт'!AO183</f>
        <v>718.34862679647222</v>
      </c>
      <c r="AP183" s="5"/>
      <c r="AQ183" s="42">
        <f>'[2]поточний ремонт'!AQ183+'[1]поточний ремонт'!AQ183</f>
        <v>914.55159156469733</v>
      </c>
      <c r="AR183" s="42">
        <f>'[2]поточний ремонт'!AR183+'[1]поточний ремонт'!AR183</f>
        <v>0</v>
      </c>
      <c r="AS183" s="5"/>
      <c r="AT183" s="42">
        <f>'[2]поточний ремонт'!AT183+'[1]поточний ремонт'!AT183</f>
        <v>1929.2868656625869</v>
      </c>
      <c r="AU183" s="42">
        <f>'[2]поточний ремонт'!AU183+'[1]поточний ремонт'!AU183</f>
        <v>7622.7039477888429</v>
      </c>
      <c r="AV183" s="9"/>
      <c r="AW183" s="42">
        <f>'[2]поточний ремонт'!AW183+'[1]поточний ремонт'!AW183</f>
        <v>1068.5255346512038</v>
      </c>
      <c r="AX183" s="42">
        <f>'[2]поточний ремонт'!AX183+'[1]поточний ремонт'!AX183</f>
        <v>0</v>
      </c>
      <c r="AY183" s="5"/>
      <c r="AZ183" s="42">
        <f t="shared" si="18"/>
        <v>9473.8839314509951</v>
      </c>
      <c r="BA183" s="42">
        <f t="shared" si="19"/>
        <v>11138.591627816471</v>
      </c>
      <c r="BB183" s="58">
        <f t="shared" si="20"/>
        <v>1664.7076963654763</v>
      </c>
      <c r="BD183" s="2">
        <v>1</v>
      </c>
      <c r="BF183" s="29">
        <v>586.81533243532363</v>
      </c>
      <c r="BG183" s="318">
        <v>150001032</v>
      </c>
      <c r="BI183" s="104">
        <v>0</v>
      </c>
      <c r="BJ183" s="104">
        <f t="shared" si="21"/>
        <v>0</v>
      </c>
      <c r="BK183" s="104">
        <v>0</v>
      </c>
      <c r="BL183" s="38"/>
      <c r="BM183" s="3"/>
      <c r="BN183" s="3">
        <v>0</v>
      </c>
      <c r="BP183" s="3"/>
      <c r="BQ183" s="3"/>
      <c r="BS183" s="42"/>
      <c r="BT183" s="42">
        <v>0</v>
      </c>
      <c r="BU183" s="958"/>
      <c r="BV183" s="41"/>
      <c r="BW183" s="42"/>
      <c r="BX183" s="960"/>
      <c r="BY183" s="76"/>
      <c r="BZ183" s="42">
        <v>0</v>
      </c>
      <c r="CA183" s="959"/>
      <c r="CB183" s="41"/>
      <c r="CC183" s="41">
        <v>0</v>
      </c>
      <c r="CD183" s="968"/>
      <c r="CE183" s="76">
        <v>13461.612756740084</v>
      </c>
      <c r="CF183" s="55"/>
      <c r="CG183" s="41">
        <v>0</v>
      </c>
      <c r="CH183" s="38">
        <v>0</v>
      </c>
      <c r="CI183" s="76">
        <v>0</v>
      </c>
      <c r="CJ183" s="55"/>
      <c r="CK183" s="955"/>
      <c r="CL183" s="950"/>
      <c r="CM183" s="955"/>
      <c r="CN183" s="950">
        <v>2650.2622043695778</v>
      </c>
      <c r="CO183" s="76">
        <v>84.906546698705966</v>
      </c>
      <c r="CP183" s="42">
        <v>0</v>
      </c>
      <c r="CQ183" s="5"/>
      <c r="CR183" s="76">
        <v>105.8483598043756</v>
      </c>
      <c r="CS183" s="954">
        <v>0</v>
      </c>
      <c r="CT183" s="5"/>
      <c r="CU183" s="76">
        <v>175.62049056944369</v>
      </c>
      <c r="CV183" s="42">
        <v>0</v>
      </c>
      <c r="CW183" s="5"/>
      <c r="CX183" s="76">
        <v>66.379736649360211</v>
      </c>
      <c r="CY183" s="42">
        <v>0</v>
      </c>
      <c r="CZ183" s="5"/>
      <c r="DA183" s="76">
        <v>73.08065849607965</v>
      </c>
      <c r="DB183" s="42">
        <v>0</v>
      </c>
      <c r="DC183" s="5"/>
      <c r="DD183" s="76">
        <v>116.08016483482538</v>
      </c>
      <c r="DE183" s="42">
        <v>510.20503071795298</v>
      </c>
      <c r="DF183" s="9"/>
      <c r="DG183" s="76">
        <v>92.218165131400369</v>
      </c>
      <c r="DH183" s="42"/>
      <c r="DI183" s="5"/>
      <c r="DJ183" s="42">
        <v>714.13412218419091</v>
      </c>
      <c r="DK183" s="42">
        <f t="shared" si="22"/>
        <v>510.20503071795298</v>
      </c>
      <c r="DL183" s="58">
        <f t="shared" si="23"/>
        <v>-203.92909146623794</v>
      </c>
      <c r="DM183" s="2">
        <v>1</v>
      </c>
    </row>
    <row r="184" spans="1:117" ht="24.9" customHeight="1" x14ac:dyDescent="0.3">
      <c r="A184" s="318">
        <v>150000537</v>
      </c>
      <c r="B184" s="44" t="s">
        <v>105</v>
      </c>
      <c r="C184" s="956">
        <v>1</v>
      </c>
      <c r="D184" s="957" t="s">
        <v>454</v>
      </c>
      <c r="E184" s="949">
        <f>'побудинковий звіт'!E151</f>
        <v>4513.3999999999996</v>
      </c>
      <c r="F184" s="950">
        <f>'побудинковий звіт'!AS151</f>
        <v>63634.078263229429</v>
      </c>
      <c r="G184" s="950">
        <f t="shared" si="16"/>
        <v>0</v>
      </c>
      <c r="H184" s="950">
        <f t="shared" si="17"/>
        <v>-63634.078263229429</v>
      </c>
      <c r="I184" s="42">
        <f>'[2]поточний ремонт'!I184+'[1]поточний ремонт'!I184</f>
        <v>0</v>
      </c>
      <c r="J184" s="42">
        <f>'[2]поточний ремонт'!J184+'[1]поточний ремонт'!J184</f>
        <v>0</v>
      </c>
      <c r="K184" s="958"/>
      <c r="L184" s="42">
        <f>'[2]поточний ремонт'!L184+'[1]поточний ремонт'!L184</f>
        <v>0</v>
      </c>
      <c r="M184" s="42">
        <f>'[2]поточний ремонт'!M184+'[1]поточний ремонт'!M184</f>
        <v>0</v>
      </c>
      <c r="N184" s="36"/>
      <c r="O184" s="42">
        <f>'[2]поточний ремонт'!O184+'[1]поточний ремонт'!O184</f>
        <v>0</v>
      </c>
      <c r="P184" s="42">
        <f>'[2]поточний ремонт'!P184+'[1]поточний ремонт'!P184</f>
        <v>0</v>
      </c>
      <c r="Q184" s="959"/>
      <c r="R184" s="42">
        <f>'[2]поточний ремонт'!R184+'[1]поточний ремонт'!R184</f>
        <v>0</v>
      </c>
      <c r="S184" s="42">
        <f>'[2]поточний ремонт'!S184+'[1]поточний ремонт'!S184</f>
        <v>0</v>
      </c>
      <c r="T184" s="960"/>
      <c r="U184" s="42">
        <f>'[2]поточний ремонт'!U184+'[1]поточний ремонт'!U184</f>
        <v>0</v>
      </c>
      <c r="V184" s="42">
        <f>'[2]поточний ремонт'!V184+'[1]поточний ремонт'!V184</f>
        <v>0</v>
      </c>
      <c r="W184" s="42">
        <f>'[2]поточний ремонт'!W184+'[1]поточний ремонт'!W184</f>
        <v>0</v>
      </c>
      <c r="X184" s="42">
        <f>'[2]поточний ремонт'!X184+'[1]поточний ремонт'!X184</f>
        <v>0</v>
      </c>
      <c r="Y184" s="42">
        <f>'[2]поточний ремонт'!Y184+'[1]поточний ремонт'!Y184</f>
        <v>0</v>
      </c>
      <c r="Z184" s="42">
        <f>'[2]поточний ремонт'!Z184+'[1]поточний ремонт'!Z184</f>
        <v>0</v>
      </c>
      <c r="AA184" s="42">
        <f>'[2]поточний ремонт'!AA184+'[1]поточний ремонт'!AA184</f>
        <v>0</v>
      </c>
      <c r="AB184" s="42">
        <f>'[2]поточний ремонт'!AB184+'[1]поточний ремонт'!AB184</f>
        <v>0</v>
      </c>
      <c r="AC184" s="42">
        <f>'[2]поточний ремонт'!AC184+'[1]поточний ремонт'!AC184</f>
        <v>0</v>
      </c>
      <c r="AD184" s="42">
        <f>'[2]поточний ремонт'!AD184+'[1]поточний ремонт'!AD184</f>
        <v>0</v>
      </c>
      <c r="AE184" s="42">
        <f>'[2]поточний ремонт'!AE184+'[1]поточний ремонт'!AE184</f>
        <v>0</v>
      </c>
      <c r="AF184" s="42">
        <f>'[2]поточний ремонт'!AF184+'[1]поточний ремонт'!AF184</f>
        <v>0</v>
      </c>
      <c r="AG184" s="5"/>
      <c r="AH184" s="42">
        <f>'[2]поточний ремонт'!AH184+'[1]поточний ремонт'!AH184</f>
        <v>0</v>
      </c>
      <c r="AI184" s="42">
        <f>'[2]поточний ремонт'!AI184+'[1]поточний ремонт'!AI184</f>
        <v>0</v>
      </c>
      <c r="AJ184" s="5"/>
      <c r="AK184" s="42">
        <f>'[2]поточний ремонт'!AK184+'[1]поточний ремонт'!AK184</f>
        <v>0</v>
      </c>
      <c r="AL184" s="42">
        <f>'[2]поточний ремонт'!AL184+'[1]поточний ремонт'!AL184</f>
        <v>0</v>
      </c>
      <c r="AM184" s="5"/>
      <c r="AN184" s="42">
        <f>'[2]поточний ремонт'!AN184+'[1]поточний ремонт'!AN184</f>
        <v>0</v>
      </c>
      <c r="AO184" s="42">
        <f>'[2]поточний ремонт'!AO184+'[1]поточний ремонт'!AO184</f>
        <v>0</v>
      </c>
      <c r="AP184" s="5"/>
      <c r="AQ184" s="42">
        <f>'[2]поточний ремонт'!AQ184+'[1]поточний ремонт'!AQ184</f>
        <v>0</v>
      </c>
      <c r="AR184" s="42">
        <f>'[2]поточний ремонт'!AR184+'[1]поточний ремонт'!AR184</f>
        <v>0</v>
      </c>
      <c r="AS184" s="5"/>
      <c r="AT184" s="42">
        <f>'[2]поточний ремонт'!AT184+'[1]поточний ремонт'!AT184</f>
        <v>0</v>
      </c>
      <c r="AU184" s="42">
        <f>'[2]поточний ремонт'!AU184+'[1]поточний ремонт'!AU184</f>
        <v>0</v>
      </c>
      <c r="AV184" s="5"/>
      <c r="AW184" s="42">
        <f>'[2]поточний ремонт'!AW184+'[1]поточний ремонт'!AW184</f>
        <v>0</v>
      </c>
      <c r="AX184" s="42">
        <f>'[2]поточний ремонт'!AX184+'[1]поточний ремонт'!AX184</f>
        <v>0</v>
      </c>
      <c r="AY184" s="5"/>
      <c r="AZ184" s="42">
        <f t="shared" si="18"/>
        <v>0</v>
      </c>
      <c r="BA184" s="42">
        <f t="shared" si="19"/>
        <v>0</v>
      </c>
      <c r="BB184" s="58">
        <f t="shared" si="20"/>
        <v>0</v>
      </c>
      <c r="BD184" s="2">
        <v>2</v>
      </c>
      <c r="BF184" s="29">
        <v>0</v>
      </c>
      <c r="BG184" s="318">
        <v>150000537</v>
      </c>
      <c r="BI184" s="104">
        <v>0</v>
      </c>
      <c r="BJ184" s="104">
        <f t="shared" si="21"/>
        <v>0</v>
      </c>
      <c r="BK184" s="104">
        <v>0</v>
      </c>
      <c r="BL184" s="38"/>
      <c r="BM184" s="3"/>
      <c r="BN184" s="3">
        <v>0</v>
      </c>
      <c r="BP184" s="3"/>
      <c r="BQ184" s="3"/>
      <c r="BS184" s="42"/>
      <c r="BT184" s="42">
        <v>0</v>
      </c>
      <c r="BU184" s="958"/>
      <c r="BV184" s="41"/>
      <c r="BW184" s="42"/>
      <c r="BX184" s="36"/>
      <c r="BY184" s="76"/>
      <c r="BZ184" s="42">
        <v>0</v>
      </c>
      <c r="CA184" s="959"/>
      <c r="CB184" s="41"/>
      <c r="CC184" s="41">
        <v>0</v>
      </c>
      <c r="CD184" s="960"/>
      <c r="CE184" s="76">
        <v>0</v>
      </c>
      <c r="CF184" s="55"/>
      <c r="CG184" s="41">
        <v>0</v>
      </c>
      <c r="CH184" s="38">
        <v>0</v>
      </c>
      <c r="CI184" s="76">
        <v>0</v>
      </c>
      <c r="CJ184" s="55"/>
      <c r="CK184" s="955"/>
      <c r="CL184" s="950"/>
      <c r="CM184" s="955"/>
      <c r="CN184" s="950">
        <v>0</v>
      </c>
      <c r="CO184" s="76">
        <v>0</v>
      </c>
      <c r="CP184" s="42">
        <v>0</v>
      </c>
      <c r="CQ184" s="5"/>
      <c r="CR184" s="76">
        <v>0</v>
      </c>
      <c r="CS184" s="954">
        <v>0</v>
      </c>
      <c r="CT184" s="5"/>
      <c r="CU184" s="76">
        <v>0</v>
      </c>
      <c r="CV184" s="42">
        <v>0</v>
      </c>
      <c r="CW184" s="5"/>
      <c r="CX184" s="76">
        <v>0</v>
      </c>
      <c r="CY184" s="42">
        <v>0</v>
      </c>
      <c r="CZ184" s="5"/>
      <c r="DA184" s="76">
        <v>0</v>
      </c>
      <c r="DB184" s="42">
        <v>0</v>
      </c>
      <c r="DC184" s="5"/>
      <c r="DD184" s="76">
        <v>0</v>
      </c>
      <c r="DE184" s="42">
        <v>0</v>
      </c>
      <c r="DF184" s="5"/>
      <c r="DG184" s="76">
        <v>0</v>
      </c>
      <c r="DH184" s="42"/>
      <c r="DI184" s="5"/>
      <c r="DJ184" s="42">
        <v>0</v>
      </c>
      <c r="DK184" s="42">
        <f t="shared" si="22"/>
        <v>0</v>
      </c>
      <c r="DL184" s="58">
        <f t="shared" si="23"/>
        <v>0</v>
      </c>
      <c r="DM184" s="2">
        <v>2</v>
      </c>
    </row>
    <row r="185" spans="1:117" ht="24.9" customHeight="1" x14ac:dyDescent="0.3">
      <c r="A185" s="318">
        <v>150000502</v>
      </c>
      <c r="B185" s="44" t="s">
        <v>108</v>
      </c>
      <c r="C185" s="956">
        <v>1</v>
      </c>
      <c r="D185" s="957" t="s">
        <v>454</v>
      </c>
      <c r="E185" s="949">
        <f>'побудинковий звіт'!E152</f>
        <v>4752.3</v>
      </c>
      <c r="F185" s="950">
        <f>'побудинковий звіт'!AS152</f>
        <v>71568.684972757721</v>
      </c>
      <c r="G185" s="950">
        <f t="shared" si="16"/>
        <v>0</v>
      </c>
      <c r="H185" s="950">
        <f t="shared" si="17"/>
        <v>-71568.684972757721</v>
      </c>
      <c r="I185" s="42">
        <f>'[2]поточний ремонт'!I185+'[1]поточний ремонт'!I185</f>
        <v>0</v>
      </c>
      <c r="J185" s="42">
        <f>'[2]поточний ремонт'!J185+'[1]поточний ремонт'!J185</f>
        <v>0</v>
      </c>
      <c r="K185" s="958"/>
      <c r="L185" s="42">
        <f>'[2]поточний ремонт'!L185+'[1]поточний ремонт'!L185</f>
        <v>0</v>
      </c>
      <c r="M185" s="42">
        <f>'[2]поточний ремонт'!M185+'[1]поточний ремонт'!M185</f>
        <v>0</v>
      </c>
      <c r="N185" s="36"/>
      <c r="O185" s="42">
        <f>'[2]поточний ремонт'!O185+'[1]поточний ремонт'!O185</f>
        <v>0</v>
      </c>
      <c r="P185" s="42">
        <f>'[2]поточний ремонт'!P185+'[1]поточний ремонт'!P185</f>
        <v>0</v>
      </c>
      <c r="Q185" s="959"/>
      <c r="R185" s="42">
        <f>'[2]поточний ремонт'!R185+'[1]поточний ремонт'!R185</f>
        <v>0</v>
      </c>
      <c r="S185" s="42">
        <f>'[2]поточний ремонт'!S185+'[1]поточний ремонт'!S185</f>
        <v>0</v>
      </c>
      <c r="T185" s="960"/>
      <c r="U185" s="42">
        <f>'[2]поточний ремонт'!U185+'[1]поточний ремонт'!U185</f>
        <v>0</v>
      </c>
      <c r="V185" s="42">
        <f>'[2]поточний ремонт'!V185+'[1]поточний ремонт'!V185</f>
        <v>0</v>
      </c>
      <c r="W185" s="42">
        <f>'[2]поточний ремонт'!W185+'[1]поточний ремонт'!W185</f>
        <v>0</v>
      </c>
      <c r="X185" s="42">
        <f>'[2]поточний ремонт'!X185+'[1]поточний ремонт'!X185</f>
        <v>0</v>
      </c>
      <c r="Y185" s="42">
        <f>'[2]поточний ремонт'!Y185+'[1]поточний ремонт'!Y185</f>
        <v>0</v>
      </c>
      <c r="Z185" s="42">
        <f>'[2]поточний ремонт'!Z185+'[1]поточний ремонт'!Z185</f>
        <v>0</v>
      </c>
      <c r="AA185" s="42">
        <f>'[2]поточний ремонт'!AA185+'[1]поточний ремонт'!AA185</f>
        <v>0</v>
      </c>
      <c r="AB185" s="42">
        <f>'[2]поточний ремонт'!AB185+'[1]поточний ремонт'!AB185</f>
        <v>0</v>
      </c>
      <c r="AC185" s="42">
        <f>'[2]поточний ремонт'!AC185+'[1]поточний ремонт'!AC185</f>
        <v>0</v>
      </c>
      <c r="AD185" s="42">
        <f>'[2]поточний ремонт'!AD185+'[1]поточний ремонт'!AD185</f>
        <v>0</v>
      </c>
      <c r="AE185" s="42">
        <f>'[2]поточний ремонт'!AE185+'[1]поточний ремонт'!AE185</f>
        <v>0</v>
      </c>
      <c r="AF185" s="42">
        <f>'[2]поточний ремонт'!AF185+'[1]поточний ремонт'!AF185</f>
        <v>0</v>
      </c>
      <c r="AG185" s="5"/>
      <c r="AH185" s="42">
        <f>'[2]поточний ремонт'!AH185+'[1]поточний ремонт'!AH185</f>
        <v>0</v>
      </c>
      <c r="AI185" s="42">
        <f>'[2]поточний ремонт'!AI185+'[1]поточний ремонт'!AI185</f>
        <v>0</v>
      </c>
      <c r="AJ185" s="5"/>
      <c r="AK185" s="42">
        <f>'[2]поточний ремонт'!AK185+'[1]поточний ремонт'!AK185</f>
        <v>0</v>
      </c>
      <c r="AL185" s="42">
        <f>'[2]поточний ремонт'!AL185+'[1]поточний ремонт'!AL185</f>
        <v>0</v>
      </c>
      <c r="AM185" s="5"/>
      <c r="AN185" s="42">
        <f>'[2]поточний ремонт'!AN185+'[1]поточний ремонт'!AN185</f>
        <v>0</v>
      </c>
      <c r="AO185" s="42">
        <f>'[2]поточний ремонт'!AO185+'[1]поточний ремонт'!AO185</f>
        <v>0</v>
      </c>
      <c r="AP185" s="5"/>
      <c r="AQ185" s="42">
        <f>'[2]поточний ремонт'!AQ185+'[1]поточний ремонт'!AQ185</f>
        <v>0</v>
      </c>
      <c r="AR185" s="42">
        <f>'[2]поточний ремонт'!AR185+'[1]поточний ремонт'!AR185</f>
        <v>0</v>
      </c>
      <c r="AS185" s="5"/>
      <c r="AT185" s="42">
        <f>'[2]поточний ремонт'!AT185+'[1]поточний ремонт'!AT185</f>
        <v>0</v>
      </c>
      <c r="AU185" s="42">
        <f>'[2]поточний ремонт'!AU185+'[1]поточний ремонт'!AU185</f>
        <v>0</v>
      </c>
      <c r="AV185" s="5"/>
      <c r="AW185" s="42">
        <f>'[2]поточний ремонт'!AW185+'[1]поточний ремонт'!AW185</f>
        <v>0</v>
      </c>
      <c r="AX185" s="42">
        <f>'[2]поточний ремонт'!AX185+'[1]поточний ремонт'!AX185</f>
        <v>2075.2383857599998</v>
      </c>
      <c r="AY185" s="5"/>
      <c r="AZ185" s="42">
        <f t="shared" si="18"/>
        <v>0</v>
      </c>
      <c r="BA185" s="42">
        <f t="shared" si="19"/>
        <v>2075.2383857599998</v>
      </c>
      <c r="BB185" s="58">
        <f t="shared" si="20"/>
        <v>2075.2383857599998</v>
      </c>
      <c r="BD185" s="2">
        <v>3</v>
      </c>
      <c r="BF185" s="29">
        <v>0</v>
      </c>
      <c r="BG185" s="318">
        <v>150000502</v>
      </c>
      <c r="BI185" s="104">
        <v>0</v>
      </c>
      <c r="BJ185" s="104">
        <f t="shared" si="21"/>
        <v>0</v>
      </c>
      <c r="BK185" s="104">
        <v>0</v>
      </c>
      <c r="BL185" s="38"/>
      <c r="BM185" s="3"/>
      <c r="BN185" s="3">
        <v>0</v>
      </c>
      <c r="BP185" s="3"/>
      <c r="BQ185" s="3"/>
      <c r="BS185" s="42"/>
      <c r="BT185" s="42">
        <v>0</v>
      </c>
      <c r="BU185" s="958"/>
      <c r="BV185" s="41"/>
      <c r="BW185" s="42"/>
      <c r="BX185" s="36"/>
      <c r="BY185" s="76"/>
      <c r="BZ185" s="42">
        <v>0</v>
      </c>
      <c r="CA185" s="959"/>
      <c r="CB185" s="41"/>
      <c r="CC185" s="41">
        <v>0</v>
      </c>
      <c r="CD185" s="960"/>
      <c r="CE185" s="76">
        <v>0</v>
      </c>
      <c r="CF185" s="55"/>
      <c r="CG185" s="41">
        <v>0</v>
      </c>
      <c r="CH185" s="38">
        <v>0</v>
      </c>
      <c r="CI185" s="76">
        <v>0</v>
      </c>
      <c r="CJ185" s="55"/>
      <c r="CK185" s="955"/>
      <c r="CL185" s="950"/>
      <c r="CM185" s="955"/>
      <c r="CN185" s="950">
        <v>0</v>
      </c>
      <c r="CO185" s="76">
        <v>0</v>
      </c>
      <c r="CP185" s="42">
        <v>0</v>
      </c>
      <c r="CQ185" s="5"/>
      <c r="CR185" s="76">
        <v>0</v>
      </c>
      <c r="CS185" s="954">
        <v>0</v>
      </c>
      <c r="CT185" s="5"/>
      <c r="CU185" s="76">
        <v>0</v>
      </c>
      <c r="CV185" s="42">
        <v>0</v>
      </c>
      <c r="CW185" s="5"/>
      <c r="CX185" s="76">
        <v>0</v>
      </c>
      <c r="CY185" s="42">
        <v>0</v>
      </c>
      <c r="CZ185" s="5"/>
      <c r="DA185" s="76">
        <v>0</v>
      </c>
      <c r="DB185" s="42">
        <v>0</v>
      </c>
      <c r="DC185" s="5"/>
      <c r="DD185" s="76">
        <v>0</v>
      </c>
      <c r="DE185" s="42">
        <v>0</v>
      </c>
      <c r="DF185" s="5"/>
      <c r="DG185" s="76">
        <v>0</v>
      </c>
      <c r="DH185" s="42"/>
      <c r="DI185" s="5"/>
      <c r="DJ185" s="42">
        <v>0</v>
      </c>
      <c r="DK185" s="42">
        <f t="shared" si="22"/>
        <v>0</v>
      </c>
      <c r="DL185" s="58">
        <f t="shared" si="23"/>
        <v>0</v>
      </c>
      <c r="DM185" s="2">
        <v>3</v>
      </c>
    </row>
    <row r="186" spans="1:117" ht="24.9" customHeight="1" x14ac:dyDescent="0.3">
      <c r="A186" s="318">
        <v>150000503</v>
      </c>
      <c r="B186" s="44" t="s">
        <v>109</v>
      </c>
      <c r="C186" s="956">
        <v>1</v>
      </c>
      <c r="D186" s="957" t="s">
        <v>454</v>
      </c>
      <c r="E186" s="949">
        <f>'побудинковий звіт'!E153</f>
        <v>214.9</v>
      </c>
      <c r="F186" s="950">
        <f>'побудинковий звіт'!AS153</f>
        <v>2310.3364361604217</v>
      </c>
      <c r="G186" s="950">
        <f t="shared" si="16"/>
        <v>18218</v>
      </c>
      <c r="H186" s="950">
        <f t="shared" si="17"/>
        <v>15907.663563839578</v>
      </c>
      <c r="I186" s="42">
        <f>'[2]поточний ремонт'!I186+'[1]поточний ремонт'!I186</f>
        <v>0</v>
      </c>
      <c r="J186" s="42">
        <f>'[2]поточний ремонт'!J186+'[1]поточний ремонт'!J186</f>
        <v>0</v>
      </c>
      <c r="K186" s="958"/>
      <c r="L186" s="42">
        <f>'[2]поточний ремонт'!L186+'[1]поточний ремонт'!L186</f>
        <v>0</v>
      </c>
      <c r="M186" s="42">
        <f>'[2]поточний ремонт'!M186+'[1]поточний ремонт'!M186</f>
        <v>0</v>
      </c>
      <c r="N186" s="36"/>
      <c r="O186" s="42">
        <f>'[2]поточний ремонт'!O186+'[1]поточний ремонт'!O186</f>
        <v>0</v>
      </c>
      <c r="P186" s="42">
        <f>'[2]поточний ремонт'!P186+'[1]поточний ремонт'!P186</f>
        <v>0</v>
      </c>
      <c r="Q186" s="959"/>
      <c r="R186" s="42">
        <f>'[2]поточний ремонт'!R186+'[1]поточний ремонт'!R186</f>
        <v>0</v>
      </c>
      <c r="S186" s="42">
        <f>'[2]поточний ремонт'!S186+'[1]поточний ремонт'!S186</f>
        <v>0</v>
      </c>
      <c r="T186" s="960"/>
      <c r="U186" s="42">
        <f>'[2]поточний ремонт'!U186+'[1]поточний ремонт'!U186</f>
        <v>0</v>
      </c>
      <c r="V186" s="42">
        <f>'[2]поточний ремонт'!V186+'[1]поточний ремонт'!V186</f>
        <v>0</v>
      </c>
      <c r="W186" s="42">
        <f>'[2]поточний ремонт'!W186+'[1]поточний ремонт'!W186</f>
        <v>0</v>
      </c>
      <c r="X186" s="42">
        <f>'[2]поточний ремонт'!X186+'[1]поточний ремонт'!X186</f>
        <v>0</v>
      </c>
      <c r="Y186" s="42">
        <f>'[2]поточний ремонт'!Y186+'[1]поточний ремонт'!Y186</f>
        <v>18218</v>
      </c>
      <c r="Z186" s="42">
        <f>'[2]поточний ремонт'!Z186+'[1]поточний ремонт'!Z186</f>
        <v>0</v>
      </c>
      <c r="AA186" s="42">
        <f>'[2]поточний ремонт'!AA186+'[1]поточний ремонт'!AA186</f>
        <v>0</v>
      </c>
      <c r="AB186" s="42">
        <f>'[2]поточний ремонт'!AB186+'[1]поточний ремонт'!AB186</f>
        <v>0</v>
      </c>
      <c r="AC186" s="42">
        <f>'[2]поточний ремонт'!AC186+'[1]поточний ремонт'!AC186</f>
        <v>0</v>
      </c>
      <c r="AD186" s="42">
        <f>'[2]поточний ремонт'!AD186+'[1]поточний ремонт'!AD186</f>
        <v>0</v>
      </c>
      <c r="AE186" s="42">
        <f>'[2]поточний ремонт'!AE186+'[1]поточний ремонт'!AE186</f>
        <v>1.2493973737299619E-2</v>
      </c>
      <c r="AF186" s="42">
        <f>'[2]поточний ремонт'!AF186+'[1]поточний ремонт'!AF186</f>
        <v>0</v>
      </c>
      <c r="AG186" s="5"/>
      <c r="AH186" s="42">
        <f>'[2]поточний ремонт'!AH186+'[1]поточний ремонт'!AH186</f>
        <v>0</v>
      </c>
      <c r="AI186" s="42">
        <f>'[2]поточний ремонт'!AI186+'[1]поточний ремонт'!AI186</f>
        <v>0</v>
      </c>
      <c r="AJ186" s="5"/>
      <c r="AK186" s="42">
        <f>'[2]поточний ремонт'!AK186+'[1]поточний ремонт'!AK186</f>
        <v>0</v>
      </c>
      <c r="AL186" s="42">
        <f>'[2]поточний ремонт'!AL186+'[1]поточний ремонт'!AL186</f>
        <v>0</v>
      </c>
      <c r="AM186" s="5"/>
      <c r="AN186" s="42">
        <f>'[2]поточний ремонт'!AN186+'[1]поточний ремонт'!AN186</f>
        <v>0</v>
      </c>
      <c r="AO186" s="42">
        <f>'[2]поточний ремонт'!AO186+'[1]поточний ремонт'!AO186</f>
        <v>0</v>
      </c>
      <c r="AP186" s="5"/>
      <c r="AQ186" s="42">
        <f>'[2]поточний ремонт'!AQ186+'[1]поточний ремонт'!AQ186</f>
        <v>0</v>
      </c>
      <c r="AR186" s="42">
        <f>'[2]поточний ремонт'!AR186+'[1]поточний ремонт'!AR186</f>
        <v>0</v>
      </c>
      <c r="AS186" s="5"/>
      <c r="AT186" s="42">
        <f>'[2]поточний ремонт'!AT186+'[1]поточний ремонт'!AT186</f>
        <v>0</v>
      </c>
      <c r="AU186" s="42">
        <f>'[2]поточний ремонт'!AU186+'[1]поточний ремонт'!AU186</f>
        <v>0</v>
      </c>
      <c r="AV186" s="5"/>
      <c r="AW186" s="42">
        <f>'[2]поточний ремонт'!AW186+'[1]поточний ремонт'!AW186</f>
        <v>0</v>
      </c>
      <c r="AX186" s="42">
        <f>'[2]поточний ремонт'!AX186+'[1]поточний ремонт'!AX186</f>
        <v>4102.7062947599998</v>
      </c>
      <c r="AY186" s="5"/>
      <c r="AZ186" s="42">
        <f t="shared" si="18"/>
        <v>1.2493973737299619E-2</v>
      </c>
      <c r="BA186" s="42">
        <f t="shared" si="19"/>
        <v>4102.7062947599998</v>
      </c>
      <c r="BB186" s="58">
        <f t="shared" si="20"/>
        <v>4102.6938007862627</v>
      </c>
      <c r="BD186" s="2">
        <v>3</v>
      </c>
      <c r="BF186" s="29">
        <v>0</v>
      </c>
      <c r="BG186" s="318">
        <v>150000503</v>
      </c>
      <c r="BI186" s="104">
        <v>0</v>
      </c>
      <c r="BJ186" s="104">
        <f t="shared" si="21"/>
        <v>0</v>
      </c>
      <c r="BK186" s="104">
        <v>0</v>
      </c>
      <c r="BL186" s="38"/>
      <c r="BM186" s="3"/>
      <c r="BN186" s="3">
        <v>0</v>
      </c>
      <c r="BP186" s="3"/>
      <c r="BQ186" s="3"/>
      <c r="BS186" s="42"/>
      <c r="BT186" s="42">
        <v>0</v>
      </c>
      <c r="BU186" s="958"/>
      <c r="BV186" s="41"/>
      <c r="BW186" s="42"/>
      <c r="BX186" s="36"/>
      <c r="BY186" s="76"/>
      <c r="BZ186" s="42">
        <v>0</v>
      </c>
      <c r="CA186" s="959"/>
      <c r="CB186" s="41"/>
      <c r="CC186" s="41">
        <v>0</v>
      </c>
      <c r="CD186" s="960"/>
      <c r="CE186" s="76">
        <v>0</v>
      </c>
      <c r="CF186" s="55"/>
      <c r="CG186" s="41">
        <v>0</v>
      </c>
      <c r="CH186" s="38">
        <v>0</v>
      </c>
      <c r="CI186" s="76">
        <v>0</v>
      </c>
      <c r="CJ186" s="55"/>
      <c r="CK186" s="955"/>
      <c r="CL186" s="950"/>
      <c r="CM186" s="955"/>
      <c r="CN186" s="950">
        <v>0</v>
      </c>
      <c r="CO186" s="76">
        <v>1.2370271027029324E-3</v>
      </c>
      <c r="CP186" s="42">
        <v>0</v>
      </c>
      <c r="CQ186" s="5"/>
      <c r="CR186" s="76">
        <v>0</v>
      </c>
      <c r="CS186" s="954">
        <v>0</v>
      </c>
      <c r="CT186" s="5"/>
      <c r="CU186" s="76">
        <v>0</v>
      </c>
      <c r="CV186" s="42">
        <v>0</v>
      </c>
      <c r="CW186" s="5"/>
      <c r="CX186" s="76">
        <v>0</v>
      </c>
      <c r="CY186" s="42">
        <v>0</v>
      </c>
      <c r="CZ186" s="5"/>
      <c r="DA186" s="76">
        <v>0</v>
      </c>
      <c r="DB186" s="42">
        <v>0</v>
      </c>
      <c r="DC186" s="5"/>
      <c r="DD186" s="76">
        <v>0</v>
      </c>
      <c r="DE186" s="42">
        <v>0</v>
      </c>
      <c r="DF186" s="5"/>
      <c r="DG186" s="76">
        <v>0</v>
      </c>
      <c r="DH186" s="42"/>
      <c r="DI186" s="5"/>
      <c r="DJ186" s="42">
        <v>1.2370271027029324E-3</v>
      </c>
      <c r="DK186" s="42">
        <f t="shared" si="22"/>
        <v>0</v>
      </c>
      <c r="DL186" s="58">
        <f t="shared" si="23"/>
        <v>-1.2370271027029324E-3</v>
      </c>
      <c r="DM186" s="2">
        <v>3</v>
      </c>
    </row>
    <row r="187" spans="1:117" ht="24.9" customHeight="1" x14ac:dyDescent="0.3">
      <c r="A187" s="318">
        <v>150000504</v>
      </c>
      <c r="B187" s="44" t="s">
        <v>110</v>
      </c>
      <c r="C187" s="956">
        <v>1</v>
      </c>
      <c r="D187" s="957" t="s">
        <v>454</v>
      </c>
      <c r="E187" s="949">
        <f>'побудинковий звіт'!E154</f>
        <v>194.48</v>
      </c>
      <c r="F187" s="950">
        <f>'побудинковий звіт'!AS154</f>
        <v>2394.0839673559976</v>
      </c>
      <c r="G187" s="950">
        <f t="shared" si="16"/>
        <v>0</v>
      </c>
      <c r="H187" s="950">
        <f t="shared" si="17"/>
        <v>-2394.0839673559976</v>
      </c>
      <c r="I187" s="42">
        <f>'[2]поточний ремонт'!I187+'[1]поточний ремонт'!I187</f>
        <v>0</v>
      </c>
      <c r="J187" s="42">
        <f>'[2]поточний ремонт'!J187+'[1]поточний ремонт'!J187</f>
        <v>0</v>
      </c>
      <c r="K187" s="958"/>
      <c r="L187" s="42">
        <f>'[2]поточний ремонт'!L187+'[1]поточний ремонт'!L187</f>
        <v>0</v>
      </c>
      <c r="M187" s="42">
        <f>'[2]поточний ремонт'!M187+'[1]поточний ремонт'!M187</f>
        <v>0</v>
      </c>
      <c r="N187" s="36"/>
      <c r="O187" s="42">
        <f>'[2]поточний ремонт'!O187+'[1]поточний ремонт'!O187</f>
        <v>0</v>
      </c>
      <c r="P187" s="42">
        <f>'[2]поточний ремонт'!P187+'[1]поточний ремонт'!P187</f>
        <v>0</v>
      </c>
      <c r="Q187" s="959"/>
      <c r="R187" s="42">
        <f>'[2]поточний ремонт'!R187+'[1]поточний ремонт'!R187</f>
        <v>0</v>
      </c>
      <c r="S187" s="42">
        <f>'[2]поточний ремонт'!S187+'[1]поточний ремонт'!S187</f>
        <v>0</v>
      </c>
      <c r="T187" s="960"/>
      <c r="U187" s="42">
        <f>'[2]поточний ремонт'!U187+'[1]поточний ремонт'!U187</f>
        <v>0</v>
      </c>
      <c r="V187" s="42">
        <f>'[2]поточний ремонт'!V187+'[1]поточний ремонт'!V187</f>
        <v>0</v>
      </c>
      <c r="W187" s="42">
        <f>'[2]поточний ремонт'!W187+'[1]поточний ремонт'!W187</f>
        <v>0</v>
      </c>
      <c r="X187" s="42">
        <f>'[2]поточний ремонт'!X187+'[1]поточний ремонт'!X187</f>
        <v>0</v>
      </c>
      <c r="Y187" s="42">
        <f>'[2]поточний ремонт'!Y187+'[1]поточний ремонт'!Y187</f>
        <v>0</v>
      </c>
      <c r="Z187" s="42">
        <f>'[2]поточний ремонт'!Z187+'[1]поточний ремонт'!Z187</f>
        <v>0</v>
      </c>
      <c r="AA187" s="42">
        <f>'[2]поточний ремонт'!AA187+'[1]поточний ремонт'!AA187</f>
        <v>0</v>
      </c>
      <c r="AB187" s="42">
        <f>'[2]поточний ремонт'!AB187+'[1]поточний ремонт'!AB187</f>
        <v>0</v>
      </c>
      <c r="AC187" s="42">
        <f>'[2]поточний ремонт'!AC187+'[1]поточний ремонт'!AC187</f>
        <v>0</v>
      </c>
      <c r="AD187" s="42">
        <f>'[2]поточний ремонт'!AD187+'[1]поточний ремонт'!AD187</f>
        <v>0</v>
      </c>
      <c r="AE187" s="42">
        <f>'[2]поточний ремонт'!AE187+'[1]поточний ремонт'!AE187</f>
        <v>0</v>
      </c>
      <c r="AF187" s="42">
        <f>'[2]поточний ремонт'!AF187+'[1]поточний ремонт'!AF187</f>
        <v>0</v>
      </c>
      <c r="AG187" s="5"/>
      <c r="AH187" s="42">
        <f>'[2]поточний ремонт'!AH187+'[1]поточний ремонт'!AH187</f>
        <v>0</v>
      </c>
      <c r="AI187" s="42">
        <f>'[2]поточний ремонт'!AI187+'[1]поточний ремонт'!AI187</f>
        <v>0</v>
      </c>
      <c r="AJ187" s="5"/>
      <c r="AK187" s="42">
        <f>'[2]поточний ремонт'!AK187+'[1]поточний ремонт'!AK187</f>
        <v>0</v>
      </c>
      <c r="AL187" s="42">
        <f>'[2]поточний ремонт'!AL187+'[1]поточний ремонт'!AL187</f>
        <v>0</v>
      </c>
      <c r="AM187" s="5"/>
      <c r="AN187" s="42">
        <f>'[2]поточний ремонт'!AN187+'[1]поточний ремонт'!AN187</f>
        <v>0</v>
      </c>
      <c r="AO187" s="42">
        <f>'[2]поточний ремонт'!AO187+'[1]поточний ремонт'!AO187</f>
        <v>0</v>
      </c>
      <c r="AP187" s="5"/>
      <c r="AQ187" s="42">
        <f>'[2]поточний ремонт'!AQ187+'[1]поточний ремонт'!AQ187</f>
        <v>0</v>
      </c>
      <c r="AR187" s="42">
        <f>'[2]поточний ремонт'!AR187+'[1]поточний ремонт'!AR187</f>
        <v>0</v>
      </c>
      <c r="AS187" s="5"/>
      <c r="AT187" s="42">
        <f>'[2]поточний ремонт'!AT187+'[1]поточний ремонт'!AT187</f>
        <v>0</v>
      </c>
      <c r="AU187" s="42">
        <f>'[2]поточний ремонт'!AU187+'[1]поточний ремонт'!AU187</f>
        <v>0</v>
      </c>
      <c r="AV187" s="5"/>
      <c r="AW187" s="42">
        <f>'[2]поточний ремонт'!AW187+'[1]поточний ремонт'!AW187</f>
        <v>0</v>
      </c>
      <c r="AX187" s="42">
        <f>'[2]поточний ремонт'!AX187+'[1]поточний ремонт'!AX187</f>
        <v>2268.5421754399999</v>
      </c>
      <c r="AY187" s="5"/>
      <c r="AZ187" s="42">
        <f t="shared" si="18"/>
        <v>0</v>
      </c>
      <c r="BA187" s="42">
        <f t="shared" si="19"/>
        <v>2268.5421754399999</v>
      </c>
      <c r="BB187" s="58">
        <f t="shared" si="20"/>
        <v>2268.5421754399999</v>
      </c>
      <c r="BD187" s="2">
        <v>3</v>
      </c>
      <c r="BF187" s="29">
        <v>0</v>
      </c>
      <c r="BG187" s="318">
        <v>150000504</v>
      </c>
      <c r="BI187" s="104">
        <v>0</v>
      </c>
      <c r="BJ187" s="104">
        <f t="shared" si="21"/>
        <v>0</v>
      </c>
      <c r="BK187" s="104">
        <v>0</v>
      </c>
      <c r="BL187" s="38"/>
      <c r="BM187" s="3"/>
      <c r="BN187" s="3">
        <v>0</v>
      </c>
      <c r="BP187" s="3"/>
      <c r="BQ187" s="3"/>
      <c r="BS187" s="42"/>
      <c r="BT187" s="42">
        <v>0</v>
      </c>
      <c r="BU187" s="958"/>
      <c r="BV187" s="41"/>
      <c r="BW187" s="42"/>
      <c r="BX187" s="36"/>
      <c r="BY187" s="76"/>
      <c r="BZ187" s="42">
        <v>0</v>
      </c>
      <c r="CA187" s="959"/>
      <c r="CB187" s="41"/>
      <c r="CC187" s="41">
        <v>0</v>
      </c>
      <c r="CD187" s="960"/>
      <c r="CE187" s="76">
        <v>0</v>
      </c>
      <c r="CF187" s="55"/>
      <c r="CG187" s="41">
        <v>0</v>
      </c>
      <c r="CH187" s="38">
        <v>0</v>
      </c>
      <c r="CI187" s="76">
        <v>0</v>
      </c>
      <c r="CJ187" s="55"/>
      <c r="CK187" s="955"/>
      <c r="CL187" s="950"/>
      <c r="CM187" s="955"/>
      <c r="CN187" s="950">
        <v>0</v>
      </c>
      <c r="CO187" s="76">
        <v>0</v>
      </c>
      <c r="CP187" s="42">
        <v>0</v>
      </c>
      <c r="CQ187" s="5"/>
      <c r="CR187" s="76">
        <v>0</v>
      </c>
      <c r="CS187" s="954">
        <v>0</v>
      </c>
      <c r="CT187" s="5"/>
      <c r="CU187" s="76">
        <v>0</v>
      </c>
      <c r="CV187" s="42">
        <v>0</v>
      </c>
      <c r="CW187" s="5"/>
      <c r="CX187" s="76">
        <v>0</v>
      </c>
      <c r="CY187" s="42">
        <v>0</v>
      </c>
      <c r="CZ187" s="5"/>
      <c r="DA187" s="76">
        <v>0</v>
      </c>
      <c r="DB187" s="42">
        <v>0</v>
      </c>
      <c r="DC187" s="5"/>
      <c r="DD187" s="76">
        <v>0</v>
      </c>
      <c r="DE187" s="42">
        <v>0</v>
      </c>
      <c r="DF187" s="5"/>
      <c r="DG187" s="76">
        <v>0</v>
      </c>
      <c r="DH187" s="42"/>
      <c r="DI187" s="5"/>
      <c r="DJ187" s="42">
        <v>0</v>
      </c>
      <c r="DK187" s="42">
        <f t="shared" si="22"/>
        <v>0</v>
      </c>
      <c r="DL187" s="58">
        <f t="shared" si="23"/>
        <v>0</v>
      </c>
      <c r="DM187" s="2">
        <v>3</v>
      </c>
    </row>
    <row r="188" spans="1:117" ht="24.9" customHeight="1" x14ac:dyDescent="0.3">
      <c r="A188" s="318">
        <v>150000506</v>
      </c>
      <c r="B188" s="44" t="s">
        <v>111</v>
      </c>
      <c r="C188" s="956">
        <v>1</v>
      </c>
      <c r="D188" s="957" t="s">
        <v>454</v>
      </c>
      <c r="E188" s="949">
        <f>'побудинковий звіт'!E155</f>
        <v>1487.5</v>
      </c>
      <c r="F188" s="950">
        <f>'побудинковий звіт'!AS155</f>
        <v>15268.078585636178</v>
      </c>
      <c r="G188" s="950">
        <f t="shared" si="16"/>
        <v>0</v>
      </c>
      <c r="H188" s="950">
        <f t="shared" si="17"/>
        <v>-15268.078585636178</v>
      </c>
      <c r="I188" s="42">
        <f>'[2]поточний ремонт'!I188+'[1]поточний ремонт'!I188</f>
        <v>0</v>
      </c>
      <c r="J188" s="42">
        <f>'[2]поточний ремонт'!J188+'[1]поточний ремонт'!J188</f>
        <v>0</v>
      </c>
      <c r="K188" s="958"/>
      <c r="L188" s="42">
        <f>'[2]поточний ремонт'!L188+'[1]поточний ремонт'!L188</f>
        <v>0</v>
      </c>
      <c r="M188" s="42">
        <f>'[2]поточний ремонт'!M188+'[1]поточний ремонт'!M188</f>
        <v>0</v>
      </c>
      <c r="N188" s="36"/>
      <c r="O188" s="42">
        <f>'[2]поточний ремонт'!O188+'[1]поточний ремонт'!O188</f>
        <v>0</v>
      </c>
      <c r="P188" s="42">
        <f>'[2]поточний ремонт'!P188+'[1]поточний ремонт'!P188</f>
        <v>0</v>
      </c>
      <c r="Q188" s="959"/>
      <c r="R188" s="42">
        <f>'[2]поточний ремонт'!R188+'[1]поточний ремонт'!R188</f>
        <v>0</v>
      </c>
      <c r="S188" s="42">
        <f>'[2]поточний ремонт'!S188+'[1]поточний ремонт'!S188</f>
        <v>0</v>
      </c>
      <c r="T188" s="960"/>
      <c r="U188" s="42">
        <f>'[2]поточний ремонт'!U188+'[1]поточний ремонт'!U188</f>
        <v>0</v>
      </c>
      <c r="V188" s="42">
        <f>'[2]поточний ремонт'!V188+'[1]поточний ремонт'!V188</f>
        <v>0</v>
      </c>
      <c r="W188" s="42">
        <f>'[2]поточний ремонт'!W188+'[1]поточний ремонт'!W188</f>
        <v>0</v>
      </c>
      <c r="X188" s="42">
        <f>'[2]поточний ремонт'!X188+'[1]поточний ремонт'!X188</f>
        <v>0</v>
      </c>
      <c r="Y188" s="42">
        <f>'[2]поточний ремонт'!Y188+'[1]поточний ремонт'!Y188</f>
        <v>0</v>
      </c>
      <c r="Z188" s="42">
        <f>'[2]поточний ремонт'!Z188+'[1]поточний ремонт'!Z188</f>
        <v>0</v>
      </c>
      <c r="AA188" s="42">
        <f>'[2]поточний ремонт'!AA188+'[1]поточний ремонт'!AA188</f>
        <v>0</v>
      </c>
      <c r="AB188" s="42">
        <f>'[2]поточний ремонт'!AB188+'[1]поточний ремонт'!AB188</f>
        <v>0</v>
      </c>
      <c r="AC188" s="42">
        <f>'[2]поточний ремонт'!AC188+'[1]поточний ремонт'!AC188</f>
        <v>0</v>
      </c>
      <c r="AD188" s="42">
        <f>'[2]поточний ремонт'!AD188+'[1]поточний ремонт'!AD188</f>
        <v>0</v>
      </c>
      <c r="AE188" s="42">
        <f>'[2]поточний ремонт'!AE188+'[1]поточний ремонт'!AE188</f>
        <v>0</v>
      </c>
      <c r="AF188" s="42">
        <f>'[2]поточний ремонт'!AF188+'[1]поточний ремонт'!AF188</f>
        <v>0</v>
      </c>
      <c r="AG188" s="5"/>
      <c r="AH188" s="42">
        <f>'[2]поточний ремонт'!AH188+'[1]поточний ремонт'!AH188</f>
        <v>0</v>
      </c>
      <c r="AI188" s="42">
        <f>'[2]поточний ремонт'!AI188+'[1]поточний ремонт'!AI188</f>
        <v>0</v>
      </c>
      <c r="AJ188" s="5"/>
      <c r="AK188" s="42">
        <f>'[2]поточний ремонт'!AK188+'[1]поточний ремонт'!AK188</f>
        <v>0</v>
      </c>
      <c r="AL188" s="42">
        <f>'[2]поточний ремонт'!AL188+'[1]поточний ремонт'!AL188</f>
        <v>0</v>
      </c>
      <c r="AM188" s="5"/>
      <c r="AN188" s="42">
        <f>'[2]поточний ремонт'!AN188+'[1]поточний ремонт'!AN188</f>
        <v>0</v>
      </c>
      <c r="AO188" s="42">
        <f>'[2]поточний ремонт'!AO188+'[1]поточний ремонт'!AO188</f>
        <v>0</v>
      </c>
      <c r="AP188" s="5"/>
      <c r="AQ188" s="42">
        <f>'[2]поточний ремонт'!AQ188+'[1]поточний ремонт'!AQ188</f>
        <v>0</v>
      </c>
      <c r="AR188" s="42">
        <f>'[2]поточний ремонт'!AR188+'[1]поточний ремонт'!AR188</f>
        <v>0</v>
      </c>
      <c r="AS188" s="5"/>
      <c r="AT188" s="42">
        <f>'[2]поточний ремонт'!AT188+'[1]поточний ремонт'!AT188</f>
        <v>0</v>
      </c>
      <c r="AU188" s="42">
        <f>'[2]поточний ремонт'!AU188+'[1]поточний ремонт'!AU188</f>
        <v>0</v>
      </c>
      <c r="AV188" s="5"/>
      <c r="AW188" s="42">
        <f>'[2]поточний ремонт'!AW188+'[1]поточний ремонт'!AW188</f>
        <v>0</v>
      </c>
      <c r="AX188" s="42">
        <f>'[2]поточний ремонт'!AX188+'[1]поточний ремонт'!AX188</f>
        <v>1280.92</v>
      </c>
      <c r="AY188" s="5"/>
      <c r="AZ188" s="42">
        <f t="shared" si="18"/>
        <v>0</v>
      </c>
      <c r="BA188" s="42">
        <f t="shared" si="19"/>
        <v>1280.92</v>
      </c>
      <c r="BB188" s="58">
        <f t="shared" si="20"/>
        <v>1280.92</v>
      </c>
      <c r="BD188" s="2">
        <v>3</v>
      </c>
      <c r="BF188" s="29">
        <v>0</v>
      </c>
      <c r="BG188" s="318">
        <v>150000506</v>
      </c>
      <c r="BI188" s="104">
        <v>0</v>
      </c>
      <c r="BJ188" s="104">
        <f t="shared" si="21"/>
        <v>0</v>
      </c>
      <c r="BK188" s="104">
        <v>0</v>
      </c>
      <c r="BL188" s="38"/>
      <c r="BM188" s="3"/>
      <c r="BN188" s="3">
        <v>0</v>
      </c>
      <c r="BP188" s="3"/>
      <c r="BQ188" s="3"/>
      <c r="BS188" s="42"/>
      <c r="BT188" s="42">
        <v>0</v>
      </c>
      <c r="BU188" s="958"/>
      <c r="BV188" s="41"/>
      <c r="BW188" s="42"/>
      <c r="BX188" s="36"/>
      <c r="BY188" s="76"/>
      <c r="BZ188" s="42">
        <v>0</v>
      </c>
      <c r="CA188" s="959"/>
      <c r="CB188" s="41"/>
      <c r="CC188" s="41">
        <v>0</v>
      </c>
      <c r="CD188" s="960"/>
      <c r="CE188" s="76">
        <v>0</v>
      </c>
      <c r="CF188" s="55"/>
      <c r="CG188" s="41">
        <v>0</v>
      </c>
      <c r="CH188" s="38">
        <v>0</v>
      </c>
      <c r="CI188" s="76">
        <v>0</v>
      </c>
      <c r="CJ188" s="55"/>
      <c r="CK188" s="955"/>
      <c r="CL188" s="950"/>
      <c r="CM188" s="955"/>
      <c r="CN188" s="950">
        <v>0</v>
      </c>
      <c r="CO188" s="76">
        <v>0</v>
      </c>
      <c r="CP188" s="42">
        <v>0</v>
      </c>
      <c r="CQ188" s="5"/>
      <c r="CR188" s="76">
        <v>0</v>
      </c>
      <c r="CS188" s="954">
        <v>0</v>
      </c>
      <c r="CT188" s="5"/>
      <c r="CU188" s="76">
        <v>0</v>
      </c>
      <c r="CV188" s="42">
        <v>0</v>
      </c>
      <c r="CW188" s="5"/>
      <c r="CX188" s="76">
        <v>0</v>
      </c>
      <c r="CY188" s="42">
        <v>0</v>
      </c>
      <c r="CZ188" s="5"/>
      <c r="DA188" s="76">
        <v>0</v>
      </c>
      <c r="DB188" s="42">
        <v>0</v>
      </c>
      <c r="DC188" s="5"/>
      <c r="DD188" s="76">
        <v>0</v>
      </c>
      <c r="DE188" s="42">
        <v>0</v>
      </c>
      <c r="DF188" s="5"/>
      <c r="DG188" s="76">
        <v>0</v>
      </c>
      <c r="DH188" s="42"/>
      <c r="DI188" s="5"/>
      <c r="DJ188" s="42">
        <v>0</v>
      </c>
      <c r="DK188" s="42">
        <f t="shared" si="22"/>
        <v>0</v>
      </c>
      <c r="DL188" s="58">
        <f t="shared" si="23"/>
        <v>0</v>
      </c>
      <c r="DM188" s="2">
        <v>3</v>
      </c>
    </row>
    <row r="189" spans="1:117" ht="24.9" customHeight="1" x14ac:dyDescent="0.3">
      <c r="A189" s="318">
        <v>150000505</v>
      </c>
      <c r="B189" s="44" t="s">
        <v>112</v>
      </c>
      <c r="C189" s="956">
        <v>1</v>
      </c>
      <c r="D189" s="957" t="s">
        <v>454</v>
      </c>
      <c r="E189" s="949">
        <f>'побудинковий звіт'!E156</f>
        <v>4024.2</v>
      </c>
      <c r="F189" s="950">
        <f>'побудинковий звіт'!AS156</f>
        <v>79079.376933459673</v>
      </c>
      <c r="G189" s="950">
        <f t="shared" si="16"/>
        <v>0</v>
      </c>
      <c r="H189" s="950">
        <f t="shared" si="17"/>
        <v>-79079.376933459673</v>
      </c>
      <c r="I189" s="42">
        <f>'[2]поточний ремонт'!I189+'[1]поточний ремонт'!I189</f>
        <v>0</v>
      </c>
      <c r="J189" s="42">
        <f>'[2]поточний ремонт'!J189+'[1]поточний ремонт'!J189</f>
        <v>0</v>
      </c>
      <c r="K189" s="958"/>
      <c r="L189" s="42">
        <f>'[2]поточний ремонт'!L189+'[1]поточний ремонт'!L189</f>
        <v>0</v>
      </c>
      <c r="M189" s="42">
        <f>'[2]поточний ремонт'!M189+'[1]поточний ремонт'!M189</f>
        <v>0</v>
      </c>
      <c r="N189" s="36"/>
      <c r="O189" s="42">
        <f>'[2]поточний ремонт'!O189+'[1]поточний ремонт'!O189</f>
        <v>0</v>
      </c>
      <c r="P189" s="42">
        <f>'[2]поточний ремонт'!P189+'[1]поточний ремонт'!P189</f>
        <v>0</v>
      </c>
      <c r="Q189" s="959"/>
      <c r="R189" s="42">
        <f>'[2]поточний ремонт'!R189+'[1]поточний ремонт'!R189</f>
        <v>0</v>
      </c>
      <c r="S189" s="42">
        <f>'[2]поточний ремонт'!S189+'[1]поточний ремонт'!S189</f>
        <v>0</v>
      </c>
      <c r="T189" s="960"/>
      <c r="U189" s="42">
        <f>'[2]поточний ремонт'!U189+'[1]поточний ремонт'!U189</f>
        <v>0</v>
      </c>
      <c r="V189" s="42">
        <f>'[2]поточний ремонт'!V189+'[1]поточний ремонт'!V189</f>
        <v>0</v>
      </c>
      <c r="W189" s="42">
        <f>'[2]поточний ремонт'!W189+'[1]поточний ремонт'!W189</f>
        <v>0</v>
      </c>
      <c r="X189" s="42">
        <f>'[2]поточний ремонт'!X189+'[1]поточний ремонт'!X189</f>
        <v>0</v>
      </c>
      <c r="Y189" s="42">
        <f>'[2]поточний ремонт'!Y189+'[1]поточний ремонт'!Y189</f>
        <v>0</v>
      </c>
      <c r="Z189" s="42">
        <f>'[2]поточний ремонт'!Z189+'[1]поточний ремонт'!Z189</f>
        <v>0</v>
      </c>
      <c r="AA189" s="42">
        <f>'[2]поточний ремонт'!AA189+'[1]поточний ремонт'!AA189</f>
        <v>0</v>
      </c>
      <c r="AB189" s="42">
        <f>'[2]поточний ремонт'!AB189+'[1]поточний ремонт'!AB189</f>
        <v>0</v>
      </c>
      <c r="AC189" s="42">
        <f>'[2]поточний ремонт'!AC189+'[1]поточний ремонт'!AC189</f>
        <v>0</v>
      </c>
      <c r="AD189" s="42">
        <f>'[2]поточний ремонт'!AD189+'[1]поточний ремонт'!AD189</f>
        <v>0</v>
      </c>
      <c r="AE189" s="42">
        <f>'[2]поточний ремонт'!AE189+'[1]поточний ремонт'!AE189</f>
        <v>0</v>
      </c>
      <c r="AF189" s="42">
        <f>'[2]поточний ремонт'!AF189+'[1]поточний ремонт'!AF189</f>
        <v>0</v>
      </c>
      <c r="AG189" s="5"/>
      <c r="AH189" s="42">
        <f>'[2]поточний ремонт'!AH189+'[1]поточний ремонт'!AH189</f>
        <v>0</v>
      </c>
      <c r="AI189" s="42">
        <f>'[2]поточний ремонт'!AI189+'[1]поточний ремонт'!AI189</f>
        <v>0</v>
      </c>
      <c r="AJ189" s="5"/>
      <c r="AK189" s="42">
        <f>'[2]поточний ремонт'!AK189+'[1]поточний ремонт'!AK189</f>
        <v>0</v>
      </c>
      <c r="AL189" s="42">
        <f>'[2]поточний ремонт'!AL189+'[1]поточний ремонт'!AL189</f>
        <v>0</v>
      </c>
      <c r="AM189" s="5"/>
      <c r="AN189" s="42">
        <f>'[2]поточний ремонт'!AN189+'[1]поточний ремонт'!AN189</f>
        <v>0</v>
      </c>
      <c r="AO189" s="42">
        <f>'[2]поточний ремонт'!AO189+'[1]поточний ремонт'!AO189</f>
        <v>0</v>
      </c>
      <c r="AP189" s="5"/>
      <c r="AQ189" s="42">
        <f>'[2]поточний ремонт'!AQ189+'[1]поточний ремонт'!AQ189</f>
        <v>0</v>
      </c>
      <c r="AR189" s="42">
        <f>'[2]поточний ремонт'!AR189+'[1]поточний ремонт'!AR189</f>
        <v>0</v>
      </c>
      <c r="AS189" s="5"/>
      <c r="AT189" s="42">
        <f>'[2]поточний ремонт'!AT189+'[1]поточний ремонт'!AT189</f>
        <v>0</v>
      </c>
      <c r="AU189" s="42">
        <f>'[2]поточний ремонт'!AU189+'[1]поточний ремонт'!AU189</f>
        <v>0</v>
      </c>
      <c r="AV189" s="5"/>
      <c r="AW189" s="42">
        <f>'[2]поточний ремонт'!AW189+'[1]поточний ремонт'!AW189</f>
        <v>0</v>
      </c>
      <c r="AX189" s="42">
        <f>'[2]поточний ремонт'!AX189+'[1]поточний ремонт'!AX189</f>
        <v>1766.4</v>
      </c>
      <c r="AY189" s="5"/>
      <c r="AZ189" s="42">
        <f t="shared" si="18"/>
        <v>0</v>
      </c>
      <c r="BA189" s="42">
        <f t="shared" si="19"/>
        <v>1766.4</v>
      </c>
      <c r="BB189" s="58">
        <f t="shared" si="20"/>
        <v>1766.4</v>
      </c>
      <c r="BD189" s="2">
        <v>3</v>
      </c>
      <c r="BF189" s="29">
        <v>0</v>
      </c>
      <c r="BG189" s="318">
        <v>150000505</v>
      </c>
      <c r="BI189" s="104">
        <v>0</v>
      </c>
      <c r="BJ189" s="104">
        <f t="shared" si="21"/>
        <v>0</v>
      </c>
      <c r="BK189" s="104">
        <v>0</v>
      </c>
      <c r="BL189" s="38"/>
      <c r="BM189" s="3"/>
      <c r="BN189" s="3">
        <v>0</v>
      </c>
      <c r="BP189" s="3"/>
      <c r="BQ189" s="3"/>
      <c r="BS189" s="42"/>
      <c r="BT189" s="42">
        <v>0</v>
      </c>
      <c r="BU189" s="958"/>
      <c r="BV189" s="41"/>
      <c r="BW189" s="42"/>
      <c r="BX189" s="36"/>
      <c r="BY189" s="76"/>
      <c r="BZ189" s="42">
        <v>0</v>
      </c>
      <c r="CA189" s="959"/>
      <c r="CB189" s="41"/>
      <c r="CC189" s="41">
        <v>0</v>
      </c>
      <c r="CD189" s="960"/>
      <c r="CE189" s="76">
        <v>0</v>
      </c>
      <c r="CF189" s="55"/>
      <c r="CG189" s="41">
        <v>0</v>
      </c>
      <c r="CH189" s="38">
        <v>0</v>
      </c>
      <c r="CI189" s="76">
        <v>0</v>
      </c>
      <c r="CJ189" s="55"/>
      <c r="CK189" s="955"/>
      <c r="CL189" s="950"/>
      <c r="CM189" s="955"/>
      <c r="CN189" s="950">
        <v>0</v>
      </c>
      <c r="CO189" s="76">
        <v>0</v>
      </c>
      <c r="CP189" s="42">
        <v>0</v>
      </c>
      <c r="CQ189" s="5"/>
      <c r="CR189" s="76">
        <v>0</v>
      </c>
      <c r="CS189" s="954">
        <v>0</v>
      </c>
      <c r="CT189" s="5"/>
      <c r="CU189" s="76">
        <v>0</v>
      </c>
      <c r="CV189" s="42">
        <v>0</v>
      </c>
      <c r="CW189" s="5"/>
      <c r="CX189" s="76">
        <v>0</v>
      </c>
      <c r="CY189" s="42">
        <v>0</v>
      </c>
      <c r="CZ189" s="5"/>
      <c r="DA189" s="76">
        <v>0</v>
      </c>
      <c r="DB189" s="42">
        <v>0</v>
      </c>
      <c r="DC189" s="5"/>
      <c r="DD189" s="76">
        <v>0</v>
      </c>
      <c r="DE189" s="42">
        <v>0</v>
      </c>
      <c r="DF189" s="5"/>
      <c r="DG189" s="76">
        <v>0</v>
      </c>
      <c r="DH189" s="42"/>
      <c r="DI189" s="5"/>
      <c r="DJ189" s="42">
        <v>0</v>
      </c>
      <c r="DK189" s="42">
        <f t="shared" si="22"/>
        <v>0</v>
      </c>
      <c r="DL189" s="58">
        <f t="shared" si="23"/>
        <v>0</v>
      </c>
      <c r="DM189" s="2">
        <v>3</v>
      </c>
    </row>
    <row r="190" spans="1:117" ht="24.9" customHeight="1" x14ac:dyDescent="0.3">
      <c r="A190" s="318">
        <v>150000507</v>
      </c>
      <c r="B190" s="44" t="s">
        <v>113</v>
      </c>
      <c r="C190" s="956">
        <v>1</v>
      </c>
      <c r="D190" s="957" t="s">
        <v>454</v>
      </c>
      <c r="E190" s="949">
        <f>'побудинковий звіт'!E157</f>
        <v>1483.6999999999998</v>
      </c>
      <c r="F190" s="950">
        <f>'побудинковий звіт'!AS157</f>
        <v>20412.515123283898</v>
      </c>
      <c r="G190" s="950">
        <f t="shared" si="16"/>
        <v>0</v>
      </c>
      <c r="H190" s="950">
        <f t="shared" si="17"/>
        <v>-20412.515123283898</v>
      </c>
      <c r="I190" s="42">
        <f>'[2]поточний ремонт'!I190+'[1]поточний ремонт'!I190</f>
        <v>0</v>
      </c>
      <c r="J190" s="42">
        <f>'[2]поточний ремонт'!J190+'[1]поточний ремонт'!J190</f>
        <v>0</v>
      </c>
      <c r="K190" s="958"/>
      <c r="L190" s="42">
        <f>'[2]поточний ремонт'!L190+'[1]поточний ремонт'!L190</f>
        <v>0</v>
      </c>
      <c r="M190" s="42">
        <f>'[2]поточний ремонт'!M190+'[1]поточний ремонт'!M190</f>
        <v>0</v>
      </c>
      <c r="N190" s="36"/>
      <c r="O190" s="42">
        <f>'[2]поточний ремонт'!O190+'[1]поточний ремонт'!O190</f>
        <v>0</v>
      </c>
      <c r="P190" s="42">
        <f>'[2]поточний ремонт'!P190+'[1]поточний ремонт'!P190</f>
        <v>0</v>
      </c>
      <c r="Q190" s="959"/>
      <c r="R190" s="42">
        <f>'[2]поточний ремонт'!R190+'[1]поточний ремонт'!R190</f>
        <v>0</v>
      </c>
      <c r="S190" s="42">
        <f>'[2]поточний ремонт'!S190+'[1]поточний ремонт'!S190</f>
        <v>0</v>
      </c>
      <c r="T190" s="960"/>
      <c r="U190" s="42">
        <f>'[2]поточний ремонт'!U190+'[1]поточний ремонт'!U190</f>
        <v>0</v>
      </c>
      <c r="V190" s="42">
        <f>'[2]поточний ремонт'!V190+'[1]поточний ремонт'!V190</f>
        <v>0</v>
      </c>
      <c r="W190" s="42">
        <f>'[2]поточний ремонт'!W190+'[1]поточний ремонт'!W190</f>
        <v>0</v>
      </c>
      <c r="X190" s="42">
        <f>'[2]поточний ремонт'!X190+'[1]поточний ремонт'!X190</f>
        <v>0</v>
      </c>
      <c r="Y190" s="42">
        <f>'[2]поточний ремонт'!Y190+'[1]поточний ремонт'!Y190</f>
        <v>0</v>
      </c>
      <c r="Z190" s="42">
        <f>'[2]поточний ремонт'!Z190+'[1]поточний ремонт'!Z190</f>
        <v>0</v>
      </c>
      <c r="AA190" s="42">
        <f>'[2]поточний ремонт'!AA190+'[1]поточний ремонт'!AA190</f>
        <v>0</v>
      </c>
      <c r="AB190" s="42">
        <f>'[2]поточний ремонт'!AB190+'[1]поточний ремонт'!AB190</f>
        <v>0</v>
      </c>
      <c r="AC190" s="42">
        <f>'[2]поточний ремонт'!AC190+'[1]поточний ремонт'!AC190</f>
        <v>0</v>
      </c>
      <c r="AD190" s="42">
        <f>'[2]поточний ремонт'!AD190+'[1]поточний ремонт'!AD190</f>
        <v>0</v>
      </c>
      <c r="AE190" s="42">
        <f>'[2]поточний ремонт'!AE190+'[1]поточний ремонт'!AE190</f>
        <v>0</v>
      </c>
      <c r="AF190" s="42">
        <f>'[2]поточний ремонт'!AF190+'[1]поточний ремонт'!AF190</f>
        <v>0</v>
      </c>
      <c r="AG190" s="5"/>
      <c r="AH190" s="42">
        <f>'[2]поточний ремонт'!AH190+'[1]поточний ремонт'!AH190</f>
        <v>0</v>
      </c>
      <c r="AI190" s="42">
        <f>'[2]поточний ремонт'!AI190+'[1]поточний ремонт'!AI190</f>
        <v>0</v>
      </c>
      <c r="AJ190" s="5"/>
      <c r="AK190" s="42">
        <f>'[2]поточний ремонт'!AK190+'[1]поточний ремонт'!AK190</f>
        <v>0</v>
      </c>
      <c r="AL190" s="42">
        <f>'[2]поточний ремонт'!AL190+'[1]поточний ремонт'!AL190</f>
        <v>0</v>
      </c>
      <c r="AM190" s="5"/>
      <c r="AN190" s="42">
        <f>'[2]поточний ремонт'!AN190+'[1]поточний ремонт'!AN190</f>
        <v>0</v>
      </c>
      <c r="AO190" s="42">
        <f>'[2]поточний ремонт'!AO190+'[1]поточний ремонт'!AO190</f>
        <v>0</v>
      </c>
      <c r="AP190" s="5"/>
      <c r="AQ190" s="42">
        <f>'[2]поточний ремонт'!AQ190+'[1]поточний ремонт'!AQ190</f>
        <v>0</v>
      </c>
      <c r="AR190" s="42">
        <f>'[2]поточний ремонт'!AR190+'[1]поточний ремонт'!AR190</f>
        <v>0</v>
      </c>
      <c r="AS190" s="5"/>
      <c r="AT190" s="42">
        <f>'[2]поточний ремонт'!AT190+'[1]поточний ремонт'!AT190</f>
        <v>0</v>
      </c>
      <c r="AU190" s="42">
        <f>'[2]поточний ремонт'!AU190+'[1]поточний ремонт'!AU190</f>
        <v>0</v>
      </c>
      <c r="AV190" s="5"/>
      <c r="AW190" s="42">
        <f>'[2]поточний ремонт'!AW190+'[1]поточний ремонт'!AW190</f>
        <v>0</v>
      </c>
      <c r="AX190" s="42">
        <f>'[2]поточний ремонт'!AX190+'[1]поточний ремонт'!AX190</f>
        <v>3375.0397301600001</v>
      </c>
      <c r="AY190" s="5"/>
      <c r="AZ190" s="42">
        <f t="shared" si="18"/>
        <v>0</v>
      </c>
      <c r="BA190" s="42">
        <f t="shared" si="19"/>
        <v>3375.0397301600001</v>
      </c>
      <c r="BB190" s="58">
        <f t="shared" si="20"/>
        <v>3375.0397301600001</v>
      </c>
      <c r="BD190" s="2">
        <v>3</v>
      </c>
      <c r="BF190" s="29">
        <v>0</v>
      </c>
      <c r="BG190" s="318">
        <v>150000507</v>
      </c>
      <c r="BI190" s="104">
        <v>0</v>
      </c>
      <c r="BJ190" s="104">
        <f t="shared" si="21"/>
        <v>0</v>
      </c>
      <c r="BK190" s="104">
        <v>0</v>
      </c>
      <c r="BL190" s="38"/>
      <c r="BM190" s="3"/>
      <c r="BN190" s="3">
        <v>0</v>
      </c>
      <c r="BP190" s="3"/>
      <c r="BQ190" s="3"/>
      <c r="BS190" s="42"/>
      <c r="BT190" s="42">
        <v>0</v>
      </c>
      <c r="BU190" s="958"/>
      <c r="BV190" s="41"/>
      <c r="BW190" s="42"/>
      <c r="BX190" s="36"/>
      <c r="BY190" s="76"/>
      <c r="BZ190" s="42">
        <v>0</v>
      </c>
      <c r="CA190" s="959"/>
      <c r="CB190" s="41"/>
      <c r="CC190" s="41">
        <v>0</v>
      </c>
      <c r="CD190" s="960"/>
      <c r="CE190" s="76">
        <v>0</v>
      </c>
      <c r="CF190" s="55"/>
      <c r="CG190" s="41">
        <v>0</v>
      </c>
      <c r="CH190" s="38">
        <v>0</v>
      </c>
      <c r="CI190" s="76">
        <v>0</v>
      </c>
      <c r="CJ190" s="55"/>
      <c r="CK190" s="955"/>
      <c r="CL190" s="950"/>
      <c r="CM190" s="955"/>
      <c r="CN190" s="950">
        <v>0</v>
      </c>
      <c r="CO190" s="76">
        <v>0</v>
      </c>
      <c r="CP190" s="42">
        <v>0</v>
      </c>
      <c r="CQ190" s="5"/>
      <c r="CR190" s="76">
        <v>0</v>
      </c>
      <c r="CS190" s="954">
        <v>0</v>
      </c>
      <c r="CT190" s="5"/>
      <c r="CU190" s="76">
        <v>0</v>
      </c>
      <c r="CV190" s="42">
        <v>0</v>
      </c>
      <c r="CW190" s="5"/>
      <c r="CX190" s="76">
        <v>0</v>
      </c>
      <c r="CY190" s="42">
        <v>0</v>
      </c>
      <c r="CZ190" s="5"/>
      <c r="DA190" s="76">
        <v>0</v>
      </c>
      <c r="DB190" s="42">
        <v>0</v>
      </c>
      <c r="DC190" s="5"/>
      <c r="DD190" s="76">
        <v>0</v>
      </c>
      <c r="DE190" s="42">
        <v>0</v>
      </c>
      <c r="DF190" s="5"/>
      <c r="DG190" s="76">
        <v>0</v>
      </c>
      <c r="DH190" s="42"/>
      <c r="DI190" s="5"/>
      <c r="DJ190" s="42">
        <v>0</v>
      </c>
      <c r="DK190" s="42">
        <f t="shared" si="22"/>
        <v>0</v>
      </c>
      <c r="DL190" s="58">
        <f t="shared" si="23"/>
        <v>0</v>
      </c>
      <c r="DM190" s="2">
        <v>3</v>
      </c>
    </row>
    <row r="191" spans="1:117" ht="24.9" customHeight="1" x14ac:dyDescent="0.3">
      <c r="A191" s="318">
        <v>150000508</v>
      </c>
      <c r="B191" s="44" t="s">
        <v>114</v>
      </c>
      <c r="C191" s="956">
        <v>1</v>
      </c>
      <c r="D191" s="957" t="s">
        <v>454</v>
      </c>
      <c r="E191" s="949">
        <f>'побудинковий звіт'!E158</f>
        <v>744.59999999999991</v>
      </c>
      <c r="F191" s="950">
        <f>'побудинковий звіт'!AS158</f>
        <v>9654.2150239285129</v>
      </c>
      <c r="G191" s="950">
        <f t="shared" si="16"/>
        <v>0</v>
      </c>
      <c r="H191" s="950">
        <f t="shared" si="17"/>
        <v>-9654.2150239285129</v>
      </c>
      <c r="I191" s="42">
        <f>'[2]поточний ремонт'!I191+'[1]поточний ремонт'!I191</f>
        <v>0</v>
      </c>
      <c r="J191" s="42">
        <f>'[2]поточний ремонт'!J191+'[1]поточний ремонт'!J191</f>
        <v>0</v>
      </c>
      <c r="K191" s="958"/>
      <c r="L191" s="42">
        <f>'[2]поточний ремонт'!L191+'[1]поточний ремонт'!L191</f>
        <v>0</v>
      </c>
      <c r="M191" s="42">
        <f>'[2]поточний ремонт'!M191+'[1]поточний ремонт'!M191</f>
        <v>0</v>
      </c>
      <c r="N191" s="36"/>
      <c r="O191" s="42">
        <f>'[2]поточний ремонт'!O191+'[1]поточний ремонт'!O191</f>
        <v>0</v>
      </c>
      <c r="P191" s="42">
        <f>'[2]поточний ремонт'!P191+'[1]поточний ремонт'!P191</f>
        <v>0</v>
      </c>
      <c r="Q191" s="959"/>
      <c r="R191" s="42">
        <f>'[2]поточний ремонт'!R191+'[1]поточний ремонт'!R191</f>
        <v>0</v>
      </c>
      <c r="S191" s="42">
        <f>'[2]поточний ремонт'!S191+'[1]поточний ремонт'!S191</f>
        <v>0</v>
      </c>
      <c r="T191" s="960"/>
      <c r="U191" s="42">
        <f>'[2]поточний ремонт'!U191+'[1]поточний ремонт'!U191</f>
        <v>0</v>
      </c>
      <c r="V191" s="42">
        <f>'[2]поточний ремонт'!V191+'[1]поточний ремонт'!V191</f>
        <v>0</v>
      </c>
      <c r="W191" s="42">
        <f>'[2]поточний ремонт'!W191+'[1]поточний ремонт'!W191</f>
        <v>0</v>
      </c>
      <c r="X191" s="42">
        <f>'[2]поточний ремонт'!X191+'[1]поточний ремонт'!X191</f>
        <v>0</v>
      </c>
      <c r="Y191" s="42">
        <f>'[2]поточний ремонт'!Y191+'[1]поточний ремонт'!Y191</f>
        <v>0</v>
      </c>
      <c r="Z191" s="42">
        <f>'[2]поточний ремонт'!Z191+'[1]поточний ремонт'!Z191</f>
        <v>0</v>
      </c>
      <c r="AA191" s="42">
        <f>'[2]поточний ремонт'!AA191+'[1]поточний ремонт'!AA191</f>
        <v>0</v>
      </c>
      <c r="AB191" s="42">
        <f>'[2]поточний ремонт'!AB191+'[1]поточний ремонт'!AB191</f>
        <v>0</v>
      </c>
      <c r="AC191" s="42">
        <f>'[2]поточний ремонт'!AC191+'[1]поточний ремонт'!AC191</f>
        <v>0</v>
      </c>
      <c r="AD191" s="42">
        <f>'[2]поточний ремонт'!AD191+'[1]поточний ремонт'!AD191</f>
        <v>0</v>
      </c>
      <c r="AE191" s="42">
        <f>'[2]поточний ремонт'!AE191+'[1]поточний ремонт'!AE191</f>
        <v>0</v>
      </c>
      <c r="AF191" s="42">
        <f>'[2]поточний ремонт'!AF191+'[1]поточний ремонт'!AF191</f>
        <v>0</v>
      </c>
      <c r="AG191" s="5"/>
      <c r="AH191" s="42">
        <f>'[2]поточний ремонт'!AH191+'[1]поточний ремонт'!AH191</f>
        <v>0</v>
      </c>
      <c r="AI191" s="42">
        <f>'[2]поточний ремонт'!AI191+'[1]поточний ремонт'!AI191</f>
        <v>0</v>
      </c>
      <c r="AJ191" s="5"/>
      <c r="AK191" s="42">
        <f>'[2]поточний ремонт'!AK191+'[1]поточний ремонт'!AK191</f>
        <v>0</v>
      </c>
      <c r="AL191" s="42">
        <f>'[2]поточний ремонт'!AL191+'[1]поточний ремонт'!AL191</f>
        <v>0</v>
      </c>
      <c r="AM191" s="5"/>
      <c r="AN191" s="42">
        <f>'[2]поточний ремонт'!AN191+'[1]поточний ремонт'!AN191</f>
        <v>0</v>
      </c>
      <c r="AO191" s="42">
        <f>'[2]поточний ремонт'!AO191+'[1]поточний ремонт'!AO191</f>
        <v>0</v>
      </c>
      <c r="AP191" s="5"/>
      <c r="AQ191" s="42">
        <f>'[2]поточний ремонт'!AQ191+'[1]поточний ремонт'!AQ191</f>
        <v>0</v>
      </c>
      <c r="AR191" s="42">
        <f>'[2]поточний ремонт'!AR191+'[1]поточний ремонт'!AR191</f>
        <v>0</v>
      </c>
      <c r="AS191" s="5"/>
      <c r="AT191" s="42">
        <f>'[2]поточний ремонт'!AT191+'[1]поточний ремонт'!AT191</f>
        <v>0</v>
      </c>
      <c r="AU191" s="42">
        <f>'[2]поточний ремонт'!AU191+'[1]поточний ремонт'!AU191</f>
        <v>0</v>
      </c>
      <c r="AV191" s="5"/>
      <c r="AW191" s="42">
        <f>'[2]поточний ремонт'!AW191+'[1]поточний ремонт'!AW191</f>
        <v>0</v>
      </c>
      <c r="AX191" s="42">
        <f>'[2]поточний ремонт'!AX191+'[1]поточний ремонт'!AX191</f>
        <v>974.29553764000002</v>
      </c>
      <c r="AY191" s="5"/>
      <c r="AZ191" s="42">
        <f t="shared" si="18"/>
        <v>0</v>
      </c>
      <c r="BA191" s="42">
        <f t="shared" si="19"/>
        <v>974.29553764000002</v>
      </c>
      <c r="BB191" s="58">
        <f t="shared" si="20"/>
        <v>974.29553764000002</v>
      </c>
      <c r="BD191" s="2">
        <v>3</v>
      </c>
      <c r="BF191" s="29">
        <v>0</v>
      </c>
      <c r="BG191" s="318">
        <v>150000508</v>
      </c>
      <c r="BI191" s="104">
        <v>0</v>
      </c>
      <c r="BJ191" s="104">
        <f t="shared" si="21"/>
        <v>0</v>
      </c>
      <c r="BK191" s="104">
        <v>0</v>
      </c>
      <c r="BL191" s="38"/>
      <c r="BM191" s="3"/>
      <c r="BN191" s="3">
        <v>0</v>
      </c>
      <c r="BP191" s="3"/>
      <c r="BQ191" s="3"/>
      <c r="BS191" s="42"/>
      <c r="BT191" s="42">
        <v>0</v>
      </c>
      <c r="BU191" s="958"/>
      <c r="BV191" s="41"/>
      <c r="BW191" s="42"/>
      <c r="BX191" s="36"/>
      <c r="BY191" s="76"/>
      <c r="BZ191" s="42">
        <v>0</v>
      </c>
      <c r="CA191" s="959"/>
      <c r="CB191" s="41"/>
      <c r="CC191" s="41">
        <v>0</v>
      </c>
      <c r="CD191" s="960"/>
      <c r="CE191" s="76">
        <v>0</v>
      </c>
      <c r="CF191" s="55"/>
      <c r="CG191" s="41">
        <v>0</v>
      </c>
      <c r="CH191" s="38">
        <v>0</v>
      </c>
      <c r="CI191" s="76">
        <v>0</v>
      </c>
      <c r="CJ191" s="55"/>
      <c r="CK191" s="955"/>
      <c r="CL191" s="950"/>
      <c r="CM191" s="955"/>
      <c r="CN191" s="950">
        <v>0</v>
      </c>
      <c r="CO191" s="76">
        <v>0</v>
      </c>
      <c r="CP191" s="42">
        <v>0</v>
      </c>
      <c r="CQ191" s="5"/>
      <c r="CR191" s="76">
        <v>0</v>
      </c>
      <c r="CS191" s="954">
        <v>0</v>
      </c>
      <c r="CT191" s="5"/>
      <c r="CU191" s="76">
        <v>0</v>
      </c>
      <c r="CV191" s="42">
        <v>0</v>
      </c>
      <c r="CW191" s="5"/>
      <c r="CX191" s="76">
        <v>0</v>
      </c>
      <c r="CY191" s="42">
        <v>0</v>
      </c>
      <c r="CZ191" s="5"/>
      <c r="DA191" s="76">
        <v>0</v>
      </c>
      <c r="DB191" s="42">
        <v>0</v>
      </c>
      <c r="DC191" s="5"/>
      <c r="DD191" s="76">
        <v>0</v>
      </c>
      <c r="DE191" s="42">
        <v>0</v>
      </c>
      <c r="DF191" s="5"/>
      <c r="DG191" s="76">
        <v>0</v>
      </c>
      <c r="DH191" s="42"/>
      <c r="DI191" s="5"/>
      <c r="DJ191" s="42">
        <v>0</v>
      </c>
      <c r="DK191" s="42">
        <f t="shared" si="22"/>
        <v>0</v>
      </c>
      <c r="DL191" s="58">
        <f t="shared" si="23"/>
        <v>0</v>
      </c>
      <c r="DM191" s="2">
        <v>3</v>
      </c>
    </row>
    <row r="192" spans="1:117" ht="24.9" customHeight="1" x14ac:dyDescent="0.3">
      <c r="A192" s="318">
        <v>150000501</v>
      </c>
      <c r="B192" s="44" t="s">
        <v>263</v>
      </c>
      <c r="C192" s="956">
        <v>5</v>
      </c>
      <c r="D192" s="957" t="s">
        <v>454</v>
      </c>
      <c r="E192" s="949">
        <f>'побудинковий звіт'!E159</f>
        <v>422.9</v>
      </c>
      <c r="F192" s="950">
        <f>'побудинковий звіт'!AS159</f>
        <v>6275.74395426093</v>
      </c>
      <c r="G192" s="950">
        <f t="shared" si="16"/>
        <v>4905.8331233660483</v>
      </c>
      <c r="H192" s="950">
        <f t="shared" si="17"/>
        <v>-1369.9108308948817</v>
      </c>
      <c r="I192" s="42">
        <f>'[2]поточний ремонт'!I192+'[1]поточний ремонт'!I192</f>
        <v>0</v>
      </c>
      <c r="J192" s="42">
        <f>'[2]поточний ремонт'!J192+'[1]поточний ремонт'!J192</f>
        <v>0</v>
      </c>
      <c r="K192" s="962"/>
      <c r="L192" s="42">
        <f>'[2]поточний ремонт'!L192+'[1]поточний ремонт'!L192</f>
        <v>0</v>
      </c>
      <c r="M192" s="42">
        <f>'[2]поточний ремонт'!M192+'[1]поточний ремонт'!M192</f>
        <v>0</v>
      </c>
      <c r="N192" s="36"/>
      <c r="O192" s="42">
        <f>'[2]поточний ремонт'!O192+'[1]поточний ремонт'!O192</f>
        <v>0</v>
      </c>
      <c r="P192" s="42">
        <f>'[2]поточний ремонт'!P192+'[1]поточний ремонт'!P192</f>
        <v>0</v>
      </c>
      <c r="Q192" s="959"/>
      <c r="R192" s="42">
        <f>'[2]поточний ремонт'!R192+'[1]поточний ремонт'!R192</f>
        <v>0</v>
      </c>
      <c r="S192" s="42">
        <f>'[2]поточний ремонт'!S192+'[1]поточний ремонт'!S192</f>
        <v>0</v>
      </c>
      <c r="T192" s="960"/>
      <c r="U192" s="42">
        <f>'[2]поточний ремонт'!U192+'[1]поточний ремонт'!U192</f>
        <v>0</v>
      </c>
      <c r="V192" s="42">
        <f>'[2]поточний ремонт'!V192+'[1]поточний ремонт'!V192</f>
        <v>0</v>
      </c>
      <c r="W192" s="42">
        <f>'[2]поточний ремонт'!W192+'[1]поточний ремонт'!W192</f>
        <v>0</v>
      </c>
      <c r="X192" s="42">
        <f>'[2]поточний ремонт'!X192+'[1]поточний ремонт'!X192</f>
        <v>0</v>
      </c>
      <c r="Y192" s="42">
        <f>'[2]поточний ремонт'!Y192+'[1]поточний ремонт'!Y192</f>
        <v>3138.6040631976621</v>
      </c>
      <c r="Z192" s="42">
        <f>'[2]поточний ремонт'!Z192+'[1]поточний ремонт'!Z192</f>
        <v>0</v>
      </c>
      <c r="AA192" s="42">
        <f>'[2]поточний ремонт'!AA192+'[1]поточний ремонт'!AA192</f>
        <v>0</v>
      </c>
      <c r="AB192" s="42">
        <f>'[2]поточний ремонт'!AB192+'[1]поточний ремонт'!AB192</f>
        <v>0</v>
      </c>
      <c r="AC192" s="42">
        <f>'[2]поточний ремонт'!AC192+'[1]поточний ремонт'!AC192</f>
        <v>0</v>
      </c>
      <c r="AD192" s="42">
        <f>'[2]поточний ремонт'!AD192+'[1]поточний ремонт'!AD192</f>
        <v>1767.2290601683867</v>
      </c>
      <c r="AE192" s="42">
        <f>'[2]поточний ремонт'!AE192+'[1]поточний ремонт'!AE192</f>
        <v>3045.459343042638</v>
      </c>
      <c r="AF192" s="42">
        <f>'[2]поточний ремонт'!AF192+'[1]поточний ремонт'!AF192</f>
        <v>0</v>
      </c>
      <c r="AG192" s="5"/>
      <c r="AH192" s="42">
        <f>'[2]поточний ремонт'!AH192+'[1]поточний ремонт'!AH192</f>
        <v>4605.5870452491527</v>
      </c>
      <c r="AI192" s="42">
        <f>'[2]поточний ремонт'!AI192+'[1]поточний ремонт'!AI192</f>
        <v>1605.9973575179408</v>
      </c>
      <c r="AJ192" s="5"/>
      <c r="AK192" s="42">
        <f>'[2]поточний ремонт'!AK192+'[1]поточний ремонт'!AK192</f>
        <v>3696.9213714685493</v>
      </c>
      <c r="AL192" s="42">
        <f>'[2]поточний ремонт'!AL192+'[1]поточний ремонт'!AL192</f>
        <v>0</v>
      </c>
      <c r="AM192" s="5"/>
      <c r="AN192" s="42">
        <f>'[2]поточний ремонт'!AN192+'[1]поточний ремонт'!AN192</f>
        <v>0</v>
      </c>
      <c r="AO192" s="42">
        <f>'[2]поточний ремонт'!AO192+'[1]поточний ремонт'!AO192</f>
        <v>0</v>
      </c>
      <c r="AP192" s="5"/>
      <c r="AQ192" s="42">
        <f>'[2]поточний ремонт'!AQ192+'[1]поточний ремонт'!AQ192</f>
        <v>165.40963195714954</v>
      </c>
      <c r="AR192" s="42">
        <f>'[2]поточний ремонт'!AR192+'[1]поточний ремонт'!AR192</f>
        <v>1133.7402444184133</v>
      </c>
      <c r="AS192" s="5"/>
      <c r="AT192" s="42">
        <f>'[2]поточний ремонт'!AT192+'[1]поточний ремонт'!AT192</f>
        <v>2550.3690151924825</v>
      </c>
      <c r="AU192" s="42">
        <f>'[2]поточний ремонт'!AU192+'[1]поточний ремонт'!AU192</f>
        <v>3181.945729323792</v>
      </c>
      <c r="AV192" s="5"/>
      <c r="AW192" s="42">
        <f>'[2]поточний ремонт'!AW192+'[1]поточний ремонт'!AW192</f>
        <v>9.8504527528608712</v>
      </c>
      <c r="AX192" s="42">
        <f>'[2]поточний ремонт'!AX192+'[1]поточний ремонт'!AX192</f>
        <v>0</v>
      </c>
      <c r="AY192" s="5"/>
      <c r="AZ192" s="42">
        <f t="shared" si="18"/>
        <v>14073.596859662832</v>
      </c>
      <c r="BA192" s="42">
        <f t="shared" si="19"/>
        <v>5921.6833312601466</v>
      </c>
      <c r="BB192" s="58">
        <f t="shared" si="20"/>
        <v>-8151.9135284026852</v>
      </c>
      <c r="BD192" s="2">
        <v>2</v>
      </c>
      <c r="BF192" s="29">
        <v>6.6344057645151429</v>
      </c>
      <c r="BG192" s="318">
        <v>150000501</v>
      </c>
      <c r="BI192" s="104">
        <v>0</v>
      </c>
      <c r="BJ192" s="104">
        <f t="shared" si="21"/>
        <v>0</v>
      </c>
      <c r="BK192" s="104">
        <v>0</v>
      </c>
      <c r="BL192" s="38"/>
      <c r="BM192" s="3"/>
      <c r="BN192" s="3">
        <v>0</v>
      </c>
      <c r="BP192" s="3"/>
      <c r="BQ192" s="3"/>
      <c r="BS192" s="42"/>
      <c r="BT192" s="42">
        <v>0</v>
      </c>
      <c r="BU192" s="962"/>
      <c r="BV192" s="41"/>
      <c r="BW192" s="42"/>
      <c r="BX192" s="36"/>
      <c r="BY192" s="76"/>
      <c r="BZ192" s="42">
        <v>0</v>
      </c>
      <c r="CA192" s="959"/>
      <c r="CB192" s="41"/>
      <c r="CC192" s="41">
        <v>0</v>
      </c>
      <c r="CD192" s="960"/>
      <c r="CE192" s="76">
        <v>0</v>
      </c>
      <c r="CF192" s="55"/>
      <c r="CG192" s="41">
        <v>0</v>
      </c>
      <c r="CH192" s="38">
        <v>0</v>
      </c>
      <c r="CI192" s="76">
        <v>0</v>
      </c>
      <c r="CJ192" s="55"/>
      <c r="CK192" s="955"/>
      <c r="CL192" s="950"/>
      <c r="CM192" s="955"/>
      <c r="CN192" s="950">
        <v>0</v>
      </c>
      <c r="CO192" s="76">
        <v>227.36054208153843</v>
      </c>
      <c r="CP192" s="42">
        <v>0</v>
      </c>
      <c r="CQ192" s="5"/>
      <c r="CR192" s="76">
        <v>370.84425625657047</v>
      </c>
      <c r="CS192" s="954">
        <v>0</v>
      </c>
      <c r="CT192" s="5"/>
      <c r="CU192" s="76">
        <v>305.41775636604615</v>
      </c>
      <c r="CV192" s="42">
        <v>0</v>
      </c>
      <c r="CW192" s="5"/>
      <c r="CX192" s="76">
        <v>0</v>
      </c>
      <c r="CY192" s="42">
        <v>0</v>
      </c>
      <c r="CZ192" s="5"/>
      <c r="DA192" s="76">
        <v>0</v>
      </c>
      <c r="DB192" s="42">
        <v>0</v>
      </c>
      <c r="DC192" s="5"/>
      <c r="DD192" s="76">
        <v>159.83845542795581</v>
      </c>
      <c r="DE192" s="42">
        <v>0</v>
      </c>
      <c r="DF192" s="5"/>
      <c r="DG192" s="76">
        <v>0</v>
      </c>
      <c r="DH192" s="42"/>
      <c r="DI192" s="5"/>
      <c r="DJ192" s="42">
        <v>1063.4610101321109</v>
      </c>
      <c r="DK192" s="42">
        <f t="shared" si="22"/>
        <v>0</v>
      </c>
      <c r="DL192" s="58">
        <f t="shared" si="23"/>
        <v>-1063.4610101321109</v>
      </c>
      <c r="DM192" s="2">
        <v>2</v>
      </c>
    </row>
    <row r="193" spans="1:117" ht="24.9" customHeight="1" x14ac:dyDescent="0.3">
      <c r="A193" s="318">
        <v>150000778</v>
      </c>
      <c r="B193" s="44" t="s">
        <v>1826</v>
      </c>
      <c r="C193" s="956">
        <v>4</v>
      </c>
      <c r="D193" s="957" t="s">
        <v>454</v>
      </c>
      <c r="E193" s="949">
        <f>'побудинковий звіт'!E160</f>
        <v>3603</v>
      </c>
      <c r="F193" s="950">
        <f>'побудинковий звіт'!AS160</f>
        <v>36012.15569073768</v>
      </c>
      <c r="G193" s="950">
        <f t="shared" si="16"/>
        <v>2672.1882370515546</v>
      </c>
      <c r="H193" s="950">
        <f t="shared" si="17"/>
        <v>-33339.967453686128</v>
      </c>
      <c r="I193" s="42">
        <f>'[2]поточний ремонт'!I193+'[1]поточний ремонт'!I193</f>
        <v>0</v>
      </c>
      <c r="J193" s="42">
        <f>'[2]поточний ремонт'!J193+'[1]поточний ремонт'!J193</f>
        <v>0</v>
      </c>
      <c r="K193" s="958"/>
      <c r="L193" s="42">
        <f>'[2]поточний ремонт'!L193+'[1]поточний ремонт'!L193</f>
        <v>0</v>
      </c>
      <c r="M193" s="42">
        <f>'[2]поточний ремонт'!M193+'[1]поточний ремонт'!M193</f>
        <v>0</v>
      </c>
      <c r="N193" s="36"/>
      <c r="O193" s="42">
        <f>'[2]поточний ремонт'!O193+'[1]поточний ремонт'!O193</f>
        <v>0</v>
      </c>
      <c r="P193" s="42">
        <f>'[2]поточний ремонт'!P193+'[1]поточний ремонт'!P193</f>
        <v>0</v>
      </c>
      <c r="Q193" s="959"/>
      <c r="R193" s="42">
        <f>'[2]поточний ремонт'!R193+'[1]поточний ремонт'!R193</f>
        <v>0</v>
      </c>
      <c r="S193" s="42">
        <f>'[2]поточний ремонт'!S193+'[1]поточний ремонт'!S193</f>
        <v>0</v>
      </c>
      <c r="T193" s="960"/>
      <c r="U193" s="42">
        <f>'[2]поточний ремонт'!U193+'[1]поточний ремонт'!U193</f>
        <v>0</v>
      </c>
      <c r="V193" s="42">
        <f>'[2]поточний ремонт'!V193+'[1]поточний ремонт'!V193</f>
        <v>0</v>
      </c>
      <c r="W193" s="42">
        <f>'[2]поточний ремонт'!W193+'[1]поточний ремонт'!W193</f>
        <v>0</v>
      </c>
      <c r="X193" s="42">
        <f>'[2]поточний ремонт'!X193+'[1]поточний ремонт'!X193</f>
        <v>0</v>
      </c>
      <c r="Y193" s="42">
        <f>'[2]поточний ремонт'!Y193+'[1]поточний ремонт'!Y193</f>
        <v>2005.0141269599699</v>
      </c>
      <c r="Z193" s="42">
        <f>'[2]поточний ремонт'!Z193+'[1]поточний ремонт'!Z193</f>
        <v>0</v>
      </c>
      <c r="AA193" s="42">
        <f>'[2]поточний ремонт'!AA193+'[1]поточний ремонт'!AA193</f>
        <v>0</v>
      </c>
      <c r="AB193" s="42">
        <f>'[2]поточний ремонт'!AB193+'[1]поточний ремонт'!AB193</f>
        <v>0</v>
      </c>
      <c r="AC193" s="42">
        <f>'[2]поточний ремонт'!AC193+'[1]поточний ремонт'!AC193</f>
        <v>0</v>
      </c>
      <c r="AD193" s="42">
        <f>'[2]поточний ремонт'!AD193+'[1]поточний ремонт'!AD193</f>
        <v>667.17411009158468</v>
      </c>
      <c r="AE193" s="42">
        <f>'[2]поточний ремонт'!AE193+'[1]поточний ремонт'!AE193</f>
        <v>1222.9646470576481</v>
      </c>
      <c r="AF193" s="42">
        <f>'[2]поточний ремонт'!AF193+'[1]поточний ремонт'!AF193</f>
        <v>0</v>
      </c>
      <c r="AG193" s="5"/>
      <c r="AH193" s="42">
        <f>'[2]поточний ремонт'!AH193+'[1]поточний ремонт'!AH193</f>
        <v>1729.5281626153537</v>
      </c>
      <c r="AI193" s="42">
        <f>'[2]поточний ремонт'!AI193+'[1]поточний ремонт'!AI193</f>
        <v>2290.419905761205</v>
      </c>
      <c r="AJ193" s="5"/>
      <c r="AK193" s="42">
        <f>'[2]поточний ремонт'!AK193+'[1]поточний ремонт'!AK193</f>
        <v>1208.6428361969399</v>
      </c>
      <c r="AL193" s="42">
        <f>'[2]поточний ремонт'!AL193+'[1]поточний ремонт'!AL193</f>
        <v>0</v>
      </c>
      <c r="AM193" s="5"/>
      <c r="AN193" s="42">
        <f>'[2]поточний ремонт'!AN193+'[1]поточний ремонт'!AN193</f>
        <v>620.7066996922598</v>
      </c>
      <c r="AO193" s="42">
        <f>'[2]поточний ремонт'!AO193+'[1]поточний ремонт'!AO193</f>
        <v>0</v>
      </c>
      <c r="AP193" s="5"/>
      <c r="AQ193" s="42">
        <f>'[2]поточний ремонт'!AQ193+'[1]поточний ремонт'!AQ193</f>
        <v>115.78674237000469</v>
      </c>
      <c r="AR193" s="42">
        <f>'[2]поточний ремонт'!AR193+'[1]поточний ремонт'!AR193</f>
        <v>0</v>
      </c>
      <c r="AS193" s="5"/>
      <c r="AT193" s="42">
        <f>'[2]поточний ремонт'!AT193+'[1]поточний ремонт'!AT193</f>
        <v>1315.6718138429148</v>
      </c>
      <c r="AU193" s="42">
        <f>'[2]поточний ремонт'!AU193+'[1]поточний ремонт'!AU193</f>
        <v>5355.3623088538016</v>
      </c>
      <c r="AV193" s="5"/>
      <c r="AW193" s="42">
        <f>'[2]поточний ремонт'!AW193+'[1]поточний ремонт'!AW193</f>
        <v>56.467563551431752</v>
      </c>
      <c r="AX193" s="42">
        <f>'[2]поточний ремонт'!AX193+'[1]поточний ремонт'!AX193</f>
        <v>3196.4251024579148</v>
      </c>
      <c r="AY193" s="5"/>
      <c r="AZ193" s="42">
        <f t="shared" si="18"/>
        <v>6269.7684653265524</v>
      </c>
      <c r="BA193" s="42">
        <f t="shared" si="19"/>
        <v>10842.207317072922</v>
      </c>
      <c r="BB193" s="58">
        <f t="shared" si="20"/>
        <v>4572.4388517463694</v>
      </c>
      <c r="BD193" s="2">
        <v>3</v>
      </c>
      <c r="BF193" s="29">
        <v>155.97008813801568</v>
      </c>
      <c r="BG193" s="318">
        <v>150000778</v>
      </c>
      <c r="BI193" s="104">
        <v>0</v>
      </c>
      <c r="BJ193" s="104">
        <f t="shared" si="21"/>
        <v>0</v>
      </c>
      <c r="BK193" s="104">
        <v>0</v>
      </c>
      <c r="BL193" s="38"/>
      <c r="BM193" s="3"/>
      <c r="BN193" s="3">
        <v>0</v>
      </c>
      <c r="BP193" s="3"/>
      <c r="BQ193" s="3"/>
      <c r="BS193" s="42"/>
      <c r="BT193" s="42">
        <v>0</v>
      </c>
      <c r="BU193" s="958"/>
      <c r="BV193" s="41"/>
      <c r="BW193" s="42"/>
      <c r="BX193" s="36"/>
      <c r="BY193" s="76"/>
      <c r="BZ193" s="42">
        <v>0</v>
      </c>
      <c r="CA193" s="959"/>
      <c r="CB193" s="41"/>
      <c r="CC193" s="41">
        <v>0</v>
      </c>
      <c r="CD193" s="960"/>
      <c r="CE193" s="76">
        <v>0</v>
      </c>
      <c r="CF193" s="55"/>
      <c r="CG193" s="41">
        <v>0</v>
      </c>
      <c r="CH193" s="38">
        <v>0</v>
      </c>
      <c r="CI193" s="76">
        <v>0</v>
      </c>
      <c r="CJ193" s="971"/>
      <c r="CK193" s="955"/>
      <c r="CL193" s="950"/>
      <c r="CM193" s="955"/>
      <c r="CN193" s="950">
        <v>0</v>
      </c>
      <c r="CO193" s="76">
        <v>95.395306708164938</v>
      </c>
      <c r="CP193" s="42">
        <v>0</v>
      </c>
      <c r="CQ193" s="5"/>
      <c r="CR193" s="76">
        <v>145.37474458257918</v>
      </c>
      <c r="CS193" s="954">
        <v>0</v>
      </c>
      <c r="CT193" s="5"/>
      <c r="CU193" s="76">
        <v>102.0777517656051</v>
      </c>
      <c r="CV193" s="42">
        <v>0</v>
      </c>
      <c r="CW193" s="5"/>
      <c r="CX193" s="76">
        <v>58.023332592731379</v>
      </c>
      <c r="CY193" s="42">
        <v>0</v>
      </c>
      <c r="CZ193" s="5"/>
      <c r="DA193" s="76">
        <v>0</v>
      </c>
      <c r="DB193" s="42">
        <v>0</v>
      </c>
      <c r="DC193" s="5"/>
      <c r="DD193" s="76">
        <v>93.045647513804042</v>
      </c>
      <c r="DE193" s="42">
        <v>0</v>
      </c>
      <c r="DF193" s="5"/>
      <c r="DG193" s="76">
        <v>0</v>
      </c>
      <c r="DH193" s="42"/>
      <c r="DI193" s="5"/>
      <c r="DJ193" s="42">
        <v>493.91678316288466</v>
      </c>
      <c r="DK193" s="42">
        <f t="shared" si="22"/>
        <v>0</v>
      </c>
      <c r="DL193" s="58">
        <f t="shared" si="23"/>
        <v>-493.91678316288466</v>
      </c>
      <c r="DM193" s="2">
        <v>3</v>
      </c>
    </row>
    <row r="194" spans="1:117" ht="24.9" customHeight="1" x14ac:dyDescent="0.3">
      <c r="A194" s="318">
        <v>150001071</v>
      </c>
      <c r="B194" s="44" t="s">
        <v>1827</v>
      </c>
      <c r="C194" s="956">
        <v>2</v>
      </c>
      <c r="D194" s="957" t="s">
        <v>454</v>
      </c>
      <c r="E194" s="949">
        <f>'побудинковий звіт'!E161</f>
        <v>324.7</v>
      </c>
      <c r="F194" s="950">
        <f>'побудинковий звіт'!AS161</f>
        <v>4646.7371430431158</v>
      </c>
      <c r="G194" s="950">
        <f t="shared" si="16"/>
        <v>849</v>
      </c>
      <c r="H194" s="950">
        <f t="shared" si="17"/>
        <v>-3797.7371430431158</v>
      </c>
      <c r="I194" s="42">
        <f>'[2]поточний ремонт'!I194+'[1]поточний ремонт'!I194</f>
        <v>3.6</v>
      </c>
      <c r="J194" s="42">
        <f>'[2]поточний ремонт'!J194+'[1]поточний ремонт'!J194</f>
        <v>849</v>
      </c>
      <c r="K194" s="962"/>
      <c r="L194" s="42">
        <f>'[2]поточний ремонт'!L194+'[1]поточний ремонт'!L194</f>
        <v>0</v>
      </c>
      <c r="M194" s="42">
        <f>'[2]поточний ремонт'!M194+'[1]поточний ремонт'!M194</f>
        <v>0</v>
      </c>
      <c r="N194" s="36"/>
      <c r="O194" s="42">
        <f>'[2]поточний ремонт'!O194+'[1]поточний ремонт'!O194</f>
        <v>0</v>
      </c>
      <c r="P194" s="42">
        <f>'[2]поточний ремонт'!P194+'[1]поточний ремонт'!P194</f>
        <v>0</v>
      </c>
      <c r="Q194" s="959"/>
      <c r="R194" s="42">
        <f>'[2]поточний ремонт'!R194+'[1]поточний ремонт'!R194</f>
        <v>0</v>
      </c>
      <c r="S194" s="42">
        <f>'[2]поточний ремонт'!S194+'[1]поточний ремонт'!S194</f>
        <v>0</v>
      </c>
      <c r="T194" s="960"/>
      <c r="U194" s="42">
        <f>'[2]поточний ремонт'!U194+'[1]поточний ремонт'!U194</f>
        <v>0</v>
      </c>
      <c r="V194" s="42">
        <f>'[2]поточний ремонт'!V194+'[1]поточний ремонт'!V194</f>
        <v>0</v>
      </c>
      <c r="W194" s="42">
        <f>'[2]поточний ремонт'!W194+'[1]поточний ремонт'!W194</f>
        <v>0</v>
      </c>
      <c r="X194" s="42">
        <f>'[2]поточний ремонт'!X194+'[1]поточний ремонт'!X194</f>
        <v>0</v>
      </c>
      <c r="Y194" s="42">
        <f>'[2]поточний ремонт'!Y194+'[1]поточний ремонт'!Y194</f>
        <v>0</v>
      </c>
      <c r="Z194" s="42">
        <f>'[2]поточний ремонт'!Z194+'[1]поточний ремонт'!Z194</f>
        <v>0</v>
      </c>
      <c r="AA194" s="42">
        <f>'[2]поточний ремонт'!AA194+'[1]поточний ремонт'!AA194</f>
        <v>0</v>
      </c>
      <c r="AB194" s="42">
        <f>'[2]поточний ремонт'!AB194+'[1]поточний ремонт'!AB194</f>
        <v>0</v>
      </c>
      <c r="AC194" s="42">
        <f>'[2]поточний ремонт'!AC194+'[1]поточний ремонт'!AC194</f>
        <v>0</v>
      </c>
      <c r="AD194" s="42">
        <f>'[2]поточний ремонт'!AD194+'[1]поточний ремонт'!AD194</f>
        <v>0</v>
      </c>
      <c r="AE194" s="42">
        <f>'[2]поточний ремонт'!AE194+'[1]поточний ремонт'!AE194</f>
        <v>324.5682598032389</v>
      </c>
      <c r="AF194" s="42">
        <f>'[2]поточний ремонт'!AF194+'[1]поточний ремонт'!AF194</f>
        <v>0</v>
      </c>
      <c r="AG194" s="5"/>
      <c r="AH194" s="42">
        <f>'[2]поточний ремонт'!AH194+'[1]поточний ремонт'!AH194</f>
        <v>407.9055338215565</v>
      </c>
      <c r="AI194" s="42">
        <f>'[2]поточний ремонт'!AI194+'[1]поточний ремонт'!AI194</f>
        <v>0</v>
      </c>
      <c r="AJ194" s="5"/>
      <c r="AK194" s="42">
        <f>'[2]поточний ремонт'!AK194+'[1]поточний ремонт'!AK194</f>
        <v>277.82438489830793</v>
      </c>
      <c r="AL194" s="42">
        <f>'[2]поточний ремонт'!AL194+'[1]поточний ремонт'!AL194</f>
        <v>0</v>
      </c>
      <c r="AM194" s="5"/>
      <c r="AN194" s="42">
        <f>'[2]поточний ремонт'!AN194+'[1]поточний ремонт'!AN194</f>
        <v>0</v>
      </c>
      <c r="AO194" s="42">
        <f>'[2]поточний ремонт'!AO194+'[1]поточний ремонт'!AO194</f>
        <v>0</v>
      </c>
      <c r="AP194" s="5"/>
      <c r="AQ194" s="42">
        <f>'[2]поточний ремонт'!AQ194+'[1]поточний ремонт'!AQ194</f>
        <v>0</v>
      </c>
      <c r="AR194" s="42">
        <f>'[2]поточний ремонт'!AR194+'[1]поточний ремонт'!AR194</f>
        <v>0</v>
      </c>
      <c r="AS194" s="5"/>
      <c r="AT194" s="42">
        <f>'[2]поточний ремонт'!AT194+'[1]поточний ремонт'!AT194</f>
        <v>266.50283581928352</v>
      </c>
      <c r="AU194" s="42">
        <f>'[2]поточний ремонт'!AU194+'[1]поточний ремонт'!AU194</f>
        <v>0</v>
      </c>
      <c r="AV194" s="5"/>
      <c r="AW194" s="42">
        <f>'[2]поточний ремонт'!AW194+'[1]поточний ремонт'!AW194</f>
        <v>104.05340418874675</v>
      </c>
      <c r="AX194" s="42">
        <f>'[2]поточний ремонт'!AX194+'[1]поточний ремонт'!AX194</f>
        <v>0</v>
      </c>
      <c r="AY194" s="5"/>
      <c r="AZ194" s="42">
        <f t="shared" si="18"/>
        <v>1380.8544185311337</v>
      </c>
      <c r="BA194" s="42">
        <f t="shared" si="19"/>
        <v>0</v>
      </c>
      <c r="BB194" s="58">
        <f t="shared" si="20"/>
        <v>-1380.8544185311337</v>
      </c>
      <c r="BD194" s="2">
        <v>3</v>
      </c>
      <c r="BF194" s="29">
        <v>27.944547351370431</v>
      </c>
      <c r="BG194" s="318">
        <v>150001071</v>
      </c>
      <c r="BI194" s="104">
        <v>0</v>
      </c>
      <c r="BJ194" s="104">
        <f t="shared" si="21"/>
        <v>0</v>
      </c>
      <c r="BK194" s="104">
        <v>0</v>
      </c>
      <c r="BL194" s="38"/>
      <c r="BM194" s="3"/>
      <c r="BN194" s="3">
        <v>0</v>
      </c>
      <c r="BP194" s="3"/>
      <c r="BQ194" s="3"/>
      <c r="BS194" s="42"/>
      <c r="BT194" s="42">
        <v>0</v>
      </c>
      <c r="BU194" s="962"/>
      <c r="BV194" s="41"/>
      <c r="BW194" s="42"/>
      <c r="BX194" s="36"/>
      <c r="BY194" s="76"/>
      <c r="BZ194" s="42">
        <v>0</v>
      </c>
      <c r="CA194" s="959"/>
      <c r="CB194" s="41"/>
      <c r="CC194" s="41">
        <v>0</v>
      </c>
      <c r="CD194" s="960"/>
      <c r="CE194" s="76">
        <v>0</v>
      </c>
      <c r="CF194" s="55"/>
      <c r="CG194" s="41">
        <v>0</v>
      </c>
      <c r="CH194" s="38">
        <v>0</v>
      </c>
      <c r="CI194" s="76">
        <v>0</v>
      </c>
      <c r="CJ194" s="55"/>
      <c r="CK194" s="955"/>
      <c r="CL194" s="950"/>
      <c r="CM194" s="955"/>
      <c r="CN194" s="950">
        <v>0</v>
      </c>
      <c r="CO194" s="76">
        <v>25.610095370880416</v>
      </c>
      <c r="CP194" s="42">
        <v>0</v>
      </c>
      <c r="CQ194" s="5"/>
      <c r="CR194" s="76">
        <v>30.98421477109823</v>
      </c>
      <c r="CS194" s="954">
        <v>0</v>
      </c>
      <c r="CT194" s="5"/>
      <c r="CU194" s="76">
        <v>17.716009375300594</v>
      </c>
      <c r="CV194" s="42">
        <v>0</v>
      </c>
      <c r="CW194" s="5"/>
      <c r="CX194" s="76">
        <v>0</v>
      </c>
      <c r="CY194" s="42">
        <v>0</v>
      </c>
      <c r="CZ194" s="5"/>
      <c r="DA194" s="76">
        <v>0</v>
      </c>
      <c r="DB194" s="42">
        <v>0</v>
      </c>
      <c r="DC194" s="5"/>
      <c r="DD194" s="76">
        <v>19.210932315163561</v>
      </c>
      <c r="DE194" s="42">
        <v>0</v>
      </c>
      <c r="DF194" s="5"/>
      <c r="DG194" s="76">
        <v>9.0599066072151508</v>
      </c>
      <c r="DH194" s="42"/>
      <c r="DI194" s="5"/>
      <c r="DJ194" s="42">
        <v>102.58115843965795</v>
      </c>
      <c r="DK194" s="42">
        <f t="shared" si="22"/>
        <v>0</v>
      </c>
      <c r="DL194" s="58">
        <f t="shared" si="23"/>
        <v>-102.58115843965795</v>
      </c>
      <c r="DM194" s="2">
        <v>3</v>
      </c>
    </row>
    <row r="195" spans="1:117" ht="24.9" customHeight="1" x14ac:dyDescent="0.3">
      <c r="A195" s="318">
        <v>150000768</v>
      </c>
      <c r="B195" s="44" t="s">
        <v>1828</v>
      </c>
      <c r="C195" s="956">
        <v>1</v>
      </c>
      <c r="D195" s="957" t="s">
        <v>454</v>
      </c>
      <c r="E195" s="949">
        <f>'побудинковий звіт'!E162</f>
        <v>398.70000000000005</v>
      </c>
      <c r="F195" s="950">
        <f>'побудинковий звіт'!AS162</f>
        <v>3413.2921977174537</v>
      </c>
      <c r="G195" s="950">
        <f t="shared" si="16"/>
        <v>1069.2161299893253</v>
      </c>
      <c r="H195" s="950">
        <f t="shared" si="17"/>
        <v>-2344.0760677281287</v>
      </c>
      <c r="I195" s="42">
        <f>'[2]поточний ремонт'!I195+'[1]поточний ремонт'!I195</f>
        <v>5</v>
      </c>
      <c r="J195" s="42">
        <f>'[2]поточний ремонт'!J195+'[1]поточний ремонт'!J195</f>
        <v>1069.2161299893253</v>
      </c>
      <c r="K195" s="958"/>
      <c r="L195" s="42">
        <f>'[2]поточний ремонт'!L195+'[1]поточний ремонт'!L195</f>
        <v>0</v>
      </c>
      <c r="M195" s="42">
        <f>'[2]поточний ремонт'!M195+'[1]поточний ремонт'!M195</f>
        <v>0</v>
      </c>
      <c r="N195" s="36"/>
      <c r="O195" s="42">
        <f>'[2]поточний ремонт'!O195+'[1]поточний ремонт'!O195</f>
        <v>0</v>
      </c>
      <c r="P195" s="42">
        <f>'[2]поточний ремонт'!P195+'[1]поточний ремонт'!P195</f>
        <v>0</v>
      </c>
      <c r="Q195" s="959"/>
      <c r="R195" s="42">
        <f>'[2]поточний ремонт'!R195+'[1]поточний ремонт'!R195</f>
        <v>0</v>
      </c>
      <c r="S195" s="42">
        <f>'[2]поточний ремонт'!S195+'[1]поточний ремонт'!S195</f>
        <v>0</v>
      </c>
      <c r="T195" s="960"/>
      <c r="U195" s="42">
        <f>'[2]поточний ремонт'!U195+'[1]поточний ремонт'!U195</f>
        <v>0</v>
      </c>
      <c r="V195" s="42">
        <f>'[2]поточний ремонт'!V195+'[1]поточний ремонт'!V195</f>
        <v>0</v>
      </c>
      <c r="W195" s="42">
        <f>'[2]поточний ремонт'!W195+'[1]поточний ремонт'!W195</f>
        <v>0</v>
      </c>
      <c r="X195" s="42">
        <f>'[2]поточний ремонт'!X195+'[1]поточний ремонт'!X195</f>
        <v>0</v>
      </c>
      <c r="Y195" s="42">
        <f>'[2]поточний ремонт'!Y195+'[1]поточний ремонт'!Y195</f>
        <v>0</v>
      </c>
      <c r="Z195" s="42">
        <f>'[2]поточний ремонт'!Z195+'[1]поточний ремонт'!Z195</f>
        <v>0</v>
      </c>
      <c r="AA195" s="42">
        <f>'[2]поточний ремонт'!AA195+'[1]поточний ремонт'!AA195</f>
        <v>0</v>
      </c>
      <c r="AB195" s="42">
        <f>'[2]поточний ремонт'!AB195+'[1]поточний ремонт'!AB195</f>
        <v>0</v>
      </c>
      <c r="AC195" s="42">
        <f>'[2]поточний ремонт'!AC195+'[1]поточний ремонт'!AC195</f>
        <v>0</v>
      </c>
      <c r="AD195" s="42">
        <f>'[2]поточний ремонт'!AD195+'[1]поточний ремонт'!AD195</f>
        <v>0</v>
      </c>
      <c r="AE195" s="42">
        <f>'[2]поточний ремонт'!AE195+'[1]поточний ремонт'!AE195</f>
        <v>0</v>
      </c>
      <c r="AF195" s="42">
        <f>'[2]поточний ремонт'!AF195+'[1]поточний ремонт'!AF195</f>
        <v>0</v>
      </c>
      <c r="AG195" s="5"/>
      <c r="AH195" s="42">
        <f>'[2]поточний ремонт'!AH195+'[1]поточний ремонт'!AH195</f>
        <v>0</v>
      </c>
      <c r="AI195" s="42">
        <f>'[2]поточний ремонт'!AI195+'[1]поточний ремонт'!AI195</f>
        <v>0</v>
      </c>
      <c r="AJ195" s="5"/>
      <c r="AK195" s="42">
        <f>'[2]поточний ремонт'!AK195+'[1]поточний ремонт'!AK195</f>
        <v>0</v>
      </c>
      <c r="AL195" s="42">
        <f>'[2]поточний ремонт'!AL195+'[1]поточний ремонт'!AL195</f>
        <v>0</v>
      </c>
      <c r="AM195" s="5"/>
      <c r="AN195" s="42">
        <f>'[2]поточний ремонт'!AN195+'[1]поточний ремонт'!AN195</f>
        <v>0</v>
      </c>
      <c r="AO195" s="42">
        <f>'[2]поточний ремонт'!AO195+'[1]поточний ремонт'!AO195</f>
        <v>0</v>
      </c>
      <c r="AP195" s="5"/>
      <c r="AQ195" s="42">
        <f>'[2]поточний ремонт'!AQ195+'[1]поточний ремонт'!AQ195</f>
        <v>0</v>
      </c>
      <c r="AR195" s="42">
        <f>'[2]поточний ремонт'!AR195+'[1]поточний ремонт'!AR195</f>
        <v>0</v>
      </c>
      <c r="AS195" s="5"/>
      <c r="AT195" s="42">
        <f>'[2]поточний ремонт'!AT195+'[1]поточний ремонт'!AT195</f>
        <v>0</v>
      </c>
      <c r="AU195" s="42">
        <f>'[2]поточний ремонт'!AU195+'[1]поточний ремонт'!AU195</f>
        <v>0</v>
      </c>
      <c r="AV195" s="5"/>
      <c r="AW195" s="42">
        <f>'[2]поточний ремонт'!AW195+'[1]поточний ремонт'!AW195</f>
        <v>0</v>
      </c>
      <c r="AX195" s="42">
        <f>'[2]поточний ремонт'!AX195+'[1]поточний ремонт'!AX195</f>
        <v>0</v>
      </c>
      <c r="AY195" s="5"/>
      <c r="AZ195" s="42">
        <f t="shared" si="18"/>
        <v>0</v>
      </c>
      <c r="BA195" s="42">
        <f t="shared" si="19"/>
        <v>0</v>
      </c>
      <c r="BB195" s="58">
        <f t="shared" si="20"/>
        <v>0</v>
      </c>
      <c r="BD195" s="2">
        <v>3</v>
      </c>
      <c r="BF195" s="29">
        <v>0</v>
      </c>
      <c r="BG195" s="318">
        <v>150000768</v>
      </c>
      <c r="BI195" s="104">
        <v>0</v>
      </c>
      <c r="BJ195" s="104">
        <f t="shared" si="21"/>
        <v>0</v>
      </c>
      <c r="BK195" s="104">
        <v>0</v>
      </c>
      <c r="BL195" s="38"/>
      <c r="BM195" s="3"/>
      <c r="BN195" s="3">
        <v>0</v>
      </c>
      <c r="BP195" s="3"/>
      <c r="BQ195" s="3"/>
      <c r="BS195" s="42"/>
      <c r="BT195" s="42">
        <v>0</v>
      </c>
      <c r="BU195" s="958"/>
      <c r="BV195" s="41"/>
      <c r="BW195" s="42"/>
      <c r="BX195" s="36"/>
      <c r="BY195" s="76"/>
      <c r="BZ195" s="42">
        <v>0</v>
      </c>
      <c r="CA195" s="959"/>
      <c r="CB195" s="41"/>
      <c r="CC195" s="41">
        <v>0</v>
      </c>
      <c r="CD195" s="960"/>
      <c r="CE195" s="76">
        <v>0</v>
      </c>
      <c r="CF195" s="55"/>
      <c r="CG195" s="41">
        <v>0</v>
      </c>
      <c r="CH195" s="38">
        <v>0</v>
      </c>
      <c r="CI195" s="76">
        <v>0</v>
      </c>
      <c r="CJ195" s="55"/>
      <c r="CK195" s="955"/>
      <c r="CL195" s="950"/>
      <c r="CM195" s="955"/>
      <c r="CN195" s="950">
        <v>0</v>
      </c>
      <c r="CO195" s="76">
        <v>0</v>
      </c>
      <c r="CP195" s="42">
        <v>0</v>
      </c>
      <c r="CQ195" s="5"/>
      <c r="CR195" s="76">
        <v>0</v>
      </c>
      <c r="CS195" s="954">
        <v>0</v>
      </c>
      <c r="CT195" s="5"/>
      <c r="CU195" s="76">
        <v>0</v>
      </c>
      <c r="CV195" s="42">
        <v>0</v>
      </c>
      <c r="CW195" s="5"/>
      <c r="CX195" s="76">
        <v>0</v>
      </c>
      <c r="CY195" s="42">
        <v>0</v>
      </c>
      <c r="CZ195" s="5"/>
      <c r="DA195" s="76">
        <v>0</v>
      </c>
      <c r="DB195" s="42">
        <v>0</v>
      </c>
      <c r="DC195" s="5"/>
      <c r="DD195" s="76">
        <v>0</v>
      </c>
      <c r="DE195" s="42">
        <v>0</v>
      </c>
      <c r="DF195" s="5"/>
      <c r="DG195" s="76">
        <v>0</v>
      </c>
      <c r="DH195" s="42"/>
      <c r="DI195" s="5"/>
      <c r="DJ195" s="42">
        <v>0</v>
      </c>
      <c r="DK195" s="42">
        <f t="shared" si="22"/>
        <v>0</v>
      </c>
      <c r="DL195" s="58">
        <f t="shared" si="23"/>
        <v>0</v>
      </c>
      <c r="DM195" s="2">
        <v>3</v>
      </c>
    </row>
    <row r="196" spans="1:117" ht="24.9" customHeight="1" x14ac:dyDescent="0.3">
      <c r="A196" s="318">
        <v>150000763</v>
      </c>
      <c r="B196" s="44" t="s">
        <v>1829</v>
      </c>
      <c r="C196" s="956">
        <v>1</v>
      </c>
      <c r="D196" s="957" t="s">
        <v>454</v>
      </c>
      <c r="E196" s="949">
        <f>'побудинковий звіт'!E163</f>
        <v>3391.34</v>
      </c>
      <c r="F196" s="950">
        <f>'побудинковий звіт'!AS163</f>
        <v>41393.324952808354</v>
      </c>
      <c r="G196" s="950">
        <f t="shared" si="16"/>
        <v>0</v>
      </c>
      <c r="H196" s="950">
        <f t="shared" si="17"/>
        <v>-41393.324952808354</v>
      </c>
      <c r="I196" s="42">
        <f>'[2]поточний ремонт'!I196+'[1]поточний ремонт'!I196</f>
        <v>0</v>
      </c>
      <c r="J196" s="42">
        <f>'[2]поточний ремонт'!J196+'[1]поточний ремонт'!J196</f>
        <v>0</v>
      </c>
      <c r="K196" s="958"/>
      <c r="L196" s="42">
        <f>'[2]поточний ремонт'!L196+'[1]поточний ремонт'!L196</f>
        <v>0</v>
      </c>
      <c r="M196" s="42">
        <f>'[2]поточний ремонт'!M196+'[1]поточний ремонт'!M196</f>
        <v>0</v>
      </c>
      <c r="N196" s="36"/>
      <c r="O196" s="42">
        <f>'[2]поточний ремонт'!O196+'[1]поточний ремонт'!O196</f>
        <v>0</v>
      </c>
      <c r="P196" s="42">
        <f>'[2]поточний ремонт'!P196+'[1]поточний ремонт'!P196</f>
        <v>0</v>
      </c>
      <c r="Q196" s="959"/>
      <c r="R196" s="42">
        <f>'[2]поточний ремонт'!R196+'[1]поточний ремонт'!R196</f>
        <v>0</v>
      </c>
      <c r="S196" s="42">
        <f>'[2]поточний ремонт'!S196+'[1]поточний ремонт'!S196</f>
        <v>0</v>
      </c>
      <c r="T196" s="960"/>
      <c r="U196" s="42">
        <f>'[2]поточний ремонт'!U196+'[1]поточний ремонт'!U196</f>
        <v>0</v>
      </c>
      <c r="V196" s="42">
        <f>'[2]поточний ремонт'!V196+'[1]поточний ремонт'!V196</f>
        <v>0</v>
      </c>
      <c r="W196" s="42">
        <f>'[2]поточний ремонт'!W196+'[1]поточний ремонт'!W196</f>
        <v>0</v>
      </c>
      <c r="X196" s="42">
        <f>'[2]поточний ремонт'!X196+'[1]поточний ремонт'!X196</f>
        <v>0</v>
      </c>
      <c r="Y196" s="42">
        <f>'[2]поточний ремонт'!Y196+'[1]поточний ремонт'!Y196</f>
        <v>0</v>
      </c>
      <c r="Z196" s="42">
        <f>'[2]поточний ремонт'!Z196+'[1]поточний ремонт'!Z196</f>
        <v>0</v>
      </c>
      <c r="AA196" s="42">
        <f>'[2]поточний ремонт'!AA196+'[1]поточний ремонт'!AA196</f>
        <v>0</v>
      </c>
      <c r="AB196" s="42">
        <f>'[2]поточний ремонт'!AB196+'[1]поточний ремонт'!AB196</f>
        <v>0</v>
      </c>
      <c r="AC196" s="42">
        <f>'[2]поточний ремонт'!AC196+'[1]поточний ремонт'!AC196</f>
        <v>0</v>
      </c>
      <c r="AD196" s="42">
        <f>'[2]поточний ремонт'!AD196+'[1]поточний ремонт'!AD196</f>
        <v>0</v>
      </c>
      <c r="AE196" s="42">
        <f>'[2]поточний ремонт'!AE196+'[1]поточний ремонт'!AE196</f>
        <v>0</v>
      </c>
      <c r="AF196" s="42">
        <f>'[2]поточний ремонт'!AF196+'[1]поточний ремонт'!AF196</f>
        <v>0</v>
      </c>
      <c r="AG196" s="5"/>
      <c r="AH196" s="42">
        <f>'[2]поточний ремонт'!AH196+'[1]поточний ремонт'!AH196</f>
        <v>0</v>
      </c>
      <c r="AI196" s="42">
        <f>'[2]поточний ремонт'!AI196+'[1]поточний ремонт'!AI196</f>
        <v>0</v>
      </c>
      <c r="AJ196" s="5"/>
      <c r="AK196" s="42">
        <f>'[2]поточний ремонт'!AK196+'[1]поточний ремонт'!AK196</f>
        <v>0</v>
      </c>
      <c r="AL196" s="42">
        <f>'[2]поточний ремонт'!AL196+'[1]поточний ремонт'!AL196</f>
        <v>0</v>
      </c>
      <c r="AM196" s="5"/>
      <c r="AN196" s="42">
        <f>'[2]поточний ремонт'!AN196+'[1]поточний ремонт'!AN196</f>
        <v>0</v>
      </c>
      <c r="AO196" s="42">
        <f>'[2]поточний ремонт'!AO196+'[1]поточний ремонт'!AO196</f>
        <v>0</v>
      </c>
      <c r="AP196" s="5"/>
      <c r="AQ196" s="42">
        <f>'[2]поточний ремонт'!AQ196+'[1]поточний ремонт'!AQ196</f>
        <v>0</v>
      </c>
      <c r="AR196" s="42">
        <f>'[2]поточний ремонт'!AR196+'[1]поточний ремонт'!AR196</f>
        <v>0</v>
      </c>
      <c r="AS196" s="5"/>
      <c r="AT196" s="42">
        <f>'[2]поточний ремонт'!AT196+'[1]поточний ремонт'!AT196</f>
        <v>0</v>
      </c>
      <c r="AU196" s="42">
        <f>'[2]поточний ремонт'!AU196+'[1]поточний ремонт'!AU196</f>
        <v>0</v>
      </c>
      <c r="AV196" s="5"/>
      <c r="AW196" s="42">
        <f>'[2]поточний ремонт'!AW196+'[1]поточний ремонт'!AW196</f>
        <v>0</v>
      </c>
      <c r="AX196" s="42">
        <f>'[2]поточний ремонт'!AX196+'[1]поточний ремонт'!AX196</f>
        <v>2151.8933368399998</v>
      </c>
      <c r="AY196" s="5"/>
      <c r="AZ196" s="42">
        <f t="shared" si="18"/>
        <v>0</v>
      </c>
      <c r="BA196" s="42">
        <f t="shared" si="19"/>
        <v>2151.8933368399998</v>
      </c>
      <c r="BB196" s="58">
        <f t="shared" si="20"/>
        <v>2151.8933368399998</v>
      </c>
      <c r="BD196" s="2">
        <v>3</v>
      </c>
      <c r="BF196" s="29">
        <v>0</v>
      </c>
      <c r="BG196" s="318">
        <v>150000763</v>
      </c>
      <c r="BI196" s="104">
        <v>0</v>
      </c>
      <c r="BJ196" s="104">
        <f t="shared" si="21"/>
        <v>0</v>
      </c>
      <c r="BK196" s="104">
        <v>0</v>
      </c>
      <c r="BL196" s="38"/>
      <c r="BM196" s="3"/>
      <c r="BN196" s="3">
        <v>0</v>
      </c>
      <c r="BP196" s="3"/>
      <c r="BQ196" s="3"/>
      <c r="BS196" s="42"/>
      <c r="BT196" s="42">
        <v>0</v>
      </c>
      <c r="BU196" s="958"/>
      <c r="BV196" s="41"/>
      <c r="BW196" s="42"/>
      <c r="BX196" s="36"/>
      <c r="BY196" s="76"/>
      <c r="BZ196" s="42">
        <v>0</v>
      </c>
      <c r="CA196" s="959"/>
      <c r="CB196" s="41"/>
      <c r="CC196" s="41">
        <v>0</v>
      </c>
      <c r="CD196" s="960"/>
      <c r="CE196" s="76">
        <v>0</v>
      </c>
      <c r="CF196" s="55"/>
      <c r="CG196" s="41">
        <v>0</v>
      </c>
      <c r="CH196" s="38">
        <v>0</v>
      </c>
      <c r="CI196" s="76">
        <v>0</v>
      </c>
      <c r="CJ196" s="55"/>
      <c r="CK196" s="955"/>
      <c r="CL196" s="950"/>
      <c r="CM196" s="955"/>
      <c r="CN196" s="950">
        <v>0</v>
      </c>
      <c r="CO196" s="76">
        <v>0</v>
      </c>
      <c r="CP196" s="42">
        <v>0</v>
      </c>
      <c r="CQ196" s="5"/>
      <c r="CR196" s="76">
        <v>0</v>
      </c>
      <c r="CS196" s="954">
        <v>0</v>
      </c>
      <c r="CT196" s="5"/>
      <c r="CU196" s="76">
        <v>0</v>
      </c>
      <c r="CV196" s="42">
        <v>0</v>
      </c>
      <c r="CW196" s="5"/>
      <c r="CX196" s="76">
        <v>0</v>
      </c>
      <c r="CY196" s="42">
        <v>0</v>
      </c>
      <c r="CZ196" s="5"/>
      <c r="DA196" s="76">
        <v>0</v>
      </c>
      <c r="DB196" s="42">
        <v>0</v>
      </c>
      <c r="DC196" s="5"/>
      <c r="DD196" s="76">
        <v>0</v>
      </c>
      <c r="DE196" s="42">
        <v>0</v>
      </c>
      <c r="DF196" s="5"/>
      <c r="DG196" s="76">
        <v>0</v>
      </c>
      <c r="DH196" s="42"/>
      <c r="DI196" s="5"/>
      <c r="DJ196" s="42">
        <v>0</v>
      </c>
      <c r="DK196" s="42">
        <f t="shared" si="22"/>
        <v>0</v>
      </c>
      <c r="DL196" s="58">
        <f t="shared" si="23"/>
        <v>0</v>
      </c>
      <c r="DM196" s="2">
        <v>3</v>
      </c>
    </row>
    <row r="197" spans="1:117" ht="24.9" customHeight="1" x14ac:dyDescent="0.3">
      <c r="A197" s="318">
        <v>150000764</v>
      </c>
      <c r="B197" s="44" t="s">
        <v>1830</v>
      </c>
      <c r="C197" s="956">
        <v>1</v>
      </c>
      <c r="D197" s="957" t="s">
        <v>454</v>
      </c>
      <c r="E197" s="949">
        <f>'побудинковий звіт'!E164</f>
        <v>2046.6999999999998</v>
      </c>
      <c r="F197" s="950">
        <f>'побудинковий звіт'!AS164</f>
        <v>27771.45627796137</v>
      </c>
      <c r="G197" s="950">
        <f t="shared" si="16"/>
        <v>0</v>
      </c>
      <c r="H197" s="950">
        <f t="shared" si="17"/>
        <v>-27771.45627796137</v>
      </c>
      <c r="I197" s="42">
        <f>'[2]поточний ремонт'!I197+'[1]поточний ремонт'!I197</f>
        <v>0</v>
      </c>
      <c r="J197" s="42">
        <f>'[2]поточний ремонт'!J197+'[1]поточний ремонт'!J197</f>
        <v>0</v>
      </c>
      <c r="K197" s="958"/>
      <c r="L197" s="42">
        <f>'[2]поточний ремонт'!L197+'[1]поточний ремонт'!L197</f>
        <v>0</v>
      </c>
      <c r="M197" s="42">
        <f>'[2]поточний ремонт'!M197+'[1]поточний ремонт'!M197</f>
        <v>0</v>
      </c>
      <c r="N197" s="36"/>
      <c r="O197" s="42">
        <f>'[2]поточний ремонт'!O197+'[1]поточний ремонт'!O197</f>
        <v>0</v>
      </c>
      <c r="P197" s="42">
        <f>'[2]поточний ремонт'!P197+'[1]поточний ремонт'!P197</f>
        <v>0</v>
      </c>
      <c r="Q197" s="959"/>
      <c r="R197" s="42">
        <f>'[2]поточний ремонт'!R197+'[1]поточний ремонт'!R197</f>
        <v>0</v>
      </c>
      <c r="S197" s="42">
        <f>'[2]поточний ремонт'!S197+'[1]поточний ремонт'!S197</f>
        <v>0</v>
      </c>
      <c r="T197" s="960"/>
      <c r="U197" s="42">
        <f>'[2]поточний ремонт'!U197+'[1]поточний ремонт'!U197</f>
        <v>0</v>
      </c>
      <c r="V197" s="42">
        <f>'[2]поточний ремонт'!V197+'[1]поточний ремонт'!V197</f>
        <v>0</v>
      </c>
      <c r="W197" s="42">
        <f>'[2]поточний ремонт'!W197+'[1]поточний ремонт'!W197</f>
        <v>0</v>
      </c>
      <c r="X197" s="42">
        <f>'[2]поточний ремонт'!X197+'[1]поточний ремонт'!X197</f>
        <v>0</v>
      </c>
      <c r="Y197" s="42">
        <f>'[2]поточний ремонт'!Y197+'[1]поточний ремонт'!Y197</f>
        <v>0</v>
      </c>
      <c r="Z197" s="42">
        <f>'[2]поточний ремонт'!Z197+'[1]поточний ремонт'!Z197</f>
        <v>0</v>
      </c>
      <c r="AA197" s="42">
        <f>'[2]поточний ремонт'!AA197+'[1]поточний ремонт'!AA197</f>
        <v>0</v>
      </c>
      <c r="AB197" s="42">
        <f>'[2]поточний ремонт'!AB197+'[1]поточний ремонт'!AB197</f>
        <v>0</v>
      </c>
      <c r="AC197" s="42">
        <f>'[2]поточний ремонт'!AC197+'[1]поточний ремонт'!AC197</f>
        <v>0</v>
      </c>
      <c r="AD197" s="42">
        <f>'[2]поточний ремонт'!AD197+'[1]поточний ремонт'!AD197</f>
        <v>0</v>
      </c>
      <c r="AE197" s="42">
        <f>'[2]поточний ремонт'!AE197+'[1]поточний ремонт'!AE197</f>
        <v>0</v>
      </c>
      <c r="AF197" s="42">
        <f>'[2]поточний ремонт'!AF197+'[1]поточний ремонт'!AF197</f>
        <v>0</v>
      </c>
      <c r="AG197" s="5"/>
      <c r="AH197" s="42">
        <f>'[2]поточний ремонт'!AH197+'[1]поточний ремонт'!AH197</f>
        <v>0</v>
      </c>
      <c r="AI197" s="42">
        <f>'[2]поточний ремонт'!AI197+'[1]поточний ремонт'!AI197</f>
        <v>0</v>
      </c>
      <c r="AJ197" s="5"/>
      <c r="AK197" s="42">
        <f>'[2]поточний ремонт'!AK197+'[1]поточний ремонт'!AK197</f>
        <v>0</v>
      </c>
      <c r="AL197" s="42">
        <f>'[2]поточний ремонт'!AL197+'[1]поточний ремонт'!AL197</f>
        <v>0</v>
      </c>
      <c r="AM197" s="5"/>
      <c r="AN197" s="42">
        <f>'[2]поточний ремонт'!AN197+'[1]поточний ремонт'!AN197</f>
        <v>0</v>
      </c>
      <c r="AO197" s="42">
        <f>'[2]поточний ремонт'!AO197+'[1]поточний ремонт'!AO197</f>
        <v>0</v>
      </c>
      <c r="AP197" s="5"/>
      <c r="AQ197" s="42">
        <f>'[2]поточний ремонт'!AQ197+'[1]поточний ремонт'!AQ197</f>
        <v>0</v>
      </c>
      <c r="AR197" s="42">
        <f>'[2]поточний ремонт'!AR197+'[1]поточний ремонт'!AR197</f>
        <v>0</v>
      </c>
      <c r="AS197" s="5"/>
      <c r="AT197" s="42">
        <f>'[2]поточний ремонт'!AT197+'[1]поточний ремонт'!AT197</f>
        <v>0</v>
      </c>
      <c r="AU197" s="42">
        <f>'[2]поточний ремонт'!AU197+'[1]поточний ремонт'!AU197</f>
        <v>0</v>
      </c>
      <c r="AV197" s="5"/>
      <c r="AW197" s="42">
        <f>'[2]поточний ремонт'!AW197+'[1]поточний ремонт'!AW197</f>
        <v>0</v>
      </c>
      <c r="AX197" s="42">
        <f>'[2]поточний ремонт'!AX197+'[1]поточний ремонт'!AX197</f>
        <v>2517.3930311200002</v>
      </c>
      <c r="AY197" s="5"/>
      <c r="AZ197" s="42">
        <f t="shared" si="18"/>
        <v>0</v>
      </c>
      <c r="BA197" s="42">
        <f t="shared" si="19"/>
        <v>2517.3930311200002</v>
      </c>
      <c r="BB197" s="58">
        <f t="shared" si="20"/>
        <v>2517.3930311200002</v>
      </c>
      <c r="BD197" s="2">
        <v>3</v>
      </c>
      <c r="BF197" s="29">
        <v>0</v>
      </c>
      <c r="BG197" s="318">
        <v>150000764</v>
      </c>
      <c r="BI197" s="104">
        <v>0</v>
      </c>
      <c r="BJ197" s="104">
        <f t="shared" si="21"/>
        <v>0</v>
      </c>
      <c r="BK197" s="104">
        <v>0</v>
      </c>
      <c r="BL197" s="38"/>
      <c r="BM197" s="3"/>
      <c r="BN197" s="3">
        <v>0</v>
      </c>
      <c r="BP197" s="3"/>
      <c r="BQ197" s="3"/>
      <c r="BS197" s="42"/>
      <c r="BT197" s="42">
        <v>0</v>
      </c>
      <c r="BU197" s="958"/>
      <c r="BV197" s="41"/>
      <c r="BW197" s="42"/>
      <c r="BX197" s="36"/>
      <c r="BY197" s="76"/>
      <c r="BZ197" s="42">
        <v>0</v>
      </c>
      <c r="CA197" s="959"/>
      <c r="CB197" s="41"/>
      <c r="CC197" s="41">
        <v>0</v>
      </c>
      <c r="CD197" s="960"/>
      <c r="CE197" s="76">
        <v>0</v>
      </c>
      <c r="CF197" s="55"/>
      <c r="CG197" s="41">
        <v>0</v>
      </c>
      <c r="CH197" s="38">
        <v>0</v>
      </c>
      <c r="CI197" s="76">
        <v>0</v>
      </c>
      <c r="CJ197" s="55"/>
      <c r="CK197" s="955"/>
      <c r="CL197" s="950"/>
      <c r="CM197" s="955"/>
      <c r="CN197" s="950">
        <v>0</v>
      </c>
      <c r="CO197" s="76">
        <v>0</v>
      </c>
      <c r="CP197" s="42">
        <v>0</v>
      </c>
      <c r="CQ197" s="5"/>
      <c r="CR197" s="76">
        <v>0</v>
      </c>
      <c r="CS197" s="954">
        <v>0</v>
      </c>
      <c r="CT197" s="5"/>
      <c r="CU197" s="76">
        <v>0</v>
      </c>
      <c r="CV197" s="42">
        <v>0</v>
      </c>
      <c r="CW197" s="5"/>
      <c r="CX197" s="76">
        <v>0</v>
      </c>
      <c r="CY197" s="42">
        <v>0</v>
      </c>
      <c r="CZ197" s="5"/>
      <c r="DA197" s="76">
        <v>0</v>
      </c>
      <c r="DB197" s="42">
        <v>0</v>
      </c>
      <c r="DC197" s="5"/>
      <c r="DD197" s="76">
        <v>0</v>
      </c>
      <c r="DE197" s="42">
        <v>0</v>
      </c>
      <c r="DF197" s="5"/>
      <c r="DG197" s="76">
        <v>0</v>
      </c>
      <c r="DH197" s="42"/>
      <c r="DI197" s="5"/>
      <c r="DJ197" s="42">
        <v>0</v>
      </c>
      <c r="DK197" s="42">
        <f t="shared" si="22"/>
        <v>0</v>
      </c>
      <c r="DL197" s="58">
        <f t="shared" si="23"/>
        <v>0</v>
      </c>
      <c r="DM197" s="2">
        <v>3</v>
      </c>
    </row>
    <row r="198" spans="1:117" ht="24.9" customHeight="1" x14ac:dyDescent="0.3">
      <c r="A198" s="318">
        <v>150000770</v>
      </c>
      <c r="B198" s="44" t="s">
        <v>1831</v>
      </c>
      <c r="C198" s="956">
        <v>1</v>
      </c>
      <c r="D198" s="957" t="s">
        <v>454</v>
      </c>
      <c r="E198" s="949">
        <f>'побудинковий звіт'!E165</f>
        <v>2824.49</v>
      </c>
      <c r="F198" s="950">
        <f>'побудинковий звіт'!AS165</f>
        <v>39664.996473227155</v>
      </c>
      <c r="G198" s="950">
        <f t="shared" si="16"/>
        <v>0</v>
      </c>
      <c r="H198" s="950">
        <f t="shared" si="17"/>
        <v>-39664.996473227155</v>
      </c>
      <c r="I198" s="42">
        <f>'[2]поточний ремонт'!I198+'[1]поточний ремонт'!I198</f>
        <v>0</v>
      </c>
      <c r="J198" s="42">
        <f>'[2]поточний ремонт'!J198+'[1]поточний ремонт'!J198</f>
        <v>0</v>
      </c>
      <c r="K198" s="958"/>
      <c r="L198" s="42">
        <f>'[2]поточний ремонт'!L198+'[1]поточний ремонт'!L198</f>
        <v>0</v>
      </c>
      <c r="M198" s="42">
        <f>'[2]поточний ремонт'!M198+'[1]поточний ремонт'!M198</f>
        <v>0</v>
      </c>
      <c r="N198" s="36"/>
      <c r="O198" s="42">
        <f>'[2]поточний ремонт'!O198+'[1]поточний ремонт'!O198</f>
        <v>0</v>
      </c>
      <c r="P198" s="42">
        <f>'[2]поточний ремонт'!P198+'[1]поточний ремонт'!P198</f>
        <v>0</v>
      </c>
      <c r="Q198" s="959"/>
      <c r="R198" s="42">
        <f>'[2]поточний ремонт'!R198+'[1]поточний ремонт'!R198</f>
        <v>0</v>
      </c>
      <c r="S198" s="42">
        <f>'[2]поточний ремонт'!S198+'[1]поточний ремонт'!S198</f>
        <v>0</v>
      </c>
      <c r="T198" s="960"/>
      <c r="U198" s="42">
        <f>'[2]поточний ремонт'!U198+'[1]поточний ремонт'!U198</f>
        <v>0</v>
      </c>
      <c r="V198" s="42">
        <f>'[2]поточний ремонт'!V198+'[1]поточний ремонт'!V198</f>
        <v>0</v>
      </c>
      <c r="W198" s="42">
        <f>'[2]поточний ремонт'!W198+'[1]поточний ремонт'!W198</f>
        <v>0</v>
      </c>
      <c r="X198" s="42">
        <f>'[2]поточний ремонт'!X198+'[1]поточний ремонт'!X198</f>
        <v>0</v>
      </c>
      <c r="Y198" s="42">
        <f>'[2]поточний ремонт'!Y198+'[1]поточний ремонт'!Y198</f>
        <v>0</v>
      </c>
      <c r="Z198" s="42">
        <f>'[2]поточний ремонт'!Z198+'[1]поточний ремонт'!Z198</f>
        <v>0</v>
      </c>
      <c r="AA198" s="42">
        <f>'[2]поточний ремонт'!AA198+'[1]поточний ремонт'!AA198</f>
        <v>0</v>
      </c>
      <c r="AB198" s="42">
        <f>'[2]поточний ремонт'!AB198+'[1]поточний ремонт'!AB198</f>
        <v>0</v>
      </c>
      <c r="AC198" s="42">
        <f>'[2]поточний ремонт'!AC198+'[1]поточний ремонт'!AC198</f>
        <v>0</v>
      </c>
      <c r="AD198" s="42">
        <f>'[2]поточний ремонт'!AD198+'[1]поточний ремонт'!AD198</f>
        <v>0</v>
      </c>
      <c r="AE198" s="42">
        <f>'[2]поточний ремонт'!AE198+'[1]поточний ремонт'!AE198</f>
        <v>0</v>
      </c>
      <c r="AF198" s="42">
        <f>'[2]поточний ремонт'!AF198+'[1]поточний ремонт'!AF198</f>
        <v>0</v>
      </c>
      <c r="AG198" s="5"/>
      <c r="AH198" s="42">
        <f>'[2]поточний ремонт'!AH198+'[1]поточний ремонт'!AH198</f>
        <v>0</v>
      </c>
      <c r="AI198" s="42">
        <f>'[2]поточний ремонт'!AI198+'[1]поточний ремонт'!AI198</f>
        <v>0</v>
      </c>
      <c r="AJ198" s="5"/>
      <c r="AK198" s="42">
        <f>'[2]поточний ремонт'!AK198+'[1]поточний ремонт'!AK198</f>
        <v>0</v>
      </c>
      <c r="AL198" s="42">
        <f>'[2]поточний ремонт'!AL198+'[1]поточний ремонт'!AL198</f>
        <v>0</v>
      </c>
      <c r="AM198" s="5"/>
      <c r="AN198" s="42">
        <f>'[2]поточний ремонт'!AN198+'[1]поточний ремонт'!AN198</f>
        <v>0</v>
      </c>
      <c r="AO198" s="42">
        <f>'[2]поточний ремонт'!AO198+'[1]поточний ремонт'!AO198</f>
        <v>0</v>
      </c>
      <c r="AP198" s="5"/>
      <c r="AQ198" s="42">
        <f>'[2]поточний ремонт'!AQ198+'[1]поточний ремонт'!AQ198</f>
        <v>0</v>
      </c>
      <c r="AR198" s="42">
        <f>'[2]поточний ремонт'!AR198+'[1]поточний ремонт'!AR198</f>
        <v>0</v>
      </c>
      <c r="AS198" s="5"/>
      <c r="AT198" s="42">
        <f>'[2]поточний ремонт'!AT198+'[1]поточний ремонт'!AT198</f>
        <v>0</v>
      </c>
      <c r="AU198" s="42">
        <f>'[2]поточний ремонт'!AU198+'[1]поточний ремонт'!AU198</f>
        <v>0</v>
      </c>
      <c r="AV198" s="5"/>
      <c r="AW198" s="42">
        <f>'[2]поточний ремонт'!AW198+'[1]поточний ремонт'!AW198</f>
        <v>0</v>
      </c>
      <c r="AX198" s="42">
        <f>'[2]поточний ремонт'!AX198+'[1]поточний ремонт'!AX198</f>
        <v>974.29553764000002</v>
      </c>
      <c r="AY198" s="5"/>
      <c r="AZ198" s="42">
        <f t="shared" si="18"/>
        <v>0</v>
      </c>
      <c r="BA198" s="42">
        <f t="shared" si="19"/>
        <v>974.29553764000002</v>
      </c>
      <c r="BB198" s="58">
        <f t="shared" si="20"/>
        <v>974.29553764000002</v>
      </c>
      <c r="BD198" s="2">
        <v>3</v>
      </c>
      <c r="BF198" s="29">
        <v>0</v>
      </c>
      <c r="BG198" s="318">
        <v>150000770</v>
      </c>
      <c r="BI198" s="104">
        <v>0</v>
      </c>
      <c r="BJ198" s="104">
        <f t="shared" si="21"/>
        <v>0</v>
      </c>
      <c r="BK198" s="104">
        <v>0</v>
      </c>
      <c r="BL198" s="38"/>
      <c r="BM198" s="3"/>
      <c r="BN198" s="3">
        <v>0</v>
      </c>
      <c r="BP198" s="3"/>
      <c r="BQ198" s="3"/>
      <c r="BS198" s="42"/>
      <c r="BT198" s="42">
        <v>0</v>
      </c>
      <c r="BU198" s="958"/>
      <c r="BV198" s="41"/>
      <c r="BW198" s="42"/>
      <c r="BX198" s="36"/>
      <c r="BY198" s="76"/>
      <c r="BZ198" s="42">
        <v>0</v>
      </c>
      <c r="CA198" s="959"/>
      <c r="CB198" s="41"/>
      <c r="CC198" s="41">
        <v>0</v>
      </c>
      <c r="CD198" s="960"/>
      <c r="CE198" s="76">
        <v>0</v>
      </c>
      <c r="CF198" s="55"/>
      <c r="CG198" s="41">
        <v>0</v>
      </c>
      <c r="CH198" s="38">
        <v>0</v>
      </c>
      <c r="CI198" s="76">
        <v>0</v>
      </c>
      <c r="CJ198" s="55"/>
      <c r="CK198" s="955"/>
      <c r="CL198" s="950"/>
      <c r="CM198" s="955"/>
      <c r="CN198" s="950">
        <v>0</v>
      </c>
      <c r="CO198" s="76">
        <v>0</v>
      </c>
      <c r="CP198" s="42">
        <v>0</v>
      </c>
      <c r="CQ198" s="5"/>
      <c r="CR198" s="76">
        <v>0</v>
      </c>
      <c r="CS198" s="954">
        <v>0</v>
      </c>
      <c r="CT198" s="5"/>
      <c r="CU198" s="76">
        <v>0</v>
      </c>
      <c r="CV198" s="42">
        <v>0</v>
      </c>
      <c r="CW198" s="5"/>
      <c r="CX198" s="76">
        <v>0</v>
      </c>
      <c r="CY198" s="42">
        <v>0</v>
      </c>
      <c r="CZ198" s="5"/>
      <c r="DA198" s="76">
        <v>0</v>
      </c>
      <c r="DB198" s="42">
        <v>0</v>
      </c>
      <c r="DC198" s="5"/>
      <c r="DD198" s="76">
        <v>0</v>
      </c>
      <c r="DE198" s="42">
        <v>0</v>
      </c>
      <c r="DF198" s="5"/>
      <c r="DG198" s="76">
        <v>0</v>
      </c>
      <c r="DH198" s="42"/>
      <c r="DI198" s="5"/>
      <c r="DJ198" s="42">
        <v>0</v>
      </c>
      <c r="DK198" s="42">
        <f t="shared" si="22"/>
        <v>0</v>
      </c>
      <c r="DL198" s="58">
        <f t="shared" si="23"/>
        <v>0</v>
      </c>
      <c r="DM198" s="2">
        <v>3</v>
      </c>
    </row>
    <row r="199" spans="1:117" ht="24.9" customHeight="1" x14ac:dyDescent="0.3">
      <c r="A199" s="318">
        <v>150000777</v>
      </c>
      <c r="B199" s="44" t="s">
        <v>1832</v>
      </c>
      <c r="C199" s="956">
        <v>2</v>
      </c>
      <c r="D199" s="957" t="s">
        <v>454</v>
      </c>
      <c r="E199" s="949">
        <f>'побудинковий звіт'!E166</f>
        <v>6924.5</v>
      </c>
      <c r="F199" s="950">
        <f>'побудинковий звіт'!AS166</f>
        <v>108514.22626852941</v>
      </c>
      <c r="G199" s="950">
        <f t="shared" si="16"/>
        <v>3739</v>
      </c>
      <c r="H199" s="950">
        <f t="shared" si="17"/>
        <v>-104775.22626852941</v>
      </c>
      <c r="I199" s="42">
        <f>'[2]поточний ремонт'!I199+'[1]поточний ремонт'!I199</f>
        <v>15.2</v>
      </c>
      <c r="J199" s="42">
        <f>'[2]поточний ремонт'!J199+'[1]поточний ремонт'!J199</f>
        <v>3739</v>
      </c>
      <c r="K199" s="958"/>
      <c r="L199" s="42">
        <f>'[2]поточний ремонт'!L199+'[1]поточний ремонт'!L199</f>
        <v>0</v>
      </c>
      <c r="M199" s="42">
        <f>'[2]поточний ремонт'!M199+'[1]поточний ремонт'!M199</f>
        <v>0</v>
      </c>
      <c r="N199" s="36"/>
      <c r="O199" s="42">
        <f>'[2]поточний ремонт'!O199+'[1]поточний ремонт'!O199</f>
        <v>0</v>
      </c>
      <c r="P199" s="42">
        <f>'[2]поточний ремонт'!P199+'[1]поточний ремонт'!P199</f>
        <v>0</v>
      </c>
      <c r="Q199" s="959"/>
      <c r="R199" s="42">
        <f>'[2]поточний ремонт'!R199+'[1]поточний ремонт'!R199</f>
        <v>0</v>
      </c>
      <c r="S199" s="42">
        <f>'[2]поточний ремонт'!S199+'[1]поточний ремонт'!S199</f>
        <v>0</v>
      </c>
      <c r="T199" s="960"/>
      <c r="U199" s="42">
        <f>'[2]поточний ремонт'!U199+'[1]поточний ремонт'!U199</f>
        <v>0</v>
      </c>
      <c r="V199" s="42">
        <f>'[2]поточний ремонт'!V199+'[1]поточний ремонт'!V199</f>
        <v>0</v>
      </c>
      <c r="W199" s="42">
        <f>'[2]поточний ремонт'!W199+'[1]поточний ремонт'!W199</f>
        <v>0</v>
      </c>
      <c r="X199" s="42">
        <f>'[2]поточний ремонт'!X199+'[1]поточний ремонт'!X199</f>
        <v>0</v>
      </c>
      <c r="Y199" s="42">
        <f>'[2]поточний ремонт'!Y199+'[1]поточний ремонт'!Y199</f>
        <v>0</v>
      </c>
      <c r="Z199" s="42">
        <f>'[2]поточний ремонт'!Z199+'[1]поточний ремонт'!Z199</f>
        <v>0</v>
      </c>
      <c r="AA199" s="42">
        <f>'[2]поточний ремонт'!AA199+'[1]поточний ремонт'!AA199</f>
        <v>0</v>
      </c>
      <c r="AB199" s="42">
        <f>'[2]поточний ремонт'!AB199+'[1]поточний ремонт'!AB199</f>
        <v>0</v>
      </c>
      <c r="AC199" s="42">
        <f>'[2]поточний ремонт'!AC199+'[1]поточний ремонт'!AC199</f>
        <v>0</v>
      </c>
      <c r="AD199" s="42">
        <f>'[2]поточний ремонт'!AD199+'[1]поточний ремонт'!AD199</f>
        <v>0</v>
      </c>
      <c r="AE199" s="42">
        <f>'[2]поточний ремонт'!AE199+'[1]поточний ремонт'!AE199</f>
        <v>290.21066417456052</v>
      </c>
      <c r="AF199" s="42">
        <f>'[2]поточний ремонт'!AF199+'[1]поточний ремонт'!AF199</f>
        <v>0</v>
      </c>
      <c r="AG199" s="5"/>
      <c r="AH199" s="42">
        <f>'[2]поточний ремонт'!AH199+'[1]поточний ремонт'!AH199</f>
        <v>280.40349409884016</v>
      </c>
      <c r="AI199" s="42">
        <f>'[2]поточний ремонт'!AI199+'[1]поточний ремонт'!AI199</f>
        <v>0</v>
      </c>
      <c r="AJ199" s="5"/>
      <c r="AK199" s="42">
        <f>'[2]поточний ремонт'!AK199+'[1]поточний ремонт'!AK199</f>
        <v>170.45365308988062</v>
      </c>
      <c r="AL199" s="42">
        <f>'[2]поточний ремонт'!AL199+'[1]поточний ремонт'!AL199</f>
        <v>0</v>
      </c>
      <c r="AM199" s="5"/>
      <c r="AN199" s="42">
        <f>'[2]поточний ремонт'!AN199+'[1]поточний ремонт'!AN199</f>
        <v>151.87188439708609</v>
      </c>
      <c r="AO199" s="42">
        <f>'[2]поточний ремонт'!AO199+'[1]поточний ремонт'!AO199</f>
        <v>0</v>
      </c>
      <c r="AP199" s="5"/>
      <c r="AQ199" s="42">
        <f>'[2]поточний ремонт'!AQ199+'[1]поточний ремонт'!AQ199</f>
        <v>0</v>
      </c>
      <c r="AR199" s="42">
        <f>'[2]поточний ремонт'!AR199+'[1]поточний ремонт'!AR199</f>
        <v>0</v>
      </c>
      <c r="AS199" s="5"/>
      <c r="AT199" s="42">
        <f>'[2]поточний ремонт'!AT199+'[1]поточний ремонт'!AT199</f>
        <v>115.56013181028452</v>
      </c>
      <c r="AU199" s="42">
        <f>'[2]поточний ремонт'!AU199+'[1]поточний ремонт'!AU199</f>
        <v>0</v>
      </c>
      <c r="AV199" s="5"/>
      <c r="AW199" s="42">
        <f>'[2]поточний ремонт'!AW199+'[1]поточний ремонт'!AW199</f>
        <v>15.685434319842152</v>
      </c>
      <c r="AX199" s="42">
        <f>'[2]поточний ремонт'!AX199+'[1]поточний ремонт'!AX199</f>
        <v>1781.94987728</v>
      </c>
      <c r="AY199" s="5"/>
      <c r="AZ199" s="42">
        <f t="shared" si="18"/>
        <v>1024.1852618904941</v>
      </c>
      <c r="BA199" s="42">
        <f t="shared" si="19"/>
        <v>1781.94987728</v>
      </c>
      <c r="BB199" s="58">
        <f t="shared" si="20"/>
        <v>757.76461538950593</v>
      </c>
      <c r="BD199" s="2">
        <v>3</v>
      </c>
      <c r="BF199" s="29">
        <v>29.377543560143863</v>
      </c>
      <c r="BG199" s="318">
        <v>150000777</v>
      </c>
      <c r="BI199" s="104">
        <v>0</v>
      </c>
      <c r="BJ199" s="104">
        <f t="shared" si="21"/>
        <v>0</v>
      </c>
      <c r="BK199" s="104">
        <v>0</v>
      </c>
      <c r="BL199" s="38"/>
      <c r="BM199" s="3"/>
      <c r="BN199" s="3">
        <v>0</v>
      </c>
      <c r="BP199" s="3"/>
      <c r="BQ199" s="3"/>
      <c r="BS199" s="42"/>
      <c r="BT199" s="42">
        <v>0</v>
      </c>
      <c r="BU199" s="958"/>
      <c r="BV199" s="41"/>
      <c r="BW199" s="42"/>
      <c r="BX199" s="36"/>
      <c r="BY199" s="76"/>
      <c r="BZ199" s="42">
        <v>0</v>
      </c>
      <c r="CA199" s="959"/>
      <c r="CB199" s="41"/>
      <c r="CC199" s="41">
        <v>0</v>
      </c>
      <c r="CD199" s="960"/>
      <c r="CE199" s="76">
        <v>0</v>
      </c>
      <c r="CF199" s="55"/>
      <c r="CG199" s="41">
        <v>0</v>
      </c>
      <c r="CH199" s="38">
        <v>0</v>
      </c>
      <c r="CI199" s="76">
        <v>0</v>
      </c>
      <c r="CJ199" s="55"/>
      <c r="CK199" s="955"/>
      <c r="CL199" s="950"/>
      <c r="CM199" s="955"/>
      <c r="CN199" s="950">
        <v>0</v>
      </c>
      <c r="CO199" s="76">
        <v>23.034329856202049</v>
      </c>
      <c r="CP199" s="42">
        <v>0</v>
      </c>
      <c r="CQ199" s="5"/>
      <c r="CR199" s="76">
        <v>24.462986820579289</v>
      </c>
      <c r="CS199" s="954">
        <v>0</v>
      </c>
      <c r="CT199" s="5"/>
      <c r="CU199" s="76">
        <v>11.156848760464133</v>
      </c>
      <c r="CV199" s="42">
        <v>0</v>
      </c>
      <c r="CW199" s="5"/>
      <c r="CX199" s="76">
        <v>14.32947846687793</v>
      </c>
      <c r="CY199" s="42">
        <v>0</v>
      </c>
      <c r="CZ199" s="5"/>
      <c r="DA199" s="76">
        <v>0</v>
      </c>
      <c r="DB199" s="42">
        <v>0</v>
      </c>
      <c r="DC199" s="5"/>
      <c r="DD199" s="76">
        <v>6.5290204978108486</v>
      </c>
      <c r="DE199" s="42">
        <v>0</v>
      </c>
      <c r="DF199" s="5"/>
      <c r="DG199" s="76">
        <v>0</v>
      </c>
      <c r="DH199" s="42"/>
      <c r="DI199" s="5"/>
      <c r="DJ199" s="42">
        <v>79.512664401934245</v>
      </c>
      <c r="DK199" s="42">
        <f t="shared" si="22"/>
        <v>0</v>
      </c>
      <c r="DL199" s="58">
        <f t="shared" si="23"/>
        <v>-79.512664401934245</v>
      </c>
      <c r="DM199" s="2">
        <v>3</v>
      </c>
    </row>
    <row r="200" spans="1:117" ht="24.9" customHeight="1" x14ac:dyDescent="0.3">
      <c r="A200" s="318">
        <v>150000765</v>
      </c>
      <c r="B200" s="44" t="s">
        <v>1833</v>
      </c>
      <c r="C200" s="956">
        <v>5</v>
      </c>
      <c r="D200" s="957" t="s">
        <v>454</v>
      </c>
      <c r="E200" s="949">
        <f>'побудинковий звіт'!E167</f>
        <v>320.5</v>
      </c>
      <c r="F200" s="950">
        <f>'побудинковий звіт'!AS167</f>
        <v>3754.264078274502</v>
      </c>
      <c r="G200" s="950">
        <f t="shared" si="16"/>
        <v>13315.043634481894</v>
      </c>
      <c r="H200" s="950">
        <f t="shared" si="17"/>
        <v>9560.7795562073916</v>
      </c>
      <c r="I200" s="42">
        <f>'[2]поточний ремонт'!I200+'[1]поточний ремонт'!I200</f>
        <v>0</v>
      </c>
      <c r="J200" s="42">
        <f>'[2]поточний ремонт'!J200+'[1]поточний ремонт'!J200</f>
        <v>0</v>
      </c>
      <c r="K200" s="962"/>
      <c r="L200" s="42">
        <f>'[2]поточний ремонт'!L200+'[1]поточний ремонт'!L200</f>
        <v>0</v>
      </c>
      <c r="M200" s="42">
        <f>'[2]поточний ремонт'!M200+'[1]поточний ремонт'!M200</f>
        <v>0</v>
      </c>
      <c r="N200" s="36"/>
      <c r="O200" s="42">
        <f>'[2]поточний ремонт'!O200+'[1]поточний ремонт'!O200</f>
        <v>0</v>
      </c>
      <c r="P200" s="42">
        <f>'[2]поточний ремонт'!P200+'[1]поточний ремонт'!P200</f>
        <v>0</v>
      </c>
      <c r="Q200" s="959"/>
      <c r="R200" s="42">
        <f>'[2]поточний ремонт'!R200+'[1]поточний ремонт'!R200</f>
        <v>0</v>
      </c>
      <c r="S200" s="42">
        <f>'[2]поточний ремонт'!S200+'[1]поточний ремонт'!S200</f>
        <v>0</v>
      </c>
      <c r="T200" s="960"/>
      <c r="U200" s="42">
        <f>'[2]поточний ремонт'!U200+'[1]поточний ремонт'!U200</f>
        <v>0</v>
      </c>
      <c r="V200" s="42">
        <f>'[2]поточний ремонт'!V200+'[1]поточний ремонт'!V200</f>
        <v>0</v>
      </c>
      <c r="W200" s="42">
        <f>'[2]поточний ремонт'!W200+'[1]поточний ремонт'!W200</f>
        <v>0</v>
      </c>
      <c r="X200" s="42">
        <f>'[2]поточний ремонт'!X200+'[1]поточний ремонт'!X200</f>
        <v>1314.5640342700071</v>
      </c>
      <c r="Y200" s="42">
        <f>'[2]поточний ремонт'!Y200+'[1]поточний ремонт'!Y200</f>
        <v>1055.6706979051455</v>
      </c>
      <c r="Z200" s="42">
        <f>'[2]поточний ремонт'!Z200+'[1]поточний ремонт'!Z200</f>
        <v>0</v>
      </c>
      <c r="AA200" s="42">
        <f>'[2]поточний ремонт'!AA200+'[1]поточний ремонт'!AA200</f>
        <v>0</v>
      </c>
      <c r="AB200" s="42">
        <f>'[2]поточний ремонт'!AB200+'[1]поточний ремонт'!AB200</f>
        <v>5086.3934231262538</v>
      </c>
      <c r="AC200" s="42">
        <f>'[2]поточний ремонт'!AC200+'[1]поточний ремонт'!AC200</f>
        <v>1602.4289093822092</v>
      </c>
      <c r="AD200" s="42">
        <f>'[2]поточний ремонт'!AD200+'[1]поточний ремонт'!AD200</f>
        <v>4255.9865697982768</v>
      </c>
      <c r="AE200" s="42">
        <f>'[2]поточний ремонт'!AE200+'[1]поточний ремонт'!AE200</f>
        <v>2693.8686352983668</v>
      </c>
      <c r="AF200" s="42">
        <f>'[2]поточний ремонт'!AF200+'[1]поточний ремонт'!AF200</f>
        <v>341.33937713576938</v>
      </c>
      <c r="AG200" s="5"/>
      <c r="AH200" s="42">
        <f>'[2]поточний ремонт'!AH200+'[1]поточний ремонт'!AH200</f>
        <v>4613.131437911632</v>
      </c>
      <c r="AI200" s="42">
        <f>'[2]поточний ремонт'!AI200+'[1]поточний ремонт'!AI200</f>
        <v>0</v>
      </c>
      <c r="AJ200" s="5"/>
      <c r="AK200" s="42">
        <f>'[2]поточний ремонт'!AK200+'[1]поточний ремонт'!AK200</f>
        <v>3904.704508074205</v>
      </c>
      <c r="AL200" s="42">
        <f>'[2]поточний ремонт'!AL200+'[1]поточний ремонт'!AL200</f>
        <v>654.85420560556304</v>
      </c>
      <c r="AM200" s="5"/>
      <c r="AN200" s="42">
        <f>'[2]поточний ремонт'!AN200+'[1]поточний ремонт'!AN200</f>
        <v>0</v>
      </c>
      <c r="AO200" s="42">
        <f>'[2]поточний ремонт'!AO200+'[1]поточний ремонт'!AO200</f>
        <v>0</v>
      </c>
      <c r="AP200" s="5"/>
      <c r="AQ200" s="42">
        <f>'[2]поточний ремонт'!AQ200+'[1]поточний ремонт'!AQ200</f>
        <v>1239.432440639961</v>
      </c>
      <c r="AR200" s="42">
        <f>'[2]поточний ремонт'!AR200+'[1]поточний ремонт'!AR200</f>
        <v>0</v>
      </c>
      <c r="AS200" s="5"/>
      <c r="AT200" s="42">
        <f>'[2]поточний ремонт'!AT200+'[1]поточний ремонт'!AT200</f>
        <v>2352.2922391059474</v>
      </c>
      <c r="AU200" s="42">
        <f>'[2]поточний ремонт'!AU200+'[1]поточний ремонт'!AU200</f>
        <v>0</v>
      </c>
      <c r="AV200" s="5"/>
      <c r="AW200" s="42">
        <f>'[2]поточний ремонт'!AW200+'[1]поточний ремонт'!AW200</f>
        <v>50.444356772612366</v>
      </c>
      <c r="AX200" s="42">
        <f>'[2]поточний ремонт'!AX200+'[1]поточний ремонт'!AX200</f>
        <v>0</v>
      </c>
      <c r="AY200" s="5"/>
      <c r="AZ200" s="42">
        <f t="shared" si="18"/>
        <v>14853.873617802725</v>
      </c>
      <c r="BA200" s="42">
        <f t="shared" si="19"/>
        <v>996.19358274133242</v>
      </c>
      <c r="BB200" s="58">
        <f t="shared" si="20"/>
        <v>-13857.680035061392</v>
      </c>
      <c r="BD200" s="2">
        <v>2</v>
      </c>
      <c r="BF200" s="29">
        <v>6.6070202569310714</v>
      </c>
      <c r="BG200" s="318">
        <v>150000765</v>
      </c>
      <c r="BI200" s="104">
        <v>66.5</v>
      </c>
      <c r="BJ200" s="104">
        <f t="shared" si="21"/>
        <v>9.3540362999999989</v>
      </c>
      <c r="BK200" s="104">
        <v>76.693505434000002</v>
      </c>
      <c r="BL200" s="38"/>
      <c r="BM200" s="3"/>
      <c r="BN200" s="3">
        <v>0</v>
      </c>
      <c r="BP200" s="3"/>
      <c r="BQ200" s="3"/>
      <c r="BS200" s="42"/>
      <c r="BT200" s="42">
        <v>0</v>
      </c>
      <c r="BU200" s="962"/>
      <c r="BV200" s="41"/>
      <c r="BW200" s="42"/>
      <c r="BX200" s="36"/>
      <c r="BY200" s="76"/>
      <c r="BZ200" s="42">
        <v>0</v>
      </c>
      <c r="CA200" s="959"/>
      <c r="CB200" s="41"/>
      <c r="CC200" s="41">
        <v>0</v>
      </c>
      <c r="CD200" s="960"/>
      <c r="CE200" s="76">
        <v>0</v>
      </c>
      <c r="CF200" s="55"/>
      <c r="CG200" s="41">
        <v>0</v>
      </c>
      <c r="CH200" s="38">
        <v>76.693505434000002</v>
      </c>
      <c r="CI200" s="76">
        <v>1054.2373736551594</v>
      </c>
      <c r="CJ200" s="55"/>
      <c r="CK200" s="955"/>
      <c r="CL200" s="950"/>
      <c r="CM200" s="955"/>
      <c r="CN200" s="950">
        <v>0</v>
      </c>
      <c r="CO200" s="76">
        <v>215.04580693729167</v>
      </c>
      <c r="CP200" s="42">
        <v>0</v>
      </c>
      <c r="CQ200" s="5"/>
      <c r="CR200" s="76">
        <v>352.43147208077619</v>
      </c>
      <c r="CS200" s="954">
        <v>0</v>
      </c>
      <c r="CT200" s="5"/>
      <c r="CU200" s="76">
        <v>304.78845080212869</v>
      </c>
      <c r="CV200" s="42">
        <v>0</v>
      </c>
      <c r="CW200" s="5"/>
      <c r="CX200" s="76">
        <v>0</v>
      </c>
      <c r="CY200" s="42">
        <v>0</v>
      </c>
      <c r="CZ200" s="5"/>
      <c r="DA200" s="76">
        <v>109.43236141333836</v>
      </c>
      <c r="DB200" s="42">
        <v>0</v>
      </c>
      <c r="DC200" s="5"/>
      <c r="DD200" s="76">
        <v>143.40422235958118</v>
      </c>
      <c r="DE200" s="42">
        <v>0</v>
      </c>
      <c r="DF200" s="5"/>
      <c r="DG200" s="76">
        <v>0</v>
      </c>
      <c r="DH200" s="42"/>
      <c r="DI200" s="5"/>
      <c r="DJ200" s="42">
        <v>1125.1023135931162</v>
      </c>
      <c r="DK200" s="42">
        <f t="shared" si="22"/>
        <v>0</v>
      </c>
      <c r="DL200" s="58">
        <f t="shared" si="23"/>
        <v>-1125.1023135931162</v>
      </c>
      <c r="DM200" s="2">
        <v>2</v>
      </c>
    </row>
    <row r="201" spans="1:117" ht="24.9" customHeight="1" x14ac:dyDescent="0.3">
      <c r="A201" s="318">
        <v>150000696</v>
      </c>
      <c r="B201" s="44" t="s">
        <v>370</v>
      </c>
      <c r="C201" s="956">
        <v>9</v>
      </c>
      <c r="D201" s="957" t="s">
        <v>454</v>
      </c>
      <c r="E201" s="949">
        <f>'побудинковий звіт'!E168</f>
        <v>11587.55</v>
      </c>
      <c r="F201" s="950">
        <f>'побудинковий звіт'!AS168</f>
        <v>219667.72710126537</v>
      </c>
      <c r="G201" s="950">
        <f t="shared" si="16"/>
        <v>20201.010329696084</v>
      </c>
      <c r="H201" s="950">
        <f t="shared" si="17"/>
        <v>-199466.71677156928</v>
      </c>
      <c r="I201" s="42">
        <f>'[2]поточний ремонт'!I201+'[1]поточний ремонт'!I201</f>
        <v>26.79</v>
      </c>
      <c r="J201" s="42">
        <f>'[2]поточний ремонт'!J201+'[1]поточний ремонт'!J201</f>
        <v>19298.853908490146</v>
      </c>
      <c r="K201" s="958"/>
      <c r="L201" s="42">
        <f>'[2]поточний ремонт'!L201+'[1]поточний ремонт'!L201</f>
        <v>0</v>
      </c>
      <c r="M201" s="42">
        <f>'[2]поточний ремонт'!M201+'[1]поточний ремонт'!M201</f>
        <v>0</v>
      </c>
      <c r="N201" s="961"/>
      <c r="O201" s="42">
        <f>'[2]поточний ремонт'!O201+'[1]поточний ремонт'!O201</f>
        <v>0</v>
      </c>
      <c r="P201" s="42">
        <f>'[2]поточний ремонт'!P201+'[1]поточний ремонт'!P201</f>
        <v>0</v>
      </c>
      <c r="Q201" s="959"/>
      <c r="R201" s="42">
        <f>'[2]поточний ремонт'!R201+'[1]поточний ремонт'!R201</f>
        <v>0</v>
      </c>
      <c r="S201" s="42">
        <f>'[2]поточний ремонт'!S201+'[1]поточний ремонт'!S201</f>
        <v>0</v>
      </c>
      <c r="T201" s="960"/>
      <c r="U201" s="42">
        <f>'[2]поточний ремонт'!U201+'[1]поточний ремонт'!U201</f>
        <v>0</v>
      </c>
      <c r="V201" s="42">
        <f>'[2]поточний ремонт'!V201+'[1]поточний ремонт'!V201</f>
        <v>0</v>
      </c>
      <c r="W201" s="42">
        <f>'[2]поточний ремонт'!W201+'[1]поточний ремонт'!W201</f>
        <v>0</v>
      </c>
      <c r="X201" s="42">
        <f>'[2]поточний ремонт'!X201+'[1]поточний ремонт'!X201</f>
        <v>131.36497003997675</v>
      </c>
      <c r="Y201" s="42">
        <f>'[2]поточний ремонт'!Y201+'[1]поточний ремонт'!Y201</f>
        <v>511.68828238720596</v>
      </c>
      <c r="Z201" s="42">
        <f>'[2]поточний ремонт'!Z201+'[1]поточний ремонт'!Z201</f>
        <v>0</v>
      </c>
      <c r="AA201" s="42">
        <f>'[2]поточний ремонт'!AA201+'[1]поточний ремонт'!AA201</f>
        <v>0</v>
      </c>
      <c r="AB201" s="42">
        <f>'[2]поточний ремонт'!AB201+'[1]поточний ремонт'!AB201</f>
        <v>0</v>
      </c>
      <c r="AC201" s="42">
        <f>'[2]поточний ремонт'!AC201+'[1]поточний ремонт'!AC201</f>
        <v>0</v>
      </c>
      <c r="AD201" s="42">
        <f>'[2]поточний ремонт'!AD201+'[1]поточний ремонт'!AD201</f>
        <v>259.1031687787534</v>
      </c>
      <c r="AE201" s="42">
        <f>'[2]поточний ремонт'!AE201+'[1]поточний ремонт'!AE201</f>
        <v>2258.8366360125128</v>
      </c>
      <c r="AF201" s="42">
        <f>'[2]поточний ремонт'!AF201+'[1]поточний ремонт'!AF201</f>
        <v>0</v>
      </c>
      <c r="AG201" s="5"/>
      <c r="AH201" s="42">
        <f>'[2]поточний ремонт'!AH201+'[1]поточний ремонт'!AH201</f>
        <v>2781.0246508608452</v>
      </c>
      <c r="AI201" s="42">
        <f>'[2]поточний ремонт'!AI201+'[1]поточний ремонт'!AI201</f>
        <v>3174.5271559253533</v>
      </c>
      <c r="AJ201" s="5"/>
      <c r="AK201" s="42">
        <f>'[2]поточний ремонт'!AK201+'[1]поточний ремонт'!AK201</f>
        <v>3379.5702845298911</v>
      </c>
      <c r="AL201" s="42">
        <f>'[2]поточний ремонт'!AL201+'[1]поточний ремонт'!AL201</f>
        <v>0</v>
      </c>
      <c r="AM201" s="965"/>
      <c r="AN201" s="42">
        <f>'[2]поточний ремонт'!AN201+'[1]поточний ремонт'!AN201</f>
        <v>1033.1810749816993</v>
      </c>
      <c r="AO201" s="42">
        <f>'[2]поточний ремонт'!AO201+'[1]поточний ремонт'!AO201</f>
        <v>0</v>
      </c>
      <c r="AP201" s="5"/>
      <c r="AQ201" s="42">
        <f>'[2]поточний ремонт'!AQ201+'[1]поточний ремонт'!AQ201</f>
        <v>623.71337521299586</v>
      </c>
      <c r="AR201" s="42">
        <f>'[2]поточний ремонт'!AR201+'[1]поточний ремонт'!AR201</f>
        <v>0</v>
      </c>
      <c r="AS201" s="5"/>
      <c r="AT201" s="42">
        <f>'[2]поточний ремонт'!AT201+'[1]поточний ремонт'!AT201</f>
        <v>1948.5481934554286</v>
      </c>
      <c r="AU201" s="42">
        <f>'[2]поточний ремонт'!AU201+'[1]поточний ремонт'!AU201</f>
        <v>0</v>
      </c>
      <c r="AV201" s="5"/>
      <c r="AW201" s="42">
        <f>'[2]поточний ремонт'!AW201+'[1]поточний ремонт'!AW201</f>
        <v>100.38677964698979</v>
      </c>
      <c r="AX201" s="42">
        <f>'[2]поточний ремонт'!AX201+'[1]поточний ремонт'!AX201</f>
        <v>0</v>
      </c>
      <c r="AY201" s="5"/>
      <c r="AZ201" s="42">
        <f t="shared" si="18"/>
        <v>12125.260994700362</v>
      </c>
      <c r="BA201" s="42">
        <f t="shared" si="19"/>
        <v>3174.5271559253533</v>
      </c>
      <c r="BB201" s="58">
        <f t="shared" si="20"/>
        <v>-8950.7338387750096</v>
      </c>
      <c r="BD201" s="2">
        <v>3</v>
      </c>
      <c r="BF201" s="29">
        <v>471.23299166913205</v>
      </c>
      <c r="BG201" s="318">
        <v>150000696</v>
      </c>
      <c r="BI201" s="104">
        <v>9.6300000000000008</v>
      </c>
      <c r="BJ201" s="104">
        <f t="shared" si="21"/>
        <v>1.3545769860000001</v>
      </c>
      <c r="BK201" s="104">
        <v>11.10614221548</v>
      </c>
      <c r="BL201" s="38"/>
      <c r="BM201" s="3"/>
      <c r="BN201" s="3">
        <v>0</v>
      </c>
      <c r="BP201" s="3"/>
      <c r="BQ201" s="3"/>
      <c r="BS201" s="42"/>
      <c r="BT201" s="42">
        <v>0</v>
      </c>
      <c r="BU201" s="958"/>
      <c r="BV201" s="41"/>
      <c r="BW201" s="42"/>
      <c r="BX201" s="961"/>
      <c r="BY201" s="76"/>
      <c r="BZ201" s="42">
        <v>0</v>
      </c>
      <c r="CA201" s="959"/>
      <c r="CB201" s="41"/>
      <c r="CC201" s="41">
        <v>0</v>
      </c>
      <c r="CD201" s="960"/>
      <c r="CE201" s="76">
        <v>0</v>
      </c>
      <c r="CF201" s="55"/>
      <c r="CG201" s="41">
        <v>0</v>
      </c>
      <c r="CH201" s="38">
        <v>11.10614221548</v>
      </c>
      <c r="CI201" s="76">
        <v>0</v>
      </c>
      <c r="CJ201" s="55"/>
      <c r="CK201" s="955"/>
      <c r="CL201" s="950"/>
      <c r="CM201" s="955"/>
      <c r="CN201" s="950">
        <v>0</v>
      </c>
      <c r="CO201" s="76">
        <v>161.88903613373856</v>
      </c>
      <c r="CP201" s="42">
        <v>0</v>
      </c>
      <c r="CQ201" s="5"/>
      <c r="CR201" s="76">
        <v>227.44959096691474</v>
      </c>
      <c r="CS201" s="954">
        <v>0</v>
      </c>
      <c r="CT201" s="5"/>
      <c r="CU201" s="76">
        <v>273.75065942032063</v>
      </c>
      <c r="CV201" s="42">
        <v>0</v>
      </c>
      <c r="CW201" s="965"/>
      <c r="CX201" s="76">
        <v>93.116823527955518</v>
      </c>
      <c r="CY201" s="42">
        <v>0</v>
      </c>
      <c r="CZ201" s="5"/>
      <c r="DA201" s="76">
        <v>49.470906063874629</v>
      </c>
      <c r="DB201" s="42">
        <v>0</v>
      </c>
      <c r="DC201" s="5"/>
      <c r="DD201" s="76">
        <v>117.45944789079753</v>
      </c>
      <c r="DE201" s="42">
        <v>0</v>
      </c>
      <c r="DF201" s="5"/>
      <c r="DG201" s="76">
        <v>0</v>
      </c>
      <c r="DH201" s="42"/>
      <c r="DI201" s="5"/>
      <c r="DJ201" s="42">
        <v>923.13646400360153</v>
      </c>
      <c r="DK201" s="42">
        <f t="shared" si="22"/>
        <v>0</v>
      </c>
      <c r="DL201" s="58">
        <f t="shared" si="23"/>
        <v>-923.13646400360153</v>
      </c>
      <c r="DM201" s="2">
        <v>3</v>
      </c>
    </row>
    <row r="202" spans="1:117" ht="24.9" customHeight="1" x14ac:dyDescent="0.3">
      <c r="A202" s="318">
        <v>150000697</v>
      </c>
      <c r="B202" s="44" t="s">
        <v>265</v>
      </c>
      <c r="C202" s="956">
        <v>5</v>
      </c>
      <c r="D202" s="957" t="s">
        <v>454</v>
      </c>
      <c r="E202" s="949">
        <f>'побудинковий звіт'!E169</f>
        <v>2850.54</v>
      </c>
      <c r="F202" s="950">
        <f>'побудинковий звіт'!AS169</f>
        <v>39690.61728822712</v>
      </c>
      <c r="G202" s="950">
        <f t="shared" si="16"/>
        <v>9020.8469994393417</v>
      </c>
      <c r="H202" s="950">
        <f t="shared" si="17"/>
        <v>-30669.770288787779</v>
      </c>
      <c r="I202" s="42">
        <f>'[2]поточний ремонт'!I202+'[1]поточний ремонт'!I202</f>
        <v>0</v>
      </c>
      <c r="J202" s="42">
        <f>'[2]поточний ремонт'!J202+'[1]поточний ремонт'!J202</f>
        <v>0</v>
      </c>
      <c r="K202" s="958"/>
      <c r="L202" s="42">
        <f>'[2]поточний ремонт'!L202+'[1]поточний ремонт'!L202</f>
        <v>0</v>
      </c>
      <c r="M202" s="42">
        <f>'[2]поточний ремонт'!M202+'[1]поточний ремонт'!M202</f>
        <v>0</v>
      </c>
      <c r="N202" s="36"/>
      <c r="O202" s="42">
        <f>'[2]поточний ремонт'!O202+'[1]поточний ремонт'!O202</f>
        <v>13</v>
      </c>
      <c r="P202" s="42">
        <f>'[2]поточний ремонт'!P202+'[1]поточний ремонт'!P202</f>
        <v>4551</v>
      </c>
      <c r="Q202" s="959"/>
      <c r="R202" s="42">
        <f>'[2]поточний ремонт'!R202+'[1]поточний ремонт'!R202</f>
        <v>0</v>
      </c>
      <c r="S202" s="42">
        <f>'[2]поточний ремонт'!S202+'[1]поточний ремонт'!S202</f>
        <v>0</v>
      </c>
      <c r="T202" s="960"/>
      <c r="U202" s="42">
        <f>'[2]поточний ремонт'!U202+'[1]поточний ремонт'!U202</f>
        <v>0</v>
      </c>
      <c r="V202" s="42">
        <f>'[2]поточний ремонт'!V202+'[1]поточний ремонт'!V202</f>
        <v>0</v>
      </c>
      <c r="W202" s="42">
        <f>'[2]поточний ремонт'!W202+'[1]поточний ремонт'!W202</f>
        <v>6</v>
      </c>
      <c r="X202" s="42">
        <f>'[2]поточний ремонт'!X202+'[1]поточний ремонт'!X202</f>
        <v>1786.5514103954195</v>
      </c>
      <c r="Y202" s="42">
        <f>'[2]поточний ремонт'!Y202+'[1]поточний ремонт'!Y202</f>
        <v>2344.3646265462744</v>
      </c>
      <c r="Z202" s="42">
        <f>'[2]поточний ремонт'!Z202+'[1]поточний ремонт'!Z202</f>
        <v>0</v>
      </c>
      <c r="AA202" s="42">
        <f>'[2]поточний ремонт'!AA202+'[1]поточний ремонт'!AA202</f>
        <v>0</v>
      </c>
      <c r="AB202" s="42">
        <f>'[2]поточний ремонт'!AB202+'[1]поточний ремонт'!AB202</f>
        <v>0</v>
      </c>
      <c r="AC202" s="42">
        <f>'[2]поточний ремонт'!AC202+'[1]поточний ремонт'!AC202</f>
        <v>0</v>
      </c>
      <c r="AD202" s="42">
        <f>'[2]поточний ремонт'!AD202+'[1]поточний ремонт'!AD202</f>
        <v>338.93096249764824</v>
      </c>
      <c r="AE202" s="42">
        <f>'[2]поточний ремонт'!AE202+'[1]поточний ремонт'!AE202</f>
        <v>1873.2766308078283</v>
      </c>
      <c r="AF202" s="42">
        <f>'[2]поточний ремонт'!AF202+'[1]поточний ремонт'!AF202</f>
        <v>1020.3680806661047</v>
      </c>
      <c r="AG202" s="965"/>
      <c r="AH202" s="42">
        <f>'[2]поточний ремонт'!AH202+'[1]поточний ремонт'!AH202</f>
        <v>3612.1890414441873</v>
      </c>
      <c r="AI202" s="42">
        <f>'[2]поточний ремонт'!AI202+'[1]поточний ремонт'!AI202</f>
        <v>1085.3415150196006</v>
      </c>
      <c r="AJ202" s="5"/>
      <c r="AK202" s="42">
        <f>'[2]поточний ремонт'!AK202+'[1]поточний ремонт'!AK202</f>
        <v>1610.9078857737136</v>
      </c>
      <c r="AL202" s="42">
        <f>'[2]поточний ремонт'!AL202+'[1]поточний ремонт'!AL202</f>
        <v>7001.9597529599305</v>
      </c>
      <c r="AM202" s="5"/>
      <c r="AN202" s="42">
        <f>'[2]поточний ремонт'!AN202+'[1]поточний ремонт'!AN202</f>
        <v>1202.5276073740415</v>
      </c>
      <c r="AO202" s="42">
        <f>'[2]поточний ремонт'!AO202+'[1]поточний ремонт'!AO202</f>
        <v>4010.8090073008257</v>
      </c>
      <c r="AP202" s="5"/>
      <c r="AQ202" s="42">
        <f>'[2]поточний ремонт'!AQ202+'[1]поточний ремонт'!AQ202</f>
        <v>605.73305820566497</v>
      </c>
      <c r="AR202" s="42">
        <f>'[2]поточний ремонт'!AR202+'[1]поточний ремонт'!AR202</f>
        <v>0</v>
      </c>
      <c r="AS202" s="5"/>
      <c r="AT202" s="42">
        <f>'[2]поточний ремонт'!AT202+'[1]поточний ремонт'!AT202</f>
        <v>1360.3125138499581</v>
      </c>
      <c r="AU202" s="42">
        <f>'[2]поточний ремонт'!AU202+'[1]поточний ремонт'!AU202</f>
        <v>0</v>
      </c>
      <c r="AV202" s="5"/>
      <c r="AW202" s="42">
        <f>'[2]поточний ремонт'!AW202+'[1]поточний ремонт'!AW202</f>
        <v>69.015911007305476</v>
      </c>
      <c r="AX202" s="42">
        <f>'[2]поточний ремонт'!AX202+'[1]поточний ремонт'!AX202</f>
        <v>1886.5523592784048</v>
      </c>
      <c r="AY202" s="5"/>
      <c r="AZ202" s="42">
        <f t="shared" si="18"/>
        <v>10333.962648462699</v>
      </c>
      <c r="BA202" s="42">
        <f t="shared" si="19"/>
        <v>15005.030715224866</v>
      </c>
      <c r="BB202" s="58">
        <f t="shared" si="20"/>
        <v>4671.0680667621673</v>
      </c>
      <c r="BD202" s="2">
        <v>3</v>
      </c>
      <c r="BF202" s="29">
        <v>205.14944159404277</v>
      </c>
      <c r="BG202" s="318">
        <v>150000697</v>
      </c>
      <c r="BI202" s="104">
        <v>0</v>
      </c>
      <c r="BJ202" s="104">
        <f t="shared" si="21"/>
        <v>0</v>
      </c>
      <c r="BK202" s="104">
        <v>0</v>
      </c>
      <c r="BL202" s="38"/>
      <c r="BM202" s="3"/>
      <c r="BN202" s="3">
        <v>0</v>
      </c>
      <c r="BP202" s="3"/>
      <c r="BQ202" s="3"/>
      <c r="BS202" s="42"/>
      <c r="BT202" s="42">
        <v>0</v>
      </c>
      <c r="BU202" s="958"/>
      <c r="BV202" s="41"/>
      <c r="BW202" s="42"/>
      <c r="BX202" s="36"/>
      <c r="BY202" s="76"/>
      <c r="BZ202" s="42">
        <v>0</v>
      </c>
      <c r="CA202" s="959"/>
      <c r="CB202" s="41"/>
      <c r="CC202" s="41">
        <v>0</v>
      </c>
      <c r="CD202" s="960"/>
      <c r="CE202" s="76">
        <v>0</v>
      </c>
      <c r="CF202" s="55"/>
      <c r="CG202" s="41">
        <v>0</v>
      </c>
      <c r="CH202" s="38">
        <v>0</v>
      </c>
      <c r="CI202" s="76">
        <v>0</v>
      </c>
      <c r="CJ202" s="55"/>
      <c r="CK202" s="955"/>
      <c r="CL202" s="950"/>
      <c r="CM202" s="955"/>
      <c r="CN202" s="950">
        <v>0</v>
      </c>
      <c r="CO202" s="76">
        <v>148.88818146354492</v>
      </c>
      <c r="CP202" s="42">
        <v>0</v>
      </c>
      <c r="CQ202" s="965"/>
      <c r="CR202" s="76">
        <v>286.68042843855068</v>
      </c>
      <c r="CS202" s="954">
        <v>0</v>
      </c>
      <c r="CT202" s="5"/>
      <c r="CU202" s="76">
        <v>123.51739938072166</v>
      </c>
      <c r="CV202" s="42">
        <v>0</v>
      </c>
      <c r="CW202" s="5"/>
      <c r="CX202" s="76">
        <v>84.621936135212607</v>
      </c>
      <c r="CY202" s="42">
        <v>1652.6465544279599</v>
      </c>
      <c r="CZ202" s="5"/>
      <c r="DA202" s="76">
        <v>59.973570119372766</v>
      </c>
      <c r="DB202" s="42">
        <v>0</v>
      </c>
      <c r="DC202" s="5"/>
      <c r="DD202" s="76">
        <v>89.9087591465576</v>
      </c>
      <c r="DE202" s="42">
        <v>0</v>
      </c>
      <c r="DF202" s="5"/>
      <c r="DG202" s="76">
        <v>0</v>
      </c>
      <c r="DH202" s="42"/>
      <c r="DI202" s="5"/>
      <c r="DJ202" s="42">
        <v>793.59027468396027</v>
      </c>
      <c r="DK202" s="42">
        <f t="shared" si="22"/>
        <v>1652.6465544279599</v>
      </c>
      <c r="DL202" s="58">
        <f t="shared" si="23"/>
        <v>859.05627974399965</v>
      </c>
      <c r="DM202" s="2">
        <v>3</v>
      </c>
    </row>
    <row r="203" spans="1:117" ht="25.5" customHeight="1" x14ac:dyDescent="0.3">
      <c r="A203" s="318">
        <v>150000694</v>
      </c>
      <c r="B203" s="44" t="s">
        <v>371</v>
      </c>
      <c r="C203" s="956">
        <v>9</v>
      </c>
      <c r="D203" s="957" t="s">
        <v>454</v>
      </c>
      <c r="E203" s="949">
        <f>'побудинковий звіт'!E170</f>
        <v>3771.18</v>
      </c>
      <c r="F203" s="950">
        <f>'побудинковий звіт'!AS170</f>
        <v>71891.235758721625</v>
      </c>
      <c r="G203" s="950">
        <f t="shared" ref="G203:G266" si="24">J203+M203+P203+S203+U203+X203+Y203+AA203+AB203+AC203+AD203</f>
        <v>106773.6565347884</v>
      </c>
      <c r="H203" s="950">
        <f t="shared" ref="H203:H266" si="25">G203-F203</f>
        <v>34882.420776066778</v>
      </c>
      <c r="I203" s="42">
        <f>'[2]поточний ремонт'!I203+'[1]поточний ремонт'!I203</f>
        <v>148.1</v>
      </c>
      <c r="J203" s="42">
        <f>'[2]поточний ремонт'!J203+'[1]поточний ремонт'!J203</f>
        <v>92634.267869557458</v>
      </c>
      <c r="K203" s="958"/>
      <c r="L203" s="42">
        <f>'[2]поточний ремонт'!L203+'[1]поточний ремонт'!L203</f>
        <v>0</v>
      </c>
      <c r="M203" s="42">
        <f>'[2]поточний ремонт'!M203+'[1]поточний ремонт'!M203</f>
        <v>0</v>
      </c>
      <c r="N203" s="961"/>
      <c r="O203" s="42">
        <f>'[2]поточний ремонт'!O203+'[1]поточний ремонт'!O203</f>
        <v>0</v>
      </c>
      <c r="P203" s="42">
        <f>'[2]поточний ремонт'!P203+'[1]поточний ремонт'!P203</f>
        <v>0</v>
      </c>
      <c r="Q203" s="959"/>
      <c r="R203" s="42">
        <f>'[2]поточний ремонт'!R203+'[1]поточний ремонт'!R203</f>
        <v>0</v>
      </c>
      <c r="S203" s="42">
        <f>'[2]поточний ремонт'!S203+'[1]поточний ремонт'!S203</f>
        <v>0</v>
      </c>
      <c r="T203" s="967"/>
      <c r="U203" s="42">
        <f>'[2]поточний ремонт'!U203+'[1]поточний ремонт'!U203</f>
        <v>0</v>
      </c>
      <c r="V203" s="42">
        <f>'[2]поточний ремонт'!V203+'[1]поточний ремонт'!V203</f>
        <v>0</v>
      </c>
      <c r="W203" s="42">
        <f>'[2]поточний ремонт'!W203+'[1]поточний ремонт'!W203</f>
        <v>3</v>
      </c>
      <c r="X203" s="42">
        <f>'[2]поточний ремонт'!X203+'[1]поточний ремонт'!X203</f>
        <v>758.56545750666419</v>
      </c>
      <c r="Y203" s="42">
        <f>'[2]поточний ремонт'!Y203+'[1]поточний ремонт'!Y203</f>
        <v>0</v>
      </c>
      <c r="Z203" s="42">
        <f>'[2]поточний ремонт'!Z203+'[1]поточний ремонт'!Z203</f>
        <v>0</v>
      </c>
      <c r="AA203" s="42">
        <f>'[2]поточний ремонт'!AA203+'[1]поточний ремонт'!AA203</f>
        <v>0</v>
      </c>
      <c r="AB203" s="42">
        <f>'[2]поточний ремонт'!AB203+'[1]поточний ремонт'!AB203</f>
        <v>10893.574088656685</v>
      </c>
      <c r="AC203" s="42">
        <f>'[2]поточний ремонт'!AC203+'[1]поточний ремонт'!AC203</f>
        <v>1496.4800338529044</v>
      </c>
      <c r="AD203" s="42">
        <f>'[2]поточний ремонт'!AD203+'[1]поточний ремонт'!AD203</f>
        <v>990.76908521469818</v>
      </c>
      <c r="AE203" s="42">
        <f>'[2]поточний ремонт'!AE203+'[1]поточний ремонт'!AE203</f>
        <v>2256.8781660659711</v>
      </c>
      <c r="AF203" s="42">
        <f>'[2]поточний ремонт'!AF203+'[1]поточний ремонт'!AF203</f>
        <v>2191.1815567737581</v>
      </c>
      <c r="AG203" s="965"/>
      <c r="AH203" s="42">
        <f>'[2]поточний ремонт'!AH203+'[1]поточний ремонт'!AH203</f>
        <v>2779.8478101789551</v>
      </c>
      <c r="AI203" s="42">
        <f>'[2]поточний ремонт'!AI203+'[1]поточний ремонт'!AI203</f>
        <v>2744.8709337813661</v>
      </c>
      <c r="AJ203" s="5"/>
      <c r="AK203" s="42">
        <f>'[2]поточний ремонт'!AK203+'[1]поточний ремонт'!AK203</f>
        <v>3295.69947847609</v>
      </c>
      <c r="AL203" s="42">
        <f>'[2]поточний ремонт'!AL203+'[1]поточний ремонт'!AL203</f>
        <v>0</v>
      </c>
      <c r="AM203" s="5"/>
      <c r="AN203" s="42">
        <f>'[2]поточний ремонт'!AN203+'[1]поточний ремонт'!AN203</f>
        <v>993.09124427301469</v>
      </c>
      <c r="AO203" s="42">
        <f>'[2]поточний ремонт'!AO203+'[1]поточний ремонт'!AO203</f>
        <v>0</v>
      </c>
      <c r="AP203" s="5"/>
      <c r="AQ203" s="42">
        <f>'[2]поточний ремонт'!AQ203+'[1]поточний ремонт'!AQ203</f>
        <v>623.71337521299586</v>
      </c>
      <c r="AR203" s="42">
        <f>'[2]поточний ремонт'!AR203+'[1]поточний ремонт'!AR203</f>
        <v>0</v>
      </c>
      <c r="AS203" s="965"/>
      <c r="AT203" s="42">
        <f>'[2]поточний ремонт'!AT203+'[1]поточний ремонт'!AT203</f>
        <v>1910.2922219718912</v>
      </c>
      <c r="AU203" s="42">
        <f>'[2]поточний ремонт'!AU203+'[1]поточний ремонт'!AU203</f>
        <v>0</v>
      </c>
      <c r="AV203" s="9"/>
      <c r="AW203" s="42">
        <f>'[2]поточний ремонт'!AW203+'[1]поточний ремонт'!AW203</f>
        <v>100.38677964698979</v>
      </c>
      <c r="AX203" s="42">
        <f>'[2]поточний ремонт'!AX203+'[1]поточний ремонт'!AX203</f>
        <v>5100.3739899085631</v>
      </c>
      <c r="AY203" s="5"/>
      <c r="AZ203" s="42">
        <f t="shared" ref="AZ203:AZ266" si="26">AE203+AH203+AK203+AN203+AQ203+AT203+AW203</f>
        <v>11959.909075825908</v>
      </c>
      <c r="BA203" s="42">
        <f t="shared" ref="BA203:BA266" si="27">AF203+AI203+AL203+AO203+AR203+AU203+AX203</f>
        <v>10036.426480463688</v>
      </c>
      <c r="BB203" s="58">
        <f t="shared" ref="BB203:BB266" si="28">BA203-AZ203</f>
        <v>-1923.4825953622203</v>
      </c>
      <c r="BD203" s="2">
        <v>3</v>
      </c>
      <c r="BF203" s="29">
        <v>458.8562998440608</v>
      </c>
      <c r="BG203" s="318">
        <v>150000694</v>
      </c>
      <c r="BI203" s="104">
        <v>35</v>
      </c>
      <c r="BJ203" s="104">
        <f t="shared" ref="BJ203:BJ214" si="29">BI203*$BJ$10</f>
        <v>4.9231769999999999</v>
      </c>
      <c r="BK203" s="104">
        <v>40.365002859999997</v>
      </c>
      <c r="BL203" s="38"/>
      <c r="BM203" s="3">
        <v>3</v>
      </c>
      <c r="BN203" s="3">
        <v>280.74098863141546</v>
      </c>
      <c r="BP203" s="3"/>
      <c r="BQ203" s="3"/>
      <c r="BS203" s="42"/>
      <c r="BT203" s="42">
        <v>0</v>
      </c>
      <c r="BU203" s="958"/>
      <c r="BV203" s="41"/>
      <c r="BW203" s="42"/>
      <c r="BX203" s="961"/>
      <c r="BY203" s="76"/>
      <c r="BZ203" s="42">
        <v>0</v>
      </c>
      <c r="CA203" s="959"/>
      <c r="CB203" s="41"/>
      <c r="CC203" s="41">
        <v>0</v>
      </c>
      <c r="CD203" s="967"/>
      <c r="CE203" s="76">
        <v>0</v>
      </c>
      <c r="CF203" s="55"/>
      <c r="CG203" s="41">
        <v>3</v>
      </c>
      <c r="CH203" s="38">
        <v>321.10599149141547</v>
      </c>
      <c r="CI203" s="76">
        <v>0</v>
      </c>
      <c r="CJ203" s="55"/>
      <c r="CK203" s="955"/>
      <c r="CL203" s="950"/>
      <c r="CM203" s="955"/>
      <c r="CN203" s="950">
        <v>0</v>
      </c>
      <c r="CO203" s="76">
        <v>161.7948266134519</v>
      </c>
      <c r="CP203" s="42">
        <v>0</v>
      </c>
      <c r="CQ203" s="965"/>
      <c r="CR203" s="76">
        <v>227.33307208751955</v>
      </c>
      <c r="CS203" s="954">
        <v>0</v>
      </c>
      <c r="CT203" s="5"/>
      <c r="CU203" s="76">
        <v>265.44661921697389</v>
      </c>
      <c r="CV203" s="42">
        <v>0</v>
      </c>
      <c r="CW203" s="5"/>
      <c r="CX203" s="76">
        <v>89.763854043819649</v>
      </c>
      <c r="CY203" s="42">
        <v>0</v>
      </c>
      <c r="CZ203" s="5"/>
      <c r="DA203" s="76">
        <v>49.470906063874629</v>
      </c>
      <c r="DB203" s="42">
        <v>0</v>
      </c>
      <c r="DC203" s="965"/>
      <c r="DD203" s="76">
        <v>114.87128697411984</v>
      </c>
      <c r="DE203" s="42">
        <v>0</v>
      </c>
      <c r="DF203" s="9"/>
      <c r="DG203" s="76">
        <v>0</v>
      </c>
      <c r="DH203" s="42"/>
      <c r="DI203" s="5"/>
      <c r="DJ203" s="42">
        <v>908.68056499975933</v>
      </c>
      <c r="DK203" s="42">
        <f t="shared" ref="DK203:DK214" si="30">CP203+CS203+CV203+CY203+DB203+DE203+DH203</f>
        <v>0</v>
      </c>
      <c r="DL203" s="58">
        <f t="shared" ref="DL203:DL214" si="31">DK203-DJ203</f>
        <v>-908.68056499975933</v>
      </c>
      <c r="DM203" s="2">
        <v>3</v>
      </c>
    </row>
    <row r="204" spans="1:117" ht="24.9" customHeight="1" x14ac:dyDescent="0.3">
      <c r="A204" s="318">
        <v>150000695</v>
      </c>
      <c r="B204" s="44" t="s">
        <v>372</v>
      </c>
      <c r="C204" s="956">
        <v>9</v>
      </c>
      <c r="D204" s="957" t="s">
        <v>454</v>
      </c>
      <c r="E204" s="949">
        <f>'побудинковий звіт'!E171</f>
        <v>3769.35</v>
      </c>
      <c r="F204" s="950">
        <f>'побудинковий звіт'!AS171</f>
        <v>64964.972543765536</v>
      </c>
      <c r="G204" s="950">
        <f t="shared" si="24"/>
        <v>123971.98648060735</v>
      </c>
      <c r="H204" s="950">
        <f t="shared" si="25"/>
        <v>59007.013936841809</v>
      </c>
      <c r="I204" s="42">
        <f>'[2]поточний ремонт'!I204+'[1]поточний ремонт'!I204</f>
        <v>103.87</v>
      </c>
      <c r="J204" s="42">
        <f>'[2]поточний ремонт'!J204+'[1]поточний ремонт'!J204</f>
        <v>104357.33181373427</v>
      </c>
      <c r="K204" s="958"/>
      <c r="L204" s="42">
        <f>'[2]поточний ремонт'!L204+'[1]поточний ремонт'!L204</f>
        <v>0</v>
      </c>
      <c r="M204" s="42">
        <f>'[2]поточний ремонт'!M204+'[1]поточний ремонт'!M204</f>
        <v>0</v>
      </c>
      <c r="N204" s="36"/>
      <c r="O204" s="42">
        <f>'[2]поточний ремонт'!O204+'[1]поточний ремонт'!O204</f>
        <v>25.2</v>
      </c>
      <c r="P204" s="42">
        <f>'[2]поточний ремонт'!P204+'[1]поточний ремонт'!P204</f>
        <v>8359</v>
      </c>
      <c r="Q204" s="978"/>
      <c r="R204" s="42">
        <f>'[2]поточний ремонт'!R204+'[1]поточний ремонт'!R204</f>
        <v>1</v>
      </c>
      <c r="S204" s="42">
        <f>'[2]поточний ремонт'!S204+'[1]поточний ремонт'!S204</f>
        <v>3823.5351129853602</v>
      </c>
      <c r="T204" s="967"/>
      <c r="U204" s="42">
        <f>'[2]поточний ремонт'!U204+'[1]поточний ремонт'!U204</f>
        <v>0</v>
      </c>
      <c r="V204" s="42">
        <f>'[2]поточний ремонт'!V204+'[1]поточний ремонт'!V204</f>
        <v>0</v>
      </c>
      <c r="W204" s="42">
        <f>'[2]поточний ремонт'!W204+'[1]поточний ремонт'!W204</f>
        <v>2</v>
      </c>
      <c r="X204" s="42">
        <f>'[2]поточний ремонт'!X204+'[1]поточний ремонт'!X204</f>
        <v>415.23047452485457</v>
      </c>
      <c r="Y204" s="42">
        <f>'[2]поточний ремонт'!Y204+'[1]поточний ремонт'!Y204</f>
        <v>0</v>
      </c>
      <c r="Z204" s="42">
        <f>'[2]поточний ремонт'!Z204+'[1]поточний ремонт'!Z204</f>
        <v>0</v>
      </c>
      <c r="AA204" s="42">
        <f>'[2]поточний ремонт'!AA204+'[1]поточний ремонт'!AA204</f>
        <v>0</v>
      </c>
      <c r="AB204" s="42">
        <f>'[2]поточний ремонт'!AB204+'[1]поточний ремонт'!AB204</f>
        <v>0</v>
      </c>
      <c r="AC204" s="42">
        <f>'[2]поточний ремонт'!AC204+'[1]поточний ремонт'!AC204</f>
        <v>2986.092197033614</v>
      </c>
      <c r="AD204" s="42">
        <f>'[2]поточний ремонт'!AD204+'[1]поточний ремонт'!AD204</f>
        <v>4030.7968823292254</v>
      </c>
      <c r="AE204" s="42">
        <f>'[2]поточний ремонт'!AE204+'[1]поточний ремонт'!AE204</f>
        <v>1933.3073253886337</v>
      </c>
      <c r="AF204" s="42">
        <f>'[2]поточний ремонт'!AF204+'[1]поточний ремонт'!AF204</f>
        <v>1000.8970345232095</v>
      </c>
      <c r="AG204" s="5"/>
      <c r="AH204" s="42">
        <f>'[2]поточний ремонт'!AH204+'[1]поточний ремонт'!AH204</f>
        <v>2253.9921165783949</v>
      </c>
      <c r="AI204" s="42">
        <f>'[2]поточний ремонт'!AI204+'[1]поточний ремонт'!AI204</f>
        <v>2294.8312009239235</v>
      </c>
      <c r="AJ204" s="9"/>
      <c r="AK204" s="42">
        <f>'[2]поточний ремонт'!AK204+'[1]поточний ремонт'!AK204</f>
        <v>2826.5939525008444</v>
      </c>
      <c r="AL204" s="42">
        <f>'[2]поточний ремонт'!AL204+'[1]поточний ремонт'!AL204</f>
        <v>2195.2597204529761</v>
      </c>
      <c r="AM204" s="5"/>
      <c r="AN204" s="42">
        <f>'[2]поточний ремонт'!AN204+'[1]поточний ремонт'!AN204</f>
        <v>838.86025253631703</v>
      </c>
      <c r="AO204" s="42">
        <f>'[2]поточний ремонт'!AO204+'[1]поточний ремонт'!AO204</f>
        <v>0</v>
      </c>
      <c r="AP204" s="5"/>
      <c r="AQ204" s="42">
        <f>'[2]поточний ремонт'!AQ204+'[1]поточний ремонт'!AQ204</f>
        <v>523.78214496396913</v>
      </c>
      <c r="AR204" s="42">
        <f>'[2]поточний ремонт'!AR204+'[1]поточний ремонт'!AR204</f>
        <v>4628.8112178599768</v>
      </c>
      <c r="AS204" s="5"/>
      <c r="AT204" s="42">
        <f>'[2]поточний ремонт'!AT204+'[1]поточний ремонт'!AT204</f>
        <v>1696.1851851310439</v>
      </c>
      <c r="AU204" s="42">
        <f>'[2]поточний ремонт'!AU204+'[1]поточний ремонт'!AU204</f>
        <v>1632.0079449031614</v>
      </c>
      <c r="AV204" s="5"/>
      <c r="AW204" s="42">
        <f>'[2]поточний ремонт'!AW204+'[1]поточний ремонт'!AW204</f>
        <v>100.38677964698979</v>
      </c>
      <c r="AX204" s="42">
        <f>'[2]поточний ремонт'!AX204+'[1]поточний ремонт'!AX204</f>
        <v>4282.2615761738634</v>
      </c>
      <c r="AY204" s="5"/>
      <c r="AZ204" s="42">
        <f t="shared" si="26"/>
        <v>10173.107756746193</v>
      </c>
      <c r="BA204" s="42">
        <f t="shared" si="27"/>
        <v>16034.068694837111</v>
      </c>
      <c r="BB204" s="58">
        <f t="shared" si="28"/>
        <v>5860.9609380909187</v>
      </c>
      <c r="BD204" s="2">
        <v>3</v>
      </c>
      <c r="BF204" s="29">
        <v>471.26064991624969</v>
      </c>
      <c r="BG204" s="318">
        <v>150000695</v>
      </c>
      <c r="BI204" s="104">
        <v>19.37</v>
      </c>
      <c r="BJ204" s="104">
        <f t="shared" si="29"/>
        <v>2.7246268140000001</v>
      </c>
      <c r="BK204" s="104">
        <v>22.339145868519999</v>
      </c>
      <c r="BL204" s="38"/>
      <c r="BM204" s="3"/>
      <c r="BN204" s="3">
        <v>0</v>
      </c>
      <c r="BP204" s="3"/>
      <c r="BQ204" s="3"/>
      <c r="BS204" s="42"/>
      <c r="BT204" s="42">
        <v>0</v>
      </c>
      <c r="BU204" s="958"/>
      <c r="BV204" s="41"/>
      <c r="BW204" s="42"/>
      <c r="BX204" s="36"/>
      <c r="BY204" s="76"/>
      <c r="BZ204" s="42">
        <v>0</v>
      </c>
      <c r="CA204" s="978"/>
      <c r="CB204" s="41">
        <v>1</v>
      </c>
      <c r="CC204" s="41">
        <v>3818.3437539668803</v>
      </c>
      <c r="CD204" s="967"/>
      <c r="CE204" s="76">
        <v>0</v>
      </c>
      <c r="CF204" s="55"/>
      <c r="CG204" s="41">
        <v>0</v>
      </c>
      <c r="CH204" s="38">
        <v>22.339145868519999</v>
      </c>
      <c r="CI204" s="76">
        <v>0</v>
      </c>
      <c r="CJ204" s="55"/>
      <c r="CK204" s="955"/>
      <c r="CL204" s="950"/>
      <c r="CM204" s="955">
        <v>1196</v>
      </c>
      <c r="CN204" s="950">
        <v>0</v>
      </c>
      <c r="CO204" s="76">
        <v>129.65841131949307</v>
      </c>
      <c r="CP204" s="42">
        <v>0</v>
      </c>
      <c r="CQ204" s="5"/>
      <c r="CR204" s="76">
        <v>175.26815192904829</v>
      </c>
      <c r="CS204" s="954">
        <v>1284.1236036374539</v>
      </c>
      <c r="CT204" s="9"/>
      <c r="CU204" s="76">
        <v>219.00052753625653</v>
      </c>
      <c r="CV204" s="42">
        <v>0</v>
      </c>
      <c r="CW204" s="5"/>
      <c r="CX204" s="76">
        <v>74.493458822364417</v>
      </c>
      <c r="CY204" s="42">
        <v>0</v>
      </c>
      <c r="CZ204" s="5"/>
      <c r="DA204" s="76">
        <v>39.576724851099698</v>
      </c>
      <c r="DB204" s="42">
        <v>0</v>
      </c>
      <c r="DC204" s="5"/>
      <c r="DD204" s="76">
        <v>93.480061011570541</v>
      </c>
      <c r="DE204" s="42">
        <v>0</v>
      </c>
      <c r="DF204" s="5"/>
      <c r="DG204" s="76">
        <v>0</v>
      </c>
      <c r="DH204" s="42"/>
      <c r="DI204" s="5"/>
      <c r="DJ204" s="42">
        <v>731.47733546983261</v>
      </c>
      <c r="DK204" s="42">
        <f t="shared" si="30"/>
        <v>1284.1236036374539</v>
      </c>
      <c r="DL204" s="58">
        <f t="shared" si="31"/>
        <v>552.64626816762132</v>
      </c>
      <c r="DM204" s="2">
        <v>3</v>
      </c>
    </row>
    <row r="205" spans="1:117" ht="24.9" customHeight="1" x14ac:dyDescent="0.3">
      <c r="A205" s="318">
        <v>150000699</v>
      </c>
      <c r="B205" s="44" t="s">
        <v>373</v>
      </c>
      <c r="C205" s="956">
        <v>9</v>
      </c>
      <c r="D205" s="957" t="s">
        <v>454</v>
      </c>
      <c r="E205" s="949">
        <f>'побудинковий звіт'!E172</f>
        <v>4718.22</v>
      </c>
      <c r="F205" s="950">
        <f>'побудинковий звіт'!AS172</f>
        <v>71923.576327579824</v>
      </c>
      <c r="G205" s="950">
        <f t="shared" si="24"/>
        <v>25305.014340429952</v>
      </c>
      <c r="H205" s="950">
        <f t="shared" si="25"/>
        <v>-46618.561987149871</v>
      </c>
      <c r="I205" s="42">
        <f>'[2]поточний ремонт'!I205+'[1]поточний ремонт'!I205</f>
        <v>0</v>
      </c>
      <c r="J205" s="42">
        <f>'[2]поточний ремонт'!J205+'[1]поточний ремонт'!J205</f>
        <v>0</v>
      </c>
      <c r="K205" s="958"/>
      <c r="L205" s="42">
        <f>'[2]поточний ремонт'!L205+'[1]поточний ремонт'!L205</f>
        <v>0</v>
      </c>
      <c r="M205" s="42">
        <f>'[2]поточний ремонт'!M205+'[1]поточний ремонт'!M205</f>
        <v>0</v>
      </c>
      <c r="N205" s="36"/>
      <c r="O205" s="42">
        <f>'[2]поточний ремонт'!O205+'[1]поточний ремонт'!O205</f>
        <v>0</v>
      </c>
      <c r="P205" s="42">
        <f>'[2]поточний ремонт'!P205+'[1]поточний ремонт'!P205</f>
        <v>0</v>
      </c>
      <c r="Q205" s="959"/>
      <c r="R205" s="42">
        <f>'[2]поточний ремонт'!R205+'[1]поточний ремонт'!R205</f>
        <v>2</v>
      </c>
      <c r="S205" s="42">
        <f>'[2]поточний ремонт'!S205+'[1]поточний ремонт'!S205</f>
        <v>22662.332667718267</v>
      </c>
      <c r="T205" s="967"/>
      <c r="U205" s="42">
        <f>'[2]поточний ремонт'!U205+'[1]поточний ремонт'!U205</f>
        <v>0</v>
      </c>
      <c r="V205" s="42">
        <f>'[2]поточний ремонт'!V205+'[1]поточний ремонт'!V205</f>
        <v>0</v>
      </c>
      <c r="W205" s="42">
        <f>'[2]поточний ремонт'!W205+'[1]поточний ремонт'!W205</f>
        <v>4</v>
      </c>
      <c r="X205" s="42">
        <f>'[2]поточний ремонт'!X205+'[1]поточний ремонт'!X205</f>
        <v>636.2099445461505</v>
      </c>
      <c r="Y205" s="42">
        <f>'[2]поточний ремонт'!Y205+'[1]поточний ремонт'!Y205</f>
        <v>0</v>
      </c>
      <c r="Z205" s="42">
        <f>'[2]поточний ремонт'!Z205+'[1]поточний ремонт'!Z205</f>
        <v>0</v>
      </c>
      <c r="AA205" s="42">
        <f>'[2]поточний ремонт'!AA205+'[1]поточний ремонт'!AA205</f>
        <v>0</v>
      </c>
      <c r="AB205" s="42">
        <f>'[2]поточний ремонт'!AB205+'[1]поточний ремонт'!AB205</f>
        <v>0</v>
      </c>
      <c r="AC205" s="42">
        <f>'[2]поточний ремонт'!AC205+'[1]поточний ремонт'!AC205</f>
        <v>1271.7440300810458</v>
      </c>
      <c r="AD205" s="42">
        <f>'[2]поточний ремонт'!AD205+'[1]поточний ремонт'!AD205</f>
        <v>734.72769808449266</v>
      </c>
      <c r="AE205" s="42">
        <f>'[2]поточний ремонт'!AE205+'[1]поточний ремонт'!AE205</f>
        <v>1347.881851396136</v>
      </c>
      <c r="AF205" s="42">
        <f>'[2]поточний ремонт'!AF205+'[1]поточний ремонт'!AF205</f>
        <v>0</v>
      </c>
      <c r="AG205" s="965"/>
      <c r="AH205" s="42">
        <f>'[2]поточний ремонт'!AH205+'[1]поточний ремонт'!AH205</f>
        <v>1306.5870145867034</v>
      </c>
      <c r="AI205" s="42">
        <f>'[2]поточний ремонт'!AI205+'[1]поточний ремонт'!AI205</f>
        <v>1607.5847351996208</v>
      </c>
      <c r="AJ205" s="5"/>
      <c r="AK205" s="42">
        <f>'[2]поточний ремонт'!AK205+'[1]поточний ремонт'!AK205</f>
        <v>2185.0593570775873</v>
      </c>
      <c r="AL205" s="42">
        <f>'[2]поточний ремонт'!AL205+'[1]поточний ремонт'!AL205</f>
        <v>1404.0256190504656</v>
      </c>
      <c r="AM205" s="965"/>
      <c r="AN205" s="42">
        <f>'[2]поточний ремонт'!AN205+'[1]поточний ремонт'!AN205</f>
        <v>789.45401194927047</v>
      </c>
      <c r="AO205" s="42">
        <f>'[2]поточний ремонт'!AO205+'[1]поточний ремонт'!AO205</f>
        <v>0</v>
      </c>
      <c r="AP205" s="5"/>
      <c r="AQ205" s="42">
        <f>'[2]поточний ремонт'!AQ205+'[1]поточний ремонт'!AQ205</f>
        <v>419.48482392030559</v>
      </c>
      <c r="AR205" s="42">
        <f>'[2]поточний ремонт'!AR205+'[1]поточний ремонт'!AR205</f>
        <v>0</v>
      </c>
      <c r="AS205" s="965"/>
      <c r="AT205" s="42">
        <f>'[2]поточний ремонт'!AT205+'[1]поточний ремонт'!AT205</f>
        <v>1205.3005387450353</v>
      </c>
      <c r="AU205" s="42">
        <f>'[2]поточний ремонт'!AU205+'[1]поточний ремонт'!AU205</f>
        <v>0</v>
      </c>
      <c r="AV205" s="5"/>
      <c r="AW205" s="42">
        <f>'[2]поточний ремонт'!AW205+'[1]поточний ремонт'!AW205</f>
        <v>31.370868639684304</v>
      </c>
      <c r="AX205" s="42">
        <f>'[2]поточний ремонт'!AX205+'[1]поточний ремонт'!AX205</f>
        <v>0</v>
      </c>
      <c r="AY205" s="5"/>
      <c r="AZ205" s="42">
        <f t="shared" si="26"/>
        <v>7285.1384663147219</v>
      </c>
      <c r="BA205" s="42">
        <f t="shared" si="27"/>
        <v>3011.6103542500864</v>
      </c>
      <c r="BB205" s="58">
        <f t="shared" si="28"/>
        <v>-4273.5281120646359</v>
      </c>
      <c r="BD205" s="2">
        <v>3</v>
      </c>
      <c r="BF205" s="29">
        <v>313.25581181460268</v>
      </c>
      <c r="BG205" s="318">
        <v>150000699</v>
      </c>
      <c r="BI205" s="104">
        <v>24.5</v>
      </c>
      <c r="BJ205" s="104">
        <f t="shared" si="29"/>
        <v>3.4462238999999997</v>
      </c>
      <c r="BK205" s="104">
        <v>28.255502002</v>
      </c>
      <c r="BL205" s="38"/>
      <c r="BM205" s="3"/>
      <c r="BN205" s="3">
        <v>0</v>
      </c>
      <c r="BP205" s="3"/>
      <c r="BQ205" s="3"/>
      <c r="BS205" s="42"/>
      <c r="BT205" s="42">
        <v>0</v>
      </c>
      <c r="BU205" s="958"/>
      <c r="BV205" s="41"/>
      <c r="BW205" s="42"/>
      <c r="BX205" s="36"/>
      <c r="BY205" s="76"/>
      <c r="BZ205" s="42">
        <v>0</v>
      </c>
      <c r="CA205" s="959"/>
      <c r="CB205" s="41">
        <v>1</v>
      </c>
      <c r="CC205" s="41">
        <v>20407.963051507482</v>
      </c>
      <c r="CD205" s="967"/>
      <c r="CE205" s="76">
        <v>0</v>
      </c>
      <c r="CF205" s="55"/>
      <c r="CG205" s="41">
        <v>0</v>
      </c>
      <c r="CH205" s="38">
        <v>28.255502002</v>
      </c>
      <c r="CI205" s="76">
        <v>0</v>
      </c>
      <c r="CJ205" s="964"/>
      <c r="CK205" s="955"/>
      <c r="CL205" s="950"/>
      <c r="CM205" s="955"/>
      <c r="CN205" s="950">
        <v>733.73013034969563</v>
      </c>
      <c r="CO205" s="76">
        <v>86.512607455577651</v>
      </c>
      <c r="CP205" s="42">
        <v>0</v>
      </c>
      <c r="CQ205" s="965"/>
      <c r="CR205" s="76">
        <v>95.30326651124625</v>
      </c>
      <c r="CS205" s="954">
        <v>0</v>
      </c>
      <c r="CT205" s="5"/>
      <c r="CU205" s="76">
        <v>173.78803578042334</v>
      </c>
      <c r="CV205" s="42">
        <v>0</v>
      </c>
      <c r="CW205" s="965"/>
      <c r="CX205" s="76">
        <v>67.786060421820082</v>
      </c>
      <c r="CY205" s="42">
        <v>0</v>
      </c>
      <c r="CZ205" s="5"/>
      <c r="DA205" s="76">
        <v>32.980617657691397</v>
      </c>
      <c r="DB205" s="42">
        <v>0</v>
      </c>
      <c r="DC205" s="965"/>
      <c r="DD205" s="76">
        <v>81.41344512148774</v>
      </c>
      <c r="DE205" s="42">
        <v>0</v>
      </c>
      <c r="DF205" s="5"/>
      <c r="DG205" s="76">
        <v>0</v>
      </c>
      <c r="DH205" s="42"/>
      <c r="DI205" s="5"/>
      <c r="DJ205" s="42">
        <v>537.78403294824648</v>
      </c>
      <c r="DK205" s="42">
        <f t="shared" si="30"/>
        <v>0</v>
      </c>
      <c r="DL205" s="58">
        <f t="shared" si="31"/>
        <v>-537.78403294824648</v>
      </c>
      <c r="DM205" s="2">
        <v>3</v>
      </c>
    </row>
    <row r="206" spans="1:117" ht="24.9" customHeight="1" x14ac:dyDescent="0.3">
      <c r="A206" s="318">
        <v>150000928</v>
      </c>
      <c r="B206" s="44" t="s">
        <v>169</v>
      </c>
      <c r="C206" s="956">
        <v>2</v>
      </c>
      <c r="D206" s="957" t="s">
        <v>454</v>
      </c>
      <c r="E206" s="949">
        <f>'побудинковий звіт'!E173</f>
        <v>5275.1</v>
      </c>
      <c r="F206" s="950">
        <f>'побудинковий звіт'!AS173</f>
        <v>79359.167553518171</v>
      </c>
      <c r="G206" s="950">
        <f t="shared" si="24"/>
        <v>3775.3204548542994</v>
      </c>
      <c r="H206" s="950">
        <f t="shared" si="25"/>
        <v>-75583.847098663871</v>
      </c>
      <c r="I206" s="42">
        <f>'[2]поточний ремонт'!I206+'[1]поточний ремонт'!I206</f>
        <v>0</v>
      </c>
      <c r="J206" s="42">
        <f>'[2]поточний ремонт'!J206+'[1]поточний ремонт'!J206</f>
        <v>0</v>
      </c>
      <c r="K206" s="958"/>
      <c r="L206" s="42">
        <f>'[2]поточний ремонт'!L206+'[1]поточний ремонт'!L206</f>
        <v>0</v>
      </c>
      <c r="M206" s="42">
        <f>'[2]поточний ремонт'!M206+'[1]поточний ремонт'!M206</f>
        <v>0</v>
      </c>
      <c r="N206" s="36"/>
      <c r="O206" s="42">
        <f>'[2]поточний ремонт'!O206+'[1]поточний ремонт'!O206</f>
        <v>0</v>
      </c>
      <c r="P206" s="42">
        <f>'[2]поточний ремонт'!P206+'[1]поточний ремонт'!P206</f>
        <v>0</v>
      </c>
      <c r="Q206" s="959"/>
      <c r="R206" s="42">
        <f>'[2]поточний ремонт'!R206+'[1]поточний ремонт'!R206</f>
        <v>0</v>
      </c>
      <c r="S206" s="42">
        <f>'[2]поточний ремонт'!S206+'[1]поточний ремонт'!S206</f>
        <v>0</v>
      </c>
      <c r="T206" s="960"/>
      <c r="U206" s="42">
        <f>'[2]поточний ремонт'!U206+'[1]поточний ремонт'!U206</f>
        <v>0</v>
      </c>
      <c r="V206" s="42">
        <f>'[2]поточний ремонт'!V206+'[1]поточний ремонт'!V206</f>
        <v>0</v>
      </c>
      <c r="W206" s="42">
        <f>'[2]поточний ремонт'!W206+'[1]поточний ремонт'!W206</f>
        <v>0</v>
      </c>
      <c r="X206" s="42">
        <f>'[2]поточний ремонт'!X206+'[1]поточний ремонт'!X206</f>
        <v>0</v>
      </c>
      <c r="Y206" s="42">
        <f>'[2]поточний ремонт'!Y206+'[1]поточний ремонт'!Y206</f>
        <v>0</v>
      </c>
      <c r="Z206" s="42">
        <f>'[2]поточний ремонт'!Z206+'[1]поточний ремонт'!Z206</f>
        <v>0</v>
      </c>
      <c r="AA206" s="42">
        <f>'[2]поточний ремонт'!AA206+'[1]поточний ремонт'!AA206</f>
        <v>0</v>
      </c>
      <c r="AB206" s="42">
        <f>'[2]поточний ремонт'!AB206+'[1]поточний ремонт'!AB206</f>
        <v>912.69028472757088</v>
      </c>
      <c r="AC206" s="42">
        <f>'[2]поточний ремонт'!AC206+'[1]поточний ремонт'!AC206</f>
        <v>2862.6301701267284</v>
      </c>
      <c r="AD206" s="42">
        <f>'[2]поточний ремонт'!AD206+'[1]поточний ремонт'!AD206</f>
        <v>0</v>
      </c>
      <c r="AE206" s="42">
        <f>'[2]поточний ремонт'!AE206+'[1]поточний ремонт'!AE206</f>
        <v>511.66402233513014</v>
      </c>
      <c r="AF206" s="42">
        <f>'[2]поточний ремонт'!AF206+'[1]поточний ремонт'!AF206</f>
        <v>0</v>
      </c>
      <c r="AG206" s="5"/>
      <c r="AH206" s="42">
        <f>'[2]поточний ремонт'!AH206+'[1]поточний ремонт'!AH206</f>
        <v>712.46679369138644</v>
      </c>
      <c r="AI206" s="42">
        <f>'[2]поточний ремонт'!AI206+'[1]поточний ремонт'!AI206</f>
        <v>0</v>
      </c>
      <c r="AJ206" s="5"/>
      <c r="AK206" s="42">
        <f>'[2]поточний ремонт'!AK206+'[1]поточний ремонт'!AK206</f>
        <v>309.93381562153877</v>
      </c>
      <c r="AL206" s="42">
        <f>'[2]поточний ремонт'!AL206+'[1]поточний ремонт'!AL206</f>
        <v>0</v>
      </c>
      <c r="AM206" s="5"/>
      <c r="AN206" s="42">
        <f>'[2]поточний ремонт'!AN206+'[1]поточний ремонт'!AN206</f>
        <v>0</v>
      </c>
      <c r="AO206" s="42">
        <f>'[2]поточний ремонт'!AO206+'[1]поточний ремонт'!AO206</f>
        <v>0</v>
      </c>
      <c r="AP206" s="5"/>
      <c r="AQ206" s="42">
        <f>'[2]поточний ремонт'!AQ206+'[1]поточний ремонт'!AQ206</f>
        <v>0</v>
      </c>
      <c r="AR206" s="42">
        <f>'[2]поточний ремонт'!AR206+'[1]поточний ремонт'!AR206</f>
        <v>0</v>
      </c>
      <c r="AS206" s="5"/>
      <c r="AT206" s="42">
        <f>'[2]поточний ремонт'!AT206+'[1]поточний ремонт'!AT206</f>
        <v>223.77403576434091</v>
      </c>
      <c r="AU206" s="42">
        <f>'[2]поточний ремонт'!AU206+'[1]поточний ремонт'!AU206</f>
        <v>0</v>
      </c>
      <c r="AV206" s="5"/>
      <c r="AW206" s="42">
        <f>'[2]поточний ремонт'!AW206+'[1]поточний ремонт'!AW206</f>
        <v>31.214014296485885</v>
      </c>
      <c r="AX206" s="42">
        <f>'[2]поточний ремонт'!AX206+'[1]поточний ремонт'!AX206</f>
        <v>0</v>
      </c>
      <c r="AY206" s="5"/>
      <c r="AZ206" s="42">
        <f t="shared" si="26"/>
        <v>1789.0526817088821</v>
      </c>
      <c r="BA206" s="42">
        <f t="shared" si="27"/>
        <v>0</v>
      </c>
      <c r="BB206" s="58">
        <f t="shared" si="28"/>
        <v>-1789.0526817088821</v>
      </c>
      <c r="BD206" s="2">
        <v>2</v>
      </c>
      <c r="BF206" s="29">
        <v>0.70194533039492113</v>
      </c>
      <c r="BG206" s="318">
        <v>150000928</v>
      </c>
      <c r="BI206" s="104">
        <v>0</v>
      </c>
      <c r="BJ206" s="104">
        <f t="shared" si="29"/>
        <v>0</v>
      </c>
      <c r="BK206" s="104">
        <v>0</v>
      </c>
      <c r="BL206" s="38"/>
      <c r="BM206" s="3"/>
      <c r="BN206" s="3">
        <v>0</v>
      </c>
      <c r="BP206" s="3"/>
      <c r="BQ206" s="3"/>
      <c r="BS206" s="42"/>
      <c r="BT206" s="42">
        <v>0</v>
      </c>
      <c r="BU206" s="958"/>
      <c r="BV206" s="41"/>
      <c r="BW206" s="42"/>
      <c r="BX206" s="36"/>
      <c r="BY206" s="76"/>
      <c r="BZ206" s="42">
        <v>0</v>
      </c>
      <c r="CA206" s="959"/>
      <c r="CB206" s="41"/>
      <c r="CC206" s="41">
        <v>0</v>
      </c>
      <c r="CD206" s="960"/>
      <c r="CE206" s="76">
        <v>0</v>
      </c>
      <c r="CF206" s="55"/>
      <c r="CG206" s="41">
        <v>0</v>
      </c>
      <c r="CH206" s="38">
        <v>0</v>
      </c>
      <c r="CI206" s="76">
        <v>0</v>
      </c>
      <c r="CJ206" s="55"/>
      <c r="CK206" s="955"/>
      <c r="CL206" s="950"/>
      <c r="CM206" s="955"/>
      <c r="CN206" s="950">
        <v>0</v>
      </c>
      <c r="CO206" s="76">
        <v>41.537528062081215</v>
      </c>
      <c r="CP206" s="42">
        <v>0</v>
      </c>
      <c r="CQ206" s="5"/>
      <c r="CR206" s="76">
        <v>60.429174447106327</v>
      </c>
      <c r="CS206" s="954">
        <v>0</v>
      </c>
      <c r="CT206" s="5"/>
      <c r="CU206" s="76">
        <v>25.127801682442445</v>
      </c>
      <c r="CV206" s="42">
        <v>0</v>
      </c>
      <c r="CW206" s="5"/>
      <c r="CX206" s="76">
        <v>0</v>
      </c>
      <c r="CY206" s="42">
        <v>0</v>
      </c>
      <c r="CZ206" s="5"/>
      <c r="DA206" s="76">
        <v>0</v>
      </c>
      <c r="DB206" s="42">
        <v>0</v>
      </c>
      <c r="DC206" s="5"/>
      <c r="DD206" s="76">
        <v>9.8856385409863776</v>
      </c>
      <c r="DE206" s="42">
        <v>0</v>
      </c>
      <c r="DF206" s="5"/>
      <c r="DG206" s="76">
        <v>0</v>
      </c>
      <c r="DH206" s="42"/>
      <c r="DI206" s="5"/>
      <c r="DJ206" s="42">
        <v>136.98014273261637</v>
      </c>
      <c r="DK206" s="42">
        <f t="shared" si="30"/>
        <v>0</v>
      </c>
      <c r="DL206" s="58">
        <f t="shared" si="31"/>
        <v>-136.98014273261637</v>
      </c>
      <c r="DM206" s="2">
        <v>2</v>
      </c>
    </row>
    <row r="207" spans="1:117" ht="24.9" customHeight="1" x14ac:dyDescent="0.3">
      <c r="A207" s="318">
        <v>150000951</v>
      </c>
      <c r="B207" s="44" t="s">
        <v>170</v>
      </c>
      <c r="C207" s="956">
        <v>2</v>
      </c>
      <c r="D207" s="957" t="s">
        <v>454</v>
      </c>
      <c r="E207" s="949">
        <f>'побудинковий звіт'!E174</f>
        <v>7055.84</v>
      </c>
      <c r="F207" s="950">
        <f>'побудинковий звіт'!AS174</f>
        <v>147139.57321768106</v>
      </c>
      <c r="G207" s="950">
        <f t="shared" si="24"/>
        <v>0</v>
      </c>
      <c r="H207" s="950">
        <f t="shared" si="25"/>
        <v>-147139.57321768106</v>
      </c>
      <c r="I207" s="42">
        <f>'[2]поточний ремонт'!I207+'[1]поточний ремонт'!I207</f>
        <v>0</v>
      </c>
      <c r="J207" s="42">
        <f>'[2]поточний ремонт'!J207+'[1]поточний ремонт'!J207</f>
        <v>0</v>
      </c>
      <c r="K207" s="958"/>
      <c r="L207" s="42">
        <f>'[2]поточний ремонт'!L207+'[1]поточний ремонт'!L207</f>
        <v>0</v>
      </c>
      <c r="M207" s="42">
        <f>'[2]поточний ремонт'!M207+'[1]поточний ремонт'!M207</f>
        <v>0</v>
      </c>
      <c r="N207" s="36"/>
      <c r="O207" s="42">
        <f>'[2]поточний ремонт'!O207+'[1]поточний ремонт'!O207</f>
        <v>0</v>
      </c>
      <c r="P207" s="42">
        <f>'[2]поточний ремонт'!P207+'[1]поточний ремонт'!P207</f>
        <v>0</v>
      </c>
      <c r="Q207" s="959"/>
      <c r="R207" s="42">
        <f>'[2]поточний ремонт'!R207+'[1]поточний ремонт'!R207</f>
        <v>0</v>
      </c>
      <c r="S207" s="42">
        <f>'[2]поточний ремонт'!S207+'[1]поточний ремонт'!S207</f>
        <v>0</v>
      </c>
      <c r="T207" s="960"/>
      <c r="U207" s="42">
        <f>'[2]поточний ремонт'!U207+'[1]поточний ремонт'!U207</f>
        <v>0</v>
      </c>
      <c r="V207" s="42">
        <f>'[2]поточний ремонт'!V207+'[1]поточний ремонт'!V207</f>
        <v>0</v>
      </c>
      <c r="W207" s="42">
        <f>'[2]поточний ремонт'!W207+'[1]поточний ремонт'!W207</f>
        <v>0</v>
      </c>
      <c r="X207" s="42">
        <f>'[2]поточний ремонт'!X207+'[1]поточний ремонт'!X207</f>
        <v>0</v>
      </c>
      <c r="Y207" s="42">
        <f>'[2]поточний ремонт'!Y207+'[1]поточний ремонт'!Y207</f>
        <v>0</v>
      </c>
      <c r="Z207" s="42">
        <f>'[2]поточний ремонт'!Z207+'[1]поточний ремонт'!Z207</f>
        <v>0</v>
      </c>
      <c r="AA207" s="42">
        <f>'[2]поточний ремонт'!AA207+'[1]поточний ремонт'!AA207</f>
        <v>0</v>
      </c>
      <c r="AB207" s="42">
        <f>'[2]поточний ремонт'!AB207+'[1]поточний ремонт'!AB207</f>
        <v>0</v>
      </c>
      <c r="AC207" s="42">
        <f>'[2]поточний ремонт'!AC207+'[1]поточний ремонт'!AC207</f>
        <v>0</v>
      </c>
      <c r="AD207" s="42">
        <f>'[2]поточний ремонт'!AD207+'[1]поточний ремонт'!AD207</f>
        <v>0</v>
      </c>
      <c r="AE207" s="42">
        <f>'[2]поточний ремонт'!AE207+'[1]поточний ремонт'!AE207</f>
        <v>0</v>
      </c>
      <c r="AF207" s="42">
        <f>'[2]поточний ремонт'!AF207+'[1]поточний ремонт'!AF207</f>
        <v>0</v>
      </c>
      <c r="AG207" s="5"/>
      <c r="AH207" s="42">
        <f>'[2]поточний ремонт'!AH207+'[1]поточний ремонт'!AH207</f>
        <v>0</v>
      </c>
      <c r="AI207" s="42">
        <f>'[2]поточний ремонт'!AI207+'[1]поточний ремонт'!AI207</f>
        <v>0</v>
      </c>
      <c r="AJ207" s="5"/>
      <c r="AK207" s="42">
        <f>'[2]поточний ремонт'!AK207+'[1]поточний ремонт'!AK207</f>
        <v>0</v>
      </c>
      <c r="AL207" s="42">
        <f>'[2]поточний ремонт'!AL207+'[1]поточний ремонт'!AL207</f>
        <v>0</v>
      </c>
      <c r="AM207" s="5"/>
      <c r="AN207" s="42">
        <f>'[2]поточний ремонт'!AN207+'[1]поточний ремонт'!AN207</f>
        <v>0</v>
      </c>
      <c r="AO207" s="42">
        <f>'[2]поточний ремонт'!AO207+'[1]поточний ремонт'!AO207</f>
        <v>0</v>
      </c>
      <c r="AP207" s="5"/>
      <c r="AQ207" s="42">
        <f>'[2]поточний ремонт'!AQ207+'[1]поточний ремонт'!AQ207</f>
        <v>0</v>
      </c>
      <c r="AR207" s="42">
        <f>'[2]поточний ремонт'!AR207+'[1]поточний ремонт'!AR207</f>
        <v>0</v>
      </c>
      <c r="AS207" s="5"/>
      <c r="AT207" s="42">
        <f>'[2]поточний ремонт'!AT207+'[1]поточний ремонт'!AT207</f>
        <v>151.97182225110043</v>
      </c>
      <c r="AU207" s="42">
        <f>'[2]поточний ремонт'!AU207+'[1]поточний ремонт'!AU207</f>
        <v>0</v>
      </c>
      <c r="AV207" s="5"/>
      <c r="AW207" s="42">
        <f>'[2]поточний ремонт'!AW207+'[1]поточний ремонт'!AW207</f>
        <v>136.54302887675732</v>
      </c>
      <c r="AX207" s="42">
        <f>'[2]поточний ремонт'!AX207+'[1]поточний ремонт'!AX207</f>
        <v>0</v>
      </c>
      <c r="AY207" s="5"/>
      <c r="AZ207" s="42">
        <f t="shared" si="26"/>
        <v>288.51485112785775</v>
      </c>
      <c r="BA207" s="42">
        <f t="shared" si="27"/>
        <v>0</v>
      </c>
      <c r="BB207" s="58">
        <f t="shared" si="28"/>
        <v>-288.51485112785775</v>
      </c>
      <c r="BD207" s="2">
        <v>1</v>
      </c>
      <c r="BF207" s="29">
        <v>25.844048330311328</v>
      </c>
      <c r="BG207" s="318">
        <v>150000951</v>
      </c>
      <c r="BI207" s="104">
        <v>0</v>
      </c>
      <c r="BJ207" s="104">
        <f t="shared" si="29"/>
        <v>0</v>
      </c>
      <c r="BK207" s="104">
        <v>0</v>
      </c>
      <c r="BL207" s="38"/>
      <c r="BM207" s="3"/>
      <c r="BN207" s="3">
        <v>0</v>
      </c>
      <c r="BP207" s="3"/>
      <c r="BQ207" s="3"/>
      <c r="BS207" s="42"/>
      <c r="BT207" s="42">
        <v>0</v>
      </c>
      <c r="BU207" s="958"/>
      <c r="BV207" s="41"/>
      <c r="BW207" s="42"/>
      <c r="BX207" s="36"/>
      <c r="BY207" s="76"/>
      <c r="BZ207" s="42">
        <v>0</v>
      </c>
      <c r="CA207" s="959"/>
      <c r="CB207" s="41"/>
      <c r="CC207" s="41">
        <v>0</v>
      </c>
      <c r="CD207" s="960"/>
      <c r="CE207" s="76">
        <v>0</v>
      </c>
      <c r="CF207" s="55"/>
      <c r="CG207" s="41">
        <v>0</v>
      </c>
      <c r="CH207" s="38">
        <v>0</v>
      </c>
      <c r="CI207" s="76">
        <v>0</v>
      </c>
      <c r="CJ207" s="55"/>
      <c r="CK207" s="955"/>
      <c r="CL207" s="950"/>
      <c r="CM207" s="955"/>
      <c r="CN207" s="950">
        <v>0</v>
      </c>
      <c r="CO207" s="76">
        <v>0</v>
      </c>
      <c r="CP207" s="42">
        <v>0</v>
      </c>
      <c r="CQ207" s="5"/>
      <c r="CR207" s="76">
        <v>0</v>
      </c>
      <c r="CS207" s="954">
        <v>0</v>
      </c>
      <c r="CT207" s="5"/>
      <c r="CU207" s="76">
        <v>0</v>
      </c>
      <c r="CV207" s="42">
        <v>0</v>
      </c>
      <c r="CW207" s="5"/>
      <c r="CX207" s="76">
        <v>0</v>
      </c>
      <c r="CY207" s="42">
        <v>0</v>
      </c>
      <c r="CZ207" s="5"/>
      <c r="DA207" s="76">
        <v>0</v>
      </c>
      <c r="DB207" s="42">
        <v>0</v>
      </c>
      <c r="DC207" s="5"/>
      <c r="DD207" s="76">
        <v>5.8996198763467351</v>
      </c>
      <c r="DE207" s="42">
        <v>0</v>
      </c>
      <c r="DF207" s="5"/>
      <c r="DG207" s="76">
        <v>9.4222626872290824</v>
      </c>
      <c r="DH207" s="42"/>
      <c r="DI207" s="5"/>
      <c r="DJ207" s="42">
        <v>15.321882563575818</v>
      </c>
      <c r="DK207" s="42">
        <f t="shared" si="30"/>
        <v>0</v>
      </c>
      <c r="DL207" s="58">
        <f t="shared" si="31"/>
        <v>-15.321882563575818</v>
      </c>
      <c r="DM207" s="2">
        <v>1</v>
      </c>
    </row>
    <row r="208" spans="1:117" ht="24.9" customHeight="1" x14ac:dyDescent="0.3">
      <c r="A208" s="318">
        <v>150000954</v>
      </c>
      <c r="B208" s="44" t="s">
        <v>171</v>
      </c>
      <c r="C208" s="956">
        <v>2</v>
      </c>
      <c r="D208" s="957" t="s">
        <v>454</v>
      </c>
      <c r="E208" s="949">
        <f>'побудинковий звіт'!E175</f>
        <v>10354.25</v>
      </c>
      <c r="F208" s="950">
        <f>'побудинковий звіт'!AS175</f>
        <v>203473.28041055481</v>
      </c>
      <c r="G208" s="950">
        <f t="shared" si="24"/>
        <v>0</v>
      </c>
      <c r="H208" s="950">
        <f t="shared" si="25"/>
        <v>-203473.28041055481</v>
      </c>
      <c r="I208" s="42">
        <f>'[2]поточний ремонт'!I208+'[1]поточний ремонт'!I208</f>
        <v>0</v>
      </c>
      <c r="J208" s="42">
        <f>'[2]поточний ремонт'!J208+'[1]поточний ремонт'!J208</f>
        <v>0</v>
      </c>
      <c r="K208" s="958"/>
      <c r="L208" s="42">
        <f>'[2]поточний ремонт'!L208+'[1]поточний ремонт'!L208</f>
        <v>0</v>
      </c>
      <c r="M208" s="42">
        <f>'[2]поточний ремонт'!M208+'[1]поточний ремонт'!M208</f>
        <v>0</v>
      </c>
      <c r="N208" s="36"/>
      <c r="O208" s="42">
        <f>'[2]поточний ремонт'!O208+'[1]поточний ремонт'!O208</f>
        <v>0</v>
      </c>
      <c r="P208" s="42">
        <f>'[2]поточний ремонт'!P208+'[1]поточний ремонт'!P208</f>
        <v>0</v>
      </c>
      <c r="Q208" s="959"/>
      <c r="R208" s="42">
        <f>'[2]поточний ремонт'!R208+'[1]поточний ремонт'!R208</f>
        <v>0</v>
      </c>
      <c r="S208" s="42">
        <f>'[2]поточний ремонт'!S208+'[1]поточний ремонт'!S208</f>
        <v>0</v>
      </c>
      <c r="T208" s="960"/>
      <c r="U208" s="42">
        <f>'[2]поточний ремонт'!U208+'[1]поточний ремонт'!U208</f>
        <v>0</v>
      </c>
      <c r="V208" s="42">
        <f>'[2]поточний ремонт'!V208+'[1]поточний ремонт'!V208</f>
        <v>0</v>
      </c>
      <c r="W208" s="42">
        <f>'[2]поточний ремонт'!W208+'[1]поточний ремонт'!W208</f>
        <v>0</v>
      </c>
      <c r="X208" s="42">
        <f>'[2]поточний ремонт'!X208+'[1]поточний ремонт'!X208</f>
        <v>0</v>
      </c>
      <c r="Y208" s="42">
        <f>'[2]поточний ремонт'!Y208+'[1]поточний ремонт'!Y208</f>
        <v>0</v>
      </c>
      <c r="Z208" s="42">
        <f>'[2]поточний ремонт'!Z208+'[1]поточний ремонт'!Z208</f>
        <v>0</v>
      </c>
      <c r="AA208" s="42">
        <f>'[2]поточний ремонт'!AA208+'[1]поточний ремонт'!AA208</f>
        <v>0</v>
      </c>
      <c r="AB208" s="42">
        <f>'[2]поточний ремонт'!AB208+'[1]поточний ремонт'!AB208</f>
        <v>0</v>
      </c>
      <c r="AC208" s="42">
        <f>'[2]поточний ремонт'!AC208+'[1]поточний ремонт'!AC208</f>
        <v>0</v>
      </c>
      <c r="AD208" s="42">
        <f>'[2]поточний ремонт'!AD208+'[1]поточний ремонт'!AD208</f>
        <v>0</v>
      </c>
      <c r="AE208" s="42">
        <f>'[2]поточний ремонт'!AE208+'[1]поточний ремонт'!AE208</f>
        <v>242.84615679294691</v>
      </c>
      <c r="AF208" s="42">
        <f>'[2]поточний ремонт'!AF208+'[1]поточний ремонт'!AF208</f>
        <v>0</v>
      </c>
      <c r="AG208" s="5"/>
      <c r="AH208" s="42">
        <f>'[2]поточний ремонт'!AH208+'[1]поточний ремонт'!AH208</f>
        <v>334.29431476974378</v>
      </c>
      <c r="AI208" s="42">
        <f>'[2]поточний ремонт'!AI208+'[1]поточний ремонт'!AI208</f>
        <v>0</v>
      </c>
      <c r="AJ208" s="5"/>
      <c r="AK208" s="42">
        <f>'[2]поточний ремонт'!AK208+'[1]поточний ремонт'!AK208</f>
        <v>256.43601789069533</v>
      </c>
      <c r="AL208" s="42">
        <f>'[2]поточний ремонт'!AL208+'[1]поточний ремонт'!AL208</f>
        <v>0</v>
      </c>
      <c r="AM208" s="5"/>
      <c r="AN208" s="42">
        <f>'[2]поточний ремонт'!AN208+'[1]поточний ремонт'!AN208</f>
        <v>0</v>
      </c>
      <c r="AO208" s="42">
        <f>'[2]поточний ремонт'!AO208+'[1]поточний ремонт'!AO208</f>
        <v>0</v>
      </c>
      <c r="AP208" s="5"/>
      <c r="AQ208" s="42">
        <f>'[2]поточний ремонт'!AQ208+'[1]поточний ремонт'!AQ208</f>
        <v>0</v>
      </c>
      <c r="AR208" s="42">
        <f>'[2]поточний ремонт'!AR208+'[1]поточний ремонт'!AR208</f>
        <v>0</v>
      </c>
      <c r="AS208" s="5"/>
      <c r="AT208" s="42">
        <f>'[2]поточний ремонт'!AT208+'[1]поточний ремонт'!AT208</f>
        <v>254.78838908153182</v>
      </c>
      <c r="AU208" s="42">
        <f>'[2]поточний ремонт'!AU208+'[1]поточний ремонт'!AU208</f>
        <v>0</v>
      </c>
      <c r="AV208" s="5"/>
      <c r="AW208" s="42">
        <f>'[2]поточний ремонт'!AW208+'[1]поточний ремонт'!AW208</f>
        <v>144.06776429931156</v>
      </c>
      <c r="AX208" s="42">
        <f>'[2]поточний ремонт'!AX208+'[1]поточний ремонт'!AX208</f>
        <v>576.08846680399995</v>
      </c>
      <c r="AY208" s="5"/>
      <c r="AZ208" s="42">
        <f t="shared" si="26"/>
        <v>1232.4326428342295</v>
      </c>
      <c r="BA208" s="42">
        <f t="shared" si="27"/>
        <v>576.08846680399995</v>
      </c>
      <c r="BB208" s="58">
        <f t="shared" si="28"/>
        <v>-656.34417603022951</v>
      </c>
      <c r="BD208" s="2">
        <v>1</v>
      </c>
      <c r="BF208" s="29">
        <v>16.764060561910551</v>
      </c>
      <c r="BG208" s="318">
        <v>150000954</v>
      </c>
      <c r="BI208" s="104">
        <v>0</v>
      </c>
      <c r="BJ208" s="104">
        <f t="shared" si="29"/>
        <v>0</v>
      </c>
      <c r="BK208" s="104">
        <v>0</v>
      </c>
      <c r="BL208" s="38"/>
      <c r="BM208" s="3"/>
      <c r="BN208" s="3">
        <v>0</v>
      </c>
      <c r="BP208" s="3"/>
      <c r="BQ208" s="3"/>
      <c r="BS208" s="42"/>
      <c r="BT208" s="42">
        <v>0</v>
      </c>
      <c r="BU208" s="958"/>
      <c r="BV208" s="41"/>
      <c r="BW208" s="42"/>
      <c r="BX208" s="36"/>
      <c r="BY208" s="76"/>
      <c r="BZ208" s="42">
        <v>0</v>
      </c>
      <c r="CA208" s="959"/>
      <c r="CB208" s="41"/>
      <c r="CC208" s="41">
        <v>0</v>
      </c>
      <c r="CD208" s="960"/>
      <c r="CE208" s="76">
        <v>0</v>
      </c>
      <c r="CF208" s="55"/>
      <c r="CG208" s="41">
        <v>0</v>
      </c>
      <c r="CH208" s="38">
        <v>0</v>
      </c>
      <c r="CI208" s="76">
        <v>0</v>
      </c>
      <c r="CJ208" s="55"/>
      <c r="CK208" s="955"/>
      <c r="CL208" s="950"/>
      <c r="CM208" s="955"/>
      <c r="CN208" s="950">
        <v>0</v>
      </c>
      <c r="CO208" s="76">
        <v>19.927017168951291</v>
      </c>
      <c r="CP208" s="42">
        <v>0</v>
      </c>
      <c r="CQ208" s="5"/>
      <c r="CR208" s="76">
        <v>26.002241915669433</v>
      </c>
      <c r="CS208" s="954">
        <v>0</v>
      </c>
      <c r="CT208" s="5"/>
      <c r="CU208" s="76">
        <v>20.457503065716885</v>
      </c>
      <c r="CV208" s="42">
        <v>0</v>
      </c>
      <c r="CW208" s="5"/>
      <c r="CX208" s="76">
        <v>0</v>
      </c>
      <c r="CY208" s="42">
        <v>0</v>
      </c>
      <c r="CZ208" s="5"/>
      <c r="DA208" s="76">
        <v>0</v>
      </c>
      <c r="DB208" s="42">
        <v>0</v>
      </c>
      <c r="DC208" s="5"/>
      <c r="DD208" s="76">
        <v>18.338174438874663</v>
      </c>
      <c r="DE208" s="42">
        <v>0</v>
      </c>
      <c r="DF208" s="5"/>
      <c r="DG208" s="76">
        <v>13.953532419340904</v>
      </c>
      <c r="DH208" s="42"/>
      <c r="DI208" s="5"/>
      <c r="DJ208" s="42">
        <v>98.678469008553165</v>
      </c>
      <c r="DK208" s="42">
        <f t="shared" si="30"/>
        <v>0</v>
      </c>
      <c r="DL208" s="58">
        <f t="shared" si="31"/>
        <v>-98.678469008553165</v>
      </c>
      <c r="DM208" s="2">
        <v>1</v>
      </c>
    </row>
    <row r="209" spans="1:117" ht="24.9" customHeight="1" x14ac:dyDescent="0.3">
      <c r="A209" s="318">
        <v>150000929</v>
      </c>
      <c r="B209" s="44" t="s">
        <v>1094</v>
      </c>
      <c r="C209" s="956">
        <v>2</v>
      </c>
      <c r="D209" s="957" t="s">
        <v>454</v>
      </c>
      <c r="E209" s="949">
        <f>'побудинковий звіт'!E176</f>
        <v>211.4</v>
      </c>
      <c r="F209" s="950">
        <f>'побудинковий звіт'!AS176</f>
        <v>2674.5172708904483</v>
      </c>
      <c r="G209" s="950">
        <f t="shared" si="24"/>
        <v>217.85031895518466</v>
      </c>
      <c r="H209" s="950">
        <f t="shared" si="25"/>
        <v>-2456.6669519352636</v>
      </c>
      <c r="I209" s="42">
        <f>'[2]поточний ремонт'!I209+'[1]поточний ремонт'!I209</f>
        <v>0</v>
      </c>
      <c r="J209" s="42">
        <f>'[2]поточний ремонт'!J209+'[1]поточний ремонт'!J209</f>
        <v>0</v>
      </c>
      <c r="K209" s="958"/>
      <c r="L209" s="42">
        <f>'[2]поточний ремонт'!L209+'[1]поточний ремонт'!L209</f>
        <v>0</v>
      </c>
      <c r="M209" s="42">
        <f>'[2]поточний ремонт'!M209+'[1]поточний ремонт'!M209</f>
        <v>0</v>
      </c>
      <c r="N209" s="36"/>
      <c r="O209" s="42">
        <f>'[2]поточний ремонт'!O209+'[1]поточний ремонт'!O209</f>
        <v>0</v>
      </c>
      <c r="P209" s="42">
        <f>'[2]поточний ремонт'!P209+'[1]поточний ремонт'!P209</f>
        <v>0</v>
      </c>
      <c r="Q209" s="959"/>
      <c r="R209" s="42">
        <f>'[2]поточний ремонт'!R209+'[1]поточний ремонт'!R209</f>
        <v>0</v>
      </c>
      <c r="S209" s="42">
        <f>'[2]поточний ремонт'!S209+'[1]поточний ремонт'!S209</f>
        <v>0</v>
      </c>
      <c r="T209" s="960"/>
      <c r="U209" s="42">
        <f>'[2]поточний ремонт'!U209+'[1]поточний ремонт'!U209</f>
        <v>0</v>
      </c>
      <c r="V209" s="42">
        <f>'[2]поточний ремонт'!V209+'[1]поточний ремонт'!V209</f>
        <v>0</v>
      </c>
      <c r="W209" s="42">
        <f>'[2]поточний ремонт'!W209+'[1]поточний ремонт'!W209</f>
        <v>0</v>
      </c>
      <c r="X209" s="42">
        <f>'[2]поточний ремонт'!X209+'[1]поточний ремонт'!X209</f>
        <v>217.85031895518466</v>
      </c>
      <c r="Y209" s="42">
        <f>'[2]поточний ремонт'!Y209+'[1]поточний ремонт'!Y209</f>
        <v>0</v>
      </c>
      <c r="Z209" s="42">
        <f>'[2]поточний ремонт'!Z209+'[1]поточний ремонт'!Z209</f>
        <v>0</v>
      </c>
      <c r="AA209" s="42">
        <f>'[2]поточний ремонт'!AA209+'[1]поточний ремонт'!AA209</f>
        <v>0</v>
      </c>
      <c r="AB209" s="42">
        <f>'[2]поточний ремонт'!AB209+'[1]поточний ремонт'!AB209</f>
        <v>0</v>
      </c>
      <c r="AC209" s="42">
        <f>'[2]поточний ремонт'!AC209+'[1]поточний ремонт'!AC209</f>
        <v>0</v>
      </c>
      <c r="AD209" s="42">
        <f>'[2]поточний ремонт'!AD209+'[1]поточний ремонт'!AD209</f>
        <v>0</v>
      </c>
      <c r="AE209" s="42">
        <f>'[2]поточний ремонт'!AE209+'[1]поточний ремонт'!AE209</f>
        <v>561.24622272562601</v>
      </c>
      <c r="AF209" s="42">
        <f>'[2]поточний ремонт'!AF209+'[1]поточний ремонт'!AF209</f>
        <v>0</v>
      </c>
      <c r="AG209" s="5"/>
      <c r="AH209" s="42">
        <f>'[2]поточний ремонт'!AH209+'[1]поточний ремонт'!AH209</f>
        <v>712.46679369138644</v>
      </c>
      <c r="AI209" s="42">
        <f>'[2]поточний ремонт'!AI209+'[1]поточний ремонт'!AI209</f>
        <v>0</v>
      </c>
      <c r="AJ209" s="5"/>
      <c r="AK209" s="42">
        <f>'[2]поточний ремонт'!AK209+'[1]поточний ремонт'!AK209</f>
        <v>0</v>
      </c>
      <c r="AL209" s="42">
        <f>'[2]поточний ремонт'!AL209+'[1]поточний ремонт'!AL209</f>
        <v>0</v>
      </c>
      <c r="AM209" s="5"/>
      <c r="AN209" s="42">
        <f>'[2]поточний ремонт'!AN209+'[1]поточний ремонт'!AN209</f>
        <v>0</v>
      </c>
      <c r="AO209" s="42">
        <f>'[2]поточний ремонт'!AO209+'[1]поточний ремонт'!AO209</f>
        <v>0</v>
      </c>
      <c r="AP209" s="5"/>
      <c r="AQ209" s="42">
        <f>'[2]поточний ремонт'!AQ209+'[1]поточний ремонт'!AQ209</f>
        <v>0</v>
      </c>
      <c r="AR209" s="42">
        <f>'[2]поточний ремонт'!AR209+'[1]поточний ремонт'!AR209</f>
        <v>0</v>
      </c>
      <c r="AS209" s="5"/>
      <c r="AT209" s="42">
        <f>'[2]поточний ремонт'!AT209+'[1]поточний ремонт'!AT209</f>
        <v>222.50979332522377</v>
      </c>
      <c r="AU209" s="42">
        <f>'[2]поточний ремонт'!AU209+'[1]поточний ремонт'!AU209</f>
        <v>0</v>
      </c>
      <c r="AV209" s="5"/>
      <c r="AW209" s="42">
        <f>'[2]поточний ремонт'!AW209+'[1]поточний ремонт'!AW209</f>
        <v>31.214014296485885</v>
      </c>
      <c r="AX209" s="42">
        <f>'[2]поточний ремонт'!AX209+'[1]поточний ремонт'!AX209</f>
        <v>0</v>
      </c>
      <c r="AY209" s="5"/>
      <c r="AZ209" s="42">
        <f t="shared" si="26"/>
        <v>1527.4368240387221</v>
      </c>
      <c r="BA209" s="42">
        <f t="shared" si="27"/>
        <v>0</v>
      </c>
      <c r="BB209" s="58">
        <f t="shared" si="28"/>
        <v>-1527.4368240387221</v>
      </c>
      <c r="BD209" s="2">
        <v>2</v>
      </c>
      <c r="BF209" s="29">
        <v>0.71392192571168833</v>
      </c>
      <c r="BG209" s="318">
        <v>150000929</v>
      </c>
      <c r="BI209" s="104">
        <v>15.97</v>
      </c>
      <c r="BJ209" s="104">
        <f t="shared" si="29"/>
        <v>2.2463753339999997</v>
      </c>
      <c r="BK209" s="104">
        <v>18.41797416212</v>
      </c>
      <c r="BL209" s="38"/>
      <c r="BM209" s="3"/>
      <c r="BN209" s="3">
        <v>0</v>
      </c>
      <c r="BP209" s="3"/>
      <c r="BQ209" s="3"/>
      <c r="BS209" s="42"/>
      <c r="BT209" s="42">
        <v>0</v>
      </c>
      <c r="BU209" s="958"/>
      <c r="BV209" s="41"/>
      <c r="BW209" s="42"/>
      <c r="BX209" s="36"/>
      <c r="BY209" s="76"/>
      <c r="BZ209" s="42">
        <v>0</v>
      </c>
      <c r="CA209" s="959"/>
      <c r="CB209" s="41"/>
      <c r="CC209" s="41">
        <v>0</v>
      </c>
      <c r="CD209" s="960"/>
      <c r="CE209" s="76">
        <v>0</v>
      </c>
      <c r="CF209" s="55"/>
      <c r="CG209" s="41">
        <v>0</v>
      </c>
      <c r="CH209" s="38">
        <v>18.41797416212</v>
      </c>
      <c r="CI209" s="76">
        <v>0</v>
      </c>
      <c r="CJ209" s="55"/>
      <c r="CK209" s="955"/>
      <c r="CL209" s="950"/>
      <c r="CM209" s="955"/>
      <c r="CN209" s="950">
        <v>0</v>
      </c>
      <c r="CO209" s="76">
        <v>46.562148521513521</v>
      </c>
      <c r="CP209" s="42">
        <v>0</v>
      </c>
      <c r="CQ209" s="5"/>
      <c r="CR209" s="76">
        <v>60.429174447106327</v>
      </c>
      <c r="CS209" s="954">
        <v>0</v>
      </c>
      <c r="CT209" s="5"/>
      <c r="CU209" s="76">
        <v>0</v>
      </c>
      <c r="CV209" s="42">
        <v>0</v>
      </c>
      <c r="CW209" s="5"/>
      <c r="CX209" s="76">
        <v>0</v>
      </c>
      <c r="CY209" s="42">
        <v>0</v>
      </c>
      <c r="CZ209" s="5"/>
      <c r="DA209" s="76">
        <v>0</v>
      </c>
      <c r="DB209" s="42">
        <v>0</v>
      </c>
      <c r="DC209" s="5"/>
      <c r="DD209" s="76">
        <v>9.8856385409863776</v>
      </c>
      <c r="DE209" s="42">
        <v>0</v>
      </c>
      <c r="DF209" s="5"/>
      <c r="DG209" s="76">
        <v>0</v>
      </c>
      <c r="DH209" s="42"/>
      <c r="DI209" s="5"/>
      <c r="DJ209" s="42">
        <v>116.87696150960622</v>
      </c>
      <c r="DK209" s="42">
        <f t="shared" si="30"/>
        <v>0</v>
      </c>
      <c r="DL209" s="58">
        <f t="shared" si="31"/>
        <v>-116.87696150960622</v>
      </c>
      <c r="DM209" s="2">
        <v>2</v>
      </c>
    </row>
    <row r="210" spans="1:117" ht="23.1" customHeight="1" x14ac:dyDescent="0.3">
      <c r="A210" s="318">
        <v>150000930</v>
      </c>
      <c r="B210" s="44" t="s">
        <v>172</v>
      </c>
      <c r="C210" s="956">
        <v>2</v>
      </c>
      <c r="D210" s="957" t="s">
        <v>454</v>
      </c>
      <c r="E210" s="949">
        <f>'побудинковий звіт'!E177</f>
        <v>7424.15</v>
      </c>
      <c r="F210" s="950">
        <f>'побудинковий звіт'!AS177</f>
        <v>138050.88740944868</v>
      </c>
      <c r="G210" s="950">
        <f t="shared" si="24"/>
        <v>0</v>
      </c>
      <c r="H210" s="950">
        <f t="shared" si="25"/>
        <v>-138050.88740944868</v>
      </c>
      <c r="I210" s="42">
        <f>'[2]поточний ремонт'!I210+'[1]поточний ремонт'!I210</f>
        <v>0</v>
      </c>
      <c r="J210" s="42">
        <f>'[2]поточний ремонт'!J210+'[1]поточний ремонт'!J210</f>
        <v>0</v>
      </c>
      <c r="K210" s="958"/>
      <c r="L210" s="42">
        <f>'[2]поточний ремонт'!L210+'[1]поточний ремонт'!L210</f>
        <v>0</v>
      </c>
      <c r="M210" s="42">
        <f>'[2]поточний ремонт'!M210+'[1]поточний ремонт'!M210</f>
        <v>0</v>
      </c>
      <c r="N210" s="36"/>
      <c r="O210" s="42">
        <f>'[2]поточний ремонт'!O210+'[1]поточний ремонт'!O210</f>
        <v>0</v>
      </c>
      <c r="P210" s="42">
        <f>'[2]поточний ремонт'!P210+'[1]поточний ремонт'!P210</f>
        <v>0</v>
      </c>
      <c r="Q210" s="959"/>
      <c r="R210" s="42">
        <f>'[2]поточний ремонт'!R210+'[1]поточний ремонт'!R210</f>
        <v>0</v>
      </c>
      <c r="S210" s="42">
        <f>'[2]поточний ремонт'!S210+'[1]поточний ремонт'!S210</f>
        <v>0</v>
      </c>
      <c r="T210" s="960"/>
      <c r="U210" s="42">
        <f>'[2]поточний ремонт'!U210+'[1]поточний ремонт'!U210</f>
        <v>0</v>
      </c>
      <c r="V210" s="42">
        <f>'[2]поточний ремонт'!V210+'[1]поточний ремонт'!V210</f>
        <v>0</v>
      </c>
      <c r="W210" s="42">
        <f>'[2]поточний ремонт'!W210+'[1]поточний ремонт'!W210</f>
        <v>0</v>
      </c>
      <c r="X210" s="42">
        <f>'[2]поточний ремонт'!X210+'[1]поточний ремонт'!X210</f>
        <v>0</v>
      </c>
      <c r="Y210" s="42">
        <f>'[2]поточний ремонт'!Y210+'[1]поточний ремонт'!Y210</f>
        <v>0</v>
      </c>
      <c r="Z210" s="42">
        <f>'[2]поточний ремонт'!Z210+'[1]поточний ремонт'!Z210</f>
        <v>0</v>
      </c>
      <c r="AA210" s="42">
        <f>'[2]поточний ремонт'!AA210+'[1]поточний ремонт'!AA210</f>
        <v>0</v>
      </c>
      <c r="AB210" s="42">
        <f>'[2]поточний ремонт'!AB210+'[1]поточний ремонт'!AB210</f>
        <v>0</v>
      </c>
      <c r="AC210" s="42">
        <f>'[2]поточний ремонт'!AC210+'[1]поточний ремонт'!AC210</f>
        <v>0</v>
      </c>
      <c r="AD210" s="42">
        <f>'[2]поточний ремонт'!AD210+'[1]поточний ремонт'!AD210</f>
        <v>0</v>
      </c>
      <c r="AE210" s="42">
        <f>'[2]поточний ремонт'!AE210+'[1]поточний ремонт'!AE210</f>
        <v>336.50703806119998</v>
      </c>
      <c r="AF210" s="42">
        <f>'[2]поточний ремонт'!AF210+'[1]поточний ремонт'!AF210</f>
        <v>0</v>
      </c>
      <c r="AG210" s="5"/>
      <c r="AH210" s="42">
        <f>'[2]поточний ремонт'!AH210+'[1]поточний ремонт'!AH210</f>
        <v>464.01009405604844</v>
      </c>
      <c r="AI210" s="42">
        <f>'[2]поточний ремонт'!AI210+'[1]поточний ремонт'!AI210</f>
        <v>0</v>
      </c>
      <c r="AJ210" s="5"/>
      <c r="AK210" s="42">
        <f>'[2]поточний ремонт'!AK210+'[1]поточний ремонт'!AK210</f>
        <v>269.84696885839924</v>
      </c>
      <c r="AL210" s="42">
        <f>'[2]поточний ремонт'!AL210+'[1]поточний ремонт'!AL210</f>
        <v>0</v>
      </c>
      <c r="AM210" s="5"/>
      <c r="AN210" s="42">
        <f>'[2]поточний ремонт'!AN210+'[1]поточний ремонт'!AN210</f>
        <v>0</v>
      </c>
      <c r="AO210" s="42">
        <f>'[2]поточний ремонт'!AO210+'[1]поточний ремонт'!AO210</f>
        <v>0</v>
      </c>
      <c r="AP210" s="5"/>
      <c r="AQ210" s="42">
        <f>'[2]поточний ремонт'!AQ210+'[1]поточний ремонт'!AQ210</f>
        <v>0</v>
      </c>
      <c r="AR210" s="42">
        <f>'[2]поточний ремонт'!AR210+'[1]поточний ремонт'!AR210</f>
        <v>0</v>
      </c>
      <c r="AS210" s="5"/>
      <c r="AT210" s="42">
        <f>'[2]поточний ремонт'!AT210+'[1]поточний ремонт'!AT210</f>
        <v>112.7346466832477</v>
      </c>
      <c r="AU210" s="42">
        <f>'[2]поточний ремонт'!AU210+'[1]поточний ремонт'!AU210</f>
        <v>846.369578480222</v>
      </c>
      <c r="AV210" s="5"/>
      <c r="AW210" s="42">
        <f>'[2]поточний ремонт'!AW210+'[1]поточний ремонт'!AW210</f>
        <v>38.805764507289481</v>
      </c>
      <c r="AX210" s="42">
        <f>'[2]поточний ремонт'!AX210+'[1]поточний ремонт'!AX210</f>
        <v>0</v>
      </c>
      <c r="AY210" s="5"/>
      <c r="AZ210" s="42">
        <f t="shared" si="26"/>
        <v>1221.9045121661848</v>
      </c>
      <c r="BA210" s="42">
        <f t="shared" si="27"/>
        <v>846.369578480222</v>
      </c>
      <c r="BB210" s="58">
        <f t="shared" si="28"/>
        <v>-375.53493368596276</v>
      </c>
      <c r="BD210" s="2">
        <v>2</v>
      </c>
      <c r="BF210" s="29">
        <v>0.47307551501230738</v>
      </c>
      <c r="BG210" s="318">
        <v>150000930</v>
      </c>
      <c r="BI210" s="104">
        <v>0</v>
      </c>
      <c r="BJ210" s="104">
        <f t="shared" si="29"/>
        <v>0</v>
      </c>
      <c r="BK210" s="104">
        <v>0</v>
      </c>
      <c r="BL210" s="38"/>
      <c r="BM210" s="3"/>
      <c r="BN210" s="3">
        <v>0</v>
      </c>
      <c r="BP210" s="3"/>
      <c r="BQ210" s="3"/>
      <c r="BS210" s="42"/>
      <c r="BT210" s="42">
        <v>0</v>
      </c>
      <c r="BU210" s="958"/>
      <c r="BV210" s="41"/>
      <c r="BW210" s="42"/>
      <c r="BX210" s="36"/>
      <c r="BY210" s="76"/>
      <c r="BZ210" s="42">
        <v>0</v>
      </c>
      <c r="CA210" s="959"/>
      <c r="CB210" s="41"/>
      <c r="CC210" s="41">
        <v>0</v>
      </c>
      <c r="CD210" s="960"/>
      <c r="CE210" s="76">
        <v>0</v>
      </c>
      <c r="CF210" s="55"/>
      <c r="CG210" s="41">
        <v>0</v>
      </c>
      <c r="CH210" s="38">
        <v>0</v>
      </c>
      <c r="CI210" s="76">
        <v>0</v>
      </c>
      <c r="CJ210" s="55"/>
      <c r="CK210" s="955"/>
      <c r="CL210" s="950"/>
      <c r="CM210" s="955"/>
      <c r="CN210" s="950">
        <v>0</v>
      </c>
      <c r="CO210" s="76">
        <v>27.658508415781853</v>
      </c>
      <c r="CP210" s="42">
        <v>0</v>
      </c>
      <c r="CQ210" s="5"/>
      <c r="CR210" s="76">
        <v>36.539121725008329</v>
      </c>
      <c r="CS210" s="954">
        <v>0</v>
      </c>
      <c r="CT210" s="5"/>
      <c r="CU210" s="76">
        <v>19.667271281263659</v>
      </c>
      <c r="CV210" s="42">
        <v>0</v>
      </c>
      <c r="CW210" s="5"/>
      <c r="CX210" s="76">
        <v>0</v>
      </c>
      <c r="CY210" s="42">
        <v>0</v>
      </c>
      <c r="CZ210" s="5"/>
      <c r="DA210" s="76">
        <v>0</v>
      </c>
      <c r="DB210" s="42">
        <v>0</v>
      </c>
      <c r="DC210" s="5"/>
      <c r="DD210" s="76">
        <v>4.9307126480382886</v>
      </c>
      <c r="DE210" s="42">
        <v>0</v>
      </c>
      <c r="DF210" s="5"/>
      <c r="DG210" s="76">
        <v>0</v>
      </c>
      <c r="DH210" s="42"/>
      <c r="DI210" s="5"/>
      <c r="DJ210" s="42">
        <v>88.795614070092128</v>
      </c>
      <c r="DK210" s="42">
        <f t="shared" si="30"/>
        <v>0</v>
      </c>
      <c r="DL210" s="58">
        <f t="shared" si="31"/>
        <v>-88.795614070092128</v>
      </c>
      <c r="DM210" s="2">
        <v>2</v>
      </c>
    </row>
    <row r="211" spans="1:117" ht="24.9" customHeight="1" x14ac:dyDescent="0.3">
      <c r="A211" s="318">
        <v>150000931</v>
      </c>
      <c r="B211" s="44" t="s">
        <v>266</v>
      </c>
      <c r="C211" s="956">
        <v>5</v>
      </c>
      <c r="D211" s="957" t="s">
        <v>454</v>
      </c>
      <c r="E211" s="949">
        <f>'побудинковий звіт'!E178</f>
        <v>6127.15</v>
      </c>
      <c r="F211" s="950">
        <f>'побудинковий звіт'!AS178</f>
        <v>120423.76956838722</v>
      </c>
      <c r="G211" s="950">
        <f t="shared" si="24"/>
        <v>19022.066553785986</v>
      </c>
      <c r="H211" s="950">
        <f t="shared" si="25"/>
        <v>-101401.70301460123</v>
      </c>
      <c r="I211" s="42">
        <f>'[2]поточний ремонт'!I211+'[1]поточний ремонт'!I211</f>
        <v>36.4</v>
      </c>
      <c r="J211" s="42">
        <f>'[2]поточний ремонт'!J211+'[1]поточний ремонт'!J211</f>
        <v>15610</v>
      </c>
      <c r="K211" s="958"/>
      <c r="L211" s="42">
        <f>'[2]поточний ремонт'!L211+'[1]поточний ремонт'!L211</f>
        <v>1</v>
      </c>
      <c r="M211" s="42">
        <f>'[2]поточний ремонт'!M211+'[1]поточний ремонт'!M211</f>
        <v>427.69294245699376</v>
      </c>
      <c r="N211" s="36"/>
      <c r="O211" s="42">
        <f>'[2]поточний ремонт'!O211+'[1]поточний ремонт'!O211</f>
        <v>0</v>
      </c>
      <c r="P211" s="42">
        <f>'[2]поточний ремонт'!P211+'[1]поточний ремонт'!P211</f>
        <v>0</v>
      </c>
      <c r="Q211" s="959"/>
      <c r="R211" s="42">
        <f>'[2]поточний ремонт'!R211+'[1]поточний ремонт'!R211</f>
        <v>0</v>
      </c>
      <c r="S211" s="42">
        <f>'[2]поточний ремонт'!S211+'[1]поточний ремонт'!S211</f>
        <v>0</v>
      </c>
      <c r="T211" s="960"/>
      <c r="U211" s="42">
        <f>'[2]поточний ремонт'!U211+'[1]поточний ремонт'!U211</f>
        <v>0</v>
      </c>
      <c r="V211" s="42">
        <f>'[2]поточний ремонт'!V211+'[1]поточний ремонт'!V211</f>
        <v>0</v>
      </c>
      <c r="W211" s="42">
        <f>'[2]поточний ремонт'!W211+'[1]поточний ремонт'!W211</f>
        <v>0</v>
      </c>
      <c r="X211" s="42">
        <f>'[2]поточний ремонт'!X211+'[1]поточний ремонт'!X211</f>
        <v>0</v>
      </c>
      <c r="Y211" s="42">
        <f>'[2]поточний ремонт'!Y211+'[1]поточний ремонт'!Y211</f>
        <v>1258.7001004483097</v>
      </c>
      <c r="Z211" s="42">
        <f>'[2]поточний ремонт'!Z211+'[1]поточний ремонт'!Z211</f>
        <v>0</v>
      </c>
      <c r="AA211" s="42">
        <f>'[2]поточний ремонт'!AA211+'[1]поточний ремонт'!AA211</f>
        <v>0</v>
      </c>
      <c r="AB211" s="42">
        <f>'[2]поточний ремонт'!AB211+'[1]поточний ремонт'!AB211</f>
        <v>0</v>
      </c>
      <c r="AC211" s="42">
        <f>'[2]поточний ремонт'!AC211+'[1]поточний ремонт'!AC211</f>
        <v>0</v>
      </c>
      <c r="AD211" s="42">
        <f>'[2]поточний ремонт'!AD211+'[1]поточний ремонт'!AD211</f>
        <v>1725.673510880684</v>
      </c>
      <c r="AE211" s="42">
        <f>'[2]поточний ремонт'!AE211+'[1]поточний ремонт'!AE211</f>
        <v>1417.4627685031935</v>
      </c>
      <c r="AF211" s="42">
        <f>'[2]поточний ремонт'!AF211+'[1]поточний ремонт'!AF211</f>
        <v>1829.6437322267266</v>
      </c>
      <c r="AG211" s="965"/>
      <c r="AH211" s="42">
        <f>'[2]поточний ремонт'!AH211+'[1]поточний ремонт'!AH211</f>
        <v>2052.1415904736132</v>
      </c>
      <c r="AI211" s="42">
        <f>'[2]поточний ремонт'!AI211+'[1]поточний ремонт'!AI211</f>
        <v>0</v>
      </c>
      <c r="AJ211" s="9"/>
      <c r="AK211" s="42">
        <f>'[2]поточний ремонт'!AK211+'[1]поточний ремонт'!AK211</f>
        <v>1710.2290663623737</v>
      </c>
      <c r="AL211" s="42">
        <f>'[2]поточний ремонт'!AL211+'[1]поточний ремонт'!AL211</f>
        <v>0</v>
      </c>
      <c r="AM211" s="5"/>
      <c r="AN211" s="42">
        <f>'[2]поточний ремонт'!AN211+'[1]поточний ремонт'!AN211</f>
        <v>799.04521455908264</v>
      </c>
      <c r="AO211" s="42">
        <f>'[2]поточний ремонт'!AO211+'[1]поточний ремонт'!AO211</f>
        <v>3723.2648498197973</v>
      </c>
      <c r="AP211" s="5"/>
      <c r="AQ211" s="42">
        <f>'[2]поточний ремонт'!AQ211+'[1]поточний ремонт'!AQ211</f>
        <v>520.46364643710831</v>
      </c>
      <c r="AR211" s="42">
        <f>'[2]поточний ремонт'!AR211+'[1]поточний ремонт'!AR211</f>
        <v>0</v>
      </c>
      <c r="AS211" s="5"/>
      <c r="AT211" s="42">
        <f>'[2]поточний ремонт'!AT211+'[1]поточний ремонт'!AT211</f>
        <v>985.90793539088065</v>
      </c>
      <c r="AU211" s="42">
        <f>'[2]поточний ремонт'!AU211+'[1]поточний ремонт'!AU211</f>
        <v>341.30103163853278</v>
      </c>
      <c r="AV211" s="5"/>
      <c r="AW211" s="42">
        <f>'[2]поточний ремонт'!AW211+'[1]поточний ремонт'!AW211</f>
        <v>67.666963655799066</v>
      </c>
      <c r="AX211" s="42">
        <f>'[2]поточний ремонт'!AX211+'[1]поточний ремонт'!AX211</f>
        <v>0</v>
      </c>
      <c r="AY211" s="5"/>
      <c r="AZ211" s="42">
        <f t="shared" si="26"/>
        <v>7552.9171853820517</v>
      </c>
      <c r="BA211" s="42">
        <f t="shared" si="27"/>
        <v>5894.2096136850569</v>
      </c>
      <c r="BB211" s="58">
        <f t="shared" si="28"/>
        <v>-1658.7075716969948</v>
      </c>
      <c r="BD211" s="2">
        <v>2</v>
      </c>
      <c r="BF211" s="29">
        <v>3.3480864320103816</v>
      </c>
      <c r="BG211" s="318">
        <v>150000931</v>
      </c>
      <c r="BI211" s="104">
        <v>0</v>
      </c>
      <c r="BJ211" s="104">
        <f t="shared" si="29"/>
        <v>0</v>
      </c>
      <c r="BK211" s="104">
        <v>0</v>
      </c>
      <c r="BL211" s="38"/>
      <c r="BM211" s="3"/>
      <c r="BN211" s="3">
        <v>0</v>
      </c>
      <c r="BP211" s="3"/>
      <c r="BQ211" s="3"/>
      <c r="BS211" s="42"/>
      <c r="BT211" s="42">
        <v>0</v>
      </c>
      <c r="BU211" s="958"/>
      <c r="BV211" s="41"/>
      <c r="BW211" s="42"/>
      <c r="BX211" s="36"/>
      <c r="BY211" s="76"/>
      <c r="BZ211" s="42">
        <v>0</v>
      </c>
      <c r="CA211" s="959"/>
      <c r="CB211" s="41"/>
      <c r="CC211" s="41">
        <v>0</v>
      </c>
      <c r="CD211" s="960"/>
      <c r="CE211" s="76">
        <v>0</v>
      </c>
      <c r="CF211" s="55"/>
      <c r="CG211" s="41">
        <v>0</v>
      </c>
      <c r="CH211" s="38">
        <v>0</v>
      </c>
      <c r="CI211" s="76">
        <v>1256.9911154579975</v>
      </c>
      <c r="CJ211" s="55"/>
      <c r="CK211" s="955"/>
      <c r="CL211" s="950"/>
      <c r="CM211" s="955"/>
      <c r="CN211" s="950">
        <v>0</v>
      </c>
      <c r="CO211" s="76">
        <v>117.41713217559764</v>
      </c>
      <c r="CP211" s="42">
        <v>0</v>
      </c>
      <c r="CQ211" s="965"/>
      <c r="CR211" s="76">
        <v>177.63599736200752</v>
      </c>
      <c r="CS211" s="954">
        <v>0</v>
      </c>
      <c r="CT211" s="9"/>
      <c r="CU211" s="76">
        <v>145.94221368316323</v>
      </c>
      <c r="CV211" s="42">
        <v>0</v>
      </c>
      <c r="CW211" s="5"/>
      <c r="CX211" s="76">
        <v>74.377504824883587</v>
      </c>
      <c r="CY211" s="42">
        <v>0</v>
      </c>
      <c r="CZ211" s="5"/>
      <c r="DA211" s="76">
        <v>44.980177589529568</v>
      </c>
      <c r="DB211" s="42">
        <v>0</v>
      </c>
      <c r="DC211" s="5"/>
      <c r="DD211" s="76">
        <v>64.863845432626519</v>
      </c>
      <c r="DE211" s="42">
        <v>0</v>
      </c>
      <c r="DF211" s="5"/>
      <c r="DG211" s="76">
        <v>0</v>
      </c>
      <c r="DH211" s="42"/>
      <c r="DI211" s="5"/>
      <c r="DJ211" s="42">
        <v>625.21687106780803</v>
      </c>
      <c r="DK211" s="42">
        <f t="shared" si="30"/>
        <v>0</v>
      </c>
      <c r="DL211" s="58">
        <f t="shared" si="31"/>
        <v>-625.21687106780803</v>
      </c>
      <c r="DM211" s="2">
        <v>2</v>
      </c>
    </row>
    <row r="212" spans="1:117" ht="24.9" customHeight="1" x14ac:dyDescent="0.3">
      <c r="A212" s="318">
        <v>150000932</v>
      </c>
      <c r="B212" s="44" t="s">
        <v>173</v>
      </c>
      <c r="C212" s="956">
        <v>2</v>
      </c>
      <c r="D212" s="957" t="s">
        <v>454</v>
      </c>
      <c r="E212" s="949">
        <f>'побудинковий звіт'!E179</f>
        <v>159.9</v>
      </c>
      <c r="F212" s="950">
        <f>'побудинковий звіт'!AS179</f>
        <v>2088.8061125929244</v>
      </c>
      <c r="G212" s="950">
        <f t="shared" si="24"/>
        <v>0</v>
      </c>
      <c r="H212" s="950">
        <f t="shared" si="25"/>
        <v>-2088.8061125929244</v>
      </c>
      <c r="I212" s="42">
        <f>'[2]поточний ремонт'!I212+'[1]поточний ремонт'!I212</f>
        <v>0</v>
      </c>
      <c r="J212" s="42">
        <f>'[2]поточний ремонт'!J212+'[1]поточний ремонт'!J212</f>
        <v>0</v>
      </c>
      <c r="K212" s="958"/>
      <c r="L212" s="42">
        <f>'[2]поточний ремонт'!L212+'[1]поточний ремонт'!L212</f>
        <v>0</v>
      </c>
      <c r="M212" s="42">
        <f>'[2]поточний ремонт'!M212+'[1]поточний ремонт'!M212</f>
        <v>0</v>
      </c>
      <c r="N212" s="36"/>
      <c r="O212" s="42">
        <f>'[2]поточний ремонт'!O212+'[1]поточний ремонт'!O212</f>
        <v>0</v>
      </c>
      <c r="P212" s="42">
        <f>'[2]поточний ремонт'!P212+'[1]поточний ремонт'!P212</f>
        <v>0</v>
      </c>
      <c r="Q212" s="959"/>
      <c r="R212" s="42">
        <f>'[2]поточний ремонт'!R212+'[1]поточний ремонт'!R212</f>
        <v>0</v>
      </c>
      <c r="S212" s="42">
        <f>'[2]поточний ремонт'!S212+'[1]поточний ремонт'!S212</f>
        <v>0</v>
      </c>
      <c r="T212" s="960"/>
      <c r="U212" s="42">
        <f>'[2]поточний ремонт'!U212+'[1]поточний ремонт'!U212</f>
        <v>0</v>
      </c>
      <c r="V212" s="42">
        <f>'[2]поточний ремонт'!V212+'[1]поточний ремонт'!V212</f>
        <v>0</v>
      </c>
      <c r="W212" s="42">
        <f>'[2]поточний ремонт'!W212+'[1]поточний ремонт'!W212</f>
        <v>0</v>
      </c>
      <c r="X212" s="42">
        <f>'[2]поточний ремонт'!X212+'[1]поточний ремонт'!X212</f>
        <v>0</v>
      </c>
      <c r="Y212" s="42">
        <f>'[2]поточний ремонт'!Y212+'[1]поточний ремонт'!Y212</f>
        <v>0</v>
      </c>
      <c r="Z212" s="42">
        <f>'[2]поточний ремонт'!Z212+'[1]поточний ремонт'!Z212</f>
        <v>0</v>
      </c>
      <c r="AA212" s="42">
        <f>'[2]поточний ремонт'!AA212+'[1]поточний ремонт'!AA212</f>
        <v>0</v>
      </c>
      <c r="AB212" s="42">
        <f>'[2]поточний ремонт'!AB212+'[1]поточний ремонт'!AB212</f>
        <v>0</v>
      </c>
      <c r="AC212" s="42">
        <f>'[2]поточний ремонт'!AC212+'[1]поточний ремонт'!AC212</f>
        <v>0</v>
      </c>
      <c r="AD212" s="42">
        <f>'[2]поточний ремонт'!AD212+'[1]поточний ремонт'!AD212</f>
        <v>0</v>
      </c>
      <c r="AE212" s="42">
        <f>'[2]поточний ремонт'!AE212+'[1]поточний ремонт'!AE212</f>
        <v>312.57939605105531</v>
      </c>
      <c r="AF212" s="42">
        <f>'[2]поточний ремонт'!AF212+'[1]поточний ремонт'!AF212</f>
        <v>0</v>
      </c>
      <c r="AG212" s="5"/>
      <c r="AH212" s="42">
        <f>'[2]поточний ремонт'!AH212+'[1]поточний ремонт'!AH212</f>
        <v>359.37939976726273</v>
      </c>
      <c r="AI212" s="42">
        <f>'[2]поточний ремонт'!AI212+'[1]поточний ремонт'!AI212</f>
        <v>0</v>
      </c>
      <c r="AJ212" s="5"/>
      <c r="AK212" s="42">
        <f>'[2]поточний ремонт'!AK212+'[1]поточний ремонт'!AK212</f>
        <v>260.55830489788843</v>
      </c>
      <c r="AL212" s="42">
        <f>'[2]поточний ремонт'!AL212+'[1]поточний ремонт'!AL212</f>
        <v>0</v>
      </c>
      <c r="AM212" s="5"/>
      <c r="AN212" s="42">
        <f>'[2]поточний ремонт'!AN212+'[1]поточний ремонт'!AN212</f>
        <v>0</v>
      </c>
      <c r="AO212" s="42">
        <f>'[2]поточний ремонт'!AO212+'[1]поточний ремонт'!AO212</f>
        <v>0</v>
      </c>
      <c r="AP212" s="5"/>
      <c r="AQ212" s="42">
        <f>'[2]поточний ремонт'!AQ212+'[1]поточний ремонт'!AQ212</f>
        <v>0</v>
      </c>
      <c r="AR212" s="42">
        <f>'[2]поточний ремонт'!AR212+'[1]поточний ремонт'!AR212</f>
        <v>0</v>
      </c>
      <c r="AS212" s="5"/>
      <c r="AT212" s="42">
        <f>'[2]поточний ремонт'!AT212+'[1]поточний ремонт'!AT212</f>
        <v>1.4302351924716246</v>
      </c>
      <c r="AU212" s="42">
        <f>'[2]поточний ремонт'!AU212+'[1]поточний ремонт'!AU212</f>
        <v>0</v>
      </c>
      <c r="AV212" s="5"/>
      <c r="AW212" s="42">
        <f>'[2]поточний ремонт'!AW212+'[1]поточний ремонт'!AW212</f>
        <v>38.805764507289481</v>
      </c>
      <c r="AX212" s="42">
        <f>'[2]поточний ремонт'!AX212+'[1]поточний ремонт'!AX212</f>
        <v>0</v>
      </c>
      <c r="AY212" s="5"/>
      <c r="AZ212" s="42">
        <f t="shared" si="26"/>
        <v>972.75310041596765</v>
      </c>
      <c r="BA212" s="42">
        <f t="shared" si="27"/>
        <v>0</v>
      </c>
      <c r="BB212" s="58">
        <f t="shared" si="28"/>
        <v>-972.75310041596765</v>
      </c>
      <c r="BD212" s="2">
        <v>2</v>
      </c>
      <c r="BF212" s="29">
        <v>0.51747655130861536</v>
      </c>
      <c r="BG212" s="318">
        <v>150000932</v>
      </c>
      <c r="BI212" s="104">
        <v>0</v>
      </c>
      <c r="BJ212" s="104">
        <f t="shared" si="29"/>
        <v>0</v>
      </c>
      <c r="BK212" s="104">
        <v>0</v>
      </c>
      <c r="BL212" s="38"/>
      <c r="BM212" s="3"/>
      <c r="BN212" s="3">
        <v>0</v>
      </c>
      <c r="BP212" s="3"/>
      <c r="BQ212" s="3"/>
      <c r="BS212" s="42"/>
      <c r="BT212" s="42">
        <v>0</v>
      </c>
      <c r="BU212" s="958"/>
      <c r="BV212" s="41"/>
      <c r="BW212" s="42"/>
      <c r="BX212" s="36"/>
      <c r="BY212" s="76"/>
      <c r="BZ212" s="42">
        <v>0</v>
      </c>
      <c r="CA212" s="959"/>
      <c r="CB212" s="41"/>
      <c r="CC212" s="41">
        <v>0</v>
      </c>
      <c r="CD212" s="960"/>
      <c r="CE212" s="76">
        <v>0</v>
      </c>
      <c r="CF212" s="55"/>
      <c r="CG212" s="41">
        <v>0</v>
      </c>
      <c r="CH212" s="38">
        <v>0</v>
      </c>
      <c r="CI212" s="76">
        <v>0</v>
      </c>
      <c r="CJ212" s="55"/>
      <c r="CK212" s="955"/>
      <c r="CL212" s="950"/>
      <c r="CM212" s="955"/>
      <c r="CN212" s="950">
        <v>0</v>
      </c>
      <c r="CO212" s="76">
        <v>25.178429673877201</v>
      </c>
      <c r="CP212" s="42">
        <v>0</v>
      </c>
      <c r="CQ212" s="5"/>
      <c r="CR212" s="76">
        <v>26.002241915669433</v>
      </c>
      <c r="CS212" s="954">
        <v>0</v>
      </c>
      <c r="CT212" s="5"/>
      <c r="CU212" s="76">
        <v>20.942872772732155</v>
      </c>
      <c r="CV212" s="42">
        <v>0</v>
      </c>
      <c r="CW212" s="5"/>
      <c r="CX212" s="76">
        <v>0</v>
      </c>
      <c r="CY212" s="42">
        <v>0</v>
      </c>
      <c r="CZ212" s="5"/>
      <c r="DA212" s="76">
        <v>0</v>
      </c>
      <c r="DB212" s="42">
        <v>0</v>
      </c>
      <c r="DC212" s="5"/>
      <c r="DD212" s="76">
        <v>0.14160744479917076</v>
      </c>
      <c r="DE212" s="42">
        <v>0</v>
      </c>
      <c r="DF212" s="5"/>
      <c r="DG212" s="76">
        <v>0</v>
      </c>
      <c r="DH212" s="42"/>
      <c r="DI212" s="5"/>
      <c r="DJ212" s="42">
        <v>72.26515180707797</v>
      </c>
      <c r="DK212" s="42">
        <f t="shared" si="30"/>
        <v>0</v>
      </c>
      <c r="DL212" s="58">
        <f t="shared" si="31"/>
        <v>-72.26515180707797</v>
      </c>
      <c r="DM212" s="2">
        <v>2</v>
      </c>
    </row>
    <row r="213" spans="1:117" ht="24.9" customHeight="1" x14ac:dyDescent="0.3">
      <c r="A213" s="318">
        <v>150000924</v>
      </c>
      <c r="B213" s="44" t="s">
        <v>174</v>
      </c>
      <c r="C213" s="956">
        <v>2</v>
      </c>
      <c r="D213" s="957" t="s">
        <v>454</v>
      </c>
      <c r="E213" s="949">
        <f>'побудинковий звіт'!E180</f>
        <v>161.4</v>
      </c>
      <c r="F213" s="950">
        <f>'побудинковий звіт'!AS180</f>
        <v>2014.4731106523857</v>
      </c>
      <c r="G213" s="950">
        <f t="shared" si="24"/>
        <v>1362.481936061416</v>
      </c>
      <c r="H213" s="950">
        <f t="shared" si="25"/>
        <v>-651.99117459096965</v>
      </c>
      <c r="I213" s="42">
        <f>'[2]поточний ремонт'!I213+'[1]поточний ремонт'!I213</f>
        <v>0</v>
      </c>
      <c r="J213" s="42">
        <f>'[2]поточний ремонт'!J213+'[1]поточний ремонт'!J213</f>
        <v>0</v>
      </c>
      <c r="K213" s="958"/>
      <c r="L213" s="42">
        <f>'[2]поточний ремонт'!L213+'[1]поточний ремонт'!L213</f>
        <v>0</v>
      </c>
      <c r="M213" s="42">
        <f>'[2]поточний ремонт'!M213+'[1]поточний ремонт'!M213</f>
        <v>0</v>
      </c>
      <c r="N213" s="36"/>
      <c r="O213" s="42">
        <f>'[2]поточний ремонт'!O213+'[1]поточний ремонт'!O213</f>
        <v>0</v>
      </c>
      <c r="P213" s="42">
        <f>'[2]поточний ремонт'!P213+'[1]поточний ремонт'!P213</f>
        <v>0</v>
      </c>
      <c r="Q213" s="959"/>
      <c r="R213" s="42">
        <f>'[2]поточний ремонт'!R213+'[1]поточний ремонт'!R213</f>
        <v>0</v>
      </c>
      <c r="S213" s="42">
        <f>'[2]поточний ремонт'!S213+'[1]поточний ремонт'!S213</f>
        <v>0</v>
      </c>
      <c r="T213" s="960"/>
      <c r="U213" s="42">
        <f>'[2]поточний ремонт'!U213+'[1]поточний ремонт'!U213</f>
        <v>0</v>
      </c>
      <c r="V213" s="42">
        <f>'[2]поточний ремонт'!V213+'[1]поточний ремонт'!V213</f>
        <v>0</v>
      </c>
      <c r="W213" s="42">
        <f>'[2]поточний ремонт'!W213+'[1]поточний ремонт'!W213</f>
        <v>0</v>
      </c>
      <c r="X213" s="42">
        <f>'[2]поточний ремонт'!X213+'[1]поточний ремонт'!X213</f>
        <v>0</v>
      </c>
      <c r="Y213" s="42">
        <f>'[2]поточний ремонт'!Y213+'[1]поточний ремонт'!Y213</f>
        <v>1362.481936061416</v>
      </c>
      <c r="Z213" s="42">
        <f>'[2]поточний ремонт'!Z213+'[1]поточний ремонт'!Z213</f>
        <v>0</v>
      </c>
      <c r="AA213" s="42">
        <f>'[2]поточний ремонт'!AA213+'[1]поточний ремонт'!AA213</f>
        <v>0</v>
      </c>
      <c r="AB213" s="42">
        <f>'[2]поточний ремонт'!AB213+'[1]поточний ремонт'!AB213</f>
        <v>0</v>
      </c>
      <c r="AC213" s="42">
        <f>'[2]поточний ремонт'!AC213+'[1]поточний ремонт'!AC213</f>
        <v>0</v>
      </c>
      <c r="AD213" s="42">
        <f>'[2]поточний ремонт'!AD213+'[1]поточний ремонт'!AD213</f>
        <v>0</v>
      </c>
      <c r="AE213" s="42">
        <f>'[2]поточний ремонт'!AE213+'[1]поточний ремонт'!AE213</f>
        <v>420.71885532384647</v>
      </c>
      <c r="AF213" s="42">
        <f>'[2]поточний ремонт'!AF213+'[1]поточний ремонт'!AF213</f>
        <v>0</v>
      </c>
      <c r="AG213" s="5"/>
      <c r="AH213" s="42">
        <f>'[2]поточний ремонт'!AH213+'[1]поточний ремонт'!AH213</f>
        <v>825.71261907240694</v>
      </c>
      <c r="AI213" s="42">
        <f>'[2]поточний ремонт'!AI213+'[1]поточний ремонт'!AI213</f>
        <v>0</v>
      </c>
      <c r="AJ213" s="5"/>
      <c r="AK213" s="42">
        <f>'[2]поточний ремонт'!AK213+'[1]поточний ремонт'!AK213</f>
        <v>314.56789600538349</v>
      </c>
      <c r="AL213" s="42">
        <f>'[2]поточний ремонт'!AL213+'[1]поточний ремонт'!AL213</f>
        <v>0</v>
      </c>
      <c r="AM213" s="5"/>
      <c r="AN213" s="42">
        <f>'[2]поточний ремонт'!AN213+'[1]поточний ремонт'!AN213</f>
        <v>0</v>
      </c>
      <c r="AO213" s="42">
        <f>'[2]поточний ремонт'!AO213+'[1]поточний ремонт'!AO213</f>
        <v>0</v>
      </c>
      <c r="AP213" s="5"/>
      <c r="AQ213" s="42">
        <f>'[2]поточний ремонт'!AQ213+'[1]поточний ремонт'!AQ213</f>
        <v>0</v>
      </c>
      <c r="AR213" s="42">
        <f>'[2]поточний ремонт'!AR213+'[1]поточний ремонт'!AR213</f>
        <v>0</v>
      </c>
      <c r="AS213" s="5"/>
      <c r="AT213" s="42">
        <f>'[2]поточний ремонт'!AT213+'[1]поточний ремонт'!AT213</f>
        <v>162.29586096687103</v>
      </c>
      <c r="AU213" s="42">
        <f>'[2]поточний ремонт'!AU213+'[1]поточний ремонт'!AU213</f>
        <v>0</v>
      </c>
      <c r="AV213" s="5"/>
      <c r="AW213" s="42">
        <f>'[2]поточний ремонт'!AW213+'[1]поточний ремонт'!AW213</f>
        <v>31.214014296485885</v>
      </c>
      <c r="AX213" s="42">
        <f>'[2]поточний ремонт'!AX213+'[1]поточний ремонт'!AX213</f>
        <v>0</v>
      </c>
      <c r="AY213" s="5"/>
      <c r="AZ213" s="42">
        <f t="shared" si="26"/>
        <v>1754.5092456649938</v>
      </c>
      <c r="BA213" s="42">
        <f t="shared" si="27"/>
        <v>0</v>
      </c>
      <c r="BB213" s="58">
        <f t="shared" si="28"/>
        <v>-1754.5092456649938</v>
      </c>
      <c r="BD213" s="2">
        <v>2</v>
      </c>
      <c r="BF213" s="29">
        <v>0.692743799846673</v>
      </c>
      <c r="BG213" s="318">
        <v>150000924</v>
      </c>
      <c r="BI213" s="104">
        <v>0</v>
      </c>
      <c r="BJ213" s="104">
        <f t="shared" si="29"/>
        <v>0</v>
      </c>
      <c r="BK213" s="104">
        <v>0</v>
      </c>
      <c r="BL213" s="38"/>
      <c r="BM213" s="3"/>
      <c r="BN213" s="3">
        <v>0</v>
      </c>
      <c r="BP213" s="3"/>
      <c r="BQ213" s="3"/>
      <c r="BS213" s="42"/>
      <c r="BT213" s="42">
        <v>0</v>
      </c>
      <c r="BU213" s="958"/>
      <c r="BV213" s="41"/>
      <c r="BW213" s="42"/>
      <c r="BX213" s="36"/>
      <c r="BY213" s="76"/>
      <c r="BZ213" s="42">
        <v>0</v>
      </c>
      <c r="CA213" s="959"/>
      <c r="CB213" s="41"/>
      <c r="CC213" s="41">
        <v>0</v>
      </c>
      <c r="CD213" s="960"/>
      <c r="CE213" s="76">
        <v>0</v>
      </c>
      <c r="CF213" s="55"/>
      <c r="CG213" s="41">
        <v>0</v>
      </c>
      <c r="CH213" s="38">
        <v>0</v>
      </c>
      <c r="CI213" s="76">
        <v>0</v>
      </c>
      <c r="CJ213" s="55"/>
      <c r="CK213" s="955"/>
      <c r="CL213" s="950"/>
      <c r="CM213" s="955"/>
      <c r="CN213" s="950">
        <v>0</v>
      </c>
      <c r="CO213" s="76">
        <v>34.368942899731842</v>
      </c>
      <c r="CP213" s="42">
        <v>0</v>
      </c>
      <c r="CQ213" s="5"/>
      <c r="CR213" s="76">
        <v>70.470758565569284</v>
      </c>
      <c r="CS213" s="954">
        <v>0</v>
      </c>
      <c r="CT213" s="5"/>
      <c r="CU213" s="76">
        <v>25.033292314829822</v>
      </c>
      <c r="CV213" s="42">
        <v>0</v>
      </c>
      <c r="CW213" s="5"/>
      <c r="CX213" s="76">
        <v>0</v>
      </c>
      <c r="CY213" s="42">
        <v>0</v>
      </c>
      <c r="CZ213" s="5"/>
      <c r="DA213" s="76">
        <v>0</v>
      </c>
      <c r="DB213" s="42">
        <v>0</v>
      </c>
      <c r="DC213" s="5"/>
      <c r="DD213" s="76">
        <v>9.885650556902343</v>
      </c>
      <c r="DE213" s="42">
        <v>0</v>
      </c>
      <c r="DF213" s="5"/>
      <c r="DG213" s="76">
        <v>0</v>
      </c>
      <c r="DH213" s="42"/>
      <c r="DI213" s="5"/>
      <c r="DJ213" s="42">
        <v>139.75864433703327</v>
      </c>
      <c r="DK213" s="42">
        <f t="shared" si="30"/>
        <v>0</v>
      </c>
      <c r="DL213" s="58">
        <f t="shared" si="31"/>
        <v>-139.75864433703327</v>
      </c>
      <c r="DM213" s="2">
        <v>2</v>
      </c>
    </row>
    <row r="214" spans="1:117" ht="24.9" customHeight="1" x14ac:dyDescent="0.3">
      <c r="A214" s="318">
        <v>150000933</v>
      </c>
      <c r="B214" s="44" t="s">
        <v>267</v>
      </c>
      <c r="C214" s="956">
        <v>5</v>
      </c>
      <c r="D214" s="957" t="s">
        <v>454</v>
      </c>
      <c r="E214" s="949">
        <f>'побудинковий звіт'!E181</f>
        <v>6019.3</v>
      </c>
      <c r="F214" s="950">
        <f>'побудинковий звіт'!AS181</f>
        <v>111088.23942671384</v>
      </c>
      <c r="G214" s="950">
        <f t="shared" si="24"/>
        <v>78811.465420212786</v>
      </c>
      <c r="H214" s="950">
        <f t="shared" si="25"/>
        <v>-32276.774006501058</v>
      </c>
      <c r="I214" s="42">
        <f>'[2]поточний ремонт'!I214+'[1]поточний ремонт'!I214</f>
        <v>5.57</v>
      </c>
      <c r="J214" s="42">
        <f>'[2]поточний ремонт'!J214+'[1]поточний ремонт'!J214</f>
        <v>2600.9401791730552</v>
      </c>
      <c r="K214" s="958"/>
      <c r="L214" s="42">
        <f>'[2]поточний ремонт'!L214+'[1]поточний ремонт'!L214</f>
        <v>2</v>
      </c>
      <c r="M214" s="42">
        <f>'[2]поточний ремонт'!M214+'[1]поточний ремонт'!M214</f>
        <v>66395.163341202613</v>
      </c>
      <c r="N214" s="36"/>
      <c r="O214" s="42">
        <f>'[2]поточний ремонт'!O214+'[1]поточний ремонт'!O214</f>
        <v>0</v>
      </c>
      <c r="P214" s="42">
        <f>'[2]поточний ремонт'!P214+'[1]поточний ремонт'!P214</f>
        <v>0</v>
      </c>
      <c r="Q214" s="959"/>
      <c r="R214" s="42">
        <f>'[2]поточний ремонт'!R214+'[1]поточний ремонт'!R214</f>
        <v>0</v>
      </c>
      <c r="S214" s="42">
        <f>'[2]поточний ремонт'!S214+'[1]поточний ремонт'!S214</f>
        <v>0</v>
      </c>
      <c r="T214" s="960"/>
      <c r="U214" s="42">
        <f>'[2]поточний ремонт'!U214+'[1]поточний ремонт'!U214</f>
        <v>0</v>
      </c>
      <c r="V214" s="42">
        <f>'[2]поточний ремонт'!V214+'[1]поточний ремонт'!V214</f>
        <v>0</v>
      </c>
      <c r="W214" s="42">
        <f>'[2]поточний ремонт'!W214+'[1]поточний ремонт'!W214</f>
        <v>3</v>
      </c>
      <c r="X214" s="42">
        <f>'[2]поточний ремонт'!X214+'[1]поточний ремонт'!X214</f>
        <v>261</v>
      </c>
      <c r="Y214" s="42">
        <f>'[2]поточний ремонт'!Y214+'[1]поточний ремонт'!Y214</f>
        <v>0</v>
      </c>
      <c r="Z214" s="42">
        <f>'[2]поточний ремонт'!Z214+'[1]поточний ремонт'!Z214</f>
        <v>0</v>
      </c>
      <c r="AA214" s="42">
        <f>'[2]поточний ремонт'!AA214+'[1]поточний ремонт'!AA214</f>
        <v>0</v>
      </c>
      <c r="AB214" s="42">
        <f>'[2]поточний ремонт'!AB214+'[1]поточний ремонт'!AB214</f>
        <v>2854.9498316558929</v>
      </c>
      <c r="AC214" s="42">
        <f>'[2]поточний ремонт'!AC214+'[1]поточний ремонт'!AC214</f>
        <v>0</v>
      </c>
      <c r="AD214" s="42">
        <f>'[2]поточний ремонт'!AD214+'[1]поточний ремонт'!AD214</f>
        <v>6699.4120681812365</v>
      </c>
      <c r="AE214" s="42">
        <f>'[2]поточний ремонт'!AE214+'[1]поточний ремонт'!AE214</f>
        <v>2583.9607178282768</v>
      </c>
      <c r="AF214" s="42">
        <f>'[2]поточний ремонт'!AF214+'[1]поточний ремонт'!AF214</f>
        <v>1788.0073460339131</v>
      </c>
      <c r="AG214" s="5"/>
      <c r="AH214" s="42">
        <f>'[2]поточний ремонт'!AH214+'[1]поточний ремонт'!AH214</f>
        <v>3849.8004900165697</v>
      </c>
      <c r="AI214" s="42">
        <f>'[2]поточний ремонт'!AI214+'[1]поточний ремонт'!AI214</f>
        <v>832.92320353512014</v>
      </c>
      <c r="AJ214" s="5"/>
      <c r="AK214" s="42">
        <f>'[2]поточний ремонт'!AK214+'[1]поточний ремонт'!AK214</f>
        <v>3564.2355956318997</v>
      </c>
      <c r="AL214" s="42">
        <f>'[2]поточний ремонт'!AL214+'[1]поточний ремонт'!AL214</f>
        <v>0</v>
      </c>
      <c r="AM214" s="5"/>
      <c r="AN214" s="42">
        <f>'[2]поточний ремонт'!AN214+'[1]поточний ремонт'!AN214</f>
        <v>1455.2645921013664</v>
      </c>
      <c r="AO214" s="42">
        <f>'[2]поточний ремонт'!AO214+'[1]поточний ремонт'!AO214</f>
        <v>9221.5149797636241</v>
      </c>
      <c r="AP214" s="5"/>
      <c r="AQ214" s="42">
        <f>'[2]поточний ремонт'!AQ214+'[1]поточний ремонт'!AQ214</f>
        <v>858.00485584094986</v>
      </c>
      <c r="AR214" s="42">
        <f>'[2]поточний ремонт'!AR214+'[1]поточний ремонт'!AR214</f>
        <v>0</v>
      </c>
      <c r="AS214" s="5"/>
      <c r="AT214" s="42">
        <f>'[2]поточний ремонт'!AT214+'[1]поточний ремонт'!AT214</f>
        <v>2144.8030524593833</v>
      </c>
      <c r="AU214" s="42">
        <f>'[2]поточний ремонт'!AU214+'[1]поточний ремонт'!AU214</f>
        <v>721.10176352025962</v>
      </c>
      <c r="AV214" s="5"/>
      <c r="AW214" s="42">
        <f>'[2]поточний ремонт'!AW214+'[1]поточний ремонт'!AW214</f>
        <v>71.525580498480196</v>
      </c>
      <c r="AX214" s="42">
        <f>'[2]поточний ремонт'!AX214+'[1]поточний ремонт'!AX214</f>
        <v>0</v>
      </c>
      <c r="AY214" s="5"/>
      <c r="AZ214" s="42">
        <f t="shared" si="26"/>
        <v>14527.594884376927</v>
      </c>
      <c r="BA214" s="42">
        <f t="shared" si="27"/>
        <v>12563.547292852916</v>
      </c>
      <c r="BB214" s="58">
        <f t="shared" si="28"/>
        <v>-1964.0475915240113</v>
      </c>
      <c r="BD214" s="2">
        <v>2</v>
      </c>
      <c r="BF214" s="29">
        <v>6.8879590507335333</v>
      </c>
      <c r="BG214" s="318">
        <v>150000933</v>
      </c>
      <c r="BI214" s="104">
        <v>0</v>
      </c>
      <c r="BJ214" s="104">
        <f t="shared" si="29"/>
        <v>0</v>
      </c>
      <c r="BK214" s="104">
        <v>0</v>
      </c>
      <c r="BL214" s="38"/>
      <c r="BM214" s="3"/>
      <c r="BN214" s="3">
        <v>0</v>
      </c>
      <c r="BP214" s="3"/>
      <c r="BQ214" s="3"/>
      <c r="BS214" s="42"/>
      <c r="BT214" s="42">
        <v>0</v>
      </c>
      <c r="BU214" s="958"/>
      <c r="BV214" s="41"/>
      <c r="BW214" s="42"/>
      <c r="BX214" s="36"/>
      <c r="BY214" s="76"/>
      <c r="BZ214" s="42">
        <v>0</v>
      </c>
      <c r="CA214" s="959"/>
      <c r="CB214" s="41"/>
      <c r="CC214" s="41">
        <v>0</v>
      </c>
      <c r="CD214" s="960"/>
      <c r="CE214" s="76">
        <v>0</v>
      </c>
      <c r="CF214" s="55"/>
      <c r="CG214" s="41">
        <v>0</v>
      </c>
      <c r="CH214" s="38">
        <v>0</v>
      </c>
      <c r="CI214" s="76">
        <v>0</v>
      </c>
      <c r="CJ214" s="55"/>
      <c r="CK214" s="955"/>
      <c r="CL214" s="950"/>
      <c r="CM214" s="955"/>
      <c r="CN214" s="950">
        <v>0</v>
      </c>
      <c r="CO214" s="76">
        <v>195.16923752252302</v>
      </c>
      <c r="CP214" s="42">
        <v>0</v>
      </c>
      <c r="CQ214" s="5"/>
      <c r="CR214" s="76">
        <v>310.2063144358163</v>
      </c>
      <c r="CS214" s="954">
        <v>0</v>
      </c>
      <c r="CT214" s="5"/>
      <c r="CU214" s="76">
        <v>287.72502417210433</v>
      </c>
      <c r="CV214" s="42">
        <v>0</v>
      </c>
      <c r="CW214" s="5"/>
      <c r="CX214" s="76">
        <v>135.65540363497172</v>
      </c>
      <c r="CY214" s="42">
        <v>0</v>
      </c>
      <c r="CZ214" s="5"/>
      <c r="DA214" s="76">
        <v>74.942692264072917</v>
      </c>
      <c r="DB214" s="42">
        <v>0</v>
      </c>
      <c r="DC214" s="5"/>
      <c r="DD214" s="76">
        <v>126.19025656078298</v>
      </c>
      <c r="DE214" s="42">
        <v>0</v>
      </c>
      <c r="DF214" s="5"/>
      <c r="DG214" s="76">
        <v>0</v>
      </c>
      <c r="DH214" s="42"/>
      <c r="DI214" s="5"/>
      <c r="DJ214" s="42">
        <v>1129.8889285902712</v>
      </c>
      <c r="DK214" s="42">
        <f t="shared" si="30"/>
        <v>0</v>
      </c>
      <c r="DL214" s="58">
        <f t="shared" si="31"/>
        <v>-1129.8889285902712</v>
      </c>
      <c r="DM214" s="2">
        <v>2</v>
      </c>
    </row>
    <row r="215" spans="1:117" ht="24.9" customHeight="1" x14ac:dyDescent="0.3">
      <c r="A215" s="318">
        <v>150000934</v>
      </c>
      <c r="B215" s="1013" t="s">
        <v>215</v>
      </c>
      <c r="C215" s="956">
        <v>5</v>
      </c>
      <c r="D215" s="957" t="s">
        <v>454</v>
      </c>
      <c r="E215" s="949">
        <f>'побудинковий звіт'!E182</f>
        <v>108.3</v>
      </c>
      <c r="F215" s="950">
        <f>'побудинковий звіт'!AS182</f>
        <v>136.73379999999997</v>
      </c>
      <c r="G215" s="950">
        <f t="shared" si="24"/>
        <v>0</v>
      </c>
      <c r="H215" s="950">
        <f t="shared" si="25"/>
        <v>-136.73379999999997</v>
      </c>
      <c r="I215" s="42">
        <f>'[2]поточний ремонт'!I215+'[1]поточний ремонт'!I215</f>
        <v>0</v>
      </c>
      <c r="J215" s="42">
        <f>'[2]поточний ремонт'!J215+'[1]поточний ремонт'!J215</f>
        <v>0</v>
      </c>
      <c r="K215" s="958"/>
      <c r="L215" s="42">
        <f>'[2]поточний ремонт'!L215+'[1]поточний ремонт'!L215</f>
        <v>0</v>
      </c>
      <c r="M215" s="42">
        <f>'[2]поточний ремонт'!M215+'[1]поточний ремонт'!M215</f>
        <v>0</v>
      </c>
      <c r="N215" s="36"/>
      <c r="O215" s="42">
        <f>'[2]поточний ремонт'!O215+'[1]поточний ремонт'!O215</f>
        <v>0</v>
      </c>
      <c r="P215" s="42">
        <f>'[2]поточний ремонт'!P215+'[1]поточний ремонт'!P215</f>
        <v>0</v>
      </c>
      <c r="Q215" s="959"/>
      <c r="R215" s="42">
        <f>'[2]поточний ремонт'!R215+'[1]поточний ремонт'!R215</f>
        <v>0</v>
      </c>
      <c r="S215" s="42">
        <f>'[2]поточний ремонт'!S215+'[1]поточний ремонт'!S215</f>
        <v>0</v>
      </c>
      <c r="T215" s="960"/>
      <c r="U215" s="42">
        <f>'[2]поточний ремонт'!U215+'[1]поточний ремонт'!U215</f>
        <v>0</v>
      </c>
      <c r="V215" s="42">
        <f>'[2]поточний ремонт'!V215+'[1]поточний ремонт'!V215</f>
        <v>0</v>
      </c>
      <c r="W215" s="42">
        <f>'[2]поточний ремонт'!W215+'[1]поточний ремонт'!W215</f>
        <v>0</v>
      </c>
      <c r="X215" s="42">
        <f>'[2]поточний ремонт'!X215+'[1]поточний ремонт'!X215</f>
        <v>0</v>
      </c>
      <c r="Y215" s="42">
        <f>'[2]поточний ремонт'!Y215+'[1]поточний ремонт'!Y215</f>
        <v>0</v>
      </c>
      <c r="Z215" s="42">
        <f>'[2]поточний ремонт'!Z215+'[1]поточний ремонт'!Z215</f>
        <v>0</v>
      </c>
      <c r="AA215" s="42">
        <f>'[2]поточний ремонт'!AA215+'[1]поточний ремонт'!AA215</f>
        <v>0</v>
      </c>
      <c r="AB215" s="42">
        <f>'[2]поточний ремонт'!AB215+'[1]поточний ремонт'!AB215</f>
        <v>0</v>
      </c>
      <c r="AC215" s="42">
        <f>'[2]поточний ремонт'!AC215+'[1]поточний ремонт'!AC215</f>
        <v>0</v>
      </c>
      <c r="AD215" s="42">
        <f>'[2]поточний ремонт'!AD215+'[1]поточний ремонт'!AD215</f>
        <v>0</v>
      </c>
      <c r="AE215" s="42">
        <f>'[2]поточний ремонт'!AE215+'[1]поточний ремонт'!AE215</f>
        <v>281.91970603286177</v>
      </c>
      <c r="AF215" s="42">
        <f>'[2]поточний ремонт'!AF215+'[1]поточний ремонт'!AF215</f>
        <v>0</v>
      </c>
      <c r="AG215" s="5"/>
      <c r="AH215" s="42">
        <f>'[2]поточний ремонт'!AH215+'[1]поточний ремонт'!AH215</f>
        <v>302.09238167709452</v>
      </c>
      <c r="AI215" s="42">
        <f>'[2]поточний ремонт'!AI215+'[1]поточний ремонт'!AI215</f>
        <v>0</v>
      </c>
      <c r="AJ215" s="5"/>
      <c r="AK215" s="42">
        <f>'[2]поточний ремонт'!AK215+'[1]поточний ремонт'!AK215</f>
        <v>391.71916799375629</v>
      </c>
      <c r="AL215" s="42">
        <f>'[2]поточний ремонт'!AL215+'[1]поточний ремонт'!AL215</f>
        <v>0</v>
      </c>
      <c r="AM215" s="5"/>
      <c r="AN215" s="42">
        <f>'[2]поточний ремонт'!AN215+'[1]поточний ремонт'!AN215</f>
        <v>0</v>
      </c>
      <c r="AO215" s="42">
        <f>'[2]поточний ремонт'!AO215+'[1]поточний ремонт'!AO215</f>
        <v>0</v>
      </c>
      <c r="AP215" s="5"/>
      <c r="AQ215" s="42">
        <f>'[2]поточний ремонт'!AQ215+'[1]поточний ремонт'!AQ215</f>
        <v>0</v>
      </c>
      <c r="AR215" s="42">
        <f>'[2]поточний ремонт'!AR215+'[1]поточний ремонт'!AR215</f>
        <v>0</v>
      </c>
      <c r="AS215" s="5"/>
      <c r="AT215" s="42">
        <f>'[2]поточний ремонт'!AT215+'[1]поточний ремонт'!AT215</f>
        <v>148.40671520361377</v>
      </c>
      <c r="AU215" s="42">
        <f>'[2]поточний ремонт'!AU215+'[1]поточний ремонт'!AU215</f>
        <v>0</v>
      </c>
      <c r="AV215" s="5"/>
      <c r="AW215" s="42">
        <f>'[2]поточний ремонт'!AW215+'[1]поточний ремонт'!AW215</f>
        <v>0</v>
      </c>
      <c r="AX215" s="42">
        <f>'[2]поточний ремонт'!AX215+'[1]поточний ремонт'!AX215</f>
        <v>0</v>
      </c>
      <c r="AY215" s="5"/>
      <c r="AZ215" s="42">
        <f t="shared" si="26"/>
        <v>1124.1379709073262</v>
      </c>
      <c r="BA215" s="42">
        <f t="shared" si="27"/>
        <v>0</v>
      </c>
      <c r="BB215" s="58">
        <f t="shared" si="28"/>
        <v>-1124.1379709073262</v>
      </c>
      <c r="BF215" s="29"/>
      <c r="BG215" s="318"/>
      <c r="BI215" s="104"/>
      <c r="BJ215" s="104"/>
      <c r="BK215" s="104"/>
      <c r="BL215" s="38"/>
      <c r="BM215" s="3"/>
      <c r="BN215" s="3"/>
      <c r="BP215" s="3"/>
      <c r="BQ215" s="3"/>
      <c r="BS215" s="42"/>
      <c r="BT215" s="42"/>
      <c r="BU215" s="958"/>
      <c r="BV215" s="41"/>
      <c r="BW215" s="42"/>
      <c r="BX215" s="36"/>
      <c r="BY215" s="76"/>
      <c r="BZ215" s="42"/>
      <c r="CA215" s="959"/>
      <c r="CB215" s="41"/>
      <c r="CC215" s="41"/>
      <c r="CD215" s="960"/>
      <c r="CE215" s="76"/>
      <c r="CF215" s="55"/>
      <c r="CG215" s="41"/>
      <c r="CH215" s="38"/>
      <c r="CI215" s="76"/>
      <c r="CJ215" s="55"/>
      <c r="CK215" s="955"/>
      <c r="CL215" s="950"/>
      <c r="CM215" s="955"/>
      <c r="CN215" s="950"/>
      <c r="CO215" s="76"/>
      <c r="CP215" s="42"/>
      <c r="CQ215" s="5"/>
      <c r="CR215" s="76"/>
      <c r="CS215" s="954"/>
      <c r="CT215" s="5"/>
      <c r="CU215" s="76"/>
      <c r="CV215" s="42"/>
      <c r="CW215" s="5"/>
      <c r="CX215" s="76"/>
      <c r="CY215" s="42"/>
      <c r="CZ215" s="5"/>
      <c r="DA215" s="76"/>
      <c r="DB215" s="42"/>
      <c r="DC215" s="5"/>
      <c r="DD215" s="76"/>
      <c r="DE215" s="42"/>
      <c r="DF215" s="5"/>
      <c r="DG215" s="76"/>
      <c r="DH215" s="42"/>
      <c r="DI215" s="5"/>
      <c r="DJ215" s="42"/>
      <c r="DK215" s="42"/>
      <c r="DL215" s="58"/>
      <c r="DM215" s="2">
        <v>2</v>
      </c>
    </row>
    <row r="216" spans="1:117" ht="24.9" customHeight="1" x14ac:dyDescent="0.3">
      <c r="A216" s="318">
        <v>150000935</v>
      </c>
      <c r="B216" s="44" t="s">
        <v>175</v>
      </c>
      <c r="C216" s="956">
        <v>2</v>
      </c>
      <c r="D216" s="957" t="s">
        <v>454</v>
      </c>
      <c r="E216" s="949">
        <f>'побудинковий звіт'!E183</f>
        <v>137.30000000000001</v>
      </c>
      <c r="F216" s="950">
        <f>'побудинковий звіт'!AS183</f>
        <v>2127.8725313954633</v>
      </c>
      <c r="G216" s="950">
        <f t="shared" si="24"/>
        <v>58</v>
      </c>
      <c r="H216" s="950">
        <f t="shared" si="25"/>
        <v>-2069.8725313954633</v>
      </c>
      <c r="I216" s="42">
        <f>'[2]поточний ремонт'!I216+'[1]поточний ремонт'!I216</f>
        <v>0</v>
      </c>
      <c r="J216" s="42">
        <f>'[2]поточний ремонт'!J216+'[1]поточний ремонт'!J216</f>
        <v>0</v>
      </c>
      <c r="K216" s="958"/>
      <c r="L216" s="42">
        <f>'[2]поточний ремонт'!L216+'[1]поточний ремонт'!L216</f>
        <v>0</v>
      </c>
      <c r="M216" s="42">
        <f>'[2]поточний ремонт'!M216+'[1]поточний ремонт'!M216</f>
        <v>0</v>
      </c>
      <c r="N216" s="36"/>
      <c r="O216" s="42">
        <f>'[2]поточний ремонт'!O216+'[1]поточний ремонт'!O216</f>
        <v>0</v>
      </c>
      <c r="P216" s="42">
        <f>'[2]поточний ремонт'!P216+'[1]поточний ремонт'!P216</f>
        <v>0</v>
      </c>
      <c r="Q216" s="959"/>
      <c r="R216" s="42">
        <f>'[2]поточний ремонт'!R216+'[1]поточний ремонт'!R216</f>
        <v>0</v>
      </c>
      <c r="S216" s="42">
        <f>'[2]поточний ремонт'!S216+'[1]поточний ремонт'!S216</f>
        <v>0</v>
      </c>
      <c r="T216" s="960"/>
      <c r="U216" s="42">
        <f>'[2]поточний ремонт'!U216+'[1]поточний ремонт'!U216</f>
        <v>0</v>
      </c>
      <c r="V216" s="42">
        <f>'[2]поточний ремонт'!V216+'[1]поточний ремонт'!V216</f>
        <v>0</v>
      </c>
      <c r="W216" s="42">
        <f>'[2]поточний ремонт'!W216+'[1]поточний ремонт'!W216</f>
        <v>0</v>
      </c>
      <c r="X216" s="42">
        <f>'[2]поточний ремонт'!X216+'[1]поточний ремонт'!X216</f>
        <v>0</v>
      </c>
      <c r="Y216" s="42">
        <f>'[2]поточний ремонт'!Y216+'[1]поточний ремонт'!Y216</f>
        <v>0</v>
      </c>
      <c r="Z216" s="42">
        <f>'[2]поточний ремонт'!Z216+'[1]поточний ремонт'!Z216</f>
        <v>0</v>
      </c>
      <c r="AA216" s="42">
        <f>'[2]поточний ремонт'!AA216+'[1]поточний ремонт'!AA216</f>
        <v>0</v>
      </c>
      <c r="AB216" s="42">
        <f>'[2]поточний ремонт'!AB216+'[1]поточний ремонт'!AB216</f>
        <v>0</v>
      </c>
      <c r="AC216" s="42">
        <f>'[2]поточний ремонт'!AC216+'[1]поточний ремонт'!AC216</f>
        <v>58</v>
      </c>
      <c r="AD216" s="42">
        <f>'[2]поточний ремонт'!AD216+'[1]поточний ремонт'!AD216</f>
        <v>0</v>
      </c>
      <c r="AE216" s="42">
        <f>'[2]поточний ремонт'!AE216+'[1]поточний ремонт'!AE216</f>
        <v>323.71454170318202</v>
      </c>
      <c r="AF216" s="42">
        <f>'[2]поточний ремонт'!AF216+'[1]поточний ремонт'!AF216</f>
        <v>0</v>
      </c>
      <c r="AG216" s="5"/>
      <c r="AH216" s="42">
        <f>'[2]поточний ремонт'!AH216+'[1]поточний ремонт'!AH216</f>
        <v>352.09894743427691</v>
      </c>
      <c r="AI216" s="42">
        <f>'[2]поточний ремонт'!AI216+'[1]поточний ремонт'!AI216</f>
        <v>0</v>
      </c>
      <c r="AJ216" s="5"/>
      <c r="AK216" s="42">
        <f>'[2]поточний ремонт'!AK216+'[1]поточний ремонт'!AK216</f>
        <v>179.84460777881202</v>
      </c>
      <c r="AL216" s="42">
        <f>'[2]поточний ремонт'!AL216+'[1]поточний ремонт'!AL216</f>
        <v>0</v>
      </c>
      <c r="AM216" s="5"/>
      <c r="AN216" s="42">
        <f>'[2]поточний ремонт'!AN216+'[1]поточний ремонт'!AN216</f>
        <v>0</v>
      </c>
      <c r="AO216" s="42">
        <f>'[2]поточний ремонт'!AO216+'[1]поточний ремонт'!AO216</f>
        <v>0</v>
      </c>
      <c r="AP216" s="5"/>
      <c r="AQ216" s="42">
        <f>'[2]поточний ремонт'!AQ216+'[1]поточний ремонт'!AQ216</f>
        <v>0</v>
      </c>
      <c r="AR216" s="42">
        <f>'[2]поточний ремонт'!AR216+'[1]поточний ремонт'!AR216</f>
        <v>0</v>
      </c>
      <c r="AS216" s="5"/>
      <c r="AT216" s="42">
        <f>'[2]поточний ремонт'!AT216+'[1]поточний ремонт'!AT216</f>
        <v>102.22844711567211</v>
      </c>
      <c r="AU216" s="42">
        <f>'[2]поточний ремонт'!AU216+'[1]поточний ремонт'!AU216</f>
        <v>0</v>
      </c>
      <c r="AV216" s="5"/>
      <c r="AW216" s="42">
        <f>'[2]поточний ремонт'!AW216+'[1]поточний ремонт'!AW216</f>
        <v>13.395360909145198</v>
      </c>
      <c r="AX216" s="42">
        <f>'[2]поточний ремонт'!AX216+'[1]поточний ремонт'!AX216</f>
        <v>1197.2525579190001</v>
      </c>
      <c r="AY216" s="5"/>
      <c r="AZ216" s="42">
        <f t="shared" si="26"/>
        <v>971.28190494108821</v>
      </c>
      <c r="BA216" s="42">
        <f t="shared" si="27"/>
        <v>1197.2525579190001</v>
      </c>
      <c r="BB216" s="58">
        <f t="shared" si="28"/>
        <v>225.97065297791187</v>
      </c>
      <c r="BD216" s="2">
        <v>2</v>
      </c>
      <c r="BF216" s="29">
        <v>0.4180123877632676</v>
      </c>
      <c r="BG216" s="318">
        <v>150000935</v>
      </c>
      <c r="BI216" s="104">
        <v>0</v>
      </c>
      <c r="BJ216" s="104">
        <f t="shared" ref="BJ216:BJ247" si="32">BI216*$BJ$10</f>
        <v>0</v>
      </c>
      <c r="BK216" s="104">
        <v>0</v>
      </c>
      <c r="BL216" s="38"/>
      <c r="BM216" s="3"/>
      <c r="BN216" s="3">
        <v>0</v>
      </c>
      <c r="BP216" s="3"/>
      <c r="BQ216" s="3"/>
      <c r="BS216" s="42"/>
      <c r="BT216" s="42">
        <v>0</v>
      </c>
      <c r="BU216" s="958"/>
      <c r="BV216" s="41"/>
      <c r="BW216" s="42"/>
      <c r="BX216" s="36"/>
      <c r="BY216" s="76"/>
      <c r="BZ216" s="42">
        <v>0</v>
      </c>
      <c r="CA216" s="959"/>
      <c r="CB216" s="41"/>
      <c r="CC216" s="41">
        <v>0</v>
      </c>
      <c r="CD216" s="960"/>
      <c r="CE216" s="76">
        <v>0</v>
      </c>
      <c r="CF216" s="55"/>
      <c r="CG216" s="41">
        <v>0</v>
      </c>
      <c r="CH216" s="38">
        <v>0</v>
      </c>
      <c r="CI216" s="76">
        <v>0</v>
      </c>
      <c r="CJ216" s="971"/>
      <c r="CK216" s="955"/>
      <c r="CL216" s="950"/>
      <c r="CM216" s="955"/>
      <c r="CN216" s="950">
        <v>0</v>
      </c>
      <c r="CO216" s="76">
        <v>30.542493951386575</v>
      </c>
      <c r="CP216" s="42">
        <v>0</v>
      </c>
      <c r="CQ216" s="5"/>
      <c r="CR216" s="76">
        <v>30.071343487601602</v>
      </c>
      <c r="CS216" s="954">
        <v>0</v>
      </c>
      <c r="CT216" s="5"/>
      <c r="CU216" s="76">
        <v>12.928319270847954</v>
      </c>
      <c r="CV216" s="42">
        <v>0</v>
      </c>
      <c r="CW216" s="5"/>
      <c r="CX216" s="76">
        <v>0</v>
      </c>
      <c r="CY216" s="42">
        <v>0</v>
      </c>
      <c r="CZ216" s="5"/>
      <c r="DA216" s="76">
        <v>0</v>
      </c>
      <c r="DB216" s="42">
        <v>0</v>
      </c>
      <c r="DC216" s="5"/>
      <c r="DD216" s="76">
        <v>4.9307049677091603</v>
      </c>
      <c r="DE216" s="42">
        <v>0</v>
      </c>
      <c r="DF216" s="5"/>
      <c r="DG216" s="76">
        <v>0</v>
      </c>
      <c r="DH216" s="42"/>
      <c r="DI216" s="5"/>
      <c r="DJ216" s="42">
        <v>78.472861677545296</v>
      </c>
      <c r="DK216" s="42">
        <f t="shared" ref="DK216:DK247" si="33">CP216+CS216+CV216+CY216+DB216+DE216+DH216</f>
        <v>0</v>
      </c>
      <c r="DL216" s="58">
        <f t="shared" ref="DL216:DL247" si="34">DK216-DJ216</f>
        <v>-78.472861677545296</v>
      </c>
      <c r="DM216" s="2">
        <v>2</v>
      </c>
    </row>
    <row r="217" spans="1:117" ht="24.9" customHeight="1" x14ac:dyDescent="0.3">
      <c r="A217" s="318">
        <v>150000937</v>
      </c>
      <c r="B217" s="44" t="s">
        <v>374</v>
      </c>
      <c r="C217" s="956">
        <v>9</v>
      </c>
      <c r="D217" s="957" t="s">
        <v>454</v>
      </c>
      <c r="E217" s="949">
        <f>'побудинковий звіт'!E184</f>
        <v>211.6</v>
      </c>
      <c r="F217" s="950">
        <f>'побудинковий звіт'!AS184</f>
        <v>3157.282067618482</v>
      </c>
      <c r="G217" s="950">
        <f t="shared" si="24"/>
        <v>2564.6292580196978</v>
      </c>
      <c r="H217" s="950">
        <f t="shared" si="25"/>
        <v>-592.65280959878419</v>
      </c>
      <c r="I217" s="42">
        <f>'[2]поточний ремонт'!I217+'[1]поточний ремонт'!I217</f>
        <v>0</v>
      </c>
      <c r="J217" s="42">
        <f>'[2]поточний ремонт'!J217+'[1]поточний ремонт'!J217</f>
        <v>0</v>
      </c>
      <c r="K217" s="958"/>
      <c r="L217" s="42">
        <f>'[2]поточний ремонт'!L217+'[1]поточний ремонт'!L217</f>
        <v>0</v>
      </c>
      <c r="M217" s="42">
        <f>'[2]поточний ремонт'!M217+'[1]поточний ремонт'!M217</f>
        <v>0</v>
      </c>
      <c r="N217" s="36"/>
      <c r="O217" s="42">
        <f>'[2]поточний ремонт'!O217+'[1]поточний ремонт'!O217</f>
        <v>0</v>
      </c>
      <c r="P217" s="42">
        <f>'[2]поточний ремонт'!P217+'[1]поточний ремонт'!P217</f>
        <v>0</v>
      </c>
      <c r="Q217" s="959"/>
      <c r="R217" s="42">
        <f>'[2]поточний ремонт'!R217+'[1]поточний ремонт'!R217</f>
        <v>1</v>
      </c>
      <c r="S217" s="42">
        <f>'[2]поточний ремонт'!S217+'[1]поточний ремонт'!S217</f>
        <v>1386.690875142624</v>
      </c>
      <c r="T217" s="960"/>
      <c r="U217" s="42">
        <f>'[2]поточний ремонт'!U217+'[1]поточний ремонт'!U217</f>
        <v>0</v>
      </c>
      <c r="V217" s="42">
        <f>'[2]поточний ремонт'!V217+'[1]поточний ремонт'!V217</f>
        <v>0</v>
      </c>
      <c r="W217" s="42">
        <f>'[2]поточний ремонт'!W217+'[1]поточний ремонт'!W217</f>
        <v>0</v>
      </c>
      <c r="X217" s="42">
        <f>'[2]поточний ремонт'!X217+'[1]поточний ремонт'!X217</f>
        <v>0</v>
      </c>
      <c r="Y217" s="42">
        <f>'[2]поточний ремонт'!Y217+'[1]поточний ремонт'!Y217</f>
        <v>0</v>
      </c>
      <c r="Z217" s="42">
        <f>'[2]поточний ремонт'!Z217+'[1]поточний ремонт'!Z217</f>
        <v>0</v>
      </c>
      <c r="AA217" s="42">
        <f>'[2]поточний ремонт'!AA217+'[1]поточний ремонт'!AA217</f>
        <v>0</v>
      </c>
      <c r="AB217" s="42">
        <f>'[2]поточний ремонт'!AB217+'[1]поточний ремонт'!AB217</f>
        <v>1177.9383828770735</v>
      </c>
      <c r="AC217" s="42">
        <f>'[2]поточний ремонт'!AC217+'[1]поточний ремонт'!AC217</f>
        <v>0</v>
      </c>
      <c r="AD217" s="42">
        <f>'[2]поточний ремонт'!AD217+'[1]поточний ремонт'!AD217</f>
        <v>0</v>
      </c>
      <c r="AE217" s="42">
        <f>'[2]поточний ремонт'!AE217+'[1]поточний ремонт'!AE217</f>
        <v>684.41692476275352</v>
      </c>
      <c r="AF217" s="42">
        <f>'[2]поточний ремонт'!AF217+'[1]поточний ремонт'!AF217</f>
        <v>291.77148727723926</v>
      </c>
      <c r="AG217" s="5"/>
      <c r="AH217" s="42">
        <f>'[2]поточний ремонт'!AH217+'[1]поточний ремонт'!AH217</f>
        <v>1395.5820742631777</v>
      </c>
      <c r="AI217" s="42">
        <f>'[2]поточний ремонт'!AI217+'[1]поточний ремонт'!AI217</f>
        <v>2485.2341342750642</v>
      </c>
      <c r="AJ217" s="5"/>
      <c r="AK217" s="42">
        <f>'[2]поточний ремонт'!AK217+'[1]поточний ремонт'!AK217</f>
        <v>1344.663889721568</v>
      </c>
      <c r="AL217" s="42">
        <f>'[2]поточний ремонт'!AL217+'[1]поточний ремонт'!AL217</f>
        <v>0</v>
      </c>
      <c r="AM217" s="5"/>
      <c r="AN217" s="42">
        <f>'[2]поточний ремонт'!AN217+'[1]поточний ремонт'!AN217</f>
        <v>638.63566903168976</v>
      </c>
      <c r="AO217" s="42">
        <f>'[2]поточний ремонт'!AO217+'[1]поточний ремонт'!AO217</f>
        <v>0</v>
      </c>
      <c r="AP217" s="5"/>
      <c r="AQ217" s="42">
        <f>'[2]поточний ремонт'!AQ217+'[1]поточний ремонт'!AQ217</f>
        <v>555.44267306514973</v>
      </c>
      <c r="AR217" s="42">
        <f>'[2]поточний ремонт'!AR217+'[1]поточний ремонт'!AR217</f>
        <v>0</v>
      </c>
      <c r="AS217" s="5"/>
      <c r="AT217" s="42">
        <f>'[2]поточний ремонт'!AT217+'[1]поточний ремонт'!AT217</f>
        <v>912.12144491465403</v>
      </c>
      <c r="AU217" s="42">
        <f>'[2]поточний ремонт'!AU217+'[1]поточний ремонт'!AU217</f>
        <v>0</v>
      </c>
      <c r="AV217" s="5"/>
      <c r="AW217" s="42">
        <f>'[2]поточний ремонт'!AW217+'[1]поточний ремонт'!AW217</f>
        <v>559.07884286484671</v>
      </c>
      <c r="AX217" s="42">
        <f>'[2]поточний ремонт'!AX217+'[1]поточний ремонт'!AX217</f>
        <v>0</v>
      </c>
      <c r="AY217" s="5"/>
      <c r="AZ217" s="42">
        <f t="shared" si="26"/>
        <v>6089.9415186238384</v>
      </c>
      <c r="BA217" s="42">
        <f t="shared" si="27"/>
        <v>2777.0056215523036</v>
      </c>
      <c r="BB217" s="58">
        <f t="shared" si="28"/>
        <v>-3312.9358970715348</v>
      </c>
      <c r="BD217" s="2">
        <v>1</v>
      </c>
      <c r="BF217" s="29">
        <v>178.14734182569811</v>
      </c>
      <c r="BG217" s="318">
        <v>150000937</v>
      </c>
      <c r="BI217" s="104">
        <v>0</v>
      </c>
      <c r="BJ217" s="104">
        <f t="shared" si="32"/>
        <v>0</v>
      </c>
      <c r="BK217" s="104">
        <v>0</v>
      </c>
      <c r="BL217" s="38"/>
      <c r="BM217" s="3"/>
      <c r="BN217" s="3">
        <v>0</v>
      </c>
      <c r="BP217" s="3"/>
      <c r="BQ217" s="3"/>
      <c r="BS217" s="42"/>
      <c r="BT217" s="42">
        <v>0</v>
      </c>
      <c r="BU217" s="958"/>
      <c r="BV217" s="41"/>
      <c r="BW217" s="42"/>
      <c r="BX217" s="36"/>
      <c r="BY217" s="76"/>
      <c r="BZ217" s="42">
        <v>0</v>
      </c>
      <c r="CA217" s="959"/>
      <c r="CB217" s="41"/>
      <c r="CC217" s="41">
        <v>0</v>
      </c>
      <c r="CD217" s="960"/>
      <c r="CE217" s="76">
        <v>0</v>
      </c>
      <c r="CF217" s="55"/>
      <c r="CG217" s="41">
        <v>0</v>
      </c>
      <c r="CH217" s="38">
        <v>0</v>
      </c>
      <c r="CI217" s="76">
        <v>0</v>
      </c>
      <c r="CJ217" s="964"/>
      <c r="CK217" s="955"/>
      <c r="CL217" s="950"/>
      <c r="CM217" s="955"/>
      <c r="CN217" s="950">
        <v>0</v>
      </c>
      <c r="CO217" s="76">
        <v>50.751437500781456</v>
      </c>
      <c r="CP217" s="42">
        <v>0</v>
      </c>
      <c r="CQ217" s="5"/>
      <c r="CR217" s="76">
        <v>110.17768471433241</v>
      </c>
      <c r="CS217" s="954">
        <v>0</v>
      </c>
      <c r="CT217" s="5"/>
      <c r="CU217" s="76">
        <v>115.21303453331467</v>
      </c>
      <c r="CV217" s="42">
        <v>0</v>
      </c>
      <c r="CW217" s="5"/>
      <c r="CX217" s="76">
        <v>56.038785161897842</v>
      </c>
      <c r="CY217" s="42">
        <v>0</v>
      </c>
      <c r="CZ217" s="5"/>
      <c r="DA217" s="76">
        <v>48.716400740750082</v>
      </c>
      <c r="DB217" s="42">
        <v>0</v>
      </c>
      <c r="DC217" s="5"/>
      <c r="DD217" s="76">
        <v>71.440070363248523</v>
      </c>
      <c r="DE217" s="42">
        <v>0</v>
      </c>
      <c r="DF217" s="5"/>
      <c r="DG217" s="76">
        <v>48.331614739655492</v>
      </c>
      <c r="DH217" s="42"/>
      <c r="DI217" s="5"/>
      <c r="DJ217" s="42">
        <v>500.66902775398052</v>
      </c>
      <c r="DK217" s="42">
        <f t="shared" si="33"/>
        <v>0</v>
      </c>
      <c r="DL217" s="58">
        <f t="shared" si="34"/>
        <v>-500.66902775398052</v>
      </c>
      <c r="DM217" s="2">
        <v>1</v>
      </c>
    </row>
    <row r="218" spans="1:117" ht="24.9" customHeight="1" x14ac:dyDescent="0.3">
      <c r="A218" s="318">
        <v>150000938</v>
      </c>
      <c r="B218" s="44" t="s">
        <v>375</v>
      </c>
      <c r="C218" s="956">
        <v>9</v>
      </c>
      <c r="D218" s="957" t="s">
        <v>454</v>
      </c>
      <c r="E218" s="949">
        <f>'побудинковий звіт'!E185</f>
        <v>180.6</v>
      </c>
      <c r="F218" s="950">
        <f>'побудинковий звіт'!AS185</f>
        <v>2807.4436326999448</v>
      </c>
      <c r="G218" s="950">
        <f t="shared" si="24"/>
        <v>80376.077191621211</v>
      </c>
      <c r="H218" s="950">
        <f t="shared" si="25"/>
        <v>77568.633558921269</v>
      </c>
      <c r="I218" s="42">
        <f>'[2]поточний ремонт'!I218+'[1]поточний ремонт'!I218</f>
        <v>41.8</v>
      </c>
      <c r="J218" s="42">
        <f>'[2]поточний ремонт'!J218+'[1]поточний ремонт'!J218</f>
        <v>21349.754319579613</v>
      </c>
      <c r="K218" s="958"/>
      <c r="L218" s="42">
        <f>'[2]поточний ремонт'!L218+'[1]поточний ремонт'!L218</f>
        <v>0</v>
      </c>
      <c r="M218" s="42">
        <f>'[2]поточний ремонт'!M218+'[1]поточний ремонт'!M218</f>
        <v>0</v>
      </c>
      <c r="N218" s="961"/>
      <c r="O218" s="42">
        <f>'[2]поточний ремонт'!O218+'[1]поточний ремонт'!O218</f>
        <v>0</v>
      </c>
      <c r="P218" s="42">
        <f>'[2]поточний ремонт'!P218+'[1]поточний ремонт'!P218</f>
        <v>0</v>
      </c>
      <c r="Q218" s="959"/>
      <c r="R218" s="42">
        <f>'[2]поточний ремонт'!R218+'[1]поточний ремонт'!R218</f>
        <v>5</v>
      </c>
      <c r="S218" s="42">
        <f>'[2]поточний ремонт'!S218+'[1]поточний ремонт'!S218</f>
        <v>14264.845422693013</v>
      </c>
      <c r="T218" s="967"/>
      <c r="U218" s="42">
        <f>'[2]поточний ремонт'!U218+'[1]поточний ремонт'!U218</f>
        <v>0</v>
      </c>
      <c r="V218" s="42">
        <f>'[2]поточний ремонт'!V218+'[1]поточний ремонт'!V218</f>
        <v>0</v>
      </c>
      <c r="W218" s="42">
        <f>'[2]поточний ремонт'!W218+'[1]поточний ремонт'!W218</f>
        <v>5</v>
      </c>
      <c r="X218" s="42">
        <f>'[2]поточний ремонт'!X218+'[1]поточний ремонт'!X218</f>
        <v>1106.0224102133341</v>
      </c>
      <c r="Y218" s="42">
        <f>'[2]поточний ремонт'!Y218+'[1]поточний ремонт'!Y218</f>
        <v>26261.282935422019</v>
      </c>
      <c r="Z218" s="42">
        <f>'[2]поточний ремонт'!Z218+'[1]поточний ремонт'!Z218</f>
        <v>0</v>
      </c>
      <c r="AA218" s="42">
        <f>'[2]поточний ремонт'!AA218+'[1]поточний ремонт'!AA218</f>
        <v>0</v>
      </c>
      <c r="AB218" s="42">
        <f>'[2]поточний ремонт'!AB218+'[1]поточний ремонт'!AB218</f>
        <v>1823.2243334303641</v>
      </c>
      <c r="AC218" s="42">
        <f>'[2]поточний ремонт'!AC218+'[1]поточний ремонт'!AC218</f>
        <v>4947.7173583457134</v>
      </c>
      <c r="AD218" s="42">
        <f>'[2]поточний ремонт'!AD218+'[1]поточний ремонт'!AD218</f>
        <v>10623.230411937133</v>
      </c>
      <c r="AE218" s="42">
        <f>'[2]поточний ремонт'!AE218+'[1]поточний ремонт'!AE218</f>
        <v>5153.7190705940948</v>
      </c>
      <c r="AF218" s="42">
        <f>'[2]поточний ремонт'!AF218+'[1]поточний ремонт'!AF218</f>
        <v>3284.4966732716111</v>
      </c>
      <c r="AG218" s="965"/>
      <c r="AH218" s="42">
        <f>'[2]поточний ремонт'!AH218+'[1]поточний ремонт'!AH218</f>
        <v>6123.8694287430053</v>
      </c>
      <c r="AI218" s="42">
        <f>'[2]поточний ремонт'!AI218+'[1]поточний ремонт'!AI218</f>
        <v>25740.860506635414</v>
      </c>
      <c r="AJ218" s="965"/>
      <c r="AK218" s="42">
        <f>'[2]поточний ремонт'!AK218+'[1]поточний ремонт'!AK218</f>
        <v>5616.0621507467622</v>
      </c>
      <c r="AL218" s="42">
        <f>'[2]поточний ремонт'!AL218+'[1]поточний ремонт'!AL218</f>
        <v>0</v>
      </c>
      <c r="AM218" s="965"/>
      <c r="AN218" s="42">
        <f>'[2]поточний ремонт'!AN218+'[1]поточний ремонт'!AN218</f>
        <v>2620.1893633173654</v>
      </c>
      <c r="AO218" s="42">
        <f>'[2]поточний ремонт'!AO218+'[1]поточний ремонт'!AO218</f>
        <v>434.08200230550096</v>
      </c>
      <c r="AP218" s="5"/>
      <c r="AQ218" s="42">
        <f>'[2]поточний ремонт'!AQ218+'[1]поточний ремонт'!AQ218</f>
        <v>1380.8969432059037</v>
      </c>
      <c r="AR218" s="42">
        <f>'[2]поточний ремонт'!AR218+'[1]поточний ремонт'!AR218</f>
        <v>0</v>
      </c>
      <c r="AS218" s="965"/>
      <c r="AT218" s="42">
        <f>'[2]поточний ремонт'!AT218+'[1]поточний ремонт'!AT218</f>
        <v>6222.6802222165252</v>
      </c>
      <c r="AU218" s="42">
        <f>'[2]поточний ремонт'!AU218+'[1]поточний ремонт'!AU218</f>
        <v>6587.2315372411686</v>
      </c>
      <c r="AV218" s="5"/>
      <c r="AW218" s="42">
        <f>'[2]поточний ремонт'!AW218+'[1]поточний ремонт'!AW218</f>
        <v>1360.6031575068632</v>
      </c>
      <c r="AX218" s="42">
        <f>'[2]поточний ремонт'!AX218+'[1]поточний ремонт'!AX218</f>
        <v>12372.275635531589</v>
      </c>
      <c r="AY218" s="5"/>
      <c r="AZ218" s="42">
        <f t="shared" si="26"/>
        <v>28478.020336330515</v>
      </c>
      <c r="BA218" s="42">
        <f t="shared" si="27"/>
        <v>48418.946354985288</v>
      </c>
      <c r="BB218" s="58">
        <f t="shared" si="28"/>
        <v>19940.926018654773</v>
      </c>
      <c r="BD218" s="2">
        <v>1</v>
      </c>
      <c r="BF218" s="29">
        <v>720.86675067799956</v>
      </c>
      <c r="BG218" s="318">
        <v>150000938</v>
      </c>
      <c r="BI218" s="104">
        <v>51.39</v>
      </c>
      <c r="BJ218" s="104">
        <f t="shared" si="32"/>
        <v>7.2286304579999996</v>
      </c>
      <c r="BK218" s="104">
        <v>59.267357056439998</v>
      </c>
      <c r="BL218" s="38"/>
      <c r="BM218" s="3"/>
      <c r="BN218" s="3">
        <v>0</v>
      </c>
      <c r="BP218" s="3"/>
      <c r="BQ218" s="3"/>
      <c r="BS218" s="42"/>
      <c r="BT218" s="42">
        <v>0</v>
      </c>
      <c r="BU218" s="958"/>
      <c r="BV218" s="41"/>
      <c r="BW218" s="42"/>
      <c r="BX218" s="961"/>
      <c r="BY218" s="76"/>
      <c r="BZ218" s="42">
        <v>0</v>
      </c>
      <c r="CA218" s="959"/>
      <c r="CB218" s="41"/>
      <c r="CC218" s="41">
        <v>0</v>
      </c>
      <c r="CD218" s="967"/>
      <c r="CE218" s="76">
        <v>0</v>
      </c>
      <c r="CF218" s="55"/>
      <c r="CG218" s="41">
        <v>0</v>
      </c>
      <c r="CH218" s="38">
        <v>59.267357056439998</v>
      </c>
      <c r="CI218" s="76">
        <v>0</v>
      </c>
      <c r="CJ218" s="57"/>
      <c r="CK218" s="955"/>
      <c r="CL218" s="950"/>
      <c r="CM218" s="955"/>
      <c r="CN218" s="950">
        <v>0</v>
      </c>
      <c r="CO218" s="76">
        <v>343.7844634990484</v>
      </c>
      <c r="CP218" s="42">
        <v>0</v>
      </c>
      <c r="CQ218" s="965"/>
      <c r="CR218" s="76">
        <v>426.36688302528813</v>
      </c>
      <c r="CS218" s="954">
        <v>3206.1438621391771</v>
      </c>
      <c r="CT218" s="965"/>
      <c r="CU218" s="76">
        <v>409.29926140646683</v>
      </c>
      <c r="CV218" s="42">
        <v>0</v>
      </c>
      <c r="CW218" s="965"/>
      <c r="CX218" s="76">
        <v>226.23768326117096</v>
      </c>
      <c r="CY218" s="42">
        <v>0</v>
      </c>
      <c r="CZ218" s="5"/>
      <c r="DA218" s="76">
        <v>115.43212095659494</v>
      </c>
      <c r="DB218" s="42">
        <v>0</v>
      </c>
      <c r="DC218" s="965"/>
      <c r="DD218" s="76">
        <v>364.48787796994583</v>
      </c>
      <c r="DE218" s="42">
        <v>0</v>
      </c>
      <c r="DF218" s="5"/>
      <c r="DG218" s="76">
        <v>117.86920167067872</v>
      </c>
      <c r="DH218" s="42"/>
      <c r="DI218" s="5"/>
      <c r="DJ218" s="42">
        <v>2003.4774917891939</v>
      </c>
      <c r="DK218" s="42">
        <f t="shared" si="33"/>
        <v>3206.1438621391771</v>
      </c>
      <c r="DL218" s="58">
        <f t="shared" si="34"/>
        <v>1202.6663703499833</v>
      </c>
      <c r="DM218" s="2">
        <v>1</v>
      </c>
    </row>
    <row r="219" spans="1:117" ht="24.9" customHeight="1" x14ac:dyDescent="0.3">
      <c r="A219" s="318">
        <v>150000925</v>
      </c>
      <c r="B219" s="44" t="s">
        <v>176</v>
      </c>
      <c r="C219" s="956">
        <v>2</v>
      </c>
      <c r="D219" s="957" t="s">
        <v>454</v>
      </c>
      <c r="E219" s="949">
        <f>'побудинковий звіт'!E186</f>
        <v>102.4</v>
      </c>
      <c r="F219" s="950">
        <f>'побудинковий звіт'!AS186</f>
        <v>1854.4281095456017</v>
      </c>
      <c r="G219" s="950">
        <f t="shared" si="24"/>
        <v>912.69028472757088</v>
      </c>
      <c r="H219" s="950">
        <f t="shared" si="25"/>
        <v>-941.73782481803084</v>
      </c>
      <c r="I219" s="42">
        <f>'[2]поточний ремонт'!I219+'[1]поточний ремонт'!I219</f>
        <v>0</v>
      </c>
      <c r="J219" s="42">
        <f>'[2]поточний ремонт'!J219+'[1]поточний ремонт'!J219</f>
        <v>0</v>
      </c>
      <c r="K219" s="958"/>
      <c r="L219" s="42">
        <f>'[2]поточний ремонт'!L219+'[1]поточний ремонт'!L219</f>
        <v>0</v>
      </c>
      <c r="M219" s="42">
        <f>'[2]поточний ремонт'!M219+'[1]поточний ремонт'!M219</f>
        <v>0</v>
      </c>
      <c r="N219" s="36"/>
      <c r="O219" s="42">
        <f>'[2]поточний ремонт'!O219+'[1]поточний ремонт'!O219</f>
        <v>0</v>
      </c>
      <c r="P219" s="42">
        <f>'[2]поточний ремонт'!P219+'[1]поточний ремонт'!P219</f>
        <v>0</v>
      </c>
      <c r="Q219" s="959"/>
      <c r="R219" s="42">
        <f>'[2]поточний ремонт'!R219+'[1]поточний ремонт'!R219</f>
        <v>0</v>
      </c>
      <c r="S219" s="42">
        <f>'[2]поточний ремонт'!S219+'[1]поточний ремонт'!S219</f>
        <v>0</v>
      </c>
      <c r="T219" s="960"/>
      <c r="U219" s="42">
        <f>'[2]поточний ремонт'!U219+'[1]поточний ремонт'!U219</f>
        <v>0</v>
      </c>
      <c r="V219" s="42">
        <f>'[2]поточний ремонт'!V219+'[1]поточний ремонт'!V219</f>
        <v>0</v>
      </c>
      <c r="W219" s="42">
        <f>'[2]поточний ремонт'!W219+'[1]поточний ремонт'!W219</f>
        <v>0</v>
      </c>
      <c r="X219" s="42">
        <f>'[2]поточний ремонт'!X219+'[1]поточний ремонт'!X219</f>
        <v>0</v>
      </c>
      <c r="Y219" s="42">
        <f>'[2]поточний ремонт'!Y219+'[1]поточний ремонт'!Y219</f>
        <v>0</v>
      </c>
      <c r="Z219" s="42">
        <f>'[2]поточний ремонт'!Z219+'[1]поточний ремонт'!Z219</f>
        <v>0</v>
      </c>
      <c r="AA219" s="42">
        <f>'[2]поточний ремонт'!AA219+'[1]поточний ремонт'!AA219</f>
        <v>0</v>
      </c>
      <c r="AB219" s="42">
        <f>'[2]поточний ремонт'!AB219+'[1]поточний ремонт'!AB219</f>
        <v>912.69028472757088</v>
      </c>
      <c r="AC219" s="42">
        <f>'[2]поточний ремонт'!AC219+'[1]поточний ремонт'!AC219</f>
        <v>0</v>
      </c>
      <c r="AD219" s="42">
        <f>'[2]поточний ремонт'!AD219+'[1]поточний ремонт'!AD219</f>
        <v>0</v>
      </c>
      <c r="AE219" s="42">
        <f>'[2]поточний ремонт'!AE219+'[1]поточний ремонт'!AE219</f>
        <v>482.26850505588101</v>
      </c>
      <c r="AF219" s="42">
        <f>'[2]поточний ремонт'!AF219+'[1]поточний ремонт'!AF219</f>
        <v>0</v>
      </c>
      <c r="AG219" s="9"/>
      <c r="AH219" s="42">
        <f>'[2]поточний ремонт'!AH219+'[1]поточний ремонт'!AH219</f>
        <v>675.38003310746342</v>
      </c>
      <c r="AI219" s="42">
        <f>'[2]поточний ремонт'!AI219+'[1]поточний ремонт'!AI219</f>
        <v>0</v>
      </c>
      <c r="AJ219" s="5"/>
      <c r="AK219" s="42">
        <f>'[2]поточний ремонт'!AK219+'[1]поточний ремонт'!AK219</f>
        <v>320.99983383648339</v>
      </c>
      <c r="AL219" s="42">
        <f>'[2]поточний ремонт'!AL219+'[1]поточний ремонт'!AL219</f>
        <v>9415.7045671190681</v>
      </c>
      <c r="AM219" s="5"/>
      <c r="AN219" s="42">
        <f>'[2]поточний ремонт'!AN219+'[1]поточний ремонт'!AN219</f>
        <v>0</v>
      </c>
      <c r="AO219" s="42">
        <f>'[2]поточний ремонт'!AO219+'[1]поточний ремонт'!AO219</f>
        <v>0</v>
      </c>
      <c r="AP219" s="5"/>
      <c r="AQ219" s="42">
        <f>'[2]поточний ремонт'!AQ219+'[1]поточний ремонт'!AQ219</f>
        <v>0</v>
      </c>
      <c r="AR219" s="42">
        <f>'[2]поточний ремонт'!AR219+'[1]поточний ремонт'!AR219</f>
        <v>0</v>
      </c>
      <c r="AS219" s="5"/>
      <c r="AT219" s="42">
        <f>'[2]поточний ремонт'!AT219+'[1]поточний ремонт'!AT219</f>
        <v>161.87756710702718</v>
      </c>
      <c r="AU219" s="42">
        <f>'[2]поточний ремонт'!AU219+'[1]поточний ремонт'!AU219</f>
        <v>0</v>
      </c>
      <c r="AV219" s="5"/>
      <c r="AW219" s="42">
        <f>'[2]поточний ремонт'!AW219+'[1]поточний ремонт'!AW219</f>
        <v>31.214014296485885</v>
      </c>
      <c r="AX219" s="42">
        <f>'[2]поточний ремонт'!AX219+'[1]поточний ремонт'!AX219</f>
        <v>0</v>
      </c>
      <c r="AY219" s="5"/>
      <c r="AZ219" s="42">
        <f t="shared" si="26"/>
        <v>1671.7399534033407</v>
      </c>
      <c r="BA219" s="42">
        <f t="shared" si="27"/>
        <v>9415.7045671190681</v>
      </c>
      <c r="BB219" s="58">
        <f t="shared" si="28"/>
        <v>7743.964613715727</v>
      </c>
      <c r="BD219" s="2">
        <v>2</v>
      </c>
      <c r="BF219" s="29">
        <v>0.62044605982472423</v>
      </c>
      <c r="BG219" s="318">
        <v>150000925</v>
      </c>
      <c r="BI219" s="104">
        <v>0</v>
      </c>
      <c r="BJ219" s="104">
        <f t="shared" si="32"/>
        <v>0</v>
      </c>
      <c r="BK219" s="104">
        <v>0</v>
      </c>
      <c r="BL219" s="38"/>
      <c r="BM219" s="3"/>
      <c r="BN219" s="3">
        <v>0</v>
      </c>
      <c r="BP219" s="3"/>
      <c r="BQ219" s="3"/>
      <c r="BS219" s="42"/>
      <c r="BT219" s="42">
        <v>0</v>
      </c>
      <c r="BU219" s="958"/>
      <c r="BV219" s="41"/>
      <c r="BW219" s="42"/>
      <c r="BX219" s="36"/>
      <c r="BY219" s="76"/>
      <c r="BZ219" s="42">
        <v>0</v>
      </c>
      <c r="CA219" s="959"/>
      <c r="CB219" s="41"/>
      <c r="CC219" s="41">
        <v>0</v>
      </c>
      <c r="CD219" s="960"/>
      <c r="CE219" s="76">
        <v>0</v>
      </c>
      <c r="CF219" s="55"/>
      <c r="CG219" s="41">
        <v>0</v>
      </c>
      <c r="CH219" s="38">
        <v>0</v>
      </c>
      <c r="CI219" s="76">
        <v>0</v>
      </c>
      <c r="CJ219" s="55"/>
      <c r="CK219" s="955"/>
      <c r="CL219" s="950"/>
      <c r="CM219" s="955"/>
      <c r="CN219" s="950">
        <v>0</v>
      </c>
      <c r="CO219" s="76">
        <v>38.627080806710019</v>
      </c>
      <c r="CP219" s="42">
        <v>0</v>
      </c>
      <c r="CQ219" s="9"/>
      <c r="CR219" s="76">
        <v>57.821648717333993</v>
      </c>
      <c r="CS219" s="954">
        <v>0</v>
      </c>
      <c r="CT219" s="5"/>
      <c r="CU219" s="76">
        <v>26.841317933491421</v>
      </c>
      <c r="CV219" s="42">
        <v>0</v>
      </c>
      <c r="CW219" s="5"/>
      <c r="CX219" s="76">
        <v>0</v>
      </c>
      <c r="CY219" s="42">
        <v>0</v>
      </c>
      <c r="CZ219" s="5"/>
      <c r="DA219" s="76">
        <v>0</v>
      </c>
      <c r="DB219" s="42">
        <v>0</v>
      </c>
      <c r="DC219" s="5"/>
      <c r="DD219" s="76">
        <v>9.8856385409863776</v>
      </c>
      <c r="DE219" s="42">
        <v>0</v>
      </c>
      <c r="DF219" s="5"/>
      <c r="DG219" s="76">
        <v>0</v>
      </c>
      <c r="DH219" s="42"/>
      <c r="DI219" s="5"/>
      <c r="DJ219" s="42">
        <v>133.17568599852183</v>
      </c>
      <c r="DK219" s="42">
        <f t="shared" si="33"/>
        <v>0</v>
      </c>
      <c r="DL219" s="58">
        <f t="shared" si="34"/>
        <v>-133.17568599852183</v>
      </c>
      <c r="DM219" s="2">
        <v>2</v>
      </c>
    </row>
    <row r="220" spans="1:117" ht="24.9" customHeight="1" x14ac:dyDescent="0.3">
      <c r="A220" s="318">
        <v>150000939</v>
      </c>
      <c r="B220" s="44" t="s">
        <v>336</v>
      </c>
      <c r="C220" s="956">
        <v>8</v>
      </c>
      <c r="D220" s="957" t="s">
        <v>454</v>
      </c>
      <c r="E220" s="949">
        <f>'побудинковий звіт'!E187</f>
        <v>180.22</v>
      </c>
      <c r="F220" s="950">
        <f>'побудинковий звіт'!AS187</f>
        <v>2918.8583939229256</v>
      </c>
      <c r="G220" s="950">
        <f t="shared" si="24"/>
        <v>54380.315881740557</v>
      </c>
      <c r="H220" s="950">
        <f t="shared" si="25"/>
        <v>51461.457487817628</v>
      </c>
      <c r="I220" s="42">
        <f>'[2]поточний ремонт'!I220+'[1]поточний ремонт'!I220</f>
        <v>0</v>
      </c>
      <c r="J220" s="42">
        <f>'[2]поточний ремонт'!J220+'[1]поточний ремонт'!J220</f>
        <v>0</v>
      </c>
      <c r="K220" s="958"/>
      <c r="L220" s="42">
        <f>'[2]поточний ремонт'!L220+'[1]поточний ремонт'!L220</f>
        <v>4</v>
      </c>
      <c r="M220" s="42">
        <f>'[2]поточний ремонт'!M220+'[1]поточний ремонт'!M220</f>
        <v>22189.208209401939</v>
      </c>
      <c r="N220" s="36"/>
      <c r="O220" s="42">
        <f>'[2]поточний ремонт'!O220+'[1]поточний ремонт'!O220</f>
        <v>0</v>
      </c>
      <c r="P220" s="42">
        <f>'[2]поточний ремонт'!P220+'[1]поточний ремонт'!P220</f>
        <v>0</v>
      </c>
      <c r="Q220" s="959"/>
      <c r="R220" s="42">
        <f>'[2]поточний ремонт'!R220+'[1]поточний ремонт'!R220</f>
        <v>1</v>
      </c>
      <c r="S220" s="42">
        <f>'[2]поточний ремонт'!S220+'[1]поточний ремонт'!S220</f>
        <v>10382.663298952939</v>
      </c>
      <c r="T220" s="960"/>
      <c r="U220" s="42">
        <f>'[2]поточний ремонт'!U220+'[1]поточний ремонт'!U220</f>
        <v>0</v>
      </c>
      <c r="V220" s="42">
        <f>'[2]поточний ремонт'!V220+'[1]поточний ремонт'!V220</f>
        <v>0</v>
      </c>
      <c r="W220" s="42">
        <f>'[2]поточний ремонт'!W220+'[1]поточний ремонт'!W220</f>
        <v>0</v>
      </c>
      <c r="X220" s="42">
        <f>'[2]поточний ремонт'!X220+'[1]поточний ремонт'!X220</f>
        <v>0</v>
      </c>
      <c r="Y220" s="42">
        <f>'[2]поточний ремонт'!Y220+'[1]поточний ремонт'!Y220</f>
        <v>17849.750810497877</v>
      </c>
      <c r="Z220" s="42">
        <f>'[2]поточний ремонт'!Z220+'[1]поточний ремонт'!Z220</f>
        <v>0</v>
      </c>
      <c r="AA220" s="42">
        <f>'[2]поточний ремонт'!AA220+'[1]поточний ремонт'!AA220</f>
        <v>0</v>
      </c>
      <c r="AB220" s="42">
        <f>'[2]поточний ремонт'!AB220+'[1]поточний ремонт'!AB220</f>
        <v>394.79827875826231</v>
      </c>
      <c r="AC220" s="42">
        <f>'[2]поточний ремонт'!AC220+'[1]поточний ремонт'!AC220</f>
        <v>0</v>
      </c>
      <c r="AD220" s="42">
        <f>'[2]поточний ремонт'!AD220+'[1]поточний ремонт'!AD220</f>
        <v>3563.8952841295486</v>
      </c>
      <c r="AE220" s="42">
        <f>'[2]поточний ремонт'!AE220+'[1]поточний ремонт'!AE220</f>
        <v>1094.5198916326913</v>
      </c>
      <c r="AF220" s="42">
        <f>'[2]поточний ремонт'!AF220+'[1]поточний ремонт'!AF220</f>
        <v>782.89423992605543</v>
      </c>
      <c r="AG220" s="5"/>
      <c r="AH220" s="42">
        <f>'[2]поточний ремонт'!AH220+'[1]поточний ремонт'!AH220</f>
        <v>950.47363648267981</v>
      </c>
      <c r="AI220" s="42">
        <f>'[2]поточний ремонт'!AI220+'[1]поточний ремонт'!AI220</f>
        <v>2437.4861276306642</v>
      </c>
      <c r="AJ220" s="5"/>
      <c r="AK220" s="42">
        <f>'[2]поточний ремонт'!AK220+'[1]поточний ремонт'!AK220</f>
        <v>1537.0514841475656</v>
      </c>
      <c r="AL220" s="42">
        <f>'[2]поточний ремонт'!AL220+'[1]поточний ремонт'!AL220</f>
        <v>0</v>
      </c>
      <c r="AM220" s="5"/>
      <c r="AN220" s="42">
        <f>'[2]поточний ремонт'!AN220+'[1]поточний ремонт'!AN220</f>
        <v>369.71379267900608</v>
      </c>
      <c r="AO220" s="42">
        <f>'[2]поточний ремонт'!AO220+'[1]поточний ремонт'!AO220</f>
        <v>1737.9924740369104</v>
      </c>
      <c r="AP220" s="5"/>
      <c r="AQ220" s="42">
        <f>'[2]поточний ремонт'!AQ220+'[1]поточний ремонт'!AQ220</f>
        <v>703.68650485926344</v>
      </c>
      <c r="AR220" s="42">
        <f>'[2]поточний ремонт'!AR220+'[1]поточний ремонт'!AR220</f>
        <v>0</v>
      </c>
      <c r="AS220" s="5"/>
      <c r="AT220" s="42">
        <f>'[2]поточний ремонт'!AT220+'[1]поточний ремонт'!AT220</f>
        <v>997.01865117866384</v>
      </c>
      <c r="AU220" s="42">
        <f>'[2]поточний ремонт'!AU220+'[1]поточний ремонт'!AU220</f>
        <v>7657.4804491497525</v>
      </c>
      <c r="AV220" s="5"/>
      <c r="AW220" s="42">
        <f>'[2]поточний ремонт'!AW220+'[1]поточний ремонт'!AW220</f>
        <v>560.04330629788353</v>
      </c>
      <c r="AX220" s="42">
        <f>'[2]поточний ремонт'!AX220+'[1]поточний ремонт'!AX220</f>
        <v>0</v>
      </c>
      <c r="AY220" s="5"/>
      <c r="AZ220" s="42">
        <f t="shared" si="26"/>
        <v>6212.5072672777542</v>
      </c>
      <c r="BA220" s="42">
        <f t="shared" si="27"/>
        <v>12615.853290743384</v>
      </c>
      <c r="BB220" s="58">
        <f t="shared" si="28"/>
        <v>6403.3460234656295</v>
      </c>
      <c r="BD220" s="2">
        <v>1</v>
      </c>
      <c r="BF220" s="29">
        <v>240.19267911327304</v>
      </c>
      <c r="BG220" s="318">
        <v>150000939</v>
      </c>
      <c r="BI220" s="104">
        <v>0</v>
      </c>
      <c r="BJ220" s="104">
        <f t="shared" si="32"/>
        <v>0</v>
      </c>
      <c r="BK220" s="104">
        <v>0</v>
      </c>
      <c r="BL220" s="38"/>
      <c r="BM220" s="3"/>
      <c r="BN220" s="3">
        <v>0</v>
      </c>
      <c r="BP220" s="3"/>
      <c r="BQ220" s="3"/>
      <c r="BS220" s="42"/>
      <c r="BT220" s="42">
        <v>0</v>
      </c>
      <c r="BU220" s="958"/>
      <c r="BV220" s="41"/>
      <c r="BW220" s="42"/>
      <c r="BX220" s="36"/>
      <c r="BY220" s="76"/>
      <c r="BZ220" s="42">
        <v>0</v>
      </c>
      <c r="CA220" s="959"/>
      <c r="CB220" s="41"/>
      <c r="CC220" s="41">
        <v>0</v>
      </c>
      <c r="CD220" s="960"/>
      <c r="CE220" s="76">
        <v>0</v>
      </c>
      <c r="CF220" s="55"/>
      <c r="CG220" s="41">
        <v>0</v>
      </c>
      <c r="CH220" s="38">
        <v>0</v>
      </c>
      <c r="CI220" s="76">
        <v>0</v>
      </c>
      <c r="CJ220" s="55"/>
      <c r="CK220" s="955"/>
      <c r="CL220" s="950"/>
      <c r="CM220" s="955"/>
      <c r="CN220" s="950">
        <v>0</v>
      </c>
      <c r="CO220" s="76">
        <v>55.191976228387048</v>
      </c>
      <c r="CP220" s="42">
        <v>0</v>
      </c>
      <c r="CQ220" s="5"/>
      <c r="CR220" s="76">
        <v>73.771443858362431</v>
      </c>
      <c r="CS220" s="954">
        <v>0</v>
      </c>
      <c r="CT220" s="5"/>
      <c r="CU220" s="76">
        <v>108.2476822254237</v>
      </c>
      <c r="CV220" s="42">
        <v>0</v>
      </c>
      <c r="CW220" s="5"/>
      <c r="CX220" s="76">
        <v>28.772477766920876</v>
      </c>
      <c r="CY220" s="42">
        <v>0</v>
      </c>
      <c r="CZ220" s="5"/>
      <c r="DA220" s="76">
        <v>57.116084523971821</v>
      </c>
      <c r="DB220" s="42">
        <v>0</v>
      </c>
      <c r="DC220" s="5"/>
      <c r="DD220" s="76">
        <v>37.598949406075214</v>
      </c>
      <c r="DE220" s="42">
        <v>0</v>
      </c>
      <c r="DF220" s="5"/>
      <c r="DG220" s="76">
        <v>49.306111695899787</v>
      </c>
      <c r="DH220" s="42"/>
      <c r="DI220" s="5"/>
      <c r="DJ220" s="42">
        <v>410.00472570504093</v>
      </c>
      <c r="DK220" s="42">
        <f t="shared" si="33"/>
        <v>0</v>
      </c>
      <c r="DL220" s="58">
        <f t="shared" si="34"/>
        <v>-410.00472570504093</v>
      </c>
      <c r="DM220" s="2">
        <v>1</v>
      </c>
    </row>
    <row r="221" spans="1:117" ht="24.9" customHeight="1" x14ac:dyDescent="0.3">
      <c r="A221" s="318">
        <v>150000926</v>
      </c>
      <c r="B221" s="44" t="s">
        <v>177</v>
      </c>
      <c r="C221" s="956">
        <v>2</v>
      </c>
      <c r="D221" s="957" t="s">
        <v>454</v>
      </c>
      <c r="E221" s="949">
        <f>'побудинковий звіт'!E188</f>
        <v>330.4</v>
      </c>
      <c r="F221" s="950">
        <f>'побудинковий звіт'!AS188</f>
        <v>4452.6790804634093</v>
      </c>
      <c r="G221" s="950">
        <f t="shared" si="24"/>
        <v>538.77775360293617</v>
      </c>
      <c r="H221" s="950">
        <f t="shared" si="25"/>
        <v>-3913.9013268604731</v>
      </c>
      <c r="I221" s="42">
        <f>'[2]поточний ремонт'!I221+'[1]поточний ремонт'!I221</f>
        <v>0</v>
      </c>
      <c r="J221" s="42">
        <f>'[2]поточний ремонт'!J221+'[1]поточний ремонт'!J221</f>
        <v>0</v>
      </c>
      <c r="K221" s="958"/>
      <c r="L221" s="42">
        <f>'[2]поточний ремонт'!L221+'[1]поточний ремонт'!L221</f>
        <v>0</v>
      </c>
      <c r="M221" s="42">
        <f>'[2]поточний ремонт'!M221+'[1]поточний ремонт'!M221</f>
        <v>0</v>
      </c>
      <c r="N221" s="36"/>
      <c r="O221" s="42">
        <f>'[2]поточний ремонт'!O221+'[1]поточний ремонт'!O221</f>
        <v>0</v>
      </c>
      <c r="P221" s="42">
        <f>'[2]поточний ремонт'!P221+'[1]поточний ремонт'!P221</f>
        <v>0</v>
      </c>
      <c r="Q221" s="959"/>
      <c r="R221" s="42">
        <f>'[2]поточний ремонт'!R221+'[1]поточний ремонт'!R221</f>
        <v>0</v>
      </c>
      <c r="S221" s="42">
        <f>'[2]поточний ремонт'!S221+'[1]поточний ремонт'!S221</f>
        <v>0</v>
      </c>
      <c r="T221" s="960"/>
      <c r="U221" s="42">
        <f>'[2]поточний ремонт'!U221+'[1]поточний ремонт'!U221</f>
        <v>0</v>
      </c>
      <c r="V221" s="42">
        <f>'[2]поточний ремонт'!V221+'[1]поточний ремонт'!V221</f>
        <v>0</v>
      </c>
      <c r="W221" s="42">
        <f>'[2]поточний ремонт'!W221+'[1]поточний ремонт'!W221</f>
        <v>0</v>
      </c>
      <c r="X221" s="42">
        <f>'[2]поточний ремонт'!X221+'[1]поточний ремонт'!X221</f>
        <v>0</v>
      </c>
      <c r="Y221" s="42">
        <f>'[2]поточний ремонт'!Y221+'[1]поточний ремонт'!Y221</f>
        <v>0</v>
      </c>
      <c r="Z221" s="42">
        <f>'[2]поточний ремонт'!Z221+'[1]поточний ремонт'!Z221</f>
        <v>0</v>
      </c>
      <c r="AA221" s="42">
        <f>'[2]поточний ремонт'!AA221+'[1]поточний ремонт'!AA221</f>
        <v>0</v>
      </c>
      <c r="AB221" s="42">
        <f>'[2]поточний ремонт'!AB221+'[1]поточний ремонт'!AB221</f>
        <v>0</v>
      </c>
      <c r="AC221" s="42">
        <f>'[2]поточний ремонт'!AC221+'[1]поточний ремонт'!AC221</f>
        <v>0</v>
      </c>
      <c r="AD221" s="42">
        <f>'[2]поточний ремонт'!AD221+'[1]поточний ремонт'!AD221</f>
        <v>538.77775360293617</v>
      </c>
      <c r="AE221" s="42">
        <f>'[2]поточний ремонт'!AE221+'[1]поточний ремонт'!AE221</f>
        <v>317.4296598347625</v>
      </c>
      <c r="AF221" s="42">
        <f>'[2]поточний ремонт'!AF221+'[1]поточний ремонт'!AF221</f>
        <v>0</v>
      </c>
      <c r="AG221" s="5"/>
      <c r="AH221" s="42">
        <f>'[2]поточний ремонт'!AH221+'[1]поточний ремонт'!AH221</f>
        <v>675.38003310746342</v>
      </c>
      <c r="AI221" s="42">
        <f>'[2]поточний ремонт'!AI221+'[1]поточний ремонт'!AI221</f>
        <v>0</v>
      </c>
      <c r="AJ221" s="5"/>
      <c r="AK221" s="42">
        <f>'[2]поточний ремонт'!AK221+'[1]поточний ремонт'!AK221</f>
        <v>0</v>
      </c>
      <c r="AL221" s="42">
        <f>'[2]поточний ремонт'!AL221+'[1]поточний ремонт'!AL221</f>
        <v>0</v>
      </c>
      <c r="AM221" s="5"/>
      <c r="AN221" s="42">
        <f>'[2]поточний ремонт'!AN221+'[1]поточний ремонт'!AN221</f>
        <v>0</v>
      </c>
      <c r="AO221" s="42">
        <f>'[2]поточний ремонт'!AO221+'[1]поточний ремонт'!AO221</f>
        <v>0</v>
      </c>
      <c r="AP221" s="5"/>
      <c r="AQ221" s="42">
        <f>'[2]поточний ремонт'!AQ221+'[1]поточний ремонт'!AQ221</f>
        <v>0</v>
      </c>
      <c r="AR221" s="42">
        <f>'[2]поточний ремонт'!AR221+'[1]поточний ремонт'!AR221</f>
        <v>0</v>
      </c>
      <c r="AS221" s="5"/>
      <c r="AT221" s="42">
        <f>'[2]поточний ремонт'!AT221+'[1]поточний ремонт'!AT221</f>
        <v>227.06106610604536</v>
      </c>
      <c r="AU221" s="42">
        <f>'[2]поточний ремонт'!AU221+'[1]поточний ремонт'!AU221</f>
        <v>0</v>
      </c>
      <c r="AV221" s="5"/>
      <c r="AW221" s="42">
        <f>'[2]поточний ремонт'!AW221+'[1]поточний ремонт'!AW221</f>
        <v>31.214014296485885</v>
      </c>
      <c r="AX221" s="42">
        <f>'[2]поточний ремонт'!AX221+'[1]поточний ремонт'!AX221</f>
        <v>0</v>
      </c>
      <c r="AY221" s="5"/>
      <c r="AZ221" s="42">
        <f t="shared" si="26"/>
        <v>1251.0847733447572</v>
      </c>
      <c r="BA221" s="42">
        <f t="shared" si="27"/>
        <v>0</v>
      </c>
      <c r="BB221" s="58">
        <f t="shared" si="28"/>
        <v>-1251.0847733447572</v>
      </c>
      <c r="BD221" s="2">
        <v>2</v>
      </c>
      <c r="BF221" s="29">
        <v>0.59138090777549635</v>
      </c>
      <c r="BG221" s="318">
        <v>150000926</v>
      </c>
      <c r="BI221" s="104">
        <v>0</v>
      </c>
      <c r="BJ221" s="104">
        <f t="shared" si="32"/>
        <v>0</v>
      </c>
      <c r="BK221" s="104">
        <v>0</v>
      </c>
      <c r="BL221" s="38"/>
      <c r="BM221" s="3"/>
      <c r="BN221" s="3">
        <v>0</v>
      </c>
      <c r="BP221" s="3"/>
      <c r="BQ221" s="3"/>
      <c r="BS221" s="42"/>
      <c r="BT221" s="42">
        <v>0</v>
      </c>
      <c r="BU221" s="958"/>
      <c r="BV221" s="41"/>
      <c r="BW221" s="42"/>
      <c r="BX221" s="36"/>
      <c r="BY221" s="76"/>
      <c r="BZ221" s="42">
        <v>0</v>
      </c>
      <c r="CA221" s="959"/>
      <c r="CB221" s="41"/>
      <c r="CC221" s="41">
        <v>0</v>
      </c>
      <c r="CD221" s="960"/>
      <c r="CE221" s="76">
        <v>0</v>
      </c>
      <c r="CF221" s="55"/>
      <c r="CG221" s="41">
        <v>0</v>
      </c>
      <c r="CH221" s="38">
        <v>0</v>
      </c>
      <c r="CI221" s="76">
        <v>0</v>
      </c>
      <c r="CJ221" s="55"/>
      <c r="CK221" s="955"/>
      <c r="CL221" s="950"/>
      <c r="CM221" s="955"/>
      <c r="CN221" s="950">
        <v>0</v>
      </c>
      <c r="CO221" s="76">
        <v>26.61714052703768</v>
      </c>
      <c r="CP221" s="42">
        <v>0</v>
      </c>
      <c r="CQ221" s="5"/>
      <c r="CR221" s="76">
        <v>57.821648717333993</v>
      </c>
      <c r="CS221" s="954">
        <v>0</v>
      </c>
      <c r="CT221" s="5"/>
      <c r="CU221" s="76">
        <v>0</v>
      </c>
      <c r="CV221" s="42">
        <v>0</v>
      </c>
      <c r="CW221" s="5"/>
      <c r="CX221" s="76">
        <v>0</v>
      </c>
      <c r="CY221" s="42">
        <v>0</v>
      </c>
      <c r="CZ221" s="5"/>
      <c r="DA221" s="76">
        <v>0</v>
      </c>
      <c r="DB221" s="42">
        <v>0</v>
      </c>
      <c r="DC221" s="5"/>
      <c r="DD221" s="76">
        <v>9.8856385409863776</v>
      </c>
      <c r="DE221" s="42">
        <v>0</v>
      </c>
      <c r="DF221" s="5"/>
      <c r="DG221" s="76">
        <v>0</v>
      </c>
      <c r="DH221" s="42"/>
      <c r="DI221" s="5"/>
      <c r="DJ221" s="42">
        <v>94.324427785358054</v>
      </c>
      <c r="DK221" s="42">
        <f t="shared" si="33"/>
        <v>0</v>
      </c>
      <c r="DL221" s="58">
        <f t="shared" si="34"/>
        <v>-94.324427785358054</v>
      </c>
      <c r="DM221" s="2">
        <v>2</v>
      </c>
    </row>
    <row r="222" spans="1:117" ht="24.9" customHeight="1" x14ac:dyDescent="0.3">
      <c r="A222" s="318">
        <v>150000940</v>
      </c>
      <c r="B222" s="44" t="s">
        <v>376</v>
      </c>
      <c r="C222" s="956">
        <v>9</v>
      </c>
      <c r="D222" s="957" t="s">
        <v>454</v>
      </c>
      <c r="E222" s="949">
        <f>'побудинковий звіт'!E189</f>
        <v>151.80000000000001</v>
      </c>
      <c r="F222" s="950">
        <f>'побудинковий звіт'!AS189</f>
        <v>1878.0540176777633</v>
      </c>
      <c r="G222" s="950">
        <f t="shared" si="24"/>
        <v>273791.75769891171</v>
      </c>
      <c r="H222" s="950">
        <f t="shared" si="25"/>
        <v>271913.70368123392</v>
      </c>
      <c r="I222" s="42">
        <f>'[2]поточний ремонт'!I222+'[1]поточний ремонт'!I222</f>
        <v>86.94</v>
      </c>
      <c r="J222" s="42">
        <f>'[2]поточний ремонт'!J222+'[1]поточний ремонт'!J222</f>
        <v>29216.180905254168</v>
      </c>
      <c r="K222" s="958"/>
      <c r="L222" s="42">
        <f>'[2]поточний ремонт'!L222+'[1]поточний ремонт'!L222</f>
        <v>2</v>
      </c>
      <c r="M222" s="42">
        <f>'[2]поточний ремонт'!M222+'[1]поточний ремонт'!M222</f>
        <v>160612.13534376869</v>
      </c>
      <c r="N222" s="961"/>
      <c r="O222" s="42">
        <f>'[2]поточний ремонт'!O222+'[1]поточний ремонт'!O222</f>
        <v>182.2</v>
      </c>
      <c r="P222" s="42">
        <f>'[2]поточний ремонт'!P222+'[1]поточний ремонт'!P222</f>
        <v>69700.990362329409</v>
      </c>
      <c r="Q222" s="959"/>
      <c r="R222" s="42">
        <f>'[2]поточний ремонт'!R222+'[1]поточний ремонт'!R222</f>
        <v>0</v>
      </c>
      <c r="S222" s="42">
        <f>'[2]поточний ремонт'!S222+'[1]поточний ремонт'!S222</f>
        <v>0</v>
      </c>
      <c r="T222" s="968"/>
      <c r="U222" s="42">
        <f>'[2]поточний ремонт'!U222+'[1]поточний ремонт'!U222</f>
        <v>469.29591946661907</v>
      </c>
      <c r="V222" s="42">
        <f>'[2]поточний ремонт'!V222+'[1]поточний ремонт'!V222</f>
        <v>0</v>
      </c>
      <c r="W222" s="42">
        <f>'[2]поточний ремонт'!W222+'[1]поточний ремонт'!W222</f>
        <v>0</v>
      </c>
      <c r="X222" s="42">
        <f>'[2]поточний ремонт'!X222+'[1]поточний ремонт'!X222</f>
        <v>0</v>
      </c>
      <c r="Y222" s="42">
        <f>'[2]поточний ремонт'!Y222+'[1]поточний ремонт'!Y222</f>
        <v>0</v>
      </c>
      <c r="Z222" s="42">
        <f>'[2]поточний ремонт'!Z222+'[1]поточний ремонт'!Z222</f>
        <v>0</v>
      </c>
      <c r="AA222" s="42">
        <f>'[2]поточний ремонт'!AA222+'[1]поточний ремонт'!AA222</f>
        <v>0</v>
      </c>
      <c r="AB222" s="42">
        <f>'[2]поточний ремонт'!AB222+'[1]поточний ремонт'!AB222</f>
        <v>4540.5501779288825</v>
      </c>
      <c r="AC222" s="42">
        <f>'[2]поточний ремонт'!AC222+'[1]поточний ремонт'!AC222</f>
        <v>6535.2412711724428</v>
      </c>
      <c r="AD222" s="42">
        <f>'[2]поточний ремонт'!AD222+'[1]поточний ремонт'!AD222</f>
        <v>2717.3637189915162</v>
      </c>
      <c r="AE222" s="42">
        <f>'[2]поточний ремонт'!AE222+'[1]поточний ремонт'!AE222</f>
        <v>2198.2545655610106</v>
      </c>
      <c r="AF222" s="42">
        <f>'[2]поточний ремонт'!AF222+'[1]поточний ремонт'!AF222</f>
        <v>1111.1159889847941</v>
      </c>
      <c r="AG222" s="5"/>
      <c r="AH222" s="42">
        <f>'[2]поточний ремонт'!AH222+'[1]поточний ремонт'!AH222</f>
        <v>2556.5749495822529</v>
      </c>
      <c r="AI222" s="42">
        <f>'[2]поточний ремонт'!AI222+'[1]поточний ремонт'!AI222</f>
        <v>6495.9368971524464</v>
      </c>
      <c r="AJ222" s="5"/>
      <c r="AK222" s="42">
        <f>'[2]поточний ремонт'!AK222+'[1]поточний ремонт'!AK222</f>
        <v>3020.7832612849202</v>
      </c>
      <c r="AL222" s="42">
        <f>'[2]поточний ремонт'!AL222+'[1]поточний ремонт'!AL222</f>
        <v>1523.7581376649762</v>
      </c>
      <c r="AM222" s="5"/>
      <c r="AN222" s="42">
        <f>'[2]поточний ремонт'!AN222+'[1]поточний ремонт'!AN222</f>
        <v>1244.7722270347333</v>
      </c>
      <c r="AO222" s="42">
        <f>'[2]поточний ремонт'!AO222+'[1]поточний ремонт'!AO222</f>
        <v>0</v>
      </c>
      <c r="AP222" s="5"/>
      <c r="AQ222" s="42">
        <f>'[2]поточний ремонт'!AQ222+'[1]поточний ремонт'!AQ222</f>
        <v>665.24222014303768</v>
      </c>
      <c r="AR222" s="42">
        <f>'[2]поточний ремонт'!AR222+'[1]поточний ремонт'!AR222</f>
        <v>0</v>
      </c>
      <c r="AS222" s="5"/>
      <c r="AT222" s="42">
        <f>'[2]поточний ремонт'!AT222+'[1]поточний ремонт'!AT222</f>
        <v>2628.6347799033542</v>
      </c>
      <c r="AU222" s="42">
        <f>'[2]поточний ремонт'!AU222+'[1]поточний ремонт'!AU222</f>
        <v>6179.3975901989879</v>
      </c>
      <c r="AV222" s="5"/>
      <c r="AW222" s="42">
        <f>'[2]поточний ремонт'!AW222+'[1]поточний ремонт'!AW222</f>
        <v>836.51188845736215</v>
      </c>
      <c r="AX222" s="42">
        <f>'[2]поточний ремонт'!AX222+'[1]поточний ремонт'!AX222</f>
        <v>3716.0503409034895</v>
      </c>
      <c r="AY222" s="5"/>
      <c r="AZ222" s="42">
        <f t="shared" si="26"/>
        <v>13150.77389196667</v>
      </c>
      <c r="BA222" s="42">
        <f t="shared" si="27"/>
        <v>19026.258954904693</v>
      </c>
      <c r="BB222" s="58">
        <f t="shared" si="28"/>
        <v>5875.4850629380235</v>
      </c>
      <c r="BD222" s="2">
        <v>1</v>
      </c>
      <c r="BF222" s="29">
        <v>399.77985821925358</v>
      </c>
      <c r="BG222" s="318">
        <v>150000940</v>
      </c>
      <c r="BI222" s="104">
        <v>0</v>
      </c>
      <c r="BJ222" s="104">
        <f t="shared" si="32"/>
        <v>0</v>
      </c>
      <c r="BK222" s="104">
        <v>0</v>
      </c>
      <c r="BL222" s="38"/>
      <c r="BM222" s="3"/>
      <c r="BN222" s="3">
        <v>0</v>
      </c>
      <c r="BP222" s="3"/>
      <c r="BQ222" s="3"/>
      <c r="BS222" s="42"/>
      <c r="BT222" s="42">
        <v>0</v>
      </c>
      <c r="BU222" s="958"/>
      <c r="BV222" s="41"/>
      <c r="BW222" s="42"/>
      <c r="BX222" s="961"/>
      <c r="BY222" s="76"/>
      <c r="BZ222" s="42">
        <v>0</v>
      </c>
      <c r="CA222" s="959"/>
      <c r="CB222" s="41"/>
      <c r="CC222" s="41">
        <v>0</v>
      </c>
      <c r="CD222" s="968"/>
      <c r="CE222" s="76">
        <v>0</v>
      </c>
      <c r="CF222" s="55"/>
      <c r="CG222" s="41">
        <v>0</v>
      </c>
      <c r="CH222" s="38">
        <v>0</v>
      </c>
      <c r="CI222" s="76">
        <v>0</v>
      </c>
      <c r="CJ222" s="55"/>
      <c r="CK222" s="955"/>
      <c r="CL222" s="950">
        <v>691</v>
      </c>
      <c r="CM222" s="955"/>
      <c r="CN222" s="950">
        <v>0</v>
      </c>
      <c r="CO222" s="76">
        <v>142.66125361904955</v>
      </c>
      <c r="CP222" s="42">
        <v>0</v>
      </c>
      <c r="CQ222" s="5"/>
      <c r="CR222" s="76">
        <v>195.16163375359278</v>
      </c>
      <c r="CS222" s="954">
        <v>0</v>
      </c>
      <c r="CT222" s="5"/>
      <c r="CU222" s="76">
        <v>243.74768870344172</v>
      </c>
      <c r="CV222" s="42">
        <v>0</v>
      </c>
      <c r="CW222" s="5"/>
      <c r="CX222" s="76">
        <v>100.38033698296513</v>
      </c>
      <c r="CY222" s="42">
        <v>0</v>
      </c>
      <c r="CZ222" s="5"/>
      <c r="DA222" s="76">
        <v>49.470906063874629</v>
      </c>
      <c r="DB222" s="42">
        <v>0</v>
      </c>
      <c r="DC222" s="5"/>
      <c r="DD222" s="76">
        <v>160.16315604489395</v>
      </c>
      <c r="DE222" s="42">
        <v>1912.0284114463725</v>
      </c>
      <c r="DF222" s="5"/>
      <c r="DG222" s="76">
        <v>71.510810383329883</v>
      </c>
      <c r="DH222" s="42"/>
      <c r="DI222" s="5"/>
      <c r="DJ222" s="42">
        <v>963.09578555114763</v>
      </c>
      <c r="DK222" s="42">
        <f t="shared" si="33"/>
        <v>1912.0284114463725</v>
      </c>
      <c r="DL222" s="58">
        <f t="shared" si="34"/>
        <v>948.93262589522487</v>
      </c>
      <c r="DM222" s="2">
        <v>1</v>
      </c>
    </row>
    <row r="223" spans="1:117" ht="24.9" customHeight="1" x14ac:dyDescent="0.3">
      <c r="A223" s="318">
        <v>150000941</v>
      </c>
      <c r="B223" s="44" t="s">
        <v>337</v>
      </c>
      <c r="C223" s="956">
        <v>8</v>
      </c>
      <c r="D223" s="957" t="s">
        <v>454</v>
      </c>
      <c r="E223" s="949">
        <f>'побудинковий звіт'!E190</f>
        <v>4531.93</v>
      </c>
      <c r="F223" s="950">
        <f>'побудинковий звіт'!AS190</f>
        <v>66048.561829985731</v>
      </c>
      <c r="G223" s="950">
        <f t="shared" si="24"/>
        <v>24060.406595749067</v>
      </c>
      <c r="H223" s="950">
        <f t="shared" si="25"/>
        <v>-41988.155234236663</v>
      </c>
      <c r="I223" s="42">
        <f>'[2]поточний ремонт'!I223+'[1]поточний ремонт'!I223</f>
        <v>11.8</v>
      </c>
      <c r="J223" s="42">
        <f>'[2]поточний ремонт'!J223+'[1]поточний ремонт'!J223</f>
        <v>5677.8891296986358</v>
      </c>
      <c r="K223" s="958"/>
      <c r="L223" s="42">
        <f>'[2]поточний ремонт'!L223+'[1]поточний ремонт'!L223</f>
        <v>0</v>
      </c>
      <c r="M223" s="42">
        <f>'[2]поточний ремонт'!M223+'[1]поточний ремонт'!M223</f>
        <v>312.02999999999997</v>
      </c>
      <c r="N223" s="36"/>
      <c r="O223" s="42">
        <f>'[2]поточний ремонт'!O223+'[1]поточний ремонт'!O223</f>
        <v>0</v>
      </c>
      <c r="P223" s="42">
        <f>'[2]поточний ремонт'!P223+'[1]поточний ремонт'!P223</f>
        <v>0</v>
      </c>
      <c r="Q223" s="959"/>
      <c r="R223" s="42">
        <f>'[2]поточний ремонт'!R223+'[1]поточний ремонт'!R223</f>
        <v>3</v>
      </c>
      <c r="S223" s="42">
        <f>'[2]поточний ремонт'!S223+'[1]поточний ремонт'!S223</f>
        <v>11904.492910184377</v>
      </c>
      <c r="T223" s="967"/>
      <c r="U223" s="42">
        <f>'[2]поточний ремонт'!U223+'[1]поточний ремонт'!U223</f>
        <v>0</v>
      </c>
      <c r="V223" s="42">
        <f>'[2]поточний ремонт'!V223+'[1]поточний ремонт'!V223</f>
        <v>0</v>
      </c>
      <c r="W223" s="42">
        <f>'[2]поточний ремонт'!W223+'[1]поточний ремонт'!W223</f>
        <v>0</v>
      </c>
      <c r="X223" s="42">
        <f>'[2]поточний ремонт'!X223+'[1]поточний ремонт'!X223</f>
        <v>0</v>
      </c>
      <c r="Y223" s="42">
        <f>'[2]поточний ремонт'!Y223+'[1]поточний ремонт'!Y223</f>
        <v>0</v>
      </c>
      <c r="Z223" s="42">
        <f>'[2]поточний ремонт'!Z223+'[1]поточний ремонт'!Z223</f>
        <v>0</v>
      </c>
      <c r="AA223" s="42">
        <f>'[2]поточний ремонт'!AA223+'[1]поточний ремонт'!AA223</f>
        <v>0</v>
      </c>
      <c r="AB223" s="42">
        <f>'[2]поточний ремонт'!AB223+'[1]поточний ремонт'!AB223</f>
        <v>0</v>
      </c>
      <c r="AC223" s="42">
        <f>'[2]поточний ремонт'!AC223+'[1]поточний ремонт'!AC223</f>
        <v>0</v>
      </c>
      <c r="AD223" s="42">
        <f>'[2]поточний ремонт'!AD223+'[1]поточний ремонт'!AD223</f>
        <v>6165.9945558660538</v>
      </c>
      <c r="AE223" s="42">
        <f>'[2]поточний ремонт'!AE223+'[1]поточний ремонт'!AE223</f>
        <v>542.56018901105779</v>
      </c>
      <c r="AF223" s="42">
        <f>'[2]поточний ремонт'!AF223+'[1]поточний ремонт'!AF223</f>
        <v>745.21377779366821</v>
      </c>
      <c r="AG223" s="5"/>
      <c r="AH223" s="42">
        <f>'[2]поточний ремонт'!AH223+'[1]поточний ремонт'!AH223</f>
        <v>782.55689074993234</v>
      </c>
      <c r="AI223" s="42">
        <f>'[2]поточний ремонт'!AI223+'[1]поточний ремонт'!AI223</f>
        <v>3221.422943737793</v>
      </c>
      <c r="AJ223" s="5"/>
      <c r="AK223" s="42">
        <f>'[2]поточний ремонт'!AK223+'[1]поточний ремонт'!AK223</f>
        <v>502.44378407029683</v>
      </c>
      <c r="AL223" s="42">
        <f>'[2]поточний ремонт'!AL223+'[1]поточний ремонт'!AL223</f>
        <v>0</v>
      </c>
      <c r="AM223" s="5"/>
      <c r="AN223" s="42">
        <f>'[2]поточний ремонт'!AN223+'[1]поточний ремонт'!AN223</f>
        <v>455.83257102704192</v>
      </c>
      <c r="AO223" s="42">
        <f>'[2]поточний ремонт'!AO223+'[1]поточний ремонт'!AO223</f>
        <v>1148.5448070087323</v>
      </c>
      <c r="AP223" s="5"/>
      <c r="AQ223" s="42">
        <f>'[2]поточний ремонт'!AQ223+'[1]поточний ремонт'!AQ223</f>
        <v>409.85473484029825</v>
      </c>
      <c r="AR223" s="42">
        <f>'[2]поточний ремонт'!AR223+'[1]поточний ремонт'!AR223</f>
        <v>0</v>
      </c>
      <c r="AS223" s="5"/>
      <c r="AT223" s="42">
        <f>'[2]поточний ремонт'!AT223+'[1]поточний ремонт'!AT223</f>
        <v>774.44278643683333</v>
      </c>
      <c r="AU223" s="42">
        <f>'[2]поточний ремонт'!AU223+'[1]поточний ремонт'!AU223</f>
        <v>0</v>
      </c>
      <c r="AV223" s="5"/>
      <c r="AW223" s="42">
        <f>'[2]поточний ремонт'!AW223+'[1]поточний ремонт'!AW223</f>
        <v>1036.4117286899307</v>
      </c>
      <c r="AX223" s="42">
        <f>'[2]поточний ремонт'!AX223+'[1]поточний ремонт'!AX223</f>
        <v>0</v>
      </c>
      <c r="AY223" s="5"/>
      <c r="AZ223" s="42">
        <f t="shared" si="26"/>
        <v>4504.1026848253914</v>
      </c>
      <c r="BA223" s="42">
        <f t="shared" si="27"/>
        <v>5115.1815285401935</v>
      </c>
      <c r="BB223" s="58">
        <f t="shared" si="28"/>
        <v>611.07884371480213</v>
      </c>
      <c r="BD223" s="2">
        <v>1</v>
      </c>
      <c r="BF223" s="29">
        <v>298.55495995692252</v>
      </c>
      <c r="BG223" s="318">
        <v>150000941</v>
      </c>
      <c r="BI223" s="104">
        <v>0</v>
      </c>
      <c r="BJ223" s="104">
        <f t="shared" si="32"/>
        <v>0</v>
      </c>
      <c r="BK223" s="104">
        <v>0</v>
      </c>
      <c r="BL223" s="38"/>
      <c r="BM223" s="3"/>
      <c r="BN223" s="3">
        <v>0</v>
      </c>
      <c r="BP223" s="3"/>
      <c r="BQ223" s="3"/>
      <c r="BS223" s="42">
        <v>11.8</v>
      </c>
      <c r="BT223" s="42">
        <v>5670.1800437171096</v>
      </c>
      <c r="BU223" s="958"/>
      <c r="BV223" s="41"/>
      <c r="BW223" s="42"/>
      <c r="BX223" s="36"/>
      <c r="BY223" s="76"/>
      <c r="BZ223" s="42">
        <v>0</v>
      </c>
      <c r="CA223" s="959"/>
      <c r="CB223" s="41"/>
      <c r="CC223" s="41">
        <v>0</v>
      </c>
      <c r="CD223" s="967"/>
      <c r="CE223" s="76">
        <v>0</v>
      </c>
      <c r="CF223" s="55"/>
      <c r="CG223" s="41">
        <v>0</v>
      </c>
      <c r="CH223" s="38">
        <v>0</v>
      </c>
      <c r="CI223" s="76">
        <v>0</v>
      </c>
      <c r="CJ223" s="55"/>
      <c r="CK223" s="955"/>
      <c r="CL223" s="950"/>
      <c r="CM223" s="955"/>
      <c r="CN223" s="950">
        <v>172.95297588114539</v>
      </c>
      <c r="CO223" s="76">
        <v>43.221517890003916</v>
      </c>
      <c r="CP223" s="42">
        <v>0</v>
      </c>
      <c r="CQ223" s="5"/>
      <c r="CR223" s="76">
        <v>60.071093490370153</v>
      </c>
      <c r="CS223" s="954">
        <v>3217.4169540991775</v>
      </c>
      <c r="CT223" s="5"/>
      <c r="CU223" s="76">
        <v>38.37075920514711</v>
      </c>
      <c r="CV223" s="42">
        <v>0</v>
      </c>
      <c r="CW223" s="5"/>
      <c r="CX223" s="76">
        <v>35.66350593768432</v>
      </c>
      <c r="CY223" s="42">
        <v>1147.1165379870235</v>
      </c>
      <c r="CZ223" s="5"/>
      <c r="DA223" s="76">
        <v>27.659892482584404</v>
      </c>
      <c r="DB223" s="42">
        <v>0</v>
      </c>
      <c r="DC223" s="5"/>
      <c r="DD223" s="76">
        <v>57.097134633221827</v>
      </c>
      <c r="DE223" s="42">
        <v>0</v>
      </c>
      <c r="DF223" s="5"/>
      <c r="DG223" s="76">
        <v>90.327581420924687</v>
      </c>
      <c r="DH223" s="42"/>
      <c r="DI223" s="5"/>
      <c r="DJ223" s="42">
        <v>352.41148505993641</v>
      </c>
      <c r="DK223" s="42">
        <f t="shared" si="33"/>
        <v>4364.5334920862006</v>
      </c>
      <c r="DL223" s="58">
        <f t="shared" si="34"/>
        <v>4012.1220070262643</v>
      </c>
      <c r="DM223" s="2">
        <v>1</v>
      </c>
    </row>
    <row r="224" spans="1:117" ht="24.9" customHeight="1" x14ac:dyDescent="0.3">
      <c r="A224" s="318">
        <v>150000957</v>
      </c>
      <c r="B224" s="44" t="s">
        <v>377</v>
      </c>
      <c r="C224" s="956">
        <v>9</v>
      </c>
      <c r="D224" s="957" t="s">
        <v>454</v>
      </c>
      <c r="E224" s="949">
        <f>'побудинковий звіт'!E191</f>
        <v>2055.6</v>
      </c>
      <c r="F224" s="950">
        <f>'побудинковий звіт'!AS191</f>
        <v>27424.819913442996</v>
      </c>
      <c r="G224" s="950">
        <f t="shared" si="24"/>
        <v>46085.68184826291</v>
      </c>
      <c r="H224" s="950">
        <f t="shared" si="25"/>
        <v>18660.861934819914</v>
      </c>
      <c r="I224" s="42">
        <f>'[2]поточний ремонт'!I224+'[1]поточний ремонт'!I224</f>
        <v>71.36</v>
      </c>
      <c r="J224" s="42">
        <f>'[2]поточний ремонт'!J224+'[1]поточний ремонт'!J224</f>
        <v>26736.871173538981</v>
      </c>
      <c r="K224" s="958"/>
      <c r="L224" s="42">
        <f>'[2]поточний ремонт'!L224+'[1]поточний ремонт'!L224</f>
        <v>0</v>
      </c>
      <c r="M224" s="42">
        <f>'[2]поточний ремонт'!M224+'[1]поточний ремонт'!M224</f>
        <v>0</v>
      </c>
      <c r="N224" s="36"/>
      <c r="O224" s="42">
        <f>'[2]поточний ремонт'!O224+'[1]поточний ремонт'!O224</f>
        <v>0</v>
      </c>
      <c r="P224" s="42">
        <f>'[2]поточний ремонт'!P224+'[1]поточний ремонт'!P224</f>
        <v>0</v>
      </c>
      <c r="Q224" s="959"/>
      <c r="R224" s="42">
        <f>'[2]поточний ремонт'!R224+'[1]поточний ремонт'!R224</f>
        <v>0</v>
      </c>
      <c r="S224" s="42">
        <f>'[2]поточний ремонт'!S224+'[1]поточний ремонт'!S224</f>
        <v>0</v>
      </c>
      <c r="T224" s="960"/>
      <c r="U224" s="42">
        <f>'[2]поточний ремонт'!U224+'[1]поточний ремонт'!U224</f>
        <v>0</v>
      </c>
      <c r="V224" s="42">
        <f>'[2]поточний ремонт'!V224+'[1]поточний ремонт'!V224</f>
        <v>0</v>
      </c>
      <c r="W224" s="42">
        <f>'[2]поточний ремонт'!W224+'[1]поточний ремонт'!W224</f>
        <v>3</v>
      </c>
      <c r="X224" s="42">
        <f>'[2]поточний ремонт'!X224+'[1]поточний ремонт'!X224</f>
        <v>1076.0232580306733</v>
      </c>
      <c r="Y224" s="42">
        <f>'[2]поточний ремонт'!Y224+'[1]поточний ремонт'!Y224</f>
        <v>1484.9730386898955</v>
      </c>
      <c r="Z224" s="42">
        <f>'[2]поточний ремонт'!Z224+'[1]поточний ремонт'!Z224</f>
        <v>0</v>
      </c>
      <c r="AA224" s="42">
        <f>'[2]поточний ремонт'!AA224+'[1]поточний ремонт'!AA224</f>
        <v>0</v>
      </c>
      <c r="AB224" s="42">
        <f>'[2]поточний ремонт'!AB224+'[1]поточний ремонт'!AB224</f>
        <v>0</v>
      </c>
      <c r="AC224" s="42">
        <f>'[2]поточний ремонт'!AC224+'[1]поточний ремонт'!AC224</f>
        <v>9381.7379423588063</v>
      </c>
      <c r="AD224" s="42">
        <f>'[2]поточний ремонт'!AD224+'[1]поточний ремонт'!AD224</f>
        <v>7406.0764356445507</v>
      </c>
      <c r="AE224" s="42">
        <f>'[2]поточний ремонт'!AE224+'[1]поточний ремонт'!AE224</f>
        <v>682.94437841826789</v>
      </c>
      <c r="AF224" s="42">
        <f>'[2]поточний ремонт'!AF224+'[1]поточний ремонт'!AF224</f>
        <v>786.88028318186889</v>
      </c>
      <c r="AG224" s="965"/>
      <c r="AH224" s="42">
        <f>'[2]поточний ремонт'!AH224+'[1]поточний ремонт'!AH224</f>
        <v>801.86863936166219</v>
      </c>
      <c r="AI224" s="42">
        <f>'[2]поточний ремонт'!AI224+'[1]поточний ремонт'!AI224</f>
        <v>0</v>
      </c>
      <c r="AJ224" s="965"/>
      <c r="AK224" s="42">
        <f>'[2]поточний ремонт'!AK224+'[1]поточний ремонт'!AK224</f>
        <v>626.43995033952365</v>
      </c>
      <c r="AL224" s="42">
        <f>'[2]поточний ремонт'!AL224+'[1]поточний ремонт'!AL224</f>
        <v>0</v>
      </c>
      <c r="AM224" s="5"/>
      <c r="AN224" s="42">
        <f>'[2]поточний ремонт'!AN224+'[1]поточний ремонт'!AN224</f>
        <v>388.824706261632</v>
      </c>
      <c r="AO224" s="42">
        <f>'[2]поточний ремонт'!AO224+'[1]поточний ремонт'!AO224</f>
        <v>622.83093257350083</v>
      </c>
      <c r="AP224" s="5"/>
      <c r="AQ224" s="42">
        <f>'[2]поточний ремонт'!AQ224+'[1]поточний ремонт'!AQ224</f>
        <v>201.47193036229532</v>
      </c>
      <c r="AR224" s="42">
        <f>'[2]поточний ремонт'!AR224+'[1]поточний ремонт'!AR224</f>
        <v>0</v>
      </c>
      <c r="AS224" s="5"/>
      <c r="AT224" s="42">
        <f>'[2]поточний ремонт'!AT224+'[1]поточний ремонт'!AT224</f>
        <v>302.00496794103822</v>
      </c>
      <c r="AU224" s="42">
        <f>'[2]поточний ремонт'!AU224+'[1]поточний ремонт'!AU224</f>
        <v>5813.9038309150274</v>
      </c>
      <c r="AV224" s="9"/>
      <c r="AW224" s="42">
        <f>'[2]поточний ремонт'!AW224+'[1]поточний ремонт'!AW224</f>
        <v>226.28083168341567</v>
      </c>
      <c r="AX224" s="42">
        <f>'[2]поточний ремонт'!AX224+'[1]поточний ремонт'!AX224</f>
        <v>1878.8737064906281</v>
      </c>
      <c r="AY224" s="5"/>
      <c r="AZ224" s="42">
        <f t="shared" si="26"/>
        <v>3229.8354043678346</v>
      </c>
      <c r="BA224" s="42">
        <f t="shared" si="27"/>
        <v>9102.4887531610257</v>
      </c>
      <c r="BB224" s="58">
        <f t="shared" si="28"/>
        <v>5872.6533487931911</v>
      </c>
      <c r="BD224" s="2">
        <v>1</v>
      </c>
      <c r="BF224" s="29">
        <v>197.82515482680583</v>
      </c>
      <c r="BG224" s="318">
        <v>150000957</v>
      </c>
      <c r="BI224" s="104">
        <v>60.920000000000009</v>
      </c>
      <c r="BJ224" s="104">
        <f t="shared" si="32"/>
        <v>8.5691412240000009</v>
      </c>
      <c r="BK224" s="104">
        <v>70.258170692320007</v>
      </c>
      <c r="BL224" s="38"/>
      <c r="BM224" s="3"/>
      <c r="BN224" s="3">
        <v>0</v>
      </c>
      <c r="BP224" s="3"/>
      <c r="BQ224" s="3"/>
      <c r="BS224" s="42"/>
      <c r="BT224" s="42">
        <v>0</v>
      </c>
      <c r="BU224" s="958"/>
      <c r="BV224" s="41"/>
      <c r="BW224" s="42"/>
      <c r="BX224" s="36"/>
      <c r="BY224" s="76"/>
      <c r="BZ224" s="42">
        <v>0</v>
      </c>
      <c r="CA224" s="959"/>
      <c r="CB224" s="41"/>
      <c r="CC224" s="41">
        <v>0</v>
      </c>
      <c r="CD224" s="960"/>
      <c r="CE224" s="76">
        <v>0</v>
      </c>
      <c r="CF224" s="55"/>
      <c r="CG224" s="41">
        <v>0</v>
      </c>
      <c r="CH224" s="38">
        <v>70.258170692320007</v>
      </c>
      <c r="CI224" s="76">
        <v>0</v>
      </c>
      <c r="CJ224" s="55"/>
      <c r="CK224" s="955"/>
      <c r="CL224" s="950"/>
      <c r="CM224" s="955">
        <v>9369</v>
      </c>
      <c r="CN224" s="950">
        <v>1724.0983644152097</v>
      </c>
      <c r="CO224" s="76">
        <v>53.230022423612517</v>
      </c>
      <c r="CP224" s="42">
        <v>0</v>
      </c>
      <c r="CQ224" s="965"/>
      <c r="CR224" s="76">
        <v>66.457986212938039</v>
      </c>
      <c r="CS224" s="954">
        <v>0</v>
      </c>
      <c r="CT224" s="965"/>
      <c r="CU224" s="76">
        <v>48.248022161284226</v>
      </c>
      <c r="CV224" s="42">
        <v>0</v>
      </c>
      <c r="CW224" s="5"/>
      <c r="CX224" s="76">
        <v>34.155621616150434</v>
      </c>
      <c r="CY224" s="42">
        <v>0</v>
      </c>
      <c r="CZ224" s="5"/>
      <c r="DA224" s="76">
        <v>16.490308828845698</v>
      </c>
      <c r="DB224" s="42">
        <v>0</v>
      </c>
      <c r="DC224" s="5"/>
      <c r="DD224" s="76">
        <v>21.813146642889613</v>
      </c>
      <c r="DE224" s="42">
        <v>0</v>
      </c>
      <c r="DF224" s="9"/>
      <c r="DG224" s="76">
        <v>19.232789584385941</v>
      </c>
      <c r="DH224" s="42"/>
      <c r="DI224" s="5"/>
      <c r="DJ224" s="42">
        <v>259.62789747010646</v>
      </c>
      <c r="DK224" s="42">
        <f t="shared" si="33"/>
        <v>0</v>
      </c>
      <c r="DL224" s="58">
        <f t="shared" si="34"/>
        <v>-259.62789747010646</v>
      </c>
      <c r="DM224" s="2">
        <v>1</v>
      </c>
    </row>
    <row r="225" spans="1:117" ht="24.9" customHeight="1" x14ac:dyDescent="0.3">
      <c r="A225" s="318">
        <v>150000960</v>
      </c>
      <c r="B225" s="44" t="s">
        <v>378</v>
      </c>
      <c r="C225" s="956">
        <v>9</v>
      </c>
      <c r="D225" s="957" t="s">
        <v>454</v>
      </c>
      <c r="E225" s="949">
        <f>'побудинковий звіт'!E192</f>
        <v>376.81</v>
      </c>
      <c r="F225" s="950">
        <f>'побудинковий звіт'!AS192</f>
        <v>5485.0432536633698</v>
      </c>
      <c r="G225" s="950">
        <f t="shared" si="24"/>
        <v>9922.7730881758071</v>
      </c>
      <c r="H225" s="950">
        <f t="shared" si="25"/>
        <v>4437.7298345124373</v>
      </c>
      <c r="I225" s="42">
        <f>'[2]поточний ремонт'!I225+'[1]поточний ремонт'!I225</f>
        <v>0.5</v>
      </c>
      <c r="J225" s="42">
        <f>'[2]поточний ремонт'!J225+'[1]поточний ремонт'!J225</f>
        <v>857.33859195696277</v>
      </c>
      <c r="K225" s="958"/>
      <c r="L225" s="42">
        <f>'[2]поточний ремонт'!L225+'[1]поточний ремонт'!L225</f>
        <v>0</v>
      </c>
      <c r="M225" s="42">
        <f>'[2]поточний ремонт'!M225+'[1]поточний ремонт'!M225</f>
        <v>0</v>
      </c>
      <c r="N225" s="36"/>
      <c r="O225" s="42">
        <f>'[2]поточний ремонт'!O225+'[1]поточний ремонт'!O225</f>
        <v>0</v>
      </c>
      <c r="P225" s="42">
        <f>'[2]поточний ремонт'!P225+'[1]поточний ремонт'!P225</f>
        <v>0</v>
      </c>
      <c r="Q225" s="959"/>
      <c r="R225" s="42">
        <f>'[2]поточний ремонт'!R225+'[1]поточний ремонт'!R225</f>
        <v>0</v>
      </c>
      <c r="S225" s="42">
        <f>'[2]поточний ремонт'!S225+'[1]поточний ремонт'!S225</f>
        <v>0</v>
      </c>
      <c r="T225" s="968"/>
      <c r="U225" s="42">
        <f>'[2]поточний ремонт'!U225+'[1]поточний ремонт'!U225</f>
        <v>0</v>
      </c>
      <c r="V225" s="42">
        <f>'[2]поточний ремонт'!V225+'[1]поточний ремонт'!V225</f>
        <v>0</v>
      </c>
      <c r="W225" s="42">
        <f>'[2]поточний ремонт'!W225+'[1]поточний ремонт'!W225</f>
        <v>4</v>
      </c>
      <c r="X225" s="42">
        <f>'[2]поточний ремонт'!X225+'[1]поточний ремонт'!X225</f>
        <v>1109.2606139776412</v>
      </c>
      <c r="Y225" s="42">
        <f>'[2]поточний ремонт'!Y225+'[1]поточний ремонт'!Y225</f>
        <v>2153.0602639161984</v>
      </c>
      <c r="Z225" s="42">
        <f>'[2]поточний ремонт'!Z225+'[1]поточний ремонт'!Z225</f>
        <v>0</v>
      </c>
      <c r="AA225" s="42">
        <f>'[2]поточний ремонт'!AA225+'[1]поточний ремонт'!AA225</f>
        <v>0</v>
      </c>
      <c r="AB225" s="42">
        <f>'[2]поточний ремонт'!AB225+'[1]поточний ремонт'!AB225</f>
        <v>197.19690590536291</v>
      </c>
      <c r="AC225" s="42">
        <f>'[2]поточний ремонт'!AC225+'[1]поточний ремонт'!AC225</f>
        <v>400.54383359414265</v>
      </c>
      <c r="AD225" s="42">
        <f>'[2]поточний ремонт'!AD225+'[1]поточний ремонт'!AD225</f>
        <v>5205.3728788254984</v>
      </c>
      <c r="AE225" s="42">
        <f>'[2]поточний ремонт'!AE225+'[1]поточний ремонт'!AE225</f>
        <v>1453.1115650403024</v>
      </c>
      <c r="AF225" s="42">
        <f>'[2]поточний ремонт'!AF225+'[1]поточний ремонт'!AF225</f>
        <v>3495.0311479236639</v>
      </c>
      <c r="AG225" s="9"/>
      <c r="AH225" s="42">
        <f>'[2]поточний ремонт'!AH225+'[1]поточний ремонт'!AH225</f>
        <v>1335.2470144230526</v>
      </c>
      <c r="AI225" s="42">
        <f>'[2]поточний ремонт'!AI225+'[1]поточний ремонт'!AI225</f>
        <v>0</v>
      </c>
      <c r="AJ225" s="9"/>
      <c r="AK225" s="42">
        <f>'[2]поточний ремонт'!AK225+'[1]поточний ремонт'!AK225</f>
        <v>1074.3920042335471</v>
      </c>
      <c r="AL225" s="42">
        <f>'[2]поточний ремонт'!AL225+'[1]поточний ремонт'!AL225</f>
        <v>0</v>
      </c>
      <c r="AM225" s="965"/>
      <c r="AN225" s="42">
        <f>'[2]поточний ремонт'!AN225+'[1]поточний ремонт'!AN225</f>
        <v>553.8546008730533</v>
      </c>
      <c r="AO225" s="42">
        <f>'[2]поточний ремонт'!AO225+'[1]поточний ремонт'!AO225</f>
        <v>0</v>
      </c>
      <c r="AP225" s="5"/>
      <c r="AQ225" s="42">
        <f>'[2]поточний ремонт'!AQ225+'[1]поточний ремонт'!AQ225</f>
        <v>336.32301305605415</v>
      </c>
      <c r="AR225" s="42">
        <f>'[2]поточний ремонт'!AR225+'[1]поточний ремонт'!AR225</f>
        <v>0</v>
      </c>
      <c r="AS225" s="5"/>
      <c r="AT225" s="42">
        <f>'[2]поточний ремонт'!AT225+'[1]поточний ремонт'!AT225</f>
        <v>968.68469937748876</v>
      </c>
      <c r="AU225" s="42">
        <f>'[2]поточний ремонт'!AU225+'[1]поточний ремонт'!AU225</f>
        <v>8789.139412248147</v>
      </c>
      <c r="AV225" s="5"/>
      <c r="AW225" s="42">
        <f>'[2]поточний ремонт'!AW225+'[1]поточний ремонт'!AW225</f>
        <v>480.21518242858343</v>
      </c>
      <c r="AX225" s="42">
        <f>'[2]поточний ремонт'!AX225+'[1]поточний ремонт'!AX225</f>
        <v>6336.8411542312633</v>
      </c>
      <c r="AY225" s="5"/>
      <c r="AZ225" s="42">
        <f t="shared" si="26"/>
        <v>6201.8280794320826</v>
      </c>
      <c r="BA225" s="42">
        <f t="shared" si="27"/>
        <v>18621.011714403074</v>
      </c>
      <c r="BB225" s="58">
        <f t="shared" si="28"/>
        <v>12419.183634970992</v>
      </c>
      <c r="BD225" s="2">
        <v>1</v>
      </c>
      <c r="BF225" s="29">
        <v>201.55461220787302</v>
      </c>
      <c r="BG225" s="318">
        <v>150000960</v>
      </c>
      <c r="BI225" s="104">
        <v>33.590000000000003</v>
      </c>
      <c r="BJ225" s="104">
        <f t="shared" si="32"/>
        <v>4.7248432979999997</v>
      </c>
      <c r="BK225" s="104">
        <v>38.738869887640007</v>
      </c>
      <c r="BL225" s="38"/>
      <c r="BM225" s="3"/>
      <c r="BN225" s="3">
        <v>0</v>
      </c>
      <c r="BP225" s="3"/>
      <c r="BQ225" s="3"/>
      <c r="BS225" s="42">
        <v>0.5</v>
      </c>
      <c r="BT225" s="42">
        <v>856.17455074909435</v>
      </c>
      <c r="BU225" s="958"/>
      <c r="BV225" s="41"/>
      <c r="BW225" s="42"/>
      <c r="BX225" s="36"/>
      <c r="BY225" s="76"/>
      <c r="BZ225" s="42">
        <v>0</v>
      </c>
      <c r="CA225" s="959"/>
      <c r="CB225" s="41"/>
      <c r="CC225" s="41">
        <v>0</v>
      </c>
      <c r="CD225" s="968"/>
      <c r="CE225" s="76">
        <v>0</v>
      </c>
      <c r="CF225" s="55"/>
      <c r="CG225" s="41">
        <v>0</v>
      </c>
      <c r="CH225" s="38">
        <v>38.738869887640007</v>
      </c>
      <c r="CI225" s="76">
        <v>0</v>
      </c>
      <c r="CJ225" s="55"/>
      <c r="CK225" s="955"/>
      <c r="CL225" s="950"/>
      <c r="CM225" s="955">
        <v>400</v>
      </c>
      <c r="CN225" s="950">
        <v>55.382297109073171</v>
      </c>
      <c r="CO225" s="76">
        <v>82.705581956329112</v>
      </c>
      <c r="CP225" s="42">
        <v>0</v>
      </c>
      <c r="CQ225" s="9"/>
      <c r="CR225" s="76">
        <v>106.33277794070069</v>
      </c>
      <c r="CS225" s="954">
        <v>0</v>
      </c>
      <c r="CT225" s="9"/>
      <c r="CU225" s="76">
        <v>79.379798649966872</v>
      </c>
      <c r="CV225" s="42">
        <v>0</v>
      </c>
      <c r="CW225" s="965"/>
      <c r="CX225" s="76">
        <v>47.155071300886689</v>
      </c>
      <c r="CY225" s="42">
        <v>0</v>
      </c>
      <c r="CZ225" s="5"/>
      <c r="DA225" s="76">
        <v>26.384494126153122</v>
      </c>
      <c r="DB225" s="42">
        <v>0</v>
      </c>
      <c r="DC225" s="5"/>
      <c r="DD225" s="76">
        <v>39.020441763512657</v>
      </c>
      <c r="DE225" s="42">
        <v>2818.3886636153293</v>
      </c>
      <c r="DF225" s="5"/>
      <c r="DG225" s="76">
        <v>39.939398527722432</v>
      </c>
      <c r="DH225" s="42"/>
      <c r="DI225" s="5"/>
      <c r="DJ225" s="42">
        <v>420.91756426527161</v>
      </c>
      <c r="DK225" s="42">
        <f t="shared" si="33"/>
        <v>2818.3886636153293</v>
      </c>
      <c r="DL225" s="58">
        <f t="shared" si="34"/>
        <v>2397.4710993500576</v>
      </c>
      <c r="DM225" s="2">
        <v>1</v>
      </c>
    </row>
    <row r="226" spans="1:117" ht="24.9" customHeight="1" x14ac:dyDescent="0.3">
      <c r="A226" s="318">
        <v>150000963</v>
      </c>
      <c r="B226" s="44" t="s">
        <v>379</v>
      </c>
      <c r="C226" s="956">
        <v>9</v>
      </c>
      <c r="D226" s="957" t="s">
        <v>454</v>
      </c>
      <c r="E226" s="949">
        <f>'побудинковий звіт'!E193</f>
        <v>119.3</v>
      </c>
      <c r="F226" s="950">
        <f>'побудинковий звіт'!AS193</f>
        <v>2210.3054700064836</v>
      </c>
      <c r="G226" s="950">
        <f t="shared" si="24"/>
        <v>36146.146938990598</v>
      </c>
      <c r="H226" s="950">
        <f t="shared" si="25"/>
        <v>33935.841468984116</v>
      </c>
      <c r="I226" s="42">
        <f>'[2]поточний ремонт'!I226+'[1]поточний ремонт'!I226</f>
        <v>0</v>
      </c>
      <c r="J226" s="42">
        <f>'[2]поточний ремонт'!J226+'[1]поточний ремонт'!J226</f>
        <v>0</v>
      </c>
      <c r="K226" s="962"/>
      <c r="L226" s="42">
        <f>'[2]поточний ремонт'!L226+'[1]поточний ремонт'!L226</f>
        <v>0</v>
      </c>
      <c r="M226" s="42">
        <f>'[2]поточний ремонт'!M226+'[1]поточний ремонт'!M226</f>
        <v>0</v>
      </c>
      <c r="N226" s="36"/>
      <c r="O226" s="42">
        <f>'[2]поточний ремонт'!O226+'[1]поточний ремонт'!O226</f>
        <v>0</v>
      </c>
      <c r="P226" s="42">
        <f>'[2]поточний ремонт'!P226+'[1]поточний ремонт'!P226</f>
        <v>0</v>
      </c>
      <c r="Q226" s="959"/>
      <c r="R226" s="42">
        <f>'[2]поточний ремонт'!R226+'[1]поточний ремонт'!R226</f>
        <v>2</v>
      </c>
      <c r="S226" s="42">
        <f>'[2]поточний ремонт'!S226+'[1]поточний ремонт'!S226</f>
        <v>30675.699378923979</v>
      </c>
      <c r="T226" s="960"/>
      <c r="U226" s="42">
        <f>'[2]поточний ремонт'!U226+'[1]поточний ремонт'!U226</f>
        <v>173.81774176478288</v>
      </c>
      <c r="V226" s="42">
        <f>'[2]поточний ремонт'!V226+'[1]поточний ремонт'!V226</f>
        <v>0</v>
      </c>
      <c r="W226" s="42">
        <f>'[2]поточний ремонт'!W226+'[1]поточний ремонт'!W226</f>
        <v>1</v>
      </c>
      <c r="X226" s="42">
        <f>'[2]поточний ремонт'!X226+'[1]поточний ремонт'!X226</f>
        <v>1506.3898727686674</v>
      </c>
      <c r="Y226" s="42">
        <f>'[2]поточний ремонт'!Y226+'[1]поточний ремонт'!Y226</f>
        <v>0</v>
      </c>
      <c r="Z226" s="42">
        <f>'[2]поточний ремонт'!Z226+'[1]поточний ремонт'!Z226</f>
        <v>0</v>
      </c>
      <c r="AA226" s="42">
        <f>'[2]поточний ремонт'!AA226+'[1]поточний ремонт'!AA226</f>
        <v>0</v>
      </c>
      <c r="AB226" s="42">
        <f>'[2]поточний ремонт'!AB226+'[1]поточний ремонт'!AB226</f>
        <v>0</v>
      </c>
      <c r="AC226" s="42">
        <f>'[2]поточний ремонт'!AC226+'[1]поточний ремонт'!AC226</f>
        <v>2807.2195824815362</v>
      </c>
      <c r="AD226" s="42">
        <f>'[2]поточний ремонт'!AD226+'[1]поточний ремонт'!AD226</f>
        <v>983.02036305162994</v>
      </c>
      <c r="AE226" s="42">
        <f>'[2]поточний ремонт'!AE226+'[1]поточний ремонт'!AE226</f>
        <v>822.79474223157183</v>
      </c>
      <c r="AF226" s="42">
        <f>'[2]поточний ремонт'!AF226+'[1]поточний ремонт'!AF226</f>
        <v>0</v>
      </c>
      <c r="AG226" s="5"/>
      <c r="AH226" s="42">
        <f>'[2]поточний ремонт'!AH226+'[1]поточний ремонт'!AH226</f>
        <v>834.1208915013292</v>
      </c>
      <c r="AI226" s="42">
        <f>'[2]поточний ремонт'!AI226+'[1]поточний ремонт'!AI226</f>
        <v>0</v>
      </c>
      <c r="AJ226" s="5"/>
      <c r="AK226" s="42">
        <f>'[2]поточний ремонт'!AK226+'[1]поточний ремонт'!AK226</f>
        <v>620.15295788375704</v>
      </c>
      <c r="AL226" s="42">
        <f>'[2]поточний ремонт'!AL226+'[1]поточний ремонт'!AL226</f>
        <v>0</v>
      </c>
      <c r="AM226" s="5"/>
      <c r="AN226" s="42">
        <f>'[2]поточний ремонт'!AN226+'[1]поточний ремонт'!AN226</f>
        <v>368.64210961817577</v>
      </c>
      <c r="AO226" s="42">
        <f>'[2]поточний ремонт'!AO226+'[1]поточний ремонт'!AO226</f>
        <v>0</v>
      </c>
      <c r="AP226" s="5"/>
      <c r="AQ226" s="42">
        <f>'[2]поточний ремонт'!AQ226+'[1]поточний ремонт'!AQ226</f>
        <v>201.47193036229532</v>
      </c>
      <c r="AR226" s="42">
        <f>'[2]поточний ремонт'!AR226+'[1]поточний ремонт'!AR226</f>
        <v>0</v>
      </c>
      <c r="AS226" s="5"/>
      <c r="AT226" s="42">
        <f>'[2]поточний ремонт'!AT226+'[1]поточний ремонт'!AT226</f>
        <v>434.1760862297416</v>
      </c>
      <c r="AU226" s="42">
        <f>'[2]поточний ремонт'!AU226+'[1]поточний ремонт'!AU226</f>
        <v>0</v>
      </c>
      <c r="AV226" s="5"/>
      <c r="AW226" s="42">
        <f>'[2]поточний ремонт'!AW226+'[1]поточний ремонт'!AW226</f>
        <v>172.9603343164608</v>
      </c>
      <c r="AX226" s="42">
        <f>'[2]поточний ремонт'!AX226+'[1]поточний ремонт'!AX226</f>
        <v>1141.464691227553</v>
      </c>
      <c r="AY226" s="5"/>
      <c r="AZ226" s="42">
        <f t="shared" si="26"/>
        <v>3454.3190521433316</v>
      </c>
      <c r="BA226" s="42">
        <f t="shared" si="27"/>
        <v>1141.464691227553</v>
      </c>
      <c r="BB226" s="58">
        <f t="shared" si="28"/>
        <v>-2312.8543609157787</v>
      </c>
      <c r="BD226" s="2">
        <v>1</v>
      </c>
      <c r="BF226" s="29">
        <v>151.59897624264008</v>
      </c>
      <c r="BG226" s="318">
        <v>150000963</v>
      </c>
      <c r="BI226" s="104">
        <v>26.25</v>
      </c>
      <c r="BJ226" s="104">
        <f t="shared" si="32"/>
        <v>3.6923827499999997</v>
      </c>
      <c r="BK226" s="104">
        <v>30.273752145</v>
      </c>
      <c r="BL226" s="38"/>
      <c r="BM226" s="3"/>
      <c r="BN226" s="3">
        <v>0</v>
      </c>
      <c r="BP226" s="3"/>
      <c r="BQ226" s="3"/>
      <c r="BS226" s="42"/>
      <c r="BT226" s="42">
        <v>0</v>
      </c>
      <c r="BU226" s="962"/>
      <c r="BV226" s="41"/>
      <c r="BW226" s="42"/>
      <c r="BX226" s="36"/>
      <c r="BY226" s="76"/>
      <c r="BZ226" s="42">
        <v>0</v>
      </c>
      <c r="CA226" s="959"/>
      <c r="CB226" s="41"/>
      <c r="CC226" s="41">
        <v>0</v>
      </c>
      <c r="CD226" s="960"/>
      <c r="CE226" s="76">
        <v>0</v>
      </c>
      <c r="CF226" s="55"/>
      <c r="CG226" s="41">
        <v>0</v>
      </c>
      <c r="CH226" s="38">
        <v>30.273752145</v>
      </c>
      <c r="CI226" s="76">
        <v>0</v>
      </c>
      <c r="CJ226" s="964"/>
      <c r="CK226" s="955"/>
      <c r="CL226" s="950"/>
      <c r="CM226" s="955"/>
      <c r="CN226" s="950">
        <v>0</v>
      </c>
      <c r="CO226" s="76">
        <v>53.230022423612517</v>
      </c>
      <c r="CP226" s="42">
        <v>0</v>
      </c>
      <c r="CQ226" s="5"/>
      <c r="CR226" s="76">
        <v>66.457986212938039</v>
      </c>
      <c r="CS226" s="954">
        <v>0</v>
      </c>
      <c r="CT226" s="5"/>
      <c r="CU226" s="76">
        <v>46.562426944596147</v>
      </c>
      <c r="CV226" s="42">
        <v>0</v>
      </c>
      <c r="CW226" s="5"/>
      <c r="CX226" s="76">
        <v>32.283507219230621</v>
      </c>
      <c r="CY226" s="42">
        <v>0</v>
      </c>
      <c r="CZ226" s="5"/>
      <c r="DA226" s="76">
        <v>16.490308828845698</v>
      </c>
      <c r="DB226" s="42">
        <v>0</v>
      </c>
      <c r="DC226" s="5"/>
      <c r="DD226" s="76">
        <v>21.813146642889613</v>
      </c>
      <c r="DE226" s="42">
        <v>0</v>
      </c>
      <c r="DF226" s="5"/>
      <c r="DG226" s="76">
        <v>13.953532419340904</v>
      </c>
      <c r="DH226" s="42"/>
      <c r="DI226" s="5"/>
      <c r="DJ226" s="42">
        <v>250.79093069145358</v>
      </c>
      <c r="DK226" s="42">
        <f t="shared" si="33"/>
        <v>0</v>
      </c>
      <c r="DL226" s="58">
        <f t="shared" si="34"/>
        <v>-250.79093069145358</v>
      </c>
      <c r="DM226" s="2">
        <v>1</v>
      </c>
    </row>
    <row r="227" spans="1:117" ht="24.9" customHeight="1" x14ac:dyDescent="0.3">
      <c r="A227" s="318">
        <v>150000927</v>
      </c>
      <c r="B227" s="44" t="s">
        <v>178</v>
      </c>
      <c r="C227" s="956">
        <v>2</v>
      </c>
      <c r="D227" s="957" t="s">
        <v>454</v>
      </c>
      <c r="E227" s="949">
        <f>'побудинковий звіт'!E194</f>
        <v>182.8</v>
      </c>
      <c r="F227" s="950">
        <f>'побудинковий звіт'!AS194</f>
        <v>2540.2900512470997</v>
      </c>
      <c r="G227" s="950">
        <f t="shared" si="24"/>
        <v>34371.868952170691</v>
      </c>
      <c r="H227" s="950">
        <f t="shared" si="25"/>
        <v>31831.578900923592</v>
      </c>
      <c r="I227" s="42">
        <f>'[2]поточний ремонт'!I227+'[1]поточний ремонт'!I227</f>
        <v>2.84</v>
      </c>
      <c r="J227" s="42">
        <f>'[2]поточний ремонт'!J227+'[1]поточний ремонт'!J227</f>
        <v>691.58751095590753</v>
      </c>
      <c r="K227" s="958"/>
      <c r="L227" s="42">
        <f>'[2]поточний ремонт'!L227+'[1]поточний ремонт'!L227</f>
        <v>1</v>
      </c>
      <c r="M227" s="42">
        <f>'[2]поточний ремонт'!M227+'[1]поточний ремонт'!M227</f>
        <v>33497.292146481333</v>
      </c>
      <c r="N227" s="36"/>
      <c r="O227" s="42">
        <f>'[2]поточний ремонт'!O227+'[1]поточний ремонт'!O227</f>
        <v>0</v>
      </c>
      <c r="P227" s="42">
        <f>'[2]поточний ремонт'!P227+'[1]поточний ремонт'!P227</f>
        <v>0</v>
      </c>
      <c r="Q227" s="959"/>
      <c r="R227" s="42">
        <f>'[2]поточний ремонт'!R227+'[1]поточний ремонт'!R227</f>
        <v>0</v>
      </c>
      <c r="S227" s="42">
        <f>'[2]поточний ремонт'!S227+'[1]поточний ремонт'!S227</f>
        <v>0</v>
      </c>
      <c r="T227" s="960"/>
      <c r="U227" s="42">
        <f>'[2]поточний ремонт'!U227+'[1]поточний ремонт'!U227</f>
        <v>0</v>
      </c>
      <c r="V227" s="42">
        <f>'[2]поточний ремонт'!V227+'[1]поточний ремонт'!V227</f>
        <v>0</v>
      </c>
      <c r="W227" s="42">
        <f>'[2]поточний ремонт'!W227+'[1]поточний ремонт'!W227</f>
        <v>0</v>
      </c>
      <c r="X227" s="42">
        <f>'[2]поточний ремонт'!X227+'[1]поточний ремонт'!X227</f>
        <v>0</v>
      </c>
      <c r="Y227" s="42">
        <f>'[2]поточний ремонт'!Y227+'[1]поточний ремонт'!Y227</f>
        <v>0</v>
      </c>
      <c r="Z227" s="42">
        <f>'[2]поточний ремонт'!Z227+'[1]поточний ремонт'!Z227</f>
        <v>0</v>
      </c>
      <c r="AA227" s="42">
        <f>'[2]поточний ремонт'!AA227+'[1]поточний ремонт'!AA227</f>
        <v>0</v>
      </c>
      <c r="AB227" s="42">
        <f>'[2]поточний ремонт'!AB227+'[1]поточний ремонт'!AB227</f>
        <v>0</v>
      </c>
      <c r="AC227" s="42">
        <f>'[2]поточний ремонт'!AC227+'[1]поточний ремонт'!AC227</f>
        <v>0</v>
      </c>
      <c r="AD227" s="42">
        <f>'[2]поточний ремонт'!AD227+'[1]поточний ремонт'!AD227</f>
        <v>182.98929473345493</v>
      </c>
      <c r="AE227" s="42">
        <f>'[2]поточний ремонт'!AE227+'[1]поточний ремонт'!AE227</f>
        <v>555.19911482142322</v>
      </c>
      <c r="AF227" s="42">
        <f>'[2]поточний ремонт'!AF227+'[1]поточний ремонт'!AF227</f>
        <v>0</v>
      </c>
      <c r="AG227" s="5"/>
      <c r="AH227" s="42">
        <f>'[2]поточний ремонт'!AH227+'[1]поточний ремонт'!AH227</f>
        <v>886.03510533014992</v>
      </c>
      <c r="AI227" s="42">
        <f>'[2]поточний ремонт'!AI227+'[1]поточний ремонт'!AI227</f>
        <v>0</v>
      </c>
      <c r="AJ227" s="5"/>
      <c r="AK227" s="42">
        <f>'[2]поточний ремонт'!AK227+'[1]поточний ремонт'!AK227</f>
        <v>483.60099293201034</v>
      </c>
      <c r="AL227" s="42">
        <f>'[2]поточний ремонт'!AL227+'[1]поточний ремонт'!AL227</f>
        <v>0</v>
      </c>
      <c r="AM227" s="5"/>
      <c r="AN227" s="42">
        <f>'[2]поточний ремонт'!AN227+'[1]поточний ремонт'!AN227</f>
        <v>0</v>
      </c>
      <c r="AO227" s="42">
        <f>'[2]поточний ремонт'!AO227+'[1]поточний ремонт'!AO227</f>
        <v>0</v>
      </c>
      <c r="AP227" s="5"/>
      <c r="AQ227" s="42">
        <f>'[2]поточний ремонт'!AQ227+'[1]поточний ремонт'!AQ227</f>
        <v>0</v>
      </c>
      <c r="AR227" s="42">
        <f>'[2]поточний ремонт'!AR227+'[1]поточний ремонт'!AR227</f>
        <v>0</v>
      </c>
      <c r="AS227" s="5"/>
      <c r="AT227" s="42">
        <f>'[2]поточний ремонт'!AT227+'[1]поточний ремонт'!AT227</f>
        <v>164.03662555611689</v>
      </c>
      <c r="AU227" s="42">
        <f>'[2]поточний ремонт'!AU227+'[1]поточний ремонт'!AU227</f>
        <v>0</v>
      </c>
      <c r="AV227" s="5"/>
      <c r="AW227" s="42">
        <f>'[2]поточний ремонт'!AW227+'[1]поточний ремонт'!AW227</f>
        <v>31.214014296485885</v>
      </c>
      <c r="AX227" s="42">
        <f>'[2]поточний ремонт'!AX227+'[1]поточний ремонт'!AX227</f>
        <v>0</v>
      </c>
      <c r="AY227" s="5"/>
      <c r="AZ227" s="42">
        <f t="shared" si="26"/>
        <v>2120.0858529361863</v>
      </c>
      <c r="BA227" s="42">
        <f t="shared" si="27"/>
        <v>0</v>
      </c>
      <c r="BB227" s="58">
        <f t="shared" si="28"/>
        <v>-2120.0858529361863</v>
      </c>
      <c r="BD227" s="2">
        <v>2</v>
      </c>
      <c r="BF227" s="29">
        <v>1.0362676069812662</v>
      </c>
      <c r="BG227" s="318">
        <v>150000927</v>
      </c>
      <c r="BI227" s="104">
        <v>0</v>
      </c>
      <c r="BJ227" s="104">
        <f t="shared" si="32"/>
        <v>0</v>
      </c>
      <c r="BK227" s="104">
        <v>0</v>
      </c>
      <c r="BL227" s="38"/>
      <c r="BM227" s="3"/>
      <c r="BN227" s="3">
        <v>0</v>
      </c>
      <c r="BP227" s="3"/>
      <c r="BQ227" s="3"/>
      <c r="BS227" s="42"/>
      <c r="BT227" s="42">
        <v>0</v>
      </c>
      <c r="BU227" s="958"/>
      <c r="BV227" s="41"/>
      <c r="BW227" s="42"/>
      <c r="BX227" s="36"/>
      <c r="BY227" s="76"/>
      <c r="BZ227" s="42">
        <v>0</v>
      </c>
      <c r="CA227" s="959"/>
      <c r="CB227" s="41"/>
      <c r="CC227" s="41">
        <v>0</v>
      </c>
      <c r="CD227" s="960"/>
      <c r="CE227" s="76">
        <v>0</v>
      </c>
      <c r="CF227" s="55"/>
      <c r="CG227" s="41">
        <v>0</v>
      </c>
      <c r="CH227" s="38">
        <v>0</v>
      </c>
      <c r="CI227" s="76">
        <v>0</v>
      </c>
      <c r="CJ227" s="55"/>
      <c r="CK227" s="955"/>
      <c r="CL227" s="950"/>
      <c r="CM227" s="955"/>
      <c r="CN227" s="950">
        <v>0</v>
      </c>
      <c r="CO227" s="76">
        <v>45.828047804636768</v>
      </c>
      <c r="CP227" s="42">
        <v>0</v>
      </c>
      <c r="CQ227" s="5"/>
      <c r="CR227" s="76">
        <v>76.443281957425015</v>
      </c>
      <c r="CS227" s="954">
        <v>0</v>
      </c>
      <c r="CT227" s="5"/>
      <c r="CU227" s="76">
        <v>38.788729065541695</v>
      </c>
      <c r="CV227" s="42">
        <v>0</v>
      </c>
      <c r="CW227" s="5"/>
      <c r="CX227" s="76">
        <v>0</v>
      </c>
      <c r="CY227" s="42">
        <v>0</v>
      </c>
      <c r="CZ227" s="5"/>
      <c r="DA227" s="76">
        <v>0</v>
      </c>
      <c r="DB227" s="42">
        <v>0</v>
      </c>
      <c r="DC227" s="5"/>
      <c r="DD227" s="76">
        <v>9.885650556902343</v>
      </c>
      <c r="DE227" s="42">
        <v>0</v>
      </c>
      <c r="DF227" s="5"/>
      <c r="DG227" s="76">
        <v>0</v>
      </c>
      <c r="DH227" s="42"/>
      <c r="DI227" s="5"/>
      <c r="DJ227" s="42">
        <v>170.94570938450582</v>
      </c>
      <c r="DK227" s="42">
        <f t="shared" si="33"/>
        <v>0</v>
      </c>
      <c r="DL227" s="58">
        <f t="shared" si="34"/>
        <v>-170.94570938450582</v>
      </c>
      <c r="DM227" s="2">
        <v>2</v>
      </c>
    </row>
    <row r="228" spans="1:117" ht="24.9" customHeight="1" x14ac:dyDescent="0.3">
      <c r="A228" s="318">
        <v>150000958</v>
      </c>
      <c r="B228" s="44" t="s">
        <v>380</v>
      </c>
      <c r="C228" s="956">
        <v>9</v>
      </c>
      <c r="D228" s="957" t="s">
        <v>454</v>
      </c>
      <c r="E228" s="949">
        <f>'побудинковий звіт'!E195</f>
        <v>229</v>
      </c>
      <c r="F228" s="950">
        <f>'побудинковий звіт'!AS195</f>
        <v>3292.6773567427454</v>
      </c>
      <c r="G228" s="950">
        <f t="shared" si="24"/>
        <v>55943.699222237672</v>
      </c>
      <c r="H228" s="950">
        <f t="shared" si="25"/>
        <v>52651.021865494928</v>
      </c>
      <c r="I228" s="42">
        <f>'[2]поточний ремонт'!I228+'[1]поточний ремонт'!I228</f>
        <v>0</v>
      </c>
      <c r="J228" s="42">
        <f>'[2]поточний ремонт'!J228+'[1]поточний ремонт'!J228</f>
        <v>0</v>
      </c>
      <c r="K228" s="958"/>
      <c r="L228" s="42">
        <f>'[2]поточний ремонт'!L228+'[1]поточний ремонт'!L228</f>
        <v>0</v>
      </c>
      <c r="M228" s="42">
        <f>'[2]поточний ремонт'!M228+'[1]поточний ремонт'!M228</f>
        <v>0</v>
      </c>
      <c r="N228" s="36"/>
      <c r="O228" s="42">
        <f>'[2]поточний ремонт'!O228+'[1]поточний ремонт'!O228</f>
        <v>0</v>
      </c>
      <c r="P228" s="42">
        <f>'[2]поточний ремонт'!P228+'[1]поточний ремонт'!P228</f>
        <v>0</v>
      </c>
      <c r="Q228" s="959"/>
      <c r="R228" s="42">
        <f>'[2]поточний ремонт'!R228+'[1]поточний ремонт'!R228</f>
        <v>0</v>
      </c>
      <c r="S228" s="42">
        <f>'[2]поточний ремонт'!S228+'[1]поточний ремонт'!S228</f>
        <v>0</v>
      </c>
      <c r="T228" s="960"/>
      <c r="U228" s="42">
        <f>'[2]поточний ремонт'!U228+'[1]поточний ремонт'!U228</f>
        <v>156.44195923745193</v>
      </c>
      <c r="V228" s="42">
        <f>'[2]поточний ремонт'!V228+'[1]поточний ремонт'!V228</f>
        <v>0</v>
      </c>
      <c r="W228" s="42">
        <f>'[2]поточний ремонт'!W228+'[1]поточний ремонт'!W228</f>
        <v>4</v>
      </c>
      <c r="X228" s="42">
        <f>'[2]поточний ремонт'!X228+'[1]поточний ремонт'!X228</f>
        <v>606.46441346784809</v>
      </c>
      <c r="Y228" s="42">
        <f>'[2]поточний ремонт'!Y228+'[1]поточний ремонт'!Y228</f>
        <v>53838.702124854346</v>
      </c>
      <c r="Z228" s="42">
        <f>'[2]поточний ремонт'!Z228+'[1]поточний ремонт'!Z228</f>
        <v>0</v>
      </c>
      <c r="AA228" s="42">
        <f>'[2]поточний ремонт'!AA228+'[1]поточний ремонт'!AA228</f>
        <v>0</v>
      </c>
      <c r="AB228" s="42">
        <f>'[2]поточний ремонт'!AB228+'[1]поточний ремонт'!AB228</f>
        <v>490.99162446967171</v>
      </c>
      <c r="AC228" s="42">
        <f>'[2]поточний ремонт'!AC228+'[1]поточний ремонт'!AC228</f>
        <v>0</v>
      </c>
      <c r="AD228" s="42">
        <f>'[2]поточний ремонт'!AD228+'[1]поточний ремонт'!AD228</f>
        <v>851.09910020835082</v>
      </c>
      <c r="AE228" s="42">
        <f>'[2]поточний ремонт'!AE228+'[1]поточний ремонт'!AE228</f>
        <v>818.63105635464751</v>
      </c>
      <c r="AF228" s="42">
        <f>'[2]поточний ремонт'!AF228+'[1]поточний ремонт'!AF228</f>
        <v>352.16728040695443</v>
      </c>
      <c r="AG228" s="5"/>
      <c r="AH228" s="42">
        <f>'[2]поточний ремонт'!AH228+'[1]поточний ремонт'!AH228</f>
        <v>898.62539578066344</v>
      </c>
      <c r="AI228" s="42">
        <f>'[2]поточний ремонт'!AI228+'[1]поточний ремонт'!AI228</f>
        <v>0</v>
      </c>
      <c r="AJ228" s="5"/>
      <c r="AK228" s="42">
        <f>'[2]поточний ремонт'!AK228+'[1]поточний ремонт'!AK228</f>
        <v>656.33048254298444</v>
      </c>
      <c r="AL228" s="42">
        <f>'[2]поточний ремонт'!AL228+'[1]поточний ремонт'!AL228</f>
        <v>0</v>
      </c>
      <c r="AM228" s="5"/>
      <c r="AN228" s="42">
        <f>'[2]поточний ремонт'!AN228+'[1]поточний ремонт'!AN228</f>
        <v>347.54466094238256</v>
      </c>
      <c r="AO228" s="42">
        <f>'[2]поточний ремонт'!AO228+'[1]поточний ремонт'!AO228</f>
        <v>429.10855592932234</v>
      </c>
      <c r="AP228" s="5"/>
      <c r="AQ228" s="42">
        <f>'[2]поточний ремонт'!AQ228+'[1]поточний ремонт'!AQ228</f>
        <v>201.47193036229532</v>
      </c>
      <c r="AR228" s="42">
        <f>'[2]поточний ремонт'!AR228+'[1]поточний ремонт'!AR228</f>
        <v>0</v>
      </c>
      <c r="AS228" s="5"/>
      <c r="AT228" s="42">
        <f>'[2]поточний ремонт'!AT228+'[1]поточний ремонт'!AT228</f>
        <v>434.23443588077782</v>
      </c>
      <c r="AU228" s="42">
        <f>'[2]поточний ремонт'!AU228+'[1]поточний ремонт'!AU228</f>
        <v>2602.5452944699882</v>
      </c>
      <c r="AV228" s="5"/>
      <c r="AW228" s="42">
        <f>'[2]поточний ремонт'!AW228+'[1]поточний ремонт'!AW228</f>
        <v>293.14318919501164</v>
      </c>
      <c r="AX228" s="42">
        <f>'[2]поточний ремонт'!AX228+'[1]поточний ремонт'!AX228</f>
        <v>0</v>
      </c>
      <c r="AY228" s="5"/>
      <c r="AZ228" s="42">
        <f t="shared" si="26"/>
        <v>3649.9811510587624</v>
      </c>
      <c r="BA228" s="42">
        <f t="shared" si="27"/>
        <v>3383.821130806265</v>
      </c>
      <c r="BB228" s="58">
        <f t="shared" si="28"/>
        <v>-266.16002025249736</v>
      </c>
      <c r="BD228" s="2">
        <v>1</v>
      </c>
      <c r="BF228" s="29">
        <v>99.788299409878874</v>
      </c>
      <c r="BG228" s="318">
        <v>150000958</v>
      </c>
      <c r="BI228" s="104">
        <v>21</v>
      </c>
      <c r="BJ228" s="104">
        <f t="shared" si="32"/>
        <v>2.9539061999999996</v>
      </c>
      <c r="BK228" s="104">
        <v>24.219001716000001</v>
      </c>
      <c r="BL228" s="38"/>
      <c r="BM228" s="3"/>
      <c r="BN228" s="3">
        <v>0</v>
      </c>
      <c r="BP228" s="3"/>
      <c r="BQ228" s="3"/>
      <c r="BS228" s="42"/>
      <c r="BT228" s="42">
        <v>0</v>
      </c>
      <c r="BU228" s="958"/>
      <c r="BV228" s="41"/>
      <c r="BW228" s="42"/>
      <c r="BX228" s="36"/>
      <c r="BY228" s="76"/>
      <c r="BZ228" s="42">
        <v>0</v>
      </c>
      <c r="CA228" s="959"/>
      <c r="CB228" s="41"/>
      <c r="CC228" s="41">
        <v>0</v>
      </c>
      <c r="CD228" s="960"/>
      <c r="CE228" s="76">
        <v>0</v>
      </c>
      <c r="CF228" s="55"/>
      <c r="CG228" s="41">
        <v>0</v>
      </c>
      <c r="CH228" s="38">
        <v>24.219001716000001</v>
      </c>
      <c r="CI228" s="76">
        <v>0</v>
      </c>
      <c r="CJ228" s="55"/>
      <c r="CK228" s="955"/>
      <c r="CL228" s="950"/>
      <c r="CM228" s="955"/>
      <c r="CN228" s="950">
        <v>0</v>
      </c>
      <c r="CO228" s="76">
        <v>53.230022423612517</v>
      </c>
      <c r="CP228" s="42">
        <v>0</v>
      </c>
      <c r="CQ228" s="5"/>
      <c r="CR228" s="76">
        <v>66.457986212938039</v>
      </c>
      <c r="CS228" s="954">
        <v>0</v>
      </c>
      <c r="CT228" s="5"/>
      <c r="CU228" s="76">
        <v>45.672291417892794</v>
      </c>
      <c r="CV228" s="42">
        <v>0</v>
      </c>
      <c r="CW228" s="5"/>
      <c r="CX228" s="76">
        <v>29.906760454093973</v>
      </c>
      <c r="CY228" s="42">
        <v>0</v>
      </c>
      <c r="CZ228" s="5"/>
      <c r="DA228" s="76">
        <v>16.490308828845698</v>
      </c>
      <c r="DB228" s="42">
        <v>0</v>
      </c>
      <c r="DC228" s="5"/>
      <c r="DD228" s="76">
        <v>21.813146642889613</v>
      </c>
      <c r="DE228" s="42">
        <v>0</v>
      </c>
      <c r="DF228" s="5"/>
      <c r="DG228" s="76">
        <v>25.902521407141478</v>
      </c>
      <c r="DH228" s="42"/>
      <c r="DI228" s="5"/>
      <c r="DJ228" s="42">
        <v>259.47303738741414</v>
      </c>
      <c r="DK228" s="42">
        <f t="shared" si="33"/>
        <v>0</v>
      </c>
      <c r="DL228" s="58">
        <f t="shared" si="34"/>
        <v>-259.47303738741414</v>
      </c>
      <c r="DM228" s="2">
        <v>1</v>
      </c>
    </row>
    <row r="229" spans="1:117" ht="24.9" customHeight="1" x14ac:dyDescent="0.3">
      <c r="A229" s="318">
        <v>150000961</v>
      </c>
      <c r="B229" s="44" t="s">
        <v>381</v>
      </c>
      <c r="C229" s="956">
        <v>9</v>
      </c>
      <c r="D229" s="957" t="s">
        <v>454</v>
      </c>
      <c r="E229" s="949">
        <f>'побудинковий звіт'!E196</f>
        <v>144.5</v>
      </c>
      <c r="F229" s="950">
        <f>'побудинковий звіт'!AS196</f>
        <v>2481.8294507822852</v>
      </c>
      <c r="G229" s="950">
        <f t="shared" si="24"/>
        <v>272344.47712230403</v>
      </c>
      <c r="H229" s="950">
        <f t="shared" si="25"/>
        <v>269862.64767152176</v>
      </c>
      <c r="I229" s="42">
        <f>'[2]поточний ремонт'!I229+'[1]поточний ремонт'!I229</f>
        <v>0</v>
      </c>
      <c r="J229" s="42">
        <f>'[2]поточний ремонт'!J229+'[1]поточний ремонт'!J229</f>
        <v>0</v>
      </c>
      <c r="K229" s="958"/>
      <c r="L229" s="42">
        <f>'[2]поточний ремонт'!L229+'[1]поточний ремонт'!L229</f>
        <v>0</v>
      </c>
      <c r="M229" s="42">
        <f>'[2]поточний ремонт'!M229+'[1]поточний ремонт'!M229</f>
        <v>0</v>
      </c>
      <c r="N229" s="968"/>
      <c r="O229" s="42">
        <f>'[2]поточний ремонт'!O229+'[1]поточний ремонт'!O229</f>
        <v>0</v>
      </c>
      <c r="P229" s="42">
        <f>'[2]поточний ремонт'!P229+'[1]поточний ремонт'!P229</f>
        <v>0</v>
      </c>
      <c r="Q229" s="959"/>
      <c r="R229" s="42">
        <f>'[2]поточний ремонт'!R229+'[1]поточний ремонт'!R229</f>
        <v>4</v>
      </c>
      <c r="S229" s="42">
        <f>'[2]поточний ремонт'!S229+'[1]поточний ремонт'!S229</f>
        <v>29836.50264564528</v>
      </c>
      <c r="T229" s="968"/>
      <c r="U229" s="42">
        <f>'[2]поточний ремонт'!U229+'[1]поточний ремонт'!U229</f>
        <v>0</v>
      </c>
      <c r="V229" s="42">
        <f>'[2]поточний ремонт'!V229+'[1]поточний ремонт'!V229</f>
        <v>0</v>
      </c>
      <c r="W229" s="42">
        <f>'[2]поточний ремонт'!W229+'[1]поточний ремонт'!W229</f>
        <v>11</v>
      </c>
      <c r="X229" s="42">
        <f>'[2]поточний ремонт'!X229+'[1]поточний ремонт'!X229</f>
        <v>1848.2203382825146</v>
      </c>
      <c r="Y229" s="42">
        <f>'[2]поточний ремонт'!Y229+'[1]поточний ремонт'!Y229</f>
        <v>0</v>
      </c>
      <c r="Z229" s="42">
        <f>'[2]поточний ремонт'!Z229+'[1]поточний ремонт'!Z229</f>
        <v>0</v>
      </c>
      <c r="AA229" s="42">
        <f>'[2]поточний ремонт'!AA229+'[1]поточний ремонт'!AA229</f>
        <v>0</v>
      </c>
      <c r="AB229" s="42">
        <f>'[2]поточний ремонт'!AB229+'[1]поточний ремонт'!AB229</f>
        <v>11077.977333281651</v>
      </c>
      <c r="AC229" s="42">
        <f>'[2]поточний ремонт'!AC229+'[1]поточний ремонт'!AC229</f>
        <v>223022.79097925118</v>
      </c>
      <c r="AD229" s="42">
        <f>'[2]поточний ремонт'!AD229+'[1]поточний ремонт'!AD229</f>
        <v>6558.9858258434224</v>
      </c>
      <c r="AE229" s="42">
        <f>'[2]поточний ремонт'!AE229+'[1]поточний ремонт'!AE229</f>
        <v>1591.0331677744989</v>
      </c>
      <c r="AF229" s="42">
        <f>'[2]поточний ремонт'!AF229+'[1]поточний ремонт'!AF229</f>
        <v>527.72371755561187</v>
      </c>
      <c r="AG229" s="5"/>
      <c r="AH229" s="42">
        <f>'[2]поточний ремонт'!AH229+'[1]поточний ремонт'!AH229</f>
        <v>1603.7372787233221</v>
      </c>
      <c r="AI229" s="42">
        <f>'[2]поточний ремонт'!AI229+'[1]поточний ремонт'!AI229</f>
        <v>0</v>
      </c>
      <c r="AJ229" s="5"/>
      <c r="AK229" s="42">
        <f>'[2]поточний ремонт'!AK229+'[1]поточний ремонт'!AK229</f>
        <v>1275.9732758483231</v>
      </c>
      <c r="AL229" s="42">
        <f>'[2]поточний ремонт'!AL229+'[1]поточний ремонт'!AL229</f>
        <v>0</v>
      </c>
      <c r="AM229" s="965"/>
      <c r="AN229" s="42">
        <f>'[2]поточний ремонт'!AN229+'[1]поточний ремонт'!AN229</f>
        <v>639.84295338981974</v>
      </c>
      <c r="AO229" s="42">
        <f>'[2]поточний ремонт'!AO229+'[1]поточний ремонт'!AO229</f>
        <v>858.1913451964266</v>
      </c>
      <c r="AP229" s="5"/>
      <c r="AQ229" s="42">
        <f>'[2]поточний ремонт'!AQ229+'[1]поточний ремонт'!AQ229</f>
        <v>402.94386072459065</v>
      </c>
      <c r="AR229" s="42">
        <f>'[2]поточний ремонт'!AR229+'[1]поточний ремонт'!AR229</f>
        <v>0</v>
      </c>
      <c r="AS229" s="5"/>
      <c r="AT229" s="42">
        <f>'[2]поточний ремонт'!AT229+'[1]поточний ремонт'!AT229</f>
        <v>1048.7736974334994</v>
      </c>
      <c r="AU229" s="42">
        <f>'[2]поточний ремонт'!AU229+'[1]поточний ремонт'!AU229</f>
        <v>3890.2132350196166</v>
      </c>
      <c r="AV229" s="5"/>
      <c r="AW229" s="42">
        <f>'[2]поточний ремонт'!AW229+'[1]поточний ремонт'!AW229</f>
        <v>352.61734293920773</v>
      </c>
      <c r="AX229" s="42">
        <f>'[2]поточний ремонт'!AX229+'[1]поточний ремонт'!AX229</f>
        <v>0</v>
      </c>
      <c r="AY229" s="5"/>
      <c r="AZ229" s="42">
        <f t="shared" si="26"/>
        <v>6914.9215768332606</v>
      </c>
      <c r="BA229" s="42">
        <f t="shared" si="27"/>
        <v>5276.1282977716546</v>
      </c>
      <c r="BB229" s="58">
        <f t="shared" si="28"/>
        <v>-1638.793279061606</v>
      </c>
      <c r="BD229" s="2">
        <v>1</v>
      </c>
      <c r="BF229" s="29">
        <v>370.7380818366255</v>
      </c>
      <c r="BG229" s="318">
        <v>150000961</v>
      </c>
      <c r="BI229" s="104">
        <v>15.35</v>
      </c>
      <c r="BJ229" s="104">
        <f t="shared" si="32"/>
        <v>2.1591647699999998</v>
      </c>
      <c r="BK229" s="104">
        <v>17.7029369686</v>
      </c>
      <c r="BL229" s="38"/>
      <c r="BM229" s="3">
        <v>6</v>
      </c>
      <c r="BN229" s="3">
        <v>1233.1510047500969</v>
      </c>
      <c r="BP229" s="3"/>
      <c r="BQ229" s="3"/>
      <c r="BS229" s="42"/>
      <c r="BT229" s="42">
        <v>0</v>
      </c>
      <c r="BU229" s="958"/>
      <c r="BV229" s="41"/>
      <c r="BW229" s="42"/>
      <c r="BX229" s="968"/>
      <c r="BY229" s="76"/>
      <c r="BZ229" s="42">
        <v>0</v>
      </c>
      <c r="CA229" s="959"/>
      <c r="CB229" s="41">
        <v>2</v>
      </c>
      <c r="CC229" s="41">
        <v>17526.045894508799</v>
      </c>
      <c r="CD229" s="968"/>
      <c r="CE229" s="76">
        <v>0</v>
      </c>
      <c r="CF229" s="55"/>
      <c r="CG229" s="41">
        <v>6</v>
      </c>
      <c r="CH229" s="38">
        <v>1250.8539417186969</v>
      </c>
      <c r="CI229" s="76">
        <v>0</v>
      </c>
      <c r="CJ229" s="55"/>
      <c r="CK229" s="955"/>
      <c r="CL229" s="950"/>
      <c r="CM229" s="955">
        <v>182255</v>
      </c>
      <c r="CN229" s="950">
        <v>2802.2875647775736</v>
      </c>
      <c r="CO229" s="76">
        <v>103.24030007118162</v>
      </c>
      <c r="CP229" s="42">
        <v>0</v>
      </c>
      <c r="CQ229" s="5"/>
      <c r="CR229" s="76">
        <v>132.91597242587585</v>
      </c>
      <c r="CS229" s="954">
        <v>0</v>
      </c>
      <c r="CT229" s="5"/>
      <c r="CU229" s="76">
        <v>100.96236767896448</v>
      </c>
      <c r="CV229" s="42">
        <v>0</v>
      </c>
      <c r="CW229" s="965"/>
      <c r="CX229" s="76">
        <v>55.079747212997127</v>
      </c>
      <c r="CY229" s="42">
        <v>0</v>
      </c>
      <c r="CZ229" s="5"/>
      <c r="DA229" s="76">
        <v>32.980617657691397</v>
      </c>
      <c r="DB229" s="42">
        <v>0</v>
      </c>
      <c r="DC229" s="5"/>
      <c r="DD229" s="76">
        <v>48.840764337130459</v>
      </c>
      <c r="DE229" s="42">
        <v>0</v>
      </c>
      <c r="DF229" s="5"/>
      <c r="DG229" s="76">
        <v>27.597915573539716</v>
      </c>
      <c r="DH229" s="42"/>
      <c r="DI229" s="5"/>
      <c r="DJ229" s="42">
        <v>501.61768495738062</v>
      </c>
      <c r="DK229" s="42">
        <f t="shared" si="33"/>
        <v>0</v>
      </c>
      <c r="DL229" s="58">
        <f t="shared" si="34"/>
        <v>-501.61768495738062</v>
      </c>
      <c r="DM229" s="2">
        <v>1</v>
      </c>
    </row>
    <row r="230" spans="1:117" ht="24.9" customHeight="1" x14ac:dyDescent="0.3">
      <c r="A230" s="318">
        <v>150000964</v>
      </c>
      <c r="B230" s="44" t="s">
        <v>382</v>
      </c>
      <c r="C230" s="956">
        <v>9</v>
      </c>
      <c r="D230" s="957" t="s">
        <v>454</v>
      </c>
      <c r="E230" s="949">
        <f>'побудинковий звіт'!E197</f>
        <v>393</v>
      </c>
      <c r="F230" s="950">
        <f>'побудинковий звіт'!AS197</f>
        <v>4708.9285344790851</v>
      </c>
      <c r="G230" s="950">
        <f t="shared" si="24"/>
        <v>4786.6818761710401</v>
      </c>
      <c r="H230" s="950">
        <f t="shared" si="25"/>
        <v>77.753341691955029</v>
      </c>
      <c r="I230" s="42">
        <f>'[2]поточний ремонт'!I230+'[1]поточний ремонт'!I230</f>
        <v>8.6999999999999993</v>
      </c>
      <c r="J230" s="42">
        <f>'[2]поточний ремонт'!J230+'[1]поточний ремонт'!J230</f>
        <v>2630.4464266683317</v>
      </c>
      <c r="K230" s="958"/>
      <c r="L230" s="42">
        <f>'[2]поточний ремонт'!L230+'[1]поточний ремонт'!L230</f>
        <v>0</v>
      </c>
      <c r="M230" s="42">
        <f>'[2]поточний ремонт'!M230+'[1]поточний ремонт'!M230</f>
        <v>0</v>
      </c>
      <c r="N230" s="36"/>
      <c r="O230" s="42">
        <f>'[2]поточний ремонт'!O230+'[1]поточний ремонт'!O230</f>
        <v>0</v>
      </c>
      <c r="P230" s="42">
        <f>'[2]поточний ремонт'!P230+'[1]поточний ремонт'!P230</f>
        <v>0</v>
      </c>
      <c r="Q230" s="959"/>
      <c r="R230" s="42">
        <f>'[2]поточний ремонт'!R230+'[1]поточний ремонт'!R230</f>
        <v>0</v>
      </c>
      <c r="S230" s="42">
        <f>'[2]поточний ремонт'!S230+'[1]поточний ремонт'!S230</f>
        <v>0</v>
      </c>
      <c r="T230" s="960"/>
      <c r="U230" s="42">
        <f>'[2]поточний ремонт'!U230+'[1]поточний ремонт'!U230</f>
        <v>156.44195923745193</v>
      </c>
      <c r="V230" s="42">
        <f>'[2]поточний ремонт'!V230+'[1]поточний ремонт'!V230</f>
        <v>0</v>
      </c>
      <c r="W230" s="42">
        <f>'[2]поточний ремонт'!W230+'[1]поточний ремонт'!W230</f>
        <v>0</v>
      </c>
      <c r="X230" s="42">
        <f>'[2]поточний ремонт'!X230+'[1]поточний ремонт'!X230</f>
        <v>113.90420559021865</v>
      </c>
      <c r="Y230" s="42">
        <f>'[2]поточний ремонт'!Y230+'[1]поточний ремонт'!Y230</f>
        <v>0</v>
      </c>
      <c r="Z230" s="42">
        <f>'[2]поточний ремонт'!Z230+'[1]поточний ремонт'!Z230</f>
        <v>0</v>
      </c>
      <c r="AA230" s="42">
        <f>'[2]поточний ремонт'!AA230+'[1]поточний ремонт'!AA230</f>
        <v>0</v>
      </c>
      <c r="AB230" s="42">
        <f>'[2]поточний ремонт'!AB230+'[1]поточний ремонт'!AB230</f>
        <v>0</v>
      </c>
      <c r="AC230" s="42">
        <f>'[2]поточний ремонт'!AC230+'[1]поточний ремонт'!AC230</f>
        <v>0</v>
      </c>
      <c r="AD230" s="42">
        <f>'[2]поточний ремонт'!AD230+'[1]поточний ремонт'!AD230</f>
        <v>1885.8892846750373</v>
      </c>
      <c r="AE230" s="42">
        <f>'[2]поточний ремонт'!AE230+'[1]поточний ремонт'!AE230</f>
        <v>307.02449884558894</v>
      </c>
      <c r="AF230" s="42">
        <f>'[2]поточний ремонт'!AF230+'[1]поточний ремонт'!AF230</f>
        <v>0</v>
      </c>
      <c r="AG230" s="5"/>
      <c r="AH230" s="42">
        <f>'[2]поточний ремонт'!AH230+'[1]поточний ремонт'!AH230</f>
        <v>366.8809907715904</v>
      </c>
      <c r="AI230" s="42">
        <f>'[2]поточний ремонт'!AI230+'[1]поточний ремонт'!AI230</f>
        <v>0</v>
      </c>
      <c r="AJ230" s="5"/>
      <c r="AK230" s="42">
        <f>'[2]поточний ремонт'!AK230+'[1]поточний ремонт'!AK230</f>
        <v>337.39763454812299</v>
      </c>
      <c r="AL230" s="42">
        <f>'[2]поточний ремонт'!AL230+'[1]поточний ремонт'!AL230</f>
        <v>947.49409846507069</v>
      </c>
      <c r="AM230" s="5"/>
      <c r="AN230" s="42">
        <f>'[2]поточний ремонт'!AN230+'[1]поточний ремонт'!AN230</f>
        <v>163.59089100950897</v>
      </c>
      <c r="AO230" s="42">
        <f>'[2]поточний ремонт'!AO230+'[1]поточний ремонт'!AO230</f>
        <v>429.10855592932234</v>
      </c>
      <c r="AP230" s="5"/>
      <c r="AQ230" s="42">
        <f>'[2]поточний ремонт'!AQ230+'[1]поточний ремонт'!AQ230</f>
        <v>101.54065885949045</v>
      </c>
      <c r="AR230" s="42">
        <f>'[2]поточний ремонт'!AR230+'[1]поточний ремонт'!AR230</f>
        <v>0</v>
      </c>
      <c r="AS230" s="5"/>
      <c r="AT230" s="42">
        <f>'[2]поточний ремонт'!AT230+'[1]поточний ремонт'!AT230</f>
        <v>138.56491761073863</v>
      </c>
      <c r="AU230" s="42">
        <f>'[2]поточний ремонт'!AU230+'[1]поточний ремонт'!AU230</f>
        <v>1773.2036463021441</v>
      </c>
      <c r="AV230" s="5"/>
      <c r="AW230" s="42">
        <f>'[2]поточний ремонт'!AW230+'[1]поточний ремонт'!AW230</f>
        <v>172.45840041822586</v>
      </c>
      <c r="AX230" s="42">
        <f>'[2]поточний ремонт'!AX230+'[1]поточний ремонт'!AX230</f>
        <v>0</v>
      </c>
      <c r="AY230" s="5"/>
      <c r="AZ230" s="42">
        <f t="shared" si="26"/>
        <v>1587.4579920632661</v>
      </c>
      <c r="BA230" s="42">
        <f t="shared" si="27"/>
        <v>3149.8063006965372</v>
      </c>
      <c r="BB230" s="58">
        <f t="shared" si="28"/>
        <v>1562.348308633271</v>
      </c>
      <c r="BD230" s="2">
        <v>1</v>
      </c>
      <c r="BF230" s="29">
        <v>99.610773409056051</v>
      </c>
      <c r="BG230" s="318">
        <v>150000964</v>
      </c>
      <c r="BI230" s="104">
        <v>8.35</v>
      </c>
      <c r="BJ230" s="104">
        <f t="shared" si="32"/>
        <v>1.1745293699999999</v>
      </c>
      <c r="BK230" s="104">
        <v>9.6299363965999998</v>
      </c>
      <c r="BL230" s="38"/>
      <c r="BM230" s="3"/>
      <c r="BN230" s="3">
        <v>0</v>
      </c>
      <c r="BP230" s="3"/>
      <c r="BQ230" s="3"/>
      <c r="BS230" s="42"/>
      <c r="BT230" s="42">
        <v>0</v>
      </c>
      <c r="BU230" s="958"/>
      <c r="BV230" s="41"/>
      <c r="BW230" s="42"/>
      <c r="BX230" s="36"/>
      <c r="BY230" s="76"/>
      <c r="BZ230" s="42">
        <v>0</v>
      </c>
      <c r="CA230" s="959"/>
      <c r="CB230" s="41"/>
      <c r="CC230" s="41">
        <v>0</v>
      </c>
      <c r="CD230" s="960"/>
      <c r="CE230" s="76">
        <v>0</v>
      </c>
      <c r="CF230" s="55"/>
      <c r="CG230" s="41">
        <v>0</v>
      </c>
      <c r="CH230" s="38">
        <v>9.6299363965999998</v>
      </c>
      <c r="CI230" s="76">
        <v>0</v>
      </c>
      <c r="CJ230" s="55"/>
      <c r="CK230" s="955"/>
      <c r="CL230" s="950"/>
      <c r="CM230" s="955"/>
      <c r="CN230" s="950">
        <v>0</v>
      </c>
      <c r="CO230" s="76">
        <v>21.292008969445007</v>
      </c>
      <c r="CP230" s="42">
        <v>0</v>
      </c>
      <c r="CQ230" s="5"/>
      <c r="CR230" s="76">
        <v>26.58319448517522</v>
      </c>
      <c r="CS230" s="954">
        <v>0</v>
      </c>
      <c r="CT230" s="5"/>
      <c r="CU230" s="76">
        <v>22.003222170847501</v>
      </c>
      <c r="CV230" s="42">
        <v>0</v>
      </c>
      <c r="CW230" s="5"/>
      <c r="CX230" s="76">
        <v>11.794445905062231</v>
      </c>
      <c r="CY230" s="42">
        <v>0</v>
      </c>
      <c r="CZ230" s="5"/>
      <c r="DA230" s="76">
        <v>6.5961235315382805</v>
      </c>
      <c r="DB230" s="42">
        <v>0</v>
      </c>
      <c r="DC230" s="5"/>
      <c r="DD230" s="76">
        <v>8.7252586571558464</v>
      </c>
      <c r="DE230" s="42">
        <v>0</v>
      </c>
      <c r="DF230" s="5"/>
      <c r="DG230" s="76">
        <v>13.953532419340904</v>
      </c>
      <c r="DH230" s="42"/>
      <c r="DI230" s="5"/>
      <c r="DJ230" s="42">
        <v>110.94778613856499</v>
      </c>
      <c r="DK230" s="42">
        <f t="shared" si="33"/>
        <v>0</v>
      </c>
      <c r="DL230" s="58">
        <f t="shared" si="34"/>
        <v>-110.94778613856499</v>
      </c>
      <c r="DM230" s="2">
        <v>1</v>
      </c>
    </row>
    <row r="231" spans="1:117" ht="24.9" customHeight="1" x14ac:dyDescent="0.3">
      <c r="A231" s="318">
        <v>150000943</v>
      </c>
      <c r="B231" s="44" t="s">
        <v>122</v>
      </c>
      <c r="C231" s="956">
        <v>1</v>
      </c>
      <c r="D231" s="957" t="s">
        <v>454</v>
      </c>
      <c r="E231" s="949">
        <f>'побудинковий звіт'!E198</f>
        <v>4524.34</v>
      </c>
      <c r="F231" s="950">
        <f>'побудинковий звіт'!AS198</f>
        <v>61519.827443405753</v>
      </c>
      <c r="G231" s="950">
        <f t="shared" si="24"/>
        <v>0</v>
      </c>
      <c r="H231" s="950">
        <f t="shared" si="25"/>
        <v>-61519.827443405753</v>
      </c>
      <c r="I231" s="42">
        <f>'[2]поточний ремонт'!I231+'[1]поточний ремонт'!I231</f>
        <v>0</v>
      </c>
      <c r="J231" s="42">
        <f>'[2]поточний ремонт'!J231+'[1]поточний ремонт'!J231</f>
        <v>0</v>
      </c>
      <c r="K231" s="958"/>
      <c r="L231" s="42">
        <f>'[2]поточний ремонт'!L231+'[1]поточний ремонт'!L231</f>
        <v>0</v>
      </c>
      <c r="M231" s="42">
        <f>'[2]поточний ремонт'!M231+'[1]поточний ремонт'!M231</f>
        <v>0</v>
      </c>
      <c r="N231" s="36"/>
      <c r="O231" s="42">
        <f>'[2]поточний ремонт'!O231+'[1]поточний ремонт'!O231</f>
        <v>0</v>
      </c>
      <c r="P231" s="42">
        <f>'[2]поточний ремонт'!P231+'[1]поточний ремонт'!P231</f>
        <v>0</v>
      </c>
      <c r="Q231" s="959"/>
      <c r="R231" s="42">
        <f>'[2]поточний ремонт'!R231+'[1]поточний ремонт'!R231</f>
        <v>0</v>
      </c>
      <c r="S231" s="42">
        <f>'[2]поточний ремонт'!S231+'[1]поточний ремонт'!S231</f>
        <v>0</v>
      </c>
      <c r="T231" s="960"/>
      <c r="U231" s="42">
        <f>'[2]поточний ремонт'!U231+'[1]поточний ремонт'!U231</f>
        <v>0</v>
      </c>
      <c r="V231" s="42">
        <f>'[2]поточний ремонт'!V231+'[1]поточний ремонт'!V231</f>
        <v>0</v>
      </c>
      <c r="W231" s="42">
        <f>'[2]поточний ремонт'!W231+'[1]поточний ремонт'!W231</f>
        <v>0</v>
      </c>
      <c r="X231" s="42">
        <f>'[2]поточний ремонт'!X231+'[1]поточний ремонт'!X231</f>
        <v>0</v>
      </c>
      <c r="Y231" s="42">
        <f>'[2]поточний ремонт'!Y231+'[1]поточний ремонт'!Y231</f>
        <v>0</v>
      </c>
      <c r="Z231" s="42">
        <f>'[2]поточний ремонт'!Z231+'[1]поточний ремонт'!Z231</f>
        <v>0</v>
      </c>
      <c r="AA231" s="42">
        <f>'[2]поточний ремонт'!AA231+'[1]поточний ремонт'!AA231</f>
        <v>0</v>
      </c>
      <c r="AB231" s="42">
        <f>'[2]поточний ремонт'!AB231+'[1]поточний ремонт'!AB231</f>
        <v>0</v>
      </c>
      <c r="AC231" s="42">
        <f>'[2]поточний ремонт'!AC231+'[1]поточний ремонт'!AC231</f>
        <v>0</v>
      </c>
      <c r="AD231" s="42">
        <f>'[2]поточний ремонт'!AD231+'[1]поточний ремонт'!AD231</f>
        <v>0</v>
      </c>
      <c r="AE231" s="42">
        <f>'[2]поточний ремонт'!AE231+'[1]поточний ремонт'!AE231</f>
        <v>0</v>
      </c>
      <c r="AF231" s="42">
        <f>'[2]поточний ремонт'!AF231+'[1]поточний ремонт'!AF231</f>
        <v>0</v>
      </c>
      <c r="AG231" s="5"/>
      <c r="AH231" s="42">
        <f>'[2]поточний ремонт'!AH231+'[1]поточний ремонт'!AH231</f>
        <v>0</v>
      </c>
      <c r="AI231" s="42">
        <f>'[2]поточний ремонт'!AI231+'[1]поточний ремонт'!AI231</f>
        <v>0</v>
      </c>
      <c r="AJ231" s="5"/>
      <c r="AK231" s="42">
        <f>'[2]поточний ремонт'!AK231+'[1]поточний ремонт'!AK231</f>
        <v>0</v>
      </c>
      <c r="AL231" s="42">
        <f>'[2]поточний ремонт'!AL231+'[1]поточний ремонт'!AL231</f>
        <v>0</v>
      </c>
      <c r="AM231" s="5"/>
      <c r="AN231" s="42">
        <f>'[2]поточний ремонт'!AN231+'[1]поточний ремонт'!AN231</f>
        <v>0</v>
      </c>
      <c r="AO231" s="42">
        <f>'[2]поточний ремонт'!AO231+'[1]поточний ремонт'!AO231</f>
        <v>0</v>
      </c>
      <c r="AP231" s="5"/>
      <c r="AQ231" s="42">
        <f>'[2]поточний ремонт'!AQ231+'[1]поточний ремонт'!AQ231</f>
        <v>0</v>
      </c>
      <c r="AR231" s="42">
        <f>'[2]поточний ремонт'!AR231+'[1]поточний ремонт'!AR231</f>
        <v>0</v>
      </c>
      <c r="AS231" s="5"/>
      <c r="AT231" s="42">
        <f>'[2]поточний ремонт'!AT231+'[1]поточний ремонт'!AT231</f>
        <v>0</v>
      </c>
      <c r="AU231" s="42">
        <f>'[2]поточний ремонт'!AU231+'[1]поточний ремонт'!AU231</f>
        <v>0</v>
      </c>
      <c r="AV231" s="5"/>
      <c r="AW231" s="42">
        <f>'[2]поточний ремонт'!AW231+'[1]поточний ремонт'!AW231</f>
        <v>0</v>
      </c>
      <c r="AX231" s="42">
        <f>'[2]поточний ремонт'!AX231+'[1]поточний ремонт'!AX231</f>
        <v>0</v>
      </c>
      <c r="AY231" s="5"/>
      <c r="AZ231" s="42">
        <f t="shared" si="26"/>
        <v>0</v>
      </c>
      <c r="BA231" s="42">
        <f t="shared" si="27"/>
        <v>0</v>
      </c>
      <c r="BB231" s="58">
        <f t="shared" si="28"/>
        <v>0</v>
      </c>
      <c r="BD231" s="2">
        <v>1</v>
      </c>
      <c r="BF231" s="29">
        <v>0</v>
      </c>
      <c r="BG231" s="318">
        <v>150000943</v>
      </c>
      <c r="BI231" s="104">
        <v>0</v>
      </c>
      <c r="BJ231" s="104">
        <f t="shared" si="32"/>
        <v>0</v>
      </c>
      <c r="BK231" s="104">
        <v>0</v>
      </c>
      <c r="BL231" s="38"/>
      <c r="BM231" s="3"/>
      <c r="BN231" s="3">
        <v>0</v>
      </c>
      <c r="BP231" s="3"/>
      <c r="BQ231" s="3"/>
      <c r="BS231" s="42"/>
      <c r="BT231" s="42">
        <v>0</v>
      </c>
      <c r="BU231" s="958"/>
      <c r="BV231" s="41"/>
      <c r="BW231" s="42"/>
      <c r="BX231" s="36"/>
      <c r="BY231" s="76"/>
      <c r="BZ231" s="42">
        <v>0</v>
      </c>
      <c r="CA231" s="959"/>
      <c r="CB231" s="41"/>
      <c r="CC231" s="41">
        <v>0</v>
      </c>
      <c r="CD231" s="960"/>
      <c r="CE231" s="76">
        <v>0</v>
      </c>
      <c r="CF231" s="55"/>
      <c r="CG231" s="41">
        <v>0</v>
      </c>
      <c r="CH231" s="38">
        <v>0</v>
      </c>
      <c r="CI231" s="76">
        <v>0</v>
      </c>
      <c r="CJ231" s="55"/>
      <c r="CK231" s="955"/>
      <c r="CL231" s="950"/>
      <c r="CM231" s="955"/>
      <c r="CN231" s="950">
        <v>0</v>
      </c>
      <c r="CO231" s="76">
        <v>0</v>
      </c>
      <c r="CP231" s="42">
        <v>0</v>
      </c>
      <c r="CQ231" s="5"/>
      <c r="CR231" s="76">
        <v>0</v>
      </c>
      <c r="CS231" s="954">
        <v>0</v>
      </c>
      <c r="CT231" s="5"/>
      <c r="CU231" s="76">
        <v>0</v>
      </c>
      <c r="CV231" s="42">
        <v>0</v>
      </c>
      <c r="CW231" s="5"/>
      <c r="CX231" s="76">
        <v>0</v>
      </c>
      <c r="CY231" s="42">
        <v>0</v>
      </c>
      <c r="CZ231" s="5"/>
      <c r="DA231" s="76">
        <v>0</v>
      </c>
      <c r="DB231" s="42">
        <v>0</v>
      </c>
      <c r="DC231" s="5"/>
      <c r="DD231" s="76">
        <v>0</v>
      </c>
      <c r="DE231" s="42">
        <v>0</v>
      </c>
      <c r="DF231" s="5"/>
      <c r="DG231" s="76">
        <v>0</v>
      </c>
      <c r="DH231" s="42"/>
      <c r="DI231" s="5"/>
      <c r="DJ231" s="42">
        <v>0</v>
      </c>
      <c r="DK231" s="42">
        <f t="shared" si="33"/>
        <v>0</v>
      </c>
      <c r="DL231" s="58">
        <f t="shared" si="34"/>
        <v>0</v>
      </c>
      <c r="DM231" s="2">
        <v>1</v>
      </c>
    </row>
    <row r="232" spans="1:117" ht="24.9" customHeight="1" x14ac:dyDescent="0.3">
      <c r="A232" s="318">
        <v>150000944</v>
      </c>
      <c r="B232" s="44" t="s">
        <v>123</v>
      </c>
      <c r="C232" s="956">
        <v>1</v>
      </c>
      <c r="D232" s="957" t="s">
        <v>454</v>
      </c>
      <c r="E232" s="949">
        <f>'побудинковий звіт'!E199</f>
        <v>6314.18</v>
      </c>
      <c r="F232" s="950">
        <f>'побудинковий звіт'!AS199</f>
        <v>172708.34986207623</v>
      </c>
      <c r="G232" s="950">
        <f t="shared" si="24"/>
        <v>0</v>
      </c>
      <c r="H232" s="950">
        <f t="shared" si="25"/>
        <v>-172708.34986207623</v>
      </c>
      <c r="I232" s="42">
        <f>'[2]поточний ремонт'!I232+'[1]поточний ремонт'!I232</f>
        <v>0</v>
      </c>
      <c r="J232" s="42">
        <f>'[2]поточний ремонт'!J232+'[1]поточний ремонт'!J232</f>
        <v>0</v>
      </c>
      <c r="K232" s="958"/>
      <c r="L232" s="42">
        <f>'[2]поточний ремонт'!L232+'[1]поточний ремонт'!L232</f>
        <v>0</v>
      </c>
      <c r="M232" s="42">
        <f>'[2]поточний ремонт'!M232+'[1]поточний ремонт'!M232</f>
        <v>0</v>
      </c>
      <c r="N232" s="36"/>
      <c r="O232" s="42">
        <f>'[2]поточний ремонт'!O232+'[1]поточний ремонт'!O232</f>
        <v>0</v>
      </c>
      <c r="P232" s="42">
        <f>'[2]поточний ремонт'!P232+'[1]поточний ремонт'!P232</f>
        <v>0</v>
      </c>
      <c r="Q232" s="959"/>
      <c r="R232" s="42">
        <f>'[2]поточний ремонт'!R232+'[1]поточний ремонт'!R232</f>
        <v>0</v>
      </c>
      <c r="S232" s="42">
        <f>'[2]поточний ремонт'!S232+'[1]поточний ремонт'!S232</f>
        <v>0</v>
      </c>
      <c r="T232" s="960"/>
      <c r="U232" s="42">
        <f>'[2]поточний ремонт'!U232+'[1]поточний ремонт'!U232</f>
        <v>0</v>
      </c>
      <c r="V232" s="42">
        <f>'[2]поточний ремонт'!V232+'[1]поточний ремонт'!V232</f>
        <v>0</v>
      </c>
      <c r="W232" s="42">
        <f>'[2]поточний ремонт'!W232+'[1]поточний ремонт'!W232</f>
        <v>0</v>
      </c>
      <c r="X232" s="42">
        <f>'[2]поточний ремонт'!X232+'[1]поточний ремонт'!X232</f>
        <v>0</v>
      </c>
      <c r="Y232" s="42">
        <f>'[2]поточний ремонт'!Y232+'[1]поточний ремонт'!Y232</f>
        <v>0</v>
      </c>
      <c r="Z232" s="42">
        <f>'[2]поточний ремонт'!Z232+'[1]поточний ремонт'!Z232</f>
        <v>0</v>
      </c>
      <c r="AA232" s="42">
        <f>'[2]поточний ремонт'!AA232+'[1]поточний ремонт'!AA232</f>
        <v>0</v>
      </c>
      <c r="AB232" s="42">
        <f>'[2]поточний ремонт'!AB232+'[1]поточний ремонт'!AB232</f>
        <v>0</v>
      </c>
      <c r="AC232" s="42">
        <f>'[2]поточний ремонт'!AC232+'[1]поточний ремонт'!AC232</f>
        <v>0</v>
      </c>
      <c r="AD232" s="42">
        <f>'[2]поточний ремонт'!AD232+'[1]поточний ремонт'!AD232</f>
        <v>0</v>
      </c>
      <c r="AE232" s="42">
        <f>'[2]поточний ремонт'!AE232+'[1]поточний ремонт'!AE232</f>
        <v>0</v>
      </c>
      <c r="AF232" s="42">
        <f>'[2]поточний ремонт'!AF232+'[1]поточний ремонт'!AF232</f>
        <v>0</v>
      </c>
      <c r="AG232" s="5"/>
      <c r="AH232" s="42">
        <f>'[2]поточний ремонт'!AH232+'[1]поточний ремонт'!AH232</f>
        <v>0</v>
      </c>
      <c r="AI232" s="42">
        <f>'[2]поточний ремонт'!AI232+'[1]поточний ремонт'!AI232</f>
        <v>0</v>
      </c>
      <c r="AJ232" s="5"/>
      <c r="AK232" s="42">
        <f>'[2]поточний ремонт'!AK232+'[1]поточний ремонт'!AK232</f>
        <v>0</v>
      </c>
      <c r="AL232" s="42">
        <f>'[2]поточний ремонт'!AL232+'[1]поточний ремонт'!AL232</f>
        <v>0</v>
      </c>
      <c r="AM232" s="5"/>
      <c r="AN232" s="42">
        <f>'[2]поточний ремонт'!AN232+'[1]поточний ремонт'!AN232</f>
        <v>0</v>
      </c>
      <c r="AO232" s="42">
        <f>'[2]поточний ремонт'!AO232+'[1]поточний ремонт'!AO232</f>
        <v>0</v>
      </c>
      <c r="AP232" s="5"/>
      <c r="AQ232" s="42">
        <f>'[2]поточний ремонт'!AQ232+'[1]поточний ремонт'!AQ232</f>
        <v>0</v>
      </c>
      <c r="AR232" s="42">
        <f>'[2]поточний ремонт'!AR232+'[1]поточний ремонт'!AR232</f>
        <v>0</v>
      </c>
      <c r="AS232" s="5"/>
      <c r="AT232" s="42">
        <f>'[2]поточний ремонт'!AT232+'[1]поточний ремонт'!AT232</f>
        <v>0</v>
      </c>
      <c r="AU232" s="42">
        <f>'[2]поточний ремонт'!AU232+'[1]поточний ремонт'!AU232</f>
        <v>0</v>
      </c>
      <c r="AV232" s="5"/>
      <c r="AW232" s="42">
        <f>'[2]поточний ремонт'!AW232+'[1]поточний ремонт'!AW232</f>
        <v>0</v>
      </c>
      <c r="AX232" s="42">
        <f>'[2]поточний ремонт'!AX232+'[1]поточний ремонт'!AX232</f>
        <v>0</v>
      </c>
      <c r="AY232" s="5"/>
      <c r="AZ232" s="42">
        <f t="shared" si="26"/>
        <v>0</v>
      </c>
      <c r="BA232" s="42">
        <f t="shared" si="27"/>
        <v>0</v>
      </c>
      <c r="BB232" s="58">
        <f t="shared" si="28"/>
        <v>0</v>
      </c>
      <c r="BD232" s="2">
        <v>1</v>
      </c>
      <c r="BF232" s="29">
        <v>0</v>
      </c>
      <c r="BG232" s="318">
        <v>150000944</v>
      </c>
      <c r="BI232" s="104">
        <v>0</v>
      </c>
      <c r="BJ232" s="104">
        <f t="shared" si="32"/>
        <v>0</v>
      </c>
      <c r="BK232" s="104">
        <v>0</v>
      </c>
      <c r="BL232" s="38"/>
      <c r="BM232" s="3"/>
      <c r="BN232" s="3">
        <v>0</v>
      </c>
      <c r="BP232" s="3"/>
      <c r="BQ232" s="3"/>
      <c r="BS232" s="42"/>
      <c r="BT232" s="42">
        <v>0</v>
      </c>
      <c r="BU232" s="958"/>
      <c r="BV232" s="41"/>
      <c r="BW232" s="42"/>
      <c r="BX232" s="36"/>
      <c r="BY232" s="76"/>
      <c r="BZ232" s="42">
        <v>0</v>
      </c>
      <c r="CA232" s="959"/>
      <c r="CB232" s="41"/>
      <c r="CC232" s="41">
        <v>0</v>
      </c>
      <c r="CD232" s="960"/>
      <c r="CE232" s="76">
        <v>0</v>
      </c>
      <c r="CF232" s="55"/>
      <c r="CG232" s="41">
        <v>0</v>
      </c>
      <c r="CH232" s="38">
        <v>0</v>
      </c>
      <c r="CI232" s="76">
        <v>0</v>
      </c>
      <c r="CJ232" s="55"/>
      <c r="CK232" s="955"/>
      <c r="CL232" s="950"/>
      <c r="CM232" s="955"/>
      <c r="CN232" s="950">
        <v>0</v>
      </c>
      <c r="CO232" s="76">
        <v>0</v>
      </c>
      <c r="CP232" s="42">
        <v>0</v>
      </c>
      <c r="CQ232" s="5"/>
      <c r="CR232" s="76">
        <v>0</v>
      </c>
      <c r="CS232" s="954">
        <v>0</v>
      </c>
      <c r="CT232" s="5"/>
      <c r="CU232" s="76">
        <v>0</v>
      </c>
      <c r="CV232" s="42">
        <v>0</v>
      </c>
      <c r="CW232" s="5"/>
      <c r="CX232" s="76">
        <v>0</v>
      </c>
      <c r="CY232" s="42">
        <v>0</v>
      </c>
      <c r="CZ232" s="5"/>
      <c r="DA232" s="76">
        <v>0</v>
      </c>
      <c r="DB232" s="42">
        <v>0</v>
      </c>
      <c r="DC232" s="5"/>
      <c r="DD232" s="76">
        <v>0</v>
      </c>
      <c r="DE232" s="42">
        <v>0</v>
      </c>
      <c r="DF232" s="5"/>
      <c r="DG232" s="76">
        <v>0</v>
      </c>
      <c r="DH232" s="42"/>
      <c r="DI232" s="5"/>
      <c r="DJ232" s="42">
        <v>0</v>
      </c>
      <c r="DK232" s="42">
        <f t="shared" si="33"/>
        <v>0</v>
      </c>
      <c r="DL232" s="58">
        <f t="shared" si="34"/>
        <v>0</v>
      </c>
      <c r="DM232" s="2">
        <v>1</v>
      </c>
    </row>
    <row r="233" spans="1:117" ht="24.9" customHeight="1" x14ac:dyDescent="0.3">
      <c r="A233" s="318">
        <v>150000945</v>
      </c>
      <c r="B233" s="44" t="s">
        <v>421</v>
      </c>
      <c r="C233" s="956">
        <v>10</v>
      </c>
      <c r="D233" s="957" t="s">
        <v>454</v>
      </c>
      <c r="E233" s="949">
        <f>'побудинковий звіт'!E200</f>
        <v>2743.8</v>
      </c>
      <c r="F233" s="950">
        <f>'побудинковий звіт'!AS200</f>
        <v>53737.831243925939</v>
      </c>
      <c r="G233" s="950">
        <f t="shared" si="24"/>
        <v>69896.491001028509</v>
      </c>
      <c r="H233" s="950">
        <f t="shared" si="25"/>
        <v>16158.65975710257</v>
      </c>
      <c r="I233" s="42">
        <f>'[2]поточний ремонт'!I233+'[1]поточний ремонт'!I233</f>
        <v>4</v>
      </c>
      <c r="J233" s="42">
        <f>'[2]поточний ремонт'!J233+'[1]поточний ремонт'!J233</f>
        <v>4154</v>
      </c>
      <c r="K233" s="962"/>
      <c r="L233" s="42">
        <f>'[2]поточний ремонт'!L233+'[1]поточний ремонт'!L233</f>
        <v>0</v>
      </c>
      <c r="M233" s="42">
        <f>'[2]поточний ремонт'!M233+'[1]поточний ремонт'!M233</f>
        <v>0</v>
      </c>
      <c r="N233" s="36"/>
      <c r="O233" s="42">
        <f>'[2]поточний ремонт'!O233+'[1]поточний ремонт'!O233</f>
        <v>0</v>
      </c>
      <c r="P233" s="42">
        <f>'[2]поточний ремонт'!P233+'[1]поточний ремонт'!P233</f>
        <v>0</v>
      </c>
      <c r="Q233" s="959"/>
      <c r="R233" s="42">
        <f>'[2]поточний ремонт'!R233+'[1]поточний ремонт'!R233</f>
        <v>4</v>
      </c>
      <c r="S233" s="42">
        <f>'[2]поточний ремонт'!S233+'[1]поточний ремонт'!S233</f>
        <v>17666.545675664107</v>
      </c>
      <c r="T233" s="967"/>
      <c r="U233" s="42">
        <f>'[2]поточний ремонт'!U233+'[1]поточний ремонт'!U233</f>
        <v>0</v>
      </c>
      <c r="V233" s="42">
        <f>'[2]поточний ремонт'!V233+'[1]поточний ремонт'!V233</f>
        <v>0</v>
      </c>
      <c r="W233" s="42">
        <f>'[2]поточний ремонт'!W233+'[1]поточний ремонт'!W233</f>
        <v>2</v>
      </c>
      <c r="X233" s="42">
        <f>'[2]поточний ремонт'!X233+'[1]поточний ремонт'!X233</f>
        <v>162</v>
      </c>
      <c r="Y233" s="42">
        <f>'[2]поточний ремонт'!Y233+'[1]поточний ремонт'!Y233</f>
        <v>35945.738705277123</v>
      </c>
      <c r="Z233" s="42">
        <f>'[2]поточний ремонт'!Z233+'[1]поточний ремонт'!Z233</f>
        <v>0</v>
      </c>
      <c r="AA233" s="42">
        <f>'[2]поточний ремонт'!AA233+'[1]поточний ремонт'!AA233</f>
        <v>0</v>
      </c>
      <c r="AB233" s="42">
        <f>'[2]поточний ремонт'!AB233+'[1]поточний ремонт'!AB233</f>
        <v>9359.6342080582763</v>
      </c>
      <c r="AC233" s="42">
        <f>'[2]поточний ремонт'!AC233+'[1]поточний ремонт'!AC233</f>
        <v>1104.3168267263732</v>
      </c>
      <c r="AD233" s="42">
        <f>'[2]поточний ремонт'!AD233+'[1]поточний ремонт'!AD233</f>
        <v>1504.2555853026347</v>
      </c>
      <c r="AE233" s="42">
        <f>'[2]поточний ремонт'!AE233+'[1]поточний ремонт'!AE233</f>
        <v>2099.6863693237806</v>
      </c>
      <c r="AF233" s="42">
        <f>'[2]поточний ремонт'!AF233+'[1]поточний ремонт'!AF233</f>
        <v>956.8270562943917</v>
      </c>
      <c r="AG233" s="5"/>
      <c r="AH233" s="42">
        <f>'[2]поточний ремонт'!AH233+'[1]поточний ремонт'!AH233</f>
        <v>2535.4525810434361</v>
      </c>
      <c r="AI233" s="42">
        <f>'[2]поточний ремонт'!AI233+'[1]поточний ремонт'!AI233</f>
        <v>0</v>
      </c>
      <c r="AJ233" s="5"/>
      <c r="AK233" s="42">
        <f>'[2]поточний ремонт'!AK233+'[1]поточний ремонт'!AK233</f>
        <v>2954.1182209428875</v>
      </c>
      <c r="AL233" s="42">
        <f>'[2]поточний ремонт'!AL233+'[1]поточний ремонт'!AL233</f>
        <v>432.93158819224402</v>
      </c>
      <c r="AM233" s="5"/>
      <c r="AN233" s="42">
        <f>'[2]поточний ремонт'!AN233+'[1]поточний ремонт'!AN233</f>
        <v>1071.3150842375003</v>
      </c>
      <c r="AO233" s="42">
        <f>'[2]поточний ремонт'!AO233+'[1]поточний ремонт'!AO233</f>
        <v>0</v>
      </c>
      <c r="AP233" s="5"/>
      <c r="AQ233" s="42">
        <f>'[2]поточний ремонт'!AQ233+'[1]поточний ремонт'!AQ233</f>
        <v>640.30163700803951</v>
      </c>
      <c r="AR233" s="42">
        <f>'[2]поточний ремонт'!AR233+'[1]поточний ремонт'!AR233</f>
        <v>0</v>
      </c>
      <c r="AS233" s="5"/>
      <c r="AT233" s="42">
        <f>'[2]поточний ремонт'!AT233+'[1]поточний ремонт'!AT233</f>
        <v>1751.4349715618528</v>
      </c>
      <c r="AU233" s="42">
        <f>'[2]поточний ремонт'!AU233+'[1]поточний ремонт'!AU233</f>
        <v>10608.912809502242</v>
      </c>
      <c r="AV233" s="977"/>
      <c r="AW233" s="42">
        <f>'[2]поточний ремонт'!AW233+'[1]поточний ремонт'!AW233</f>
        <v>614.10166492225437</v>
      </c>
      <c r="AX233" s="42">
        <f>'[2]поточний ремонт'!AX233+'[1]поточний ремонт'!AX233</f>
        <v>0</v>
      </c>
      <c r="AY233" s="5"/>
      <c r="AZ233" s="42">
        <f t="shared" si="26"/>
        <v>11666.410529039749</v>
      </c>
      <c r="BA233" s="42">
        <f t="shared" si="27"/>
        <v>11998.671453988878</v>
      </c>
      <c r="BB233" s="58">
        <f t="shared" si="28"/>
        <v>332.26092494912882</v>
      </c>
      <c r="BD233" s="2">
        <v>1</v>
      </c>
      <c r="BF233" s="29">
        <v>366.59464258123239</v>
      </c>
      <c r="BG233" s="318">
        <v>150000945</v>
      </c>
      <c r="BI233" s="104">
        <v>0</v>
      </c>
      <c r="BJ233" s="104">
        <f t="shared" si="32"/>
        <v>0</v>
      </c>
      <c r="BK233" s="104">
        <v>0</v>
      </c>
      <c r="BL233" s="38"/>
      <c r="BM233" s="3"/>
      <c r="BN233" s="3">
        <v>0</v>
      </c>
      <c r="BP233" s="3"/>
      <c r="BQ233" s="3"/>
      <c r="BS233" s="42"/>
      <c r="BT233" s="42">
        <v>0</v>
      </c>
      <c r="BU233" s="962"/>
      <c r="BV233" s="41"/>
      <c r="BW233" s="42"/>
      <c r="BX233" s="36"/>
      <c r="BY233" s="76"/>
      <c r="BZ233" s="42">
        <v>0</v>
      </c>
      <c r="CA233" s="959"/>
      <c r="CB233" s="41"/>
      <c r="CC233" s="41">
        <v>0</v>
      </c>
      <c r="CD233" s="967"/>
      <c r="CE233" s="76">
        <v>0</v>
      </c>
      <c r="CF233" s="55"/>
      <c r="CG233" s="41">
        <v>0</v>
      </c>
      <c r="CH233" s="38">
        <v>0</v>
      </c>
      <c r="CI233" s="76">
        <v>0</v>
      </c>
      <c r="CJ233" s="55"/>
      <c r="CK233" s="955"/>
      <c r="CL233" s="950"/>
      <c r="CM233" s="955">
        <v>451</v>
      </c>
      <c r="CN233" s="950">
        <v>670.64196623833709</v>
      </c>
      <c r="CO233" s="76">
        <v>163.52292060832303</v>
      </c>
      <c r="CP233" s="42">
        <v>0</v>
      </c>
      <c r="CQ233" s="5"/>
      <c r="CR233" s="76">
        <v>199.4568947180004</v>
      </c>
      <c r="CS233" s="954">
        <v>0</v>
      </c>
      <c r="CT233" s="5"/>
      <c r="CU233" s="76">
        <v>229.33534973657356</v>
      </c>
      <c r="CV233" s="42">
        <v>0</v>
      </c>
      <c r="CW233" s="5"/>
      <c r="CX233" s="76">
        <v>97.209426829951681</v>
      </c>
      <c r="CY233" s="42">
        <v>0</v>
      </c>
      <c r="CZ233" s="5"/>
      <c r="DA233" s="76">
        <v>52.842011746104383</v>
      </c>
      <c r="DB233" s="42">
        <v>0</v>
      </c>
      <c r="DC233" s="5"/>
      <c r="DD233" s="76">
        <v>102.63094785733381</v>
      </c>
      <c r="DE233" s="42">
        <v>0</v>
      </c>
      <c r="DF233" s="977"/>
      <c r="DG233" s="76">
        <v>59.671551360139539</v>
      </c>
      <c r="DH233" s="42"/>
      <c r="DI233" s="5"/>
      <c r="DJ233" s="42">
        <v>904.66910285642643</v>
      </c>
      <c r="DK233" s="42">
        <f t="shared" si="33"/>
        <v>0</v>
      </c>
      <c r="DL233" s="58">
        <f t="shared" si="34"/>
        <v>-904.66910285642643</v>
      </c>
      <c r="DM233" s="2">
        <v>1</v>
      </c>
    </row>
    <row r="234" spans="1:117" ht="24.9" customHeight="1" x14ac:dyDescent="0.3">
      <c r="A234" s="318">
        <v>150000947</v>
      </c>
      <c r="B234" s="44" t="s">
        <v>268</v>
      </c>
      <c r="C234" s="956">
        <v>5</v>
      </c>
      <c r="D234" s="957" t="s">
        <v>454</v>
      </c>
      <c r="E234" s="949">
        <f>'побудинковий звіт'!E201</f>
        <v>6142.18</v>
      </c>
      <c r="F234" s="950">
        <f>'побудинковий звіт'!AS201</f>
        <v>170383.39847404268</v>
      </c>
      <c r="G234" s="950">
        <f t="shared" si="24"/>
        <v>39152.318464450414</v>
      </c>
      <c r="H234" s="950">
        <f t="shared" si="25"/>
        <v>-131231.08000959226</v>
      </c>
      <c r="I234" s="42">
        <f>'[2]поточний ремонт'!I234+'[1]поточний ремонт'!I234</f>
        <v>86.95</v>
      </c>
      <c r="J234" s="42">
        <f>'[2]поточний ремонт'!J234+'[1]поточний ремонт'!J234</f>
        <v>28655.051959919147</v>
      </c>
      <c r="K234" s="958"/>
      <c r="L234" s="42">
        <f>'[2]поточний ремонт'!L234+'[1]поточний ремонт'!L234</f>
        <v>0</v>
      </c>
      <c r="M234" s="42">
        <f>'[2]поточний ремонт'!M234+'[1]поточний ремонт'!M234</f>
        <v>0</v>
      </c>
      <c r="N234" s="36"/>
      <c r="O234" s="42">
        <f>'[2]поточний ремонт'!O234+'[1]поточний ремонт'!O234</f>
        <v>0</v>
      </c>
      <c r="P234" s="42">
        <f>'[2]поточний ремонт'!P234+'[1]поточний ремонт'!P234</f>
        <v>0</v>
      </c>
      <c r="Q234" s="959"/>
      <c r="R234" s="42">
        <f>'[2]поточний ремонт'!R234+'[1]поточний ремонт'!R234</f>
        <v>0</v>
      </c>
      <c r="S234" s="42">
        <f>'[2]поточний ремонт'!S234+'[1]поточний ремонт'!S234</f>
        <v>0</v>
      </c>
      <c r="T234" s="960"/>
      <c r="U234" s="42">
        <f>'[2]поточний ремонт'!U234+'[1]поточний ремонт'!U234</f>
        <v>0</v>
      </c>
      <c r="V234" s="42">
        <f>'[2]поточний ремонт'!V234+'[1]поточний ремонт'!V234</f>
        <v>0</v>
      </c>
      <c r="W234" s="42">
        <f>'[2]поточний ремонт'!W234+'[1]поточний ремонт'!W234</f>
        <v>0</v>
      </c>
      <c r="X234" s="42">
        <f>'[2]поточний ремонт'!X234+'[1]поточний ремонт'!X234</f>
        <v>0</v>
      </c>
      <c r="Y234" s="42">
        <f>'[2]поточний ремонт'!Y234+'[1]поточний ремонт'!Y234</f>
        <v>0</v>
      </c>
      <c r="Z234" s="42">
        <f>'[2]поточний ремонт'!Z234+'[1]поточний ремонт'!Z234</f>
        <v>0</v>
      </c>
      <c r="AA234" s="42">
        <f>'[2]поточний ремонт'!AA234+'[1]поточний ремонт'!AA234</f>
        <v>0</v>
      </c>
      <c r="AB234" s="42">
        <f>'[2]поточний ремонт'!AB234+'[1]поточний ремонт'!AB234</f>
        <v>9895.7864756329927</v>
      </c>
      <c r="AC234" s="42">
        <f>'[2]поточний ремонт'!AC234+'[1]поточний ремонт'!AC234</f>
        <v>214.69979883354068</v>
      </c>
      <c r="AD234" s="42">
        <f>'[2]поточний ремонт'!AD234+'[1]поточний ремонт'!AD234</f>
        <v>386.780230064732</v>
      </c>
      <c r="AE234" s="42">
        <f>'[2]поточний ремонт'!AE234+'[1]поточний ремонт'!AE234</f>
        <v>2035.7240325908026</v>
      </c>
      <c r="AF234" s="42">
        <f>'[2]поточний ремонт'!AF234+'[1]поточний ремонт'!AF234</f>
        <v>0</v>
      </c>
      <c r="AG234" s="5"/>
      <c r="AH234" s="42">
        <f>'[2]поточний ремонт'!AH234+'[1]поточний ремонт'!AH234</f>
        <v>2970.6793002390591</v>
      </c>
      <c r="AI234" s="42">
        <f>'[2]поточний ремонт'!AI234+'[1]поточний ремонт'!AI234</f>
        <v>0</v>
      </c>
      <c r="AJ234" s="5"/>
      <c r="AK234" s="42">
        <f>'[2]поточний ремонт'!AK234+'[1]поточний ремонт'!AK234</f>
        <v>2152.3785418796583</v>
      </c>
      <c r="AL234" s="42">
        <f>'[2]поточний ремонт'!AL234+'[1]поточний ремонт'!AL234</f>
        <v>6284.4709198616365</v>
      </c>
      <c r="AM234" s="5"/>
      <c r="AN234" s="42">
        <f>'[2]поточний ремонт'!AN234+'[1]поточний ремонт'!AN234</f>
        <v>1089.9153490432268</v>
      </c>
      <c r="AO234" s="42">
        <f>'[2]поточний ремонт'!AO234+'[1]поточний ремонт'!AO234</f>
        <v>0</v>
      </c>
      <c r="AP234" s="5"/>
      <c r="AQ234" s="42">
        <f>'[2]поточний ремонт'!AQ234+'[1]поточний ремонт'!AQ234</f>
        <v>682.92421978566813</v>
      </c>
      <c r="AR234" s="42">
        <f>'[2]поточний ремонт'!AR234+'[1]поточний ремонт'!AR234</f>
        <v>0</v>
      </c>
      <c r="AS234" s="5"/>
      <c r="AT234" s="42">
        <f>'[2]поточний ремонт'!AT234+'[1]поточний ремонт'!AT234</f>
        <v>1534.7199717358124</v>
      </c>
      <c r="AU234" s="42">
        <f>'[2]поточний ремонт'!AU234+'[1]поточний ремонт'!AU234</f>
        <v>12184.77350235811</v>
      </c>
      <c r="AV234" s="5"/>
      <c r="AW234" s="42">
        <f>'[2]поточний ремонт'!AW234+'[1]поточний ремонт'!AW234</f>
        <v>568.22770145494792</v>
      </c>
      <c r="AX234" s="42">
        <f>'[2]поточний ремонт'!AX234+'[1]поточний ремонт'!AX234</f>
        <v>0</v>
      </c>
      <c r="AY234" s="5"/>
      <c r="AZ234" s="42">
        <f t="shared" si="26"/>
        <v>11034.569116729175</v>
      </c>
      <c r="BA234" s="42">
        <f t="shared" si="27"/>
        <v>18469.244422219745</v>
      </c>
      <c r="BB234" s="58">
        <f t="shared" si="28"/>
        <v>7434.6753054905694</v>
      </c>
      <c r="BD234" s="2">
        <v>1</v>
      </c>
      <c r="BF234" s="29">
        <v>152.63965854957738</v>
      </c>
      <c r="BG234" s="318">
        <v>150000947</v>
      </c>
      <c r="BI234" s="104">
        <v>0</v>
      </c>
      <c r="BJ234" s="104">
        <f t="shared" si="32"/>
        <v>0</v>
      </c>
      <c r="BK234" s="104">
        <v>0</v>
      </c>
      <c r="BL234" s="38"/>
      <c r="BM234" s="3"/>
      <c r="BN234" s="3">
        <v>0</v>
      </c>
      <c r="BP234" s="3"/>
      <c r="BQ234" s="3"/>
      <c r="BS234" s="42"/>
      <c r="BT234" s="42">
        <v>0</v>
      </c>
      <c r="BU234" s="958"/>
      <c r="BV234" s="41"/>
      <c r="BW234" s="42"/>
      <c r="BX234" s="36"/>
      <c r="BY234" s="76"/>
      <c r="BZ234" s="42">
        <v>0</v>
      </c>
      <c r="CA234" s="959"/>
      <c r="CB234" s="41"/>
      <c r="CC234" s="41">
        <v>0</v>
      </c>
      <c r="CD234" s="960"/>
      <c r="CE234" s="76">
        <v>0</v>
      </c>
      <c r="CF234" s="55"/>
      <c r="CG234" s="41">
        <v>0</v>
      </c>
      <c r="CH234" s="38">
        <v>0</v>
      </c>
      <c r="CI234" s="76">
        <v>0</v>
      </c>
      <c r="CJ234" s="55"/>
      <c r="CK234" s="955"/>
      <c r="CL234" s="950"/>
      <c r="CM234" s="955"/>
      <c r="CN234" s="950">
        <v>0</v>
      </c>
      <c r="CO234" s="76">
        <v>167.74561118278154</v>
      </c>
      <c r="CP234" s="42">
        <v>0</v>
      </c>
      <c r="CQ234" s="5"/>
      <c r="CR234" s="76">
        <v>251.54943284259048</v>
      </c>
      <c r="CS234" s="954">
        <v>0</v>
      </c>
      <c r="CT234" s="5"/>
      <c r="CU234" s="76">
        <v>174.79166954919475</v>
      </c>
      <c r="CV234" s="42">
        <v>0</v>
      </c>
      <c r="CW234" s="5"/>
      <c r="CX234" s="76">
        <v>100.93986652610181</v>
      </c>
      <c r="CY234" s="42">
        <v>0</v>
      </c>
      <c r="CZ234" s="5"/>
      <c r="DA234" s="76">
        <v>59.973570119372766</v>
      </c>
      <c r="DB234" s="42">
        <v>0</v>
      </c>
      <c r="DC234" s="5"/>
      <c r="DD234" s="76">
        <v>93.587369723254</v>
      </c>
      <c r="DE234" s="42">
        <v>2526.9928032236958</v>
      </c>
      <c r="DF234" s="5"/>
      <c r="DG234" s="76">
        <v>53.862315927238768</v>
      </c>
      <c r="DH234" s="42"/>
      <c r="DI234" s="5"/>
      <c r="DJ234" s="42">
        <v>902.44983587053423</v>
      </c>
      <c r="DK234" s="42">
        <f t="shared" si="33"/>
        <v>2526.9928032236958</v>
      </c>
      <c r="DL234" s="58">
        <f t="shared" si="34"/>
        <v>1624.5429673531617</v>
      </c>
      <c r="DM234" s="2">
        <v>1</v>
      </c>
    </row>
    <row r="235" spans="1:117" ht="24.9" customHeight="1" x14ac:dyDescent="0.3">
      <c r="A235" s="318">
        <v>150000948</v>
      </c>
      <c r="B235" s="44" t="s">
        <v>383</v>
      </c>
      <c r="C235" s="956">
        <v>9</v>
      </c>
      <c r="D235" s="957" t="s">
        <v>454</v>
      </c>
      <c r="E235" s="949">
        <f>'побудинковий звіт'!E202</f>
        <v>6313.36</v>
      </c>
      <c r="F235" s="950">
        <f>'побудинковий звіт'!AS202</f>
        <v>169365.26162605826</v>
      </c>
      <c r="G235" s="950">
        <f t="shared" si="24"/>
        <v>175092.18208016353</v>
      </c>
      <c r="H235" s="950">
        <f t="shared" si="25"/>
        <v>5726.920454105275</v>
      </c>
      <c r="I235" s="42">
        <f>'[2]поточний ремонт'!I235+'[1]поточний ремонт'!I235</f>
        <v>250</v>
      </c>
      <c r="J235" s="42">
        <f>'[2]поточний ремонт'!J235+'[1]поточний ремонт'!J235</f>
        <v>121463</v>
      </c>
      <c r="K235" s="958"/>
      <c r="L235" s="42">
        <f>'[2]поточний ремонт'!L235+'[1]поточний ремонт'!L235</f>
        <v>0</v>
      </c>
      <c r="M235" s="42">
        <f>'[2]поточний ремонт'!M235+'[1]поточний ремонт'!M235</f>
        <v>0</v>
      </c>
      <c r="N235" s="36"/>
      <c r="O235" s="42">
        <f>'[2]поточний ремонт'!O235+'[1]поточний ремонт'!O235</f>
        <v>69</v>
      </c>
      <c r="P235" s="42">
        <f>'[2]поточний ремонт'!P235+'[1]поточний ремонт'!P235</f>
        <v>23587</v>
      </c>
      <c r="Q235" s="959"/>
      <c r="R235" s="42">
        <f>'[2]поточний ремонт'!R235+'[1]поточний ремонт'!R235</f>
        <v>2</v>
      </c>
      <c r="S235" s="42">
        <f>'[2]поточний ремонт'!S235+'[1]поточний ремонт'!S235</f>
        <v>5162.383552335099</v>
      </c>
      <c r="T235" s="967"/>
      <c r="U235" s="42">
        <f>'[2]поточний ремонт'!U235+'[1]поточний ремонт'!U235</f>
        <v>325</v>
      </c>
      <c r="V235" s="42">
        <f>'[2]поточний ремонт'!V235+'[1]поточний ремонт'!V235</f>
        <v>0</v>
      </c>
      <c r="W235" s="42">
        <f>'[2]поточний ремонт'!W235+'[1]поточний ремонт'!W235</f>
        <v>3</v>
      </c>
      <c r="X235" s="42">
        <f>'[2]поточний ремонт'!X235+'[1]поточний ремонт'!X235</f>
        <v>1291.8284625417039</v>
      </c>
      <c r="Y235" s="42">
        <f>'[2]поточний ремонт'!Y235+'[1]поточний ремонт'!Y235</f>
        <v>3852.2094469172844</v>
      </c>
      <c r="Z235" s="42">
        <f>'[2]поточний ремонт'!Z235+'[1]поточний ремонт'!Z235</f>
        <v>0</v>
      </c>
      <c r="AA235" s="42">
        <f>'[2]поточний ремонт'!AA235+'[1]поточний ремонт'!AA235</f>
        <v>0</v>
      </c>
      <c r="AB235" s="42">
        <f>'[2]поточний ремонт'!AB235+'[1]поточний ремонт'!AB235</f>
        <v>15378.064568903725</v>
      </c>
      <c r="AC235" s="42">
        <f>'[2]поточний ремонт'!AC235+'[1]поточний ремонт'!AC235</f>
        <v>0</v>
      </c>
      <c r="AD235" s="42">
        <f>'[2]поточний ремонт'!AD235+'[1]поточний ремонт'!AD235</f>
        <v>4032.6960494657169</v>
      </c>
      <c r="AE235" s="42">
        <f>'[2]поточний ремонт'!AE235+'[1]поточний ремонт'!AE235</f>
        <v>1879.3077446502252</v>
      </c>
      <c r="AF235" s="42">
        <f>'[2]поточний ремонт'!AF235+'[1]поточний ремонт'!AF235</f>
        <v>1382.7810568360851</v>
      </c>
      <c r="AG235" s="9"/>
      <c r="AH235" s="42">
        <f>'[2]поточний ремонт'!AH235+'[1]поточний ремонт'!AH235</f>
        <v>2110.9196014008116</v>
      </c>
      <c r="AI235" s="42">
        <f>'[2]поточний ремонт'!AI235+'[1]поточний ремонт'!AI235</f>
        <v>3451.8955475997009</v>
      </c>
      <c r="AJ235" s="5"/>
      <c r="AK235" s="42">
        <f>'[2]поточний ремонт'!AK235+'[1]поточний ремонт'!AK235</f>
        <v>2276.8603290048732</v>
      </c>
      <c r="AL235" s="42">
        <f>'[2]поточний ремонт'!AL235+'[1]поточний ремонт'!AL235</f>
        <v>3166.7271244504232</v>
      </c>
      <c r="AM235" s="965"/>
      <c r="AN235" s="42">
        <f>'[2]поточний ремонт'!AN235+'[1]поточний ремонт'!AN235</f>
        <v>1007.9885432677777</v>
      </c>
      <c r="AO235" s="42">
        <f>'[2]поточний ремонт'!AO235+'[1]поточний ремонт'!AO235</f>
        <v>13913.647704492241</v>
      </c>
      <c r="AP235" s="5"/>
      <c r="AQ235" s="42">
        <f>'[2]поточний ремонт'!AQ235+'[1]поточний ремонт'!AQ235</f>
        <v>461.93774892252401</v>
      </c>
      <c r="AR235" s="42">
        <f>'[2]поточний ремонт'!AR235+'[1]поточний ремонт'!AR235</f>
        <v>16.749686000000001</v>
      </c>
      <c r="AS235" s="5"/>
      <c r="AT235" s="42">
        <f>'[2]поточний ремонт'!AT235+'[1]поточний ремонт'!AT235</f>
        <v>2063.7871088153834</v>
      </c>
      <c r="AU235" s="42">
        <f>'[2]поточний ремонт'!AU235+'[1]поточний ремонт'!AU235</f>
        <v>1131.2545234065167</v>
      </c>
      <c r="AV235" s="977"/>
      <c r="AW235" s="42">
        <f>'[2]поточний ремонт'!AW235+'[1]поточний ремонт'!AW235</f>
        <v>750.00531484086082</v>
      </c>
      <c r="AX235" s="42">
        <f>'[2]поточний ремонт'!AX235+'[1]поточний ремонт'!AX235</f>
        <v>0</v>
      </c>
      <c r="AY235" s="5"/>
      <c r="AZ235" s="42">
        <f t="shared" si="26"/>
        <v>10550.806390902455</v>
      </c>
      <c r="BA235" s="42">
        <f t="shared" si="27"/>
        <v>23063.05564278497</v>
      </c>
      <c r="BB235" s="58">
        <f t="shared" si="28"/>
        <v>12512.249251882515</v>
      </c>
      <c r="BD235" s="2">
        <v>1</v>
      </c>
      <c r="BF235" s="29">
        <v>386.62061200928684</v>
      </c>
      <c r="BG235" s="318">
        <v>150000948</v>
      </c>
      <c r="BI235" s="104">
        <v>76.960000000000008</v>
      </c>
      <c r="BJ235" s="104">
        <f t="shared" si="32"/>
        <v>10.825362912000001</v>
      </c>
      <c r="BK235" s="104">
        <v>88.756874860160011</v>
      </c>
      <c r="BL235" s="38"/>
      <c r="BM235" s="3"/>
      <c r="BN235" s="3">
        <v>0</v>
      </c>
      <c r="BP235" s="3"/>
      <c r="BQ235" s="3"/>
      <c r="BS235" s="42"/>
      <c r="BT235" s="42">
        <v>0</v>
      </c>
      <c r="BU235" s="958"/>
      <c r="BV235" s="41"/>
      <c r="BW235" s="42"/>
      <c r="BX235" s="36"/>
      <c r="BY235" s="76"/>
      <c r="BZ235" s="42">
        <v>0</v>
      </c>
      <c r="CA235" s="959"/>
      <c r="CB235" s="41"/>
      <c r="CC235" s="41">
        <v>0</v>
      </c>
      <c r="CD235" s="967"/>
      <c r="CE235" s="76">
        <v>0</v>
      </c>
      <c r="CF235" s="55"/>
      <c r="CG235" s="41">
        <v>0</v>
      </c>
      <c r="CH235" s="38">
        <v>88.756874860160011</v>
      </c>
      <c r="CI235" s="76">
        <v>0</v>
      </c>
      <c r="CJ235" s="971"/>
      <c r="CK235" s="955"/>
      <c r="CL235" s="950"/>
      <c r="CM235" s="955"/>
      <c r="CN235" s="950">
        <v>1842.3025907146143</v>
      </c>
      <c r="CO235" s="76">
        <v>117.09969918259424</v>
      </c>
      <c r="CP235" s="42">
        <v>0</v>
      </c>
      <c r="CQ235" s="9"/>
      <c r="CR235" s="76">
        <v>170.19709560077703</v>
      </c>
      <c r="CS235" s="954">
        <v>0</v>
      </c>
      <c r="CT235" s="5"/>
      <c r="CU235" s="76">
        <v>188.66279147576893</v>
      </c>
      <c r="CV235" s="42">
        <v>0</v>
      </c>
      <c r="CW235" s="965"/>
      <c r="CX235" s="76">
        <v>87.55987832096244</v>
      </c>
      <c r="CY235" s="42">
        <v>0</v>
      </c>
      <c r="CZ235" s="5"/>
      <c r="DA235" s="76">
        <v>36.728955578820965</v>
      </c>
      <c r="DB235" s="42">
        <v>0</v>
      </c>
      <c r="DC235" s="5"/>
      <c r="DD235" s="76">
        <v>116.44629620530513</v>
      </c>
      <c r="DE235" s="42">
        <v>1129.8477556586763</v>
      </c>
      <c r="DF235" s="977"/>
      <c r="DG235" s="76">
        <v>70.51208388726748</v>
      </c>
      <c r="DH235" s="42"/>
      <c r="DI235" s="5"/>
      <c r="DJ235" s="42">
        <v>787.20680025149625</v>
      </c>
      <c r="DK235" s="42">
        <f t="shared" si="33"/>
        <v>1129.8477556586763</v>
      </c>
      <c r="DL235" s="58">
        <f t="shared" si="34"/>
        <v>342.64095540718006</v>
      </c>
      <c r="DM235" s="2">
        <v>1</v>
      </c>
    </row>
    <row r="236" spans="1:117" ht="24.9" customHeight="1" x14ac:dyDescent="0.3">
      <c r="A236" s="318">
        <v>150000949</v>
      </c>
      <c r="B236" s="44" t="s">
        <v>384</v>
      </c>
      <c r="C236" s="956">
        <v>9</v>
      </c>
      <c r="D236" s="957" t="s">
        <v>454</v>
      </c>
      <c r="E236" s="949">
        <f>'побудинковий звіт'!E203</f>
        <v>4192.5</v>
      </c>
      <c r="F236" s="950">
        <f>'побудинковий звіт'!AS203</f>
        <v>62041.946789014561</v>
      </c>
      <c r="G236" s="950">
        <f t="shared" si="24"/>
        <v>7548.4942151501546</v>
      </c>
      <c r="H236" s="950">
        <f t="shared" si="25"/>
        <v>-54493.452573864408</v>
      </c>
      <c r="I236" s="42">
        <f>'[2]поточний ремонт'!I236+'[1]поточний ремонт'!I236</f>
        <v>0</v>
      </c>
      <c r="J236" s="42">
        <f>'[2]поточний ремонт'!J236+'[1]поточний ремонт'!J236</f>
        <v>0</v>
      </c>
      <c r="K236" s="958"/>
      <c r="L236" s="42">
        <f>'[2]поточний ремонт'!L236+'[1]поточний ремонт'!L236</f>
        <v>0</v>
      </c>
      <c r="M236" s="42">
        <f>'[2]поточний ремонт'!M236+'[1]поточний ремонт'!M236</f>
        <v>0</v>
      </c>
      <c r="N236" s="36"/>
      <c r="O236" s="42">
        <f>'[2]поточний ремонт'!O236+'[1]поточний ремонт'!O236</f>
        <v>0</v>
      </c>
      <c r="P236" s="42">
        <f>'[2]поточний ремонт'!P236+'[1]поточний ремонт'!P236</f>
        <v>0</v>
      </c>
      <c r="Q236" s="959"/>
      <c r="R236" s="42">
        <f>'[2]поточний ремонт'!R236+'[1]поточний ремонт'!R236</f>
        <v>2</v>
      </c>
      <c r="S236" s="42">
        <f>'[2]поточний ремонт'!S236+'[1]поточний ремонт'!S236</f>
        <v>2351.5726077924619</v>
      </c>
      <c r="T236" s="967"/>
      <c r="U236" s="42">
        <f>'[2]поточний ремонт'!U236+'[1]поточний ремонт'!U236</f>
        <v>0</v>
      </c>
      <c r="V236" s="42">
        <f>'[2]поточний ремонт'!V236+'[1]поточний ремонт'!V236</f>
        <v>0</v>
      </c>
      <c r="W236" s="42">
        <f>'[2]поточний ремонт'!W236+'[1]поточний ремонт'!W236</f>
        <v>0</v>
      </c>
      <c r="X236" s="42">
        <f>'[2]поточний ремонт'!X236+'[1]поточний ремонт'!X236</f>
        <v>296.28734675683222</v>
      </c>
      <c r="Y236" s="42">
        <f>'[2]поточний ремонт'!Y236+'[1]поточний ремонт'!Y236</f>
        <v>0</v>
      </c>
      <c r="Z236" s="42">
        <f>'[2]поточний ремонт'!Z236+'[1]поточний ремонт'!Z236</f>
        <v>0</v>
      </c>
      <c r="AA236" s="42">
        <f>'[2]поточний ремонт'!AA236+'[1]поточний ремонт'!AA236</f>
        <v>0</v>
      </c>
      <c r="AB236" s="42">
        <f>'[2]поточний ремонт'!AB236+'[1]поточний ремонт'!AB236</f>
        <v>0</v>
      </c>
      <c r="AC236" s="42">
        <f>'[2]поточний ремонт'!AC236+'[1]поточний ремонт'!AC236</f>
        <v>0</v>
      </c>
      <c r="AD236" s="42">
        <f>'[2]поточний ремонт'!AD236+'[1]поточний ремонт'!AD236</f>
        <v>4900.6342606008602</v>
      </c>
      <c r="AE236" s="42">
        <f>'[2]поточний ремонт'!AE236+'[1]поточний ремонт'!AE236</f>
        <v>1444.1611418358991</v>
      </c>
      <c r="AF236" s="42">
        <f>'[2]поточний ремонт'!AF236+'[1]поточний ремонт'!AF236</f>
        <v>1134.9861735692598</v>
      </c>
      <c r="AG236" s="5"/>
      <c r="AH236" s="42">
        <f>'[2]поточний ремонт'!AH236+'[1]поточний ремонт'!AH236</f>
        <v>1228.9841286972444</v>
      </c>
      <c r="AI236" s="42">
        <f>'[2]поточний ремонт'!AI236+'[1]поточний ремонт'!AI236</f>
        <v>5801.0246148822998</v>
      </c>
      <c r="AJ236" s="5"/>
      <c r="AK236" s="42">
        <f>'[2]поточний ремонт'!AK236+'[1]поточний ремонт'!AK236</f>
        <v>1471.641411358147</v>
      </c>
      <c r="AL236" s="42">
        <f>'[2]поточний ремонт'!AL236+'[1]поточний ремонт'!AL236</f>
        <v>999.69411339984447</v>
      </c>
      <c r="AM236" s="965"/>
      <c r="AN236" s="42">
        <f>'[2]поточний ремонт'!AN236+'[1]поточний ремонт'!AN236</f>
        <v>695.77216464243099</v>
      </c>
      <c r="AO236" s="42">
        <f>'[2]поточний ремонт'!AO236+'[1]поточний ремонт'!AO236</f>
        <v>709.09552607150101</v>
      </c>
      <c r="AP236" s="5"/>
      <c r="AQ236" s="42">
        <f>'[2]поточний ремонт'!AQ236+'[1]поточний ремонт'!AQ236</f>
        <v>643.68561527751251</v>
      </c>
      <c r="AR236" s="42">
        <f>'[2]поточний ремонт'!AR236+'[1]поточний ремонт'!AR236</f>
        <v>7.7228418000000003</v>
      </c>
      <c r="AS236" s="5"/>
      <c r="AT236" s="42">
        <f>'[2]поточний ремонт'!AT236+'[1]поточний ремонт'!AT236</f>
        <v>2201.8347345789348</v>
      </c>
      <c r="AU236" s="42">
        <f>'[2]поточний ремонт'!AU236+'[1]поточний ремонт'!AU236</f>
        <v>507.45180577129332</v>
      </c>
      <c r="AV236" s="5"/>
      <c r="AW236" s="42">
        <f>'[2]поточний ремонт'!AW236+'[1]поточний ремонт'!AW236</f>
        <v>866.51041310749599</v>
      </c>
      <c r="AX236" s="42">
        <f>'[2]поточний ремонт'!AX236+'[1]поточний ремонт'!AX236</f>
        <v>0</v>
      </c>
      <c r="AY236" s="5"/>
      <c r="AZ236" s="42">
        <f t="shared" si="26"/>
        <v>8552.5896094976652</v>
      </c>
      <c r="BA236" s="42">
        <f t="shared" si="27"/>
        <v>9159.9750754941997</v>
      </c>
      <c r="BB236" s="58">
        <f t="shared" si="28"/>
        <v>607.38546599653455</v>
      </c>
      <c r="BD236" s="2">
        <v>1</v>
      </c>
      <c r="BF236" s="29">
        <v>490.25505019123011</v>
      </c>
      <c r="BG236" s="318">
        <v>150000949</v>
      </c>
      <c r="BI236" s="104">
        <v>21.72</v>
      </c>
      <c r="BJ236" s="104">
        <f t="shared" si="32"/>
        <v>3.0551829839999995</v>
      </c>
      <c r="BK236" s="104">
        <v>25.049367489119998</v>
      </c>
      <c r="BL236" s="38"/>
      <c r="BM236" s="3"/>
      <c r="BN236" s="3">
        <v>0</v>
      </c>
      <c r="BP236" s="3"/>
      <c r="BQ236" s="3"/>
      <c r="BS236" s="42"/>
      <c r="BT236" s="42">
        <v>0</v>
      </c>
      <c r="BU236" s="958"/>
      <c r="BV236" s="41"/>
      <c r="BW236" s="42"/>
      <c r="BX236" s="36"/>
      <c r="BY236" s="76"/>
      <c r="BZ236" s="42">
        <v>0</v>
      </c>
      <c r="CA236" s="959"/>
      <c r="CB236" s="41"/>
      <c r="CC236" s="41">
        <v>0</v>
      </c>
      <c r="CD236" s="967"/>
      <c r="CE236" s="76">
        <v>0</v>
      </c>
      <c r="CF236" s="55"/>
      <c r="CG236" s="41">
        <v>0</v>
      </c>
      <c r="CH236" s="38">
        <v>25.049367489119998</v>
      </c>
      <c r="CI236" s="76">
        <v>0</v>
      </c>
      <c r="CJ236" s="55"/>
      <c r="CK236" s="955"/>
      <c r="CL236" s="950"/>
      <c r="CM236" s="955"/>
      <c r="CN236" s="950">
        <v>558.70055587972422</v>
      </c>
      <c r="CO236" s="76">
        <v>65.830559083320935</v>
      </c>
      <c r="CP236" s="42">
        <v>0</v>
      </c>
      <c r="CQ236" s="5"/>
      <c r="CR236" s="76">
        <v>96.923008652291514</v>
      </c>
      <c r="CS236" s="954">
        <v>0</v>
      </c>
      <c r="CT236" s="5"/>
      <c r="CU236" s="76">
        <v>107.58200871511234</v>
      </c>
      <c r="CV236" s="42">
        <v>0</v>
      </c>
      <c r="CW236" s="965"/>
      <c r="CX236" s="76">
        <v>50.695790799740266</v>
      </c>
      <c r="CY236" s="42">
        <v>0</v>
      </c>
      <c r="CZ236" s="5"/>
      <c r="DA236" s="76">
        <v>48.718823694731888</v>
      </c>
      <c r="DB236" s="42">
        <v>0</v>
      </c>
      <c r="DC236" s="5"/>
      <c r="DD236" s="76">
        <v>81.922042197746549</v>
      </c>
      <c r="DE236" s="42">
        <v>0</v>
      </c>
      <c r="DF236" s="5"/>
      <c r="DG236" s="76">
        <v>78.459781410812013</v>
      </c>
      <c r="DH236" s="42"/>
      <c r="DI236" s="5"/>
      <c r="DJ236" s="42">
        <v>530.13201455375543</v>
      </c>
      <c r="DK236" s="42">
        <f t="shared" si="33"/>
        <v>0</v>
      </c>
      <c r="DL236" s="58">
        <f t="shared" si="34"/>
        <v>-530.13201455375543</v>
      </c>
      <c r="DM236" s="2">
        <v>1</v>
      </c>
    </row>
    <row r="237" spans="1:117" ht="24.9" customHeight="1" x14ac:dyDescent="0.3">
      <c r="A237" s="318">
        <v>150000760</v>
      </c>
      <c r="B237" s="44" t="s">
        <v>1808</v>
      </c>
      <c r="C237" s="956">
        <v>9</v>
      </c>
      <c r="D237" s="957" t="s">
        <v>454</v>
      </c>
      <c r="E237" s="949">
        <f>'побудинковий звіт'!E241</f>
        <v>3564.2</v>
      </c>
      <c r="F237" s="950">
        <f>'побудинковий звіт'!AS241</f>
        <v>58603.554999517823</v>
      </c>
      <c r="G237" s="950">
        <f t="shared" si="24"/>
        <v>80206.28248823504</v>
      </c>
      <c r="H237" s="950">
        <f t="shared" si="25"/>
        <v>21602.727488717217</v>
      </c>
      <c r="I237" s="42">
        <f>'[2]поточний ремонт'!I237+'[1]поточний ремонт'!I237</f>
        <v>190.55</v>
      </c>
      <c r="J237" s="42">
        <f>'[2]поточний ремонт'!J237+'[1]поточний ремонт'!J237</f>
        <v>59931.656983543384</v>
      </c>
      <c r="K237" s="958"/>
      <c r="L237" s="42">
        <f>'[2]поточний ремонт'!L237+'[1]поточний ремонт'!L237</f>
        <v>0</v>
      </c>
      <c r="M237" s="42">
        <f>'[2]поточний ремонт'!M237+'[1]поточний ремонт'!M237</f>
        <v>0</v>
      </c>
      <c r="N237" s="36"/>
      <c r="O237" s="42">
        <f>'[2]поточний ремонт'!O237+'[1]поточний ремонт'!O237</f>
        <v>0</v>
      </c>
      <c r="P237" s="42">
        <f>'[2]поточний ремонт'!P237+'[1]поточний ремонт'!P237</f>
        <v>0</v>
      </c>
      <c r="Q237" s="978"/>
      <c r="R237" s="42">
        <f>'[2]поточний ремонт'!R237+'[1]поточний ремонт'!R237</f>
        <v>5</v>
      </c>
      <c r="S237" s="42">
        <f>'[2]поточний ремонт'!S237+'[1]поточний ремонт'!S237</f>
        <v>9148.0333934233713</v>
      </c>
      <c r="T237" s="967"/>
      <c r="U237" s="42">
        <f>'[2]поточний ремонт'!U237+'[1]поточний ремонт'!U237</f>
        <v>0</v>
      </c>
      <c r="V237" s="42">
        <f>'[2]поточний ремонт'!V237+'[1]поточний ремонт'!V237</f>
        <v>0</v>
      </c>
      <c r="W237" s="42">
        <f>'[2]поточний ремонт'!W237+'[1]поточний ремонт'!W237</f>
        <v>2.1</v>
      </c>
      <c r="X237" s="42">
        <f>'[2]поточний ремонт'!X237+'[1]поточний ремонт'!X237</f>
        <v>791.15836555673877</v>
      </c>
      <c r="Y237" s="42">
        <f>'[2]поточний ремонт'!Y237+'[1]поточний ремонт'!Y237</f>
        <v>0</v>
      </c>
      <c r="Z237" s="42">
        <f>'[2]поточний ремонт'!Z237+'[1]поточний ремонт'!Z237</f>
        <v>0</v>
      </c>
      <c r="AA237" s="42">
        <f>'[2]поточний ремонт'!AA237+'[1]поточний ремонт'!AA237</f>
        <v>0</v>
      </c>
      <c r="AB237" s="42">
        <f>'[2]поточний ремонт'!AB237+'[1]поточний ремонт'!AB237</f>
        <v>1782.9468611648917</v>
      </c>
      <c r="AC237" s="42">
        <f>'[2]поточний ремонт'!AC237+'[1]поточний ремонт'!AC237</f>
        <v>459.62404904927871</v>
      </c>
      <c r="AD237" s="42">
        <f>'[2]поточний ремонт'!AD237+'[1]поточний ремонт'!AD237</f>
        <v>8092.8628354973807</v>
      </c>
      <c r="AE237" s="42">
        <f>'[2]поточний ремонт'!AE237+'[1]поточний ремонт'!AE237</f>
        <v>2307.5741749443687</v>
      </c>
      <c r="AF237" s="42">
        <f>'[2]поточний ремонт'!AF237+'[1]поточний ремонт'!AF237</f>
        <v>2030.6002210713471</v>
      </c>
      <c r="AG237" s="965"/>
      <c r="AH237" s="42">
        <f>'[2]поточний ремонт'!AH237+'[1]поточний ремонт'!AH237</f>
        <v>5629.0885284543974</v>
      </c>
      <c r="AI237" s="42">
        <f>'[2]поточний ремонт'!AI237+'[1]поточний ремонт'!AI237</f>
        <v>0</v>
      </c>
      <c r="AJ237" s="5"/>
      <c r="AK237" s="42">
        <f>'[2]поточний ремонт'!AK237+'[1]поточний ремонт'!AK237</f>
        <v>4631.1016449733188</v>
      </c>
      <c r="AL237" s="42">
        <f>'[2]поточний ремонт'!AL237+'[1]поточний ремонт'!AL237</f>
        <v>0</v>
      </c>
      <c r="AM237" s="5"/>
      <c r="AN237" s="42">
        <f>'[2]поточний ремонт'!AN237+'[1]поточний ремонт'!AN237</f>
        <v>1645.5384958349141</v>
      </c>
      <c r="AO237" s="42">
        <f>'[2]поточний ремонт'!AO237+'[1]поточний ремонт'!AO237</f>
        <v>774.43253390249993</v>
      </c>
      <c r="AP237" s="5"/>
      <c r="AQ237" s="42">
        <f>'[2]поточний ремонт'!AQ237+'[1]поточний ремонт'!AQ237</f>
        <v>685.28251599704606</v>
      </c>
      <c r="AR237" s="42">
        <f>'[2]поточний ремонт'!AR237+'[1]поточний ремонт'!AR237</f>
        <v>0</v>
      </c>
      <c r="AS237" s="9"/>
      <c r="AT237" s="42">
        <f>'[2]поточний ремонт'!AT237+'[1]поточний ремонт'!AT237</f>
        <v>3434.5004816500832</v>
      </c>
      <c r="AU237" s="42">
        <f>'[2]поточний ремонт'!AU237+'[1]поточний ремонт'!AU237</f>
        <v>2804.0294689998873</v>
      </c>
      <c r="AV237" s="5"/>
      <c r="AW237" s="42">
        <f>'[2]поточний ремонт'!AW237+'[1]поточний ремонт'!AW237</f>
        <v>20.485177221713855</v>
      </c>
      <c r="AX237" s="42">
        <f>'[2]поточний ремонт'!AX237+'[1]поточний ремонт'!AX237</f>
        <v>0</v>
      </c>
      <c r="AY237" s="5"/>
      <c r="AZ237" s="42">
        <f t="shared" si="26"/>
        <v>18353.571019075844</v>
      </c>
      <c r="BA237" s="42">
        <f t="shared" si="27"/>
        <v>5609.062223973734</v>
      </c>
      <c r="BB237" s="58">
        <f t="shared" si="28"/>
        <v>-12744.508795102109</v>
      </c>
      <c r="BD237" s="2">
        <v>2</v>
      </c>
      <c r="BF237" s="29">
        <v>16.559424909124228</v>
      </c>
      <c r="BG237" s="318">
        <v>150000760</v>
      </c>
      <c r="BI237" s="104">
        <v>51.63</v>
      </c>
      <c r="BJ237" s="104">
        <f t="shared" si="32"/>
        <v>7.2623893859999997</v>
      </c>
      <c r="BK237" s="104">
        <v>59.544145647480001</v>
      </c>
      <c r="BL237" s="38"/>
      <c r="BM237" s="3"/>
      <c r="BN237" s="3">
        <v>0</v>
      </c>
      <c r="BP237" s="3"/>
      <c r="BQ237" s="3"/>
      <c r="BS237" s="42"/>
      <c r="BT237" s="42">
        <v>0</v>
      </c>
      <c r="BU237" s="958"/>
      <c r="BV237" s="41"/>
      <c r="BW237" s="42"/>
      <c r="BX237" s="36"/>
      <c r="BY237" s="76"/>
      <c r="BZ237" s="42">
        <v>0</v>
      </c>
      <c r="CA237" s="978"/>
      <c r="CB237" s="41">
        <v>1</v>
      </c>
      <c r="CC237" s="41">
        <v>880.07788646179995</v>
      </c>
      <c r="CD237" s="967"/>
      <c r="CE237" s="76">
        <v>0</v>
      </c>
      <c r="CF237" s="55"/>
      <c r="CG237" s="41">
        <v>0</v>
      </c>
      <c r="CH237" s="38">
        <v>59.544145647480001</v>
      </c>
      <c r="CI237" s="76">
        <v>0</v>
      </c>
      <c r="CJ237" s="55"/>
      <c r="CK237" s="955"/>
      <c r="CL237" s="950"/>
      <c r="CM237" s="955">
        <v>459</v>
      </c>
      <c r="CN237" s="950">
        <v>0</v>
      </c>
      <c r="CO237" s="76">
        <v>177.67201540855604</v>
      </c>
      <c r="CP237" s="42">
        <v>0</v>
      </c>
      <c r="CQ237" s="965"/>
      <c r="CR237" s="76">
        <v>447.79288469225742</v>
      </c>
      <c r="CS237" s="954">
        <v>0</v>
      </c>
      <c r="CT237" s="5"/>
      <c r="CU237" s="76">
        <v>372.73157577048681</v>
      </c>
      <c r="CV237" s="42">
        <v>0</v>
      </c>
      <c r="CW237" s="5"/>
      <c r="CX237" s="76">
        <v>144.06378271370713</v>
      </c>
      <c r="CY237" s="42">
        <v>0</v>
      </c>
      <c r="CZ237" s="5"/>
      <c r="DA237" s="76">
        <v>49.470906063874629</v>
      </c>
      <c r="DB237" s="42">
        <v>0</v>
      </c>
      <c r="DC237" s="9"/>
      <c r="DD237" s="76">
        <v>259.36009049060476</v>
      </c>
      <c r="DE237" s="42">
        <v>0</v>
      </c>
      <c r="DF237" s="5"/>
      <c r="DG237" s="76">
        <v>0</v>
      </c>
      <c r="DH237" s="42"/>
      <c r="DI237" s="5"/>
      <c r="DJ237" s="42">
        <v>1451.0912551394867</v>
      </c>
      <c r="DK237" s="42">
        <f t="shared" si="33"/>
        <v>0</v>
      </c>
      <c r="DL237" s="58">
        <f t="shared" si="34"/>
        <v>-1451.0912551394867</v>
      </c>
      <c r="DM237" s="2">
        <v>2</v>
      </c>
    </row>
    <row r="238" spans="1:117" ht="24.9" customHeight="1" x14ac:dyDescent="0.3">
      <c r="A238" s="318">
        <v>150000758</v>
      </c>
      <c r="B238" s="44" t="s">
        <v>1809</v>
      </c>
      <c r="C238" s="956">
        <v>9</v>
      </c>
      <c r="D238" s="957" t="s">
        <v>454</v>
      </c>
      <c r="E238" s="949">
        <f>'побудинковий звіт'!E242</f>
        <v>3572</v>
      </c>
      <c r="F238" s="950">
        <f>'побудинковий звіт'!AS242</f>
        <v>58268.542960280407</v>
      </c>
      <c r="G238" s="950">
        <f t="shared" si="24"/>
        <v>364446.94736348215</v>
      </c>
      <c r="H238" s="950">
        <f t="shared" si="25"/>
        <v>306178.40440320177</v>
      </c>
      <c r="I238" s="42">
        <f>'[2]поточний ремонт'!I238+'[1]поточний ремонт'!I238</f>
        <v>0</v>
      </c>
      <c r="J238" s="42">
        <f>'[2]поточний ремонт'!J238+'[1]поточний ремонт'!J238</f>
        <v>0</v>
      </c>
      <c r="K238" s="962"/>
      <c r="L238" s="42">
        <f>'[2]поточний ремонт'!L238+'[1]поточний ремонт'!L238</f>
        <v>0</v>
      </c>
      <c r="M238" s="42">
        <f>'[2]поточний ремонт'!M238+'[1]поточний ремонт'!M238</f>
        <v>0</v>
      </c>
      <c r="N238" s="36"/>
      <c r="O238" s="42">
        <f>'[2]поточний ремонт'!O238+'[1]поточний ремонт'!O238</f>
        <v>136.5</v>
      </c>
      <c r="P238" s="42">
        <f>'[2]поточний ремонт'!P238+'[1]поточний ремонт'!P238</f>
        <v>38413.444587862585</v>
      </c>
      <c r="Q238" s="978"/>
      <c r="R238" s="42">
        <f>'[2]поточний ремонт'!R238+'[1]поточний ремонт'!R238</f>
        <v>8</v>
      </c>
      <c r="S238" s="42">
        <f>'[2]поточний ремонт'!S238+'[1]поточний ремонт'!S238</f>
        <v>308394.79950094369</v>
      </c>
      <c r="T238" s="967"/>
      <c r="U238" s="42">
        <f>'[2]поточний ремонт'!U238+'[1]поточний ремонт'!U238</f>
        <v>10095.863304253755</v>
      </c>
      <c r="V238" s="42">
        <f>'[2]поточний ремонт'!V238+'[1]поточний ремонт'!V238</f>
        <v>0</v>
      </c>
      <c r="W238" s="42">
        <f>'[2]поточний ремонт'!W238+'[1]поточний ремонт'!W238</f>
        <v>0</v>
      </c>
      <c r="X238" s="42">
        <f>'[2]поточний ремонт'!X238+'[1]поточний ремонт'!X238</f>
        <v>0</v>
      </c>
      <c r="Y238" s="42">
        <f>'[2]поточний ремонт'!Y238+'[1]поточний ремонт'!Y238</f>
        <v>0</v>
      </c>
      <c r="Z238" s="42">
        <f>'[2]поточний ремонт'!Z238+'[1]поточний ремонт'!Z238</f>
        <v>0</v>
      </c>
      <c r="AA238" s="42">
        <f>'[2]поточний ремонт'!AA238+'[1]поточний ремонт'!AA238</f>
        <v>0</v>
      </c>
      <c r="AB238" s="42">
        <f>'[2]поточний ремонт'!AB238+'[1]поточний ремонт'!AB238</f>
        <v>116.39600088286119</v>
      </c>
      <c r="AC238" s="42">
        <f>'[2]поточний ремонт'!AC238+'[1]поточний ремонт'!AC238</f>
        <v>2806.4635013797179</v>
      </c>
      <c r="AD238" s="42">
        <f>'[2]поточний ремонт'!AD238+'[1]поточний ремонт'!AD238</f>
        <v>4619.9804681596042</v>
      </c>
      <c r="AE238" s="42">
        <f>'[2]поточний ремонт'!AE238+'[1]поточний ремонт'!AE238</f>
        <v>1837.8115636552909</v>
      </c>
      <c r="AF238" s="42">
        <f>'[2]поточний ремонт'!AF238+'[1]поточний ремонт'!AF238</f>
        <v>964.8339791524354</v>
      </c>
      <c r="AG238" s="9"/>
      <c r="AH238" s="42">
        <f>'[2]поточний ремонт'!AH238+'[1]поточний ремонт'!AH238</f>
        <v>4179.2093471704566</v>
      </c>
      <c r="AI238" s="42">
        <f>'[2]поточний ремонт'!AI238+'[1]поточний ремонт'!AI238</f>
        <v>3680.4587702051531</v>
      </c>
      <c r="AJ238" s="9"/>
      <c r="AK238" s="42">
        <f>'[2]поточний ремонт'!AK238+'[1]поточний ремонт'!AK238</f>
        <v>3291.3342739460313</v>
      </c>
      <c r="AL238" s="42">
        <f>'[2]поточний ремонт'!AL238+'[1]поточний ремонт'!AL238</f>
        <v>0</v>
      </c>
      <c r="AM238" s="9"/>
      <c r="AN238" s="42">
        <f>'[2]поточний ремонт'!AN238+'[1]поточний ремонт'!AN238</f>
        <v>1249.1065313573761</v>
      </c>
      <c r="AO238" s="42">
        <f>'[2]поточний ремонт'!AO238+'[1]поточний ремонт'!AO238</f>
        <v>0</v>
      </c>
      <c r="AP238" s="5"/>
      <c r="AQ238" s="42">
        <f>'[2]поточний ремонт'!AQ238+'[1]поточний ремонт'!AQ238</f>
        <v>461.68010643739353</v>
      </c>
      <c r="AR238" s="42">
        <f>'[2]поточний ремонт'!AR238+'[1]поточний ремонт'!AR238</f>
        <v>0</v>
      </c>
      <c r="AS238" s="5"/>
      <c r="AT238" s="42">
        <f>'[2]поточний ремонт'!AT238+'[1]поточний ремонт'!AT238</f>
        <v>2169.7951902388154</v>
      </c>
      <c r="AU238" s="42">
        <f>'[2]поточний ремонт'!AU238+'[1]поточний ремонт'!AU238</f>
        <v>5265.1329167054128</v>
      </c>
      <c r="AV238" s="9"/>
      <c r="AW238" s="42">
        <f>'[2]поточний ремонт'!AW238+'[1]поточний ремонт'!AW238</f>
        <v>0</v>
      </c>
      <c r="AX238" s="42">
        <f>'[2]поточний ремонт'!AX238+'[1]поточний ремонт'!AX238</f>
        <v>0</v>
      </c>
      <c r="AY238" s="5"/>
      <c r="AZ238" s="42">
        <f t="shared" si="26"/>
        <v>13188.937012805365</v>
      </c>
      <c r="BA238" s="42">
        <f t="shared" si="27"/>
        <v>9910.4256660630017</v>
      </c>
      <c r="BB238" s="58">
        <f t="shared" si="28"/>
        <v>-3278.5113467423635</v>
      </c>
      <c r="BD238" s="2">
        <v>2</v>
      </c>
      <c r="BF238" s="29">
        <v>232.83098055094806</v>
      </c>
      <c r="BG238" s="318">
        <v>150000758</v>
      </c>
      <c r="BI238" s="104">
        <v>0</v>
      </c>
      <c r="BJ238" s="104">
        <f t="shared" si="32"/>
        <v>0</v>
      </c>
      <c r="BK238" s="104">
        <v>0</v>
      </c>
      <c r="BL238" s="38"/>
      <c r="BM238" s="3"/>
      <c r="BN238" s="3">
        <v>0</v>
      </c>
      <c r="BP238" s="3"/>
      <c r="BQ238" s="3"/>
      <c r="BS238" s="42"/>
      <c r="BT238" s="42">
        <v>0</v>
      </c>
      <c r="BU238" s="962"/>
      <c r="BV238" s="41"/>
      <c r="BW238" s="42"/>
      <c r="BX238" s="36"/>
      <c r="BY238" s="76">
        <v>115.5</v>
      </c>
      <c r="BZ238" s="42">
        <v>32228.627062638188</v>
      </c>
      <c r="CA238" s="978"/>
      <c r="CB238" s="41">
        <v>3</v>
      </c>
      <c r="CC238" s="41">
        <v>280046.1103644133</v>
      </c>
      <c r="CD238" s="967"/>
      <c r="CE238" s="76">
        <v>0</v>
      </c>
      <c r="CF238" s="55"/>
      <c r="CG238" s="41">
        <v>0</v>
      </c>
      <c r="CH238" s="38">
        <v>0</v>
      </c>
      <c r="CI238" s="76">
        <v>0</v>
      </c>
      <c r="CJ238" s="55"/>
      <c r="CK238" s="955"/>
      <c r="CL238" s="950"/>
      <c r="CM238" s="955">
        <v>734</v>
      </c>
      <c r="CN238" s="950">
        <v>2711.3658175176797</v>
      </c>
      <c r="CO238" s="76">
        <v>229.72644545691136</v>
      </c>
      <c r="CP238" s="42">
        <v>0</v>
      </c>
      <c r="CQ238" s="9"/>
      <c r="CR238" s="76">
        <v>522.40116839630707</v>
      </c>
      <c r="CS238" s="954">
        <v>0</v>
      </c>
      <c r="CT238" s="9"/>
      <c r="CU238" s="76">
        <v>411.41678424325391</v>
      </c>
      <c r="CV238" s="42">
        <v>0</v>
      </c>
      <c r="CW238" s="9"/>
      <c r="CX238" s="76">
        <v>156.13831641967201</v>
      </c>
      <c r="CY238" s="42">
        <v>0</v>
      </c>
      <c r="CZ238" s="5"/>
      <c r="DA238" s="76">
        <v>57.710013304674192</v>
      </c>
      <c r="DB238" s="42">
        <v>0</v>
      </c>
      <c r="DC238" s="5"/>
      <c r="DD238" s="76">
        <v>271.22439877985192</v>
      </c>
      <c r="DE238" s="42">
        <v>0</v>
      </c>
      <c r="DF238" s="9"/>
      <c r="DG238" s="76">
        <v>0</v>
      </c>
      <c r="DH238" s="42"/>
      <c r="DI238" s="5"/>
      <c r="DJ238" s="42">
        <v>1648.6171266006706</v>
      </c>
      <c r="DK238" s="42">
        <f t="shared" si="33"/>
        <v>0</v>
      </c>
      <c r="DL238" s="58">
        <f t="shared" si="34"/>
        <v>-1648.6171266006706</v>
      </c>
      <c r="DM238" s="2">
        <v>2</v>
      </c>
    </row>
    <row r="239" spans="1:117" ht="24.9" customHeight="1" x14ac:dyDescent="0.3">
      <c r="A239" s="318">
        <v>150000759</v>
      </c>
      <c r="B239" s="44" t="s">
        <v>1810</v>
      </c>
      <c r="C239" s="956">
        <v>9</v>
      </c>
      <c r="D239" s="957" t="s">
        <v>454</v>
      </c>
      <c r="E239" s="949">
        <f>'побудинковий звіт'!E243</f>
        <v>2689.9</v>
      </c>
      <c r="F239" s="950">
        <f>'побудинковий звіт'!AS243</f>
        <v>32680.910662007795</v>
      </c>
      <c r="G239" s="950">
        <f t="shared" si="24"/>
        <v>168944.22879929087</v>
      </c>
      <c r="H239" s="950">
        <f t="shared" si="25"/>
        <v>136263.31813728309</v>
      </c>
      <c r="I239" s="42">
        <f>'[2]поточний ремонт'!I239+'[1]поточний ремонт'!I239</f>
        <v>0</v>
      </c>
      <c r="J239" s="42">
        <f>'[2]поточний ремонт'!J239+'[1]поточний ремонт'!J239</f>
        <v>0</v>
      </c>
      <c r="K239" s="958"/>
      <c r="L239" s="42">
        <f>'[2]поточний ремонт'!L239+'[1]поточний ремонт'!L239</f>
        <v>0</v>
      </c>
      <c r="M239" s="42">
        <f>'[2]поточний ремонт'!M239+'[1]поточний ремонт'!M239</f>
        <v>0</v>
      </c>
      <c r="N239" s="36"/>
      <c r="O239" s="42">
        <f>'[2]поточний ремонт'!O239+'[1]поточний ремонт'!O239</f>
        <v>0</v>
      </c>
      <c r="P239" s="42">
        <f>'[2]поточний ремонт'!P239+'[1]поточний ремонт'!P239</f>
        <v>0</v>
      </c>
      <c r="Q239" s="959"/>
      <c r="R239" s="42">
        <f>'[2]поточний ремонт'!R239+'[1]поточний ремонт'!R239</f>
        <v>5</v>
      </c>
      <c r="S239" s="42">
        <f>'[2]поточний ремонт'!S239+'[1]поточний ремонт'!S239</f>
        <v>149972.80185050177</v>
      </c>
      <c r="T239" s="968"/>
      <c r="U239" s="42">
        <f>'[2]поточний ремонт'!U239+'[1]поточний ремонт'!U239</f>
        <v>6464.7510849819764</v>
      </c>
      <c r="V239" s="42">
        <f>'[2]поточний ремонт'!V239+'[1]поточний ремонт'!V239</f>
        <v>0</v>
      </c>
      <c r="W239" s="42">
        <f>'[2]поточний ремонт'!W239+'[1]поточний ремонт'!W239</f>
        <v>0</v>
      </c>
      <c r="X239" s="42">
        <f>'[2]поточний ремонт'!X239+'[1]поточний ремонт'!X239</f>
        <v>0</v>
      </c>
      <c r="Y239" s="42">
        <f>'[2]поточний ремонт'!Y239+'[1]поточний ремонт'!Y239</f>
        <v>0</v>
      </c>
      <c r="Z239" s="42">
        <f>'[2]поточний ремонт'!Z239+'[1]поточний ремонт'!Z239</f>
        <v>0</v>
      </c>
      <c r="AA239" s="42">
        <f>'[2]поточний ремонт'!AA239+'[1]поточний ремонт'!AA239</f>
        <v>0</v>
      </c>
      <c r="AB239" s="42">
        <f>'[2]поточний ремонт'!AB239+'[1]поточний ремонт'!AB239</f>
        <v>11349</v>
      </c>
      <c r="AC239" s="42">
        <f>'[2]поточний ремонт'!AC239+'[1]поточний ремонт'!AC239</f>
        <v>826.39615153617501</v>
      </c>
      <c r="AD239" s="42">
        <f>'[2]поточний ремонт'!AD239+'[1]поточний ремонт'!AD239</f>
        <v>331.2797122709589</v>
      </c>
      <c r="AE239" s="42">
        <f>'[2]поточний ремонт'!AE239+'[1]поточний ремонт'!AE239</f>
        <v>1613.3015339772544</v>
      </c>
      <c r="AF239" s="42">
        <f>'[2]поточний ремонт'!AF239+'[1]поточний ремонт'!AF239</f>
        <v>1615.2166287147945</v>
      </c>
      <c r="AG239" s="9"/>
      <c r="AH239" s="42">
        <f>'[2]поточний ремонт'!AH239+'[1]поточний ремонт'!AH239</f>
        <v>1544.2078587113074</v>
      </c>
      <c r="AI239" s="42">
        <f>'[2]поточний ремонт'!AI239+'[1]поточний ремонт'!AI239</f>
        <v>0</v>
      </c>
      <c r="AJ239" s="980"/>
      <c r="AK239" s="42">
        <f>'[2]поточний ремонт'!AK239+'[1]поточний ремонт'!AK239</f>
        <v>2017.8047933436235</v>
      </c>
      <c r="AL239" s="42">
        <f>'[2]поточний ремонт'!AL239+'[1]поточний ремонт'!AL239</f>
        <v>0</v>
      </c>
      <c r="AM239" s="5"/>
      <c r="AN239" s="42">
        <f>'[2]поточний ремонт'!AN239+'[1]поточний ремонт'!AN239</f>
        <v>1006.7095107884895</v>
      </c>
      <c r="AO239" s="42">
        <f>'[2]поточний ремонт'!AO239+'[1]поточний ремонт'!AO239</f>
        <v>1760.5823107445101</v>
      </c>
      <c r="AP239" s="5"/>
      <c r="AQ239" s="42">
        <f>'[2]поточний ремонт'!AQ239+'[1]поточний ремонт'!AQ239</f>
        <v>360.03998400595924</v>
      </c>
      <c r="AR239" s="42">
        <f>'[2]поточний ремонт'!AR239+'[1]поточний ремонт'!AR239</f>
        <v>0</v>
      </c>
      <c r="AS239" s="5"/>
      <c r="AT239" s="42">
        <f>'[2]поточний ремонт'!AT239+'[1]поточний ремонт'!AT239</f>
        <v>1894.034930605899</v>
      </c>
      <c r="AU239" s="42">
        <f>'[2]поточний ремонт'!AU239+'[1]поточний ремонт'!AU239</f>
        <v>1091.9238990383551</v>
      </c>
      <c r="AV239" s="5"/>
      <c r="AW239" s="42">
        <f>'[2]поточний ремонт'!AW239+'[1]поточний ремонт'!AW239</f>
        <v>28.767086542590516</v>
      </c>
      <c r="AX239" s="42">
        <f>'[2]поточний ремонт'!AX239+'[1]поточний ремонт'!AX239</f>
        <v>0</v>
      </c>
      <c r="AY239" s="5"/>
      <c r="AZ239" s="42">
        <f t="shared" si="26"/>
        <v>8464.8656979751231</v>
      </c>
      <c r="BA239" s="42">
        <f t="shared" si="27"/>
        <v>4467.7228384976597</v>
      </c>
      <c r="BB239" s="58">
        <f t="shared" si="28"/>
        <v>-3997.1428594774634</v>
      </c>
      <c r="BD239" s="2">
        <v>2</v>
      </c>
      <c r="BF239" s="29">
        <v>8.3070541453340514</v>
      </c>
      <c r="BG239" s="318">
        <v>150000759</v>
      </c>
      <c r="BI239" s="104">
        <v>0</v>
      </c>
      <c r="BJ239" s="104">
        <f t="shared" si="32"/>
        <v>0</v>
      </c>
      <c r="BK239" s="104">
        <v>0</v>
      </c>
      <c r="BL239" s="38"/>
      <c r="BM239" s="3"/>
      <c r="BN239" s="3">
        <v>0</v>
      </c>
      <c r="BP239" s="3"/>
      <c r="BQ239" s="3"/>
      <c r="BS239" s="42"/>
      <c r="BT239" s="42">
        <v>0</v>
      </c>
      <c r="BU239" s="958"/>
      <c r="BV239" s="41"/>
      <c r="BW239" s="42"/>
      <c r="BX239" s="36"/>
      <c r="BY239" s="76"/>
      <c r="BZ239" s="42">
        <v>0</v>
      </c>
      <c r="CA239" s="959"/>
      <c r="CB239" s="41">
        <v>1</v>
      </c>
      <c r="CC239" s="41">
        <v>124461.16664103618</v>
      </c>
      <c r="CD239" s="968"/>
      <c r="CE239" s="76">
        <v>514.05218785972443</v>
      </c>
      <c r="CF239" s="55"/>
      <c r="CG239" s="41">
        <v>0</v>
      </c>
      <c r="CH239" s="38">
        <v>0</v>
      </c>
      <c r="CI239" s="76">
        <v>0</v>
      </c>
      <c r="CJ239" s="971"/>
      <c r="CK239" s="955"/>
      <c r="CL239" s="950"/>
      <c r="CM239" s="955">
        <v>674</v>
      </c>
      <c r="CN239" s="950">
        <v>0</v>
      </c>
      <c r="CO239" s="76">
        <v>101.9210388469421</v>
      </c>
      <c r="CP239" s="42">
        <v>0</v>
      </c>
      <c r="CQ239" s="9"/>
      <c r="CR239" s="76">
        <v>130.5856989042862</v>
      </c>
      <c r="CS239" s="954">
        <v>0</v>
      </c>
      <c r="CT239" s="980"/>
      <c r="CU239" s="76">
        <v>171.89404420435167</v>
      </c>
      <c r="CV239" s="42">
        <v>0</v>
      </c>
      <c r="CW239" s="5"/>
      <c r="CX239" s="76">
        <v>90.280983412617488</v>
      </c>
      <c r="CY239" s="42">
        <v>0</v>
      </c>
      <c r="CZ239" s="5"/>
      <c r="DA239" s="76">
        <v>24.729395646982791</v>
      </c>
      <c r="DB239" s="42">
        <v>0</v>
      </c>
      <c r="DC239" s="5"/>
      <c r="DD239" s="76">
        <v>126.20004885315075</v>
      </c>
      <c r="DE239" s="42">
        <v>0</v>
      </c>
      <c r="DF239" s="5"/>
      <c r="DG239" s="76">
        <v>0</v>
      </c>
      <c r="DH239" s="42"/>
      <c r="DI239" s="5"/>
      <c r="DJ239" s="42">
        <v>645.611209868331</v>
      </c>
      <c r="DK239" s="42">
        <f t="shared" si="33"/>
        <v>0</v>
      </c>
      <c r="DL239" s="58">
        <f t="shared" si="34"/>
        <v>-645.611209868331</v>
      </c>
      <c r="DM239" s="2">
        <v>2</v>
      </c>
    </row>
    <row r="240" spans="1:117" ht="24.9" customHeight="1" x14ac:dyDescent="0.3">
      <c r="A240" s="318">
        <v>150000761</v>
      </c>
      <c r="B240" s="44" t="s">
        <v>1811</v>
      </c>
      <c r="C240" s="956">
        <v>9</v>
      </c>
      <c r="D240" s="957" t="s">
        <v>454</v>
      </c>
      <c r="E240" s="949">
        <f>'побудинковий звіт'!E244</f>
        <v>2524.1999999999998</v>
      </c>
      <c r="F240" s="950">
        <f>'побудинковий звіт'!AS244</f>
        <v>44274.498340176055</v>
      </c>
      <c r="G240" s="950">
        <f t="shared" si="24"/>
        <v>13696.506476350542</v>
      </c>
      <c r="H240" s="950">
        <f t="shared" si="25"/>
        <v>-30577.991863825511</v>
      </c>
      <c r="I240" s="42">
        <f>'[2]поточний ремонт'!I240+'[1]поточний ремонт'!I240</f>
        <v>0</v>
      </c>
      <c r="J240" s="42">
        <f>'[2]поточний ремонт'!J240+'[1]поточний ремонт'!J240</f>
        <v>0</v>
      </c>
      <c r="K240" s="962"/>
      <c r="L240" s="42">
        <f>'[2]поточний ремонт'!L240+'[1]поточний ремонт'!L240</f>
        <v>0</v>
      </c>
      <c r="M240" s="42">
        <f>'[2]поточний ремонт'!M240+'[1]поточний ремонт'!M240</f>
        <v>0</v>
      </c>
      <c r="N240" s="36"/>
      <c r="O240" s="42">
        <f>'[2]поточний ремонт'!O240+'[1]поточний ремонт'!O240</f>
        <v>0</v>
      </c>
      <c r="P240" s="42">
        <f>'[2]поточний ремонт'!P240+'[1]поточний ремонт'!P240</f>
        <v>0</v>
      </c>
      <c r="Q240" s="959"/>
      <c r="R240" s="42">
        <f>'[2]поточний ремонт'!R240+'[1]поточний ремонт'!R240</f>
        <v>1</v>
      </c>
      <c r="S240" s="42">
        <f>'[2]поточний ремонт'!S240+'[1]поточний ремонт'!S240</f>
        <v>2779.6753227463073</v>
      </c>
      <c r="T240" s="960"/>
      <c r="U240" s="42">
        <f>'[2]поточний ремонт'!U240+'[1]поточний ремонт'!U240</f>
        <v>0</v>
      </c>
      <c r="V240" s="42">
        <f>'[2]поточний ремонт'!V240+'[1]поточний ремонт'!V240</f>
        <v>0</v>
      </c>
      <c r="W240" s="42">
        <f>'[2]поточний ремонт'!W240+'[1]поточний ремонт'!W240</f>
        <v>0</v>
      </c>
      <c r="X240" s="42">
        <f>'[2]поточний ремонт'!X240+'[1]поточний ремонт'!X240</f>
        <v>561.06347017074165</v>
      </c>
      <c r="Y240" s="42">
        <f>'[2]поточний ремонт'!Y240+'[1]поточний ремонт'!Y240</f>
        <v>1270.46623194881</v>
      </c>
      <c r="Z240" s="42">
        <f>'[2]поточний ремонт'!Z240+'[1]поточний ремонт'!Z240</f>
        <v>0</v>
      </c>
      <c r="AA240" s="42">
        <f>'[2]поточний ремонт'!AA240+'[1]поточний ремонт'!AA240</f>
        <v>0</v>
      </c>
      <c r="AB240" s="42">
        <f>'[2]поточний ремонт'!AB240+'[1]поточний ремонт'!AB240</f>
        <v>0</v>
      </c>
      <c r="AC240" s="42">
        <f>'[2]поточний ремонт'!AC240+'[1]поточний ремонт'!AC240</f>
        <v>117.47979193004454</v>
      </c>
      <c r="AD240" s="42">
        <f>'[2]поточний ремонт'!AD240+'[1]поточний ремонт'!AD240</f>
        <v>8967.8216595546382</v>
      </c>
      <c r="AE240" s="42">
        <f>'[2]поточний ремонт'!AE240+'[1]поточний ремонт'!AE240</f>
        <v>1303.1059539976286</v>
      </c>
      <c r="AF240" s="42">
        <f>'[2]поточний ремонт'!AF240+'[1]поточний ремонт'!AF240</f>
        <v>0</v>
      </c>
      <c r="AG240" s="5"/>
      <c r="AH240" s="42">
        <f>'[2]поточний ремонт'!AH240+'[1]поточний ремонт'!AH240</f>
        <v>1019.8845995874765</v>
      </c>
      <c r="AI240" s="42">
        <f>'[2]поточний ремонт'!AI240+'[1]поточний ремонт'!AI240</f>
        <v>0</v>
      </c>
      <c r="AJ240" s="5"/>
      <c r="AK240" s="42">
        <f>'[2]поточний ремонт'!AK240+'[1]поточний ремонт'!AK240</f>
        <v>1811.8491480891014</v>
      </c>
      <c r="AL240" s="42">
        <f>'[2]поточний ремонт'!AL240+'[1]поточний ремонт'!AL240</f>
        <v>790.158006</v>
      </c>
      <c r="AM240" s="9"/>
      <c r="AN240" s="42">
        <f>'[2]поточний ремонт'!AN240+'[1]поточний ремонт'!AN240</f>
        <v>566.42143294495315</v>
      </c>
      <c r="AO240" s="42">
        <f>'[2]поточний ремонт'!AO240+'[1]поточний ремонт'!AO240</f>
        <v>0</v>
      </c>
      <c r="AP240" s="5"/>
      <c r="AQ240" s="42">
        <f>'[2]поточний ремонт'!AQ240+'[1]поточний ремонт'!AQ240</f>
        <v>280.72947418466072</v>
      </c>
      <c r="AR240" s="42">
        <f>'[2]поточний ремонт'!AR240+'[1]поточний ремонт'!AR240</f>
        <v>0</v>
      </c>
      <c r="AS240" s="5"/>
      <c r="AT240" s="42">
        <f>'[2]поточний ремонт'!AT240+'[1]поточний ремонт'!AT240</f>
        <v>870.28492428329423</v>
      </c>
      <c r="AU240" s="42">
        <f>'[2]поточний ремонт'!AU240+'[1]поточний ремонт'!AU240</f>
        <v>1364.873765063167</v>
      </c>
      <c r="AV240" s="5"/>
      <c r="AW240" s="42">
        <f>'[2]поточний ремонт'!AW240+'[1]поточний ремонт'!AW240</f>
        <v>24.437906670314071</v>
      </c>
      <c r="AX240" s="42">
        <f>'[2]поточний ремонт'!AX240+'[1]поточний ремонт'!AX240</f>
        <v>0</v>
      </c>
      <c r="AY240" s="5"/>
      <c r="AZ240" s="42">
        <f t="shared" si="26"/>
        <v>5876.7134397574291</v>
      </c>
      <c r="BA240" s="42">
        <f t="shared" si="27"/>
        <v>2155.0317710631671</v>
      </c>
      <c r="BB240" s="58">
        <f t="shared" si="28"/>
        <v>-3721.681668694262</v>
      </c>
      <c r="BD240" s="2">
        <v>2</v>
      </c>
      <c r="BF240" s="29">
        <v>9.8161197608507731</v>
      </c>
      <c r="BG240" s="318">
        <v>150000761</v>
      </c>
      <c r="BI240" s="104">
        <v>41.129999999999995</v>
      </c>
      <c r="BJ240" s="104">
        <f t="shared" si="32"/>
        <v>5.7854362859999986</v>
      </c>
      <c r="BK240" s="104">
        <v>47.434644789479997</v>
      </c>
      <c r="BL240" s="38"/>
      <c r="BM240" s="3"/>
      <c r="BN240" s="3">
        <v>0</v>
      </c>
      <c r="BP240" s="3"/>
      <c r="BQ240" s="3"/>
      <c r="BS240" s="42"/>
      <c r="BT240" s="42">
        <v>0</v>
      </c>
      <c r="BU240" s="962"/>
      <c r="BV240" s="41"/>
      <c r="BW240" s="42"/>
      <c r="BX240" s="36"/>
      <c r="BY240" s="76"/>
      <c r="BZ240" s="42">
        <v>0</v>
      </c>
      <c r="CA240" s="959"/>
      <c r="CB240" s="41"/>
      <c r="CC240" s="41">
        <v>0</v>
      </c>
      <c r="CD240" s="960"/>
      <c r="CE240" s="76">
        <v>0</v>
      </c>
      <c r="CF240" s="55"/>
      <c r="CG240" s="41">
        <v>0</v>
      </c>
      <c r="CH240" s="38">
        <v>47.434644789479997</v>
      </c>
      <c r="CI240" s="76">
        <v>0</v>
      </c>
      <c r="CJ240" s="55"/>
      <c r="CK240" s="955"/>
      <c r="CL240" s="950"/>
      <c r="CM240" s="955"/>
      <c r="CN240" s="950">
        <v>0</v>
      </c>
      <c r="CO240" s="76">
        <v>61.15719837770034</v>
      </c>
      <c r="CP240" s="42">
        <v>0</v>
      </c>
      <c r="CQ240" s="5"/>
      <c r="CR240" s="76">
        <v>78.967337990191282</v>
      </c>
      <c r="CS240" s="954">
        <v>0</v>
      </c>
      <c r="CT240" s="5"/>
      <c r="CU240" s="76">
        <v>132.18653170670254</v>
      </c>
      <c r="CV240" s="42">
        <v>0</v>
      </c>
      <c r="CW240" s="9"/>
      <c r="CX240" s="76">
        <v>45.722318597068174</v>
      </c>
      <c r="CY240" s="42">
        <v>0</v>
      </c>
      <c r="CZ240" s="5"/>
      <c r="DA240" s="76">
        <v>19.78837059461484</v>
      </c>
      <c r="DB240" s="42">
        <v>0</v>
      </c>
      <c r="DC240" s="5"/>
      <c r="DD240" s="76">
        <v>44.62535040765917</v>
      </c>
      <c r="DE240" s="42">
        <v>0</v>
      </c>
      <c r="DF240" s="5"/>
      <c r="DG240" s="76">
        <v>0</v>
      </c>
      <c r="DH240" s="42"/>
      <c r="DI240" s="5"/>
      <c r="DJ240" s="42">
        <v>382.44710767393633</v>
      </c>
      <c r="DK240" s="42">
        <f t="shared" si="33"/>
        <v>0</v>
      </c>
      <c r="DL240" s="58">
        <f t="shared" si="34"/>
        <v>-382.44710767393633</v>
      </c>
      <c r="DM240" s="2">
        <v>2</v>
      </c>
    </row>
    <row r="241" spans="1:117" ht="24.9" customHeight="1" x14ac:dyDescent="0.3">
      <c r="A241" s="318">
        <v>150000762</v>
      </c>
      <c r="B241" s="44" t="s">
        <v>1812</v>
      </c>
      <c r="C241" s="956">
        <v>9</v>
      </c>
      <c r="D241" s="957" t="s">
        <v>454</v>
      </c>
      <c r="E241" s="949">
        <f>'побудинковий звіт'!E245</f>
        <v>775.96</v>
      </c>
      <c r="F241" s="950">
        <f>'побудинковий звіт'!AS245</f>
        <v>11001.15070170004</v>
      </c>
      <c r="G241" s="950">
        <f t="shared" si="24"/>
        <v>3037.0253465313781</v>
      </c>
      <c r="H241" s="950">
        <f t="shared" si="25"/>
        <v>-7964.1253551686623</v>
      </c>
      <c r="I241" s="42">
        <f>'[2]поточний ремонт'!I241+'[1]поточний ремонт'!I241</f>
        <v>0</v>
      </c>
      <c r="J241" s="42">
        <f>'[2]поточний ремонт'!J241+'[1]поточний ремонт'!J241</f>
        <v>0</v>
      </c>
      <c r="K241" s="958"/>
      <c r="L241" s="42">
        <f>'[2]поточний ремонт'!L241+'[1]поточний ремонт'!L241</f>
        <v>0</v>
      </c>
      <c r="M241" s="42">
        <f>'[2]поточний ремонт'!M241+'[1]поточний ремонт'!M241</f>
        <v>0</v>
      </c>
      <c r="N241" s="36"/>
      <c r="O241" s="42">
        <f>'[2]поточний ремонт'!O241+'[1]поточний ремонт'!O241</f>
        <v>0</v>
      </c>
      <c r="P241" s="42">
        <f>'[2]поточний ремонт'!P241+'[1]поточний ремонт'!P241</f>
        <v>0</v>
      </c>
      <c r="Q241" s="959"/>
      <c r="R241" s="42">
        <f>'[2]поточний ремонт'!R241+'[1]поточний ремонт'!R241</f>
        <v>0</v>
      </c>
      <c r="S241" s="42">
        <f>'[2]поточний ремонт'!S241+'[1]поточний ремонт'!S241</f>
        <v>0</v>
      </c>
      <c r="T241" s="960"/>
      <c r="U241" s="42">
        <f>'[2]поточний ремонт'!U241+'[1]поточний ремонт'!U241</f>
        <v>0</v>
      </c>
      <c r="V241" s="42">
        <f>'[2]поточний ремонт'!V241+'[1]поточний ремонт'!V241</f>
        <v>0</v>
      </c>
      <c r="W241" s="42">
        <f>'[2]поточний ремонт'!W241+'[1]поточний ремонт'!W241</f>
        <v>0</v>
      </c>
      <c r="X241" s="42">
        <f>'[2]поточний ремонт'!X241+'[1]поточний ремонт'!X241</f>
        <v>0</v>
      </c>
      <c r="Y241" s="42">
        <f>'[2]поточний ремонт'!Y241+'[1]поточний ремонт'!Y241</f>
        <v>0</v>
      </c>
      <c r="Z241" s="42">
        <f>'[2]поточний ремонт'!Z241+'[1]поточний ремонт'!Z241</f>
        <v>0</v>
      </c>
      <c r="AA241" s="42">
        <f>'[2]поточний ремонт'!AA241+'[1]поточний ремонт'!AA241</f>
        <v>0</v>
      </c>
      <c r="AB241" s="42">
        <f>'[2]поточний ремонт'!AB241+'[1]поточний ремонт'!AB241</f>
        <v>2702.4390079369982</v>
      </c>
      <c r="AC241" s="42">
        <f>'[2]поточний ремонт'!AC241+'[1]поточний ремонт'!AC241</f>
        <v>0</v>
      </c>
      <c r="AD241" s="42">
        <f>'[2]поточний ремонт'!AD241+'[1]поточний ремонт'!AD241</f>
        <v>334.58633859437975</v>
      </c>
      <c r="AE241" s="42">
        <f>'[2]поточний ремонт'!AE241+'[1]поточний ремонт'!AE241</f>
        <v>529.96907690539763</v>
      </c>
      <c r="AF241" s="42">
        <f>'[2]поточний ремонт'!AF241+'[1]поточний ремонт'!AF241</f>
        <v>0</v>
      </c>
      <c r="AG241" s="5"/>
      <c r="AH241" s="42">
        <f>'[2]поточний ремонт'!AH241+'[1]поточний ремонт'!AH241</f>
        <v>661.68589752753303</v>
      </c>
      <c r="AI241" s="42">
        <f>'[2]поточний ремонт'!AI241+'[1]поточний ремонт'!AI241</f>
        <v>0</v>
      </c>
      <c r="AJ241" s="5"/>
      <c r="AK241" s="42">
        <f>'[2]поточний ремонт'!AK241+'[1]поточний ремонт'!AK241</f>
        <v>0</v>
      </c>
      <c r="AL241" s="42">
        <f>'[2]поточний ремонт'!AL241+'[1]поточний ремонт'!AL241</f>
        <v>0</v>
      </c>
      <c r="AM241" s="5"/>
      <c r="AN241" s="42">
        <f>'[2]поточний ремонт'!AN241+'[1]поточний ремонт'!AN241</f>
        <v>0</v>
      </c>
      <c r="AO241" s="42">
        <f>'[2]поточний ремонт'!AO241+'[1]поточний ремонт'!AO241</f>
        <v>0</v>
      </c>
      <c r="AP241" s="5"/>
      <c r="AQ241" s="42">
        <f>'[2]поточний ремонт'!AQ241+'[1]поточний ремонт'!AQ241</f>
        <v>140.36473709233036</v>
      </c>
      <c r="AR241" s="42">
        <f>'[2]поточний ремонт'!AR241+'[1]поточний ремонт'!AR241</f>
        <v>0</v>
      </c>
      <c r="AS241" s="5"/>
      <c r="AT241" s="42">
        <f>'[2]поточний ремонт'!AT241+'[1]поточний ремонт'!AT241</f>
        <v>433.33009249802672</v>
      </c>
      <c r="AU241" s="42">
        <f>'[2]поточний ремонт'!AU241+'[1]поточний ремонт'!AU241</f>
        <v>0</v>
      </c>
      <c r="AV241" s="5"/>
      <c r="AW241" s="42">
        <f>'[2]поточний ремонт'!AW241+'[1]поточний ремонт'!AW241</f>
        <v>15.748176057121521</v>
      </c>
      <c r="AX241" s="42">
        <f>'[2]поточний ремонт'!AX241+'[1]поточний ремонт'!AX241</f>
        <v>4664.777413453</v>
      </c>
      <c r="AY241" s="5"/>
      <c r="AZ241" s="42">
        <f t="shared" si="26"/>
        <v>1781.0979800804093</v>
      </c>
      <c r="BA241" s="42">
        <f t="shared" si="27"/>
        <v>4664.777413453</v>
      </c>
      <c r="BB241" s="58">
        <f t="shared" si="28"/>
        <v>2883.6794333725907</v>
      </c>
      <c r="BD241" s="2">
        <v>2</v>
      </c>
      <c r="BF241" s="29">
        <v>4.1243304701813948</v>
      </c>
      <c r="BG241" s="318">
        <v>150000762</v>
      </c>
      <c r="BI241" s="104">
        <v>0</v>
      </c>
      <c r="BJ241" s="104">
        <f t="shared" si="32"/>
        <v>0</v>
      </c>
      <c r="BK241" s="104">
        <v>0</v>
      </c>
      <c r="BL241" s="38"/>
      <c r="BM241" s="3"/>
      <c r="BN241" s="3">
        <v>0</v>
      </c>
      <c r="BP241" s="3"/>
      <c r="BQ241" s="3"/>
      <c r="BS241" s="42"/>
      <c r="BT241" s="42">
        <v>0</v>
      </c>
      <c r="BU241" s="958"/>
      <c r="BV241" s="41"/>
      <c r="BW241" s="42"/>
      <c r="BX241" s="36"/>
      <c r="BY241" s="76"/>
      <c r="BZ241" s="42">
        <v>0</v>
      </c>
      <c r="CA241" s="959"/>
      <c r="CB241" s="41"/>
      <c r="CC241" s="41">
        <v>0</v>
      </c>
      <c r="CD241" s="960"/>
      <c r="CE241" s="76">
        <v>0</v>
      </c>
      <c r="CF241" s="55"/>
      <c r="CG241" s="41">
        <v>0</v>
      </c>
      <c r="CH241" s="38">
        <v>0</v>
      </c>
      <c r="CI241" s="76">
        <v>0</v>
      </c>
      <c r="CJ241" s="55"/>
      <c r="CK241" s="955"/>
      <c r="CL241" s="950"/>
      <c r="CM241" s="955"/>
      <c r="CN241" s="950">
        <v>0</v>
      </c>
      <c r="CO241" s="76">
        <v>35.561314940189853</v>
      </c>
      <c r="CP241" s="42">
        <v>0</v>
      </c>
      <c r="CQ241" s="5"/>
      <c r="CR241" s="76">
        <v>45.83711198674623</v>
      </c>
      <c r="CS241" s="954">
        <v>0</v>
      </c>
      <c r="CT241" s="5"/>
      <c r="CU241" s="76">
        <v>0</v>
      </c>
      <c r="CV241" s="42">
        <v>0</v>
      </c>
      <c r="CW241" s="5"/>
      <c r="CX241" s="76">
        <v>0</v>
      </c>
      <c r="CY241" s="42">
        <v>0</v>
      </c>
      <c r="CZ241" s="5"/>
      <c r="DA241" s="76">
        <v>9.8941852973074198</v>
      </c>
      <c r="DB241" s="42">
        <v>0</v>
      </c>
      <c r="DC241" s="5"/>
      <c r="DD241" s="76">
        <v>23.856761961140311</v>
      </c>
      <c r="DE241" s="42">
        <v>0</v>
      </c>
      <c r="DF241" s="5"/>
      <c r="DG241" s="76">
        <v>0</v>
      </c>
      <c r="DH241" s="42"/>
      <c r="DI241" s="5"/>
      <c r="DJ241" s="42">
        <v>115.14937418538381</v>
      </c>
      <c r="DK241" s="42">
        <f t="shared" si="33"/>
        <v>0</v>
      </c>
      <c r="DL241" s="58">
        <f t="shared" si="34"/>
        <v>-115.14937418538381</v>
      </c>
      <c r="DM241" s="2">
        <v>2</v>
      </c>
    </row>
    <row r="242" spans="1:117" ht="24.9" customHeight="1" x14ac:dyDescent="0.3">
      <c r="A242" s="318">
        <v>150001044</v>
      </c>
      <c r="B242" s="44" t="s">
        <v>269</v>
      </c>
      <c r="C242" s="956">
        <v>5</v>
      </c>
      <c r="D242" s="957" t="s">
        <v>454</v>
      </c>
      <c r="E242" s="949">
        <f>'побудинковий звіт'!E204</f>
        <v>477.5</v>
      </c>
      <c r="F242" s="950">
        <f>'побудинковий звіт'!AS204</f>
        <v>6566.4944952796977</v>
      </c>
      <c r="G242" s="950">
        <f t="shared" si="24"/>
        <v>3356.0026585057849</v>
      </c>
      <c r="H242" s="950">
        <f t="shared" si="25"/>
        <v>-3210.4918367739128</v>
      </c>
      <c r="I242" s="42">
        <f>'[2]поточний ремонт'!I242+'[1]поточний ремонт'!I242</f>
        <v>0</v>
      </c>
      <c r="J242" s="42">
        <f>'[2]поточний ремонт'!J242+'[1]поточний ремонт'!J242</f>
        <v>0</v>
      </c>
      <c r="K242" s="958"/>
      <c r="L242" s="42">
        <f>'[2]поточний ремонт'!L242+'[1]поточний ремонт'!L242</f>
        <v>0</v>
      </c>
      <c r="M242" s="42">
        <f>'[2]поточний ремонт'!M242+'[1]поточний ремонт'!M242</f>
        <v>0</v>
      </c>
      <c r="N242" s="36"/>
      <c r="O242" s="42">
        <f>'[2]поточний ремонт'!O242+'[1]поточний ремонт'!O242</f>
        <v>0</v>
      </c>
      <c r="P242" s="42">
        <f>'[2]поточний ремонт'!P242+'[1]поточний ремонт'!P242</f>
        <v>0</v>
      </c>
      <c r="Q242" s="959"/>
      <c r="R242" s="42">
        <f>'[2]поточний ремонт'!R242+'[1]поточний ремонт'!R242</f>
        <v>0</v>
      </c>
      <c r="S242" s="42">
        <f>'[2]поточний ремонт'!S242+'[1]поточний ремонт'!S242</f>
        <v>0</v>
      </c>
      <c r="T242" s="960"/>
      <c r="U242" s="42">
        <f>'[2]поточний ремонт'!U242+'[1]поточний ремонт'!U242</f>
        <v>0</v>
      </c>
      <c r="V242" s="42">
        <f>'[2]поточний ремонт'!V242+'[1]поточний ремонт'!V242</f>
        <v>0</v>
      </c>
      <c r="W242" s="42">
        <f>'[2]поточний ремонт'!W242+'[1]поточний ремонт'!W242</f>
        <v>0</v>
      </c>
      <c r="X242" s="42">
        <f>'[2]поточний ремонт'!X242+'[1]поточний ремонт'!X242</f>
        <v>0</v>
      </c>
      <c r="Y242" s="42">
        <f>'[2]поточний ремонт'!Y242+'[1]поточний ремонт'!Y242</f>
        <v>2998.2404092798301</v>
      </c>
      <c r="Z242" s="42">
        <f>'[2]поточний ремонт'!Z242+'[1]поточний ремонт'!Z242</f>
        <v>0</v>
      </c>
      <c r="AA242" s="42">
        <f>'[2]поточний ремонт'!AA242+'[1]поточний ремонт'!AA242</f>
        <v>0</v>
      </c>
      <c r="AB242" s="42">
        <f>'[2]поточний ремонт'!AB242+'[1]поточний ремонт'!AB242</f>
        <v>0</v>
      </c>
      <c r="AC242" s="42">
        <f>'[2]поточний ремонт'!AC242+'[1]поточний ремонт'!AC242</f>
        <v>357.76224922595486</v>
      </c>
      <c r="AD242" s="42">
        <f>'[2]поточний ремонт'!AD242+'[1]поточний ремонт'!AD242</f>
        <v>0</v>
      </c>
      <c r="AE242" s="42">
        <f>'[2]поточний ремонт'!AE242+'[1]поточний ремонт'!AE242</f>
        <v>1967.7820968401043</v>
      </c>
      <c r="AF242" s="42">
        <f>'[2]поточний ремонт'!AF242+'[1]поточний ремонт'!AF242</f>
        <v>0</v>
      </c>
      <c r="AG242" s="5"/>
      <c r="AH242" s="42">
        <f>'[2]поточний ремонт'!AH242+'[1]поточний ремонт'!AH242</f>
        <v>3062.9205693253784</v>
      </c>
      <c r="AI242" s="42">
        <f>'[2]поточний ремонт'!AI242+'[1]поточний ремонт'!AI242</f>
        <v>0</v>
      </c>
      <c r="AJ242" s="5"/>
      <c r="AK242" s="42">
        <f>'[2]поточний ремонт'!AK242+'[1]поточний ремонт'!AK242</f>
        <v>2598.1767367519615</v>
      </c>
      <c r="AL242" s="42">
        <f>'[2]поточний ремонт'!AL242+'[1]поточний ремонт'!AL242</f>
        <v>0</v>
      </c>
      <c r="AM242" s="5"/>
      <c r="AN242" s="42">
        <f>'[2]поточний ремонт'!AN242+'[1]поточний ремонт'!AN242</f>
        <v>0</v>
      </c>
      <c r="AO242" s="42">
        <f>'[2]поточний ремонт'!AO242+'[1]поточний ремонт'!AO242</f>
        <v>0</v>
      </c>
      <c r="AP242" s="5"/>
      <c r="AQ242" s="42">
        <f>'[2]поточний ремонт'!AQ242+'[1]поточний ремонт'!AQ242</f>
        <v>0</v>
      </c>
      <c r="AR242" s="42">
        <f>'[2]поточний ремонт'!AR242+'[1]поточний ремонт'!AR242</f>
        <v>601.0903519414104</v>
      </c>
      <c r="AS242" s="5"/>
      <c r="AT242" s="42">
        <f>'[2]поточний ремонт'!AT242+'[1]поточний ремонт'!AT242</f>
        <v>1399.8769839972815</v>
      </c>
      <c r="AU242" s="42">
        <f>'[2]поточний ремонт'!AU242+'[1]поточний ремонт'!AU242</f>
        <v>0</v>
      </c>
      <c r="AV242" s="5"/>
      <c r="AW242" s="42">
        <f>'[2]поточний ремонт'!AW242+'[1]поточний ремонт'!AW242</f>
        <v>26.790721818290397</v>
      </c>
      <c r="AX242" s="42">
        <f>'[2]поточний ремонт'!AX242+'[1]поточний ремонт'!AX242</f>
        <v>0</v>
      </c>
      <c r="AY242" s="5"/>
      <c r="AZ242" s="42">
        <f t="shared" si="26"/>
        <v>9055.5471087330152</v>
      </c>
      <c r="BA242" s="42">
        <f t="shared" si="27"/>
        <v>601.0903519414104</v>
      </c>
      <c r="BB242" s="58">
        <f t="shared" si="28"/>
        <v>-8454.4567567916056</v>
      </c>
      <c r="BD242" s="2">
        <v>2</v>
      </c>
      <c r="BF242" s="29">
        <v>5.1211629462415971</v>
      </c>
      <c r="BG242" s="318">
        <v>150001044</v>
      </c>
      <c r="BI242" s="104">
        <v>0</v>
      </c>
      <c r="BJ242" s="104">
        <f t="shared" si="32"/>
        <v>0</v>
      </c>
      <c r="BK242" s="104">
        <v>0</v>
      </c>
      <c r="BL242" s="38"/>
      <c r="BM242" s="3"/>
      <c r="BN242" s="3">
        <v>0</v>
      </c>
      <c r="BP242" s="3"/>
      <c r="BQ242" s="3"/>
      <c r="BS242" s="42"/>
      <c r="BT242" s="42">
        <v>0</v>
      </c>
      <c r="BU242" s="958"/>
      <c r="BV242" s="41"/>
      <c r="BW242" s="42"/>
      <c r="BX242" s="36"/>
      <c r="BY242" s="76"/>
      <c r="BZ242" s="42">
        <v>0</v>
      </c>
      <c r="CA242" s="959"/>
      <c r="CB242" s="41"/>
      <c r="CC242" s="41">
        <v>0</v>
      </c>
      <c r="CD242" s="960"/>
      <c r="CE242" s="76">
        <v>0</v>
      </c>
      <c r="CF242" s="55"/>
      <c r="CG242" s="41">
        <v>0</v>
      </c>
      <c r="CH242" s="38">
        <v>0</v>
      </c>
      <c r="CI242" s="76">
        <v>0</v>
      </c>
      <c r="CJ242" s="55"/>
      <c r="CK242" s="955"/>
      <c r="CL242" s="950"/>
      <c r="CM242" s="955"/>
      <c r="CN242" s="950">
        <v>0</v>
      </c>
      <c r="CO242" s="76">
        <v>160.31300580948829</v>
      </c>
      <c r="CP242" s="42">
        <v>0</v>
      </c>
      <c r="CQ242" s="5"/>
      <c r="CR242" s="76">
        <v>246.48982157955629</v>
      </c>
      <c r="CS242" s="954">
        <v>0</v>
      </c>
      <c r="CT242" s="5"/>
      <c r="CU242" s="76">
        <v>212.62232937412068</v>
      </c>
      <c r="CV242" s="42">
        <v>0</v>
      </c>
      <c r="CW242" s="5"/>
      <c r="CX242" s="76">
        <v>0</v>
      </c>
      <c r="CY242" s="42">
        <v>0</v>
      </c>
      <c r="CZ242" s="5"/>
      <c r="DA242" s="76">
        <v>0</v>
      </c>
      <c r="DB242" s="42">
        <v>600.34286806121088</v>
      </c>
      <c r="DC242" s="5"/>
      <c r="DD242" s="76">
        <v>88.463631657945996</v>
      </c>
      <c r="DE242" s="42">
        <v>0</v>
      </c>
      <c r="DF242" s="5"/>
      <c r="DG242" s="76">
        <v>0</v>
      </c>
      <c r="DH242" s="42"/>
      <c r="DI242" s="5"/>
      <c r="DJ242" s="42">
        <v>707.88878842111126</v>
      </c>
      <c r="DK242" s="42">
        <f t="shared" si="33"/>
        <v>600.34286806121088</v>
      </c>
      <c r="DL242" s="58">
        <f t="shared" si="34"/>
        <v>-107.54592035990038</v>
      </c>
      <c r="DM242" s="2">
        <v>2</v>
      </c>
    </row>
    <row r="243" spans="1:117" ht="24.9" customHeight="1" x14ac:dyDescent="0.3">
      <c r="A243" s="318">
        <v>150001050</v>
      </c>
      <c r="B243" s="44" t="s">
        <v>270</v>
      </c>
      <c r="C243" s="956">
        <v>5</v>
      </c>
      <c r="D243" s="957" t="s">
        <v>454</v>
      </c>
      <c r="E243" s="949">
        <f>'побудинковий звіт'!E205</f>
        <v>553.20000000000005</v>
      </c>
      <c r="F243" s="950">
        <f>'побудинковий звіт'!AS205</f>
        <v>5468.1689332982378</v>
      </c>
      <c r="G243" s="950">
        <f t="shared" si="24"/>
        <v>76741.26924894996</v>
      </c>
      <c r="H243" s="950">
        <f t="shared" si="25"/>
        <v>71273.100315651725</v>
      </c>
      <c r="I243" s="42">
        <f>'[2]поточний ремонт'!I243+'[1]поточний ремонт'!I243</f>
        <v>165.6</v>
      </c>
      <c r="J243" s="42">
        <f>'[2]поточний ремонт'!J243+'[1]поточний ремонт'!J243</f>
        <v>67455</v>
      </c>
      <c r="K243" s="958"/>
      <c r="L243" s="42">
        <f>'[2]поточний ремонт'!L243+'[1]поточний ремонт'!L243</f>
        <v>0</v>
      </c>
      <c r="M243" s="42">
        <f>'[2]поточний ремонт'!M243+'[1]поточний ремонт'!M243</f>
        <v>0</v>
      </c>
      <c r="N243" s="36"/>
      <c r="O243" s="42">
        <f>'[2]поточний ремонт'!O243+'[1]поточний ремонт'!O243</f>
        <v>0</v>
      </c>
      <c r="P243" s="42">
        <f>'[2]поточний ремонт'!P243+'[1]поточний ремонт'!P243</f>
        <v>0</v>
      </c>
      <c r="Q243" s="959"/>
      <c r="R243" s="42">
        <f>'[2]поточний ремонт'!R243+'[1]поточний ремонт'!R243</f>
        <v>0</v>
      </c>
      <c r="S243" s="42">
        <f>'[2]поточний ремонт'!S243+'[1]поточний ремонт'!S243</f>
        <v>0</v>
      </c>
      <c r="T243" s="960"/>
      <c r="U243" s="42">
        <f>'[2]поточний ремонт'!U243+'[1]поточний ремонт'!U243</f>
        <v>0</v>
      </c>
      <c r="V243" s="42">
        <f>'[2]поточний ремонт'!V243+'[1]поточний ремонт'!V243</f>
        <v>0</v>
      </c>
      <c r="W243" s="42">
        <f>'[2]поточний ремонт'!W243+'[1]поточний ремонт'!W243</f>
        <v>0</v>
      </c>
      <c r="X243" s="42">
        <f>'[2]поточний ремонт'!X243+'[1]поточний ремонт'!X243</f>
        <v>0</v>
      </c>
      <c r="Y243" s="42">
        <f>'[2]поточний ремонт'!Y243+'[1]поточний ремонт'!Y243</f>
        <v>7013.4150995610007</v>
      </c>
      <c r="Z243" s="42">
        <f>'[2]поточний ремонт'!Z243+'[1]поточний ремонт'!Z243</f>
        <v>0</v>
      </c>
      <c r="AA243" s="42">
        <f>'[2]поточний ремонт'!AA243+'[1]поточний ремонт'!AA243</f>
        <v>0</v>
      </c>
      <c r="AB243" s="42">
        <f>'[2]поточний ремонт'!AB243+'[1]поточний ремонт'!AB243</f>
        <v>0</v>
      </c>
      <c r="AC243" s="42">
        <f>'[2]поточний ремонт'!AC243+'[1]поточний ремонт'!AC243</f>
        <v>2002.6379814534191</v>
      </c>
      <c r="AD243" s="42">
        <f>'[2]поточний ремонт'!AD243+'[1]поточний ремонт'!AD243</f>
        <v>270.21616793555182</v>
      </c>
      <c r="AE243" s="42">
        <f>'[2]поточний ремонт'!AE243+'[1]поточний ремонт'!AE243</f>
        <v>1894.0088443698967</v>
      </c>
      <c r="AF243" s="42">
        <f>'[2]поточний ремонт'!AF243+'[1]поточний ремонт'!AF243</f>
        <v>0</v>
      </c>
      <c r="AG243" s="5"/>
      <c r="AH243" s="42">
        <f>'[2]поточний ремонт'!AH243+'[1]поточний ремонт'!AH243</f>
        <v>2820.0619159229973</v>
      </c>
      <c r="AI243" s="42">
        <f>'[2]поточний ремонт'!AI243+'[1]поточний ремонт'!AI243</f>
        <v>0</v>
      </c>
      <c r="AJ243" s="5"/>
      <c r="AK243" s="42">
        <f>'[2]поточний ремонт'!AK243+'[1]поточний ремонт'!AK243</f>
        <v>2596.3312420709108</v>
      </c>
      <c r="AL243" s="42">
        <f>'[2]поточний ремонт'!AL243+'[1]поточний ремонт'!AL243</f>
        <v>0</v>
      </c>
      <c r="AM243" s="5"/>
      <c r="AN243" s="42">
        <f>'[2]поточний ремонт'!AN243+'[1]поточний ремонт'!AN243</f>
        <v>0</v>
      </c>
      <c r="AO243" s="42">
        <f>'[2]поточний ремонт'!AO243+'[1]поточний ремонт'!AO243</f>
        <v>0</v>
      </c>
      <c r="AP243" s="5"/>
      <c r="AQ243" s="42">
        <f>'[2]поточний ремонт'!AQ243+'[1]поточний ремонт'!AQ243</f>
        <v>110.27308797143304</v>
      </c>
      <c r="AR243" s="42">
        <f>'[2]поточний ремонт'!AR243+'[1]поточний ремонт'!AR243</f>
        <v>0</v>
      </c>
      <c r="AS243" s="5"/>
      <c r="AT243" s="42">
        <f>'[2]поточний ремонт'!AT243+'[1]поточний ремонт'!AT243</f>
        <v>1394.6778402853993</v>
      </c>
      <c r="AU243" s="42">
        <f>'[2]поточний ремонт'!AU243+'[1]поточний ремонт'!AU243</f>
        <v>176.70892977667361</v>
      </c>
      <c r="AV243" s="5"/>
      <c r="AW243" s="42">
        <f>'[2]поточний ремонт'!AW243+'[1]поточний ремонт'!AW243</f>
        <v>24.814357093990289</v>
      </c>
      <c r="AX243" s="42">
        <f>'[2]поточний ремонт'!AX243+'[1]поточний ремонт'!AX243</f>
        <v>0</v>
      </c>
      <c r="AY243" s="5"/>
      <c r="AZ243" s="42">
        <f t="shared" si="26"/>
        <v>8840.1672877146266</v>
      </c>
      <c r="BA243" s="42">
        <f t="shared" si="27"/>
        <v>176.70892977667361</v>
      </c>
      <c r="BB243" s="58">
        <f t="shared" si="28"/>
        <v>-8663.4583579379523</v>
      </c>
      <c r="BD243" s="2">
        <v>2</v>
      </c>
      <c r="BF243" s="29">
        <v>5.2047070013780719</v>
      </c>
      <c r="BG243" s="318">
        <v>150001050</v>
      </c>
      <c r="BI243" s="104">
        <v>0</v>
      </c>
      <c r="BJ243" s="104">
        <f t="shared" si="32"/>
        <v>0</v>
      </c>
      <c r="BK243" s="104">
        <v>0</v>
      </c>
      <c r="BL243" s="38"/>
      <c r="BM243" s="3"/>
      <c r="BN243" s="3">
        <v>0</v>
      </c>
      <c r="BP243" s="3"/>
      <c r="BQ243" s="3"/>
      <c r="BS243" s="42"/>
      <c r="BT243" s="42">
        <v>0</v>
      </c>
      <c r="BU243" s="958"/>
      <c r="BV243" s="41"/>
      <c r="BW243" s="42"/>
      <c r="BX243" s="36"/>
      <c r="BY243" s="76"/>
      <c r="BZ243" s="42">
        <v>0</v>
      </c>
      <c r="CA243" s="959"/>
      <c r="CB243" s="41"/>
      <c r="CC243" s="41">
        <v>0</v>
      </c>
      <c r="CD243" s="960"/>
      <c r="CE243" s="76">
        <v>0</v>
      </c>
      <c r="CF243" s="55"/>
      <c r="CG243" s="41">
        <v>0</v>
      </c>
      <c r="CH243" s="38">
        <v>0</v>
      </c>
      <c r="CI243" s="76">
        <v>0</v>
      </c>
      <c r="CJ243" s="55"/>
      <c r="CK243" s="955"/>
      <c r="CL243" s="950"/>
      <c r="CM243" s="955"/>
      <c r="CN243" s="950">
        <v>0</v>
      </c>
      <c r="CO243" s="76">
        <v>161.73768957262746</v>
      </c>
      <c r="CP243" s="42">
        <v>0</v>
      </c>
      <c r="CQ243" s="5"/>
      <c r="CR243" s="76">
        <v>222.44441035159772</v>
      </c>
      <c r="CS243" s="954">
        <v>0</v>
      </c>
      <c r="CT243" s="5"/>
      <c r="CU243" s="76">
        <v>215.83782813009054</v>
      </c>
      <c r="CV243" s="42">
        <v>0</v>
      </c>
      <c r="CW243" s="5"/>
      <c r="CX243" s="76">
        <v>0</v>
      </c>
      <c r="CY243" s="42">
        <v>0</v>
      </c>
      <c r="CZ243" s="5"/>
      <c r="DA243" s="76">
        <v>0</v>
      </c>
      <c r="DB243" s="42">
        <v>0</v>
      </c>
      <c r="DC243" s="5"/>
      <c r="DD243" s="76">
        <v>89.759052147660768</v>
      </c>
      <c r="DE243" s="42">
        <v>0</v>
      </c>
      <c r="DF243" s="5"/>
      <c r="DG243" s="76">
        <v>0</v>
      </c>
      <c r="DH243" s="42"/>
      <c r="DI243" s="5"/>
      <c r="DJ243" s="42">
        <v>689.77898020197654</v>
      </c>
      <c r="DK243" s="42">
        <f t="shared" si="33"/>
        <v>0</v>
      </c>
      <c r="DL243" s="58">
        <f t="shared" si="34"/>
        <v>-689.77898020197654</v>
      </c>
      <c r="DM243" s="2">
        <v>2</v>
      </c>
    </row>
    <row r="244" spans="1:117" ht="24.9" customHeight="1" x14ac:dyDescent="0.3">
      <c r="A244" s="318">
        <v>150001045</v>
      </c>
      <c r="B244" s="44" t="s">
        <v>271</v>
      </c>
      <c r="C244" s="956">
        <v>5</v>
      </c>
      <c r="D244" s="957" t="s">
        <v>454</v>
      </c>
      <c r="E244" s="949">
        <f>'побудинковий звіт'!E206</f>
        <v>358.84</v>
      </c>
      <c r="F244" s="950">
        <f>'побудинковий звіт'!AS206</f>
        <v>7996.418431202208</v>
      </c>
      <c r="G244" s="950">
        <f t="shared" si="24"/>
        <v>54905.262101964137</v>
      </c>
      <c r="H244" s="950">
        <f t="shared" si="25"/>
        <v>46908.843670761926</v>
      </c>
      <c r="I244" s="42">
        <f>'[2]поточний ремонт'!I244+'[1]поточний ремонт'!I244</f>
        <v>0</v>
      </c>
      <c r="J244" s="42">
        <f>'[2]поточний ремонт'!J244+'[1]поточний ремонт'!J244</f>
        <v>0</v>
      </c>
      <c r="K244" s="969"/>
      <c r="L244" s="42">
        <f>'[2]поточний ремонт'!L244+'[1]поточний ремонт'!L244</f>
        <v>1</v>
      </c>
      <c r="M244" s="42">
        <f>'[2]поточний ремонт'!M244+'[1]поточний ремонт'!M244</f>
        <v>45702.051413091678</v>
      </c>
      <c r="N244" s="36"/>
      <c r="O244" s="42">
        <f>'[2]поточний ремонт'!O244+'[1]поточний ремонт'!O244</f>
        <v>9</v>
      </c>
      <c r="P244" s="42">
        <f>'[2]поточний ремонт'!P244+'[1]поточний ремонт'!P244</f>
        <v>3179.4342494965495</v>
      </c>
      <c r="Q244" s="978"/>
      <c r="R244" s="42">
        <f>'[2]поточний ремонт'!R244+'[1]поточний ремонт'!R244</f>
        <v>0</v>
      </c>
      <c r="S244" s="42">
        <f>'[2]поточний ремонт'!S244+'[1]поточний ремонт'!S244</f>
        <v>0</v>
      </c>
      <c r="T244" s="960"/>
      <c r="U244" s="42">
        <f>'[2]поточний ремонт'!U244+'[1]поточний ремонт'!U244</f>
        <v>0</v>
      </c>
      <c r="V244" s="42">
        <f>'[2]поточний ремонт'!V244+'[1]поточний ремонт'!V244</f>
        <v>0</v>
      </c>
      <c r="W244" s="42">
        <f>'[2]поточний ремонт'!W244+'[1]поточний ремонт'!W244</f>
        <v>0</v>
      </c>
      <c r="X244" s="42">
        <f>'[2]поточний ремонт'!X244+'[1]поточний ремонт'!X244</f>
        <v>0</v>
      </c>
      <c r="Y244" s="42">
        <f>'[2]поточний ремонт'!Y244+'[1]поточний ремонт'!Y244</f>
        <v>1228.7913688575195</v>
      </c>
      <c r="Z244" s="42">
        <f>'[2]поточний ремонт'!Z244+'[1]поточний ремонт'!Z244</f>
        <v>0</v>
      </c>
      <c r="AA244" s="42">
        <f>'[2]поточний ремонт'!AA244+'[1]поточний ремонт'!AA244</f>
        <v>0</v>
      </c>
      <c r="AB244" s="42">
        <f>'[2]поточний ремонт'!AB244+'[1]поточний ремонт'!AB244</f>
        <v>1806.4387410537649</v>
      </c>
      <c r="AC244" s="42">
        <f>'[2]поточний ремонт'!AC244+'[1]поточний ремонт'!AC244</f>
        <v>1353.0165023190234</v>
      </c>
      <c r="AD244" s="42">
        <f>'[2]поточний ремонт'!AD244+'[1]поточний ремонт'!AD244</f>
        <v>1635.5298271456045</v>
      </c>
      <c r="AE244" s="42">
        <f>'[2]поточний ремонт'!AE244+'[1]поточний ремонт'!AE244</f>
        <v>1829.2911320332721</v>
      </c>
      <c r="AF244" s="42">
        <f>'[2]поточний ремонт'!AF244+'[1]поточний ремонт'!AF244</f>
        <v>0</v>
      </c>
      <c r="AG244" s="965"/>
      <c r="AH244" s="42">
        <f>'[2]поточний ремонт'!AH244+'[1]поточний ремонт'!AH244</f>
        <v>2820.0619159229973</v>
      </c>
      <c r="AI244" s="42">
        <f>'[2]поточний ремонт'!AI244+'[1]поточний ремонт'!AI244</f>
        <v>0</v>
      </c>
      <c r="AJ244" s="5"/>
      <c r="AK244" s="42">
        <f>'[2]поточний ремонт'!AK244+'[1]поточний ремонт'!AK244</f>
        <v>3011.369422189091</v>
      </c>
      <c r="AL244" s="42">
        <f>'[2]поточний ремонт'!AL244+'[1]поточний ремонт'!AL244</f>
        <v>0</v>
      </c>
      <c r="AM244" s="5"/>
      <c r="AN244" s="42">
        <f>'[2]поточний ремонт'!AN244+'[1]поточний ремонт'!AN244</f>
        <v>0</v>
      </c>
      <c r="AO244" s="42">
        <f>'[2]поточний ремонт'!AO244+'[1]поточний ремонт'!AO244</f>
        <v>0</v>
      </c>
      <c r="AP244" s="5"/>
      <c r="AQ244" s="42">
        <f>'[2]поточний ремонт'!AQ244+'[1]поточний ремонт'!AQ244</f>
        <v>110.27308797143304</v>
      </c>
      <c r="AR244" s="42">
        <f>'[2]поточний ремонт'!AR244+'[1]поточний ремонт'!AR244</f>
        <v>0</v>
      </c>
      <c r="AS244" s="5"/>
      <c r="AT244" s="42">
        <f>'[2]поточний ремонт'!AT244+'[1]поточний ремонт'!AT244</f>
        <v>1399.3069126009357</v>
      </c>
      <c r="AU244" s="42">
        <f>'[2]поточний ремонт'!AU244+'[1]поточний ремонт'!AU244</f>
        <v>2894.6845856063878</v>
      </c>
      <c r="AV244" s="5"/>
      <c r="AW244" s="42">
        <f>'[2]поточний ремонт'!AW244+'[1]поточний ремонт'!AW244</f>
        <v>20.108726798037644</v>
      </c>
      <c r="AX244" s="42">
        <f>'[2]поточний ремонт'!AX244+'[1]поточний ремонт'!AX244</f>
        <v>3947.3587885413904</v>
      </c>
      <c r="AY244" s="5"/>
      <c r="AZ244" s="42">
        <f t="shared" si="26"/>
        <v>9190.4111975157666</v>
      </c>
      <c r="BA244" s="42">
        <f t="shared" si="27"/>
        <v>6842.0433741477782</v>
      </c>
      <c r="BB244" s="58">
        <f t="shared" si="28"/>
        <v>-2348.3678233679884</v>
      </c>
      <c r="BD244" s="2">
        <v>2</v>
      </c>
      <c r="BF244" s="29">
        <v>133.95139148461394</v>
      </c>
      <c r="BG244" s="318">
        <v>150001045</v>
      </c>
      <c r="BI244" s="104">
        <v>0</v>
      </c>
      <c r="BJ244" s="104">
        <f t="shared" si="32"/>
        <v>0</v>
      </c>
      <c r="BK244" s="104">
        <v>0</v>
      </c>
      <c r="BL244" s="38"/>
      <c r="BM244" s="3"/>
      <c r="BN244" s="3">
        <v>0</v>
      </c>
      <c r="BP244" s="3"/>
      <c r="BQ244" s="3"/>
      <c r="BS244" s="42"/>
      <c r="BT244" s="42">
        <v>0</v>
      </c>
      <c r="BU244" s="969"/>
      <c r="BV244" s="41">
        <v>1</v>
      </c>
      <c r="BW244" s="42">
        <v>45640</v>
      </c>
      <c r="BX244" s="36"/>
      <c r="BY244" s="76"/>
      <c r="BZ244" s="42">
        <v>0</v>
      </c>
      <c r="CA244" s="978"/>
      <c r="CB244" s="41"/>
      <c r="CC244" s="41">
        <v>0</v>
      </c>
      <c r="CD244" s="960"/>
      <c r="CE244" s="76">
        <v>0</v>
      </c>
      <c r="CF244" s="55"/>
      <c r="CG244" s="41">
        <v>0</v>
      </c>
      <c r="CH244" s="38">
        <v>0</v>
      </c>
      <c r="CI244" s="76">
        <v>0</v>
      </c>
      <c r="CJ244" s="55"/>
      <c r="CK244" s="955"/>
      <c r="CL244" s="950"/>
      <c r="CM244" s="955">
        <v>557</v>
      </c>
      <c r="CN244" s="950">
        <v>1031.2792808293468</v>
      </c>
      <c r="CO244" s="76">
        <v>154.60545840911331</v>
      </c>
      <c r="CP244" s="42">
        <v>0</v>
      </c>
      <c r="CQ244" s="965"/>
      <c r="CR244" s="76">
        <v>222.44441035159772</v>
      </c>
      <c r="CS244" s="954">
        <v>0</v>
      </c>
      <c r="CT244" s="5"/>
      <c r="CU244" s="76">
        <v>235.33715959181504</v>
      </c>
      <c r="CV244" s="42">
        <v>0</v>
      </c>
      <c r="CW244" s="5"/>
      <c r="CX244" s="76">
        <v>0</v>
      </c>
      <c r="CY244" s="42">
        <v>0</v>
      </c>
      <c r="CZ244" s="5"/>
      <c r="DA244" s="76">
        <v>0</v>
      </c>
      <c r="DB244" s="42">
        <v>0</v>
      </c>
      <c r="DC244" s="5"/>
      <c r="DD244" s="76">
        <v>89.759052147660768</v>
      </c>
      <c r="DE244" s="42">
        <v>1790.2980175778043</v>
      </c>
      <c r="DF244" s="5"/>
      <c r="DG244" s="76">
        <v>0</v>
      </c>
      <c r="DH244" s="42"/>
      <c r="DI244" s="5"/>
      <c r="DJ244" s="42">
        <v>702.14608050018683</v>
      </c>
      <c r="DK244" s="42">
        <f t="shared" si="33"/>
        <v>1790.2980175778043</v>
      </c>
      <c r="DL244" s="58">
        <f t="shared" si="34"/>
        <v>1088.1519370776175</v>
      </c>
      <c r="DM244" s="2">
        <v>2</v>
      </c>
    </row>
    <row r="245" spans="1:117" ht="24.9" customHeight="1" x14ac:dyDescent="0.3">
      <c r="A245" s="318">
        <v>150001046</v>
      </c>
      <c r="B245" s="44" t="s">
        <v>272</v>
      </c>
      <c r="C245" s="956">
        <v>5</v>
      </c>
      <c r="D245" s="957" t="s">
        <v>454</v>
      </c>
      <c r="E245" s="949">
        <f>'побудинковий звіт'!E207</f>
        <v>494.3</v>
      </c>
      <c r="F245" s="950">
        <f>'побудинковий звіт'!AS207</f>
        <v>8242.19533614793</v>
      </c>
      <c r="G245" s="950">
        <f t="shared" si="24"/>
        <v>43764.129032029217</v>
      </c>
      <c r="H245" s="950">
        <f t="shared" si="25"/>
        <v>35521.933695881286</v>
      </c>
      <c r="I245" s="42">
        <f>'[2]поточний ремонт'!I245+'[1]поточний ремонт'!I245</f>
        <v>32.1</v>
      </c>
      <c r="J245" s="42">
        <f>'[2]поточний ремонт'!J245+'[1]поточний ремонт'!J245</f>
        <v>17864.86003126885</v>
      </c>
      <c r="K245" s="969"/>
      <c r="L245" s="42">
        <f>'[2]поточний ремонт'!L245+'[1]поточний ремонт'!L245</f>
        <v>0</v>
      </c>
      <c r="M245" s="42">
        <f>'[2]поточний ремонт'!M245+'[1]поточний ремонт'!M245</f>
        <v>0</v>
      </c>
      <c r="N245" s="36"/>
      <c r="O245" s="42">
        <f>'[2]поточний ремонт'!O245+'[1]поточний ремонт'!O245</f>
        <v>0</v>
      </c>
      <c r="P245" s="42">
        <f>'[2]поточний ремонт'!P245+'[1]поточний ремонт'!P245</f>
        <v>0</v>
      </c>
      <c r="Q245" s="959"/>
      <c r="R245" s="42">
        <f>'[2]поточний ремонт'!R245+'[1]поточний ремонт'!R245</f>
        <v>0</v>
      </c>
      <c r="S245" s="42">
        <f>'[2]поточний ремонт'!S245+'[1]поточний ремонт'!S245</f>
        <v>0</v>
      </c>
      <c r="T245" s="960"/>
      <c r="U245" s="42">
        <f>'[2]поточний ремонт'!U245+'[1]поточний ремонт'!U245</f>
        <v>0</v>
      </c>
      <c r="V245" s="42">
        <f>'[2]поточний ремонт'!V245+'[1]поточний ремонт'!V245</f>
        <v>0</v>
      </c>
      <c r="W245" s="42">
        <f>'[2]поточний ремонт'!W245+'[1]поточний ремонт'!W245</f>
        <v>0</v>
      </c>
      <c r="X245" s="42">
        <f>'[2]поточний ремонт'!X245+'[1]поточний ремонт'!X245</f>
        <v>0</v>
      </c>
      <c r="Y245" s="42">
        <f>'[2]поточний ремонт'!Y245+'[1]поточний ремонт'!Y245</f>
        <v>0</v>
      </c>
      <c r="Z245" s="42">
        <f>'[2]поточний ремонт'!Z245+'[1]поточний ремонт'!Z245</f>
        <v>0</v>
      </c>
      <c r="AA245" s="42">
        <f>'[2]поточний ремонт'!AA245+'[1]поточний ремонт'!AA245</f>
        <v>24779</v>
      </c>
      <c r="AB245" s="42">
        <f>'[2]поточний ремонт'!AB245+'[1]поточний ремонт'!AB245</f>
        <v>0</v>
      </c>
      <c r="AC245" s="42">
        <f>'[2]поточний ремонт'!AC245+'[1]поточний ремонт'!AC245</f>
        <v>0</v>
      </c>
      <c r="AD245" s="42">
        <f>'[2]поточний ремонт'!AD245+'[1]поточний ремонт'!AD245</f>
        <v>1120.2690007603649</v>
      </c>
      <c r="AE245" s="42">
        <f>'[2]поточний ремонт'!AE245+'[1]поточний ремонт'!AE245</f>
        <v>1410.2648238171137</v>
      </c>
      <c r="AF245" s="42">
        <f>'[2]поточний ремонт'!AF245+'[1]поточний ремонт'!AF245</f>
        <v>0</v>
      </c>
      <c r="AG245" s="9"/>
      <c r="AH245" s="42">
        <f>'[2]поточний ремонт'!AH245+'[1]поточний ремонт'!AH245</f>
        <v>2388.7896112056114</v>
      </c>
      <c r="AI245" s="42">
        <f>'[2]поточний ремонт'!AI245+'[1]поточний ремонт'!AI245</f>
        <v>0</v>
      </c>
      <c r="AJ245" s="5"/>
      <c r="AK245" s="42">
        <f>'[2]поточний ремонт'!AK245+'[1]поточний ремонт'!AK245</f>
        <v>1833.2311634147272</v>
      </c>
      <c r="AL245" s="42">
        <f>'[2]поточний ремонт'!AL245+'[1]поточний ремонт'!AL245</f>
        <v>0</v>
      </c>
      <c r="AM245" s="5"/>
      <c r="AN245" s="42">
        <f>'[2]поточний ремонт'!AN245+'[1]поточний ремонт'!AN245</f>
        <v>0</v>
      </c>
      <c r="AO245" s="42">
        <f>'[2]поточний ремонт'!AO245+'[1]поточний ремонт'!AO245</f>
        <v>0</v>
      </c>
      <c r="AP245" s="5"/>
      <c r="AQ245" s="42">
        <f>'[2]поточний ремонт'!AQ245+'[1]поточний ремонт'!AQ245</f>
        <v>110.27308797143304</v>
      </c>
      <c r="AR245" s="42">
        <f>'[2]поточний ремонт'!AR245+'[1]поточний ремонт'!AR245</f>
        <v>1515.502816555887</v>
      </c>
      <c r="AS245" s="5"/>
      <c r="AT245" s="42">
        <f>'[2]поточний ремонт'!AT245+'[1]поточний ремонт'!AT245</f>
        <v>987.00222784653556</v>
      </c>
      <c r="AU245" s="42">
        <f>'[2]поточний ремонт'!AU245+'[1]поточний ремонт'!AU245</f>
        <v>0</v>
      </c>
      <c r="AV245" s="5"/>
      <c r="AW245" s="42">
        <f>'[2]поточний ремонт'!AW245+'[1]поточний ремонт'!AW245</f>
        <v>15.371725633445312</v>
      </c>
      <c r="AX245" s="42">
        <f>'[2]поточний ремонт'!AX245+'[1]поточний ремонт'!AX245</f>
        <v>2934.3460105618965</v>
      </c>
      <c r="AY245" s="5"/>
      <c r="AZ245" s="42">
        <f t="shared" si="26"/>
        <v>6744.932639888867</v>
      </c>
      <c r="BA245" s="42">
        <f t="shared" si="27"/>
        <v>4449.848827117783</v>
      </c>
      <c r="BB245" s="58">
        <f t="shared" si="28"/>
        <v>-2295.083812771084</v>
      </c>
      <c r="BD245" s="2">
        <v>2</v>
      </c>
      <c r="BF245" s="29">
        <v>3.8589466446866854</v>
      </c>
      <c r="BG245" s="318">
        <v>150001046</v>
      </c>
      <c r="BI245" s="104">
        <v>0</v>
      </c>
      <c r="BJ245" s="104">
        <f t="shared" si="32"/>
        <v>0</v>
      </c>
      <c r="BK245" s="104">
        <v>0</v>
      </c>
      <c r="BL245" s="38"/>
      <c r="BM245" s="3"/>
      <c r="BN245" s="3">
        <v>0</v>
      </c>
      <c r="BP245" s="3"/>
      <c r="BQ245" s="3"/>
      <c r="BS245" s="42"/>
      <c r="BT245" s="42">
        <v>0</v>
      </c>
      <c r="BU245" s="969"/>
      <c r="BV245" s="41"/>
      <c r="BW245" s="42"/>
      <c r="BX245" s="36"/>
      <c r="BY245" s="76"/>
      <c r="BZ245" s="42">
        <v>0</v>
      </c>
      <c r="CA245" s="959"/>
      <c r="CB245" s="41"/>
      <c r="CC245" s="41">
        <v>0</v>
      </c>
      <c r="CD245" s="960"/>
      <c r="CE245" s="76">
        <v>0</v>
      </c>
      <c r="CF245" s="55"/>
      <c r="CG245" s="41">
        <v>0</v>
      </c>
      <c r="CH245" s="38">
        <v>0</v>
      </c>
      <c r="CI245" s="76">
        <v>0</v>
      </c>
      <c r="CJ245" s="55"/>
      <c r="CK245" s="955"/>
      <c r="CL245" s="950"/>
      <c r="CM245" s="955"/>
      <c r="CN245" s="950">
        <v>0</v>
      </c>
      <c r="CO245" s="76">
        <v>113.61151200533625</v>
      </c>
      <c r="CP245" s="42">
        <v>0</v>
      </c>
      <c r="CQ245" s="9"/>
      <c r="CR245" s="76">
        <v>193.93659234422933</v>
      </c>
      <c r="CS245" s="954">
        <v>0</v>
      </c>
      <c r="CT245" s="5"/>
      <c r="CU245" s="76">
        <v>149.51401339164624</v>
      </c>
      <c r="CV245" s="42">
        <v>0</v>
      </c>
      <c r="CW245" s="5"/>
      <c r="CX245" s="76">
        <v>0</v>
      </c>
      <c r="CY245" s="42">
        <v>0</v>
      </c>
      <c r="CZ245" s="5"/>
      <c r="DA245" s="76">
        <v>0</v>
      </c>
      <c r="DB245" s="42">
        <v>608.35803644477073</v>
      </c>
      <c r="DC245" s="5"/>
      <c r="DD245" s="76">
        <v>65.24767721722371</v>
      </c>
      <c r="DE245" s="42">
        <v>0</v>
      </c>
      <c r="DF245" s="5"/>
      <c r="DG245" s="76">
        <v>0</v>
      </c>
      <c r="DH245" s="42"/>
      <c r="DI245" s="5"/>
      <c r="DJ245" s="42">
        <v>522.30979495843553</v>
      </c>
      <c r="DK245" s="42">
        <f t="shared" si="33"/>
        <v>608.35803644477073</v>
      </c>
      <c r="DL245" s="58">
        <f t="shared" si="34"/>
        <v>86.048241486335201</v>
      </c>
      <c r="DM245" s="2">
        <v>2</v>
      </c>
    </row>
    <row r="246" spans="1:117" ht="24.9" customHeight="1" x14ac:dyDescent="0.3">
      <c r="A246" s="318">
        <v>150001040</v>
      </c>
      <c r="B246" s="44" t="s">
        <v>216</v>
      </c>
      <c r="C246" s="956">
        <v>4</v>
      </c>
      <c r="D246" s="957" t="s">
        <v>454</v>
      </c>
      <c r="E246" s="949">
        <f>'побудинковий звіт'!E208</f>
        <v>385</v>
      </c>
      <c r="F246" s="950">
        <f>'побудинковий звіт'!AS208</f>
        <v>4560.3106930443801</v>
      </c>
      <c r="G246" s="950">
        <f t="shared" si="24"/>
        <v>62051.504016462044</v>
      </c>
      <c r="H246" s="950">
        <f t="shared" si="25"/>
        <v>57491.193323417661</v>
      </c>
      <c r="I246" s="42">
        <f>'[2]поточний ремонт'!I246+'[1]поточний ремонт'!I246</f>
        <v>0</v>
      </c>
      <c r="J246" s="42">
        <f>'[2]поточний ремонт'!J246+'[1]поточний ремонт'!J246</f>
        <v>0</v>
      </c>
      <c r="K246" s="958"/>
      <c r="L246" s="42">
        <f>'[2]поточний ремонт'!L246+'[1]поточний ремонт'!L246</f>
        <v>1</v>
      </c>
      <c r="M246" s="42">
        <f>'[2]поточний ремонт'!M246+'[1]поточний ремонт'!M246</f>
        <v>13420</v>
      </c>
      <c r="N246" s="36"/>
      <c r="O246" s="42">
        <f>'[2]поточний ремонт'!O246+'[1]поточний ремонт'!O246</f>
        <v>0</v>
      </c>
      <c r="P246" s="42">
        <f>'[2]поточний ремонт'!P246+'[1]поточний ремонт'!P246</f>
        <v>0</v>
      </c>
      <c r="Q246" s="959"/>
      <c r="R246" s="42">
        <f>'[2]поточний ремонт'!R246+'[1]поточний ремонт'!R246</f>
        <v>0</v>
      </c>
      <c r="S246" s="42">
        <f>'[2]поточний ремонт'!S246+'[1]поточний ремонт'!S246</f>
        <v>0</v>
      </c>
      <c r="T246" s="960"/>
      <c r="U246" s="42">
        <f>'[2]поточний ремонт'!U246+'[1]поточний ремонт'!U246</f>
        <v>0</v>
      </c>
      <c r="V246" s="42">
        <f>'[2]поточний ремонт'!V246+'[1]поточний ремонт'!V246</f>
        <v>0</v>
      </c>
      <c r="W246" s="42">
        <f>'[2]поточний ремонт'!W246+'[1]поточний ремонт'!W246</f>
        <v>0</v>
      </c>
      <c r="X246" s="42">
        <f>'[2]поточний ремонт'!X246+'[1]поточний ремонт'!X246</f>
        <v>0</v>
      </c>
      <c r="Y246" s="42">
        <f>'[2]поточний ремонт'!Y246+'[1]поточний ремонт'!Y246</f>
        <v>5901.7367317183653</v>
      </c>
      <c r="Z246" s="42">
        <f>'[2]поточний ремонт'!Z246+'[1]поточний ремонт'!Z246</f>
        <v>0</v>
      </c>
      <c r="AA246" s="42">
        <f>'[2]поточний ремонт'!AA246+'[1]поточний ремонт'!AA246</f>
        <v>0</v>
      </c>
      <c r="AB246" s="42">
        <f>'[2]поточний ремонт'!AB246+'[1]поточний ремонт'!AB246</f>
        <v>0</v>
      </c>
      <c r="AC246" s="42">
        <f>'[2]поточний ремонт'!AC246+'[1]поточний ремонт'!AC246</f>
        <v>1126.579930776559</v>
      </c>
      <c r="AD246" s="42">
        <f>'[2]поточний ремонт'!AD246+'[1]поточний ремонт'!AD246</f>
        <v>41603.187353967114</v>
      </c>
      <c r="AE246" s="42">
        <f>'[2]поточний ремонт'!AE246+'[1]поточний ремонт'!AE246</f>
        <v>1659.4213630925524</v>
      </c>
      <c r="AF246" s="42">
        <f>'[2]поточний ремонт'!AF246+'[1]поточний ремонт'!AF246</f>
        <v>0</v>
      </c>
      <c r="AG246" s="9"/>
      <c r="AH246" s="42">
        <f>'[2]поточний ремонт'!AH246+'[1]поточний ремонт'!AH246</f>
        <v>3098.7737525295106</v>
      </c>
      <c r="AI246" s="42">
        <f>'[2]поточний ремонт'!AI246+'[1]поточний ремонт'!AI246</f>
        <v>0</v>
      </c>
      <c r="AJ246" s="5"/>
      <c r="AK246" s="42">
        <f>'[2]поточний ремонт'!AK246+'[1]поточний ремонт'!AK246</f>
        <v>1524.8322313410599</v>
      </c>
      <c r="AL246" s="42">
        <f>'[2]поточний ремонт'!AL246+'[1]поточний ремонт'!AL246</f>
        <v>0</v>
      </c>
      <c r="AM246" s="5"/>
      <c r="AN246" s="42">
        <f>'[2]поточний ремонт'!AN246+'[1]поточний ремонт'!AN246</f>
        <v>0</v>
      </c>
      <c r="AO246" s="42">
        <f>'[2]поточний ремонт'!AO246+'[1]поточний ремонт'!AO246</f>
        <v>0</v>
      </c>
      <c r="AP246" s="5"/>
      <c r="AQ246" s="42">
        <f>'[2]поточний ремонт'!AQ246+'[1]поточний ремонт'!AQ246</f>
        <v>132.32770556571961</v>
      </c>
      <c r="AR246" s="42">
        <f>'[2]поточний ремонт'!AR246+'[1]поточний ремонт'!AR246</f>
        <v>0</v>
      </c>
      <c r="AS246" s="5"/>
      <c r="AT246" s="42">
        <f>'[2]поточний ремонт'!AT246+'[1]поточний ремонт'!AT246</f>
        <v>1801.7591955211901</v>
      </c>
      <c r="AU246" s="42">
        <f>'[2]поточний ремонт'!AU246+'[1]поточний ремонт'!AU246</f>
        <v>0</v>
      </c>
      <c r="AV246" s="5"/>
      <c r="AW246" s="42">
        <f>'[2]поточний ремонт'!AW246+'[1]поточний ремонт'!AW246</f>
        <v>27.982814826598393</v>
      </c>
      <c r="AX246" s="42">
        <f>'[2]поточний ремонт'!AX246+'[1]поточний ремонт'!AX246</f>
        <v>5519.8044332453574</v>
      </c>
      <c r="AY246" s="5"/>
      <c r="AZ246" s="42">
        <f t="shared" si="26"/>
        <v>8245.0970628766318</v>
      </c>
      <c r="BA246" s="42">
        <f t="shared" si="27"/>
        <v>5519.8044332453574</v>
      </c>
      <c r="BB246" s="58">
        <f t="shared" si="28"/>
        <v>-2725.2926296312744</v>
      </c>
      <c r="BD246" s="2">
        <v>2</v>
      </c>
      <c r="BF246" s="29">
        <v>3.5147217685579402</v>
      </c>
      <c r="BG246" s="318">
        <v>150001040</v>
      </c>
      <c r="BI246" s="104">
        <v>0</v>
      </c>
      <c r="BJ246" s="104">
        <f t="shared" si="32"/>
        <v>0</v>
      </c>
      <c r="BK246" s="104">
        <v>0</v>
      </c>
      <c r="BL246" s="38"/>
      <c r="BM246" s="3"/>
      <c r="BN246" s="3">
        <v>0</v>
      </c>
      <c r="BP246" s="3"/>
      <c r="BQ246" s="3"/>
      <c r="BS246" s="42"/>
      <c r="BT246" s="42">
        <v>0</v>
      </c>
      <c r="BU246" s="958"/>
      <c r="BV246" s="41"/>
      <c r="BW246" s="42"/>
      <c r="BX246" s="36"/>
      <c r="BY246" s="76"/>
      <c r="BZ246" s="42">
        <v>0</v>
      </c>
      <c r="CA246" s="959"/>
      <c r="CB246" s="41"/>
      <c r="CC246" s="41">
        <v>0</v>
      </c>
      <c r="CD246" s="960"/>
      <c r="CE246" s="76">
        <v>0</v>
      </c>
      <c r="CF246" s="55"/>
      <c r="CG246" s="41">
        <v>0</v>
      </c>
      <c r="CH246" s="38">
        <v>0</v>
      </c>
      <c r="CI246" s="76">
        <v>0</v>
      </c>
      <c r="CJ246" s="55"/>
      <c r="CK246" s="955"/>
      <c r="CL246" s="950"/>
      <c r="CM246" s="955"/>
      <c r="CN246" s="950">
        <v>0</v>
      </c>
      <c r="CO246" s="76">
        <v>134.31754477993348</v>
      </c>
      <c r="CP246" s="42">
        <v>0</v>
      </c>
      <c r="CQ246" s="9"/>
      <c r="CR246" s="76">
        <v>244.71748788035035</v>
      </c>
      <c r="CS246" s="954">
        <v>0</v>
      </c>
      <c r="CT246" s="5"/>
      <c r="CU246" s="76">
        <v>123.26835880875514</v>
      </c>
      <c r="CV246" s="42">
        <v>0</v>
      </c>
      <c r="CW246" s="5"/>
      <c r="CX246" s="76">
        <v>0</v>
      </c>
      <c r="CY246" s="42">
        <v>0</v>
      </c>
      <c r="CZ246" s="5"/>
      <c r="DA246" s="76">
        <v>0</v>
      </c>
      <c r="DB246" s="42">
        <v>0</v>
      </c>
      <c r="DC246" s="5"/>
      <c r="DD246" s="76">
        <v>111.41510992567788</v>
      </c>
      <c r="DE246" s="42">
        <v>0</v>
      </c>
      <c r="DF246" s="5"/>
      <c r="DG246" s="76">
        <v>0</v>
      </c>
      <c r="DH246" s="42"/>
      <c r="DI246" s="5"/>
      <c r="DJ246" s="42">
        <v>613.7185013947169</v>
      </c>
      <c r="DK246" s="42">
        <f t="shared" si="33"/>
        <v>0</v>
      </c>
      <c r="DL246" s="58">
        <f t="shared" si="34"/>
        <v>-613.7185013947169</v>
      </c>
      <c r="DM246" s="2">
        <v>2</v>
      </c>
    </row>
    <row r="247" spans="1:117" ht="24.9" customHeight="1" x14ac:dyDescent="0.3">
      <c r="A247" s="318">
        <v>150001047</v>
      </c>
      <c r="B247" s="44" t="s">
        <v>179</v>
      </c>
      <c r="C247" s="956">
        <v>2</v>
      </c>
      <c r="D247" s="957" t="s">
        <v>454</v>
      </c>
      <c r="E247" s="949">
        <f>'побудинковий звіт'!E209</f>
        <v>2291.83</v>
      </c>
      <c r="F247" s="950">
        <f>'побудинковий звіт'!AS209</f>
        <v>26058.835242943707</v>
      </c>
      <c r="G247" s="950">
        <f t="shared" si="24"/>
        <v>0</v>
      </c>
      <c r="H247" s="950">
        <f t="shared" si="25"/>
        <v>-26058.835242943707</v>
      </c>
      <c r="I247" s="42">
        <f>'[2]поточний ремонт'!I247+'[1]поточний ремонт'!I247</f>
        <v>0</v>
      </c>
      <c r="J247" s="42">
        <f>'[2]поточний ремонт'!J247+'[1]поточний ремонт'!J247</f>
        <v>0</v>
      </c>
      <c r="K247" s="958"/>
      <c r="L247" s="42">
        <f>'[2]поточний ремонт'!L247+'[1]поточний ремонт'!L247</f>
        <v>0</v>
      </c>
      <c r="M247" s="42">
        <f>'[2]поточний ремонт'!M247+'[1]поточний ремонт'!M247</f>
        <v>0</v>
      </c>
      <c r="N247" s="36"/>
      <c r="O247" s="42">
        <f>'[2]поточний ремонт'!O247+'[1]поточний ремонт'!O247</f>
        <v>0</v>
      </c>
      <c r="P247" s="42">
        <f>'[2]поточний ремонт'!P247+'[1]поточний ремонт'!P247</f>
        <v>0</v>
      </c>
      <c r="Q247" s="959"/>
      <c r="R247" s="42">
        <f>'[2]поточний ремонт'!R247+'[1]поточний ремонт'!R247</f>
        <v>0</v>
      </c>
      <c r="S247" s="42">
        <f>'[2]поточний ремонт'!S247+'[1]поточний ремонт'!S247</f>
        <v>0</v>
      </c>
      <c r="T247" s="960"/>
      <c r="U247" s="42">
        <f>'[2]поточний ремонт'!U247+'[1]поточний ремонт'!U247</f>
        <v>0</v>
      </c>
      <c r="V247" s="42">
        <f>'[2]поточний ремонт'!V247+'[1]поточний ремонт'!V247</f>
        <v>0</v>
      </c>
      <c r="W247" s="42">
        <f>'[2]поточний ремонт'!W247+'[1]поточний ремонт'!W247</f>
        <v>0</v>
      </c>
      <c r="X247" s="42">
        <f>'[2]поточний ремонт'!X247+'[1]поточний ремонт'!X247</f>
        <v>0</v>
      </c>
      <c r="Y247" s="42">
        <f>'[2]поточний ремонт'!Y247+'[1]поточний ремонт'!Y247</f>
        <v>0</v>
      </c>
      <c r="Z247" s="42">
        <f>'[2]поточний ремонт'!Z247+'[1]поточний ремонт'!Z247</f>
        <v>0</v>
      </c>
      <c r="AA247" s="42">
        <f>'[2]поточний ремонт'!AA247+'[1]поточний ремонт'!AA247</f>
        <v>0</v>
      </c>
      <c r="AB247" s="42">
        <f>'[2]поточний ремонт'!AB247+'[1]поточний ремонт'!AB247</f>
        <v>0</v>
      </c>
      <c r="AC247" s="42">
        <f>'[2]поточний ремонт'!AC247+'[1]поточний ремонт'!AC247</f>
        <v>0</v>
      </c>
      <c r="AD247" s="42">
        <f>'[2]поточний ремонт'!AD247+'[1]поточний ремонт'!AD247</f>
        <v>0</v>
      </c>
      <c r="AE247" s="42">
        <f>'[2]поточний ремонт'!AE247+'[1]поточний ремонт'!AE247</f>
        <v>527.44810441651168</v>
      </c>
      <c r="AF247" s="42">
        <f>'[2]поточний ремонт'!AF247+'[1]поточний ремонт'!AF247</f>
        <v>0</v>
      </c>
      <c r="AG247" s="5"/>
      <c r="AH247" s="42">
        <f>'[2]поточний ремонт'!AH247+'[1]поточний ремонт'!AH247</f>
        <v>575.13524287552002</v>
      </c>
      <c r="AI247" s="42">
        <f>'[2]поточний ремонт'!AI247+'[1]поточний ремонт'!AI247</f>
        <v>0</v>
      </c>
      <c r="AJ247" s="5"/>
      <c r="AK247" s="42">
        <f>'[2]поточний ремонт'!AK247+'[1]поточний ремонт'!AK247</f>
        <v>515.00834271919291</v>
      </c>
      <c r="AL247" s="42">
        <f>'[2]поточний ремонт'!AL247+'[1]поточний ремонт'!AL247</f>
        <v>0</v>
      </c>
      <c r="AM247" s="5"/>
      <c r="AN247" s="42">
        <f>'[2]поточний ремонт'!AN247+'[1]поточний ремонт'!AN247</f>
        <v>0</v>
      </c>
      <c r="AO247" s="42">
        <f>'[2]поточний ремонт'!AO247+'[1]поточний ремонт'!AO247</f>
        <v>0</v>
      </c>
      <c r="AP247" s="5"/>
      <c r="AQ247" s="42">
        <f>'[2]поточний ремонт'!AQ247+'[1]поточний ремонт'!AQ247</f>
        <v>0</v>
      </c>
      <c r="AR247" s="42">
        <f>'[2]поточний ремонт'!AR247+'[1]поточний ремонт'!AR247</f>
        <v>0</v>
      </c>
      <c r="AS247" s="5"/>
      <c r="AT247" s="42">
        <f>'[2]поточний ремонт'!AT247+'[1]поточний ремонт'!AT247</f>
        <v>137.08180443759409</v>
      </c>
      <c r="AU247" s="42">
        <f>'[2]поточний ремонт'!AU247+'[1]поточний ремонт'!AU247</f>
        <v>0</v>
      </c>
      <c r="AV247" s="9"/>
      <c r="AW247" s="42">
        <f>'[2]поточний ремонт'!AW247+'[1]поточний ремонт'!AW247</f>
        <v>5.8977233042606496</v>
      </c>
      <c r="AX247" s="42">
        <f>'[2]поточний ремонт'!AX247+'[1]поточний ремонт'!AX247</f>
        <v>0</v>
      </c>
      <c r="AY247" s="5"/>
      <c r="AZ247" s="42">
        <f t="shared" si="26"/>
        <v>1760.5712177530795</v>
      </c>
      <c r="BA247" s="42">
        <f t="shared" si="27"/>
        <v>0</v>
      </c>
      <c r="BB247" s="58">
        <f t="shared" si="28"/>
        <v>-1760.5712177530795</v>
      </c>
      <c r="BD247" s="2">
        <v>2</v>
      </c>
      <c r="BF247" s="29">
        <v>1.1141300821442983</v>
      </c>
      <c r="BG247" s="318">
        <v>150001047</v>
      </c>
      <c r="BI247" s="104">
        <v>0</v>
      </c>
      <c r="BJ247" s="104">
        <f t="shared" si="32"/>
        <v>0</v>
      </c>
      <c r="BK247" s="104">
        <v>0</v>
      </c>
      <c r="BL247" s="38"/>
      <c r="BM247" s="3"/>
      <c r="BN247" s="3">
        <v>0</v>
      </c>
      <c r="BP247" s="3"/>
      <c r="BQ247" s="3"/>
      <c r="BS247" s="42"/>
      <c r="BT247" s="42">
        <v>0</v>
      </c>
      <c r="BU247" s="958"/>
      <c r="BV247" s="41"/>
      <c r="BW247" s="42"/>
      <c r="BX247" s="36"/>
      <c r="BY247" s="76"/>
      <c r="BZ247" s="42">
        <v>0</v>
      </c>
      <c r="CA247" s="959"/>
      <c r="CB247" s="41"/>
      <c r="CC247" s="41">
        <v>0</v>
      </c>
      <c r="CD247" s="960"/>
      <c r="CE247" s="76">
        <v>0</v>
      </c>
      <c r="CF247" s="55"/>
      <c r="CG247" s="41">
        <v>0</v>
      </c>
      <c r="CH247" s="38">
        <v>0</v>
      </c>
      <c r="CI247" s="76">
        <v>0</v>
      </c>
      <c r="CJ247" s="55"/>
      <c r="CK247" s="955"/>
      <c r="CL247" s="950"/>
      <c r="CM247" s="955"/>
      <c r="CN247" s="950">
        <v>0</v>
      </c>
      <c r="CO247" s="76">
        <v>41.333857203957649</v>
      </c>
      <c r="CP247" s="42">
        <v>0</v>
      </c>
      <c r="CQ247" s="5"/>
      <c r="CR247" s="76">
        <v>45.590155307044348</v>
      </c>
      <c r="CS247" s="954">
        <v>0</v>
      </c>
      <c r="CT247" s="5"/>
      <c r="CU247" s="76">
        <v>41.503107631225085</v>
      </c>
      <c r="CV247" s="42">
        <v>0</v>
      </c>
      <c r="CW247" s="5"/>
      <c r="CX247" s="76">
        <v>0</v>
      </c>
      <c r="CY247" s="42">
        <v>0</v>
      </c>
      <c r="CZ247" s="5"/>
      <c r="DA247" s="76">
        <v>0</v>
      </c>
      <c r="DB247" s="42">
        <v>0</v>
      </c>
      <c r="DC247" s="5"/>
      <c r="DD247" s="76">
        <v>7.1905268073434492</v>
      </c>
      <c r="DE247" s="42">
        <v>0</v>
      </c>
      <c r="DF247" s="9"/>
      <c r="DG247" s="76">
        <v>0</v>
      </c>
      <c r="DH247" s="42"/>
      <c r="DI247" s="5"/>
      <c r="DJ247" s="42">
        <v>135.61764694957051</v>
      </c>
      <c r="DK247" s="42">
        <f t="shared" si="33"/>
        <v>0</v>
      </c>
      <c r="DL247" s="58">
        <f t="shared" si="34"/>
        <v>-135.61764694957051</v>
      </c>
      <c r="DM247" s="2">
        <v>2</v>
      </c>
    </row>
    <row r="248" spans="1:117" ht="24.9" customHeight="1" x14ac:dyDescent="0.3">
      <c r="A248" s="318">
        <v>150001048</v>
      </c>
      <c r="B248" s="44" t="s">
        <v>125</v>
      </c>
      <c r="C248" s="956">
        <v>1</v>
      </c>
      <c r="D248" s="957" t="s">
        <v>454</v>
      </c>
      <c r="E248" s="949">
        <f>'побудинковий звіт'!E210</f>
        <v>354.3</v>
      </c>
      <c r="F248" s="950">
        <f>'побудинковий звіт'!AS210</f>
        <v>2997.8909044576003</v>
      </c>
      <c r="G248" s="950">
        <f t="shared" si="24"/>
        <v>0</v>
      </c>
      <c r="H248" s="950">
        <f t="shared" si="25"/>
        <v>-2997.8909044576003</v>
      </c>
      <c r="I248" s="42">
        <f>'[2]поточний ремонт'!I248+'[1]поточний ремонт'!I248</f>
        <v>0</v>
      </c>
      <c r="J248" s="42">
        <f>'[2]поточний ремонт'!J248+'[1]поточний ремонт'!J248</f>
        <v>0</v>
      </c>
      <c r="K248" s="958"/>
      <c r="L248" s="42">
        <f>'[2]поточний ремонт'!L248+'[1]поточний ремонт'!L248</f>
        <v>0</v>
      </c>
      <c r="M248" s="42">
        <f>'[2]поточний ремонт'!M248+'[1]поточний ремонт'!M248</f>
        <v>0</v>
      </c>
      <c r="N248" s="36"/>
      <c r="O248" s="42">
        <f>'[2]поточний ремонт'!O248+'[1]поточний ремонт'!O248</f>
        <v>0</v>
      </c>
      <c r="P248" s="42">
        <f>'[2]поточний ремонт'!P248+'[1]поточний ремонт'!P248</f>
        <v>0</v>
      </c>
      <c r="Q248" s="959"/>
      <c r="R248" s="42">
        <f>'[2]поточний ремонт'!R248+'[1]поточний ремонт'!R248</f>
        <v>0</v>
      </c>
      <c r="S248" s="42">
        <f>'[2]поточний ремонт'!S248+'[1]поточний ремонт'!S248</f>
        <v>0</v>
      </c>
      <c r="T248" s="960"/>
      <c r="U248" s="42">
        <f>'[2]поточний ремонт'!U248+'[1]поточний ремонт'!U248</f>
        <v>0</v>
      </c>
      <c r="V248" s="42">
        <f>'[2]поточний ремонт'!V248+'[1]поточний ремонт'!V248</f>
        <v>0</v>
      </c>
      <c r="W248" s="42">
        <f>'[2]поточний ремонт'!W248+'[1]поточний ремонт'!W248</f>
        <v>0</v>
      </c>
      <c r="X248" s="42">
        <f>'[2]поточний ремонт'!X248+'[1]поточний ремонт'!X248</f>
        <v>0</v>
      </c>
      <c r="Y248" s="42">
        <f>'[2]поточний ремонт'!Y248+'[1]поточний ремонт'!Y248</f>
        <v>0</v>
      </c>
      <c r="Z248" s="42">
        <f>'[2]поточний ремонт'!Z248+'[1]поточний ремонт'!Z248</f>
        <v>0</v>
      </c>
      <c r="AA248" s="42">
        <f>'[2]поточний ремонт'!AA248+'[1]поточний ремонт'!AA248</f>
        <v>0</v>
      </c>
      <c r="AB248" s="42">
        <f>'[2]поточний ремонт'!AB248+'[1]поточний ремонт'!AB248</f>
        <v>0</v>
      </c>
      <c r="AC248" s="42">
        <f>'[2]поточний ремонт'!AC248+'[1]поточний ремонт'!AC248</f>
        <v>0</v>
      </c>
      <c r="AD248" s="42">
        <f>'[2]поточний ремонт'!AD248+'[1]поточний ремонт'!AD248</f>
        <v>0</v>
      </c>
      <c r="AE248" s="42">
        <f>'[2]поточний ремонт'!AE248+'[1]поточний ремонт'!AE248</f>
        <v>0</v>
      </c>
      <c r="AF248" s="42">
        <f>'[2]поточний ремонт'!AF248+'[1]поточний ремонт'!AF248</f>
        <v>0</v>
      </c>
      <c r="AG248" s="5"/>
      <c r="AH248" s="42">
        <f>'[2]поточний ремонт'!AH248+'[1]поточний ремонт'!AH248</f>
        <v>0</v>
      </c>
      <c r="AI248" s="42">
        <f>'[2]поточний ремонт'!AI248+'[1]поточний ремонт'!AI248</f>
        <v>0</v>
      </c>
      <c r="AJ248" s="5"/>
      <c r="AK248" s="42">
        <f>'[2]поточний ремонт'!AK248+'[1]поточний ремонт'!AK248</f>
        <v>0</v>
      </c>
      <c r="AL248" s="42">
        <f>'[2]поточний ремонт'!AL248+'[1]поточний ремонт'!AL248</f>
        <v>0</v>
      </c>
      <c r="AM248" s="5"/>
      <c r="AN248" s="42">
        <f>'[2]поточний ремонт'!AN248+'[1]поточний ремонт'!AN248</f>
        <v>0</v>
      </c>
      <c r="AO248" s="42">
        <f>'[2]поточний ремонт'!AO248+'[1]поточний ремонт'!AO248</f>
        <v>0</v>
      </c>
      <c r="AP248" s="5"/>
      <c r="AQ248" s="42">
        <f>'[2]поточний ремонт'!AQ248+'[1]поточний ремонт'!AQ248</f>
        <v>0</v>
      </c>
      <c r="AR248" s="42">
        <f>'[2]поточний ремонт'!AR248+'[1]поточний ремонт'!AR248</f>
        <v>0</v>
      </c>
      <c r="AS248" s="5"/>
      <c r="AT248" s="42">
        <f>'[2]поточний ремонт'!AT248+'[1]поточний ремонт'!AT248</f>
        <v>0</v>
      </c>
      <c r="AU248" s="42">
        <f>'[2]поточний ремонт'!AU248+'[1]поточний ремонт'!AU248</f>
        <v>0</v>
      </c>
      <c r="AV248" s="5"/>
      <c r="AW248" s="42">
        <f>'[2]поточний ремонт'!AW248+'[1]поточний ремонт'!AW248</f>
        <v>0</v>
      </c>
      <c r="AX248" s="42">
        <f>'[2]поточний ремонт'!AX248+'[1]поточний ремонт'!AX248</f>
        <v>0</v>
      </c>
      <c r="AY248" s="5"/>
      <c r="AZ248" s="42">
        <f t="shared" si="26"/>
        <v>0</v>
      </c>
      <c r="BA248" s="42">
        <f t="shared" si="27"/>
        <v>0</v>
      </c>
      <c r="BB248" s="58">
        <f t="shared" si="28"/>
        <v>0</v>
      </c>
      <c r="BD248" s="2">
        <v>2</v>
      </c>
      <c r="BF248" s="29">
        <v>0</v>
      </c>
      <c r="BG248" s="318">
        <v>150001048</v>
      </c>
      <c r="BI248" s="104">
        <v>0</v>
      </c>
      <c r="BJ248" s="104">
        <f t="shared" ref="BJ248:BJ279" si="35">BI248*$BJ$10</f>
        <v>0</v>
      </c>
      <c r="BK248" s="104">
        <v>0</v>
      </c>
      <c r="BL248" s="38"/>
      <c r="BM248" s="3"/>
      <c r="BN248" s="3">
        <v>0</v>
      </c>
      <c r="BP248" s="3"/>
      <c r="BQ248" s="3"/>
      <c r="BS248" s="42"/>
      <c r="BT248" s="42">
        <v>0</v>
      </c>
      <c r="BU248" s="958"/>
      <c r="BV248" s="41"/>
      <c r="BW248" s="42"/>
      <c r="BX248" s="36"/>
      <c r="BY248" s="76"/>
      <c r="BZ248" s="42">
        <v>0</v>
      </c>
      <c r="CA248" s="959"/>
      <c r="CB248" s="41"/>
      <c r="CC248" s="41">
        <v>0</v>
      </c>
      <c r="CD248" s="960"/>
      <c r="CE248" s="76">
        <v>0</v>
      </c>
      <c r="CF248" s="55"/>
      <c r="CG248" s="41">
        <v>0</v>
      </c>
      <c r="CH248" s="38">
        <v>0</v>
      </c>
      <c r="CI248" s="76">
        <v>0</v>
      </c>
      <c r="CJ248" s="55"/>
      <c r="CK248" s="955"/>
      <c r="CL248" s="950"/>
      <c r="CM248" s="955"/>
      <c r="CN248" s="950">
        <v>0</v>
      </c>
      <c r="CO248" s="76">
        <v>0</v>
      </c>
      <c r="CP248" s="42">
        <v>0</v>
      </c>
      <c r="CQ248" s="5"/>
      <c r="CR248" s="76">
        <v>0</v>
      </c>
      <c r="CS248" s="954">
        <v>0</v>
      </c>
      <c r="CT248" s="5"/>
      <c r="CU248" s="76">
        <v>0</v>
      </c>
      <c r="CV248" s="42">
        <v>0</v>
      </c>
      <c r="CW248" s="5"/>
      <c r="CX248" s="76">
        <v>0</v>
      </c>
      <c r="CY248" s="42">
        <v>0</v>
      </c>
      <c r="CZ248" s="5"/>
      <c r="DA248" s="76">
        <v>0</v>
      </c>
      <c r="DB248" s="42">
        <v>0</v>
      </c>
      <c r="DC248" s="5"/>
      <c r="DD248" s="76">
        <v>0</v>
      </c>
      <c r="DE248" s="42">
        <v>0</v>
      </c>
      <c r="DF248" s="5"/>
      <c r="DG248" s="76">
        <v>0</v>
      </c>
      <c r="DH248" s="42"/>
      <c r="DI248" s="5"/>
      <c r="DJ248" s="42">
        <v>0</v>
      </c>
      <c r="DK248" s="42">
        <f t="shared" ref="DK248:DK279" si="36">CP248+CS248+CV248+CY248+DB248+DE248+DH248</f>
        <v>0</v>
      </c>
      <c r="DL248" s="58">
        <f t="shared" ref="DL248:DL279" si="37">DK248-DJ248</f>
        <v>0</v>
      </c>
      <c r="DM248" s="2">
        <v>2</v>
      </c>
    </row>
    <row r="249" spans="1:117" ht="24.9" customHeight="1" x14ac:dyDescent="0.3">
      <c r="A249" s="318">
        <v>150001049</v>
      </c>
      <c r="B249" s="44" t="s">
        <v>180</v>
      </c>
      <c r="C249" s="956">
        <v>2</v>
      </c>
      <c r="D249" s="957" t="s">
        <v>454</v>
      </c>
      <c r="E249" s="949">
        <f>'побудинковий звіт'!E211</f>
        <v>474.29999999999995</v>
      </c>
      <c r="F249" s="950">
        <f>'побудинковий звіт'!AS211</f>
        <v>5871.523376157782</v>
      </c>
      <c r="G249" s="950">
        <f t="shared" si="24"/>
        <v>0</v>
      </c>
      <c r="H249" s="950">
        <f t="shared" si="25"/>
        <v>-5871.523376157782</v>
      </c>
      <c r="I249" s="42">
        <f>'[2]поточний ремонт'!I249+'[1]поточний ремонт'!I249</f>
        <v>0</v>
      </c>
      <c r="J249" s="42">
        <f>'[2]поточний ремонт'!J249+'[1]поточний ремонт'!J249</f>
        <v>0</v>
      </c>
      <c r="K249" s="958"/>
      <c r="L249" s="42">
        <f>'[2]поточний ремонт'!L249+'[1]поточний ремонт'!L249</f>
        <v>0</v>
      </c>
      <c r="M249" s="42">
        <f>'[2]поточний ремонт'!M249+'[1]поточний ремонт'!M249</f>
        <v>0</v>
      </c>
      <c r="N249" s="36"/>
      <c r="O249" s="42">
        <f>'[2]поточний ремонт'!O249+'[1]поточний ремонт'!O249</f>
        <v>0</v>
      </c>
      <c r="P249" s="42">
        <f>'[2]поточний ремонт'!P249+'[1]поточний ремонт'!P249</f>
        <v>0</v>
      </c>
      <c r="Q249" s="959"/>
      <c r="R249" s="42">
        <f>'[2]поточний ремонт'!R249+'[1]поточний ремонт'!R249</f>
        <v>0</v>
      </c>
      <c r="S249" s="42">
        <f>'[2]поточний ремонт'!S249+'[1]поточний ремонт'!S249</f>
        <v>0</v>
      </c>
      <c r="T249" s="960"/>
      <c r="U249" s="42">
        <f>'[2]поточний ремонт'!U249+'[1]поточний ремонт'!U249</f>
        <v>0</v>
      </c>
      <c r="V249" s="42">
        <f>'[2]поточний ремонт'!V249+'[1]поточний ремонт'!V249</f>
        <v>0</v>
      </c>
      <c r="W249" s="42">
        <f>'[2]поточний ремонт'!W249+'[1]поточний ремонт'!W249</f>
        <v>0</v>
      </c>
      <c r="X249" s="42">
        <f>'[2]поточний ремонт'!X249+'[1]поточний ремонт'!X249</f>
        <v>0</v>
      </c>
      <c r="Y249" s="42">
        <f>'[2]поточний ремонт'!Y249+'[1]поточний ремонт'!Y249</f>
        <v>0</v>
      </c>
      <c r="Z249" s="42">
        <f>'[2]поточний ремонт'!Z249+'[1]поточний ремонт'!Z249</f>
        <v>0</v>
      </c>
      <c r="AA249" s="42">
        <f>'[2]поточний ремонт'!AA249+'[1]поточний ремонт'!AA249</f>
        <v>0</v>
      </c>
      <c r="AB249" s="42">
        <f>'[2]поточний ремонт'!AB249+'[1]поточний ремонт'!AB249</f>
        <v>0</v>
      </c>
      <c r="AC249" s="42">
        <f>'[2]поточний ремонт'!AC249+'[1]поточний ремонт'!AC249</f>
        <v>0</v>
      </c>
      <c r="AD249" s="42">
        <f>'[2]поточний ремонт'!AD249+'[1]поточний ремонт'!AD249</f>
        <v>0</v>
      </c>
      <c r="AE249" s="42">
        <f>'[2]поточний ремонт'!AE249+'[1]поточний ремонт'!AE249</f>
        <v>234.29421894152119</v>
      </c>
      <c r="AF249" s="42">
        <f>'[2]поточний ремонт'!AF249+'[1]поточний ремонт'!AF249</f>
        <v>0</v>
      </c>
      <c r="AG249" s="5"/>
      <c r="AH249" s="42">
        <f>'[2]поточний ремонт'!AH249+'[1]поточний ремонт'!AH249</f>
        <v>294.83652532864261</v>
      </c>
      <c r="AI249" s="42">
        <f>'[2]поточний ремонт'!AI249+'[1]поточний ремонт'!AI249</f>
        <v>0</v>
      </c>
      <c r="AJ249" s="5"/>
      <c r="AK249" s="42">
        <f>'[2]поточний ремонт'!AK249+'[1]поточний ремонт'!AK249</f>
        <v>0</v>
      </c>
      <c r="AL249" s="42">
        <f>'[2]поточний ремонт'!AL249+'[1]поточний ремонт'!AL249</f>
        <v>0</v>
      </c>
      <c r="AM249" s="5"/>
      <c r="AN249" s="42">
        <f>'[2]поточний ремонт'!AN249+'[1]поточний ремонт'!AN249</f>
        <v>0</v>
      </c>
      <c r="AO249" s="42">
        <f>'[2]поточний ремонт'!AO249+'[1]поточний ремонт'!AO249</f>
        <v>0</v>
      </c>
      <c r="AP249" s="5"/>
      <c r="AQ249" s="42">
        <f>'[2]поточний ремонт'!AQ249+'[1]поточний ремонт'!AQ249</f>
        <v>0</v>
      </c>
      <c r="AR249" s="42">
        <f>'[2]поточний ремонт'!AR249+'[1]поточний ремонт'!AR249</f>
        <v>0</v>
      </c>
      <c r="AS249" s="5"/>
      <c r="AT249" s="42">
        <f>'[2]поточний ремонт'!AT249+'[1]поточний ремонт'!AT249</f>
        <v>102.09151982326476</v>
      </c>
      <c r="AU249" s="42">
        <f>'[2]поточний ремонт'!AU249+'[1]поточний ремонт'!AU249</f>
        <v>0</v>
      </c>
      <c r="AV249" s="5"/>
      <c r="AW249" s="42">
        <f>'[2]поточний ремонт'!AW249+'[1]поточний ремонт'!AW249</f>
        <v>31.214014296485885</v>
      </c>
      <c r="AX249" s="42">
        <f>'[2]поточний ремонт'!AX249+'[1]поточний ремонт'!AX249</f>
        <v>0</v>
      </c>
      <c r="AY249" s="5"/>
      <c r="AZ249" s="42">
        <f t="shared" si="26"/>
        <v>662.43627838991449</v>
      </c>
      <c r="BA249" s="42">
        <f t="shared" si="27"/>
        <v>0</v>
      </c>
      <c r="BB249" s="58">
        <f t="shared" si="28"/>
        <v>-662.43627838991449</v>
      </c>
      <c r="BD249" s="2">
        <v>2</v>
      </c>
      <c r="BF249" s="29">
        <v>0.37054417461754363</v>
      </c>
      <c r="BG249" s="318">
        <v>150001049</v>
      </c>
      <c r="BI249" s="104">
        <v>0</v>
      </c>
      <c r="BJ249" s="104">
        <f t="shared" si="35"/>
        <v>0</v>
      </c>
      <c r="BK249" s="104">
        <v>0</v>
      </c>
      <c r="BL249" s="38"/>
      <c r="BM249" s="3"/>
      <c r="BN249" s="3">
        <v>0</v>
      </c>
      <c r="BP249" s="3"/>
      <c r="BQ249" s="3"/>
      <c r="BS249" s="42"/>
      <c r="BT249" s="42">
        <v>0</v>
      </c>
      <c r="BU249" s="958"/>
      <c r="BV249" s="41"/>
      <c r="BW249" s="42"/>
      <c r="BX249" s="36"/>
      <c r="BY249" s="76"/>
      <c r="BZ249" s="42">
        <v>0</v>
      </c>
      <c r="CA249" s="959"/>
      <c r="CB249" s="41"/>
      <c r="CC249" s="41">
        <v>0</v>
      </c>
      <c r="CD249" s="960"/>
      <c r="CE249" s="76">
        <v>0</v>
      </c>
      <c r="CF249" s="55"/>
      <c r="CG249" s="41">
        <v>0</v>
      </c>
      <c r="CH249" s="38">
        <v>0</v>
      </c>
      <c r="CI249" s="76">
        <v>0</v>
      </c>
      <c r="CJ249" s="55"/>
      <c r="CK249" s="955"/>
      <c r="CL249" s="950"/>
      <c r="CM249" s="955"/>
      <c r="CN249" s="950">
        <v>0</v>
      </c>
      <c r="CO249" s="76">
        <v>21.473773541493699</v>
      </c>
      <c r="CP249" s="42">
        <v>0</v>
      </c>
      <c r="CQ249" s="5"/>
      <c r="CR249" s="76">
        <v>24.93401212631219</v>
      </c>
      <c r="CS249" s="954">
        <v>0</v>
      </c>
      <c r="CT249" s="5"/>
      <c r="CU249" s="76">
        <v>0</v>
      </c>
      <c r="CV249" s="42">
        <v>0</v>
      </c>
      <c r="CW249" s="5"/>
      <c r="CX249" s="76">
        <v>0</v>
      </c>
      <c r="CY249" s="42">
        <v>0</v>
      </c>
      <c r="CZ249" s="5"/>
      <c r="DA249" s="76">
        <v>0</v>
      </c>
      <c r="DB249" s="42">
        <v>0</v>
      </c>
      <c r="DC249" s="5"/>
      <c r="DD249" s="76">
        <v>4.9307038508416863</v>
      </c>
      <c r="DE249" s="42">
        <v>0</v>
      </c>
      <c r="DF249" s="5"/>
      <c r="DG249" s="76">
        <v>0</v>
      </c>
      <c r="DH249" s="42"/>
      <c r="DI249" s="5"/>
      <c r="DJ249" s="42">
        <v>51.338489518647577</v>
      </c>
      <c r="DK249" s="42">
        <f t="shared" si="36"/>
        <v>0</v>
      </c>
      <c r="DL249" s="58">
        <f t="shared" si="37"/>
        <v>-51.338489518647577</v>
      </c>
      <c r="DM249" s="2">
        <v>2</v>
      </c>
    </row>
    <row r="250" spans="1:117" ht="24.9" customHeight="1" x14ac:dyDescent="0.3">
      <c r="A250" s="318">
        <v>150001041</v>
      </c>
      <c r="B250" s="44" t="s">
        <v>196</v>
      </c>
      <c r="C250" s="956">
        <v>3</v>
      </c>
      <c r="D250" s="957" t="s">
        <v>454</v>
      </c>
      <c r="E250" s="949">
        <f>'побудинковий звіт'!E212</f>
        <v>4737.87</v>
      </c>
      <c r="F250" s="950">
        <f>'побудинковий звіт'!AS212</f>
        <v>56574.382591676411</v>
      </c>
      <c r="G250" s="950">
        <f t="shared" si="24"/>
        <v>116.72791843775435</v>
      </c>
      <c r="H250" s="950">
        <f t="shared" si="25"/>
        <v>-56457.654673238656</v>
      </c>
      <c r="I250" s="42">
        <f>'[2]поточний ремонт'!I250+'[1]поточний ремонт'!I250</f>
        <v>0</v>
      </c>
      <c r="J250" s="42">
        <f>'[2]поточний ремонт'!J250+'[1]поточний ремонт'!J250</f>
        <v>0</v>
      </c>
      <c r="K250" s="958"/>
      <c r="L250" s="42">
        <f>'[2]поточний ремонт'!L250+'[1]поточний ремонт'!L250</f>
        <v>0</v>
      </c>
      <c r="M250" s="42">
        <f>'[2]поточний ремонт'!M250+'[1]поточний ремонт'!M250</f>
        <v>0</v>
      </c>
      <c r="N250" s="36"/>
      <c r="O250" s="42">
        <f>'[2]поточний ремонт'!O250+'[1]поточний ремонт'!O250</f>
        <v>0</v>
      </c>
      <c r="P250" s="42">
        <f>'[2]поточний ремонт'!P250+'[1]поточний ремонт'!P250</f>
        <v>0</v>
      </c>
      <c r="Q250" s="959"/>
      <c r="R250" s="42">
        <f>'[2]поточний ремонт'!R250+'[1]поточний ремонт'!R250</f>
        <v>0</v>
      </c>
      <c r="S250" s="42">
        <f>'[2]поточний ремонт'!S250+'[1]поточний ремонт'!S250</f>
        <v>0</v>
      </c>
      <c r="T250" s="960"/>
      <c r="U250" s="42">
        <f>'[2]поточний ремонт'!U250+'[1]поточний ремонт'!U250</f>
        <v>0</v>
      </c>
      <c r="V250" s="42">
        <f>'[2]поточний ремонт'!V250+'[1]поточний ремонт'!V250</f>
        <v>0</v>
      </c>
      <c r="W250" s="42">
        <f>'[2]поточний ремонт'!W250+'[1]поточний ремонт'!W250</f>
        <v>0</v>
      </c>
      <c r="X250" s="42">
        <f>'[2]поточний ремонт'!X250+'[1]поточний ремонт'!X250</f>
        <v>0</v>
      </c>
      <c r="Y250" s="42">
        <f>'[2]поточний ремонт'!Y250+'[1]поточний ремонт'!Y250</f>
        <v>0</v>
      </c>
      <c r="Z250" s="42">
        <f>'[2]поточний ремонт'!Z250+'[1]поточний ремонт'!Z250</f>
        <v>0</v>
      </c>
      <c r="AA250" s="42">
        <f>'[2]поточний ремонт'!AA250+'[1]поточний ремонт'!AA250</f>
        <v>0</v>
      </c>
      <c r="AB250" s="42">
        <f>'[2]поточний ремонт'!AB250+'[1]поточний ремонт'!AB250</f>
        <v>0</v>
      </c>
      <c r="AC250" s="42">
        <f>'[2]поточний ремонт'!AC250+'[1]поточний ремонт'!AC250</f>
        <v>116.72791843775435</v>
      </c>
      <c r="AD250" s="42">
        <f>'[2]поточний ремонт'!AD250+'[1]поточний ремонт'!AD250</f>
        <v>0</v>
      </c>
      <c r="AE250" s="42">
        <f>'[2]поточний ремонт'!AE250+'[1]поточний ремонт'!AE250</f>
        <v>428.98713093290735</v>
      </c>
      <c r="AF250" s="42">
        <f>'[2]поточний ремонт'!AF250+'[1]поточний ремонт'!AF250</f>
        <v>0</v>
      </c>
      <c r="AG250" s="5"/>
      <c r="AH250" s="42">
        <f>'[2]поточний ремонт'!AH250+'[1]поточний ремонт'!AH250</f>
        <v>466.79314930316565</v>
      </c>
      <c r="AI250" s="42">
        <f>'[2]поточний ремонт'!AI250+'[1]поточний ремонт'!AI250</f>
        <v>0</v>
      </c>
      <c r="AJ250" s="5"/>
      <c r="AK250" s="42">
        <f>'[2]поточний ремонт'!AK250+'[1]поточний ремонт'!AK250</f>
        <v>419.13870397922386</v>
      </c>
      <c r="AL250" s="42">
        <f>'[2]поточний ремонт'!AL250+'[1]поточний ремонт'!AL250</f>
        <v>0</v>
      </c>
      <c r="AM250" s="5"/>
      <c r="AN250" s="42">
        <f>'[2]поточний ремонт'!AN250+'[1]поточний ремонт'!AN250</f>
        <v>0</v>
      </c>
      <c r="AO250" s="42">
        <f>'[2]поточний ремонт'!AO250+'[1]поточний ремонт'!AO250</f>
        <v>0</v>
      </c>
      <c r="AP250" s="5"/>
      <c r="AQ250" s="42">
        <f>'[2]поточний ремонт'!AQ250+'[1]поточний ремонт'!AQ250</f>
        <v>33.081926391429903</v>
      </c>
      <c r="AR250" s="42">
        <f>'[2]поточний ремонт'!AR250+'[1]поточний ремонт'!AR250</f>
        <v>0</v>
      </c>
      <c r="AS250" s="5"/>
      <c r="AT250" s="42">
        <f>'[2]поточний ремонт'!AT250+'[1]поточний ремонт'!AT250</f>
        <v>136.3836482356057</v>
      </c>
      <c r="AU250" s="42">
        <f>'[2]поточний ремонт'!AU250+'[1]поточний ремонт'!AU250</f>
        <v>0</v>
      </c>
      <c r="AV250" s="5"/>
      <c r="AW250" s="42">
        <f>'[2]поточний ремонт'!AW250+'[1]поточний ремонт'!AW250</f>
        <v>24.814357093990289</v>
      </c>
      <c r="AX250" s="42">
        <f>'[2]поточний ремонт'!AX250+'[1]поточний ремонт'!AX250</f>
        <v>905.68856706307645</v>
      </c>
      <c r="AY250" s="5"/>
      <c r="AZ250" s="42">
        <f t="shared" si="26"/>
        <v>1509.1989159363229</v>
      </c>
      <c r="BA250" s="42">
        <f t="shared" si="27"/>
        <v>905.68856706307645</v>
      </c>
      <c r="BB250" s="58">
        <f t="shared" si="28"/>
        <v>-603.51034887324647</v>
      </c>
      <c r="BD250" s="2">
        <v>2</v>
      </c>
      <c r="BF250" s="29">
        <v>0.87838102725656575</v>
      </c>
      <c r="BG250" s="318">
        <v>150001041</v>
      </c>
      <c r="BI250" s="104">
        <v>0</v>
      </c>
      <c r="BJ250" s="104">
        <f t="shared" si="35"/>
        <v>0</v>
      </c>
      <c r="BK250" s="104">
        <v>0</v>
      </c>
      <c r="BL250" s="38"/>
      <c r="BM250" s="3"/>
      <c r="BN250" s="3">
        <v>0</v>
      </c>
      <c r="BP250" s="3"/>
      <c r="BQ250" s="3"/>
      <c r="BS250" s="42"/>
      <c r="BT250" s="42">
        <v>0</v>
      </c>
      <c r="BU250" s="958"/>
      <c r="BV250" s="41"/>
      <c r="BW250" s="42"/>
      <c r="BX250" s="36"/>
      <c r="BY250" s="76"/>
      <c r="BZ250" s="42">
        <v>0</v>
      </c>
      <c r="CA250" s="959"/>
      <c r="CB250" s="41"/>
      <c r="CC250" s="41">
        <v>0</v>
      </c>
      <c r="CD250" s="960"/>
      <c r="CE250" s="76">
        <v>0</v>
      </c>
      <c r="CF250" s="55"/>
      <c r="CG250" s="41">
        <v>0</v>
      </c>
      <c r="CH250" s="38">
        <v>0</v>
      </c>
      <c r="CI250" s="76">
        <v>0</v>
      </c>
      <c r="CJ250" s="55"/>
      <c r="CK250" s="955"/>
      <c r="CL250" s="950"/>
      <c r="CM250" s="955"/>
      <c r="CN250" s="950">
        <v>0</v>
      </c>
      <c r="CO250" s="76">
        <v>37.200467863578638</v>
      </c>
      <c r="CP250" s="42">
        <v>0</v>
      </c>
      <c r="CQ250" s="5"/>
      <c r="CR250" s="76">
        <v>39.617672760513557</v>
      </c>
      <c r="CS250" s="954">
        <v>0</v>
      </c>
      <c r="CT250" s="5"/>
      <c r="CU250" s="76">
        <v>34.140465526019817</v>
      </c>
      <c r="CV250" s="42">
        <v>0</v>
      </c>
      <c r="CW250" s="5"/>
      <c r="CX250" s="76">
        <v>0</v>
      </c>
      <c r="CY250" s="42">
        <v>0</v>
      </c>
      <c r="CZ250" s="5"/>
      <c r="DA250" s="76">
        <v>0</v>
      </c>
      <c r="DB250" s="42">
        <v>0</v>
      </c>
      <c r="DC250" s="5"/>
      <c r="DD250" s="76">
        <v>7.3717792993961071</v>
      </c>
      <c r="DE250" s="42">
        <v>0</v>
      </c>
      <c r="DF250" s="5"/>
      <c r="DG250" s="76">
        <v>0</v>
      </c>
      <c r="DH250" s="42"/>
      <c r="DI250" s="5"/>
      <c r="DJ250" s="42">
        <v>118.33038544950813</v>
      </c>
      <c r="DK250" s="42">
        <f t="shared" si="36"/>
        <v>0</v>
      </c>
      <c r="DL250" s="58">
        <f t="shared" si="37"/>
        <v>-118.33038544950813</v>
      </c>
      <c r="DM250" s="2">
        <v>2</v>
      </c>
    </row>
    <row r="251" spans="1:117" ht="24.9" customHeight="1" x14ac:dyDescent="0.3">
      <c r="A251" s="318">
        <v>150001042</v>
      </c>
      <c r="B251" s="44" t="s">
        <v>181</v>
      </c>
      <c r="C251" s="956">
        <v>2</v>
      </c>
      <c r="D251" s="957" t="s">
        <v>454</v>
      </c>
      <c r="E251" s="949">
        <f>'побудинковий звіт'!E213</f>
        <v>0</v>
      </c>
      <c r="F251" s="950">
        <f>'побудинковий звіт'!AS213</f>
        <v>4482.385585623073</v>
      </c>
      <c r="G251" s="950">
        <f t="shared" si="24"/>
        <v>0</v>
      </c>
      <c r="H251" s="950">
        <f t="shared" si="25"/>
        <v>-4482.385585623073</v>
      </c>
      <c r="I251" s="42">
        <f>'[2]поточний ремонт'!I251+'[1]поточний ремонт'!I251</f>
        <v>0</v>
      </c>
      <c r="J251" s="42">
        <f>'[2]поточний ремонт'!J251+'[1]поточний ремонт'!J251</f>
        <v>0</v>
      </c>
      <c r="K251" s="958"/>
      <c r="L251" s="42">
        <f>'[2]поточний ремонт'!L251+'[1]поточний ремонт'!L251</f>
        <v>0</v>
      </c>
      <c r="M251" s="42">
        <f>'[2]поточний ремонт'!M251+'[1]поточний ремонт'!M251</f>
        <v>0</v>
      </c>
      <c r="N251" s="970"/>
      <c r="O251" s="42">
        <f>'[2]поточний ремонт'!O251+'[1]поточний ремонт'!O251</f>
        <v>0</v>
      </c>
      <c r="P251" s="42">
        <f>'[2]поточний ремонт'!P251+'[1]поточний ремонт'!P251</f>
        <v>0</v>
      </c>
      <c r="Q251" s="959"/>
      <c r="R251" s="42">
        <f>'[2]поточний ремонт'!R251+'[1]поточний ремонт'!R251</f>
        <v>0</v>
      </c>
      <c r="S251" s="42">
        <f>'[2]поточний ремонт'!S251+'[1]поточний ремонт'!S251</f>
        <v>0</v>
      </c>
      <c r="T251" s="960"/>
      <c r="U251" s="42">
        <f>'[2]поточний ремонт'!U251+'[1]поточний ремонт'!U251</f>
        <v>0</v>
      </c>
      <c r="V251" s="42">
        <f>'[2]поточний ремонт'!V251+'[1]поточний ремонт'!V251</f>
        <v>0</v>
      </c>
      <c r="W251" s="42">
        <f>'[2]поточний ремонт'!W251+'[1]поточний ремонт'!W251</f>
        <v>0</v>
      </c>
      <c r="X251" s="42">
        <f>'[2]поточний ремонт'!X251+'[1]поточний ремонт'!X251</f>
        <v>0</v>
      </c>
      <c r="Y251" s="42">
        <f>'[2]поточний ремонт'!Y251+'[1]поточний ремонт'!Y251</f>
        <v>0</v>
      </c>
      <c r="Z251" s="42">
        <f>'[2]поточний ремонт'!Z251+'[1]поточний ремонт'!Z251</f>
        <v>0</v>
      </c>
      <c r="AA251" s="42">
        <f>'[2]поточний ремонт'!AA251+'[1]поточний ремонт'!AA251</f>
        <v>0</v>
      </c>
      <c r="AB251" s="42">
        <f>'[2]поточний ремонт'!AB251+'[1]поточний ремонт'!AB251</f>
        <v>0</v>
      </c>
      <c r="AC251" s="42">
        <f>'[2]поточний ремонт'!AC251+'[1]поточний ремонт'!AC251</f>
        <v>0</v>
      </c>
      <c r="AD251" s="42">
        <f>'[2]поточний ремонт'!AD251+'[1]поточний ремонт'!AD251</f>
        <v>0</v>
      </c>
      <c r="AE251" s="42">
        <f>'[2]поточний ремонт'!AE251+'[1]поточний ремонт'!AE251</f>
        <v>418.3281129834096</v>
      </c>
      <c r="AF251" s="42">
        <f>'[2]поточний ремонт'!AF251+'[1]поточний ремонт'!AF251</f>
        <v>0</v>
      </c>
      <c r="AG251" s="5"/>
      <c r="AH251" s="42">
        <f>'[2]поточний ремонт'!AH251+'[1]поточний ремонт'!AH251</f>
        <v>530.5056092989513</v>
      </c>
      <c r="AI251" s="42">
        <f>'[2]поточний ремонт'!AI251+'[1]поточний ремонт'!AI251</f>
        <v>0</v>
      </c>
      <c r="AJ251" s="5"/>
      <c r="AK251" s="42">
        <f>'[2]поточний ремонт'!AK251+'[1]поточний ремонт'!AK251</f>
        <v>282.18858334047923</v>
      </c>
      <c r="AL251" s="42">
        <f>'[2]поточний ремонт'!AL251+'[1]поточний ремонт'!AL251</f>
        <v>0</v>
      </c>
      <c r="AM251" s="5"/>
      <c r="AN251" s="42">
        <f>'[2]поточний ремонт'!AN251+'[1]поточний ремонт'!AN251</f>
        <v>0</v>
      </c>
      <c r="AO251" s="42">
        <f>'[2]поточний ремонт'!AO251+'[1]поточний ремонт'!AO251</f>
        <v>0</v>
      </c>
      <c r="AP251" s="5"/>
      <c r="AQ251" s="42">
        <f>'[2]поточний ремонт'!AQ251+'[1]поточний ремонт'!AQ251</f>
        <v>0</v>
      </c>
      <c r="AR251" s="42">
        <f>'[2]поточний ремонт'!AR251+'[1]поточний ремонт'!AR251</f>
        <v>0</v>
      </c>
      <c r="AS251" s="5"/>
      <c r="AT251" s="42">
        <f>'[2]поточний ремонт'!AT251+'[1]поточний ремонт'!AT251</f>
        <v>220.29569139558922</v>
      </c>
      <c r="AU251" s="42">
        <f>'[2]поточний ремонт'!AU251+'[1]поточний ремонт'!AU251</f>
        <v>0</v>
      </c>
      <c r="AV251" s="5"/>
      <c r="AW251" s="42">
        <f>'[2]поточний ремонт'!AW251+'[1]поточний ремонт'!AW251</f>
        <v>27.982814826598393</v>
      </c>
      <c r="AX251" s="42">
        <f>'[2]поточний ремонт'!AX251+'[1]поточний ремонт'!AX251</f>
        <v>0</v>
      </c>
      <c r="AY251" s="5"/>
      <c r="AZ251" s="42">
        <f t="shared" si="26"/>
        <v>1479.3008118450277</v>
      </c>
      <c r="BA251" s="42">
        <f t="shared" si="27"/>
        <v>0</v>
      </c>
      <c r="BB251" s="58">
        <f t="shared" si="28"/>
        <v>-1479.3008118450277</v>
      </c>
      <c r="BD251" s="2">
        <v>2</v>
      </c>
      <c r="BF251" s="29">
        <v>0.62380534875503701</v>
      </c>
      <c r="BG251" s="318">
        <v>150001042</v>
      </c>
      <c r="BI251" s="104">
        <v>0</v>
      </c>
      <c r="BJ251" s="104">
        <f t="shared" si="35"/>
        <v>0</v>
      </c>
      <c r="BK251" s="104">
        <v>0</v>
      </c>
      <c r="BL251" s="38"/>
      <c r="BM251" s="3"/>
      <c r="BN251" s="3">
        <v>0</v>
      </c>
      <c r="BP251" s="3"/>
      <c r="BQ251" s="3"/>
      <c r="BS251" s="42"/>
      <c r="BT251" s="42">
        <v>0</v>
      </c>
      <c r="BU251" s="958"/>
      <c r="BV251" s="41"/>
      <c r="BW251" s="42"/>
      <c r="BX251" s="970"/>
      <c r="BY251" s="76"/>
      <c r="BZ251" s="42">
        <v>0</v>
      </c>
      <c r="CA251" s="959"/>
      <c r="CB251" s="41"/>
      <c r="CC251" s="41">
        <v>0</v>
      </c>
      <c r="CD251" s="960"/>
      <c r="CE251" s="76">
        <v>0</v>
      </c>
      <c r="CF251" s="55"/>
      <c r="CG251" s="41">
        <v>0</v>
      </c>
      <c r="CH251" s="38">
        <v>0</v>
      </c>
      <c r="CI251" s="76">
        <v>0</v>
      </c>
      <c r="CJ251" s="55"/>
      <c r="CK251" s="955"/>
      <c r="CL251" s="950"/>
      <c r="CM251" s="955"/>
      <c r="CN251" s="950">
        <v>0</v>
      </c>
      <c r="CO251" s="76">
        <v>35.980365976895705</v>
      </c>
      <c r="CP251" s="42">
        <v>0</v>
      </c>
      <c r="CQ251" s="5"/>
      <c r="CR251" s="76">
        <v>44.754963276478016</v>
      </c>
      <c r="CS251" s="954">
        <v>0</v>
      </c>
      <c r="CT251" s="5"/>
      <c r="CU251" s="76">
        <v>23.638951430175567</v>
      </c>
      <c r="CV251" s="42">
        <v>0</v>
      </c>
      <c r="CW251" s="5"/>
      <c r="CX251" s="76">
        <v>0</v>
      </c>
      <c r="CY251" s="42">
        <v>0</v>
      </c>
      <c r="CZ251" s="5"/>
      <c r="DA251" s="76">
        <v>0</v>
      </c>
      <c r="DB251" s="42">
        <v>0</v>
      </c>
      <c r="DC251" s="5"/>
      <c r="DD251" s="76">
        <v>9.8856385409863776</v>
      </c>
      <c r="DE251" s="42">
        <v>0</v>
      </c>
      <c r="DF251" s="5"/>
      <c r="DG251" s="76">
        <v>0</v>
      </c>
      <c r="DH251" s="42"/>
      <c r="DI251" s="5"/>
      <c r="DJ251" s="42">
        <v>114.25991922453566</v>
      </c>
      <c r="DK251" s="42">
        <f t="shared" si="36"/>
        <v>0</v>
      </c>
      <c r="DL251" s="58">
        <f t="shared" si="37"/>
        <v>-114.25991922453566</v>
      </c>
      <c r="DM251" s="2">
        <v>2</v>
      </c>
    </row>
    <row r="252" spans="1:117" ht="24.9" customHeight="1" x14ac:dyDescent="0.3">
      <c r="A252" s="318">
        <v>150001043</v>
      </c>
      <c r="B252" s="44" t="s">
        <v>217</v>
      </c>
      <c r="C252" s="956">
        <v>4</v>
      </c>
      <c r="D252" s="957" t="s">
        <v>454</v>
      </c>
      <c r="E252" s="949">
        <f>'побудинковий звіт'!E214</f>
        <v>285.5</v>
      </c>
      <c r="F252" s="950">
        <f>'побудинковий звіт'!AS214</f>
        <v>4543.1844203043574</v>
      </c>
      <c r="G252" s="950">
        <f t="shared" si="24"/>
        <v>934.08358859403154</v>
      </c>
      <c r="H252" s="950">
        <f t="shared" si="25"/>
        <v>-3609.100831710326</v>
      </c>
      <c r="I252" s="42">
        <f>'[2]поточний ремонт'!I252+'[1]поточний ремонт'!I252</f>
        <v>0</v>
      </c>
      <c r="J252" s="42">
        <f>'[2]поточний ремонт'!J252+'[1]поточний ремонт'!J252</f>
        <v>0</v>
      </c>
      <c r="K252" s="962"/>
      <c r="L252" s="42">
        <f>'[2]поточний ремонт'!L252+'[1]поточний ремонт'!L252</f>
        <v>0</v>
      </c>
      <c r="M252" s="42">
        <f>'[2]поточний ремонт'!M252+'[1]поточний ремонт'!M252</f>
        <v>0</v>
      </c>
      <c r="N252" s="36"/>
      <c r="O252" s="42">
        <f>'[2]поточний ремонт'!O252+'[1]поточний ремонт'!O252</f>
        <v>0</v>
      </c>
      <c r="P252" s="42">
        <f>'[2]поточний ремонт'!P252+'[1]поточний ремонт'!P252</f>
        <v>0</v>
      </c>
      <c r="Q252" s="959"/>
      <c r="R252" s="42">
        <f>'[2]поточний ремонт'!R252+'[1]поточний ремонт'!R252</f>
        <v>0</v>
      </c>
      <c r="S252" s="42">
        <f>'[2]поточний ремонт'!S252+'[1]поточний ремонт'!S252</f>
        <v>0</v>
      </c>
      <c r="T252" s="960"/>
      <c r="U252" s="42">
        <f>'[2]поточний ремонт'!U252+'[1]поточний ремонт'!U252</f>
        <v>0</v>
      </c>
      <c r="V252" s="42">
        <f>'[2]поточний ремонт'!V252+'[1]поточний ремонт'!V252</f>
        <v>0</v>
      </c>
      <c r="W252" s="42">
        <f>'[2]поточний ремонт'!W252+'[1]поточний ремонт'!W252</f>
        <v>0</v>
      </c>
      <c r="X252" s="42">
        <f>'[2]поточний ремонт'!X252+'[1]поточний ремонт'!X252</f>
        <v>0</v>
      </c>
      <c r="Y252" s="42">
        <f>'[2]поточний ремонт'!Y252+'[1]поточний ремонт'!Y252</f>
        <v>870.1576319267831</v>
      </c>
      <c r="Z252" s="42">
        <f>'[2]поточний ремонт'!Z252+'[1]поточний ремонт'!Z252</f>
        <v>0</v>
      </c>
      <c r="AA252" s="42">
        <f>'[2]поточний ремонт'!AA252+'[1]поточний ремонт'!AA252</f>
        <v>0</v>
      </c>
      <c r="AB252" s="42">
        <f>'[2]поточний ремонт'!AB252+'[1]поточний ремонт'!AB252</f>
        <v>0</v>
      </c>
      <c r="AC252" s="42">
        <f>'[2]поточний ремонт'!AC252+'[1]поточний ремонт'!AC252</f>
        <v>0</v>
      </c>
      <c r="AD252" s="42">
        <f>'[2]поточний ремонт'!AD252+'[1]поточний ремонт'!AD252</f>
        <v>63.925956667248464</v>
      </c>
      <c r="AE252" s="42">
        <f>'[2]поточний ремонт'!AE252+'[1]поточний ремонт'!AE252</f>
        <v>846.13505291795866</v>
      </c>
      <c r="AF252" s="42">
        <f>'[2]поточний ремонт'!AF252+'[1]поточний ремонт'!AF252</f>
        <v>353.76054788612788</v>
      </c>
      <c r="AG252" s="5"/>
      <c r="AH252" s="42">
        <f>'[2]поточний ремонт'!AH252+'[1]поточний ремонт'!AH252</f>
        <v>1141.2604514294317</v>
      </c>
      <c r="AI252" s="42">
        <f>'[2]поточний ремонт'!AI252+'[1]поточний ремонт'!AI252</f>
        <v>0</v>
      </c>
      <c r="AJ252" s="5"/>
      <c r="AK252" s="42">
        <f>'[2]поточний ремонт'!AK252+'[1]поточний ремонт'!AK252</f>
        <v>856.87703891552212</v>
      </c>
      <c r="AL252" s="42">
        <f>'[2]поточний ремонт'!AL252+'[1]поточний ремонт'!AL252</f>
        <v>0</v>
      </c>
      <c r="AM252" s="5"/>
      <c r="AN252" s="42">
        <f>'[2]поточний ремонт'!AN252+'[1]поточний ремонт'!AN252</f>
        <v>0</v>
      </c>
      <c r="AO252" s="42">
        <f>'[2]поточний ремонт'!AO252+'[1]поточний ремонт'!AO252</f>
        <v>0</v>
      </c>
      <c r="AP252" s="5"/>
      <c r="AQ252" s="42">
        <f>'[2]поточний ремонт'!AQ252+'[1]поточний ремонт'!AQ252</f>
        <v>0</v>
      </c>
      <c r="AR252" s="42">
        <f>'[2]поточний ремонт'!AR252+'[1]поточний ремонт'!AR252</f>
        <v>479.81746655732121</v>
      </c>
      <c r="AS252" s="5"/>
      <c r="AT252" s="42">
        <f>'[2]поточний ремонт'!AT252+'[1]поточний ремонт'!AT252</f>
        <v>448.5155434190163</v>
      </c>
      <c r="AU252" s="42">
        <f>'[2]поточний ремонт'!AU252+'[1]поточний ремонт'!AU252</f>
        <v>0</v>
      </c>
      <c r="AV252" s="5"/>
      <c r="AW252" s="42">
        <f>'[2]поточний ремонт'!AW252+'[1]поточний ремонт'!AW252</f>
        <v>27.982814826598393</v>
      </c>
      <c r="AX252" s="42">
        <f>'[2]поточний ремонт'!AX252+'[1]поточний ремонт'!AX252</f>
        <v>0</v>
      </c>
      <c r="AY252" s="5"/>
      <c r="AZ252" s="42">
        <f t="shared" si="26"/>
        <v>3320.770901508527</v>
      </c>
      <c r="BA252" s="42">
        <f t="shared" si="27"/>
        <v>833.57801444344909</v>
      </c>
      <c r="BB252" s="58">
        <f t="shared" si="28"/>
        <v>-2487.1928870650781</v>
      </c>
      <c r="BD252" s="2">
        <v>2</v>
      </c>
      <c r="BF252" s="29">
        <v>1.872584494588698</v>
      </c>
      <c r="BG252" s="318">
        <v>150001043</v>
      </c>
      <c r="BI252" s="104">
        <v>0</v>
      </c>
      <c r="BJ252" s="104">
        <f t="shared" si="35"/>
        <v>0</v>
      </c>
      <c r="BK252" s="104">
        <v>0</v>
      </c>
      <c r="BL252" s="38"/>
      <c r="BM252" s="3"/>
      <c r="BN252" s="3">
        <v>0</v>
      </c>
      <c r="BP252" s="3"/>
      <c r="BQ252" s="3"/>
      <c r="BS252" s="42"/>
      <c r="BT252" s="42">
        <v>0</v>
      </c>
      <c r="BU252" s="962"/>
      <c r="BV252" s="41"/>
      <c r="BW252" s="42"/>
      <c r="BX252" s="36"/>
      <c r="BY252" s="76"/>
      <c r="BZ252" s="42">
        <v>0</v>
      </c>
      <c r="CA252" s="959"/>
      <c r="CB252" s="41"/>
      <c r="CC252" s="41">
        <v>0</v>
      </c>
      <c r="CD252" s="960"/>
      <c r="CE252" s="76">
        <v>0</v>
      </c>
      <c r="CF252" s="55"/>
      <c r="CG252" s="41">
        <v>0</v>
      </c>
      <c r="CH252" s="38">
        <v>0</v>
      </c>
      <c r="CI252" s="76">
        <v>0</v>
      </c>
      <c r="CJ252" s="55"/>
      <c r="CK252" s="955"/>
      <c r="CL252" s="950"/>
      <c r="CM252" s="955"/>
      <c r="CN252" s="950">
        <v>0</v>
      </c>
      <c r="CO252" s="76">
        <v>69.128793189800675</v>
      </c>
      <c r="CP252" s="42">
        <v>0</v>
      </c>
      <c r="CQ252" s="5"/>
      <c r="CR252" s="76">
        <v>97.881167455611291</v>
      </c>
      <c r="CS252" s="954">
        <v>0</v>
      </c>
      <c r="CT252" s="5"/>
      <c r="CU252" s="76">
        <v>72.45868339084042</v>
      </c>
      <c r="CV252" s="42">
        <v>0</v>
      </c>
      <c r="CW252" s="5"/>
      <c r="CX252" s="76">
        <v>0</v>
      </c>
      <c r="CY252" s="42">
        <v>0</v>
      </c>
      <c r="CZ252" s="5"/>
      <c r="DA252" s="76">
        <v>0</v>
      </c>
      <c r="DB252" s="42">
        <v>0</v>
      </c>
      <c r="DC252" s="5"/>
      <c r="DD252" s="76">
        <v>29.121041030394103</v>
      </c>
      <c r="DE252" s="42">
        <v>0</v>
      </c>
      <c r="DF252" s="5"/>
      <c r="DG252" s="76">
        <v>0</v>
      </c>
      <c r="DH252" s="42"/>
      <c r="DI252" s="5"/>
      <c r="DJ252" s="42">
        <v>268.5896850666465</v>
      </c>
      <c r="DK252" s="42">
        <f t="shared" si="36"/>
        <v>0</v>
      </c>
      <c r="DL252" s="58">
        <f t="shared" si="37"/>
        <v>-268.5896850666465</v>
      </c>
      <c r="DM252" s="2">
        <v>2</v>
      </c>
    </row>
    <row r="253" spans="1:117" ht="24.9" customHeight="1" x14ac:dyDescent="0.3">
      <c r="A253" s="318">
        <v>150000750</v>
      </c>
      <c r="B253" s="44" t="s">
        <v>129</v>
      </c>
      <c r="C253" s="956">
        <v>1</v>
      </c>
      <c r="D253" s="957" t="s">
        <v>454</v>
      </c>
      <c r="E253" s="949">
        <f>'побудинковий звіт'!E238</f>
        <v>6817.01</v>
      </c>
      <c r="F253" s="950">
        <f>'побудинковий звіт'!AS238</f>
        <v>90185.524318253912</v>
      </c>
      <c r="G253" s="950">
        <f t="shared" si="24"/>
        <v>0</v>
      </c>
      <c r="H253" s="950">
        <f t="shared" si="25"/>
        <v>-90185.524318253912</v>
      </c>
      <c r="I253" s="42">
        <f>'[2]поточний ремонт'!I253+'[1]поточний ремонт'!I253</f>
        <v>0</v>
      </c>
      <c r="J253" s="42">
        <f>'[2]поточний ремонт'!J253+'[1]поточний ремонт'!J253</f>
        <v>0</v>
      </c>
      <c r="K253" s="958"/>
      <c r="L253" s="42">
        <f>'[2]поточний ремонт'!L253+'[1]поточний ремонт'!L253</f>
        <v>0</v>
      </c>
      <c r="M253" s="42">
        <f>'[2]поточний ремонт'!M253+'[1]поточний ремонт'!M253</f>
        <v>0</v>
      </c>
      <c r="N253" s="36"/>
      <c r="O253" s="42">
        <f>'[2]поточний ремонт'!O253+'[1]поточний ремонт'!O253</f>
        <v>0</v>
      </c>
      <c r="P253" s="42">
        <f>'[2]поточний ремонт'!P253+'[1]поточний ремонт'!P253</f>
        <v>0</v>
      </c>
      <c r="Q253" s="959"/>
      <c r="R253" s="42">
        <f>'[2]поточний ремонт'!R253+'[1]поточний ремонт'!R253</f>
        <v>0</v>
      </c>
      <c r="S253" s="42">
        <f>'[2]поточний ремонт'!S253+'[1]поточний ремонт'!S253</f>
        <v>0</v>
      </c>
      <c r="T253" s="960"/>
      <c r="U253" s="42">
        <f>'[2]поточний ремонт'!U253+'[1]поточний ремонт'!U253</f>
        <v>0</v>
      </c>
      <c r="V253" s="42">
        <f>'[2]поточний ремонт'!V253+'[1]поточний ремонт'!V253</f>
        <v>0</v>
      </c>
      <c r="W253" s="42">
        <f>'[2]поточний ремонт'!W253+'[1]поточний ремонт'!W253</f>
        <v>0</v>
      </c>
      <c r="X253" s="42">
        <f>'[2]поточний ремонт'!X253+'[1]поточний ремонт'!X253</f>
        <v>0</v>
      </c>
      <c r="Y253" s="42">
        <f>'[2]поточний ремонт'!Y253+'[1]поточний ремонт'!Y253</f>
        <v>0</v>
      </c>
      <c r="Z253" s="42">
        <f>'[2]поточний ремонт'!Z253+'[1]поточний ремонт'!Z253</f>
        <v>0</v>
      </c>
      <c r="AA253" s="42">
        <f>'[2]поточний ремонт'!AA253+'[1]поточний ремонт'!AA253</f>
        <v>0</v>
      </c>
      <c r="AB253" s="42">
        <f>'[2]поточний ремонт'!AB253+'[1]поточний ремонт'!AB253</f>
        <v>0</v>
      </c>
      <c r="AC253" s="42">
        <f>'[2]поточний ремонт'!AC253+'[1]поточний ремонт'!AC253</f>
        <v>0</v>
      </c>
      <c r="AD253" s="42">
        <f>'[2]поточний ремонт'!AD253+'[1]поточний ремонт'!AD253</f>
        <v>0</v>
      </c>
      <c r="AE253" s="42">
        <f>'[2]поточний ремонт'!AE253+'[1]поточний ремонт'!AE253</f>
        <v>1365.7035594191289</v>
      </c>
      <c r="AF253" s="42">
        <f>'[2]поточний ремонт'!AF253+'[1]поточний ремонт'!AF253</f>
        <v>0</v>
      </c>
      <c r="AG253" s="5"/>
      <c r="AH253" s="42">
        <f>'[2]поточний ремонт'!AH253+'[1]поточний ремонт'!AH253</f>
        <v>2143.5042448176973</v>
      </c>
      <c r="AI253" s="42">
        <f>'[2]поточний ремонт'!AI253+'[1]поточний ремонт'!AI253</f>
        <v>0</v>
      </c>
      <c r="AJ253" s="5"/>
      <c r="AK253" s="42">
        <f>'[2]поточний ремонт'!AK253+'[1]поточний ремонт'!AK253</f>
        <v>1744.9062770190326</v>
      </c>
      <c r="AL253" s="42">
        <f>'[2]поточний ремонт'!AL253+'[1]поточний ремонт'!AL253</f>
        <v>0</v>
      </c>
      <c r="AM253" s="5"/>
      <c r="AN253" s="42">
        <f>'[2]поточний ремонт'!AN253+'[1]поточний ремонт'!AN253</f>
        <v>0</v>
      </c>
      <c r="AO253" s="42">
        <f>'[2]поточний ремонт'!AO253+'[1]поточний ремонт'!AO253</f>
        <v>0</v>
      </c>
      <c r="AP253" s="5"/>
      <c r="AQ253" s="42">
        <f>'[2]поточний ремонт'!AQ253+'[1]поточний ремонт'!AQ253</f>
        <v>0</v>
      </c>
      <c r="AR253" s="42">
        <f>'[2]поточний ремонт'!AR253+'[1]поточний ремонт'!AR253</f>
        <v>0</v>
      </c>
      <c r="AS253" s="5"/>
      <c r="AT253" s="42">
        <f>'[2]поточний ремонт'!AT253+'[1]поточний ремонт'!AT253</f>
        <v>850.1377089714357</v>
      </c>
      <c r="AU253" s="42">
        <f>'[2]поточний ремонт'!AU253+'[1]поточний ремонт'!AU253</f>
        <v>0</v>
      </c>
      <c r="AV253" s="5"/>
      <c r="AW253" s="42">
        <f>'[2]поточний ремонт'!AW253+'[1]поточний ремонт'!AW253</f>
        <v>0</v>
      </c>
      <c r="AX253" s="42">
        <f>'[2]поточний ремонт'!AX253+'[1]поточний ремонт'!AX253</f>
        <v>0</v>
      </c>
      <c r="AY253" s="5"/>
      <c r="AZ253" s="42">
        <f t="shared" si="26"/>
        <v>6104.2517902272948</v>
      </c>
      <c r="BA253" s="42">
        <f t="shared" si="27"/>
        <v>0</v>
      </c>
      <c r="BB253" s="58">
        <f t="shared" si="28"/>
        <v>-6104.2517902272948</v>
      </c>
      <c r="BD253" s="2">
        <v>1</v>
      </c>
      <c r="BF253" s="29">
        <v>0</v>
      </c>
      <c r="BG253" s="318">
        <v>150000750</v>
      </c>
      <c r="BI253" s="104">
        <v>0</v>
      </c>
      <c r="BJ253" s="104">
        <f t="shared" si="35"/>
        <v>0</v>
      </c>
      <c r="BK253" s="104">
        <v>0</v>
      </c>
      <c r="BL253" s="38"/>
      <c r="BM253" s="3"/>
      <c r="BN253" s="3">
        <v>0</v>
      </c>
      <c r="BP253" s="3"/>
      <c r="BQ253" s="3"/>
      <c r="BS253" s="42"/>
      <c r="BT253" s="42">
        <v>0</v>
      </c>
      <c r="BU253" s="958"/>
      <c r="BV253" s="41"/>
      <c r="BW253" s="42"/>
      <c r="BX253" s="36"/>
      <c r="BY253" s="76"/>
      <c r="BZ253" s="42">
        <v>0</v>
      </c>
      <c r="CA253" s="959"/>
      <c r="CB253" s="41"/>
      <c r="CC253" s="41">
        <v>0</v>
      </c>
      <c r="CD253" s="960"/>
      <c r="CE253" s="76">
        <v>0</v>
      </c>
      <c r="CF253" s="55"/>
      <c r="CG253" s="41">
        <v>0</v>
      </c>
      <c r="CH253" s="38">
        <v>0</v>
      </c>
      <c r="CI253" s="76">
        <v>0</v>
      </c>
      <c r="CJ253" s="55"/>
      <c r="CK253" s="955"/>
      <c r="CL253" s="950"/>
      <c r="CM253" s="955"/>
      <c r="CN253" s="950">
        <v>0</v>
      </c>
      <c r="CO253" s="76">
        <v>0</v>
      </c>
      <c r="CP253" s="42">
        <v>0</v>
      </c>
      <c r="CQ253" s="5"/>
      <c r="CR253" s="76">
        <v>0</v>
      </c>
      <c r="CS253" s="954">
        <v>0</v>
      </c>
      <c r="CT253" s="5"/>
      <c r="CU253" s="76">
        <v>0</v>
      </c>
      <c r="CV253" s="42">
        <v>0</v>
      </c>
      <c r="CW253" s="5"/>
      <c r="CX253" s="76">
        <v>0</v>
      </c>
      <c r="CY253" s="42">
        <v>0</v>
      </c>
      <c r="CZ253" s="5"/>
      <c r="DA253" s="76">
        <v>0</v>
      </c>
      <c r="DB253" s="42">
        <v>0</v>
      </c>
      <c r="DC253" s="5"/>
      <c r="DD253" s="76">
        <v>0</v>
      </c>
      <c r="DE253" s="42">
        <v>0</v>
      </c>
      <c r="DF253" s="5"/>
      <c r="DG253" s="76">
        <v>0</v>
      </c>
      <c r="DH253" s="42"/>
      <c r="DI253" s="5"/>
      <c r="DJ253" s="42">
        <v>0</v>
      </c>
      <c r="DK253" s="42">
        <f t="shared" si="36"/>
        <v>0</v>
      </c>
      <c r="DL253" s="58">
        <f t="shared" si="37"/>
        <v>0</v>
      </c>
      <c r="DM253" s="2">
        <v>1</v>
      </c>
    </row>
    <row r="254" spans="1:117" ht="24.9" customHeight="1" x14ac:dyDescent="0.3">
      <c r="A254" s="318">
        <v>150000751</v>
      </c>
      <c r="B254" s="44" t="s">
        <v>130</v>
      </c>
      <c r="C254" s="956">
        <v>1</v>
      </c>
      <c r="D254" s="957" t="s">
        <v>454</v>
      </c>
      <c r="E254" s="949">
        <f>'побудинковий звіт'!E239</f>
        <v>2823.9</v>
      </c>
      <c r="F254" s="950">
        <f>'побудинковий звіт'!AS239</f>
        <v>37347.06266843449</v>
      </c>
      <c r="G254" s="950">
        <f t="shared" si="24"/>
        <v>0</v>
      </c>
      <c r="H254" s="950">
        <f t="shared" si="25"/>
        <v>-37347.06266843449</v>
      </c>
      <c r="I254" s="42">
        <f>'[2]поточний ремонт'!I254+'[1]поточний ремонт'!I254</f>
        <v>0</v>
      </c>
      <c r="J254" s="42">
        <f>'[2]поточний ремонт'!J254+'[1]поточний ремонт'!J254</f>
        <v>0</v>
      </c>
      <c r="K254" s="958"/>
      <c r="L254" s="42">
        <f>'[2]поточний ремонт'!L254+'[1]поточний ремонт'!L254</f>
        <v>0</v>
      </c>
      <c r="M254" s="42">
        <f>'[2]поточний ремонт'!M254+'[1]поточний ремонт'!M254</f>
        <v>0</v>
      </c>
      <c r="N254" s="36"/>
      <c r="O254" s="42">
        <f>'[2]поточний ремонт'!O254+'[1]поточний ремонт'!O254</f>
        <v>0</v>
      </c>
      <c r="P254" s="42">
        <f>'[2]поточний ремонт'!P254+'[1]поточний ремонт'!P254</f>
        <v>0</v>
      </c>
      <c r="Q254" s="959"/>
      <c r="R254" s="42">
        <f>'[2]поточний ремонт'!R254+'[1]поточний ремонт'!R254</f>
        <v>0</v>
      </c>
      <c r="S254" s="42">
        <f>'[2]поточний ремонт'!S254+'[1]поточний ремонт'!S254</f>
        <v>0</v>
      </c>
      <c r="T254" s="960"/>
      <c r="U254" s="42">
        <f>'[2]поточний ремонт'!U254+'[1]поточний ремонт'!U254</f>
        <v>0</v>
      </c>
      <c r="V254" s="42">
        <f>'[2]поточний ремонт'!V254+'[1]поточний ремонт'!V254</f>
        <v>0</v>
      </c>
      <c r="W254" s="42">
        <f>'[2]поточний ремонт'!W254+'[1]поточний ремонт'!W254</f>
        <v>0</v>
      </c>
      <c r="X254" s="42">
        <f>'[2]поточний ремонт'!X254+'[1]поточний ремонт'!X254</f>
        <v>0</v>
      </c>
      <c r="Y254" s="42">
        <f>'[2]поточний ремонт'!Y254+'[1]поточний ремонт'!Y254</f>
        <v>0</v>
      </c>
      <c r="Z254" s="42">
        <f>'[2]поточний ремонт'!Z254+'[1]поточний ремонт'!Z254</f>
        <v>0</v>
      </c>
      <c r="AA254" s="42">
        <f>'[2]поточний ремонт'!AA254+'[1]поточний ремонт'!AA254</f>
        <v>0</v>
      </c>
      <c r="AB254" s="42">
        <f>'[2]поточний ремонт'!AB254+'[1]поточний ремонт'!AB254</f>
        <v>0</v>
      </c>
      <c r="AC254" s="42">
        <f>'[2]поточний ремонт'!AC254+'[1]поточний ремонт'!AC254</f>
        <v>0</v>
      </c>
      <c r="AD254" s="42">
        <f>'[2]поточний ремонт'!AD254+'[1]поточний ремонт'!AD254</f>
        <v>0</v>
      </c>
      <c r="AE254" s="42">
        <f>'[2]поточний ремонт'!AE254+'[1]поточний ремонт'!AE254</f>
        <v>1112.4586635456358</v>
      </c>
      <c r="AF254" s="42">
        <f>'[2]поточний ремонт'!AF254+'[1]поточний ремонт'!AF254</f>
        <v>0</v>
      </c>
      <c r="AG254" s="5"/>
      <c r="AH254" s="42">
        <f>'[2]поточний ремонт'!AH254+'[1]поточний ремонт'!AH254</f>
        <v>1716.4894849985837</v>
      </c>
      <c r="AI254" s="42">
        <f>'[2]поточний ремонт'!AI254+'[1]поточний ремонт'!AI254</f>
        <v>0</v>
      </c>
      <c r="AJ254" s="5"/>
      <c r="AK254" s="42">
        <f>'[2]поточний ремонт'!AK254+'[1]поточний ремонт'!AK254</f>
        <v>1523.7536474436763</v>
      </c>
      <c r="AL254" s="42">
        <f>'[2]поточний ремонт'!AL254+'[1]поточний ремонт'!AL254</f>
        <v>0</v>
      </c>
      <c r="AM254" s="5"/>
      <c r="AN254" s="42">
        <f>'[2]поточний ремонт'!AN254+'[1]поточний ремонт'!AN254</f>
        <v>0</v>
      </c>
      <c r="AO254" s="42">
        <f>'[2]поточний ремонт'!AO254+'[1]поточний ремонт'!AO254</f>
        <v>0</v>
      </c>
      <c r="AP254" s="5"/>
      <c r="AQ254" s="42">
        <f>'[2]поточний ремонт'!AQ254+'[1]поточний ремонт'!AQ254</f>
        <v>0</v>
      </c>
      <c r="AR254" s="42">
        <f>'[2]поточний ремонт'!AR254+'[1]поточний ремонт'!AR254</f>
        <v>0</v>
      </c>
      <c r="AS254" s="5"/>
      <c r="AT254" s="42">
        <f>'[2]поточний ремонт'!AT254+'[1]поточний ремонт'!AT254</f>
        <v>610.46510845650778</v>
      </c>
      <c r="AU254" s="42">
        <f>'[2]поточний ремонт'!AU254+'[1]поточний ремонт'!AU254</f>
        <v>0</v>
      </c>
      <c r="AV254" s="5"/>
      <c r="AW254" s="42">
        <f>'[2]поточний ремонт'!AW254+'[1]поточний ремонт'!AW254</f>
        <v>0</v>
      </c>
      <c r="AX254" s="42">
        <f>'[2]поточний ремонт'!AX254+'[1]поточний ремонт'!AX254</f>
        <v>0</v>
      </c>
      <c r="AY254" s="5"/>
      <c r="AZ254" s="42">
        <f t="shared" si="26"/>
        <v>4963.1669044444034</v>
      </c>
      <c r="BA254" s="42">
        <f t="shared" si="27"/>
        <v>0</v>
      </c>
      <c r="BB254" s="58">
        <f t="shared" si="28"/>
        <v>-4963.1669044444034</v>
      </c>
      <c r="BD254" s="2">
        <v>1</v>
      </c>
      <c r="BF254" s="29">
        <v>0</v>
      </c>
      <c r="BG254" s="318">
        <v>150000751</v>
      </c>
      <c r="BI254" s="104">
        <v>0</v>
      </c>
      <c r="BJ254" s="104">
        <f t="shared" si="35"/>
        <v>0</v>
      </c>
      <c r="BK254" s="104">
        <v>0</v>
      </c>
      <c r="BL254" s="38"/>
      <c r="BM254" s="3"/>
      <c r="BN254" s="3">
        <v>0</v>
      </c>
      <c r="BP254" s="3"/>
      <c r="BQ254" s="3"/>
      <c r="BS254" s="42"/>
      <c r="BT254" s="42">
        <v>0</v>
      </c>
      <c r="BU254" s="958"/>
      <c r="BV254" s="41"/>
      <c r="BW254" s="42"/>
      <c r="BX254" s="36"/>
      <c r="BY254" s="76"/>
      <c r="BZ254" s="42">
        <v>0</v>
      </c>
      <c r="CA254" s="959"/>
      <c r="CB254" s="41"/>
      <c r="CC254" s="41">
        <v>0</v>
      </c>
      <c r="CD254" s="960"/>
      <c r="CE254" s="76">
        <v>0</v>
      </c>
      <c r="CF254" s="55"/>
      <c r="CG254" s="41">
        <v>0</v>
      </c>
      <c r="CH254" s="38">
        <v>0</v>
      </c>
      <c r="CI254" s="76">
        <v>0</v>
      </c>
      <c r="CJ254" s="55"/>
      <c r="CK254" s="955"/>
      <c r="CL254" s="950"/>
      <c r="CM254" s="955"/>
      <c r="CN254" s="950">
        <v>0</v>
      </c>
      <c r="CO254" s="76">
        <v>0</v>
      </c>
      <c r="CP254" s="42">
        <v>0</v>
      </c>
      <c r="CQ254" s="5"/>
      <c r="CR254" s="76">
        <v>0</v>
      </c>
      <c r="CS254" s="954">
        <v>0</v>
      </c>
      <c r="CT254" s="5"/>
      <c r="CU254" s="76">
        <v>0</v>
      </c>
      <c r="CV254" s="42">
        <v>0</v>
      </c>
      <c r="CW254" s="5"/>
      <c r="CX254" s="76">
        <v>0</v>
      </c>
      <c r="CY254" s="42">
        <v>0</v>
      </c>
      <c r="CZ254" s="5"/>
      <c r="DA254" s="76">
        <v>0</v>
      </c>
      <c r="DB254" s="42">
        <v>0</v>
      </c>
      <c r="DC254" s="5"/>
      <c r="DD254" s="76">
        <v>0</v>
      </c>
      <c r="DE254" s="42">
        <v>0</v>
      </c>
      <c r="DF254" s="5"/>
      <c r="DG254" s="76">
        <v>0</v>
      </c>
      <c r="DH254" s="42"/>
      <c r="DI254" s="5"/>
      <c r="DJ254" s="42">
        <v>0</v>
      </c>
      <c r="DK254" s="42">
        <f t="shared" si="36"/>
        <v>0</v>
      </c>
      <c r="DL254" s="58">
        <f t="shared" si="37"/>
        <v>0</v>
      </c>
      <c r="DM254" s="2">
        <v>1</v>
      </c>
    </row>
    <row r="255" spans="1:117" ht="24.9" customHeight="1" x14ac:dyDescent="0.3">
      <c r="A255" s="318">
        <v>150000752</v>
      </c>
      <c r="B255" s="44" t="s">
        <v>386</v>
      </c>
      <c r="C255" s="956">
        <v>9</v>
      </c>
      <c r="D255" s="957" t="s">
        <v>454</v>
      </c>
      <c r="E255" s="949">
        <f>'побудинковий звіт'!E240</f>
        <v>3505.5</v>
      </c>
      <c r="F255" s="950">
        <f>'побудинковий звіт'!AS240</f>
        <v>35356.407265237038</v>
      </c>
      <c r="G255" s="950">
        <f t="shared" si="24"/>
        <v>67502.399864330699</v>
      </c>
      <c r="H255" s="950">
        <f t="shared" si="25"/>
        <v>32145.992599093661</v>
      </c>
      <c r="I255" s="42">
        <f>'[2]поточний ремонт'!I255+'[1]поточний ремонт'!I255</f>
        <v>0</v>
      </c>
      <c r="J255" s="42">
        <f>'[2]поточний ремонт'!J255+'[1]поточний ремонт'!J255</f>
        <v>0</v>
      </c>
      <c r="K255" s="958"/>
      <c r="L255" s="42">
        <f>'[2]поточний ремонт'!L255+'[1]поточний ремонт'!L255</f>
        <v>0</v>
      </c>
      <c r="M255" s="42">
        <f>'[2]поточний ремонт'!M255+'[1]поточний ремонт'!M255</f>
        <v>0</v>
      </c>
      <c r="N255" s="36"/>
      <c r="O255" s="42">
        <f>'[2]поточний ремонт'!O255+'[1]поточний ремонт'!O255</f>
        <v>0</v>
      </c>
      <c r="P255" s="42">
        <f>'[2]поточний ремонт'!P255+'[1]поточний ремонт'!P255</f>
        <v>0</v>
      </c>
      <c r="Q255" s="959"/>
      <c r="R255" s="42">
        <f>'[2]поточний ремонт'!R255+'[1]поточний ремонт'!R255</f>
        <v>3</v>
      </c>
      <c r="S255" s="42">
        <f>'[2]поточний ремонт'!S255+'[1]поточний ремонт'!S255</f>
        <v>58012.681147640193</v>
      </c>
      <c r="T255" s="967"/>
      <c r="U255" s="42">
        <f>'[2]поточний ремонт'!U255+'[1]поточний ремонт'!U255</f>
        <v>0</v>
      </c>
      <c r="V255" s="42">
        <f>'[2]поточний ремонт'!V255+'[1]поточний ремонт'!V255</f>
        <v>0</v>
      </c>
      <c r="W255" s="42">
        <f>'[2]поточний ремонт'!W255+'[1]поточний ремонт'!W255</f>
        <v>0</v>
      </c>
      <c r="X255" s="42">
        <f>'[2]поточний ремонт'!X255+'[1]поточний ремонт'!X255</f>
        <v>0</v>
      </c>
      <c r="Y255" s="42">
        <f>'[2]поточний ремонт'!Y255+'[1]поточний ремонт'!Y255</f>
        <v>945.34531979928818</v>
      </c>
      <c r="Z255" s="42">
        <f>'[2]поточний ремонт'!Z255+'[1]поточний ремонт'!Z255</f>
        <v>0</v>
      </c>
      <c r="AA255" s="42">
        <f>'[2]поточний ремонт'!AA255+'[1]поточний ремонт'!AA255</f>
        <v>0</v>
      </c>
      <c r="AB255" s="42">
        <f>'[2]поточний ремонт'!AB255+'[1]поточний ремонт'!AB255</f>
        <v>4551.4980814956698</v>
      </c>
      <c r="AC255" s="42">
        <f>'[2]поточний ремонт'!AC255+'[1]поточний ремонт'!AC255</f>
        <v>287.9117873377225</v>
      </c>
      <c r="AD255" s="42">
        <f>'[2]поточний ремонт'!AD255+'[1]поточний ремонт'!AD255</f>
        <v>3704.9635280578159</v>
      </c>
      <c r="AE255" s="42">
        <f>'[2]поточний ремонт'!AE255+'[1]поточний ремонт'!AE255</f>
        <v>1133.7632978774454</v>
      </c>
      <c r="AF255" s="42">
        <f>'[2]поточний ремонт'!AF255+'[1]поточний ремонт'!AF255</f>
        <v>1112.5486985183848</v>
      </c>
      <c r="AG255" s="5"/>
      <c r="AH255" s="42">
        <f>'[2]поточний ремонт'!AH255+'[1]поточний ремонт'!AH255</f>
        <v>1233.2255257216709</v>
      </c>
      <c r="AI255" s="42">
        <f>'[2]поточний ремонт'!AI255+'[1]поточний ремонт'!AI255</f>
        <v>0</v>
      </c>
      <c r="AJ255" s="5"/>
      <c r="AK255" s="42">
        <f>'[2]поточний ремонт'!AK255+'[1]поточний ремонт'!AK255</f>
        <v>1407.9886881309833</v>
      </c>
      <c r="AL255" s="42">
        <f>'[2]поточний ремонт'!AL255+'[1]поточний ремонт'!AL255</f>
        <v>0</v>
      </c>
      <c r="AM255" s="5"/>
      <c r="AN255" s="42">
        <f>'[2]поточний ремонт'!AN255+'[1]поточний ремонт'!AN255</f>
        <v>229.02457692330518</v>
      </c>
      <c r="AO255" s="42">
        <f>'[2]поточний ремонт'!AO255+'[1]поточний ремонт'!AO255</f>
        <v>0</v>
      </c>
      <c r="AP255" s="5"/>
      <c r="AQ255" s="42">
        <f>'[2]поточний ремонт'!AQ255+'[1]поточний ремонт'!AQ255</f>
        <v>229.05396590599128</v>
      </c>
      <c r="AR255" s="42">
        <f>'[2]поточний ремонт'!AR255+'[1]поточний ремонт'!AR255</f>
        <v>0</v>
      </c>
      <c r="AS255" s="9"/>
      <c r="AT255" s="42">
        <f>'[2]поточний ремонт'!AT255+'[1]поточний ремонт'!AT255</f>
        <v>1169.4726993078179</v>
      </c>
      <c r="AU255" s="42">
        <f>'[2]поточний ремонт'!AU255+'[1]поточний ремонт'!AU255</f>
        <v>4133.8344522758753</v>
      </c>
      <c r="AV255" s="5"/>
      <c r="AW255" s="42">
        <f>'[2]поточний ремонт'!AW255+'[1]поточний ремонт'!AW255</f>
        <v>172.14496702523837</v>
      </c>
      <c r="AX255" s="42">
        <f>'[2]поточний ремонт'!AX255+'[1]поточний ремонт'!AX255</f>
        <v>12702.530811934001</v>
      </c>
      <c r="AY255" s="5"/>
      <c r="AZ255" s="42">
        <f t="shared" si="26"/>
        <v>5574.6737208924533</v>
      </c>
      <c r="BA255" s="42">
        <f t="shared" si="27"/>
        <v>17948.91396272826</v>
      </c>
      <c r="BB255" s="58">
        <f t="shared" si="28"/>
        <v>12374.240241835807</v>
      </c>
      <c r="BD255" s="2">
        <v>1</v>
      </c>
      <c r="BF255" s="29">
        <v>243.82040302200542</v>
      </c>
      <c r="BG255" s="318">
        <v>150000752</v>
      </c>
      <c r="BI255" s="104">
        <v>0</v>
      </c>
      <c r="BJ255" s="104">
        <f t="shared" si="35"/>
        <v>0</v>
      </c>
      <c r="BK255" s="104">
        <v>0</v>
      </c>
      <c r="BL255" s="38"/>
      <c r="BM255" s="3"/>
      <c r="BN255" s="3">
        <v>0</v>
      </c>
      <c r="BP255" s="3"/>
      <c r="BQ255" s="3"/>
      <c r="BS255" s="42"/>
      <c r="BT255" s="42">
        <v>0</v>
      </c>
      <c r="BU255" s="958"/>
      <c r="BV255" s="41"/>
      <c r="BW255" s="42"/>
      <c r="BX255" s="36"/>
      <c r="BY255" s="76"/>
      <c r="BZ255" s="42">
        <v>0</v>
      </c>
      <c r="CA255" s="959"/>
      <c r="CB255" s="41"/>
      <c r="CC255" s="41">
        <v>0</v>
      </c>
      <c r="CD255" s="967"/>
      <c r="CE255" s="76">
        <v>0</v>
      </c>
      <c r="CF255" s="55"/>
      <c r="CG255" s="41">
        <v>0</v>
      </c>
      <c r="CH255" s="38">
        <v>0</v>
      </c>
      <c r="CI255" s="76">
        <v>0</v>
      </c>
      <c r="CJ255" s="55"/>
      <c r="CK255" s="955"/>
      <c r="CL255" s="950"/>
      <c r="CM255" s="955"/>
      <c r="CN255" s="950">
        <v>657.68733117899058</v>
      </c>
      <c r="CO255" s="76">
        <v>80.141172267263244</v>
      </c>
      <c r="CP255" s="42">
        <v>0</v>
      </c>
      <c r="CQ255" s="5"/>
      <c r="CR255" s="76">
        <v>108.15190846940901</v>
      </c>
      <c r="CS255" s="954">
        <v>0</v>
      </c>
      <c r="CT255" s="5"/>
      <c r="CU255" s="76">
        <v>150.40697794287075</v>
      </c>
      <c r="CV255" s="42">
        <v>0</v>
      </c>
      <c r="CW255" s="5"/>
      <c r="CX255" s="76">
        <v>54.70799145085234</v>
      </c>
      <c r="CY255" s="42">
        <v>0</v>
      </c>
      <c r="CZ255" s="5"/>
      <c r="DA255" s="76">
        <v>32.980617657691397</v>
      </c>
      <c r="DB255" s="42">
        <v>0</v>
      </c>
      <c r="DC255" s="9"/>
      <c r="DD255" s="76">
        <v>91.046599398173072</v>
      </c>
      <c r="DE255" s="42">
        <v>2125.7673942490133</v>
      </c>
      <c r="DF255" s="5"/>
      <c r="DG255" s="76">
        <v>47.080739261645796</v>
      </c>
      <c r="DH255" s="42"/>
      <c r="DI255" s="5"/>
      <c r="DJ255" s="42">
        <v>564.51600644790562</v>
      </c>
      <c r="DK255" s="42">
        <f t="shared" si="36"/>
        <v>2125.7673942490133</v>
      </c>
      <c r="DL255" s="58">
        <f t="shared" si="37"/>
        <v>1561.2513878011077</v>
      </c>
      <c r="DM255" s="2">
        <v>1</v>
      </c>
    </row>
    <row r="256" spans="1:117" ht="24.9" customHeight="1" x14ac:dyDescent="0.3">
      <c r="A256" s="318">
        <v>150001094</v>
      </c>
      <c r="B256" s="44" t="s">
        <v>185</v>
      </c>
      <c r="C256" s="956">
        <v>2</v>
      </c>
      <c r="D256" s="957" t="s">
        <v>454</v>
      </c>
      <c r="E256" s="949">
        <f>'побудинковий звіт'!E256</f>
        <v>1317.8000000000002</v>
      </c>
      <c r="F256" s="950">
        <f>'побудинковий звіт'!AS256</f>
        <v>17067.433313088692</v>
      </c>
      <c r="G256" s="950">
        <f t="shared" si="24"/>
        <v>0</v>
      </c>
      <c r="H256" s="950">
        <f t="shared" si="25"/>
        <v>-17067.433313088692</v>
      </c>
      <c r="I256" s="42">
        <f>'[2]поточний ремонт'!I256+'[1]поточний ремонт'!I256</f>
        <v>0</v>
      </c>
      <c r="J256" s="42">
        <f>'[2]поточний ремонт'!J256+'[1]поточний ремонт'!J256</f>
        <v>0</v>
      </c>
      <c r="K256" s="958"/>
      <c r="L256" s="42">
        <f>'[2]поточний ремонт'!L256+'[1]поточний ремонт'!L256</f>
        <v>0</v>
      </c>
      <c r="M256" s="42">
        <f>'[2]поточний ремонт'!M256+'[1]поточний ремонт'!M256</f>
        <v>0</v>
      </c>
      <c r="N256" s="36"/>
      <c r="O256" s="42">
        <f>'[2]поточний ремонт'!O256+'[1]поточний ремонт'!O256</f>
        <v>0</v>
      </c>
      <c r="P256" s="42">
        <f>'[2]поточний ремонт'!P256+'[1]поточний ремонт'!P256</f>
        <v>0</v>
      </c>
      <c r="Q256" s="959"/>
      <c r="R256" s="42">
        <f>'[2]поточний ремонт'!R256+'[1]поточний ремонт'!R256</f>
        <v>0</v>
      </c>
      <c r="S256" s="42">
        <f>'[2]поточний ремонт'!S256+'[1]поточний ремонт'!S256</f>
        <v>0</v>
      </c>
      <c r="T256" s="960"/>
      <c r="U256" s="42">
        <f>'[2]поточний ремонт'!U256+'[1]поточний ремонт'!U256</f>
        <v>0</v>
      </c>
      <c r="V256" s="42">
        <f>'[2]поточний ремонт'!V256+'[1]поточний ремонт'!V256</f>
        <v>0</v>
      </c>
      <c r="W256" s="42">
        <f>'[2]поточний ремонт'!W256+'[1]поточний ремонт'!W256</f>
        <v>0</v>
      </c>
      <c r="X256" s="42">
        <f>'[2]поточний ремонт'!X256+'[1]поточний ремонт'!X256</f>
        <v>0</v>
      </c>
      <c r="Y256" s="42">
        <f>'[2]поточний ремонт'!Y256+'[1]поточний ремонт'!Y256</f>
        <v>0</v>
      </c>
      <c r="Z256" s="42">
        <f>'[2]поточний ремонт'!Z256+'[1]поточний ремонт'!Z256</f>
        <v>0</v>
      </c>
      <c r="AA256" s="42">
        <f>'[2]поточний ремонт'!AA256+'[1]поточний ремонт'!AA256</f>
        <v>0</v>
      </c>
      <c r="AB256" s="42">
        <f>'[2]поточний ремонт'!AB256+'[1]поточний ремонт'!AB256</f>
        <v>0</v>
      </c>
      <c r="AC256" s="42">
        <f>'[2]поточний ремонт'!AC256+'[1]поточний ремонт'!AC256</f>
        <v>0</v>
      </c>
      <c r="AD256" s="42">
        <f>'[2]поточний ремонт'!AD256+'[1]поточний ремонт'!AD256</f>
        <v>0</v>
      </c>
      <c r="AE256" s="42">
        <f>'[2]поточний ремонт'!AE256+'[1]поточний ремонт'!AE256</f>
        <v>1127.1904194067079</v>
      </c>
      <c r="AF256" s="42">
        <f>'[2]поточний ремонт'!AF256+'[1]поточний ремонт'!AF256</f>
        <v>0</v>
      </c>
      <c r="AG256" s="5"/>
      <c r="AH256" s="42">
        <f>'[2]поточний ремонт'!AH256+'[1]поточний ремонт'!AH256</f>
        <v>1809.1395828634318</v>
      </c>
      <c r="AI256" s="42">
        <f>'[2]поточний ремонт'!AI256+'[1]поточний ремонт'!AI256</f>
        <v>0</v>
      </c>
      <c r="AJ256" s="5"/>
      <c r="AK256" s="42">
        <f>'[2]поточний ремонт'!AK256+'[1]поточний ремонт'!AK256</f>
        <v>1171.1659159460551</v>
      </c>
      <c r="AL256" s="42">
        <f>'[2]поточний ремонт'!AL256+'[1]поточний ремонт'!AL256</f>
        <v>0</v>
      </c>
      <c r="AM256" s="5"/>
      <c r="AN256" s="42">
        <f>'[2]поточний ремонт'!AN256+'[1]поточний ремонт'!AN256</f>
        <v>9.6842333827027165</v>
      </c>
      <c r="AO256" s="42">
        <f>'[2]поточний ремонт'!AO256+'[1]поточний ремонт'!AO256</f>
        <v>0</v>
      </c>
      <c r="AP256" s="5"/>
      <c r="AQ256" s="42">
        <f>'[2]поточний ремонт'!AQ256+'[1]поточний ремонт'!AQ256</f>
        <v>0</v>
      </c>
      <c r="AR256" s="42">
        <f>'[2]поточний ремонт'!AR256+'[1]поточний ремонт'!AR256</f>
        <v>0</v>
      </c>
      <c r="AS256" s="5"/>
      <c r="AT256" s="42">
        <f>'[2]поточний ремонт'!AT256+'[1]поточний ремонт'!AT256</f>
        <v>917.74621712897488</v>
      </c>
      <c r="AU256" s="42">
        <f>'[2]поточний ремонт'!AU256+'[1]поточний ремонт'!AU256</f>
        <v>0</v>
      </c>
      <c r="AV256" s="5"/>
      <c r="AW256" s="42">
        <f>'[2]поточний ремонт'!AW256+'[1]поточний ремонт'!AW256</f>
        <v>0</v>
      </c>
      <c r="AX256" s="42">
        <f>'[2]поточний ремонт'!AX256+'[1]поточний ремонт'!AX256</f>
        <v>0</v>
      </c>
      <c r="AY256" s="5"/>
      <c r="AZ256" s="42">
        <f t="shared" si="26"/>
        <v>5034.9263687278726</v>
      </c>
      <c r="BA256" s="42">
        <f t="shared" si="27"/>
        <v>0</v>
      </c>
      <c r="BB256" s="58">
        <f t="shared" si="28"/>
        <v>-5034.9263687278726</v>
      </c>
      <c r="BD256" s="2">
        <v>1</v>
      </c>
      <c r="BF256" s="29">
        <v>14.248797434463041</v>
      </c>
      <c r="BG256" s="318">
        <v>150001094</v>
      </c>
      <c r="BI256" s="104">
        <v>0</v>
      </c>
      <c r="BJ256" s="104">
        <f t="shared" si="35"/>
        <v>0</v>
      </c>
      <c r="BK256" s="104">
        <v>0</v>
      </c>
      <c r="BL256" s="38"/>
      <c r="BM256" s="3"/>
      <c r="BN256" s="3">
        <v>0</v>
      </c>
      <c r="BP256" s="3"/>
      <c r="BQ256" s="3"/>
      <c r="BS256" s="42"/>
      <c r="BT256" s="42">
        <v>0</v>
      </c>
      <c r="BU256" s="958"/>
      <c r="BV256" s="41"/>
      <c r="BW256" s="42"/>
      <c r="BX256" s="36"/>
      <c r="BY256" s="76"/>
      <c r="BZ256" s="42">
        <v>0</v>
      </c>
      <c r="CA256" s="959"/>
      <c r="CB256" s="41"/>
      <c r="CC256" s="41">
        <v>0</v>
      </c>
      <c r="CD256" s="960"/>
      <c r="CE256" s="76">
        <v>0</v>
      </c>
      <c r="CF256" s="55"/>
      <c r="CG256" s="41">
        <v>0</v>
      </c>
      <c r="CH256" s="38">
        <v>0</v>
      </c>
      <c r="CI256" s="76">
        <v>0</v>
      </c>
      <c r="CJ256" s="55"/>
      <c r="CK256" s="955"/>
      <c r="CL256" s="950"/>
      <c r="CM256" s="955"/>
      <c r="CN256" s="950">
        <v>0</v>
      </c>
      <c r="CO256" s="76">
        <v>0</v>
      </c>
      <c r="CP256" s="42">
        <v>0</v>
      </c>
      <c r="CQ256" s="5"/>
      <c r="CR256" s="76">
        <v>0</v>
      </c>
      <c r="CS256" s="954">
        <v>0</v>
      </c>
      <c r="CT256" s="5"/>
      <c r="CU256" s="76">
        <v>0</v>
      </c>
      <c r="CV256" s="42">
        <v>0</v>
      </c>
      <c r="CW256" s="5"/>
      <c r="CX256" s="76">
        <v>0</v>
      </c>
      <c r="CY256" s="42">
        <v>0</v>
      </c>
      <c r="CZ256" s="5"/>
      <c r="DA256" s="76">
        <v>0</v>
      </c>
      <c r="DB256" s="42">
        <v>0</v>
      </c>
      <c r="DC256" s="5"/>
      <c r="DD256" s="76">
        <v>11.529254215465631</v>
      </c>
      <c r="DE256" s="42">
        <v>0</v>
      </c>
      <c r="DF256" s="5"/>
      <c r="DG256" s="76">
        <v>0</v>
      </c>
      <c r="DH256" s="42"/>
      <c r="DI256" s="5"/>
      <c r="DJ256" s="42">
        <v>11.529254215465631</v>
      </c>
      <c r="DK256" s="42">
        <f t="shared" si="36"/>
        <v>0</v>
      </c>
      <c r="DL256" s="58">
        <f t="shared" si="37"/>
        <v>-11.529254215465631</v>
      </c>
      <c r="DM256" s="2">
        <v>1</v>
      </c>
    </row>
    <row r="257" spans="1:117" ht="24.9" customHeight="1" x14ac:dyDescent="0.3">
      <c r="A257" s="318">
        <v>150000795</v>
      </c>
      <c r="B257" s="44" t="s">
        <v>1834</v>
      </c>
      <c r="C257" s="956">
        <v>5</v>
      </c>
      <c r="D257" s="957" t="s">
        <v>454</v>
      </c>
      <c r="E257" s="949">
        <f>'побудинковий звіт'!E257</f>
        <v>7070.85</v>
      </c>
      <c r="F257" s="950">
        <f>'побудинковий звіт'!AS257</f>
        <v>143948.84396940528</v>
      </c>
      <c r="G257" s="950">
        <f t="shared" si="24"/>
        <v>18250.455600203022</v>
      </c>
      <c r="H257" s="950">
        <f t="shared" si="25"/>
        <v>-125698.38836920226</v>
      </c>
      <c r="I257" s="42">
        <f>'[2]поточний ремонт'!I257+'[1]поточний ремонт'!I257</f>
        <v>53</v>
      </c>
      <c r="J257" s="42">
        <f>'[2]поточний ремонт'!J257+'[1]поточний ремонт'!J257</f>
        <v>18250.455600203022</v>
      </c>
      <c r="K257" s="958"/>
      <c r="L257" s="42">
        <f>'[2]поточний ремонт'!L257+'[1]поточний ремонт'!L257</f>
        <v>0</v>
      </c>
      <c r="M257" s="42">
        <f>'[2]поточний ремонт'!M257+'[1]поточний ремонт'!M257</f>
        <v>0</v>
      </c>
      <c r="N257" s="36"/>
      <c r="O257" s="42">
        <f>'[2]поточний ремонт'!O257+'[1]поточний ремонт'!O257</f>
        <v>0</v>
      </c>
      <c r="P257" s="42">
        <f>'[2]поточний ремонт'!P257+'[1]поточний ремонт'!P257</f>
        <v>0</v>
      </c>
      <c r="Q257" s="959"/>
      <c r="R257" s="42">
        <f>'[2]поточний ремонт'!R257+'[1]поточний ремонт'!R257</f>
        <v>0</v>
      </c>
      <c r="S257" s="42">
        <f>'[2]поточний ремонт'!S257+'[1]поточний ремонт'!S257</f>
        <v>0</v>
      </c>
      <c r="T257" s="960"/>
      <c r="U257" s="42">
        <f>'[2]поточний ремонт'!U257+'[1]поточний ремонт'!U257</f>
        <v>0</v>
      </c>
      <c r="V257" s="42">
        <f>'[2]поточний ремонт'!V257+'[1]поточний ремонт'!V257</f>
        <v>0</v>
      </c>
      <c r="W257" s="42">
        <f>'[2]поточний ремонт'!W257+'[1]поточний ремонт'!W257</f>
        <v>0</v>
      </c>
      <c r="X257" s="42">
        <f>'[2]поточний ремонт'!X257+'[1]поточний ремонт'!X257</f>
        <v>0</v>
      </c>
      <c r="Y257" s="42">
        <f>'[2]поточний ремонт'!Y257+'[1]поточний ремонт'!Y257</f>
        <v>0</v>
      </c>
      <c r="Z257" s="42">
        <f>'[2]поточний ремонт'!Z257+'[1]поточний ремонт'!Z257</f>
        <v>0</v>
      </c>
      <c r="AA257" s="42">
        <f>'[2]поточний ремонт'!AA257+'[1]поточний ремонт'!AA257</f>
        <v>0</v>
      </c>
      <c r="AB257" s="42">
        <f>'[2]поточний ремонт'!AB257+'[1]поточний ремонт'!AB257</f>
        <v>0</v>
      </c>
      <c r="AC257" s="42">
        <f>'[2]поточний ремонт'!AC257+'[1]поточний ремонт'!AC257</f>
        <v>0</v>
      </c>
      <c r="AD257" s="42">
        <f>'[2]поточний ремонт'!AD257+'[1]поточний ремонт'!AD257</f>
        <v>0</v>
      </c>
      <c r="AE257" s="42">
        <f>'[2]поточний ремонт'!AE257+'[1]поточний ремонт'!AE257</f>
        <v>1671.4414544803794</v>
      </c>
      <c r="AF257" s="42">
        <f>'[2]поточний ремонт'!AF257+'[1]поточний ремонт'!AF257</f>
        <v>1561.1476444170294</v>
      </c>
      <c r="AG257" s="5"/>
      <c r="AH257" s="42">
        <f>'[2]поточний ремонт'!AH257+'[1]поточний ремонт'!AH257</f>
        <v>2523.659196774322</v>
      </c>
      <c r="AI257" s="42">
        <f>'[2]поточний ремонт'!AI257+'[1]поточний ремонт'!AI257</f>
        <v>0</v>
      </c>
      <c r="AJ257" s="5"/>
      <c r="AK257" s="42">
        <f>'[2]поточний ремонт'!AK257+'[1]поточний ремонт'!AK257</f>
        <v>832.6241926102465</v>
      </c>
      <c r="AL257" s="42">
        <f>'[2]поточний ремонт'!AL257+'[1]поточний ремонт'!AL257</f>
        <v>0</v>
      </c>
      <c r="AM257" s="5"/>
      <c r="AN257" s="42">
        <f>'[2]поточний ремонт'!AN257+'[1]поточний ремонт'!AN257</f>
        <v>0</v>
      </c>
      <c r="AO257" s="42">
        <f>'[2]поточний ремонт'!AO257+'[1]поточний ремонт'!AO257</f>
        <v>0</v>
      </c>
      <c r="AP257" s="5"/>
      <c r="AQ257" s="42">
        <f>'[2]поточний ремонт'!AQ257+'[1]поточний ремонт'!AQ257</f>
        <v>0</v>
      </c>
      <c r="AR257" s="42">
        <f>'[2]поточний ремонт'!AR257+'[1]поточний ремонт'!AR257</f>
        <v>0</v>
      </c>
      <c r="AS257" s="5"/>
      <c r="AT257" s="42">
        <f>'[2]поточний ремонт'!AT257+'[1]поточний ремонт'!AT257</f>
        <v>1480.9297783157017</v>
      </c>
      <c r="AU257" s="42">
        <f>'[2]поточний ремонт'!AU257+'[1]поточний ремонт'!AU257</f>
        <v>0</v>
      </c>
      <c r="AV257" s="5"/>
      <c r="AW257" s="42">
        <f>'[2]поточний ремонт'!AW257+'[1]поточний ремонт'!AW257</f>
        <v>75.290084735242345</v>
      </c>
      <c r="AX257" s="42">
        <f>'[2]поточний ремонт'!AX257+'[1]поточний ремонт'!AX257</f>
        <v>0</v>
      </c>
      <c r="AY257" s="5"/>
      <c r="AZ257" s="42">
        <f t="shared" si="26"/>
        <v>6583.9447069158914</v>
      </c>
      <c r="BA257" s="42">
        <f t="shared" si="27"/>
        <v>1561.1476444170294</v>
      </c>
      <c r="BB257" s="58">
        <f t="shared" si="28"/>
        <v>-5022.797062498862</v>
      </c>
      <c r="BD257" s="2">
        <v>3</v>
      </c>
      <c r="BF257" s="29">
        <v>206.48301761723096</v>
      </c>
      <c r="BG257" s="318">
        <v>150000795</v>
      </c>
      <c r="BI257" s="104">
        <v>0</v>
      </c>
      <c r="BJ257" s="104">
        <f t="shared" si="35"/>
        <v>0</v>
      </c>
      <c r="BK257" s="104">
        <v>0</v>
      </c>
      <c r="BL257" s="38"/>
      <c r="BM257" s="3"/>
      <c r="BN257" s="3">
        <v>0</v>
      </c>
      <c r="BP257" s="3"/>
      <c r="BQ257" s="3"/>
      <c r="BS257" s="42"/>
      <c r="BT257" s="42">
        <v>0</v>
      </c>
      <c r="BU257" s="958"/>
      <c r="BV257" s="41"/>
      <c r="BW257" s="42"/>
      <c r="BX257" s="36"/>
      <c r="BY257" s="76"/>
      <c r="BZ257" s="42">
        <v>0</v>
      </c>
      <c r="CA257" s="959"/>
      <c r="CB257" s="41"/>
      <c r="CC257" s="41">
        <v>0</v>
      </c>
      <c r="CD257" s="960"/>
      <c r="CE257" s="76">
        <v>0</v>
      </c>
      <c r="CF257" s="55"/>
      <c r="CG257" s="41">
        <v>0</v>
      </c>
      <c r="CH257" s="38">
        <v>0</v>
      </c>
      <c r="CI257" s="76">
        <v>0</v>
      </c>
      <c r="CJ257" s="55"/>
      <c r="CK257" s="955"/>
      <c r="CL257" s="950"/>
      <c r="CM257" s="955"/>
      <c r="CN257" s="950">
        <v>0</v>
      </c>
      <c r="CO257" s="76">
        <v>146.84225901223721</v>
      </c>
      <c r="CP257" s="42">
        <v>718.39040951413278</v>
      </c>
      <c r="CQ257" s="5"/>
      <c r="CR257" s="76">
        <v>214.22856880012804</v>
      </c>
      <c r="CS257" s="954">
        <v>0</v>
      </c>
      <c r="CT257" s="5"/>
      <c r="CU257" s="76">
        <v>0</v>
      </c>
      <c r="CV257" s="42">
        <v>0</v>
      </c>
      <c r="CW257" s="5"/>
      <c r="CX257" s="76">
        <v>0</v>
      </c>
      <c r="CY257" s="42">
        <v>0</v>
      </c>
      <c r="CZ257" s="5"/>
      <c r="DA257" s="76">
        <v>0</v>
      </c>
      <c r="DB257" s="42">
        <v>0</v>
      </c>
      <c r="DC257" s="5"/>
      <c r="DD257" s="76">
        <v>132.47739405823449</v>
      </c>
      <c r="DE257" s="42">
        <v>0</v>
      </c>
      <c r="DF257" s="5"/>
      <c r="DG257" s="76">
        <v>0</v>
      </c>
      <c r="DH257" s="42"/>
      <c r="DI257" s="5"/>
      <c r="DJ257" s="42">
        <v>493.54822187059972</v>
      </c>
      <c r="DK257" s="42">
        <f t="shared" si="36"/>
        <v>718.39040951413278</v>
      </c>
      <c r="DL257" s="58">
        <f t="shared" si="37"/>
        <v>224.84218764353307</v>
      </c>
      <c r="DM257" s="2">
        <v>3</v>
      </c>
    </row>
    <row r="258" spans="1:117" ht="24.9" customHeight="1" x14ac:dyDescent="0.3">
      <c r="A258" s="318">
        <v>150000798</v>
      </c>
      <c r="B258" s="44" t="s">
        <v>225</v>
      </c>
      <c r="C258" s="956">
        <v>4</v>
      </c>
      <c r="D258" s="957" t="s">
        <v>454</v>
      </c>
      <c r="E258" s="949">
        <f>'побудинковий звіт'!E267</f>
        <v>300.10000000000002</v>
      </c>
      <c r="F258" s="950">
        <f>'побудинковий звіт'!AS267</f>
        <v>3978.3825582337272</v>
      </c>
      <c r="G258" s="950">
        <f t="shared" si="24"/>
        <v>1969.9512505194614</v>
      </c>
      <c r="H258" s="950">
        <f t="shared" si="25"/>
        <v>-2008.4313077142658</v>
      </c>
      <c r="I258" s="42">
        <f>'[2]поточний ремонт'!I258+'[1]поточний ремонт'!I258</f>
        <v>0</v>
      </c>
      <c r="J258" s="42">
        <f>'[2]поточний ремонт'!J258+'[1]поточний ремонт'!J258</f>
        <v>0</v>
      </c>
      <c r="K258" s="958"/>
      <c r="L258" s="42">
        <f>'[2]поточний ремонт'!L258+'[1]поточний ремонт'!L258</f>
        <v>0</v>
      </c>
      <c r="M258" s="42">
        <f>'[2]поточний ремонт'!M258+'[1]поточний ремонт'!M258</f>
        <v>0</v>
      </c>
      <c r="N258" s="36"/>
      <c r="O258" s="42">
        <f>'[2]поточний ремонт'!O258+'[1]поточний ремонт'!O258</f>
        <v>0</v>
      </c>
      <c r="P258" s="42">
        <f>'[2]поточний ремонт'!P258+'[1]поточний ремонт'!P258</f>
        <v>0</v>
      </c>
      <c r="Q258" s="959"/>
      <c r="R258" s="42">
        <f>'[2]поточний ремонт'!R258+'[1]поточний ремонт'!R258</f>
        <v>0</v>
      </c>
      <c r="S258" s="42">
        <f>'[2]поточний ремонт'!S258+'[1]поточний ремонт'!S258</f>
        <v>0</v>
      </c>
      <c r="T258" s="960"/>
      <c r="U258" s="42">
        <f>'[2]поточний ремонт'!U258+'[1]поточний ремонт'!U258</f>
        <v>0</v>
      </c>
      <c r="V258" s="42">
        <f>'[2]поточний ремонт'!V258+'[1]поточний ремонт'!V258</f>
        <v>0</v>
      </c>
      <c r="W258" s="42">
        <f>'[2]поточний ремонт'!W258+'[1]поточний ремонт'!W258</f>
        <v>8</v>
      </c>
      <c r="X258" s="42">
        <f>'[2]поточний ремонт'!X258+'[1]поточний ремонт'!X258</f>
        <v>478</v>
      </c>
      <c r="Y258" s="42">
        <f>'[2]поточний ремонт'!Y258+'[1]поточний ремонт'!Y258</f>
        <v>0</v>
      </c>
      <c r="Z258" s="42">
        <f>'[2]поточний ремонт'!Z258+'[1]поточний ремонт'!Z258</f>
        <v>0</v>
      </c>
      <c r="AA258" s="42">
        <f>'[2]поточний ремонт'!AA258+'[1]поточний ремонт'!AA258</f>
        <v>0</v>
      </c>
      <c r="AB258" s="42">
        <f>'[2]поточний ремонт'!AB258+'[1]поточний ремонт'!AB258</f>
        <v>0</v>
      </c>
      <c r="AC258" s="42">
        <f>'[2]поточний ремонт'!AC258+'[1]поточний ремонт'!AC258</f>
        <v>536.51565274207735</v>
      </c>
      <c r="AD258" s="42">
        <f>'[2]поточний ремонт'!AD258+'[1]поточний ремонт'!AD258</f>
        <v>955.43559777738403</v>
      </c>
      <c r="AE258" s="42">
        <f>'[2]поточний ремонт'!AE258+'[1]поточний ремонт'!AE258</f>
        <v>551.36447670355483</v>
      </c>
      <c r="AF258" s="42">
        <f>'[2]поточний ремонт'!AF258+'[1]поточний ремонт'!AF258</f>
        <v>0</v>
      </c>
      <c r="AG258" s="5"/>
      <c r="AH258" s="42">
        <f>'[2]поточний ремонт'!AH258+'[1]поточний ремонт'!AH258</f>
        <v>701.19563160583778</v>
      </c>
      <c r="AI258" s="42">
        <f>'[2]поточний ремонт'!AI258+'[1]поточний ремонт'!AI258</f>
        <v>0</v>
      </c>
      <c r="AJ258" s="5"/>
      <c r="AK258" s="42">
        <f>'[2]поточний ремонт'!AK258+'[1]поточний ремонт'!AK258</f>
        <v>380.57491483920433</v>
      </c>
      <c r="AL258" s="42">
        <f>'[2]поточний ремонт'!AL258+'[1]поточний ремонт'!AL258</f>
        <v>0</v>
      </c>
      <c r="AM258" s="5"/>
      <c r="AN258" s="42">
        <f>'[2]поточний ремонт'!AN258+'[1]поточний ремонт'!AN258</f>
        <v>0</v>
      </c>
      <c r="AO258" s="42">
        <f>'[2]поточний ремонт'!AO258+'[1]поточний ремонт'!AO258</f>
        <v>0</v>
      </c>
      <c r="AP258" s="5"/>
      <c r="AQ258" s="42">
        <f>'[2]поточний ремонт'!AQ258+'[1]поточний ремонт'!AQ258</f>
        <v>66.163852782859806</v>
      </c>
      <c r="AR258" s="42">
        <f>'[2]поточний ремонт'!AR258+'[1]поточний ремонт'!AR258</f>
        <v>0</v>
      </c>
      <c r="AS258" s="5"/>
      <c r="AT258" s="42">
        <f>'[2]поточний ремонт'!AT258+'[1]поточний ремонт'!AT258</f>
        <v>282.30059930007099</v>
      </c>
      <c r="AU258" s="42">
        <f>'[2]поточний ремонт'!AU258+'[1]поточний ремонт'!AU258</f>
        <v>366.48772601357666</v>
      </c>
      <c r="AV258" s="5"/>
      <c r="AW258" s="42">
        <f>'[2]поточний ремонт'!AW258+'[1]поточний ремонт'!AW258</f>
        <v>25.222178386306183</v>
      </c>
      <c r="AX258" s="42">
        <f>'[2]поточний ремонт'!AX258+'[1]поточний ремонт'!AX258</f>
        <v>0</v>
      </c>
      <c r="AY258" s="5"/>
      <c r="AZ258" s="42">
        <f t="shared" si="26"/>
        <v>2006.8216536178336</v>
      </c>
      <c r="BA258" s="42">
        <f t="shared" si="27"/>
        <v>366.48772601357666</v>
      </c>
      <c r="BB258" s="58">
        <f t="shared" si="28"/>
        <v>-1640.333927604257</v>
      </c>
      <c r="BD258" s="2">
        <v>2</v>
      </c>
      <c r="BF258" s="29">
        <v>1.9329056392938797</v>
      </c>
      <c r="BG258" s="318">
        <v>150000798</v>
      </c>
      <c r="BI258" s="104">
        <v>0</v>
      </c>
      <c r="BJ258" s="104">
        <f t="shared" si="35"/>
        <v>0</v>
      </c>
      <c r="BK258" s="104">
        <v>0</v>
      </c>
      <c r="BL258" s="38"/>
      <c r="BM258" s="3"/>
      <c r="BN258" s="3">
        <v>0</v>
      </c>
      <c r="BP258" s="3"/>
      <c r="BQ258" s="3"/>
      <c r="BS258" s="42"/>
      <c r="BT258" s="42">
        <v>0</v>
      </c>
      <c r="BU258" s="958"/>
      <c r="BV258" s="41"/>
      <c r="BW258" s="42"/>
      <c r="BX258" s="36"/>
      <c r="BY258" s="76"/>
      <c r="BZ258" s="42">
        <v>0</v>
      </c>
      <c r="CA258" s="959"/>
      <c r="CB258" s="41"/>
      <c r="CC258" s="41">
        <v>0</v>
      </c>
      <c r="CD258" s="960"/>
      <c r="CE258" s="76">
        <v>0</v>
      </c>
      <c r="CF258" s="55"/>
      <c r="CG258" s="41">
        <v>0</v>
      </c>
      <c r="CH258" s="38">
        <v>0</v>
      </c>
      <c r="CI258" s="76">
        <v>0</v>
      </c>
      <c r="CJ258" s="55"/>
      <c r="CK258" s="955"/>
      <c r="CL258" s="950"/>
      <c r="CM258" s="955"/>
      <c r="CN258" s="950">
        <v>0</v>
      </c>
      <c r="CO258" s="76">
        <v>63.390795682123972</v>
      </c>
      <c r="CP258" s="42">
        <v>0</v>
      </c>
      <c r="CQ258" s="5"/>
      <c r="CR258" s="76">
        <v>75.73917804757626</v>
      </c>
      <c r="CS258" s="954">
        <v>0</v>
      </c>
      <c r="CT258" s="5"/>
      <c r="CU258" s="76">
        <v>79.385285010186223</v>
      </c>
      <c r="CV258" s="42">
        <v>0</v>
      </c>
      <c r="CW258" s="5"/>
      <c r="CX258" s="76">
        <v>0</v>
      </c>
      <c r="CY258" s="42">
        <v>0</v>
      </c>
      <c r="CZ258" s="5"/>
      <c r="DA258" s="76">
        <v>0</v>
      </c>
      <c r="DB258" s="42">
        <v>0</v>
      </c>
      <c r="DC258" s="5"/>
      <c r="DD258" s="76">
        <v>29.574502456385112</v>
      </c>
      <c r="DE258" s="42">
        <v>0</v>
      </c>
      <c r="DF258" s="5"/>
      <c r="DG258" s="76">
        <v>0</v>
      </c>
      <c r="DH258" s="42"/>
      <c r="DI258" s="5"/>
      <c r="DJ258" s="42">
        <v>248.08976119627158</v>
      </c>
      <c r="DK258" s="42">
        <f t="shared" si="36"/>
        <v>0</v>
      </c>
      <c r="DL258" s="58">
        <f t="shared" si="37"/>
        <v>-248.08976119627158</v>
      </c>
      <c r="DM258" s="2">
        <v>2</v>
      </c>
    </row>
    <row r="259" spans="1:117" ht="24.9" customHeight="1" x14ac:dyDescent="0.3">
      <c r="A259" s="318">
        <v>150000819</v>
      </c>
      <c r="B259" s="44" t="s">
        <v>423</v>
      </c>
      <c r="C259" s="956">
        <v>10</v>
      </c>
      <c r="D259" s="957" t="s">
        <v>454</v>
      </c>
      <c r="E259" s="949">
        <f>'побудинковий звіт'!E268</f>
        <v>1950.8</v>
      </c>
      <c r="F259" s="950">
        <f>'побудинковий звіт'!AS268</f>
        <v>15087.048128938524</v>
      </c>
      <c r="G259" s="950">
        <f t="shared" si="24"/>
        <v>63682.62663625375</v>
      </c>
      <c r="H259" s="950">
        <f t="shared" si="25"/>
        <v>48595.578507315222</v>
      </c>
      <c r="I259" s="42">
        <f>'[2]поточний ремонт'!I259+'[1]поточний ремонт'!I259</f>
        <v>60.349999999999994</v>
      </c>
      <c r="J259" s="42">
        <f>'[2]поточний ремонт'!J259+'[1]поточний ремонт'!J259</f>
        <v>29508.635054001814</v>
      </c>
      <c r="K259" s="958"/>
      <c r="L259" s="42">
        <f>'[2]поточний ремонт'!L259+'[1]поточний ремонт'!L259</f>
        <v>0</v>
      </c>
      <c r="M259" s="42">
        <f>'[2]поточний ремонт'!M259+'[1]поточний ремонт'!M259</f>
        <v>0</v>
      </c>
      <c r="N259" s="970"/>
      <c r="O259" s="42">
        <f>'[2]поточний ремонт'!O259+'[1]поточний ремонт'!O259</f>
        <v>0</v>
      </c>
      <c r="P259" s="42">
        <f>'[2]поточний ремонт'!P259+'[1]поточний ремонт'!P259</f>
        <v>0</v>
      </c>
      <c r="Q259" s="959"/>
      <c r="R259" s="42">
        <f>'[2]поточний ремонт'!R259+'[1]поточний ремонт'!R259</f>
        <v>4</v>
      </c>
      <c r="S259" s="42">
        <f>'[2]поточний ремонт'!S259+'[1]поточний ремонт'!S259</f>
        <v>18802.645777826587</v>
      </c>
      <c r="T259" s="960"/>
      <c r="U259" s="42">
        <f>'[2]поточний ремонт'!U259+'[1]поточний ремонт'!U259</f>
        <v>0</v>
      </c>
      <c r="V259" s="42">
        <f>'[2]поточний ремонт'!V259+'[1]поточний ремонт'!V259</f>
        <v>0</v>
      </c>
      <c r="W259" s="42">
        <f>'[2]поточний ремонт'!W259+'[1]поточний ремонт'!W259</f>
        <v>6</v>
      </c>
      <c r="X259" s="42">
        <f>'[2]поточний ремонт'!X259+'[1]поточний ремонт'!X259</f>
        <v>501.22183469410999</v>
      </c>
      <c r="Y259" s="42">
        <f>'[2]поточний ремонт'!Y259+'[1]поточний ремонт'!Y259</f>
        <v>1349.7224752995232</v>
      </c>
      <c r="Z259" s="42">
        <f>'[2]поточний ремонт'!Z259+'[1]поточний ремонт'!Z259</f>
        <v>0</v>
      </c>
      <c r="AA259" s="42">
        <f>'[2]поточний ремонт'!AA259+'[1]поточний ремонт'!AA259</f>
        <v>0</v>
      </c>
      <c r="AB259" s="42">
        <f>'[2]поточний ремонт'!AB259+'[1]поточний ремонт'!AB259</f>
        <v>0</v>
      </c>
      <c r="AC259" s="42">
        <f>'[2]поточний ремонт'!AC259+'[1]поточний ремонт'!AC259</f>
        <v>12846.957465978341</v>
      </c>
      <c r="AD259" s="42">
        <f>'[2]поточний ремонт'!AD259+'[1]поточний ремонт'!AD259</f>
        <v>673.44402845337891</v>
      </c>
      <c r="AE259" s="42">
        <f>'[2]поточний ремонт'!AE259+'[1]поточний ремонт'!AE259</f>
        <v>2006.7758177001338</v>
      </c>
      <c r="AF259" s="42">
        <f>'[2]поточний ремонт'!AF259+'[1]поточний ремонт'!AF259</f>
        <v>3003.0971357121953</v>
      </c>
      <c r="AG259" s="5"/>
      <c r="AH259" s="42">
        <f>'[2]поточний ремонт'!AH259+'[1]поточний ремонт'!AH259</f>
        <v>2302.4265523956051</v>
      </c>
      <c r="AI259" s="42">
        <f>'[2]поточний ремонт'!AI259+'[1]поточний ремонт'!AI259</f>
        <v>0</v>
      </c>
      <c r="AJ259" s="5"/>
      <c r="AK259" s="42">
        <f>'[2]поточний ремонт'!AK259+'[1]поточний ремонт'!AK259</f>
        <v>2454.5308874317702</v>
      </c>
      <c r="AL259" s="42">
        <f>'[2]поточний ремонт'!AL259+'[1]поточний ремонт'!AL259</f>
        <v>1656.0087223434757</v>
      </c>
      <c r="AM259" s="5"/>
      <c r="AN259" s="42">
        <f>'[2]поточний ремонт'!AN259+'[1]поточний ремонт'!AN259</f>
        <v>416.54190566857585</v>
      </c>
      <c r="AO259" s="42">
        <f>'[2]поточний ремонт'!AO259+'[1]поточний ремонт'!AO259</f>
        <v>0</v>
      </c>
      <c r="AP259" s="5"/>
      <c r="AQ259" s="42">
        <f>'[2]поточний ремонт'!AQ259+'[1]поточний ремонт'!AQ259</f>
        <v>293.3811147793574</v>
      </c>
      <c r="AR259" s="42">
        <f>'[2]поточний ремонт'!AR259+'[1]поточний ремонт'!AR259</f>
        <v>1241.6980407141316</v>
      </c>
      <c r="AS259" s="5"/>
      <c r="AT259" s="42">
        <f>'[2]поточний ремонт'!AT259+'[1]поточний ремонт'!AT259</f>
        <v>1241.8447186573594</v>
      </c>
      <c r="AU259" s="42">
        <f>'[2]поточний ремонт'!AU259+'[1]поточний ремонт'!AU259</f>
        <v>4079.5358971971282</v>
      </c>
      <c r="AV259" s="5"/>
      <c r="AW259" s="42">
        <f>'[2]поточний ремонт'!AW259+'[1]поточний ремонт'!AW259</f>
        <v>159.99143006238995</v>
      </c>
      <c r="AX259" s="42">
        <f>'[2]поточний ремонт'!AX259+'[1]поточний ремонт'!AX259</f>
        <v>0</v>
      </c>
      <c r="AY259" s="5"/>
      <c r="AZ259" s="42">
        <f t="shared" si="26"/>
        <v>8875.4924266951912</v>
      </c>
      <c r="BA259" s="42">
        <f t="shared" si="27"/>
        <v>9980.339795966931</v>
      </c>
      <c r="BB259" s="58">
        <f t="shared" si="28"/>
        <v>1104.8473692717398</v>
      </c>
      <c r="BD259" s="2">
        <v>3</v>
      </c>
      <c r="BF259" s="29">
        <v>506.23936227782258</v>
      </c>
      <c r="BG259" s="318">
        <v>150000819</v>
      </c>
      <c r="BI259" s="104">
        <v>0</v>
      </c>
      <c r="BJ259" s="104">
        <f t="shared" si="35"/>
        <v>0</v>
      </c>
      <c r="BK259" s="104">
        <v>0</v>
      </c>
      <c r="BL259" s="38"/>
      <c r="BM259" s="3"/>
      <c r="BN259" s="3">
        <v>0</v>
      </c>
      <c r="BP259" s="3"/>
      <c r="BQ259" s="3"/>
      <c r="BS259" s="42"/>
      <c r="BT259" s="42">
        <v>0</v>
      </c>
      <c r="BU259" s="958"/>
      <c r="BV259" s="41"/>
      <c r="BW259" s="42"/>
      <c r="BX259" s="970"/>
      <c r="BY259" s="76"/>
      <c r="BZ259" s="42">
        <v>0</v>
      </c>
      <c r="CA259" s="959"/>
      <c r="CB259" s="41"/>
      <c r="CC259" s="41">
        <v>0</v>
      </c>
      <c r="CD259" s="960"/>
      <c r="CE259" s="76">
        <v>0</v>
      </c>
      <c r="CF259" s="55"/>
      <c r="CG259" s="41">
        <v>0</v>
      </c>
      <c r="CH259" s="38">
        <v>0</v>
      </c>
      <c r="CI259" s="76">
        <v>0</v>
      </c>
      <c r="CJ259" s="55"/>
      <c r="CK259" s="955"/>
      <c r="CL259" s="950"/>
      <c r="CM259" s="955"/>
      <c r="CN259" s="950">
        <v>0</v>
      </c>
      <c r="CO259" s="76">
        <v>177.2526876394397</v>
      </c>
      <c r="CP259" s="42">
        <v>0</v>
      </c>
      <c r="CQ259" s="5"/>
      <c r="CR259" s="76">
        <v>246.86755618844444</v>
      </c>
      <c r="CS259" s="954">
        <v>0</v>
      </c>
      <c r="CT259" s="5"/>
      <c r="CU259" s="76">
        <v>299.50177031546531</v>
      </c>
      <c r="CV259" s="42">
        <v>0</v>
      </c>
      <c r="CW259" s="5"/>
      <c r="CX259" s="76">
        <v>101.08196255963261</v>
      </c>
      <c r="CY259" s="42">
        <v>0</v>
      </c>
      <c r="CZ259" s="5"/>
      <c r="DA259" s="76">
        <v>52.842011746104383</v>
      </c>
      <c r="DB259" s="42">
        <v>0</v>
      </c>
      <c r="DC259" s="5"/>
      <c r="DD259" s="76">
        <v>68.436873569886032</v>
      </c>
      <c r="DE259" s="42">
        <v>0</v>
      </c>
      <c r="DF259" s="5"/>
      <c r="DG259" s="76">
        <v>0</v>
      </c>
      <c r="DH259" s="42"/>
      <c r="DI259" s="5"/>
      <c r="DJ259" s="42">
        <v>945.98286201897247</v>
      </c>
      <c r="DK259" s="42">
        <f t="shared" si="36"/>
        <v>0</v>
      </c>
      <c r="DL259" s="58">
        <f t="shared" si="37"/>
        <v>-945.98286201897247</v>
      </c>
      <c r="DM259" s="2">
        <v>3</v>
      </c>
    </row>
    <row r="260" spans="1:117" ht="24.9" customHeight="1" x14ac:dyDescent="0.3">
      <c r="A260" s="318">
        <v>150000820</v>
      </c>
      <c r="B260" s="44" t="s">
        <v>394</v>
      </c>
      <c r="C260" s="956">
        <v>9</v>
      </c>
      <c r="D260" s="957" t="s">
        <v>454</v>
      </c>
      <c r="E260" s="949">
        <f>'побудинковий звіт'!E269</f>
        <v>4491.7</v>
      </c>
      <c r="F260" s="950">
        <f>'побудинковий звіт'!AS269</f>
        <v>51516.943765796241</v>
      </c>
      <c r="G260" s="950">
        <f t="shared" si="24"/>
        <v>82199.873195709573</v>
      </c>
      <c r="H260" s="950">
        <f t="shared" si="25"/>
        <v>30682.929429913333</v>
      </c>
      <c r="I260" s="42">
        <f>'[2]поточний ремонт'!I260+'[1]поточний ремонт'!I260</f>
        <v>64</v>
      </c>
      <c r="J260" s="42">
        <f>'[2]поточний ремонт'!J260+'[1]поточний ремонт'!J260</f>
        <v>20355.5938864036</v>
      </c>
      <c r="K260" s="958"/>
      <c r="L260" s="42">
        <f>'[2]поточний ремонт'!L260+'[1]поточний ремонт'!L260</f>
        <v>0</v>
      </c>
      <c r="M260" s="42">
        <f>'[2]поточний ремонт'!M260+'[1]поточний ремонт'!M260</f>
        <v>0</v>
      </c>
      <c r="N260" s="961"/>
      <c r="O260" s="42">
        <f>'[2]поточний ремонт'!O260+'[1]поточний ремонт'!O260</f>
        <v>0</v>
      </c>
      <c r="P260" s="42">
        <f>'[2]поточний ремонт'!P260+'[1]поточний ремонт'!P260</f>
        <v>0</v>
      </c>
      <c r="Q260" s="959"/>
      <c r="R260" s="42">
        <f>'[2]поточний ремонт'!R260+'[1]поточний ремонт'!R260</f>
        <v>1</v>
      </c>
      <c r="S260" s="42">
        <f>'[2]поточний ремонт'!S260+'[1]поточний ремонт'!S260</f>
        <v>2628.2460662203202</v>
      </c>
      <c r="T260" s="967"/>
      <c r="U260" s="42">
        <f>'[2]поточний ремонт'!U260+'[1]поточний ремонт'!U260</f>
        <v>57421</v>
      </c>
      <c r="V260" s="42">
        <f>'[2]поточний ремонт'!V260+'[1]поточний ремонт'!V260</f>
        <v>0</v>
      </c>
      <c r="W260" s="42">
        <f>'[2]поточний ремонт'!W260+'[1]поточний ремонт'!W260</f>
        <v>0</v>
      </c>
      <c r="X260" s="42">
        <f>'[2]поточний ремонт'!X260+'[1]поточний ремонт'!X260</f>
        <v>0</v>
      </c>
      <c r="Y260" s="42">
        <f>'[2]поточний ремонт'!Y260+'[1]поточний ремонт'!Y260</f>
        <v>0</v>
      </c>
      <c r="Z260" s="42">
        <f>'[2]поточний ремонт'!Z260+'[1]поточний ремонт'!Z260</f>
        <v>0</v>
      </c>
      <c r="AA260" s="42">
        <f>'[2]поточний ремонт'!AA260+'[1]поточний ремонт'!AA260</f>
        <v>0</v>
      </c>
      <c r="AB260" s="42">
        <f>'[2]поточний ремонт'!AB260+'[1]поточний ремонт'!AB260</f>
        <v>0</v>
      </c>
      <c r="AC260" s="42">
        <f>'[2]поточний ремонт'!AC260+'[1]поточний ремонт'!AC260</f>
        <v>1795.0332430856574</v>
      </c>
      <c r="AD260" s="42">
        <f>'[2]поточний ремонт'!AD260+'[1]поточний ремонт'!AD260</f>
        <v>0</v>
      </c>
      <c r="AE260" s="42">
        <f>'[2]поточний ремонт'!AE260+'[1]поточний ремонт'!AE260</f>
        <v>2316.912460183451</v>
      </c>
      <c r="AF260" s="42">
        <f>'[2]поточний ремонт'!AF260+'[1]поточний ремонт'!AF260</f>
        <v>2403.8535805925976</v>
      </c>
      <c r="AG260" s="5"/>
      <c r="AH260" s="42">
        <f>'[2]поточний ремонт'!AH260+'[1]поточний ремонт'!AH260</f>
        <v>3071.6024891394686</v>
      </c>
      <c r="AI260" s="42">
        <f>'[2]поточний ремонт'!AI260+'[1]поточний ремонт'!AI260</f>
        <v>1830.6058002981117</v>
      </c>
      <c r="AJ260" s="5"/>
      <c r="AK260" s="42">
        <f>'[2]поточний ремонт'!AK260+'[1]поточний ремонт'!AK260</f>
        <v>2650.3434558416238</v>
      </c>
      <c r="AL260" s="42">
        <f>'[2]поточний ремонт'!AL260+'[1]поточний ремонт'!AL260</f>
        <v>0</v>
      </c>
      <c r="AM260" s="5"/>
      <c r="AN260" s="42">
        <f>'[2]поточний ремонт'!AN260+'[1]поточний ремонт'!AN260</f>
        <v>278.7521446924809</v>
      </c>
      <c r="AO260" s="42">
        <f>'[2]поточний ремонт'!AO260+'[1]поточний ремонт'!AO260</f>
        <v>0</v>
      </c>
      <c r="AP260" s="5"/>
      <c r="AQ260" s="42">
        <f>'[2]поточний ремонт'!AQ260+'[1]поточний ремонт'!AQ260</f>
        <v>183.10684591789425</v>
      </c>
      <c r="AR260" s="42">
        <f>'[2]поточний ремонт'!AR260+'[1]поточний ремонт'!AR260</f>
        <v>2736.2859111191829</v>
      </c>
      <c r="AS260" s="5"/>
      <c r="AT260" s="42">
        <f>'[2]поточний ремонт'!AT260+'[1]поточний ремонт'!AT260</f>
        <v>1380.1547596790685</v>
      </c>
      <c r="AU260" s="42">
        <f>'[2]поточний ремонт'!AU260+'[1]поточний ремонт'!AU260</f>
        <v>6835.0607671865073</v>
      </c>
      <c r="AV260" s="5"/>
      <c r="AW260" s="42">
        <f>'[2]поточний ремонт'!AW260+'[1]поточний ремонт'!AW260</f>
        <v>81.564258463179186</v>
      </c>
      <c r="AX260" s="42">
        <f>'[2]поточний ремонт'!AX260+'[1]поточний ремонт'!AX260</f>
        <v>4932.1680519975707</v>
      </c>
      <c r="AY260" s="5"/>
      <c r="AZ260" s="42">
        <f t="shared" si="26"/>
        <v>9962.4364139171666</v>
      </c>
      <c r="BA260" s="42">
        <f t="shared" si="27"/>
        <v>18737.974111193969</v>
      </c>
      <c r="BB260" s="58">
        <f t="shared" si="28"/>
        <v>8775.5376972768026</v>
      </c>
      <c r="BD260" s="2">
        <v>3</v>
      </c>
      <c r="BF260" s="29">
        <v>313.25954941556455</v>
      </c>
      <c r="BG260" s="318">
        <v>150000820</v>
      </c>
      <c r="BI260" s="104">
        <v>0</v>
      </c>
      <c r="BJ260" s="104">
        <f t="shared" si="35"/>
        <v>0</v>
      </c>
      <c r="BK260" s="104">
        <v>0</v>
      </c>
      <c r="BL260" s="38"/>
      <c r="BM260" s="3"/>
      <c r="BN260" s="3">
        <v>0</v>
      </c>
      <c r="BP260" s="3"/>
      <c r="BQ260" s="3"/>
      <c r="BS260" s="42"/>
      <c r="BT260" s="42">
        <v>0</v>
      </c>
      <c r="BU260" s="958"/>
      <c r="BV260" s="41"/>
      <c r="BW260" s="42"/>
      <c r="BX260" s="961"/>
      <c r="BY260" s="76"/>
      <c r="BZ260" s="42">
        <v>0</v>
      </c>
      <c r="CA260" s="959"/>
      <c r="CB260" s="41"/>
      <c r="CC260" s="41">
        <v>0</v>
      </c>
      <c r="CD260" s="967"/>
      <c r="CE260" s="76">
        <v>0</v>
      </c>
      <c r="CF260" s="964"/>
      <c r="CG260" s="41">
        <v>0</v>
      </c>
      <c r="CH260" s="38">
        <v>0</v>
      </c>
      <c r="CI260" s="76">
        <v>0</v>
      </c>
      <c r="CJ260" s="55"/>
      <c r="CK260" s="955"/>
      <c r="CL260" s="950"/>
      <c r="CM260" s="955"/>
      <c r="CN260" s="950">
        <v>0</v>
      </c>
      <c r="CO260" s="76">
        <v>90.140000417276681</v>
      </c>
      <c r="CP260" s="42">
        <v>2400.864276578568</v>
      </c>
      <c r="CQ260" s="5"/>
      <c r="CR260" s="76">
        <v>151.5764044471068</v>
      </c>
      <c r="CS260" s="954">
        <v>0</v>
      </c>
      <c r="CT260" s="5"/>
      <c r="CU260" s="76">
        <v>187.56369136628967</v>
      </c>
      <c r="CV260" s="42">
        <v>0</v>
      </c>
      <c r="CW260" s="5"/>
      <c r="CX260" s="76">
        <v>74.201793116451299</v>
      </c>
      <c r="CY260" s="42">
        <v>0</v>
      </c>
      <c r="CZ260" s="5"/>
      <c r="DA260" s="76">
        <v>32.980617657691397</v>
      </c>
      <c r="DB260" s="42">
        <v>0</v>
      </c>
      <c r="DC260" s="5"/>
      <c r="DD260" s="76">
        <v>35.846994024806158</v>
      </c>
      <c r="DE260" s="42">
        <v>2948.2436328143899</v>
      </c>
      <c r="DF260" s="5"/>
      <c r="DG260" s="76">
        <v>0</v>
      </c>
      <c r="DH260" s="42"/>
      <c r="DI260" s="5"/>
      <c r="DJ260" s="42">
        <v>572.30950102962197</v>
      </c>
      <c r="DK260" s="42">
        <f t="shared" si="36"/>
        <v>5349.1079093929584</v>
      </c>
      <c r="DL260" s="58">
        <f t="shared" si="37"/>
        <v>4776.7984083633364</v>
      </c>
      <c r="DM260" s="2">
        <v>3</v>
      </c>
    </row>
    <row r="261" spans="1:117" ht="24.9" customHeight="1" x14ac:dyDescent="0.3">
      <c r="A261" s="318">
        <v>150000799</v>
      </c>
      <c r="B261" s="44" t="s">
        <v>292</v>
      </c>
      <c r="C261" s="956">
        <v>5</v>
      </c>
      <c r="D261" s="957" t="s">
        <v>454</v>
      </c>
      <c r="E261" s="949">
        <f>'побудинковий звіт'!E270</f>
        <v>2575.88</v>
      </c>
      <c r="F261" s="950">
        <f>'побудинковий звіт'!AS270</f>
        <v>39134.618412967829</v>
      </c>
      <c r="G261" s="950">
        <f t="shared" si="24"/>
        <v>0</v>
      </c>
      <c r="H261" s="950">
        <f t="shared" si="25"/>
        <v>-39134.618412967829</v>
      </c>
      <c r="I261" s="42">
        <f>'[2]поточний ремонт'!I261+'[1]поточний ремонт'!I261</f>
        <v>0</v>
      </c>
      <c r="J261" s="42">
        <f>'[2]поточний ремонт'!J261+'[1]поточний ремонт'!J261</f>
        <v>0</v>
      </c>
      <c r="K261" s="958"/>
      <c r="L261" s="42">
        <f>'[2]поточний ремонт'!L261+'[1]поточний ремонт'!L261</f>
        <v>0</v>
      </c>
      <c r="M261" s="42">
        <f>'[2]поточний ремонт'!M261+'[1]поточний ремонт'!M261</f>
        <v>0</v>
      </c>
      <c r="N261" s="36"/>
      <c r="O261" s="42">
        <f>'[2]поточний ремонт'!O261+'[1]поточний ремонт'!O261</f>
        <v>0</v>
      </c>
      <c r="P261" s="42">
        <f>'[2]поточний ремонт'!P261+'[1]поточний ремонт'!P261</f>
        <v>0</v>
      </c>
      <c r="Q261" s="959"/>
      <c r="R261" s="42">
        <f>'[2]поточний ремонт'!R261+'[1]поточний ремонт'!R261</f>
        <v>0</v>
      </c>
      <c r="S261" s="42">
        <f>'[2]поточний ремонт'!S261+'[1]поточний ремонт'!S261</f>
        <v>0</v>
      </c>
      <c r="T261" s="960"/>
      <c r="U261" s="42">
        <f>'[2]поточний ремонт'!U261+'[1]поточний ремонт'!U261</f>
        <v>0</v>
      </c>
      <c r="V261" s="42">
        <f>'[2]поточний ремонт'!V261+'[1]поточний ремонт'!V261</f>
        <v>0</v>
      </c>
      <c r="W261" s="42">
        <f>'[2]поточний ремонт'!W261+'[1]поточний ремонт'!W261</f>
        <v>0</v>
      </c>
      <c r="X261" s="42">
        <f>'[2]поточний ремонт'!X261+'[1]поточний ремонт'!X261</f>
        <v>0</v>
      </c>
      <c r="Y261" s="42">
        <f>'[2]поточний ремонт'!Y261+'[1]поточний ремонт'!Y261</f>
        <v>0</v>
      </c>
      <c r="Z261" s="42">
        <f>'[2]поточний ремонт'!Z261+'[1]поточний ремонт'!Z261</f>
        <v>0</v>
      </c>
      <c r="AA261" s="42">
        <f>'[2]поточний ремонт'!AA261+'[1]поточний ремонт'!AA261</f>
        <v>0</v>
      </c>
      <c r="AB261" s="42">
        <f>'[2]поточний ремонт'!AB261+'[1]поточний ремонт'!AB261</f>
        <v>0</v>
      </c>
      <c r="AC261" s="42">
        <f>'[2]поточний ремонт'!AC261+'[1]поточний ремонт'!AC261</f>
        <v>0</v>
      </c>
      <c r="AD261" s="42">
        <f>'[2]поточний ремонт'!AD261+'[1]поточний ремонт'!AD261</f>
        <v>0</v>
      </c>
      <c r="AE261" s="42">
        <f>'[2]поточний ремонт'!AE261+'[1]поточний ремонт'!AE261</f>
        <v>1341.4747844042997</v>
      </c>
      <c r="AF261" s="42">
        <f>'[2]поточний ремонт'!AF261+'[1]поточний ремонт'!AF261</f>
        <v>0</v>
      </c>
      <c r="AG261" s="5"/>
      <c r="AH261" s="42">
        <f>'[2]поточний ремонт'!AH261+'[1]поточний ремонт'!AH261</f>
        <v>1845.6629706492313</v>
      </c>
      <c r="AI261" s="42">
        <f>'[2]поточний ремонт'!AI261+'[1]поточний ремонт'!AI261</f>
        <v>0</v>
      </c>
      <c r="AJ261" s="980"/>
      <c r="AK261" s="42">
        <f>'[2]поточний ремонт'!AK261+'[1]поточний ремонт'!AK261</f>
        <v>1731.799654016012</v>
      </c>
      <c r="AL261" s="42">
        <f>'[2]поточний ремонт'!AL261+'[1]поточний ремонт'!AL261</f>
        <v>378.07232362048796</v>
      </c>
      <c r="AM261" s="5"/>
      <c r="AN261" s="42">
        <f>'[2]поточний ремонт'!AN261+'[1]поточний ремонт'!AN261</f>
        <v>0</v>
      </c>
      <c r="AO261" s="42">
        <f>'[2]поточний ремонт'!AO261+'[1]поточний ремонт'!AO261</f>
        <v>0</v>
      </c>
      <c r="AP261" s="5"/>
      <c r="AQ261" s="42">
        <f>'[2]поточний ремонт'!AQ261+'[1]поточний ремонт'!AQ261</f>
        <v>82.704815978574771</v>
      </c>
      <c r="AR261" s="42">
        <f>'[2]поточний ремонт'!AR261+'[1]поточний ремонт'!AR261</f>
        <v>0</v>
      </c>
      <c r="AS261" s="5"/>
      <c r="AT261" s="42">
        <f>'[2]поточний ремонт'!AT261+'[1]поточний ремонт'!AT261</f>
        <v>696.06473880075623</v>
      </c>
      <c r="AU261" s="42">
        <f>'[2]поточний ремонт'!AU261+'[1]поточний ремонт'!AU261</f>
        <v>0</v>
      </c>
      <c r="AV261" s="5"/>
      <c r="AW261" s="42">
        <f>'[2]поточний ремонт'!AW261+'[1]поточний ремонт'!AW261</f>
        <v>6.7133658888924428</v>
      </c>
      <c r="AX261" s="42">
        <f>'[2]поточний ремонт'!AX261+'[1]поточний ремонт'!AX261</f>
        <v>3871.0066633910001</v>
      </c>
      <c r="AY261" s="5"/>
      <c r="AZ261" s="42">
        <f t="shared" si="26"/>
        <v>5704.4203297377662</v>
      </c>
      <c r="BA261" s="42">
        <f t="shared" si="27"/>
        <v>4249.0789870114877</v>
      </c>
      <c r="BB261" s="58">
        <f t="shared" si="28"/>
        <v>-1455.3413427262785</v>
      </c>
      <c r="BD261" s="2">
        <v>2</v>
      </c>
      <c r="BF261" s="29">
        <v>3.045852667510546</v>
      </c>
      <c r="BG261" s="318">
        <v>150000799</v>
      </c>
      <c r="BI261" s="104">
        <v>0</v>
      </c>
      <c r="BJ261" s="104">
        <f t="shared" si="35"/>
        <v>0</v>
      </c>
      <c r="BK261" s="104">
        <v>0</v>
      </c>
      <c r="BL261" s="38"/>
      <c r="BM261" s="3"/>
      <c r="BN261" s="3">
        <v>0</v>
      </c>
      <c r="BP261" s="3"/>
      <c r="BQ261" s="3"/>
      <c r="BS261" s="42"/>
      <c r="BT261" s="42">
        <v>0</v>
      </c>
      <c r="BU261" s="958"/>
      <c r="BV261" s="41"/>
      <c r="BW261" s="42"/>
      <c r="BX261" s="36"/>
      <c r="BY261" s="76"/>
      <c r="BZ261" s="42">
        <v>0</v>
      </c>
      <c r="CA261" s="959"/>
      <c r="CB261" s="41"/>
      <c r="CC261" s="41">
        <v>0</v>
      </c>
      <c r="CD261" s="960"/>
      <c r="CE261" s="76">
        <v>0</v>
      </c>
      <c r="CF261" s="55"/>
      <c r="CG261" s="41">
        <v>0</v>
      </c>
      <c r="CH261" s="38">
        <v>0</v>
      </c>
      <c r="CI261" s="76">
        <v>0</v>
      </c>
      <c r="CJ261" s="55"/>
      <c r="CK261" s="955"/>
      <c r="CL261" s="950"/>
      <c r="CM261" s="955"/>
      <c r="CN261" s="950">
        <v>0</v>
      </c>
      <c r="CO261" s="76">
        <v>95.994521259635846</v>
      </c>
      <c r="CP261" s="42">
        <v>0</v>
      </c>
      <c r="CQ261" s="5"/>
      <c r="CR261" s="76">
        <v>135.82841530966726</v>
      </c>
      <c r="CS261" s="954">
        <v>0</v>
      </c>
      <c r="CT261" s="980"/>
      <c r="CU261" s="76">
        <v>133.88925764526772</v>
      </c>
      <c r="CV261" s="42">
        <v>0</v>
      </c>
      <c r="CW261" s="5"/>
      <c r="CX261" s="76">
        <v>0</v>
      </c>
      <c r="CY261" s="42">
        <v>0</v>
      </c>
      <c r="CZ261" s="5"/>
      <c r="DA261" s="76">
        <v>0</v>
      </c>
      <c r="DB261" s="42">
        <v>0</v>
      </c>
      <c r="DC261" s="5"/>
      <c r="DD261" s="76">
        <v>39.595999962324967</v>
      </c>
      <c r="DE261" s="42">
        <v>0</v>
      </c>
      <c r="DF261" s="5"/>
      <c r="DG261" s="76">
        <v>0</v>
      </c>
      <c r="DH261" s="42"/>
      <c r="DI261" s="5"/>
      <c r="DJ261" s="42">
        <v>405.30819417689582</v>
      </c>
      <c r="DK261" s="42">
        <f t="shared" si="36"/>
        <v>0</v>
      </c>
      <c r="DL261" s="58">
        <f t="shared" si="37"/>
        <v>-405.30819417689582</v>
      </c>
      <c r="DM261" s="2">
        <v>2</v>
      </c>
    </row>
    <row r="262" spans="1:117" ht="24.9" customHeight="1" x14ac:dyDescent="0.3">
      <c r="A262" s="318">
        <v>150000830</v>
      </c>
      <c r="B262" s="44" t="s">
        <v>293</v>
      </c>
      <c r="C262" s="956">
        <v>5</v>
      </c>
      <c r="D262" s="957" t="s">
        <v>454</v>
      </c>
      <c r="E262" s="949">
        <f>'побудинковий звіт'!E271</f>
        <v>3000.29</v>
      </c>
      <c r="F262" s="950">
        <f>'побудинковий звіт'!AS271</f>
        <v>35036.581494791455</v>
      </c>
      <c r="G262" s="950">
        <f t="shared" si="24"/>
        <v>10473.199453703361</v>
      </c>
      <c r="H262" s="950">
        <f t="shared" si="25"/>
        <v>-24563.382041088094</v>
      </c>
      <c r="I262" s="42">
        <f>'[2]поточний ремонт'!I262+'[1]поточний ремонт'!I262</f>
        <v>0</v>
      </c>
      <c r="J262" s="42">
        <f>'[2]поточний ремонт'!J262+'[1]поточний ремонт'!J262</f>
        <v>0</v>
      </c>
      <c r="K262" s="958"/>
      <c r="L262" s="42">
        <f>'[2]поточний ремонт'!L262+'[1]поточний ремонт'!L262</f>
        <v>0</v>
      </c>
      <c r="M262" s="42">
        <f>'[2]поточний ремонт'!M262+'[1]поточний ремонт'!M262</f>
        <v>0</v>
      </c>
      <c r="N262" s="36"/>
      <c r="O262" s="42">
        <f>'[2]поточний ремонт'!O262+'[1]поточний ремонт'!O262</f>
        <v>0</v>
      </c>
      <c r="P262" s="42">
        <f>'[2]поточний ремонт'!P262+'[1]поточний ремонт'!P262</f>
        <v>0</v>
      </c>
      <c r="Q262" s="959"/>
      <c r="R262" s="42">
        <f>'[2]поточний ремонт'!R262+'[1]поточний ремонт'!R262</f>
        <v>0</v>
      </c>
      <c r="S262" s="42">
        <f>'[2]поточний ремонт'!S262+'[1]поточний ремонт'!S262</f>
        <v>0</v>
      </c>
      <c r="T262" s="960"/>
      <c r="U262" s="42">
        <f>'[2]поточний ремонт'!U262+'[1]поточний ремонт'!U262</f>
        <v>0</v>
      </c>
      <c r="V262" s="42">
        <f>'[2]поточний ремонт'!V262+'[1]поточний ремонт'!V262</f>
        <v>0</v>
      </c>
      <c r="W262" s="42">
        <f>'[2]поточний ремонт'!W262+'[1]поточний ремонт'!W262</f>
        <v>2</v>
      </c>
      <c r="X262" s="42">
        <f>'[2]поточний ремонт'!X262+'[1]поточний ремонт'!X262</f>
        <v>167.61241105942892</v>
      </c>
      <c r="Y262" s="42">
        <f>'[2]поточний ремонт'!Y262+'[1]поточний ремонт'!Y262</f>
        <v>7282.1156481526978</v>
      </c>
      <c r="Z262" s="42">
        <f>'[2]поточний ремонт'!Z262+'[1]поточний ремонт'!Z262</f>
        <v>0</v>
      </c>
      <c r="AA262" s="42">
        <f>'[2]поточний ремонт'!AA262+'[1]поточний ремонт'!AA262</f>
        <v>0</v>
      </c>
      <c r="AB262" s="42">
        <f>'[2]поточний ремонт'!AB262+'[1]поточний ремонт'!AB262</f>
        <v>1619.5319851962784</v>
      </c>
      <c r="AC262" s="42">
        <f>'[2]поточний ремонт'!AC262+'[1]поточний ремонт'!AC262</f>
        <v>0</v>
      </c>
      <c r="AD262" s="42">
        <f>'[2]поточний ремонт'!AD262+'[1]поточний ремонт'!AD262</f>
        <v>1403.9394092949551</v>
      </c>
      <c r="AE262" s="42">
        <f>'[2]поточний ремонт'!AE262+'[1]поточний ремонт'!AE262</f>
        <v>2147.7288130976376</v>
      </c>
      <c r="AF262" s="42">
        <f>'[2]поточний ремонт'!AF262+'[1]поточний ремонт'!AF262</f>
        <v>2224.4628013282272</v>
      </c>
      <c r="AG262" s="5"/>
      <c r="AH262" s="42">
        <f>'[2]поточний ремонт'!AH262+'[1]поточний ремонт'!AH262</f>
        <v>3462.9707812078359</v>
      </c>
      <c r="AI262" s="42">
        <f>'[2]поточний ремонт'!AI262+'[1]поточний ремонт'!AI262</f>
        <v>8861.8774847398545</v>
      </c>
      <c r="AJ262" s="5"/>
      <c r="AK262" s="42">
        <f>'[2]поточний ремонт'!AK262+'[1]поточний ремонт'!AK262</f>
        <v>2198.1149964824926</v>
      </c>
      <c r="AL262" s="42">
        <f>'[2]поточний ремонт'!AL262+'[1]поточний ремонт'!AL262</f>
        <v>8101.2131585628849</v>
      </c>
      <c r="AM262" s="737"/>
      <c r="AN262" s="42">
        <f>'[2]поточний ремонт'!AN262+'[1]поточний ремонт'!AN262</f>
        <v>0</v>
      </c>
      <c r="AO262" s="42">
        <f>'[2]поточний ремонт'!AO262+'[1]поточний ремонт'!AO262</f>
        <v>0</v>
      </c>
      <c r="AP262" s="5"/>
      <c r="AQ262" s="42">
        <f>'[2]поточний ремонт'!AQ262+'[1]поточний ремонт'!AQ262</f>
        <v>339.24032038134891</v>
      </c>
      <c r="AR262" s="42">
        <f>'[2]поточний ремонт'!AR262+'[1]поточний ремонт'!AR262</f>
        <v>0</v>
      </c>
      <c r="AS262" s="5"/>
      <c r="AT262" s="42">
        <f>'[2]поточний ремонт'!AT262+'[1]поточний ремонт'!AT262</f>
        <v>2004.3906832543914</v>
      </c>
      <c r="AU262" s="42">
        <f>'[2]поточний ремонт'!AU262+'[1]поточний ремонт'!AU262</f>
        <v>3665.3860014140901</v>
      </c>
      <c r="AV262" s="5"/>
      <c r="AW262" s="42">
        <f>'[2]поточний ремонт'!AW262+'[1]поточний ремонт'!AW262</f>
        <v>112.9351271028635</v>
      </c>
      <c r="AX262" s="42">
        <f>'[2]поточний ремонт'!AX262+'[1]поточний ремонт'!AX262</f>
        <v>5178.1997684099997</v>
      </c>
      <c r="AY262" s="5"/>
      <c r="AZ262" s="42">
        <f t="shared" si="26"/>
        <v>10265.38072152657</v>
      </c>
      <c r="BA262" s="42">
        <f t="shared" si="27"/>
        <v>28031.139214455055</v>
      </c>
      <c r="BB262" s="58">
        <f t="shared" si="28"/>
        <v>17765.758492928486</v>
      </c>
      <c r="BD262" s="2">
        <v>3</v>
      </c>
      <c r="BF262" s="29">
        <v>445.61921227757148</v>
      </c>
      <c r="BG262" s="318">
        <v>150000830</v>
      </c>
      <c r="BI262" s="104">
        <v>0</v>
      </c>
      <c r="BJ262" s="104">
        <f t="shared" si="35"/>
        <v>0</v>
      </c>
      <c r="BK262" s="104">
        <v>0</v>
      </c>
      <c r="BL262" s="38"/>
      <c r="BM262" s="3">
        <v>2</v>
      </c>
      <c r="BN262" s="3">
        <v>167.38483731522362</v>
      </c>
      <c r="BP262" s="3"/>
      <c r="BQ262" s="3"/>
      <c r="BS262" s="42"/>
      <c r="BT262" s="42">
        <v>0</v>
      </c>
      <c r="BU262" s="958"/>
      <c r="BV262" s="41"/>
      <c r="BW262" s="42"/>
      <c r="BX262" s="36"/>
      <c r="BY262" s="76"/>
      <c r="BZ262" s="42">
        <v>0</v>
      </c>
      <c r="CA262" s="959"/>
      <c r="CB262" s="41"/>
      <c r="CC262" s="41">
        <v>0</v>
      </c>
      <c r="CD262" s="960"/>
      <c r="CE262" s="76">
        <v>0</v>
      </c>
      <c r="CF262" s="55"/>
      <c r="CG262" s="41">
        <v>2</v>
      </c>
      <c r="CH262" s="38">
        <v>167.38483731522362</v>
      </c>
      <c r="CI262" s="76">
        <v>0</v>
      </c>
      <c r="CJ262" s="55"/>
      <c r="CK262" s="955"/>
      <c r="CL262" s="950"/>
      <c r="CM262" s="955"/>
      <c r="CN262" s="950">
        <v>0</v>
      </c>
      <c r="CO262" s="76">
        <v>228.40102918713518</v>
      </c>
      <c r="CP262" s="42">
        <v>0</v>
      </c>
      <c r="CQ262" s="5"/>
      <c r="CR262" s="76">
        <v>364.94941211764393</v>
      </c>
      <c r="CS262" s="954">
        <v>0</v>
      </c>
      <c r="CT262" s="5"/>
      <c r="CU262" s="76">
        <v>215.78032349127011</v>
      </c>
      <c r="CV262" s="42">
        <v>0</v>
      </c>
      <c r="CW262" s="737"/>
      <c r="CX262" s="76">
        <v>0</v>
      </c>
      <c r="CY262" s="42">
        <v>0</v>
      </c>
      <c r="CZ262" s="5"/>
      <c r="DA262" s="76">
        <v>109.43236141333836</v>
      </c>
      <c r="DB262" s="42">
        <v>0</v>
      </c>
      <c r="DC262" s="5"/>
      <c r="DD262" s="76">
        <v>166.09371810065795</v>
      </c>
      <c r="DE262" s="42">
        <v>0</v>
      </c>
      <c r="DF262" s="5"/>
      <c r="DG262" s="76">
        <v>0</v>
      </c>
      <c r="DH262" s="42"/>
      <c r="DI262" s="5"/>
      <c r="DJ262" s="42">
        <v>1084.6568443100455</v>
      </c>
      <c r="DK262" s="42">
        <f t="shared" si="36"/>
        <v>0</v>
      </c>
      <c r="DL262" s="58">
        <f t="shared" si="37"/>
        <v>-1084.6568443100455</v>
      </c>
      <c r="DM262" s="2">
        <v>3</v>
      </c>
    </row>
    <row r="263" spans="1:117" ht="24.9" customHeight="1" x14ac:dyDescent="0.3">
      <c r="A263" s="318">
        <v>150000800</v>
      </c>
      <c r="B263" s="44" t="s">
        <v>226</v>
      </c>
      <c r="C263" s="956">
        <v>4</v>
      </c>
      <c r="D263" s="957" t="s">
        <v>454</v>
      </c>
      <c r="E263" s="949">
        <f>'побудинковий звіт'!E272</f>
        <v>2617.6</v>
      </c>
      <c r="F263" s="950">
        <f>'побудинковий звіт'!AS272</f>
        <v>39986.803238613851</v>
      </c>
      <c r="G263" s="950">
        <f t="shared" si="24"/>
        <v>6609.469620531896</v>
      </c>
      <c r="H263" s="950">
        <f t="shared" si="25"/>
        <v>-33377.333618081953</v>
      </c>
      <c r="I263" s="42">
        <f>'[2]поточний ремонт'!I263+'[1]поточний ремонт'!I263</f>
        <v>0</v>
      </c>
      <c r="J263" s="42">
        <f>'[2]поточний ремонт'!J263+'[1]поточний ремонт'!J263</f>
        <v>0</v>
      </c>
      <c r="K263" s="958"/>
      <c r="L263" s="42">
        <f>'[2]поточний ремонт'!L263+'[1]поточний ремонт'!L263</f>
        <v>0</v>
      </c>
      <c r="M263" s="42">
        <f>'[2]поточний ремонт'!M263+'[1]поточний ремонт'!M263</f>
        <v>0</v>
      </c>
      <c r="N263" s="36"/>
      <c r="O263" s="42">
        <f>'[2]поточний ремонт'!O263+'[1]поточний ремонт'!O263</f>
        <v>0</v>
      </c>
      <c r="P263" s="42">
        <f>'[2]поточний ремонт'!P263+'[1]поточний ремонт'!P263</f>
        <v>0</v>
      </c>
      <c r="Q263" s="959"/>
      <c r="R263" s="42">
        <f>'[2]поточний ремонт'!R263+'[1]поточний ремонт'!R263</f>
        <v>0</v>
      </c>
      <c r="S263" s="42">
        <f>'[2]поточний ремонт'!S263+'[1]поточний ремонт'!S263</f>
        <v>0</v>
      </c>
      <c r="T263" s="960"/>
      <c r="U263" s="42">
        <f>'[2]поточний ремонт'!U263+'[1]поточний ремонт'!U263</f>
        <v>0</v>
      </c>
      <c r="V263" s="42">
        <f>'[2]поточний ремонт'!V263+'[1]поточний ремонт'!V263</f>
        <v>0</v>
      </c>
      <c r="W263" s="42">
        <f>'[2]поточний ремонт'!W263+'[1]поточний ремонт'!W263</f>
        <v>0</v>
      </c>
      <c r="X263" s="42">
        <f>'[2]поточний ремонт'!X263+'[1]поточний ремонт'!X263</f>
        <v>0</v>
      </c>
      <c r="Y263" s="42">
        <f>'[2]поточний ремонт'!Y263+'[1]поточний ремонт'!Y263</f>
        <v>0</v>
      </c>
      <c r="Z263" s="42">
        <f>'[2]поточний ремонт'!Z263+'[1]поточний ремонт'!Z263</f>
        <v>0</v>
      </c>
      <c r="AA263" s="42">
        <f>'[2]поточний ремонт'!AA263+'[1]поточний ремонт'!AA263</f>
        <v>0</v>
      </c>
      <c r="AB263" s="42">
        <f>'[2]поточний ремонт'!AB263+'[1]поточний ремонт'!AB263</f>
        <v>6609.469620531896</v>
      </c>
      <c r="AC263" s="42">
        <f>'[2]поточний ремонт'!AC263+'[1]поточний ремонт'!AC263</f>
        <v>0</v>
      </c>
      <c r="AD263" s="42">
        <f>'[2]поточний ремонт'!AD263+'[1]поточний ремонт'!AD263</f>
        <v>0</v>
      </c>
      <c r="AE263" s="42">
        <f>'[2]поточний ремонт'!AE263+'[1]поточний ремонт'!AE263</f>
        <v>1189.5135550315579</v>
      </c>
      <c r="AF263" s="42">
        <f>'[2]поточний ремонт'!AF263+'[1]поточний ремонт'!AF263</f>
        <v>1269.419559694481</v>
      </c>
      <c r="AG263" s="5"/>
      <c r="AH263" s="42">
        <f>'[2]поточний ремонт'!AH263+'[1]поточний ремонт'!AH263</f>
        <v>1530.7898447291516</v>
      </c>
      <c r="AI263" s="42">
        <f>'[2]поточний ремонт'!AI263+'[1]поточний ремонт'!AI263</f>
        <v>0</v>
      </c>
      <c r="AJ263" s="5"/>
      <c r="AK263" s="42">
        <f>'[2]поточний ремонт'!AK263+'[1]поточний ремонт'!AK263</f>
        <v>1549.3689457589182</v>
      </c>
      <c r="AL263" s="42">
        <f>'[2]поточний ремонт'!AL263+'[1]поточний ремонт'!AL263</f>
        <v>0</v>
      </c>
      <c r="AM263" s="5"/>
      <c r="AN263" s="42">
        <f>'[2]поточний ремонт'!AN263+'[1]поточний ремонт'!AN263</f>
        <v>0</v>
      </c>
      <c r="AO263" s="42">
        <f>'[2]поточний ремонт'!AO263+'[1]поточний ремонт'!AO263</f>
        <v>0</v>
      </c>
      <c r="AP263" s="5"/>
      <c r="AQ263" s="42">
        <f>'[2]поточний ремонт'!AQ263+'[1]поточний ремонт'!AQ263</f>
        <v>66.163852782859806</v>
      </c>
      <c r="AR263" s="42">
        <f>'[2]поточний ремонт'!AR263+'[1]поточний ремонт'!AR263</f>
        <v>0</v>
      </c>
      <c r="AS263" s="5"/>
      <c r="AT263" s="42">
        <f>'[2]поточний ремонт'!AT263+'[1]поточний ремонт'!AT263</f>
        <v>675.49298844828729</v>
      </c>
      <c r="AU263" s="42">
        <f>'[2]поточний ремонт'!AU263+'[1]поточний ремонт'!AU263</f>
        <v>938.16598089821059</v>
      </c>
      <c r="AV263" s="5"/>
      <c r="AW263" s="42">
        <f>'[2]поточний ремонт'!AW263+'[1]поточний ремонт'!AW263</f>
        <v>81.940708886855418</v>
      </c>
      <c r="AX263" s="42">
        <f>'[2]поточний ремонт'!AX263+'[1]поточний ремонт'!AX263</f>
        <v>0</v>
      </c>
      <c r="AY263" s="5"/>
      <c r="AZ263" s="42">
        <f t="shared" si="26"/>
        <v>5093.2698956376307</v>
      </c>
      <c r="BA263" s="42">
        <f t="shared" si="27"/>
        <v>2207.5855405926914</v>
      </c>
      <c r="BB263" s="58">
        <f t="shared" si="28"/>
        <v>-2885.6843550449394</v>
      </c>
      <c r="BD263" s="2">
        <v>2</v>
      </c>
      <c r="BF263" s="29">
        <v>2.1219021556340851</v>
      </c>
      <c r="BG263" s="318">
        <v>150000800</v>
      </c>
      <c r="BI263" s="104">
        <v>0</v>
      </c>
      <c r="BJ263" s="104">
        <f t="shared" si="35"/>
        <v>0</v>
      </c>
      <c r="BK263" s="104">
        <v>0</v>
      </c>
      <c r="BL263" s="38"/>
      <c r="BM263" s="3"/>
      <c r="BN263" s="3">
        <v>0</v>
      </c>
      <c r="BP263" s="3"/>
      <c r="BQ263" s="3"/>
      <c r="BS263" s="42"/>
      <c r="BT263" s="42">
        <v>0</v>
      </c>
      <c r="BU263" s="958"/>
      <c r="BV263" s="41"/>
      <c r="BW263" s="42"/>
      <c r="BX263" s="36"/>
      <c r="BY263" s="76"/>
      <c r="BZ263" s="42">
        <v>0</v>
      </c>
      <c r="CA263" s="959"/>
      <c r="CB263" s="41"/>
      <c r="CC263" s="41">
        <v>0</v>
      </c>
      <c r="CD263" s="960"/>
      <c r="CE263" s="76">
        <v>0</v>
      </c>
      <c r="CF263" s="55"/>
      <c r="CG263" s="41">
        <v>0</v>
      </c>
      <c r="CH263" s="38">
        <v>0</v>
      </c>
      <c r="CI263" s="76">
        <v>0</v>
      </c>
      <c r="CJ263" s="55"/>
      <c r="CK263" s="955"/>
      <c r="CL263" s="950"/>
      <c r="CM263" s="955"/>
      <c r="CN263" s="950">
        <v>0</v>
      </c>
      <c r="CO263" s="76">
        <v>62.285310400733074</v>
      </c>
      <c r="CP263" s="42">
        <v>0</v>
      </c>
      <c r="CQ263" s="5"/>
      <c r="CR263" s="76">
        <v>76.807407836933493</v>
      </c>
      <c r="CS263" s="954">
        <v>0</v>
      </c>
      <c r="CT263" s="5"/>
      <c r="CU263" s="76">
        <v>86.211473746841165</v>
      </c>
      <c r="CV263" s="42">
        <v>0</v>
      </c>
      <c r="CW263" s="5"/>
      <c r="CX263" s="76">
        <v>0</v>
      </c>
      <c r="CY263" s="42">
        <v>0</v>
      </c>
      <c r="CZ263" s="5"/>
      <c r="DA263" s="76">
        <v>0</v>
      </c>
      <c r="DB263" s="42">
        <v>0</v>
      </c>
      <c r="DC263" s="5"/>
      <c r="DD263" s="76">
        <v>30.028070076793693</v>
      </c>
      <c r="DE263" s="42">
        <v>0</v>
      </c>
      <c r="DF263" s="5"/>
      <c r="DG263" s="76">
        <v>0</v>
      </c>
      <c r="DH263" s="42"/>
      <c r="DI263" s="5"/>
      <c r="DJ263" s="42">
        <v>255.33226206130141</v>
      </c>
      <c r="DK263" s="42">
        <f t="shared" si="36"/>
        <v>0</v>
      </c>
      <c r="DL263" s="58">
        <f t="shared" si="37"/>
        <v>-255.33226206130141</v>
      </c>
      <c r="DM263" s="2">
        <v>2</v>
      </c>
    </row>
    <row r="264" spans="1:117" ht="24.9" customHeight="1" x14ac:dyDescent="0.3">
      <c r="A264" s="318">
        <v>150000801</v>
      </c>
      <c r="B264" s="44" t="s">
        <v>294</v>
      </c>
      <c r="C264" s="956">
        <v>5</v>
      </c>
      <c r="D264" s="957" t="s">
        <v>454</v>
      </c>
      <c r="E264" s="949">
        <f>'побудинковий звіт'!E273</f>
        <v>2951.96</v>
      </c>
      <c r="F264" s="950">
        <f>'побудинковий звіт'!AS273</f>
        <v>29304.282164406875</v>
      </c>
      <c r="G264" s="950">
        <f t="shared" si="24"/>
        <v>10244.600853650336</v>
      </c>
      <c r="H264" s="950">
        <f t="shared" si="25"/>
        <v>-19059.681310756539</v>
      </c>
      <c r="I264" s="42">
        <f>'[2]поточний ремонт'!I264+'[1]поточний ремонт'!I264</f>
        <v>1.42</v>
      </c>
      <c r="J264" s="42">
        <f>'[2]поточний ремонт'!J264+'[1]поточний ремонт'!J264</f>
        <v>823.1870933268799</v>
      </c>
      <c r="K264" s="958"/>
      <c r="L264" s="42">
        <f>'[2]поточний ремонт'!L264+'[1]поточний ремонт'!L264</f>
        <v>0</v>
      </c>
      <c r="M264" s="42">
        <f>'[2]поточний ремонт'!M264+'[1]поточний ремонт'!M264</f>
        <v>0</v>
      </c>
      <c r="N264" s="36"/>
      <c r="O264" s="42">
        <f>'[2]поточний ремонт'!O264+'[1]поточний ремонт'!O264</f>
        <v>0</v>
      </c>
      <c r="P264" s="42">
        <f>'[2]поточний ремонт'!P264+'[1]поточний ремонт'!P264</f>
        <v>0</v>
      </c>
      <c r="Q264" s="959"/>
      <c r="R264" s="42">
        <f>'[2]поточний ремонт'!R264+'[1]поточний ремонт'!R264</f>
        <v>0</v>
      </c>
      <c r="S264" s="42">
        <f>'[2]поточний ремонт'!S264+'[1]поточний ремонт'!S264</f>
        <v>0</v>
      </c>
      <c r="T264" s="960"/>
      <c r="U264" s="42">
        <f>'[2]поточний ремонт'!U264+'[1]поточний ремонт'!U264</f>
        <v>0</v>
      </c>
      <c r="V264" s="42">
        <f>'[2]поточний ремонт'!V264+'[1]поточний ремонт'!V264</f>
        <v>0</v>
      </c>
      <c r="W264" s="42">
        <f>'[2]поточний ремонт'!W264+'[1]поточний ремонт'!W264</f>
        <v>8</v>
      </c>
      <c r="X264" s="42">
        <f>'[2]поточний ремонт'!X264+'[1]поточний ремонт'!X264</f>
        <v>3317.6763759900505</v>
      </c>
      <c r="Y264" s="42">
        <f>'[2]поточний ремонт'!Y264+'[1]поточний ремонт'!Y264</f>
        <v>4028.6728723498186</v>
      </c>
      <c r="Z264" s="42">
        <f>'[2]поточний ремонт'!Z264+'[1]поточний ремонт'!Z264</f>
        <v>0</v>
      </c>
      <c r="AA264" s="42">
        <f>'[2]поточний ремонт'!AA264+'[1]поточний ремонт'!AA264</f>
        <v>0</v>
      </c>
      <c r="AB264" s="42">
        <f>'[2]поточний ремонт'!AB264+'[1]поточний ремонт'!AB264</f>
        <v>1839.2780698668164</v>
      </c>
      <c r="AC264" s="42">
        <f>'[2]поточний ремонт'!AC264+'[1]поточний ремонт'!AC264</f>
        <v>0</v>
      </c>
      <c r="AD264" s="42">
        <f>'[2]поточний ремонт'!AD264+'[1]поточний ремонт'!AD264</f>
        <v>235.78644211677036</v>
      </c>
      <c r="AE264" s="42">
        <f>'[2]поточний ремонт'!AE264+'[1]поточний ремонт'!AE264</f>
        <v>1698.0355716779275</v>
      </c>
      <c r="AF264" s="42">
        <f>'[2]поточний ремонт'!AF264+'[1]поточний ремонт'!AF264</f>
        <v>2623.5444295781217</v>
      </c>
      <c r="AG264" s="5"/>
      <c r="AH264" s="42">
        <f>'[2]поточний ремонт'!AH264+'[1]поточний ремонт'!AH264</f>
        <v>2468.8030757012048</v>
      </c>
      <c r="AI264" s="42">
        <f>'[2]поточний ремонт'!AI264+'[1]поточний ремонт'!AI264</f>
        <v>579.71223035203479</v>
      </c>
      <c r="AJ264" s="5"/>
      <c r="AK264" s="42">
        <f>'[2]поточний ремонт'!AK264+'[1]поточний ремонт'!AK264</f>
        <v>2422.2641343020891</v>
      </c>
      <c r="AL264" s="42">
        <f>'[2]поточний ремонт'!AL264+'[1]поточний ремонт'!AL264</f>
        <v>0</v>
      </c>
      <c r="AM264" s="5"/>
      <c r="AN264" s="42">
        <f>'[2]поточний ремонт'!AN264+'[1]поточний ремонт'!AN264</f>
        <v>0</v>
      </c>
      <c r="AO264" s="42">
        <f>'[2]поточний ремонт'!AO264+'[1]поточний ремонт'!AO264</f>
        <v>0</v>
      </c>
      <c r="AP264" s="5"/>
      <c r="AQ264" s="42">
        <f>'[2]поточний ремонт'!AQ264+'[1]поточний ремонт'!AQ264</f>
        <v>165.40963195714954</v>
      </c>
      <c r="AR264" s="42">
        <f>'[2]поточний ремонт'!AR264+'[1]поточний ремонт'!AR264</f>
        <v>0</v>
      </c>
      <c r="AS264" s="5"/>
      <c r="AT264" s="42">
        <f>'[2]поточний ремонт'!AT264+'[1]поточний ремонт'!AT264</f>
        <v>1401.9852844770137</v>
      </c>
      <c r="AU264" s="42">
        <f>'[2]поточний ремонт'!AU264+'[1]поточний ремонт'!AU264</f>
        <v>121.68657532546392</v>
      </c>
      <c r="AV264" s="5"/>
      <c r="AW264" s="42">
        <f>'[2]поточний ремонт'!AW264+'[1]поточний ремонт'!AW264</f>
        <v>95.932116300154604</v>
      </c>
      <c r="AX264" s="42">
        <f>'[2]поточний ремонт'!AX264+'[1]поточний ремонт'!AX264</f>
        <v>0</v>
      </c>
      <c r="AY264" s="5"/>
      <c r="AZ264" s="42">
        <f t="shared" si="26"/>
        <v>8252.42981441554</v>
      </c>
      <c r="BA264" s="42">
        <f t="shared" si="27"/>
        <v>3324.94323525562</v>
      </c>
      <c r="BB264" s="58">
        <f t="shared" si="28"/>
        <v>-4927.4865791599204</v>
      </c>
      <c r="BD264" s="2">
        <v>2</v>
      </c>
      <c r="BF264" s="29">
        <v>44.167084857496505</v>
      </c>
      <c r="BG264" s="318">
        <v>150000801</v>
      </c>
      <c r="BI264" s="104">
        <v>156.34</v>
      </c>
      <c r="BJ264" s="104">
        <f t="shared" si="35"/>
        <v>21.991128348</v>
      </c>
      <c r="BK264" s="104">
        <v>180.30470134664</v>
      </c>
      <c r="BL264" s="38"/>
      <c r="BM264" s="3">
        <v>6</v>
      </c>
      <c r="BN264" s="3">
        <v>1064.5603339373511</v>
      </c>
      <c r="BP264" s="3"/>
      <c r="BQ264" s="3"/>
      <c r="BS264" s="42"/>
      <c r="BT264" s="42">
        <v>0</v>
      </c>
      <c r="BU264" s="958"/>
      <c r="BV264" s="41"/>
      <c r="BW264" s="42"/>
      <c r="BX264" s="36"/>
      <c r="BY264" s="76"/>
      <c r="BZ264" s="42">
        <v>0</v>
      </c>
      <c r="CA264" s="959"/>
      <c r="CB264" s="41"/>
      <c r="CC264" s="41">
        <v>0</v>
      </c>
      <c r="CD264" s="960"/>
      <c r="CE264" s="76">
        <v>0</v>
      </c>
      <c r="CF264" s="55"/>
      <c r="CG264" s="41">
        <v>6</v>
      </c>
      <c r="CH264" s="38">
        <v>1244.8650352839911</v>
      </c>
      <c r="CI264" s="76">
        <v>0</v>
      </c>
      <c r="CJ264" s="55"/>
      <c r="CK264" s="955"/>
      <c r="CL264" s="950"/>
      <c r="CM264" s="955"/>
      <c r="CN264" s="950">
        <v>0</v>
      </c>
      <c r="CO264" s="76">
        <v>195.10050848844696</v>
      </c>
      <c r="CP264" s="42">
        <v>1292.5792133935711</v>
      </c>
      <c r="CQ264" s="5"/>
      <c r="CR264" s="76">
        <v>306.21489211681387</v>
      </c>
      <c r="CS264" s="954">
        <v>0</v>
      </c>
      <c r="CT264" s="5"/>
      <c r="CU264" s="76">
        <v>249.27232528843322</v>
      </c>
      <c r="CV264" s="42">
        <v>0</v>
      </c>
      <c r="CW264" s="5"/>
      <c r="CX264" s="76">
        <v>0</v>
      </c>
      <c r="CY264" s="42">
        <v>0</v>
      </c>
      <c r="CZ264" s="5"/>
      <c r="DA264" s="76">
        <v>0</v>
      </c>
      <c r="DB264" s="42">
        <v>0</v>
      </c>
      <c r="DC264" s="5"/>
      <c r="DD264" s="76">
        <v>121.44824413877653</v>
      </c>
      <c r="DE264" s="42">
        <v>0</v>
      </c>
      <c r="DF264" s="5"/>
      <c r="DG264" s="76">
        <v>0</v>
      </c>
      <c r="DH264" s="42"/>
      <c r="DI264" s="5"/>
      <c r="DJ264" s="42">
        <v>872.03597003247057</v>
      </c>
      <c r="DK264" s="42">
        <f t="shared" si="36"/>
        <v>1292.5792133935711</v>
      </c>
      <c r="DL264" s="58">
        <f t="shared" si="37"/>
        <v>420.54324336110051</v>
      </c>
      <c r="DM264" s="2">
        <v>2</v>
      </c>
    </row>
    <row r="265" spans="1:117" ht="24.9" customHeight="1" x14ac:dyDescent="0.3">
      <c r="A265" s="318">
        <v>150000802</v>
      </c>
      <c r="B265" s="44" t="s">
        <v>295</v>
      </c>
      <c r="C265" s="956">
        <v>5</v>
      </c>
      <c r="D265" s="957" t="s">
        <v>454</v>
      </c>
      <c r="E265" s="949">
        <f>'побудинковий звіт'!E274</f>
        <v>2595.42</v>
      </c>
      <c r="F265" s="950">
        <f>'побудинковий звіт'!AS274</f>
        <v>42650.441550123272</v>
      </c>
      <c r="G265" s="950">
        <f t="shared" si="24"/>
        <v>4918.8989803965915</v>
      </c>
      <c r="H265" s="950">
        <f t="shared" si="25"/>
        <v>-37731.542569726684</v>
      </c>
      <c r="I265" s="42">
        <f>'[2]поточний ремонт'!I265+'[1]поточний ремонт'!I265</f>
        <v>4</v>
      </c>
      <c r="J265" s="42">
        <f>'[2]поточний ремонт'!J265+'[1]поточний ремонт'!J265</f>
        <v>1205.3176422019528</v>
      </c>
      <c r="K265" s="958"/>
      <c r="L265" s="42">
        <f>'[2]поточний ремонт'!L265+'[1]поточний ремонт'!L265</f>
        <v>0</v>
      </c>
      <c r="M265" s="42">
        <f>'[2]поточний ремонт'!M265+'[1]поточний ремонт'!M265</f>
        <v>0</v>
      </c>
      <c r="N265" s="36"/>
      <c r="O265" s="42">
        <f>'[2]поточний ремонт'!O265+'[1]поточний ремонт'!O265</f>
        <v>0</v>
      </c>
      <c r="P265" s="42">
        <f>'[2]поточний ремонт'!P265+'[1]поточний ремонт'!P265</f>
        <v>0</v>
      </c>
      <c r="Q265" s="959"/>
      <c r="R265" s="42">
        <f>'[2]поточний ремонт'!R265+'[1]поточний ремонт'!R265</f>
        <v>0</v>
      </c>
      <c r="S265" s="42">
        <f>'[2]поточний ремонт'!S265+'[1]поточний ремонт'!S265</f>
        <v>0</v>
      </c>
      <c r="T265" s="960"/>
      <c r="U265" s="42">
        <f>'[2]поточний ремонт'!U265+'[1]поточний ремонт'!U265</f>
        <v>0</v>
      </c>
      <c r="V265" s="42">
        <f>'[2]поточний ремонт'!V265+'[1]поточний ремонт'!V265</f>
        <v>0</v>
      </c>
      <c r="W265" s="42">
        <f>'[2]поточний ремонт'!W265+'[1]поточний ремонт'!W265</f>
        <v>0</v>
      </c>
      <c r="X265" s="42">
        <f>'[2]поточний ремонт'!X265+'[1]поточний ремонт'!X265</f>
        <v>0</v>
      </c>
      <c r="Y265" s="42">
        <f>'[2]поточний ремонт'!Y265+'[1]поточний ремонт'!Y265</f>
        <v>0</v>
      </c>
      <c r="Z265" s="42">
        <f>'[2]поточний ремонт'!Z265+'[1]поточний ремонт'!Z265</f>
        <v>0</v>
      </c>
      <c r="AA265" s="42">
        <f>'[2]поточний ремонт'!AA265+'[1]поточний ремонт'!AA265</f>
        <v>89</v>
      </c>
      <c r="AB265" s="42">
        <f>'[2]поточний ремонт'!AB265+'[1]поточний ремонт'!AB265</f>
        <v>1982.0241151803855</v>
      </c>
      <c r="AC265" s="42">
        <f>'[2]поточний ремонт'!AC265+'[1]поточний ремонт'!AC265</f>
        <v>0</v>
      </c>
      <c r="AD265" s="42">
        <f>'[2]поточний ремонт'!AD265+'[1]поточний ремонт'!AD265</f>
        <v>1642.5572230142536</v>
      </c>
      <c r="AE265" s="42">
        <f>'[2]поточний ремонт'!AE265+'[1]поточний ремонт'!AE265</f>
        <v>1729.6489007681439</v>
      </c>
      <c r="AF265" s="42">
        <f>'[2]поточний ремонт'!AF265+'[1]поточний ремонт'!AF265</f>
        <v>0</v>
      </c>
      <c r="AG265" s="5"/>
      <c r="AH265" s="42">
        <f>'[2]поточний ремонт'!AH265+'[1]поточний ремонт'!AH265</f>
        <v>2267.8615237699069</v>
      </c>
      <c r="AI265" s="42">
        <f>'[2]поточний ремонт'!AI265+'[1]поточний ремонт'!AI265</f>
        <v>0</v>
      </c>
      <c r="AJ265" s="5"/>
      <c r="AK265" s="42">
        <f>'[2]поточний ремонт'!AK265+'[1]поточний ремонт'!AK265</f>
        <v>2156.8717219770492</v>
      </c>
      <c r="AL265" s="42">
        <f>'[2]поточний ремонт'!AL265+'[1]поточний ремонт'!AL265</f>
        <v>0</v>
      </c>
      <c r="AM265" s="5"/>
      <c r="AN265" s="42">
        <f>'[2]поточний ремонт'!AN265+'[1]поточний ремонт'!AN265</f>
        <v>0</v>
      </c>
      <c r="AO265" s="42">
        <f>'[2]поточний ремонт'!AO265+'[1]поточний ремонт'!AO265</f>
        <v>0</v>
      </c>
      <c r="AP265" s="5"/>
      <c r="AQ265" s="42">
        <f>'[2]поточний ремонт'!AQ265+'[1]поточний ремонт'!AQ265</f>
        <v>137.84135996429129</v>
      </c>
      <c r="AR265" s="42">
        <f>'[2]поточний ремонт'!AR265+'[1]поточний ремонт'!AR265</f>
        <v>0</v>
      </c>
      <c r="AS265" s="5"/>
      <c r="AT265" s="42">
        <f>'[2]поточний ремонт'!AT265+'[1]поточний ремонт'!AT265</f>
        <v>1186.8622470025882</v>
      </c>
      <c r="AU265" s="42">
        <f>'[2]поточний ремонт'!AU265+'[1]поточний ремонт'!AU265</f>
        <v>1102.1574769873018</v>
      </c>
      <c r="AV265" s="5"/>
      <c r="AW265" s="42">
        <f>'[2]поточний ремонт'!AW265+'[1]поточний ремонт'!AW265</f>
        <v>70.521712702010319</v>
      </c>
      <c r="AX265" s="42">
        <f>'[2]поточний ремонт'!AX265+'[1]поточний ремонт'!AX265</f>
        <v>0</v>
      </c>
      <c r="AY265" s="5"/>
      <c r="AZ265" s="42">
        <f t="shared" si="26"/>
        <v>7549.6074661839893</v>
      </c>
      <c r="BA265" s="42">
        <f t="shared" si="27"/>
        <v>1102.1574769873018</v>
      </c>
      <c r="BB265" s="58">
        <f t="shared" si="28"/>
        <v>-6447.449989196688</v>
      </c>
      <c r="BD265" s="2">
        <v>2</v>
      </c>
      <c r="BF265" s="29">
        <v>4.6809500403301758</v>
      </c>
      <c r="BG265" s="318">
        <v>150000802</v>
      </c>
      <c r="BI265" s="104">
        <v>0</v>
      </c>
      <c r="BJ265" s="104">
        <f t="shared" si="35"/>
        <v>0</v>
      </c>
      <c r="BK265" s="104">
        <v>0</v>
      </c>
      <c r="BL265" s="38"/>
      <c r="BM265" s="3"/>
      <c r="BN265" s="3">
        <v>0</v>
      </c>
      <c r="BP265" s="3"/>
      <c r="BQ265" s="3"/>
      <c r="BS265" s="42"/>
      <c r="BT265" s="42">
        <v>0</v>
      </c>
      <c r="BU265" s="958"/>
      <c r="BV265" s="41"/>
      <c r="BW265" s="42"/>
      <c r="BX265" s="36"/>
      <c r="BY265" s="76"/>
      <c r="BZ265" s="42">
        <v>0</v>
      </c>
      <c r="CA265" s="959"/>
      <c r="CB265" s="41"/>
      <c r="CC265" s="41">
        <v>0</v>
      </c>
      <c r="CD265" s="960"/>
      <c r="CE265" s="76">
        <v>0</v>
      </c>
      <c r="CF265" s="55"/>
      <c r="CG265" s="41">
        <v>0</v>
      </c>
      <c r="CH265" s="38">
        <v>0</v>
      </c>
      <c r="CI265" s="76">
        <v>0</v>
      </c>
      <c r="CJ265" s="55"/>
      <c r="CK265" s="955"/>
      <c r="CL265" s="950"/>
      <c r="CM265" s="955"/>
      <c r="CN265" s="950">
        <v>0</v>
      </c>
      <c r="CO265" s="76">
        <v>158.92266622080513</v>
      </c>
      <c r="CP265" s="42">
        <v>0</v>
      </c>
      <c r="CQ265" s="5"/>
      <c r="CR265" s="76">
        <v>245.21278357122625</v>
      </c>
      <c r="CS265" s="954">
        <v>0</v>
      </c>
      <c r="CT265" s="5"/>
      <c r="CU265" s="76">
        <v>217.67909249195375</v>
      </c>
      <c r="CV265" s="42">
        <v>0</v>
      </c>
      <c r="CW265" s="5"/>
      <c r="CX265" s="76">
        <v>0</v>
      </c>
      <c r="CY265" s="42">
        <v>0</v>
      </c>
      <c r="CZ265" s="5"/>
      <c r="DA265" s="76">
        <v>0</v>
      </c>
      <c r="DB265" s="42">
        <v>0</v>
      </c>
      <c r="DC265" s="5"/>
      <c r="DD265" s="76">
        <v>87.209301208072532</v>
      </c>
      <c r="DE265" s="42">
        <v>0</v>
      </c>
      <c r="DF265" s="5"/>
      <c r="DG265" s="76">
        <v>0</v>
      </c>
      <c r="DH265" s="42"/>
      <c r="DI265" s="5"/>
      <c r="DJ265" s="42">
        <v>709.02384349205772</v>
      </c>
      <c r="DK265" s="42">
        <f t="shared" si="36"/>
        <v>0</v>
      </c>
      <c r="DL265" s="58">
        <f t="shared" si="37"/>
        <v>-709.02384349205772</v>
      </c>
      <c r="DM265" s="2">
        <v>2</v>
      </c>
    </row>
    <row r="266" spans="1:117" ht="24.9" customHeight="1" x14ac:dyDescent="0.3">
      <c r="A266" s="318">
        <v>150000803</v>
      </c>
      <c r="B266" s="44" t="s">
        <v>227</v>
      </c>
      <c r="C266" s="956">
        <v>4</v>
      </c>
      <c r="D266" s="957" t="s">
        <v>454</v>
      </c>
      <c r="E266" s="949">
        <f>'побудинковий звіт'!E275</f>
        <v>374.5</v>
      </c>
      <c r="F266" s="950">
        <f>'побудинковий звіт'!AS275</f>
        <v>4929.5991838853952</v>
      </c>
      <c r="G266" s="950">
        <f t="shared" si="24"/>
        <v>1258.2741498705154</v>
      </c>
      <c r="H266" s="950">
        <f t="shared" si="25"/>
        <v>-3671.3250340148797</v>
      </c>
      <c r="I266" s="42">
        <f>'[2]поточний ремонт'!I266+'[1]поточний ремонт'!I266</f>
        <v>0</v>
      </c>
      <c r="J266" s="42">
        <f>'[2]поточний ремонт'!J266+'[1]поточний ремонт'!J266</f>
        <v>0</v>
      </c>
      <c r="K266" s="958"/>
      <c r="L266" s="42">
        <f>'[2]поточний ремонт'!L266+'[1]поточний ремонт'!L266</f>
        <v>0</v>
      </c>
      <c r="M266" s="42">
        <f>'[2]поточний ремонт'!M266+'[1]поточний ремонт'!M266</f>
        <v>0</v>
      </c>
      <c r="N266" s="36"/>
      <c r="O266" s="42">
        <f>'[2]поточний ремонт'!O266+'[1]поточний ремонт'!O266</f>
        <v>0</v>
      </c>
      <c r="P266" s="42">
        <f>'[2]поточний ремонт'!P266+'[1]поточний ремонт'!P266</f>
        <v>0</v>
      </c>
      <c r="Q266" s="959"/>
      <c r="R266" s="42">
        <f>'[2]поточний ремонт'!R266+'[1]поточний ремонт'!R266</f>
        <v>0</v>
      </c>
      <c r="S266" s="42">
        <f>'[2]поточний ремонт'!S266+'[1]поточний ремонт'!S266</f>
        <v>0</v>
      </c>
      <c r="T266" s="960"/>
      <c r="U266" s="42">
        <f>'[2]поточний ремонт'!U266+'[1]поточний ремонт'!U266</f>
        <v>0</v>
      </c>
      <c r="V266" s="42">
        <f>'[2]поточний ремонт'!V266+'[1]поточний ремонт'!V266</f>
        <v>0</v>
      </c>
      <c r="W266" s="42">
        <f>'[2]поточний ремонт'!W266+'[1]поточний ремонт'!W266</f>
        <v>0</v>
      </c>
      <c r="X266" s="42">
        <f>'[2]поточний ремонт'!X266+'[1]поточний ремонт'!X266</f>
        <v>0</v>
      </c>
      <c r="Y266" s="42">
        <f>'[2]поточний ремонт'!Y266+'[1]поточний ремонт'!Y266</f>
        <v>0</v>
      </c>
      <c r="Z266" s="42">
        <f>'[2]поточний ремонт'!Z266+'[1]поточний ремонт'!Z266</f>
        <v>0</v>
      </c>
      <c r="AA266" s="42">
        <f>'[2]поточний ремонт'!AA266+'[1]поточний ремонт'!AA266</f>
        <v>0</v>
      </c>
      <c r="AB266" s="42">
        <f>'[2]поточний ремонт'!AB266+'[1]поточний ремонт'!AB266</f>
        <v>0</v>
      </c>
      <c r="AC266" s="42">
        <f>'[2]поточний ремонт'!AC266+'[1]поточний ремонт'!AC266</f>
        <v>779.05775634060751</v>
      </c>
      <c r="AD266" s="42">
        <f>'[2]поточний ремонт'!AD266+'[1]поточний ремонт'!AD266</f>
        <v>479.21639352990803</v>
      </c>
      <c r="AE266" s="42">
        <f>'[2]поточний ремонт'!AE266+'[1]поточний ремонт'!AE266</f>
        <v>582.12997630055304</v>
      </c>
      <c r="AF266" s="42">
        <f>'[2]поточний ремонт'!AF266+'[1]поточний ремонт'!AF266</f>
        <v>0</v>
      </c>
      <c r="AG266" s="5"/>
      <c r="AH266" s="42">
        <f>'[2]поточний ремонт'!AH266+'[1]поточний ремонт'!AH266</f>
        <v>807.3625888966194</v>
      </c>
      <c r="AI266" s="42">
        <f>'[2]поточний ремонт'!AI266+'[1]поточний ремонт'!AI266</f>
        <v>408.24941022231127</v>
      </c>
      <c r="AJ266" s="5"/>
      <c r="AK266" s="42">
        <f>'[2]поточний ремонт'!AK266+'[1]поточний ремонт'!AK266</f>
        <v>432.38104044487028</v>
      </c>
      <c r="AL266" s="42">
        <f>'[2]поточний ремонт'!AL266+'[1]поточний ремонт'!AL266</f>
        <v>0</v>
      </c>
      <c r="AM266" s="5"/>
      <c r="AN266" s="42">
        <f>'[2]поточний ремонт'!AN266+'[1]поточний ремонт'!AN266</f>
        <v>0</v>
      </c>
      <c r="AO266" s="42">
        <f>'[2]поточний ремонт'!AO266+'[1]поточний ремонт'!AO266</f>
        <v>0</v>
      </c>
      <c r="AP266" s="5"/>
      <c r="AQ266" s="42">
        <f>'[2]поточний ремонт'!AQ266+'[1]поточний ремонт'!AQ266</f>
        <v>66.163852782859806</v>
      </c>
      <c r="AR266" s="42">
        <f>'[2]поточний ремонт'!AR266+'[1]поточний ремонт'!AR266</f>
        <v>1255.0218409575091</v>
      </c>
      <c r="AS266" s="5"/>
      <c r="AT266" s="42">
        <f>'[2]поточний ремонт'!AT266+'[1]поточний ремонт'!AT266</f>
        <v>334.59184670243758</v>
      </c>
      <c r="AU266" s="42">
        <f>'[2]поточний ремонт'!AU266+'[1]поточний ремонт'!AU266</f>
        <v>0</v>
      </c>
      <c r="AV266" s="5"/>
      <c r="AW266" s="42">
        <f>'[2]поточний ремонт'!AW266+'[1]поточний ремонт'!AW266</f>
        <v>11.042545761168878</v>
      </c>
      <c r="AX266" s="42">
        <f>'[2]поточний ремонт'!AX266+'[1]поточний ремонт'!AX266</f>
        <v>0</v>
      </c>
      <c r="AY266" s="5"/>
      <c r="AZ266" s="42">
        <f t="shared" si="26"/>
        <v>2233.6718508885092</v>
      </c>
      <c r="BA266" s="42">
        <f t="shared" si="27"/>
        <v>1663.2712511798204</v>
      </c>
      <c r="BB266" s="58">
        <f t="shared" si="28"/>
        <v>-570.40059970868879</v>
      </c>
      <c r="BD266" s="2">
        <v>2</v>
      </c>
      <c r="BF266" s="29">
        <v>2.3849490844816201</v>
      </c>
      <c r="BG266" s="318">
        <v>150000803</v>
      </c>
      <c r="BI266" s="104">
        <v>0</v>
      </c>
      <c r="BJ266" s="104">
        <f t="shared" si="35"/>
        <v>0</v>
      </c>
      <c r="BK266" s="104">
        <v>0</v>
      </c>
      <c r="BL266" s="38"/>
      <c r="BM266" s="3"/>
      <c r="BN266" s="3">
        <v>0</v>
      </c>
      <c r="BP266" s="3"/>
      <c r="BQ266" s="3"/>
      <c r="BS266" s="42"/>
      <c r="BT266" s="42">
        <v>0</v>
      </c>
      <c r="BU266" s="958"/>
      <c r="BV266" s="41"/>
      <c r="BW266" s="42"/>
      <c r="BX266" s="36"/>
      <c r="BY266" s="76"/>
      <c r="BZ266" s="42">
        <v>0</v>
      </c>
      <c r="CA266" s="959"/>
      <c r="CB266" s="41"/>
      <c r="CC266" s="41">
        <v>0</v>
      </c>
      <c r="CD266" s="960"/>
      <c r="CE266" s="76">
        <v>0</v>
      </c>
      <c r="CF266" s="55"/>
      <c r="CG266" s="41">
        <v>0</v>
      </c>
      <c r="CH266" s="38">
        <v>0</v>
      </c>
      <c r="CI266" s="76">
        <v>0</v>
      </c>
      <c r="CJ266" s="55"/>
      <c r="CK266" s="955"/>
      <c r="CL266" s="950"/>
      <c r="CM266" s="955">
        <v>778</v>
      </c>
      <c r="CN266" s="950">
        <v>0</v>
      </c>
      <c r="CO266" s="76">
        <v>68.942432893789587</v>
      </c>
      <c r="CP266" s="42">
        <v>0</v>
      </c>
      <c r="CQ266" s="5"/>
      <c r="CR266" s="76">
        <v>95.560129197742071</v>
      </c>
      <c r="CS266" s="954">
        <v>0</v>
      </c>
      <c r="CT266" s="5"/>
      <c r="CU266" s="76">
        <v>82.392816481871506</v>
      </c>
      <c r="CV266" s="42">
        <v>0</v>
      </c>
      <c r="CW266" s="5"/>
      <c r="CX266" s="76">
        <v>0</v>
      </c>
      <c r="CY266" s="42">
        <v>0</v>
      </c>
      <c r="CZ266" s="5"/>
      <c r="DA266" s="76">
        <v>0</v>
      </c>
      <c r="DB266" s="42">
        <v>1253.4611627792881</v>
      </c>
      <c r="DC266" s="5"/>
      <c r="DD266" s="76">
        <v>28.144263139917541</v>
      </c>
      <c r="DE266" s="42">
        <v>0</v>
      </c>
      <c r="DF266" s="5"/>
      <c r="DG266" s="76">
        <v>0</v>
      </c>
      <c r="DH266" s="42"/>
      <c r="DI266" s="5"/>
      <c r="DJ266" s="42">
        <v>275.03964171332075</v>
      </c>
      <c r="DK266" s="42">
        <f t="shared" si="36"/>
        <v>1253.4611627792881</v>
      </c>
      <c r="DL266" s="58">
        <f t="shared" si="37"/>
        <v>978.42152106596734</v>
      </c>
      <c r="DM266" s="2">
        <v>2</v>
      </c>
    </row>
    <row r="267" spans="1:117" ht="24.9" customHeight="1" x14ac:dyDescent="0.3">
      <c r="A267" s="318">
        <v>150000805</v>
      </c>
      <c r="B267" s="44" t="s">
        <v>296</v>
      </c>
      <c r="C267" s="956">
        <v>5</v>
      </c>
      <c r="D267" s="957" t="s">
        <v>454</v>
      </c>
      <c r="E267" s="949">
        <f>'побудинковий звіт'!E276</f>
        <v>3609.1000000000004</v>
      </c>
      <c r="F267" s="950">
        <f>'побудинковий звіт'!AS276</f>
        <v>35148.438146649714</v>
      </c>
      <c r="G267" s="950">
        <f t="shared" ref="G267:G330" si="38">J267+M267+P267+S267+U267+X267+Y267+AA267+AB267+AC267+AD267</f>
        <v>6124.0839810242323</v>
      </c>
      <c r="H267" s="950">
        <f t="shared" ref="H267:H330" si="39">G267-F267</f>
        <v>-29024.354165625482</v>
      </c>
      <c r="I267" s="42">
        <f>'[2]поточний ремонт'!I267+'[1]поточний ремонт'!I267</f>
        <v>0</v>
      </c>
      <c r="J267" s="42">
        <f>'[2]поточний ремонт'!J267+'[1]поточний ремонт'!J267</f>
        <v>0</v>
      </c>
      <c r="K267" s="958"/>
      <c r="L267" s="42">
        <f>'[2]поточний ремонт'!L267+'[1]поточний ремонт'!L267</f>
        <v>0</v>
      </c>
      <c r="M267" s="42">
        <f>'[2]поточний ремонт'!M267+'[1]поточний ремонт'!M267</f>
        <v>0</v>
      </c>
      <c r="N267" s="36"/>
      <c r="O267" s="42">
        <f>'[2]поточний ремонт'!O267+'[1]поточний ремонт'!O267</f>
        <v>0</v>
      </c>
      <c r="P267" s="42">
        <f>'[2]поточний ремонт'!P267+'[1]поточний ремонт'!P267</f>
        <v>0</v>
      </c>
      <c r="Q267" s="959"/>
      <c r="R267" s="42">
        <f>'[2]поточний ремонт'!R267+'[1]поточний ремонт'!R267</f>
        <v>0</v>
      </c>
      <c r="S267" s="42">
        <f>'[2]поточний ремонт'!S267+'[1]поточний ремонт'!S267</f>
        <v>0</v>
      </c>
      <c r="T267" s="960"/>
      <c r="U267" s="42">
        <f>'[2]поточний ремонт'!U267+'[1]поточний ремонт'!U267</f>
        <v>0</v>
      </c>
      <c r="V267" s="42">
        <f>'[2]поточний ремонт'!V267+'[1]поточний ремонт'!V267</f>
        <v>0</v>
      </c>
      <c r="W267" s="42">
        <f>'[2]поточний ремонт'!W267+'[1]поточний ремонт'!W267</f>
        <v>5</v>
      </c>
      <c r="X267" s="42">
        <f>'[2]поточний ремонт'!X267+'[1]поточний ремонт'!X267</f>
        <v>999.45699441202578</v>
      </c>
      <c r="Y267" s="42">
        <f>'[2]поточний ремонт'!Y267+'[1]поточний ремонт'!Y267</f>
        <v>0</v>
      </c>
      <c r="Z267" s="42">
        <f>'[2]поточний ремонт'!Z267+'[1]поточний ремонт'!Z267</f>
        <v>0</v>
      </c>
      <c r="AA267" s="42">
        <f>'[2]поточний ремонт'!AA267+'[1]поточний ремонт'!AA267</f>
        <v>0</v>
      </c>
      <c r="AB267" s="42">
        <f>'[2]поточний ремонт'!AB267+'[1]поточний ремонт'!AB267</f>
        <v>0</v>
      </c>
      <c r="AC267" s="42">
        <f>'[2]поточний ремонт'!AC267+'[1]поточний ремонт'!AC267</f>
        <v>0</v>
      </c>
      <c r="AD267" s="42">
        <f>'[2]поточний ремонт'!AD267+'[1]поточний ремонт'!AD267</f>
        <v>5124.6269866122066</v>
      </c>
      <c r="AE267" s="42">
        <f>'[2]поточний ремонт'!AE267+'[1]поточний ремонт'!AE267</f>
        <v>1843.6869624601568</v>
      </c>
      <c r="AF267" s="42">
        <f>'[2]поточний ремонт'!AF267+'[1]поточний ремонт'!AF267</f>
        <v>2852.4612485607522</v>
      </c>
      <c r="AG267" s="5"/>
      <c r="AH267" s="42">
        <f>'[2]поточний ремонт'!AH267+'[1]поточний ремонт'!AH267</f>
        <v>2849.086326737267</v>
      </c>
      <c r="AI267" s="42">
        <f>'[2]поточний ремонт'!AI267+'[1]поточний ремонт'!AI267</f>
        <v>0</v>
      </c>
      <c r="AJ267" s="5"/>
      <c r="AK267" s="42">
        <f>'[2]поточний ремонт'!AK267+'[1]поточний ремонт'!AK267</f>
        <v>1941.3181121912128</v>
      </c>
      <c r="AL267" s="42">
        <f>'[2]поточний ремонт'!AL267+'[1]поточний ремонт'!AL267</f>
        <v>0</v>
      </c>
      <c r="AM267" s="5"/>
      <c r="AN267" s="42">
        <f>'[2]поточний ремонт'!AN267+'[1]поточний ремонт'!AN267</f>
        <v>0</v>
      </c>
      <c r="AO267" s="42">
        <f>'[2]поточний ремонт'!AO267+'[1]поточний ремонт'!AO267</f>
        <v>0</v>
      </c>
      <c r="AP267" s="5"/>
      <c r="AQ267" s="42">
        <f>'[2]поточний ремонт'!AQ267+'[1]поточний ремонт'!AQ267</f>
        <v>110.27308797143304</v>
      </c>
      <c r="AR267" s="42">
        <f>'[2]поточний ремонт'!AR267+'[1]поточний ремонт'!AR267</f>
        <v>0</v>
      </c>
      <c r="AS267" s="5"/>
      <c r="AT267" s="42">
        <f>'[2]поточний ремонт'!AT267+'[1]поточний ремонт'!AT267</f>
        <v>1528.7051330692734</v>
      </c>
      <c r="AU267" s="42">
        <f>'[2]поточний ремонт'!AU267+'[1]поточний ремонт'!AU267</f>
        <v>0</v>
      </c>
      <c r="AV267" s="974"/>
      <c r="AW267" s="42">
        <f>'[2]поточний ремонт'!AW267+'[1]поточний ремонт'!AW267</f>
        <v>100.38677964698979</v>
      </c>
      <c r="AX267" s="42">
        <f>'[2]поточний ремонт'!AX267+'[1]поточний ремонт'!AX267</f>
        <v>371.38792017384003</v>
      </c>
      <c r="AY267" s="5"/>
      <c r="AZ267" s="42">
        <f t="shared" ref="AZ267:AZ330" si="40">AE267+AH267+AK267+AN267+AQ267+AT267+AW267</f>
        <v>8373.4564020763319</v>
      </c>
      <c r="BA267" s="42">
        <f t="shared" ref="BA267:BA330" si="41">AF267+AI267+AL267+AO267+AR267+AU267+AX267</f>
        <v>3223.8491687345922</v>
      </c>
      <c r="BB267" s="58">
        <f t="shared" ref="BB267:BB330" si="42">BA267-AZ267</f>
        <v>-5149.6072333417396</v>
      </c>
      <c r="BD267" s="2">
        <v>3</v>
      </c>
      <c r="BF267" s="29">
        <v>269.63352346865474</v>
      </c>
      <c r="BG267" s="318">
        <v>150000805</v>
      </c>
      <c r="BI267" s="104">
        <v>47.04</v>
      </c>
      <c r="BJ267" s="104">
        <f t="shared" si="35"/>
        <v>6.6167498879999993</v>
      </c>
      <c r="BK267" s="104">
        <v>54.250563843839998</v>
      </c>
      <c r="BL267" s="38"/>
      <c r="BM267" s="3"/>
      <c r="BN267" s="3">
        <v>0</v>
      </c>
      <c r="BP267" s="3"/>
      <c r="BQ267" s="3"/>
      <c r="BS267" s="42"/>
      <c r="BT267" s="42">
        <v>0</v>
      </c>
      <c r="BU267" s="958"/>
      <c r="BV267" s="41"/>
      <c r="BW267" s="42"/>
      <c r="BX267" s="36"/>
      <c r="BY267" s="76"/>
      <c r="BZ267" s="42">
        <v>0</v>
      </c>
      <c r="CA267" s="959"/>
      <c r="CB267" s="41"/>
      <c r="CC267" s="41">
        <v>0</v>
      </c>
      <c r="CD267" s="960"/>
      <c r="CE267" s="76">
        <v>0</v>
      </c>
      <c r="CF267" s="55"/>
      <c r="CG267" s="41">
        <v>0</v>
      </c>
      <c r="CH267" s="38">
        <v>54.250563843839998</v>
      </c>
      <c r="CI267" s="76">
        <v>0</v>
      </c>
      <c r="CJ267" s="55"/>
      <c r="CK267" s="955"/>
      <c r="CL267" s="950"/>
      <c r="CM267" s="955"/>
      <c r="CN267" s="950">
        <v>0</v>
      </c>
      <c r="CO267" s="76">
        <v>157.80138404303619</v>
      </c>
      <c r="CP267" s="42">
        <v>1104.0879778335729</v>
      </c>
      <c r="CQ267" s="5"/>
      <c r="CR267" s="76">
        <v>246.77626820613449</v>
      </c>
      <c r="CS267" s="954">
        <v>0</v>
      </c>
      <c r="CT267" s="5"/>
      <c r="CU267" s="76">
        <v>164.2549839912036</v>
      </c>
      <c r="CV267" s="42">
        <v>0</v>
      </c>
      <c r="CW267" s="5"/>
      <c r="CX267" s="76">
        <v>0</v>
      </c>
      <c r="CY267" s="42">
        <v>0</v>
      </c>
      <c r="CZ267" s="5"/>
      <c r="DA267" s="76">
        <v>0</v>
      </c>
      <c r="DB267" s="42">
        <v>0</v>
      </c>
      <c r="DC267" s="5"/>
      <c r="DD267" s="76">
        <v>115.12791972448017</v>
      </c>
      <c r="DE267" s="42">
        <v>0</v>
      </c>
      <c r="DF267" s="974"/>
      <c r="DG267" s="76">
        <v>0</v>
      </c>
      <c r="DH267" s="42"/>
      <c r="DI267" s="5"/>
      <c r="DJ267" s="42">
        <v>683.96055596485451</v>
      </c>
      <c r="DK267" s="42">
        <f t="shared" si="36"/>
        <v>1104.0879778335729</v>
      </c>
      <c r="DL267" s="58">
        <f t="shared" si="37"/>
        <v>420.12742186871844</v>
      </c>
      <c r="DM267" s="2">
        <v>3</v>
      </c>
    </row>
    <row r="268" spans="1:117" ht="24.9" customHeight="1" x14ac:dyDescent="0.3">
      <c r="A268" s="318">
        <v>150000806</v>
      </c>
      <c r="B268" s="44" t="s">
        <v>228</v>
      </c>
      <c r="C268" s="956">
        <v>4</v>
      </c>
      <c r="D268" s="957" t="s">
        <v>454</v>
      </c>
      <c r="E268" s="949">
        <f>'побудинковий звіт'!E277</f>
        <v>2652.84</v>
      </c>
      <c r="F268" s="950">
        <f>'побудинковий звіт'!AS277</f>
        <v>26190.61495492563</v>
      </c>
      <c r="G268" s="950">
        <f t="shared" si="38"/>
        <v>0</v>
      </c>
      <c r="H268" s="950">
        <f t="shared" si="39"/>
        <v>-26190.61495492563</v>
      </c>
      <c r="I268" s="42">
        <f>'[2]поточний ремонт'!I268+'[1]поточний ремонт'!I268</f>
        <v>0</v>
      </c>
      <c r="J268" s="42">
        <f>'[2]поточний ремонт'!J268+'[1]поточний ремонт'!J268</f>
        <v>0</v>
      </c>
      <c r="K268" s="958"/>
      <c r="L268" s="42">
        <f>'[2]поточний ремонт'!L268+'[1]поточний ремонт'!L268</f>
        <v>0</v>
      </c>
      <c r="M268" s="42">
        <f>'[2]поточний ремонт'!M268+'[1]поточний ремонт'!M268</f>
        <v>0</v>
      </c>
      <c r="N268" s="36"/>
      <c r="O268" s="42">
        <f>'[2]поточний ремонт'!O268+'[1]поточний ремонт'!O268</f>
        <v>0</v>
      </c>
      <c r="P268" s="42">
        <f>'[2]поточний ремонт'!P268+'[1]поточний ремонт'!P268</f>
        <v>0</v>
      </c>
      <c r="Q268" s="959"/>
      <c r="R268" s="42">
        <f>'[2]поточний ремонт'!R268+'[1]поточний ремонт'!R268</f>
        <v>0</v>
      </c>
      <c r="S268" s="42">
        <f>'[2]поточний ремонт'!S268+'[1]поточний ремонт'!S268</f>
        <v>0</v>
      </c>
      <c r="T268" s="960"/>
      <c r="U268" s="42">
        <f>'[2]поточний ремонт'!U268+'[1]поточний ремонт'!U268</f>
        <v>0</v>
      </c>
      <c r="V268" s="42">
        <f>'[2]поточний ремонт'!V268+'[1]поточний ремонт'!V268</f>
        <v>0</v>
      </c>
      <c r="W268" s="42">
        <f>'[2]поточний ремонт'!W268+'[1]поточний ремонт'!W268</f>
        <v>0</v>
      </c>
      <c r="X268" s="42">
        <f>'[2]поточний ремонт'!X268+'[1]поточний ремонт'!X268</f>
        <v>0</v>
      </c>
      <c r="Y268" s="42">
        <f>'[2]поточний ремонт'!Y268+'[1]поточний ремонт'!Y268</f>
        <v>0</v>
      </c>
      <c r="Z268" s="42">
        <f>'[2]поточний ремонт'!Z268+'[1]поточний ремонт'!Z268</f>
        <v>0</v>
      </c>
      <c r="AA268" s="42">
        <f>'[2]поточний ремонт'!AA268+'[1]поточний ремонт'!AA268</f>
        <v>0</v>
      </c>
      <c r="AB268" s="42">
        <f>'[2]поточний ремонт'!AB268+'[1]поточний ремонт'!AB268</f>
        <v>0</v>
      </c>
      <c r="AC268" s="42">
        <f>'[2]поточний ремонт'!AC268+'[1]поточний ремонт'!AC268</f>
        <v>0</v>
      </c>
      <c r="AD268" s="42">
        <f>'[2]поточний ремонт'!AD268+'[1]поточний ремонт'!AD268</f>
        <v>0</v>
      </c>
      <c r="AE268" s="42">
        <f>'[2]поточний ремонт'!AE268+'[1]поточний ремонт'!AE268</f>
        <v>1544.6457956255042</v>
      </c>
      <c r="AF268" s="42">
        <f>'[2]поточний ремонт'!AF268+'[1]поточний ремонт'!AF268</f>
        <v>0</v>
      </c>
      <c r="AG268" s="5"/>
      <c r="AH268" s="42">
        <f>'[2]поточний ремонт'!AH268+'[1]поточний ремонт'!AH268</f>
        <v>2005.1798271875134</v>
      </c>
      <c r="AI268" s="42">
        <f>'[2]поточний ремонт'!AI268+'[1]поточний ремонт'!AI268</f>
        <v>0</v>
      </c>
      <c r="AJ268" s="5"/>
      <c r="AK268" s="42">
        <f>'[2]поточний ремонт'!AK268+'[1]поточний ремонт'!AK268</f>
        <v>1670.5414803146477</v>
      </c>
      <c r="AL268" s="42">
        <f>'[2]поточний ремонт'!AL268+'[1]поточний ремонт'!AL268</f>
        <v>480.39198214586401</v>
      </c>
      <c r="AM268" s="5"/>
      <c r="AN268" s="42">
        <f>'[2]поточний ремонт'!AN268+'[1]поточний ремонт'!AN268</f>
        <v>501.08556478340154</v>
      </c>
      <c r="AO268" s="42">
        <f>'[2]поточний ремонт'!AO268+'[1]поточний ремонт'!AO268</f>
        <v>0</v>
      </c>
      <c r="AP268" s="5"/>
      <c r="AQ268" s="42">
        <f>'[2]поточний ремонт'!AQ268+'[1]поточний ремонт'!AQ268</f>
        <v>110.27308797143304</v>
      </c>
      <c r="AR268" s="42">
        <f>'[2]поточний ремонт'!AR268+'[1]поточний ремонт'!AR268</f>
        <v>462.73662468131209</v>
      </c>
      <c r="AS268" s="5"/>
      <c r="AT268" s="42">
        <f>'[2]поточний ремонт'!AT268+'[1]поточний ремонт'!AT268</f>
        <v>1246.9348069815117</v>
      </c>
      <c r="AU268" s="42">
        <f>'[2]поточний ремонт'!AU268+'[1]поточний ремонт'!AU268</f>
        <v>0</v>
      </c>
      <c r="AV268" s="5"/>
      <c r="AW268" s="42">
        <f>'[2]поточний ремонт'!AW268+'[1]поточний ремонт'!AW268</f>
        <v>89.28149214854156</v>
      </c>
      <c r="AX268" s="42">
        <f>'[2]поточний ремонт'!AX268+'[1]поточний ремонт'!AX268</f>
        <v>0</v>
      </c>
      <c r="AY268" s="5"/>
      <c r="AZ268" s="42">
        <f t="shared" si="40"/>
        <v>7167.9420550125524</v>
      </c>
      <c r="BA268" s="42">
        <f t="shared" si="41"/>
        <v>943.1286068271761</v>
      </c>
      <c r="BB268" s="58">
        <f t="shared" si="42"/>
        <v>-6224.8134481853758</v>
      </c>
      <c r="BD268" s="2">
        <v>2</v>
      </c>
      <c r="BF268" s="29">
        <v>3.5782269349448965</v>
      </c>
      <c r="BG268" s="318">
        <v>150000806</v>
      </c>
      <c r="BI268" s="104">
        <v>0</v>
      </c>
      <c r="BJ268" s="104">
        <f t="shared" si="35"/>
        <v>0</v>
      </c>
      <c r="BK268" s="104">
        <v>0</v>
      </c>
      <c r="BL268" s="38"/>
      <c r="BM268" s="3"/>
      <c r="BN268" s="3">
        <v>0</v>
      </c>
      <c r="BP268" s="3"/>
      <c r="BQ268" s="3"/>
      <c r="BS268" s="42"/>
      <c r="BT268" s="42">
        <v>0</v>
      </c>
      <c r="BU268" s="958"/>
      <c r="BV268" s="41"/>
      <c r="BW268" s="42"/>
      <c r="BX268" s="36"/>
      <c r="BY268" s="76"/>
      <c r="BZ268" s="42">
        <v>0</v>
      </c>
      <c r="CA268" s="959"/>
      <c r="CB268" s="41"/>
      <c r="CC268" s="41">
        <v>0</v>
      </c>
      <c r="CD268" s="960"/>
      <c r="CE268" s="76">
        <v>0</v>
      </c>
      <c r="CF268" s="55"/>
      <c r="CG268" s="41">
        <v>0</v>
      </c>
      <c r="CH268" s="38">
        <v>0</v>
      </c>
      <c r="CI268" s="76">
        <v>0</v>
      </c>
      <c r="CJ268" s="55"/>
      <c r="CK268" s="955"/>
      <c r="CL268" s="950"/>
      <c r="CM268" s="955"/>
      <c r="CN268" s="950">
        <v>0</v>
      </c>
      <c r="CO268" s="76">
        <v>124.42417081826773</v>
      </c>
      <c r="CP268" s="42">
        <v>0</v>
      </c>
      <c r="CQ268" s="5"/>
      <c r="CR268" s="76">
        <v>183.73960887458077</v>
      </c>
      <c r="CS268" s="954">
        <v>0</v>
      </c>
      <c r="CT268" s="5"/>
      <c r="CU268" s="76">
        <v>118.9463132300352</v>
      </c>
      <c r="CV268" s="42">
        <v>0</v>
      </c>
      <c r="CW268" s="5"/>
      <c r="CX268" s="76">
        <v>0</v>
      </c>
      <c r="CY268" s="42">
        <v>0</v>
      </c>
      <c r="CZ268" s="5"/>
      <c r="DA268" s="76">
        <v>0</v>
      </c>
      <c r="DB268" s="42">
        <v>0</v>
      </c>
      <c r="DC268" s="5"/>
      <c r="DD268" s="76">
        <v>84.9623748244654</v>
      </c>
      <c r="DE268" s="42">
        <v>0</v>
      </c>
      <c r="DF268" s="5"/>
      <c r="DG268" s="76">
        <v>0</v>
      </c>
      <c r="DH268" s="42"/>
      <c r="DI268" s="5"/>
      <c r="DJ268" s="42">
        <v>512.07246774734915</v>
      </c>
      <c r="DK268" s="42">
        <f t="shared" si="36"/>
        <v>0</v>
      </c>
      <c r="DL268" s="58">
        <f t="shared" si="37"/>
        <v>-512.07246774734915</v>
      </c>
      <c r="DM268" s="2">
        <v>2</v>
      </c>
    </row>
    <row r="269" spans="1:117" ht="24.9" customHeight="1" x14ac:dyDescent="0.3">
      <c r="A269" s="318">
        <v>150000807</v>
      </c>
      <c r="B269" s="44" t="s">
        <v>187</v>
      </c>
      <c r="C269" s="956">
        <v>2</v>
      </c>
      <c r="D269" s="957" t="s">
        <v>454</v>
      </c>
      <c r="E269" s="949">
        <f>'побудинковий звіт'!E278</f>
        <v>2582.5</v>
      </c>
      <c r="F269" s="950">
        <f>'побудинковий звіт'!AS278</f>
        <v>30664.42837764664</v>
      </c>
      <c r="G269" s="950">
        <f t="shared" si="38"/>
        <v>0</v>
      </c>
      <c r="H269" s="950">
        <f t="shared" si="39"/>
        <v>-30664.42837764664</v>
      </c>
      <c r="I269" s="42">
        <f>'[2]поточний ремонт'!I269+'[1]поточний ремонт'!I269</f>
        <v>0</v>
      </c>
      <c r="J269" s="42">
        <f>'[2]поточний ремонт'!J269+'[1]поточний ремонт'!J269</f>
        <v>0</v>
      </c>
      <c r="K269" s="958"/>
      <c r="L269" s="42">
        <f>'[2]поточний ремонт'!L269+'[1]поточний ремонт'!L269</f>
        <v>0</v>
      </c>
      <c r="M269" s="42">
        <f>'[2]поточний ремонт'!M269+'[1]поточний ремонт'!M269</f>
        <v>0</v>
      </c>
      <c r="N269" s="36"/>
      <c r="O269" s="42">
        <f>'[2]поточний ремонт'!O269+'[1]поточний ремонт'!O269</f>
        <v>0</v>
      </c>
      <c r="P269" s="42">
        <f>'[2]поточний ремонт'!P269+'[1]поточний ремонт'!P269</f>
        <v>0</v>
      </c>
      <c r="Q269" s="959"/>
      <c r="R269" s="42">
        <f>'[2]поточний ремонт'!R269+'[1]поточний ремонт'!R269</f>
        <v>0</v>
      </c>
      <c r="S269" s="42">
        <f>'[2]поточний ремонт'!S269+'[1]поточний ремонт'!S269</f>
        <v>0</v>
      </c>
      <c r="T269" s="960"/>
      <c r="U269" s="42">
        <f>'[2]поточний ремонт'!U269+'[1]поточний ремонт'!U269</f>
        <v>0</v>
      </c>
      <c r="V269" s="42">
        <f>'[2]поточний ремонт'!V269+'[1]поточний ремонт'!V269</f>
        <v>0</v>
      </c>
      <c r="W269" s="42">
        <f>'[2]поточний ремонт'!W269+'[1]поточний ремонт'!W269</f>
        <v>0</v>
      </c>
      <c r="X269" s="42">
        <f>'[2]поточний ремонт'!X269+'[1]поточний ремонт'!X269</f>
        <v>0</v>
      </c>
      <c r="Y269" s="42">
        <f>'[2]поточний ремонт'!Y269+'[1]поточний ремонт'!Y269</f>
        <v>0</v>
      </c>
      <c r="Z269" s="42">
        <f>'[2]поточний ремонт'!Z269+'[1]поточний ремонт'!Z269</f>
        <v>0</v>
      </c>
      <c r="AA269" s="42">
        <f>'[2]поточний ремонт'!AA269+'[1]поточний ремонт'!AA269</f>
        <v>0</v>
      </c>
      <c r="AB269" s="42">
        <f>'[2]поточний ремонт'!AB269+'[1]поточний ремонт'!AB269</f>
        <v>0</v>
      </c>
      <c r="AC269" s="42">
        <f>'[2]поточний ремонт'!AC269+'[1]поточний ремонт'!AC269</f>
        <v>0</v>
      </c>
      <c r="AD269" s="42">
        <f>'[2]поточний ремонт'!AD269+'[1]поточний ремонт'!AD269</f>
        <v>0</v>
      </c>
      <c r="AE269" s="42">
        <f>'[2]поточний ремонт'!AE269+'[1]поточний ремонт'!AE269</f>
        <v>1076.2634067188201</v>
      </c>
      <c r="AF269" s="42">
        <f>'[2]поточний ремонт'!AF269+'[1]поточний ремонт'!AF269</f>
        <v>0</v>
      </c>
      <c r="AG269" s="5"/>
      <c r="AH269" s="42">
        <f>'[2]поточний ремонт'!AH269+'[1]поточний ремонт'!AH269</f>
        <v>1340.944858267002</v>
      </c>
      <c r="AI269" s="42">
        <f>'[2]поточний ремонт'!AI269+'[1]поточний ремонт'!AI269</f>
        <v>0</v>
      </c>
      <c r="AJ269" s="5"/>
      <c r="AK269" s="42">
        <f>'[2]поточний ремонт'!AK269+'[1]поточний ремонт'!AK269</f>
        <v>1002.6716589791738</v>
      </c>
      <c r="AL269" s="42">
        <f>'[2]поточний ремонт'!AL269+'[1]поточний ремонт'!AL269</f>
        <v>0</v>
      </c>
      <c r="AM269" s="5"/>
      <c r="AN269" s="42">
        <f>'[2]поточний ремонт'!AN269+'[1]поточний ремонт'!AN269</f>
        <v>0</v>
      </c>
      <c r="AO269" s="42">
        <f>'[2]поточний ремонт'!AO269+'[1]поточний ремонт'!AO269</f>
        <v>0</v>
      </c>
      <c r="AP269" s="5"/>
      <c r="AQ269" s="42">
        <f>'[2]поточний ремонт'!AQ269+'[1]поточний ремонт'!AQ269</f>
        <v>0</v>
      </c>
      <c r="AR269" s="42">
        <f>'[2]поточний ремонт'!AR269+'[1]поточний ремонт'!AR269</f>
        <v>0</v>
      </c>
      <c r="AS269" s="5"/>
      <c r="AT269" s="42">
        <f>'[2]поточний ремонт'!AT269+'[1]поточний ремонт'!AT269</f>
        <v>540.60790759956888</v>
      </c>
      <c r="AU269" s="42">
        <f>'[2]поточний ремонт'!AU269+'[1]поточний ремонт'!AU269</f>
        <v>0</v>
      </c>
      <c r="AV269" s="5"/>
      <c r="AW269" s="42">
        <f>'[2]поточний ремонт'!AW269+'[1]поточний ремонт'!AW269</f>
        <v>12.548347455873724</v>
      </c>
      <c r="AX269" s="42">
        <f>'[2]поточний ремонт'!AX269+'[1]поточний ремонт'!AX269</f>
        <v>514.52176042799999</v>
      </c>
      <c r="AY269" s="5"/>
      <c r="AZ269" s="42">
        <f t="shared" si="40"/>
        <v>3973.0361790204388</v>
      </c>
      <c r="BA269" s="42">
        <f t="shared" si="41"/>
        <v>514.52176042799999</v>
      </c>
      <c r="BB269" s="58">
        <f t="shared" si="42"/>
        <v>-3458.5144185924387</v>
      </c>
      <c r="BD269" s="2">
        <v>3</v>
      </c>
      <c r="BF269" s="29">
        <v>22.47793218456809</v>
      </c>
      <c r="BG269" s="318">
        <v>150000807</v>
      </c>
      <c r="BI269" s="104">
        <v>0</v>
      </c>
      <c r="BJ269" s="104">
        <f t="shared" si="35"/>
        <v>0</v>
      </c>
      <c r="BK269" s="104">
        <v>0</v>
      </c>
      <c r="BL269" s="38"/>
      <c r="BM269" s="3"/>
      <c r="BN269" s="3">
        <v>0</v>
      </c>
      <c r="BP269" s="3"/>
      <c r="BQ269" s="3"/>
      <c r="BS269" s="42"/>
      <c r="BT269" s="42">
        <v>0</v>
      </c>
      <c r="BU269" s="958"/>
      <c r="BV269" s="41"/>
      <c r="BW269" s="42"/>
      <c r="BX269" s="36"/>
      <c r="BY269" s="76"/>
      <c r="BZ269" s="42">
        <v>0</v>
      </c>
      <c r="CA269" s="959"/>
      <c r="CB269" s="41"/>
      <c r="CC269" s="41">
        <v>0</v>
      </c>
      <c r="CD269" s="960"/>
      <c r="CE269" s="76">
        <v>0</v>
      </c>
      <c r="CF269" s="55"/>
      <c r="CG269" s="41">
        <v>0</v>
      </c>
      <c r="CH269" s="38">
        <v>0</v>
      </c>
      <c r="CI269" s="76">
        <v>0</v>
      </c>
      <c r="CJ269" s="55"/>
      <c r="CK269" s="955"/>
      <c r="CL269" s="950"/>
      <c r="CM269" s="955"/>
      <c r="CN269" s="950">
        <v>0</v>
      </c>
      <c r="CO269" s="76">
        <v>31.210401743719675</v>
      </c>
      <c r="CP269" s="42">
        <v>0</v>
      </c>
      <c r="CQ269" s="5"/>
      <c r="CR269" s="76">
        <v>35.912737913414823</v>
      </c>
      <c r="CS269" s="954">
        <v>0</v>
      </c>
      <c r="CT269" s="5"/>
      <c r="CU269" s="76">
        <v>0</v>
      </c>
      <c r="CV269" s="42">
        <v>0</v>
      </c>
      <c r="CW269" s="5"/>
      <c r="CX269" s="76">
        <v>0</v>
      </c>
      <c r="CY269" s="42">
        <v>0</v>
      </c>
      <c r="CZ269" s="5"/>
      <c r="DA269" s="76">
        <v>0</v>
      </c>
      <c r="DB269" s="42">
        <v>0</v>
      </c>
      <c r="DC269" s="5"/>
      <c r="DD269" s="76">
        <v>4.9307175585019483</v>
      </c>
      <c r="DE269" s="42">
        <v>0</v>
      </c>
      <c r="DF269" s="5"/>
      <c r="DG269" s="76">
        <v>0</v>
      </c>
      <c r="DH269" s="42"/>
      <c r="DI269" s="5"/>
      <c r="DJ269" s="42">
        <v>72.053857215636455</v>
      </c>
      <c r="DK269" s="42">
        <f t="shared" si="36"/>
        <v>0</v>
      </c>
      <c r="DL269" s="58">
        <f t="shared" si="37"/>
        <v>-72.053857215636455</v>
      </c>
      <c r="DM269" s="2">
        <v>3</v>
      </c>
    </row>
    <row r="270" spans="1:117" ht="24.9" customHeight="1" x14ac:dyDescent="0.3">
      <c r="A270" s="318">
        <v>150000808</v>
      </c>
      <c r="B270" s="44" t="s">
        <v>297</v>
      </c>
      <c r="C270" s="956">
        <v>5</v>
      </c>
      <c r="D270" s="957" t="s">
        <v>454</v>
      </c>
      <c r="E270" s="949">
        <f>'побудинковий звіт'!E279</f>
        <v>5707.2000000000007</v>
      </c>
      <c r="F270" s="950">
        <f>'побудинковий звіт'!AS279</f>
        <v>94636.603597041001</v>
      </c>
      <c r="G270" s="950">
        <f t="shared" si="38"/>
        <v>81762.949332745149</v>
      </c>
      <c r="H270" s="950">
        <f t="shared" si="39"/>
        <v>-12873.654264295852</v>
      </c>
      <c r="I270" s="42">
        <f>'[2]поточний ремонт'!I270+'[1]поточний ремонт'!I270</f>
        <v>0</v>
      </c>
      <c r="J270" s="42">
        <f>'[2]поточний ремонт'!J270+'[1]поточний ремонт'!J270</f>
        <v>0</v>
      </c>
      <c r="K270" s="958"/>
      <c r="L270" s="42">
        <f>'[2]поточний ремонт'!L270+'[1]поточний ремонт'!L270</f>
        <v>1</v>
      </c>
      <c r="M270" s="42">
        <f>'[2]поточний ремонт'!M270+'[1]поточний ремонт'!M270</f>
        <v>80101.804292519781</v>
      </c>
      <c r="N270" s="960"/>
      <c r="O270" s="42">
        <f>'[2]поточний ремонт'!O270+'[1]поточний ремонт'!O270</f>
        <v>0</v>
      </c>
      <c r="P270" s="42">
        <f>'[2]поточний ремонт'!P270+'[1]поточний ремонт'!P270</f>
        <v>0</v>
      </c>
      <c r="Q270" s="959"/>
      <c r="R270" s="42">
        <f>'[2]поточний ремонт'!R270+'[1]поточний ремонт'!R270</f>
        <v>0</v>
      </c>
      <c r="S270" s="42">
        <f>'[2]поточний ремонт'!S270+'[1]поточний ремонт'!S270</f>
        <v>0</v>
      </c>
      <c r="T270" s="960"/>
      <c r="U270" s="42">
        <f>'[2]поточний ремонт'!U270+'[1]поточний ремонт'!U270</f>
        <v>0</v>
      </c>
      <c r="V270" s="42">
        <f>'[2]поточний ремонт'!V270+'[1]поточний ремонт'!V270</f>
        <v>0</v>
      </c>
      <c r="W270" s="42">
        <f>'[2]поточний ремонт'!W270+'[1]поточний ремонт'!W270</f>
        <v>0</v>
      </c>
      <c r="X270" s="42">
        <f>'[2]поточний ремонт'!X270+'[1]поточний ремонт'!X270</f>
        <v>0</v>
      </c>
      <c r="Y270" s="42">
        <f>'[2]поточний ремонт'!Y270+'[1]поточний ремонт'!Y270</f>
        <v>1104.4515467328572</v>
      </c>
      <c r="Z270" s="42">
        <f>'[2]поточний ремонт'!Z270+'[1]поточний ремонт'!Z270</f>
        <v>0</v>
      </c>
      <c r="AA270" s="42">
        <f>'[2]поточний ремонт'!AA270+'[1]поточний ремонт'!AA270</f>
        <v>0</v>
      </c>
      <c r="AB270" s="42">
        <f>'[2]поточний ремонт'!AB270+'[1]поточний ремонт'!AB270</f>
        <v>0</v>
      </c>
      <c r="AC270" s="42">
        <f>'[2]поточний ремонт'!AC270+'[1]поточний ремонт'!AC270</f>
        <v>0</v>
      </c>
      <c r="AD270" s="42">
        <f>'[2]поточний ремонт'!AD270+'[1]поточний ремонт'!AD270</f>
        <v>556.69349349250365</v>
      </c>
      <c r="AE270" s="42">
        <f>'[2]поточний ремонт'!AE270+'[1]поточний ремонт'!AE270</f>
        <v>2295.1157145573507</v>
      </c>
      <c r="AF270" s="42">
        <f>'[2]поточний ремонт'!AF270+'[1]поточний ремонт'!AF270</f>
        <v>0</v>
      </c>
      <c r="AG270" s="5"/>
      <c r="AH270" s="42">
        <f>'[2]поточний ремонт'!AH270+'[1]поточний ремонт'!AH270</f>
        <v>3456.4831293992615</v>
      </c>
      <c r="AI270" s="42">
        <f>'[2]поточний ремонт'!AI270+'[1]поточний ремонт'!AI270</f>
        <v>0</v>
      </c>
      <c r="AJ270" s="5"/>
      <c r="AK270" s="42">
        <f>'[2]поточний ремонт'!AK270+'[1]поточний ремонт'!AK270</f>
        <v>2368.1352348835471</v>
      </c>
      <c r="AL270" s="42">
        <f>'[2]поточний ремонт'!AL270+'[1]поточний ремонт'!AL270</f>
        <v>0</v>
      </c>
      <c r="AM270" s="5"/>
      <c r="AN270" s="42">
        <f>'[2]поточний ремонт'!AN270+'[1]поточний ремонт'!AN270</f>
        <v>0</v>
      </c>
      <c r="AO270" s="42">
        <f>'[2]поточний ремонт'!AO270+'[1]поточний ремонт'!AO270</f>
        <v>0</v>
      </c>
      <c r="AP270" s="5"/>
      <c r="AQ270" s="42">
        <f>'[2]поточний ремонт'!AQ270+'[1]поточний ремонт'!AQ270</f>
        <v>82.704815978574771</v>
      </c>
      <c r="AR270" s="42">
        <f>'[2]поточний ремонт'!AR270+'[1]поточний ремонт'!AR270</f>
        <v>1102.036601290617</v>
      </c>
      <c r="AS270" s="5"/>
      <c r="AT270" s="42">
        <f>'[2]поточний ремонт'!AT270+'[1]поточний ремонт'!AT270</f>
        <v>2058.1747999534546</v>
      </c>
      <c r="AU270" s="42">
        <f>'[2]поточний ремонт'!AU270+'[1]поточний ремонт'!AU270</f>
        <v>863.2953249895204</v>
      </c>
      <c r="AV270" s="5"/>
      <c r="AW270" s="42">
        <f>'[2]поточний ремонт'!AW270+'[1]поточний ремонт'!AW270</f>
        <v>81.940708886855418</v>
      </c>
      <c r="AX270" s="42">
        <f>'[2]поточний ремонт'!AX270+'[1]поточний ремонт'!AX270</f>
        <v>0</v>
      </c>
      <c r="AY270" s="5"/>
      <c r="AZ270" s="42">
        <f t="shared" si="40"/>
        <v>10342.554403659044</v>
      </c>
      <c r="BA270" s="42">
        <f t="shared" si="41"/>
        <v>1965.3319262801374</v>
      </c>
      <c r="BB270" s="58">
        <f t="shared" si="42"/>
        <v>-8377.2224773789058</v>
      </c>
      <c r="BD270" s="2">
        <v>2</v>
      </c>
      <c r="BF270" s="29">
        <v>2.8513060216333019</v>
      </c>
      <c r="BG270" s="318">
        <v>150000808</v>
      </c>
      <c r="BI270" s="104">
        <v>0</v>
      </c>
      <c r="BJ270" s="104">
        <f t="shared" si="35"/>
        <v>0</v>
      </c>
      <c r="BK270" s="104">
        <v>0</v>
      </c>
      <c r="BL270" s="38"/>
      <c r="BM270" s="3"/>
      <c r="BN270" s="3">
        <v>0</v>
      </c>
      <c r="BP270" s="3"/>
      <c r="BQ270" s="3"/>
      <c r="BS270" s="42"/>
      <c r="BT270" s="42">
        <v>0</v>
      </c>
      <c r="BU270" s="958"/>
      <c r="BV270" s="41"/>
      <c r="BW270" s="42"/>
      <c r="BX270" s="960"/>
      <c r="BY270" s="76"/>
      <c r="BZ270" s="42">
        <v>0</v>
      </c>
      <c r="CA270" s="959"/>
      <c r="CB270" s="41"/>
      <c r="CC270" s="41">
        <v>0</v>
      </c>
      <c r="CD270" s="960"/>
      <c r="CE270" s="76">
        <v>0</v>
      </c>
      <c r="CF270" s="55"/>
      <c r="CG270" s="41">
        <v>0</v>
      </c>
      <c r="CH270" s="38">
        <v>0</v>
      </c>
      <c r="CI270" s="76">
        <v>0</v>
      </c>
      <c r="CJ270" s="55"/>
      <c r="CK270" s="955"/>
      <c r="CL270" s="950"/>
      <c r="CM270" s="955"/>
      <c r="CN270" s="950">
        <v>0</v>
      </c>
      <c r="CO270" s="76">
        <v>84.895212195252199</v>
      </c>
      <c r="CP270" s="42">
        <v>0</v>
      </c>
      <c r="CQ270" s="5"/>
      <c r="CR270" s="76">
        <v>125.2915763456533</v>
      </c>
      <c r="CS270" s="954">
        <v>0</v>
      </c>
      <c r="CT270" s="5"/>
      <c r="CU270" s="76">
        <v>124.43804419403251</v>
      </c>
      <c r="CV270" s="42">
        <v>0</v>
      </c>
      <c r="CW270" s="5"/>
      <c r="CX270" s="76">
        <v>0</v>
      </c>
      <c r="CY270" s="42">
        <v>0</v>
      </c>
      <c r="CZ270" s="5"/>
      <c r="DA270" s="76">
        <v>0</v>
      </c>
      <c r="DB270" s="42">
        <v>0</v>
      </c>
      <c r="DC270" s="5"/>
      <c r="DD270" s="76">
        <v>34.847168270985676</v>
      </c>
      <c r="DE270" s="42">
        <v>0</v>
      </c>
      <c r="DF270" s="5"/>
      <c r="DG270" s="76">
        <v>0</v>
      </c>
      <c r="DH270" s="42"/>
      <c r="DI270" s="5"/>
      <c r="DJ270" s="42">
        <v>369.47200100592369</v>
      </c>
      <c r="DK270" s="42">
        <f t="shared" si="36"/>
        <v>0</v>
      </c>
      <c r="DL270" s="58">
        <f t="shared" si="37"/>
        <v>-369.47200100592369</v>
      </c>
      <c r="DM270" s="2">
        <v>2</v>
      </c>
    </row>
    <row r="271" spans="1:117" ht="24.9" customHeight="1" x14ac:dyDescent="0.3">
      <c r="A271" s="318">
        <v>150000827</v>
      </c>
      <c r="B271" s="44" t="s">
        <v>298</v>
      </c>
      <c r="C271" s="956">
        <v>5</v>
      </c>
      <c r="D271" s="957" t="s">
        <v>454</v>
      </c>
      <c r="E271" s="949">
        <f>'побудинковий звіт'!E280</f>
        <v>201.1</v>
      </c>
      <c r="F271" s="950">
        <f>'побудинковий звіт'!AS280</f>
        <v>2579.0426666385702</v>
      </c>
      <c r="G271" s="950">
        <f t="shared" si="38"/>
        <v>141776.94026140828</v>
      </c>
      <c r="H271" s="950">
        <f t="shared" si="39"/>
        <v>139197.89759476972</v>
      </c>
      <c r="I271" s="42">
        <f>'[2]поточний ремонт'!I271+'[1]поточний ремонт'!I271</f>
        <v>0</v>
      </c>
      <c r="J271" s="42">
        <f>'[2]поточний ремонт'!J271+'[1]поточний ремонт'!J271</f>
        <v>0</v>
      </c>
      <c r="K271" s="958"/>
      <c r="L271" s="42">
        <f>'[2]поточний ремонт'!L271+'[1]поточний ремонт'!L271</f>
        <v>1</v>
      </c>
      <c r="M271" s="42">
        <f>'[2]поточний ремонт'!M271+'[1]поточний ремонт'!M271</f>
        <v>141003</v>
      </c>
      <c r="N271" s="36"/>
      <c r="O271" s="42">
        <f>'[2]поточний ремонт'!O271+'[1]поточний ремонт'!O271</f>
        <v>0</v>
      </c>
      <c r="P271" s="42">
        <f>'[2]поточний ремонт'!P271+'[1]поточний ремонт'!P271</f>
        <v>0</v>
      </c>
      <c r="Q271" s="959"/>
      <c r="R271" s="42">
        <f>'[2]поточний ремонт'!R271+'[1]поточний ремонт'!R271</f>
        <v>0</v>
      </c>
      <c r="S271" s="42">
        <f>'[2]поточний ремонт'!S271+'[1]поточний ремонт'!S271</f>
        <v>0</v>
      </c>
      <c r="T271" s="960"/>
      <c r="U271" s="42">
        <f>'[2]поточний ремонт'!U271+'[1]поточний ремонт'!U271</f>
        <v>0</v>
      </c>
      <c r="V271" s="42">
        <f>'[2]поточний ремонт'!V271+'[1]поточний ремонт'!V271</f>
        <v>0</v>
      </c>
      <c r="W271" s="42">
        <f>'[2]поточний ремонт'!W271+'[1]поточний ремонт'!W271</f>
        <v>0</v>
      </c>
      <c r="X271" s="42">
        <f>'[2]поточний ремонт'!X271+'[1]поточний ремонт'!X271</f>
        <v>0</v>
      </c>
      <c r="Y271" s="42">
        <f>'[2]поточний ремонт'!Y271+'[1]поточний ремонт'!Y271</f>
        <v>773.94026140829078</v>
      </c>
      <c r="Z271" s="42">
        <f>'[2]поточний ремонт'!Z271+'[1]поточний ремонт'!Z271</f>
        <v>0</v>
      </c>
      <c r="AA271" s="42">
        <f>'[2]поточний ремонт'!AA271+'[1]поточний ремонт'!AA271</f>
        <v>0</v>
      </c>
      <c r="AB271" s="42">
        <f>'[2]поточний ремонт'!AB271+'[1]поточний ремонт'!AB271</f>
        <v>0</v>
      </c>
      <c r="AC271" s="42">
        <f>'[2]поточний ремонт'!AC271+'[1]поточний ремонт'!AC271</f>
        <v>0</v>
      </c>
      <c r="AD271" s="42">
        <f>'[2]поточний ремонт'!AD271+'[1]поточний ремонт'!AD271</f>
        <v>0</v>
      </c>
      <c r="AE271" s="42">
        <f>'[2]поточний ремонт'!AE271+'[1]поточний ремонт'!AE271</f>
        <v>1024.828174981094</v>
      </c>
      <c r="AF271" s="42">
        <f>'[2]поточний ремонт'!AF271+'[1]поточний ремонт'!AF271</f>
        <v>978.53170462048797</v>
      </c>
      <c r="AG271" s="965"/>
      <c r="AH271" s="42">
        <f>'[2]поточний ремонт'!AH271+'[1]поточний ремонт'!AH271</f>
        <v>1667.0366850504979</v>
      </c>
      <c r="AI271" s="42">
        <f>'[2]поточний ремонт'!AI271+'[1]поточний ремонт'!AI271</f>
        <v>0</v>
      </c>
      <c r="AJ271" s="5"/>
      <c r="AK271" s="42">
        <f>'[2]поточний ремонт'!AK271+'[1]поточний ремонт'!AK271</f>
        <v>1231.5075340857279</v>
      </c>
      <c r="AL271" s="42">
        <f>'[2]поточний ремонт'!AL271+'[1]поточний ремонт'!AL271</f>
        <v>0</v>
      </c>
      <c r="AM271" s="5"/>
      <c r="AN271" s="42">
        <f>'[2]поточний ремонт'!AN271+'[1]поточний ремонт'!AN271</f>
        <v>0</v>
      </c>
      <c r="AO271" s="42">
        <f>'[2]поточний ремонт'!AO271+'[1]поточний ремонт'!AO271</f>
        <v>0</v>
      </c>
      <c r="AP271" s="5"/>
      <c r="AQ271" s="42">
        <f>'[2]поточний ремонт'!AQ271+'[1]поточний ремонт'!AQ271</f>
        <v>165.40963195714954</v>
      </c>
      <c r="AR271" s="42">
        <f>'[2]поточний ремонт'!AR271+'[1]поточний ремонт'!AR271</f>
        <v>755.30966191292123</v>
      </c>
      <c r="AS271" s="5"/>
      <c r="AT271" s="42">
        <f>'[2]поточний ремонт'!AT271+'[1]поточний ремонт'!AT271</f>
        <v>921.52533422147064</v>
      </c>
      <c r="AU271" s="42">
        <f>'[2]поточний ремонт'!AU271+'[1]поточний ремонт'!AU271</f>
        <v>0</v>
      </c>
      <c r="AV271" s="5"/>
      <c r="AW271" s="42">
        <f>'[2]поточний ремонт'!AW271+'[1]поточний ремонт'!AW271</f>
        <v>134.5182847269663</v>
      </c>
      <c r="AX271" s="42">
        <f>'[2]поточний ремонт'!AX271+'[1]поточний ремонт'!AX271</f>
        <v>0</v>
      </c>
      <c r="AY271" s="5"/>
      <c r="AZ271" s="42">
        <f t="shared" si="40"/>
        <v>5144.8256450229064</v>
      </c>
      <c r="BA271" s="42">
        <f t="shared" si="41"/>
        <v>1733.8413665334092</v>
      </c>
      <c r="BB271" s="58">
        <f t="shared" si="42"/>
        <v>-3410.9842784894972</v>
      </c>
      <c r="BD271" s="2">
        <v>2</v>
      </c>
      <c r="BF271" s="29">
        <v>6.432892245508512</v>
      </c>
      <c r="BG271" s="318">
        <v>150000827</v>
      </c>
      <c r="BI271" s="104">
        <v>0</v>
      </c>
      <c r="BJ271" s="104">
        <f t="shared" si="35"/>
        <v>0</v>
      </c>
      <c r="BK271" s="104">
        <v>0</v>
      </c>
      <c r="BL271" s="38"/>
      <c r="BM271" s="3"/>
      <c r="BN271" s="3">
        <v>0</v>
      </c>
      <c r="BP271" s="3"/>
      <c r="BQ271" s="3"/>
      <c r="BS271" s="42"/>
      <c r="BT271" s="42">
        <v>0</v>
      </c>
      <c r="BU271" s="958"/>
      <c r="BV271" s="41"/>
      <c r="BW271" s="42"/>
      <c r="BX271" s="36"/>
      <c r="BY271" s="76"/>
      <c r="BZ271" s="42">
        <v>0</v>
      </c>
      <c r="CA271" s="959"/>
      <c r="CB271" s="41"/>
      <c r="CC271" s="41">
        <v>0</v>
      </c>
      <c r="CD271" s="960"/>
      <c r="CE271" s="76">
        <v>0</v>
      </c>
      <c r="CF271" s="55"/>
      <c r="CG271" s="41">
        <v>0</v>
      </c>
      <c r="CH271" s="38">
        <v>0</v>
      </c>
      <c r="CI271" s="76">
        <v>0</v>
      </c>
      <c r="CJ271" s="55"/>
      <c r="CK271" s="955"/>
      <c r="CL271" s="950"/>
      <c r="CM271" s="955"/>
      <c r="CN271" s="950">
        <v>0</v>
      </c>
      <c r="CO271" s="76">
        <v>195.10050848844696</v>
      </c>
      <c r="CP271" s="42">
        <v>0</v>
      </c>
      <c r="CQ271" s="965"/>
      <c r="CR271" s="76">
        <v>306.55482930182978</v>
      </c>
      <c r="CS271" s="954">
        <v>0</v>
      </c>
      <c r="CT271" s="5"/>
      <c r="CU271" s="76">
        <v>232.97882065928599</v>
      </c>
      <c r="CV271" s="42">
        <v>0</v>
      </c>
      <c r="CW271" s="5"/>
      <c r="CX271" s="76">
        <v>0</v>
      </c>
      <c r="CY271" s="42">
        <v>0</v>
      </c>
      <c r="CZ271" s="5"/>
      <c r="DA271" s="76">
        <v>0</v>
      </c>
      <c r="DB271" s="42">
        <v>0</v>
      </c>
      <c r="DC271" s="5"/>
      <c r="DD271" s="76">
        <v>121.44823199730912</v>
      </c>
      <c r="DE271" s="42">
        <v>0</v>
      </c>
      <c r="DF271" s="5"/>
      <c r="DG271" s="76">
        <v>0</v>
      </c>
      <c r="DH271" s="42"/>
      <c r="DI271" s="5"/>
      <c r="DJ271" s="42">
        <v>856.08239044687184</v>
      </c>
      <c r="DK271" s="42">
        <f t="shared" si="36"/>
        <v>0</v>
      </c>
      <c r="DL271" s="58">
        <f t="shared" si="37"/>
        <v>-856.08239044687184</v>
      </c>
      <c r="DM271" s="2">
        <v>2</v>
      </c>
    </row>
    <row r="272" spans="1:117" ht="24.9" customHeight="1" x14ac:dyDescent="0.3">
      <c r="A272" s="318">
        <v>150000809</v>
      </c>
      <c r="B272" s="44" t="s">
        <v>299</v>
      </c>
      <c r="C272" s="956">
        <v>5</v>
      </c>
      <c r="D272" s="957" t="s">
        <v>454</v>
      </c>
      <c r="E272" s="949">
        <f>'побудинковий звіт'!E281</f>
        <v>243.32</v>
      </c>
      <c r="F272" s="950">
        <f>'побудинковий звіт'!AS281</f>
        <v>3164.2652746135677</v>
      </c>
      <c r="G272" s="950">
        <f t="shared" si="38"/>
        <v>13496.293993462696</v>
      </c>
      <c r="H272" s="950">
        <f t="shared" si="39"/>
        <v>10332.028718849127</v>
      </c>
      <c r="I272" s="42">
        <f>'[2]поточний ремонт'!I272+'[1]поточний ремонт'!I272</f>
        <v>0</v>
      </c>
      <c r="J272" s="42">
        <f>'[2]поточний ремонт'!J272+'[1]поточний ремонт'!J272</f>
        <v>0</v>
      </c>
      <c r="K272" s="958"/>
      <c r="L272" s="42">
        <f>'[2]поточний ремонт'!L272+'[1]поточний ремонт'!L272</f>
        <v>0</v>
      </c>
      <c r="M272" s="42">
        <f>'[2]поточний ремонт'!M272+'[1]поточний ремонт'!M272</f>
        <v>0</v>
      </c>
      <c r="N272" s="36"/>
      <c r="O272" s="42">
        <f>'[2]поточний ремонт'!O272+'[1]поточний ремонт'!O272</f>
        <v>0</v>
      </c>
      <c r="P272" s="42">
        <f>'[2]поточний ремонт'!P272+'[1]поточний ремонт'!P272</f>
        <v>0</v>
      </c>
      <c r="Q272" s="959"/>
      <c r="R272" s="42">
        <f>'[2]поточний ремонт'!R272+'[1]поточний ремонт'!R272</f>
        <v>0</v>
      </c>
      <c r="S272" s="42">
        <f>'[2]поточний ремонт'!S272+'[1]поточний ремонт'!S272</f>
        <v>0</v>
      </c>
      <c r="T272" s="960"/>
      <c r="U272" s="42">
        <f>'[2]поточний ремонт'!U272+'[1]поточний ремонт'!U272</f>
        <v>0</v>
      </c>
      <c r="V272" s="42">
        <f>'[2]поточний ремонт'!V272+'[1]поточний ремонт'!V272</f>
        <v>0</v>
      </c>
      <c r="W272" s="42">
        <f>'[2]поточний ремонт'!W272+'[1]поточний ремонт'!W272</f>
        <v>0</v>
      </c>
      <c r="X272" s="42">
        <f>'[2]поточний ремонт'!X272+'[1]поточний ремонт'!X272</f>
        <v>0</v>
      </c>
      <c r="Y272" s="42">
        <f>'[2]поточний ремонт'!Y272+'[1]поточний ремонт'!Y272</f>
        <v>13496.293993462696</v>
      </c>
      <c r="Z272" s="42">
        <f>'[2]поточний ремонт'!Z272+'[1]поточний ремонт'!Z272</f>
        <v>0</v>
      </c>
      <c r="AA272" s="42">
        <f>'[2]поточний ремонт'!AA272+'[1]поточний ремонт'!AA272</f>
        <v>0</v>
      </c>
      <c r="AB272" s="42">
        <f>'[2]поточний ремонт'!AB272+'[1]поточний ремонт'!AB272</f>
        <v>0</v>
      </c>
      <c r="AC272" s="42">
        <f>'[2]поточний ремонт'!AC272+'[1]поточний ремонт'!AC272</f>
        <v>0</v>
      </c>
      <c r="AD272" s="42">
        <f>'[2]поточний ремонт'!AD272+'[1]поточний ремонт'!AD272</f>
        <v>0</v>
      </c>
      <c r="AE272" s="42">
        <f>'[2]поточний ремонт'!AE272+'[1]поточний ремонт'!AE272</f>
        <v>603.88872967301154</v>
      </c>
      <c r="AF272" s="42">
        <f>'[2]поточний ремонт'!AF272+'[1]поточний ремонт'!AF272</f>
        <v>1924.558381233958</v>
      </c>
      <c r="AG272" s="5"/>
      <c r="AH272" s="42">
        <f>'[2]поточний ремонт'!AH272+'[1]поточний ремонт'!AH272</f>
        <v>941.89587961632083</v>
      </c>
      <c r="AI272" s="42">
        <f>'[2]поточний ремонт'!AI272+'[1]поточний ремонт'!AI272</f>
        <v>4069.0025503700049</v>
      </c>
      <c r="AJ272" s="5"/>
      <c r="AK272" s="42">
        <f>'[2]поточний ремонт'!AK272+'[1]поточний ремонт'!AK272</f>
        <v>713.39930930223318</v>
      </c>
      <c r="AL272" s="42">
        <f>'[2]поточний ремонт'!AL272+'[1]поточний ремонт'!AL272</f>
        <v>0</v>
      </c>
      <c r="AM272" s="5"/>
      <c r="AN272" s="42">
        <f>'[2]поточний ремонт'!AN272+'[1]поточний ремонт'!AN272</f>
        <v>0</v>
      </c>
      <c r="AO272" s="42">
        <f>'[2]поточний ремонт'!AO272+'[1]поточний ремонт'!AO272</f>
        <v>0</v>
      </c>
      <c r="AP272" s="5"/>
      <c r="AQ272" s="42">
        <f>'[2]поточний ремонт'!AQ272+'[1]поточний ремонт'!AQ272</f>
        <v>55.136543985716521</v>
      </c>
      <c r="AR272" s="42">
        <f>'[2]поточний ремонт'!AR272+'[1]поточний ремонт'!AR272</f>
        <v>0</v>
      </c>
      <c r="AS272" s="5"/>
      <c r="AT272" s="42">
        <f>'[2]поточний ремонт'!AT272+'[1]поточний ремонт'!AT272</f>
        <v>491.76037200555686</v>
      </c>
      <c r="AU272" s="42">
        <f>'[2]поточний ремонт'!AU272+'[1]поточний ремонт'!AU272</f>
        <v>166.38317306659178</v>
      </c>
      <c r="AV272" s="5"/>
      <c r="AW272" s="42">
        <f>'[2]поточний ремонт'!AW272+'[1]поточний ремонт'!AW272</f>
        <v>51.416853700442587</v>
      </c>
      <c r="AX272" s="42">
        <f>'[2]поточний ремонт'!AX272+'[1]поточний ремонт'!AX272</f>
        <v>2823.3489029615021</v>
      </c>
      <c r="AY272" s="5"/>
      <c r="AZ272" s="42">
        <f t="shared" si="40"/>
        <v>2857.4976882832811</v>
      </c>
      <c r="BA272" s="42">
        <f t="shared" si="41"/>
        <v>8983.2930076320554</v>
      </c>
      <c r="BB272" s="58">
        <f t="shared" si="42"/>
        <v>6125.7953193487738</v>
      </c>
      <c r="BD272" s="2">
        <v>2</v>
      </c>
      <c r="BF272" s="29">
        <v>3.7320239455370414</v>
      </c>
      <c r="BG272" s="318">
        <v>150000809</v>
      </c>
      <c r="BI272" s="104">
        <v>0</v>
      </c>
      <c r="BJ272" s="104">
        <f t="shared" si="35"/>
        <v>0</v>
      </c>
      <c r="BK272" s="104">
        <v>0</v>
      </c>
      <c r="BL272" s="38"/>
      <c r="BM272" s="3"/>
      <c r="BN272" s="3">
        <v>0</v>
      </c>
      <c r="BP272" s="3"/>
      <c r="BQ272" s="3"/>
      <c r="BS272" s="42"/>
      <c r="BT272" s="42">
        <v>0</v>
      </c>
      <c r="BU272" s="958"/>
      <c r="BV272" s="41"/>
      <c r="BW272" s="42"/>
      <c r="BX272" s="36"/>
      <c r="BY272" s="76"/>
      <c r="BZ272" s="42">
        <v>0</v>
      </c>
      <c r="CA272" s="959"/>
      <c r="CB272" s="41"/>
      <c r="CC272" s="41">
        <v>0</v>
      </c>
      <c r="CD272" s="960"/>
      <c r="CE272" s="76">
        <v>0</v>
      </c>
      <c r="CF272" s="55"/>
      <c r="CG272" s="41">
        <v>0</v>
      </c>
      <c r="CH272" s="38">
        <v>0</v>
      </c>
      <c r="CI272" s="76">
        <v>586.36136894073627</v>
      </c>
      <c r="CJ272" s="55"/>
      <c r="CK272" s="955"/>
      <c r="CL272" s="950"/>
      <c r="CM272" s="955"/>
      <c r="CN272" s="950">
        <v>0</v>
      </c>
      <c r="CO272" s="76">
        <v>117.16374101880021</v>
      </c>
      <c r="CP272" s="42">
        <v>0</v>
      </c>
      <c r="CQ272" s="5"/>
      <c r="CR272" s="76">
        <v>165.11801647981474</v>
      </c>
      <c r="CS272" s="954">
        <v>0</v>
      </c>
      <c r="CT272" s="5"/>
      <c r="CU272" s="76">
        <v>147.32288814985458</v>
      </c>
      <c r="CV272" s="42">
        <v>0</v>
      </c>
      <c r="CW272" s="5"/>
      <c r="CX272" s="76">
        <v>0</v>
      </c>
      <c r="CY272" s="42">
        <v>0</v>
      </c>
      <c r="CZ272" s="5"/>
      <c r="DA272" s="76">
        <v>0</v>
      </c>
      <c r="DB272" s="42">
        <v>0</v>
      </c>
      <c r="DC272" s="5"/>
      <c r="DD272" s="76">
        <v>55.37301187953004</v>
      </c>
      <c r="DE272" s="42">
        <v>0</v>
      </c>
      <c r="DF272" s="5"/>
      <c r="DG272" s="76">
        <v>0</v>
      </c>
      <c r="DH272" s="42"/>
      <c r="DI272" s="5"/>
      <c r="DJ272" s="42">
        <v>484.97765752799961</v>
      </c>
      <c r="DK272" s="42">
        <f t="shared" si="36"/>
        <v>0</v>
      </c>
      <c r="DL272" s="58">
        <f t="shared" si="37"/>
        <v>-484.97765752799961</v>
      </c>
      <c r="DM272" s="2">
        <v>2</v>
      </c>
    </row>
    <row r="273" spans="1:117" ht="24.9" customHeight="1" x14ac:dyDescent="0.3">
      <c r="A273" s="318">
        <v>150000810</v>
      </c>
      <c r="B273" s="44" t="s">
        <v>300</v>
      </c>
      <c r="C273" s="956">
        <v>5</v>
      </c>
      <c r="D273" s="957" t="s">
        <v>454</v>
      </c>
      <c r="E273" s="949">
        <f>'побудинковий звіт'!E282</f>
        <v>325</v>
      </c>
      <c r="F273" s="950">
        <f>'побудинковий звіт'!AS282</f>
        <v>4029.4771764993693</v>
      </c>
      <c r="G273" s="950">
        <f t="shared" si="38"/>
        <v>10418.287839842962</v>
      </c>
      <c r="H273" s="950">
        <f t="shared" si="39"/>
        <v>6388.8106633435928</v>
      </c>
      <c r="I273" s="42">
        <f>'[2]поточний ремонт'!I273+'[1]поточний ремонт'!I273</f>
        <v>0</v>
      </c>
      <c r="J273" s="42">
        <f>'[2]поточний ремонт'!J273+'[1]поточний ремонт'!J273</f>
        <v>0</v>
      </c>
      <c r="K273" s="958"/>
      <c r="L273" s="42">
        <f>'[2]поточний ремонт'!L273+'[1]поточний ремонт'!L273</f>
        <v>0</v>
      </c>
      <c r="M273" s="42">
        <f>'[2]поточний ремонт'!M273+'[1]поточний ремонт'!M273</f>
        <v>0</v>
      </c>
      <c r="N273" s="36"/>
      <c r="O273" s="42">
        <f>'[2]поточний ремонт'!O273+'[1]поточний ремонт'!O273</f>
        <v>0</v>
      </c>
      <c r="P273" s="42">
        <f>'[2]поточний ремонт'!P273+'[1]поточний ремонт'!P273</f>
        <v>0</v>
      </c>
      <c r="Q273" s="959"/>
      <c r="R273" s="42">
        <f>'[2]поточний ремонт'!R273+'[1]поточний ремонт'!R273</f>
        <v>0</v>
      </c>
      <c r="S273" s="42">
        <f>'[2]поточний ремонт'!S273+'[1]поточний ремонт'!S273</f>
        <v>0</v>
      </c>
      <c r="T273" s="960"/>
      <c r="U273" s="42">
        <f>'[2]поточний ремонт'!U273+'[1]поточний ремонт'!U273</f>
        <v>0</v>
      </c>
      <c r="V273" s="42">
        <f>'[2]поточний ремонт'!V273+'[1]поточний ремонт'!V273</f>
        <v>0</v>
      </c>
      <c r="W273" s="42">
        <f>'[2]поточний ремонт'!W273+'[1]поточний ремонт'!W273</f>
        <v>0</v>
      </c>
      <c r="X273" s="42">
        <f>'[2]поточний ремонт'!X273+'[1]поточний ремонт'!X273</f>
        <v>346.21422010535923</v>
      </c>
      <c r="Y273" s="42">
        <f>'[2]поточний ремонт'!Y273+'[1]поточний ремонт'!Y273</f>
        <v>10072.073619737603</v>
      </c>
      <c r="Z273" s="42">
        <f>'[2]поточний ремонт'!Z273+'[1]поточний ремонт'!Z273</f>
        <v>0</v>
      </c>
      <c r="AA273" s="42">
        <f>'[2]поточний ремонт'!AA273+'[1]поточний ремонт'!AA273</f>
        <v>0</v>
      </c>
      <c r="AB273" s="42">
        <f>'[2]поточний ремонт'!AB273+'[1]поточний ремонт'!AB273</f>
        <v>0</v>
      </c>
      <c r="AC273" s="42">
        <f>'[2]поточний ремонт'!AC273+'[1]поточний ремонт'!AC273</f>
        <v>0</v>
      </c>
      <c r="AD273" s="42">
        <f>'[2]поточний ремонт'!AD273+'[1]поточний ремонт'!AD273</f>
        <v>0</v>
      </c>
      <c r="AE273" s="42">
        <f>'[2]поточний ремонт'!AE273+'[1]поточний ремонт'!AE273</f>
        <v>728.06126826046011</v>
      </c>
      <c r="AF273" s="42">
        <f>'[2]поточний ремонт'!AF273+'[1]поточний ремонт'!AF273</f>
        <v>827.64827069082219</v>
      </c>
      <c r="AG273" s="5"/>
      <c r="AH273" s="42">
        <f>'[2]поточний ремонт'!AH273+'[1]поточний ремонт'!AH273</f>
        <v>1174.0782957626602</v>
      </c>
      <c r="AI273" s="42">
        <f>'[2]поточний ремонт'!AI273+'[1]поточний ремонт'!AI273</f>
        <v>0</v>
      </c>
      <c r="AJ273" s="5"/>
      <c r="AK273" s="42">
        <f>'[2]поточний ремонт'!AK273+'[1]поточний ремонт'!AK273</f>
        <v>710.27459177530932</v>
      </c>
      <c r="AL273" s="42">
        <f>'[2]поточний ремонт'!AL273+'[1]поточний ремонт'!AL273</f>
        <v>6139.6882044226613</v>
      </c>
      <c r="AM273" s="5"/>
      <c r="AN273" s="42">
        <f>'[2]поточний ремонт'!AN273+'[1]поточний ремонт'!AN273</f>
        <v>0</v>
      </c>
      <c r="AO273" s="42">
        <f>'[2]поточний ремонт'!AO273+'[1]поточний ремонт'!AO273</f>
        <v>0</v>
      </c>
      <c r="AP273" s="5"/>
      <c r="AQ273" s="42">
        <f>'[2]поточний ремонт'!AQ273+'[1]поточний ремонт'!AQ273</f>
        <v>137.84135996429129</v>
      </c>
      <c r="AR273" s="42">
        <f>'[2]поточний ремонт'!AR273+'[1]поточний ремонт'!AR273</f>
        <v>0</v>
      </c>
      <c r="AS273" s="5"/>
      <c r="AT273" s="42">
        <f>'[2]поточний ремонт'!AT273+'[1]поточний ремонт'!AT273</f>
        <v>732.03191933164157</v>
      </c>
      <c r="AU273" s="42">
        <f>'[2]поточний ремонт'!AU273+'[1]поточний ремонт'!AU273</f>
        <v>2422.0845783130308</v>
      </c>
      <c r="AV273" s="5"/>
      <c r="AW273" s="42">
        <f>'[2]поточний ремонт'!AW273+'[1]поточний ремонт'!AW273</f>
        <v>36.264724147475064</v>
      </c>
      <c r="AX273" s="42">
        <f>'[2]поточний ремонт'!AX273+'[1]поточний ремонт'!AX273</f>
        <v>3201.0891275874701</v>
      </c>
      <c r="AY273" s="5"/>
      <c r="AZ273" s="42">
        <f t="shared" si="40"/>
        <v>3518.5521592418372</v>
      </c>
      <c r="BA273" s="42">
        <f t="shared" si="41"/>
        <v>12590.510181013986</v>
      </c>
      <c r="BB273" s="58">
        <f t="shared" si="42"/>
        <v>9071.9580217721486</v>
      </c>
      <c r="BD273" s="2">
        <v>2</v>
      </c>
      <c r="BF273" s="29">
        <v>4.3804397371076309</v>
      </c>
      <c r="BG273" s="318">
        <v>150000810</v>
      </c>
      <c r="BI273" s="104">
        <v>25.38</v>
      </c>
      <c r="BJ273" s="104">
        <f t="shared" si="35"/>
        <v>3.5700066359999996</v>
      </c>
      <c r="BK273" s="104">
        <v>29.270393502479997</v>
      </c>
      <c r="BL273" s="38"/>
      <c r="BM273" s="3"/>
      <c r="BN273" s="3">
        <v>0</v>
      </c>
      <c r="BP273" s="3"/>
      <c r="BQ273" s="3"/>
      <c r="BS273" s="42"/>
      <c r="BT273" s="42">
        <v>0</v>
      </c>
      <c r="BU273" s="958"/>
      <c r="BV273" s="41"/>
      <c r="BW273" s="42"/>
      <c r="BX273" s="36"/>
      <c r="BY273" s="76"/>
      <c r="BZ273" s="42">
        <v>0</v>
      </c>
      <c r="CA273" s="959"/>
      <c r="CB273" s="41"/>
      <c r="CC273" s="41">
        <v>0</v>
      </c>
      <c r="CD273" s="960"/>
      <c r="CE273" s="76">
        <v>0</v>
      </c>
      <c r="CF273" s="55"/>
      <c r="CG273" s="41">
        <v>0</v>
      </c>
      <c r="CH273" s="38">
        <v>29.270393502479997</v>
      </c>
      <c r="CI273" s="76">
        <v>0</v>
      </c>
      <c r="CJ273" s="55"/>
      <c r="CK273" s="955"/>
      <c r="CL273" s="950"/>
      <c r="CM273" s="955"/>
      <c r="CN273" s="950">
        <v>0</v>
      </c>
      <c r="CO273" s="76">
        <v>134.30372510334533</v>
      </c>
      <c r="CP273" s="42">
        <v>0</v>
      </c>
      <c r="CQ273" s="5"/>
      <c r="CR273" s="76">
        <v>212.27169726709224</v>
      </c>
      <c r="CS273" s="954">
        <v>0</v>
      </c>
      <c r="CT273" s="5"/>
      <c r="CU273" s="76">
        <v>139.93069771698194</v>
      </c>
      <c r="CV273" s="42">
        <v>0</v>
      </c>
      <c r="CW273" s="5"/>
      <c r="CX273" s="76">
        <v>0</v>
      </c>
      <c r="CY273" s="42">
        <v>0</v>
      </c>
      <c r="CZ273" s="5"/>
      <c r="DA273" s="76">
        <v>0</v>
      </c>
      <c r="DB273" s="42">
        <v>0</v>
      </c>
      <c r="DC273" s="5"/>
      <c r="DD273" s="76">
        <v>76.425337939766223</v>
      </c>
      <c r="DE273" s="42">
        <v>0</v>
      </c>
      <c r="DF273" s="5"/>
      <c r="DG273" s="76">
        <v>0</v>
      </c>
      <c r="DH273" s="42"/>
      <c r="DI273" s="5"/>
      <c r="DJ273" s="42">
        <v>562.93145802718573</v>
      </c>
      <c r="DK273" s="42">
        <f t="shared" si="36"/>
        <v>0</v>
      </c>
      <c r="DL273" s="58">
        <f t="shared" si="37"/>
        <v>-562.93145802718573</v>
      </c>
      <c r="DM273" s="2">
        <v>2</v>
      </c>
    </row>
    <row r="274" spans="1:117" ht="24.9" customHeight="1" x14ac:dyDescent="0.3">
      <c r="A274" s="318">
        <v>150000811</v>
      </c>
      <c r="B274" s="44" t="s">
        <v>301</v>
      </c>
      <c r="C274" s="956">
        <v>5</v>
      </c>
      <c r="D274" s="957" t="s">
        <v>454</v>
      </c>
      <c r="E274" s="949">
        <f>'побудинковий звіт'!E283</f>
        <v>241.4</v>
      </c>
      <c r="F274" s="950">
        <f>'побудинковий звіт'!AS283</f>
        <v>3141.915701234826</v>
      </c>
      <c r="G274" s="950">
        <f t="shared" si="38"/>
        <v>30619.510709616923</v>
      </c>
      <c r="H274" s="950">
        <f t="shared" si="39"/>
        <v>27477.595008382097</v>
      </c>
      <c r="I274" s="42">
        <f>'[2]поточний ремонт'!I274+'[1]поточний ремонт'!I274</f>
        <v>67.3</v>
      </c>
      <c r="J274" s="42">
        <f>'[2]поточний ремонт'!J274+'[1]поточний ремонт'!J274</f>
        <v>26850.459695755304</v>
      </c>
      <c r="K274" s="958"/>
      <c r="L274" s="42">
        <f>'[2]поточний ремонт'!L274+'[1]поточний ремонт'!L274</f>
        <v>0</v>
      </c>
      <c r="M274" s="42">
        <f>'[2]поточний ремонт'!M274+'[1]поточний ремонт'!M274</f>
        <v>0</v>
      </c>
      <c r="N274" s="36"/>
      <c r="O274" s="42">
        <f>'[2]поточний ремонт'!O274+'[1]поточний ремонт'!O274</f>
        <v>0</v>
      </c>
      <c r="P274" s="42">
        <f>'[2]поточний ремонт'!P274+'[1]поточний ремонт'!P274</f>
        <v>0</v>
      </c>
      <c r="Q274" s="959"/>
      <c r="R274" s="42">
        <f>'[2]поточний ремонт'!R274+'[1]поточний ремонт'!R274</f>
        <v>0</v>
      </c>
      <c r="S274" s="42">
        <f>'[2]поточний ремонт'!S274+'[1]поточний ремонт'!S274</f>
        <v>0</v>
      </c>
      <c r="T274" s="960"/>
      <c r="U274" s="42">
        <f>'[2]поточний ремонт'!U274+'[1]поточний ремонт'!U274</f>
        <v>0</v>
      </c>
      <c r="V274" s="42">
        <f>'[2]поточний ремонт'!V274+'[1]поточний ремонт'!V274</f>
        <v>0</v>
      </c>
      <c r="W274" s="42">
        <f>'[2]поточний ремонт'!W274+'[1]поточний ремонт'!W274</f>
        <v>0</v>
      </c>
      <c r="X274" s="42">
        <f>'[2]поточний ремонт'!X274+'[1]поточний ремонт'!X274</f>
        <v>477.44277792307219</v>
      </c>
      <c r="Y274" s="42">
        <f>'[2]поточний ремонт'!Y274+'[1]поточний ремонт'!Y274</f>
        <v>1591.2678091521764</v>
      </c>
      <c r="Z274" s="42">
        <f>'[2]поточний ремонт'!Z274+'[1]поточний ремонт'!Z274</f>
        <v>0</v>
      </c>
      <c r="AA274" s="42">
        <f>'[2]поточний ремонт'!AA274+'[1]поточний ремонт'!AA274</f>
        <v>0</v>
      </c>
      <c r="AB274" s="42">
        <f>'[2]поточний ремонт'!AB274+'[1]поточний ремонт'!AB274</f>
        <v>0</v>
      </c>
      <c r="AC274" s="42">
        <f>'[2]поточний ремонт'!AC274+'[1]поточний ремонт'!AC274</f>
        <v>0</v>
      </c>
      <c r="AD274" s="42">
        <f>'[2]поточний ремонт'!AD274+'[1]поточний ремонт'!AD274</f>
        <v>1700.3404267863709</v>
      </c>
      <c r="AE274" s="42">
        <f>'[2]поточний ремонт'!AE274+'[1]поточний ремонт'!AE274</f>
        <v>662.64633905021105</v>
      </c>
      <c r="AF274" s="42">
        <f>'[2]поточний ремонт'!AF274+'[1]поточний ремонт'!AF274</f>
        <v>0</v>
      </c>
      <c r="AG274" s="5"/>
      <c r="AH274" s="42">
        <f>'[2]поточний ремонт'!AH274+'[1]поточний ремонт'!AH274</f>
        <v>773.3610746624181</v>
      </c>
      <c r="AI274" s="42">
        <f>'[2]поточний ремонт'!AI274+'[1]поточний ремонт'!AI274</f>
        <v>0</v>
      </c>
      <c r="AJ274" s="5"/>
      <c r="AK274" s="42">
        <f>'[2]поточний ремонт'!AK274+'[1]поточний ремонт'!AK274</f>
        <v>770.32329696449233</v>
      </c>
      <c r="AL274" s="42">
        <f>'[2]поточний ремонт'!AL274+'[1]поточний ремонт'!AL274</f>
        <v>0</v>
      </c>
      <c r="AM274" s="5"/>
      <c r="AN274" s="42">
        <f>'[2]поточний ремонт'!AN274+'[1]поточний ремонт'!AN274</f>
        <v>0</v>
      </c>
      <c r="AO274" s="42">
        <f>'[2]поточний ремонт'!AO274+'[1]поточний ремонт'!AO274</f>
        <v>0</v>
      </c>
      <c r="AP274" s="5"/>
      <c r="AQ274" s="42">
        <f>'[2]поточний ремонт'!AQ274+'[1]поточний ремонт'!AQ274</f>
        <v>110.27308797143304</v>
      </c>
      <c r="AR274" s="42">
        <f>'[2]поточний ремонт'!AR274+'[1]поточний ремонт'!AR274</f>
        <v>978.23542855730432</v>
      </c>
      <c r="AS274" s="5"/>
      <c r="AT274" s="42">
        <f>'[2]поточний ремонт'!AT274+'[1]поточний ремонт'!AT274</f>
        <v>483.3341526946582</v>
      </c>
      <c r="AU274" s="42">
        <f>'[2]поточний ремонт'!AU274+'[1]поточний ремонт'!AU274</f>
        <v>0</v>
      </c>
      <c r="AV274" s="5"/>
      <c r="AW274" s="42">
        <f>'[2]поточний ремонт'!AW274+'[1]поточний ремонт'!AW274</f>
        <v>35.072631139167051</v>
      </c>
      <c r="AX274" s="42">
        <f>'[2]поточний ремонт'!AX274+'[1]поточний ремонт'!AX274</f>
        <v>2962.0098678149147</v>
      </c>
      <c r="AY274" s="5"/>
      <c r="AZ274" s="42">
        <f t="shared" si="40"/>
        <v>2835.0105824823804</v>
      </c>
      <c r="BA274" s="42">
        <f t="shared" si="41"/>
        <v>3940.2452963722189</v>
      </c>
      <c r="BB274" s="58">
        <f t="shared" si="42"/>
        <v>1105.2347138898385</v>
      </c>
      <c r="BD274" s="2">
        <v>2</v>
      </c>
      <c r="BF274" s="29">
        <v>3.7971649395770202</v>
      </c>
      <c r="BG274" s="318">
        <v>150000811</v>
      </c>
      <c r="BI274" s="104">
        <v>35</v>
      </c>
      <c r="BJ274" s="104">
        <f t="shared" si="35"/>
        <v>4.9231769999999999</v>
      </c>
      <c r="BK274" s="104">
        <v>40.365002859999997</v>
      </c>
      <c r="BL274" s="38"/>
      <c r="BM274" s="3"/>
      <c r="BN274" s="3">
        <v>0</v>
      </c>
      <c r="BP274" s="3"/>
      <c r="BQ274" s="3"/>
      <c r="BS274" s="42"/>
      <c r="BT274" s="42">
        <v>0</v>
      </c>
      <c r="BU274" s="958"/>
      <c r="BV274" s="41"/>
      <c r="BW274" s="42"/>
      <c r="BX274" s="36"/>
      <c r="BY274" s="76"/>
      <c r="BZ274" s="42">
        <v>0</v>
      </c>
      <c r="CA274" s="959"/>
      <c r="CB274" s="41"/>
      <c r="CC274" s="41">
        <v>0</v>
      </c>
      <c r="CD274" s="960"/>
      <c r="CE274" s="76">
        <v>0</v>
      </c>
      <c r="CF274" s="55"/>
      <c r="CG274" s="41">
        <v>0</v>
      </c>
      <c r="CH274" s="38">
        <v>40.365002859999997</v>
      </c>
      <c r="CI274" s="76">
        <v>0</v>
      </c>
      <c r="CJ274" s="55"/>
      <c r="CK274" s="955"/>
      <c r="CL274" s="950"/>
      <c r="CM274" s="955"/>
      <c r="CN274" s="950">
        <v>0</v>
      </c>
      <c r="CO274" s="76">
        <v>122.1311938047327</v>
      </c>
      <c r="CP274" s="42">
        <v>0</v>
      </c>
      <c r="CQ274" s="5"/>
      <c r="CR274" s="76">
        <v>166.23969598228419</v>
      </c>
      <c r="CS274" s="954">
        <v>0</v>
      </c>
      <c r="CT274" s="5"/>
      <c r="CU274" s="76">
        <v>164.42897039662125</v>
      </c>
      <c r="CV274" s="42">
        <v>0</v>
      </c>
      <c r="CW274" s="5"/>
      <c r="CX274" s="76">
        <v>0</v>
      </c>
      <c r="CY274" s="42">
        <v>0</v>
      </c>
      <c r="CZ274" s="5"/>
      <c r="DA274" s="76">
        <v>0</v>
      </c>
      <c r="DB274" s="42">
        <v>0</v>
      </c>
      <c r="DC274" s="5"/>
      <c r="DD274" s="76">
        <v>58.866291083090957</v>
      </c>
      <c r="DE274" s="42">
        <v>0</v>
      </c>
      <c r="DF274" s="5"/>
      <c r="DG274" s="76">
        <v>0</v>
      </c>
      <c r="DH274" s="42"/>
      <c r="DI274" s="5"/>
      <c r="DJ274" s="42">
        <v>511.66615126672912</v>
      </c>
      <c r="DK274" s="42">
        <f t="shared" si="36"/>
        <v>0</v>
      </c>
      <c r="DL274" s="58">
        <f t="shared" si="37"/>
        <v>-511.66615126672912</v>
      </c>
      <c r="DM274" s="2">
        <v>2</v>
      </c>
    </row>
    <row r="275" spans="1:117" ht="24.9" customHeight="1" x14ac:dyDescent="0.3">
      <c r="A275" s="318">
        <v>150000812</v>
      </c>
      <c r="B275" s="44" t="s">
        <v>302</v>
      </c>
      <c r="C275" s="956">
        <v>5</v>
      </c>
      <c r="D275" s="957" t="s">
        <v>454</v>
      </c>
      <c r="E275" s="949">
        <f>'побудинковий звіт'!E284</f>
        <v>148.69999999999999</v>
      </c>
      <c r="F275" s="950">
        <f>'побудинковий звіт'!AS284</f>
        <v>3575.0356790961305</v>
      </c>
      <c r="G275" s="950">
        <f t="shared" si="38"/>
        <v>2561.3759926790335</v>
      </c>
      <c r="H275" s="950">
        <f t="shared" si="39"/>
        <v>-1013.659686417097</v>
      </c>
      <c r="I275" s="42">
        <f>'[2]поточний ремонт'!I275+'[1]поточний ремонт'!I275</f>
        <v>0</v>
      </c>
      <c r="J275" s="42">
        <f>'[2]поточний ремонт'!J275+'[1]поточний ремонт'!J275</f>
        <v>0</v>
      </c>
      <c r="K275" s="962"/>
      <c r="L275" s="42">
        <f>'[2]поточний ремонт'!L275+'[1]поточний ремонт'!L275</f>
        <v>0</v>
      </c>
      <c r="M275" s="42">
        <f>'[2]поточний ремонт'!M275+'[1]поточний ремонт'!M275</f>
        <v>0</v>
      </c>
      <c r="N275" s="960"/>
      <c r="O275" s="42">
        <f>'[2]поточний ремонт'!O275+'[1]поточний ремонт'!O275</f>
        <v>0</v>
      </c>
      <c r="P275" s="42">
        <f>'[2]поточний ремонт'!P275+'[1]поточний ремонт'!P275</f>
        <v>0</v>
      </c>
      <c r="Q275" s="959"/>
      <c r="R275" s="42">
        <f>'[2]поточний ремонт'!R275+'[1]поточний ремонт'!R275</f>
        <v>0</v>
      </c>
      <c r="S275" s="42">
        <f>'[2]поточний ремонт'!S275+'[1]поточний ремонт'!S275</f>
        <v>0</v>
      </c>
      <c r="T275" s="960"/>
      <c r="U275" s="42">
        <f>'[2]поточний ремонт'!U275+'[1]поточний ремонт'!U275</f>
        <v>0</v>
      </c>
      <c r="V275" s="42">
        <f>'[2]поточний ремонт'!V275+'[1]поточний ремонт'!V275</f>
        <v>0</v>
      </c>
      <c r="W275" s="42">
        <f>'[2]поточний ремонт'!W275+'[1]поточний ремонт'!W275</f>
        <v>0</v>
      </c>
      <c r="X275" s="42">
        <f>'[2]поточний ремонт'!X275+'[1]поточний ремонт'!X275</f>
        <v>0</v>
      </c>
      <c r="Y275" s="42">
        <f>'[2]поточний ремонт'!Y275+'[1]поточний ремонт'!Y275</f>
        <v>0</v>
      </c>
      <c r="Z275" s="42">
        <f>'[2]поточний ремонт'!Z275+'[1]поточний ремонт'!Z275</f>
        <v>0</v>
      </c>
      <c r="AA275" s="42">
        <f>'[2]поточний ремонт'!AA275+'[1]поточний ремонт'!AA275</f>
        <v>0</v>
      </c>
      <c r="AB275" s="42">
        <f>'[2]поточний ремонт'!AB275+'[1]поточний ремонт'!AB275</f>
        <v>0</v>
      </c>
      <c r="AC275" s="42">
        <f>'[2]поточний ремонт'!AC275+'[1]поточний ремонт'!AC275</f>
        <v>1887.9319642256546</v>
      </c>
      <c r="AD275" s="42">
        <f>'[2]поточний ремонт'!AD275+'[1]поточний ремонт'!AD275</f>
        <v>673.44402845337891</v>
      </c>
      <c r="AE275" s="42">
        <f>'[2]поточний ремонт'!AE275+'[1]поточний ремонт'!AE275</f>
        <v>580.56819462096075</v>
      </c>
      <c r="AF275" s="42">
        <f>'[2]поточний ремонт'!AF275+'[1]поточний ремонт'!AF275</f>
        <v>0</v>
      </c>
      <c r="AG275" s="5"/>
      <c r="AH275" s="42">
        <f>'[2]поточний ремонт'!AH275+'[1]поточний ремонт'!AH275</f>
        <v>760.10346214482365</v>
      </c>
      <c r="AI275" s="42">
        <f>'[2]поточний ремонт'!AI275+'[1]поточний ремонт'!AI275</f>
        <v>0</v>
      </c>
      <c r="AJ275" s="5"/>
      <c r="AK275" s="42">
        <f>'[2]поточний ремонт'!AK275+'[1]поточний ремонт'!AK275</f>
        <v>873.68841424111019</v>
      </c>
      <c r="AL275" s="42">
        <f>'[2]поточний ремонт'!AL275+'[1]поточний ремонт'!AL275</f>
        <v>0</v>
      </c>
      <c r="AM275" s="5"/>
      <c r="AN275" s="42">
        <f>'[2]поточний ремонт'!AN275+'[1]поточний ремонт'!AN275</f>
        <v>62.848897336776218</v>
      </c>
      <c r="AO275" s="42">
        <f>'[2]поточний ремонт'!AO275+'[1]поточний ремонт'!AO275</f>
        <v>0</v>
      </c>
      <c r="AP275" s="5"/>
      <c r="AQ275" s="42">
        <f>'[2]поточний ремонт'!AQ275+'[1]поточний ремонт'!AQ275</f>
        <v>0</v>
      </c>
      <c r="AR275" s="42">
        <f>'[2]поточний ремонт'!AR275+'[1]поточний ремонт'!AR275</f>
        <v>0</v>
      </c>
      <c r="AS275" s="5"/>
      <c r="AT275" s="42">
        <f>'[2]поточний ремонт'!AT275+'[1]поточний ремонт'!AT275</f>
        <v>514.77367111701551</v>
      </c>
      <c r="AU275" s="42">
        <f>'[2]поточний ремонт'!AU275+'[1]поточний ремонт'!AU275</f>
        <v>0</v>
      </c>
      <c r="AV275" s="5"/>
      <c r="AW275" s="42">
        <f>'[2]поточний ремонт'!AW275+'[1]поточний ремонт'!AW275</f>
        <v>35.856902855159163</v>
      </c>
      <c r="AX275" s="42">
        <f>'[2]поточний ремонт'!AX275+'[1]поточний ремонт'!AX275</f>
        <v>2940.3973301922965</v>
      </c>
      <c r="AY275" s="5"/>
      <c r="AZ275" s="42">
        <f t="shared" si="40"/>
        <v>2827.8395423158458</v>
      </c>
      <c r="BA275" s="42">
        <f t="shared" si="41"/>
        <v>2940.3973301922965</v>
      </c>
      <c r="BB275" s="58">
        <f t="shared" si="42"/>
        <v>112.55778787645067</v>
      </c>
      <c r="BD275" s="2">
        <v>2</v>
      </c>
      <c r="BF275" s="29">
        <v>4.4636186521429844</v>
      </c>
      <c r="BG275" s="318">
        <v>150000812</v>
      </c>
      <c r="BI275" s="104">
        <v>0</v>
      </c>
      <c r="BJ275" s="104">
        <f t="shared" si="35"/>
        <v>0</v>
      </c>
      <c r="BK275" s="104">
        <v>0</v>
      </c>
      <c r="BL275" s="38"/>
      <c r="BM275" s="3"/>
      <c r="BN275" s="3">
        <v>0</v>
      </c>
      <c r="BP275" s="3"/>
      <c r="BQ275" s="3"/>
      <c r="BS275" s="42"/>
      <c r="BT275" s="42">
        <v>0</v>
      </c>
      <c r="BU275" s="962"/>
      <c r="BV275" s="41"/>
      <c r="BW275" s="42"/>
      <c r="BX275" s="960"/>
      <c r="BY275" s="76"/>
      <c r="BZ275" s="42">
        <v>0</v>
      </c>
      <c r="CA275" s="959"/>
      <c r="CB275" s="41"/>
      <c r="CC275" s="41">
        <v>0</v>
      </c>
      <c r="CD275" s="960"/>
      <c r="CE275" s="76">
        <v>0</v>
      </c>
      <c r="CF275" s="55"/>
      <c r="CG275" s="41">
        <v>0</v>
      </c>
      <c r="CH275" s="38">
        <v>0</v>
      </c>
      <c r="CI275" s="76">
        <v>0</v>
      </c>
      <c r="CJ275" s="55"/>
      <c r="CK275" s="955"/>
      <c r="CL275" s="950"/>
      <c r="CM275" s="955">
        <v>645</v>
      </c>
      <c r="CN275" s="950">
        <v>0</v>
      </c>
      <c r="CO275" s="76">
        <v>89.959598519160679</v>
      </c>
      <c r="CP275" s="42">
        <v>0</v>
      </c>
      <c r="CQ275" s="5"/>
      <c r="CR275" s="76">
        <v>124.92740962081987</v>
      </c>
      <c r="CS275" s="954">
        <v>0</v>
      </c>
      <c r="CT275" s="5"/>
      <c r="CU275" s="76">
        <v>160.21630665945352</v>
      </c>
      <c r="CV275" s="42">
        <v>0</v>
      </c>
      <c r="CW275" s="5"/>
      <c r="CX275" s="76">
        <v>0</v>
      </c>
      <c r="CY275" s="42">
        <v>0</v>
      </c>
      <c r="CZ275" s="5"/>
      <c r="DA275" s="76">
        <v>0</v>
      </c>
      <c r="DB275" s="42">
        <v>0</v>
      </c>
      <c r="DC275" s="5"/>
      <c r="DD275" s="76">
        <v>57.641718801464663</v>
      </c>
      <c r="DE275" s="42">
        <v>0</v>
      </c>
      <c r="DF275" s="5"/>
      <c r="DG275" s="76">
        <v>0</v>
      </c>
      <c r="DH275" s="42"/>
      <c r="DI275" s="5"/>
      <c r="DJ275" s="42">
        <v>432.74503360089875</v>
      </c>
      <c r="DK275" s="42">
        <f t="shared" si="36"/>
        <v>0</v>
      </c>
      <c r="DL275" s="58">
        <f t="shared" si="37"/>
        <v>-432.74503360089875</v>
      </c>
      <c r="DM275" s="2">
        <v>2</v>
      </c>
    </row>
    <row r="276" spans="1:117" ht="24.9" customHeight="1" x14ac:dyDescent="0.3">
      <c r="A276" s="318">
        <v>150000828</v>
      </c>
      <c r="B276" s="44" t="s">
        <v>303</v>
      </c>
      <c r="C276" s="956">
        <v>5</v>
      </c>
      <c r="D276" s="957" t="s">
        <v>454</v>
      </c>
      <c r="E276" s="949">
        <f>'побудинковий звіт'!E285</f>
        <v>4572.4000000000005</v>
      </c>
      <c r="F276" s="950">
        <f>'побудинковий звіт'!AS285</f>
        <v>62315.333987057194</v>
      </c>
      <c r="G276" s="950">
        <f t="shared" si="38"/>
        <v>132657.83369465396</v>
      </c>
      <c r="H276" s="950">
        <f t="shared" si="39"/>
        <v>70342.499707596769</v>
      </c>
      <c r="I276" s="42">
        <f>'[2]поточний ремонт'!I276+'[1]поточний ремонт'!I276</f>
        <v>0</v>
      </c>
      <c r="J276" s="42">
        <f>'[2]поточний ремонт'!J276+'[1]поточний ремонт'!J276</f>
        <v>0</v>
      </c>
      <c r="K276" s="958"/>
      <c r="L276" s="42">
        <f>'[2]поточний ремонт'!L276+'[1]поточний ремонт'!L276</f>
        <v>2</v>
      </c>
      <c r="M276" s="42">
        <f>'[2]поточний ремонт'!M276+'[1]поточний ремонт'!M276</f>
        <v>126058.60571047867</v>
      </c>
      <c r="N276" s="36"/>
      <c r="O276" s="42">
        <f>'[2]поточний ремонт'!O276+'[1]поточний ремонт'!O276</f>
        <v>0</v>
      </c>
      <c r="P276" s="42">
        <f>'[2]поточний ремонт'!P276+'[1]поточний ремонт'!P276</f>
        <v>0</v>
      </c>
      <c r="Q276" s="959"/>
      <c r="R276" s="42">
        <f>'[2]поточний ремонт'!R276+'[1]поточний ремонт'!R276</f>
        <v>0</v>
      </c>
      <c r="S276" s="42">
        <f>'[2]поточний ремонт'!S276+'[1]поточний ремонт'!S276</f>
        <v>0</v>
      </c>
      <c r="T276" s="960"/>
      <c r="U276" s="42">
        <f>'[2]поточний ремонт'!U276+'[1]поточний ремонт'!U276</f>
        <v>0</v>
      </c>
      <c r="V276" s="42">
        <f>'[2]поточний ремонт'!V276+'[1]поточний ремонт'!V276</f>
        <v>0</v>
      </c>
      <c r="W276" s="42">
        <f>'[2]поточний ремонт'!W276+'[1]поточний ремонт'!W276</f>
        <v>0</v>
      </c>
      <c r="X276" s="42">
        <f>'[2]поточний ремонт'!X276+'[1]поточний ремонт'!X276</f>
        <v>0</v>
      </c>
      <c r="Y276" s="42">
        <f>'[2]поточний ремонт'!Y276+'[1]поточний ремонт'!Y276</f>
        <v>1807.6983371243439</v>
      </c>
      <c r="Z276" s="42">
        <f>'[2]поточний ремонт'!Z276+'[1]поточний ремонт'!Z276</f>
        <v>0</v>
      </c>
      <c r="AA276" s="42">
        <f>'[2]поточний ремонт'!AA276+'[1]поточний ремонт'!AA276</f>
        <v>0</v>
      </c>
      <c r="AB276" s="42">
        <f>'[2]поточний ремонт'!AB276+'[1]поточний ремонт'!AB276</f>
        <v>0</v>
      </c>
      <c r="AC276" s="42">
        <f>'[2]поточний ремонт'!AC276+'[1]поточний ремонт'!AC276</f>
        <v>1782.9543067997406</v>
      </c>
      <c r="AD276" s="42">
        <f>'[2]поточний ремонт'!AD276+'[1]поточний ремонт'!AD276</f>
        <v>3008.5753402511968</v>
      </c>
      <c r="AE276" s="42">
        <f>'[2]поточний ремонт'!AE276+'[1]поточний ремонт'!AE276</f>
        <v>2248.9506837174658</v>
      </c>
      <c r="AF276" s="42">
        <f>'[2]поточний ремонт'!AF276+'[1]поточний ремонт'!AF276</f>
        <v>0</v>
      </c>
      <c r="AG276" s="965"/>
      <c r="AH276" s="42">
        <f>'[2]поточний ремонт'!AH276+'[1]поточний ремонт'!AH276</f>
        <v>3329.4686170187397</v>
      </c>
      <c r="AI276" s="42">
        <f>'[2]поточний ремонт'!AI276+'[1]поточний ремонт'!AI276</f>
        <v>3848.0344440966592</v>
      </c>
      <c r="AJ276" s="5"/>
      <c r="AK276" s="42">
        <f>'[2]поточний ремонт'!AK276+'[1]поточний ремонт'!AK276</f>
        <v>2231.2724939097488</v>
      </c>
      <c r="AL276" s="42">
        <f>'[2]поточний ремонт'!AL276+'[1]поточний ремонт'!AL276</f>
        <v>0</v>
      </c>
      <c r="AM276" s="5"/>
      <c r="AN276" s="42">
        <f>'[2]поточний ремонт'!AN276+'[1]поточний ремонт'!AN276</f>
        <v>0</v>
      </c>
      <c r="AO276" s="42">
        <f>'[2]поточний ремонт'!AO276+'[1]поточний ремонт'!AO276</f>
        <v>0</v>
      </c>
      <c r="AP276" s="5"/>
      <c r="AQ276" s="42">
        <f>'[2]поточний ремонт'!AQ276+'[1]поточний ремонт'!AQ276</f>
        <v>110.27308797143304</v>
      </c>
      <c r="AR276" s="42">
        <f>'[2]поточний ремонт'!AR276+'[1]поточний ремонт'!AR276</f>
        <v>982.39936882725226</v>
      </c>
      <c r="AS276" s="5"/>
      <c r="AT276" s="42">
        <f>'[2]поточний ремонт'!AT276+'[1]поточний ремонт'!AT276</f>
        <v>1647.7012031368854</v>
      </c>
      <c r="AU276" s="42">
        <f>'[2]поточний ремонт'!AU276+'[1]поточний ремонт'!AU276</f>
        <v>8103.0437461900101</v>
      </c>
      <c r="AV276" s="9"/>
      <c r="AW276" s="42">
        <f>'[2]поточний ремонт'!AW276+'[1]поточний ремонт'!AW276</f>
        <v>35.072631139167051</v>
      </c>
      <c r="AX276" s="42">
        <f>'[2]поточний ремонт'!AX276+'[1]поточний ремонт'!AX276</f>
        <v>3082.7976227439285</v>
      </c>
      <c r="AY276" s="5"/>
      <c r="AZ276" s="42">
        <f t="shared" si="40"/>
        <v>9602.7387168934383</v>
      </c>
      <c r="BA276" s="42">
        <f t="shared" si="41"/>
        <v>16016.275181857851</v>
      </c>
      <c r="BB276" s="58">
        <f t="shared" si="42"/>
        <v>6413.5364649644125</v>
      </c>
      <c r="BD276" s="2">
        <v>2</v>
      </c>
      <c r="BF276" s="29">
        <v>3.7909137410458293</v>
      </c>
      <c r="BG276" s="318">
        <v>150000828</v>
      </c>
      <c r="BI276" s="104">
        <v>0</v>
      </c>
      <c r="BJ276" s="104">
        <f t="shared" si="35"/>
        <v>0</v>
      </c>
      <c r="BK276" s="104">
        <v>0</v>
      </c>
      <c r="BL276" s="38"/>
      <c r="BM276" s="3"/>
      <c r="BN276" s="3">
        <v>0</v>
      </c>
      <c r="BP276" s="3"/>
      <c r="BQ276" s="3"/>
      <c r="BS276" s="42"/>
      <c r="BT276" s="42">
        <v>0</v>
      </c>
      <c r="BU276" s="958"/>
      <c r="BV276" s="41"/>
      <c r="BW276" s="42"/>
      <c r="BX276" s="36"/>
      <c r="BY276" s="76"/>
      <c r="BZ276" s="42">
        <v>0</v>
      </c>
      <c r="CA276" s="959"/>
      <c r="CB276" s="41"/>
      <c r="CC276" s="41">
        <v>0</v>
      </c>
      <c r="CD276" s="960"/>
      <c r="CE276" s="76">
        <v>0</v>
      </c>
      <c r="CF276" s="55"/>
      <c r="CG276" s="41">
        <v>0</v>
      </c>
      <c r="CH276" s="38">
        <v>0</v>
      </c>
      <c r="CI276" s="76">
        <v>0</v>
      </c>
      <c r="CJ276" s="55"/>
      <c r="CK276" s="955"/>
      <c r="CL276" s="950"/>
      <c r="CM276" s="955"/>
      <c r="CN276" s="950">
        <v>0</v>
      </c>
      <c r="CO276" s="76">
        <v>122.1311938047327</v>
      </c>
      <c r="CP276" s="42">
        <v>0</v>
      </c>
      <c r="CQ276" s="965"/>
      <c r="CR276" s="76">
        <v>166.23969598228419</v>
      </c>
      <c r="CS276" s="954">
        <v>0</v>
      </c>
      <c r="CT276" s="5"/>
      <c r="CU276" s="76">
        <v>164.27702055536201</v>
      </c>
      <c r="CV276" s="42">
        <v>0</v>
      </c>
      <c r="CW276" s="5"/>
      <c r="CX276" s="76">
        <v>0</v>
      </c>
      <c r="CY276" s="42">
        <v>0</v>
      </c>
      <c r="CZ276" s="5"/>
      <c r="DA276" s="76">
        <v>0</v>
      </c>
      <c r="DB276" s="42">
        <v>0</v>
      </c>
      <c r="DC276" s="5"/>
      <c r="DD276" s="76">
        <v>58.866299624772751</v>
      </c>
      <c r="DE276" s="42">
        <v>6857.3911529041407</v>
      </c>
      <c r="DF276" s="9"/>
      <c r="DG276" s="76">
        <v>0</v>
      </c>
      <c r="DH276" s="42"/>
      <c r="DI276" s="5"/>
      <c r="DJ276" s="42">
        <v>511.51420996715166</v>
      </c>
      <c r="DK276" s="42">
        <f t="shared" si="36"/>
        <v>6857.3911529041407</v>
      </c>
      <c r="DL276" s="58">
        <f t="shared" si="37"/>
        <v>6345.8769429369886</v>
      </c>
      <c r="DM276" s="2">
        <v>2</v>
      </c>
    </row>
    <row r="277" spans="1:117" ht="24.9" customHeight="1" x14ac:dyDescent="0.3">
      <c r="A277" s="318">
        <v>150000813</v>
      </c>
      <c r="B277" s="44" t="s">
        <v>188</v>
      </c>
      <c r="C277" s="956">
        <v>2</v>
      </c>
      <c r="D277" s="957" t="s">
        <v>454</v>
      </c>
      <c r="E277" s="949">
        <f>'побудинковий звіт'!E286</f>
        <v>4578.4000000000005</v>
      </c>
      <c r="F277" s="950">
        <f>'побудинковий звіт'!AS286</f>
        <v>72577.470320361259</v>
      </c>
      <c r="G277" s="950">
        <f t="shared" si="38"/>
        <v>1995.3795536091852</v>
      </c>
      <c r="H277" s="950">
        <f t="shared" si="39"/>
        <v>-70582.090766752081</v>
      </c>
      <c r="I277" s="42">
        <f>'[2]поточний ремонт'!I277+'[1]поточний ремонт'!I277</f>
        <v>0</v>
      </c>
      <c r="J277" s="42">
        <f>'[2]поточний ремонт'!J277+'[1]поточний ремонт'!J277</f>
        <v>0</v>
      </c>
      <c r="K277" s="958"/>
      <c r="L277" s="42">
        <f>'[2]поточний ремонт'!L277+'[1]поточний ремонт'!L277</f>
        <v>0</v>
      </c>
      <c r="M277" s="42">
        <f>'[2]поточний ремонт'!M277+'[1]поточний ремонт'!M277</f>
        <v>0</v>
      </c>
      <c r="N277" s="36"/>
      <c r="O277" s="42">
        <f>'[2]поточний ремонт'!O277+'[1]поточний ремонт'!O277</f>
        <v>0</v>
      </c>
      <c r="P277" s="42">
        <f>'[2]поточний ремонт'!P277+'[1]поточний ремонт'!P277</f>
        <v>0</v>
      </c>
      <c r="Q277" s="959"/>
      <c r="R277" s="42">
        <f>'[2]поточний ремонт'!R277+'[1]поточний ремонт'!R277</f>
        <v>0</v>
      </c>
      <c r="S277" s="42">
        <f>'[2]поточний ремонт'!S277+'[1]поточний ремонт'!S277</f>
        <v>0</v>
      </c>
      <c r="T277" s="960"/>
      <c r="U277" s="42">
        <f>'[2]поточний ремонт'!U277+'[1]поточний ремонт'!U277</f>
        <v>0</v>
      </c>
      <c r="V277" s="42">
        <f>'[2]поточний ремонт'!V277+'[1]поточний ремонт'!V277</f>
        <v>0</v>
      </c>
      <c r="W277" s="42">
        <f>'[2]поточний ремонт'!W277+'[1]поточний ремонт'!W277</f>
        <v>0</v>
      </c>
      <c r="X277" s="42">
        <f>'[2]поточний ремонт'!X277+'[1]поточний ремонт'!X277</f>
        <v>0</v>
      </c>
      <c r="Y277" s="42">
        <f>'[2]поточний ремонт'!Y277+'[1]поточний ремонт'!Y277</f>
        <v>0</v>
      </c>
      <c r="Z277" s="42">
        <f>'[2]поточний ремонт'!Z277+'[1]поточний ремонт'!Z277</f>
        <v>0</v>
      </c>
      <c r="AA277" s="42">
        <f>'[2]поточний ремонт'!AA277+'[1]поточний ремонт'!AA277</f>
        <v>0</v>
      </c>
      <c r="AB277" s="42">
        <f>'[2]поточний ремонт'!AB277+'[1]поточний ремонт'!AB277</f>
        <v>0</v>
      </c>
      <c r="AC277" s="42">
        <f>'[2]поточний ремонт'!AC277+'[1]поточний ремонт'!AC277</f>
        <v>0</v>
      </c>
      <c r="AD277" s="42">
        <f>'[2]поточний ремонт'!AD277+'[1]поточний ремонт'!AD277</f>
        <v>1995.3795536091852</v>
      </c>
      <c r="AE277" s="42">
        <f>'[2]поточний ремонт'!AE277+'[1]поточний ремонт'!AE277</f>
        <v>1711.4835886257376</v>
      </c>
      <c r="AF277" s="42">
        <f>'[2]поточний ремонт'!AF277+'[1]поточний ремонт'!AF277</f>
        <v>0</v>
      </c>
      <c r="AG277" s="5"/>
      <c r="AH277" s="42">
        <f>'[2]поточний ремонт'!AH277+'[1]поточний ремонт'!AH277</f>
        <v>2727.3080530491657</v>
      </c>
      <c r="AI277" s="42">
        <f>'[2]поточний ремонт'!AI277+'[1]поточний ремонт'!AI277</f>
        <v>0</v>
      </c>
      <c r="AJ277" s="5"/>
      <c r="AK277" s="42">
        <f>'[2]поточний ремонт'!AK277+'[1]поточний ремонт'!AK277</f>
        <v>1438.5200978236953</v>
      </c>
      <c r="AL277" s="42">
        <f>'[2]поточний ремонт'!AL277+'[1]поточний ремонт'!AL277</f>
        <v>0</v>
      </c>
      <c r="AM277" s="5"/>
      <c r="AN277" s="42">
        <f>'[2]поточний ремонт'!AN277+'[1]поточний ремонт'!AN277</f>
        <v>0</v>
      </c>
      <c r="AO277" s="42">
        <f>'[2]поточний ремонт'!AO277+'[1]поточний ремонт'!AO277</f>
        <v>0</v>
      </c>
      <c r="AP277" s="5"/>
      <c r="AQ277" s="42">
        <f>'[2]поточний ремонт'!AQ277+'[1]поточний ремонт'!AQ277</f>
        <v>766.02652989336866</v>
      </c>
      <c r="AR277" s="42">
        <f>'[2]поточний ремонт'!AR277+'[1]поточний ремонт'!AR277</f>
        <v>0</v>
      </c>
      <c r="AS277" s="5"/>
      <c r="AT277" s="42">
        <f>'[2]поточний ремонт'!AT277+'[1]поточний ремонт'!AT277</f>
        <v>1262.6191511898696</v>
      </c>
      <c r="AU277" s="42">
        <f>'[2]поточний ремонт'!AU277+'[1]поточний ремонт'!AU277</f>
        <v>0</v>
      </c>
      <c r="AV277" s="5"/>
      <c r="AW277" s="42">
        <f>'[2]поточний ремонт'!AW277+'[1]поточний ремонт'!AW277</f>
        <v>18.822521183810586</v>
      </c>
      <c r="AX277" s="42">
        <f>'[2]поточний ремонт'!AX277+'[1]поточний ремонт'!AX277</f>
        <v>0</v>
      </c>
      <c r="AY277" s="5"/>
      <c r="AZ277" s="42">
        <f t="shared" si="40"/>
        <v>7924.779941765647</v>
      </c>
      <c r="BA277" s="42">
        <f t="shared" si="41"/>
        <v>0</v>
      </c>
      <c r="BB277" s="58">
        <f t="shared" si="42"/>
        <v>-7924.779941765647</v>
      </c>
      <c r="BD277" s="2">
        <v>3</v>
      </c>
      <c r="BF277" s="29">
        <v>27.904928781174817</v>
      </c>
      <c r="BG277" s="318">
        <v>150000813</v>
      </c>
      <c r="BI277" s="104">
        <v>0</v>
      </c>
      <c r="BJ277" s="104">
        <f t="shared" si="35"/>
        <v>0</v>
      </c>
      <c r="BK277" s="104">
        <v>0</v>
      </c>
      <c r="BL277" s="38"/>
      <c r="BM277" s="3"/>
      <c r="BN277" s="3">
        <v>0</v>
      </c>
      <c r="BP277" s="3"/>
      <c r="BQ277" s="3"/>
      <c r="BS277" s="42"/>
      <c r="BT277" s="42">
        <v>0</v>
      </c>
      <c r="BU277" s="958"/>
      <c r="BV277" s="41"/>
      <c r="BW277" s="42"/>
      <c r="BX277" s="36"/>
      <c r="BY277" s="76"/>
      <c r="BZ277" s="42">
        <v>0</v>
      </c>
      <c r="CA277" s="959"/>
      <c r="CB277" s="41"/>
      <c r="CC277" s="41">
        <v>0</v>
      </c>
      <c r="CD277" s="960"/>
      <c r="CE277" s="76">
        <v>0</v>
      </c>
      <c r="CF277" s="55"/>
      <c r="CG277" s="41">
        <v>0</v>
      </c>
      <c r="CH277" s="38">
        <v>0</v>
      </c>
      <c r="CI277" s="76">
        <v>0</v>
      </c>
      <c r="CJ277" s="55"/>
      <c r="CK277" s="955"/>
      <c r="CL277" s="950"/>
      <c r="CM277" s="955"/>
      <c r="CN277" s="950">
        <v>0</v>
      </c>
      <c r="CO277" s="76">
        <v>30.728404098874446</v>
      </c>
      <c r="CP277" s="42">
        <v>0</v>
      </c>
      <c r="CQ277" s="5"/>
      <c r="CR277" s="76">
        <v>36.670250691050846</v>
      </c>
      <c r="CS277" s="954">
        <v>0</v>
      </c>
      <c r="CT277" s="5"/>
      <c r="CU277" s="76">
        <v>0</v>
      </c>
      <c r="CV277" s="42">
        <v>0</v>
      </c>
      <c r="CW277" s="5"/>
      <c r="CX277" s="76">
        <v>0</v>
      </c>
      <c r="CY277" s="42">
        <v>0</v>
      </c>
      <c r="CZ277" s="5"/>
      <c r="DA277" s="76">
        <v>0</v>
      </c>
      <c r="DB277" s="42">
        <v>0</v>
      </c>
      <c r="DC277" s="5"/>
      <c r="DD277" s="76">
        <v>11.528310748437255</v>
      </c>
      <c r="DE277" s="42">
        <v>0</v>
      </c>
      <c r="DF277" s="5"/>
      <c r="DG277" s="76">
        <v>0</v>
      </c>
      <c r="DH277" s="42"/>
      <c r="DI277" s="5"/>
      <c r="DJ277" s="42">
        <v>78.926965538362538</v>
      </c>
      <c r="DK277" s="42">
        <f t="shared" si="36"/>
        <v>0</v>
      </c>
      <c r="DL277" s="58">
        <f t="shared" si="37"/>
        <v>-78.926965538362538</v>
      </c>
      <c r="DM277" s="2">
        <v>3</v>
      </c>
    </row>
    <row r="278" spans="1:117" ht="24.9" customHeight="1" x14ac:dyDescent="0.3">
      <c r="A278" s="318">
        <v>150000814</v>
      </c>
      <c r="B278" s="44" t="s">
        <v>304</v>
      </c>
      <c r="C278" s="956">
        <v>5</v>
      </c>
      <c r="D278" s="957" t="s">
        <v>454</v>
      </c>
      <c r="E278" s="949">
        <f>'побудинковий звіт'!E287</f>
        <v>3208.53</v>
      </c>
      <c r="F278" s="950">
        <f>'побудинковий звіт'!AS287</f>
        <v>42959.613117208617</v>
      </c>
      <c r="G278" s="950">
        <f t="shared" si="38"/>
        <v>26543.368456789285</v>
      </c>
      <c r="H278" s="950">
        <f t="shared" si="39"/>
        <v>-16416.244660419332</v>
      </c>
      <c r="I278" s="42">
        <f>'[2]поточний ремонт'!I278+'[1]поточний ремонт'!I278</f>
        <v>0</v>
      </c>
      <c r="J278" s="42">
        <f>'[2]поточний ремонт'!J278+'[1]поточний ремонт'!J278</f>
        <v>0</v>
      </c>
      <c r="K278" s="958"/>
      <c r="L278" s="42">
        <f>'[2]поточний ремонт'!L278+'[1]поточний ремонт'!L278</f>
        <v>0</v>
      </c>
      <c r="M278" s="42">
        <f>'[2]поточний ремонт'!M278+'[1]поточний ремонт'!M278</f>
        <v>0</v>
      </c>
      <c r="N278" s="36"/>
      <c r="O278" s="42">
        <f>'[2]поточний ремонт'!O278+'[1]поточний ремонт'!O278</f>
        <v>0</v>
      </c>
      <c r="P278" s="42">
        <f>'[2]поточний ремонт'!P278+'[1]поточний ремонт'!P278</f>
        <v>0</v>
      </c>
      <c r="Q278" s="959"/>
      <c r="R278" s="42">
        <f>'[2]поточний ремонт'!R278+'[1]поточний ремонт'!R278</f>
        <v>0</v>
      </c>
      <c r="S278" s="42">
        <f>'[2]поточний ремонт'!S278+'[1]поточний ремонт'!S278</f>
        <v>0</v>
      </c>
      <c r="T278" s="960"/>
      <c r="U278" s="42">
        <f>'[2]поточний ремонт'!U278+'[1]поточний ремонт'!U278</f>
        <v>0</v>
      </c>
      <c r="V278" s="42">
        <f>'[2]поточний ремонт'!V278+'[1]поточний ремонт'!V278</f>
        <v>0</v>
      </c>
      <c r="W278" s="42">
        <f>'[2]поточний ремонт'!W278+'[1]поточний ремонт'!W278</f>
        <v>0</v>
      </c>
      <c r="X278" s="42">
        <f>'[2]поточний ремонт'!X278+'[1]поточний ремонт'!X278</f>
        <v>214.84925006538253</v>
      </c>
      <c r="Y278" s="42">
        <f>'[2]поточний ремонт'!Y278+'[1]поточний ремонт'!Y278</f>
        <v>25323.98109176346</v>
      </c>
      <c r="Z278" s="42">
        <f>'[2]поточний ремонт'!Z278+'[1]поточний ремонт'!Z278</f>
        <v>0</v>
      </c>
      <c r="AA278" s="42">
        <f>'[2]поточний ремонт'!AA278+'[1]поточний ремонт'!AA278</f>
        <v>0</v>
      </c>
      <c r="AB278" s="42">
        <f>'[2]поточний ремонт'!AB278+'[1]поточний ремонт'!AB278</f>
        <v>0</v>
      </c>
      <c r="AC278" s="42">
        <f>'[2]поточний ремонт'!AC278+'[1]поточний ремонт'!AC278</f>
        <v>0</v>
      </c>
      <c r="AD278" s="42">
        <f>'[2]поточний ремонт'!AD278+'[1]поточний ремонт'!AD278</f>
        <v>1004.5381149604426</v>
      </c>
      <c r="AE278" s="42">
        <f>'[2]поточний ремонт'!AE278+'[1]поточний ремонт'!AE278</f>
        <v>1902.2066493480384</v>
      </c>
      <c r="AF278" s="42">
        <f>'[2]поточний ремонт'!AF278+'[1]поточний ремонт'!AF278</f>
        <v>3528.3834209953352</v>
      </c>
      <c r="AG278" s="5"/>
      <c r="AH278" s="42">
        <f>'[2]поточний ремонт'!AH278+'[1]поточний ремонт'!AH278</f>
        <v>3165.713997354123</v>
      </c>
      <c r="AI278" s="42">
        <f>'[2]поточний ремонт'!AI278+'[1]поточний ремонт'!AI278</f>
        <v>0</v>
      </c>
      <c r="AJ278" s="5"/>
      <c r="AK278" s="42">
        <f>'[2]поточний ремонт'!AK278+'[1]поточний ремонт'!AK278</f>
        <v>1850.1032730608697</v>
      </c>
      <c r="AL278" s="42">
        <f>'[2]поточний ремонт'!AL278+'[1]поточний ремонт'!AL278</f>
        <v>0</v>
      </c>
      <c r="AM278" s="5"/>
      <c r="AN278" s="42">
        <f>'[2]поточний ремонт'!AN278+'[1]поточний ремонт'!AN278</f>
        <v>0</v>
      </c>
      <c r="AO278" s="42">
        <f>'[2]поточний ремонт'!AO278+'[1]поточний ремонт'!AO278</f>
        <v>0</v>
      </c>
      <c r="AP278" s="5"/>
      <c r="AQ278" s="42">
        <f>'[2]поточний ремонт'!AQ278+'[1]поточний ремонт'!AQ278</f>
        <v>137.84135996429129</v>
      </c>
      <c r="AR278" s="42">
        <f>'[2]поточний ремонт'!AR278+'[1]поточний ремонт'!AR278</f>
        <v>0</v>
      </c>
      <c r="AS278" s="5"/>
      <c r="AT278" s="42">
        <f>'[2]поточний ремонт'!AT278+'[1]поточний ремонт'!AT278</f>
        <v>1389.093600418614</v>
      </c>
      <c r="AU278" s="42">
        <f>'[2]поточний ремонт'!AU278+'[1]поточний ремонт'!AU278</f>
        <v>938.16598089821059</v>
      </c>
      <c r="AV278" s="5"/>
      <c r="AW278" s="42">
        <f>'[2]поточний ремонт'!AW278+'[1]поточний ремонт'!AW278</f>
        <v>30.743451266890624</v>
      </c>
      <c r="AX278" s="42">
        <f>'[2]поточний ремонт'!AX278+'[1]поточний ремонт'!AX278</f>
        <v>4348.6091856311832</v>
      </c>
      <c r="AY278" s="5"/>
      <c r="AZ278" s="42">
        <f t="shared" si="40"/>
        <v>8475.7023314128273</v>
      </c>
      <c r="BA278" s="42">
        <f t="shared" si="41"/>
        <v>8815.1585875247292</v>
      </c>
      <c r="BB278" s="58">
        <f t="shared" si="42"/>
        <v>339.45625611190189</v>
      </c>
      <c r="BD278" s="2">
        <v>2</v>
      </c>
      <c r="BF278" s="29">
        <v>51.561115451453482</v>
      </c>
      <c r="BG278" s="318">
        <v>150000814</v>
      </c>
      <c r="BI278" s="104">
        <v>15.75</v>
      </c>
      <c r="BJ278" s="104">
        <f t="shared" si="35"/>
        <v>2.2154296499999999</v>
      </c>
      <c r="BK278" s="104">
        <v>18.164251286999999</v>
      </c>
      <c r="BL278" s="38"/>
      <c r="BM278" s="3"/>
      <c r="BN278" s="3">
        <v>0</v>
      </c>
      <c r="BP278" s="3"/>
      <c r="BQ278" s="3"/>
      <c r="BS278" s="42"/>
      <c r="BT278" s="42">
        <v>0</v>
      </c>
      <c r="BU278" s="958"/>
      <c r="BV278" s="41"/>
      <c r="BW278" s="42"/>
      <c r="BX278" s="36"/>
      <c r="BY278" s="76"/>
      <c r="BZ278" s="42">
        <v>0</v>
      </c>
      <c r="CA278" s="959"/>
      <c r="CB278" s="41"/>
      <c r="CC278" s="41">
        <v>0</v>
      </c>
      <c r="CD278" s="960"/>
      <c r="CE278" s="76">
        <v>0</v>
      </c>
      <c r="CF278" s="55"/>
      <c r="CG278" s="41">
        <v>0</v>
      </c>
      <c r="CH278" s="38">
        <v>18.164251286999999</v>
      </c>
      <c r="CI278" s="76">
        <v>13624.530524111809</v>
      </c>
      <c r="CJ278" s="55"/>
      <c r="CK278" s="955"/>
      <c r="CL278" s="950"/>
      <c r="CM278" s="955"/>
      <c r="CN278" s="950">
        <v>0</v>
      </c>
      <c r="CO278" s="76">
        <v>144.38665537536446</v>
      </c>
      <c r="CP278" s="42">
        <v>0</v>
      </c>
      <c r="CQ278" s="5"/>
      <c r="CR278" s="76">
        <v>236.29283810990782</v>
      </c>
      <c r="CS278" s="954">
        <v>0</v>
      </c>
      <c r="CT278" s="5"/>
      <c r="CU278" s="76">
        <v>157.70525474036745</v>
      </c>
      <c r="CV278" s="42">
        <v>0</v>
      </c>
      <c r="CW278" s="5"/>
      <c r="CX278" s="76">
        <v>0</v>
      </c>
      <c r="CY278" s="42">
        <v>0</v>
      </c>
      <c r="CZ278" s="5"/>
      <c r="DA278" s="76">
        <v>0</v>
      </c>
      <c r="DB278" s="42">
        <v>0</v>
      </c>
      <c r="DC278" s="5"/>
      <c r="DD278" s="76">
        <v>78.17977785058504</v>
      </c>
      <c r="DE278" s="42">
        <v>0</v>
      </c>
      <c r="DF278" s="5"/>
      <c r="DG278" s="76">
        <v>0</v>
      </c>
      <c r="DH278" s="42"/>
      <c r="DI278" s="5"/>
      <c r="DJ278" s="42">
        <v>616.56452607622475</v>
      </c>
      <c r="DK278" s="42">
        <f t="shared" si="36"/>
        <v>0</v>
      </c>
      <c r="DL278" s="58">
        <f t="shared" si="37"/>
        <v>-616.56452607622475</v>
      </c>
      <c r="DM278" s="2">
        <v>2</v>
      </c>
    </row>
    <row r="279" spans="1:117" ht="24.9" customHeight="1" x14ac:dyDescent="0.3">
      <c r="A279" s="318">
        <v>150000816</v>
      </c>
      <c r="B279" s="44" t="s">
        <v>229</v>
      </c>
      <c r="C279" s="956">
        <v>4</v>
      </c>
      <c r="D279" s="957" t="s">
        <v>454</v>
      </c>
      <c r="E279" s="949">
        <f>'побудинковий звіт'!E288</f>
        <v>6255.8</v>
      </c>
      <c r="F279" s="950">
        <f>'побудинковий звіт'!AS288</f>
        <v>97091.270901854732</v>
      </c>
      <c r="G279" s="950">
        <f t="shared" si="38"/>
        <v>4085.2216717095594</v>
      </c>
      <c r="H279" s="950">
        <f t="shared" si="39"/>
        <v>-93006.049230145174</v>
      </c>
      <c r="I279" s="42">
        <f>'[2]поточний ремонт'!I279+'[1]поточний ремонт'!I279</f>
        <v>15</v>
      </c>
      <c r="J279" s="42">
        <f>'[2]поточний ремонт'!J279+'[1]поточний ремонт'!J279</f>
        <v>3434.1958936274464</v>
      </c>
      <c r="K279" s="962"/>
      <c r="L279" s="42">
        <f>'[2]поточний ремонт'!L279+'[1]поточний ремонт'!L279</f>
        <v>0</v>
      </c>
      <c r="M279" s="42">
        <f>'[2]поточний ремонт'!M279+'[1]поточний ремонт'!M279</f>
        <v>0</v>
      </c>
      <c r="N279" s="36"/>
      <c r="O279" s="42">
        <f>'[2]поточний ремонт'!O279+'[1]поточний ремонт'!O279</f>
        <v>0</v>
      </c>
      <c r="P279" s="42">
        <f>'[2]поточний ремонт'!P279+'[1]поточний ремонт'!P279</f>
        <v>0</v>
      </c>
      <c r="Q279" s="959"/>
      <c r="R279" s="42">
        <f>'[2]поточний ремонт'!R279+'[1]поточний ремонт'!R279</f>
        <v>0</v>
      </c>
      <c r="S279" s="42">
        <f>'[2]поточний ремонт'!S279+'[1]поточний ремонт'!S279</f>
        <v>0</v>
      </c>
      <c r="T279" s="960"/>
      <c r="U279" s="42">
        <f>'[2]поточний ремонт'!U279+'[1]поточний ремонт'!U279</f>
        <v>0</v>
      </c>
      <c r="V279" s="42">
        <f>'[2]поточний ремонт'!V279+'[1]поточний ремонт'!V279</f>
        <v>0</v>
      </c>
      <c r="W279" s="42">
        <f>'[2]поточний ремонт'!W279+'[1]поточний ремонт'!W279</f>
        <v>0</v>
      </c>
      <c r="X279" s="42">
        <f>'[2]поточний ремонт'!X279+'[1]поточний ремонт'!X279</f>
        <v>71.616416688460845</v>
      </c>
      <c r="Y279" s="42">
        <f>'[2]поточний ремонт'!Y279+'[1]поточний ремонт'!Y279</f>
        <v>579.40936139365192</v>
      </c>
      <c r="Z279" s="42">
        <f>'[2]поточний ремонт'!Z279+'[1]поточний ремонт'!Z279</f>
        <v>0</v>
      </c>
      <c r="AA279" s="42">
        <f>'[2]поточний ремонт'!AA279+'[1]поточний ремонт'!AA279</f>
        <v>0</v>
      </c>
      <c r="AB279" s="42">
        <f>'[2]поточний ремонт'!AB279+'[1]поточний ремонт'!AB279</f>
        <v>0</v>
      </c>
      <c r="AC279" s="42">
        <f>'[2]поточний ремонт'!AC279+'[1]поточний ремонт'!AC279</f>
        <v>0</v>
      </c>
      <c r="AD279" s="42">
        <f>'[2]поточний ремонт'!AD279+'[1]поточний ремонт'!AD279</f>
        <v>0</v>
      </c>
      <c r="AE279" s="42">
        <f>'[2]поточний ремонт'!AE279+'[1]поточний ремонт'!AE279</f>
        <v>2798.5903427637827</v>
      </c>
      <c r="AF279" s="42">
        <f>'[2]поточний ремонт'!AF279+'[1]поточний ремонт'!AF279</f>
        <v>0</v>
      </c>
      <c r="AG279" s="5"/>
      <c r="AH279" s="42">
        <f>'[2]поточний ремонт'!AH279+'[1]поточний ремонт'!AH279</f>
        <v>4192.0386332349926</v>
      </c>
      <c r="AI279" s="42">
        <f>'[2]поточний ремонт'!AI279+'[1]поточний ремонт'!AI279</f>
        <v>0</v>
      </c>
      <c r="AJ279" s="5"/>
      <c r="AK279" s="42">
        <f>'[2]поточний ремонт'!AK279+'[1]поточний ремонт'!AK279</f>
        <v>2724.7268990946541</v>
      </c>
      <c r="AL279" s="42">
        <f>'[2]поточний ремонт'!AL279+'[1]поточний ремонт'!AL279</f>
        <v>0</v>
      </c>
      <c r="AM279" s="5"/>
      <c r="AN279" s="42">
        <f>'[2]поточний ремонт'!AN279+'[1]поточний ремонт'!AN279</f>
        <v>289.19934253294849</v>
      </c>
      <c r="AO279" s="42">
        <f>'[2]поточний ремонт'!AO279+'[1]поточний ремонт'!AO279</f>
        <v>858.89868450435006</v>
      </c>
      <c r="AP279" s="5"/>
      <c r="AQ279" s="42">
        <f>'[2]поточний ремонт'!AQ279+'[1]поточний ремонт'!AQ279</f>
        <v>1296.114322783136</v>
      </c>
      <c r="AR279" s="42">
        <f>'[2]поточний ремонт'!AR279+'[1]поточний ремонт'!AR279</f>
        <v>647.41536177161379</v>
      </c>
      <c r="AS279" s="5"/>
      <c r="AT279" s="42">
        <f>'[2]поточний ремонт'!AT279+'[1]поточний ремонт'!AT279</f>
        <v>2502.6088470525992</v>
      </c>
      <c r="AU279" s="42">
        <f>'[2]поточний ремонт'!AU279+'[1]поточний ремонт'!AU279</f>
        <v>0</v>
      </c>
      <c r="AV279" s="5"/>
      <c r="AW279" s="42">
        <f>'[2]поточний ремонт'!AW279+'[1]поточний ремонт'!AW279</f>
        <v>35.072631139167051</v>
      </c>
      <c r="AX279" s="42">
        <f>'[2]поточний ремонт'!AX279+'[1]поточний ремонт'!AX279</f>
        <v>5017.8391734122933</v>
      </c>
      <c r="AY279" s="5"/>
      <c r="AZ279" s="42">
        <f t="shared" si="40"/>
        <v>13838.351018601281</v>
      </c>
      <c r="BA279" s="42">
        <f t="shared" si="41"/>
        <v>6524.1532196882572</v>
      </c>
      <c r="BB279" s="58">
        <f t="shared" si="42"/>
        <v>-7314.1977989130237</v>
      </c>
      <c r="BD279" s="2">
        <v>2</v>
      </c>
      <c r="BF279" s="29">
        <v>3.5743710554770591</v>
      </c>
      <c r="BG279" s="318">
        <v>150000816</v>
      </c>
      <c r="BI279" s="104">
        <v>5.25</v>
      </c>
      <c r="BJ279" s="104">
        <f t="shared" si="35"/>
        <v>0.7384765499999999</v>
      </c>
      <c r="BK279" s="104">
        <v>6.0547504290000003</v>
      </c>
      <c r="BL279" s="38"/>
      <c r="BM279" s="3"/>
      <c r="BN279" s="3">
        <v>0</v>
      </c>
      <c r="BP279" s="3"/>
      <c r="BQ279" s="3"/>
      <c r="BS279" s="42"/>
      <c r="BT279" s="42">
        <v>0</v>
      </c>
      <c r="BU279" s="962"/>
      <c r="BV279" s="41"/>
      <c r="BW279" s="42"/>
      <c r="BX279" s="36"/>
      <c r="BY279" s="76"/>
      <c r="BZ279" s="42">
        <v>0</v>
      </c>
      <c r="CA279" s="959"/>
      <c r="CB279" s="41"/>
      <c r="CC279" s="41">
        <v>0</v>
      </c>
      <c r="CD279" s="960"/>
      <c r="CE279" s="76">
        <v>0</v>
      </c>
      <c r="CF279" s="55"/>
      <c r="CG279" s="41">
        <v>0</v>
      </c>
      <c r="CH279" s="38">
        <v>6.0547504290000003</v>
      </c>
      <c r="CI279" s="76">
        <v>0</v>
      </c>
      <c r="CJ279" s="55"/>
      <c r="CK279" s="955"/>
      <c r="CL279" s="950"/>
      <c r="CM279" s="955"/>
      <c r="CN279" s="950">
        <v>0</v>
      </c>
      <c r="CO279" s="76">
        <v>125.59670029992532</v>
      </c>
      <c r="CP279" s="42">
        <v>0</v>
      </c>
      <c r="CQ279" s="5"/>
      <c r="CR279" s="76">
        <v>161.4665313458282</v>
      </c>
      <c r="CS279" s="954">
        <v>0</v>
      </c>
      <c r="CT279" s="5"/>
      <c r="CU279" s="76">
        <v>154.79269043008384</v>
      </c>
      <c r="CV279" s="42">
        <v>0</v>
      </c>
      <c r="CW279" s="5"/>
      <c r="CX279" s="76">
        <v>71.583652111914517</v>
      </c>
      <c r="CY279" s="42">
        <v>0</v>
      </c>
      <c r="CZ279" s="5"/>
      <c r="DA279" s="76">
        <v>0</v>
      </c>
      <c r="DB279" s="42">
        <v>0</v>
      </c>
      <c r="DC279" s="5"/>
      <c r="DD279" s="76">
        <v>66.859017642393312</v>
      </c>
      <c r="DE279" s="42">
        <v>0</v>
      </c>
      <c r="DF279" s="5"/>
      <c r="DG279" s="76">
        <v>0</v>
      </c>
      <c r="DH279" s="42"/>
      <c r="DI279" s="5"/>
      <c r="DJ279" s="42">
        <v>580.29859183014514</v>
      </c>
      <c r="DK279" s="42">
        <f t="shared" si="36"/>
        <v>0</v>
      </c>
      <c r="DL279" s="58">
        <f t="shared" si="37"/>
        <v>-580.29859183014514</v>
      </c>
      <c r="DM279" s="2">
        <v>2</v>
      </c>
    </row>
    <row r="280" spans="1:117" ht="24.9" customHeight="1" x14ac:dyDescent="0.3">
      <c r="A280" s="318">
        <v>150000829</v>
      </c>
      <c r="B280" s="44" t="s">
        <v>230</v>
      </c>
      <c r="C280" s="956">
        <v>4</v>
      </c>
      <c r="D280" s="957" t="s">
        <v>454</v>
      </c>
      <c r="E280" s="949">
        <f>'побудинковий звіт'!E289</f>
        <v>2767.8</v>
      </c>
      <c r="F280" s="950">
        <f>'побудинковий звіт'!AS289</f>
        <v>48325.910719370942</v>
      </c>
      <c r="G280" s="950">
        <f t="shared" si="38"/>
        <v>3516.5213478740784</v>
      </c>
      <c r="H280" s="950">
        <f t="shared" si="39"/>
        <v>-44809.389371496865</v>
      </c>
      <c r="I280" s="42">
        <f>'[2]поточний ремонт'!I280+'[1]поточний ремонт'!I280</f>
        <v>14</v>
      </c>
      <c r="J280" s="42">
        <f>'[2]поточний ремонт'!J280+'[1]поточний ремонт'!J280</f>
        <v>3206.1835422240815</v>
      </c>
      <c r="K280" s="958"/>
      <c r="L280" s="42">
        <f>'[2]поточний ремонт'!L280+'[1]поточний ремонт'!L280</f>
        <v>0</v>
      </c>
      <c r="M280" s="42">
        <f>'[2]поточний ремонт'!M280+'[1]поточний ремонт'!M280</f>
        <v>0</v>
      </c>
      <c r="N280" s="36"/>
      <c r="O280" s="42">
        <f>'[2]поточний ремонт'!O280+'[1]поточний ремонт'!O280</f>
        <v>0</v>
      </c>
      <c r="P280" s="42">
        <f>'[2]поточний ремонт'!P280+'[1]поточний ремонт'!P280</f>
        <v>0</v>
      </c>
      <c r="Q280" s="959"/>
      <c r="R280" s="42">
        <f>'[2]поточний ремонт'!R280+'[1]поточний ремонт'!R280</f>
        <v>0</v>
      </c>
      <c r="S280" s="42">
        <f>'[2]поточний ремонт'!S280+'[1]поточний ремонт'!S280</f>
        <v>0</v>
      </c>
      <c r="T280" s="960"/>
      <c r="U280" s="42">
        <f>'[2]поточний ремонт'!U280+'[1]поточний ремонт'!U280</f>
        <v>0</v>
      </c>
      <c r="V280" s="42">
        <f>'[2]поточний ремонт'!V280+'[1]поточний ремонт'!V280</f>
        <v>0</v>
      </c>
      <c r="W280" s="42">
        <f>'[2]поточний ремонт'!W280+'[1]поточний ремонт'!W280</f>
        <v>0</v>
      </c>
      <c r="X280" s="42">
        <f>'[2]поточний ремонт'!X280+'[1]поточний ремонт'!X280</f>
        <v>310.33780564999694</v>
      </c>
      <c r="Y280" s="42">
        <f>'[2]поточний ремонт'!Y280+'[1]поточний ремонт'!Y280</f>
        <v>0</v>
      </c>
      <c r="Z280" s="42">
        <f>'[2]поточний ремонт'!Z280+'[1]поточний ремонт'!Z280</f>
        <v>0</v>
      </c>
      <c r="AA280" s="42">
        <f>'[2]поточний ремонт'!AA280+'[1]поточний ремонт'!AA280</f>
        <v>0</v>
      </c>
      <c r="AB280" s="42">
        <f>'[2]поточний ремонт'!AB280+'[1]поточний ремонт'!AB280</f>
        <v>0</v>
      </c>
      <c r="AC280" s="42">
        <f>'[2]поточний ремонт'!AC280+'[1]поточний ремонт'!AC280</f>
        <v>0</v>
      </c>
      <c r="AD280" s="42">
        <f>'[2]поточний ремонт'!AD280+'[1]поточний ремонт'!AD280</f>
        <v>0</v>
      </c>
      <c r="AE280" s="42">
        <f>'[2]поточний ремонт'!AE280+'[1]поточний ремонт'!AE280</f>
        <v>1682.9741824152802</v>
      </c>
      <c r="AF280" s="42">
        <f>'[2]поточний ремонт'!AF280+'[1]поточний ремонт'!AF280</f>
        <v>0</v>
      </c>
      <c r="AG280" s="5"/>
      <c r="AH280" s="42">
        <f>'[2]поточний ремонт'!AH280+'[1]поточний ремонт'!AH280</f>
        <v>2415.691786237815</v>
      </c>
      <c r="AI280" s="42">
        <f>'[2]поточний ремонт'!AI280+'[1]поточний ремонт'!AI280</f>
        <v>0</v>
      </c>
      <c r="AJ280" s="5"/>
      <c r="AK280" s="42">
        <f>'[2]поточний ремонт'!AK280+'[1]поточний ремонт'!AK280</f>
        <v>1576.8670198316499</v>
      </c>
      <c r="AL280" s="42">
        <f>'[2]поточний ремонт'!AL280+'[1]поточний ремонт'!AL280</f>
        <v>0</v>
      </c>
      <c r="AM280" s="5"/>
      <c r="AN280" s="42">
        <f>'[2]поточний ремонт'!AN280+'[1]поточний ремонт'!AN280</f>
        <v>0</v>
      </c>
      <c r="AO280" s="42">
        <f>'[2]поточний ремонт'!AO280+'[1]поточний ремонт'!AO280</f>
        <v>0</v>
      </c>
      <c r="AP280" s="5"/>
      <c r="AQ280" s="42">
        <f>'[2]поточний ремонт'!AQ280+'[1]поточний ремонт'!AQ280</f>
        <v>110.27308797143304</v>
      </c>
      <c r="AR280" s="42">
        <f>'[2]поточний ремонт'!AR280+'[1]поточний ремонт'!AR280</f>
        <v>906.38731658514666</v>
      </c>
      <c r="AS280" s="5"/>
      <c r="AT280" s="42">
        <f>'[2]поточний ремонт'!AT280+'[1]поточний ремонт'!AT280</f>
        <v>1300.1787724061055</v>
      </c>
      <c r="AU280" s="42">
        <f>'[2]поточний ремонт'!AU280+'[1]поточний ремонт'!AU280</f>
        <v>0</v>
      </c>
      <c r="AV280" s="5"/>
      <c r="AW280" s="42">
        <f>'[2]поточний ремонт'!AW280+'[1]поточний ремонт'!AW280</f>
        <v>45.299534315704136</v>
      </c>
      <c r="AX280" s="42">
        <f>'[2]поточний ремонт'!AX280+'[1]поточний ремонт'!AX280</f>
        <v>3722.294962106077</v>
      </c>
      <c r="AY280" s="5"/>
      <c r="AZ280" s="42">
        <f t="shared" si="40"/>
        <v>7131.2843831779874</v>
      </c>
      <c r="BA280" s="42">
        <f t="shared" si="41"/>
        <v>4628.6822786912235</v>
      </c>
      <c r="BB280" s="58">
        <f t="shared" si="42"/>
        <v>-2502.6021044867639</v>
      </c>
      <c r="BD280" s="2">
        <v>2</v>
      </c>
      <c r="BF280" s="29">
        <v>3.7717511885390018</v>
      </c>
      <c r="BG280" s="318">
        <v>150000829</v>
      </c>
      <c r="BI280" s="104">
        <v>22.75</v>
      </c>
      <c r="BJ280" s="104">
        <f t="shared" ref="BJ280:BJ311" si="43">BI280*$BJ$10</f>
        <v>3.2000650499999996</v>
      </c>
      <c r="BK280" s="104">
        <v>26.237251859000001</v>
      </c>
      <c r="BL280" s="38"/>
      <c r="BM280" s="3"/>
      <c r="BN280" s="3">
        <v>0</v>
      </c>
      <c r="BP280" s="3"/>
      <c r="BQ280" s="3"/>
      <c r="BS280" s="42"/>
      <c r="BT280" s="42">
        <v>0</v>
      </c>
      <c r="BU280" s="958"/>
      <c r="BV280" s="41"/>
      <c r="BW280" s="42"/>
      <c r="BX280" s="36"/>
      <c r="BY280" s="76"/>
      <c r="BZ280" s="42">
        <v>0</v>
      </c>
      <c r="CA280" s="959"/>
      <c r="CB280" s="41"/>
      <c r="CC280" s="41">
        <v>0</v>
      </c>
      <c r="CD280" s="960"/>
      <c r="CE280" s="76">
        <v>0</v>
      </c>
      <c r="CF280" s="55"/>
      <c r="CG280" s="41">
        <v>0</v>
      </c>
      <c r="CH280" s="38">
        <v>26.237251859000001</v>
      </c>
      <c r="CI280" s="76">
        <v>0</v>
      </c>
      <c r="CJ280" s="55"/>
      <c r="CK280" s="955"/>
      <c r="CL280" s="950"/>
      <c r="CM280" s="955"/>
      <c r="CN280" s="950">
        <v>0</v>
      </c>
      <c r="CO280" s="76">
        <v>127.8489770672832</v>
      </c>
      <c r="CP280" s="42">
        <v>0</v>
      </c>
      <c r="CQ280" s="5"/>
      <c r="CR280" s="76">
        <v>162.09291515742171</v>
      </c>
      <c r="CS280" s="954">
        <v>0</v>
      </c>
      <c r="CT280" s="5"/>
      <c r="CU280" s="76">
        <v>143.23880842559623</v>
      </c>
      <c r="CV280" s="42">
        <v>0</v>
      </c>
      <c r="CW280" s="5"/>
      <c r="CX280" s="76">
        <v>0</v>
      </c>
      <c r="CY280" s="42">
        <v>0</v>
      </c>
      <c r="CZ280" s="5"/>
      <c r="DA280" s="76">
        <v>0</v>
      </c>
      <c r="DB280" s="42">
        <v>0</v>
      </c>
      <c r="DC280" s="5"/>
      <c r="DD280" s="76">
        <v>67.03938762595746</v>
      </c>
      <c r="DE280" s="42">
        <v>0</v>
      </c>
      <c r="DF280" s="5"/>
      <c r="DG280" s="76">
        <v>0</v>
      </c>
      <c r="DH280" s="42"/>
      <c r="DI280" s="5"/>
      <c r="DJ280" s="42">
        <v>500.22008827625859</v>
      </c>
      <c r="DK280" s="42">
        <f t="shared" ref="DK280:DK311" si="44">CP280+CS280+CV280+CY280+DB280+DE280+DH280</f>
        <v>0</v>
      </c>
      <c r="DL280" s="58">
        <f t="shared" ref="DL280:DL311" si="45">DK280-DJ280</f>
        <v>-500.22008827625859</v>
      </c>
      <c r="DM280" s="2">
        <v>2</v>
      </c>
    </row>
    <row r="281" spans="1:117" ht="24.9" customHeight="1" x14ac:dyDescent="0.3">
      <c r="A281" s="318">
        <v>150000797</v>
      </c>
      <c r="B281" s="44" t="s">
        <v>231</v>
      </c>
      <c r="C281" s="956">
        <v>4</v>
      </c>
      <c r="D281" s="957" t="s">
        <v>454</v>
      </c>
      <c r="E281" s="949">
        <f>'побудинковий звіт'!E290</f>
        <v>4580.1000000000004</v>
      </c>
      <c r="F281" s="950">
        <f>'побудинковий звіт'!AS290</f>
        <v>71664.246218218148</v>
      </c>
      <c r="G281" s="950">
        <f t="shared" si="38"/>
        <v>2395.6133424702598</v>
      </c>
      <c r="H281" s="950">
        <f t="shared" si="39"/>
        <v>-69268.632875747891</v>
      </c>
      <c r="I281" s="42">
        <f>'[2]поточний ремонт'!I281+'[1]поточний ремонт'!I281</f>
        <v>0</v>
      </c>
      <c r="J281" s="42">
        <f>'[2]поточний ремонт'!J281+'[1]поточний ремонт'!J281</f>
        <v>0</v>
      </c>
      <c r="K281" s="958"/>
      <c r="L281" s="42">
        <f>'[2]поточний ремонт'!L281+'[1]поточний ремонт'!L281</f>
        <v>0</v>
      </c>
      <c r="M281" s="42">
        <f>'[2]поточний ремонт'!M281+'[1]поточний ремонт'!M281</f>
        <v>0</v>
      </c>
      <c r="N281" s="36"/>
      <c r="O281" s="42">
        <f>'[2]поточний ремонт'!O281+'[1]поточний ремонт'!O281</f>
        <v>0</v>
      </c>
      <c r="P281" s="42">
        <f>'[2]поточний ремонт'!P281+'[1]поточний ремонт'!P281</f>
        <v>0</v>
      </c>
      <c r="Q281" s="959"/>
      <c r="R281" s="42">
        <f>'[2]поточний ремонт'!R281+'[1]поточний ремонт'!R281</f>
        <v>0</v>
      </c>
      <c r="S281" s="42">
        <f>'[2]поточний ремонт'!S281+'[1]поточний ремонт'!S281</f>
        <v>0</v>
      </c>
      <c r="T281" s="960"/>
      <c r="U281" s="42">
        <f>'[2]поточний ремонт'!U281+'[1]поточний ремонт'!U281</f>
        <v>0</v>
      </c>
      <c r="V281" s="42">
        <f>'[2]поточний ремонт'!V281+'[1]поточний ремонт'!V281</f>
        <v>0</v>
      </c>
      <c r="W281" s="42">
        <f>'[2]поточний ремонт'!W281+'[1]поточний ремонт'!W281</f>
        <v>0</v>
      </c>
      <c r="X281" s="42">
        <f>'[2]поточний ремонт'!X281+'[1]поточний ремонт'!X281</f>
        <v>615.49194685397197</v>
      </c>
      <c r="Y281" s="42">
        <f>'[2]поточний ремонт'!Y281+'[1]поточний ремонт'!Y281</f>
        <v>210.05844343273924</v>
      </c>
      <c r="Z281" s="42">
        <f>'[2]поточний ремонт'!Z281+'[1]поточний ремонт'!Z281</f>
        <v>0</v>
      </c>
      <c r="AA281" s="42">
        <f>'[2]поточний ремонт'!AA281+'[1]поточний ремонт'!AA281</f>
        <v>0</v>
      </c>
      <c r="AB281" s="42">
        <f>'[2]поточний ремонт'!AB281+'[1]поточний ремонт'!AB281</f>
        <v>1020.2040138881625</v>
      </c>
      <c r="AC281" s="42">
        <f>'[2]поточний ремонт'!AC281+'[1]поточний ремонт'!AC281</f>
        <v>0</v>
      </c>
      <c r="AD281" s="42">
        <f>'[2]поточний ремонт'!AD281+'[1]поточний ремонт'!AD281</f>
        <v>549.85893829538611</v>
      </c>
      <c r="AE281" s="42">
        <f>'[2]поточний ремонт'!AE281+'[1]поточний ремонт'!AE281</f>
        <v>2972.6874844488625</v>
      </c>
      <c r="AF281" s="42">
        <f>'[2]поточний ремонт'!AF281+'[1]поточний ремонт'!AF281</f>
        <v>0</v>
      </c>
      <c r="AG281" s="5"/>
      <c r="AH281" s="42">
        <f>'[2]поточний ремонт'!AH281+'[1]поточний ремонт'!AH281</f>
        <v>4809.0719073531582</v>
      </c>
      <c r="AI281" s="42">
        <f>'[2]поточний ремонт'!AI281+'[1]поточний ремонт'!AI281</f>
        <v>0</v>
      </c>
      <c r="AJ281" s="5"/>
      <c r="AK281" s="42">
        <f>'[2]поточний ремонт'!AK281+'[1]поточний ремонт'!AK281</f>
        <v>2858.491153852191</v>
      </c>
      <c r="AL281" s="42">
        <f>'[2]поточний ремонт'!AL281+'[1]поточний ремонт'!AL281</f>
        <v>378.07232362048796</v>
      </c>
      <c r="AM281" s="5"/>
      <c r="AN281" s="42">
        <f>'[2]поточний ремонт'!AN281+'[1]поточний ремонт'!AN281</f>
        <v>0</v>
      </c>
      <c r="AO281" s="42">
        <f>'[2]поточний ремонт'!AO281+'[1]поточний ремонт'!AO281</f>
        <v>0</v>
      </c>
      <c r="AP281" s="5"/>
      <c r="AQ281" s="42">
        <f>'[2]поточний ремонт'!AQ281+'[1]поточний ремонт'!AQ281</f>
        <v>980.1933791661113</v>
      </c>
      <c r="AR281" s="42">
        <f>'[2]поточний ремонт'!AR281+'[1]поточний ремонт'!AR281</f>
        <v>0</v>
      </c>
      <c r="AS281" s="5"/>
      <c r="AT281" s="42">
        <f>'[2]поточний ремонт'!AT281+'[1]поточний ремонт'!AT281</f>
        <v>3455.9225470415881</v>
      </c>
      <c r="AU281" s="42">
        <f>'[2]поточний ремонт'!AU281+'[1]поточний ремонт'!AU281</f>
        <v>366.48772601357666</v>
      </c>
      <c r="AV281" s="5"/>
      <c r="AW281" s="42">
        <f>'[2]поточний ремонт'!AW281+'[1]поточний ремонт'!AW281</f>
        <v>59.886988233157339</v>
      </c>
      <c r="AX281" s="42">
        <f>'[2]поточний ремонт'!AX281+'[1]поточний ремонт'!AX281</f>
        <v>0</v>
      </c>
      <c r="AY281" s="5"/>
      <c r="AZ281" s="42">
        <f t="shared" si="40"/>
        <v>15136.253460095068</v>
      </c>
      <c r="BA281" s="42">
        <f t="shared" si="41"/>
        <v>744.56004963406463</v>
      </c>
      <c r="BB281" s="58">
        <f t="shared" si="42"/>
        <v>-14391.693410461003</v>
      </c>
      <c r="BD281" s="2">
        <v>2</v>
      </c>
      <c r="BF281" s="29">
        <v>6.6366404219340023</v>
      </c>
      <c r="BG281" s="318">
        <v>150000797</v>
      </c>
      <c r="BI281" s="104">
        <v>45.12</v>
      </c>
      <c r="BJ281" s="104">
        <f t="shared" si="43"/>
        <v>6.3466784639999991</v>
      </c>
      <c r="BK281" s="104">
        <v>52.036255115519999</v>
      </c>
      <c r="BL281" s="38"/>
      <c r="BM281" s="3"/>
      <c r="BN281" s="3">
        <v>0</v>
      </c>
      <c r="BP281" s="3"/>
      <c r="BQ281" s="3"/>
      <c r="BS281" s="42"/>
      <c r="BT281" s="42">
        <v>0</v>
      </c>
      <c r="BU281" s="958"/>
      <c r="BV281" s="41"/>
      <c r="BW281" s="42"/>
      <c r="BX281" s="36"/>
      <c r="BY281" s="76"/>
      <c r="BZ281" s="42">
        <v>0</v>
      </c>
      <c r="CA281" s="959"/>
      <c r="CB281" s="41"/>
      <c r="CC281" s="41">
        <v>0</v>
      </c>
      <c r="CD281" s="960"/>
      <c r="CE281" s="76">
        <v>0</v>
      </c>
      <c r="CF281" s="55"/>
      <c r="CG281" s="41">
        <v>0</v>
      </c>
      <c r="CH281" s="38">
        <v>52.036255115519999</v>
      </c>
      <c r="CI281" s="76">
        <v>0</v>
      </c>
      <c r="CJ281" s="55"/>
      <c r="CK281" s="955"/>
      <c r="CL281" s="950"/>
      <c r="CM281" s="955"/>
      <c r="CN281" s="950">
        <v>0</v>
      </c>
      <c r="CO281" s="76">
        <v>255.09182733340506</v>
      </c>
      <c r="CP281" s="42">
        <v>0</v>
      </c>
      <c r="CQ281" s="5"/>
      <c r="CR281" s="76">
        <v>397.34179386311524</v>
      </c>
      <c r="CS281" s="954">
        <v>0</v>
      </c>
      <c r="CT281" s="5"/>
      <c r="CU281" s="76">
        <v>245.16954845021871</v>
      </c>
      <c r="CV281" s="42">
        <v>0</v>
      </c>
      <c r="CW281" s="5"/>
      <c r="CX281" s="76">
        <v>0</v>
      </c>
      <c r="CY281" s="42">
        <v>0</v>
      </c>
      <c r="CZ281" s="5"/>
      <c r="DA281" s="76">
        <v>0</v>
      </c>
      <c r="DB281" s="42">
        <v>0</v>
      </c>
      <c r="DC281" s="5"/>
      <c r="DD281" s="76">
        <v>251.89650421883385</v>
      </c>
      <c r="DE281" s="42">
        <v>0</v>
      </c>
      <c r="DF281" s="5"/>
      <c r="DG281" s="76">
        <v>0</v>
      </c>
      <c r="DH281" s="42"/>
      <c r="DI281" s="5"/>
      <c r="DJ281" s="42">
        <v>1149.499673865573</v>
      </c>
      <c r="DK281" s="42">
        <f t="shared" si="44"/>
        <v>0</v>
      </c>
      <c r="DL281" s="58">
        <f t="shared" si="45"/>
        <v>-1149.499673865573</v>
      </c>
      <c r="DM281" s="2">
        <v>2</v>
      </c>
    </row>
    <row r="282" spans="1:117" ht="24.9" customHeight="1" x14ac:dyDescent="0.3">
      <c r="A282" s="318">
        <v>150000709</v>
      </c>
      <c r="B282" s="44" t="s">
        <v>1835</v>
      </c>
      <c r="C282" s="956">
        <v>1</v>
      </c>
      <c r="D282" s="957" t="s">
        <v>454</v>
      </c>
      <c r="E282" s="949">
        <f>'побудинковий звіт'!E291</f>
        <v>6210.5999999999995</v>
      </c>
      <c r="F282" s="950">
        <f>'побудинковий звіт'!AS291</f>
        <v>79552.168804587287</v>
      </c>
      <c r="G282" s="950">
        <f t="shared" si="38"/>
        <v>0</v>
      </c>
      <c r="H282" s="950">
        <f t="shared" si="39"/>
        <v>-79552.168804587287</v>
      </c>
      <c r="I282" s="42">
        <f>'[2]поточний ремонт'!I282+'[1]поточний ремонт'!I282</f>
        <v>0</v>
      </c>
      <c r="J282" s="42">
        <f>'[2]поточний ремонт'!J282+'[1]поточний ремонт'!J282</f>
        <v>0</v>
      </c>
      <c r="K282" s="958"/>
      <c r="L282" s="42">
        <f>'[2]поточний ремонт'!L282+'[1]поточний ремонт'!L282</f>
        <v>0</v>
      </c>
      <c r="M282" s="42">
        <f>'[2]поточний ремонт'!M282+'[1]поточний ремонт'!M282</f>
        <v>0</v>
      </c>
      <c r="N282" s="36"/>
      <c r="O282" s="42">
        <f>'[2]поточний ремонт'!O282+'[1]поточний ремонт'!O282</f>
        <v>0</v>
      </c>
      <c r="P282" s="42">
        <f>'[2]поточний ремонт'!P282+'[1]поточний ремонт'!P282</f>
        <v>0</v>
      </c>
      <c r="Q282" s="959"/>
      <c r="R282" s="42">
        <f>'[2]поточний ремонт'!R282+'[1]поточний ремонт'!R282</f>
        <v>0</v>
      </c>
      <c r="S282" s="42">
        <f>'[2]поточний ремонт'!S282+'[1]поточний ремонт'!S282</f>
        <v>0</v>
      </c>
      <c r="T282" s="960"/>
      <c r="U282" s="42">
        <f>'[2]поточний ремонт'!U282+'[1]поточний ремонт'!U282</f>
        <v>0</v>
      </c>
      <c r="V282" s="42">
        <f>'[2]поточний ремонт'!V282+'[1]поточний ремонт'!V282</f>
        <v>0</v>
      </c>
      <c r="W282" s="42">
        <f>'[2]поточний ремонт'!W282+'[1]поточний ремонт'!W282</f>
        <v>0</v>
      </c>
      <c r="X282" s="42">
        <f>'[2]поточний ремонт'!X282+'[1]поточний ремонт'!X282</f>
        <v>0</v>
      </c>
      <c r="Y282" s="42">
        <f>'[2]поточний ремонт'!Y282+'[1]поточний ремонт'!Y282</f>
        <v>0</v>
      </c>
      <c r="Z282" s="42">
        <f>'[2]поточний ремонт'!Z282+'[1]поточний ремонт'!Z282</f>
        <v>0</v>
      </c>
      <c r="AA282" s="42">
        <f>'[2]поточний ремонт'!AA282+'[1]поточний ремонт'!AA282</f>
        <v>0</v>
      </c>
      <c r="AB282" s="42">
        <f>'[2]поточний ремонт'!AB282+'[1]поточний ремонт'!AB282</f>
        <v>0</v>
      </c>
      <c r="AC282" s="42">
        <f>'[2]поточний ремонт'!AC282+'[1]поточний ремонт'!AC282</f>
        <v>0</v>
      </c>
      <c r="AD282" s="42">
        <f>'[2]поточний ремонт'!AD282+'[1]поточний ремонт'!AD282</f>
        <v>0</v>
      </c>
      <c r="AE282" s="42">
        <f>'[2]поточний ремонт'!AE282+'[1]поточний ремонт'!AE282</f>
        <v>2094.9763777735479</v>
      </c>
      <c r="AF282" s="42">
        <f>'[2]поточний ремонт'!AF282+'[1]поточний ремонт'!AF282</f>
        <v>0</v>
      </c>
      <c r="AG282" s="5"/>
      <c r="AH282" s="42">
        <f>'[2]поточний ремонт'!AH282+'[1]поточний ремонт'!AH282</f>
        <v>3414.3524278142531</v>
      </c>
      <c r="AI282" s="42">
        <f>'[2]поточний ремонт'!AI282+'[1]поточний ремонт'!AI282</f>
        <v>0</v>
      </c>
      <c r="AJ282" s="5"/>
      <c r="AK282" s="42">
        <f>'[2]поточний ремонт'!AK282+'[1]поточний ремонт'!AK282</f>
        <v>1990.1201540664147</v>
      </c>
      <c r="AL282" s="42">
        <f>'[2]поточний ремонт'!AL282+'[1]поточний ремонт'!AL282</f>
        <v>0</v>
      </c>
      <c r="AM282" s="5"/>
      <c r="AN282" s="42">
        <f>'[2]поточний ремонт'!AN282+'[1]поточний ремонт'!AN282</f>
        <v>0</v>
      </c>
      <c r="AO282" s="42">
        <f>'[2]поточний ремонт'!AO282+'[1]поточний ремонт'!AO282</f>
        <v>0</v>
      </c>
      <c r="AP282" s="5"/>
      <c r="AQ282" s="42">
        <f>'[2]поточний ремонт'!AQ282+'[1]поточний ремонт'!AQ282</f>
        <v>1185.8412348117029</v>
      </c>
      <c r="AR282" s="42">
        <f>'[2]поточний ремонт'!AR282+'[1]поточний ремонт'!AR282</f>
        <v>0</v>
      </c>
      <c r="AS282" s="5"/>
      <c r="AT282" s="42">
        <f>'[2]поточний ремонт'!AT282+'[1]поточний ремонт'!AT282</f>
        <v>1900.4772546094782</v>
      </c>
      <c r="AU282" s="42">
        <f>'[2]поточний ремонт'!AU282+'[1]поточний ремонт'!AU282</f>
        <v>0</v>
      </c>
      <c r="AV282" s="5"/>
      <c r="AW282" s="42">
        <f>'[2]поточний ремонт'!AW282+'[1]поточний ремонт'!AW282</f>
        <v>0</v>
      </c>
      <c r="AX282" s="42">
        <f>'[2]поточний ремонт'!AX282+'[1]поточний ремонт'!AX282</f>
        <v>1774.8169317575841</v>
      </c>
      <c r="AY282" s="5"/>
      <c r="AZ282" s="42">
        <f t="shared" si="40"/>
        <v>10585.767449075396</v>
      </c>
      <c r="BA282" s="42">
        <f t="shared" si="41"/>
        <v>1774.8169317575841</v>
      </c>
      <c r="BB282" s="58">
        <f t="shared" si="42"/>
        <v>-8810.9505173178113</v>
      </c>
      <c r="BD282" s="2">
        <v>3</v>
      </c>
      <c r="BF282" s="29">
        <v>0</v>
      </c>
      <c r="BG282" s="318">
        <v>150000709</v>
      </c>
      <c r="BI282" s="104">
        <v>0</v>
      </c>
      <c r="BJ282" s="104">
        <f t="shared" si="43"/>
        <v>0</v>
      </c>
      <c r="BK282" s="104">
        <v>0</v>
      </c>
      <c r="BL282" s="38"/>
      <c r="BM282" s="3"/>
      <c r="BN282" s="3">
        <v>0</v>
      </c>
      <c r="BP282" s="3"/>
      <c r="BQ282" s="3"/>
      <c r="BS282" s="42"/>
      <c r="BT282" s="42">
        <v>0</v>
      </c>
      <c r="BU282" s="958"/>
      <c r="BV282" s="41"/>
      <c r="BW282" s="42"/>
      <c r="BX282" s="36"/>
      <c r="BY282" s="76"/>
      <c r="BZ282" s="42">
        <v>0</v>
      </c>
      <c r="CA282" s="959"/>
      <c r="CB282" s="41"/>
      <c r="CC282" s="41">
        <v>0</v>
      </c>
      <c r="CD282" s="960"/>
      <c r="CE282" s="76">
        <v>0</v>
      </c>
      <c r="CF282" s="55"/>
      <c r="CG282" s="41">
        <v>0</v>
      </c>
      <c r="CH282" s="38">
        <v>0</v>
      </c>
      <c r="CI282" s="76">
        <v>0</v>
      </c>
      <c r="CJ282" s="55"/>
      <c r="CK282" s="955"/>
      <c r="CL282" s="950"/>
      <c r="CM282" s="955"/>
      <c r="CN282" s="950">
        <v>0</v>
      </c>
      <c r="CO282" s="76">
        <v>0</v>
      </c>
      <c r="CP282" s="42">
        <v>0</v>
      </c>
      <c r="CQ282" s="5"/>
      <c r="CR282" s="76">
        <v>0</v>
      </c>
      <c r="CS282" s="954">
        <v>0</v>
      </c>
      <c r="CT282" s="5"/>
      <c r="CU282" s="76">
        <v>0</v>
      </c>
      <c r="CV282" s="42">
        <v>0</v>
      </c>
      <c r="CW282" s="5"/>
      <c r="CX282" s="76">
        <v>0</v>
      </c>
      <c r="CY282" s="42">
        <v>0</v>
      </c>
      <c r="CZ282" s="5"/>
      <c r="DA282" s="76">
        <v>0</v>
      </c>
      <c r="DB282" s="42">
        <v>0</v>
      </c>
      <c r="DC282" s="5"/>
      <c r="DD282" s="76">
        <v>0</v>
      </c>
      <c r="DE282" s="42">
        <v>0</v>
      </c>
      <c r="DF282" s="5"/>
      <c r="DG282" s="76">
        <v>0</v>
      </c>
      <c r="DH282" s="42"/>
      <c r="DI282" s="5"/>
      <c r="DJ282" s="42">
        <v>0</v>
      </c>
      <c r="DK282" s="42">
        <f t="shared" si="44"/>
        <v>0</v>
      </c>
      <c r="DL282" s="58">
        <f t="shared" si="45"/>
        <v>0</v>
      </c>
      <c r="DM282" s="2">
        <v>3</v>
      </c>
    </row>
    <row r="283" spans="1:117" ht="24.9" customHeight="1" x14ac:dyDescent="0.3">
      <c r="A283" s="318">
        <v>150000706</v>
      </c>
      <c r="B283" s="44" t="s">
        <v>1836</v>
      </c>
      <c r="C283" s="956">
        <v>1</v>
      </c>
      <c r="D283" s="957" t="s">
        <v>454</v>
      </c>
      <c r="E283" s="949">
        <f>'побудинковий звіт'!E292</f>
        <v>3177.92</v>
      </c>
      <c r="F283" s="950">
        <f>'побудинковий звіт'!AS292</f>
        <v>50635.271759395764</v>
      </c>
      <c r="G283" s="950">
        <f t="shared" si="38"/>
        <v>8796.4145347751128</v>
      </c>
      <c r="H283" s="950">
        <f t="shared" si="39"/>
        <v>-41838.857224620653</v>
      </c>
      <c r="I283" s="42">
        <f>'[2]поточний ремонт'!I283+'[1]поточний ремонт'!I283</f>
        <v>27.360000000000003</v>
      </c>
      <c r="J283" s="42">
        <f>'[2]поточний ремонт'!J283+'[1]поточний ремонт'!J283</f>
        <v>8612.2415412333448</v>
      </c>
      <c r="K283" s="958"/>
      <c r="L283" s="42">
        <f>'[2]поточний ремонт'!L283+'[1]поточний ремонт'!L283</f>
        <v>0</v>
      </c>
      <c r="M283" s="42">
        <f>'[2]поточний ремонт'!M283+'[1]поточний ремонт'!M283</f>
        <v>0</v>
      </c>
      <c r="N283" s="36"/>
      <c r="O283" s="42">
        <f>'[2]поточний ремонт'!O283+'[1]поточний ремонт'!O283</f>
        <v>0</v>
      </c>
      <c r="P283" s="42">
        <f>'[2]поточний ремонт'!P283+'[1]поточний ремонт'!P283</f>
        <v>0</v>
      </c>
      <c r="Q283" s="959"/>
      <c r="R283" s="42">
        <f>'[2]поточний ремонт'!R283+'[1]поточний ремонт'!R283</f>
        <v>0</v>
      </c>
      <c r="S283" s="42">
        <f>'[2]поточний ремонт'!S283+'[1]поточний ремонт'!S283</f>
        <v>0</v>
      </c>
      <c r="T283" s="960"/>
      <c r="U283" s="42">
        <f>'[2]поточний ремонт'!U283+'[1]поточний ремонт'!U283</f>
        <v>0</v>
      </c>
      <c r="V283" s="42">
        <f>'[2]поточний ремонт'!V283+'[1]поточний ремонт'!V283</f>
        <v>0</v>
      </c>
      <c r="W283" s="42">
        <f>'[2]поточний ремонт'!W283+'[1]поточний ремонт'!W283</f>
        <v>0</v>
      </c>
      <c r="X283" s="42">
        <f>'[2]поточний ремонт'!X283+'[1]поточний ремонт'!X283</f>
        <v>0</v>
      </c>
      <c r="Y283" s="42">
        <f>'[2]поточний ремонт'!Y283+'[1]поточний ремонт'!Y283</f>
        <v>0</v>
      </c>
      <c r="Z283" s="42">
        <f>'[2]поточний ремонт'!Z283+'[1]поточний ремонт'!Z283</f>
        <v>0</v>
      </c>
      <c r="AA283" s="42">
        <f>'[2]поточний ремонт'!AA283+'[1]поточний ремонт'!AA283</f>
        <v>0</v>
      </c>
      <c r="AB283" s="42">
        <f>'[2]поточний ремонт'!AB283+'[1]поточний ремонт'!AB283</f>
        <v>0</v>
      </c>
      <c r="AC283" s="42">
        <f>'[2]поточний ремонт'!AC283+'[1]поточний ремонт'!AC283</f>
        <v>0</v>
      </c>
      <c r="AD283" s="42">
        <f>'[2]поточний ремонт'!AD283+'[1]поточний ремонт'!AD283</f>
        <v>184.17299354176777</v>
      </c>
      <c r="AE283" s="42">
        <f>'[2]поточний ремонт'!AE283+'[1]поточний ремонт'!AE283</f>
        <v>1281.309264962792</v>
      </c>
      <c r="AF283" s="42">
        <f>'[2]поточний ремонт'!AF283+'[1]поточний ремонт'!AF283</f>
        <v>0</v>
      </c>
      <c r="AG283" s="5"/>
      <c r="AH283" s="42">
        <f>'[2]поточний ремонт'!AH283+'[1]поточний ремонт'!AH283</f>
        <v>1716.1153370067982</v>
      </c>
      <c r="AI283" s="42">
        <f>'[2]поточний ремонт'!AI283+'[1]поточний ремонт'!AI283</f>
        <v>0</v>
      </c>
      <c r="AJ283" s="5"/>
      <c r="AK283" s="42">
        <f>'[2]поточний ремонт'!AK283+'[1]поточний ремонт'!AK283</f>
        <v>1077.7004887555609</v>
      </c>
      <c r="AL283" s="42">
        <f>'[2]поточний ремонт'!AL283+'[1]поточний ремонт'!AL283</f>
        <v>0</v>
      </c>
      <c r="AM283" s="5"/>
      <c r="AN283" s="42">
        <f>'[2]поточний ремонт'!AN283+'[1]поточний ремонт'!AN283</f>
        <v>0</v>
      </c>
      <c r="AO283" s="42">
        <f>'[2]поточний ремонт'!AO283+'[1]поточний ремонт'!AO283</f>
        <v>0</v>
      </c>
      <c r="AP283" s="5"/>
      <c r="AQ283" s="42">
        <f>'[2]поточний ремонт'!AQ283+'[1]поточний ремонт'!AQ283</f>
        <v>0</v>
      </c>
      <c r="AR283" s="42">
        <f>'[2]поточний ремонт'!AR283+'[1]поточний ремонт'!AR283</f>
        <v>0</v>
      </c>
      <c r="AS283" s="5"/>
      <c r="AT283" s="42">
        <f>'[2]поточний ремонт'!AT283+'[1]поточний ремонт'!AT283</f>
        <v>701.93906543693743</v>
      </c>
      <c r="AU283" s="42">
        <f>'[2]поточний ремонт'!AU283+'[1]поточний ремонт'!AU283</f>
        <v>0</v>
      </c>
      <c r="AV283" s="5"/>
      <c r="AW283" s="42">
        <f>'[2]поточний ремонт'!AW283+'[1]поточний ремонт'!AW283</f>
        <v>0</v>
      </c>
      <c r="AX283" s="42">
        <f>'[2]поточний ремонт'!AX283+'[1]поточний ремонт'!AX283</f>
        <v>0</v>
      </c>
      <c r="AY283" s="5"/>
      <c r="AZ283" s="42">
        <f t="shared" si="40"/>
        <v>4777.0641561620887</v>
      </c>
      <c r="BA283" s="42">
        <f t="shared" si="41"/>
        <v>0</v>
      </c>
      <c r="BB283" s="58">
        <f t="shared" si="42"/>
        <v>-4777.0641561620887</v>
      </c>
      <c r="BD283" s="2">
        <v>3</v>
      </c>
      <c r="BF283" s="29">
        <v>0</v>
      </c>
      <c r="BG283" s="318">
        <v>150000706</v>
      </c>
      <c r="BI283" s="104">
        <v>0</v>
      </c>
      <c r="BJ283" s="104">
        <f t="shared" si="43"/>
        <v>0</v>
      </c>
      <c r="BK283" s="104">
        <v>0</v>
      </c>
      <c r="BL283" s="38"/>
      <c r="BM283" s="3"/>
      <c r="BN283" s="3">
        <v>0</v>
      </c>
      <c r="BP283" s="3"/>
      <c r="BQ283" s="3"/>
      <c r="BS283" s="42"/>
      <c r="BT283" s="42">
        <v>0</v>
      </c>
      <c r="BU283" s="958"/>
      <c r="BV283" s="41"/>
      <c r="BW283" s="42"/>
      <c r="BX283" s="36"/>
      <c r="BY283" s="76"/>
      <c r="BZ283" s="42">
        <v>0</v>
      </c>
      <c r="CA283" s="959"/>
      <c r="CB283" s="41"/>
      <c r="CC283" s="41">
        <v>0</v>
      </c>
      <c r="CD283" s="960"/>
      <c r="CE283" s="76">
        <v>0</v>
      </c>
      <c r="CF283" s="55"/>
      <c r="CG283" s="41">
        <v>0</v>
      </c>
      <c r="CH283" s="38">
        <v>0</v>
      </c>
      <c r="CI283" s="76">
        <v>0</v>
      </c>
      <c r="CJ283" s="55"/>
      <c r="CK283" s="955"/>
      <c r="CL283" s="950"/>
      <c r="CM283" s="955"/>
      <c r="CN283" s="950">
        <v>0</v>
      </c>
      <c r="CO283" s="76">
        <v>0</v>
      </c>
      <c r="CP283" s="42">
        <v>0</v>
      </c>
      <c r="CQ283" s="5"/>
      <c r="CR283" s="76">
        <v>0</v>
      </c>
      <c r="CS283" s="954">
        <v>0</v>
      </c>
      <c r="CT283" s="5"/>
      <c r="CU283" s="76">
        <v>0</v>
      </c>
      <c r="CV283" s="42">
        <v>0</v>
      </c>
      <c r="CW283" s="5"/>
      <c r="CX283" s="76">
        <v>0</v>
      </c>
      <c r="CY283" s="42">
        <v>0</v>
      </c>
      <c r="CZ283" s="5"/>
      <c r="DA283" s="76">
        <v>0</v>
      </c>
      <c r="DB283" s="42">
        <v>0</v>
      </c>
      <c r="DC283" s="5"/>
      <c r="DD283" s="76">
        <v>0</v>
      </c>
      <c r="DE283" s="42">
        <v>0</v>
      </c>
      <c r="DF283" s="5"/>
      <c r="DG283" s="76">
        <v>0</v>
      </c>
      <c r="DH283" s="42"/>
      <c r="DI283" s="5"/>
      <c r="DJ283" s="42">
        <v>0</v>
      </c>
      <c r="DK283" s="42">
        <f t="shared" si="44"/>
        <v>0</v>
      </c>
      <c r="DL283" s="58">
        <f t="shared" si="45"/>
        <v>0</v>
      </c>
      <c r="DM283" s="2">
        <v>3</v>
      </c>
    </row>
    <row r="284" spans="1:117" ht="24.9" customHeight="1" x14ac:dyDescent="0.3">
      <c r="A284" s="318">
        <v>150000707</v>
      </c>
      <c r="B284" s="44" t="s">
        <v>1837</v>
      </c>
      <c r="C284" s="956">
        <v>1</v>
      </c>
      <c r="D284" s="957" t="s">
        <v>454</v>
      </c>
      <c r="E284" s="949">
        <f>'побудинковий звіт'!E293</f>
        <v>3167.7000000000003</v>
      </c>
      <c r="F284" s="950">
        <f>'побудинковий звіт'!AS293</f>
        <v>46407.846992082406</v>
      </c>
      <c r="G284" s="950">
        <f t="shared" si="38"/>
        <v>2529.2765410601078</v>
      </c>
      <c r="H284" s="950">
        <f t="shared" si="39"/>
        <v>-43878.5704510223</v>
      </c>
      <c r="I284" s="42">
        <f>'[2]поточний ремонт'!I284+'[1]поточний ремонт'!I284</f>
        <v>8.5399999999999991</v>
      </c>
      <c r="J284" s="42">
        <f>'[2]поточний ремонт'!J284+'[1]поточний ремонт'!J284</f>
        <v>2529.2765410601078</v>
      </c>
      <c r="K284" s="958"/>
      <c r="L284" s="42">
        <f>'[2]поточний ремонт'!L284+'[1]поточний ремонт'!L284</f>
        <v>0</v>
      </c>
      <c r="M284" s="42">
        <f>'[2]поточний ремонт'!M284+'[1]поточний ремонт'!M284</f>
        <v>0</v>
      </c>
      <c r="N284" s="36"/>
      <c r="O284" s="42">
        <f>'[2]поточний ремонт'!O284+'[1]поточний ремонт'!O284</f>
        <v>0</v>
      </c>
      <c r="P284" s="42">
        <f>'[2]поточний ремонт'!P284+'[1]поточний ремонт'!P284</f>
        <v>0</v>
      </c>
      <c r="Q284" s="959"/>
      <c r="R284" s="42">
        <f>'[2]поточний ремонт'!R284+'[1]поточний ремонт'!R284</f>
        <v>0</v>
      </c>
      <c r="S284" s="42">
        <f>'[2]поточний ремонт'!S284+'[1]поточний ремонт'!S284</f>
        <v>0</v>
      </c>
      <c r="T284" s="960"/>
      <c r="U284" s="42">
        <f>'[2]поточний ремонт'!U284+'[1]поточний ремонт'!U284</f>
        <v>0</v>
      </c>
      <c r="V284" s="42">
        <f>'[2]поточний ремонт'!V284+'[1]поточний ремонт'!V284</f>
        <v>0</v>
      </c>
      <c r="W284" s="42">
        <f>'[2]поточний ремонт'!W284+'[1]поточний ремонт'!W284</f>
        <v>0</v>
      </c>
      <c r="X284" s="42">
        <f>'[2]поточний ремонт'!X284+'[1]поточний ремонт'!X284</f>
        <v>0</v>
      </c>
      <c r="Y284" s="42">
        <f>'[2]поточний ремонт'!Y284+'[1]поточний ремонт'!Y284</f>
        <v>0</v>
      </c>
      <c r="Z284" s="42">
        <f>'[2]поточний ремонт'!Z284+'[1]поточний ремонт'!Z284</f>
        <v>0</v>
      </c>
      <c r="AA284" s="42">
        <f>'[2]поточний ремонт'!AA284+'[1]поточний ремонт'!AA284</f>
        <v>0</v>
      </c>
      <c r="AB284" s="42">
        <f>'[2]поточний ремонт'!AB284+'[1]поточний ремонт'!AB284</f>
        <v>0</v>
      </c>
      <c r="AC284" s="42">
        <f>'[2]поточний ремонт'!AC284+'[1]поточний ремонт'!AC284</f>
        <v>0</v>
      </c>
      <c r="AD284" s="42">
        <f>'[2]поточний ремонт'!AD284+'[1]поточний ремонт'!AD284</f>
        <v>0</v>
      </c>
      <c r="AE284" s="42">
        <f>'[2]поточний ремонт'!AE284+'[1]поточний ремонт'!AE284</f>
        <v>1273.6427380794116</v>
      </c>
      <c r="AF284" s="42">
        <f>'[2]поточний ремонт'!AF284+'[1]поточний ремонт'!AF284</f>
        <v>0</v>
      </c>
      <c r="AG284" s="5"/>
      <c r="AH284" s="42">
        <f>'[2]поточний ремонт'!AH284+'[1]поточний ремонт'!AH284</f>
        <v>1716.1153370067982</v>
      </c>
      <c r="AI284" s="42">
        <f>'[2]поточний ремонт'!AI284+'[1]поточний ремонт'!AI284</f>
        <v>0</v>
      </c>
      <c r="AJ284" s="5"/>
      <c r="AK284" s="42">
        <f>'[2]поточний ремонт'!AK284+'[1]поточний ремонт'!AK284</f>
        <v>1086.3608679074032</v>
      </c>
      <c r="AL284" s="42">
        <f>'[2]поточний ремонт'!AL284+'[1]поточний ремонт'!AL284</f>
        <v>0</v>
      </c>
      <c r="AM284" s="5"/>
      <c r="AN284" s="42">
        <f>'[2]поточний ремонт'!AN284+'[1]поточний ремонт'!AN284</f>
        <v>0</v>
      </c>
      <c r="AO284" s="42">
        <f>'[2]поточний ремонт'!AO284+'[1]поточний ремонт'!AO284</f>
        <v>0</v>
      </c>
      <c r="AP284" s="5"/>
      <c r="AQ284" s="42">
        <f>'[2]поточний ремонт'!AQ284+'[1]поточний ремонт'!AQ284</f>
        <v>0</v>
      </c>
      <c r="AR284" s="42">
        <f>'[2]поточний ремонт'!AR284+'[1]поточний ремонт'!AR284</f>
        <v>0</v>
      </c>
      <c r="AS284" s="5"/>
      <c r="AT284" s="42">
        <f>'[2]поточний ремонт'!AT284+'[1]поточний ремонт'!AT284</f>
        <v>702.18733583365986</v>
      </c>
      <c r="AU284" s="42">
        <f>'[2]поточний ремонт'!AU284+'[1]поточний ремонт'!AU284</f>
        <v>0</v>
      </c>
      <c r="AV284" s="5"/>
      <c r="AW284" s="42">
        <f>'[2]поточний ремонт'!AW284+'[1]поточний ремонт'!AW284</f>
        <v>0</v>
      </c>
      <c r="AX284" s="42">
        <f>'[2]поточний ремонт'!AX284+'[1]поточний ремонт'!AX284</f>
        <v>511.88292117934719</v>
      </c>
      <c r="AY284" s="5"/>
      <c r="AZ284" s="42">
        <f t="shared" si="40"/>
        <v>4778.3062788272728</v>
      </c>
      <c r="BA284" s="42">
        <f t="shared" si="41"/>
        <v>511.88292117934719</v>
      </c>
      <c r="BB284" s="58">
        <f t="shared" si="42"/>
        <v>-4266.4233576479255</v>
      </c>
      <c r="BD284" s="2">
        <v>3</v>
      </c>
      <c r="BF284" s="29">
        <v>0</v>
      </c>
      <c r="BG284" s="318">
        <v>150000707</v>
      </c>
      <c r="BI284" s="104">
        <v>0</v>
      </c>
      <c r="BJ284" s="104">
        <f t="shared" si="43"/>
        <v>0</v>
      </c>
      <c r="BK284" s="104">
        <v>0</v>
      </c>
      <c r="BL284" s="38"/>
      <c r="BM284" s="3"/>
      <c r="BN284" s="3">
        <v>0</v>
      </c>
      <c r="BP284" s="3"/>
      <c r="BQ284" s="3"/>
      <c r="BS284" s="42"/>
      <c r="BT284" s="42">
        <v>0</v>
      </c>
      <c r="BU284" s="958"/>
      <c r="BV284" s="41"/>
      <c r="BW284" s="42"/>
      <c r="BX284" s="36"/>
      <c r="BY284" s="76"/>
      <c r="BZ284" s="42">
        <v>0</v>
      </c>
      <c r="CA284" s="959"/>
      <c r="CB284" s="41"/>
      <c r="CC284" s="41">
        <v>0</v>
      </c>
      <c r="CD284" s="960"/>
      <c r="CE284" s="76">
        <v>0</v>
      </c>
      <c r="CF284" s="55"/>
      <c r="CG284" s="41">
        <v>0</v>
      </c>
      <c r="CH284" s="38">
        <v>0</v>
      </c>
      <c r="CI284" s="76">
        <v>0</v>
      </c>
      <c r="CJ284" s="55"/>
      <c r="CK284" s="955"/>
      <c r="CL284" s="950"/>
      <c r="CM284" s="955"/>
      <c r="CN284" s="950">
        <v>0</v>
      </c>
      <c r="CO284" s="76">
        <v>0</v>
      </c>
      <c r="CP284" s="42">
        <v>0</v>
      </c>
      <c r="CQ284" s="5"/>
      <c r="CR284" s="76">
        <v>0</v>
      </c>
      <c r="CS284" s="954">
        <v>0</v>
      </c>
      <c r="CT284" s="5"/>
      <c r="CU284" s="76">
        <v>0</v>
      </c>
      <c r="CV284" s="42">
        <v>0</v>
      </c>
      <c r="CW284" s="5"/>
      <c r="CX284" s="76">
        <v>0</v>
      </c>
      <c r="CY284" s="42">
        <v>0</v>
      </c>
      <c r="CZ284" s="5"/>
      <c r="DA284" s="76">
        <v>0</v>
      </c>
      <c r="DB284" s="42">
        <v>0</v>
      </c>
      <c r="DC284" s="5"/>
      <c r="DD284" s="76">
        <v>0</v>
      </c>
      <c r="DE284" s="42">
        <v>0</v>
      </c>
      <c r="DF284" s="5"/>
      <c r="DG284" s="76">
        <v>0</v>
      </c>
      <c r="DH284" s="42"/>
      <c r="DI284" s="5"/>
      <c r="DJ284" s="42">
        <v>0</v>
      </c>
      <c r="DK284" s="42">
        <f t="shared" si="44"/>
        <v>0</v>
      </c>
      <c r="DL284" s="58">
        <f t="shared" si="45"/>
        <v>0</v>
      </c>
      <c r="DM284" s="2">
        <v>3</v>
      </c>
    </row>
    <row r="285" spans="1:117" ht="24.9" customHeight="1" x14ac:dyDescent="0.3">
      <c r="A285" s="318">
        <v>150000708</v>
      </c>
      <c r="B285" s="44" t="s">
        <v>1838</v>
      </c>
      <c r="C285" s="956">
        <v>1</v>
      </c>
      <c r="D285" s="957" t="s">
        <v>454</v>
      </c>
      <c r="E285" s="949">
        <f>'побудинковий звіт'!E294</f>
        <v>4457.7</v>
      </c>
      <c r="F285" s="950">
        <f>'побудинковий звіт'!AS294</f>
        <v>66618.326838591965</v>
      </c>
      <c r="G285" s="950">
        <f t="shared" si="38"/>
        <v>0</v>
      </c>
      <c r="H285" s="950">
        <f t="shared" si="39"/>
        <v>-66618.326838591965</v>
      </c>
      <c r="I285" s="42">
        <f>'[2]поточний ремонт'!I285+'[1]поточний ремонт'!I285</f>
        <v>0</v>
      </c>
      <c r="J285" s="42">
        <f>'[2]поточний ремонт'!J285+'[1]поточний ремонт'!J285</f>
        <v>0</v>
      </c>
      <c r="K285" s="958"/>
      <c r="L285" s="42">
        <f>'[2]поточний ремонт'!L285+'[1]поточний ремонт'!L285</f>
        <v>0</v>
      </c>
      <c r="M285" s="42">
        <f>'[2]поточний ремонт'!M285+'[1]поточний ремонт'!M285</f>
        <v>0</v>
      </c>
      <c r="N285" s="36"/>
      <c r="O285" s="42">
        <f>'[2]поточний ремонт'!O285+'[1]поточний ремонт'!O285</f>
        <v>0</v>
      </c>
      <c r="P285" s="42">
        <f>'[2]поточний ремонт'!P285+'[1]поточний ремонт'!P285</f>
        <v>0</v>
      </c>
      <c r="Q285" s="959"/>
      <c r="R285" s="42">
        <f>'[2]поточний ремонт'!R285+'[1]поточний ремонт'!R285</f>
        <v>0</v>
      </c>
      <c r="S285" s="42">
        <f>'[2]поточний ремонт'!S285+'[1]поточний ремонт'!S285</f>
        <v>0</v>
      </c>
      <c r="T285" s="960"/>
      <c r="U285" s="42">
        <f>'[2]поточний ремонт'!U285+'[1]поточний ремонт'!U285</f>
        <v>0</v>
      </c>
      <c r="V285" s="42">
        <f>'[2]поточний ремонт'!V285+'[1]поточний ремонт'!V285</f>
        <v>0</v>
      </c>
      <c r="W285" s="42">
        <f>'[2]поточний ремонт'!W285+'[1]поточний ремонт'!W285</f>
        <v>0</v>
      </c>
      <c r="X285" s="42">
        <f>'[2]поточний ремонт'!X285+'[1]поточний ремонт'!X285</f>
        <v>0</v>
      </c>
      <c r="Y285" s="42">
        <f>'[2]поточний ремонт'!Y285+'[1]поточний ремонт'!Y285</f>
        <v>0</v>
      </c>
      <c r="Z285" s="42">
        <f>'[2]поточний ремонт'!Z285+'[1]поточний ремонт'!Z285</f>
        <v>0</v>
      </c>
      <c r="AA285" s="42">
        <f>'[2]поточний ремонт'!AA285+'[1]поточний ремонт'!AA285</f>
        <v>0</v>
      </c>
      <c r="AB285" s="42">
        <f>'[2]поточний ремонт'!AB285+'[1]поточний ремонт'!AB285</f>
        <v>0</v>
      </c>
      <c r="AC285" s="42">
        <f>'[2]поточний ремонт'!AC285+'[1]поточний ремонт'!AC285</f>
        <v>0</v>
      </c>
      <c r="AD285" s="42">
        <f>'[2]поточний ремонт'!AD285+'[1]поточний ремонт'!AD285</f>
        <v>0</v>
      </c>
      <c r="AE285" s="42">
        <f>'[2]поточний ремонт'!AE285+'[1]поточний ремонт'!AE285</f>
        <v>1545.7860333541164</v>
      </c>
      <c r="AF285" s="42">
        <f>'[2]поточний ремонт'!AF285+'[1]поточний ремонт'!AF285</f>
        <v>0</v>
      </c>
      <c r="AG285" s="5"/>
      <c r="AH285" s="42">
        <f>'[2]поточний ремонт'!AH285+'[1]поточний ремонт'!AH285</f>
        <v>2537.8551481651898</v>
      </c>
      <c r="AI285" s="42">
        <f>'[2]поточний ремонт'!AI285+'[1]поточний ремонт'!AI285</f>
        <v>0</v>
      </c>
      <c r="AJ285" s="5"/>
      <c r="AK285" s="42">
        <f>'[2]поточний ремонт'!AK285+'[1]поточний ремонт'!AK285</f>
        <v>1444.1799924345055</v>
      </c>
      <c r="AL285" s="42">
        <f>'[2]поточний ремонт'!AL285+'[1]поточний ремонт'!AL285</f>
        <v>0</v>
      </c>
      <c r="AM285" s="5"/>
      <c r="AN285" s="42">
        <f>'[2]поточний ремонт'!AN285+'[1]поточний ремонт'!AN285</f>
        <v>0</v>
      </c>
      <c r="AO285" s="42">
        <f>'[2]поточний ремонт'!AO285+'[1]поточний ремонт'!AO285</f>
        <v>0</v>
      </c>
      <c r="AP285" s="5"/>
      <c r="AQ285" s="42">
        <f>'[2]поточний ремонт'!AQ285+'[1]поточний ремонт'!AQ285</f>
        <v>766.02652989336866</v>
      </c>
      <c r="AR285" s="42">
        <f>'[2]поточний ремонт'!AR285+'[1]поточний ремонт'!AR285</f>
        <v>0</v>
      </c>
      <c r="AS285" s="5"/>
      <c r="AT285" s="42">
        <f>'[2]поточний ремонт'!AT285+'[1]поточний ремонт'!AT285</f>
        <v>1136.5153945192765</v>
      </c>
      <c r="AU285" s="42">
        <f>'[2]поточний ремонт'!AU285+'[1]поточний ремонт'!AU285</f>
        <v>0</v>
      </c>
      <c r="AV285" s="5"/>
      <c r="AW285" s="42">
        <f>'[2]поточний ремонт'!AW285+'[1]поточний ремонт'!AW285</f>
        <v>0</v>
      </c>
      <c r="AX285" s="42">
        <f>'[2]поточний ремонт'!AX285+'[1]поточний ремонт'!AX285</f>
        <v>1478.7804376295485</v>
      </c>
      <c r="AY285" s="5"/>
      <c r="AZ285" s="42">
        <f t="shared" si="40"/>
        <v>7430.3630983664552</v>
      </c>
      <c r="BA285" s="42">
        <f t="shared" si="41"/>
        <v>1478.7804376295485</v>
      </c>
      <c r="BB285" s="58">
        <f t="shared" si="42"/>
        <v>-5951.5826607369072</v>
      </c>
      <c r="BD285" s="2">
        <v>3</v>
      </c>
      <c r="BF285" s="29">
        <v>0</v>
      </c>
      <c r="BG285" s="318">
        <v>150000708</v>
      </c>
      <c r="BI285" s="104">
        <v>0</v>
      </c>
      <c r="BJ285" s="104">
        <f t="shared" si="43"/>
        <v>0</v>
      </c>
      <c r="BK285" s="104">
        <v>0</v>
      </c>
      <c r="BL285" s="38"/>
      <c r="BM285" s="3"/>
      <c r="BN285" s="3">
        <v>0</v>
      </c>
      <c r="BP285" s="3"/>
      <c r="BQ285" s="3"/>
      <c r="BS285" s="42"/>
      <c r="BT285" s="42">
        <v>0</v>
      </c>
      <c r="BU285" s="958"/>
      <c r="BV285" s="41"/>
      <c r="BW285" s="42"/>
      <c r="BX285" s="36"/>
      <c r="BY285" s="76"/>
      <c r="BZ285" s="42">
        <v>0</v>
      </c>
      <c r="CA285" s="959"/>
      <c r="CB285" s="41"/>
      <c r="CC285" s="41">
        <v>0</v>
      </c>
      <c r="CD285" s="960"/>
      <c r="CE285" s="76">
        <v>0</v>
      </c>
      <c r="CF285" s="55"/>
      <c r="CG285" s="41">
        <v>0</v>
      </c>
      <c r="CH285" s="38">
        <v>0</v>
      </c>
      <c r="CI285" s="76">
        <v>0</v>
      </c>
      <c r="CJ285" s="55"/>
      <c r="CK285" s="955"/>
      <c r="CL285" s="950"/>
      <c r="CM285" s="955"/>
      <c r="CN285" s="950">
        <v>0</v>
      </c>
      <c r="CO285" s="76">
        <v>0</v>
      </c>
      <c r="CP285" s="42">
        <v>0</v>
      </c>
      <c r="CQ285" s="5"/>
      <c r="CR285" s="76">
        <v>0</v>
      </c>
      <c r="CS285" s="954">
        <v>0</v>
      </c>
      <c r="CT285" s="5"/>
      <c r="CU285" s="76">
        <v>0</v>
      </c>
      <c r="CV285" s="42">
        <v>0</v>
      </c>
      <c r="CW285" s="5"/>
      <c r="CX285" s="76">
        <v>0</v>
      </c>
      <c r="CY285" s="42">
        <v>0</v>
      </c>
      <c r="CZ285" s="5"/>
      <c r="DA285" s="76">
        <v>0</v>
      </c>
      <c r="DB285" s="42">
        <v>0</v>
      </c>
      <c r="DC285" s="5"/>
      <c r="DD285" s="76">
        <v>0</v>
      </c>
      <c r="DE285" s="42">
        <v>0</v>
      </c>
      <c r="DF285" s="5"/>
      <c r="DG285" s="76">
        <v>0</v>
      </c>
      <c r="DH285" s="42"/>
      <c r="DI285" s="5"/>
      <c r="DJ285" s="42">
        <v>0</v>
      </c>
      <c r="DK285" s="42">
        <f t="shared" si="44"/>
        <v>0</v>
      </c>
      <c r="DL285" s="58">
        <f t="shared" si="45"/>
        <v>0</v>
      </c>
      <c r="DM285" s="2">
        <v>3</v>
      </c>
    </row>
    <row r="286" spans="1:117" ht="24.9" customHeight="1" x14ac:dyDescent="0.3">
      <c r="A286" s="318">
        <v>150000591</v>
      </c>
      <c r="B286" s="44" t="s">
        <v>191</v>
      </c>
      <c r="C286" s="956">
        <v>2</v>
      </c>
      <c r="D286" s="957" t="s">
        <v>454</v>
      </c>
      <c r="E286" s="949">
        <f>'побудинковий звіт'!E295</f>
        <v>3670.1</v>
      </c>
      <c r="F286" s="950">
        <f>'побудинковий звіт'!AS295</f>
        <v>33272.306835828706</v>
      </c>
      <c r="G286" s="950">
        <f t="shared" si="38"/>
        <v>0</v>
      </c>
      <c r="H286" s="950">
        <f t="shared" si="39"/>
        <v>-33272.306835828706</v>
      </c>
      <c r="I286" s="42">
        <f>'[2]поточний ремонт'!I286+'[1]поточний ремонт'!I286</f>
        <v>0</v>
      </c>
      <c r="J286" s="42">
        <f>'[2]поточний ремонт'!J286+'[1]поточний ремонт'!J286</f>
        <v>0</v>
      </c>
      <c r="K286" s="958"/>
      <c r="L286" s="42">
        <f>'[2]поточний ремонт'!L286+'[1]поточний ремонт'!L286</f>
        <v>0</v>
      </c>
      <c r="M286" s="42">
        <f>'[2]поточний ремонт'!M286+'[1]поточний ремонт'!M286</f>
        <v>0</v>
      </c>
      <c r="N286" s="36"/>
      <c r="O286" s="42">
        <f>'[2]поточний ремонт'!O286+'[1]поточний ремонт'!O286</f>
        <v>0</v>
      </c>
      <c r="P286" s="42">
        <f>'[2]поточний ремонт'!P286+'[1]поточний ремонт'!P286</f>
        <v>0</v>
      </c>
      <c r="Q286" s="959"/>
      <c r="R286" s="42">
        <f>'[2]поточний ремонт'!R286+'[1]поточний ремонт'!R286</f>
        <v>0</v>
      </c>
      <c r="S286" s="42">
        <f>'[2]поточний ремонт'!S286+'[1]поточний ремонт'!S286</f>
        <v>0</v>
      </c>
      <c r="T286" s="960"/>
      <c r="U286" s="42">
        <f>'[2]поточний ремонт'!U286+'[1]поточний ремонт'!U286</f>
        <v>0</v>
      </c>
      <c r="V286" s="42">
        <f>'[2]поточний ремонт'!V286+'[1]поточний ремонт'!V286</f>
        <v>0</v>
      </c>
      <c r="W286" s="42">
        <f>'[2]поточний ремонт'!W286+'[1]поточний ремонт'!W286</f>
        <v>0</v>
      </c>
      <c r="X286" s="42">
        <f>'[2]поточний ремонт'!X286+'[1]поточний ремонт'!X286</f>
        <v>0</v>
      </c>
      <c r="Y286" s="42">
        <f>'[2]поточний ремонт'!Y286+'[1]поточний ремонт'!Y286</f>
        <v>0</v>
      </c>
      <c r="Z286" s="42">
        <f>'[2]поточний ремонт'!Z286+'[1]поточний ремонт'!Z286</f>
        <v>0</v>
      </c>
      <c r="AA286" s="42">
        <f>'[2]поточний ремонт'!AA286+'[1]поточний ремонт'!AA286</f>
        <v>0</v>
      </c>
      <c r="AB286" s="42">
        <f>'[2]поточний ремонт'!AB286+'[1]поточний ремонт'!AB286</f>
        <v>0</v>
      </c>
      <c r="AC286" s="42">
        <f>'[2]поточний ремонт'!AC286+'[1]поточний ремонт'!AC286</f>
        <v>0</v>
      </c>
      <c r="AD286" s="42">
        <f>'[2]поточний ремонт'!AD286+'[1]поточний ремонт'!AD286</f>
        <v>0</v>
      </c>
      <c r="AE286" s="42">
        <f>'[2]поточний ремонт'!AE286+'[1]поточний ремонт'!AE286</f>
        <v>1150.9962620028748</v>
      </c>
      <c r="AF286" s="42">
        <f>'[2]поточний ремонт'!AF286+'[1]поточний ремонт'!AF286</f>
        <v>0</v>
      </c>
      <c r="AG286" s="5"/>
      <c r="AH286" s="42">
        <f>'[2]поточний ремонт'!AH286+'[1]поточний ремонт'!AH286</f>
        <v>1726.4156219578445</v>
      </c>
      <c r="AI286" s="42">
        <f>'[2]поточний ремонт'!AI286+'[1]поточний ремонт'!AI286</f>
        <v>0</v>
      </c>
      <c r="AJ286" s="5"/>
      <c r="AK286" s="42">
        <f>'[2]поточний ремонт'!AK286+'[1]поточний ремонт'!AK286</f>
        <v>1357.411372776731</v>
      </c>
      <c r="AL286" s="42">
        <f>'[2]поточний ремонт'!AL286+'[1]поточний ремонт'!AL286</f>
        <v>0</v>
      </c>
      <c r="AM286" s="5"/>
      <c r="AN286" s="42">
        <f>'[2]поточний ремонт'!AN286+'[1]поточний ремонт'!AN286</f>
        <v>823.21507861613964</v>
      </c>
      <c r="AO286" s="42">
        <f>'[2]поточний ремонт'!AO286+'[1]поточний ремонт'!AO286</f>
        <v>780.59971383569996</v>
      </c>
      <c r="AP286" s="5"/>
      <c r="AQ286" s="42">
        <f>'[2]поточний ремонт'!AQ286+'[1]поточний ремонт'!AQ286</f>
        <v>0</v>
      </c>
      <c r="AR286" s="42">
        <f>'[2]поточний ремонт'!AR286+'[1]поточний ремонт'!AR286</f>
        <v>0</v>
      </c>
      <c r="AS286" s="5"/>
      <c r="AT286" s="42">
        <f>'[2]поточний ремонт'!AT286+'[1]поточний ремонт'!AT286</f>
        <v>704.52444570603177</v>
      </c>
      <c r="AU286" s="42">
        <f>'[2]поточний ремонт'!AU286+'[1]поточний ремонт'!AU286</f>
        <v>0</v>
      </c>
      <c r="AV286" s="5"/>
      <c r="AW286" s="42">
        <f>'[2]поточний ремонт'!AW286+'[1]поточний ремонт'!AW286</f>
        <v>12.548347455873724</v>
      </c>
      <c r="AX286" s="42">
        <f>'[2]поточний ремонт'!AX286+'[1]поточний ремонт'!AX286</f>
        <v>0</v>
      </c>
      <c r="AY286" s="5"/>
      <c r="AZ286" s="42">
        <f t="shared" si="40"/>
        <v>5775.1111285154948</v>
      </c>
      <c r="BA286" s="42">
        <f t="shared" si="41"/>
        <v>780.59971383569996</v>
      </c>
      <c r="BB286" s="58">
        <f t="shared" si="42"/>
        <v>-4994.5114146797951</v>
      </c>
      <c r="BD286" s="2">
        <v>3</v>
      </c>
      <c r="BF286" s="29">
        <v>11.093199654771881</v>
      </c>
      <c r="BG286" s="318">
        <v>150000591</v>
      </c>
      <c r="BI286" s="104">
        <v>0</v>
      </c>
      <c r="BJ286" s="104">
        <f t="shared" si="43"/>
        <v>0</v>
      </c>
      <c r="BK286" s="104">
        <v>0</v>
      </c>
      <c r="BL286" s="38"/>
      <c r="BM286" s="3"/>
      <c r="BN286" s="3">
        <v>0</v>
      </c>
      <c r="BP286" s="3"/>
      <c r="BQ286" s="3"/>
      <c r="BS286" s="42"/>
      <c r="BT286" s="42">
        <v>0</v>
      </c>
      <c r="BU286" s="958"/>
      <c r="BV286" s="41"/>
      <c r="BW286" s="42"/>
      <c r="BX286" s="36"/>
      <c r="BY286" s="76"/>
      <c r="BZ286" s="42">
        <v>0</v>
      </c>
      <c r="CA286" s="959"/>
      <c r="CB286" s="41"/>
      <c r="CC286" s="41">
        <v>0</v>
      </c>
      <c r="CD286" s="960"/>
      <c r="CE286" s="76">
        <v>0</v>
      </c>
      <c r="CF286" s="55"/>
      <c r="CG286" s="41">
        <v>0</v>
      </c>
      <c r="CH286" s="38">
        <v>0</v>
      </c>
      <c r="CI286" s="76">
        <v>0</v>
      </c>
      <c r="CJ286" s="55"/>
      <c r="CK286" s="955"/>
      <c r="CL286" s="950"/>
      <c r="CM286" s="955"/>
      <c r="CN286" s="950">
        <v>0</v>
      </c>
      <c r="CO286" s="76">
        <v>17.250686106685936</v>
      </c>
      <c r="CP286" s="42">
        <v>0</v>
      </c>
      <c r="CQ286" s="5"/>
      <c r="CR286" s="76">
        <v>17.553362605408829</v>
      </c>
      <c r="CS286" s="954">
        <v>0</v>
      </c>
      <c r="CT286" s="5"/>
      <c r="CU286" s="76">
        <v>5.731808052984241</v>
      </c>
      <c r="CV286" s="42">
        <v>0</v>
      </c>
      <c r="CW286" s="5"/>
      <c r="CX286" s="76">
        <v>8.9784139052537455</v>
      </c>
      <c r="CY286" s="42">
        <v>0</v>
      </c>
      <c r="CZ286" s="5"/>
      <c r="DA286" s="76">
        <v>0</v>
      </c>
      <c r="DB286" s="42">
        <v>0</v>
      </c>
      <c r="DC286" s="5"/>
      <c r="DD286" s="76">
        <v>4.9307102280809767</v>
      </c>
      <c r="DE286" s="42">
        <v>0</v>
      </c>
      <c r="DF286" s="5"/>
      <c r="DG286" s="76">
        <v>0</v>
      </c>
      <c r="DH286" s="42"/>
      <c r="DI286" s="5"/>
      <c r="DJ286" s="42">
        <v>54.444980898413732</v>
      </c>
      <c r="DK286" s="42">
        <f t="shared" si="44"/>
        <v>0</v>
      </c>
      <c r="DL286" s="58">
        <f t="shared" si="45"/>
        <v>-54.444980898413732</v>
      </c>
      <c r="DM286" s="2">
        <v>3</v>
      </c>
    </row>
    <row r="287" spans="1:117" ht="24.9" customHeight="1" x14ac:dyDescent="0.3">
      <c r="A287" s="318">
        <v>150000710</v>
      </c>
      <c r="B287" s="44" t="s">
        <v>1796</v>
      </c>
      <c r="C287" s="956">
        <v>5</v>
      </c>
      <c r="D287" s="957" t="s">
        <v>454</v>
      </c>
      <c r="E287" s="949">
        <f>'побудинковий звіт'!E227</f>
        <v>4354.05</v>
      </c>
      <c r="F287" s="950">
        <f>'побудинковий звіт'!AS227</f>
        <v>61511.220215269786</v>
      </c>
      <c r="G287" s="950">
        <f t="shared" si="38"/>
        <v>51012.676455769943</v>
      </c>
      <c r="H287" s="950">
        <f t="shared" si="39"/>
        <v>-10498.543759499844</v>
      </c>
      <c r="I287" s="42">
        <f>'[2]поточний ремонт'!I287+'[1]поточний ремонт'!I287</f>
        <v>0</v>
      </c>
      <c r="J287" s="42">
        <f>'[2]поточний ремонт'!J287+'[1]поточний ремонт'!J287</f>
        <v>0</v>
      </c>
      <c r="K287" s="958"/>
      <c r="L287" s="42">
        <f>'[2]поточний ремонт'!L287+'[1]поточний ремонт'!L287</f>
        <v>0</v>
      </c>
      <c r="M287" s="42">
        <f>'[2]поточний ремонт'!M287+'[1]поточний ремонт'!M287</f>
        <v>0</v>
      </c>
      <c r="N287" s="36"/>
      <c r="O287" s="42">
        <f>'[2]поточний ремонт'!O287+'[1]поточний ремонт'!O287</f>
        <v>0</v>
      </c>
      <c r="P287" s="42">
        <f>'[2]поточний ремонт'!P287+'[1]поточний ремонт'!P287</f>
        <v>0</v>
      </c>
      <c r="Q287" s="959"/>
      <c r="R287" s="42">
        <f>'[2]поточний ремонт'!R287+'[1]поточний ремонт'!R287</f>
        <v>0</v>
      </c>
      <c r="S287" s="42">
        <f>'[2]поточний ремонт'!S287+'[1]поточний ремонт'!S287</f>
        <v>0</v>
      </c>
      <c r="T287" s="960"/>
      <c r="U287" s="42">
        <f>'[2]поточний ремонт'!U287+'[1]поточний ремонт'!U287</f>
        <v>0</v>
      </c>
      <c r="V287" s="42">
        <f>'[2]поточний ремонт'!V287+'[1]поточний ремонт'!V287</f>
        <v>0</v>
      </c>
      <c r="W287" s="42">
        <f>'[2]поточний ремонт'!W287+'[1]поточний ремонт'!W287</f>
        <v>0</v>
      </c>
      <c r="X287" s="42">
        <f>'[2]поточний ремонт'!X287+'[1]поточний ремонт'!X287</f>
        <v>0</v>
      </c>
      <c r="Y287" s="42">
        <f>'[2]поточний ремонт'!Y287+'[1]поточний ремонт'!Y287</f>
        <v>45472.493583748685</v>
      </c>
      <c r="Z287" s="42">
        <f>'[2]поточний ремонт'!Z287+'[1]поточний ремонт'!Z287</f>
        <v>0</v>
      </c>
      <c r="AA287" s="42">
        <f>'[2]поточний ремонт'!AA287+'[1]поточний ремонт'!AA287</f>
        <v>0</v>
      </c>
      <c r="AB287" s="42">
        <f>'[2]поточний ремонт'!AB287+'[1]поточний ремонт'!AB287</f>
        <v>2387.8035746603491</v>
      </c>
      <c r="AC287" s="42">
        <f>'[2]поточний ремонт'!AC287+'[1]поточний ремонт'!AC287</f>
        <v>0</v>
      </c>
      <c r="AD287" s="42">
        <f>'[2]поточний ремонт'!AD287+'[1]поточний ремонт'!AD287</f>
        <v>3152.379297360907</v>
      </c>
      <c r="AE287" s="42">
        <f>'[2]поточний ремонт'!AE287+'[1]поточний ремонт'!AE287</f>
        <v>1119.7477942795656</v>
      </c>
      <c r="AF287" s="42">
        <f>'[2]поточний ремонт'!AF287+'[1]поточний ремонт'!AF287</f>
        <v>1480.3833372748431</v>
      </c>
      <c r="AG287" s="9"/>
      <c r="AH287" s="42">
        <f>'[2]поточний ремонт'!AH287+'[1]поточний ремонт'!AH287</f>
        <v>1924.8583481436644</v>
      </c>
      <c r="AI287" s="42">
        <f>'[2]поточний ремонт'!AI287+'[1]поточний ремонт'!AI287</f>
        <v>4026.9354538046</v>
      </c>
      <c r="AJ287" s="9"/>
      <c r="AK287" s="42">
        <f>'[2]поточний ремонт'!AK287+'[1]поточний ремонт'!AK287</f>
        <v>1090.764540667491</v>
      </c>
      <c r="AL287" s="42">
        <f>'[2]поточний ремонт'!AL287+'[1]поточний ремонт'!AL287</f>
        <v>0</v>
      </c>
      <c r="AM287" s="5"/>
      <c r="AN287" s="42">
        <f>'[2]поточний ремонт'!AN287+'[1]поточний ремонт'!AN287</f>
        <v>0</v>
      </c>
      <c r="AO287" s="42">
        <f>'[2]поточний ремонт'!AO287+'[1]поточний ремонт'!AO287</f>
        <v>0</v>
      </c>
      <c r="AP287" s="5"/>
      <c r="AQ287" s="42">
        <f>'[2]поточний ремонт'!AQ287+'[1]поточний ремонт'!AQ287</f>
        <v>165.40963195714954</v>
      </c>
      <c r="AR287" s="42">
        <f>'[2]поточний ремонт'!AR287+'[1]поточний ремонт'!AR287</f>
        <v>0</v>
      </c>
      <c r="AS287" s="5"/>
      <c r="AT287" s="42">
        <f>'[2]поточний ремонт'!AT287+'[1]поточний ремонт'!AT287</f>
        <v>1408.2061406621144</v>
      </c>
      <c r="AU287" s="42">
        <f>'[2]поточний ремонт'!AU287+'[1]поточний ремонт'!AU287</f>
        <v>0</v>
      </c>
      <c r="AV287" s="5"/>
      <c r="AW287" s="42">
        <f>'[2]поточний ремонт'!AW287+'[1]поточний ремонт'!AW287</f>
        <v>131.75764828667408</v>
      </c>
      <c r="AX287" s="42">
        <f>'[2]поточний ремонт'!AX287+'[1]поточний ремонт'!AX287</f>
        <v>4212.4308892474091</v>
      </c>
      <c r="AY287" s="5"/>
      <c r="AZ287" s="42">
        <f t="shared" si="40"/>
        <v>5840.7441039966598</v>
      </c>
      <c r="BA287" s="42">
        <f t="shared" si="41"/>
        <v>9719.7496803268514</v>
      </c>
      <c r="BB287" s="58">
        <f t="shared" si="42"/>
        <v>3879.0055763301916</v>
      </c>
      <c r="BD287" s="2">
        <v>3</v>
      </c>
      <c r="BF287" s="29">
        <v>340.51787323033926</v>
      </c>
      <c r="BG287" s="318">
        <v>150000710</v>
      </c>
      <c r="BI287" s="104">
        <v>0</v>
      </c>
      <c r="BJ287" s="104">
        <f t="shared" si="43"/>
        <v>0</v>
      </c>
      <c r="BK287" s="104">
        <v>0</v>
      </c>
      <c r="BL287" s="38"/>
      <c r="BM287" s="3"/>
      <c r="BN287" s="3">
        <v>0</v>
      </c>
      <c r="BP287" s="3"/>
      <c r="BQ287" s="3"/>
      <c r="BS287" s="42"/>
      <c r="BT287" s="42">
        <v>0</v>
      </c>
      <c r="BU287" s="958"/>
      <c r="BV287" s="41"/>
      <c r="BW287" s="42"/>
      <c r="BX287" s="36"/>
      <c r="BY287" s="76"/>
      <c r="BZ287" s="42">
        <v>0</v>
      </c>
      <c r="CA287" s="959"/>
      <c r="CB287" s="41"/>
      <c r="CC287" s="41">
        <v>0</v>
      </c>
      <c r="CD287" s="960"/>
      <c r="CE287" s="76">
        <v>0</v>
      </c>
      <c r="CF287" s="55"/>
      <c r="CG287" s="41">
        <v>0</v>
      </c>
      <c r="CH287" s="38">
        <v>0</v>
      </c>
      <c r="CI287" s="76">
        <v>0</v>
      </c>
      <c r="CJ287" s="55"/>
      <c r="CK287" s="955"/>
      <c r="CL287" s="950"/>
      <c r="CM287" s="955"/>
      <c r="CN287" s="950">
        <v>0</v>
      </c>
      <c r="CO287" s="76">
        <v>226.58214786316023</v>
      </c>
      <c r="CP287" s="42">
        <v>0</v>
      </c>
      <c r="CQ287" s="9"/>
      <c r="CR287" s="76">
        <v>365.15822033661738</v>
      </c>
      <c r="CS287" s="954">
        <v>0</v>
      </c>
      <c r="CT287" s="9"/>
      <c r="CU287" s="76">
        <v>206.91717087955041</v>
      </c>
      <c r="CV287" s="42">
        <v>0</v>
      </c>
      <c r="CW287" s="5"/>
      <c r="CX287" s="76">
        <v>0</v>
      </c>
      <c r="CY287" s="42">
        <v>0</v>
      </c>
      <c r="CZ287" s="5"/>
      <c r="DA287" s="76">
        <v>0</v>
      </c>
      <c r="DB287" s="42">
        <v>0</v>
      </c>
      <c r="DC287" s="5"/>
      <c r="DD287" s="76">
        <v>166.33814628043049</v>
      </c>
      <c r="DE287" s="42">
        <v>0</v>
      </c>
      <c r="DF287" s="5"/>
      <c r="DG287" s="76">
        <v>0</v>
      </c>
      <c r="DH287" s="42"/>
      <c r="DI287" s="5"/>
      <c r="DJ287" s="42">
        <v>964.99568535975845</v>
      </c>
      <c r="DK287" s="42">
        <f t="shared" si="44"/>
        <v>0</v>
      </c>
      <c r="DL287" s="58">
        <f t="shared" si="45"/>
        <v>-964.99568535975845</v>
      </c>
      <c r="DM287" s="2">
        <v>3</v>
      </c>
    </row>
    <row r="288" spans="1:117" ht="24.9" customHeight="1" x14ac:dyDescent="0.3">
      <c r="A288" s="318">
        <v>150000711</v>
      </c>
      <c r="B288" s="44" t="s">
        <v>1797</v>
      </c>
      <c r="C288" s="956">
        <v>5</v>
      </c>
      <c r="D288" s="957" t="s">
        <v>454</v>
      </c>
      <c r="E288" s="949">
        <f>'побудинковий звіт'!E228</f>
        <v>2131.65</v>
      </c>
      <c r="F288" s="950">
        <f>'побудинковий звіт'!AS228</f>
        <v>31493.011419382816</v>
      </c>
      <c r="G288" s="950">
        <f t="shared" si="38"/>
        <v>6976.8060394535514</v>
      </c>
      <c r="H288" s="950">
        <f t="shared" si="39"/>
        <v>-24516.205379929263</v>
      </c>
      <c r="I288" s="42">
        <f>'[2]поточний ремонт'!I288+'[1]поточний ремонт'!I288</f>
        <v>0</v>
      </c>
      <c r="J288" s="42">
        <f>'[2]поточний ремонт'!J288+'[1]поточний ремонт'!J288</f>
        <v>0</v>
      </c>
      <c r="K288" s="958"/>
      <c r="L288" s="42">
        <f>'[2]поточний ремонт'!L288+'[1]поточний ремонт'!L288</f>
        <v>0</v>
      </c>
      <c r="M288" s="42">
        <f>'[2]поточний ремонт'!M288+'[1]поточний ремонт'!M288</f>
        <v>0</v>
      </c>
      <c r="N288" s="36"/>
      <c r="O288" s="42">
        <f>'[2]поточний ремонт'!O288+'[1]поточний ремонт'!O288</f>
        <v>0</v>
      </c>
      <c r="P288" s="42">
        <f>'[2]поточний ремонт'!P288+'[1]поточний ремонт'!P288</f>
        <v>0</v>
      </c>
      <c r="Q288" s="959"/>
      <c r="R288" s="42">
        <f>'[2]поточний ремонт'!R288+'[1]поточний ремонт'!R288</f>
        <v>0</v>
      </c>
      <c r="S288" s="42">
        <f>'[2]поточний ремонт'!S288+'[1]поточний ремонт'!S288</f>
        <v>0</v>
      </c>
      <c r="T288" s="960"/>
      <c r="U288" s="42">
        <f>'[2]поточний ремонт'!U288+'[1]поточний ремонт'!U288</f>
        <v>0</v>
      </c>
      <c r="V288" s="42">
        <f>'[2]поточний ремонт'!V288+'[1]поточний ремонт'!V288</f>
        <v>0</v>
      </c>
      <c r="W288" s="42">
        <f>'[2]поточний ремонт'!W288+'[1]поточний ремонт'!W288</f>
        <v>6</v>
      </c>
      <c r="X288" s="42">
        <f>'[2]поточний ремонт'!X288+'[1]поточний ремонт'!X288</f>
        <v>428.73448140108104</v>
      </c>
      <c r="Y288" s="42">
        <f>'[2]поточний ремонт'!Y288+'[1]поточний ремонт'!Y288</f>
        <v>3287.7125707036394</v>
      </c>
      <c r="Z288" s="42">
        <f>'[2]поточний ремонт'!Z288+'[1]поточний ремонт'!Z288</f>
        <v>0</v>
      </c>
      <c r="AA288" s="42">
        <f>'[2]поточний ремонт'!AA288+'[1]поточний ремонт'!AA288</f>
        <v>0</v>
      </c>
      <c r="AB288" s="42">
        <f>'[2]поточний ремонт'!AB288+'[1]поточний ремонт'!AB288</f>
        <v>0</v>
      </c>
      <c r="AC288" s="42">
        <f>'[2]поточний ремонт'!AC288+'[1]поточний ремонт'!AC288</f>
        <v>494.42802485118295</v>
      </c>
      <c r="AD288" s="42">
        <f>'[2]поточний ремонт'!AD288+'[1]поточний ремонт'!AD288</f>
        <v>2765.9309624976481</v>
      </c>
      <c r="AE288" s="42">
        <f>'[2]поточний ремонт'!AE288+'[1]поточний ремонт'!AE288</f>
        <v>1226.4043437125965</v>
      </c>
      <c r="AF288" s="42">
        <f>'[2]поточний ремонт'!AF288+'[1]поточний ремонт'!AF288</f>
        <v>0</v>
      </c>
      <c r="AG288" s="5"/>
      <c r="AH288" s="42">
        <f>'[2]поточний ремонт'!AH288+'[1]поточний ремонт'!AH288</f>
        <v>2083.6727268477762</v>
      </c>
      <c r="AI288" s="42">
        <f>'[2]поточний ремонт'!AI288+'[1]поточний ремонт'!AI288</f>
        <v>1993.2749308295788</v>
      </c>
      <c r="AJ288" s="5"/>
      <c r="AK288" s="42">
        <f>'[2]поточний ремонт'!AK288+'[1]поточний ремонт'!AK288</f>
        <v>1111.2168111113651</v>
      </c>
      <c r="AL288" s="42">
        <f>'[2]поточний ремонт'!AL288+'[1]поточний ремонт'!AL288</f>
        <v>0</v>
      </c>
      <c r="AM288" s="5"/>
      <c r="AN288" s="42">
        <f>'[2]поточний ремонт'!AN288+'[1]поточний ремонт'!AN288</f>
        <v>0</v>
      </c>
      <c r="AO288" s="42">
        <f>'[2]поточний ремонт'!AO288+'[1]поточний ремонт'!AO288</f>
        <v>0</v>
      </c>
      <c r="AP288" s="5"/>
      <c r="AQ288" s="42">
        <f>'[2]поточний ремонт'!AQ288+'[1]поточний ремонт'!AQ288</f>
        <v>339.24032038134891</v>
      </c>
      <c r="AR288" s="42">
        <f>'[2]поточний ремонт'!AR288+'[1]поточний ремонт'!AR288</f>
        <v>0</v>
      </c>
      <c r="AS288" s="5"/>
      <c r="AT288" s="42">
        <f>'[2]поточний ремонт'!AT288+'[1]поточний ремонт'!AT288</f>
        <v>1500.3284031747119</v>
      </c>
      <c r="AU288" s="42">
        <f>'[2]поточний ремонт'!AU288+'[1]поточний ремонт'!AU288</f>
        <v>1919.8361817699697</v>
      </c>
      <c r="AV288" s="5"/>
      <c r="AW288" s="42">
        <f>'[2]поточний ремонт'!AW288+'[1]поточний ремонт'!AW288</f>
        <v>131.75764828667408</v>
      </c>
      <c r="AX288" s="42">
        <f>'[2]поточний ремонт'!AX288+'[1]поточний ремонт'!AX288</f>
        <v>0</v>
      </c>
      <c r="AY288" s="5"/>
      <c r="AZ288" s="42">
        <f t="shared" si="40"/>
        <v>6392.620253514473</v>
      </c>
      <c r="BA288" s="42">
        <f t="shared" si="41"/>
        <v>3913.1111125995485</v>
      </c>
      <c r="BB288" s="58">
        <f t="shared" si="42"/>
        <v>-2479.5091409149245</v>
      </c>
      <c r="BD288" s="2">
        <v>3</v>
      </c>
      <c r="BF288" s="29">
        <v>342.15494245162972</v>
      </c>
      <c r="BG288" s="318">
        <v>150000711</v>
      </c>
      <c r="BI288" s="104">
        <v>0</v>
      </c>
      <c r="BJ288" s="104">
        <f t="shared" si="43"/>
        <v>0</v>
      </c>
      <c r="BK288" s="104">
        <v>0</v>
      </c>
      <c r="BL288" s="38"/>
      <c r="BM288" s="3"/>
      <c r="BN288" s="3">
        <v>0</v>
      </c>
      <c r="BP288" s="3"/>
      <c r="BQ288" s="3"/>
      <c r="BS288" s="42"/>
      <c r="BT288" s="42">
        <v>0</v>
      </c>
      <c r="BU288" s="958"/>
      <c r="BV288" s="41"/>
      <c r="BW288" s="42"/>
      <c r="BX288" s="36"/>
      <c r="BY288" s="76"/>
      <c r="BZ288" s="42">
        <v>0</v>
      </c>
      <c r="CA288" s="959"/>
      <c r="CB288" s="41"/>
      <c r="CC288" s="41">
        <v>0</v>
      </c>
      <c r="CD288" s="960"/>
      <c r="CE288" s="76">
        <v>0</v>
      </c>
      <c r="CF288" s="55"/>
      <c r="CG288" s="41">
        <v>0</v>
      </c>
      <c r="CH288" s="38">
        <v>0</v>
      </c>
      <c r="CI288" s="76">
        <v>1054.2373736551594</v>
      </c>
      <c r="CJ288" s="55"/>
      <c r="CK288" s="955"/>
      <c r="CL288" s="950"/>
      <c r="CM288" s="955"/>
      <c r="CN288" s="950">
        <v>0</v>
      </c>
      <c r="CO288" s="76">
        <v>226.64338208884197</v>
      </c>
      <c r="CP288" s="42">
        <v>0</v>
      </c>
      <c r="CQ288" s="5"/>
      <c r="CR288" s="76">
        <v>365.2358995895471</v>
      </c>
      <c r="CS288" s="954">
        <v>0</v>
      </c>
      <c r="CT288" s="5"/>
      <c r="CU288" s="76">
        <v>205.50287111767076</v>
      </c>
      <c r="CV288" s="42">
        <v>0</v>
      </c>
      <c r="CW288" s="5"/>
      <c r="CX288" s="76">
        <v>0</v>
      </c>
      <c r="CY288" s="42">
        <v>0</v>
      </c>
      <c r="CZ288" s="5"/>
      <c r="DA288" s="76">
        <v>109.43236141333836</v>
      </c>
      <c r="DB288" s="42">
        <v>0</v>
      </c>
      <c r="DC288" s="5"/>
      <c r="DD288" s="76">
        <v>166.44102889312117</v>
      </c>
      <c r="DE288" s="42">
        <v>0</v>
      </c>
      <c r="DF288" s="5"/>
      <c r="DG288" s="76">
        <v>0</v>
      </c>
      <c r="DH288" s="42"/>
      <c r="DI288" s="5"/>
      <c r="DJ288" s="42">
        <v>1073.2555431025196</v>
      </c>
      <c r="DK288" s="42">
        <f t="shared" si="44"/>
        <v>0</v>
      </c>
      <c r="DL288" s="58">
        <f t="shared" si="45"/>
        <v>-1073.2555431025196</v>
      </c>
      <c r="DM288" s="2">
        <v>3</v>
      </c>
    </row>
    <row r="289" spans="1:117" ht="24.9" customHeight="1" x14ac:dyDescent="0.3">
      <c r="A289" s="318">
        <v>150000712</v>
      </c>
      <c r="B289" s="44" t="s">
        <v>1798</v>
      </c>
      <c r="C289" s="956">
        <v>5</v>
      </c>
      <c r="D289" s="957" t="s">
        <v>454</v>
      </c>
      <c r="E289" s="949">
        <f>'побудинковий звіт'!E229</f>
        <v>105</v>
      </c>
      <c r="F289" s="950">
        <f>'побудинковий звіт'!AS229</f>
        <v>1678.4163022341672</v>
      </c>
      <c r="G289" s="950">
        <f t="shared" si="38"/>
        <v>4864.1455220604821</v>
      </c>
      <c r="H289" s="950">
        <f t="shared" si="39"/>
        <v>3185.7292198263149</v>
      </c>
      <c r="I289" s="42">
        <f>'[2]поточний ремонт'!I289+'[1]поточний ремонт'!I289</f>
        <v>1.6</v>
      </c>
      <c r="J289" s="42">
        <f>'[2]поточний ремонт'!J289+'[1]поточний ремонт'!J289</f>
        <v>266.03132216097328</v>
      </c>
      <c r="K289" s="958"/>
      <c r="L289" s="42">
        <f>'[2]поточний ремонт'!L289+'[1]поточний ремонт'!L289</f>
        <v>0</v>
      </c>
      <c r="M289" s="42">
        <f>'[2]поточний ремонт'!M289+'[1]поточний ремонт'!M289</f>
        <v>0</v>
      </c>
      <c r="N289" s="36"/>
      <c r="O289" s="42">
        <f>'[2]поточний ремонт'!O289+'[1]поточний ремонт'!O289</f>
        <v>0</v>
      </c>
      <c r="P289" s="42">
        <f>'[2]поточний ремонт'!P289+'[1]поточний ремонт'!P289</f>
        <v>0</v>
      </c>
      <c r="Q289" s="959"/>
      <c r="R289" s="42">
        <f>'[2]поточний ремонт'!R289+'[1]поточний ремонт'!R289</f>
        <v>0</v>
      </c>
      <c r="S289" s="42">
        <f>'[2]поточний ремонт'!S289+'[1]поточний ремонт'!S289</f>
        <v>0</v>
      </c>
      <c r="T289" s="960"/>
      <c r="U289" s="42">
        <f>'[2]поточний ремонт'!U289+'[1]поточний ремонт'!U289</f>
        <v>0</v>
      </c>
      <c r="V289" s="42">
        <f>'[2]поточний ремонт'!V289+'[1]поточний ремонт'!V289</f>
        <v>0</v>
      </c>
      <c r="W289" s="42">
        <f>'[2]поточний ремонт'!W289+'[1]поточний ремонт'!W289</f>
        <v>8</v>
      </c>
      <c r="X289" s="42">
        <f>'[2]поточний ремонт'!X289+'[1]поточний ремонт'!X289</f>
        <v>1657.8777451014112</v>
      </c>
      <c r="Y289" s="42">
        <f>'[2]поточний ремонт'!Y289+'[1]поточний ремонт'!Y289</f>
        <v>0</v>
      </c>
      <c r="Z289" s="42">
        <f>'[2]поточний ремонт'!Z289+'[1]поточний ремонт'!Z289</f>
        <v>0</v>
      </c>
      <c r="AA289" s="42">
        <f>'[2]поточний ремонт'!AA289+'[1]поточний ремонт'!AA289</f>
        <v>0</v>
      </c>
      <c r="AB289" s="42">
        <f>'[2]поточний ремонт'!AB289+'[1]поточний ремонт'!AB289</f>
        <v>0</v>
      </c>
      <c r="AC289" s="42">
        <f>'[2]поточний ремонт'!AC289+'[1]поточний ремонт'!AC289</f>
        <v>343.77136764237849</v>
      </c>
      <c r="AD289" s="42">
        <f>'[2]поточний ремонт'!AD289+'[1]поточний ремонт'!AD289</f>
        <v>2596.4650871557196</v>
      </c>
      <c r="AE289" s="42">
        <f>'[2]поточний ремонт'!AE289+'[1]поточний ремонт'!AE289</f>
        <v>1379.1858595432129</v>
      </c>
      <c r="AF289" s="42">
        <f>'[2]поточний ремонт'!AF289+'[1]поточний ремонт'!AF289</f>
        <v>0</v>
      </c>
      <c r="AG289" s="965"/>
      <c r="AH289" s="42">
        <f>'[2]поточний ремонт'!AH289+'[1]поточний ремонт'!AH289</f>
        <v>1861.2470111797807</v>
      </c>
      <c r="AI289" s="42">
        <f>'[2]поточний ремонт'!AI289+'[1]поточний ремонт'!AI289</f>
        <v>570.54106016942649</v>
      </c>
      <c r="AJ289" s="9"/>
      <c r="AK289" s="42">
        <f>'[2]поточний ремонт'!AK289+'[1]поточний ремонт'!AK289</f>
        <v>1861.8849207510075</v>
      </c>
      <c r="AL289" s="42">
        <f>'[2]поточний ремонт'!AL289+'[1]поточний ремонт'!AL289</f>
        <v>0</v>
      </c>
      <c r="AM289" s="5"/>
      <c r="AN289" s="42">
        <f>'[2]поточний ремонт'!AN289+'[1]поточний ремонт'!AN289</f>
        <v>382.95594015596635</v>
      </c>
      <c r="AO289" s="42">
        <f>'[2]поточний ремонт'!AO289+'[1]поточний ремонт'!AO289</f>
        <v>0</v>
      </c>
      <c r="AP289" s="737"/>
      <c r="AQ289" s="42">
        <f>'[2]поточний ремонт'!AQ289+'[1]поточний ремонт'!AQ289</f>
        <v>230.86432360383978</v>
      </c>
      <c r="AR289" s="42">
        <f>'[2]поточний ремонт'!AR289+'[1]поточний ремонт'!AR289</f>
        <v>0</v>
      </c>
      <c r="AS289" s="5"/>
      <c r="AT289" s="42">
        <f>'[2]поточний ремонт'!AT289+'[1]поточний ремонт'!AT289</f>
        <v>1456.2195310423172</v>
      </c>
      <c r="AU289" s="42">
        <f>'[2]поточний ремонт'!AU289+'[1]поточний ремонт'!AU289</f>
        <v>0</v>
      </c>
      <c r="AV289" s="5"/>
      <c r="AW289" s="42">
        <f>'[2]поточний ремонт'!AW289+'[1]поточний ремонт'!AW289</f>
        <v>429.9519544785104</v>
      </c>
      <c r="AX289" s="42">
        <f>'[2]поточний ремонт'!AX289+'[1]поточний ремонт'!AX289</f>
        <v>0</v>
      </c>
      <c r="AY289" s="5"/>
      <c r="AZ289" s="42">
        <f t="shared" si="40"/>
        <v>7602.3095407546352</v>
      </c>
      <c r="BA289" s="42">
        <f t="shared" si="41"/>
        <v>570.54106016942649</v>
      </c>
      <c r="BB289" s="58">
        <f t="shared" si="42"/>
        <v>-7031.7684805852086</v>
      </c>
      <c r="BD289" s="2">
        <v>3</v>
      </c>
      <c r="BF289" s="29">
        <v>239.87399709020974</v>
      </c>
      <c r="BG289" s="318">
        <v>150000712</v>
      </c>
      <c r="BI289" s="104">
        <v>0</v>
      </c>
      <c r="BJ289" s="104">
        <f t="shared" si="43"/>
        <v>0</v>
      </c>
      <c r="BK289" s="104">
        <v>0</v>
      </c>
      <c r="BL289" s="38"/>
      <c r="BM289" s="3"/>
      <c r="BN289" s="3">
        <v>0</v>
      </c>
      <c r="BP289" s="3"/>
      <c r="BQ289" s="3"/>
      <c r="BS289" s="42">
        <v>1.6</v>
      </c>
      <c r="BT289" s="42">
        <v>265.67012131864072</v>
      </c>
      <c r="BU289" s="958"/>
      <c r="BV289" s="41"/>
      <c r="BW289" s="42"/>
      <c r="BX289" s="36"/>
      <c r="BY289" s="76"/>
      <c r="BZ289" s="42">
        <v>0</v>
      </c>
      <c r="CA289" s="959"/>
      <c r="CB289" s="41"/>
      <c r="CC289" s="41">
        <v>0</v>
      </c>
      <c r="CD289" s="960"/>
      <c r="CE289" s="76">
        <v>0</v>
      </c>
      <c r="CF289" s="55"/>
      <c r="CG289" s="41">
        <v>0</v>
      </c>
      <c r="CH289" s="38">
        <v>0</v>
      </c>
      <c r="CI289" s="76">
        <v>0</v>
      </c>
      <c r="CJ289" s="55"/>
      <c r="CK289" s="955"/>
      <c r="CL289" s="950"/>
      <c r="CM289" s="955"/>
      <c r="CN289" s="950">
        <v>0</v>
      </c>
      <c r="CO289" s="76">
        <v>156.04053712059772</v>
      </c>
      <c r="CP289" s="42">
        <v>0</v>
      </c>
      <c r="CQ289" s="965"/>
      <c r="CR289" s="76">
        <v>245.21278357122625</v>
      </c>
      <c r="CS289" s="954">
        <v>0</v>
      </c>
      <c r="CT289" s="9"/>
      <c r="CU289" s="76">
        <v>147.52404836922557</v>
      </c>
      <c r="CV289" s="42">
        <v>0</v>
      </c>
      <c r="CW289" s="5"/>
      <c r="CX289" s="76">
        <v>0</v>
      </c>
      <c r="CY289" s="42">
        <v>0</v>
      </c>
      <c r="CZ289" s="737"/>
      <c r="DA289" s="76">
        <v>0</v>
      </c>
      <c r="DB289" s="42">
        <v>0</v>
      </c>
      <c r="DC289" s="5"/>
      <c r="DD289" s="76">
        <v>93.783626897587908</v>
      </c>
      <c r="DE289" s="42">
        <v>0</v>
      </c>
      <c r="DF289" s="5"/>
      <c r="DG289" s="76">
        <v>0</v>
      </c>
      <c r="DH289" s="42"/>
      <c r="DI289" s="5"/>
      <c r="DJ289" s="42">
        <v>642.56099595863748</v>
      </c>
      <c r="DK289" s="42">
        <f t="shared" si="44"/>
        <v>0</v>
      </c>
      <c r="DL289" s="58">
        <f t="shared" si="45"/>
        <v>-642.56099595863748</v>
      </c>
      <c r="DM289" s="2">
        <v>3</v>
      </c>
    </row>
    <row r="290" spans="1:117" ht="24.9" customHeight="1" x14ac:dyDescent="0.3">
      <c r="A290" s="318">
        <v>150000713</v>
      </c>
      <c r="B290" s="44" t="s">
        <v>1799</v>
      </c>
      <c r="C290" s="956">
        <v>5</v>
      </c>
      <c r="D290" s="957" t="s">
        <v>454</v>
      </c>
      <c r="E290" s="949">
        <f>'побудинковий звіт'!E230</f>
        <v>140.69999999999999</v>
      </c>
      <c r="F290" s="950">
        <f>'побудинковий звіт'!AS230</f>
        <v>1730.309182794038</v>
      </c>
      <c r="G290" s="950">
        <f t="shared" si="38"/>
        <v>67465.017711628752</v>
      </c>
      <c r="H290" s="950">
        <f t="shared" si="39"/>
        <v>65734.708528834715</v>
      </c>
      <c r="I290" s="42">
        <f>'[2]поточний ремонт'!I290+'[1]поточний ремонт'!I290</f>
        <v>185</v>
      </c>
      <c r="J290" s="42">
        <f>'[2]поточний ремонт'!J290+'[1]поточний ремонт'!J290</f>
        <v>54174.497888903148</v>
      </c>
      <c r="K290" s="958"/>
      <c r="L290" s="42">
        <f>'[2]поточний ремонт'!L290+'[1]поточний ремонт'!L290</f>
        <v>0</v>
      </c>
      <c r="M290" s="42">
        <f>'[2]поточний ремонт'!M290+'[1]поточний ремонт'!M290</f>
        <v>0</v>
      </c>
      <c r="N290" s="36"/>
      <c r="O290" s="42">
        <f>'[2]поточний ремонт'!O290+'[1]поточний ремонт'!O290</f>
        <v>0</v>
      </c>
      <c r="P290" s="42">
        <f>'[2]поточний ремонт'!P290+'[1]поточний ремонт'!P290</f>
        <v>0</v>
      </c>
      <c r="Q290" s="959"/>
      <c r="R290" s="42">
        <f>'[2]поточний ремонт'!R290+'[1]поточний ремонт'!R290</f>
        <v>0</v>
      </c>
      <c r="S290" s="42">
        <f>'[2]поточний ремонт'!S290+'[1]поточний ремонт'!S290</f>
        <v>0</v>
      </c>
      <c r="T290" s="960"/>
      <c r="U290" s="42">
        <f>'[2]поточний ремонт'!U290+'[1]поточний ремонт'!U290</f>
        <v>0</v>
      </c>
      <c r="V290" s="42">
        <f>'[2]поточний ремонт'!V290+'[1]поточний ремонт'!V290</f>
        <v>0</v>
      </c>
      <c r="W290" s="42">
        <f>'[2]поточний ремонт'!W290+'[1]поточний ремонт'!W290</f>
        <v>11</v>
      </c>
      <c r="X290" s="42">
        <f>'[2]поточний ремонт'!X290+'[1]поточний ремонт'!X290</f>
        <v>807.96298683416921</v>
      </c>
      <c r="Y290" s="42">
        <f>'[2]поточний ремонт'!Y290+'[1]поточний ремонт'!Y290</f>
        <v>8858.8985719119701</v>
      </c>
      <c r="Z290" s="42">
        <f>'[2]поточний ремонт'!Z290+'[1]поточний ремонт'!Z290</f>
        <v>0</v>
      </c>
      <c r="AA290" s="42">
        <f>'[2]поточний ремонт'!AA290+'[1]поточний ремонт'!AA290</f>
        <v>0</v>
      </c>
      <c r="AB290" s="42">
        <f>'[2]поточний ремонт'!AB290+'[1]поточний ремонт'!AB290</f>
        <v>0</v>
      </c>
      <c r="AC290" s="42">
        <f>'[2]поточний ремонт'!AC290+'[1]поточний ремонт'!AC290</f>
        <v>457</v>
      </c>
      <c r="AD290" s="42">
        <f>'[2]поточний ремонт'!AD290+'[1]поточний ремонт'!AD290</f>
        <v>3166.6582639794706</v>
      </c>
      <c r="AE290" s="42">
        <f>'[2]поточний ремонт'!AE290+'[1]поточний ремонт'!AE290</f>
        <v>1651.21269126588</v>
      </c>
      <c r="AF290" s="42">
        <f>'[2]поточний ремонт'!AF290+'[1]поточний ремонт'!AF290</f>
        <v>431.24298690662943</v>
      </c>
      <c r="AG290" s="5"/>
      <c r="AH290" s="42">
        <f>'[2]поточний ремонт'!AH290+'[1]поточний ремонт'!AH290</f>
        <v>2779.6051397758611</v>
      </c>
      <c r="AI290" s="42">
        <f>'[2]поточний ремонт'!AI290+'[1]поточний ремонт'!AI290</f>
        <v>7036.4628755305421</v>
      </c>
      <c r="AJ290" s="965"/>
      <c r="AK290" s="42">
        <f>'[2]поточний ремонт'!AK290+'[1]поточний ремонт'!AK290</f>
        <v>1510.6735106614535</v>
      </c>
      <c r="AL290" s="42">
        <f>'[2]поточний ремонт'!AL290+'[1]поточний ремонт'!AL290</f>
        <v>0</v>
      </c>
      <c r="AM290" s="5"/>
      <c r="AN290" s="42">
        <f>'[2]поточний ремонт'!AN290+'[1]поточний ремонт'!AN290</f>
        <v>0</v>
      </c>
      <c r="AO290" s="42">
        <f>'[2]поточний ремонт'!AO290+'[1]поточний ремонт'!AO290</f>
        <v>0</v>
      </c>
      <c r="AP290" s="5"/>
      <c r="AQ290" s="42">
        <f>'[2]поточний ремонт'!AQ290+'[1]поточний ремонт'!AQ290</f>
        <v>525.15826113089702</v>
      </c>
      <c r="AR290" s="42">
        <f>'[2]поточний ремонт'!AR290+'[1]поточний ремонт'!AR290</f>
        <v>0</v>
      </c>
      <c r="AS290" s="5"/>
      <c r="AT290" s="42">
        <f>'[2]поточний ремонт'!AT290+'[1]поточний ремонт'!AT290</f>
        <v>2495.9205428392424</v>
      </c>
      <c r="AU290" s="42">
        <f>'[2]поточний ремонт'!AU290+'[1]поточний ремонт'!AU290</f>
        <v>0</v>
      </c>
      <c r="AV290" s="5"/>
      <c r="AW290" s="42">
        <f>'[2]поточний ремонт'!AW290+'[1]поточний ремонт'!AW290</f>
        <v>150.58016947048469</v>
      </c>
      <c r="AX290" s="42">
        <f>'[2]поточний ремонт'!AX290+'[1]поточний ремонт'!AX290</f>
        <v>0</v>
      </c>
      <c r="AY290" s="5"/>
      <c r="AZ290" s="42">
        <f t="shared" si="40"/>
        <v>9113.1503151438174</v>
      </c>
      <c r="BA290" s="42">
        <f t="shared" si="41"/>
        <v>7467.7058624371712</v>
      </c>
      <c r="BB290" s="58">
        <f t="shared" si="42"/>
        <v>-1645.4444527066462</v>
      </c>
      <c r="BD290" s="2">
        <v>3</v>
      </c>
      <c r="BF290" s="29">
        <v>463.76152734639317</v>
      </c>
      <c r="BG290" s="318">
        <v>150000713</v>
      </c>
      <c r="BI290" s="104">
        <v>0</v>
      </c>
      <c r="BJ290" s="104">
        <f t="shared" si="43"/>
        <v>0</v>
      </c>
      <c r="BK290" s="104">
        <v>0</v>
      </c>
      <c r="BL290" s="38"/>
      <c r="BM290" s="3"/>
      <c r="BN290" s="3">
        <v>0</v>
      </c>
      <c r="BP290" s="3"/>
      <c r="BQ290" s="3"/>
      <c r="BS290" s="42"/>
      <c r="BT290" s="42">
        <v>0</v>
      </c>
      <c r="BU290" s="958"/>
      <c r="BV290" s="41"/>
      <c r="BW290" s="42"/>
      <c r="BX290" s="36"/>
      <c r="BY290" s="76"/>
      <c r="BZ290" s="42">
        <v>0</v>
      </c>
      <c r="CA290" s="959"/>
      <c r="CB290" s="41"/>
      <c r="CC290" s="41">
        <v>0</v>
      </c>
      <c r="CD290" s="960"/>
      <c r="CE290" s="76">
        <v>0</v>
      </c>
      <c r="CF290" s="55"/>
      <c r="CG290" s="41">
        <v>0</v>
      </c>
      <c r="CH290" s="38">
        <v>0</v>
      </c>
      <c r="CI290" s="76">
        <v>0</v>
      </c>
      <c r="CJ290" s="55"/>
      <c r="CK290" s="955"/>
      <c r="CL290" s="950"/>
      <c r="CM290" s="955"/>
      <c r="CN290" s="950">
        <v>3162.3587716376001</v>
      </c>
      <c r="CO290" s="76">
        <v>298.85430920380639</v>
      </c>
      <c r="CP290" s="42">
        <v>0</v>
      </c>
      <c r="CQ290" s="5"/>
      <c r="CR290" s="76">
        <v>487.42469535987755</v>
      </c>
      <c r="CS290" s="954">
        <v>0</v>
      </c>
      <c r="CT290" s="965"/>
      <c r="CU290" s="76">
        <v>283.80813434453808</v>
      </c>
      <c r="CV290" s="42">
        <v>0</v>
      </c>
      <c r="CW290" s="5"/>
      <c r="CX290" s="76">
        <v>0</v>
      </c>
      <c r="CY290" s="42">
        <v>0</v>
      </c>
      <c r="CZ290" s="5"/>
      <c r="DA290" s="76">
        <v>169.40589068738615</v>
      </c>
      <c r="DB290" s="42">
        <v>0</v>
      </c>
      <c r="DC290" s="5"/>
      <c r="DD290" s="76">
        <v>260.84339930726316</v>
      </c>
      <c r="DE290" s="42">
        <v>0</v>
      </c>
      <c r="DF290" s="5"/>
      <c r="DG290" s="76">
        <v>0</v>
      </c>
      <c r="DH290" s="42"/>
      <c r="DI290" s="5"/>
      <c r="DJ290" s="42">
        <v>1500.3364289028711</v>
      </c>
      <c r="DK290" s="42">
        <f t="shared" si="44"/>
        <v>0</v>
      </c>
      <c r="DL290" s="58">
        <f t="shared" si="45"/>
        <v>-1500.3364289028711</v>
      </c>
      <c r="DM290" s="2">
        <v>3</v>
      </c>
    </row>
    <row r="291" spans="1:117" ht="24.9" customHeight="1" x14ac:dyDescent="0.3">
      <c r="A291" s="318">
        <v>150000714</v>
      </c>
      <c r="B291" s="44" t="s">
        <v>1800</v>
      </c>
      <c r="C291" s="956">
        <v>5</v>
      </c>
      <c r="D291" s="957" t="s">
        <v>454</v>
      </c>
      <c r="E291" s="949">
        <f>'побудинковий звіт'!E231</f>
        <v>6746.86</v>
      </c>
      <c r="F291" s="950">
        <f>'побудинковий звіт'!AS231</f>
        <v>107828.5932458934</v>
      </c>
      <c r="G291" s="950">
        <f t="shared" si="38"/>
        <v>25471.432212581967</v>
      </c>
      <c r="H291" s="950">
        <f t="shared" si="39"/>
        <v>-82357.161033311422</v>
      </c>
      <c r="I291" s="42">
        <f>'[2]поточний ремонт'!I291+'[1]поточний ремонт'!I291</f>
        <v>83</v>
      </c>
      <c r="J291" s="42">
        <f>'[2]поточний ремонт'!J291+'[1]поточний ремонт'!J291</f>
        <v>25471.432212581967</v>
      </c>
      <c r="K291" s="958"/>
      <c r="L291" s="42">
        <f>'[2]поточний ремонт'!L291+'[1]поточний ремонт'!L291</f>
        <v>0</v>
      </c>
      <c r="M291" s="42">
        <f>'[2]поточний ремонт'!M291+'[1]поточний ремонт'!M291</f>
        <v>0</v>
      </c>
      <c r="N291" s="36"/>
      <c r="O291" s="42">
        <f>'[2]поточний ремонт'!O291+'[1]поточний ремонт'!O291</f>
        <v>0</v>
      </c>
      <c r="P291" s="42">
        <f>'[2]поточний ремонт'!P291+'[1]поточний ремонт'!P291</f>
        <v>0</v>
      </c>
      <c r="Q291" s="959"/>
      <c r="R291" s="42">
        <f>'[2]поточний ремонт'!R291+'[1]поточний ремонт'!R291</f>
        <v>0</v>
      </c>
      <c r="S291" s="42">
        <f>'[2]поточний ремонт'!S291+'[1]поточний ремонт'!S291</f>
        <v>0</v>
      </c>
      <c r="T291" s="960"/>
      <c r="U291" s="42">
        <f>'[2]поточний ремонт'!U291+'[1]поточний ремонт'!U291</f>
        <v>0</v>
      </c>
      <c r="V291" s="42">
        <f>'[2]поточний ремонт'!V291+'[1]поточний ремонт'!V291</f>
        <v>0</v>
      </c>
      <c r="W291" s="42">
        <f>'[2]поточний ремонт'!W291+'[1]поточний ремонт'!W291</f>
        <v>0</v>
      </c>
      <c r="X291" s="42">
        <f>'[2]поточний ремонт'!X291+'[1]поточний ремонт'!X291</f>
        <v>0</v>
      </c>
      <c r="Y291" s="42">
        <f>'[2]поточний ремонт'!Y291+'[1]поточний ремонт'!Y291</f>
        <v>0</v>
      </c>
      <c r="Z291" s="42">
        <f>'[2]поточний ремонт'!Z291+'[1]поточний ремонт'!Z291</f>
        <v>0</v>
      </c>
      <c r="AA291" s="42">
        <f>'[2]поточний ремонт'!AA291+'[1]поточний ремонт'!AA291</f>
        <v>0</v>
      </c>
      <c r="AB291" s="42">
        <f>'[2]поточний ремонт'!AB291+'[1]поточний ремонт'!AB291</f>
        <v>0</v>
      </c>
      <c r="AC291" s="42">
        <f>'[2]поточний ремонт'!AC291+'[1]поточний ремонт'!AC291</f>
        <v>0</v>
      </c>
      <c r="AD291" s="42">
        <f>'[2]поточний ремонт'!AD291+'[1]поточний ремонт'!AD291</f>
        <v>0</v>
      </c>
      <c r="AE291" s="42">
        <f>'[2]поточний ремонт'!AE291+'[1]поточний ремонт'!AE291</f>
        <v>1751.2331946188085</v>
      </c>
      <c r="AF291" s="42">
        <f>'[2]поточний ремонт'!AF291+'[1]поточний ремонт'!AF291</f>
        <v>3184.9763105876091</v>
      </c>
      <c r="AG291" s="965"/>
      <c r="AH291" s="42">
        <f>'[2]поточний ремонт'!AH291+'[1]поточний ремонт'!AH291</f>
        <v>2586.1569221429609</v>
      </c>
      <c r="AI291" s="42">
        <f>'[2]поточний ремонт'!AI291+'[1]поточний ремонт'!AI291</f>
        <v>666.0646154291527</v>
      </c>
      <c r="AJ291" s="5"/>
      <c r="AK291" s="42">
        <f>'[2]поточний ремонт'!AK291+'[1]поточний ремонт'!AK291</f>
        <v>651.38370751761738</v>
      </c>
      <c r="AL291" s="42">
        <f>'[2]поточний ремонт'!AL291+'[1]поточний ремонт'!AL291</f>
        <v>0</v>
      </c>
      <c r="AM291" s="5"/>
      <c r="AN291" s="42">
        <f>'[2]поточний ремонт'!AN291+'[1]поточний ремонт'!AN291</f>
        <v>0</v>
      </c>
      <c r="AO291" s="42">
        <f>'[2]поточний ремонт'!AO291+'[1]поточний ремонт'!AO291</f>
        <v>0</v>
      </c>
      <c r="AP291" s="5"/>
      <c r="AQ291" s="42">
        <f>'[2]поточний ремонт'!AQ291+'[1]поточний ремонт'!AQ291</f>
        <v>0</v>
      </c>
      <c r="AR291" s="42">
        <f>'[2]поточний ремонт'!AR291+'[1]поточний ремонт'!AR291</f>
        <v>0</v>
      </c>
      <c r="AS291" s="5"/>
      <c r="AT291" s="42">
        <f>'[2]поточний ремонт'!AT291+'[1]поточний ремонт'!AT291</f>
        <v>1643.2919988847061</v>
      </c>
      <c r="AU291" s="42">
        <f>'[2]поточний ремонт'!AU291+'[1]поточний ремонт'!AU291</f>
        <v>3019.4716439340618</v>
      </c>
      <c r="AV291" s="5"/>
      <c r="AW291" s="42">
        <f>'[2]поточний ремонт'!AW291+'[1]поточний ремонт'!AW291</f>
        <v>75.290084735242345</v>
      </c>
      <c r="AX291" s="42">
        <f>'[2]поточний ремонт'!AX291+'[1]поточний ремонт'!AX291</f>
        <v>371.38792017384003</v>
      </c>
      <c r="AY291" s="5"/>
      <c r="AZ291" s="42">
        <f t="shared" si="40"/>
        <v>6707.3559078993349</v>
      </c>
      <c r="BA291" s="42">
        <f t="shared" si="41"/>
        <v>7241.9004901246635</v>
      </c>
      <c r="BB291" s="58">
        <f t="shared" si="42"/>
        <v>534.54458222532867</v>
      </c>
      <c r="BD291" s="2">
        <v>3</v>
      </c>
      <c r="BF291" s="29">
        <v>206.77903561340952</v>
      </c>
      <c r="BG291" s="318">
        <v>150000714</v>
      </c>
      <c r="BI291" s="104">
        <v>0</v>
      </c>
      <c r="BJ291" s="104">
        <f t="shared" si="43"/>
        <v>0</v>
      </c>
      <c r="BK291" s="104">
        <v>0</v>
      </c>
      <c r="BL291" s="38"/>
      <c r="BM291" s="3"/>
      <c r="BN291" s="3">
        <v>0</v>
      </c>
      <c r="BP291" s="3"/>
      <c r="BQ291" s="3"/>
      <c r="BS291" s="42"/>
      <c r="BT291" s="42">
        <v>0</v>
      </c>
      <c r="BU291" s="958"/>
      <c r="BV291" s="41"/>
      <c r="BW291" s="42"/>
      <c r="BX291" s="36"/>
      <c r="BY291" s="76"/>
      <c r="BZ291" s="42">
        <v>0</v>
      </c>
      <c r="CA291" s="959"/>
      <c r="CB291" s="41"/>
      <c r="CC291" s="41">
        <v>0</v>
      </c>
      <c r="CD291" s="960"/>
      <c r="CE291" s="76">
        <v>0</v>
      </c>
      <c r="CF291" s="55"/>
      <c r="CG291" s="41">
        <v>0</v>
      </c>
      <c r="CH291" s="38">
        <v>0</v>
      </c>
      <c r="CI291" s="76">
        <v>0</v>
      </c>
      <c r="CJ291" s="55"/>
      <c r="CK291" s="955"/>
      <c r="CL291" s="950"/>
      <c r="CM291" s="955"/>
      <c r="CN291" s="950">
        <v>0</v>
      </c>
      <c r="CO291" s="76">
        <v>146.81181237629167</v>
      </c>
      <c r="CP291" s="42">
        <v>1258.4350889463108</v>
      </c>
      <c r="CQ291" s="965"/>
      <c r="CR291" s="76">
        <v>239.52674765127369</v>
      </c>
      <c r="CS291" s="954">
        <v>0</v>
      </c>
      <c r="CT291" s="5"/>
      <c r="CU291" s="76">
        <v>125.89340677497562</v>
      </c>
      <c r="CV291" s="42">
        <v>0</v>
      </c>
      <c r="CW291" s="5"/>
      <c r="CX291" s="76">
        <v>0</v>
      </c>
      <c r="CY291" s="42">
        <v>0</v>
      </c>
      <c r="CZ291" s="5"/>
      <c r="DA291" s="76">
        <v>0</v>
      </c>
      <c r="DB291" s="42">
        <v>0</v>
      </c>
      <c r="DC291" s="5"/>
      <c r="DD291" s="76">
        <v>88.056980360418066</v>
      </c>
      <c r="DE291" s="42">
        <v>0</v>
      </c>
      <c r="DF291" s="5"/>
      <c r="DG291" s="76">
        <v>0</v>
      </c>
      <c r="DH291" s="42"/>
      <c r="DI291" s="5"/>
      <c r="DJ291" s="42">
        <v>600.28894716295895</v>
      </c>
      <c r="DK291" s="42">
        <f t="shared" si="44"/>
        <v>1258.4350889463108</v>
      </c>
      <c r="DL291" s="58">
        <f t="shared" si="45"/>
        <v>658.14614178335182</v>
      </c>
      <c r="DM291" s="2">
        <v>3</v>
      </c>
    </row>
    <row r="292" spans="1:117" ht="24.9" customHeight="1" x14ac:dyDescent="0.3">
      <c r="A292" s="318">
        <v>150000715</v>
      </c>
      <c r="B292" s="44" t="s">
        <v>1801</v>
      </c>
      <c r="C292" s="956">
        <v>5</v>
      </c>
      <c r="D292" s="957" t="s">
        <v>454</v>
      </c>
      <c r="E292" s="949">
        <f>'побудинковий звіт'!E232</f>
        <v>3267</v>
      </c>
      <c r="F292" s="950">
        <f>'побудинковий звіт'!AS232</f>
        <v>47439.826226644233</v>
      </c>
      <c r="G292" s="950">
        <f t="shared" si="38"/>
        <v>10270.434848994653</v>
      </c>
      <c r="H292" s="950">
        <f t="shared" si="39"/>
        <v>-37169.391377649576</v>
      </c>
      <c r="I292" s="42">
        <f>'[2]поточний ремонт'!I292+'[1]поточний ремонт'!I292</f>
        <v>0</v>
      </c>
      <c r="J292" s="42">
        <f>'[2]поточний ремонт'!J292+'[1]поточний ремонт'!J292</f>
        <v>0</v>
      </c>
      <c r="K292" s="958"/>
      <c r="L292" s="42">
        <f>'[2]поточний ремонт'!L292+'[1]поточний ремонт'!L292</f>
        <v>0</v>
      </c>
      <c r="M292" s="42">
        <f>'[2]поточний ремонт'!M292+'[1]поточний ремонт'!M292</f>
        <v>0</v>
      </c>
      <c r="N292" s="36"/>
      <c r="O292" s="42">
        <f>'[2]поточний ремонт'!O292+'[1]поточний ремонт'!O292</f>
        <v>0</v>
      </c>
      <c r="P292" s="42">
        <f>'[2]поточний ремонт'!P292+'[1]поточний ремонт'!P292</f>
        <v>0</v>
      </c>
      <c r="Q292" s="959"/>
      <c r="R292" s="42">
        <f>'[2]поточний ремонт'!R292+'[1]поточний ремонт'!R292</f>
        <v>0</v>
      </c>
      <c r="S292" s="42">
        <f>'[2]поточний ремонт'!S292+'[1]поточний ремонт'!S292</f>
        <v>0</v>
      </c>
      <c r="T292" s="960"/>
      <c r="U292" s="42">
        <f>'[2]поточний ремонт'!U292+'[1]поточний ремонт'!U292</f>
        <v>0</v>
      </c>
      <c r="V292" s="42">
        <f>'[2]поточний ремонт'!V292+'[1]поточний ремонт'!V292</f>
        <v>0</v>
      </c>
      <c r="W292" s="42">
        <f>'[2]поточний ремонт'!W292+'[1]поточний ремонт'!W292</f>
        <v>13</v>
      </c>
      <c r="X292" s="42">
        <f>'[2]поточний ремонт'!X292+'[1]поточний ремонт'!X292</f>
        <v>949.77390088341679</v>
      </c>
      <c r="Y292" s="42">
        <f>'[2]поточний ремонт'!Y292+'[1]поточний ремонт'!Y292</f>
        <v>7297.3852973104567</v>
      </c>
      <c r="Z292" s="42">
        <f>'[2]поточний ремонт'!Z292+'[1]поточний ремонт'!Z292</f>
        <v>0</v>
      </c>
      <c r="AA292" s="42">
        <f>'[2]поточний ремонт'!AA292+'[1]поточний ремонт'!AA292</f>
        <v>0</v>
      </c>
      <c r="AB292" s="42">
        <f>'[2]поточний ремонт'!AB292+'[1]поточний ремонт'!AB292</f>
        <v>1769.3446883031322</v>
      </c>
      <c r="AC292" s="42">
        <f>'[2]поточний ремонт'!AC292+'[1]поточний ремонт'!AC292</f>
        <v>0</v>
      </c>
      <c r="AD292" s="42">
        <f>'[2]поточний ремонт'!AD292+'[1]поточний ремонт'!AD292</f>
        <v>253.93096249764827</v>
      </c>
      <c r="AE292" s="42">
        <f>'[2]поточний ремонт'!AE292+'[1]поточний ремонт'!AE292</f>
        <v>1507.9577197041594</v>
      </c>
      <c r="AF292" s="42">
        <f>'[2]поточний ремонт'!AF292+'[1]поточний ремонт'!AF292</f>
        <v>1153.9366216582528</v>
      </c>
      <c r="AG292" s="5"/>
      <c r="AH292" s="42">
        <f>'[2]поточний ремонт'!AH292+'[1]поточний ремонт'!AH292</f>
        <v>2615.1762325356922</v>
      </c>
      <c r="AI292" s="42">
        <f>'[2]поточний ремонт'!AI292+'[1]поточний ремонт'!AI292</f>
        <v>3993.3854926809418</v>
      </c>
      <c r="AJ292" s="5"/>
      <c r="AK292" s="42">
        <f>'[2]поточний ремонт'!AK292+'[1]поточний ремонт'!AK292</f>
        <v>1679.8244377596443</v>
      </c>
      <c r="AL292" s="42">
        <f>'[2]поточний ремонт'!AL292+'[1]поточний ремонт'!AL292</f>
        <v>0</v>
      </c>
      <c r="AM292" s="979"/>
      <c r="AN292" s="42">
        <f>'[2]поточний ремонт'!AN292+'[1]поточний ремонт'!AN292</f>
        <v>0</v>
      </c>
      <c r="AO292" s="42">
        <f>'[2]поточний ремонт'!AO292+'[1]поточний ремонт'!AO292</f>
        <v>0</v>
      </c>
      <c r="AP292" s="5"/>
      <c r="AQ292" s="42">
        <f>'[2]поточний ремонт'!AQ292+'[1]поточний ремонт'!AQ292</f>
        <v>346.21506606465647</v>
      </c>
      <c r="AR292" s="42">
        <f>'[2]поточний ремонт'!AR292+'[1]поточний ремонт'!AR292</f>
        <v>0</v>
      </c>
      <c r="AS292" s="5"/>
      <c r="AT292" s="42">
        <f>'[2]поточний ремонт'!AT292+'[1]поточний ремонт'!AT292</f>
        <v>1705.9980173357742</v>
      </c>
      <c r="AU292" s="42">
        <f>'[2]поточний ремонт'!AU292+'[1]поточний ремонт'!AU292</f>
        <v>0</v>
      </c>
      <c r="AV292" s="9"/>
      <c r="AW292" s="42">
        <f>'[2]поточний ремонт'!AW292+'[1]поточний ремонт'!AW292</f>
        <v>131.75764828667408</v>
      </c>
      <c r="AX292" s="42">
        <f>'[2]поточний ремонт'!AX292+'[1]поточний ремонт'!AX292</f>
        <v>0</v>
      </c>
      <c r="AY292" s="5"/>
      <c r="AZ292" s="42">
        <f t="shared" si="40"/>
        <v>7986.9291216866013</v>
      </c>
      <c r="BA292" s="42">
        <f t="shared" si="41"/>
        <v>5147.3221143391947</v>
      </c>
      <c r="BB292" s="58">
        <f t="shared" si="42"/>
        <v>-2839.6070073474066</v>
      </c>
      <c r="BD292" s="2">
        <v>3</v>
      </c>
      <c r="BF292" s="29">
        <v>342.38667371126445</v>
      </c>
      <c r="BG292" s="318">
        <v>150000715</v>
      </c>
      <c r="BI292" s="104">
        <v>0</v>
      </c>
      <c r="BJ292" s="104">
        <f t="shared" si="43"/>
        <v>0</v>
      </c>
      <c r="BK292" s="104">
        <v>0</v>
      </c>
      <c r="BL292" s="38"/>
      <c r="BM292" s="3"/>
      <c r="BN292" s="3">
        <v>0</v>
      </c>
      <c r="BP292" s="3"/>
      <c r="BQ292" s="3"/>
      <c r="BS292" s="42"/>
      <c r="BT292" s="42">
        <v>0</v>
      </c>
      <c r="BU292" s="958"/>
      <c r="BV292" s="41"/>
      <c r="BW292" s="42"/>
      <c r="BX292" s="36"/>
      <c r="BY292" s="76"/>
      <c r="BZ292" s="42">
        <v>0</v>
      </c>
      <c r="CA292" s="959"/>
      <c r="CB292" s="41"/>
      <c r="CC292" s="41">
        <v>0</v>
      </c>
      <c r="CD292" s="960"/>
      <c r="CE292" s="76">
        <v>0</v>
      </c>
      <c r="CF292" s="55"/>
      <c r="CG292" s="41">
        <v>0</v>
      </c>
      <c r="CH292" s="38">
        <v>0</v>
      </c>
      <c r="CI292" s="76">
        <v>0</v>
      </c>
      <c r="CJ292" s="55"/>
      <c r="CK292" s="955"/>
      <c r="CL292" s="950"/>
      <c r="CM292" s="955"/>
      <c r="CN292" s="950">
        <v>0</v>
      </c>
      <c r="CO292" s="76">
        <v>227.169083222198</v>
      </c>
      <c r="CP292" s="42">
        <v>0</v>
      </c>
      <c r="CQ292" s="5"/>
      <c r="CR292" s="76">
        <v>365.65351602749274</v>
      </c>
      <c r="CS292" s="954">
        <v>0</v>
      </c>
      <c r="CT292" s="5"/>
      <c r="CU292" s="76">
        <v>209.65651068058494</v>
      </c>
      <c r="CV292" s="42">
        <v>0</v>
      </c>
      <c r="CW292" s="979"/>
      <c r="CX292" s="76">
        <v>0</v>
      </c>
      <c r="CY292" s="42">
        <v>0</v>
      </c>
      <c r="CZ292" s="5"/>
      <c r="DA292" s="76">
        <v>111.67168868821882</v>
      </c>
      <c r="DB292" s="42">
        <v>0</v>
      </c>
      <c r="DC292" s="5"/>
      <c r="DD292" s="76">
        <v>167.13901080783566</v>
      </c>
      <c r="DE292" s="42">
        <v>0</v>
      </c>
      <c r="DF292" s="9"/>
      <c r="DG292" s="76">
        <v>0</v>
      </c>
      <c r="DH292" s="42"/>
      <c r="DI292" s="5"/>
      <c r="DJ292" s="42">
        <v>1081.2898094263301</v>
      </c>
      <c r="DK292" s="42">
        <f t="shared" si="44"/>
        <v>0</v>
      </c>
      <c r="DL292" s="58">
        <f t="shared" si="45"/>
        <v>-1081.2898094263301</v>
      </c>
      <c r="DM292" s="2">
        <v>3</v>
      </c>
    </row>
    <row r="293" spans="1:117" ht="24.9" customHeight="1" x14ac:dyDescent="0.3">
      <c r="A293" s="318">
        <v>150000719</v>
      </c>
      <c r="B293" s="44" t="s">
        <v>1802</v>
      </c>
      <c r="C293" s="956">
        <v>5</v>
      </c>
      <c r="D293" s="957" t="s">
        <v>454</v>
      </c>
      <c r="E293" s="949">
        <f>'побудинковий звіт'!E233</f>
        <v>6618.95</v>
      </c>
      <c r="F293" s="950">
        <f>'побудинковий звіт'!AS233</f>
        <v>110336.95272689432</v>
      </c>
      <c r="G293" s="950">
        <f t="shared" si="38"/>
        <v>32008.837269278545</v>
      </c>
      <c r="H293" s="950">
        <f t="shared" si="39"/>
        <v>-78328.115457615771</v>
      </c>
      <c r="I293" s="42">
        <f>'[2]поточний ремонт'!I293+'[1]поточний ремонт'!I293</f>
        <v>16.440000000000001</v>
      </c>
      <c r="J293" s="42">
        <f>'[2]поточний ремонт'!J293+'[1]поточний ремонт'!J293</f>
        <v>12526.230573945744</v>
      </c>
      <c r="K293" s="958"/>
      <c r="L293" s="42">
        <f>'[2]поточний ремонт'!L293+'[1]поточний ремонт'!L293</f>
        <v>0</v>
      </c>
      <c r="M293" s="42">
        <f>'[2]поточний ремонт'!M293+'[1]поточний ремонт'!M293</f>
        <v>0</v>
      </c>
      <c r="N293" s="968"/>
      <c r="O293" s="42">
        <f>'[2]поточний ремонт'!O293+'[1]поточний ремонт'!O293</f>
        <v>0</v>
      </c>
      <c r="P293" s="42">
        <f>'[2]поточний ремонт'!P293+'[1]поточний ремонт'!P293</f>
        <v>0</v>
      </c>
      <c r="Q293" s="959"/>
      <c r="R293" s="42">
        <f>'[2]поточний ремонт'!R293+'[1]поточний ремонт'!R293</f>
        <v>0</v>
      </c>
      <c r="S293" s="42">
        <f>'[2]поточний ремонт'!S293+'[1]поточний ремонт'!S293</f>
        <v>0</v>
      </c>
      <c r="T293" s="960"/>
      <c r="U293" s="42">
        <f>'[2]поточний ремонт'!U293+'[1]поточний ремонт'!U293</f>
        <v>0</v>
      </c>
      <c r="V293" s="42">
        <f>'[2]поточний ремонт'!V293+'[1]поточний ремонт'!V293</f>
        <v>0</v>
      </c>
      <c r="W293" s="42">
        <f>'[2]поточний ремонт'!W293+'[1]поточний ремонт'!W293</f>
        <v>0</v>
      </c>
      <c r="X293" s="42">
        <f>'[2]поточний ремонт'!X293+'[1]поточний ремонт'!X293</f>
        <v>0</v>
      </c>
      <c r="Y293" s="42">
        <f>'[2]поточний ремонт'!Y293+'[1]поточний ремонт'!Y293</f>
        <v>5490.0723346168297</v>
      </c>
      <c r="Z293" s="42">
        <f>'[2]поточний ремонт'!Z293+'[1]поточний ремонт'!Z293</f>
        <v>0</v>
      </c>
      <c r="AA293" s="42">
        <f>'[2]поточний ремонт'!AA293+'[1]поточний ремонт'!AA293</f>
        <v>0</v>
      </c>
      <c r="AB293" s="42">
        <f>'[2]поточний ремонт'!AB293+'[1]поточний ремонт'!AB293</f>
        <v>8446.316756394388</v>
      </c>
      <c r="AC293" s="42">
        <f>'[2]поточний ремонт'!AC293+'[1]поточний ремонт'!AC293</f>
        <v>2006.4134109018471</v>
      </c>
      <c r="AD293" s="42">
        <f>'[2]поточний ремонт'!AD293+'[1]поточний ремонт'!AD293</f>
        <v>3539.8041934197354</v>
      </c>
      <c r="AE293" s="42">
        <f>'[2]поточний ремонт'!AE293+'[1]поточний ремонт'!AE293</f>
        <v>2871.7951175785438</v>
      </c>
      <c r="AF293" s="42">
        <f>'[2]поточний ремонт'!AF293+'[1]поточний ремонт'!AF293</f>
        <v>0</v>
      </c>
      <c r="AG293" s="9"/>
      <c r="AH293" s="42">
        <f>'[2]поточний ремонт'!AH293+'[1]поточний ремонт'!AH293</f>
        <v>4508.7318383685215</v>
      </c>
      <c r="AI293" s="42">
        <f>'[2]поточний ремонт'!AI293+'[1]поточний ремонт'!AI293</f>
        <v>0</v>
      </c>
      <c r="AJ293" s="9"/>
      <c r="AK293" s="42">
        <f>'[2]поточний ремонт'!AK293+'[1]поточний ремонт'!AK293</f>
        <v>3629.4284412281609</v>
      </c>
      <c r="AL293" s="42">
        <f>'[2]поточний ремонт'!AL293+'[1]поточний ремонт'!AL293</f>
        <v>8140.446216658981</v>
      </c>
      <c r="AM293" s="5"/>
      <c r="AN293" s="42">
        <f>'[2]поточний ремонт'!AN293+'[1]поточний ремонт'!AN293</f>
        <v>707.57373791742839</v>
      </c>
      <c r="AO293" s="42">
        <f>'[2]поточний ремонт'!AO293+'[1]поточний ремонт'!AO293</f>
        <v>0</v>
      </c>
      <c r="AP293" s="5"/>
      <c r="AQ293" s="42">
        <f>'[2]поточний ремонт'!AQ293+'[1]поточний ремонт'!AQ293</f>
        <v>1115.598519296494</v>
      </c>
      <c r="AR293" s="42">
        <f>'[2]поточний ремонт'!AR293+'[1]поточний ремонт'!AR293</f>
        <v>4686.7614884431332</v>
      </c>
      <c r="AS293" s="5"/>
      <c r="AT293" s="42">
        <f>'[2]поточний ремонт'!AT293+'[1]поточний ремонт'!AT293</f>
        <v>2959.4337903300889</v>
      </c>
      <c r="AU293" s="42">
        <f>'[2]поточний ремонт'!AU293+'[1]поточний ремонт'!AU293</f>
        <v>5629.9794545575023</v>
      </c>
      <c r="AV293" s="9"/>
      <c r="AW293" s="42">
        <f>'[2]поточний ремонт'!AW293+'[1]поточний ремонт'!AW293</f>
        <v>150.58016947048469</v>
      </c>
      <c r="AX293" s="42">
        <f>'[2]поточний ремонт'!AX293+'[1]поточний ремонт'!AX293</f>
        <v>7310.2206392330872</v>
      </c>
      <c r="AY293" s="5"/>
      <c r="AZ293" s="42">
        <f t="shared" si="40"/>
        <v>15943.141614189723</v>
      </c>
      <c r="BA293" s="42">
        <f t="shared" si="41"/>
        <v>25767.407798892706</v>
      </c>
      <c r="BB293" s="58">
        <f t="shared" si="42"/>
        <v>9824.2661847029831</v>
      </c>
      <c r="BD293" s="2">
        <v>3</v>
      </c>
      <c r="BF293" s="29">
        <v>477.67079148105228</v>
      </c>
      <c r="BG293" s="318">
        <v>150000719</v>
      </c>
      <c r="BI293" s="104">
        <v>0</v>
      </c>
      <c r="BJ293" s="104">
        <f t="shared" si="43"/>
        <v>0</v>
      </c>
      <c r="BK293" s="104">
        <v>0</v>
      </c>
      <c r="BL293" s="38"/>
      <c r="BM293" s="3"/>
      <c r="BN293" s="3">
        <v>0</v>
      </c>
      <c r="BP293" s="3"/>
      <c r="BQ293" s="3"/>
      <c r="BS293" s="42"/>
      <c r="BT293" s="42">
        <v>0</v>
      </c>
      <c r="BU293" s="958"/>
      <c r="BV293" s="41"/>
      <c r="BW293" s="42"/>
      <c r="BX293" s="968"/>
      <c r="BY293" s="76"/>
      <c r="BZ293" s="42">
        <v>0</v>
      </c>
      <c r="CA293" s="959"/>
      <c r="CB293" s="41"/>
      <c r="CC293" s="41">
        <v>0</v>
      </c>
      <c r="CD293" s="960"/>
      <c r="CE293" s="76">
        <v>0</v>
      </c>
      <c r="CF293" s="55"/>
      <c r="CG293" s="41">
        <v>0</v>
      </c>
      <c r="CH293" s="38">
        <v>0</v>
      </c>
      <c r="CI293" s="76">
        <v>5404.7241582060624</v>
      </c>
      <c r="CJ293" s="964"/>
      <c r="CK293" s="955"/>
      <c r="CL293" s="950"/>
      <c r="CM293" s="955"/>
      <c r="CN293" s="950">
        <v>0</v>
      </c>
      <c r="CO293" s="76">
        <v>299.28233968193547</v>
      </c>
      <c r="CP293" s="42">
        <v>0</v>
      </c>
      <c r="CQ293" s="9"/>
      <c r="CR293" s="76">
        <v>487.7646325448934</v>
      </c>
      <c r="CS293" s="954">
        <v>0</v>
      </c>
      <c r="CT293" s="9"/>
      <c r="CU293" s="76">
        <v>284.30287915234493</v>
      </c>
      <c r="CV293" s="42">
        <v>0</v>
      </c>
      <c r="CW293" s="5"/>
      <c r="CX293" s="76">
        <v>0</v>
      </c>
      <c r="CY293" s="42">
        <v>0</v>
      </c>
      <c r="CZ293" s="5"/>
      <c r="DA293" s="76">
        <v>169.40589068738615</v>
      </c>
      <c r="DB293" s="42">
        <v>0</v>
      </c>
      <c r="DC293" s="5"/>
      <c r="DD293" s="76">
        <v>271.49675065849686</v>
      </c>
      <c r="DE293" s="42">
        <v>0</v>
      </c>
      <c r="DF293" s="9"/>
      <c r="DG293" s="76">
        <v>0</v>
      </c>
      <c r="DH293" s="42"/>
      <c r="DI293" s="5"/>
      <c r="DJ293" s="42">
        <v>1512.2524927250568</v>
      </c>
      <c r="DK293" s="42">
        <f t="shared" si="44"/>
        <v>0</v>
      </c>
      <c r="DL293" s="58">
        <f t="shared" si="45"/>
        <v>-1512.2524927250568</v>
      </c>
      <c r="DM293" s="2">
        <v>3</v>
      </c>
    </row>
    <row r="294" spans="1:117" ht="24.9" customHeight="1" x14ac:dyDescent="0.3">
      <c r="A294" s="318">
        <v>150000716</v>
      </c>
      <c r="B294" s="44" t="s">
        <v>1803</v>
      </c>
      <c r="C294" s="956">
        <v>5</v>
      </c>
      <c r="D294" s="957" t="s">
        <v>454</v>
      </c>
      <c r="E294" s="949">
        <f>'побудинковий звіт'!E234</f>
        <v>9392.58</v>
      </c>
      <c r="F294" s="950">
        <f>'побудинковий звіт'!AS234</f>
        <v>183048.83020420934</v>
      </c>
      <c r="G294" s="950">
        <f t="shared" si="38"/>
        <v>25198.361947330457</v>
      </c>
      <c r="H294" s="950">
        <f t="shared" si="39"/>
        <v>-157850.4682568789</v>
      </c>
      <c r="I294" s="42">
        <f>'[2]поточний ремонт'!I294+'[1]поточний ремонт'!I294</f>
        <v>69.569999999999993</v>
      </c>
      <c r="J294" s="42">
        <f>'[2]поточний ремонт'!J294+'[1]поточний ремонт'!J294</f>
        <v>22577.382337337989</v>
      </c>
      <c r="K294" s="958"/>
      <c r="L294" s="42">
        <f>'[2]поточний ремонт'!L294+'[1]поточний ремонт'!L294</f>
        <v>0</v>
      </c>
      <c r="M294" s="42">
        <f>'[2]поточний ремонт'!M294+'[1]поточний ремонт'!M294</f>
        <v>0</v>
      </c>
      <c r="N294" s="36"/>
      <c r="O294" s="42">
        <f>'[2]поточний ремонт'!O294+'[1]поточний ремонт'!O294</f>
        <v>0</v>
      </c>
      <c r="P294" s="42">
        <f>'[2]поточний ремонт'!P294+'[1]поточний ремонт'!P294</f>
        <v>0</v>
      </c>
      <c r="Q294" s="959"/>
      <c r="R294" s="42">
        <f>'[2]поточний ремонт'!R294+'[1]поточний ремонт'!R294</f>
        <v>0</v>
      </c>
      <c r="S294" s="42">
        <f>'[2]поточний ремонт'!S294+'[1]поточний ремонт'!S294</f>
        <v>0</v>
      </c>
      <c r="T294" s="960"/>
      <c r="U294" s="42">
        <f>'[2]поточний ремонт'!U294+'[1]поточний ремонт'!U294</f>
        <v>0</v>
      </c>
      <c r="V294" s="42">
        <f>'[2]поточний ремонт'!V294+'[1]поточний ремонт'!V294</f>
        <v>0</v>
      </c>
      <c r="W294" s="42">
        <f>'[2]поточний ремонт'!W294+'[1]поточний ремонт'!W294</f>
        <v>0</v>
      </c>
      <c r="X294" s="42">
        <f>'[2]поточний ремонт'!X294+'[1]поточний ремонт'!X294</f>
        <v>0</v>
      </c>
      <c r="Y294" s="42">
        <f>'[2]поточний ремонт'!Y294+'[1]поточний ремонт'!Y294</f>
        <v>2197.7567845837211</v>
      </c>
      <c r="Z294" s="42">
        <f>'[2]поточний ремонт'!Z294+'[1]поточний ремонт'!Z294</f>
        <v>0</v>
      </c>
      <c r="AA294" s="42">
        <f>'[2]поточний ремонт'!AA294+'[1]поточний ремонт'!AA294</f>
        <v>0</v>
      </c>
      <c r="AB294" s="42">
        <f>'[2]поточний ремонт'!AB294+'[1]поточний ремонт'!AB294</f>
        <v>0</v>
      </c>
      <c r="AC294" s="42">
        <f>'[2]поточний ремонт'!AC294+'[1]поточний ремонт'!AC294</f>
        <v>0</v>
      </c>
      <c r="AD294" s="42">
        <f>'[2]поточний ремонт'!AD294+'[1]поточний ремонт'!AD294</f>
        <v>423.22282540874562</v>
      </c>
      <c r="AE294" s="42">
        <f>'[2]поточний ремонт'!AE294+'[1]поточний ремонт'!AE294</f>
        <v>1545.0788565404282</v>
      </c>
      <c r="AF294" s="42">
        <f>'[2]поточний ремонт'!AF294+'[1]поточний ремонт'!AF294</f>
        <v>0</v>
      </c>
      <c r="AG294" s="5"/>
      <c r="AH294" s="42">
        <f>'[2]поточний ремонт'!AH294+'[1]поточний ремонт'!AH294</f>
        <v>2394.3862040759495</v>
      </c>
      <c r="AI294" s="42">
        <f>'[2]поточний ремонт'!AI294+'[1]поточний ремонт'!AI294</f>
        <v>0</v>
      </c>
      <c r="AJ294" s="5"/>
      <c r="AK294" s="42">
        <f>'[2]поточний ремонт'!AK294+'[1]поточний ремонт'!AK294</f>
        <v>2107.0454267542</v>
      </c>
      <c r="AL294" s="42">
        <f>'[2]поточний ремонт'!AL294+'[1]поточний ремонт'!AL294</f>
        <v>0</v>
      </c>
      <c r="AM294" s="5"/>
      <c r="AN294" s="42">
        <f>'[2]поточний ремонт'!AN294+'[1]поточний ремонт'!AN294</f>
        <v>519.41255181515908</v>
      </c>
      <c r="AO294" s="42">
        <f>'[2]поточний ремонт'!AO294+'[1]поточний ремонт'!AO294</f>
        <v>0</v>
      </c>
      <c r="AP294" s="5"/>
      <c r="AQ294" s="42">
        <f>'[2]поточний ремонт'!AQ294+'[1]поточний ремонт'!AQ294</f>
        <v>230.86432360383978</v>
      </c>
      <c r="AR294" s="42">
        <f>'[2]поточний ремонт'!AR294+'[1]поточний ремонт'!AR294</f>
        <v>0</v>
      </c>
      <c r="AS294" s="5"/>
      <c r="AT294" s="42">
        <f>'[2]поточний ремонт'!AT294+'[1]поточний ремонт'!AT294</f>
        <v>1136.8590479352395</v>
      </c>
      <c r="AU294" s="42">
        <f>'[2]поточний ремонт'!AU294+'[1]поточний ремонт'!AU294</f>
        <v>0</v>
      </c>
      <c r="AV294" s="5"/>
      <c r="AW294" s="42">
        <f>'[2]поточний ремонт'!AW294+'[1]поточний ремонт'!AW294</f>
        <v>100.38677964698979</v>
      </c>
      <c r="AX294" s="42">
        <f>'[2]поточний ремонт'!AX294+'[1]поточний ремонт'!AX294</f>
        <v>0</v>
      </c>
      <c r="AY294" s="5"/>
      <c r="AZ294" s="42">
        <f t="shared" si="40"/>
        <v>8034.0331903718052</v>
      </c>
      <c r="BA294" s="42">
        <f t="shared" si="41"/>
        <v>0</v>
      </c>
      <c r="BB294" s="58">
        <f t="shared" si="42"/>
        <v>-8034.0331903718052</v>
      </c>
      <c r="BD294" s="2">
        <v>3</v>
      </c>
      <c r="BF294" s="29">
        <v>239.30513422381614</v>
      </c>
      <c r="BG294" s="318">
        <v>150000716</v>
      </c>
      <c r="BI294" s="104">
        <v>0</v>
      </c>
      <c r="BJ294" s="104">
        <f t="shared" si="43"/>
        <v>0</v>
      </c>
      <c r="BK294" s="104">
        <v>0</v>
      </c>
      <c r="BL294" s="38"/>
      <c r="BM294" s="3"/>
      <c r="BN294" s="3">
        <v>0</v>
      </c>
      <c r="BP294" s="3"/>
      <c r="BQ294" s="3"/>
      <c r="BS294" s="42"/>
      <c r="BT294" s="42">
        <v>0</v>
      </c>
      <c r="BU294" s="958"/>
      <c r="BV294" s="41"/>
      <c r="BW294" s="42"/>
      <c r="BX294" s="36"/>
      <c r="BY294" s="76"/>
      <c r="BZ294" s="42">
        <v>0</v>
      </c>
      <c r="CA294" s="959"/>
      <c r="CB294" s="41"/>
      <c r="CC294" s="41">
        <v>0</v>
      </c>
      <c r="CD294" s="960"/>
      <c r="CE294" s="76">
        <v>0</v>
      </c>
      <c r="CF294" s="55"/>
      <c r="CG294" s="41">
        <v>0</v>
      </c>
      <c r="CH294" s="38">
        <v>0</v>
      </c>
      <c r="CI294" s="76">
        <v>0</v>
      </c>
      <c r="CJ294" s="55"/>
      <c r="CK294" s="955"/>
      <c r="CL294" s="950"/>
      <c r="CM294" s="955"/>
      <c r="CN294" s="950">
        <v>0</v>
      </c>
      <c r="CO294" s="76">
        <v>183.04418070897029</v>
      </c>
      <c r="CP294" s="42">
        <v>0</v>
      </c>
      <c r="CQ294" s="5"/>
      <c r="CR294" s="76">
        <v>245.15933385811405</v>
      </c>
      <c r="CS294" s="954">
        <v>0</v>
      </c>
      <c r="CT294" s="5"/>
      <c r="CU294" s="76">
        <v>153.95721267936585</v>
      </c>
      <c r="CV294" s="42">
        <v>0</v>
      </c>
      <c r="CW294" s="5"/>
      <c r="CX294" s="76">
        <v>0</v>
      </c>
      <c r="CY294" s="42">
        <v>0</v>
      </c>
      <c r="CZ294" s="5"/>
      <c r="DA294" s="76">
        <v>0</v>
      </c>
      <c r="DB294" s="42">
        <v>0</v>
      </c>
      <c r="DC294" s="5"/>
      <c r="DD294" s="76">
        <v>100.27700934813392</v>
      </c>
      <c r="DE294" s="42">
        <v>0</v>
      </c>
      <c r="DF294" s="5"/>
      <c r="DG294" s="76">
        <v>0</v>
      </c>
      <c r="DH294" s="42"/>
      <c r="DI294" s="5"/>
      <c r="DJ294" s="42">
        <v>682.43773659458407</v>
      </c>
      <c r="DK294" s="42">
        <f t="shared" si="44"/>
        <v>0</v>
      </c>
      <c r="DL294" s="58">
        <f t="shared" si="45"/>
        <v>-682.43773659458407</v>
      </c>
      <c r="DM294" s="2">
        <v>3</v>
      </c>
    </row>
    <row r="295" spans="1:117" ht="24.9" customHeight="1" x14ac:dyDescent="0.3">
      <c r="A295" s="318">
        <v>150000717</v>
      </c>
      <c r="B295" s="44" t="s">
        <v>1804</v>
      </c>
      <c r="C295" s="956">
        <v>5</v>
      </c>
      <c r="D295" s="957" t="s">
        <v>454</v>
      </c>
      <c r="E295" s="949">
        <f>'побудинковий звіт'!E235</f>
        <v>11347.12</v>
      </c>
      <c r="F295" s="950">
        <f>'побудинковий звіт'!AS235</f>
        <v>214164.87746271596</v>
      </c>
      <c r="G295" s="950">
        <f t="shared" si="38"/>
        <v>43837.912326519225</v>
      </c>
      <c r="H295" s="950">
        <f t="shared" si="39"/>
        <v>-170326.96513619673</v>
      </c>
      <c r="I295" s="42">
        <f>'[2]поточний ремонт'!I295+'[1]поточний ремонт'!I295</f>
        <v>138</v>
      </c>
      <c r="J295" s="42">
        <f>'[2]поточний ремонт'!J295+'[1]поточний ремонт'!J295</f>
        <v>38436.12056171005</v>
      </c>
      <c r="K295" s="958"/>
      <c r="L295" s="42">
        <f>'[2]поточний ремонт'!L295+'[1]поточний ремонт'!L295</f>
        <v>0</v>
      </c>
      <c r="M295" s="42">
        <f>'[2]поточний ремонт'!M295+'[1]поточний ремонт'!M295</f>
        <v>0</v>
      </c>
      <c r="N295" s="36"/>
      <c r="O295" s="42">
        <f>'[2]поточний ремонт'!O295+'[1]поточний ремонт'!O295</f>
        <v>0</v>
      </c>
      <c r="P295" s="42">
        <f>'[2]поточний ремонт'!P295+'[1]поточний ремонт'!P295</f>
        <v>0</v>
      </c>
      <c r="Q295" s="959"/>
      <c r="R295" s="42">
        <f>'[2]поточний ремонт'!R295+'[1]поточний ремонт'!R295</f>
        <v>0</v>
      </c>
      <c r="S295" s="42">
        <f>'[2]поточний ремонт'!S295+'[1]поточний ремонт'!S295</f>
        <v>0</v>
      </c>
      <c r="T295" s="960"/>
      <c r="U295" s="42">
        <f>'[2]поточний ремонт'!U295+'[1]поточний ремонт'!U295</f>
        <v>0</v>
      </c>
      <c r="V295" s="42">
        <f>'[2]поточний ремонт'!V295+'[1]поточний ремонт'!V295</f>
        <v>0</v>
      </c>
      <c r="W295" s="42">
        <f>'[2]поточний ремонт'!W295+'[1]поточний ремонт'!W295</f>
        <v>0</v>
      </c>
      <c r="X295" s="42">
        <f>'[2]поточний ремонт'!X295+'[1]поточний ремонт'!X295</f>
        <v>0</v>
      </c>
      <c r="Y295" s="42">
        <f>'[2]поточний ремонт'!Y295+'[1]поточний ремонт'!Y295</f>
        <v>0</v>
      </c>
      <c r="Z295" s="42">
        <f>'[2]поточний ремонт'!Z295+'[1]поточний ремонт'!Z295</f>
        <v>0</v>
      </c>
      <c r="AA295" s="42">
        <f>'[2]поточний ремонт'!AA295+'[1]поточний ремонт'!AA295</f>
        <v>0</v>
      </c>
      <c r="AB295" s="42">
        <f>'[2]поточний ремонт'!AB295+'[1]поточний ремонт'!AB295</f>
        <v>0</v>
      </c>
      <c r="AC295" s="42">
        <f>'[2]поточний ремонт'!AC295+'[1]поточний ремонт'!AC295</f>
        <v>1883.5573774764557</v>
      </c>
      <c r="AD295" s="42">
        <f>'[2]поточний ремонт'!AD295+'[1]поточний ремонт'!AD295</f>
        <v>3518.2343873327209</v>
      </c>
      <c r="AE295" s="42">
        <f>'[2]поточний ремонт'!AE295+'[1]поточний ремонт'!AE295</f>
        <v>1716.0691822199672</v>
      </c>
      <c r="AF295" s="42">
        <f>'[2]поточний ремонт'!AF295+'[1]поточний ремонт'!AF295</f>
        <v>0</v>
      </c>
      <c r="AG295" s="965"/>
      <c r="AH295" s="42">
        <f>'[2]поточний ремонт'!AH295+'[1]поточний ремонт'!AH295</f>
        <v>2345.0871342079445</v>
      </c>
      <c r="AI295" s="42">
        <f>'[2]поточний ремонт'!AI295+'[1]поточний ремонт'!AI295</f>
        <v>0</v>
      </c>
      <c r="AJ295" s="5"/>
      <c r="AK295" s="42">
        <f>'[2]поточний ремонт'!AK295+'[1]поточний ремонт'!AK295</f>
        <v>1780.0653657369501</v>
      </c>
      <c r="AL295" s="42">
        <f>'[2]поточний ремонт'!AL295+'[1]поточний ремонт'!AL295</f>
        <v>6157.9217485429581</v>
      </c>
      <c r="AM295" s="5"/>
      <c r="AN295" s="42">
        <f>'[2]поточний ремонт'!AN295+'[1]поточний ремонт'!AN295</f>
        <v>0</v>
      </c>
      <c r="AO295" s="42">
        <f>'[2]поточний ремонт'!AO295+'[1]поточний ремонт'!AO295</f>
        <v>0</v>
      </c>
      <c r="AP295" s="5"/>
      <c r="AQ295" s="42">
        <f>'[2]поточний ремонт'!AQ295+'[1]поточний ремонт'!AQ295</f>
        <v>0</v>
      </c>
      <c r="AR295" s="42">
        <f>'[2]поточний ремонт'!AR295+'[1]поточний ремонт'!AR295</f>
        <v>0</v>
      </c>
      <c r="AS295" s="5"/>
      <c r="AT295" s="42">
        <f>'[2]поточний ремонт'!AT295+'[1]поточний ремонт'!AT295</f>
        <v>1155.0707876061688</v>
      </c>
      <c r="AU295" s="42">
        <f>'[2]поточний ремонт'!AU295+'[1]поточний ремонт'!AU295</f>
        <v>0</v>
      </c>
      <c r="AV295" s="5"/>
      <c r="AW295" s="42">
        <f>'[2]поточний ремонт'!AW295+'[1]поточний ремонт'!AW295</f>
        <v>100.38677964698979</v>
      </c>
      <c r="AX295" s="42">
        <f>'[2]поточний ремонт'!AX295+'[1]поточний ремонт'!AX295</f>
        <v>4652.8550332467257</v>
      </c>
      <c r="AY295" s="5"/>
      <c r="AZ295" s="42">
        <f t="shared" si="40"/>
        <v>7096.6792494180199</v>
      </c>
      <c r="BA295" s="42">
        <f t="shared" si="41"/>
        <v>10810.776781789684</v>
      </c>
      <c r="BB295" s="58">
        <f t="shared" si="42"/>
        <v>3714.0975323716639</v>
      </c>
      <c r="BD295" s="2">
        <v>3</v>
      </c>
      <c r="BF295" s="29">
        <v>236.61480905147624</v>
      </c>
      <c r="BG295" s="318">
        <v>150000717</v>
      </c>
      <c r="BI295" s="104">
        <v>0</v>
      </c>
      <c r="BJ295" s="104">
        <f t="shared" si="43"/>
        <v>0</v>
      </c>
      <c r="BK295" s="104">
        <v>0</v>
      </c>
      <c r="BL295" s="38"/>
      <c r="BM295" s="3"/>
      <c r="BN295" s="3">
        <v>0</v>
      </c>
      <c r="BP295" s="3"/>
      <c r="BQ295" s="3"/>
      <c r="BS295" s="42"/>
      <c r="BT295" s="42">
        <v>0</v>
      </c>
      <c r="BU295" s="958"/>
      <c r="BV295" s="41"/>
      <c r="BW295" s="42"/>
      <c r="BX295" s="36"/>
      <c r="BY295" s="76"/>
      <c r="BZ295" s="42">
        <v>0</v>
      </c>
      <c r="CA295" s="959"/>
      <c r="CB295" s="41"/>
      <c r="CC295" s="41">
        <v>0</v>
      </c>
      <c r="CD295" s="960"/>
      <c r="CE295" s="76">
        <v>0</v>
      </c>
      <c r="CF295" s="55"/>
      <c r="CG295" s="41">
        <v>0</v>
      </c>
      <c r="CH295" s="38">
        <v>0</v>
      </c>
      <c r="CI295" s="76">
        <v>0</v>
      </c>
      <c r="CJ295" s="55"/>
      <c r="CK295" s="955"/>
      <c r="CL295" s="950"/>
      <c r="CM295" s="955">
        <v>1881</v>
      </c>
      <c r="CN295" s="950">
        <v>0</v>
      </c>
      <c r="CO295" s="76">
        <v>181.94896258277311</v>
      </c>
      <c r="CP295" s="42">
        <v>0</v>
      </c>
      <c r="CQ295" s="965"/>
      <c r="CR295" s="76">
        <v>245.15933385811405</v>
      </c>
      <c r="CS295" s="954">
        <v>0</v>
      </c>
      <c r="CT295" s="5"/>
      <c r="CU295" s="76">
        <v>155.19440970105759</v>
      </c>
      <c r="CV295" s="42">
        <v>5120.1731266781435</v>
      </c>
      <c r="CW295" s="5"/>
      <c r="CX295" s="76">
        <v>0</v>
      </c>
      <c r="CY295" s="42">
        <v>0</v>
      </c>
      <c r="CZ295" s="5"/>
      <c r="DA295" s="76">
        <v>0</v>
      </c>
      <c r="DB295" s="42">
        <v>0</v>
      </c>
      <c r="DC295" s="5"/>
      <c r="DD295" s="76">
        <v>100.3124765476657</v>
      </c>
      <c r="DE295" s="42">
        <v>0</v>
      </c>
      <c r="DF295" s="5"/>
      <c r="DG295" s="76">
        <v>0</v>
      </c>
      <c r="DH295" s="42"/>
      <c r="DI295" s="5"/>
      <c r="DJ295" s="42">
        <v>682.61518268961049</v>
      </c>
      <c r="DK295" s="42">
        <f t="shared" si="44"/>
        <v>5120.1731266781435</v>
      </c>
      <c r="DL295" s="58">
        <f t="shared" si="45"/>
        <v>4437.5579439885332</v>
      </c>
      <c r="DM295" s="2">
        <v>3</v>
      </c>
    </row>
    <row r="296" spans="1:117" ht="24.9" customHeight="1" x14ac:dyDescent="0.3">
      <c r="A296" s="318">
        <v>150000718</v>
      </c>
      <c r="B296" s="44" t="s">
        <v>1805</v>
      </c>
      <c r="C296" s="956">
        <v>5</v>
      </c>
      <c r="D296" s="957" t="s">
        <v>454</v>
      </c>
      <c r="E296" s="949">
        <f>'побудинковий звіт'!E236</f>
        <v>0</v>
      </c>
      <c r="F296" s="950">
        <f>'побудинковий звіт'!AS236</f>
        <v>162585.02472713319</v>
      </c>
      <c r="G296" s="950">
        <f t="shared" si="38"/>
        <v>61439.050004776858</v>
      </c>
      <c r="H296" s="950">
        <f t="shared" si="39"/>
        <v>-101145.97472235633</v>
      </c>
      <c r="I296" s="42">
        <f>'[2]поточний ремонт'!I296+'[1]поточний ремонт'!I296</f>
        <v>190.7</v>
      </c>
      <c r="J296" s="42">
        <f>'[2]поточний ремонт'!J296+'[1]поточний ремонт'!J296</f>
        <v>53898.38876678513</v>
      </c>
      <c r="K296" s="958"/>
      <c r="L296" s="42">
        <f>'[2]поточний ремонт'!L296+'[1]поточний ремонт'!L296</f>
        <v>0</v>
      </c>
      <c r="M296" s="42">
        <f>'[2]поточний ремонт'!M296+'[1]поточний ремонт'!M296</f>
        <v>0</v>
      </c>
      <c r="N296" s="36"/>
      <c r="O296" s="42">
        <f>'[2]поточний ремонт'!O296+'[1]поточний ремонт'!O296</f>
        <v>7</v>
      </c>
      <c r="P296" s="42">
        <f>'[2]поточний ремонт'!P296+'[1]поточний ремонт'!P296</f>
        <v>2045</v>
      </c>
      <c r="Q296" s="959"/>
      <c r="R296" s="42">
        <f>'[2]поточний ремонт'!R296+'[1]поточний ремонт'!R296</f>
        <v>0</v>
      </c>
      <c r="S296" s="42">
        <f>'[2]поточний ремонт'!S296+'[1]поточний ремонт'!S296</f>
        <v>0</v>
      </c>
      <c r="T296" s="960"/>
      <c r="U296" s="42">
        <f>'[2]поточний ремонт'!U296+'[1]поточний ремонт'!U296</f>
        <v>0</v>
      </c>
      <c r="V296" s="42">
        <f>'[2]поточний ремонт'!V296+'[1]поточний ремонт'!V296</f>
        <v>0</v>
      </c>
      <c r="W296" s="42">
        <f>'[2]поточний ремонт'!W296+'[1]поточний ремонт'!W296</f>
        <v>4</v>
      </c>
      <c r="X296" s="42">
        <f>'[2]поточний ремонт'!X296+'[1]поточний ремонт'!X296</f>
        <v>1991.9646013793631</v>
      </c>
      <c r="Y296" s="42">
        <f>'[2]поточний ремонт'!Y296+'[1]поточний ремонт'!Y296</f>
        <v>0</v>
      </c>
      <c r="Z296" s="42">
        <f>'[2]поточний ремонт'!Z296+'[1]поточний ремонт'!Z296</f>
        <v>0</v>
      </c>
      <c r="AA296" s="42">
        <f>'[2]поточний ремонт'!AA296+'[1]поточний ремонт'!AA296</f>
        <v>0</v>
      </c>
      <c r="AB296" s="42">
        <f>'[2]поточний ремонт'!AB296+'[1]поточний ремонт'!AB296</f>
        <v>0</v>
      </c>
      <c r="AC296" s="42">
        <f>'[2]поточний ремонт'!AC296+'[1]поточний ремонт'!AC296</f>
        <v>0</v>
      </c>
      <c r="AD296" s="42">
        <f>'[2]поточний ремонт'!AD296+'[1]поточний ремонт'!AD296</f>
        <v>3503.6966366123679</v>
      </c>
      <c r="AE296" s="42">
        <f>'[2]поточний ремонт'!AE296+'[1]поточний ремонт'!AE296</f>
        <v>2791.2179155774593</v>
      </c>
      <c r="AF296" s="42">
        <f>'[2]поточний ремонт'!AF296+'[1]поточний ремонт'!AF296</f>
        <v>2875.1968307598459</v>
      </c>
      <c r="AG296" s="5"/>
      <c r="AH296" s="42">
        <f>'[2]поточний ремонт'!AH296+'[1]поточний ремонт'!AH296</f>
        <v>4629.9946028454151</v>
      </c>
      <c r="AI296" s="42">
        <f>'[2]поточний ремонт'!AI296+'[1]поточний ремонт'!AI296</f>
        <v>2648.6294328906129</v>
      </c>
      <c r="AJ296" s="5"/>
      <c r="AK296" s="42">
        <f>'[2]поточний ремонт'!AK296+'[1]поточний ремонт'!AK296</f>
        <v>2620.3482997783995</v>
      </c>
      <c r="AL296" s="42">
        <f>'[2]поточний ремонт'!AL296+'[1]поточний ремонт'!AL296</f>
        <v>4332.2901089698898</v>
      </c>
      <c r="AM296" s="5"/>
      <c r="AN296" s="42">
        <f>'[2]поточний ремонт'!AN296+'[1]поточний ремонт'!AN296</f>
        <v>0</v>
      </c>
      <c r="AO296" s="42">
        <f>'[2]поточний ремонт'!AO296+'[1]поточний ремонт'!AO296</f>
        <v>0</v>
      </c>
      <c r="AP296" s="5"/>
      <c r="AQ296" s="42">
        <f>'[2]поточний ремонт'!AQ296+'[1]поточний ремонт'!AQ296</f>
        <v>1105.2668502747176</v>
      </c>
      <c r="AR296" s="42">
        <f>'[2]поточний ремонт'!AR296+'[1]поточний ремонт'!AR296</f>
        <v>0</v>
      </c>
      <c r="AS296" s="5"/>
      <c r="AT296" s="42">
        <f>'[2]поточний ремонт'!AT296+'[1]поточний ремонт'!AT296</f>
        <v>2575.8034759235343</v>
      </c>
      <c r="AU296" s="42">
        <f>'[2]поточний ремонт'!AU296+'[1]поточний ремонт'!AU296</f>
        <v>0</v>
      </c>
      <c r="AV296" s="5"/>
      <c r="AW296" s="42">
        <f>'[2]поточний ремонт'!AW296+'[1]поточний ремонт'!AW296</f>
        <v>131.75764828667408</v>
      </c>
      <c r="AX296" s="42">
        <f>'[2]поточний ремонт'!AX296+'[1]поточний ремонт'!AX296</f>
        <v>6598.4307670595836</v>
      </c>
      <c r="AY296" s="5"/>
      <c r="AZ296" s="42">
        <f t="shared" si="40"/>
        <v>13854.388792686199</v>
      </c>
      <c r="BA296" s="42">
        <f t="shared" si="41"/>
        <v>16454.547139679933</v>
      </c>
      <c r="BB296" s="58">
        <f t="shared" si="42"/>
        <v>2600.1583469937341</v>
      </c>
      <c r="BD296" s="2">
        <v>3</v>
      </c>
      <c r="BF296" s="29">
        <v>333.14732413357035</v>
      </c>
      <c r="BG296" s="318">
        <v>150000718</v>
      </c>
      <c r="BI296" s="104">
        <v>72.44</v>
      </c>
      <c r="BJ296" s="104">
        <f t="shared" si="43"/>
        <v>10.189569767999998</v>
      </c>
      <c r="BK296" s="104">
        <v>83.544023062240001</v>
      </c>
      <c r="BL296" s="38"/>
      <c r="BM296" s="3">
        <v>4</v>
      </c>
      <c r="BN296" s="3">
        <v>314.20208540987488</v>
      </c>
      <c r="BP296" s="3"/>
      <c r="BQ296" s="3"/>
      <c r="BS296" s="42"/>
      <c r="BT296" s="42">
        <v>0</v>
      </c>
      <c r="BU296" s="958"/>
      <c r="BV296" s="41"/>
      <c r="BW296" s="42"/>
      <c r="BX296" s="36"/>
      <c r="BY296" s="76"/>
      <c r="BZ296" s="42">
        <v>0</v>
      </c>
      <c r="CA296" s="959"/>
      <c r="CB296" s="41"/>
      <c r="CC296" s="41">
        <v>0</v>
      </c>
      <c r="CD296" s="960"/>
      <c r="CE296" s="76">
        <v>0</v>
      </c>
      <c r="CF296" s="55"/>
      <c r="CG296" s="41">
        <v>4</v>
      </c>
      <c r="CH296" s="38">
        <v>397.74610847211488</v>
      </c>
      <c r="CI296" s="76">
        <v>0</v>
      </c>
      <c r="CJ296" s="55"/>
      <c r="CK296" s="955"/>
      <c r="CL296" s="950"/>
      <c r="CM296" s="955"/>
      <c r="CN296" s="950">
        <v>0</v>
      </c>
      <c r="CO296" s="76">
        <v>220.82657619344522</v>
      </c>
      <c r="CP296" s="42">
        <v>0</v>
      </c>
      <c r="CQ296" s="5"/>
      <c r="CR296" s="76">
        <v>362.55073545216993</v>
      </c>
      <c r="CS296" s="954">
        <v>0</v>
      </c>
      <c r="CT296" s="5"/>
      <c r="CU296" s="76">
        <v>206.31142749064364</v>
      </c>
      <c r="CV296" s="42">
        <v>0</v>
      </c>
      <c r="CW296" s="5"/>
      <c r="CX296" s="76">
        <v>0</v>
      </c>
      <c r="CY296" s="42">
        <v>0</v>
      </c>
      <c r="CZ296" s="5"/>
      <c r="DA296" s="76">
        <v>109.43236141333836</v>
      </c>
      <c r="DB296" s="42">
        <v>0</v>
      </c>
      <c r="DC296" s="5"/>
      <c r="DD296" s="76">
        <v>162.35934207418234</v>
      </c>
      <c r="DE296" s="42">
        <v>0</v>
      </c>
      <c r="DF296" s="5"/>
      <c r="DG296" s="76">
        <v>0</v>
      </c>
      <c r="DH296" s="42"/>
      <c r="DI296" s="5"/>
      <c r="DJ296" s="42">
        <v>1061.4804426237793</v>
      </c>
      <c r="DK296" s="42">
        <f t="shared" si="44"/>
        <v>0</v>
      </c>
      <c r="DL296" s="58">
        <f t="shared" si="45"/>
        <v>-1061.4804426237793</v>
      </c>
      <c r="DM296" s="2">
        <v>3</v>
      </c>
    </row>
    <row r="297" spans="1:117" ht="24.9" customHeight="1" x14ac:dyDescent="0.3">
      <c r="A297" s="318">
        <v>150000720</v>
      </c>
      <c r="B297" s="44" t="s">
        <v>1806</v>
      </c>
      <c r="C297" s="956">
        <v>5</v>
      </c>
      <c r="D297" s="957" t="s">
        <v>454</v>
      </c>
      <c r="E297" s="949">
        <f>'побудинковий звіт'!E237</f>
        <v>5689.78</v>
      </c>
      <c r="F297" s="950">
        <f>'побудинковий звіт'!AS237</f>
        <v>111996.12125141354</v>
      </c>
      <c r="G297" s="950">
        <f t="shared" si="38"/>
        <v>38777.150972310017</v>
      </c>
      <c r="H297" s="950">
        <f t="shared" si="39"/>
        <v>-73218.970279103523</v>
      </c>
      <c r="I297" s="42">
        <f>'[2]поточний ремонт'!I297+'[1]поточний ремонт'!I297</f>
        <v>105</v>
      </c>
      <c r="J297" s="42">
        <f>'[2]поточний ремонт'!J297+'[1]поточний ремонт'!J297</f>
        <v>34269.644057933809</v>
      </c>
      <c r="K297" s="962"/>
      <c r="L297" s="42">
        <f>'[2]поточний ремонт'!L297+'[1]поточний ремонт'!L297</f>
        <v>0</v>
      </c>
      <c r="M297" s="42">
        <f>'[2]поточний ремонт'!M297+'[1]поточний ремонт'!M297</f>
        <v>0</v>
      </c>
      <c r="N297" s="36"/>
      <c r="O297" s="42">
        <f>'[2]поточний ремонт'!O297+'[1]поточний ремонт'!O297</f>
        <v>0</v>
      </c>
      <c r="P297" s="42">
        <f>'[2]поточний ремонт'!P297+'[1]поточний ремонт'!P297</f>
        <v>0</v>
      </c>
      <c r="Q297" s="959"/>
      <c r="R297" s="42">
        <f>'[2]поточний ремонт'!R297+'[1]поточний ремонт'!R297</f>
        <v>0</v>
      </c>
      <c r="S297" s="42">
        <f>'[2]поточний ремонт'!S297+'[1]поточний ремонт'!S297</f>
        <v>0</v>
      </c>
      <c r="T297" s="960"/>
      <c r="U297" s="42">
        <f>'[2]поточний ремонт'!U297+'[1]поточний ремонт'!U297</f>
        <v>0</v>
      </c>
      <c r="V297" s="42">
        <f>'[2]поточний ремонт'!V297+'[1]поточний ремонт'!V297</f>
        <v>0</v>
      </c>
      <c r="W297" s="42">
        <f>'[2]поточний ремонт'!W297+'[1]поточний ремонт'!W297</f>
        <v>0</v>
      </c>
      <c r="X297" s="42">
        <f>'[2]поточний ремонт'!X297+'[1]поточний ремонт'!X297</f>
        <v>0</v>
      </c>
      <c r="Y297" s="42">
        <f>'[2]поточний ремонт'!Y297+'[1]поточний ремонт'!Y297</f>
        <v>0</v>
      </c>
      <c r="Z297" s="42">
        <f>'[2]поточний ремонт'!Z297+'[1]поточний ремонт'!Z297</f>
        <v>0</v>
      </c>
      <c r="AA297" s="42">
        <f>'[2]поточний ремонт'!AA297+'[1]поточний ремонт'!AA297</f>
        <v>0</v>
      </c>
      <c r="AB297" s="42">
        <f>'[2]поточний ремонт'!AB297+'[1]поточний ремонт'!AB297</f>
        <v>0</v>
      </c>
      <c r="AC297" s="42">
        <f>'[2]поточний ремонт'!AC297+'[1]поточний ремонт'!AC297</f>
        <v>4507.5069143762066</v>
      </c>
      <c r="AD297" s="42">
        <f>'[2]поточний ремонт'!AD297+'[1]поточний ремонт'!AD297</f>
        <v>0</v>
      </c>
      <c r="AE297" s="42">
        <f>'[2]поточний ремонт'!AE297+'[1]поточний ремонт'!AE297</f>
        <v>1293.0603824446566</v>
      </c>
      <c r="AF297" s="42">
        <f>'[2]поточний ремонт'!AF297+'[1]поточний ремонт'!AF297</f>
        <v>0</v>
      </c>
      <c r="AG297" s="5"/>
      <c r="AH297" s="42">
        <f>'[2]поточний ремонт'!AH297+'[1]поточний ремонт'!AH297</f>
        <v>1875.891780244702</v>
      </c>
      <c r="AI297" s="42">
        <f>'[2]поточний ремонт'!AI297+'[1]поточний ремонт'!AI297</f>
        <v>0</v>
      </c>
      <c r="AJ297" s="5"/>
      <c r="AK297" s="42">
        <f>'[2]поточний ремонт'!AK297+'[1]поточний ремонт'!AK297</f>
        <v>1623.8025426864622</v>
      </c>
      <c r="AL297" s="42">
        <f>'[2]поточний ремонт'!AL297+'[1]поточний ремонт'!AL297</f>
        <v>0</v>
      </c>
      <c r="AM297" s="5"/>
      <c r="AN297" s="42">
        <f>'[2]поточний ремонт'!AN297+'[1]поточний ремонт'!AN297</f>
        <v>432.87480463325164</v>
      </c>
      <c r="AO297" s="42">
        <f>'[2]поточний ремонт'!AO297+'[1]поточний ремонт'!AO297</f>
        <v>705.11426222136083</v>
      </c>
      <c r="AP297" s="5"/>
      <c r="AQ297" s="42">
        <f>'[2]поточний ремонт'!AQ297+'[1]поточний ремонт'!AQ297</f>
        <v>0</v>
      </c>
      <c r="AR297" s="42">
        <f>'[2]поточний ремонт'!AR297+'[1]поточний ремонт'!AR297</f>
        <v>0</v>
      </c>
      <c r="AS297" s="5"/>
      <c r="AT297" s="42">
        <f>'[2]поточний ремонт'!AT297+'[1]поточний ремонт'!AT297</f>
        <v>861.22993500314885</v>
      </c>
      <c r="AU297" s="42">
        <f>'[2]поточний ремонт'!AU297+'[1]поточний ремонт'!AU297</f>
        <v>1917.9951146321905</v>
      </c>
      <c r="AV297" s="5"/>
      <c r="AW297" s="42">
        <f>'[2]поточний ремонт'!AW297+'[1]поточний ремонт'!AW297</f>
        <v>81.564258463179186</v>
      </c>
      <c r="AX297" s="42">
        <f>'[2]поточний ремонт'!AX297+'[1]поточний ремонт'!AX297</f>
        <v>0</v>
      </c>
      <c r="AY297" s="5"/>
      <c r="AZ297" s="42">
        <f t="shared" si="40"/>
        <v>6168.4237034754005</v>
      </c>
      <c r="BA297" s="42">
        <f t="shared" si="41"/>
        <v>2623.1093768535511</v>
      </c>
      <c r="BB297" s="58">
        <f t="shared" si="42"/>
        <v>-3545.3143266218494</v>
      </c>
      <c r="BD297" s="2">
        <v>3</v>
      </c>
      <c r="BF297" s="29">
        <v>274.34738580174042</v>
      </c>
      <c r="BG297" s="318">
        <v>150000720</v>
      </c>
      <c r="BI297" s="104">
        <v>0</v>
      </c>
      <c r="BJ297" s="104">
        <f t="shared" si="43"/>
        <v>0</v>
      </c>
      <c r="BK297" s="104">
        <v>0</v>
      </c>
      <c r="BL297" s="38"/>
      <c r="BM297" s="3"/>
      <c r="BN297" s="3">
        <v>0</v>
      </c>
      <c r="BP297" s="3"/>
      <c r="BQ297" s="3"/>
      <c r="BS297" s="42"/>
      <c r="BT297" s="42">
        <v>0</v>
      </c>
      <c r="BU297" s="962"/>
      <c r="BV297" s="41"/>
      <c r="BW297" s="42"/>
      <c r="BX297" s="36"/>
      <c r="BY297" s="76"/>
      <c r="BZ297" s="42">
        <v>0</v>
      </c>
      <c r="CA297" s="959"/>
      <c r="CB297" s="41"/>
      <c r="CC297" s="41">
        <v>0</v>
      </c>
      <c r="CD297" s="960"/>
      <c r="CE297" s="76">
        <v>0</v>
      </c>
      <c r="CF297" s="55"/>
      <c r="CG297" s="41">
        <v>0</v>
      </c>
      <c r="CH297" s="38">
        <v>0</v>
      </c>
      <c r="CI297" s="76">
        <v>0</v>
      </c>
      <c r="CJ297" s="55"/>
      <c r="CK297" s="955"/>
      <c r="CL297" s="950"/>
      <c r="CM297" s="955"/>
      <c r="CN297" s="950">
        <v>0</v>
      </c>
      <c r="CO297" s="76">
        <v>152.37414712234946</v>
      </c>
      <c r="CP297" s="42">
        <v>0</v>
      </c>
      <c r="CQ297" s="5"/>
      <c r="CR297" s="76">
        <v>235.17119945276332</v>
      </c>
      <c r="CS297" s="954">
        <v>0</v>
      </c>
      <c r="CT297" s="5"/>
      <c r="CU297" s="76">
        <v>188.25356238448089</v>
      </c>
      <c r="CV297" s="42">
        <v>0</v>
      </c>
      <c r="CW297" s="5"/>
      <c r="CX297" s="76">
        <v>112.92768791997014</v>
      </c>
      <c r="CY297" s="42">
        <v>0</v>
      </c>
      <c r="CZ297" s="5"/>
      <c r="DA297" s="76">
        <v>0</v>
      </c>
      <c r="DB297" s="42">
        <v>0</v>
      </c>
      <c r="DC297" s="5"/>
      <c r="DD297" s="76">
        <v>94.319214922915421</v>
      </c>
      <c r="DE297" s="42">
        <v>0</v>
      </c>
      <c r="DF297" s="5"/>
      <c r="DG297" s="76">
        <v>0</v>
      </c>
      <c r="DH297" s="42"/>
      <c r="DI297" s="5"/>
      <c r="DJ297" s="42">
        <v>783.04581180247919</v>
      </c>
      <c r="DK297" s="42">
        <f t="shared" si="44"/>
        <v>0</v>
      </c>
      <c r="DL297" s="58">
        <f t="shared" si="45"/>
        <v>-783.04581180247919</v>
      </c>
      <c r="DM297" s="2">
        <v>3</v>
      </c>
    </row>
    <row r="298" spans="1:117" ht="24.9" customHeight="1" x14ac:dyDescent="0.3">
      <c r="A298" s="318">
        <v>150000861</v>
      </c>
      <c r="B298" s="44" t="s">
        <v>232</v>
      </c>
      <c r="C298" s="956">
        <v>4</v>
      </c>
      <c r="D298" s="957" t="s">
        <v>454</v>
      </c>
      <c r="E298" s="949">
        <f>'побудинковий звіт'!E296</f>
        <v>3503.3</v>
      </c>
      <c r="F298" s="950">
        <f>'побудинковий звіт'!AS296</f>
        <v>42748.552372634833</v>
      </c>
      <c r="G298" s="950">
        <f t="shared" si="38"/>
        <v>18988.286321118954</v>
      </c>
      <c r="H298" s="950">
        <f t="shared" si="39"/>
        <v>-23760.266051515879</v>
      </c>
      <c r="I298" s="42">
        <f>'[2]поточний ремонт'!I298+'[1]поточний ремонт'!I298</f>
        <v>0</v>
      </c>
      <c r="J298" s="42">
        <f>'[2]поточний ремонт'!J298+'[1]поточний ремонт'!J298</f>
        <v>0</v>
      </c>
      <c r="K298" s="962"/>
      <c r="L298" s="42">
        <f>'[2]поточний ремонт'!L298+'[1]поточний ремонт'!L298</f>
        <v>0</v>
      </c>
      <c r="M298" s="42">
        <f>'[2]поточний ремонт'!M298+'[1]поточний ремонт'!M298</f>
        <v>0</v>
      </c>
      <c r="N298" s="36"/>
      <c r="O298" s="42">
        <f>'[2]поточний ремонт'!O298+'[1]поточний ремонт'!O298</f>
        <v>0</v>
      </c>
      <c r="P298" s="42">
        <f>'[2]поточний ремонт'!P298+'[1]поточний ремонт'!P298</f>
        <v>0</v>
      </c>
      <c r="Q298" s="959"/>
      <c r="R298" s="42">
        <f>'[2]поточний ремонт'!R298+'[1]поточний ремонт'!R298</f>
        <v>0</v>
      </c>
      <c r="S298" s="42">
        <f>'[2]поточний ремонт'!S298+'[1]поточний ремонт'!S298</f>
        <v>0</v>
      </c>
      <c r="T298" s="960"/>
      <c r="U298" s="42">
        <f>'[2]поточний ремонт'!U298+'[1]поточний ремонт'!U298</f>
        <v>0</v>
      </c>
      <c r="V298" s="42">
        <f>'[2]поточний ремонт'!V298+'[1]поточний ремонт'!V298</f>
        <v>0</v>
      </c>
      <c r="W298" s="42">
        <f>'[2]поточний ремонт'!W298+'[1]поточний ремонт'!W298</f>
        <v>0</v>
      </c>
      <c r="X298" s="42">
        <f>'[2]поточний ремонт'!X298+'[1]поточний ремонт'!X298</f>
        <v>0</v>
      </c>
      <c r="Y298" s="42">
        <f>'[2]поточний ремонт'!Y298+'[1]поточний ремонт'!Y298</f>
        <v>0</v>
      </c>
      <c r="Z298" s="42">
        <f>'[2]поточний ремонт'!Z298+'[1]поточний ремонт'!Z298</f>
        <v>0</v>
      </c>
      <c r="AA298" s="42">
        <f>'[2]поточний ремонт'!AA298+'[1]поточний ремонт'!AA298</f>
        <v>0</v>
      </c>
      <c r="AB298" s="42">
        <f>'[2]поточний ремонт'!AB298+'[1]поточний ремонт'!AB298</f>
        <v>0</v>
      </c>
      <c r="AC298" s="42">
        <f>'[2]поточний ремонт'!AC298+'[1]поточний ремонт'!AC298</f>
        <v>18565.063495710208</v>
      </c>
      <c r="AD298" s="42">
        <f>'[2]поточний ремонт'!AD298+'[1]поточний ремонт'!AD298</f>
        <v>423.22282540874562</v>
      </c>
      <c r="AE298" s="42">
        <f>'[2]поточний ремонт'!AE298+'[1]поточний ремонт'!AE298</f>
        <v>2199.1273028833539</v>
      </c>
      <c r="AF298" s="42">
        <f>'[2]поточний ремонт'!AF298+'[1]поточний ремонт'!AF298</f>
        <v>0</v>
      </c>
      <c r="AG298" s="5"/>
      <c r="AH298" s="42">
        <f>'[2]поточний ремонт'!AH298+'[1]поточний ремонт'!AH298</f>
        <v>3146.4029412826485</v>
      </c>
      <c r="AI298" s="42">
        <f>'[2]поточний ремонт'!AI298+'[1]поточний ремонт'!AI298</f>
        <v>0</v>
      </c>
      <c r="AJ298" s="5"/>
      <c r="AK298" s="42">
        <f>'[2]поточний ремонт'!AK298+'[1]поточний ремонт'!AK298</f>
        <v>2248.4831716694516</v>
      </c>
      <c r="AL298" s="42">
        <f>'[2]поточний ремонт'!AL298+'[1]поточний ремонт'!AL298</f>
        <v>851.26294267612695</v>
      </c>
      <c r="AM298" s="5"/>
      <c r="AN298" s="42">
        <f>'[2]поточний ремонт'!AN298+'[1]поточний ремонт'!AN298</f>
        <v>0</v>
      </c>
      <c r="AO298" s="42">
        <f>'[2]поточний ремонт'!AO298+'[1]поточний ремонт'!AO298</f>
        <v>0</v>
      </c>
      <c r="AP298" s="5"/>
      <c r="AQ298" s="42">
        <f>'[2]поточний ремонт'!AQ298+'[1]поточний ремонт'!AQ298</f>
        <v>132.32770556571961</v>
      </c>
      <c r="AR298" s="42">
        <f>'[2]поточний ремонт'!AR298+'[1]поточний ремонт'!AR298</f>
        <v>2242.0233663846593</v>
      </c>
      <c r="AS298" s="5"/>
      <c r="AT298" s="42">
        <f>'[2]поточний ремонт'!AT298+'[1]поточний ремонт'!AT298</f>
        <v>2081.8570875762694</v>
      </c>
      <c r="AU298" s="42">
        <f>'[2]поточний ремонт'!AU298+'[1]поточний ремонт'!AU298</f>
        <v>1454.734679519712</v>
      </c>
      <c r="AV298" s="5"/>
      <c r="AW298" s="42">
        <f>'[2]поточний ремонт'!AW298+'[1]поточний ремонт'!AW298</f>
        <v>23.245813662006071</v>
      </c>
      <c r="AX298" s="42">
        <f>'[2]поточний ремонт'!AX298+'[1]поточний ремонт'!AX298</f>
        <v>0</v>
      </c>
      <c r="AY298" s="5"/>
      <c r="AZ298" s="42">
        <f t="shared" si="40"/>
        <v>9831.444022639449</v>
      </c>
      <c r="BA298" s="42">
        <f t="shared" si="41"/>
        <v>4548.0209885804979</v>
      </c>
      <c r="BB298" s="58">
        <f t="shared" si="42"/>
        <v>-5283.4230340589511</v>
      </c>
      <c r="BD298" s="2">
        <v>2</v>
      </c>
      <c r="BF298" s="29">
        <v>4.8331404344773894</v>
      </c>
      <c r="BG298" s="318">
        <v>150000861</v>
      </c>
      <c r="BI298" s="104">
        <v>0</v>
      </c>
      <c r="BJ298" s="104">
        <f t="shared" si="43"/>
        <v>0</v>
      </c>
      <c r="BK298" s="104">
        <v>0</v>
      </c>
      <c r="BL298" s="38"/>
      <c r="BM298" s="3"/>
      <c r="BN298" s="3">
        <v>0</v>
      </c>
      <c r="BP298" s="3"/>
      <c r="BQ298" s="3"/>
      <c r="BS298" s="42"/>
      <c r="BT298" s="42">
        <v>0</v>
      </c>
      <c r="BU298" s="962"/>
      <c r="BV298" s="41"/>
      <c r="BW298" s="42"/>
      <c r="BX298" s="36"/>
      <c r="BY298" s="76"/>
      <c r="BZ298" s="42">
        <v>0</v>
      </c>
      <c r="CA298" s="959"/>
      <c r="CB298" s="41"/>
      <c r="CC298" s="41">
        <v>0</v>
      </c>
      <c r="CD298" s="960"/>
      <c r="CE298" s="76">
        <v>0</v>
      </c>
      <c r="CF298" s="55"/>
      <c r="CG298" s="41">
        <v>0</v>
      </c>
      <c r="CH298" s="38">
        <v>0</v>
      </c>
      <c r="CI298" s="76">
        <v>0</v>
      </c>
      <c r="CJ298" s="55"/>
      <c r="CK298" s="955"/>
      <c r="CL298" s="950"/>
      <c r="CM298" s="955">
        <v>8680</v>
      </c>
      <c r="CN298" s="950">
        <v>0</v>
      </c>
      <c r="CO298" s="76">
        <v>181.09710696953479</v>
      </c>
      <c r="CP298" s="42">
        <v>0</v>
      </c>
      <c r="CQ298" s="5"/>
      <c r="CR298" s="76">
        <v>262.29512087090222</v>
      </c>
      <c r="CS298" s="954">
        <v>0</v>
      </c>
      <c r="CT298" s="5"/>
      <c r="CU298" s="76">
        <v>190.2320869236824</v>
      </c>
      <c r="CV298" s="42">
        <v>0</v>
      </c>
      <c r="CW298" s="5"/>
      <c r="CX298" s="76">
        <v>0</v>
      </c>
      <c r="CY298" s="42">
        <v>0</v>
      </c>
      <c r="CZ298" s="5"/>
      <c r="DA298" s="76">
        <v>0</v>
      </c>
      <c r="DB298" s="42">
        <v>0</v>
      </c>
      <c r="DC298" s="5"/>
      <c r="DD298" s="76">
        <v>133.50518248769922</v>
      </c>
      <c r="DE298" s="42">
        <v>0</v>
      </c>
      <c r="DF298" s="5"/>
      <c r="DG298" s="76">
        <v>0</v>
      </c>
      <c r="DH298" s="42"/>
      <c r="DI298" s="5"/>
      <c r="DJ298" s="42">
        <v>767.12949725181863</v>
      </c>
      <c r="DK298" s="42">
        <f t="shared" si="44"/>
        <v>0</v>
      </c>
      <c r="DL298" s="58">
        <f t="shared" si="45"/>
        <v>-767.12949725181863</v>
      </c>
      <c r="DM298" s="2">
        <v>2</v>
      </c>
    </row>
    <row r="299" spans="1:117" ht="24.9" customHeight="1" x14ac:dyDescent="0.3">
      <c r="A299" s="318">
        <v>150000872</v>
      </c>
      <c r="B299" s="44" t="s">
        <v>233</v>
      </c>
      <c r="C299" s="956">
        <v>4</v>
      </c>
      <c r="D299" s="957" t="s">
        <v>454</v>
      </c>
      <c r="E299" s="949">
        <f>'побудинковий звіт'!E297</f>
        <v>1209.7</v>
      </c>
      <c r="F299" s="950">
        <f>'побудинковий звіт'!AS297</f>
        <v>13204.966802650091</v>
      </c>
      <c r="G299" s="950">
        <f t="shared" si="38"/>
        <v>60780.502155805458</v>
      </c>
      <c r="H299" s="950">
        <f t="shared" si="39"/>
        <v>47575.53535315537</v>
      </c>
      <c r="I299" s="42">
        <f>'[2]поточний ремонт'!I299+'[1]поточний ремонт'!I299</f>
        <v>0</v>
      </c>
      <c r="J299" s="42">
        <f>'[2]поточний ремонт'!J299+'[1]поточний ремонт'!J299</f>
        <v>0</v>
      </c>
      <c r="K299" s="958"/>
      <c r="L299" s="42">
        <f>'[2]поточний ремонт'!L299+'[1]поточний ремонт'!L299</f>
        <v>0</v>
      </c>
      <c r="M299" s="42">
        <f>'[2]поточний ремонт'!M299+'[1]поточний ремонт'!M299</f>
        <v>56378.525424605832</v>
      </c>
      <c r="N299" s="36"/>
      <c r="O299" s="42">
        <f>'[2]поточний ремонт'!O299+'[1]поточний ремонт'!O299</f>
        <v>0</v>
      </c>
      <c r="P299" s="42">
        <f>'[2]поточний ремонт'!P299+'[1]поточний ремонт'!P299</f>
        <v>0</v>
      </c>
      <c r="Q299" s="959"/>
      <c r="R299" s="42">
        <f>'[2]поточний ремонт'!R299+'[1]поточний ремонт'!R299</f>
        <v>0</v>
      </c>
      <c r="S299" s="42">
        <f>'[2]поточний ремонт'!S299+'[1]поточний ремонт'!S299</f>
        <v>0</v>
      </c>
      <c r="T299" s="960"/>
      <c r="U299" s="42">
        <f>'[2]поточний ремонт'!U299+'[1]поточний ремонт'!U299</f>
        <v>0</v>
      </c>
      <c r="V299" s="42">
        <f>'[2]поточний ремонт'!V299+'[1]поточний ремонт'!V299</f>
        <v>0</v>
      </c>
      <c r="W299" s="42">
        <f>'[2]поточний ремонт'!W299+'[1]поточний ремонт'!W299</f>
        <v>0</v>
      </c>
      <c r="X299" s="42">
        <f>'[2]поточний ремонт'!X299+'[1]поточний ремонт'!X299</f>
        <v>0</v>
      </c>
      <c r="Y299" s="42">
        <f>'[2]поточний ремонт'!Y299+'[1]поточний ремонт'!Y299</f>
        <v>0</v>
      </c>
      <c r="Z299" s="42">
        <f>'[2]поточний ремонт'!Z299+'[1]поточний ремонт'!Z299</f>
        <v>0</v>
      </c>
      <c r="AA299" s="42">
        <f>'[2]поточний ремонт'!AA299+'[1]поточний ремонт'!AA299</f>
        <v>0</v>
      </c>
      <c r="AB299" s="42">
        <f>'[2]поточний ремонт'!AB299+'[1]поточний ремонт'!AB299</f>
        <v>0</v>
      </c>
      <c r="AC299" s="42">
        <f>'[2]поточний ремонт'!AC299+'[1]поточний ремонт'!AC299</f>
        <v>4401.9767311996275</v>
      </c>
      <c r="AD299" s="42">
        <f>'[2]поточний ремонт'!AD299+'[1]поточний ремонт'!AD299</f>
        <v>0</v>
      </c>
      <c r="AE299" s="42">
        <f>'[2]поточний ремонт'!AE299+'[1]поточний ремонт'!AE299</f>
        <v>1461.8359128339398</v>
      </c>
      <c r="AF299" s="42">
        <f>'[2]поточний ремонт'!AF299+'[1]поточний ремонт'!AF299</f>
        <v>3586.6332820377033</v>
      </c>
      <c r="AG299" s="5"/>
      <c r="AH299" s="42">
        <f>'[2]поточний ремонт'!AH299+'[1]поточний ремонт'!AH299</f>
        <v>2317.7873651624013</v>
      </c>
      <c r="AI299" s="42">
        <f>'[2]поточний ремонт'!AI299+'[1]поточний ремонт'!AI299</f>
        <v>0</v>
      </c>
      <c r="AJ299" s="5"/>
      <c r="AK299" s="42">
        <f>'[2]поточний ремонт'!AK299+'[1]поточний ремонт'!AK299</f>
        <v>935.30693249003912</v>
      </c>
      <c r="AL299" s="42">
        <f>'[2]поточний ремонт'!AL299+'[1]поточний ремонт'!AL299</f>
        <v>0</v>
      </c>
      <c r="AM299" s="5"/>
      <c r="AN299" s="42">
        <f>'[2]поточний ремонт'!AN299+'[1]поточний ремонт'!AN299</f>
        <v>393.47732188396662</v>
      </c>
      <c r="AO299" s="42">
        <f>'[2]поточний ремонт'!AO299+'[1]поточний ремонт'!AO299</f>
        <v>0</v>
      </c>
      <c r="AP299" s="5"/>
      <c r="AQ299" s="42">
        <f>'[2]поточний ремонт'!AQ299+'[1]поточний ремонт'!AQ299</f>
        <v>66.163852782859806</v>
      </c>
      <c r="AR299" s="42">
        <f>'[2]поточний ремонт'!AR299+'[1]поточний ремонт'!AR299</f>
        <v>0</v>
      </c>
      <c r="AS299" s="5"/>
      <c r="AT299" s="42">
        <f>'[2]поточний ремонт'!AT299+'[1]поточний ремонт'!AT299</f>
        <v>442.40093170636794</v>
      </c>
      <c r="AU299" s="42">
        <f>'[2]поточний ремонт'!AU299+'[1]поточний ремонт'!AU299</f>
        <v>623.31079377806623</v>
      </c>
      <c r="AV299" s="5"/>
      <c r="AW299" s="42">
        <f>'[2]поточний ремонт'!AW299+'[1]поточний ремонт'!AW299</f>
        <v>11.418996184845088</v>
      </c>
      <c r="AX299" s="42">
        <f>'[2]поточний ремонт'!AX299+'[1]поточний ремонт'!AX299</f>
        <v>0</v>
      </c>
      <c r="AY299" s="5"/>
      <c r="AZ299" s="42">
        <f t="shared" si="40"/>
        <v>5628.3913130444198</v>
      </c>
      <c r="BA299" s="42">
        <f t="shared" si="41"/>
        <v>4209.9440758157698</v>
      </c>
      <c r="BB299" s="58">
        <f t="shared" si="42"/>
        <v>-1418.44723722865</v>
      </c>
      <c r="BD299" s="2">
        <v>2</v>
      </c>
      <c r="BF299" s="29">
        <v>1.7663871475786801</v>
      </c>
      <c r="BG299" s="318">
        <v>150000872</v>
      </c>
      <c r="BI299" s="104">
        <v>0</v>
      </c>
      <c r="BJ299" s="104">
        <f t="shared" si="43"/>
        <v>0</v>
      </c>
      <c r="BK299" s="104">
        <v>0</v>
      </c>
      <c r="BL299" s="38"/>
      <c r="BM299" s="3"/>
      <c r="BN299" s="3">
        <v>0</v>
      </c>
      <c r="BP299" s="3"/>
      <c r="BQ299" s="3"/>
      <c r="BS299" s="42"/>
      <c r="BT299" s="42">
        <v>0</v>
      </c>
      <c r="BU299" s="958"/>
      <c r="BV299" s="41"/>
      <c r="BW299" s="42"/>
      <c r="BX299" s="36"/>
      <c r="BY299" s="76"/>
      <c r="BZ299" s="42">
        <v>0</v>
      </c>
      <c r="CA299" s="959"/>
      <c r="CB299" s="41"/>
      <c r="CC299" s="41">
        <v>0</v>
      </c>
      <c r="CD299" s="960"/>
      <c r="CE299" s="76">
        <v>0</v>
      </c>
      <c r="CF299" s="55"/>
      <c r="CG299" s="41">
        <v>0</v>
      </c>
      <c r="CH299" s="38">
        <v>0</v>
      </c>
      <c r="CI299" s="76">
        <v>0</v>
      </c>
      <c r="CJ299" s="55"/>
      <c r="CK299" s="955"/>
      <c r="CL299" s="950"/>
      <c r="CM299" s="955">
        <v>4396</v>
      </c>
      <c r="CN299" s="950">
        <v>0</v>
      </c>
      <c r="CO299" s="76">
        <v>121.48393697976911</v>
      </c>
      <c r="CP299" s="42">
        <v>0</v>
      </c>
      <c r="CQ299" s="5"/>
      <c r="CR299" s="76">
        <v>200.74426692132644</v>
      </c>
      <c r="CS299" s="954">
        <v>0</v>
      </c>
      <c r="CT299" s="5"/>
      <c r="CU299" s="76">
        <v>81.051511994214593</v>
      </c>
      <c r="CV299" s="42">
        <v>0</v>
      </c>
      <c r="CW299" s="5"/>
      <c r="CX299" s="76">
        <v>36.308269123695709</v>
      </c>
      <c r="CY299" s="42">
        <v>0</v>
      </c>
      <c r="CZ299" s="5"/>
      <c r="DA299" s="76">
        <v>0</v>
      </c>
      <c r="DB299" s="42">
        <v>0</v>
      </c>
      <c r="DC299" s="5"/>
      <c r="DD299" s="76">
        <v>28.498302350616186</v>
      </c>
      <c r="DE299" s="42">
        <v>0</v>
      </c>
      <c r="DF299" s="5"/>
      <c r="DG299" s="76">
        <v>0</v>
      </c>
      <c r="DH299" s="42"/>
      <c r="DI299" s="5"/>
      <c r="DJ299" s="42">
        <v>468.08628736962203</v>
      </c>
      <c r="DK299" s="42">
        <f t="shared" si="44"/>
        <v>0</v>
      </c>
      <c r="DL299" s="58">
        <f t="shared" si="45"/>
        <v>-468.08628736962203</v>
      </c>
      <c r="DM299" s="2">
        <v>2</v>
      </c>
    </row>
    <row r="300" spans="1:117" ht="24.9" customHeight="1" x14ac:dyDescent="0.3">
      <c r="A300" s="318">
        <v>150000862</v>
      </c>
      <c r="B300" s="44" t="s">
        <v>234</v>
      </c>
      <c r="C300" s="956">
        <v>4</v>
      </c>
      <c r="D300" s="957" t="s">
        <v>454</v>
      </c>
      <c r="E300" s="949">
        <f>'побудинковий звіт'!E298</f>
        <v>4885.3</v>
      </c>
      <c r="F300" s="950">
        <f>'побудинковий звіт'!AS298</f>
        <v>48645.716573938735</v>
      </c>
      <c r="G300" s="950">
        <f t="shared" si="38"/>
        <v>1028.4458645148363</v>
      </c>
      <c r="H300" s="950">
        <f t="shared" si="39"/>
        <v>-47617.270709423901</v>
      </c>
      <c r="I300" s="42">
        <f>'[2]поточний ремонт'!I300+'[1]поточний ремонт'!I300</f>
        <v>0</v>
      </c>
      <c r="J300" s="42">
        <f>'[2]поточний ремонт'!J300+'[1]поточний ремонт'!J300</f>
        <v>0</v>
      </c>
      <c r="K300" s="958"/>
      <c r="L300" s="42">
        <f>'[2]поточний ремонт'!L300+'[1]поточний ремонт'!L300</f>
        <v>0</v>
      </c>
      <c r="M300" s="42">
        <f>'[2]поточний ремонт'!M300+'[1]поточний ремонт'!M300</f>
        <v>0</v>
      </c>
      <c r="N300" s="36"/>
      <c r="O300" s="42">
        <f>'[2]поточний ремонт'!O300+'[1]поточний ремонт'!O300</f>
        <v>0</v>
      </c>
      <c r="P300" s="42">
        <f>'[2]поточний ремонт'!P300+'[1]поточний ремонт'!P300</f>
        <v>0</v>
      </c>
      <c r="Q300" s="959"/>
      <c r="R300" s="42">
        <f>'[2]поточний ремонт'!R300+'[1]поточний ремонт'!R300</f>
        <v>0</v>
      </c>
      <c r="S300" s="42">
        <f>'[2]поточний ремонт'!S300+'[1]поточний ремонт'!S300</f>
        <v>0</v>
      </c>
      <c r="T300" s="960"/>
      <c r="U300" s="42">
        <f>'[2]поточний ремонт'!U300+'[1]поточний ремонт'!U300</f>
        <v>0</v>
      </c>
      <c r="V300" s="42">
        <f>'[2]поточний ремонт'!V300+'[1]поточний ремонт'!V300</f>
        <v>0</v>
      </c>
      <c r="W300" s="42">
        <f>'[2]поточний ремонт'!W300+'[1]поточний ремонт'!W300</f>
        <v>2</v>
      </c>
      <c r="X300" s="42">
        <f>'[2]поточний ремонт'!X300+'[1]поточний ремонт'!X300</f>
        <v>1028.4458645148363</v>
      </c>
      <c r="Y300" s="42">
        <f>'[2]поточний ремонт'!Y300+'[1]поточний ремонт'!Y300</f>
        <v>0</v>
      </c>
      <c r="Z300" s="42">
        <f>'[2]поточний ремонт'!Z300+'[1]поточний ремонт'!Z300</f>
        <v>0</v>
      </c>
      <c r="AA300" s="42">
        <f>'[2]поточний ремонт'!AA300+'[1]поточний ремонт'!AA300</f>
        <v>0</v>
      </c>
      <c r="AB300" s="42">
        <f>'[2]поточний ремонт'!AB300+'[1]поточний ремонт'!AB300</f>
        <v>0</v>
      </c>
      <c r="AC300" s="42">
        <f>'[2]поточний ремонт'!AC300+'[1]поточний ремонт'!AC300</f>
        <v>0</v>
      </c>
      <c r="AD300" s="42">
        <f>'[2]поточний ремонт'!AD300+'[1]поточний ремонт'!AD300</f>
        <v>0</v>
      </c>
      <c r="AE300" s="42">
        <f>'[2]поточний ремонт'!AE300+'[1]поточний ремонт'!AE300</f>
        <v>2599.781044507602</v>
      </c>
      <c r="AF300" s="42">
        <f>'[2]поточний ремонт'!AF300+'[1]поточний ремонт'!AF300</f>
        <v>0</v>
      </c>
      <c r="AG300" s="965"/>
      <c r="AH300" s="42">
        <f>'[2]поточний ремонт'!AH300+'[1]поточний ремонт'!AH300</f>
        <v>3630.8033715028396</v>
      </c>
      <c r="AI300" s="42">
        <f>'[2]поточний ремонт'!AI300+'[1]поточний ремонт'!AI300</f>
        <v>2569.439246533032</v>
      </c>
      <c r="AJ300" s="5"/>
      <c r="AK300" s="42">
        <f>'[2]поточний ремонт'!AK300+'[1]поточний ремонт'!AK300</f>
        <v>2503.62003347158</v>
      </c>
      <c r="AL300" s="42">
        <f>'[2]поточний ремонт'!AL300+'[1]поточний ремонт'!AL300</f>
        <v>0</v>
      </c>
      <c r="AM300" s="5"/>
      <c r="AN300" s="42">
        <f>'[2]поточний ремонт'!AN300+'[1]поточний ремонт'!AN300</f>
        <v>0</v>
      </c>
      <c r="AO300" s="42">
        <f>'[2]поточний ремонт'!AO300+'[1]поточний ремонт'!AO300</f>
        <v>0</v>
      </c>
      <c r="AP300" s="5"/>
      <c r="AQ300" s="42">
        <f>'[2]поточний ремонт'!AQ300+'[1]поточний ремонт'!AQ300</f>
        <v>400.65888629620662</v>
      </c>
      <c r="AR300" s="42">
        <f>'[2]поточний ремонт'!AR300+'[1]поточний ремонт'!AR300</f>
        <v>0</v>
      </c>
      <c r="AS300" s="5"/>
      <c r="AT300" s="42">
        <f>'[2]поточний ремонт'!AT300+'[1]поточний ремонт'!AT300</f>
        <v>1095.4948054314491</v>
      </c>
      <c r="AU300" s="42">
        <f>'[2]поточний ремонт'!AU300+'[1]поточний ремонт'!AU300</f>
        <v>2172.9093567052246</v>
      </c>
      <c r="AV300" s="5"/>
      <c r="AW300" s="42">
        <f>'[2]поточний ремонт'!AW300+'[1]поточний ремонт'!AW300</f>
        <v>50.036535480296465</v>
      </c>
      <c r="AX300" s="42">
        <f>'[2]поточний ремонт'!AX300+'[1]поточний ремонт'!AX300</f>
        <v>0</v>
      </c>
      <c r="AY300" s="5"/>
      <c r="AZ300" s="42">
        <f t="shared" si="40"/>
        <v>10280.394676689975</v>
      </c>
      <c r="BA300" s="42">
        <f t="shared" si="41"/>
        <v>4742.3486032382571</v>
      </c>
      <c r="BB300" s="58">
        <f t="shared" si="42"/>
        <v>-5538.0460734517183</v>
      </c>
      <c r="BD300" s="2">
        <v>2</v>
      </c>
      <c r="BF300" s="29">
        <v>6.3550443759495243</v>
      </c>
      <c r="BG300" s="318">
        <v>150000862</v>
      </c>
      <c r="BI300" s="104">
        <v>45.12</v>
      </c>
      <c r="BJ300" s="104">
        <f t="shared" si="43"/>
        <v>6.3466784639999991</v>
      </c>
      <c r="BK300" s="104">
        <v>52.036255115519999</v>
      </c>
      <c r="BL300" s="38"/>
      <c r="BM300" s="3"/>
      <c r="BN300" s="3">
        <v>0</v>
      </c>
      <c r="BP300" s="3"/>
      <c r="BQ300" s="3"/>
      <c r="BS300" s="42"/>
      <c r="BT300" s="42">
        <v>0</v>
      </c>
      <c r="BU300" s="958"/>
      <c r="BV300" s="41"/>
      <c r="BW300" s="42"/>
      <c r="BX300" s="36"/>
      <c r="BY300" s="76"/>
      <c r="BZ300" s="42">
        <v>0</v>
      </c>
      <c r="CA300" s="959"/>
      <c r="CB300" s="41"/>
      <c r="CC300" s="41">
        <v>0</v>
      </c>
      <c r="CD300" s="960"/>
      <c r="CE300" s="76">
        <v>0</v>
      </c>
      <c r="CF300" s="55"/>
      <c r="CG300" s="41">
        <v>0</v>
      </c>
      <c r="CH300" s="38">
        <v>52.036255115519999</v>
      </c>
      <c r="CI300" s="76">
        <v>0</v>
      </c>
      <c r="CJ300" s="55"/>
      <c r="CK300" s="955"/>
      <c r="CL300" s="950"/>
      <c r="CM300" s="955"/>
      <c r="CN300" s="950">
        <v>0</v>
      </c>
      <c r="CO300" s="76">
        <v>214.96342784197947</v>
      </c>
      <c r="CP300" s="42">
        <v>0</v>
      </c>
      <c r="CQ300" s="965"/>
      <c r="CR300" s="76">
        <v>307.75414721190407</v>
      </c>
      <c r="CS300" s="954">
        <v>0</v>
      </c>
      <c r="CT300" s="5"/>
      <c r="CU300" s="76">
        <v>210.23685190093357</v>
      </c>
      <c r="CV300" s="42">
        <v>0</v>
      </c>
      <c r="CW300" s="5"/>
      <c r="CX300" s="76">
        <v>0</v>
      </c>
      <c r="CY300" s="42">
        <v>0</v>
      </c>
      <c r="CZ300" s="5"/>
      <c r="DA300" s="76">
        <v>0</v>
      </c>
      <c r="DB300" s="42">
        <v>0</v>
      </c>
      <c r="DC300" s="5"/>
      <c r="DD300" s="76">
        <v>0</v>
      </c>
      <c r="DE300" s="42">
        <v>0</v>
      </c>
      <c r="DF300" s="5"/>
      <c r="DG300" s="76">
        <v>0</v>
      </c>
      <c r="DH300" s="42"/>
      <c r="DI300" s="5"/>
      <c r="DJ300" s="42">
        <v>732.95442695481711</v>
      </c>
      <c r="DK300" s="42">
        <f t="shared" si="44"/>
        <v>0</v>
      </c>
      <c r="DL300" s="58">
        <f t="shared" si="45"/>
        <v>-732.95442695481711</v>
      </c>
      <c r="DM300" s="2">
        <v>2</v>
      </c>
    </row>
    <row r="301" spans="1:117" ht="24.9" customHeight="1" x14ac:dyDescent="0.3">
      <c r="A301" s="318">
        <v>150000863</v>
      </c>
      <c r="B301" s="44" t="s">
        <v>235</v>
      </c>
      <c r="C301" s="956">
        <v>4</v>
      </c>
      <c r="D301" s="957" t="s">
        <v>454</v>
      </c>
      <c r="E301" s="949">
        <f>'побудинковий звіт'!E299</f>
        <v>3279.2999999999997</v>
      </c>
      <c r="F301" s="950">
        <f>'побудинковий звіт'!AS299</f>
        <v>42509.053768444654</v>
      </c>
      <c r="G301" s="950">
        <f t="shared" si="38"/>
        <v>5738.435214859348</v>
      </c>
      <c r="H301" s="950">
        <f t="shared" si="39"/>
        <v>-36770.618553585307</v>
      </c>
      <c r="I301" s="42">
        <f>'[2]поточний ремонт'!I301+'[1]поточний ремонт'!I301</f>
        <v>21.37</v>
      </c>
      <c r="J301" s="42">
        <f>'[2]поточний ремонт'!J301+'[1]поточний ремонт'!J301</f>
        <v>5380.3531314170441</v>
      </c>
      <c r="K301" s="958"/>
      <c r="L301" s="42">
        <f>'[2]поточний ремонт'!L301+'[1]поточний ремонт'!L301</f>
        <v>0</v>
      </c>
      <c r="M301" s="42">
        <f>'[2]поточний ремонт'!M301+'[1]поточний ремонт'!M301</f>
        <v>0</v>
      </c>
      <c r="N301" s="36"/>
      <c r="O301" s="42">
        <f>'[2]поточний ремонт'!O301+'[1]поточний ремонт'!O301</f>
        <v>0</v>
      </c>
      <c r="P301" s="42">
        <f>'[2]поточний ремонт'!P301+'[1]поточний ремонт'!P301</f>
        <v>0</v>
      </c>
      <c r="Q301" s="959"/>
      <c r="R301" s="42">
        <f>'[2]поточний ремонт'!R301+'[1]поточний ремонт'!R301</f>
        <v>0</v>
      </c>
      <c r="S301" s="42">
        <f>'[2]поточний ремонт'!S301+'[1]поточний ремонт'!S301</f>
        <v>0</v>
      </c>
      <c r="T301" s="960"/>
      <c r="U301" s="42">
        <f>'[2]поточний ремонт'!U301+'[1]поточний ремонт'!U301</f>
        <v>0</v>
      </c>
      <c r="V301" s="42">
        <f>'[2]поточний ремонт'!V301+'[1]поточний ремонт'!V301</f>
        <v>0</v>
      </c>
      <c r="W301" s="42">
        <f>'[2]поточний ремонт'!W301+'[1]поточний ремонт'!W301</f>
        <v>0</v>
      </c>
      <c r="X301" s="42">
        <f>'[2]поточний ремонт'!X301+'[1]поточний ремонт'!X301</f>
        <v>358.08208344230422</v>
      </c>
      <c r="Y301" s="42">
        <f>'[2]поточний ремонт'!Y301+'[1]поточний ремонт'!Y301</f>
        <v>0</v>
      </c>
      <c r="Z301" s="42">
        <f>'[2]поточний ремонт'!Z301+'[1]поточний ремонт'!Z301</f>
        <v>0</v>
      </c>
      <c r="AA301" s="42">
        <f>'[2]поточний ремонт'!AA301+'[1]поточний ремонт'!AA301</f>
        <v>0</v>
      </c>
      <c r="AB301" s="42">
        <f>'[2]поточний ремонт'!AB301+'[1]поточний ремонт'!AB301</f>
        <v>0</v>
      </c>
      <c r="AC301" s="42">
        <f>'[2]поточний ремонт'!AC301+'[1]поточний ремонт'!AC301</f>
        <v>0</v>
      </c>
      <c r="AD301" s="42">
        <f>'[2]поточний ремонт'!AD301+'[1]поточний ремонт'!AD301</f>
        <v>0</v>
      </c>
      <c r="AE301" s="42">
        <f>'[2]поточний ремонт'!AE301+'[1]поточний ремонт'!AE301</f>
        <v>2026.0386434047957</v>
      </c>
      <c r="AF301" s="42">
        <f>'[2]поточний ремонт'!AF301+'[1]поточний ремонт'!AF301</f>
        <v>0</v>
      </c>
      <c r="AG301" s="9"/>
      <c r="AH301" s="42">
        <f>'[2]поточний ремонт'!AH301+'[1]поточний ремонт'!AH301</f>
        <v>3129.0662348500487</v>
      </c>
      <c r="AI301" s="42">
        <f>'[2]поточний ремонт'!AI301+'[1]поточний ремонт'!AI301</f>
        <v>0</v>
      </c>
      <c r="AJ301" s="5"/>
      <c r="AK301" s="42">
        <f>'[2]поточний ремонт'!AK301+'[1]поточний ремонт'!AK301</f>
        <v>2468.4697182577511</v>
      </c>
      <c r="AL301" s="42">
        <f>'[2]поточний ремонт'!AL301+'[1]поточний ремонт'!AL301</f>
        <v>997.74700148929367</v>
      </c>
      <c r="AM301" s="5"/>
      <c r="AN301" s="42">
        <f>'[2]поточний ремонт'!AN301+'[1]поточний ремонт'!AN301</f>
        <v>1268.5082263649388</v>
      </c>
      <c r="AO301" s="42">
        <f>'[2]поточний ремонт'!AO301+'[1]поточний ремонт'!AO301</f>
        <v>0</v>
      </c>
      <c r="AP301" s="5"/>
      <c r="AQ301" s="42">
        <f>'[2]поточний ремонт'!AQ301+'[1]поточний ремонт'!AQ301</f>
        <v>132.32770556571961</v>
      </c>
      <c r="AR301" s="42">
        <f>'[2]поточний ремонт'!AR301+'[1]поточний ремонт'!AR301</f>
        <v>0</v>
      </c>
      <c r="AS301" s="5"/>
      <c r="AT301" s="42">
        <f>'[2]поточний ремонт'!AT301+'[1]поточний ремонт'!AT301</f>
        <v>1865.1157465172846</v>
      </c>
      <c r="AU301" s="42">
        <f>'[2]поточний ремонт'!AU301+'[1]поточний ремонт'!AU301</f>
        <v>313.37374749755588</v>
      </c>
      <c r="AV301" s="5"/>
      <c r="AW301" s="42">
        <f>'[2]поточний ремонт'!AW301+'[1]поточний ремонт'!AW301</f>
        <v>134.5182847269663</v>
      </c>
      <c r="AX301" s="42">
        <f>'[2]поточний ремонт'!AX301+'[1]поточний ремонт'!AX301</f>
        <v>0</v>
      </c>
      <c r="AY301" s="5"/>
      <c r="AZ301" s="42">
        <f t="shared" si="40"/>
        <v>11024.044559687505</v>
      </c>
      <c r="BA301" s="42">
        <f t="shared" si="41"/>
        <v>1311.1207489868495</v>
      </c>
      <c r="BB301" s="58">
        <f t="shared" si="42"/>
        <v>-9712.9238107006549</v>
      </c>
      <c r="BD301" s="2">
        <v>2</v>
      </c>
      <c r="BF301" s="29">
        <v>4.6807309562695032</v>
      </c>
      <c r="BG301" s="318">
        <v>150000863</v>
      </c>
      <c r="BI301" s="104">
        <v>26.25</v>
      </c>
      <c r="BJ301" s="104">
        <f t="shared" si="43"/>
        <v>3.6923827499999997</v>
      </c>
      <c r="BK301" s="104">
        <v>30.273752145</v>
      </c>
      <c r="BL301" s="38"/>
      <c r="BM301" s="3"/>
      <c r="BN301" s="3">
        <v>0</v>
      </c>
      <c r="BP301" s="3"/>
      <c r="BQ301" s="3"/>
      <c r="BS301" s="42"/>
      <c r="BT301" s="42">
        <v>0</v>
      </c>
      <c r="BU301" s="958"/>
      <c r="BV301" s="41"/>
      <c r="BW301" s="42"/>
      <c r="BX301" s="36"/>
      <c r="BY301" s="76"/>
      <c r="BZ301" s="42">
        <v>0</v>
      </c>
      <c r="CA301" s="959"/>
      <c r="CB301" s="41"/>
      <c r="CC301" s="41">
        <v>0</v>
      </c>
      <c r="CD301" s="960"/>
      <c r="CE301" s="76">
        <v>0</v>
      </c>
      <c r="CF301" s="55"/>
      <c r="CG301" s="41">
        <v>0</v>
      </c>
      <c r="CH301" s="38">
        <v>30.273752145</v>
      </c>
      <c r="CI301" s="76">
        <v>0</v>
      </c>
      <c r="CJ301" s="55"/>
      <c r="CK301" s="955"/>
      <c r="CL301" s="950"/>
      <c r="CM301" s="955"/>
      <c r="CN301" s="950">
        <v>0</v>
      </c>
      <c r="CO301" s="76">
        <v>166.83227321115911</v>
      </c>
      <c r="CP301" s="42">
        <v>0</v>
      </c>
      <c r="CQ301" s="9"/>
      <c r="CR301" s="76">
        <v>246.82971791924669</v>
      </c>
      <c r="CS301" s="954">
        <v>0</v>
      </c>
      <c r="CT301" s="5"/>
      <c r="CU301" s="76">
        <v>202.96709016714718</v>
      </c>
      <c r="CV301" s="42">
        <v>0</v>
      </c>
      <c r="CW301" s="5"/>
      <c r="CX301" s="76">
        <v>99.790155453035027</v>
      </c>
      <c r="CY301" s="42">
        <v>0</v>
      </c>
      <c r="CZ301" s="5"/>
      <c r="DA301" s="76">
        <v>0</v>
      </c>
      <c r="DB301" s="42">
        <v>0</v>
      </c>
      <c r="DC301" s="5"/>
      <c r="DD301" s="76">
        <v>120.20689198982306</v>
      </c>
      <c r="DE301" s="42">
        <v>0</v>
      </c>
      <c r="DF301" s="5"/>
      <c r="DG301" s="76">
        <v>0</v>
      </c>
      <c r="DH301" s="42"/>
      <c r="DI301" s="5"/>
      <c r="DJ301" s="42">
        <v>836.62612874041099</v>
      </c>
      <c r="DK301" s="42">
        <f t="shared" si="44"/>
        <v>0</v>
      </c>
      <c r="DL301" s="58">
        <f t="shared" si="45"/>
        <v>-836.62612874041099</v>
      </c>
      <c r="DM301" s="2">
        <v>2</v>
      </c>
    </row>
    <row r="302" spans="1:117" ht="24.9" customHeight="1" x14ac:dyDescent="0.3">
      <c r="A302" s="318">
        <v>150000864</v>
      </c>
      <c r="B302" s="44" t="s">
        <v>200</v>
      </c>
      <c r="C302" s="956">
        <v>3</v>
      </c>
      <c r="D302" s="957" t="s">
        <v>454</v>
      </c>
      <c r="E302" s="949">
        <f>'побудинковий звіт'!E300</f>
        <v>3971.86</v>
      </c>
      <c r="F302" s="950">
        <f>'побудинковий звіт'!AS300</f>
        <v>47907.791807945032</v>
      </c>
      <c r="G302" s="950">
        <f t="shared" si="38"/>
        <v>615.20938928434316</v>
      </c>
      <c r="H302" s="950">
        <f t="shared" si="39"/>
        <v>-47292.582418660691</v>
      </c>
      <c r="I302" s="42">
        <f>'[2]поточний ремонт'!I302+'[1]поточний ремонт'!I302</f>
        <v>0</v>
      </c>
      <c r="J302" s="42">
        <f>'[2]поточний ремонт'!J302+'[1]поточний ремонт'!J302</f>
        <v>0</v>
      </c>
      <c r="K302" s="958"/>
      <c r="L302" s="42">
        <f>'[2]поточний ремонт'!L302+'[1]поточний ремонт'!L302</f>
        <v>0</v>
      </c>
      <c r="M302" s="42">
        <f>'[2]поточний ремонт'!M302+'[1]поточний ремонт'!M302</f>
        <v>0</v>
      </c>
      <c r="N302" s="36"/>
      <c r="O302" s="42">
        <f>'[2]поточний ремонт'!O302+'[1]поточний ремонт'!O302</f>
        <v>0</v>
      </c>
      <c r="P302" s="42">
        <f>'[2]поточний ремонт'!P302+'[1]поточний ремонт'!P302</f>
        <v>0</v>
      </c>
      <c r="Q302" s="959"/>
      <c r="R302" s="42">
        <f>'[2]поточний ремонт'!R302+'[1]поточний ремонт'!R302</f>
        <v>0</v>
      </c>
      <c r="S302" s="42">
        <f>'[2]поточний ремонт'!S302+'[1]поточний ремонт'!S302</f>
        <v>0</v>
      </c>
      <c r="T302" s="960"/>
      <c r="U302" s="42">
        <f>'[2]поточний ремонт'!U302+'[1]поточний ремонт'!U302</f>
        <v>0</v>
      </c>
      <c r="V302" s="42">
        <f>'[2]поточний ремонт'!V302+'[1]поточний ремонт'!V302</f>
        <v>0</v>
      </c>
      <c r="W302" s="42">
        <f>'[2]поточний ремонт'!W302+'[1]поточний ремонт'!W302</f>
        <v>0</v>
      </c>
      <c r="X302" s="42">
        <f>'[2]поточний ремонт'!X302+'[1]поточний ремонт'!X302</f>
        <v>274.59780341689833</v>
      </c>
      <c r="Y302" s="42">
        <f>'[2]поточний ремонт'!Y302+'[1]поточний ремонт'!Y302</f>
        <v>223.13179393740035</v>
      </c>
      <c r="Z302" s="42">
        <f>'[2]поточний ремонт'!Z302+'[1]поточний ремонт'!Z302</f>
        <v>0</v>
      </c>
      <c r="AA302" s="42">
        <f>'[2]поточний ремонт'!AA302+'[1]поточний ремонт'!AA302</f>
        <v>0</v>
      </c>
      <c r="AB302" s="42">
        <f>'[2]поточний ремонт'!AB302+'[1]поточний ремонт'!AB302</f>
        <v>0</v>
      </c>
      <c r="AC302" s="42">
        <f>'[2]поточний ремонт'!AC302+'[1]поточний ремонт'!AC302</f>
        <v>117.47979193004454</v>
      </c>
      <c r="AD302" s="42">
        <f>'[2]поточний ремонт'!AD302+'[1]поточний ремонт'!AD302</f>
        <v>0</v>
      </c>
      <c r="AE302" s="42">
        <f>'[2]поточний ремонт'!AE302+'[1]поточний ремонт'!AE302</f>
        <v>1843.0773612644321</v>
      </c>
      <c r="AF302" s="42">
        <f>'[2]поточний ремонт'!AF302+'[1]поточний ремонт'!AF302</f>
        <v>4503.4950019932257</v>
      </c>
      <c r="AG302" s="5"/>
      <c r="AH302" s="42">
        <f>'[2]поточний ремонт'!AH302+'[1]поточний ремонт'!AH302</f>
        <v>2519.2266917412089</v>
      </c>
      <c r="AI302" s="42">
        <f>'[2]поточний ремонт'!AI302+'[1]поточний ремонт'!AI302</f>
        <v>5124.8656019659602</v>
      </c>
      <c r="AJ302" s="5"/>
      <c r="AK302" s="42">
        <f>'[2]поточний ремонт'!AK302+'[1]поточний ремонт'!AK302</f>
        <v>3066.1778042159449</v>
      </c>
      <c r="AL302" s="42">
        <f>'[2]поточний ремонт'!AL302+'[1]поточний ремонт'!AL302</f>
        <v>0</v>
      </c>
      <c r="AM302" s="5"/>
      <c r="AN302" s="42">
        <f>'[2]поточний ремонт'!AN302+'[1]поточний ремонт'!AN302</f>
        <v>0</v>
      </c>
      <c r="AO302" s="42">
        <f>'[2]поточний ремонт'!AO302+'[1]поточний ремонт'!AO302</f>
        <v>0</v>
      </c>
      <c r="AP302" s="5"/>
      <c r="AQ302" s="42">
        <f>'[2]поточний ремонт'!AQ302+'[1]поточний ремонт'!AQ302</f>
        <v>115.78674237000469</v>
      </c>
      <c r="AR302" s="42">
        <f>'[2]поточний ремонт'!AR302+'[1]поточний ремонт'!AR302</f>
        <v>0</v>
      </c>
      <c r="AS302" s="5"/>
      <c r="AT302" s="42">
        <f>'[2]поточний ремонт'!AT302+'[1]поточний ремонт'!AT302</f>
        <v>2621.4777957974502</v>
      </c>
      <c r="AU302" s="42">
        <f>'[2]поточний ремонт'!AU302+'[1]поточний ремонт'!AU302</f>
        <v>208.92442055244328</v>
      </c>
      <c r="AV302" s="5"/>
      <c r="AW302" s="42">
        <f>'[2]поточний ремонт'!AW302+'[1]поточний ремонт'!AW302</f>
        <v>78.615396811048868</v>
      </c>
      <c r="AX302" s="42">
        <f>'[2]поточний ремонт'!AX302+'[1]поточний ремонт'!AX302</f>
        <v>0</v>
      </c>
      <c r="AY302" s="5"/>
      <c r="AZ302" s="42">
        <f t="shared" si="40"/>
        <v>10244.361792200089</v>
      </c>
      <c r="BA302" s="42">
        <f t="shared" si="41"/>
        <v>9837.2850245116297</v>
      </c>
      <c r="BB302" s="58">
        <f t="shared" si="42"/>
        <v>-407.07676768845886</v>
      </c>
      <c r="BD302" s="2">
        <v>2</v>
      </c>
      <c r="BF302" s="29">
        <v>5.707373470185221</v>
      </c>
      <c r="BG302" s="318">
        <v>150000864</v>
      </c>
      <c r="BI302" s="104">
        <v>20.13</v>
      </c>
      <c r="BJ302" s="104">
        <f t="shared" si="43"/>
        <v>2.8315300859999994</v>
      </c>
      <c r="BK302" s="104">
        <v>23.215643073479999</v>
      </c>
      <c r="BL302" s="38"/>
      <c r="BM302" s="3"/>
      <c r="BN302" s="3">
        <v>0</v>
      </c>
      <c r="BP302" s="3"/>
      <c r="BQ302" s="3"/>
      <c r="BS302" s="42"/>
      <c r="BT302" s="42">
        <v>0</v>
      </c>
      <c r="BU302" s="958"/>
      <c r="BV302" s="41"/>
      <c r="BW302" s="42"/>
      <c r="BX302" s="36"/>
      <c r="BY302" s="76"/>
      <c r="BZ302" s="42">
        <v>0</v>
      </c>
      <c r="CA302" s="959"/>
      <c r="CB302" s="41"/>
      <c r="CC302" s="41">
        <v>0</v>
      </c>
      <c r="CD302" s="960"/>
      <c r="CE302" s="76">
        <v>0</v>
      </c>
      <c r="CF302" s="55"/>
      <c r="CG302" s="41">
        <v>0</v>
      </c>
      <c r="CH302" s="38">
        <v>23.215643073479999</v>
      </c>
      <c r="CI302" s="76">
        <v>0</v>
      </c>
      <c r="CJ302" s="55"/>
      <c r="CK302" s="955"/>
      <c r="CL302" s="950"/>
      <c r="CM302" s="955"/>
      <c r="CN302" s="950">
        <v>0</v>
      </c>
      <c r="CO302" s="76">
        <v>154.70132000410837</v>
      </c>
      <c r="CP302" s="42">
        <v>0</v>
      </c>
      <c r="CQ302" s="5"/>
      <c r="CR302" s="76">
        <v>214.51505627203119</v>
      </c>
      <c r="CS302" s="954">
        <v>0</v>
      </c>
      <c r="CT302" s="5"/>
      <c r="CU302" s="76">
        <v>270.09852227944759</v>
      </c>
      <c r="CV302" s="42">
        <v>0</v>
      </c>
      <c r="CW302" s="5"/>
      <c r="CX302" s="76">
        <v>0</v>
      </c>
      <c r="CY302" s="42">
        <v>0</v>
      </c>
      <c r="CZ302" s="5"/>
      <c r="DA302" s="76">
        <v>0</v>
      </c>
      <c r="DB302" s="42">
        <v>0</v>
      </c>
      <c r="DC302" s="5"/>
      <c r="DD302" s="76">
        <v>158.53981299423265</v>
      </c>
      <c r="DE302" s="42">
        <v>0</v>
      </c>
      <c r="DF302" s="5"/>
      <c r="DG302" s="76">
        <v>0</v>
      </c>
      <c r="DH302" s="42"/>
      <c r="DI302" s="5"/>
      <c r="DJ302" s="42">
        <v>797.85471154981985</v>
      </c>
      <c r="DK302" s="42">
        <f t="shared" si="44"/>
        <v>0</v>
      </c>
      <c r="DL302" s="58">
        <f t="shared" si="45"/>
        <v>-797.85471154981985</v>
      </c>
      <c r="DM302" s="2">
        <v>2</v>
      </c>
    </row>
    <row r="303" spans="1:117" ht="24.9" customHeight="1" x14ac:dyDescent="0.3">
      <c r="A303" s="318">
        <v>150000865</v>
      </c>
      <c r="B303" s="44" t="s">
        <v>305</v>
      </c>
      <c r="C303" s="956">
        <v>5</v>
      </c>
      <c r="D303" s="957" t="s">
        <v>454</v>
      </c>
      <c r="E303" s="949">
        <f>'побудинковий звіт'!E301</f>
        <v>9136.98</v>
      </c>
      <c r="F303" s="950">
        <f>'побудинковий звіт'!AS301</f>
        <v>116921.63507436466</v>
      </c>
      <c r="G303" s="950">
        <f t="shared" si="38"/>
        <v>5686.5088945296893</v>
      </c>
      <c r="H303" s="950">
        <f t="shared" si="39"/>
        <v>-111235.12617983497</v>
      </c>
      <c r="I303" s="42">
        <f>'[2]поточний ремонт'!I303+'[1]поточний ремонт'!I303</f>
        <v>1.4</v>
      </c>
      <c r="J303" s="42">
        <f>'[2]поточний ремонт'!J303+'[1]поточний ремонт'!J303</f>
        <v>647.17827457326962</v>
      </c>
      <c r="K303" s="958"/>
      <c r="L303" s="42">
        <f>'[2]поточний ремонт'!L303+'[1]поточний ремонт'!L303</f>
        <v>0</v>
      </c>
      <c r="M303" s="42">
        <f>'[2]поточний ремонт'!M303+'[1]поточний ремонт'!M303</f>
        <v>0</v>
      </c>
      <c r="N303" s="36"/>
      <c r="O303" s="42">
        <f>'[2]поточний ремонт'!O303+'[1]поточний ремонт'!O303</f>
        <v>0</v>
      </c>
      <c r="P303" s="42">
        <f>'[2]поточний ремонт'!P303+'[1]поточний ремонт'!P303</f>
        <v>0</v>
      </c>
      <c r="Q303" s="959"/>
      <c r="R303" s="42">
        <f>'[2]поточний ремонт'!R303+'[1]поточний ремонт'!R303</f>
        <v>0</v>
      </c>
      <c r="S303" s="42">
        <f>'[2]поточний ремонт'!S303+'[1]поточний ремонт'!S303</f>
        <v>0</v>
      </c>
      <c r="T303" s="960"/>
      <c r="U303" s="42">
        <f>'[2]поточний ремонт'!U303+'[1]поточний ремонт'!U303</f>
        <v>0</v>
      </c>
      <c r="V303" s="42">
        <f>'[2]поточний ремонт'!V303+'[1]поточний ремонт'!V303</f>
        <v>0</v>
      </c>
      <c r="W303" s="42">
        <f>'[2]поточний ремонт'!W303+'[1]поточний ремонт'!W303</f>
        <v>4</v>
      </c>
      <c r="X303" s="42">
        <f>'[2]поточний ремонт'!X303+'[1]поточний ремонт'!X303</f>
        <v>496.31850210937301</v>
      </c>
      <c r="Y303" s="42">
        <f>'[2]поточний ремонт'!Y303+'[1]поточний ремонт'!Y303</f>
        <v>1733.9412738779965</v>
      </c>
      <c r="Z303" s="42">
        <f>'[2]поточний ремонт'!Z303+'[1]поточний ремонт'!Z303</f>
        <v>0</v>
      </c>
      <c r="AA303" s="42">
        <f>'[2]поточний ремонт'!AA303+'[1]поточний ремонт'!AA303</f>
        <v>0</v>
      </c>
      <c r="AB303" s="42">
        <f>'[2]поточний ремонт'!AB303+'[1]поточний ремонт'!AB303</f>
        <v>2388</v>
      </c>
      <c r="AC303" s="42">
        <f>'[2]поточний ремонт'!AC303+'[1]поточний ремонт'!AC303</f>
        <v>0</v>
      </c>
      <c r="AD303" s="42">
        <f>'[2]поточний ремонт'!AD303+'[1]поточний ремонт'!AD303</f>
        <v>421.07084396905088</v>
      </c>
      <c r="AE303" s="42">
        <f>'[2]поточний ремонт'!AE303+'[1]поточний ремонт'!AE303</f>
        <v>5076.6645216831503</v>
      </c>
      <c r="AF303" s="42">
        <f>'[2]поточний ремонт'!AF303+'[1]поточний ремонт'!AF303</f>
        <v>489.07359764550097</v>
      </c>
      <c r="AG303" s="9"/>
      <c r="AH303" s="42">
        <f>'[2]поточний ремонт'!AH303+'[1]поточний ремонт'!AH303</f>
        <v>7641.6321751391743</v>
      </c>
      <c r="AI303" s="42">
        <f>'[2]поточний ремонт'!AI303+'[1]поточний ремонт'!AI303</f>
        <v>4093.8676137088173</v>
      </c>
      <c r="AJ303" s="5"/>
      <c r="AK303" s="42">
        <f>'[2]поточний ремонт'!AK303+'[1]поточний ремонт'!AK303</f>
        <v>6585.5755071109343</v>
      </c>
      <c r="AL303" s="42">
        <f>'[2]поточний ремонт'!AL303+'[1]поточний ремонт'!AL303</f>
        <v>2491.3258960432559</v>
      </c>
      <c r="AM303" s="5"/>
      <c r="AN303" s="42">
        <f>'[2]поточний ремонт'!AN303+'[1]поточний ремонт'!AN303</f>
        <v>0</v>
      </c>
      <c r="AO303" s="42">
        <f>'[2]поточний ремонт'!AO303+'[1]поточний ремонт'!AO303</f>
        <v>963</v>
      </c>
      <c r="AP303" s="5"/>
      <c r="AQ303" s="42">
        <f>'[2]поточний ремонт'!AQ303+'[1]поточний ремонт'!AQ303</f>
        <v>303.2509919214408</v>
      </c>
      <c r="AR303" s="42">
        <f>'[2]поточний ремонт'!AR303+'[1]поточний ремонт'!AR303</f>
        <v>1112.3865532248451</v>
      </c>
      <c r="AS303" s="5"/>
      <c r="AT303" s="42">
        <f>'[2]поточний ремонт'!AT303+'[1]поточний ремонт'!AT303</f>
        <v>5410.3285754021881</v>
      </c>
      <c r="AU303" s="42">
        <f>'[2]поточний ремонт'!AU303+'[1]поточний ремонт'!AU303</f>
        <v>615.37989917361699</v>
      </c>
      <c r="AV303" s="5"/>
      <c r="AW303" s="42">
        <f>'[2]поточний ремонт'!AW303+'[1]поточний ремонт'!AW303</f>
        <v>229.6033875738494</v>
      </c>
      <c r="AX303" s="42">
        <f>'[2]поточний ремонт'!AX303+'[1]поточний ремонт'!AX303</f>
        <v>0</v>
      </c>
      <c r="AY303" s="5"/>
      <c r="AZ303" s="42">
        <f t="shared" si="40"/>
        <v>25247.055158830739</v>
      </c>
      <c r="BA303" s="42">
        <f t="shared" si="41"/>
        <v>9765.0335597960366</v>
      </c>
      <c r="BB303" s="58">
        <f t="shared" si="42"/>
        <v>-15482.021599034702</v>
      </c>
      <c r="BD303" s="2">
        <v>2</v>
      </c>
      <c r="BF303" s="29">
        <v>13.393981555694547</v>
      </c>
      <c r="BG303" s="318">
        <v>150000865</v>
      </c>
      <c r="BI303" s="104">
        <v>0</v>
      </c>
      <c r="BJ303" s="104">
        <f t="shared" si="43"/>
        <v>0</v>
      </c>
      <c r="BK303" s="104">
        <v>0</v>
      </c>
      <c r="BL303" s="38"/>
      <c r="BM303" s="3"/>
      <c r="BN303" s="3">
        <v>0</v>
      </c>
      <c r="BP303" s="3"/>
      <c r="BQ303" s="3"/>
      <c r="BS303" s="42"/>
      <c r="BT303" s="42">
        <v>0</v>
      </c>
      <c r="BU303" s="958"/>
      <c r="BV303" s="41"/>
      <c r="BW303" s="42"/>
      <c r="BX303" s="36"/>
      <c r="BY303" s="76"/>
      <c r="BZ303" s="42">
        <v>0</v>
      </c>
      <c r="CA303" s="959"/>
      <c r="CB303" s="41"/>
      <c r="CC303" s="41">
        <v>0</v>
      </c>
      <c r="CD303" s="960"/>
      <c r="CE303" s="76">
        <v>0</v>
      </c>
      <c r="CF303" s="55"/>
      <c r="CG303" s="41">
        <v>0</v>
      </c>
      <c r="CH303" s="38">
        <v>0</v>
      </c>
      <c r="CI303" s="76">
        <v>0</v>
      </c>
      <c r="CJ303" s="55"/>
      <c r="CK303" s="955"/>
      <c r="CL303" s="950"/>
      <c r="CM303" s="955"/>
      <c r="CN303" s="950">
        <v>0</v>
      </c>
      <c r="CO303" s="76">
        <v>383.92112280510617</v>
      </c>
      <c r="CP303" s="42">
        <v>0</v>
      </c>
      <c r="CQ303" s="9"/>
      <c r="CR303" s="76">
        <v>614.67314323856669</v>
      </c>
      <c r="CS303" s="954">
        <v>1328.3136794441173</v>
      </c>
      <c r="CT303" s="5"/>
      <c r="CU303" s="76">
        <v>537.2459747787716</v>
      </c>
      <c r="CV303" s="42">
        <v>0</v>
      </c>
      <c r="CW303" s="5"/>
      <c r="CX303" s="76">
        <v>0</v>
      </c>
      <c r="CY303" s="42">
        <v>0</v>
      </c>
      <c r="CZ303" s="5"/>
      <c r="DA303" s="76">
        <v>0</v>
      </c>
      <c r="DB303" s="42">
        <v>0</v>
      </c>
      <c r="DC303" s="5"/>
      <c r="DD303" s="76">
        <v>371.50823364445841</v>
      </c>
      <c r="DE303" s="42">
        <v>0</v>
      </c>
      <c r="DF303" s="5"/>
      <c r="DG303" s="76">
        <v>0</v>
      </c>
      <c r="DH303" s="42"/>
      <c r="DI303" s="5"/>
      <c r="DJ303" s="42">
        <v>1907.3484744669029</v>
      </c>
      <c r="DK303" s="42">
        <f t="shared" si="44"/>
        <v>1328.3136794441173</v>
      </c>
      <c r="DL303" s="58">
        <f t="shared" si="45"/>
        <v>-579.0347950227856</v>
      </c>
      <c r="DM303" s="2">
        <v>2</v>
      </c>
    </row>
    <row r="304" spans="1:117" ht="24.9" customHeight="1" x14ac:dyDescent="0.3">
      <c r="A304" s="318">
        <v>150000873</v>
      </c>
      <c r="B304" s="44" t="s">
        <v>306</v>
      </c>
      <c r="C304" s="956">
        <v>5</v>
      </c>
      <c r="D304" s="957" t="s">
        <v>454</v>
      </c>
      <c r="E304" s="949">
        <f>'побудинковий звіт'!E302</f>
        <v>2608.3199999999997</v>
      </c>
      <c r="F304" s="950">
        <f>'побудинковий звіт'!AS302</f>
        <v>30453.416779030427</v>
      </c>
      <c r="G304" s="950">
        <f t="shared" si="38"/>
        <v>8602.9557850862566</v>
      </c>
      <c r="H304" s="950">
        <f t="shared" si="39"/>
        <v>-21850.460993944173</v>
      </c>
      <c r="I304" s="42">
        <f>'[2]поточний ремонт'!I304+'[1]поточний ремонт'!I304</f>
        <v>0</v>
      </c>
      <c r="J304" s="42">
        <f>'[2]поточний ремонт'!J304+'[1]поточний ремонт'!J304</f>
        <v>0</v>
      </c>
      <c r="K304" s="958"/>
      <c r="L304" s="42">
        <f>'[2]поточний ремонт'!L304+'[1]поточний ремонт'!L304</f>
        <v>0</v>
      </c>
      <c r="M304" s="42">
        <f>'[2]поточний ремонт'!M304+'[1]поточний ремонт'!M304</f>
        <v>0</v>
      </c>
      <c r="N304" s="36"/>
      <c r="O304" s="42">
        <f>'[2]поточний ремонт'!O304+'[1]поточний ремонт'!O304</f>
        <v>0</v>
      </c>
      <c r="P304" s="42">
        <f>'[2]поточний ремонт'!P304+'[1]поточний ремонт'!P304</f>
        <v>0</v>
      </c>
      <c r="Q304" s="959"/>
      <c r="R304" s="42">
        <f>'[2]поточний ремонт'!R304+'[1]поточний ремонт'!R304</f>
        <v>0</v>
      </c>
      <c r="S304" s="42">
        <f>'[2]поточний ремонт'!S304+'[1]поточний ремонт'!S304</f>
        <v>0</v>
      </c>
      <c r="T304" s="960"/>
      <c r="U304" s="42">
        <f>'[2]поточний ремонт'!U304+'[1]поточний ремонт'!U304</f>
        <v>0</v>
      </c>
      <c r="V304" s="42">
        <f>'[2]поточний ремонт'!V304+'[1]поточний ремонт'!V304</f>
        <v>0</v>
      </c>
      <c r="W304" s="42">
        <f>'[2]поточний ремонт'!W304+'[1]поточний ремонт'!W304</f>
        <v>0</v>
      </c>
      <c r="X304" s="42">
        <f>'[2]поточний ремонт'!X304+'[1]поточний ремонт'!X304</f>
        <v>0</v>
      </c>
      <c r="Y304" s="42">
        <f>'[2]поточний ремонт'!Y304+'[1]поточний ремонт'!Y304</f>
        <v>626</v>
      </c>
      <c r="Z304" s="42">
        <f>'[2]поточний ремонт'!Z304+'[1]поточний ремонт'!Z304</f>
        <v>0</v>
      </c>
      <c r="AA304" s="42">
        <f>'[2]поточний ремонт'!AA304+'[1]поточний ремонт'!AA304</f>
        <v>0</v>
      </c>
      <c r="AB304" s="42">
        <f>'[2]поточний ремонт'!AB304+'[1]поточний ремонт'!AB304</f>
        <v>0</v>
      </c>
      <c r="AC304" s="42">
        <f>'[2]поточний ремонт'!AC304+'[1]поточний ремонт'!AC304</f>
        <v>488.06679329716451</v>
      </c>
      <c r="AD304" s="42">
        <f>'[2]поточний ремонт'!AD304+'[1]поточний ремонт'!AD304</f>
        <v>7488.888991789092</v>
      </c>
      <c r="AE304" s="42">
        <f>'[2]поточний ремонт'!AE304+'[1]поточний ремонт'!AE304</f>
        <v>1514.1617059731275</v>
      </c>
      <c r="AF304" s="42">
        <f>'[2]поточний ремонт'!AF304+'[1]поточний ремонт'!AF304</f>
        <v>316.54139948112498</v>
      </c>
      <c r="AG304" s="5"/>
      <c r="AH304" s="42">
        <f>'[2]поточний ремонт'!AH304+'[1]поточний ремонт'!AH304</f>
        <v>2195.9484230397552</v>
      </c>
      <c r="AI304" s="42">
        <f>'[2]поточний ремонт'!AI304+'[1]поточний ремонт'!AI304</f>
        <v>0</v>
      </c>
      <c r="AJ304" s="5"/>
      <c r="AK304" s="42">
        <f>'[2]поточний ремонт'!AK304+'[1]поточний ремонт'!AK304</f>
        <v>1954.9191417791574</v>
      </c>
      <c r="AL304" s="42">
        <f>'[2]поточний ремонт'!AL304+'[1]поточний ремонт'!AL304</f>
        <v>0</v>
      </c>
      <c r="AM304" s="5"/>
      <c r="AN304" s="42">
        <f>'[2]поточний ремонт'!AN304+'[1]поточний ремонт'!AN304</f>
        <v>0</v>
      </c>
      <c r="AO304" s="42">
        <f>'[2]поточний ремонт'!AO304+'[1]поточний ремонт'!AO304</f>
        <v>0</v>
      </c>
      <c r="AP304" s="5"/>
      <c r="AQ304" s="42">
        <f>'[2]поточний ремонт'!AQ304+'[1]поточний ремонт'!AQ304</f>
        <v>110.27308797143304</v>
      </c>
      <c r="AR304" s="42">
        <f>'[2]поточний ремонт'!AR304+'[1]поточний ремонт'!AR304</f>
        <v>480.46762398767237</v>
      </c>
      <c r="AS304" s="5"/>
      <c r="AT304" s="42">
        <f>'[2]поточний ремонт'!AT304+'[1]поточний ремонт'!AT304</f>
        <v>926.37453291658198</v>
      </c>
      <c r="AU304" s="42">
        <f>'[2]поточний ремонт'!AU304+'[1]поточний ремонт'!AU304</f>
        <v>0</v>
      </c>
      <c r="AV304" s="5"/>
      <c r="AW304" s="42">
        <f>'[2]поточний ремонт'!AW304+'[1]поточний ремонт'!AW304</f>
        <v>119.77397646631468</v>
      </c>
      <c r="AX304" s="42">
        <f>'[2]поточний ремонт'!AX304+'[1]поточний ремонт'!AX304</f>
        <v>0</v>
      </c>
      <c r="AY304" s="5"/>
      <c r="AZ304" s="42">
        <f t="shared" si="40"/>
        <v>6821.4508681463694</v>
      </c>
      <c r="BA304" s="42">
        <f t="shared" si="41"/>
        <v>797.0090234687973</v>
      </c>
      <c r="BB304" s="58">
        <f t="shared" si="42"/>
        <v>-6024.4418446775726</v>
      </c>
      <c r="BD304" s="2">
        <v>2</v>
      </c>
      <c r="BF304" s="29">
        <v>3.8112739530843336</v>
      </c>
      <c r="BG304" s="318">
        <v>150000873</v>
      </c>
      <c r="BI304" s="104">
        <v>0</v>
      </c>
      <c r="BJ304" s="104">
        <f t="shared" si="43"/>
        <v>0</v>
      </c>
      <c r="BK304" s="104">
        <v>0</v>
      </c>
      <c r="BL304" s="38"/>
      <c r="BM304" s="3"/>
      <c r="BN304" s="3">
        <v>0</v>
      </c>
      <c r="BP304" s="3"/>
      <c r="BQ304" s="3"/>
      <c r="BS304" s="42"/>
      <c r="BT304" s="42">
        <v>0</v>
      </c>
      <c r="BU304" s="958"/>
      <c r="BV304" s="41"/>
      <c r="BW304" s="42"/>
      <c r="BX304" s="36"/>
      <c r="BY304" s="76"/>
      <c r="BZ304" s="42">
        <v>0</v>
      </c>
      <c r="CA304" s="959"/>
      <c r="CB304" s="41"/>
      <c r="CC304" s="41">
        <v>0</v>
      </c>
      <c r="CD304" s="960"/>
      <c r="CE304" s="76">
        <v>0</v>
      </c>
      <c r="CF304" s="55"/>
      <c r="CG304" s="41">
        <v>0</v>
      </c>
      <c r="CH304" s="38">
        <v>0</v>
      </c>
      <c r="CI304" s="76">
        <v>0</v>
      </c>
      <c r="CJ304" s="55"/>
      <c r="CK304" s="955"/>
      <c r="CL304" s="950"/>
      <c r="CM304" s="955"/>
      <c r="CN304" s="950">
        <v>0</v>
      </c>
      <c r="CO304" s="76">
        <v>121.90693736917891</v>
      </c>
      <c r="CP304" s="42">
        <v>0</v>
      </c>
      <c r="CQ304" s="5"/>
      <c r="CR304" s="76">
        <v>185.4877130339687</v>
      </c>
      <c r="CS304" s="954">
        <v>0</v>
      </c>
      <c r="CT304" s="5"/>
      <c r="CU304" s="76">
        <v>156.83363862298793</v>
      </c>
      <c r="CV304" s="42">
        <v>0</v>
      </c>
      <c r="CW304" s="5"/>
      <c r="CX304" s="76">
        <v>0</v>
      </c>
      <c r="CY304" s="42">
        <v>0</v>
      </c>
      <c r="CZ304" s="5"/>
      <c r="DA304" s="76">
        <v>0</v>
      </c>
      <c r="DB304" s="42">
        <v>0</v>
      </c>
      <c r="DC304" s="5"/>
      <c r="DD304" s="76">
        <v>59.106282508825508</v>
      </c>
      <c r="DE304" s="42">
        <v>0</v>
      </c>
      <c r="DF304" s="5"/>
      <c r="DG304" s="76">
        <v>0</v>
      </c>
      <c r="DH304" s="42"/>
      <c r="DI304" s="5"/>
      <c r="DJ304" s="42">
        <v>523.33457153496101</v>
      </c>
      <c r="DK304" s="42">
        <f t="shared" si="44"/>
        <v>0</v>
      </c>
      <c r="DL304" s="58">
        <f t="shared" si="45"/>
        <v>-523.33457153496101</v>
      </c>
      <c r="DM304" s="2">
        <v>2</v>
      </c>
    </row>
    <row r="305" spans="1:117" ht="24.9" customHeight="1" x14ac:dyDescent="0.3">
      <c r="A305" s="318">
        <v>150000874</v>
      </c>
      <c r="B305" s="44" t="s">
        <v>307</v>
      </c>
      <c r="C305" s="956">
        <v>5</v>
      </c>
      <c r="D305" s="957" t="s">
        <v>454</v>
      </c>
      <c r="E305" s="949">
        <f>'побудинковий звіт'!E303</f>
        <v>2600.1999999999998</v>
      </c>
      <c r="F305" s="950">
        <f>'побудинковий звіт'!AS303</f>
        <v>31240.732627112673</v>
      </c>
      <c r="G305" s="950">
        <f t="shared" si="38"/>
        <v>2005.206352052352</v>
      </c>
      <c r="H305" s="950">
        <f t="shared" si="39"/>
        <v>-29235.526275060321</v>
      </c>
      <c r="I305" s="42">
        <f>'[2]поточний ремонт'!I305+'[1]поточний ремонт'!I305</f>
        <v>0</v>
      </c>
      <c r="J305" s="42">
        <f>'[2]поточний ремонт'!J305+'[1]поточний ремонт'!J305</f>
        <v>0</v>
      </c>
      <c r="K305" s="958"/>
      <c r="L305" s="42">
        <f>'[2]поточний ремонт'!L305+'[1]поточний ремонт'!L305</f>
        <v>0</v>
      </c>
      <c r="M305" s="42">
        <f>'[2]поточний ремонт'!M305+'[1]поточний ремонт'!M305</f>
        <v>0</v>
      </c>
      <c r="N305" s="36"/>
      <c r="O305" s="42">
        <f>'[2]поточний ремонт'!O305+'[1]поточний ремонт'!O305</f>
        <v>0</v>
      </c>
      <c r="P305" s="42">
        <f>'[2]поточний ремонт'!P305+'[1]поточний ремонт'!P305</f>
        <v>0</v>
      </c>
      <c r="Q305" s="959"/>
      <c r="R305" s="42">
        <f>'[2]поточний ремонт'!R305+'[1]поточний ремонт'!R305</f>
        <v>0</v>
      </c>
      <c r="S305" s="42">
        <f>'[2]поточний ремонт'!S305+'[1]поточний ремонт'!S305</f>
        <v>0</v>
      </c>
      <c r="T305" s="960"/>
      <c r="U305" s="42">
        <f>'[2]поточний ремонт'!U305+'[1]поточний ремонт'!U305</f>
        <v>0</v>
      </c>
      <c r="V305" s="42">
        <f>'[2]поточний ремонт'!V305+'[1]поточний ремонт'!V305</f>
        <v>0</v>
      </c>
      <c r="W305" s="42">
        <f>'[2]поточний ремонт'!W305+'[1]поточний ремонт'!W305</f>
        <v>0</v>
      </c>
      <c r="X305" s="42">
        <f>'[2]поточний ремонт'!X305+'[1]поточний ремонт'!X305</f>
        <v>0</v>
      </c>
      <c r="Y305" s="42">
        <f>'[2]поточний ремонт'!Y305+'[1]поточний ремонт'!Y305</f>
        <v>0</v>
      </c>
      <c r="Z305" s="42">
        <f>'[2]поточний ремонт'!Z305+'[1]поточний ремонт'!Z305</f>
        <v>0</v>
      </c>
      <c r="AA305" s="42">
        <f>'[2]поточний ремонт'!AA305+'[1]поточний ремонт'!AA305</f>
        <v>0</v>
      </c>
      <c r="AB305" s="42">
        <f>'[2]поточний ремонт'!AB305+'[1]поточний ремонт'!AB305</f>
        <v>0</v>
      </c>
      <c r="AC305" s="42">
        <f>'[2]поточний ремонт'!AC305+'[1]поточний ремонт'!AC305</f>
        <v>0</v>
      </c>
      <c r="AD305" s="42">
        <f>'[2]поточний ремонт'!AD305+'[1]поточний ремонт'!AD305</f>
        <v>2005.206352052352</v>
      </c>
      <c r="AE305" s="42">
        <f>'[2]поточний ремонт'!AE305+'[1]поточний ремонт'!AE305</f>
        <v>1453.1326012459865</v>
      </c>
      <c r="AF305" s="42">
        <f>'[2]поточний ремонт'!AF305+'[1]поточний ремонт'!AF305</f>
        <v>0</v>
      </c>
      <c r="AG305" s="5"/>
      <c r="AH305" s="42">
        <f>'[2]поточний ремонт'!AH305+'[1]поточний ремонт'!AH305</f>
        <v>2400.2126865909804</v>
      </c>
      <c r="AI305" s="42">
        <f>'[2]поточний ремонт'!AI305+'[1]поточний ремонт'!AI305</f>
        <v>396.50086280071275</v>
      </c>
      <c r="AJ305" s="5"/>
      <c r="AK305" s="42">
        <f>'[2]поточний ремонт'!AK305+'[1]поточний ремонт'!AK305</f>
        <v>1700.8915319535449</v>
      </c>
      <c r="AL305" s="42">
        <f>'[2]поточний ремонт'!AL305+'[1]поточний ремонт'!AL305</f>
        <v>0</v>
      </c>
      <c r="AM305" s="5"/>
      <c r="AN305" s="42">
        <f>'[2]поточний ремонт'!AN305+'[1]поточний ремонт'!AN305</f>
        <v>721.77638384068325</v>
      </c>
      <c r="AO305" s="42">
        <f>'[2]поточний ремонт'!AO305+'[1]поточний ремонт'!AO305</f>
        <v>0</v>
      </c>
      <c r="AP305" s="5"/>
      <c r="AQ305" s="42">
        <f>'[2]поточний ремонт'!AQ305+'[1]поточний ремонт'!AQ305</f>
        <v>531.49095523425171</v>
      </c>
      <c r="AR305" s="42">
        <f>'[2]поточний ремонт'!AR305+'[1]поточний ремонт'!AR305</f>
        <v>0</v>
      </c>
      <c r="AS305" s="5"/>
      <c r="AT305" s="42">
        <f>'[2]поточний ремонт'!AT305+'[1]поточний ремонт'!AT305</f>
        <v>781.16176640219169</v>
      </c>
      <c r="AU305" s="42">
        <f>'[2]поточний ремонт'!AU305+'[1]поточний ремонт'!AU305</f>
        <v>0</v>
      </c>
      <c r="AV305" s="5"/>
      <c r="AW305" s="42">
        <f>'[2]поточний ремонт'!AW305+'[1]поточний ремонт'!AW305</f>
        <v>62.64762467344957</v>
      </c>
      <c r="AX305" s="42">
        <f>'[2]поточний ремонт'!AX305+'[1]поточний ремонт'!AX305</f>
        <v>0</v>
      </c>
      <c r="AY305" s="5"/>
      <c r="AZ305" s="42">
        <f t="shared" si="40"/>
        <v>7651.3135499410882</v>
      </c>
      <c r="BA305" s="42">
        <f t="shared" si="41"/>
        <v>396.50086280071275</v>
      </c>
      <c r="BB305" s="58">
        <f t="shared" si="42"/>
        <v>-7254.8126871403756</v>
      </c>
      <c r="BD305" s="2">
        <v>2</v>
      </c>
      <c r="BF305" s="29">
        <v>3.3287632178590605</v>
      </c>
      <c r="BG305" s="318">
        <v>150000874</v>
      </c>
      <c r="BI305" s="104">
        <v>0</v>
      </c>
      <c r="BJ305" s="104">
        <f t="shared" si="43"/>
        <v>0</v>
      </c>
      <c r="BK305" s="104">
        <v>0</v>
      </c>
      <c r="BL305" s="38"/>
      <c r="BM305" s="3"/>
      <c r="BN305" s="3">
        <v>0</v>
      </c>
      <c r="BP305" s="3"/>
      <c r="BQ305" s="3"/>
      <c r="BS305" s="42"/>
      <c r="BT305" s="42">
        <v>0</v>
      </c>
      <c r="BU305" s="958"/>
      <c r="BV305" s="41"/>
      <c r="BW305" s="42"/>
      <c r="BX305" s="36"/>
      <c r="BY305" s="76"/>
      <c r="BZ305" s="42">
        <v>0</v>
      </c>
      <c r="CA305" s="959"/>
      <c r="CB305" s="41"/>
      <c r="CC305" s="41">
        <v>0</v>
      </c>
      <c r="CD305" s="960"/>
      <c r="CE305" s="76">
        <v>0</v>
      </c>
      <c r="CF305" s="55"/>
      <c r="CG305" s="41">
        <v>0</v>
      </c>
      <c r="CH305" s="38">
        <v>0</v>
      </c>
      <c r="CI305" s="76">
        <v>0</v>
      </c>
      <c r="CJ305" s="55"/>
      <c r="CK305" s="955"/>
      <c r="CL305" s="950"/>
      <c r="CM305" s="955"/>
      <c r="CN305" s="950">
        <v>0</v>
      </c>
      <c r="CO305" s="76">
        <v>117.60799368134825</v>
      </c>
      <c r="CP305" s="42">
        <v>0</v>
      </c>
      <c r="CQ305" s="5"/>
      <c r="CR305" s="76">
        <v>185.4877130339687</v>
      </c>
      <c r="CS305" s="954">
        <v>0</v>
      </c>
      <c r="CT305" s="5"/>
      <c r="CU305" s="76">
        <v>139.94055269617567</v>
      </c>
      <c r="CV305" s="42">
        <v>0</v>
      </c>
      <c r="CW305" s="5"/>
      <c r="CX305" s="76">
        <v>65.706154075165742</v>
      </c>
      <c r="CY305" s="42">
        <v>0</v>
      </c>
      <c r="CZ305" s="5"/>
      <c r="DA305" s="76">
        <v>44.980177589529568</v>
      </c>
      <c r="DB305" s="42">
        <v>0</v>
      </c>
      <c r="DC305" s="5"/>
      <c r="DD305" s="76">
        <v>59.10628894753529</v>
      </c>
      <c r="DE305" s="42">
        <v>0</v>
      </c>
      <c r="DF305" s="5"/>
      <c r="DG305" s="76">
        <v>0</v>
      </c>
      <c r="DH305" s="42"/>
      <c r="DI305" s="5"/>
      <c r="DJ305" s="42">
        <v>612.82888002372329</v>
      </c>
      <c r="DK305" s="42">
        <f t="shared" si="44"/>
        <v>0</v>
      </c>
      <c r="DL305" s="58">
        <f t="shared" si="45"/>
        <v>-612.82888002372329</v>
      </c>
      <c r="DM305" s="2">
        <v>2</v>
      </c>
    </row>
    <row r="306" spans="1:117" ht="24.9" customHeight="1" x14ac:dyDescent="0.3">
      <c r="A306" s="318">
        <v>150000866</v>
      </c>
      <c r="B306" s="44" t="s">
        <v>308</v>
      </c>
      <c r="C306" s="956">
        <v>5</v>
      </c>
      <c r="D306" s="957" t="s">
        <v>454</v>
      </c>
      <c r="E306" s="949">
        <f>'побудинковий звіт'!E304</f>
        <v>5026.91</v>
      </c>
      <c r="F306" s="950">
        <f>'побудинковий звіт'!AS304</f>
        <v>58721.655607942754</v>
      </c>
      <c r="G306" s="950">
        <f t="shared" si="38"/>
        <v>78327.266278988114</v>
      </c>
      <c r="H306" s="950">
        <f t="shared" si="39"/>
        <v>19605.610671045361</v>
      </c>
      <c r="I306" s="42">
        <f>'[2]поточний ремонт'!I306+'[1]поточний ремонт'!I306</f>
        <v>5.78</v>
      </c>
      <c r="J306" s="42">
        <f>'[2]поточний ремонт'!J306+'[1]поточний ремонт'!J306</f>
        <v>1208.8201677640889</v>
      </c>
      <c r="K306" s="958"/>
      <c r="L306" s="42">
        <f>'[2]поточний ремонт'!L306+'[1]поточний ремонт'!L306</f>
        <v>1</v>
      </c>
      <c r="M306" s="42">
        <f>'[2]поточний ремонт'!M306+'[1]поточний ремонт'!M306</f>
        <v>66208.894333527802</v>
      </c>
      <c r="N306" s="961"/>
      <c r="O306" s="42">
        <f>'[2]поточний ремонт'!O306+'[1]поточний ремонт'!O306</f>
        <v>0</v>
      </c>
      <c r="P306" s="42">
        <f>'[2]поточний ремонт'!P306+'[1]поточний ремонт'!P306</f>
        <v>0</v>
      </c>
      <c r="Q306" s="959"/>
      <c r="R306" s="42">
        <f>'[2]поточний ремонт'!R306+'[1]поточний ремонт'!R306</f>
        <v>0</v>
      </c>
      <c r="S306" s="42">
        <f>'[2]поточний ремонт'!S306+'[1]поточний ремонт'!S306</f>
        <v>0</v>
      </c>
      <c r="T306" s="960"/>
      <c r="U306" s="42">
        <f>'[2]поточний ремонт'!U306+'[1]поточний ремонт'!U306</f>
        <v>0</v>
      </c>
      <c r="V306" s="42">
        <f>'[2]поточний ремонт'!V306+'[1]поточний ремонт'!V306</f>
        <v>0</v>
      </c>
      <c r="W306" s="42">
        <f>'[2]поточний ремонт'!W306+'[1]поточний ремонт'!W306</f>
        <v>0</v>
      </c>
      <c r="X306" s="42">
        <f>'[2]поточний ремонт'!X306+'[1]поточний ремонт'!X306</f>
        <v>0</v>
      </c>
      <c r="Y306" s="42">
        <f>'[2]поточний ремонт'!Y306+'[1]поточний ремонт'!Y306</f>
        <v>0</v>
      </c>
      <c r="Z306" s="42">
        <f>'[2]поточний ремонт'!Z306+'[1]поточний ремонт'!Z306</f>
        <v>0</v>
      </c>
      <c r="AA306" s="42">
        <f>'[2]поточний ремонт'!AA306+'[1]поточний ремонт'!AA306</f>
        <v>0</v>
      </c>
      <c r="AB306" s="42">
        <f>'[2]поточний ремонт'!AB306+'[1]поточний ремонт'!AB306</f>
        <v>0</v>
      </c>
      <c r="AC306" s="42">
        <f>'[2]поточний ремонт'!AC306+'[1]поточний ремонт'!AC306</f>
        <v>3757.7082635496135</v>
      </c>
      <c r="AD306" s="42">
        <f>'[2]поточний ремонт'!AD306+'[1]поточний ремонт'!AD306</f>
        <v>7151.8435141465998</v>
      </c>
      <c r="AE306" s="42">
        <f>'[2]поточний ремонт'!AE306+'[1]поточний ремонт'!AE306</f>
        <v>3272.0302630028596</v>
      </c>
      <c r="AF306" s="42">
        <f>'[2]поточний ремонт'!AF306+'[1]поточний ремонт'!AF306</f>
        <v>355.06420370318943</v>
      </c>
      <c r="AG306" s="5"/>
      <c r="AH306" s="42">
        <f>'[2]поточний ремонт'!AH306+'[1]поточний ремонт'!AH306</f>
        <v>4231.0094990698562</v>
      </c>
      <c r="AI306" s="42">
        <f>'[2]поточний ремонт'!AI306+'[1]поточний ремонт'!AI306</f>
        <v>0</v>
      </c>
      <c r="AJ306" s="5"/>
      <c r="AK306" s="42">
        <f>'[2]поточний ремонт'!AK306+'[1]поточний ремонт'!AK306</f>
        <v>3043.3331173295569</v>
      </c>
      <c r="AL306" s="42">
        <f>'[2]поточний ремонт'!AL306+'[1]поточний ремонт'!AL306</f>
        <v>0</v>
      </c>
      <c r="AM306" s="5"/>
      <c r="AN306" s="42">
        <f>'[2]поточний ремонт'!AN306+'[1]поточний ремонт'!AN306</f>
        <v>0</v>
      </c>
      <c r="AO306" s="42">
        <f>'[2]поточний ремонт'!AO306+'[1]поточний ремонт'!AO306</f>
        <v>0</v>
      </c>
      <c r="AP306" s="5"/>
      <c r="AQ306" s="42">
        <f>'[2]поточний ремонт'!AQ306+'[1]поточний ремонт'!AQ306</f>
        <v>192.97790395000783</v>
      </c>
      <c r="AR306" s="42">
        <f>'[2]поточний ремонт'!AR306+'[1]поточний ремонт'!AR306</f>
        <v>2239.8044883595703</v>
      </c>
      <c r="AS306" s="5"/>
      <c r="AT306" s="42">
        <f>'[2]поточний ремонт'!AT306+'[1]поточний ремонт'!AT306</f>
        <v>2697.2481665486489</v>
      </c>
      <c r="AU306" s="42">
        <f>'[2]поточний ремонт'!AU306+'[1]поточний ремонт'!AU306</f>
        <v>0</v>
      </c>
      <c r="AV306" s="5"/>
      <c r="AW306" s="42">
        <f>'[2]поточний ремонт'!AW306+'[1]поточний ремонт'!AW306</f>
        <v>1268.6784788977948</v>
      </c>
      <c r="AX306" s="42">
        <f>'[2]поточний ремонт'!AX306+'[1]поточний ремонт'!AX306</f>
        <v>7232.0058500227551</v>
      </c>
      <c r="AY306" s="5"/>
      <c r="AZ306" s="42">
        <f t="shared" si="40"/>
        <v>14705.277428798725</v>
      </c>
      <c r="BA306" s="42">
        <f t="shared" si="41"/>
        <v>9826.8745420855157</v>
      </c>
      <c r="BB306" s="58">
        <f t="shared" si="42"/>
        <v>-4878.4028867132092</v>
      </c>
      <c r="BD306" s="2">
        <v>1</v>
      </c>
      <c r="BF306" s="29">
        <v>889.66750192532879</v>
      </c>
      <c r="BG306" s="318">
        <v>150000866</v>
      </c>
      <c r="BI306" s="104">
        <v>0</v>
      </c>
      <c r="BJ306" s="104">
        <f t="shared" si="43"/>
        <v>0</v>
      </c>
      <c r="BK306" s="104">
        <v>0</v>
      </c>
      <c r="BL306" s="38"/>
      <c r="BM306" s="3"/>
      <c r="BN306" s="3">
        <v>0</v>
      </c>
      <c r="BP306" s="3"/>
      <c r="BQ306" s="3"/>
      <c r="BS306" s="42"/>
      <c r="BT306" s="42">
        <v>0</v>
      </c>
      <c r="BU306" s="958"/>
      <c r="BV306" s="41">
        <v>1</v>
      </c>
      <c r="BW306" s="42">
        <v>66119</v>
      </c>
      <c r="BX306" s="961"/>
      <c r="BY306" s="76"/>
      <c r="BZ306" s="42">
        <v>0</v>
      </c>
      <c r="CA306" s="959"/>
      <c r="CB306" s="41"/>
      <c r="CC306" s="41">
        <v>0</v>
      </c>
      <c r="CD306" s="960"/>
      <c r="CE306" s="76">
        <v>0</v>
      </c>
      <c r="CF306" s="55"/>
      <c r="CG306" s="41">
        <v>0</v>
      </c>
      <c r="CH306" s="38">
        <v>0</v>
      </c>
      <c r="CI306" s="76">
        <v>0</v>
      </c>
      <c r="CJ306" s="55"/>
      <c r="CK306" s="955"/>
      <c r="CL306" s="950"/>
      <c r="CM306" s="955">
        <v>3424</v>
      </c>
      <c r="CN306" s="950">
        <v>0</v>
      </c>
      <c r="CO306" s="76">
        <v>268.49429091251204</v>
      </c>
      <c r="CP306" s="42">
        <v>0</v>
      </c>
      <c r="CQ306" s="5"/>
      <c r="CR306" s="76">
        <v>367.81915493417637</v>
      </c>
      <c r="CS306" s="954">
        <v>0</v>
      </c>
      <c r="CT306" s="5"/>
      <c r="CU306" s="76">
        <v>249.4376121147771</v>
      </c>
      <c r="CV306" s="42">
        <v>0</v>
      </c>
      <c r="CW306" s="5"/>
      <c r="CX306" s="76">
        <v>0</v>
      </c>
      <c r="CY306" s="42">
        <v>0</v>
      </c>
      <c r="CZ306" s="5"/>
      <c r="DA306" s="76">
        <v>0</v>
      </c>
      <c r="DB306" s="42">
        <v>0</v>
      </c>
      <c r="DC306" s="5"/>
      <c r="DD306" s="76">
        <v>160.67135980944471</v>
      </c>
      <c r="DE306" s="42">
        <v>0</v>
      </c>
      <c r="DF306" s="5"/>
      <c r="DG306" s="76">
        <v>118.84369862692307</v>
      </c>
      <c r="DH306" s="42"/>
      <c r="DI306" s="5"/>
      <c r="DJ306" s="42">
        <v>1165.2661163978332</v>
      </c>
      <c r="DK306" s="42">
        <f t="shared" si="44"/>
        <v>0</v>
      </c>
      <c r="DL306" s="58">
        <f t="shared" si="45"/>
        <v>-1165.2661163978332</v>
      </c>
      <c r="DM306" s="2">
        <v>1</v>
      </c>
    </row>
    <row r="307" spans="1:117" ht="24.9" customHeight="1" x14ac:dyDescent="0.3">
      <c r="A307" s="318">
        <v>150000867</v>
      </c>
      <c r="B307" s="44" t="s">
        <v>309</v>
      </c>
      <c r="C307" s="956">
        <v>5</v>
      </c>
      <c r="D307" s="957" t="s">
        <v>454</v>
      </c>
      <c r="E307" s="949">
        <f>'побудинковий звіт'!E305</f>
        <v>2839.58</v>
      </c>
      <c r="F307" s="950">
        <f>'побудинковий звіт'!AS305</f>
        <v>25646.734796795259</v>
      </c>
      <c r="G307" s="950">
        <f t="shared" si="38"/>
        <v>1348.5955394406803</v>
      </c>
      <c r="H307" s="950">
        <f t="shared" si="39"/>
        <v>-24298.139257354578</v>
      </c>
      <c r="I307" s="42">
        <f>'[2]поточний ремонт'!I307+'[1]поточний ремонт'!I307</f>
        <v>0</v>
      </c>
      <c r="J307" s="42">
        <f>'[2]поточний ремонт'!J307+'[1]поточний ремонт'!J307</f>
        <v>0</v>
      </c>
      <c r="K307" s="958"/>
      <c r="L307" s="42">
        <f>'[2]поточний ремонт'!L307+'[1]поточний ремонт'!L307</f>
        <v>0</v>
      </c>
      <c r="M307" s="42">
        <f>'[2]поточний ремонт'!M307+'[1]поточний ремонт'!M307</f>
        <v>0</v>
      </c>
      <c r="N307" s="36"/>
      <c r="O307" s="42">
        <f>'[2]поточний ремонт'!O307+'[1]поточний ремонт'!O307</f>
        <v>0</v>
      </c>
      <c r="P307" s="42">
        <f>'[2]поточний ремонт'!P307+'[1]поточний ремонт'!P307</f>
        <v>0</v>
      </c>
      <c r="Q307" s="959"/>
      <c r="R307" s="42">
        <f>'[2]поточний ремонт'!R307+'[1]поточний ремонт'!R307</f>
        <v>0</v>
      </c>
      <c r="S307" s="42">
        <f>'[2]поточний ремонт'!S307+'[1]поточний ремонт'!S307</f>
        <v>0</v>
      </c>
      <c r="T307" s="960"/>
      <c r="U307" s="42">
        <f>'[2]поточний ремонт'!U307+'[1]поточний ремонт'!U307</f>
        <v>0</v>
      </c>
      <c r="V307" s="42">
        <f>'[2]поточний ремонт'!V307+'[1]поточний ремонт'!V307</f>
        <v>0</v>
      </c>
      <c r="W307" s="42">
        <f>'[2]поточний ремонт'!W307+'[1]поточний ремонт'!W307</f>
        <v>0</v>
      </c>
      <c r="X307" s="42">
        <f>'[2]поточний ремонт'!X307+'[1]поточний ремонт'!X307</f>
        <v>0</v>
      </c>
      <c r="Y307" s="42">
        <f>'[2]поточний ремонт'!Y307+'[1]поточний ремонт'!Y307</f>
        <v>1253.4627365764745</v>
      </c>
      <c r="Z307" s="42">
        <f>'[2]поточний ремонт'!Z307+'[1]поточний ремонт'!Z307</f>
        <v>0</v>
      </c>
      <c r="AA307" s="42">
        <f>'[2]поточний ремонт'!AA307+'[1]поточний ремонт'!AA307</f>
        <v>0</v>
      </c>
      <c r="AB307" s="42">
        <f>'[2]поточний ремонт'!AB307+'[1]поточний ремонт'!AB307</f>
        <v>0</v>
      </c>
      <c r="AC307" s="42">
        <f>'[2]поточний ремонт'!AC307+'[1]поточний ремонт'!AC307</f>
        <v>95.132802864205786</v>
      </c>
      <c r="AD307" s="42">
        <f>'[2]поточний ремонт'!AD307+'[1]поточний ремонт'!AD307</f>
        <v>0</v>
      </c>
      <c r="AE307" s="42">
        <f>'[2]поточний ремонт'!AE307+'[1]поточний ремонт'!AE307</f>
        <v>1595.7654396109797</v>
      </c>
      <c r="AF307" s="42">
        <f>'[2]поточний ремонт'!AF307+'[1]поточний ремонт'!AF307</f>
        <v>0</v>
      </c>
      <c r="AG307" s="5"/>
      <c r="AH307" s="42">
        <f>'[2]поточний ремонт'!AH307+'[1]поточний ремонт'!AH307</f>
        <v>2303.3259097598921</v>
      </c>
      <c r="AI307" s="42">
        <f>'[2]поточний ремонт'!AI307+'[1]поточний ремонт'!AI307</f>
        <v>5576.3083022952242</v>
      </c>
      <c r="AJ307" s="5"/>
      <c r="AK307" s="42">
        <f>'[2]поточний ремонт'!AK307+'[1]поточний ремонт'!AK307</f>
        <v>1781.1847819675154</v>
      </c>
      <c r="AL307" s="42">
        <f>'[2]поточний ремонт'!AL307+'[1]поточний ремонт'!AL307</f>
        <v>0</v>
      </c>
      <c r="AM307" s="5"/>
      <c r="AN307" s="42">
        <f>'[2]поточний ремонт'!AN307+'[1]поточний ремонт'!AN307</f>
        <v>0</v>
      </c>
      <c r="AO307" s="42">
        <f>'[2]поточний ремонт'!AO307+'[1]поточний ремонт'!AO307</f>
        <v>0</v>
      </c>
      <c r="AP307" s="5"/>
      <c r="AQ307" s="42">
        <f>'[2]поточний ремонт'!AQ307+'[1]поточний ремонт'!AQ307</f>
        <v>82.704815978574771</v>
      </c>
      <c r="AR307" s="42">
        <f>'[2]поточний ремонт'!AR307+'[1]поточний ремонт'!AR307</f>
        <v>0</v>
      </c>
      <c r="AS307" s="5"/>
      <c r="AT307" s="42">
        <f>'[2]поточний ремонт'!AT307+'[1]поточний ремонт'!AT307</f>
        <v>1087.4724271339321</v>
      </c>
      <c r="AU307" s="42">
        <f>'[2]поточний ремонт'!AU307+'[1]поточний ремонт'!AU307</f>
        <v>0</v>
      </c>
      <c r="AV307" s="5"/>
      <c r="AW307" s="42">
        <f>'[2]поточний ремонт'!AW307+'[1]поточний ремонт'!AW307</f>
        <v>625.52066110709939</v>
      </c>
      <c r="AX307" s="42">
        <f>'[2]поточний ремонт'!AX307+'[1]поточний ремонт'!AX307</f>
        <v>3392.7069499238742</v>
      </c>
      <c r="AY307" s="5"/>
      <c r="AZ307" s="42">
        <f t="shared" si="40"/>
        <v>7475.9740355579925</v>
      </c>
      <c r="BA307" s="42">
        <f t="shared" si="41"/>
        <v>8969.0152522190983</v>
      </c>
      <c r="BB307" s="58">
        <f t="shared" si="42"/>
        <v>1493.0412166611059</v>
      </c>
      <c r="BD307" s="2">
        <v>1</v>
      </c>
      <c r="BF307" s="29">
        <v>132.67312236756047</v>
      </c>
      <c r="BG307" s="318">
        <v>150000867</v>
      </c>
      <c r="BI307" s="104">
        <v>0</v>
      </c>
      <c r="BJ307" s="104">
        <f t="shared" si="43"/>
        <v>0</v>
      </c>
      <c r="BK307" s="104">
        <v>0</v>
      </c>
      <c r="BL307" s="38"/>
      <c r="BM307" s="3"/>
      <c r="BN307" s="3">
        <v>0</v>
      </c>
      <c r="BP307" s="3"/>
      <c r="BQ307" s="3"/>
      <c r="BS307" s="42"/>
      <c r="BT307" s="42">
        <v>0</v>
      </c>
      <c r="BU307" s="958"/>
      <c r="BV307" s="41"/>
      <c r="BW307" s="42"/>
      <c r="BX307" s="36"/>
      <c r="BY307" s="76"/>
      <c r="BZ307" s="42">
        <v>0</v>
      </c>
      <c r="CA307" s="959"/>
      <c r="CB307" s="41"/>
      <c r="CC307" s="41">
        <v>0</v>
      </c>
      <c r="CD307" s="960"/>
      <c r="CE307" s="76">
        <v>0</v>
      </c>
      <c r="CF307" s="55"/>
      <c r="CG307" s="41">
        <v>0</v>
      </c>
      <c r="CH307" s="38">
        <v>0</v>
      </c>
      <c r="CI307" s="76">
        <v>0</v>
      </c>
      <c r="CJ307" s="55"/>
      <c r="CK307" s="955"/>
      <c r="CL307" s="950"/>
      <c r="CM307" s="955"/>
      <c r="CN307" s="950">
        <v>0</v>
      </c>
      <c r="CO307" s="76">
        <v>130.37371318027047</v>
      </c>
      <c r="CP307" s="42">
        <v>0</v>
      </c>
      <c r="CQ307" s="5"/>
      <c r="CR307" s="76">
        <v>188.6681320168974</v>
      </c>
      <c r="CS307" s="954">
        <v>0</v>
      </c>
      <c r="CT307" s="5"/>
      <c r="CU307" s="76">
        <v>143.23456870345268</v>
      </c>
      <c r="CV307" s="42">
        <v>0</v>
      </c>
      <c r="CW307" s="5"/>
      <c r="CX307" s="76">
        <v>0</v>
      </c>
      <c r="CY307" s="42">
        <v>0</v>
      </c>
      <c r="CZ307" s="5"/>
      <c r="DA307" s="76">
        <v>0</v>
      </c>
      <c r="DB307" s="42">
        <v>0</v>
      </c>
      <c r="DC307" s="5"/>
      <c r="DD307" s="76">
        <v>61.409350688054374</v>
      </c>
      <c r="DE307" s="42">
        <v>0</v>
      </c>
      <c r="DF307" s="5"/>
      <c r="DG307" s="76">
        <v>59.671551360139539</v>
      </c>
      <c r="DH307" s="42"/>
      <c r="DI307" s="5"/>
      <c r="DJ307" s="42">
        <v>583.35731594881452</v>
      </c>
      <c r="DK307" s="42">
        <f t="shared" si="44"/>
        <v>0</v>
      </c>
      <c r="DL307" s="58">
        <f t="shared" si="45"/>
        <v>-583.35731594881452</v>
      </c>
      <c r="DM307" s="2">
        <v>1</v>
      </c>
    </row>
    <row r="308" spans="1:117" ht="24.9" customHeight="1" x14ac:dyDescent="0.3">
      <c r="A308" s="318">
        <v>150000868</v>
      </c>
      <c r="B308" s="44" t="s">
        <v>310</v>
      </c>
      <c r="C308" s="956">
        <v>5</v>
      </c>
      <c r="D308" s="957" t="s">
        <v>454</v>
      </c>
      <c r="E308" s="949">
        <f>'побудинковий звіт'!E306</f>
        <v>3295.32</v>
      </c>
      <c r="F308" s="950">
        <f>'побудинковий звіт'!AS306</f>
        <v>29501.480327591853</v>
      </c>
      <c r="G308" s="950">
        <f t="shared" si="38"/>
        <v>12921.446515597918</v>
      </c>
      <c r="H308" s="950">
        <f t="shared" si="39"/>
        <v>-16580.033811993933</v>
      </c>
      <c r="I308" s="42">
        <f>'[2]поточний ремонт'!I308+'[1]поточний ремонт'!I308</f>
        <v>0</v>
      </c>
      <c r="J308" s="42">
        <f>'[2]поточний ремонт'!J308+'[1]поточний ремонт'!J308</f>
        <v>0</v>
      </c>
      <c r="K308" s="958"/>
      <c r="L308" s="42">
        <f>'[2]поточний ремонт'!L308+'[1]поточний ремонт'!L308</f>
        <v>0</v>
      </c>
      <c r="M308" s="42">
        <f>'[2]поточний ремонт'!M308+'[1]поточний ремонт'!M308</f>
        <v>0</v>
      </c>
      <c r="N308" s="36"/>
      <c r="O308" s="42">
        <f>'[2]поточний ремонт'!O308+'[1]поточний ремонт'!O308</f>
        <v>0</v>
      </c>
      <c r="P308" s="42">
        <f>'[2]поточний ремонт'!P308+'[1]поточний ремонт'!P308</f>
        <v>0</v>
      </c>
      <c r="Q308" s="959"/>
      <c r="R308" s="42">
        <f>'[2]поточний ремонт'!R308+'[1]поточний ремонт'!R308</f>
        <v>0</v>
      </c>
      <c r="S308" s="42">
        <f>'[2]поточний ремонт'!S308+'[1]поточний ремонт'!S308</f>
        <v>0</v>
      </c>
      <c r="T308" s="960"/>
      <c r="U308" s="42">
        <f>'[2]поточний ремонт'!U308+'[1]поточний ремонт'!U308</f>
        <v>0</v>
      </c>
      <c r="V308" s="42">
        <f>'[2]поточний ремонт'!V308+'[1]поточний ремонт'!V308</f>
        <v>0</v>
      </c>
      <c r="W308" s="42">
        <f>'[2]поточний ремонт'!W308+'[1]поточний ремонт'!W308</f>
        <v>0</v>
      </c>
      <c r="X308" s="42">
        <f>'[2]поточний ремонт'!X308+'[1]поточний ремонт'!X308</f>
        <v>266.54948230333804</v>
      </c>
      <c r="Y308" s="42">
        <f>'[2]поточний ремонт'!Y308+'[1]поточний ремонт'!Y308</f>
        <v>1317.9202290158948</v>
      </c>
      <c r="Z308" s="42">
        <f>'[2]поточний ремонт'!Z308+'[1]поточний ремонт'!Z308</f>
        <v>0</v>
      </c>
      <c r="AA308" s="42">
        <f>'[2]поточний ремонт'!AA308+'[1]поточний ремонт'!AA308</f>
        <v>0</v>
      </c>
      <c r="AB308" s="42">
        <f>'[2]поточний ремонт'!AB308+'[1]поточний ремонт'!AB308</f>
        <v>0</v>
      </c>
      <c r="AC308" s="42">
        <f>'[2]поточний ремонт'!AC308+'[1]поточний ремонт'!AC308</f>
        <v>1170.5893536788819</v>
      </c>
      <c r="AD308" s="42">
        <f>'[2]поточний ремонт'!AD308+'[1]поточний ремонт'!AD308</f>
        <v>10166.387450599803</v>
      </c>
      <c r="AE308" s="42">
        <f>'[2]поточний ремонт'!AE308+'[1]поточний ремонт'!AE308</f>
        <v>1954.4619862448767</v>
      </c>
      <c r="AF308" s="42">
        <f>'[2]поточний ремонт'!AF308+'[1]поточний ремонт'!AF308</f>
        <v>507.17055751810352</v>
      </c>
      <c r="AG308" s="5"/>
      <c r="AH308" s="42">
        <f>'[2]поточний ремонт'!AH308+'[1]поточний ремонт'!AH308</f>
        <v>2831.4622577650102</v>
      </c>
      <c r="AI308" s="42">
        <f>'[2]поточний ремонт'!AI308+'[1]поточний ремонт'!AI308</f>
        <v>0</v>
      </c>
      <c r="AJ308" s="965"/>
      <c r="AK308" s="42">
        <f>'[2]поточний ремонт'!AK308+'[1]поточний ремонт'!AK308</f>
        <v>1780.6159004438034</v>
      </c>
      <c r="AL308" s="42">
        <f>'[2]поточний ремонт'!AL308+'[1]поточний ремонт'!AL308</f>
        <v>0</v>
      </c>
      <c r="AM308" s="5"/>
      <c r="AN308" s="42">
        <f>'[2]поточний ремонт'!AN308+'[1]поточний ремонт'!AN308</f>
        <v>0</v>
      </c>
      <c r="AO308" s="42">
        <f>'[2]поточний ремонт'!AO308+'[1]поточний ремонт'!AO308</f>
        <v>0</v>
      </c>
      <c r="AP308" s="5"/>
      <c r="AQ308" s="42">
        <f>'[2]поточний ремонт'!AQ308+'[1]поточний ремонт'!AQ308</f>
        <v>137.84135996429129</v>
      </c>
      <c r="AR308" s="42">
        <f>'[2]поточний ремонт'!AR308+'[1]поточний ремонт'!AR308</f>
        <v>0</v>
      </c>
      <c r="AS308" s="5"/>
      <c r="AT308" s="42">
        <f>'[2]поточний ремонт'!AT308+'[1]поточний ремонт'!AT308</f>
        <v>1367.0856067285465</v>
      </c>
      <c r="AU308" s="42">
        <f>'[2]поточний ремонт'!AU308+'[1]поточний ремонт'!AU308</f>
        <v>2987.4698916607867</v>
      </c>
      <c r="AV308" s="977"/>
      <c r="AW308" s="42">
        <f>'[2]поточний ремонт'!AW308+'[1]поточний ремонт'!AW308</f>
        <v>619.94782085613565</v>
      </c>
      <c r="AX308" s="42">
        <f>'[2]поточний ремонт'!AX308+'[1]поточний ремонт'!AX308</f>
        <v>0</v>
      </c>
      <c r="AY308" s="5"/>
      <c r="AZ308" s="42">
        <f t="shared" si="40"/>
        <v>8691.4149320026627</v>
      </c>
      <c r="BA308" s="42">
        <f t="shared" si="41"/>
        <v>3494.6404491788903</v>
      </c>
      <c r="BB308" s="58">
        <f t="shared" si="42"/>
        <v>-5196.7744828237719</v>
      </c>
      <c r="BD308" s="2">
        <v>1</v>
      </c>
      <c r="BF308" s="29">
        <v>153.98698746108525</v>
      </c>
      <c r="BG308" s="318">
        <v>150000868</v>
      </c>
      <c r="BI308" s="104">
        <v>19.54</v>
      </c>
      <c r="BJ308" s="104">
        <f t="shared" si="43"/>
        <v>2.7485393879999998</v>
      </c>
      <c r="BK308" s="104">
        <v>22.535204453839999</v>
      </c>
      <c r="BL308" s="38"/>
      <c r="BM308" s="3"/>
      <c r="BN308" s="3">
        <v>0</v>
      </c>
      <c r="BP308" s="3"/>
      <c r="BQ308" s="3"/>
      <c r="BS308" s="42"/>
      <c r="BT308" s="42">
        <v>0</v>
      </c>
      <c r="BU308" s="958"/>
      <c r="BV308" s="41"/>
      <c r="BW308" s="42"/>
      <c r="BX308" s="36"/>
      <c r="BY308" s="76"/>
      <c r="BZ308" s="42">
        <v>0</v>
      </c>
      <c r="CA308" s="959"/>
      <c r="CB308" s="41"/>
      <c r="CC308" s="41">
        <v>0</v>
      </c>
      <c r="CD308" s="960"/>
      <c r="CE308" s="76">
        <v>0</v>
      </c>
      <c r="CF308" s="55"/>
      <c r="CG308" s="41">
        <v>0</v>
      </c>
      <c r="CH308" s="38">
        <v>22.535204453839999</v>
      </c>
      <c r="CI308" s="76">
        <v>1316.1308386050935</v>
      </c>
      <c r="CJ308" s="55"/>
      <c r="CK308" s="955"/>
      <c r="CL308" s="950"/>
      <c r="CM308" s="955">
        <v>1169</v>
      </c>
      <c r="CN308" s="950">
        <v>0</v>
      </c>
      <c r="CO308" s="76">
        <v>163.03390612605966</v>
      </c>
      <c r="CP308" s="42">
        <v>0</v>
      </c>
      <c r="CQ308" s="5"/>
      <c r="CR308" s="76">
        <v>246.28101336058353</v>
      </c>
      <c r="CS308" s="954">
        <v>0</v>
      </c>
      <c r="CT308" s="965"/>
      <c r="CU308" s="76">
        <v>150.1037164359046</v>
      </c>
      <c r="CV308" s="42">
        <v>0</v>
      </c>
      <c r="CW308" s="5"/>
      <c r="CX308" s="76">
        <v>0</v>
      </c>
      <c r="CY308" s="42">
        <v>0</v>
      </c>
      <c r="CZ308" s="5"/>
      <c r="DA308" s="76">
        <v>0</v>
      </c>
      <c r="DB308" s="42">
        <v>0</v>
      </c>
      <c r="DC308" s="5"/>
      <c r="DD308" s="76">
        <v>88.260151070308979</v>
      </c>
      <c r="DE308" s="42">
        <v>0</v>
      </c>
      <c r="DF308" s="977"/>
      <c r="DG308" s="76">
        <v>53.528937122278585</v>
      </c>
      <c r="DH308" s="42"/>
      <c r="DI308" s="5"/>
      <c r="DJ308" s="42">
        <v>701.20772411513531</v>
      </c>
      <c r="DK308" s="42">
        <f t="shared" si="44"/>
        <v>0</v>
      </c>
      <c r="DL308" s="58">
        <f t="shared" si="45"/>
        <v>-701.20772411513531</v>
      </c>
      <c r="DM308" s="2">
        <v>1</v>
      </c>
    </row>
    <row r="309" spans="1:117" ht="24.9" customHeight="1" x14ac:dyDescent="0.3">
      <c r="A309" s="318">
        <v>150000869</v>
      </c>
      <c r="B309" s="44" t="s">
        <v>311</v>
      </c>
      <c r="C309" s="956">
        <v>5</v>
      </c>
      <c r="D309" s="957" t="s">
        <v>454</v>
      </c>
      <c r="E309" s="949">
        <f>'побудинковий звіт'!E307</f>
        <v>5801.57</v>
      </c>
      <c r="F309" s="950">
        <f>'побудинковий звіт'!AS307</f>
        <v>90081.768552796566</v>
      </c>
      <c r="G309" s="950">
        <f t="shared" si="38"/>
        <v>7089.1869410379877</v>
      </c>
      <c r="H309" s="950">
        <f t="shared" si="39"/>
        <v>-82992.581611758578</v>
      </c>
      <c r="I309" s="42">
        <f>'[2]поточний ремонт'!I309+'[1]поточний ремонт'!I309</f>
        <v>0</v>
      </c>
      <c r="J309" s="42">
        <f>'[2]поточний ремонт'!J309+'[1]поточний ремонт'!J309</f>
        <v>0</v>
      </c>
      <c r="K309" s="958"/>
      <c r="L309" s="42">
        <f>'[2]поточний ремонт'!L309+'[1]поточний ремонт'!L309</f>
        <v>0</v>
      </c>
      <c r="M309" s="42">
        <f>'[2]поточний ремонт'!M309+'[1]поточний ремонт'!M309</f>
        <v>5530</v>
      </c>
      <c r="N309" s="970"/>
      <c r="O309" s="42">
        <f>'[2]поточний ремонт'!O309+'[1]поточний ремонт'!O309</f>
        <v>0</v>
      </c>
      <c r="P309" s="42">
        <f>'[2]поточний ремонт'!P309+'[1]поточний ремонт'!P309</f>
        <v>0</v>
      </c>
      <c r="Q309" s="959"/>
      <c r="R309" s="42">
        <f>'[2]поточний ремонт'!R309+'[1]поточний ремонт'!R309</f>
        <v>0</v>
      </c>
      <c r="S309" s="42">
        <f>'[2]поточний ремонт'!S309+'[1]поточний ремонт'!S309</f>
        <v>0</v>
      </c>
      <c r="T309" s="960"/>
      <c r="U309" s="42">
        <f>'[2]поточний ремонт'!U309+'[1]поточний ремонт'!U309</f>
        <v>0</v>
      </c>
      <c r="V309" s="42">
        <f>'[2]поточний ремонт'!V309+'[1]поточний ремонт'!V309</f>
        <v>0</v>
      </c>
      <c r="W309" s="42">
        <f>'[2]поточний ремонт'!W309+'[1]поточний ремонт'!W309</f>
        <v>2</v>
      </c>
      <c r="X309" s="42">
        <f>'[2]поточний ремонт'!X309+'[1]поточний ремонт'!X309</f>
        <v>177</v>
      </c>
      <c r="Y309" s="42">
        <f>'[2]поточний ремонт'!Y309+'[1]поточний ремонт'!Y309</f>
        <v>0</v>
      </c>
      <c r="Z309" s="42">
        <f>'[2]поточний ремонт'!Z309+'[1]поточний ремонт'!Z309</f>
        <v>0</v>
      </c>
      <c r="AA309" s="42">
        <f>'[2]поточний ремонт'!AA309+'[1]поточний ремонт'!AA309</f>
        <v>0</v>
      </c>
      <c r="AB309" s="42">
        <f>'[2]поточний ремонт'!AB309+'[1]поточний ремонт'!AB309</f>
        <v>0</v>
      </c>
      <c r="AC309" s="42">
        <f>'[2]поточний ремонт'!AC309+'[1]поточний ремонт'!AC309</f>
        <v>0</v>
      </c>
      <c r="AD309" s="42">
        <f>'[2]поточний ремонт'!AD309+'[1]поточний ремонт'!AD309</f>
        <v>1382.1869410379879</v>
      </c>
      <c r="AE309" s="42">
        <f>'[2]поточний ремонт'!AE309+'[1]поточний ремонт'!AE309</f>
        <v>3451.7114415618225</v>
      </c>
      <c r="AF309" s="42">
        <f>'[2]поточний ремонт'!AF309+'[1]поточний ремонт'!AF309</f>
        <v>430.04681676810355</v>
      </c>
      <c r="AG309" s="5"/>
      <c r="AH309" s="42">
        <f>'[2]поточний ремонт'!AH309+'[1]поточний ремонт'!AH309</f>
        <v>5298.9716299301808</v>
      </c>
      <c r="AI309" s="42">
        <f>'[2]поточний ремонт'!AI309+'[1]поточний ремонт'!AI309</f>
        <v>5770.0688737719811</v>
      </c>
      <c r="AJ309" s="965"/>
      <c r="AK309" s="42">
        <f>'[2]поточний ремонт'!AK309+'[1]поточний ремонт'!AK309</f>
        <v>3057.3167071018515</v>
      </c>
      <c r="AL309" s="42">
        <f>'[2]поточний ремонт'!AL309+'[1]поточний ремонт'!AL309</f>
        <v>0</v>
      </c>
      <c r="AM309" s="5"/>
      <c r="AN309" s="42">
        <f>'[2]поточний ремонт'!AN309+'[1]поточний ремонт'!AN309</f>
        <v>1728.1099755946589</v>
      </c>
      <c r="AO309" s="42">
        <f>'[2]поточний ремонт'!AO309+'[1]поточний ремонт'!AO309</f>
        <v>0</v>
      </c>
      <c r="AP309" s="5"/>
      <c r="AQ309" s="42">
        <f>'[2]поточний ремонт'!AQ309+'[1]поточний ремонт'!AQ309</f>
        <v>1201.3048505333079</v>
      </c>
      <c r="AR309" s="42">
        <f>'[2]поточний ремонт'!AR309+'[1]поточний ремонт'!AR309</f>
        <v>25.7652888</v>
      </c>
      <c r="AS309" s="5"/>
      <c r="AT309" s="42">
        <f>'[2]поточний ремонт'!AT309+'[1]поточний ремонт'!AT309</f>
        <v>3054.4172658362622</v>
      </c>
      <c r="AU309" s="42">
        <f>'[2]поточний ремонт'!AU309+'[1]поточний ремонт'!AU309</f>
        <v>3516.6662965623213</v>
      </c>
      <c r="AV309" s="9"/>
      <c r="AW309" s="42">
        <f>'[2]поточний ремонт'!AW309+'[1]поточний ремонт'!AW309</f>
        <v>1446.9810295323978</v>
      </c>
      <c r="AX309" s="42">
        <f>'[2]поточний ремонт'!AX309+'[1]поточний ремонт'!AX309</f>
        <v>7077.2254898314477</v>
      </c>
      <c r="AY309" s="5"/>
      <c r="AZ309" s="42">
        <f t="shared" si="40"/>
        <v>19238.812900090481</v>
      </c>
      <c r="BA309" s="42">
        <f t="shared" si="41"/>
        <v>16819.772765733855</v>
      </c>
      <c r="BB309" s="58">
        <f t="shared" si="42"/>
        <v>-2419.0401343566264</v>
      </c>
      <c r="BD309" s="2">
        <v>1</v>
      </c>
      <c r="BF309" s="29">
        <v>269.19762460560327</v>
      </c>
      <c r="BG309" s="318">
        <v>150000869</v>
      </c>
      <c r="BI309" s="104">
        <v>0</v>
      </c>
      <c r="BJ309" s="104">
        <f t="shared" si="43"/>
        <v>0</v>
      </c>
      <c r="BK309" s="104">
        <v>0</v>
      </c>
      <c r="BL309" s="38"/>
      <c r="BM309" s="3"/>
      <c r="BN309" s="3">
        <v>0</v>
      </c>
      <c r="BP309" s="3"/>
      <c r="BQ309" s="3"/>
      <c r="BS309" s="42"/>
      <c r="BT309" s="42">
        <v>0</v>
      </c>
      <c r="BU309" s="958"/>
      <c r="BV309" s="41"/>
      <c r="BW309" s="42"/>
      <c r="BX309" s="970"/>
      <c r="BY309" s="76"/>
      <c r="BZ309" s="42">
        <v>0</v>
      </c>
      <c r="CA309" s="959"/>
      <c r="CB309" s="41"/>
      <c r="CC309" s="41">
        <v>0</v>
      </c>
      <c r="CD309" s="960"/>
      <c r="CE309" s="76">
        <v>0</v>
      </c>
      <c r="CF309" s="55"/>
      <c r="CG309" s="41">
        <v>0</v>
      </c>
      <c r="CH309" s="38">
        <v>0</v>
      </c>
      <c r="CI309" s="76">
        <v>0</v>
      </c>
      <c r="CJ309" s="55"/>
      <c r="CK309" s="955"/>
      <c r="CL309" s="950"/>
      <c r="CM309" s="955"/>
      <c r="CN309" s="950">
        <v>0</v>
      </c>
      <c r="CO309" s="76">
        <v>271.04505954502395</v>
      </c>
      <c r="CP309" s="42">
        <v>0</v>
      </c>
      <c r="CQ309" s="5"/>
      <c r="CR309" s="76">
        <v>425.30378515142826</v>
      </c>
      <c r="CS309" s="954">
        <v>0</v>
      </c>
      <c r="CT309" s="965"/>
      <c r="CU309" s="76">
        <v>244.90474847357774</v>
      </c>
      <c r="CV309" s="42">
        <v>0</v>
      </c>
      <c r="CW309" s="5"/>
      <c r="CX309" s="76">
        <v>135.53330926294058</v>
      </c>
      <c r="CY309" s="42">
        <v>0</v>
      </c>
      <c r="CZ309" s="5"/>
      <c r="DA309" s="76">
        <v>104.92947732375929</v>
      </c>
      <c r="DB309" s="42">
        <v>0</v>
      </c>
      <c r="DC309" s="5"/>
      <c r="DD309" s="76">
        <v>213.60096560892066</v>
      </c>
      <c r="DE309" s="42">
        <v>510.20503071795298</v>
      </c>
      <c r="DF309" s="9"/>
      <c r="DG309" s="76">
        <v>116.03491328398869</v>
      </c>
      <c r="DH309" s="42"/>
      <c r="DI309" s="5"/>
      <c r="DJ309" s="42">
        <v>1511.3522586496392</v>
      </c>
      <c r="DK309" s="42">
        <f t="shared" si="44"/>
        <v>510.20503071795298</v>
      </c>
      <c r="DL309" s="58">
        <f t="shared" si="45"/>
        <v>-1001.1472279316863</v>
      </c>
      <c r="DM309" s="2">
        <v>1</v>
      </c>
    </row>
    <row r="310" spans="1:117" ht="24.9" customHeight="1" x14ac:dyDescent="0.3">
      <c r="A310" s="318">
        <v>150000875</v>
      </c>
      <c r="B310" s="44" t="s">
        <v>312</v>
      </c>
      <c r="C310" s="956">
        <v>5</v>
      </c>
      <c r="D310" s="957" t="s">
        <v>454</v>
      </c>
      <c r="E310" s="949">
        <f>'побудинковий звіт'!E308</f>
        <v>3191.4</v>
      </c>
      <c r="F310" s="950">
        <f>'побудинковий звіт'!AS308</f>
        <v>37157.973483588401</v>
      </c>
      <c r="G310" s="950">
        <f t="shared" si="38"/>
        <v>10733.840994573711</v>
      </c>
      <c r="H310" s="950">
        <f t="shared" si="39"/>
        <v>-26424.13248901469</v>
      </c>
      <c r="I310" s="42">
        <f>'[2]поточний ремонт'!I310+'[1]поточний ремонт'!I310</f>
        <v>4.2699999999999996</v>
      </c>
      <c r="J310" s="42">
        <f>'[2]поточний ремонт'!J310+'[1]поточний ремонт'!J310</f>
        <v>1279.0756647864066</v>
      </c>
      <c r="K310" s="958"/>
      <c r="L310" s="42">
        <f>'[2]поточний ремонт'!L310+'[1]поточний ремонт'!L310</f>
        <v>0</v>
      </c>
      <c r="M310" s="42">
        <f>'[2]поточний ремонт'!M310+'[1]поточний ремонт'!M310</f>
        <v>0</v>
      </c>
      <c r="N310" s="36"/>
      <c r="O310" s="42">
        <f>'[2]поточний ремонт'!O310+'[1]поточний ремонт'!O310</f>
        <v>0</v>
      </c>
      <c r="P310" s="42">
        <f>'[2]поточний ремонт'!P310+'[1]поточний ремонт'!P310</f>
        <v>0</v>
      </c>
      <c r="Q310" s="959"/>
      <c r="R310" s="42">
        <f>'[2]поточний ремонт'!R310+'[1]поточний ремонт'!R310</f>
        <v>0</v>
      </c>
      <c r="S310" s="42">
        <f>'[2]поточний ремонт'!S310+'[1]поточний ремонт'!S310</f>
        <v>0</v>
      </c>
      <c r="T310" s="960"/>
      <c r="U310" s="42">
        <f>'[2]поточний ремонт'!U310+'[1]поточний ремонт'!U310</f>
        <v>0</v>
      </c>
      <c r="V310" s="42">
        <f>'[2]поточний ремонт'!V310+'[1]поточний ремонт'!V310</f>
        <v>0</v>
      </c>
      <c r="W310" s="42">
        <f>'[2]поточний ремонт'!W310+'[1]поточний ремонт'!W310</f>
        <v>0</v>
      </c>
      <c r="X310" s="42">
        <f>'[2]поточний ремонт'!X310+'[1]поточний ремонт'!X310</f>
        <v>0</v>
      </c>
      <c r="Y310" s="42">
        <f>'[2]поточний ремонт'!Y310+'[1]поточний ремонт'!Y310</f>
        <v>7167.9947931954948</v>
      </c>
      <c r="Z310" s="42">
        <f>'[2]поточний ремонт'!Z310+'[1]поточний ремонт'!Z310</f>
        <v>0</v>
      </c>
      <c r="AA310" s="42">
        <f>'[2]поточний ремонт'!AA310+'[1]поточний ремонт'!AA310</f>
        <v>0</v>
      </c>
      <c r="AB310" s="42">
        <f>'[2]поточний ремонт'!AB310+'[1]поточний ремонт'!AB310</f>
        <v>0</v>
      </c>
      <c r="AC310" s="42">
        <f>'[2]поточний ремонт'!AC310+'[1]поточний ремонт'!AC310</f>
        <v>981.388180189227</v>
      </c>
      <c r="AD310" s="42">
        <f>'[2]поточний ремонт'!AD310+'[1]поточний ремонт'!AD310</f>
        <v>1305.3823564025829</v>
      </c>
      <c r="AE310" s="42">
        <f>'[2]поточний ремонт'!AE310+'[1]поточний ремонт'!AE310</f>
        <v>2306.4394356624289</v>
      </c>
      <c r="AF310" s="42">
        <f>'[2]поточний ремонт'!AF310+'[1]поточний ремонт'!AF310</f>
        <v>0</v>
      </c>
      <c r="AG310" s="5"/>
      <c r="AH310" s="42">
        <f>'[2]поточний ремонт'!AH310+'[1]поточний ремонт'!AH310</f>
        <v>3512.8775923215535</v>
      </c>
      <c r="AI310" s="42">
        <f>'[2]поточний ремонт'!AI310+'[1]поточний ремонт'!AI310</f>
        <v>6648.2973791566701</v>
      </c>
      <c r="AJ310" s="5"/>
      <c r="AK310" s="42">
        <f>'[2]поточний ремонт'!AK310+'[1]поточний ремонт'!AK310</f>
        <v>1965.8916895263117</v>
      </c>
      <c r="AL310" s="42">
        <f>'[2]поточний ремонт'!AL310+'[1]поточний ремонт'!AL310</f>
        <v>1451.859145189771</v>
      </c>
      <c r="AM310" s="5"/>
      <c r="AN310" s="42">
        <f>'[2]поточний ремонт'!AN310+'[1]поточний ремонт'!AN310</f>
        <v>0</v>
      </c>
      <c r="AO310" s="42">
        <f>'[2]поточний ремонт'!AO310+'[1]поточний ремонт'!AO310</f>
        <v>0</v>
      </c>
      <c r="AP310" s="5"/>
      <c r="AQ310" s="42">
        <f>'[2]поточний ремонт'!AQ310+'[1]поточний ремонт'!AQ310</f>
        <v>137.84135996429129</v>
      </c>
      <c r="AR310" s="42">
        <f>'[2]поточний ремонт'!AR310+'[1]поточний ремонт'!AR310</f>
        <v>1258.012607588372</v>
      </c>
      <c r="AS310" s="5"/>
      <c r="AT310" s="42">
        <f>'[2]поточний ремонт'!AT310+'[1]поточний ремонт'!AT310</f>
        <v>1452.670524312925</v>
      </c>
      <c r="AU310" s="42">
        <f>'[2]поточний ремонт'!AU310+'[1]поточний ремонт'!AU310</f>
        <v>3724.8053152572024</v>
      </c>
      <c r="AV310" s="5"/>
      <c r="AW310" s="42">
        <f>'[2]поточний ремонт'!AW310+'[1]поточний ремонт'!AW310</f>
        <v>1051.4286392323529</v>
      </c>
      <c r="AX310" s="42">
        <f>'[2]поточний ремонт'!AX310+'[1]поточний ремонт'!AX310</f>
        <v>0</v>
      </c>
      <c r="AY310" s="5"/>
      <c r="AZ310" s="42">
        <f t="shared" si="40"/>
        <v>10427.149241019863</v>
      </c>
      <c r="BA310" s="42">
        <f t="shared" si="41"/>
        <v>13082.974447192017</v>
      </c>
      <c r="BB310" s="58">
        <f t="shared" si="42"/>
        <v>2655.8252061721541</v>
      </c>
      <c r="BD310" s="2">
        <v>1</v>
      </c>
      <c r="BF310" s="29">
        <v>149.04008529605153</v>
      </c>
      <c r="BG310" s="318">
        <v>150000875</v>
      </c>
      <c r="BI310" s="104">
        <v>0</v>
      </c>
      <c r="BJ310" s="104">
        <f t="shared" si="43"/>
        <v>0</v>
      </c>
      <c r="BK310" s="104">
        <v>0</v>
      </c>
      <c r="BL310" s="38"/>
      <c r="BM310" s="3"/>
      <c r="BN310" s="3">
        <v>0</v>
      </c>
      <c r="BP310" s="3"/>
      <c r="BQ310" s="3"/>
      <c r="BS310" s="42"/>
      <c r="BT310" s="42">
        <v>0</v>
      </c>
      <c r="BU310" s="958"/>
      <c r="BV310" s="41"/>
      <c r="BW310" s="42"/>
      <c r="BX310" s="36"/>
      <c r="BY310" s="76"/>
      <c r="BZ310" s="42">
        <v>0</v>
      </c>
      <c r="CA310" s="959"/>
      <c r="CB310" s="41"/>
      <c r="CC310" s="41">
        <v>0</v>
      </c>
      <c r="CD310" s="960"/>
      <c r="CE310" s="76">
        <v>0</v>
      </c>
      <c r="CF310" s="55"/>
      <c r="CG310" s="41">
        <v>0</v>
      </c>
      <c r="CH310" s="38">
        <v>0</v>
      </c>
      <c r="CI310" s="76">
        <v>0</v>
      </c>
      <c r="CJ310" s="55"/>
      <c r="CK310" s="955"/>
      <c r="CL310" s="950"/>
      <c r="CM310" s="955"/>
      <c r="CN310" s="950">
        <v>704.82234403293637</v>
      </c>
      <c r="CO310" s="76">
        <v>178.02751640989976</v>
      </c>
      <c r="CP310" s="42">
        <v>0</v>
      </c>
      <c r="CQ310" s="5"/>
      <c r="CR310" s="76">
        <v>276.84761169373553</v>
      </c>
      <c r="CS310" s="954">
        <v>0</v>
      </c>
      <c r="CT310" s="5"/>
      <c r="CU310" s="76">
        <v>158.47051991288905</v>
      </c>
      <c r="CV310" s="42">
        <v>0</v>
      </c>
      <c r="CW310" s="5"/>
      <c r="CX310" s="76">
        <v>0</v>
      </c>
      <c r="CY310" s="42">
        <v>0</v>
      </c>
      <c r="CZ310" s="5"/>
      <c r="DA310" s="76">
        <v>0</v>
      </c>
      <c r="DB310" s="42">
        <v>0</v>
      </c>
      <c r="DC310" s="5"/>
      <c r="DD310" s="76">
        <v>87.209301230551034</v>
      </c>
      <c r="DE310" s="42">
        <v>0</v>
      </c>
      <c r="DF310" s="5"/>
      <c r="DG310" s="76">
        <v>100.44294613611928</v>
      </c>
      <c r="DH310" s="42"/>
      <c r="DI310" s="5"/>
      <c r="DJ310" s="42">
        <v>800.99789538319476</v>
      </c>
      <c r="DK310" s="42">
        <f t="shared" si="44"/>
        <v>0</v>
      </c>
      <c r="DL310" s="58">
        <f t="shared" si="45"/>
        <v>-800.99789538319476</v>
      </c>
      <c r="DM310" s="2">
        <v>1</v>
      </c>
    </row>
    <row r="311" spans="1:117" ht="24.9" customHeight="1" x14ac:dyDescent="0.3">
      <c r="A311" s="318">
        <v>150000871</v>
      </c>
      <c r="B311" s="44" t="s">
        <v>140</v>
      </c>
      <c r="C311" s="956">
        <v>1</v>
      </c>
      <c r="D311" s="957" t="s">
        <v>454</v>
      </c>
      <c r="E311" s="949">
        <f>'побудинковий звіт'!E309</f>
        <v>152.6</v>
      </c>
      <c r="F311" s="950">
        <f>'побудинковий звіт'!AS309</f>
        <v>2390.1219587026112</v>
      </c>
      <c r="G311" s="950">
        <f t="shared" si="38"/>
        <v>13345</v>
      </c>
      <c r="H311" s="950">
        <f t="shared" si="39"/>
        <v>10954.878041297388</v>
      </c>
      <c r="I311" s="42">
        <f>'[2]поточний ремонт'!I311+'[1]поточний ремонт'!I311</f>
        <v>0</v>
      </c>
      <c r="J311" s="42">
        <f>'[2]поточний ремонт'!J311+'[1]поточний ремонт'!J311</f>
        <v>0</v>
      </c>
      <c r="K311" s="958"/>
      <c r="L311" s="42">
        <f>'[2]поточний ремонт'!L311+'[1]поточний ремонт'!L311</f>
        <v>0</v>
      </c>
      <c r="M311" s="42">
        <f>'[2]поточний ремонт'!M311+'[1]поточний ремонт'!M311</f>
        <v>0</v>
      </c>
      <c r="N311" s="36"/>
      <c r="O311" s="42">
        <f>'[2]поточний ремонт'!O311+'[1]поточний ремонт'!O311</f>
        <v>0</v>
      </c>
      <c r="P311" s="42">
        <f>'[2]поточний ремонт'!P311+'[1]поточний ремонт'!P311</f>
        <v>0</v>
      </c>
      <c r="Q311" s="959"/>
      <c r="R311" s="42">
        <f>'[2]поточний ремонт'!R311+'[1]поточний ремонт'!R311</f>
        <v>0</v>
      </c>
      <c r="S311" s="42">
        <f>'[2]поточний ремонт'!S311+'[1]поточний ремонт'!S311</f>
        <v>0</v>
      </c>
      <c r="T311" s="960"/>
      <c r="U311" s="42">
        <f>'[2]поточний ремонт'!U311+'[1]поточний ремонт'!U311</f>
        <v>0</v>
      </c>
      <c r="V311" s="42">
        <f>'[2]поточний ремонт'!V311+'[1]поточний ремонт'!V311</f>
        <v>0</v>
      </c>
      <c r="W311" s="42">
        <f>'[2]поточний ремонт'!W311+'[1]поточний ремонт'!W311</f>
        <v>0</v>
      </c>
      <c r="X311" s="42">
        <f>'[2]поточний ремонт'!X311+'[1]поточний ремонт'!X311</f>
        <v>0</v>
      </c>
      <c r="Y311" s="42">
        <f>'[2]поточний ремонт'!Y311+'[1]поточний ремонт'!Y311</f>
        <v>13345</v>
      </c>
      <c r="Z311" s="42">
        <f>'[2]поточний ремонт'!Z311+'[1]поточний ремонт'!Z311</f>
        <v>0</v>
      </c>
      <c r="AA311" s="42">
        <f>'[2]поточний ремонт'!AA311+'[1]поточний ремонт'!AA311</f>
        <v>0</v>
      </c>
      <c r="AB311" s="42">
        <f>'[2]поточний ремонт'!AB311+'[1]поточний ремонт'!AB311</f>
        <v>0</v>
      </c>
      <c r="AC311" s="42">
        <f>'[2]поточний ремонт'!AC311+'[1]поточний ремонт'!AC311</f>
        <v>0</v>
      </c>
      <c r="AD311" s="42">
        <f>'[2]поточний ремонт'!AD311+'[1]поточний ремонт'!AD311</f>
        <v>0</v>
      </c>
      <c r="AE311" s="42">
        <f>'[2]поточний ремонт'!AE311+'[1]поточний ремонт'!AE311</f>
        <v>0</v>
      </c>
      <c r="AF311" s="42">
        <f>'[2]поточний ремонт'!AF311+'[1]поточний ремонт'!AF311</f>
        <v>0</v>
      </c>
      <c r="AG311" s="5"/>
      <c r="AH311" s="42">
        <f>'[2]поточний ремонт'!AH311+'[1]поточний ремонт'!AH311</f>
        <v>0</v>
      </c>
      <c r="AI311" s="42">
        <f>'[2]поточний ремонт'!AI311+'[1]поточний ремонт'!AI311</f>
        <v>0</v>
      </c>
      <c r="AJ311" s="5"/>
      <c r="AK311" s="42">
        <f>'[2]поточний ремонт'!AK311+'[1]поточний ремонт'!AK311</f>
        <v>0</v>
      </c>
      <c r="AL311" s="42">
        <f>'[2]поточний ремонт'!AL311+'[1]поточний ремонт'!AL311</f>
        <v>0</v>
      </c>
      <c r="AM311" s="5"/>
      <c r="AN311" s="42">
        <f>'[2]поточний ремонт'!AN311+'[1]поточний ремонт'!AN311</f>
        <v>0</v>
      </c>
      <c r="AO311" s="42">
        <f>'[2]поточний ремонт'!AO311+'[1]поточний ремонт'!AO311</f>
        <v>0</v>
      </c>
      <c r="AP311" s="5"/>
      <c r="AQ311" s="42">
        <f>'[2]поточний ремонт'!AQ311+'[1]поточний ремонт'!AQ311</f>
        <v>0</v>
      </c>
      <c r="AR311" s="42">
        <f>'[2]поточний ремонт'!AR311+'[1]поточний ремонт'!AR311</f>
        <v>0</v>
      </c>
      <c r="AS311" s="5"/>
      <c r="AT311" s="42">
        <f>'[2]поточний ремонт'!AT311+'[1]поточний ремонт'!AT311</f>
        <v>0</v>
      </c>
      <c r="AU311" s="42">
        <f>'[2]поточний ремонт'!AU311+'[1]поточний ремонт'!AU311</f>
        <v>0</v>
      </c>
      <c r="AV311" s="5"/>
      <c r="AW311" s="42">
        <f>'[2]поточний ремонт'!AW311+'[1]поточний ремонт'!AW311</f>
        <v>0</v>
      </c>
      <c r="AX311" s="42">
        <f>'[2]поточний ремонт'!AX311+'[1]поточний ремонт'!AX311</f>
        <v>0</v>
      </c>
      <c r="AY311" s="5"/>
      <c r="AZ311" s="42">
        <f t="shared" si="40"/>
        <v>0</v>
      </c>
      <c r="BA311" s="42">
        <f t="shared" si="41"/>
        <v>0</v>
      </c>
      <c r="BB311" s="58">
        <f t="shared" si="42"/>
        <v>0</v>
      </c>
      <c r="BD311" s="2">
        <v>2</v>
      </c>
      <c r="BF311" s="29">
        <v>0</v>
      </c>
      <c r="BG311" s="318">
        <v>150000871</v>
      </c>
      <c r="BI311" s="104">
        <v>0</v>
      </c>
      <c r="BJ311" s="104">
        <f t="shared" si="43"/>
        <v>0</v>
      </c>
      <c r="BK311" s="104">
        <v>0</v>
      </c>
      <c r="BL311" s="38"/>
      <c r="BM311" s="3"/>
      <c r="BN311" s="3">
        <v>0</v>
      </c>
      <c r="BP311" s="3"/>
      <c r="BQ311" s="3"/>
      <c r="BS311" s="42"/>
      <c r="BT311" s="42">
        <v>0</v>
      </c>
      <c r="BU311" s="958"/>
      <c r="BV311" s="41"/>
      <c r="BW311" s="42"/>
      <c r="BX311" s="36"/>
      <c r="BY311" s="76"/>
      <c r="BZ311" s="42">
        <v>0</v>
      </c>
      <c r="CA311" s="959"/>
      <c r="CB311" s="41"/>
      <c r="CC311" s="41">
        <v>0</v>
      </c>
      <c r="CD311" s="960"/>
      <c r="CE311" s="76">
        <v>0</v>
      </c>
      <c r="CF311" s="55"/>
      <c r="CG311" s="41">
        <v>0</v>
      </c>
      <c r="CH311" s="38">
        <v>0</v>
      </c>
      <c r="CI311" s="76">
        <v>0</v>
      </c>
      <c r="CJ311" s="55"/>
      <c r="CK311" s="955"/>
      <c r="CL311" s="950"/>
      <c r="CM311" s="955"/>
      <c r="CN311" s="950">
        <v>0</v>
      </c>
      <c r="CO311" s="76">
        <v>0</v>
      </c>
      <c r="CP311" s="42">
        <v>0</v>
      </c>
      <c r="CQ311" s="5"/>
      <c r="CR311" s="76">
        <v>0</v>
      </c>
      <c r="CS311" s="954">
        <v>0</v>
      </c>
      <c r="CT311" s="5"/>
      <c r="CU311" s="76">
        <v>0</v>
      </c>
      <c r="CV311" s="42">
        <v>0</v>
      </c>
      <c r="CW311" s="5"/>
      <c r="CX311" s="76">
        <v>0</v>
      </c>
      <c r="CY311" s="42">
        <v>0</v>
      </c>
      <c r="CZ311" s="5"/>
      <c r="DA311" s="76">
        <v>0</v>
      </c>
      <c r="DB311" s="42">
        <v>0</v>
      </c>
      <c r="DC311" s="5"/>
      <c r="DD311" s="76">
        <v>0</v>
      </c>
      <c r="DE311" s="42">
        <v>0</v>
      </c>
      <c r="DF311" s="5"/>
      <c r="DG311" s="76">
        <v>0</v>
      </c>
      <c r="DH311" s="42"/>
      <c r="DI311" s="5"/>
      <c r="DJ311" s="42">
        <v>0</v>
      </c>
      <c r="DK311" s="42">
        <f t="shared" si="44"/>
        <v>0</v>
      </c>
      <c r="DL311" s="58">
        <f t="shared" si="45"/>
        <v>0</v>
      </c>
      <c r="DM311" s="2">
        <v>2</v>
      </c>
    </row>
    <row r="312" spans="1:117" ht="24.9" customHeight="1" x14ac:dyDescent="0.3">
      <c r="A312" s="318">
        <v>150000886</v>
      </c>
      <c r="B312" s="44" t="s">
        <v>396</v>
      </c>
      <c r="C312" s="956">
        <v>9</v>
      </c>
      <c r="D312" s="957" t="s">
        <v>454</v>
      </c>
      <c r="E312" s="949">
        <f>'побудинковий звіт'!E310</f>
        <v>3185.0699999999997</v>
      </c>
      <c r="F312" s="950">
        <f>'побудинковий звіт'!AS310</f>
        <v>33087.076808888145</v>
      </c>
      <c r="G312" s="950">
        <f t="shared" si="38"/>
        <v>17632.006278423665</v>
      </c>
      <c r="H312" s="950">
        <f t="shared" si="39"/>
        <v>-15455.07053046448</v>
      </c>
      <c r="I312" s="42">
        <f>'[2]поточний ремонт'!I312+'[1]поточний ремонт'!I312</f>
        <v>0</v>
      </c>
      <c r="J312" s="42">
        <f>'[2]поточний ремонт'!J312+'[1]поточний ремонт'!J312</f>
        <v>0</v>
      </c>
      <c r="K312" s="958"/>
      <c r="L312" s="42">
        <f>'[2]поточний ремонт'!L312+'[1]поточний ремонт'!L312</f>
        <v>0</v>
      </c>
      <c r="M312" s="42">
        <f>'[2]поточний ремонт'!M312+'[1]поточний ремонт'!M312</f>
        <v>0</v>
      </c>
      <c r="N312" s="36"/>
      <c r="O312" s="42">
        <f>'[2]поточний ремонт'!O312+'[1]поточний ремонт'!O312</f>
        <v>0</v>
      </c>
      <c r="P312" s="42">
        <f>'[2]поточний ремонт'!P312+'[1]поточний ремонт'!P312</f>
        <v>0</v>
      </c>
      <c r="Q312" s="959"/>
      <c r="R312" s="42">
        <f>'[2]поточний ремонт'!R312+'[1]поточний ремонт'!R312</f>
        <v>0</v>
      </c>
      <c r="S312" s="42">
        <f>'[2]поточний ремонт'!S312+'[1]поточний ремонт'!S312</f>
        <v>0</v>
      </c>
      <c r="T312" s="968"/>
      <c r="U312" s="42">
        <f>'[2]поточний ремонт'!U312+'[1]поточний ремонт'!U312</f>
        <v>685.56930681944471</v>
      </c>
      <c r="V312" s="42">
        <f>'[2]поточний ремонт'!V312+'[1]поточний ремонт'!V312</f>
        <v>0</v>
      </c>
      <c r="W312" s="42">
        <f>'[2]поточний ремонт'!W312+'[1]поточний ремонт'!W312</f>
        <v>0</v>
      </c>
      <c r="X312" s="42">
        <f>'[2]поточний ремонт'!X312+'[1]поточний ремонт'!X312</f>
        <v>32.466108898768908</v>
      </c>
      <c r="Y312" s="42">
        <f>'[2]поточний ремонт'!Y312+'[1]поточний ремонт'!Y312</f>
        <v>15756.827678040459</v>
      </c>
      <c r="Z312" s="42">
        <f>'[2]поточний ремонт'!Z312+'[1]поточний ремонт'!Z312</f>
        <v>0</v>
      </c>
      <c r="AA312" s="42">
        <f>'[2]поточний ремонт'!AA312+'[1]поточний ремонт'!AA312</f>
        <v>0</v>
      </c>
      <c r="AB312" s="42">
        <f>'[2]поточний ремонт'!AB312+'[1]поточний ремонт'!AB312</f>
        <v>0</v>
      </c>
      <c r="AC312" s="42">
        <f>'[2]поточний ремонт'!AC312+'[1]поточний ремонт'!AC312</f>
        <v>918.98677813498307</v>
      </c>
      <c r="AD312" s="42">
        <f>'[2]поточний ремонт'!AD312+'[1]поточний ремонт'!AD312</f>
        <v>238.15640653001185</v>
      </c>
      <c r="AE312" s="42">
        <f>'[2]поточний ремонт'!AE312+'[1]поточний ремонт'!AE312</f>
        <v>585.45939562502065</v>
      </c>
      <c r="AF312" s="42">
        <f>'[2]поточний ремонт'!AF312+'[1]поточний ремонт'!AF312</f>
        <v>0</v>
      </c>
      <c r="AG312" s="965"/>
      <c r="AH312" s="42">
        <f>'[2]поточний ремонт'!AH312+'[1]поточний ремонт'!AH312</f>
        <v>656.00742570157786</v>
      </c>
      <c r="AI312" s="42">
        <f>'[2]поточний ремонт'!AI312+'[1]поточний ремонт'!AI312</f>
        <v>1202.5171137800528</v>
      </c>
      <c r="AJ312" s="965"/>
      <c r="AK312" s="42">
        <f>'[2]поточний ремонт'!AK312+'[1]поточний ремонт'!AK312</f>
        <v>788.27805306063215</v>
      </c>
      <c r="AL312" s="42">
        <f>'[2]поточний ремонт'!AL312+'[1]поточний ремонт'!AL312</f>
        <v>2544.8920626544873</v>
      </c>
      <c r="AM312" s="5"/>
      <c r="AN312" s="42">
        <f>'[2]поточний ремонт'!AN312+'[1]поточний ремонт'!AN312</f>
        <v>356.06583065806933</v>
      </c>
      <c r="AO312" s="42">
        <f>'[2]поточний ремонт'!AO312+'[1]поточний ремонт'!AO312</f>
        <v>0</v>
      </c>
      <c r="AP312" s="5"/>
      <c r="AQ312" s="42">
        <f>'[2]поточний ремонт'!AQ312+'[1]поточний ремонт'!AQ312</f>
        <v>173.67516092659872</v>
      </c>
      <c r="AR312" s="42">
        <f>'[2]поточний ремонт'!AR312+'[1]поточний ремонт'!AR312</f>
        <v>0</v>
      </c>
      <c r="AS312" s="5"/>
      <c r="AT312" s="42">
        <f>'[2]поточний ремонт'!AT312+'[1]поточний ремонт'!AT312</f>
        <v>453.25226549647715</v>
      </c>
      <c r="AU312" s="42">
        <f>'[2]поточний ремонт'!AU312+'[1]поточний ремонт'!AU312</f>
        <v>273.37097428614572</v>
      </c>
      <c r="AV312" s="5"/>
      <c r="AW312" s="42">
        <f>'[2]поточний ремонт'!AW312+'[1]поточний ремонт'!AW312</f>
        <v>28.923940885788934</v>
      </c>
      <c r="AX312" s="42">
        <f>'[2]поточний ремонт'!AX312+'[1]поточний ремонт'!AX312</f>
        <v>0</v>
      </c>
      <c r="AY312" s="5"/>
      <c r="AZ312" s="42">
        <f t="shared" si="40"/>
        <v>3041.662072354165</v>
      </c>
      <c r="BA312" s="42">
        <f t="shared" si="41"/>
        <v>4020.7801507206859</v>
      </c>
      <c r="BB312" s="58">
        <f t="shared" si="42"/>
        <v>979.11807836652088</v>
      </c>
      <c r="BD312" s="2">
        <v>2</v>
      </c>
      <c r="BF312" s="29">
        <v>3.1157696940731863</v>
      </c>
      <c r="BG312" s="318">
        <v>150000886</v>
      </c>
      <c r="BI312" s="104">
        <v>2.38</v>
      </c>
      <c r="BJ312" s="104">
        <f t="shared" ref="BJ312:BJ343" si="46">BI312*$BJ$10</f>
        <v>0.33477603599999994</v>
      </c>
      <c r="BK312" s="104">
        <v>2.7448201944799999</v>
      </c>
      <c r="BL312" s="38"/>
      <c r="BM312" s="3"/>
      <c r="BN312" s="3">
        <v>0</v>
      </c>
      <c r="BP312" s="3"/>
      <c r="BQ312" s="3"/>
      <c r="BS312" s="42"/>
      <c r="BT312" s="42">
        <v>0</v>
      </c>
      <c r="BU312" s="958"/>
      <c r="BV312" s="41"/>
      <c r="BW312" s="42"/>
      <c r="BX312" s="36"/>
      <c r="BY312" s="76"/>
      <c r="BZ312" s="42">
        <v>0</v>
      </c>
      <c r="CA312" s="959"/>
      <c r="CB312" s="41"/>
      <c r="CC312" s="41">
        <v>0</v>
      </c>
      <c r="CD312" s="968"/>
      <c r="CE312" s="76">
        <v>0</v>
      </c>
      <c r="CF312" s="55"/>
      <c r="CG312" s="41">
        <v>0</v>
      </c>
      <c r="CH312" s="38">
        <v>2.7448201944799999</v>
      </c>
      <c r="CI312" s="76">
        <v>0</v>
      </c>
      <c r="CJ312" s="55"/>
      <c r="CK312" s="955"/>
      <c r="CL312" s="950"/>
      <c r="CM312" s="955"/>
      <c r="CN312" s="950">
        <v>0</v>
      </c>
      <c r="CO312" s="76">
        <v>36.072648069418491</v>
      </c>
      <c r="CP312" s="42">
        <v>0</v>
      </c>
      <c r="CQ312" s="965"/>
      <c r="CR312" s="76">
        <v>42.436405016988978</v>
      </c>
      <c r="CS312" s="954">
        <v>0</v>
      </c>
      <c r="CT312" s="965"/>
      <c r="CU312" s="76">
        <v>54.747208318252781</v>
      </c>
      <c r="CV312" s="42">
        <v>0</v>
      </c>
      <c r="CW312" s="5"/>
      <c r="CX312" s="76">
        <v>28.843064391211907</v>
      </c>
      <c r="CY312" s="42">
        <v>0</v>
      </c>
      <c r="CZ312" s="5"/>
      <c r="DA312" s="76">
        <v>13.192247063076561</v>
      </c>
      <c r="DB312" s="42">
        <v>0</v>
      </c>
      <c r="DC312" s="5"/>
      <c r="DD312" s="76">
        <v>26.553615694113113</v>
      </c>
      <c r="DE312" s="42">
        <v>273.03102473291574</v>
      </c>
      <c r="DF312" s="5"/>
      <c r="DG312" s="76">
        <v>0</v>
      </c>
      <c r="DH312" s="42"/>
      <c r="DI312" s="5"/>
      <c r="DJ312" s="42">
        <v>201.84518855306183</v>
      </c>
      <c r="DK312" s="42">
        <f t="shared" ref="DK312:DK343" si="47">CP312+CS312+CV312+CY312+DB312+DE312+DH312</f>
        <v>273.03102473291574</v>
      </c>
      <c r="DL312" s="58">
        <f t="shared" ref="DL312:DL343" si="48">DK312-DJ312</f>
        <v>71.185836179853908</v>
      </c>
      <c r="DM312" s="2">
        <v>2</v>
      </c>
    </row>
    <row r="313" spans="1:117" ht="24.9" customHeight="1" x14ac:dyDescent="0.3">
      <c r="A313" s="318">
        <v>150000887</v>
      </c>
      <c r="B313" s="44" t="s">
        <v>397</v>
      </c>
      <c r="C313" s="956">
        <v>9</v>
      </c>
      <c r="D313" s="957" t="s">
        <v>454</v>
      </c>
      <c r="E313" s="949">
        <f>'побудинковий звіт'!E311</f>
        <v>6424.13</v>
      </c>
      <c r="F313" s="950">
        <f>'побудинковий звіт'!AS311</f>
        <v>99768.30066957463</v>
      </c>
      <c r="G313" s="950">
        <f t="shared" si="38"/>
        <v>8090.6046193837483</v>
      </c>
      <c r="H313" s="950">
        <f t="shared" si="39"/>
        <v>-91677.696050190876</v>
      </c>
      <c r="I313" s="42">
        <f>'[2]поточний ремонт'!I313+'[1]поточний ремонт'!I313</f>
        <v>0</v>
      </c>
      <c r="J313" s="42">
        <f>'[2]поточний ремонт'!J313+'[1]поточний ремонт'!J313</f>
        <v>0</v>
      </c>
      <c r="K313" s="962"/>
      <c r="L313" s="42">
        <f>'[2]поточний ремонт'!L313+'[1]поточний ремонт'!L313</f>
        <v>0</v>
      </c>
      <c r="M313" s="42">
        <f>'[2]поточний ремонт'!M313+'[1]поточний ремонт'!M313</f>
        <v>0</v>
      </c>
      <c r="N313" s="961"/>
      <c r="O313" s="42">
        <f>'[2]поточний ремонт'!O313+'[1]поточний ремонт'!O313</f>
        <v>0</v>
      </c>
      <c r="P313" s="42">
        <f>'[2]поточний ремонт'!P313+'[1]поточний ремонт'!P313</f>
        <v>0</v>
      </c>
      <c r="Q313" s="959"/>
      <c r="R313" s="42">
        <f>'[2]поточний ремонт'!R313+'[1]поточний ремонт'!R313</f>
        <v>2</v>
      </c>
      <c r="S313" s="42">
        <f>'[2]поточний ремонт'!S313+'[1]поточний ремонт'!S313</f>
        <v>2652.7205821932571</v>
      </c>
      <c r="T313" s="960"/>
      <c r="U313" s="42">
        <f>'[2]поточний ремонт'!U313+'[1]поточний ремонт'!U313</f>
        <v>562.17694020393299</v>
      </c>
      <c r="V313" s="42">
        <f>'[2]поточний ремонт'!V313+'[1]поточний ремонт'!V313</f>
        <v>0</v>
      </c>
      <c r="W313" s="42">
        <f>'[2]поточний ремонт'!W313+'[1]поточний ремонт'!W313</f>
        <v>3</v>
      </c>
      <c r="X313" s="42">
        <f>'[2]поточний ремонт'!X313+'[1]поточний ремонт'!X313</f>
        <v>576.56658454017258</v>
      </c>
      <c r="Y313" s="42">
        <f>'[2]поточний ремонт'!Y313+'[1]поточний ремонт'!Y313</f>
        <v>0</v>
      </c>
      <c r="Z313" s="42">
        <f>'[2]поточний ремонт'!Z313+'[1]поточний ремонт'!Z313</f>
        <v>0</v>
      </c>
      <c r="AA313" s="42">
        <f>'[2]поточний ремонт'!AA313+'[1]поточний ремонт'!AA313</f>
        <v>0</v>
      </c>
      <c r="AB313" s="42">
        <f>'[2]поточний ремонт'!AB313+'[1]поточний ремонт'!AB313</f>
        <v>2594.5226821060592</v>
      </c>
      <c r="AC313" s="42">
        <f>'[2]поточний ремонт'!AC313+'[1]поточний ремонт'!AC313</f>
        <v>1704.6178303403267</v>
      </c>
      <c r="AD313" s="42">
        <f>'[2]поточний ремонт'!AD313+'[1]поточний ремонт'!AD313</f>
        <v>0</v>
      </c>
      <c r="AE313" s="42">
        <f>'[2]поточний ремонт'!AE313+'[1]поточний ремонт'!AE313</f>
        <v>1556.0665522112549</v>
      </c>
      <c r="AF313" s="42">
        <f>'[2]поточний ремонт'!AF313+'[1]поточний ремонт'!AF313</f>
        <v>1286.6908589780044</v>
      </c>
      <c r="AG313" s="9"/>
      <c r="AH313" s="42">
        <f>'[2]поточний ремонт'!AH313+'[1]поточний ремонт'!AH313</f>
        <v>1583.4262571142087</v>
      </c>
      <c r="AI313" s="42">
        <f>'[2]поточний ремонт'!AI313+'[1]поточний ремонт'!AI313</f>
        <v>0</v>
      </c>
      <c r="AJ313" s="9"/>
      <c r="AK313" s="42">
        <f>'[2]поточний ремонт'!AK313+'[1]поточний ремонт'!AK313</f>
        <v>1463.0614608702581</v>
      </c>
      <c r="AL313" s="42">
        <f>'[2]поточний ремонт'!AL313+'[1]поточний ремонт'!AL313</f>
        <v>0</v>
      </c>
      <c r="AM313" s="9"/>
      <c r="AN313" s="42">
        <f>'[2]поточний ремонт'!AN313+'[1]поточний ремонт'!AN313</f>
        <v>440.55697923759669</v>
      </c>
      <c r="AO313" s="42">
        <f>'[2]поточний ремонт'!AO313+'[1]поточний ремонт'!AO313</f>
        <v>0</v>
      </c>
      <c r="AP313" s="5"/>
      <c r="AQ313" s="42">
        <f>'[2]поточний ремонт'!AQ313+'[1]поточний ремонт'!AQ313</f>
        <v>321.16285726662983</v>
      </c>
      <c r="AR313" s="42">
        <f>'[2]поточний ремонт'!AR313+'[1]поточний ремонт'!AR313</f>
        <v>0</v>
      </c>
      <c r="AS313" s="9"/>
      <c r="AT313" s="42">
        <f>'[2]поточний ремонт'!AT313+'[1]поточний ремонт'!AT313</f>
        <v>1157.0028319964993</v>
      </c>
      <c r="AU313" s="42">
        <f>'[2]поточний ремонт'!AU313+'[1]поточний ремонт'!AU313</f>
        <v>0</v>
      </c>
      <c r="AV313" s="5"/>
      <c r="AW313" s="42">
        <f>'[2]поточний ремонт'!AW313+'[1]поточний ремонт'!AW313</f>
        <v>62.553512067530519</v>
      </c>
      <c r="AX313" s="42">
        <f>'[2]поточний ремонт'!AX313+'[1]поточний ремонт'!AX313</f>
        <v>4470.1826450859999</v>
      </c>
      <c r="AY313" s="5"/>
      <c r="AZ313" s="42">
        <f t="shared" si="40"/>
        <v>6583.8304507639778</v>
      </c>
      <c r="BA313" s="42">
        <f t="shared" si="41"/>
        <v>5756.873504064004</v>
      </c>
      <c r="BB313" s="58">
        <f t="shared" si="42"/>
        <v>-826.95694669997374</v>
      </c>
      <c r="BD313" s="2">
        <v>2</v>
      </c>
      <c r="BF313" s="29">
        <v>88.595076271017078</v>
      </c>
      <c r="BG313" s="318">
        <v>150000887</v>
      </c>
      <c r="BI313" s="104">
        <v>23.06</v>
      </c>
      <c r="BJ313" s="104">
        <f t="shared" si="46"/>
        <v>3.2436703319999993</v>
      </c>
      <c r="BK313" s="104">
        <v>26.594770455759999</v>
      </c>
      <c r="BL313" s="38"/>
      <c r="BM313" s="3"/>
      <c r="BN313" s="3">
        <v>0</v>
      </c>
      <c r="BP313" s="3"/>
      <c r="BQ313" s="3"/>
      <c r="BS313" s="42"/>
      <c r="BT313" s="42">
        <v>0</v>
      </c>
      <c r="BU313" s="962"/>
      <c r="BV313" s="41"/>
      <c r="BW313" s="42"/>
      <c r="BX313" s="961"/>
      <c r="BY313" s="76"/>
      <c r="BZ313" s="42">
        <v>0</v>
      </c>
      <c r="CA313" s="959"/>
      <c r="CB313" s="41"/>
      <c r="CC313" s="41">
        <v>0</v>
      </c>
      <c r="CD313" s="960"/>
      <c r="CE313" s="76">
        <v>561.41365119460818</v>
      </c>
      <c r="CF313" s="55"/>
      <c r="CG313" s="41">
        <v>0</v>
      </c>
      <c r="CH313" s="38">
        <v>26.594770455759999</v>
      </c>
      <c r="CI313" s="76">
        <v>0</v>
      </c>
      <c r="CJ313" s="55"/>
      <c r="CK313" s="955"/>
      <c r="CL313" s="950">
        <v>2591</v>
      </c>
      <c r="CM313" s="955"/>
      <c r="CN313" s="950">
        <v>0</v>
      </c>
      <c r="CO313" s="76">
        <v>60.790037001279984</v>
      </c>
      <c r="CP313" s="42">
        <v>0</v>
      </c>
      <c r="CQ313" s="9"/>
      <c r="CR313" s="76">
        <v>79.650524317350431</v>
      </c>
      <c r="CS313" s="954">
        <v>0</v>
      </c>
      <c r="CT313" s="9"/>
      <c r="CU313" s="76">
        <v>77.90235625479994</v>
      </c>
      <c r="CV313" s="42">
        <v>0</v>
      </c>
      <c r="CW313" s="9"/>
      <c r="CX313" s="76">
        <v>32.917720568347377</v>
      </c>
      <c r="CY313" s="42">
        <v>0</v>
      </c>
      <c r="CZ313" s="5"/>
      <c r="DA313" s="76">
        <v>19.788362425549849</v>
      </c>
      <c r="DB313" s="42">
        <v>0</v>
      </c>
      <c r="DC313" s="9"/>
      <c r="DD313" s="76">
        <v>46.321761609865284</v>
      </c>
      <c r="DE313" s="42">
        <v>0</v>
      </c>
      <c r="DF313" s="5"/>
      <c r="DG313" s="76">
        <v>0</v>
      </c>
      <c r="DH313" s="42"/>
      <c r="DI313" s="5"/>
      <c r="DJ313" s="42">
        <v>317.37076217719289</v>
      </c>
      <c r="DK313" s="42">
        <f t="shared" si="47"/>
        <v>0</v>
      </c>
      <c r="DL313" s="58">
        <f t="shared" si="48"/>
        <v>-317.37076217719289</v>
      </c>
      <c r="DM313" s="2">
        <v>2</v>
      </c>
    </row>
    <row r="314" spans="1:117" ht="24.9" customHeight="1" x14ac:dyDescent="0.3">
      <c r="A314" s="318">
        <v>150000888</v>
      </c>
      <c r="B314" s="44" t="s">
        <v>313</v>
      </c>
      <c r="C314" s="956">
        <v>5</v>
      </c>
      <c r="D314" s="957" t="s">
        <v>454</v>
      </c>
      <c r="E314" s="949">
        <f>'побудинковий звіт'!E312</f>
        <v>3375.56</v>
      </c>
      <c r="F314" s="950">
        <f>'побудинковий звіт'!AS312</f>
        <v>35497.388123884535</v>
      </c>
      <c r="G314" s="950">
        <f t="shared" si="38"/>
        <v>2245.6160394370359</v>
      </c>
      <c r="H314" s="950">
        <f t="shared" si="39"/>
        <v>-33251.772084447497</v>
      </c>
      <c r="I314" s="42">
        <f>'[2]поточний ремонт'!I314+'[1]поточний ремонт'!I314</f>
        <v>0</v>
      </c>
      <c r="J314" s="42">
        <f>'[2]поточний ремонт'!J314+'[1]поточний ремонт'!J314</f>
        <v>0</v>
      </c>
      <c r="K314" s="958"/>
      <c r="L314" s="42">
        <f>'[2]поточний ремонт'!L314+'[1]поточний ремонт'!L314</f>
        <v>0</v>
      </c>
      <c r="M314" s="42">
        <f>'[2]поточний ремонт'!M314+'[1]поточний ремонт'!M314</f>
        <v>0</v>
      </c>
      <c r="N314" s="36"/>
      <c r="O314" s="42">
        <f>'[2]поточний ремонт'!O314+'[1]поточний ремонт'!O314</f>
        <v>0</v>
      </c>
      <c r="P314" s="42">
        <f>'[2]поточний ремонт'!P314+'[1]поточний ремонт'!P314</f>
        <v>0</v>
      </c>
      <c r="Q314" s="959"/>
      <c r="R314" s="42">
        <f>'[2]поточний ремонт'!R314+'[1]поточний ремонт'!R314</f>
        <v>0</v>
      </c>
      <c r="S314" s="42">
        <f>'[2]поточний ремонт'!S314+'[1]поточний ремонт'!S314</f>
        <v>0</v>
      </c>
      <c r="T314" s="960"/>
      <c r="U314" s="42">
        <f>'[2]поточний ремонт'!U314+'[1]поточний ремонт'!U314</f>
        <v>0</v>
      </c>
      <c r="V314" s="42">
        <f>'[2]поточний ремонт'!V314+'[1]поточний ремонт'!V314</f>
        <v>0</v>
      </c>
      <c r="W314" s="42">
        <f>'[2]поточний ремонт'!W314+'[1]поточний ремонт'!W314</f>
        <v>0</v>
      </c>
      <c r="X314" s="42">
        <f>'[2]поточний ремонт'!X314+'[1]поточний ремонт'!X314</f>
        <v>0</v>
      </c>
      <c r="Y314" s="42">
        <f>'[2]поточний ремонт'!Y314+'[1]поточний ремонт'!Y314</f>
        <v>0</v>
      </c>
      <c r="Z314" s="42">
        <f>'[2]поточний ремонт'!Z314+'[1]поточний ремонт'!Z314</f>
        <v>0</v>
      </c>
      <c r="AA314" s="42">
        <f>'[2]поточний ремонт'!AA314+'[1]поточний ремонт'!AA314</f>
        <v>0</v>
      </c>
      <c r="AB314" s="42">
        <f>'[2]поточний ремонт'!AB314+'[1]поточний ремонт'!AB314</f>
        <v>0</v>
      </c>
      <c r="AC314" s="42">
        <f>'[2]поточний ремонт'!AC314+'[1]поточний ремонт'!AC314</f>
        <v>1689.7925119252593</v>
      </c>
      <c r="AD314" s="42">
        <f>'[2]поточний ремонт'!AD314+'[1]поточний ремонт'!AD314</f>
        <v>555.82352751177655</v>
      </c>
      <c r="AE314" s="42">
        <f>'[2]поточний ремонт'!AE314+'[1]поточний ремонт'!AE314</f>
        <v>1923.7088058614695</v>
      </c>
      <c r="AF314" s="42">
        <f>'[2]поточний ремонт'!AF314+'[1]поточний ремонт'!AF314</f>
        <v>0</v>
      </c>
      <c r="AG314" s="5"/>
      <c r="AH314" s="42">
        <f>'[2]поточний ремонт'!AH314+'[1]поточний ремонт'!AH314</f>
        <v>3082.2747375809126</v>
      </c>
      <c r="AI314" s="42">
        <f>'[2]поточний ремонт'!AI314+'[1]поточний ремонт'!AI314</f>
        <v>0</v>
      </c>
      <c r="AJ314" s="5"/>
      <c r="AK314" s="42">
        <f>'[2]поточний ремонт'!AK314+'[1]поточний ремонт'!AK314</f>
        <v>2384.4931538217634</v>
      </c>
      <c r="AL314" s="42">
        <f>'[2]поточний ремонт'!AL314+'[1]поточний ремонт'!AL314</f>
        <v>0</v>
      </c>
      <c r="AM314" s="5"/>
      <c r="AN314" s="42">
        <f>'[2]поточний ремонт'!AN314+'[1]поточний ремонт'!AN314</f>
        <v>0</v>
      </c>
      <c r="AO314" s="42">
        <f>'[2]поточний ремонт'!AO314+'[1]поточний ремонт'!AO314</f>
        <v>0</v>
      </c>
      <c r="AP314" s="5"/>
      <c r="AQ314" s="42">
        <f>'[2]поточний ремонт'!AQ314+'[1]поточний ремонт'!AQ314</f>
        <v>137.84135996429129</v>
      </c>
      <c r="AR314" s="42">
        <f>'[2]поточний ремонт'!AR314+'[1]поточний ремонт'!AR314</f>
        <v>0</v>
      </c>
      <c r="AS314" s="5"/>
      <c r="AT314" s="42">
        <f>'[2]поточний ремонт'!AT314+'[1]поточний ремонт'!AT314</f>
        <v>1377.9695740445597</v>
      </c>
      <c r="AU314" s="42">
        <f>'[2]поточний ремонт'!AU314+'[1]поточний ремонт'!AU314</f>
        <v>7504.6327808874221</v>
      </c>
      <c r="AV314" s="9"/>
      <c r="AW314" s="42">
        <f>'[2]поточний ремонт'!AW314+'[1]поточний ремонт'!AW314</f>
        <v>93.171479859862387</v>
      </c>
      <c r="AX314" s="42">
        <f>'[2]поточний ремонт'!AX314+'[1]поточний ремонт'!AX314</f>
        <v>0</v>
      </c>
      <c r="AY314" s="5"/>
      <c r="AZ314" s="42">
        <f t="shared" si="40"/>
        <v>8999.4591111328591</v>
      </c>
      <c r="BA314" s="42">
        <f t="shared" si="41"/>
        <v>7504.6327808874221</v>
      </c>
      <c r="BB314" s="58">
        <f t="shared" si="42"/>
        <v>-1494.826330245437</v>
      </c>
      <c r="BD314" s="2">
        <v>2</v>
      </c>
      <c r="BF314" s="29">
        <v>4.9293183371126492</v>
      </c>
      <c r="BG314" s="318">
        <v>150000888</v>
      </c>
      <c r="BI314" s="104">
        <v>0</v>
      </c>
      <c r="BJ314" s="104">
        <f t="shared" si="46"/>
        <v>0</v>
      </c>
      <c r="BK314" s="104">
        <v>0</v>
      </c>
      <c r="BL314" s="38"/>
      <c r="BM314" s="3"/>
      <c r="BN314" s="3">
        <v>0</v>
      </c>
      <c r="BP314" s="3"/>
      <c r="BQ314" s="3"/>
      <c r="BS314" s="42"/>
      <c r="BT314" s="42">
        <v>0</v>
      </c>
      <c r="BU314" s="958"/>
      <c r="BV314" s="41"/>
      <c r="BW314" s="42"/>
      <c r="BX314" s="36"/>
      <c r="BY314" s="76"/>
      <c r="BZ314" s="42">
        <v>0</v>
      </c>
      <c r="CA314" s="959"/>
      <c r="CB314" s="41"/>
      <c r="CC314" s="41">
        <v>0</v>
      </c>
      <c r="CD314" s="960"/>
      <c r="CE314" s="76">
        <v>0</v>
      </c>
      <c r="CF314" s="55"/>
      <c r="CG314" s="41">
        <v>0</v>
      </c>
      <c r="CH314" s="38">
        <v>0</v>
      </c>
      <c r="CI314" s="76">
        <v>0</v>
      </c>
      <c r="CJ314" s="55"/>
      <c r="CK314" s="955"/>
      <c r="CL314" s="950"/>
      <c r="CM314" s="955">
        <v>453</v>
      </c>
      <c r="CN314" s="950">
        <v>555.06886477246178</v>
      </c>
      <c r="CO314" s="76">
        <v>154.31613824469676</v>
      </c>
      <c r="CP314" s="42">
        <v>0</v>
      </c>
      <c r="CQ314" s="5"/>
      <c r="CR314" s="76">
        <v>245.21278357122625</v>
      </c>
      <c r="CS314" s="954">
        <v>0</v>
      </c>
      <c r="CT314" s="5"/>
      <c r="CU314" s="76">
        <v>196.12299768171044</v>
      </c>
      <c r="CV314" s="42">
        <v>0</v>
      </c>
      <c r="CW314" s="5"/>
      <c r="CX314" s="76">
        <v>0</v>
      </c>
      <c r="CY314" s="42">
        <v>0</v>
      </c>
      <c r="CZ314" s="5"/>
      <c r="DA314" s="76">
        <v>0</v>
      </c>
      <c r="DB314" s="42">
        <v>0</v>
      </c>
      <c r="DC314" s="5"/>
      <c r="DD314" s="76">
        <v>87.209303419794793</v>
      </c>
      <c r="DE314" s="42">
        <v>0</v>
      </c>
      <c r="DF314" s="9"/>
      <c r="DG314" s="76">
        <v>0</v>
      </c>
      <c r="DH314" s="42"/>
      <c r="DI314" s="5"/>
      <c r="DJ314" s="42">
        <v>682.86122291742822</v>
      </c>
      <c r="DK314" s="42">
        <f t="shared" si="47"/>
        <v>0</v>
      </c>
      <c r="DL314" s="58">
        <f t="shared" si="48"/>
        <v>-682.86122291742822</v>
      </c>
      <c r="DM314" s="2">
        <v>2</v>
      </c>
    </row>
    <row r="315" spans="1:117" ht="24.9" customHeight="1" x14ac:dyDescent="0.3">
      <c r="A315" s="318">
        <v>150000889</v>
      </c>
      <c r="B315" s="44" t="s">
        <v>427</v>
      </c>
      <c r="C315" s="956">
        <v>16</v>
      </c>
      <c r="D315" s="957" t="s">
        <v>454</v>
      </c>
      <c r="E315" s="949">
        <f>'побудинковий звіт'!E313</f>
        <v>5272.67</v>
      </c>
      <c r="F315" s="950">
        <f>'побудинковий звіт'!AS313</f>
        <v>82170.70109769424</v>
      </c>
      <c r="G315" s="950">
        <f t="shared" si="38"/>
        <v>130855.55299176426</v>
      </c>
      <c r="H315" s="950">
        <f t="shared" si="39"/>
        <v>48684.851894070016</v>
      </c>
      <c r="I315" s="42">
        <f>'[2]поточний ремонт'!I315+'[1]поточний ремонт'!I315</f>
        <v>0</v>
      </c>
      <c r="J315" s="42">
        <f>'[2]поточний ремонт'!J315+'[1]поточний ремонт'!J315</f>
        <v>0</v>
      </c>
      <c r="K315" s="958"/>
      <c r="L315" s="42">
        <f>'[2]поточний ремонт'!L315+'[1]поточний ремонт'!L315</f>
        <v>0</v>
      </c>
      <c r="M315" s="42">
        <f>'[2]поточний ремонт'!M315+'[1]поточний ремонт'!M315</f>
        <v>0</v>
      </c>
      <c r="N315" s="36"/>
      <c r="O315" s="42">
        <f>'[2]поточний ремонт'!O315+'[1]поточний ремонт'!O315</f>
        <v>0</v>
      </c>
      <c r="P315" s="42">
        <f>'[2]поточний ремонт'!P315+'[1]поточний ремонт'!P315</f>
        <v>0</v>
      </c>
      <c r="Q315" s="959"/>
      <c r="R315" s="42">
        <f>'[2]поточний ремонт'!R315+'[1]поточний ремонт'!R315</f>
        <v>3</v>
      </c>
      <c r="S315" s="42">
        <f>'[2]поточний ремонт'!S315+'[1]поточний ремонт'!S315</f>
        <v>77108.679383775714</v>
      </c>
      <c r="T315" s="967"/>
      <c r="U315" s="42">
        <f>'[2]поточний ремонт'!U315+'[1]поточний ремонт'!U315</f>
        <v>126</v>
      </c>
      <c r="V315" s="42">
        <f>'[2]поточний ремонт'!V315+'[1]поточний ремонт'!V315</f>
        <v>0</v>
      </c>
      <c r="W315" s="42">
        <f>'[2]поточний ремонт'!W315+'[1]поточний ремонт'!W315</f>
        <v>10.5</v>
      </c>
      <c r="X315" s="42">
        <f>'[2]поточний ремонт'!X315+'[1]поточний ремонт'!X315</f>
        <v>10873.431711497031</v>
      </c>
      <c r="Y315" s="42">
        <f>'[2]поточний ремонт'!Y315+'[1]поточний ремонт'!Y315</f>
        <v>33636.02523634713</v>
      </c>
      <c r="Z315" s="42">
        <f>'[2]поточний ремонт'!Z315+'[1]поточний ремонт'!Z315</f>
        <v>0</v>
      </c>
      <c r="AA315" s="42">
        <f>'[2]поточний ремонт'!AA315+'[1]поточний ремонт'!AA315</f>
        <v>0</v>
      </c>
      <c r="AB315" s="42">
        <f>'[2]поточний ремонт'!AB315+'[1]поточний ремонт'!AB315</f>
        <v>2315.0250230620145</v>
      </c>
      <c r="AC315" s="42">
        <f>'[2]поточний ремонт'!AC315+'[1]поточний ремонт'!AC315</f>
        <v>603.84626433482299</v>
      </c>
      <c r="AD315" s="42">
        <f>'[2]поточний ремонт'!AD315+'[1]поточний ремонт'!AD315</f>
        <v>6192.5453727475497</v>
      </c>
      <c r="AE315" s="42">
        <f>'[2]поточний ремонт'!AE315+'[1]поточний ремонт'!AE315</f>
        <v>2254.4413788812171</v>
      </c>
      <c r="AF315" s="42">
        <f>'[2]поточний ремонт'!AF315+'[1]поточний ремонт'!AF315</f>
        <v>754.29647901999078</v>
      </c>
      <c r="AG315" s="9"/>
      <c r="AH315" s="42">
        <f>'[2]поточний ремонт'!AH315+'[1]поточний ремонт'!AH315</f>
        <v>2543.577208286551</v>
      </c>
      <c r="AI315" s="42">
        <f>'[2]поточний ремонт'!AI315+'[1]поточний ремонт'!AI315</f>
        <v>0</v>
      </c>
      <c r="AJ315" s="5"/>
      <c r="AK315" s="42">
        <f>'[2]поточний ремонт'!AK315+'[1]поточний ремонт'!AK315</f>
        <v>2515.5970092094344</v>
      </c>
      <c r="AL315" s="42">
        <f>'[2]поточний ремонт'!AL315+'[1]поточний ремонт'!AL315</f>
        <v>0</v>
      </c>
      <c r="AM315" s="9"/>
      <c r="AN315" s="42">
        <f>'[2]поточний ремонт'!AN315+'[1]поточний ремонт'!AN315</f>
        <v>828.30898977672143</v>
      </c>
      <c r="AO315" s="42">
        <f>'[2]поточний ремонт'!AO315+'[1]поточний ремонт'!AO315</f>
        <v>616.4757719159312</v>
      </c>
      <c r="AP315" s="5"/>
      <c r="AQ315" s="42">
        <f>'[2]поточний ремонт'!AQ315+'[1]поточний ремонт'!AQ315</f>
        <v>488.73368390500116</v>
      </c>
      <c r="AR315" s="42">
        <f>'[2]поточний ремонт'!AR315+'[1]поточний ремонт'!AR315</f>
        <v>0</v>
      </c>
      <c r="AS315" s="5"/>
      <c r="AT315" s="42">
        <f>'[2]поточний ремонт'!AT315+'[1]поточний ремонт'!AT315</f>
        <v>2044.0151416514304</v>
      </c>
      <c r="AU315" s="42">
        <f>'[2]поточний ремонт'!AU315+'[1]поточний ремонт'!AU315</f>
        <v>2183.2392379350354</v>
      </c>
      <c r="AV315" s="5"/>
      <c r="AW315" s="42">
        <f>'[2]поточний ремонт'!AW315+'[1]поточний ремонт'!AW315</f>
        <v>0</v>
      </c>
      <c r="AX315" s="42">
        <f>'[2]поточний ремонт'!AX315+'[1]поточний ремонт'!AX315</f>
        <v>0</v>
      </c>
      <c r="AY315" s="5"/>
      <c r="AZ315" s="42">
        <f t="shared" si="40"/>
        <v>10674.673411710355</v>
      </c>
      <c r="BA315" s="42">
        <f t="shared" si="41"/>
        <v>3554.0114888709572</v>
      </c>
      <c r="BB315" s="58">
        <f t="shared" si="42"/>
        <v>-7120.6619228393974</v>
      </c>
      <c r="BD315" s="2">
        <v>2</v>
      </c>
      <c r="BF315" s="29">
        <v>7.6800355636891497</v>
      </c>
      <c r="BG315" s="318">
        <v>150000889</v>
      </c>
      <c r="BI315" s="104">
        <v>0</v>
      </c>
      <c r="BJ315" s="104">
        <f t="shared" si="46"/>
        <v>0</v>
      </c>
      <c r="BK315" s="104">
        <v>0</v>
      </c>
      <c r="BL315" s="38"/>
      <c r="BM315" s="3"/>
      <c r="BN315" s="3">
        <v>0</v>
      </c>
      <c r="BP315" s="3"/>
      <c r="BQ315" s="3"/>
      <c r="BS315" s="42"/>
      <c r="BT315" s="42">
        <v>0</v>
      </c>
      <c r="BU315" s="958"/>
      <c r="BV315" s="41"/>
      <c r="BW315" s="42"/>
      <c r="BX315" s="36"/>
      <c r="BY315" s="76"/>
      <c r="BZ315" s="42">
        <v>0</v>
      </c>
      <c r="CA315" s="959"/>
      <c r="CB315" s="41"/>
      <c r="CC315" s="41">
        <v>0</v>
      </c>
      <c r="CD315" s="967"/>
      <c r="CE315" s="76">
        <v>0</v>
      </c>
      <c r="CF315" s="55"/>
      <c r="CG315" s="41">
        <v>0</v>
      </c>
      <c r="CH315" s="38">
        <v>0</v>
      </c>
      <c r="CI315" s="76">
        <v>0</v>
      </c>
      <c r="CJ315" s="55"/>
      <c r="CK315" s="955"/>
      <c r="CL315" s="950"/>
      <c r="CM315" s="955"/>
      <c r="CN315" s="950">
        <v>0</v>
      </c>
      <c r="CO315" s="76">
        <v>149.70157031962316</v>
      </c>
      <c r="CP315" s="42">
        <v>324.58394710410732</v>
      </c>
      <c r="CQ315" s="9"/>
      <c r="CR315" s="76">
        <v>191.11143788632458</v>
      </c>
      <c r="CS315" s="954">
        <v>0</v>
      </c>
      <c r="CT315" s="5"/>
      <c r="CU315" s="76">
        <v>196.58645434204672</v>
      </c>
      <c r="CV315" s="42">
        <v>0</v>
      </c>
      <c r="CW315" s="9"/>
      <c r="CX315" s="76">
        <v>75.628577162468176</v>
      </c>
      <c r="CY315" s="42">
        <v>615.70915554860403</v>
      </c>
      <c r="CZ315" s="5"/>
      <c r="DA315" s="76">
        <v>37.471346132036459</v>
      </c>
      <c r="DB315" s="42">
        <v>0</v>
      </c>
      <c r="DC315" s="5"/>
      <c r="DD315" s="76">
        <v>161.03715249192527</v>
      </c>
      <c r="DE315" s="42">
        <v>810.32584835769205</v>
      </c>
      <c r="DF315" s="5"/>
      <c r="DG315" s="76">
        <v>0</v>
      </c>
      <c r="DH315" s="42"/>
      <c r="DI315" s="5"/>
      <c r="DJ315" s="42">
        <v>811.53653833442445</v>
      </c>
      <c r="DK315" s="42">
        <f t="shared" si="47"/>
        <v>1750.6189510104034</v>
      </c>
      <c r="DL315" s="58">
        <f t="shared" si="48"/>
        <v>939.08241267597896</v>
      </c>
      <c r="DM315" s="2">
        <v>2</v>
      </c>
    </row>
    <row r="316" spans="1:117" ht="24.9" customHeight="1" x14ac:dyDescent="0.3">
      <c r="A316" s="318">
        <v>150000890</v>
      </c>
      <c r="B316" s="44" t="s">
        <v>398</v>
      </c>
      <c r="C316" s="956">
        <v>9</v>
      </c>
      <c r="D316" s="957" t="s">
        <v>454</v>
      </c>
      <c r="E316" s="949">
        <f>'побудинковий звіт'!E314</f>
        <v>8461.5199999999986</v>
      </c>
      <c r="F316" s="950">
        <f>'побудинковий звіт'!AS314</f>
        <v>118451.47252463474</v>
      </c>
      <c r="G316" s="950">
        <f t="shared" si="38"/>
        <v>35349.273172890811</v>
      </c>
      <c r="H316" s="950">
        <f t="shared" si="39"/>
        <v>-83102.199351743926</v>
      </c>
      <c r="I316" s="42">
        <f>'[2]поточний ремонт'!I316+'[1]поточний ремонт'!I316</f>
        <v>0</v>
      </c>
      <c r="J316" s="42">
        <f>'[2]поточний ремонт'!J316+'[1]поточний ремонт'!J316</f>
        <v>0</v>
      </c>
      <c r="K316" s="958"/>
      <c r="L316" s="42">
        <f>'[2]поточний ремонт'!L316+'[1]поточний ремонт'!L316</f>
        <v>0</v>
      </c>
      <c r="M316" s="42">
        <f>'[2]поточний ремонт'!M316+'[1]поточний ремонт'!M316</f>
        <v>0</v>
      </c>
      <c r="N316" s="961"/>
      <c r="O316" s="42">
        <f>'[2]поточний ремонт'!O316+'[1]поточний ремонт'!O316</f>
        <v>0</v>
      </c>
      <c r="P316" s="42">
        <f>'[2]поточний ремонт'!P316+'[1]поточний ремонт'!P316</f>
        <v>0</v>
      </c>
      <c r="Q316" s="959"/>
      <c r="R316" s="42">
        <f>'[2]поточний ремонт'!R316+'[1]поточний ремонт'!R316</f>
        <v>2</v>
      </c>
      <c r="S316" s="42">
        <f>'[2]поточний ремонт'!S316+'[1]поточний ремонт'!S316</f>
        <v>20234.078373979381</v>
      </c>
      <c r="T316" s="960"/>
      <c r="U316" s="42">
        <f>'[2]поточний ремонт'!U316+'[1]поточний ремонт'!U316</f>
        <v>0</v>
      </c>
      <c r="V316" s="42">
        <f>'[2]поточний ремонт'!V316+'[1]поточний ремонт'!V316</f>
        <v>0</v>
      </c>
      <c r="W316" s="42">
        <f>'[2]поточний ремонт'!W316+'[1]поточний ремонт'!W316</f>
        <v>0</v>
      </c>
      <c r="X316" s="42">
        <f>'[2]поточний ремонт'!X316+'[1]поточний ремонт'!X316</f>
        <v>0</v>
      </c>
      <c r="Y316" s="42">
        <f>'[2]поточний ремонт'!Y316+'[1]поточний ремонт'!Y316</f>
        <v>870.52927634114951</v>
      </c>
      <c r="Z316" s="42">
        <f>'[2]поточний ремонт'!Z316+'[1]поточний ремонт'!Z316</f>
        <v>0</v>
      </c>
      <c r="AA316" s="42">
        <f>'[2]поточний ремонт'!AA316+'[1]поточний ремонт'!AA316</f>
        <v>0</v>
      </c>
      <c r="AB316" s="42">
        <f>'[2]поточний ремонт'!AB316+'[1]поточний ремонт'!AB316</f>
        <v>11543.278175093064</v>
      </c>
      <c r="AC316" s="42">
        <f>'[2]поточний ремонт'!AC316+'[1]поточний ремонт'!AC316</f>
        <v>716.27944689400454</v>
      </c>
      <c r="AD316" s="42">
        <f>'[2]поточний ремонт'!AD316+'[1]поточний ремонт'!AD316</f>
        <v>1985.1079005832148</v>
      </c>
      <c r="AE316" s="42">
        <f>'[2]поточний ремонт'!AE316+'[1]поточний ремонт'!AE316</f>
        <v>2084.2908177185059</v>
      </c>
      <c r="AF316" s="42">
        <f>'[2]поточний ремонт'!AF316+'[1]поточний ремонт'!AF316</f>
        <v>448.18794590112498</v>
      </c>
      <c r="AG316" s="9"/>
      <c r="AH316" s="42">
        <f>'[2]поточний ремонт'!AH316+'[1]поточний ремонт'!AH316</f>
        <v>2780.6259327371872</v>
      </c>
      <c r="AI316" s="42">
        <f>'[2]поточний ремонт'!AI316+'[1]поточний ремонт'!AI316</f>
        <v>4516.7726163450225</v>
      </c>
      <c r="AJ316" s="5"/>
      <c r="AK316" s="42">
        <f>'[2]поточний ремонт'!AK316+'[1]поточний ремонт'!AK316</f>
        <v>3145.764988734838</v>
      </c>
      <c r="AL316" s="42">
        <f>'[2]поточний ремонт'!AL316+'[1]поточний ремонт'!AL316</f>
        <v>0</v>
      </c>
      <c r="AM316" s="5"/>
      <c r="AN316" s="42">
        <f>'[2]поточний ремонт'!AN316+'[1]поточний ремонт'!AN316</f>
        <v>1549.8853027262719</v>
      </c>
      <c r="AO316" s="42">
        <f>'[2]поточний ремонт'!AO316+'[1]поточний ремонт'!AO316</f>
        <v>0</v>
      </c>
      <c r="AP316" s="5"/>
      <c r="AQ316" s="42">
        <f>'[2]поточний ремонт'!AQ316+'[1]поточний ремонт'!AQ316</f>
        <v>813.23905437838584</v>
      </c>
      <c r="AR316" s="42">
        <f>'[2]поточний ремонт'!AR316+'[1]поточний ремонт'!AR316</f>
        <v>0</v>
      </c>
      <c r="AS316" s="5"/>
      <c r="AT316" s="42">
        <f>'[2]поточний ремонт'!AT316+'[1]поточний ремонт'!AT316</f>
        <v>2904.1846131103343</v>
      </c>
      <c r="AU316" s="42">
        <f>'[2]поточний ремонт'!AU316+'[1]поточний ремонт'!AU316</f>
        <v>0</v>
      </c>
      <c r="AV316" s="5"/>
      <c r="AW316" s="42">
        <f>'[2]поточний ремонт'!AW316+'[1]поточний ремонт'!AW316</f>
        <v>63.83971768175757</v>
      </c>
      <c r="AX316" s="42">
        <f>'[2]поточний ремонт'!AX316+'[1]поточний ремонт'!AX316</f>
        <v>0</v>
      </c>
      <c r="AY316" s="5"/>
      <c r="AZ316" s="42">
        <f t="shared" si="40"/>
        <v>13341.830427087281</v>
      </c>
      <c r="BA316" s="42">
        <f t="shared" si="41"/>
        <v>4964.9605622461477</v>
      </c>
      <c r="BB316" s="58">
        <f t="shared" si="42"/>
        <v>-8376.8698648411337</v>
      </c>
      <c r="BD316" s="2">
        <v>2</v>
      </c>
      <c r="BF316" s="29">
        <v>12.15574765598126</v>
      </c>
      <c r="BG316" s="318">
        <v>150000890</v>
      </c>
      <c r="BI316" s="104">
        <v>0</v>
      </c>
      <c r="BJ316" s="104">
        <f t="shared" si="46"/>
        <v>0</v>
      </c>
      <c r="BK316" s="104">
        <v>0</v>
      </c>
      <c r="BL316" s="38"/>
      <c r="BM316" s="3"/>
      <c r="BN316" s="3">
        <v>0</v>
      </c>
      <c r="BP316" s="3"/>
      <c r="BQ316" s="3"/>
      <c r="BS316" s="42"/>
      <c r="BT316" s="42">
        <v>0</v>
      </c>
      <c r="BU316" s="958"/>
      <c r="BV316" s="41"/>
      <c r="BW316" s="42"/>
      <c r="BX316" s="961"/>
      <c r="BY316" s="76"/>
      <c r="BZ316" s="42">
        <v>0</v>
      </c>
      <c r="CA316" s="959"/>
      <c r="CB316" s="41"/>
      <c r="CC316" s="41">
        <v>0</v>
      </c>
      <c r="CD316" s="960"/>
      <c r="CE316" s="76">
        <v>0</v>
      </c>
      <c r="CF316" s="55"/>
      <c r="CG316" s="41">
        <v>0</v>
      </c>
      <c r="CH316" s="38">
        <v>0</v>
      </c>
      <c r="CI316" s="76">
        <v>0</v>
      </c>
      <c r="CJ316" s="55"/>
      <c r="CK316" s="955"/>
      <c r="CL316" s="950"/>
      <c r="CM316" s="955"/>
      <c r="CN316" s="950">
        <v>0</v>
      </c>
      <c r="CO316" s="76">
        <v>142.97923610682477</v>
      </c>
      <c r="CP316" s="42">
        <v>0</v>
      </c>
      <c r="CQ316" s="9"/>
      <c r="CR316" s="76">
        <v>226.76299707256464</v>
      </c>
      <c r="CS316" s="954">
        <v>0</v>
      </c>
      <c r="CT316" s="5"/>
      <c r="CU316" s="76">
        <v>254.45770931106847</v>
      </c>
      <c r="CV316" s="42">
        <v>0</v>
      </c>
      <c r="CW316" s="5"/>
      <c r="CX316" s="76">
        <v>134.60538654216461</v>
      </c>
      <c r="CY316" s="42">
        <v>0</v>
      </c>
      <c r="CZ316" s="5"/>
      <c r="DA316" s="76">
        <v>65.961214892720321</v>
      </c>
      <c r="DB316" s="42">
        <v>0</v>
      </c>
      <c r="DC316" s="5"/>
      <c r="DD316" s="76">
        <v>183.62367340343164</v>
      </c>
      <c r="DE316" s="42">
        <v>0</v>
      </c>
      <c r="DF316" s="5"/>
      <c r="DG316" s="76">
        <v>0</v>
      </c>
      <c r="DH316" s="42"/>
      <c r="DI316" s="5"/>
      <c r="DJ316" s="42">
        <v>1008.3902173287746</v>
      </c>
      <c r="DK316" s="42">
        <f t="shared" si="47"/>
        <v>0</v>
      </c>
      <c r="DL316" s="58">
        <f t="shared" si="48"/>
        <v>-1008.3902173287746</v>
      </c>
      <c r="DM316" s="2">
        <v>2</v>
      </c>
    </row>
    <row r="317" spans="1:117" ht="24.9" customHeight="1" x14ac:dyDescent="0.3">
      <c r="A317" s="318">
        <v>150001561</v>
      </c>
      <c r="B317" s="44" t="s">
        <v>399</v>
      </c>
      <c r="C317" s="956">
        <v>9</v>
      </c>
      <c r="D317" s="957" t="s">
        <v>454</v>
      </c>
      <c r="E317" s="949">
        <f>'побудинковий звіт'!E315</f>
        <v>3560.6</v>
      </c>
      <c r="F317" s="950">
        <f>'побудинковий звіт'!AS315</f>
        <v>41722.879620145832</v>
      </c>
      <c r="G317" s="950">
        <f t="shared" si="38"/>
        <v>97588.915288271208</v>
      </c>
      <c r="H317" s="950">
        <f t="shared" si="39"/>
        <v>55866.035668125376</v>
      </c>
      <c r="I317" s="42">
        <f>'[2]поточний ремонт'!I317+'[1]поточний ремонт'!I317</f>
        <v>86.122</v>
      </c>
      <c r="J317" s="42">
        <f>'[2]поточний ремонт'!J317+'[1]поточний ремонт'!J317</f>
        <v>24825.747865797108</v>
      </c>
      <c r="K317" s="958"/>
      <c r="L317" s="42">
        <f>'[2]поточний ремонт'!L317+'[1]поточний ремонт'!L317</f>
        <v>1</v>
      </c>
      <c r="M317" s="42">
        <f>'[2]поточний ремонт'!M317+'[1]поточний ремонт'!M317</f>
        <v>41551</v>
      </c>
      <c r="N317" s="36"/>
      <c r="O317" s="42">
        <f>'[2]поточний ремонт'!O317+'[1]поточний ремонт'!O317</f>
        <v>0</v>
      </c>
      <c r="P317" s="42">
        <f>'[2]поточний ремонт'!P317+'[1]поточний ремонт'!P317</f>
        <v>0</v>
      </c>
      <c r="Q317" s="959"/>
      <c r="R317" s="42">
        <f>'[2]поточний ремонт'!R317+'[1]поточний ремонт'!R317</f>
        <v>1</v>
      </c>
      <c r="S317" s="42">
        <f>'[2]поточний ремонт'!S317+'[1]поточний ремонт'!S317</f>
        <v>851</v>
      </c>
      <c r="T317" s="960"/>
      <c r="U317" s="42">
        <f>'[2]поточний ремонт'!U317+'[1]поточний ремонт'!U317</f>
        <v>0</v>
      </c>
      <c r="V317" s="42">
        <f>'[2]поточний ремонт'!V317+'[1]поточний ремонт'!V317</f>
        <v>0</v>
      </c>
      <c r="W317" s="42">
        <f>'[2]поточний ремонт'!W317+'[1]поточний ремонт'!W317</f>
        <v>4.13</v>
      </c>
      <c r="X317" s="42">
        <f>'[2]поточний ремонт'!X317+'[1]поточний ремонт'!X317</f>
        <v>5120</v>
      </c>
      <c r="Y317" s="42">
        <f>'[2]поточний ремонт'!Y317+'[1]поточний ремонт'!Y317</f>
        <v>3464</v>
      </c>
      <c r="Z317" s="42">
        <f>'[2]поточний ремонт'!Z317+'[1]поточний ремонт'!Z317</f>
        <v>0</v>
      </c>
      <c r="AA317" s="42">
        <f>'[2]поточний ремонт'!AA317+'[1]поточний ремонт'!AA317</f>
        <v>0</v>
      </c>
      <c r="AB317" s="42">
        <f>'[2]поточний ремонт'!AB317+'[1]поточний ремонт'!AB317</f>
        <v>8703.3034782012128</v>
      </c>
      <c r="AC317" s="42">
        <f>'[2]поточний ремонт'!AC317+'[1]поточний ремонт'!AC317</f>
        <v>2165.2513166573221</v>
      </c>
      <c r="AD317" s="42">
        <f>'[2]поточний ремонт'!AD317+'[1]поточний ремонт'!AD317</f>
        <v>10908.612627615574</v>
      </c>
      <c r="AE317" s="42">
        <f>'[2]поточний ремонт'!AE317+'[1]поточний ремонт'!AE317</f>
        <v>1635.7780931373993</v>
      </c>
      <c r="AF317" s="42">
        <f>'[2]поточний ремонт'!AF317+'[1]поточний ремонт'!AF317</f>
        <v>0</v>
      </c>
      <c r="AG317" s="5"/>
      <c r="AH317" s="42">
        <f>'[2]поточний ремонт'!AH317+'[1]поточний ремонт'!AH317</f>
        <v>2129.8621930026693</v>
      </c>
      <c r="AI317" s="42">
        <f>'[2]поточний ремонт'!AI317+'[1]поточний ремонт'!AI317</f>
        <v>0</v>
      </c>
      <c r="AJ317" s="5"/>
      <c r="AK317" s="42">
        <f>'[2]поточний ремонт'!AK317+'[1]поточний ремонт'!AK317</f>
        <v>0</v>
      </c>
      <c r="AL317" s="42">
        <f>'[2]поточний ремонт'!AL317+'[1]поточний ремонт'!AL317</f>
        <v>0</v>
      </c>
      <c r="AM317" s="5"/>
      <c r="AN317" s="42">
        <f>'[2]поточний ремонт'!AN317+'[1]поточний ремонт'!AN317</f>
        <v>0</v>
      </c>
      <c r="AO317" s="42">
        <f>'[2]поточний ремонт'!AO317+'[1]поточний ремонт'!AO317</f>
        <v>0</v>
      </c>
      <c r="AP317" s="5"/>
      <c r="AQ317" s="42">
        <f>'[2]поточний ремонт'!AQ317+'[1]поточний ремонт'!AQ317</f>
        <v>196.27966125769146</v>
      </c>
      <c r="AR317" s="42">
        <f>'[2]поточний ремонт'!AR317+'[1]поточний ремонт'!AR317</f>
        <v>0</v>
      </c>
      <c r="AS317" s="5"/>
      <c r="AT317" s="42">
        <f>'[2]поточний ремонт'!AT317+'[1]поточний ремонт'!AT317</f>
        <v>588.4244137479327</v>
      </c>
      <c r="AU317" s="42">
        <f>'[2]поточний ремонт'!AU317+'[1]поточний ремонт'!AU317</f>
        <v>13331.88833759977</v>
      </c>
      <c r="AV317" s="5"/>
      <c r="AW317" s="42">
        <f>'[2]поточний ремонт'!AW317+'[1]поточний ремонт'!AW317</f>
        <v>0</v>
      </c>
      <c r="AX317" s="42">
        <f>'[2]поточний ремонт'!AX317+'[1]поточний ремонт'!AX317</f>
        <v>8782.0509023480008</v>
      </c>
      <c r="AY317" s="5"/>
      <c r="AZ317" s="42">
        <f t="shared" si="40"/>
        <v>4550.3443611456923</v>
      </c>
      <c r="BA317" s="42">
        <f t="shared" si="41"/>
        <v>22113.939239947773</v>
      </c>
      <c r="BB317" s="58">
        <f t="shared" si="42"/>
        <v>17563.59487880208</v>
      </c>
      <c r="BD317" s="2">
        <v>2</v>
      </c>
      <c r="BF317" s="29">
        <v>418.31631969222354</v>
      </c>
      <c r="BG317" s="318">
        <v>150001561</v>
      </c>
      <c r="BI317" s="104">
        <v>0</v>
      </c>
      <c r="BJ317" s="104">
        <f t="shared" si="46"/>
        <v>0</v>
      </c>
      <c r="BK317" s="104">
        <v>0</v>
      </c>
      <c r="BL317" s="38"/>
      <c r="BM317" s="3"/>
      <c r="BN317" s="3">
        <v>0</v>
      </c>
      <c r="BP317" s="3"/>
      <c r="BQ317" s="3"/>
      <c r="BS317" s="42"/>
      <c r="BT317" s="42">
        <v>0</v>
      </c>
      <c r="BU317" s="958"/>
      <c r="BV317" s="41"/>
      <c r="BW317" s="42"/>
      <c r="BX317" s="36"/>
      <c r="BY317" s="76"/>
      <c r="BZ317" s="42">
        <v>0</v>
      </c>
      <c r="CA317" s="959"/>
      <c r="CB317" s="41"/>
      <c r="CC317" s="41">
        <v>0</v>
      </c>
      <c r="CD317" s="960"/>
      <c r="CE317" s="76">
        <v>0</v>
      </c>
      <c r="CF317" s="55"/>
      <c r="CG317" s="41">
        <v>0</v>
      </c>
      <c r="CH317" s="38">
        <v>0</v>
      </c>
      <c r="CI317" s="76">
        <v>0</v>
      </c>
      <c r="CJ317" s="55"/>
      <c r="CK317" s="955"/>
      <c r="CL317" s="950"/>
      <c r="CM317" s="955"/>
      <c r="CN317" s="950">
        <v>3404.625380310722</v>
      </c>
      <c r="CO317" s="76">
        <v>128.3769876237462</v>
      </c>
      <c r="CP317" s="42">
        <v>0</v>
      </c>
      <c r="CQ317" s="5"/>
      <c r="CR317" s="76">
        <v>166.5261630315251</v>
      </c>
      <c r="CS317" s="954">
        <v>0</v>
      </c>
      <c r="CT317" s="5"/>
      <c r="CU317" s="76">
        <v>0</v>
      </c>
      <c r="CV317" s="42">
        <v>0</v>
      </c>
      <c r="CW317" s="5"/>
      <c r="CX317" s="76">
        <v>0</v>
      </c>
      <c r="CY317" s="42">
        <v>0</v>
      </c>
      <c r="CZ317" s="5"/>
      <c r="DA317" s="76">
        <v>11.245034186051155</v>
      </c>
      <c r="DB317" s="42">
        <v>0</v>
      </c>
      <c r="DC317" s="5"/>
      <c r="DD317" s="76">
        <v>38.684483054308551</v>
      </c>
      <c r="DE317" s="42">
        <v>0</v>
      </c>
      <c r="DF317" s="5"/>
      <c r="DG317" s="76">
        <v>0</v>
      </c>
      <c r="DH317" s="42"/>
      <c r="DI317" s="5"/>
      <c r="DJ317" s="42">
        <v>344.832667895631</v>
      </c>
      <c r="DK317" s="42">
        <f t="shared" si="47"/>
        <v>0</v>
      </c>
      <c r="DL317" s="58">
        <f t="shared" si="48"/>
        <v>-344.832667895631</v>
      </c>
      <c r="DM317" s="2">
        <v>2</v>
      </c>
    </row>
    <row r="318" spans="1:117" ht="24.9" customHeight="1" x14ac:dyDescent="0.3">
      <c r="A318" s="318">
        <v>150000892</v>
      </c>
      <c r="B318" s="44" t="s">
        <v>400</v>
      </c>
      <c r="C318" s="956">
        <v>9</v>
      </c>
      <c r="D318" s="957" t="s">
        <v>454</v>
      </c>
      <c r="E318" s="949">
        <f>'побудинковий звіт'!E316</f>
        <v>4158.7</v>
      </c>
      <c r="F318" s="950">
        <f>'побудинковий звіт'!AS316</f>
        <v>66111.031966040289</v>
      </c>
      <c r="G318" s="950">
        <f t="shared" si="38"/>
        <v>6413.4893958283383</v>
      </c>
      <c r="H318" s="950">
        <f t="shared" si="39"/>
        <v>-59697.542570211954</v>
      </c>
      <c r="I318" s="42">
        <f>'[2]поточний ремонт'!I318+'[1]поточний ремонт'!I318</f>
        <v>0</v>
      </c>
      <c r="J318" s="42">
        <f>'[2]поточний ремонт'!J318+'[1]поточний ремонт'!J318</f>
        <v>0</v>
      </c>
      <c r="K318" s="958"/>
      <c r="L318" s="42">
        <f>'[2]поточний ремонт'!L318+'[1]поточний ремонт'!L318</f>
        <v>0</v>
      </c>
      <c r="M318" s="42">
        <f>'[2]поточний ремонт'!M318+'[1]поточний ремонт'!M318</f>
        <v>0</v>
      </c>
      <c r="N318" s="36"/>
      <c r="O318" s="42">
        <f>'[2]поточний ремонт'!O318+'[1]поточний ремонт'!O318</f>
        <v>0</v>
      </c>
      <c r="P318" s="42">
        <f>'[2]поточний ремонт'!P318+'[1]поточний ремонт'!P318</f>
        <v>0</v>
      </c>
      <c r="Q318" s="959"/>
      <c r="R318" s="42">
        <f>'[2]поточний ремонт'!R318+'[1]поточний ремонт'!R318</f>
        <v>1</v>
      </c>
      <c r="S318" s="42">
        <f>'[2]поточний ремонт'!S318+'[1]поточний ремонт'!S318</f>
        <v>2598</v>
      </c>
      <c r="T318" s="960"/>
      <c r="U318" s="42">
        <f>'[2]поточний ремонт'!U318+'[1]поточний ремонт'!U318</f>
        <v>0</v>
      </c>
      <c r="V318" s="42">
        <f>'[2]поточний ремонт'!V318+'[1]поточний ремонт'!V318</f>
        <v>0</v>
      </c>
      <c r="W318" s="42">
        <f>'[2]поточний ремонт'!W318+'[1]поточний ремонт'!W318</f>
        <v>0</v>
      </c>
      <c r="X318" s="42">
        <f>'[2]поточний ремонт'!X318+'[1]поточний ремонт'!X318</f>
        <v>282.37330008593136</v>
      </c>
      <c r="Y318" s="42">
        <f>'[2]поточний ремонт'!Y318+'[1]поточний ремонт'!Y318</f>
        <v>0</v>
      </c>
      <c r="Z318" s="42">
        <f>'[2]поточний ремонт'!Z318+'[1]поточний ремонт'!Z318</f>
        <v>0</v>
      </c>
      <c r="AA318" s="42">
        <f>'[2]поточний ремонт'!AA318+'[1]поточний ремонт'!AA318</f>
        <v>0</v>
      </c>
      <c r="AB318" s="42">
        <f>'[2]поточний ремонт'!AB318+'[1]поточний ремонт'!AB318</f>
        <v>0</v>
      </c>
      <c r="AC318" s="42">
        <f>'[2]поточний ремонт'!AC318+'[1]поточний ремонт'!AC318</f>
        <v>2047.2749313922059</v>
      </c>
      <c r="AD318" s="42">
        <f>'[2]поточний ремонт'!AD318+'[1]поточний ремонт'!AD318</f>
        <v>1485.8411643502013</v>
      </c>
      <c r="AE318" s="42">
        <f>'[2]поточний ремонт'!AE318+'[1]поточний ремонт'!AE318</f>
        <v>1570.4579300707926</v>
      </c>
      <c r="AF318" s="42">
        <f>'[2]поточний ремонт'!AF318+'[1]поточний ремонт'!AF318</f>
        <v>0</v>
      </c>
      <c r="AG318" s="5"/>
      <c r="AH318" s="42">
        <f>'[2]поточний ремонт'!AH318+'[1]поточний ремонт'!AH318</f>
        <v>2024.1981468637844</v>
      </c>
      <c r="AI318" s="42">
        <f>'[2]поточний ремонт'!AI318+'[1]поточний ремонт'!AI318</f>
        <v>2928.2496433445322</v>
      </c>
      <c r="AJ318" s="5"/>
      <c r="AK318" s="42">
        <f>'[2]поточний ремонт'!AK318+'[1]поточний ремонт'!AK318</f>
        <v>2217.1068286295649</v>
      </c>
      <c r="AL318" s="42">
        <f>'[2]поточний ремонт'!AL318+'[1]поточний ремонт'!AL318</f>
        <v>0</v>
      </c>
      <c r="AM318" s="5"/>
      <c r="AN318" s="42">
        <f>'[2]поточний ремонт'!AN318+'[1]поточний ремонт'!AN318</f>
        <v>688.05662007960314</v>
      </c>
      <c r="AO318" s="42">
        <f>'[2]поточний ремонт'!AO318+'[1]поточний ремонт'!AO318</f>
        <v>0</v>
      </c>
      <c r="AP318" s="5"/>
      <c r="AQ318" s="42">
        <f>'[2]поточний ремонт'!AQ318+'[1]поточний ремонт'!AQ318</f>
        <v>415.80905432125786</v>
      </c>
      <c r="AR318" s="42">
        <f>'[2]поточний ремонт'!AR318+'[1]поточний ремонт'!AR318</f>
        <v>0</v>
      </c>
      <c r="AS318" s="5"/>
      <c r="AT318" s="42">
        <f>'[2]поточний ремонт'!AT318+'[1]поточний ремонт'!AT318</f>
        <v>1131.1518058953959</v>
      </c>
      <c r="AU318" s="42">
        <f>'[2]поточний ремонт'!AU318+'[1]поточний ремонт'!AU318</f>
        <v>0</v>
      </c>
      <c r="AV318" s="5"/>
      <c r="AW318" s="42">
        <f>'[2]поточний ремонт'!AW318+'[1]поточний ремонт'!AW318</f>
        <v>112.9351271028635</v>
      </c>
      <c r="AX318" s="42">
        <f>'[2]поточний ремонт'!AX318+'[1]поточний ремонт'!AX318</f>
        <v>0</v>
      </c>
      <c r="AY318" s="5"/>
      <c r="AZ318" s="42">
        <f t="shared" si="40"/>
        <v>8159.715512963262</v>
      </c>
      <c r="BA318" s="42">
        <f t="shared" si="41"/>
        <v>2928.2496433445322</v>
      </c>
      <c r="BB318" s="58">
        <f t="shared" si="42"/>
        <v>-5231.4658696187298</v>
      </c>
      <c r="BD318" s="2">
        <v>3</v>
      </c>
      <c r="BF318" s="29">
        <v>310.51241270860453</v>
      </c>
      <c r="BG318" s="318">
        <v>150000892</v>
      </c>
      <c r="BI318" s="104">
        <v>20.700000000000003</v>
      </c>
      <c r="BJ318" s="104">
        <f t="shared" si="46"/>
        <v>2.9117075400000001</v>
      </c>
      <c r="BK318" s="104">
        <v>23.873015977200005</v>
      </c>
      <c r="BL318" s="38"/>
      <c r="BM318" s="3"/>
      <c r="BN318" s="3">
        <v>0</v>
      </c>
      <c r="BP318" s="3"/>
      <c r="BQ318" s="3"/>
      <c r="BS318" s="42"/>
      <c r="BT318" s="42">
        <v>0</v>
      </c>
      <c r="BU318" s="958"/>
      <c r="BV318" s="41"/>
      <c r="BW318" s="42"/>
      <c r="BX318" s="36"/>
      <c r="BY318" s="76"/>
      <c r="BZ318" s="42">
        <v>0</v>
      </c>
      <c r="CA318" s="959"/>
      <c r="CB318" s="41"/>
      <c r="CC318" s="41">
        <v>0</v>
      </c>
      <c r="CD318" s="960"/>
      <c r="CE318" s="76">
        <v>0</v>
      </c>
      <c r="CF318" s="55"/>
      <c r="CG318" s="41">
        <v>0</v>
      </c>
      <c r="CH318" s="38">
        <v>23.873015977200005</v>
      </c>
      <c r="CI318" s="76">
        <v>0</v>
      </c>
      <c r="CJ318" s="55"/>
      <c r="CK318" s="955"/>
      <c r="CL318" s="950"/>
      <c r="CM318" s="955">
        <v>175</v>
      </c>
      <c r="CN318" s="950">
        <v>0</v>
      </c>
      <c r="CO318" s="76">
        <v>112.25788837353507</v>
      </c>
      <c r="CP318" s="42">
        <v>0</v>
      </c>
      <c r="CQ318" s="5"/>
      <c r="CR318" s="76">
        <v>150.06385378591031</v>
      </c>
      <c r="CS318" s="954">
        <v>0</v>
      </c>
      <c r="CT318" s="5"/>
      <c r="CU318" s="76">
        <v>188.13846267120391</v>
      </c>
      <c r="CV318" s="42">
        <v>0</v>
      </c>
      <c r="CW318" s="5"/>
      <c r="CX318" s="76">
        <v>62.566171058961658</v>
      </c>
      <c r="CY318" s="42">
        <v>0</v>
      </c>
      <c r="CZ318" s="5"/>
      <c r="DA318" s="76">
        <v>32.980617657691397</v>
      </c>
      <c r="DB318" s="42">
        <v>0</v>
      </c>
      <c r="DC318" s="5"/>
      <c r="DD318" s="76">
        <v>62.914727752333334</v>
      </c>
      <c r="DE318" s="42">
        <v>0</v>
      </c>
      <c r="DF318" s="5"/>
      <c r="DG318" s="76">
        <v>0</v>
      </c>
      <c r="DH318" s="42"/>
      <c r="DI318" s="5"/>
      <c r="DJ318" s="42">
        <v>608.92172129963558</v>
      </c>
      <c r="DK318" s="42">
        <f t="shared" si="47"/>
        <v>0</v>
      </c>
      <c r="DL318" s="58">
        <f t="shared" si="48"/>
        <v>-608.92172129963558</v>
      </c>
      <c r="DM318" s="2">
        <v>3</v>
      </c>
    </row>
    <row r="319" spans="1:117" ht="24.9" customHeight="1" x14ac:dyDescent="0.3">
      <c r="A319" s="318">
        <v>150000893</v>
      </c>
      <c r="B319" s="44" t="s">
        <v>314</v>
      </c>
      <c r="C319" s="956">
        <v>5</v>
      </c>
      <c r="D319" s="957" t="s">
        <v>454</v>
      </c>
      <c r="E319" s="949">
        <f>'побудинковий звіт'!E317</f>
        <v>2749.1</v>
      </c>
      <c r="F319" s="950">
        <f>'побудинковий звіт'!AS317</f>
        <v>57460.540573826547</v>
      </c>
      <c r="G319" s="950">
        <f t="shared" si="38"/>
        <v>196449.61890254536</v>
      </c>
      <c r="H319" s="950">
        <f t="shared" si="39"/>
        <v>138989.07832871881</v>
      </c>
      <c r="I319" s="42">
        <f>'[2]поточний ремонт'!I319+'[1]поточний ремонт'!I319</f>
        <v>4.95</v>
      </c>
      <c r="J319" s="42">
        <f>'[2]поточний ремонт'!J319+'[1]поточний ремонт'!J319</f>
        <v>3934.353742123526</v>
      </c>
      <c r="K319" s="958"/>
      <c r="L319" s="42">
        <f>'[2]поточний ремонт'!L319+'[1]поточний ремонт'!L319</f>
        <v>0</v>
      </c>
      <c r="M319" s="42">
        <f>'[2]поточний ремонт'!M319+'[1]поточний ремонт'!M319</f>
        <v>0</v>
      </c>
      <c r="N319" s="36"/>
      <c r="O319" s="42">
        <f>'[2]поточний ремонт'!O319+'[1]поточний ремонт'!O319</f>
        <v>133.30000000000001</v>
      </c>
      <c r="P319" s="42">
        <f>'[2]поточний ремонт'!P319+'[1]поточний ремонт'!P319</f>
        <v>54787</v>
      </c>
      <c r="Q319" s="959"/>
      <c r="R319" s="42">
        <f>'[2]поточний ремонт'!R319+'[1]поточний ремонт'!R319</f>
        <v>0</v>
      </c>
      <c r="S319" s="42">
        <f>'[2]поточний ремонт'!S319+'[1]поточний ремонт'!S319</f>
        <v>0</v>
      </c>
      <c r="T319" s="960"/>
      <c r="U319" s="42">
        <f>'[2]поточний ремонт'!U319+'[1]поточний ремонт'!U319</f>
        <v>0</v>
      </c>
      <c r="V319" s="42">
        <f>'[2]поточний ремонт'!V319+'[1]поточний ремонт'!V319</f>
        <v>0</v>
      </c>
      <c r="W319" s="42">
        <f>'[2]поточний ремонт'!W319+'[1]поточний ремонт'!W319</f>
        <v>0</v>
      </c>
      <c r="X319" s="42">
        <f>'[2]поточний ремонт'!X319+'[1]поточний ремонт'!X319</f>
        <v>679.46927909566364</v>
      </c>
      <c r="Y319" s="42">
        <f>'[2]поточний ремонт'!Y319+'[1]поточний ремонт'!Y319</f>
        <v>0</v>
      </c>
      <c r="Z319" s="42">
        <f>'[2]поточний ремонт'!Z319+'[1]поточний ремонт'!Z319</f>
        <v>0</v>
      </c>
      <c r="AA319" s="42">
        <f>'[2]поточний ремонт'!AA319+'[1]поточний ремонт'!AA319</f>
        <v>0</v>
      </c>
      <c r="AB319" s="42">
        <f>'[2]поточний ремонт'!AB319+'[1]поточний ремонт'!AB319</f>
        <v>132.05404403729605</v>
      </c>
      <c r="AC319" s="42">
        <f>'[2]поточний ремонт'!AC319+'[1]поточний ремонт'!AC319</f>
        <v>949.28888561811812</v>
      </c>
      <c r="AD319" s="42">
        <f>'[2]поточний ремонт'!AD319+'[1]поточний ремонт'!AD319</f>
        <v>135967.45295167077</v>
      </c>
      <c r="AE319" s="42">
        <f>'[2]поточний ремонт'!AE319+'[1]поточний ремонт'!AE319</f>
        <v>1902.8399914075915</v>
      </c>
      <c r="AF319" s="42">
        <f>'[2]поточний ремонт'!AF319+'[1]поточний ремонт'!AF319</f>
        <v>2157.9286421498714</v>
      </c>
      <c r="AG319" s="5"/>
      <c r="AH319" s="42">
        <f>'[2]поточний ремонт'!AH319+'[1]поточний ремонт'!AH319</f>
        <v>2679.7445791159671</v>
      </c>
      <c r="AI319" s="42">
        <f>'[2]поточний ремонт'!AI319+'[1]поточний ремонт'!AI319</f>
        <v>3313.1726554984525</v>
      </c>
      <c r="AJ319" s="5"/>
      <c r="AK319" s="42">
        <f>'[2]поточний ремонт'!AK319+'[1]поточний ремонт'!AK319</f>
        <v>1681.8779480321198</v>
      </c>
      <c r="AL319" s="42">
        <f>'[2]поточний ремонт'!AL319+'[1]поточний ремонт'!AL319</f>
        <v>9577.3779975041361</v>
      </c>
      <c r="AM319" s="5"/>
      <c r="AN319" s="42">
        <f>'[2]поточний ремонт'!AN319+'[1]поточний ремонт'!AN319</f>
        <v>0</v>
      </c>
      <c r="AO319" s="42">
        <f>'[2]поточний ремонт'!AO319+'[1]поточний ремонт'!AO319</f>
        <v>0</v>
      </c>
      <c r="AP319" s="5"/>
      <c r="AQ319" s="42">
        <f>'[2]поточний ремонт'!AQ319+'[1]поточний ремонт'!AQ319</f>
        <v>704.9788373799546</v>
      </c>
      <c r="AR319" s="42">
        <f>'[2]поточний ремонт'!AR319+'[1]поточний ремонт'!AR319</f>
        <v>0</v>
      </c>
      <c r="AS319" s="5"/>
      <c r="AT319" s="42">
        <f>'[2]поточний ремонт'!AT319+'[1]поточний ремонт'!AT319</f>
        <v>1394.7575701511798</v>
      </c>
      <c r="AU319" s="42">
        <f>'[2]поточний ремонт'!AU319+'[1]поточний ремонт'!AU319</f>
        <v>0</v>
      </c>
      <c r="AV319" s="5"/>
      <c r="AW319" s="42">
        <f>'[2]поточний ремонт'!AW319+'[1]поточний ремонт'!AW319</f>
        <v>75.290084735242345</v>
      </c>
      <c r="AX319" s="42">
        <f>'[2]поточний ремонт'!AX319+'[1]поточний ремонт'!AX319</f>
        <v>0</v>
      </c>
      <c r="AY319" s="5"/>
      <c r="AZ319" s="42">
        <f t="shared" si="40"/>
        <v>8439.489010822057</v>
      </c>
      <c r="BA319" s="42">
        <f t="shared" si="41"/>
        <v>15048.47929515246</v>
      </c>
      <c r="BB319" s="58">
        <f t="shared" si="42"/>
        <v>6608.9902843304026</v>
      </c>
      <c r="BD319" s="2">
        <v>3</v>
      </c>
      <c r="BF319" s="29">
        <v>259.08962729599887</v>
      </c>
      <c r="BG319" s="318">
        <v>150000893</v>
      </c>
      <c r="BI319" s="104">
        <v>49.81</v>
      </c>
      <c r="BJ319" s="104">
        <f t="shared" si="46"/>
        <v>7.0063841819999997</v>
      </c>
      <c r="BK319" s="104">
        <v>57.445165498760005</v>
      </c>
      <c r="BL319" s="38"/>
      <c r="BM319" s="3"/>
      <c r="BN319" s="3">
        <v>0</v>
      </c>
      <c r="BP319" s="3"/>
      <c r="BQ319" s="3"/>
      <c r="BS319" s="42"/>
      <c r="BT319" s="42">
        <v>0</v>
      </c>
      <c r="BU319" s="958"/>
      <c r="BV319" s="41"/>
      <c r="BW319" s="42"/>
      <c r="BX319" s="36"/>
      <c r="BY319" s="76"/>
      <c r="BZ319" s="42">
        <v>0</v>
      </c>
      <c r="CA319" s="959"/>
      <c r="CB319" s="41"/>
      <c r="CC319" s="41">
        <v>0</v>
      </c>
      <c r="CD319" s="960"/>
      <c r="CE319" s="76">
        <v>0</v>
      </c>
      <c r="CF319" s="55"/>
      <c r="CG319" s="41">
        <v>0</v>
      </c>
      <c r="CH319" s="38">
        <v>57.445165498760005</v>
      </c>
      <c r="CI319" s="76">
        <v>0</v>
      </c>
      <c r="CJ319" s="55"/>
      <c r="CK319" s="955"/>
      <c r="CL319" s="950"/>
      <c r="CM319" s="955">
        <v>948</v>
      </c>
      <c r="CN319" s="950">
        <v>125987.51986428098</v>
      </c>
      <c r="CO319" s="76">
        <v>146.87660318669305</v>
      </c>
      <c r="CP319" s="42">
        <v>2155.2451572637501</v>
      </c>
      <c r="CQ319" s="5"/>
      <c r="CR319" s="76">
        <v>214.22856880012804</v>
      </c>
      <c r="CS319" s="954">
        <v>0</v>
      </c>
      <c r="CT319" s="5"/>
      <c r="CU319" s="76">
        <v>135.22197275260763</v>
      </c>
      <c r="CV319" s="42">
        <v>0</v>
      </c>
      <c r="CW319" s="5"/>
      <c r="CX319" s="76">
        <v>0</v>
      </c>
      <c r="CY319" s="42">
        <v>0</v>
      </c>
      <c r="CZ319" s="5"/>
      <c r="DA319" s="76">
        <v>59.973570119372766</v>
      </c>
      <c r="DB319" s="42">
        <v>0</v>
      </c>
      <c r="DC319" s="5"/>
      <c r="DD319" s="76">
        <v>91.376169094201273</v>
      </c>
      <c r="DE319" s="42">
        <v>0</v>
      </c>
      <c r="DF319" s="5"/>
      <c r="DG319" s="76">
        <v>0</v>
      </c>
      <c r="DH319" s="42"/>
      <c r="DI319" s="5"/>
      <c r="DJ319" s="42">
        <v>647.67688395300274</v>
      </c>
      <c r="DK319" s="42">
        <f t="shared" si="47"/>
        <v>2155.2451572637501</v>
      </c>
      <c r="DL319" s="58">
        <f t="shared" si="48"/>
        <v>1507.5682733107474</v>
      </c>
      <c r="DM319" s="2">
        <v>3</v>
      </c>
    </row>
    <row r="320" spans="1:117" ht="24.9" customHeight="1" x14ac:dyDescent="0.3">
      <c r="A320" s="318">
        <v>150000894</v>
      </c>
      <c r="B320" s="44" t="s">
        <v>315</v>
      </c>
      <c r="C320" s="956">
        <v>5</v>
      </c>
      <c r="D320" s="957" t="s">
        <v>454</v>
      </c>
      <c r="E320" s="949">
        <f>'побудинковий звіт'!E318</f>
        <v>4409.3999999999996</v>
      </c>
      <c r="F320" s="950">
        <f>'побудинковий звіт'!AS318</f>
        <v>64469.368312141305</v>
      </c>
      <c r="G320" s="950">
        <f t="shared" si="38"/>
        <v>8958.4292543109586</v>
      </c>
      <c r="H320" s="950">
        <f t="shared" si="39"/>
        <v>-55510.939057830343</v>
      </c>
      <c r="I320" s="42">
        <f>'[2]поточний ремонт'!I320+'[1]поточний ремонт'!I320</f>
        <v>0</v>
      </c>
      <c r="J320" s="42">
        <f>'[2]поточний ремонт'!J320+'[1]поточний ремонт'!J320</f>
        <v>0</v>
      </c>
      <c r="K320" s="958"/>
      <c r="L320" s="42">
        <f>'[2]поточний ремонт'!L320+'[1]поточний ремонт'!L320</f>
        <v>0</v>
      </c>
      <c r="M320" s="42">
        <f>'[2]поточний ремонт'!M320+'[1]поточний ремонт'!M320</f>
        <v>0</v>
      </c>
      <c r="N320" s="970"/>
      <c r="O320" s="42">
        <f>'[2]поточний ремонт'!O320+'[1]поточний ремонт'!O320</f>
        <v>0</v>
      </c>
      <c r="P320" s="42">
        <f>'[2]поточний ремонт'!P320+'[1]поточний ремонт'!P320</f>
        <v>0</v>
      </c>
      <c r="Q320" s="959"/>
      <c r="R320" s="42">
        <f>'[2]поточний ремонт'!R320+'[1]поточний ремонт'!R320</f>
        <v>0</v>
      </c>
      <c r="S320" s="42">
        <f>'[2]поточний ремонт'!S320+'[1]поточний ремонт'!S320</f>
        <v>0</v>
      </c>
      <c r="T320" s="960"/>
      <c r="U320" s="42">
        <f>'[2]поточний ремонт'!U320+'[1]поточний ремонт'!U320</f>
        <v>0</v>
      </c>
      <c r="V320" s="42">
        <f>'[2]поточний ремонт'!V320+'[1]поточний ремонт'!V320</f>
        <v>0</v>
      </c>
      <c r="W320" s="42">
        <f>'[2]поточний ремонт'!W320+'[1]поточний ремонт'!W320</f>
        <v>0</v>
      </c>
      <c r="X320" s="42">
        <f>'[2]поточний ремонт'!X320+'[1]поточний ремонт'!X320</f>
        <v>0</v>
      </c>
      <c r="Y320" s="42">
        <f>'[2]поточний ремонт'!Y320+'[1]поточний ремонт'!Y320</f>
        <v>3976.2551442193744</v>
      </c>
      <c r="Z320" s="42">
        <f>'[2]поточний ремонт'!Z320+'[1]поточний ремонт'!Z320</f>
        <v>0</v>
      </c>
      <c r="AA320" s="42">
        <f>'[2]поточний ремонт'!AA320+'[1]поточний ремонт'!AA320</f>
        <v>0</v>
      </c>
      <c r="AB320" s="42">
        <f>'[2]поточний ремонт'!AB320+'[1]поточний ремонт'!AB320</f>
        <v>4066</v>
      </c>
      <c r="AC320" s="42">
        <f>'[2]поточний ремонт'!AC320+'[1]поточний ремонт'!AC320</f>
        <v>249</v>
      </c>
      <c r="AD320" s="42">
        <f>'[2]поточний ремонт'!AD320+'[1]поточний ремонт'!AD320</f>
        <v>667.17411009158468</v>
      </c>
      <c r="AE320" s="42">
        <f>'[2]поточний ремонт'!AE320+'[1]поточний ремонт'!AE320</f>
        <v>2679.2472458473012</v>
      </c>
      <c r="AF320" s="42">
        <f>'[2]поточний ремонт'!AF320+'[1]поточний ремонт'!AF320</f>
        <v>0</v>
      </c>
      <c r="AG320" s="5"/>
      <c r="AH320" s="42">
        <f>'[2]поточний ремонт'!AH320+'[1]поточний ремонт'!AH320</f>
        <v>4563.7054838607855</v>
      </c>
      <c r="AI320" s="42">
        <f>'[2]поточний ремонт'!AI320+'[1]поточний ремонт'!AI320</f>
        <v>944.70188941412084</v>
      </c>
      <c r="AJ320" s="5"/>
      <c r="AK320" s="42">
        <f>'[2]поточний ремонт'!AK320+'[1]поточний ремонт'!AK320</f>
        <v>2177.748967732794</v>
      </c>
      <c r="AL320" s="42">
        <f>'[2]поточний ремонт'!AL320+'[1]поточний ремонт'!AL320</f>
        <v>779.56306004609996</v>
      </c>
      <c r="AM320" s="5"/>
      <c r="AN320" s="42">
        <f>'[2]поточний ремонт'!AN320+'[1]поточний ремонт'!AN320</f>
        <v>0</v>
      </c>
      <c r="AO320" s="42">
        <f>'[2]поточний ремонт'!AO320+'[1]поточний ремонт'!AO320</f>
        <v>0</v>
      </c>
      <c r="AP320" s="5"/>
      <c r="AQ320" s="42">
        <f>'[2]поточний ремонт'!AQ320+'[1]поточний ремонт'!AQ320</f>
        <v>1018.6275443899858</v>
      </c>
      <c r="AR320" s="42">
        <f>'[2]поточний ремонт'!AR320+'[1]поточний ремонт'!AR320</f>
        <v>0</v>
      </c>
      <c r="AS320" s="5"/>
      <c r="AT320" s="42">
        <f>'[2]поточний ремонт'!AT320+'[1]поточний ремонт'!AT320</f>
        <v>2154.6085188825455</v>
      </c>
      <c r="AU320" s="42">
        <f>'[2]поточний ремонт'!AU320+'[1]поточний ремонт'!AU320</f>
        <v>0</v>
      </c>
      <c r="AV320" s="5"/>
      <c r="AW320" s="42">
        <f>'[2]поточний ремонт'!AW320+'[1]поточний ремонт'!AW320</f>
        <v>112.9351271028635</v>
      </c>
      <c r="AX320" s="42">
        <f>'[2]поточний ремонт'!AX320+'[1]поточний ремонт'!AX320</f>
        <v>11687.024298487751</v>
      </c>
      <c r="AY320" s="5"/>
      <c r="AZ320" s="42">
        <f t="shared" si="40"/>
        <v>12706.872887816275</v>
      </c>
      <c r="BA320" s="42">
        <f t="shared" si="41"/>
        <v>13411.289247947972</v>
      </c>
      <c r="BB320" s="58">
        <f t="shared" si="42"/>
        <v>704.41636013169773</v>
      </c>
      <c r="BD320" s="2">
        <v>3</v>
      </c>
      <c r="BF320" s="29">
        <v>318.82678400585519</v>
      </c>
      <c r="BG320" s="318">
        <v>150000894</v>
      </c>
      <c r="BI320" s="104">
        <v>0</v>
      </c>
      <c r="BJ320" s="104">
        <f t="shared" si="46"/>
        <v>0</v>
      </c>
      <c r="BK320" s="104">
        <v>0</v>
      </c>
      <c r="BL320" s="38"/>
      <c r="BM320" s="3"/>
      <c r="BN320" s="3">
        <v>0</v>
      </c>
      <c r="BP320" s="3"/>
      <c r="BQ320" s="3"/>
      <c r="BS320" s="42"/>
      <c r="BT320" s="42">
        <v>0</v>
      </c>
      <c r="BU320" s="958"/>
      <c r="BV320" s="41"/>
      <c r="BW320" s="42"/>
      <c r="BX320" s="970"/>
      <c r="BY320" s="76"/>
      <c r="BZ320" s="42">
        <v>0</v>
      </c>
      <c r="CA320" s="959"/>
      <c r="CB320" s="41"/>
      <c r="CC320" s="41">
        <v>0</v>
      </c>
      <c r="CD320" s="960"/>
      <c r="CE320" s="76">
        <v>0</v>
      </c>
      <c r="CF320" s="55"/>
      <c r="CG320" s="41">
        <v>0</v>
      </c>
      <c r="CH320" s="38">
        <v>0</v>
      </c>
      <c r="CI320" s="76">
        <v>1944.3194964628251</v>
      </c>
      <c r="CJ320" s="55"/>
      <c r="CK320" s="955"/>
      <c r="CL320" s="950"/>
      <c r="CM320" s="955"/>
      <c r="CN320" s="950">
        <v>0</v>
      </c>
      <c r="CO320" s="76">
        <v>217.08367405564661</v>
      </c>
      <c r="CP320" s="42">
        <v>0</v>
      </c>
      <c r="CQ320" s="5"/>
      <c r="CR320" s="76">
        <v>365.36702855559076</v>
      </c>
      <c r="CS320" s="954">
        <v>0</v>
      </c>
      <c r="CT320" s="5"/>
      <c r="CU320" s="76">
        <v>178.67231461196195</v>
      </c>
      <c r="CV320" s="42">
        <v>0</v>
      </c>
      <c r="CW320" s="5"/>
      <c r="CX320" s="76">
        <v>0</v>
      </c>
      <c r="CY320" s="42">
        <v>0</v>
      </c>
      <c r="CZ320" s="5"/>
      <c r="DA320" s="76">
        <v>89.936084793916109</v>
      </c>
      <c r="DB320" s="42">
        <v>0</v>
      </c>
      <c r="DC320" s="5"/>
      <c r="DD320" s="76">
        <v>163.44044104798181</v>
      </c>
      <c r="DE320" s="42">
        <v>0</v>
      </c>
      <c r="DF320" s="5"/>
      <c r="DG320" s="76">
        <v>0</v>
      </c>
      <c r="DH320" s="42"/>
      <c r="DI320" s="5"/>
      <c r="DJ320" s="42">
        <v>1014.4995430650973</v>
      </c>
      <c r="DK320" s="42">
        <f t="shared" si="47"/>
        <v>0</v>
      </c>
      <c r="DL320" s="58">
        <f t="shared" si="48"/>
        <v>-1014.4995430650973</v>
      </c>
      <c r="DM320" s="2">
        <v>3</v>
      </c>
    </row>
    <row r="321" spans="1:117" ht="24.9" customHeight="1" x14ac:dyDescent="0.3">
      <c r="A321" s="318">
        <v>150000895</v>
      </c>
      <c r="B321" s="44" t="s">
        <v>316</v>
      </c>
      <c r="C321" s="956">
        <v>5</v>
      </c>
      <c r="D321" s="957" t="s">
        <v>454</v>
      </c>
      <c r="E321" s="949">
        <f>'побудинковий звіт'!E319</f>
        <v>2741.6</v>
      </c>
      <c r="F321" s="950">
        <f>'побудинковий звіт'!AS319</f>
        <v>48488.269696839692</v>
      </c>
      <c r="G321" s="950">
        <f t="shared" si="38"/>
        <v>2632.7352126046358</v>
      </c>
      <c r="H321" s="950">
        <f t="shared" si="39"/>
        <v>-45855.534484235053</v>
      </c>
      <c r="I321" s="42">
        <f>'[2]поточний ремонт'!I321+'[1]поточний ремонт'!I321</f>
        <v>0</v>
      </c>
      <c r="J321" s="42">
        <f>'[2]поточний ремонт'!J321+'[1]поточний ремонт'!J321</f>
        <v>0</v>
      </c>
      <c r="K321" s="958"/>
      <c r="L321" s="42">
        <f>'[2]поточний ремонт'!L321+'[1]поточний ремонт'!L321</f>
        <v>0</v>
      </c>
      <c r="M321" s="42">
        <f>'[2]поточний ремонт'!M321+'[1]поточний ремонт'!M321</f>
        <v>0</v>
      </c>
      <c r="N321" s="36"/>
      <c r="O321" s="42">
        <f>'[2]поточний ремонт'!O321+'[1]поточний ремонт'!O321</f>
        <v>0</v>
      </c>
      <c r="P321" s="42">
        <f>'[2]поточний ремонт'!P321+'[1]поточний ремонт'!P321</f>
        <v>0</v>
      </c>
      <c r="Q321" s="959"/>
      <c r="R321" s="42">
        <f>'[2]поточний ремонт'!R321+'[1]поточний ремонт'!R321</f>
        <v>0</v>
      </c>
      <c r="S321" s="42">
        <f>'[2]поточний ремонт'!S321+'[1]поточний ремонт'!S321</f>
        <v>0</v>
      </c>
      <c r="T321" s="960"/>
      <c r="U321" s="42">
        <f>'[2]поточний ремонт'!U321+'[1]поточний ремонт'!U321</f>
        <v>0</v>
      </c>
      <c r="V321" s="42">
        <f>'[2]поточний ремонт'!V321+'[1]поточний ремонт'!V321</f>
        <v>0</v>
      </c>
      <c r="W321" s="42">
        <f>'[2]поточний ремонт'!W321+'[1]поточний ремонт'!W321</f>
        <v>0</v>
      </c>
      <c r="X321" s="42">
        <f>'[2]поточний ремонт'!X321+'[1]поточний ремонт'!X321</f>
        <v>654.78761925100321</v>
      </c>
      <c r="Y321" s="42">
        <f>'[2]поточний ремонт'!Y321+'[1]поточний ремонт'!Y321</f>
        <v>0</v>
      </c>
      <c r="Z321" s="42">
        <f>'[2]поточний ремонт'!Z321+'[1]поточний ремонт'!Z321</f>
        <v>0</v>
      </c>
      <c r="AA321" s="42">
        <f>'[2]поточний ремонт'!AA321+'[1]поточний ремонт'!AA321</f>
        <v>0</v>
      </c>
      <c r="AB321" s="42">
        <f>'[2]поточний ремонт'!AB321+'[1]поточний ремонт'!AB321</f>
        <v>0</v>
      </c>
      <c r="AC321" s="42">
        <f>'[2]поточний ремонт'!AC321+'[1]поточний ремонт'!AC321</f>
        <v>0</v>
      </c>
      <c r="AD321" s="42">
        <f>'[2]поточний ремонт'!AD321+'[1]поточний ремонт'!AD321</f>
        <v>1977.9475933536326</v>
      </c>
      <c r="AE321" s="42">
        <f>'[2]поточний ремонт'!AE321+'[1]поточний ремонт'!AE321</f>
        <v>1767.972849370607</v>
      </c>
      <c r="AF321" s="42">
        <f>'[2]поточний ремонт'!AF321+'[1]поточний ремонт'!AF321</f>
        <v>0</v>
      </c>
      <c r="AG321" s="5"/>
      <c r="AH321" s="42">
        <f>'[2]поточний ремонт'!AH321+'[1]поточний ремонт'!AH321</f>
        <v>2704.6804709209891</v>
      </c>
      <c r="AI321" s="42">
        <f>'[2]поточний ремонт'!AI321+'[1]поточний ремонт'!AI321</f>
        <v>1258.4046860032297</v>
      </c>
      <c r="AJ321" s="5"/>
      <c r="AK321" s="42">
        <f>'[2]поточний ремонт'!AK321+'[1]поточний ремонт'!AK321</f>
        <v>1637.4636003548358</v>
      </c>
      <c r="AL321" s="42">
        <f>'[2]поточний ремонт'!AL321+'[1]поточний ремонт'!AL321</f>
        <v>2901.7891789117189</v>
      </c>
      <c r="AM321" s="5"/>
      <c r="AN321" s="42">
        <f>'[2]поточний ремонт'!AN321+'[1]поточний ремонт'!AN321</f>
        <v>0</v>
      </c>
      <c r="AO321" s="42">
        <f>'[2]поточний ремонт'!AO321+'[1]поточний ремонт'!AO321</f>
        <v>0</v>
      </c>
      <c r="AP321" s="5"/>
      <c r="AQ321" s="42">
        <f>'[2]поточний ремонт'!AQ321+'[1]поточний ремонт'!AQ321</f>
        <v>110.27308797143304</v>
      </c>
      <c r="AR321" s="42">
        <f>'[2]поточний ремонт'!AR321+'[1]поточний ремонт'!AR321</f>
        <v>0</v>
      </c>
      <c r="AS321" s="5"/>
      <c r="AT321" s="42">
        <f>'[2]поточний ремонт'!AT321+'[1]поточний ремонт'!AT321</f>
        <v>1359.4804375389833</v>
      </c>
      <c r="AU321" s="42">
        <f>'[2]поточний ремонт'!AU321+'[1]поточний ремонт'!AU321</f>
        <v>179.7251651707027</v>
      </c>
      <c r="AV321" s="9"/>
      <c r="AW321" s="42">
        <f>'[2]поточний ремонт'!AW321+'[1]поточний ремонт'!AW321</f>
        <v>75.290084735242345</v>
      </c>
      <c r="AX321" s="42">
        <f>'[2]поточний ремонт'!AX321+'[1]поточний ремонт'!AX321</f>
        <v>3089.3021136974285</v>
      </c>
      <c r="AY321" s="5"/>
      <c r="AZ321" s="42">
        <f t="shared" si="40"/>
        <v>7655.1605308920898</v>
      </c>
      <c r="BA321" s="42">
        <f t="shared" si="41"/>
        <v>7429.2211437830802</v>
      </c>
      <c r="BB321" s="58">
        <f t="shared" si="42"/>
        <v>-225.93938710900966</v>
      </c>
      <c r="BD321" s="2">
        <v>3</v>
      </c>
      <c r="BF321" s="29">
        <v>204.93266073825544</v>
      </c>
      <c r="BG321" s="318">
        <v>150000895</v>
      </c>
      <c r="BI321" s="104">
        <v>0</v>
      </c>
      <c r="BJ321" s="104">
        <f t="shared" si="46"/>
        <v>0</v>
      </c>
      <c r="BK321" s="104">
        <v>0</v>
      </c>
      <c r="BL321" s="38"/>
      <c r="BM321" s="3"/>
      <c r="BN321" s="3">
        <v>0</v>
      </c>
      <c r="BP321" s="3"/>
      <c r="BQ321" s="3"/>
      <c r="BS321" s="42"/>
      <c r="BT321" s="42">
        <v>0</v>
      </c>
      <c r="BU321" s="958"/>
      <c r="BV321" s="41"/>
      <c r="BW321" s="42"/>
      <c r="BX321" s="36"/>
      <c r="BY321" s="76"/>
      <c r="BZ321" s="42">
        <v>0</v>
      </c>
      <c r="CA321" s="959"/>
      <c r="CB321" s="41"/>
      <c r="CC321" s="41">
        <v>0</v>
      </c>
      <c r="CD321" s="960"/>
      <c r="CE321" s="76">
        <v>0</v>
      </c>
      <c r="CF321" s="55"/>
      <c r="CG321" s="41">
        <v>0</v>
      </c>
      <c r="CH321" s="38">
        <v>0</v>
      </c>
      <c r="CI321" s="76">
        <v>0</v>
      </c>
      <c r="CJ321" s="55"/>
      <c r="CK321" s="955"/>
      <c r="CL321" s="950"/>
      <c r="CM321" s="955"/>
      <c r="CN321" s="950">
        <v>0</v>
      </c>
      <c r="CO321" s="76">
        <v>145.18133440108824</v>
      </c>
      <c r="CP321" s="42">
        <v>0</v>
      </c>
      <c r="CQ321" s="5"/>
      <c r="CR321" s="76">
        <v>211.90753054225883</v>
      </c>
      <c r="CS321" s="954">
        <v>0</v>
      </c>
      <c r="CT321" s="5"/>
      <c r="CU321" s="76">
        <v>130.86555441877127</v>
      </c>
      <c r="CV321" s="42">
        <v>0</v>
      </c>
      <c r="CW321" s="5"/>
      <c r="CX321" s="76">
        <v>0</v>
      </c>
      <c r="CY321" s="42">
        <v>0</v>
      </c>
      <c r="CZ321" s="5"/>
      <c r="DA321" s="76">
        <v>0</v>
      </c>
      <c r="DB321" s="42">
        <v>0</v>
      </c>
      <c r="DC321" s="5"/>
      <c r="DD321" s="76">
        <v>89.038822321432818</v>
      </c>
      <c r="DE321" s="42">
        <v>0</v>
      </c>
      <c r="DF321" s="9"/>
      <c r="DG321" s="76">
        <v>0</v>
      </c>
      <c r="DH321" s="42"/>
      <c r="DI321" s="5"/>
      <c r="DJ321" s="42">
        <v>576.9932416835511</v>
      </c>
      <c r="DK321" s="42">
        <f t="shared" si="47"/>
        <v>0</v>
      </c>
      <c r="DL321" s="58">
        <f t="shared" si="48"/>
        <v>-576.9932416835511</v>
      </c>
      <c r="DM321" s="2">
        <v>3</v>
      </c>
    </row>
    <row r="322" spans="1:117" ht="24.9" customHeight="1" x14ac:dyDescent="0.3">
      <c r="A322" s="318">
        <v>150000922</v>
      </c>
      <c r="B322" s="44" t="s">
        <v>401</v>
      </c>
      <c r="C322" s="956">
        <v>9</v>
      </c>
      <c r="D322" s="957" t="s">
        <v>454</v>
      </c>
      <c r="E322" s="949">
        <f>'побудинковий звіт'!E320</f>
        <v>4244.42</v>
      </c>
      <c r="F322" s="950">
        <f>'побудинковий звіт'!AS320</f>
        <v>70958.162017545197</v>
      </c>
      <c r="G322" s="950">
        <f t="shared" si="38"/>
        <v>72.747629616974706</v>
      </c>
      <c r="H322" s="950">
        <f t="shared" si="39"/>
        <v>-70885.41438792822</v>
      </c>
      <c r="I322" s="42">
        <f>'[2]поточний ремонт'!I322+'[1]поточний ремонт'!I322</f>
        <v>0</v>
      </c>
      <c r="J322" s="42">
        <f>'[2]поточний ремонт'!J322+'[1]поточний ремонт'!J322</f>
        <v>0</v>
      </c>
      <c r="K322" s="962"/>
      <c r="L322" s="42">
        <f>'[2]поточний ремонт'!L322+'[1]поточний ремонт'!L322</f>
        <v>0</v>
      </c>
      <c r="M322" s="42">
        <f>'[2]поточний ремонт'!M322+'[1]поточний ремонт'!M322</f>
        <v>0</v>
      </c>
      <c r="N322" s="36"/>
      <c r="O322" s="42">
        <f>'[2]поточний ремонт'!O322+'[1]поточний ремонт'!O322</f>
        <v>0</v>
      </c>
      <c r="P322" s="42">
        <f>'[2]поточний ремонт'!P322+'[1]поточний ремонт'!P322</f>
        <v>0</v>
      </c>
      <c r="Q322" s="959"/>
      <c r="R322" s="42">
        <f>'[2]поточний ремонт'!R322+'[1]поточний ремонт'!R322</f>
        <v>0</v>
      </c>
      <c r="S322" s="42">
        <f>'[2]поточний ремонт'!S322+'[1]поточний ремонт'!S322</f>
        <v>0</v>
      </c>
      <c r="T322" s="967"/>
      <c r="U322" s="42">
        <f>'[2]поточний ремонт'!U322+'[1]поточний ремонт'!U322</f>
        <v>0</v>
      </c>
      <c r="V322" s="42">
        <f>'[2]поточний ремонт'!V322+'[1]поточний ремонт'!V322</f>
        <v>0</v>
      </c>
      <c r="W322" s="42">
        <f>'[2]поточний ремонт'!W322+'[1]поточний ремонт'!W322</f>
        <v>0</v>
      </c>
      <c r="X322" s="42">
        <f>'[2]поточний ремонт'!X322+'[1]поточний ремонт'!X322</f>
        <v>72.747629616974706</v>
      </c>
      <c r="Y322" s="42">
        <f>'[2]поточний ремонт'!Y322+'[1]поточний ремонт'!Y322</f>
        <v>0</v>
      </c>
      <c r="Z322" s="42">
        <f>'[2]поточний ремонт'!Z322+'[1]поточний ремонт'!Z322</f>
        <v>0</v>
      </c>
      <c r="AA322" s="42">
        <f>'[2]поточний ремонт'!AA322+'[1]поточний ремонт'!AA322</f>
        <v>0</v>
      </c>
      <c r="AB322" s="42">
        <f>'[2]поточний ремонт'!AB322+'[1]поточний ремонт'!AB322</f>
        <v>0</v>
      </c>
      <c r="AC322" s="42">
        <f>'[2]поточний ремонт'!AC322+'[1]поточний ремонт'!AC322</f>
        <v>0</v>
      </c>
      <c r="AD322" s="42">
        <f>'[2]поточний ремонт'!AD322+'[1]поточний ремонт'!AD322</f>
        <v>0</v>
      </c>
      <c r="AE322" s="42">
        <f>'[2]поточний ремонт'!AE322+'[1]поточний ремонт'!AE322</f>
        <v>1595.8047854839178</v>
      </c>
      <c r="AF322" s="42">
        <f>'[2]поточний ремонт'!AF322+'[1]поточний ремонт'!AF322</f>
        <v>0</v>
      </c>
      <c r="AG322" s="5"/>
      <c r="AH322" s="42">
        <f>'[2]поточний ремонт'!AH322+'[1]поточний ремонт'!AH322</f>
        <v>2024.3840788982084</v>
      </c>
      <c r="AI322" s="42">
        <f>'[2]поточний ремонт'!AI322+'[1]поточний ремонт'!AI322</f>
        <v>0</v>
      </c>
      <c r="AJ322" s="5"/>
      <c r="AK322" s="42">
        <f>'[2]поточний ремонт'!AK322+'[1]поточний ремонт'!AK322</f>
        <v>2331.8143540147403</v>
      </c>
      <c r="AL322" s="42">
        <f>'[2]поточний ремонт'!AL322+'[1]поточний ремонт'!AL322</f>
        <v>0</v>
      </c>
      <c r="AM322" s="5"/>
      <c r="AN322" s="42">
        <f>'[2]поточний ремонт'!AN322+'[1]поточний ремонт'!AN322</f>
        <v>703.5130777724678</v>
      </c>
      <c r="AO322" s="42">
        <f>'[2]поточний ремонт'!AO322+'[1]поточний ремонт'!AO322</f>
        <v>1112.8421518724895</v>
      </c>
      <c r="AP322" s="5"/>
      <c r="AQ322" s="42">
        <f>'[2]поточний ремонт'!AQ322+'[1]поточний ремонт'!AQ322</f>
        <v>434.18790231649672</v>
      </c>
      <c r="AR322" s="42">
        <f>'[2]поточний ремонт'!AR322+'[1]поточний ремонт'!AR322</f>
        <v>0</v>
      </c>
      <c r="AS322" s="5"/>
      <c r="AT322" s="42">
        <f>'[2]поточний ремонт'!AT322+'[1]поточний ремонт'!AT322</f>
        <v>1054.4290141878639</v>
      </c>
      <c r="AU322" s="42">
        <f>'[2]поточний ремонт'!AU322+'[1]поточний ремонт'!AU322</f>
        <v>0</v>
      </c>
      <c r="AV322" s="5"/>
      <c r="AW322" s="42">
        <f>'[2]поточний ремонт'!AW322+'[1]поточний ремонт'!AW322</f>
        <v>112.9351271028635</v>
      </c>
      <c r="AX322" s="42">
        <f>'[2]поточний ремонт'!AX322+'[1]поточний ремонт'!AX322</f>
        <v>0</v>
      </c>
      <c r="AY322" s="5"/>
      <c r="AZ322" s="42">
        <f t="shared" si="40"/>
        <v>8257.0683397765588</v>
      </c>
      <c r="BA322" s="42">
        <f t="shared" si="41"/>
        <v>1112.8421518724895</v>
      </c>
      <c r="BB322" s="58">
        <f t="shared" si="42"/>
        <v>-7144.2261879040689</v>
      </c>
      <c r="BD322" s="2">
        <v>3</v>
      </c>
      <c r="BF322" s="29">
        <v>322.81285747405406</v>
      </c>
      <c r="BG322" s="318">
        <v>150000922</v>
      </c>
      <c r="BI322" s="104">
        <v>0</v>
      </c>
      <c r="BJ322" s="104">
        <f t="shared" si="46"/>
        <v>0</v>
      </c>
      <c r="BK322" s="104">
        <v>0</v>
      </c>
      <c r="BL322" s="38"/>
      <c r="BM322" s="3"/>
      <c r="BN322" s="3">
        <v>0</v>
      </c>
      <c r="BP322" s="3"/>
      <c r="BQ322" s="3"/>
      <c r="BS322" s="42"/>
      <c r="BT322" s="42">
        <v>0</v>
      </c>
      <c r="BU322" s="962"/>
      <c r="BV322" s="41"/>
      <c r="BW322" s="42"/>
      <c r="BX322" s="36"/>
      <c r="BY322" s="76"/>
      <c r="BZ322" s="42">
        <v>0</v>
      </c>
      <c r="CA322" s="959"/>
      <c r="CB322" s="41"/>
      <c r="CC322" s="41">
        <v>0</v>
      </c>
      <c r="CD322" s="967"/>
      <c r="CE322" s="76">
        <v>0</v>
      </c>
      <c r="CF322" s="55"/>
      <c r="CG322" s="41">
        <v>0</v>
      </c>
      <c r="CH322" s="38">
        <v>0</v>
      </c>
      <c r="CI322" s="76">
        <v>0</v>
      </c>
      <c r="CJ322" s="55"/>
      <c r="CK322" s="955"/>
      <c r="CL322" s="950"/>
      <c r="CM322" s="955"/>
      <c r="CN322" s="950">
        <v>0</v>
      </c>
      <c r="CO322" s="76">
        <v>113.30852723468092</v>
      </c>
      <c r="CP322" s="42">
        <v>0</v>
      </c>
      <c r="CQ322" s="5"/>
      <c r="CR322" s="76">
        <v>151.14669366191487</v>
      </c>
      <c r="CS322" s="954">
        <v>0</v>
      </c>
      <c r="CT322" s="5"/>
      <c r="CU322" s="76">
        <v>192.75612865747021</v>
      </c>
      <c r="CV322" s="42">
        <v>0</v>
      </c>
      <c r="CW322" s="5"/>
      <c r="CX322" s="76">
        <v>64.104212851983064</v>
      </c>
      <c r="CY322" s="42">
        <v>0</v>
      </c>
      <c r="CZ322" s="5"/>
      <c r="DA322" s="76">
        <v>32.980617657691397</v>
      </c>
      <c r="DB322" s="42">
        <v>0</v>
      </c>
      <c r="DC322" s="5"/>
      <c r="DD322" s="76">
        <v>55.331891859087676</v>
      </c>
      <c r="DE322" s="42">
        <v>0</v>
      </c>
      <c r="DF322" s="5"/>
      <c r="DG322" s="76">
        <v>0</v>
      </c>
      <c r="DH322" s="42"/>
      <c r="DI322" s="5"/>
      <c r="DJ322" s="42">
        <v>609.62807192282821</v>
      </c>
      <c r="DK322" s="42">
        <f t="shared" si="47"/>
        <v>0</v>
      </c>
      <c r="DL322" s="58">
        <f t="shared" si="48"/>
        <v>-609.62807192282821</v>
      </c>
      <c r="DM322" s="2">
        <v>3</v>
      </c>
    </row>
    <row r="323" spans="1:117" ht="24.9" customHeight="1" x14ac:dyDescent="0.3">
      <c r="A323" s="318">
        <v>150000896</v>
      </c>
      <c r="B323" s="44" t="s">
        <v>317</v>
      </c>
      <c r="C323" s="956">
        <v>5</v>
      </c>
      <c r="D323" s="957" t="s">
        <v>454</v>
      </c>
      <c r="E323" s="949">
        <f>'побудинковий звіт'!E321</f>
        <v>2712.45</v>
      </c>
      <c r="F323" s="950">
        <f>'побудинковий звіт'!AS321</f>
        <v>47222.878727835901</v>
      </c>
      <c r="G323" s="950">
        <f t="shared" si="38"/>
        <v>3115.8148909528036</v>
      </c>
      <c r="H323" s="950">
        <f t="shared" si="39"/>
        <v>-44107.063836883099</v>
      </c>
      <c r="I323" s="42">
        <f>'[2]поточний ремонт'!I323+'[1]поточний ремонт'!I323</f>
        <v>0</v>
      </c>
      <c r="J323" s="42">
        <f>'[2]поточний ремонт'!J323+'[1]поточний ремонт'!J323</f>
        <v>0</v>
      </c>
      <c r="K323" s="958"/>
      <c r="L323" s="42">
        <f>'[2]поточний ремонт'!L323+'[1]поточний ремонт'!L323</f>
        <v>0</v>
      </c>
      <c r="M323" s="42">
        <f>'[2]поточний ремонт'!M323+'[1]поточний ремонт'!M323</f>
        <v>0</v>
      </c>
      <c r="N323" s="36"/>
      <c r="O323" s="42">
        <f>'[2]поточний ремонт'!O323+'[1]поточний ремонт'!O323</f>
        <v>0</v>
      </c>
      <c r="P323" s="42">
        <f>'[2]поточний ремонт'!P323+'[1]поточний ремонт'!P323</f>
        <v>0</v>
      </c>
      <c r="Q323" s="959"/>
      <c r="R323" s="42">
        <f>'[2]поточний ремонт'!R323+'[1]поточний ремонт'!R323</f>
        <v>0</v>
      </c>
      <c r="S323" s="42">
        <f>'[2]поточний ремонт'!S323+'[1]поточний ремонт'!S323</f>
        <v>0</v>
      </c>
      <c r="T323" s="960"/>
      <c r="U323" s="42">
        <f>'[2]поточний ремонт'!U323+'[1]поточний ремонт'!U323</f>
        <v>0</v>
      </c>
      <c r="V323" s="42">
        <f>'[2]поточний ремонт'!V323+'[1]поточний ремонт'!V323</f>
        <v>0</v>
      </c>
      <c r="W323" s="42">
        <f>'[2]поточний ремонт'!W323+'[1]поточний ремонт'!W323</f>
        <v>4</v>
      </c>
      <c r="X323" s="42">
        <f>'[2]поточний ремонт'!X323+'[1]поточний ремонт'!X323</f>
        <v>335.30433812114995</v>
      </c>
      <c r="Y323" s="42">
        <f>'[2]поточний ремонт'!Y323+'[1]поточний ремонт'!Y323</f>
        <v>489.05506470411859</v>
      </c>
      <c r="Z323" s="42">
        <f>'[2]поточний ремонт'!Z323+'[1]поточний ремонт'!Z323</f>
        <v>0</v>
      </c>
      <c r="AA323" s="42">
        <f>'[2]поточний ремонт'!AA323+'[1]поточний ремонт'!AA323</f>
        <v>0</v>
      </c>
      <c r="AB323" s="42">
        <f>'[2]поточний ремонт'!AB323+'[1]поточний ремонт'!AB323</f>
        <v>0</v>
      </c>
      <c r="AC323" s="42">
        <f>'[2]поточний ремонт'!AC323+'[1]поточний ремонт'!AC323</f>
        <v>0</v>
      </c>
      <c r="AD323" s="42">
        <f>'[2]поточний ремонт'!AD323+'[1]поточний ремонт'!AD323</f>
        <v>2291.4554881275353</v>
      </c>
      <c r="AE323" s="42">
        <f>'[2]поточний ремонт'!AE323+'[1]поточний ремонт'!AE323</f>
        <v>1820.2944749633878</v>
      </c>
      <c r="AF323" s="42">
        <f>'[2]поточний ремонт'!AF323+'[1]поточний ремонт'!AF323</f>
        <v>0</v>
      </c>
      <c r="AG323" s="5"/>
      <c r="AH323" s="42">
        <f>'[2]поточний ремонт'!AH323+'[1]поточний ремонт'!AH323</f>
        <v>2515.2580932036644</v>
      </c>
      <c r="AI323" s="42">
        <f>'[2]поточний ремонт'!AI323+'[1]поточний ремонт'!AI323</f>
        <v>1198.7071082293417</v>
      </c>
      <c r="AJ323" s="5"/>
      <c r="AK323" s="42">
        <f>'[2]поточний ремонт'!AK323+'[1]поточний ремонт'!AK323</f>
        <v>1834.0564348440162</v>
      </c>
      <c r="AL323" s="42">
        <f>'[2]поточний ремонт'!AL323+'[1]поточний ремонт'!AL323</f>
        <v>0</v>
      </c>
      <c r="AM323" s="5"/>
      <c r="AN323" s="42">
        <f>'[2]поточний ремонт'!AN323+'[1]поточний ремонт'!AN323</f>
        <v>0</v>
      </c>
      <c r="AO323" s="42">
        <f>'[2]поточний ремонт'!AO323+'[1]поточний ремонт'!AO323</f>
        <v>0</v>
      </c>
      <c r="AP323" s="5"/>
      <c r="AQ323" s="42">
        <f>'[2]поточний ремонт'!AQ323+'[1]поточний ремонт'!AQ323</f>
        <v>161.73386235810182</v>
      </c>
      <c r="AR323" s="42">
        <f>'[2]поточний ремонт'!AR323+'[1]поточний ремонт'!AR323</f>
        <v>0</v>
      </c>
      <c r="AS323" s="5"/>
      <c r="AT323" s="42">
        <f>'[2]поточний ремонт'!AT323+'[1]поточний ремонт'!AT323</f>
        <v>1559.5589949724233</v>
      </c>
      <c r="AU323" s="42">
        <f>'[2]поточний ремонт'!AU323+'[1]поточний ремонт'!AU323</f>
        <v>0</v>
      </c>
      <c r="AV323" s="5"/>
      <c r="AW323" s="42">
        <f>'[2]поточний ремонт'!AW323+'[1]поточний ремонт'!AW323</f>
        <v>75.290084735242345</v>
      </c>
      <c r="AX323" s="42">
        <f>'[2]поточний ремонт'!AX323+'[1]поточний ремонт'!AX323</f>
        <v>3529.4487595704632</v>
      </c>
      <c r="AY323" s="5"/>
      <c r="AZ323" s="42">
        <f t="shared" si="40"/>
        <v>7966.1919450768355</v>
      </c>
      <c r="BA323" s="42">
        <f t="shared" si="41"/>
        <v>4728.1558677998046</v>
      </c>
      <c r="BB323" s="58">
        <f t="shared" si="42"/>
        <v>-3238.0360772770309</v>
      </c>
      <c r="BD323" s="2">
        <v>3</v>
      </c>
      <c r="BF323" s="29">
        <v>202.73868897364929</v>
      </c>
      <c r="BG323" s="318">
        <v>150000896</v>
      </c>
      <c r="BI323" s="104">
        <v>12.45</v>
      </c>
      <c r="BJ323" s="104">
        <f t="shared" si="46"/>
        <v>1.7512443899999997</v>
      </c>
      <c r="BK323" s="104">
        <v>14.3584081602</v>
      </c>
      <c r="BL323" s="38"/>
      <c r="BM323" s="3"/>
      <c r="BN323" s="3">
        <v>0</v>
      </c>
      <c r="BP323" s="3"/>
      <c r="BQ323" s="3"/>
      <c r="BS323" s="42"/>
      <c r="BT323" s="42">
        <v>0</v>
      </c>
      <c r="BU323" s="958"/>
      <c r="BV323" s="41"/>
      <c r="BW323" s="42"/>
      <c r="BX323" s="36"/>
      <c r="BY323" s="76"/>
      <c r="BZ323" s="42">
        <v>0</v>
      </c>
      <c r="CA323" s="959"/>
      <c r="CB323" s="41"/>
      <c r="CC323" s="41">
        <v>0</v>
      </c>
      <c r="CD323" s="960"/>
      <c r="CE323" s="76">
        <v>0</v>
      </c>
      <c r="CF323" s="55"/>
      <c r="CG323" s="41">
        <v>0</v>
      </c>
      <c r="CH323" s="38">
        <v>14.3584081602</v>
      </c>
      <c r="CI323" s="76">
        <v>0</v>
      </c>
      <c r="CJ323" s="55"/>
      <c r="CK323" s="955"/>
      <c r="CL323" s="950"/>
      <c r="CM323" s="955"/>
      <c r="CN323" s="950">
        <v>0</v>
      </c>
      <c r="CO323" s="76">
        <v>147.71363374227175</v>
      </c>
      <c r="CP323" s="42">
        <v>0</v>
      </c>
      <c r="CQ323" s="5"/>
      <c r="CR323" s="76">
        <v>214.22856880012804</v>
      </c>
      <c r="CS323" s="954">
        <v>0</v>
      </c>
      <c r="CT323" s="5"/>
      <c r="CU323" s="76">
        <v>154.28806345941237</v>
      </c>
      <c r="CV323" s="42">
        <v>0</v>
      </c>
      <c r="CW323" s="5"/>
      <c r="CX323" s="76">
        <v>0</v>
      </c>
      <c r="CY323" s="42">
        <v>0</v>
      </c>
      <c r="CZ323" s="5"/>
      <c r="DA323" s="76">
        <v>0</v>
      </c>
      <c r="DB323" s="42">
        <v>0</v>
      </c>
      <c r="DC323" s="5"/>
      <c r="DD323" s="76">
        <v>107.80290851904593</v>
      </c>
      <c r="DE323" s="42">
        <v>0</v>
      </c>
      <c r="DF323" s="5"/>
      <c r="DG323" s="76">
        <v>0</v>
      </c>
      <c r="DH323" s="42"/>
      <c r="DI323" s="5"/>
      <c r="DJ323" s="42">
        <v>624.0331745208581</v>
      </c>
      <c r="DK323" s="42">
        <f t="shared" si="47"/>
        <v>0</v>
      </c>
      <c r="DL323" s="58">
        <f t="shared" si="48"/>
        <v>-624.0331745208581</v>
      </c>
      <c r="DM323" s="2">
        <v>3</v>
      </c>
    </row>
    <row r="324" spans="1:117" ht="24.9" customHeight="1" x14ac:dyDescent="0.3">
      <c r="A324" s="318">
        <v>150000898</v>
      </c>
      <c r="B324" s="44" t="s">
        <v>190</v>
      </c>
      <c r="C324" s="956">
        <v>2</v>
      </c>
      <c r="D324" s="957" t="s">
        <v>454</v>
      </c>
      <c r="E324" s="949">
        <f>'побудинковий звіт'!E322</f>
        <v>472.1</v>
      </c>
      <c r="F324" s="950">
        <f>'побудинковий звіт'!AS322</f>
        <v>7285.6288029343641</v>
      </c>
      <c r="G324" s="950">
        <f t="shared" si="38"/>
        <v>223.08876527141891</v>
      </c>
      <c r="H324" s="950">
        <f t="shared" si="39"/>
        <v>-7062.540037662945</v>
      </c>
      <c r="I324" s="42">
        <f>'[2]поточний ремонт'!I324+'[1]поточний ремонт'!I324</f>
        <v>0</v>
      </c>
      <c r="J324" s="42">
        <f>'[2]поточний ремонт'!J324+'[1]поточний ремонт'!J324</f>
        <v>0</v>
      </c>
      <c r="K324" s="958"/>
      <c r="L324" s="42">
        <f>'[2]поточний ремонт'!L324+'[1]поточний ремонт'!L324</f>
        <v>0</v>
      </c>
      <c r="M324" s="42">
        <f>'[2]поточний ремонт'!M324+'[1]поточний ремонт'!M324</f>
        <v>0</v>
      </c>
      <c r="N324" s="36"/>
      <c r="O324" s="42">
        <f>'[2]поточний ремонт'!O324+'[1]поточний ремонт'!O324</f>
        <v>0</v>
      </c>
      <c r="P324" s="42">
        <f>'[2]поточний ремонт'!P324+'[1]поточний ремонт'!P324</f>
        <v>0</v>
      </c>
      <c r="Q324" s="959"/>
      <c r="R324" s="42">
        <f>'[2]поточний ремонт'!R324+'[1]поточний ремонт'!R324</f>
        <v>0</v>
      </c>
      <c r="S324" s="42">
        <f>'[2]поточний ремонт'!S324+'[1]поточний ремонт'!S324</f>
        <v>0</v>
      </c>
      <c r="T324" s="960"/>
      <c r="U324" s="42">
        <f>'[2]поточний ремонт'!U324+'[1]поточний ремонт'!U324</f>
        <v>0</v>
      </c>
      <c r="V324" s="42">
        <f>'[2]поточний ремонт'!V324+'[1]поточний ремонт'!V324</f>
        <v>0</v>
      </c>
      <c r="W324" s="42">
        <f>'[2]поточний ремонт'!W324+'[1]поточний ремонт'!W324</f>
        <v>0</v>
      </c>
      <c r="X324" s="42">
        <f>'[2]поточний ремонт'!X324+'[1]поточний ремонт'!X324</f>
        <v>0</v>
      </c>
      <c r="Y324" s="42">
        <f>'[2]поточний ремонт'!Y324+'[1]поточний ремонт'!Y324</f>
        <v>0</v>
      </c>
      <c r="Z324" s="42">
        <f>'[2]поточний ремонт'!Z324+'[1]поточний ремонт'!Z324</f>
        <v>0</v>
      </c>
      <c r="AA324" s="42">
        <f>'[2]поточний ремонт'!AA324+'[1]поточний ремонт'!AA324</f>
        <v>0</v>
      </c>
      <c r="AB324" s="42">
        <f>'[2]поточний ремонт'!AB324+'[1]поточний ремонт'!AB324</f>
        <v>0</v>
      </c>
      <c r="AC324" s="42">
        <f>'[2]поточний ремонт'!AC324+'[1]поточний ремонт'!AC324</f>
        <v>0</v>
      </c>
      <c r="AD324" s="42">
        <f>'[2]поточний ремонт'!AD324+'[1]поточний ремонт'!AD324</f>
        <v>223.08876527141891</v>
      </c>
      <c r="AE324" s="42">
        <f>'[2]поточний ремонт'!AE324+'[1]поточний ремонт'!AE324</f>
        <v>353.51997925967544</v>
      </c>
      <c r="AF324" s="42">
        <f>'[2]поточний ремонт'!AF324+'[1]поточний ремонт'!AF324</f>
        <v>0</v>
      </c>
      <c r="AG324" s="5"/>
      <c r="AH324" s="42">
        <f>'[2]поточний ремонт'!AH324+'[1]поточний ремонт'!AH324</f>
        <v>558.99176931229647</v>
      </c>
      <c r="AI324" s="42">
        <f>'[2]поточний ремонт'!AI324+'[1]поточний ремонт'!AI324</f>
        <v>0</v>
      </c>
      <c r="AJ324" s="5"/>
      <c r="AK324" s="42">
        <f>'[2]поточний ремонт'!AK324+'[1]поточний ремонт'!AK324</f>
        <v>194.25061723263613</v>
      </c>
      <c r="AL324" s="42">
        <f>'[2]поточний ремонт'!AL324+'[1]поточний ремонт'!AL324</f>
        <v>0</v>
      </c>
      <c r="AM324" s="5"/>
      <c r="AN324" s="42">
        <f>'[2]поточний ремонт'!AN324+'[1]поточний ремонт'!AN324</f>
        <v>0</v>
      </c>
      <c r="AO324" s="42">
        <f>'[2]поточний ремонт'!AO324+'[1]поточний ремонт'!AO324</f>
        <v>0</v>
      </c>
      <c r="AP324" s="5"/>
      <c r="AQ324" s="42">
        <f>'[2]поточний ремонт'!AQ324+'[1]поточний ремонт'!AQ324</f>
        <v>0</v>
      </c>
      <c r="AR324" s="42">
        <f>'[2]поточний ремонт'!AR324+'[1]поточний ремонт'!AR324</f>
        <v>0</v>
      </c>
      <c r="AS324" s="5"/>
      <c r="AT324" s="42">
        <f>'[2]поточний ремонт'!AT324+'[1]поточний ремонт'!AT324</f>
        <v>116.89375216359396</v>
      </c>
      <c r="AU324" s="42">
        <f>'[2]поточний ремонт'!AU324+'[1]поточний ремонт'!AU324</f>
        <v>0</v>
      </c>
      <c r="AV324" s="5"/>
      <c r="AW324" s="42">
        <f>'[2]поточний ремонт'!AW324+'[1]поточний ремонт'!AW324</f>
        <v>18.822521183810586</v>
      </c>
      <c r="AX324" s="42">
        <f>'[2]поточний ремонт'!AX324+'[1]поточний ремонт'!AX324</f>
        <v>934.49465035000003</v>
      </c>
      <c r="AY324" s="5"/>
      <c r="AZ324" s="42">
        <f t="shared" si="40"/>
        <v>1242.4786391520124</v>
      </c>
      <c r="BA324" s="42">
        <f t="shared" si="41"/>
        <v>934.49465035000003</v>
      </c>
      <c r="BB324" s="58">
        <f t="shared" si="42"/>
        <v>-307.98398880201239</v>
      </c>
      <c r="BD324" s="2">
        <v>3</v>
      </c>
      <c r="BF324" s="29">
        <v>35.290428281791137</v>
      </c>
      <c r="BG324" s="318">
        <v>150000898</v>
      </c>
      <c r="BI324" s="104">
        <v>0</v>
      </c>
      <c r="BJ324" s="104">
        <f t="shared" si="46"/>
        <v>0</v>
      </c>
      <c r="BK324" s="104">
        <v>0</v>
      </c>
      <c r="BL324" s="38"/>
      <c r="BM324" s="3"/>
      <c r="BN324" s="3">
        <v>0</v>
      </c>
      <c r="BP324" s="3"/>
      <c r="BQ324" s="3"/>
      <c r="BS324" s="42"/>
      <c r="BT324" s="42">
        <v>0</v>
      </c>
      <c r="BU324" s="958"/>
      <c r="BV324" s="41"/>
      <c r="BW324" s="42"/>
      <c r="BX324" s="36"/>
      <c r="BY324" s="76"/>
      <c r="BZ324" s="42">
        <v>0</v>
      </c>
      <c r="CA324" s="959"/>
      <c r="CB324" s="41"/>
      <c r="CC324" s="41">
        <v>0</v>
      </c>
      <c r="CD324" s="960"/>
      <c r="CE324" s="76">
        <v>0</v>
      </c>
      <c r="CF324" s="55"/>
      <c r="CG324" s="41">
        <v>0</v>
      </c>
      <c r="CH324" s="38">
        <v>0</v>
      </c>
      <c r="CI324" s="76">
        <v>0</v>
      </c>
      <c r="CJ324" s="55"/>
      <c r="CK324" s="955"/>
      <c r="CL324" s="950"/>
      <c r="CM324" s="955"/>
      <c r="CN324" s="950">
        <v>0</v>
      </c>
      <c r="CO324" s="76">
        <v>30.214992328529412</v>
      </c>
      <c r="CP324" s="42">
        <v>0</v>
      </c>
      <c r="CQ324" s="5"/>
      <c r="CR324" s="76">
        <v>47.362489006250357</v>
      </c>
      <c r="CS324" s="954">
        <v>0</v>
      </c>
      <c r="CT324" s="5"/>
      <c r="CU324" s="76">
        <v>15.751031814435738</v>
      </c>
      <c r="CV324" s="42">
        <v>0</v>
      </c>
      <c r="CW324" s="5"/>
      <c r="CX324" s="76">
        <v>0</v>
      </c>
      <c r="CY324" s="42">
        <v>0</v>
      </c>
      <c r="CZ324" s="5"/>
      <c r="DA324" s="76">
        <v>0</v>
      </c>
      <c r="DB324" s="42">
        <v>0</v>
      </c>
      <c r="DC324" s="5"/>
      <c r="DD324" s="76">
        <v>4.9307141512896964</v>
      </c>
      <c r="DE324" s="42">
        <v>0</v>
      </c>
      <c r="DF324" s="5"/>
      <c r="DG324" s="76">
        <v>0</v>
      </c>
      <c r="DH324" s="42"/>
      <c r="DI324" s="5"/>
      <c r="DJ324" s="42">
        <v>98.259227300505202</v>
      </c>
      <c r="DK324" s="42">
        <f t="shared" si="47"/>
        <v>0</v>
      </c>
      <c r="DL324" s="58">
        <f t="shared" si="48"/>
        <v>-98.259227300505202</v>
      </c>
      <c r="DM324" s="2">
        <v>3</v>
      </c>
    </row>
    <row r="325" spans="1:117" ht="24.9" customHeight="1" x14ac:dyDescent="0.3">
      <c r="A325" s="318">
        <v>150000899</v>
      </c>
      <c r="B325" s="44" t="s">
        <v>402</v>
      </c>
      <c r="C325" s="956">
        <v>9</v>
      </c>
      <c r="D325" s="957" t="s">
        <v>454</v>
      </c>
      <c r="E325" s="949">
        <f>'побудинковий звіт'!E323</f>
        <v>6211.85</v>
      </c>
      <c r="F325" s="950">
        <f>'побудинковий звіт'!AS323</f>
        <v>109162.93900366966</v>
      </c>
      <c r="G325" s="950">
        <f t="shared" si="38"/>
        <v>145748.48255440799</v>
      </c>
      <c r="H325" s="950">
        <f t="shared" si="39"/>
        <v>36585.543550738337</v>
      </c>
      <c r="I325" s="42">
        <f>'[2]поточний ремонт'!I325+'[1]поточний ремонт'!I325</f>
        <v>0</v>
      </c>
      <c r="J325" s="42">
        <f>'[2]поточний ремонт'!J325+'[1]поточний ремонт'!J325</f>
        <v>0</v>
      </c>
      <c r="K325" s="958"/>
      <c r="L325" s="42">
        <f>'[2]поточний ремонт'!L325+'[1]поточний ремонт'!L325</f>
        <v>0</v>
      </c>
      <c r="M325" s="42">
        <f>'[2]поточний ремонт'!M325+'[1]поточний ремонт'!M325</f>
        <v>0</v>
      </c>
      <c r="N325" s="36"/>
      <c r="O325" s="42">
        <f>'[2]поточний ремонт'!O325+'[1]поточний ремонт'!O325</f>
        <v>0</v>
      </c>
      <c r="P325" s="42">
        <f>'[2]поточний ремонт'!P325+'[1]поточний ремонт'!P325</f>
        <v>0</v>
      </c>
      <c r="Q325" s="959"/>
      <c r="R325" s="42">
        <f>'[2]поточний ремонт'!R325+'[1]поточний ремонт'!R325</f>
        <v>3</v>
      </c>
      <c r="S325" s="42">
        <f>'[2]поточний ремонт'!S325+'[1]поточний ремонт'!S325</f>
        <v>134851.81820263318</v>
      </c>
      <c r="T325" s="967"/>
      <c r="U325" s="42">
        <f>'[2]поточний ремонт'!U325+'[1]поточний ремонт'!U325</f>
        <v>9326</v>
      </c>
      <c r="V325" s="42">
        <f>'[2]поточний ремонт'!V325+'[1]поточний ремонт'!V325</f>
        <v>0</v>
      </c>
      <c r="W325" s="42">
        <f>'[2]поточний ремонт'!W325+'[1]поточний ремонт'!W325</f>
        <v>0</v>
      </c>
      <c r="X325" s="42">
        <f>'[2]поточний ремонт'!X325+'[1]поточний ремонт'!X325</f>
        <v>0</v>
      </c>
      <c r="Y325" s="42">
        <f>'[2]поточний ремонт'!Y325+'[1]поточний ремонт'!Y325</f>
        <v>413</v>
      </c>
      <c r="Z325" s="42">
        <f>'[2]поточний ремонт'!Z325+'[1]поточний ремонт'!Z325</f>
        <v>0</v>
      </c>
      <c r="AA325" s="42">
        <f>'[2]поточний ремонт'!AA325+'[1]поточний ремонт'!AA325</f>
        <v>0</v>
      </c>
      <c r="AB325" s="42">
        <f>'[2]поточний ремонт'!AB325+'[1]поточний ремонт'!AB325</f>
        <v>0</v>
      </c>
      <c r="AC325" s="42">
        <f>'[2]поточний ремонт'!AC325+'[1]поточний ремонт'!AC325</f>
        <v>481.23291228631496</v>
      </c>
      <c r="AD325" s="42">
        <f>'[2]поточний ремонт'!AD325+'[1]поточний ремонт'!AD325</f>
        <v>676.43143948851321</v>
      </c>
      <c r="AE325" s="42">
        <f>'[2]поточний ремонт'!AE325+'[1]поточний ремонт'!AE325</f>
        <v>2593.8208975440798</v>
      </c>
      <c r="AF325" s="42">
        <f>'[2]поточний ремонт'!AF325+'[1]поточний ремонт'!AF325</f>
        <v>1353.7407385015222</v>
      </c>
      <c r="AG325" s="5"/>
      <c r="AH325" s="42">
        <f>'[2]поточний ремонт'!AH325+'[1]поточний ремонт'!AH325</f>
        <v>3078.3057932864326</v>
      </c>
      <c r="AI325" s="42">
        <f>'[2]поточний ремонт'!AI325+'[1]поточний ремонт'!AI325</f>
        <v>8557.2793721430698</v>
      </c>
      <c r="AJ325" s="965"/>
      <c r="AK325" s="42">
        <f>'[2]поточний ремонт'!AK325+'[1]поточний ремонт'!AK325</f>
        <v>3484.3344599316947</v>
      </c>
      <c r="AL325" s="42">
        <f>'[2]поточний ремонт'!AL325+'[1]поточний ремонт'!AL325</f>
        <v>806.97263289390003</v>
      </c>
      <c r="AM325" s="5"/>
      <c r="AN325" s="42">
        <f>'[2]поточний ремонт'!AN325+'[1]поточний ремонт'!AN325</f>
        <v>1018.4394613669601</v>
      </c>
      <c r="AO325" s="42">
        <f>'[2]поточний ремонт'!AO325+'[1]поточний ремонт'!AO325</f>
        <v>0</v>
      </c>
      <c r="AP325" s="5"/>
      <c r="AQ325" s="42">
        <f>'[2]поточний ремонт'!AQ325+'[1]поточний ремонт'!AQ325</f>
        <v>623.71337521299586</v>
      </c>
      <c r="AR325" s="42">
        <f>'[2]поточний ремонт'!AR325+'[1]поточний ремонт'!AR325</f>
        <v>0</v>
      </c>
      <c r="AS325" s="5"/>
      <c r="AT325" s="42">
        <f>'[2]поточний ремонт'!AT325+'[1]поточний ремонт'!AT325</f>
        <v>1487.5601134832518</v>
      </c>
      <c r="AU325" s="42">
        <f>'[2]поточний ремонт'!AU325+'[1]поточний ремонт'!AU325</f>
        <v>3665.0134018810268</v>
      </c>
      <c r="AV325" s="9"/>
      <c r="AW325" s="42">
        <f>'[2]поточний ремонт'!AW325+'[1]поточний ремонт'!AW325</f>
        <v>166.26560379032685</v>
      </c>
      <c r="AX325" s="42">
        <f>'[2]поточний ремонт'!AX325+'[1]поточний ремонт'!AX325</f>
        <v>6791.1842891599999</v>
      </c>
      <c r="AY325" s="5"/>
      <c r="AZ325" s="42">
        <f t="shared" si="40"/>
        <v>12452.439704615743</v>
      </c>
      <c r="BA325" s="42">
        <f t="shared" si="41"/>
        <v>21174.190434579519</v>
      </c>
      <c r="BB325" s="58">
        <f t="shared" si="42"/>
        <v>8721.7507299637764</v>
      </c>
      <c r="BD325" s="2">
        <v>3</v>
      </c>
      <c r="BF325" s="29">
        <v>464.28105388009033</v>
      </c>
      <c r="BG325" s="318">
        <v>150000899</v>
      </c>
      <c r="BI325" s="104">
        <v>0</v>
      </c>
      <c r="BJ325" s="104">
        <f t="shared" si="46"/>
        <v>0</v>
      </c>
      <c r="BK325" s="104">
        <v>0</v>
      </c>
      <c r="BL325" s="38"/>
      <c r="BM325" s="3"/>
      <c r="BN325" s="3">
        <v>0</v>
      </c>
      <c r="BP325" s="3"/>
      <c r="BQ325" s="3"/>
      <c r="BS325" s="42"/>
      <c r="BT325" s="42">
        <v>0</v>
      </c>
      <c r="BU325" s="958"/>
      <c r="BV325" s="41"/>
      <c r="BW325" s="42"/>
      <c r="BX325" s="36"/>
      <c r="BY325" s="76"/>
      <c r="BZ325" s="42">
        <v>0</v>
      </c>
      <c r="CA325" s="959"/>
      <c r="CB325" s="41">
        <v>1</v>
      </c>
      <c r="CC325" s="41">
        <v>38144.963005146921</v>
      </c>
      <c r="CD325" s="967"/>
      <c r="CE325" s="76">
        <v>0</v>
      </c>
      <c r="CF325" s="55"/>
      <c r="CG325" s="41">
        <v>0</v>
      </c>
      <c r="CH325" s="38">
        <v>0</v>
      </c>
      <c r="CI325" s="76">
        <v>0</v>
      </c>
      <c r="CJ325" s="55"/>
      <c r="CK325" s="955"/>
      <c r="CL325" s="950"/>
      <c r="CM325" s="955"/>
      <c r="CN325" s="950">
        <v>0</v>
      </c>
      <c r="CO325" s="76">
        <v>170.48441579100214</v>
      </c>
      <c r="CP325" s="42">
        <v>0</v>
      </c>
      <c r="CQ325" s="5"/>
      <c r="CR325" s="76">
        <v>227.6583991858875</v>
      </c>
      <c r="CS325" s="954">
        <v>919.38550058070689</v>
      </c>
      <c r="CT325" s="965"/>
      <c r="CU325" s="76">
        <v>277.94233068405396</v>
      </c>
      <c r="CV325" s="42">
        <v>0</v>
      </c>
      <c r="CW325" s="5"/>
      <c r="CX325" s="76">
        <v>90.825612432285368</v>
      </c>
      <c r="CY325" s="42">
        <v>0</v>
      </c>
      <c r="CZ325" s="5"/>
      <c r="DA325" s="76">
        <v>49.470906063874629</v>
      </c>
      <c r="DB325" s="42">
        <v>0</v>
      </c>
      <c r="DC325" s="5"/>
      <c r="DD325" s="76">
        <v>70.081899176195108</v>
      </c>
      <c r="DE325" s="42">
        <v>0</v>
      </c>
      <c r="DF325" s="9"/>
      <c r="DG325" s="76">
        <v>0</v>
      </c>
      <c r="DH325" s="42"/>
      <c r="DI325" s="5"/>
      <c r="DJ325" s="42">
        <v>886.46356333329879</v>
      </c>
      <c r="DK325" s="42">
        <f t="shared" si="47"/>
        <v>919.38550058070689</v>
      </c>
      <c r="DL325" s="58">
        <f t="shared" si="48"/>
        <v>32.921937247408096</v>
      </c>
      <c r="DM325" s="2">
        <v>3</v>
      </c>
    </row>
    <row r="326" spans="1:117" ht="24.9" customHeight="1" x14ac:dyDescent="0.3">
      <c r="A326" s="318">
        <v>150000900</v>
      </c>
      <c r="B326" s="44" t="s">
        <v>425</v>
      </c>
      <c r="C326" s="956">
        <v>14</v>
      </c>
      <c r="D326" s="957" t="s">
        <v>454</v>
      </c>
      <c r="E326" s="949">
        <f>'побудинковий звіт'!E324</f>
        <v>4358.51</v>
      </c>
      <c r="F326" s="950">
        <f>'побудинковий звіт'!AS324</f>
        <v>72075.199071277835</v>
      </c>
      <c r="G326" s="950">
        <f t="shared" si="38"/>
        <v>132247.96687475516</v>
      </c>
      <c r="H326" s="950">
        <f t="shared" si="39"/>
        <v>60172.767803477327</v>
      </c>
      <c r="I326" s="42">
        <f>'[2]поточний ремонт'!I326+'[1]поточний ремонт'!I326</f>
        <v>264</v>
      </c>
      <c r="J326" s="42">
        <f>'[2]поточний ремонт'!J326+'[1]поточний ремонт'!J326</f>
        <v>129621</v>
      </c>
      <c r="K326" s="958"/>
      <c r="L326" s="42">
        <f>'[2]поточний ремонт'!L326+'[1]поточний ремонт'!L326</f>
        <v>0</v>
      </c>
      <c r="M326" s="42">
        <f>'[2]поточний ремонт'!M326+'[1]поточний ремонт'!M326</f>
        <v>0</v>
      </c>
      <c r="N326" s="36"/>
      <c r="O326" s="42">
        <f>'[2]поточний ремонт'!O326+'[1]поточний ремонт'!O326</f>
        <v>0</v>
      </c>
      <c r="P326" s="42">
        <f>'[2]поточний ремонт'!P326+'[1]поточний ремонт'!P326</f>
        <v>0</v>
      </c>
      <c r="Q326" s="959"/>
      <c r="R326" s="42">
        <f>'[2]поточний ремонт'!R326+'[1]поточний ремонт'!R326</f>
        <v>1</v>
      </c>
      <c r="S326" s="42">
        <f>'[2]поточний ремонт'!S326+'[1]поточний ремонт'!S326</f>
        <v>2376.5786873509437</v>
      </c>
      <c r="T326" s="960"/>
      <c r="U326" s="42">
        <f>'[2]поточний ремонт'!U326+'[1]поточний ремонт'!U326</f>
        <v>0</v>
      </c>
      <c r="V326" s="42">
        <f>'[2]поточний ремонт'!V326+'[1]поточний ремонт'!V326</f>
        <v>0</v>
      </c>
      <c r="W326" s="42">
        <f>'[2]поточний ремонт'!W326+'[1]поточний ремонт'!W326</f>
        <v>0</v>
      </c>
      <c r="X326" s="42">
        <f>'[2]поточний ремонт'!X326+'[1]поточний ремонт'!X326</f>
        <v>0</v>
      </c>
      <c r="Y326" s="42">
        <f>'[2]поточний ремонт'!Y326+'[1]поточний ремонт'!Y326</f>
        <v>0</v>
      </c>
      <c r="Z326" s="42">
        <f>'[2]поточний ремонт'!Z326+'[1]поточний ремонт'!Z326</f>
        <v>0</v>
      </c>
      <c r="AA326" s="42">
        <f>'[2]поточний ремонт'!AA326+'[1]поточний ремонт'!AA326</f>
        <v>0</v>
      </c>
      <c r="AB326" s="42">
        <f>'[2]поточний ремонт'!AB326+'[1]поточний ремонт'!AB326</f>
        <v>0</v>
      </c>
      <c r="AC326" s="42">
        <f>'[2]поточний ремонт'!AC326+'[1]поточний ремонт'!AC326</f>
        <v>250.38818740422008</v>
      </c>
      <c r="AD326" s="42">
        <f>'[2]поточний ремонт'!AD326+'[1]поточний ремонт'!AD326</f>
        <v>0</v>
      </c>
      <c r="AE326" s="42">
        <f>'[2]поточний ремонт'!AE326+'[1]поточний ремонт'!AE326</f>
        <v>3657.1068206213504</v>
      </c>
      <c r="AF326" s="42">
        <f>'[2]поточний ремонт'!AF326+'[1]поточний ремонт'!AF326</f>
        <v>0</v>
      </c>
      <c r="AG326" s="5"/>
      <c r="AH326" s="42">
        <f>'[2]поточний ремонт'!AH326+'[1]поточний ремонт'!AH326</f>
        <v>1022.6741622084498</v>
      </c>
      <c r="AI326" s="42">
        <f>'[2]поточний ремонт'!AI326+'[1]поточний ремонт'!AI326</f>
        <v>743.34082157950525</v>
      </c>
      <c r="AJ326" s="5"/>
      <c r="AK326" s="42">
        <f>'[2]поточний ремонт'!AK326+'[1]поточний ремонт'!AK326</f>
        <v>2138.6066298101236</v>
      </c>
      <c r="AL326" s="42">
        <f>'[2]поточний ремонт'!AL326+'[1]поточний ремонт'!AL326</f>
        <v>1054.5142952903445</v>
      </c>
      <c r="AM326" s="9"/>
      <c r="AN326" s="42">
        <f>'[2]поточний ремонт'!AN326+'[1]поточний ремонт'!AN326</f>
        <v>696.57943563648496</v>
      </c>
      <c r="AO326" s="42">
        <f>'[2]поточний ремонт'!AO326+'[1]поточний ремонт'!AO326</f>
        <v>0</v>
      </c>
      <c r="AP326" s="5"/>
      <c r="AQ326" s="42">
        <f>'[2]поточний ремонт'!AQ326+'[1]поточний ремонт'!AQ326</f>
        <v>424.34850048457781</v>
      </c>
      <c r="AR326" s="42">
        <f>'[2]поточний ремонт'!AR326+'[1]поточний ремонт'!AR326</f>
        <v>0</v>
      </c>
      <c r="AS326" s="5"/>
      <c r="AT326" s="42">
        <f>'[2]поточний ремонт'!AT326+'[1]поточний ремонт'!AT326</f>
        <v>991.46888036258576</v>
      </c>
      <c r="AU326" s="42">
        <f>'[2]поточний ремонт'!AU326+'[1]поточний ремонт'!AU326</f>
        <v>8731.8752692706112</v>
      </c>
      <c r="AV326" s="5"/>
      <c r="AW326" s="42">
        <f>'[2]поточний ремонт'!AW326+'[1]поточний ремонт'!AW326</f>
        <v>0</v>
      </c>
      <c r="AX326" s="42">
        <f>'[2]поточний ремонт'!AX326+'[1]поточний ремонт'!AX326</f>
        <v>0</v>
      </c>
      <c r="AY326" s="5"/>
      <c r="AZ326" s="42">
        <f t="shared" si="40"/>
        <v>8930.7844291235724</v>
      </c>
      <c r="BA326" s="42">
        <f t="shared" si="41"/>
        <v>10529.730386140462</v>
      </c>
      <c r="BB326" s="58">
        <f t="shared" si="42"/>
        <v>1598.9459570168892</v>
      </c>
      <c r="BD326" s="2">
        <v>3</v>
      </c>
      <c r="BF326" s="29">
        <v>324.61737121843544</v>
      </c>
      <c r="BG326" s="318">
        <v>150000900</v>
      </c>
      <c r="BI326" s="104">
        <v>0</v>
      </c>
      <c r="BJ326" s="104">
        <f t="shared" si="46"/>
        <v>0</v>
      </c>
      <c r="BK326" s="104">
        <v>0</v>
      </c>
      <c r="BL326" s="38"/>
      <c r="BM326" s="3"/>
      <c r="BN326" s="3">
        <v>0</v>
      </c>
      <c r="BP326" s="3"/>
      <c r="BQ326" s="3"/>
      <c r="BS326" s="42"/>
      <c r="BT326" s="42">
        <v>0</v>
      </c>
      <c r="BU326" s="958"/>
      <c r="BV326" s="41"/>
      <c r="BW326" s="42"/>
      <c r="BX326" s="36"/>
      <c r="BY326" s="76"/>
      <c r="BZ326" s="42">
        <v>0</v>
      </c>
      <c r="CA326" s="959"/>
      <c r="CB326" s="41"/>
      <c r="CC326" s="41">
        <v>0</v>
      </c>
      <c r="CD326" s="960"/>
      <c r="CE326" s="76">
        <v>0</v>
      </c>
      <c r="CF326" s="55"/>
      <c r="CG326" s="41">
        <v>0</v>
      </c>
      <c r="CH326" s="38">
        <v>0</v>
      </c>
      <c r="CI326" s="76">
        <v>0</v>
      </c>
      <c r="CJ326" s="55"/>
      <c r="CK326" s="955"/>
      <c r="CL326" s="950"/>
      <c r="CM326" s="955"/>
      <c r="CN326" s="950">
        <v>0</v>
      </c>
      <c r="CO326" s="76">
        <v>280.524269854512</v>
      </c>
      <c r="CP326" s="42">
        <v>0</v>
      </c>
      <c r="CQ326" s="5"/>
      <c r="CR326" s="76">
        <v>70.756811567256719</v>
      </c>
      <c r="CS326" s="954">
        <v>0</v>
      </c>
      <c r="CT326" s="5"/>
      <c r="CU326" s="76">
        <v>178.31589835379077</v>
      </c>
      <c r="CV326" s="42">
        <v>0</v>
      </c>
      <c r="CW326" s="9"/>
      <c r="CX326" s="76">
        <v>63.449600647184695</v>
      </c>
      <c r="CY326" s="42">
        <v>0</v>
      </c>
      <c r="CZ326" s="5"/>
      <c r="DA326" s="76">
        <v>33.735122980815945</v>
      </c>
      <c r="DB326" s="42">
        <v>0</v>
      </c>
      <c r="DC326" s="5"/>
      <c r="DD326" s="76">
        <v>56.410000558422134</v>
      </c>
      <c r="DE326" s="42">
        <v>0</v>
      </c>
      <c r="DF326" s="5"/>
      <c r="DG326" s="76">
        <v>0</v>
      </c>
      <c r="DH326" s="42"/>
      <c r="DI326" s="5"/>
      <c r="DJ326" s="42">
        <v>683.19170396198228</v>
      </c>
      <c r="DK326" s="42">
        <f t="shared" si="47"/>
        <v>0</v>
      </c>
      <c r="DL326" s="58">
        <f t="shared" si="48"/>
        <v>-683.19170396198228</v>
      </c>
      <c r="DM326" s="2">
        <v>3</v>
      </c>
    </row>
    <row r="327" spans="1:117" ht="24.9" customHeight="1" x14ac:dyDescent="0.3">
      <c r="A327" s="318">
        <v>150000901</v>
      </c>
      <c r="B327" s="44" t="s">
        <v>424</v>
      </c>
      <c r="C327" s="956">
        <v>10</v>
      </c>
      <c r="D327" s="957" t="s">
        <v>454</v>
      </c>
      <c r="E327" s="949">
        <f>'побудинковий звіт'!E325</f>
        <v>10089.4</v>
      </c>
      <c r="F327" s="950">
        <f>'побудинковий звіт'!AS325</f>
        <v>162790.31848447426</v>
      </c>
      <c r="G327" s="950">
        <f t="shared" si="38"/>
        <v>140209.11311483369</v>
      </c>
      <c r="H327" s="950">
        <f t="shared" si="39"/>
        <v>-22581.205369640578</v>
      </c>
      <c r="I327" s="42">
        <f>'[2]поточний ремонт'!I327+'[1]поточний ремонт'!I327</f>
        <v>56.71</v>
      </c>
      <c r="J327" s="42">
        <f>'[2]поточний ремонт'!J327+'[1]поточний ремонт'!J327</f>
        <v>45558.86822427102</v>
      </c>
      <c r="K327" s="958"/>
      <c r="L327" s="42">
        <f>'[2]поточний ремонт'!L327+'[1]поточний ремонт'!L327</f>
        <v>4</v>
      </c>
      <c r="M327" s="42">
        <f>'[2]поточний ремонт'!M327+'[1]поточний ремонт'!M327</f>
        <v>21419.994817252285</v>
      </c>
      <c r="N327" s="36"/>
      <c r="O327" s="42">
        <f>'[2]поточний ремонт'!O327+'[1]поточний ремонт'!O327</f>
        <v>0</v>
      </c>
      <c r="P327" s="42">
        <f>'[2]поточний ремонт'!P327+'[1]поточний ремонт'!P327</f>
        <v>0</v>
      </c>
      <c r="Q327" s="959"/>
      <c r="R327" s="42">
        <f>'[2]поточний ремонт'!R327+'[1]поточний ремонт'!R327</f>
        <v>4</v>
      </c>
      <c r="S327" s="42">
        <f>'[2]поточний ремонт'!S327+'[1]поточний ремонт'!S327</f>
        <v>17966.244334053878</v>
      </c>
      <c r="T327" s="967"/>
      <c r="U327" s="42">
        <f>'[2]поточний ремонт'!U327+'[1]поточний ремонт'!U327</f>
        <v>0</v>
      </c>
      <c r="V327" s="42">
        <f>'[2]поточний ремонт'!V327+'[1]поточний ремонт'!V327</f>
        <v>0</v>
      </c>
      <c r="W327" s="42">
        <f>'[2]поточний ремонт'!W327+'[1]поточний ремонт'!W327</f>
        <v>0</v>
      </c>
      <c r="X327" s="42">
        <f>'[2]поточний ремонт'!X327+'[1]поточний ремонт'!X327</f>
        <v>0</v>
      </c>
      <c r="Y327" s="42">
        <f>'[2]поточний ремонт'!Y327+'[1]поточний ремонт'!Y327</f>
        <v>47769.412961605107</v>
      </c>
      <c r="Z327" s="42">
        <f>'[2]поточний ремонт'!Z327+'[1]поточний ремонт'!Z327</f>
        <v>0</v>
      </c>
      <c r="AA327" s="42">
        <f>'[2]поточний ремонт'!AA327+'[1]поточний ремонт'!AA327</f>
        <v>0</v>
      </c>
      <c r="AB327" s="42">
        <f>'[2]поточний ремонт'!AB327+'[1]поточний ремонт'!AB327</f>
        <v>2616.4276238998391</v>
      </c>
      <c r="AC327" s="42">
        <f>'[2]поточний ремонт'!AC327+'[1]поточний ремонт'!AC327</f>
        <v>2953.0355398104584</v>
      </c>
      <c r="AD327" s="42">
        <f>'[2]поточний ремонт'!AD327+'[1]поточний ремонт'!AD327</f>
        <v>1925.1296139411213</v>
      </c>
      <c r="AE327" s="42">
        <f>'[2]поточний ремонт'!AE327+'[1]поточний ремонт'!AE327</f>
        <v>3935.8686048890249</v>
      </c>
      <c r="AF327" s="42">
        <f>'[2]поточний ремонт'!AF327+'[1]поточний ремонт'!AF327</f>
        <v>827.64827069082219</v>
      </c>
      <c r="AG327" s="965"/>
      <c r="AH327" s="42">
        <f>'[2]поточний ремонт'!AH327+'[1]поточний ремонт'!AH327</f>
        <v>4277.2157242967023</v>
      </c>
      <c r="AI327" s="42">
        <f>'[2]поточний ремонт'!AI327+'[1]поточний ремонт'!AI327</f>
        <v>3128.7390940104087</v>
      </c>
      <c r="AJ327" s="9"/>
      <c r="AK327" s="42">
        <f>'[2]поточний ремонт'!AK327+'[1]поточний ремонт'!AK327</f>
        <v>4905.8503133298536</v>
      </c>
      <c r="AL327" s="42">
        <f>'[2]поточний ремонт'!AL327+'[1]поточний ремонт'!AL327</f>
        <v>0</v>
      </c>
      <c r="AM327" s="9"/>
      <c r="AN327" s="42">
        <f>'[2]поточний ремонт'!AN327+'[1]поточний ремонт'!AN327</f>
        <v>1645.1220327565441</v>
      </c>
      <c r="AO327" s="42">
        <f>'[2]поточний ремонт'!AO327+'[1]поточний ремонт'!AO327</f>
        <v>765</v>
      </c>
      <c r="AP327" s="5"/>
      <c r="AQ327" s="42">
        <f>'[2]поточний ремонт'!AQ327+'[1]поточний ремонт'!AQ327</f>
        <v>888.0017750305442</v>
      </c>
      <c r="AR327" s="42">
        <f>'[2]поточний ремонт'!AR327+'[1]поточний ремонт'!AR327</f>
        <v>5019.5085951419278</v>
      </c>
      <c r="AS327" s="965"/>
      <c r="AT327" s="42">
        <f>'[2]поточний ремонт'!AT327+'[1]поточний ремонт'!AT327</f>
        <v>1741.2086156702519</v>
      </c>
      <c r="AU327" s="42">
        <f>'[2]поточний ремонт'!AU327+'[1]поточний ремонт'!AU327</f>
        <v>591.35038148288879</v>
      </c>
      <c r="AV327" s="5"/>
      <c r="AW327" s="42">
        <f>'[2]поточний ремонт'!AW327+'[1]поточний ремонт'!AW327</f>
        <v>225.87025420572701</v>
      </c>
      <c r="AX327" s="42">
        <f>'[2]поточний ремонт'!AX327+'[1]поточний ремонт'!AX327</f>
        <v>6356.8062330399998</v>
      </c>
      <c r="AY327" s="5"/>
      <c r="AZ327" s="42">
        <f t="shared" si="40"/>
        <v>17619.137320178648</v>
      </c>
      <c r="BA327" s="42">
        <f t="shared" si="41"/>
        <v>16689.052574366047</v>
      </c>
      <c r="BB327" s="58">
        <f t="shared" si="42"/>
        <v>-930.08474581260089</v>
      </c>
      <c r="BD327" s="2">
        <v>3</v>
      </c>
      <c r="BF327" s="29">
        <v>748.35263406189131</v>
      </c>
      <c r="BG327" s="318">
        <v>150000901</v>
      </c>
      <c r="BI327" s="104">
        <v>0</v>
      </c>
      <c r="BJ327" s="104">
        <f t="shared" si="46"/>
        <v>0</v>
      </c>
      <c r="BK327" s="104">
        <v>0</v>
      </c>
      <c r="BL327" s="38"/>
      <c r="BM327" s="3"/>
      <c r="BN327" s="3">
        <v>0</v>
      </c>
      <c r="BP327" s="3"/>
      <c r="BQ327" s="3"/>
      <c r="BS327" s="42"/>
      <c r="BT327" s="42">
        <v>0</v>
      </c>
      <c r="BU327" s="958"/>
      <c r="BV327" s="41"/>
      <c r="BW327" s="42"/>
      <c r="BX327" s="36"/>
      <c r="BY327" s="76"/>
      <c r="BZ327" s="42">
        <v>0</v>
      </c>
      <c r="CA327" s="959"/>
      <c r="CB327" s="41"/>
      <c r="CC327" s="41">
        <v>0</v>
      </c>
      <c r="CD327" s="967"/>
      <c r="CE327" s="76">
        <v>0</v>
      </c>
      <c r="CF327" s="55"/>
      <c r="CG327" s="41">
        <v>0</v>
      </c>
      <c r="CH327" s="38">
        <v>0</v>
      </c>
      <c r="CI327" s="76">
        <v>295.14045204647277</v>
      </c>
      <c r="CJ327" s="55"/>
      <c r="CK327" s="955"/>
      <c r="CL327" s="950"/>
      <c r="CM327" s="955"/>
      <c r="CN327" s="950">
        <v>0</v>
      </c>
      <c r="CO327" s="76">
        <v>238.32325111053197</v>
      </c>
      <c r="CP327" s="42">
        <v>0</v>
      </c>
      <c r="CQ327" s="965"/>
      <c r="CR327" s="76">
        <v>329.16968131919367</v>
      </c>
      <c r="CS327" s="954">
        <v>1897.568977730595</v>
      </c>
      <c r="CT327" s="9"/>
      <c r="CU327" s="76">
        <v>384.63402233013994</v>
      </c>
      <c r="CV327" s="42">
        <v>0</v>
      </c>
      <c r="CW327" s="9"/>
      <c r="CX327" s="76">
        <v>128.92024387365325</v>
      </c>
      <c r="CY327" s="42">
        <v>0</v>
      </c>
      <c r="CZ327" s="5"/>
      <c r="DA327" s="76">
        <v>70.451963789727856</v>
      </c>
      <c r="DB327" s="42">
        <v>0</v>
      </c>
      <c r="DC327" s="965"/>
      <c r="DD327" s="76">
        <v>87.35891040695013</v>
      </c>
      <c r="DE327" s="42">
        <v>0</v>
      </c>
      <c r="DF327" s="5"/>
      <c r="DG327" s="76">
        <v>0</v>
      </c>
      <c r="DH327" s="42"/>
      <c r="DI327" s="5"/>
      <c r="DJ327" s="42">
        <v>1238.8580728301968</v>
      </c>
      <c r="DK327" s="42">
        <f t="shared" si="47"/>
        <v>1897.568977730595</v>
      </c>
      <c r="DL327" s="58">
        <f t="shared" si="48"/>
        <v>658.71090490039819</v>
      </c>
      <c r="DM327" s="2">
        <v>3</v>
      </c>
    </row>
    <row r="328" spans="1:117" ht="24.9" customHeight="1" x14ac:dyDescent="0.3">
      <c r="A328" s="318">
        <v>150000902</v>
      </c>
      <c r="B328" s="44" t="s">
        <v>403</v>
      </c>
      <c r="C328" s="956">
        <v>9</v>
      </c>
      <c r="D328" s="957" t="s">
        <v>454</v>
      </c>
      <c r="E328" s="949">
        <f>'побудинковий звіт'!E326</f>
        <v>3581.3</v>
      </c>
      <c r="F328" s="950">
        <f>'побудинковий звіт'!AS326</f>
        <v>91571.783813514267</v>
      </c>
      <c r="G328" s="950">
        <f t="shared" si="38"/>
        <v>13684.106784831069</v>
      </c>
      <c r="H328" s="950">
        <f t="shared" si="39"/>
        <v>-77887.677028683203</v>
      </c>
      <c r="I328" s="42">
        <f>'[2]поточний ремонт'!I328+'[1]поточний ремонт'!I328</f>
        <v>0</v>
      </c>
      <c r="J328" s="42">
        <f>'[2]поточний ремонт'!J328+'[1]поточний ремонт'!J328</f>
        <v>0</v>
      </c>
      <c r="K328" s="958"/>
      <c r="L328" s="42">
        <f>'[2]поточний ремонт'!L328+'[1]поточний ремонт'!L328</f>
        <v>0</v>
      </c>
      <c r="M328" s="42">
        <f>'[2]поточний ремонт'!M328+'[1]поточний ремонт'!M328</f>
        <v>0</v>
      </c>
      <c r="N328" s="36"/>
      <c r="O328" s="42">
        <f>'[2]поточний ремонт'!O328+'[1]поточний ремонт'!O328</f>
        <v>36</v>
      </c>
      <c r="P328" s="42">
        <f>'[2]поточний ремонт'!P328+'[1]поточний ремонт'!P328</f>
        <v>11794</v>
      </c>
      <c r="Q328" s="959"/>
      <c r="R328" s="42">
        <f>'[2]поточний ремонт'!R328+'[1]поточний ремонт'!R328</f>
        <v>0</v>
      </c>
      <c r="S328" s="42">
        <f>'[2]поточний ремонт'!S328+'[1]поточний ремонт'!S328</f>
        <v>0</v>
      </c>
      <c r="T328" s="960"/>
      <c r="U328" s="42">
        <f>'[2]поточний ремонт'!U328+'[1]поточний ремонт'!U328</f>
        <v>0</v>
      </c>
      <c r="V328" s="42">
        <f>'[2]поточний ремонт'!V328+'[1]поточний ремонт'!V328</f>
        <v>0</v>
      </c>
      <c r="W328" s="42">
        <f>'[2]поточний ремонт'!W328+'[1]поточний ремонт'!W328</f>
        <v>0</v>
      </c>
      <c r="X328" s="42">
        <f>'[2]поточний ремонт'!X328+'[1]поточний ремонт'!X328</f>
        <v>0</v>
      </c>
      <c r="Y328" s="42">
        <f>'[2]поточний ремонт'!Y328+'[1]поточний ремонт'!Y328</f>
        <v>0</v>
      </c>
      <c r="Z328" s="42">
        <f>'[2]поточний ремонт'!Z328+'[1]поточний ремонт'!Z328</f>
        <v>0</v>
      </c>
      <c r="AA328" s="42">
        <f>'[2]поточний ремонт'!AA328+'[1]поточний ремонт'!AA328</f>
        <v>0</v>
      </c>
      <c r="AB328" s="42">
        <f>'[2]поточний ремонт'!AB328+'[1]поточний ремонт'!AB328</f>
        <v>1127.2720756480901</v>
      </c>
      <c r="AC328" s="42">
        <f>'[2]поточний ремонт'!AC328+'[1]поточний ремонт'!AC328</f>
        <v>687.45716940962393</v>
      </c>
      <c r="AD328" s="42">
        <f>'[2]поточний ремонт'!AD328+'[1]поточний ремонт'!AD328</f>
        <v>75.377539773353334</v>
      </c>
      <c r="AE328" s="42">
        <f>'[2]поточний ремонт'!AE328+'[1]поточний ремонт'!AE328</f>
        <v>1210.8753712309799</v>
      </c>
      <c r="AF328" s="42">
        <f>'[2]поточний ремонт'!AF328+'[1]поточний ремонт'!AF328</f>
        <v>1584.5592261573313</v>
      </c>
      <c r="AG328" s="965"/>
      <c r="AH328" s="42">
        <f>'[2]поточний ремонт'!AH328+'[1]поточний ремонт'!AH328</f>
        <v>1800.1490646704449</v>
      </c>
      <c r="AI328" s="42">
        <f>'[2]поточний ремонт'!AI328+'[1]поточний ремонт'!AI328</f>
        <v>988.62579973266759</v>
      </c>
      <c r="AJ328" s="5"/>
      <c r="AK328" s="42">
        <f>'[2]поточний ремонт'!AK328+'[1]поточний ремонт'!AK328</f>
        <v>1931.6867538939662</v>
      </c>
      <c r="AL328" s="42">
        <f>'[2]поточний ремонт'!AL328+'[1]поточний ремонт'!AL328</f>
        <v>0</v>
      </c>
      <c r="AM328" s="9"/>
      <c r="AN328" s="42">
        <f>'[2]поточний ремонт'!AN328+'[1]поточний ремонт'!AN328</f>
        <v>609.29958594051845</v>
      </c>
      <c r="AO328" s="42">
        <f>'[2]поточний ремонт'!AO328+'[1]поточний ремонт'!AO328</f>
        <v>0</v>
      </c>
      <c r="AP328" s="5"/>
      <c r="AQ328" s="42">
        <f>'[2]поточний ремонт'!AQ328+'[1]поточний ремонт'!AQ328</f>
        <v>417.64693912078178</v>
      </c>
      <c r="AR328" s="42">
        <f>'[2]поточний ремонт'!AR328+'[1]поточний ремонт'!AR328</f>
        <v>2086.9562993772511</v>
      </c>
      <c r="AS328" s="965"/>
      <c r="AT328" s="42">
        <f>'[2]поточний ремонт'!AT328+'[1]поточний ремонт'!AT328</f>
        <v>1567.4146918443678</v>
      </c>
      <c r="AU328" s="42">
        <f>'[2]поточний ремонт'!AU328+'[1]поточний ремонт'!AU328</f>
        <v>0</v>
      </c>
      <c r="AV328" s="9"/>
      <c r="AW328" s="42">
        <f>'[2]поточний ремонт'!AW328+'[1]поточний ремонт'!AW328</f>
        <v>75.290084735242345</v>
      </c>
      <c r="AX328" s="42">
        <f>'[2]поточний ремонт'!AX328+'[1]поточний ремонт'!AX328</f>
        <v>0</v>
      </c>
      <c r="AY328" s="5"/>
      <c r="AZ328" s="42">
        <f t="shared" si="40"/>
        <v>7612.3624914363008</v>
      </c>
      <c r="BA328" s="42">
        <f t="shared" si="41"/>
        <v>4660.1413252672501</v>
      </c>
      <c r="BB328" s="58">
        <f t="shared" si="42"/>
        <v>-2952.2211661690508</v>
      </c>
      <c r="BD328" s="2">
        <v>3</v>
      </c>
      <c r="BF328" s="29">
        <v>267.70940649349421</v>
      </c>
      <c r="BG328" s="318">
        <v>150000902</v>
      </c>
      <c r="BI328" s="104">
        <v>0</v>
      </c>
      <c r="BJ328" s="104">
        <f t="shared" si="46"/>
        <v>0</v>
      </c>
      <c r="BK328" s="104">
        <v>0</v>
      </c>
      <c r="BL328" s="38"/>
      <c r="BM328" s="3"/>
      <c r="BN328" s="3">
        <v>0</v>
      </c>
      <c r="BP328" s="3"/>
      <c r="BQ328" s="3"/>
      <c r="BS328" s="42"/>
      <c r="BT328" s="42">
        <v>0</v>
      </c>
      <c r="BU328" s="958"/>
      <c r="BV328" s="41"/>
      <c r="BW328" s="42"/>
      <c r="BX328" s="36"/>
      <c r="BY328" s="76"/>
      <c r="BZ328" s="42">
        <v>0</v>
      </c>
      <c r="CA328" s="959"/>
      <c r="CB328" s="41"/>
      <c r="CC328" s="41">
        <v>0</v>
      </c>
      <c r="CD328" s="960"/>
      <c r="CE328" s="76">
        <v>0</v>
      </c>
      <c r="CF328" s="55"/>
      <c r="CG328" s="41">
        <v>0</v>
      </c>
      <c r="CH328" s="38">
        <v>0</v>
      </c>
      <c r="CI328" s="76">
        <v>0</v>
      </c>
      <c r="CJ328" s="55"/>
      <c r="CK328" s="955"/>
      <c r="CL328" s="950"/>
      <c r="CM328" s="955"/>
      <c r="CN328" s="950">
        <v>0</v>
      </c>
      <c r="CO328" s="76">
        <v>72.788123814466189</v>
      </c>
      <c r="CP328" s="42">
        <v>0</v>
      </c>
      <c r="CQ328" s="965"/>
      <c r="CR328" s="76">
        <v>150.23382237841824</v>
      </c>
      <c r="CS328" s="954">
        <v>0</v>
      </c>
      <c r="CT328" s="5"/>
      <c r="CU328" s="76">
        <v>157.32703860570757</v>
      </c>
      <c r="CV328" s="42">
        <v>0</v>
      </c>
      <c r="CW328" s="9"/>
      <c r="CX328" s="76">
        <v>54.693785037164652</v>
      </c>
      <c r="CY328" s="42">
        <v>0</v>
      </c>
      <c r="CZ328" s="5"/>
      <c r="DA328" s="76">
        <v>32.980617657691397</v>
      </c>
      <c r="DB328" s="42">
        <v>0</v>
      </c>
      <c r="DC328" s="965"/>
      <c r="DD328" s="76">
        <v>106.21202791090296</v>
      </c>
      <c r="DE328" s="42">
        <v>0</v>
      </c>
      <c r="DF328" s="9"/>
      <c r="DG328" s="76">
        <v>0</v>
      </c>
      <c r="DH328" s="42"/>
      <c r="DI328" s="5"/>
      <c r="DJ328" s="42">
        <v>574.2354154043511</v>
      </c>
      <c r="DK328" s="42">
        <f t="shared" si="47"/>
        <v>0</v>
      </c>
      <c r="DL328" s="58">
        <f t="shared" si="48"/>
        <v>-574.2354154043511</v>
      </c>
      <c r="DM328" s="2">
        <v>3</v>
      </c>
    </row>
    <row r="329" spans="1:117" ht="24.9" customHeight="1" x14ac:dyDescent="0.3">
      <c r="A329" s="318">
        <v>150000903</v>
      </c>
      <c r="B329" s="44" t="s">
        <v>404</v>
      </c>
      <c r="C329" s="956">
        <v>9</v>
      </c>
      <c r="D329" s="957" t="s">
        <v>454</v>
      </c>
      <c r="E329" s="949">
        <f>'побудинковий звіт'!E327</f>
        <v>4073.8</v>
      </c>
      <c r="F329" s="950">
        <f>'побудинковий звіт'!AS327</f>
        <v>104869.23172261813</v>
      </c>
      <c r="G329" s="950">
        <f t="shared" si="38"/>
        <v>105848.48708581051</v>
      </c>
      <c r="H329" s="950">
        <f t="shared" si="39"/>
        <v>979.25536319238017</v>
      </c>
      <c r="I329" s="42">
        <f>'[2]поточний ремонт'!I329+'[1]поточний ремонт'!I329</f>
        <v>0</v>
      </c>
      <c r="J329" s="42">
        <f>'[2]поточний ремонт'!J329+'[1]поточний ремонт'!J329</f>
        <v>0</v>
      </c>
      <c r="K329" s="958"/>
      <c r="L329" s="42">
        <f>'[2]поточний ремонт'!L329+'[1]поточний ремонт'!L329</f>
        <v>0</v>
      </c>
      <c r="M329" s="42">
        <f>'[2]поточний ремонт'!M329+'[1]поточний ремонт'!M329</f>
        <v>0</v>
      </c>
      <c r="N329" s="36"/>
      <c r="O329" s="42">
        <f>'[2]поточний ремонт'!O329+'[1]поточний ремонт'!O329</f>
        <v>0</v>
      </c>
      <c r="P329" s="42">
        <f>'[2]поточний ремонт'!P329+'[1]поточний ремонт'!P329</f>
        <v>0</v>
      </c>
      <c r="Q329" s="959"/>
      <c r="R329" s="42">
        <f>'[2]поточний ремонт'!R329+'[1]поточний ремонт'!R329</f>
        <v>2</v>
      </c>
      <c r="S329" s="42">
        <f>'[2]поточний ремонт'!S329+'[1]поточний ремонт'!S329</f>
        <v>85199.327541106104</v>
      </c>
      <c r="T329" s="968"/>
      <c r="U329" s="42">
        <f>'[2]поточний ремонт'!U329+'[1]поточний ремонт'!U329</f>
        <v>6574</v>
      </c>
      <c r="V329" s="42">
        <f>'[2]поточний ремонт'!V329+'[1]поточний ремонт'!V329</f>
        <v>0</v>
      </c>
      <c r="W329" s="42">
        <f>'[2]поточний ремонт'!W329+'[1]поточний ремонт'!W329</f>
        <v>0</v>
      </c>
      <c r="X329" s="42">
        <f>'[2]поточний ремонт'!X329+'[1]поточний ремонт'!X329</f>
        <v>0</v>
      </c>
      <c r="Y329" s="42">
        <f>'[2]поточний ремонт'!Y329+'[1]поточний ремонт'!Y329</f>
        <v>7707.8210133789335</v>
      </c>
      <c r="Z329" s="42">
        <f>'[2]поточний ремонт'!Z329+'[1]поточний ремонт'!Z329</f>
        <v>0</v>
      </c>
      <c r="AA329" s="42">
        <f>'[2]поточний ремонт'!AA329+'[1]поточний ремонт'!AA329</f>
        <v>0</v>
      </c>
      <c r="AB329" s="42">
        <f>'[2]поточний ремонт'!AB329+'[1]поточний ремонт'!AB329</f>
        <v>5084.6266134460675</v>
      </c>
      <c r="AC329" s="42">
        <f>'[2]поточний ремонт'!AC329+'[1]поточний ремонт'!AC329</f>
        <v>944.17885845829665</v>
      </c>
      <c r="AD329" s="42">
        <f>'[2]поточний ремонт'!AD329+'[1]поточний ремонт'!AD329</f>
        <v>338.53305942110876</v>
      </c>
      <c r="AE329" s="42">
        <f>'[2]поточний ремонт'!AE329+'[1]поточний ремонт'!AE329</f>
        <v>1148.4261379118961</v>
      </c>
      <c r="AF329" s="42">
        <f>'[2]поточний ремонт'!AF329+'[1]поточний ремонт'!AF329</f>
        <v>0</v>
      </c>
      <c r="AG329" s="5"/>
      <c r="AH329" s="42">
        <f>'[2]поточний ремонт'!AH329+'[1]поточний ремонт'!AH329</f>
        <v>1087.5805342303254</v>
      </c>
      <c r="AI329" s="42">
        <f>'[2]поточний ремонт'!AI329+'[1]поточний ремонт'!AI329</f>
        <v>1972.0225180314887</v>
      </c>
      <c r="AJ329" s="5"/>
      <c r="AK329" s="42">
        <f>'[2]поточний ремонт'!AK329+'[1]поточний ремонт'!AK329</f>
        <v>2135.691364906419</v>
      </c>
      <c r="AL329" s="42">
        <f>'[2]поточний ремонт'!AL329+'[1]поточний ремонт'!AL329</f>
        <v>0</v>
      </c>
      <c r="AM329" s="9"/>
      <c r="AN329" s="42">
        <f>'[2]поточний ремонт'!AN329+'[1]поточний ремонт'!AN329</f>
        <v>734.41700769710803</v>
      </c>
      <c r="AO329" s="42">
        <f>'[2]поточний ремонт'!AO329+'[1]поточний ремонт'!AO329</f>
        <v>0</v>
      </c>
      <c r="AP329" s="5"/>
      <c r="AQ329" s="42">
        <f>'[2]поточний ремонт'!AQ329+'[1]поточний ремонт'!AQ329</f>
        <v>417.64693912078178</v>
      </c>
      <c r="AR329" s="42">
        <f>'[2]поточний ремонт'!AR329+'[1]поточний ремонт'!AR329</f>
        <v>0</v>
      </c>
      <c r="AS329" s="5"/>
      <c r="AT329" s="42">
        <f>'[2]поточний ремонт'!AT329+'[1]поточний ремонт'!AT329</f>
        <v>1415.1986217846163</v>
      </c>
      <c r="AU329" s="42">
        <f>'[2]поточний ремонт'!AU329+'[1]поточний ремонт'!AU329</f>
        <v>2162.744805579337</v>
      </c>
      <c r="AV329" s="5"/>
      <c r="AW329" s="42">
        <f>'[2]поточний ремонт'!AW329+'[1]поточний ремонт'!AW329</f>
        <v>75.290084735242345</v>
      </c>
      <c r="AX329" s="42">
        <f>'[2]поточний ремонт'!AX329+'[1]поточний ремонт'!AX329</f>
        <v>5361.4028103199998</v>
      </c>
      <c r="AY329" s="5"/>
      <c r="AZ329" s="42">
        <f t="shared" si="40"/>
        <v>7014.2506903863887</v>
      </c>
      <c r="BA329" s="42">
        <f t="shared" si="41"/>
        <v>9496.1701339308256</v>
      </c>
      <c r="BB329" s="58">
        <f t="shared" si="42"/>
        <v>2481.9194435444369</v>
      </c>
      <c r="BD329" s="2">
        <v>3</v>
      </c>
      <c r="BF329" s="29">
        <v>304.48739995810178</v>
      </c>
      <c r="BG329" s="318">
        <v>150000903</v>
      </c>
      <c r="BI329" s="104">
        <v>0</v>
      </c>
      <c r="BJ329" s="104">
        <f t="shared" si="46"/>
        <v>0</v>
      </c>
      <c r="BK329" s="104">
        <v>0</v>
      </c>
      <c r="BL329" s="38"/>
      <c r="BM329" s="3"/>
      <c r="BN329" s="3">
        <v>0</v>
      </c>
      <c r="BP329" s="3"/>
      <c r="BQ329" s="3"/>
      <c r="BS329" s="42"/>
      <c r="BT329" s="42">
        <v>0</v>
      </c>
      <c r="BU329" s="958"/>
      <c r="BV329" s="41"/>
      <c r="BW329" s="42"/>
      <c r="BX329" s="36"/>
      <c r="BY329" s="76"/>
      <c r="BZ329" s="42">
        <v>0</v>
      </c>
      <c r="CA329" s="959"/>
      <c r="CB329" s="41"/>
      <c r="CC329" s="41">
        <v>0</v>
      </c>
      <c r="CD329" s="968"/>
      <c r="CE329" s="76">
        <v>0</v>
      </c>
      <c r="CF329" s="55"/>
      <c r="CG329" s="41">
        <v>0</v>
      </c>
      <c r="CH329" s="38">
        <v>0</v>
      </c>
      <c r="CI329" s="76">
        <v>0</v>
      </c>
      <c r="CJ329" s="55"/>
      <c r="CK329" s="955"/>
      <c r="CL329" s="950"/>
      <c r="CM329" s="955"/>
      <c r="CN329" s="950">
        <v>0</v>
      </c>
      <c r="CO329" s="76">
        <v>73.516382554676241</v>
      </c>
      <c r="CP329" s="42">
        <v>0</v>
      </c>
      <c r="CQ329" s="5"/>
      <c r="CR329" s="76">
        <v>87.665713458522063</v>
      </c>
      <c r="CS329" s="954">
        <v>1969.5702160791147</v>
      </c>
      <c r="CT329" s="5"/>
      <c r="CU329" s="76">
        <v>178.41110384676671</v>
      </c>
      <c r="CV329" s="42">
        <v>0</v>
      </c>
      <c r="CW329" s="9"/>
      <c r="CX329" s="76">
        <v>66.013682739776854</v>
      </c>
      <c r="CY329" s="42">
        <v>0</v>
      </c>
      <c r="CZ329" s="5"/>
      <c r="DA329" s="76">
        <v>32.980617657691397</v>
      </c>
      <c r="DB329" s="42">
        <v>0</v>
      </c>
      <c r="DC329" s="5"/>
      <c r="DD329" s="76">
        <v>90.4478667045572</v>
      </c>
      <c r="DE329" s="42">
        <v>0</v>
      </c>
      <c r="DF329" s="5"/>
      <c r="DG329" s="76">
        <v>0</v>
      </c>
      <c r="DH329" s="42"/>
      <c r="DI329" s="5"/>
      <c r="DJ329" s="42">
        <v>529.03536696199046</v>
      </c>
      <c r="DK329" s="42">
        <f t="shared" si="47"/>
        <v>1969.5702160791147</v>
      </c>
      <c r="DL329" s="58">
        <f t="shared" si="48"/>
        <v>1440.5348491171244</v>
      </c>
      <c r="DM329" s="2">
        <v>3</v>
      </c>
    </row>
    <row r="330" spans="1:117" ht="26.25" customHeight="1" x14ac:dyDescent="0.3">
      <c r="A330" s="318">
        <v>150000904</v>
      </c>
      <c r="B330" s="44" t="s">
        <v>405</v>
      </c>
      <c r="C330" s="956">
        <v>9</v>
      </c>
      <c r="D330" s="957" t="s">
        <v>454</v>
      </c>
      <c r="E330" s="949">
        <f>'побудинковий звіт'!E328</f>
        <v>4388.5</v>
      </c>
      <c r="F330" s="950">
        <f>'побудинковий звіт'!AS328</f>
        <v>99286.09493930648</v>
      </c>
      <c r="G330" s="950">
        <f t="shared" si="38"/>
        <v>69671.637094078251</v>
      </c>
      <c r="H330" s="950">
        <f t="shared" si="39"/>
        <v>-29614.457845228229</v>
      </c>
      <c r="I330" s="42">
        <f>'[2]поточний ремонт'!I330+'[1]поточний ремонт'!I330</f>
        <v>0</v>
      </c>
      <c r="J330" s="42">
        <f>'[2]поточний ремонт'!J330+'[1]поточний ремонт'!J330</f>
        <v>0</v>
      </c>
      <c r="K330" s="958"/>
      <c r="L330" s="42">
        <f>'[2]поточний ремонт'!L330+'[1]поточний ремонт'!L330</f>
        <v>0</v>
      </c>
      <c r="M330" s="42">
        <f>'[2]поточний ремонт'!M330+'[1]поточний ремонт'!M330</f>
        <v>0</v>
      </c>
      <c r="N330" s="36"/>
      <c r="O330" s="42">
        <f>'[2]поточний ремонт'!O330+'[1]поточний ремонт'!O330</f>
        <v>0</v>
      </c>
      <c r="P330" s="42">
        <f>'[2]поточний ремонт'!P330+'[1]поточний ремонт'!P330</f>
        <v>0</v>
      </c>
      <c r="Q330" s="959"/>
      <c r="R330" s="42">
        <f>'[2]поточний ремонт'!R330+'[1]поточний ремонт'!R330</f>
        <v>1</v>
      </c>
      <c r="S330" s="42">
        <f>'[2]поточний ремонт'!S330+'[1]поточний ремонт'!S330</f>
        <v>514</v>
      </c>
      <c r="T330" s="960"/>
      <c r="U330" s="42">
        <f>'[2]поточний ремонт'!U330+'[1]поточний ремонт'!U330</f>
        <v>0</v>
      </c>
      <c r="V330" s="42">
        <f>'[2]поточний ремонт'!V330+'[1]поточний ремонт'!V330</f>
        <v>0</v>
      </c>
      <c r="W330" s="42">
        <f>'[2]поточний ремонт'!W330+'[1]поточний ремонт'!W330</f>
        <v>0</v>
      </c>
      <c r="X330" s="42">
        <f>'[2]поточний ремонт'!X330+'[1]поточний ремонт'!X330</f>
        <v>0</v>
      </c>
      <c r="Y330" s="42">
        <f>'[2]поточний ремонт'!Y330+'[1]поточний ремонт'!Y330</f>
        <v>57264.075721813679</v>
      </c>
      <c r="Z330" s="42">
        <f>'[2]поточний ремонт'!Z330+'[1]поточний ремонт'!Z330</f>
        <v>0</v>
      </c>
      <c r="AA330" s="42">
        <f>'[2]поточний ремонт'!AA330+'[1]поточний ремонт'!AA330</f>
        <v>0</v>
      </c>
      <c r="AB330" s="42">
        <f>'[2]поточний ремонт'!AB330+'[1]поточний ремонт'!AB330</f>
        <v>5828.4789766751301</v>
      </c>
      <c r="AC330" s="42">
        <f>'[2]поточний ремонт'!AC330+'[1]поточний ремонт'!AC330</f>
        <v>2910.330768553179</v>
      </c>
      <c r="AD330" s="42">
        <f>'[2]поточний ремонт'!AD330+'[1]поточний ремонт'!AD330</f>
        <v>3154.7516270362639</v>
      </c>
      <c r="AE330" s="42">
        <f>'[2]поточний ремонт'!AE330+'[1]поточний ремонт'!AE330</f>
        <v>1672.6702445362744</v>
      </c>
      <c r="AF330" s="42">
        <f>'[2]поточний ремонт'!AF330+'[1]поточний ремонт'!AF330</f>
        <v>0</v>
      </c>
      <c r="AG330" s="5"/>
      <c r="AH330" s="42">
        <f>'[2]поточний ремонт'!AH330+'[1]поточний ремонт'!AH330</f>
        <v>2055.8901407425647</v>
      </c>
      <c r="AI330" s="42">
        <f>'[2]поточний ремонт'!AI330+'[1]поточний ремонт'!AI330</f>
        <v>2503.5151930568909</v>
      </c>
      <c r="AJ330" s="5"/>
      <c r="AK330" s="42">
        <f>'[2]поточний ремонт'!AK330+'[1]поточний ремонт'!AK330</f>
        <v>2412.1128179908492</v>
      </c>
      <c r="AL330" s="42">
        <f>'[2]поточний ремонт'!AL330+'[1]поточний ремонт'!AL330</f>
        <v>43831.745340195077</v>
      </c>
      <c r="AM330" s="5"/>
      <c r="AN330" s="42">
        <f>'[2]поточний ремонт'!AN330+'[1]поточний ремонт'!AN330</f>
        <v>749.73979964350974</v>
      </c>
      <c r="AO330" s="42">
        <f>'[2]поточний ремонт'!AO330+'[1]поточний ремонт'!AO330</f>
        <v>0</v>
      </c>
      <c r="AP330" s="5"/>
      <c r="AQ330" s="42">
        <f>'[2]поточний ремонт'!AQ330+'[1]поточний ремонт'!AQ330</f>
        <v>423.16059351935337</v>
      </c>
      <c r="AR330" s="42">
        <f>'[2]поточний ремонт'!AR330+'[1]поточний ремонт'!AR330</f>
        <v>7531.899884688265</v>
      </c>
      <c r="AS330" s="5"/>
      <c r="AT330" s="42">
        <f>'[2]поточний ремонт'!AT330+'[1]поточний ремонт'!AT330</f>
        <v>1372.1376418463919</v>
      </c>
      <c r="AU330" s="42">
        <f>'[2]поточний ремонт'!AU330+'[1]поточний ремонт'!AU330</f>
        <v>6115.2138298589334</v>
      </c>
      <c r="AV330" s="5"/>
      <c r="AW330" s="42">
        <f>'[2]поточний ремонт'!AW330+'[1]поточний ремонт'!AW330</f>
        <v>112.9351271028635</v>
      </c>
      <c r="AX330" s="42">
        <f>'[2]поточний ремонт'!AX330+'[1]поточний ремонт'!AX330</f>
        <v>3008.4290945600001</v>
      </c>
      <c r="AY330" s="5"/>
      <c r="AZ330" s="42">
        <f t="shared" si="40"/>
        <v>8798.6463653818046</v>
      </c>
      <c r="BA330" s="42">
        <f t="shared" si="41"/>
        <v>62990.80334235917</v>
      </c>
      <c r="BB330" s="58">
        <f t="shared" si="42"/>
        <v>54192.156976977363</v>
      </c>
      <c r="BD330" s="2">
        <v>3</v>
      </c>
      <c r="BF330" s="29">
        <v>327.95953399852209</v>
      </c>
      <c r="BG330" s="318">
        <v>150000904</v>
      </c>
      <c r="BI330" s="104">
        <v>0</v>
      </c>
      <c r="BJ330" s="104">
        <f t="shared" si="46"/>
        <v>0</v>
      </c>
      <c r="BK330" s="104">
        <v>0</v>
      </c>
      <c r="BL330" s="38"/>
      <c r="BM330" s="3"/>
      <c r="BN330" s="3">
        <v>0</v>
      </c>
      <c r="BP330" s="3"/>
      <c r="BQ330" s="3"/>
      <c r="BS330" s="42"/>
      <c r="BT330" s="42">
        <v>0</v>
      </c>
      <c r="BU330" s="958"/>
      <c r="BV330" s="41"/>
      <c r="BW330" s="42"/>
      <c r="BX330" s="36"/>
      <c r="BY330" s="76"/>
      <c r="BZ330" s="42">
        <v>0</v>
      </c>
      <c r="CA330" s="959"/>
      <c r="CB330" s="41"/>
      <c r="CC330" s="41">
        <v>0</v>
      </c>
      <c r="CD330" s="960"/>
      <c r="CE330" s="76">
        <v>0</v>
      </c>
      <c r="CF330" s="972"/>
      <c r="CG330" s="41">
        <v>0</v>
      </c>
      <c r="CH330" s="38">
        <v>0</v>
      </c>
      <c r="CI330" s="76">
        <v>0</v>
      </c>
      <c r="CJ330" s="964"/>
      <c r="CK330" s="955"/>
      <c r="CL330" s="950"/>
      <c r="CM330" s="955">
        <v>163</v>
      </c>
      <c r="CN330" s="950">
        <v>0</v>
      </c>
      <c r="CO330" s="76">
        <v>106.02210640591466</v>
      </c>
      <c r="CP330" s="42">
        <v>0</v>
      </c>
      <c r="CQ330" s="5"/>
      <c r="CR330" s="76">
        <v>152.13724419834182</v>
      </c>
      <c r="CS330" s="954">
        <v>0</v>
      </c>
      <c r="CT330" s="5"/>
      <c r="CU330" s="76">
        <v>199.3986166751111</v>
      </c>
      <c r="CV330" s="42">
        <v>0</v>
      </c>
      <c r="CW330" s="5"/>
      <c r="CX330" s="76">
        <v>66.303124485636502</v>
      </c>
      <c r="CY330" s="42">
        <v>0</v>
      </c>
      <c r="CZ330" s="5"/>
      <c r="DA330" s="76">
        <v>32.980617657691397</v>
      </c>
      <c r="DB330" s="42">
        <v>0</v>
      </c>
      <c r="DC330" s="5"/>
      <c r="DD330" s="76">
        <v>80.631291315014053</v>
      </c>
      <c r="DE330" s="42">
        <v>0</v>
      </c>
      <c r="DF330" s="5"/>
      <c r="DG330" s="76">
        <v>0</v>
      </c>
      <c r="DH330" s="42"/>
      <c r="DI330" s="5"/>
      <c r="DJ330" s="42">
        <v>637.47300073770953</v>
      </c>
      <c r="DK330" s="42">
        <f t="shared" si="47"/>
        <v>0</v>
      </c>
      <c r="DL330" s="58">
        <f t="shared" si="48"/>
        <v>-637.47300073770953</v>
      </c>
      <c r="DM330" s="2">
        <v>3</v>
      </c>
    </row>
    <row r="331" spans="1:117" ht="24.9" customHeight="1" x14ac:dyDescent="0.3">
      <c r="A331" s="318">
        <v>150000905</v>
      </c>
      <c r="B331" s="44" t="s">
        <v>426</v>
      </c>
      <c r="C331" s="956">
        <v>14</v>
      </c>
      <c r="D331" s="957" t="s">
        <v>454</v>
      </c>
      <c r="E331" s="949">
        <f>'побудинковий звіт'!E329</f>
        <v>5221.3</v>
      </c>
      <c r="F331" s="950">
        <f>'побудинковий звіт'!AS329</f>
        <v>111135.31819239899</v>
      </c>
      <c r="G331" s="950">
        <f t="shared" ref="G331:G355" si="49">J331+M331+P331+S331+U331+X331+Y331+AA331+AB331+AC331+AD331</f>
        <v>75836.319318778114</v>
      </c>
      <c r="H331" s="950">
        <f t="shared" ref="H331:H355" si="50">G331-F331</f>
        <v>-35298.998873620876</v>
      </c>
      <c r="I331" s="42">
        <f>'[2]поточний ремонт'!I331+'[1]поточний ремонт'!I331</f>
        <v>138</v>
      </c>
      <c r="J331" s="42">
        <f>'[2]поточний ремонт'!J331+'[1]поточний ремонт'!J331</f>
        <v>38054</v>
      </c>
      <c r="K331" s="958"/>
      <c r="L331" s="42">
        <f>'[2]поточний ремонт'!L331+'[1]поточний ремонт'!L331</f>
        <v>0</v>
      </c>
      <c r="M331" s="42">
        <f>'[2]поточний ремонт'!M331+'[1]поточний ремонт'!M331</f>
        <v>0</v>
      </c>
      <c r="N331" s="36"/>
      <c r="O331" s="42">
        <f>'[2]поточний ремонт'!O331+'[1]поточний ремонт'!O331</f>
        <v>0</v>
      </c>
      <c r="P331" s="42">
        <f>'[2]поточний ремонт'!P331+'[1]поточний ремонт'!P331</f>
        <v>0</v>
      </c>
      <c r="Q331" s="959"/>
      <c r="R331" s="42">
        <f>'[2]поточний ремонт'!R331+'[1]поточний ремонт'!R331</f>
        <v>3</v>
      </c>
      <c r="S331" s="42">
        <f>'[2]поточний ремонт'!S331+'[1]поточний ремонт'!S331</f>
        <v>12126.815397653409</v>
      </c>
      <c r="T331" s="960"/>
      <c r="U331" s="42">
        <f>'[2]поточний ремонт'!U331+'[1]поточний ремонт'!U331</f>
        <v>0</v>
      </c>
      <c r="V331" s="42">
        <f>'[2]поточний ремонт'!V331+'[1]поточний ремонт'!V331</f>
        <v>0</v>
      </c>
      <c r="W331" s="42">
        <f>'[2]поточний ремонт'!W331+'[1]поточний ремонт'!W331</f>
        <v>0</v>
      </c>
      <c r="X331" s="42">
        <f>'[2]поточний ремонт'!X331+'[1]поточний ремонт'!X331</f>
        <v>0</v>
      </c>
      <c r="Y331" s="42">
        <f>'[2]поточний ремонт'!Y331+'[1]поточний ремонт'!Y331</f>
        <v>18258.670535989109</v>
      </c>
      <c r="Z331" s="42">
        <f>'[2]поточний ремонт'!Z331+'[1]поточний ремонт'!Z331</f>
        <v>0</v>
      </c>
      <c r="AA331" s="42">
        <f>'[2]поточний ремонт'!AA331+'[1]поточний ремонт'!AA331</f>
        <v>0</v>
      </c>
      <c r="AB331" s="42">
        <f>'[2]поточний ремонт'!AB331+'[1]поточний ремонт'!AB331</f>
        <v>0</v>
      </c>
      <c r="AC331" s="42">
        <f>'[2]поточний ремонт'!AC331+'[1]поточний ремонт'!AC331</f>
        <v>3993</v>
      </c>
      <c r="AD331" s="42">
        <f>'[2]поточний ремонт'!AD331+'[1]поточний ремонт'!AD331</f>
        <v>3403.8333851355997</v>
      </c>
      <c r="AE331" s="42">
        <f>'[2]поточний ремонт'!AE331+'[1]поточний ремонт'!AE331</f>
        <v>1393.2660302818961</v>
      </c>
      <c r="AF331" s="42">
        <f>'[2]поточний ремонт'!AF331+'[1]поточний ремонт'!AF331</f>
        <v>0</v>
      </c>
      <c r="AG331" s="5"/>
      <c r="AH331" s="42">
        <f>'[2]поточний ремонт'!AH331+'[1]поточний ремонт'!AH331</f>
        <v>1474.187233506779</v>
      </c>
      <c r="AI331" s="42">
        <f>'[2]поточний ремонт'!AI331+'[1]поточний ремонт'!AI331</f>
        <v>0</v>
      </c>
      <c r="AJ331" s="5"/>
      <c r="AK331" s="42">
        <f>'[2]поточний ремонт'!AK331+'[1]поточний ремонт'!AK331</f>
        <v>3062.2864157999356</v>
      </c>
      <c r="AL331" s="42">
        <f>'[2]поточний ремонт'!AL331+'[1]поточний ремонт'!AL331</f>
        <v>806.97263289390003</v>
      </c>
      <c r="AM331" s="5"/>
      <c r="AN331" s="42">
        <f>'[2]поточний ремонт'!AN331+'[1]поточний ремонт'!AN331</f>
        <v>807.2918831414022</v>
      </c>
      <c r="AO331" s="42">
        <f>'[2]поточний ремонт'!AO331+'[1]поточний ремонт'!AO331</f>
        <v>0</v>
      </c>
      <c r="AP331" s="5"/>
      <c r="AQ331" s="42">
        <f>'[2]поточний ремонт'!AQ331+'[1]поточний ремонт'!AQ331</f>
        <v>424.34850048457781</v>
      </c>
      <c r="AR331" s="42">
        <f>'[2]поточний ремонт'!AR331+'[1]поточний ремонт'!AR331</f>
        <v>0</v>
      </c>
      <c r="AS331" s="5"/>
      <c r="AT331" s="42">
        <f>'[2]поточний ремонт'!AT331+'[1]поточний ремонт'!AT331</f>
        <v>1209.0263392780778</v>
      </c>
      <c r="AU331" s="42">
        <f>'[2]поточний ремонт'!AU331+'[1]поточний ремонт'!AU331</f>
        <v>12966.987803522154</v>
      </c>
      <c r="AV331" s="5"/>
      <c r="AW331" s="42">
        <f>'[2]поточний ремонт'!AW331+'[1]поточний ремонт'!AW331</f>
        <v>0</v>
      </c>
      <c r="AX331" s="42">
        <f>'[2]поточний ремонт'!AX331+'[1]поточний ремонт'!AX331</f>
        <v>0</v>
      </c>
      <c r="AY331" s="5"/>
      <c r="AZ331" s="42">
        <f t="shared" ref="AZ331:AZ355" si="51">AE331+AH331+AK331+AN331+AQ331+AT331+AW331</f>
        <v>8370.4064024926683</v>
      </c>
      <c r="BA331" s="42">
        <f t="shared" ref="BA331:BA355" si="52">AF331+AI331+AL331+AO331+AR331+AU331+AX331</f>
        <v>13773.960436416053</v>
      </c>
      <c r="BB331" s="58">
        <f t="shared" ref="BB331:BB355" si="53">BA331-AZ331</f>
        <v>5403.5540339233848</v>
      </c>
      <c r="BD331" s="2">
        <v>3</v>
      </c>
      <c r="BF331" s="29">
        <v>410.50132127296536</v>
      </c>
      <c r="BG331" s="318">
        <v>150000905</v>
      </c>
      <c r="BI331" s="104">
        <v>0</v>
      </c>
      <c r="BJ331" s="104">
        <f t="shared" si="46"/>
        <v>0</v>
      </c>
      <c r="BK331" s="104">
        <v>0</v>
      </c>
      <c r="BL331" s="38"/>
      <c r="BM331" s="3"/>
      <c r="BN331" s="3">
        <v>0</v>
      </c>
      <c r="BP331" s="3"/>
      <c r="BQ331" s="3"/>
      <c r="BS331" s="42"/>
      <c r="BT331" s="42">
        <v>0</v>
      </c>
      <c r="BU331" s="958"/>
      <c r="BV331" s="41"/>
      <c r="BW331" s="42"/>
      <c r="BX331" s="36"/>
      <c r="BY331" s="76"/>
      <c r="BZ331" s="42">
        <v>0</v>
      </c>
      <c r="CA331" s="959"/>
      <c r="CB331" s="41">
        <v>1</v>
      </c>
      <c r="CC331" s="41">
        <v>4093.8022580193197</v>
      </c>
      <c r="CD331" s="960"/>
      <c r="CE331" s="76">
        <v>0</v>
      </c>
      <c r="CF331" s="55"/>
      <c r="CG331" s="41">
        <v>0</v>
      </c>
      <c r="CH331" s="38">
        <v>0</v>
      </c>
      <c r="CI331" s="76">
        <v>0</v>
      </c>
      <c r="CJ331" s="55"/>
      <c r="CK331" s="955"/>
      <c r="CL331" s="950"/>
      <c r="CM331" s="955"/>
      <c r="CN331" s="950">
        <v>3399.2118711128005</v>
      </c>
      <c r="CO331" s="76">
        <v>91.697307957662701</v>
      </c>
      <c r="CP331" s="42">
        <v>0</v>
      </c>
      <c r="CQ331" s="5"/>
      <c r="CR331" s="76">
        <v>109.18093454649606</v>
      </c>
      <c r="CS331" s="954">
        <v>0</v>
      </c>
      <c r="CT331" s="5"/>
      <c r="CU331" s="76">
        <v>261.00181600090679</v>
      </c>
      <c r="CV331" s="42">
        <v>0</v>
      </c>
      <c r="CW331" s="5"/>
      <c r="CX331" s="76">
        <v>72.271890541945339</v>
      </c>
      <c r="CY331" s="42">
        <v>0</v>
      </c>
      <c r="CZ331" s="5"/>
      <c r="DA331" s="76">
        <v>33.735122980815945</v>
      </c>
      <c r="DB331" s="42">
        <v>0</v>
      </c>
      <c r="DC331" s="5"/>
      <c r="DD331" s="76">
        <v>71.460347593821396</v>
      </c>
      <c r="DE331" s="42">
        <v>0</v>
      </c>
      <c r="DF331" s="5"/>
      <c r="DG331" s="76">
        <v>0</v>
      </c>
      <c r="DH331" s="42"/>
      <c r="DI331" s="5"/>
      <c r="DJ331" s="42">
        <v>639.34741962164833</v>
      </c>
      <c r="DK331" s="42">
        <f t="shared" si="47"/>
        <v>0</v>
      </c>
      <c r="DL331" s="58">
        <f t="shared" si="48"/>
        <v>-639.34741962164833</v>
      </c>
      <c r="DM331" s="2">
        <v>3</v>
      </c>
    </row>
    <row r="332" spans="1:117" ht="24.9" customHeight="1" x14ac:dyDescent="0.3">
      <c r="A332" s="318">
        <v>150000906</v>
      </c>
      <c r="B332" s="44" t="s">
        <v>406</v>
      </c>
      <c r="C332" s="956">
        <v>9</v>
      </c>
      <c r="D332" s="957" t="s">
        <v>454</v>
      </c>
      <c r="E332" s="949">
        <f>'побудинковий звіт'!E330</f>
        <v>3937.18</v>
      </c>
      <c r="F332" s="950">
        <f>'побудинковий звіт'!AS330</f>
        <v>113695.87770074466</v>
      </c>
      <c r="G332" s="950">
        <f t="shared" si="49"/>
        <v>152012.42021986647</v>
      </c>
      <c r="H332" s="950">
        <f t="shared" si="50"/>
        <v>38316.542519121809</v>
      </c>
      <c r="I332" s="42">
        <f>'[2]поточний ремонт'!I332+'[1]поточний ремонт'!I332</f>
        <v>0</v>
      </c>
      <c r="J332" s="42">
        <f>'[2]поточний ремонт'!J332+'[1]поточний ремонт'!J332</f>
        <v>0</v>
      </c>
      <c r="K332" s="958"/>
      <c r="L332" s="42">
        <f>'[2]поточний ремонт'!L332+'[1]поточний ремонт'!L332</f>
        <v>0</v>
      </c>
      <c r="M332" s="42">
        <f>'[2]поточний ремонт'!M332+'[1]поточний ремонт'!M332</f>
        <v>0</v>
      </c>
      <c r="N332" s="36"/>
      <c r="O332" s="42">
        <f>'[2]поточний ремонт'!O332+'[1]поточний ремонт'!O332</f>
        <v>0</v>
      </c>
      <c r="P332" s="42">
        <f>'[2]поточний ремонт'!P332+'[1]поточний ремонт'!P332</f>
        <v>0</v>
      </c>
      <c r="Q332" s="966"/>
      <c r="R332" s="42">
        <f>'[2]поточний ремонт'!R332+'[1]поточний ремонт'!R332</f>
        <v>0</v>
      </c>
      <c r="S332" s="42">
        <f>'[2]поточний ремонт'!S332+'[1]поточний ремонт'!S332</f>
        <v>0</v>
      </c>
      <c r="T332" s="960"/>
      <c r="U332" s="42">
        <f>'[2]поточний ремонт'!U332+'[1]поточний ремонт'!U332</f>
        <v>0</v>
      </c>
      <c r="V332" s="42">
        <f>'[2]поточний ремонт'!V332+'[1]поточний ремонт'!V332</f>
        <v>0</v>
      </c>
      <c r="W332" s="42">
        <f>'[2]поточний ремонт'!W332+'[1]поточний ремонт'!W332</f>
        <v>0</v>
      </c>
      <c r="X332" s="42">
        <f>'[2]поточний ремонт'!X332+'[1]поточний ремонт'!X332</f>
        <v>0</v>
      </c>
      <c r="Y332" s="42">
        <f>'[2]поточний ремонт'!Y332+'[1]поточний ремонт'!Y332</f>
        <v>95547.454916421513</v>
      </c>
      <c r="Z332" s="42">
        <f>'[2]поточний ремонт'!Z332+'[1]поточний ремонт'!Z332</f>
        <v>0</v>
      </c>
      <c r="AA332" s="42">
        <f>'[2]поточний ремонт'!AA332+'[1]поточний ремонт'!AA332</f>
        <v>0</v>
      </c>
      <c r="AB332" s="42">
        <f>'[2]поточний ремонт'!AB332+'[1]поточний ремонт'!AB332</f>
        <v>47353.380530472015</v>
      </c>
      <c r="AC332" s="42">
        <f>'[2]поточний ремонт'!AC332+'[1]поточний ремонт'!AC332</f>
        <v>910.17947270257878</v>
      </c>
      <c r="AD332" s="42">
        <f>'[2]поточний ремонт'!AD332+'[1]поточний ремонт'!AD332</f>
        <v>8201.4053002703604</v>
      </c>
      <c r="AE332" s="42">
        <f>'[2]поточний ремонт'!AE332+'[1]поточний ремонт'!AE332</f>
        <v>938.45581215830521</v>
      </c>
      <c r="AF332" s="42">
        <f>'[2]поточний ремонт'!AF332+'[1]поточний ремонт'!AF332</f>
        <v>0</v>
      </c>
      <c r="AG332" s="965"/>
      <c r="AH332" s="42">
        <f>'[2]поточний ремонт'!AH332+'[1]поточний ремонт'!AH332</f>
        <v>1406.7188143440633</v>
      </c>
      <c r="AI332" s="42">
        <f>'[2]поточний ремонт'!AI332+'[1]поточний ремонт'!AI332</f>
        <v>1796.5116058778501</v>
      </c>
      <c r="AJ332" s="5"/>
      <c r="AK332" s="42">
        <f>'[2]поточний ремонт'!AK332+'[1]поточний ремонт'!AK332</f>
        <v>1425.5165724337971</v>
      </c>
      <c r="AL332" s="42">
        <f>'[2]поточний ремонт'!AL332+'[1]поточний ремонт'!AL332</f>
        <v>2215.6893032767171</v>
      </c>
      <c r="AM332" s="5"/>
      <c r="AN332" s="42">
        <f>'[2]поточний ремонт'!AN332+'[1]поточний ремонт'!AN332</f>
        <v>429.95620484517394</v>
      </c>
      <c r="AO332" s="42">
        <f>'[2]поточний ремонт'!AO332+'[1]поточний ремонт'!AO332</f>
        <v>0</v>
      </c>
      <c r="AP332" s="5"/>
      <c r="AQ332" s="42">
        <f>'[2]поточний ремонт'!AQ332+'[1]поточний ремонт'!AQ332</f>
        <v>284.4052437837085</v>
      </c>
      <c r="AR332" s="42">
        <f>'[2]поточний ремонт'!AR332+'[1]поточний ремонт'!AR332</f>
        <v>0</v>
      </c>
      <c r="AS332" s="973"/>
      <c r="AT332" s="42">
        <f>'[2]поточний ремонт'!AT332+'[1]поточний ремонт'!AT332</f>
        <v>1184.8947053708725</v>
      </c>
      <c r="AU332" s="42">
        <f>'[2]поточний ремонт'!AU332+'[1]поточний ремонт'!AU332</f>
        <v>0</v>
      </c>
      <c r="AV332" s="5"/>
      <c r="AW332" s="42">
        <f>'[2]поточний ремонт'!AW332+'[1]поточний ремонт'!AW332</f>
        <v>75.290084735242345</v>
      </c>
      <c r="AX332" s="42">
        <f>'[2]поточний ремонт'!AX332+'[1]поточний ремонт'!AX332</f>
        <v>4962.5748764399996</v>
      </c>
      <c r="AY332" s="5"/>
      <c r="AZ332" s="42">
        <f t="shared" si="51"/>
        <v>5745.2374376711623</v>
      </c>
      <c r="BA332" s="42">
        <f t="shared" si="52"/>
        <v>8974.7757855945674</v>
      </c>
      <c r="BB332" s="58">
        <f t="shared" si="53"/>
        <v>3229.5383479234051</v>
      </c>
      <c r="BD332" s="2">
        <v>3</v>
      </c>
      <c r="BF332" s="29">
        <v>294.19703698993533</v>
      </c>
      <c r="BG332" s="318">
        <v>150000906</v>
      </c>
      <c r="BI332" s="104">
        <v>0</v>
      </c>
      <c r="BJ332" s="104">
        <f t="shared" si="46"/>
        <v>0</v>
      </c>
      <c r="BK332" s="104">
        <v>0</v>
      </c>
      <c r="BL332" s="38"/>
      <c r="BM332" s="3"/>
      <c r="BN332" s="3">
        <v>0</v>
      </c>
      <c r="BP332" s="3"/>
      <c r="BQ332" s="3"/>
      <c r="BS332" s="42"/>
      <c r="BT332" s="42">
        <v>0</v>
      </c>
      <c r="BU332" s="958"/>
      <c r="BV332" s="41"/>
      <c r="BW332" s="42"/>
      <c r="BX332" s="36"/>
      <c r="BY332" s="76"/>
      <c r="BZ332" s="42">
        <v>0</v>
      </c>
      <c r="CA332" s="966"/>
      <c r="CB332" s="41"/>
      <c r="CC332" s="41">
        <v>0</v>
      </c>
      <c r="CD332" s="960"/>
      <c r="CE332" s="76">
        <v>0</v>
      </c>
      <c r="CF332" s="55"/>
      <c r="CG332" s="41">
        <v>0</v>
      </c>
      <c r="CH332" s="38">
        <v>0</v>
      </c>
      <c r="CI332" s="76">
        <v>0</v>
      </c>
      <c r="CJ332" s="55"/>
      <c r="CK332" s="955"/>
      <c r="CL332" s="950"/>
      <c r="CM332" s="955"/>
      <c r="CN332" s="950">
        <v>8190.2699404236128</v>
      </c>
      <c r="CO332" s="76">
        <v>40.439087512030049</v>
      </c>
      <c r="CP332" s="42">
        <v>0</v>
      </c>
      <c r="CQ332" s="965"/>
      <c r="CR332" s="76">
        <v>89.991716973385635</v>
      </c>
      <c r="CS332" s="954">
        <v>0</v>
      </c>
      <c r="CT332" s="5"/>
      <c r="CU332" s="76">
        <v>107.00868391844469</v>
      </c>
      <c r="CV332" s="42">
        <v>718.39040951413278</v>
      </c>
      <c r="CW332" s="5"/>
      <c r="CX332" s="76">
        <v>35.810629613009191</v>
      </c>
      <c r="CY332" s="42">
        <v>0</v>
      </c>
      <c r="CZ332" s="5"/>
      <c r="DA332" s="76">
        <v>19.78837059461484</v>
      </c>
      <c r="DB332" s="42">
        <v>0</v>
      </c>
      <c r="DC332" s="973"/>
      <c r="DD332" s="76">
        <v>68.50822625647055</v>
      </c>
      <c r="DE332" s="42">
        <v>0</v>
      </c>
      <c r="DF332" s="5"/>
      <c r="DG332" s="76">
        <v>0</v>
      </c>
      <c r="DH332" s="42"/>
      <c r="DI332" s="5"/>
      <c r="DJ332" s="42">
        <v>361.54671486795496</v>
      </c>
      <c r="DK332" s="42">
        <f t="shared" si="47"/>
        <v>718.39040951413278</v>
      </c>
      <c r="DL332" s="58">
        <f t="shared" si="48"/>
        <v>356.84369464617782</v>
      </c>
      <c r="DM332" s="2">
        <v>3</v>
      </c>
    </row>
    <row r="333" spans="1:117" ht="24.9" customHeight="1" x14ac:dyDescent="0.3">
      <c r="A333" s="318">
        <v>150000907</v>
      </c>
      <c r="B333" s="44" t="s">
        <v>407</v>
      </c>
      <c r="C333" s="956">
        <v>9</v>
      </c>
      <c r="D333" s="957" t="s">
        <v>454</v>
      </c>
      <c r="E333" s="949">
        <f>'побудинковий звіт'!E331</f>
        <v>6309.2</v>
      </c>
      <c r="F333" s="950">
        <f>'побудинковий звіт'!AS331</f>
        <v>125618.49592906385</v>
      </c>
      <c r="G333" s="950">
        <f t="shared" si="49"/>
        <v>56555.753165168033</v>
      </c>
      <c r="H333" s="950">
        <f t="shared" si="50"/>
        <v>-69062.742763895818</v>
      </c>
      <c r="I333" s="42">
        <f>'[2]поточний ремонт'!I333+'[1]поточний ремонт'!I333</f>
        <v>87</v>
      </c>
      <c r="J333" s="42">
        <f>'[2]поточний ремонт'!J333+'[1]поточний ремонт'!J333</f>
        <v>26273.674611952618</v>
      </c>
      <c r="K333" s="958"/>
      <c r="L333" s="42">
        <f>'[2]поточний ремонт'!L333+'[1]поточний ремонт'!L333</f>
        <v>0</v>
      </c>
      <c r="M333" s="42">
        <f>'[2]поточний ремонт'!M333+'[1]поточний ремонт'!M333</f>
        <v>0</v>
      </c>
      <c r="N333" s="36"/>
      <c r="O333" s="42">
        <f>'[2]поточний ремонт'!O333+'[1]поточний ремонт'!O333</f>
        <v>0</v>
      </c>
      <c r="P333" s="42">
        <f>'[2]поточний ремонт'!P333+'[1]поточний ремонт'!P333</f>
        <v>0</v>
      </c>
      <c r="Q333" s="959"/>
      <c r="R333" s="42">
        <f>'[2]поточний ремонт'!R333+'[1]поточний ремонт'!R333</f>
        <v>4</v>
      </c>
      <c r="S333" s="42">
        <f>'[2]поточний ремонт'!S333+'[1]поточний ремонт'!S333</f>
        <v>17615.23733776512</v>
      </c>
      <c r="T333" s="967"/>
      <c r="U333" s="42">
        <f>'[2]поточний ремонт'!U333+'[1]поточний ремонт'!U333</f>
        <v>0</v>
      </c>
      <c r="V333" s="42">
        <f>'[2]поточний ремонт'!V333+'[1]поточний ремонт'!V333</f>
        <v>0</v>
      </c>
      <c r="W333" s="42">
        <f>'[2]поточний ремонт'!W333+'[1]поточний ремонт'!W333</f>
        <v>0</v>
      </c>
      <c r="X333" s="42">
        <f>'[2]поточний ремонт'!X333+'[1]поточний ремонт'!X333</f>
        <v>3906.0275722997867</v>
      </c>
      <c r="Y333" s="42">
        <f>'[2]поточний ремонт'!Y333+'[1]поточний ремонт'!Y333</f>
        <v>0</v>
      </c>
      <c r="Z333" s="42">
        <f>'[2]поточний ремонт'!Z333+'[1]поточний ремонт'!Z333</f>
        <v>0</v>
      </c>
      <c r="AA333" s="42">
        <f>'[2]поточний ремонт'!AA333+'[1]поточний ремонт'!AA333</f>
        <v>4206</v>
      </c>
      <c r="AB333" s="42">
        <f>'[2]поточний ремонт'!AB333+'[1]поточний ремонт'!AB333</f>
        <v>138.02306135554494</v>
      </c>
      <c r="AC333" s="42">
        <f>'[2]поточний ремонт'!AC333+'[1]поточний ремонт'!AC333</f>
        <v>1039</v>
      </c>
      <c r="AD333" s="42">
        <f>'[2]поточний ремонт'!AD333+'[1]поточний ремонт'!AD333</f>
        <v>3377.7905817949645</v>
      </c>
      <c r="AE333" s="42">
        <f>'[2]поточний ремонт'!AE333+'[1]поточний ремонт'!AE333</f>
        <v>2455.6653969428753</v>
      </c>
      <c r="AF333" s="42">
        <f>'[2]поточний ремонт'!AF333+'[1]поточний ремонт'!AF333</f>
        <v>0</v>
      </c>
      <c r="AG333" s="5"/>
      <c r="AH333" s="42">
        <f>'[2]поточний ремонт'!AH333+'[1]поточний ремонт'!AH333</f>
        <v>2883.7158098185346</v>
      </c>
      <c r="AI333" s="42">
        <f>'[2]поточний ремонт'!AI333+'[1]поточний ремонт'!AI333</f>
        <v>0</v>
      </c>
      <c r="AJ333" s="5"/>
      <c r="AK333" s="42">
        <f>'[2]поточний ремонт'!AK333+'[1]поточний ремонт'!AK333</f>
        <v>6853.7954990653016</v>
      </c>
      <c r="AL333" s="42">
        <f>'[2]поточний ремонт'!AL333+'[1]поточний ремонт'!AL333</f>
        <v>1167.3358808091759</v>
      </c>
      <c r="AM333" s="979"/>
      <c r="AN333" s="42">
        <f>'[2]поточний ремонт'!AN333+'[1]поточний ремонт'!AN333</f>
        <v>1927.9171199291334</v>
      </c>
      <c r="AO333" s="42">
        <f>'[2]поточний ремонт'!AO333+'[1]поточний ремонт'!AO333</f>
        <v>931</v>
      </c>
      <c r="AP333" s="5"/>
      <c r="AQ333" s="42">
        <f>'[2]поточний ремонт'!AQ333+'[1]поточний ремонт'!AQ333</f>
        <v>623.71337521299586</v>
      </c>
      <c r="AR333" s="42">
        <f>'[2]поточний ремонт'!AR333+'[1]поточний ремонт'!AR333</f>
        <v>5579.6479540218334</v>
      </c>
      <c r="AS333" s="5"/>
      <c r="AT333" s="42">
        <f>'[2]поточний ремонт'!AT333+'[1]поточний ремонт'!AT333</f>
        <v>2776.2426137505809</v>
      </c>
      <c r="AU333" s="42">
        <f>'[2]поточний ремонт'!AU333+'[1]поточний ремонт'!AU333</f>
        <v>955.74845008242187</v>
      </c>
      <c r="AV333" s="5"/>
      <c r="AW333" s="42">
        <f>'[2]поточний ремонт'!AW333+'[1]поточний ремонт'!AW333</f>
        <v>166.26560379032685</v>
      </c>
      <c r="AX333" s="42">
        <f>'[2]поточний ремонт'!AX333+'[1]поточний ремонт'!AX333</f>
        <v>0</v>
      </c>
      <c r="AY333" s="5"/>
      <c r="AZ333" s="42">
        <f t="shared" si="51"/>
        <v>17687.315418509748</v>
      </c>
      <c r="BA333" s="42">
        <f t="shared" si="52"/>
        <v>8633.7322849134307</v>
      </c>
      <c r="BB333" s="58">
        <f t="shared" si="53"/>
        <v>-9053.5831335963176</v>
      </c>
      <c r="BD333" s="2">
        <v>3</v>
      </c>
      <c r="BF333" s="29">
        <v>471.54321254896558</v>
      </c>
      <c r="BG333" s="318">
        <v>150000907</v>
      </c>
      <c r="BI333" s="104">
        <v>286.34000000000003</v>
      </c>
      <c r="BJ333" s="104">
        <f t="shared" si="46"/>
        <v>40.277214348000001</v>
      </c>
      <c r="BK333" s="104">
        <v>330.23185482664002</v>
      </c>
      <c r="BL333" s="38"/>
      <c r="BM333" s="3"/>
      <c r="BN333" s="3">
        <v>0</v>
      </c>
      <c r="BP333" s="3"/>
      <c r="BQ333" s="3"/>
      <c r="BS333" s="42"/>
      <c r="BT333" s="42">
        <v>0</v>
      </c>
      <c r="BU333" s="958"/>
      <c r="BV333" s="41"/>
      <c r="BW333" s="42"/>
      <c r="BX333" s="36"/>
      <c r="BY333" s="76"/>
      <c r="BZ333" s="42">
        <v>0</v>
      </c>
      <c r="CA333" s="959"/>
      <c r="CB333" s="41"/>
      <c r="CC333" s="41">
        <v>0</v>
      </c>
      <c r="CD333" s="967"/>
      <c r="CE333" s="76">
        <v>0</v>
      </c>
      <c r="CF333" s="55"/>
      <c r="CG333" s="41">
        <v>0</v>
      </c>
      <c r="CH333" s="38">
        <v>330.23185482664002</v>
      </c>
      <c r="CI333" s="76">
        <v>0</v>
      </c>
      <c r="CJ333" s="971"/>
      <c r="CK333" s="955"/>
      <c r="CL333" s="950"/>
      <c r="CM333" s="955"/>
      <c r="CN333" s="950">
        <v>0</v>
      </c>
      <c r="CO333" s="76">
        <v>170.33970502450393</v>
      </c>
      <c r="CP333" s="42">
        <v>0</v>
      </c>
      <c r="CQ333" s="5"/>
      <c r="CR333" s="76">
        <v>228.03715557470557</v>
      </c>
      <c r="CS333" s="954">
        <v>0</v>
      </c>
      <c r="CT333" s="5"/>
      <c r="CU333" s="76">
        <v>575.2257109677754</v>
      </c>
      <c r="CV333" s="42">
        <v>0</v>
      </c>
      <c r="CW333" s="979"/>
      <c r="CX333" s="76">
        <v>182.63940361081345</v>
      </c>
      <c r="CY333" s="42">
        <v>0</v>
      </c>
      <c r="CZ333" s="5"/>
      <c r="DA333" s="76">
        <v>49.470906063874629</v>
      </c>
      <c r="DB333" s="42">
        <v>0</v>
      </c>
      <c r="DC333" s="5"/>
      <c r="DD333" s="76">
        <v>196.85570700418873</v>
      </c>
      <c r="DE333" s="42">
        <v>286.91561174638451</v>
      </c>
      <c r="DF333" s="5"/>
      <c r="DG333" s="76">
        <v>0</v>
      </c>
      <c r="DH333" s="42"/>
      <c r="DI333" s="5"/>
      <c r="DJ333" s="42">
        <v>1402.568588245862</v>
      </c>
      <c r="DK333" s="42">
        <f t="shared" si="47"/>
        <v>286.91561174638451</v>
      </c>
      <c r="DL333" s="58">
        <f t="shared" si="48"/>
        <v>-1115.6529764994775</v>
      </c>
      <c r="DM333" s="2">
        <v>3</v>
      </c>
    </row>
    <row r="334" spans="1:117" ht="24.9" customHeight="1" x14ac:dyDescent="0.3">
      <c r="A334" s="318">
        <v>150000908</v>
      </c>
      <c r="B334" s="44" t="s">
        <v>408</v>
      </c>
      <c r="C334" s="956">
        <v>9</v>
      </c>
      <c r="D334" s="957" t="s">
        <v>454</v>
      </c>
      <c r="E334" s="949">
        <f>'побудинковий звіт'!E332</f>
        <v>6324.72</v>
      </c>
      <c r="F334" s="950">
        <f>'побудинковий звіт'!AS332</f>
        <v>126237.79389540582</v>
      </c>
      <c r="G334" s="950">
        <f t="shared" si="49"/>
        <v>18977.390932571347</v>
      </c>
      <c r="H334" s="950">
        <f t="shared" si="50"/>
        <v>-107260.40296283447</v>
      </c>
      <c r="I334" s="42">
        <f>'[2]поточний ремонт'!I334+'[1]поточний ремонт'!I334</f>
        <v>0</v>
      </c>
      <c r="J334" s="42">
        <f>'[2]поточний ремонт'!J334+'[1]поточний ремонт'!J334</f>
        <v>0</v>
      </c>
      <c r="K334" s="958"/>
      <c r="L334" s="42">
        <f>'[2]поточний ремонт'!L334+'[1]поточний ремонт'!L334</f>
        <v>0</v>
      </c>
      <c r="M334" s="42">
        <f>'[2]поточний ремонт'!M334+'[1]поточний ремонт'!M334</f>
        <v>0</v>
      </c>
      <c r="N334" s="36"/>
      <c r="O334" s="42">
        <f>'[2]поточний ремонт'!O334+'[1]поточний ремонт'!O334</f>
        <v>0</v>
      </c>
      <c r="P334" s="42">
        <f>'[2]поточний ремонт'!P334+'[1]поточний ремонт'!P334</f>
        <v>0</v>
      </c>
      <c r="Q334" s="959"/>
      <c r="R334" s="42">
        <f>'[2]поточний ремонт'!R334+'[1]поточний ремонт'!R334</f>
        <v>4</v>
      </c>
      <c r="S334" s="42">
        <f>'[2]поточний ремонт'!S334+'[1]поточний ремонт'!S334</f>
        <v>10556.505210431858</v>
      </c>
      <c r="T334" s="967"/>
      <c r="U334" s="42">
        <f>'[2]поточний ремонт'!U334+'[1]поточний ремонт'!U334</f>
        <v>0</v>
      </c>
      <c r="V334" s="42">
        <f>'[2]поточний ремонт'!V334+'[1]поточний ремонт'!V334</f>
        <v>0</v>
      </c>
      <c r="W334" s="42">
        <f>'[2]поточний ремонт'!W334+'[1]поточний ремонт'!W334</f>
        <v>0</v>
      </c>
      <c r="X334" s="42">
        <f>'[2]поточний ремонт'!X334+'[1]поточний ремонт'!X334</f>
        <v>3313.7257032306488</v>
      </c>
      <c r="Y334" s="42">
        <f>'[2]поточний ремонт'!Y334+'[1]поточний ремонт'!Y334</f>
        <v>0</v>
      </c>
      <c r="Z334" s="42">
        <f>'[2]поточний ремонт'!Z334+'[1]поточний ремонт'!Z334</f>
        <v>0</v>
      </c>
      <c r="AA334" s="42">
        <f>'[2]поточний ремонт'!AA334+'[1]поточний ремонт'!AA334</f>
        <v>0</v>
      </c>
      <c r="AB334" s="42">
        <f>'[2]поточний ремонт'!AB334+'[1]поточний ремонт'!AB334</f>
        <v>0</v>
      </c>
      <c r="AC334" s="42">
        <f>'[2]поточний ремонт'!AC334+'[1]поточний ремонт'!AC334</f>
        <v>3986.8910181484753</v>
      </c>
      <c r="AD334" s="42">
        <f>'[2]поточний ремонт'!AD334+'[1]поточний ремонт'!AD334</f>
        <v>1120.2690007603649</v>
      </c>
      <c r="AE334" s="42">
        <f>'[2]поточний ремонт'!AE334+'[1]поточний ремонт'!AE334</f>
        <v>2483.3072207404275</v>
      </c>
      <c r="AF334" s="42">
        <f>'[2]поточний ремонт'!AF334+'[1]поточний ремонт'!AF334</f>
        <v>699.26964881168954</v>
      </c>
      <c r="AG334" s="5"/>
      <c r="AH334" s="42">
        <f>'[2]поточний ремонт'!AH334+'[1]поточний ремонт'!AH334</f>
        <v>2952.8303140795274</v>
      </c>
      <c r="AI334" s="42">
        <f>'[2]поточний ремонт'!AI334+'[1]поточний ремонт'!AI334</f>
        <v>2002.4325358207007</v>
      </c>
      <c r="AJ334" s="5"/>
      <c r="AK334" s="42">
        <f>'[2]поточний ремонт'!AK334+'[1]поточний ремонт'!AK334</f>
        <v>6763.0598575620024</v>
      </c>
      <c r="AL334" s="42">
        <f>'[2]поточний ремонт'!AL334+'[1]поточний ремонт'!AL334</f>
        <v>0</v>
      </c>
      <c r="AM334" s="965"/>
      <c r="AN334" s="42">
        <f>'[2]поточний ремонт'!AN334+'[1]поточний ремонт'!AN334</f>
        <v>1928.276257543816</v>
      </c>
      <c r="AO334" s="42">
        <f>'[2]поточний ремонт'!AO334+'[1]поточний ремонт'!AO334</f>
        <v>9894.0245454838514</v>
      </c>
      <c r="AP334" s="5"/>
      <c r="AQ334" s="42">
        <f>'[2]поточний ремонт'!AQ334+'[1]поточний ремонт'!AQ334</f>
        <v>623.71337521299586</v>
      </c>
      <c r="AR334" s="42">
        <f>'[2]поточний ремонт'!AR334+'[1]поточний ремонт'!AR334</f>
        <v>0</v>
      </c>
      <c r="AS334" s="5"/>
      <c r="AT334" s="42">
        <f>'[2]поточний ремонт'!AT334+'[1]поточний ремонт'!AT334</f>
        <v>2786.9824636532071</v>
      </c>
      <c r="AU334" s="42">
        <f>'[2]поточний ремонт'!AU334+'[1]поточний ремонт'!AU334</f>
        <v>3214.6469570142176</v>
      </c>
      <c r="AV334" s="5"/>
      <c r="AW334" s="42">
        <f>'[2]поточний ремонт'!AW334+'[1]поточний ремонт'!AW334</f>
        <v>166.26560379032685</v>
      </c>
      <c r="AX334" s="42">
        <f>'[2]поточний ремонт'!AX334+'[1]поточний ремонт'!AX334</f>
        <v>0</v>
      </c>
      <c r="AY334" s="5"/>
      <c r="AZ334" s="42">
        <f t="shared" si="51"/>
        <v>17704.435092582302</v>
      </c>
      <c r="BA334" s="42">
        <f t="shared" si="52"/>
        <v>15810.373687130459</v>
      </c>
      <c r="BB334" s="58">
        <f t="shared" si="53"/>
        <v>-1894.0614054518428</v>
      </c>
      <c r="BD334" s="2">
        <v>3</v>
      </c>
      <c r="BF334" s="29">
        <v>472.1957976769047</v>
      </c>
      <c r="BG334" s="318">
        <v>150000908</v>
      </c>
      <c r="BI334" s="104">
        <v>242.92</v>
      </c>
      <c r="BJ334" s="104">
        <f t="shared" si="46"/>
        <v>34.169661623999993</v>
      </c>
      <c r="BK334" s="104">
        <v>280.15618556431997</v>
      </c>
      <c r="BL334" s="38"/>
      <c r="BM334" s="3"/>
      <c r="BN334" s="3">
        <v>0</v>
      </c>
      <c r="BP334" s="3"/>
      <c r="BQ334" s="3"/>
      <c r="BS334" s="42"/>
      <c r="BT334" s="42">
        <v>0</v>
      </c>
      <c r="BU334" s="958"/>
      <c r="BV334" s="41"/>
      <c r="BW334" s="42"/>
      <c r="BX334" s="36"/>
      <c r="BY334" s="76"/>
      <c r="BZ334" s="42">
        <v>0</v>
      </c>
      <c r="CA334" s="959"/>
      <c r="CB334" s="41"/>
      <c r="CC334" s="41">
        <v>0</v>
      </c>
      <c r="CD334" s="967"/>
      <c r="CE334" s="76">
        <v>0</v>
      </c>
      <c r="CF334" s="55"/>
      <c r="CG334" s="41">
        <v>0</v>
      </c>
      <c r="CH334" s="38">
        <v>280.15618556431997</v>
      </c>
      <c r="CI334" s="76">
        <v>0</v>
      </c>
      <c r="CJ334" s="971"/>
      <c r="CK334" s="955"/>
      <c r="CL334" s="950"/>
      <c r="CM334" s="955"/>
      <c r="CN334" s="950">
        <v>0</v>
      </c>
      <c r="CO334" s="76">
        <v>170.55096805841904</v>
      </c>
      <c r="CP334" s="42">
        <v>0</v>
      </c>
      <c r="CQ334" s="5"/>
      <c r="CR334" s="76">
        <v>228.49359121645389</v>
      </c>
      <c r="CS334" s="954">
        <v>0</v>
      </c>
      <c r="CT334" s="5"/>
      <c r="CU334" s="76">
        <v>559.4724832921811</v>
      </c>
      <c r="CV334" s="42">
        <v>0</v>
      </c>
      <c r="CW334" s="965"/>
      <c r="CX334" s="76">
        <v>182.67496179048493</v>
      </c>
      <c r="CY334" s="42">
        <v>0</v>
      </c>
      <c r="CZ334" s="5"/>
      <c r="DA334" s="76">
        <v>49.470906063874629</v>
      </c>
      <c r="DB334" s="42">
        <v>0</v>
      </c>
      <c r="DC334" s="5"/>
      <c r="DD334" s="76">
        <v>197.72070818079445</v>
      </c>
      <c r="DE334" s="42">
        <v>0</v>
      </c>
      <c r="DF334" s="5"/>
      <c r="DG334" s="76">
        <v>0</v>
      </c>
      <c r="DH334" s="42"/>
      <c r="DI334" s="5"/>
      <c r="DJ334" s="42">
        <v>1388.3836186022081</v>
      </c>
      <c r="DK334" s="42">
        <f t="shared" si="47"/>
        <v>0</v>
      </c>
      <c r="DL334" s="58">
        <f t="shared" si="48"/>
        <v>-1388.3836186022081</v>
      </c>
      <c r="DM334" s="2">
        <v>3</v>
      </c>
    </row>
    <row r="335" spans="1:117" ht="24.9" customHeight="1" x14ac:dyDescent="0.3">
      <c r="A335" s="318">
        <v>150000909</v>
      </c>
      <c r="B335" s="44" t="s">
        <v>409</v>
      </c>
      <c r="C335" s="956">
        <v>9</v>
      </c>
      <c r="D335" s="957" t="s">
        <v>454</v>
      </c>
      <c r="E335" s="949">
        <f>'побудинковий звіт'!E333</f>
        <v>6336.6</v>
      </c>
      <c r="F335" s="950">
        <f>'побудинковий звіт'!AS333</f>
        <v>123808.81425401798</v>
      </c>
      <c r="G335" s="950">
        <f t="shared" si="49"/>
        <v>95394.217695385581</v>
      </c>
      <c r="H335" s="950">
        <f t="shared" si="50"/>
        <v>-28414.596558632402</v>
      </c>
      <c r="I335" s="42">
        <f>'[2]поточний ремонт'!I335+'[1]поточний ремонт'!I335</f>
        <v>258</v>
      </c>
      <c r="J335" s="42">
        <f>'[2]поточний ремонт'!J335+'[1]поточний ремонт'!J335</f>
        <v>86822</v>
      </c>
      <c r="K335" s="964"/>
      <c r="L335" s="42">
        <f>'[2]поточний ремонт'!L335+'[1]поточний ремонт'!L335</f>
        <v>0</v>
      </c>
      <c r="M335" s="42">
        <f>'[2]поточний ремонт'!M335+'[1]поточний ремонт'!M335</f>
        <v>0</v>
      </c>
      <c r="N335" s="36"/>
      <c r="O335" s="42">
        <f>'[2]поточний ремонт'!O335+'[1]поточний ремонт'!O335</f>
        <v>0</v>
      </c>
      <c r="P335" s="42">
        <f>'[2]поточний ремонт'!P335+'[1]поточний ремонт'!P335</f>
        <v>0</v>
      </c>
      <c r="Q335" s="959"/>
      <c r="R335" s="42">
        <f>'[2]поточний ремонт'!R335+'[1]поточний ремонт'!R335</f>
        <v>1</v>
      </c>
      <c r="S335" s="42">
        <f>'[2]поточний ремонт'!S335+'[1]поточний ремонт'!S335</f>
        <v>2451.67801085272</v>
      </c>
      <c r="T335" s="968"/>
      <c r="U335" s="42">
        <f>'[2]поточний ремонт'!U335+'[1]поточний ремонт'!U335</f>
        <v>0</v>
      </c>
      <c r="V335" s="42">
        <f>'[2]поточний ремонт'!V335+'[1]поточний ремонт'!V335</f>
        <v>0</v>
      </c>
      <c r="W335" s="42">
        <f>'[2]поточний ремонт'!W335+'[1]поточний ремонт'!W335</f>
        <v>0</v>
      </c>
      <c r="X335" s="42">
        <f>'[2]поточний ремонт'!X335+'[1]поточний ремонт'!X335</f>
        <v>3156.1695865160345</v>
      </c>
      <c r="Y335" s="42">
        <f>'[2]поточний ремонт'!Y335+'[1]поточний ремонт'!Y335</f>
        <v>2964.3700980168369</v>
      </c>
      <c r="Z335" s="42">
        <f>'[2]поточний ремонт'!Z335+'[1]поточний ремонт'!Z335</f>
        <v>0</v>
      </c>
      <c r="AA335" s="42">
        <f>'[2]поточний ремонт'!AA335+'[1]поточний ремонт'!AA335</f>
        <v>0</v>
      </c>
      <c r="AB335" s="42">
        <f>'[2]поточний ремонт'!AB335+'[1]поточний ремонт'!AB335</f>
        <v>0</v>
      </c>
      <c r="AC335" s="42">
        <f>'[2]поточний ремонт'!AC335+'[1]поточний ремонт'!AC335</f>
        <v>0</v>
      </c>
      <c r="AD335" s="42">
        <f>'[2]поточний ремонт'!AD335+'[1]поточний ремонт'!AD335</f>
        <v>0</v>
      </c>
      <c r="AE335" s="42">
        <f>'[2]поточний ремонт'!AE335+'[1]поточний ремонт'!AE335</f>
        <v>2390.5318125497588</v>
      </c>
      <c r="AF335" s="42">
        <f>'[2]поточний ремонт'!AF335+'[1]поточний ремонт'!AF335</f>
        <v>0</v>
      </c>
      <c r="AG335" s="9"/>
      <c r="AH335" s="42">
        <f>'[2]поточний ремонт'!AH335+'[1]поточний ремонт'!AH335</f>
        <v>2875.9423653194417</v>
      </c>
      <c r="AI335" s="42">
        <f>'[2]поточний ремонт'!AI335+'[1]поточний ремонт'!AI335</f>
        <v>0</v>
      </c>
      <c r="AJ335" s="9"/>
      <c r="AK335" s="42">
        <f>'[2]поточний ремонт'!AK335+'[1]поточний ремонт'!AK335</f>
        <v>7069.1357819391851</v>
      </c>
      <c r="AL335" s="42">
        <f>'[2]поточний ремонт'!AL335+'[1]поточний ремонт'!AL335</f>
        <v>0</v>
      </c>
      <c r="AM335" s="979"/>
      <c r="AN335" s="42">
        <f>'[2]поточний ремонт'!AN335+'[1]поточний ремонт'!AN335</f>
        <v>2301.9788214584678</v>
      </c>
      <c r="AO335" s="42">
        <f>'[2]поточний ремонт'!AO335+'[1]поточний ремонт'!AO335</f>
        <v>0</v>
      </c>
      <c r="AP335" s="5"/>
      <c r="AQ335" s="42">
        <f>'[2]поточний ремонт'!AQ335+'[1]поточний ремонт'!AQ335</f>
        <v>623.71337521299586</v>
      </c>
      <c r="AR335" s="42">
        <f>'[2]поточний ремонт'!AR335+'[1]поточний ремонт'!AR335</f>
        <v>0</v>
      </c>
      <c r="AS335" s="5"/>
      <c r="AT335" s="42">
        <f>'[2]поточний ремонт'!AT335+'[1]поточний ремонт'!AT335</f>
        <v>2761.3718295897838</v>
      </c>
      <c r="AU335" s="42">
        <f>'[2]поточний ремонт'!AU335+'[1]поточний ремонт'!AU335</f>
        <v>1917.9951146321905</v>
      </c>
      <c r="AV335" s="977"/>
      <c r="AW335" s="42">
        <f>'[2]поточний ремонт'!AW335+'[1]поточний ремонт'!AW335</f>
        <v>166.26560379032685</v>
      </c>
      <c r="AX335" s="42">
        <f>'[2]поточний ремонт'!AX335+'[1]поточний ремонт'!AX335</f>
        <v>8175.1790823560004</v>
      </c>
      <c r="AY335" s="5"/>
      <c r="AZ335" s="42">
        <f t="shared" si="51"/>
        <v>18188.939589859958</v>
      </c>
      <c r="BA335" s="42">
        <f t="shared" si="52"/>
        <v>10093.174196988191</v>
      </c>
      <c r="BB335" s="58">
        <f t="shared" si="53"/>
        <v>-8095.7653928717664</v>
      </c>
      <c r="BD335" s="2">
        <v>3</v>
      </c>
      <c r="BF335" s="29">
        <v>473.59291291644445</v>
      </c>
      <c r="BG335" s="318">
        <v>150000909</v>
      </c>
      <c r="BI335" s="104">
        <v>231.37</v>
      </c>
      <c r="BJ335" s="104">
        <f t="shared" si="46"/>
        <v>32.545013214000001</v>
      </c>
      <c r="BK335" s="104">
        <v>266.83573462051999</v>
      </c>
      <c r="BL335" s="38"/>
      <c r="BM335" s="3"/>
      <c r="BN335" s="3">
        <v>0</v>
      </c>
      <c r="BP335" s="3"/>
      <c r="BQ335" s="3"/>
      <c r="BS335" s="42"/>
      <c r="BT335" s="42">
        <v>0</v>
      </c>
      <c r="BU335" s="964"/>
      <c r="BV335" s="41"/>
      <c r="BW335" s="42"/>
      <c r="BX335" s="36"/>
      <c r="BY335" s="76"/>
      <c r="BZ335" s="42">
        <v>0</v>
      </c>
      <c r="CA335" s="959"/>
      <c r="CB335" s="41"/>
      <c r="CC335" s="41">
        <v>0</v>
      </c>
      <c r="CD335" s="968"/>
      <c r="CE335" s="76">
        <v>0</v>
      </c>
      <c r="CF335" s="55"/>
      <c r="CG335" s="41">
        <v>0</v>
      </c>
      <c r="CH335" s="38">
        <v>266.83573462051999</v>
      </c>
      <c r="CI335" s="76">
        <v>0</v>
      </c>
      <c r="CJ335" s="971"/>
      <c r="CK335" s="955"/>
      <c r="CL335" s="950"/>
      <c r="CM335" s="955"/>
      <c r="CN335" s="950">
        <v>0</v>
      </c>
      <c r="CO335" s="76">
        <v>169.47394541451564</v>
      </c>
      <c r="CP335" s="42">
        <v>0</v>
      </c>
      <c r="CQ335" s="9"/>
      <c r="CR335" s="76">
        <v>227.26750760449835</v>
      </c>
      <c r="CS335" s="954">
        <v>0</v>
      </c>
      <c r="CT335" s="9"/>
      <c r="CU335" s="76">
        <v>578.62370987558575</v>
      </c>
      <c r="CV335" s="42">
        <v>0</v>
      </c>
      <c r="CW335" s="979"/>
      <c r="CX335" s="76">
        <v>184.17804747203516</v>
      </c>
      <c r="CY335" s="42">
        <v>0</v>
      </c>
      <c r="CZ335" s="5"/>
      <c r="DA335" s="76">
        <v>49.470906063874629</v>
      </c>
      <c r="DB335" s="42">
        <v>0</v>
      </c>
      <c r="DC335" s="5"/>
      <c r="DD335" s="76">
        <v>195.38335213678309</v>
      </c>
      <c r="DE335" s="42">
        <v>0</v>
      </c>
      <c r="DF335" s="977"/>
      <c r="DG335" s="76">
        <v>0</v>
      </c>
      <c r="DH335" s="42"/>
      <c r="DI335" s="5"/>
      <c r="DJ335" s="42">
        <v>1404.3974685672927</v>
      </c>
      <c r="DK335" s="42">
        <f t="shared" si="47"/>
        <v>0</v>
      </c>
      <c r="DL335" s="58">
        <f t="shared" si="48"/>
        <v>-1404.3974685672927</v>
      </c>
      <c r="DM335" s="2">
        <v>3</v>
      </c>
    </row>
    <row r="336" spans="1:117" ht="24.9" customHeight="1" x14ac:dyDescent="0.3">
      <c r="A336" s="318">
        <v>150000910</v>
      </c>
      <c r="B336" s="44" t="s">
        <v>410</v>
      </c>
      <c r="C336" s="956">
        <v>9</v>
      </c>
      <c r="D336" s="957" t="s">
        <v>454</v>
      </c>
      <c r="E336" s="949">
        <f>'побудинковий звіт'!E334</f>
        <v>6347.25</v>
      </c>
      <c r="F336" s="950">
        <f>'побудинковий звіт'!AS334</f>
        <v>119164.36029592986</v>
      </c>
      <c r="G336" s="950">
        <f t="shared" si="49"/>
        <v>21838.473479749631</v>
      </c>
      <c r="H336" s="950">
        <f t="shared" si="50"/>
        <v>-97325.886816180224</v>
      </c>
      <c r="I336" s="42">
        <f>'[2]поточний ремонт'!I336+'[1]поточний ремонт'!I336</f>
        <v>0</v>
      </c>
      <c r="J336" s="42">
        <f>'[2]поточний ремонт'!J336+'[1]поточний ремонт'!J336</f>
        <v>0</v>
      </c>
      <c r="K336" s="958"/>
      <c r="L336" s="42">
        <f>'[2]поточний ремонт'!L336+'[1]поточний ремонт'!L336</f>
        <v>0</v>
      </c>
      <c r="M336" s="42">
        <f>'[2]поточний ремонт'!M336+'[1]поточний ремонт'!M336</f>
        <v>0</v>
      </c>
      <c r="N336" s="36"/>
      <c r="O336" s="42">
        <f>'[2]поточний ремонт'!O336+'[1]поточний ремонт'!O336</f>
        <v>0</v>
      </c>
      <c r="P336" s="42">
        <f>'[2]поточний ремонт'!P336+'[1]поточний ремонт'!P336</f>
        <v>0</v>
      </c>
      <c r="Q336" s="959"/>
      <c r="R336" s="42">
        <f>'[2]поточний ремонт'!R336+'[1]поточний ремонт'!R336</f>
        <v>2</v>
      </c>
      <c r="S336" s="42">
        <f>'[2]поточний ремонт'!S336+'[1]поточний ремонт'!S336</f>
        <v>16637.192899625785</v>
      </c>
      <c r="T336" s="960"/>
      <c r="U336" s="42">
        <f>'[2]поточний ремонт'!U336+'[1]поточний ремонт'!U336</f>
        <v>0</v>
      </c>
      <c r="V336" s="42">
        <f>'[2]поточний ремонт'!V336+'[1]поточний ремонт'!V336</f>
        <v>0</v>
      </c>
      <c r="W336" s="42">
        <f>'[2]поточний ремонт'!W336+'[1]поточний ремонт'!W336</f>
        <v>0</v>
      </c>
      <c r="X336" s="42">
        <f>'[2]поточний ремонт'!X336+'[1]поточний ремонт'!X336</f>
        <v>2523.7625241013598</v>
      </c>
      <c r="Y336" s="42">
        <f>'[2]поточний ремонт'!Y336+'[1]поточний ремонт'!Y336</f>
        <v>668.84329184528985</v>
      </c>
      <c r="Z336" s="42">
        <f>'[2]поточний ремонт'!Z336+'[1]поточний ремонт'!Z336</f>
        <v>0</v>
      </c>
      <c r="AA336" s="42">
        <f>'[2]поточний ремонт'!AA336+'[1]поточний ремонт'!AA336</f>
        <v>0</v>
      </c>
      <c r="AB336" s="42">
        <f>'[2]поточний ремонт'!AB336+'[1]поточний ремонт'!AB336</f>
        <v>0</v>
      </c>
      <c r="AC336" s="42">
        <f>'[2]поточний ремонт'!AC336+'[1]поточний ремонт'!AC336</f>
        <v>1150.191919989338</v>
      </c>
      <c r="AD336" s="42">
        <f>'[2]поточний ремонт'!AD336+'[1]поточний ремонт'!AD336</f>
        <v>858.48284418785852</v>
      </c>
      <c r="AE336" s="42">
        <f>'[2]поточний ремонт'!AE336+'[1]поточний ремонт'!AE336</f>
        <v>2488.3653087550224</v>
      </c>
      <c r="AF336" s="42">
        <f>'[2]поточний ремонт'!AF336+'[1]поточний ремонт'!AF336</f>
        <v>0</v>
      </c>
      <c r="AG336" s="5"/>
      <c r="AH336" s="42">
        <f>'[2]поточний ремонт'!AH336+'[1]поточний ремонт'!AH336</f>
        <v>2879.8903702914722</v>
      </c>
      <c r="AI336" s="42">
        <f>'[2]поточний ремонт'!AI336+'[1]поточний ремонт'!AI336</f>
        <v>3303.2015722511933</v>
      </c>
      <c r="AJ336" s="5"/>
      <c r="AK336" s="42">
        <f>'[2]поточний ремонт'!AK336+'[1]поточний ремонт'!AK336</f>
        <v>6452.6684244128846</v>
      </c>
      <c r="AL336" s="42">
        <f>'[2]поточний ремонт'!AL336+'[1]поточний ремонт'!AL336</f>
        <v>2578.7466017190914</v>
      </c>
      <c r="AM336" s="5"/>
      <c r="AN336" s="42">
        <f>'[2]поточний ремонт'!AN336+'[1]поточний ремонт'!AN336</f>
        <v>1938.4109595826142</v>
      </c>
      <c r="AO336" s="42">
        <f>'[2]поточний ремонт'!AO336+'[1]поточний ремонт'!AO336</f>
        <v>353.86828631974277</v>
      </c>
      <c r="AP336" s="5"/>
      <c r="AQ336" s="42">
        <f>'[2]поточний ремонт'!AQ336+'[1]поточний ремонт'!AQ336</f>
        <v>623.71337521299586</v>
      </c>
      <c r="AR336" s="42">
        <f>'[2]поточний ремонт'!AR336+'[1]поточний ремонт'!AR336</f>
        <v>0</v>
      </c>
      <c r="AS336" s="5"/>
      <c r="AT336" s="42">
        <f>'[2]поточний ремонт'!AT336+'[1]поточний ремонт'!AT336</f>
        <v>2769.8713400131587</v>
      </c>
      <c r="AU336" s="42">
        <f>'[2]поточний ремонт'!AU336+'[1]поточний ремонт'!AU336</f>
        <v>17983.390454416014</v>
      </c>
      <c r="AV336" s="5"/>
      <c r="AW336" s="42">
        <f>'[2]поточний ремонт'!AW336+'[1]поточний ремонт'!AW336</f>
        <v>166.26560379032685</v>
      </c>
      <c r="AX336" s="42">
        <f>'[2]поточний ремонт'!AX336+'[1]поточний ремонт'!AX336</f>
        <v>0</v>
      </c>
      <c r="AY336" s="5"/>
      <c r="AZ336" s="42">
        <f t="shared" si="51"/>
        <v>17319.185382058473</v>
      </c>
      <c r="BA336" s="42">
        <f t="shared" si="52"/>
        <v>24219.206914706039</v>
      </c>
      <c r="BB336" s="58">
        <f t="shared" si="53"/>
        <v>6900.0215326475663</v>
      </c>
      <c r="BD336" s="2">
        <v>3</v>
      </c>
      <c r="BF336" s="29">
        <v>474.4697541020945</v>
      </c>
      <c r="BG336" s="318">
        <v>150000910</v>
      </c>
      <c r="BI336" s="104">
        <v>185.01</v>
      </c>
      <c r="BJ336" s="104">
        <f t="shared" si="46"/>
        <v>26.023913621999995</v>
      </c>
      <c r="BK336" s="104">
        <v>213.36940511795999</v>
      </c>
      <c r="BL336" s="38"/>
      <c r="BM336" s="3"/>
      <c r="BN336" s="3">
        <v>0</v>
      </c>
      <c r="BP336" s="3"/>
      <c r="BQ336" s="3"/>
      <c r="BS336" s="42"/>
      <c r="BT336" s="42">
        <v>0</v>
      </c>
      <c r="BU336" s="958"/>
      <c r="BV336" s="41"/>
      <c r="BW336" s="42"/>
      <c r="BX336" s="36"/>
      <c r="BY336" s="76"/>
      <c r="BZ336" s="42">
        <v>0</v>
      </c>
      <c r="CA336" s="959"/>
      <c r="CB336" s="41"/>
      <c r="CC336" s="41">
        <v>0</v>
      </c>
      <c r="CD336" s="960"/>
      <c r="CE336" s="76">
        <v>0</v>
      </c>
      <c r="CF336" s="55"/>
      <c r="CG336" s="41">
        <v>0</v>
      </c>
      <c r="CH336" s="38">
        <v>213.36940511795999</v>
      </c>
      <c r="CI336" s="76">
        <v>0</v>
      </c>
      <c r="CJ336" s="971"/>
      <c r="CK336" s="955"/>
      <c r="CL336" s="950"/>
      <c r="CM336" s="955"/>
      <c r="CN336" s="950">
        <v>0</v>
      </c>
      <c r="CO336" s="76">
        <v>169.19059066605607</v>
      </c>
      <c r="CP336" s="42">
        <v>0</v>
      </c>
      <c r="CQ336" s="5"/>
      <c r="CR336" s="76">
        <v>227.6583991858875</v>
      </c>
      <c r="CS336" s="954">
        <v>0</v>
      </c>
      <c r="CT336" s="5"/>
      <c r="CU336" s="76">
        <v>578.62370987558575</v>
      </c>
      <c r="CV336" s="42">
        <v>0</v>
      </c>
      <c r="CW336" s="5"/>
      <c r="CX336" s="76">
        <v>183.67839763591053</v>
      </c>
      <c r="CY336" s="42">
        <v>0</v>
      </c>
      <c r="CZ336" s="5"/>
      <c r="DA336" s="76">
        <v>49.470906063874629</v>
      </c>
      <c r="DB336" s="42">
        <v>0</v>
      </c>
      <c r="DC336" s="5"/>
      <c r="DD336" s="76">
        <v>196.11897261411428</v>
      </c>
      <c r="DE336" s="42">
        <v>1663.6513722232005</v>
      </c>
      <c r="DF336" s="5"/>
      <c r="DG336" s="76">
        <v>0</v>
      </c>
      <c r="DH336" s="42"/>
      <c r="DI336" s="5"/>
      <c r="DJ336" s="42">
        <v>1404.7409760414289</v>
      </c>
      <c r="DK336" s="42">
        <f t="shared" si="47"/>
        <v>1663.6513722232005</v>
      </c>
      <c r="DL336" s="58">
        <f t="shared" si="48"/>
        <v>258.9103961817716</v>
      </c>
      <c r="DM336" s="2">
        <v>3</v>
      </c>
    </row>
    <row r="337" spans="1:117" ht="24.9" customHeight="1" x14ac:dyDescent="0.3">
      <c r="A337" s="318">
        <v>150000911</v>
      </c>
      <c r="B337" s="44" t="s">
        <v>318</v>
      </c>
      <c r="C337" s="956">
        <v>5</v>
      </c>
      <c r="D337" s="957" t="s">
        <v>454</v>
      </c>
      <c r="E337" s="949">
        <f>'побудинковий звіт'!E335</f>
        <v>5865.08</v>
      </c>
      <c r="F337" s="950">
        <f>'побудинковий звіт'!AS335</f>
        <v>100570.27276789256</v>
      </c>
      <c r="G337" s="950">
        <f t="shared" si="49"/>
        <v>87633.958788399235</v>
      </c>
      <c r="H337" s="950">
        <f t="shared" si="50"/>
        <v>-12936.313979493323</v>
      </c>
      <c r="I337" s="42">
        <f>'[2]поточний ремонт'!I337+'[1]поточний ремонт'!I337</f>
        <v>227</v>
      </c>
      <c r="J337" s="42">
        <f>'[2]поточний ремонт'!J337+'[1]поточний ремонт'!J337</f>
        <v>63817.526756896601</v>
      </c>
      <c r="K337" s="958"/>
      <c r="L337" s="42">
        <f>'[2]поточний ремонт'!L337+'[1]поточний ремонт'!L337</f>
        <v>0</v>
      </c>
      <c r="M337" s="42">
        <f>'[2]поточний ремонт'!M337+'[1]поточний ремонт'!M337</f>
        <v>0</v>
      </c>
      <c r="N337" s="36"/>
      <c r="O337" s="42">
        <f>'[2]поточний ремонт'!O337+'[1]поточний ремонт'!O337</f>
        <v>0</v>
      </c>
      <c r="P337" s="42">
        <f>'[2]поточний ремонт'!P337+'[1]поточний ремонт'!P337</f>
        <v>0</v>
      </c>
      <c r="Q337" s="959"/>
      <c r="R337" s="42">
        <f>'[2]поточний ремонт'!R337+'[1]поточний ремонт'!R337</f>
        <v>0</v>
      </c>
      <c r="S337" s="42">
        <f>'[2]поточний ремонт'!S337+'[1]поточний ремонт'!S337</f>
        <v>0</v>
      </c>
      <c r="T337" s="960"/>
      <c r="U337" s="42">
        <f>'[2]поточний ремонт'!U337+'[1]поточний ремонт'!U337</f>
        <v>0</v>
      </c>
      <c r="V337" s="42">
        <f>'[2]поточний ремонт'!V337+'[1]поточний ремонт'!V337</f>
        <v>0</v>
      </c>
      <c r="W337" s="42">
        <f>'[2]поточний ремонт'!W337+'[1]поточний ремонт'!W337</f>
        <v>0</v>
      </c>
      <c r="X337" s="42">
        <f>'[2]поточний ремонт'!X337+'[1]поточний ремонт'!X337</f>
        <v>609.62622129663134</v>
      </c>
      <c r="Y337" s="42">
        <f>'[2]поточний ремонт'!Y337+'[1]поточний ремонт'!Y337</f>
        <v>8219.7793212262422</v>
      </c>
      <c r="Z337" s="42">
        <f>'[2]поточний ремонт'!Z337+'[1]поточний ремонт'!Z337</f>
        <v>0</v>
      </c>
      <c r="AA337" s="42">
        <f>'[2]поточний ремонт'!AA337+'[1]поточний ремонт'!AA337</f>
        <v>0</v>
      </c>
      <c r="AB337" s="42">
        <f>'[2]поточний ремонт'!AB337+'[1]поточний ремонт'!AB337</f>
        <v>10090.037312569017</v>
      </c>
      <c r="AC337" s="42">
        <f>'[2]поточний ремонт'!AC337+'[1]поточний ремонт'!AC337</f>
        <v>4769</v>
      </c>
      <c r="AD337" s="42">
        <f>'[2]поточний ремонт'!AD337+'[1]поточний ремонт'!AD337</f>
        <v>127.98917641074496</v>
      </c>
      <c r="AE337" s="42">
        <f>'[2]поточний ремонт'!AE337+'[1]поточний ремонт'!AE337</f>
        <v>3445.8351784107972</v>
      </c>
      <c r="AF337" s="42">
        <f>'[2]поточний ремонт'!AF337+'[1]поточний ремонт'!AF337</f>
        <v>2908.9904224499974</v>
      </c>
      <c r="AG337" s="965"/>
      <c r="AH337" s="42">
        <f>'[2]поточний ремонт'!AH337+'[1]поточний ремонт'!AH337</f>
        <v>5385.7686253744023</v>
      </c>
      <c r="AI337" s="42">
        <f>'[2]поточний ремонт'!AI337+'[1]поточний ремонт'!AI337</f>
        <v>4608.8634683148375</v>
      </c>
      <c r="AJ337" s="5"/>
      <c r="AK337" s="42">
        <f>'[2]поточний ремонт'!AK337+'[1]поточний ремонт'!AK337</f>
        <v>3389.918896667421</v>
      </c>
      <c r="AL337" s="42">
        <f>'[2]поточний ремонт'!AL337+'[1]поточний ремонт'!AL337</f>
        <v>2600.5132177258911</v>
      </c>
      <c r="AM337" s="5"/>
      <c r="AN337" s="42">
        <f>'[2]поточний ремонт'!AN337+'[1]поточний ремонт'!AN337</f>
        <v>0</v>
      </c>
      <c r="AO337" s="42">
        <f>'[2]поточний ремонт'!AO337+'[1]поточний ремонт'!AO337</f>
        <v>0</v>
      </c>
      <c r="AP337" s="5"/>
      <c r="AQ337" s="42">
        <f>'[2]поточний ремонт'!AQ337+'[1]поточний ремонт'!AQ337</f>
        <v>1710.9994959425999</v>
      </c>
      <c r="AR337" s="42">
        <f>'[2]поточний ремонт'!AR337+'[1]поточний ремонт'!AR337</f>
        <v>0</v>
      </c>
      <c r="AS337" s="5"/>
      <c r="AT337" s="42">
        <f>'[2]поточний ремонт'!AT337+'[1]поточний ремонт'!AT337</f>
        <v>4016.5124382249323</v>
      </c>
      <c r="AU337" s="42">
        <f>'[2]поточний ремонт'!AU337+'[1]поточний ремонт'!AU337</f>
        <v>0</v>
      </c>
      <c r="AV337" s="5"/>
      <c r="AW337" s="42">
        <f>'[2]поточний ремонт'!AW337+'[1]поточний ремонт'!AW337</f>
        <v>150.58016947048469</v>
      </c>
      <c r="AX337" s="42">
        <f>'[2]поточний ремонт'!AX337+'[1]поточний ремонт'!AX337</f>
        <v>0</v>
      </c>
      <c r="AY337" s="5"/>
      <c r="AZ337" s="42">
        <f t="shared" si="51"/>
        <v>18099.614804090641</v>
      </c>
      <c r="BA337" s="42">
        <f t="shared" si="52"/>
        <v>10118.367108490726</v>
      </c>
      <c r="BB337" s="58">
        <f t="shared" si="53"/>
        <v>-7981.2476955999155</v>
      </c>
      <c r="BD337" s="2">
        <v>3</v>
      </c>
      <c r="BF337" s="29">
        <v>438.35182096734968</v>
      </c>
      <c r="BG337" s="318">
        <v>150000911</v>
      </c>
      <c r="BI337" s="104">
        <v>44.69</v>
      </c>
      <c r="BJ337" s="104">
        <f t="shared" si="46"/>
        <v>6.2861937179999989</v>
      </c>
      <c r="BK337" s="104">
        <v>51.540342223239996</v>
      </c>
      <c r="BL337" s="38"/>
      <c r="BM337" s="3"/>
      <c r="BN337" s="3">
        <v>0</v>
      </c>
      <c r="BP337" s="3"/>
      <c r="BQ337" s="3"/>
      <c r="BS337" s="42"/>
      <c r="BT337" s="42">
        <v>0</v>
      </c>
      <c r="BU337" s="958"/>
      <c r="BV337" s="41"/>
      <c r="BW337" s="42"/>
      <c r="BX337" s="36"/>
      <c r="BY337" s="76"/>
      <c r="BZ337" s="42">
        <v>0</v>
      </c>
      <c r="CA337" s="959"/>
      <c r="CB337" s="41"/>
      <c r="CC337" s="41">
        <v>0</v>
      </c>
      <c r="CD337" s="960"/>
      <c r="CE337" s="76">
        <v>0</v>
      </c>
      <c r="CF337" s="55"/>
      <c r="CG337" s="41">
        <v>0</v>
      </c>
      <c r="CH337" s="38">
        <v>51.540342223239996</v>
      </c>
      <c r="CI337" s="76">
        <v>0</v>
      </c>
      <c r="CJ337" s="55"/>
      <c r="CK337" s="955"/>
      <c r="CL337" s="950"/>
      <c r="CM337" s="955"/>
      <c r="CN337" s="950">
        <v>0</v>
      </c>
      <c r="CO337" s="76">
        <v>276.10808954579471</v>
      </c>
      <c r="CP337" s="42">
        <v>0</v>
      </c>
      <c r="CQ337" s="965"/>
      <c r="CR337" s="76">
        <v>431.76868554922783</v>
      </c>
      <c r="CS337" s="954">
        <v>0</v>
      </c>
      <c r="CT337" s="5"/>
      <c r="CU337" s="76">
        <v>274.87152118615961</v>
      </c>
      <c r="CV337" s="42">
        <v>0</v>
      </c>
      <c r="CW337" s="5"/>
      <c r="CX337" s="76">
        <v>0</v>
      </c>
      <c r="CY337" s="42">
        <v>0</v>
      </c>
      <c r="CZ337" s="5"/>
      <c r="DA337" s="76">
        <v>169.40589068738615</v>
      </c>
      <c r="DB337" s="42">
        <v>0</v>
      </c>
      <c r="DC337" s="5"/>
      <c r="DD337" s="76">
        <v>250.02625325357982</v>
      </c>
      <c r="DE337" s="42">
        <v>0</v>
      </c>
      <c r="DF337" s="5"/>
      <c r="DG337" s="76">
        <v>0</v>
      </c>
      <c r="DH337" s="42"/>
      <c r="DI337" s="5"/>
      <c r="DJ337" s="42">
        <v>1402.1804402221483</v>
      </c>
      <c r="DK337" s="42">
        <f t="shared" si="47"/>
        <v>0</v>
      </c>
      <c r="DL337" s="58">
        <f t="shared" si="48"/>
        <v>-1402.1804402221483</v>
      </c>
      <c r="DM337" s="2">
        <v>3</v>
      </c>
    </row>
    <row r="338" spans="1:117" ht="24.9" customHeight="1" x14ac:dyDescent="0.3">
      <c r="A338" s="318">
        <v>150000912</v>
      </c>
      <c r="B338" s="44" t="s">
        <v>319</v>
      </c>
      <c r="C338" s="956">
        <v>5</v>
      </c>
      <c r="D338" s="957" t="s">
        <v>454</v>
      </c>
      <c r="E338" s="949">
        <f>'побудинковий звіт'!E336</f>
        <v>4467.0200000000004</v>
      </c>
      <c r="F338" s="950">
        <f>'побудинковий звіт'!AS336</f>
        <v>79855.988680571056</v>
      </c>
      <c r="G338" s="950">
        <f t="shared" si="49"/>
        <v>29659.964730040985</v>
      </c>
      <c r="H338" s="950">
        <f t="shared" si="50"/>
        <v>-50196.023950530071</v>
      </c>
      <c r="I338" s="42">
        <f>'[2]поточний ремонт'!I338+'[1]поточний ремонт'!I338</f>
        <v>62</v>
      </c>
      <c r="J338" s="42">
        <f>'[2]поточний ремонт'!J338+'[1]поточний ремонт'!J338</f>
        <v>20204.666121646907</v>
      </c>
      <c r="K338" s="958"/>
      <c r="L338" s="42">
        <f>'[2]поточний ремонт'!L338+'[1]поточний ремонт'!L338</f>
        <v>0</v>
      </c>
      <c r="M338" s="42">
        <f>'[2]поточний ремонт'!M338+'[1]поточний ремонт'!M338</f>
        <v>0</v>
      </c>
      <c r="N338" s="961"/>
      <c r="O338" s="42">
        <f>'[2]поточний ремонт'!O338+'[1]поточний ремонт'!O338</f>
        <v>0</v>
      </c>
      <c r="P338" s="42">
        <f>'[2]поточний ремонт'!P338+'[1]поточний ремонт'!P338</f>
        <v>0</v>
      </c>
      <c r="Q338" s="959"/>
      <c r="R338" s="42">
        <f>'[2]поточний ремонт'!R338+'[1]поточний ремонт'!R338</f>
        <v>0</v>
      </c>
      <c r="S338" s="42">
        <f>'[2]поточний ремонт'!S338+'[1]поточний ремонт'!S338</f>
        <v>0</v>
      </c>
      <c r="T338" s="960"/>
      <c r="U338" s="42">
        <f>'[2]поточний ремонт'!U338+'[1]поточний ремонт'!U338</f>
        <v>0</v>
      </c>
      <c r="V338" s="42">
        <f>'[2]поточний ремонт'!V338+'[1]поточний ремонт'!V338</f>
        <v>0</v>
      </c>
      <c r="W338" s="42">
        <f>'[2]поточний ремонт'!W338+'[1]поточний ремонт'!W338</f>
        <v>0</v>
      </c>
      <c r="X338" s="42">
        <f>'[2]поточний ремонт'!X338+'[1]поточний ремонт'!X338</f>
        <v>417.83063679382008</v>
      </c>
      <c r="Y338" s="42">
        <f>'[2]поточний ремонт'!Y338+'[1]поточний ремонт'!Y338</f>
        <v>0</v>
      </c>
      <c r="Z338" s="42">
        <f>'[2]поточний ремонт'!Z338+'[1]поточний ремонт'!Z338</f>
        <v>0</v>
      </c>
      <c r="AA338" s="42">
        <f>'[2]поточний ремонт'!AA338+'[1]поточний ремонт'!AA338</f>
        <v>0</v>
      </c>
      <c r="AB338" s="42">
        <f>'[2]поточний ремонт'!AB338+'[1]поточний ремонт'!AB338</f>
        <v>5537.5538329836718</v>
      </c>
      <c r="AC338" s="42">
        <f>'[2]поточний ремонт'!AC338+'[1]поточний ремонт'!AC338</f>
        <v>0</v>
      </c>
      <c r="AD338" s="42">
        <f>'[2]поточний ремонт'!AD338+'[1]поточний ремонт'!AD338</f>
        <v>3499.9141386165866</v>
      </c>
      <c r="AE338" s="42">
        <f>'[2]поточний ремонт'!AE338+'[1]поточний ремонт'!AE338</f>
        <v>2752.7118156552579</v>
      </c>
      <c r="AF338" s="42">
        <f>'[2]поточний ремонт'!AF338+'[1]поточний ремонт'!AF338</f>
        <v>3710.5490251174515</v>
      </c>
      <c r="AG338" s="9"/>
      <c r="AH338" s="42">
        <f>'[2]поточний ремонт'!AH338+'[1]поточний ремонт'!AH338</f>
        <v>4134.3373557754958</v>
      </c>
      <c r="AI338" s="42">
        <f>'[2]поточний ремонт'!AI338+'[1]поточний ремонт'!AI338</f>
        <v>7854.6873548721669</v>
      </c>
      <c r="AJ338" s="9"/>
      <c r="AK338" s="42">
        <f>'[2]поточний ремонт'!AK338+'[1]поточний ремонт'!AK338</f>
        <v>2650.0674176838029</v>
      </c>
      <c r="AL338" s="42">
        <f>'[2]поточний ремонт'!AL338+'[1]поточний ремонт'!AL338</f>
        <v>0</v>
      </c>
      <c r="AM338" s="5"/>
      <c r="AN338" s="42">
        <f>'[2]поточний ремонт'!AN338+'[1]поточний ремонт'!AN338</f>
        <v>0</v>
      </c>
      <c r="AO338" s="42">
        <f>'[2]поточний ремонт'!AO338+'[1]поточний ремонт'!AO338</f>
        <v>0</v>
      </c>
      <c r="AP338" s="5"/>
      <c r="AQ338" s="42">
        <f>'[2]поточний ремонт'!AQ338+'[1]поточний ремонт'!AQ338</f>
        <v>817.64132869900061</v>
      </c>
      <c r="AR338" s="42">
        <f>'[2]поточний ремонт'!AR338+'[1]поточний ремонт'!AR338</f>
        <v>0</v>
      </c>
      <c r="AS338" s="5"/>
      <c r="AT338" s="42">
        <f>'[2]поточний ремонт'!AT338+'[1]поточний ремонт'!AT338</f>
        <v>2543.0573466454057</v>
      </c>
      <c r="AU338" s="42">
        <f>'[2]поточний ремонт'!AU338+'[1]поточний ремонт'!AU338</f>
        <v>0</v>
      </c>
      <c r="AV338" s="5"/>
      <c r="AW338" s="42">
        <f>'[2]поточний ремонт'!AW338+'[1]поточний ремонт'!AW338</f>
        <v>106.66095337492661</v>
      </c>
      <c r="AX338" s="42">
        <f>'[2]поточний ремонт'!AX338+'[1]поточний ремонт'!AX338</f>
        <v>0</v>
      </c>
      <c r="AY338" s="5"/>
      <c r="AZ338" s="42">
        <f t="shared" si="51"/>
        <v>13004.476217833891</v>
      </c>
      <c r="BA338" s="42">
        <f t="shared" si="52"/>
        <v>11565.236379989619</v>
      </c>
      <c r="BB338" s="58">
        <f t="shared" si="53"/>
        <v>-1439.2398378442722</v>
      </c>
      <c r="BD338" s="2">
        <v>3</v>
      </c>
      <c r="BF338" s="29">
        <v>333.9486657797911</v>
      </c>
      <c r="BG338" s="318">
        <v>150000912</v>
      </c>
      <c r="BI338" s="104">
        <v>30.63</v>
      </c>
      <c r="BJ338" s="104">
        <f t="shared" si="46"/>
        <v>4.3084831859999992</v>
      </c>
      <c r="BK338" s="104">
        <v>35.32514393148</v>
      </c>
      <c r="BL338" s="38"/>
      <c r="BM338" s="3"/>
      <c r="BN338" s="3">
        <v>0</v>
      </c>
      <c r="BP338" s="3"/>
      <c r="BQ338" s="3"/>
      <c r="BS338" s="42"/>
      <c r="BT338" s="42">
        <v>0</v>
      </c>
      <c r="BU338" s="958"/>
      <c r="BV338" s="41"/>
      <c r="BW338" s="42"/>
      <c r="BX338" s="961"/>
      <c r="BY338" s="76"/>
      <c r="BZ338" s="42">
        <v>0</v>
      </c>
      <c r="CA338" s="959"/>
      <c r="CB338" s="41"/>
      <c r="CC338" s="41">
        <v>0</v>
      </c>
      <c r="CD338" s="960"/>
      <c r="CE338" s="76">
        <v>0</v>
      </c>
      <c r="CF338" s="55"/>
      <c r="CG338" s="41">
        <v>0</v>
      </c>
      <c r="CH338" s="38">
        <v>35.32514393148</v>
      </c>
      <c r="CI338" s="76">
        <v>0</v>
      </c>
      <c r="CJ338" s="55"/>
      <c r="CK338" s="955"/>
      <c r="CL338" s="950"/>
      <c r="CM338" s="955"/>
      <c r="CN338" s="950">
        <v>0</v>
      </c>
      <c r="CO338" s="76">
        <v>220.39244227045265</v>
      </c>
      <c r="CP338" s="42">
        <v>0</v>
      </c>
      <c r="CQ338" s="9"/>
      <c r="CR338" s="76">
        <v>324.18587116016892</v>
      </c>
      <c r="CS338" s="954">
        <v>0</v>
      </c>
      <c r="CT338" s="9"/>
      <c r="CU338" s="76">
        <v>217.86689475440971</v>
      </c>
      <c r="CV338" s="42">
        <v>0</v>
      </c>
      <c r="CW338" s="5"/>
      <c r="CX338" s="76">
        <v>0</v>
      </c>
      <c r="CY338" s="42">
        <v>0</v>
      </c>
      <c r="CZ338" s="5"/>
      <c r="DA338" s="76">
        <v>80.954586999901053</v>
      </c>
      <c r="DB338" s="42">
        <v>0</v>
      </c>
      <c r="DC338" s="5"/>
      <c r="DD338" s="76">
        <v>161.69782052303398</v>
      </c>
      <c r="DE338" s="42">
        <v>0</v>
      </c>
      <c r="DF338" s="5"/>
      <c r="DG338" s="76">
        <v>0</v>
      </c>
      <c r="DH338" s="42"/>
      <c r="DI338" s="5"/>
      <c r="DJ338" s="42">
        <v>1005.0976157079664</v>
      </c>
      <c r="DK338" s="42">
        <f t="shared" si="47"/>
        <v>0</v>
      </c>
      <c r="DL338" s="58">
        <f t="shared" si="48"/>
        <v>-1005.0976157079664</v>
      </c>
      <c r="DM338" s="2">
        <v>3</v>
      </c>
    </row>
    <row r="339" spans="1:117" ht="24.9" customHeight="1" x14ac:dyDescent="0.3">
      <c r="A339" s="318">
        <v>150000913</v>
      </c>
      <c r="B339" s="44" t="s">
        <v>320</v>
      </c>
      <c r="C339" s="956">
        <v>5</v>
      </c>
      <c r="D339" s="957" t="s">
        <v>454</v>
      </c>
      <c r="E339" s="949">
        <f>'побудинковий звіт'!E337</f>
        <v>2778.22</v>
      </c>
      <c r="F339" s="950">
        <f>'побудинковий звіт'!AS337</f>
        <v>52392.35817825963</v>
      </c>
      <c r="G339" s="950">
        <f t="shared" si="49"/>
        <v>22672.506696998465</v>
      </c>
      <c r="H339" s="950">
        <f t="shared" si="50"/>
        <v>-29719.851481261165</v>
      </c>
      <c r="I339" s="42">
        <f>'[2]поточний ремонт'!I339+'[1]поточний ремонт'!I339</f>
        <v>62</v>
      </c>
      <c r="J339" s="42">
        <f>'[2]поточний ремонт'!J339+'[1]поточний ремонт'!J339</f>
        <v>17118.20790319243</v>
      </c>
      <c r="K339" s="958"/>
      <c r="L339" s="42">
        <f>'[2]поточний ремонт'!L339+'[1]поточний ремонт'!L339</f>
        <v>0</v>
      </c>
      <c r="M339" s="42">
        <f>'[2]поточний ремонт'!M339+'[1]поточний ремонт'!M339</f>
        <v>0</v>
      </c>
      <c r="N339" s="960"/>
      <c r="O339" s="42">
        <f>'[2]поточний ремонт'!O339+'[1]поточний ремонт'!O339</f>
        <v>0</v>
      </c>
      <c r="P339" s="42">
        <f>'[2]поточний ремонт'!P339+'[1]поточний ремонт'!P339</f>
        <v>0</v>
      </c>
      <c r="Q339" s="959"/>
      <c r="R339" s="42">
        <f>'[2]поточний ремонт'!R339+'[1]поточний ремонт'!R339</f>
        <v>0</v>
      </c>
      <c r="S339" s="42">
        <f>'[2]поточний ремонт'!S339+'[1]поточний ремонт'!S339</f>
        <v>0</v>
      </c>
      <c r="T339" s="960"/>
      <c r="U339" s="42">
        <f>'[2]поточний ремонт'!U339+'[1]поточний ремонт'!U339</f>
        <v>0</v>
      </c>
      <c r="V339" s="42">
        <f>'[2]поточний ремонт'!V339+'[1]поточний ремонт'!V339</f>
        <v>0</v>
      </c>
      <c r="W339" s="42">
        <f>'[2]поточний ремонт'!W339+'[1]поточний ремонт'!W339</f>
        <v>0</v>
      </c>
      <c r="X339" s="42">
        <f>'[2]поточний ремонт'!X339+'[1]поточний ремонт'!X339</f>
        <v>334.20994454615055</v>
      </c>
      <c r="Y339" s="42">
        <f>'[2]поточний ремонт'!Y339+'[1]поточний ремонт'!Y339</f>
        <v>4334</v>
      </c>
      <c r="Z339" s="42">
        <f>'[2]поточний ремонт'!Z339+'[1]поточний ремонт'!Z339</f>
        <v>0</v>
      </c>
      <c r="AA339" s="42">
        <f>'[2]поточний ремонт'!AA339+'[1]поточний ремонт'!AA339</f>
        <v>0</v>
      </c>
      <c r="AB339" s="42">
        <f>'[2]поточний ремонт'!AB339+'[1]поточний ремонт'!AB339</f>
        <v>0</v>
      </c>
      <c r="AC339" s="42">
        <f>'[2]поточний ремонт'!AC339+'[1]поточний ремонт'!AC339</f>
        <v>0</v>
      </c>
      <c r="AD339" s="42">
        <f>'[2]поточний ремонт'!AD339+'[1]поточний ремонт'!AD339</f>
        <v>886.08884925988639</v>
      </c>
      <c r="AE339" s="42">
        <f>'[2]поточний ремонт'!AE339+'[1]поточний ремонт'!AE339</f>
        <v>1852.5216792093379</v>
      </c>
      <c r="AF339" s="42">
        <f>'[2]поточний ремонт'!AF339+'[1]поточний ремонт'!AF339</f>
        <v>0</v>
      </c>
      <c r="AG339" s="5"/>
      <c r="AH339" s="42">
        <f>'[2]поточний ремонт'!AH339+'[1]поточний ремонт'!AH339</f>
        <v>2507.7325677044091</v>
      </c>
      <c r="AI339" s="42">
        <f>'[2]поточний ремонт'!AI339+'[1]поточний ремонт'!AI339</f>
        <v>1993.1811706349574</v>
      </c>
      <c r="AJ339" s="965"/>
      <c r="AK339" s="42">
        <f>'[2]поточний ремонт'!AK339+'[1]поточний ремонт'!AK339</f>
        <v>1555.6071279854737</v>
      </c>
      <c r="AL339" s="42">
        <f>'[2]поточний ремонт'!AL339+'[1]поточний ремонт'!AL339</f>
        <v>5081.318401417584</v>
      </c>
      <c r="AM339" s="5"/>
      <c r="AN339" s="42">
        <f>'[2]поточний ремонт'!AN339+'[1]поточний ремонт'!AN339</f>
        <v>0</v>
      </c>
      <c r="AO339" s="42">
        <f>'[2]поточний ремонт'!AO339+'[1]поточний ремонт'!AO339</f>
        <v>0</v>
      </c>
      <c r="AP339" s="5"/>
      <c r="AQ339" s="42">
        <f>'[2]поточний ремонт'!AQ339+'[1]поточний ремонт'!AQ339</f>
        <v>817.64132869900061</v>
      </c>
      <c r="AR339" s="42">
        <f>'[2]поточний ремонт'!AR339+'[1]поточний ремонт'!AR339</f>
        <v>0</v>
      </c>
      <c r="AS339" s="5"/>
      <c r="AT339" s="42">
        <f>'[2]поточний ремонт'!AT339+'[1]поточний ремонт'!AT339</f>
        <v>1344.3817821302839</v>
      </c>
      <c r="AU339" s="42">
        <f>'[2]поточний ремонт'!AU339+'[1]поточний ремонт'!AU339</f>
        <v>909.37621783474344</v>
      </c>
      <c r="AV339" s="5"/>
      <c r="AW339" s="42">
        <f>'[2]поточний ремонт'!AW339+'[1]поточний ремонт'!AW339</f>
        <v>75.290084735242345</v>
      </c>
      <c r="AX339" s="42">
        <f>'[2]поточний ремонт'!AX339+'[1]поточний ремонт'!AX339</f>
        <v>0</v>
      </c>
      <c r="AY339" s="5"/>
      <c r="AZ339" s="42">
        <f t="shared" si="51"/>
        <v>8153.1745704637478</v>
      </c>
      <c r="BA339" s="42">
        <f t="shared" si="52"/>
        <v>7983.8757898872846</v>
      </c>
      <c r="BB339" s="58">
        <f t="shared" si="53"/>
        <v>-169.29878057646329</v>
      </c>
      <c r="BD339" s="2">
        <v>3</v>
      </c>
      <c r="BF339" s="29">
        <v>207.78220771157015</v>
      </c>
      <c r="BG339" s="318">
        <v>150000913</v>
      </c>
      <c r="BI339" s="104">
        <v>24.5</v>
      </c>
      <c r="BJ339" s="104">
        <f t="shared" si="46"/>
        <v>3.4462238999999997</v>
      </c>
      <c r="BK339" s="104">
        <v>28.255502002</v>
      </c>
      <c r="BL339" s="38"/>
      <c r="BM339" s="3"/>
      <c r="BN339" s="3">
        <v>0</v>
      </c>
      <c r="BP339" s="3"/>
      <c r="BQ339" s="3"/>
      <c r="BS339" s="42"/>
      <c r="BT339" s="42">
        <v>0</v>
      </c>
      <c r="BU339" s="958"/>
      <c r="BV339" s="41"/>
      <c r="BW339" s="42"/>
      <c r="BX339" s="960"/>
      <c r="BY339" s="76"/>
      <c r="BZ339" s="42">
        <v>0</v>
      </c>
      <c r="CA339" s="959"/>
      <c r="CB339" s="41"/>
      <c r="CC339" s="41">
        <v>0</v>
      </c>
      <c r="CD339" s="960"/>
      <c r="CE339" s="76">
        <v>0</v>
      </c>
      <c r="CF339" s="55"/>
      <c r="CG339" s="41">
        <v>0</v>
      </c>
      <c r="CH339" s="38">
        <v>28.255502002</v>
      </c>
      <c r="CI339" s="76">
        <v>0</v>
      </c>
      <c r="CJ339" s="971"/>
      <c r="CK339" s="955"/>
      <c r="CL339" s="950"/>
      <c r="CM339" s="955"/>
      <c r="CN339" s="950">
        <v>0</v>
      </c>
      <c r="CO339" s="76">
        <v>146.87281929944615</v>
      </c>
      <c r="CP339" s="42">
        <v>0</v>
      </c>
      <c r="CQ339" s="5"/>
      <c r="CR339" s="76">
        <v>214.22856880012804</v>
      </c>
      <c r="CS339" s="954">
        <v>0</v>
      </c>
      <c r="CT339" s="965"/>
      <c r="CU339" s="76">
        <v>124.75032333794053</v>
      </c>
      <c r="CV339" s="42">
        <v>0</v>
      </c>
      <c r="CW339" s="5"/>
      <c r="CX339" s="76">
        <v>0</v>
      </c>
      <c r="CY339" s="42">
        <v>0</v>
      </c>
      <c r="CZ339" s="5"/>
      <c r="DA339" s="76">
        <v>80.954586999901053</v>
      </c>
      <c r="DB339" s="42">
        <v>0</v>
      </c>
      <c r="DC339" s="5"/>
      <c r="DD339" s="76">
        <v>88.060337392310473</v>
      </c>
      <c r="DE339" s="42">
        <v>0</v>
      </c>
      <c r="DF339" s="5"/>
      <c r="DG339" s="76">
        <v>0</v>
      </c>
      <c r="DH339" s="42"/>
      <c r="DI339" s="5"/>
      <c r="DJ339" s="42">
        <v>654.86663582972619</v>
      </c>
      <c r="DK339" s="42">
        <f t="shared" si="47"/>
        <v>0</v>
      </c>
      <c r="DL339" s="58">
        <f t="shared" si="48"/>
        <v>-654.86663582972619</v>
      </c>
      <c r="DM339" s="2">
        <v>3</v>
      </c>
    </row>
    <row r="340" spans="1:117" ht="24.9" customHeight="1" x14ac:dyDescent="0.3">
      <c r="A340" s="318">
        <v>150000914</v>
      </c>
      <c r="B340" s="44" t="s">
        <v>321</v>
      </c>
      <c r="C340" s="956">
        <v>5</v>
      </c>
      <c r="D340" s="957" t="s">
        <v>454</v>
      </c>
      <c r="E340" s="949">
        <f>'побудинковий звіт'!E338</f>
        <v>2763.5</v>
      </c>
      <c r="F340" s="950">
        <f>'побудинковий звіт'!AS338</f>
        <v>53886.800318042733</v>
      </c>
      <c r="G340" s="950">
        <f t="shared" si="49"/>
        <v>91502.480692812285</v>
      </c>
      <c r="H340" s="950">
        <f t="shared" si="50"/>
        <v>37615.680374769552</v>
      </c>
      <c r="I340" s="42">
        <f>'[2]поточний ремонт'!I340+'[1]поточний ремонт'!I340</f>
        <v>280</v>
      </c>
      <c r="J340" s="42">
        <f>'[2]поточний ремонт'!J340+'[1]поточний ремонт'!J340</f>
        <v>81083.344379337505</v>
      </c>
      <c r="K340" s="958"/>
      <c r="L340" s="42">
        <f>'[2]поточний ремонт'!L340+'[1]поточний ремонт'!L340</f>
        <v>0</v>
      </c>
      <c r="M340" s="42">
        <f>'[2]поточний ремонт'!M340+'[1]поточний ремонт'!M340</f>
        <v>0</v>
      </c>
      <c r="N340" s="36"/>
      <c r="O340" s="42">
        <f>'[2]поточний ремонт'!O340+'[1]поточний ремонт'!O340</f>
        <v>0</v>
      </c>
      <c r="P340" s="42">
        <f>'[2]поточний ремонт'!P340+'[1]поточний ремонт'!P340</f>
        <v>0</v>
      </c>
      <c r="Q340" s="959"/>
      <c r="R340" s="42">
        <f>'[2]поточний ремонт'!R340+'[1]поточний ремонт'!R340</f>
        <v>0</v>
      </c>
      <c r="S340" s="42">
        <f>'[2]поточний ремонт'!S340+'[1]поточний ремонт'!S340</f>
        <v>0</v>
      </c>
      <c r="T340" s="960"/>
      <c r="U340" s="42">
        <f>'[2]поточний ремонт'!U340+'[1]поточний ремонт'!U340</f>
        <v>0</v>
      </c>
      <c r="V340" s="42">
        <f>'[2]поточний ремонт'!V340+'[1]поточний ремонт'!V340</f>
        <v>0</v>
      </c>
      <c r="W340" s="42">
        <f>'[2]поточний ремонт'!W340+'[1]поточний ремонт'!W340</f>
        <v>0</v>
      </c>
      <c r="X340" s="42">
        <f>'[2]поточний ремонт'!X340+'[1]поточний ремонт'!X340</f>
        <v>226.85352562459116</v>
      </c>
      <c r="Y340" s="42">
        <f>'[2]поточний ремонт'!Y340+'[1]поточний ремонт'!Y340</f>
        <v>10192.28278785019</v>
      </c>
      <c r="Z340" s="42">
        <f>'[2]поточний ремонт'!Z340+'[1]поточний ремонт'!Z340</f>
        <v>0</v>
      </c>
      <c r="AA340" s="42">
        <f>'[2]поточний ремонт'!AA340+'[1]поточний ремонт'!AA340</f>
        <v>0</v>
      </c>
      <c r="AB340" s="42">
        <f>'[2]поточний ремонт'!AB340+'[1]поточний ремонт'!AB340</f>
        <v>0</v>
      </c>
      <c r="AC340" s="42">
        <f>'[2]поточний ремонт'!AC340+'[1]поточний ремонт'!AC340</f>
        <v>0</v>
      </c>
      <c r="AD340" s="42">
        <f>'[2]поточний ремонт'!AD340+'[1]поточний ремонт'!AD340</f>
        <v>0</v>
      </c>
      <c r="AE340" s="42">
        <f>'[2]поточний ремонт'!AE340+'[1]поточний ремонт'!AE340</f>
        <v>1770.6241997220936</v>
      </c>
      <c r="AF340" s="42">
        <f>'[2]поточний ремонт'!AF340+'[1]поточний ремонт'!AF340</f>
        <v>0</v>
      </c>
      <c r="AG340" s="5"/>
      <c r="AH340" s="42">
        <f>'[2]поточний ремонт'!AH340+'[1]поточний ремонт'!AH340</f>
        <v>2679.7445791159671</v>
      </c>
      <c r="AI340" s="42">
        <f>'[2]поточний ремонт'!AI340+'[1]поточний ремонт'!AI340</f>
        <v>0</v>
      </c>
      <c r="AJ340" s="5"/>
      <c r="AK340" s="42">
        <f>'[2]поточний ремонт'!AK340+'[1]поточний ремонт'!AK340</f>
        <v>1555.6071279854737</v>
      </c>
      <c r="AL340" s="42">
        <f>'[2]поточний ремонт'!AL340+'[1]поточний ремонт'!AL340</f>
        <v>0</v>
      </c>
      <c r="AM340" s="5"/>
      <c r="AN340" s="42">
        <f>'[2]поточний ремонт'!AN340+'[1]поточний ремонт'!AN340</f>
        <v>0</v>
      </c>
      <c r="AO340" s="42">
        <f>'[2]поточний ремонт'!AO340+'[1]поточний ремонт'!AO340</f>
        <v>0</v>
      </c>
      <c r="AP340" s="5"/>
      <c r="AQ340" s="42">
        <f>'[2]поточний ремонт'!AQ340+'[1]поточний ремонт'!AQ340</f>
        <v>817.64132869900061</v>
      </c>
      <c r="AR340" s="42">
        <f>'[2]поточний ремонт'!AR340+'[1]поточний ремонт'!AR340</f>
        <v>0</v>
      </c>
      <c r="AS340" s="5"/>
      <c r="AT340" s="42">
        <f>'[2]поточний ремонт'!AT340+'[1]поточний ремонт'!AT340</f>
        <v>1344.3817821302839</v>
      </c>
      <c r="AU340" s="42">
        <f>'[2]поточний ремонт'!AU340+'[1]поточний ремонт'!AU340</f>
        <v>0</v>
      </c>
      <c r="AV340" s="5"/>
      <c r="AW340" s="42">
        <f>'[2]поточний ремонт'!AW340+'[1]поточний ремонт'!AW340</f>
        <v>75.290084735242345</v>
      </c>
      <c r="AX340" s="42">
        <f>'[2]поточний ремонт'!AX340+'[1]поточний ремонт'!AX340</f>
        <v>2780.1139905359541</v>
      </c>
      <c r="AY340" s="5"/>
      <c r="AZ340" s="42">
        <f t="shared" si="51"/>
        <v>8243.289102388062</v>
      </c>
      <c r="BA340" s="42">
        <f t="shared" si="52"/>
        <v>2780.1139905359541</v>
      </c>
      <c r="BB340" s="58">
        <f t="shared" si="53"/>
        <v>-5463.1751118521079</v>
      </c>
      <c r="BD340" s="2">
        <v>3</v>
      </c>
      <c r="BF340" s="29">
        <v>206.48750273838522</v>
      </c>
      <c r="BG340" s="318">
        <v>150000914</v>
      </c>
      <c r="BI340" s="104">
        <v>16.63</v>
      </c>
      <c r="BJ340" s="104">
        <f t="shared" si="46"/>
        <v>2.3392123859999998</v>
      </c>
      <c r="BK340" s="104">
        <v>19.17914278748</v>
      </c>
      <c r="BL340" s="38"/>
      <c r="BM340" s="3"/>
      <c r="BN340" s="3">
        <v>0</v>
      </c>
      <c r="BP340" s="3"/>
      <c r="BQ340" s="3"/>
      <c r="BS340" s="42"/>
      <c r="BT340" s="42">
        <v>0</v>
      </c>
      <c r="BU340" s="958"/>
      <c r="BV340" s="41"/>
      <c r="BW340" s="42"/>
      <c r="BX340" s="36"/>
      <c r="BY340" s="76"/>
      <c r="BZ340" s="42">
        <v>0</v>
      </c>
      <c r="CA340" s="959"/>
      <c r="CB340" s="41"/>
      <c r="CC340" s="41">
        <v>0</v>
      </c>
      <c r="CD340" s="960"/>
      <c r="CE340" s="76">
        <v>0</v>
      </c>
      <c r="CF340" s="55"/>
      <c r="CG340" s="41">
        <v>0</v>
      </c>
      <c r="CH340" s="38">
        <v>19.17914278748</v>
      </c>
      <c r="CI340" s="76">
        <v>0</v>
      </c>
      <c r="CJ340" s="55"/>
      <c r="CK340" s="955"/>
      <c r="CL340" s="950"/>
      <c r="CM340" s="955"/>
      <c r="CN340" s="950">
        <v>0</v>
      </c>
      <c r="CO340" s="76">
        <v>146.87281929944615</v>
      </c>
      <c r="CP340" s="42">
        <v>0</v>
      </c>
      <c r="CQ340" s="5"/>
      <c r="CR340" s="76">
        <v>214.22856880012804</v>
      </c>
      <c r="CS340" s="954">
        <v>0</v>
      </c>
      <c r="CT340" s="5"/>
      <c r="CU340" s="76">
        <v>124.75032333794053</v>
      </c>
      <c r="CV340" s="42">
        <v>0</v>
      </c>
      <c r="CW340" s="5"/>
      <c r="CX340" s="76">
        <v>0</v>
      </c>
      <c r="CY340" s="42">
        <v>0</v>
      </c>
      <c r="CZ340" s="5"/>
      <c r="DA340" s="76">
        <v>80.954586999901053</v>
      </c>
      <c r="DB340" s="42">
        <v>0</v>
      </c>
      <c r="DC340" s="5"/>
      <c r="DD340" s="76">
        <v>88.060337392310473</v>
      </c>
      <c r="DE340" s="42">
        <v>0</v>
      </c>
      <c r="DF340" s="5"/>
      <c r="DG340" s="76">
        <v>0</v>
      </c>
      <c r="DH340" s="42"/>
      <c r="DI340" s="5"/>
      <c r="DJ340" s="42">
        <v>654.86663582972619</v>
      </c>
      <c r="DK340" s="42">
        <f t="shared" si="47"/>
        <v>0</v>
      </c>
      <c r="DL340" s="58">
        <f t="shared" si="48"/>
        <v>-654.86663582972619</v>
      </c>
      <c r="DM340" s="2">
        <v>3</v>
      </c>
    </row>
    <row r="341" spans="1:117" ht="24.9" customHeight="1" x14ac:dyDescent="0.3">
      <c r="A341" s="318">
        <v>150000915</v>
      </c>
      <c r="B341" s="44" t="s">
        <v>322</v>
      </c>
      <c r="C341" s="956">
        <v>5</v>
      </c>
      <c r="D341" s="957" t="s">
        <v>454</v>
      </c>
      <c r="E341" s="949">
        <f>'побудинковий звіт'!E339</f>
        <v>2745.7</v>
      </c>
      <c r="F341" s="950">
        <f>'побудинковий звіт'!AS339</f>
        <v>50094.559117031284</v>
      </c>
      <c r="G341" s="950">
        <f t="shared" si="49"/>
        <v>74288.578523927194</v>
      </c>
      <c r="H341" s="950">
        <f t="shared" si="50"/>
        <v>24194.01940689591</v>
      </c>
      <c r="I341" s="42">
        <f>'[2]поточний ремонт'!I341+'[1]поточний ремонт'!I341</f>
        <v>140</v>
      </c>
      <c r="J341" s="42">
        <f>'[2]поточний ремонт'!J341+'[1]поточний ремонт'!J341</f>
        <v>57684.704902397229</v>
      </c>
      <c r="K341" s="958"/>
      <c r="L341" s="42">
        <f>'[2]поточний ремонт'!L341+'[1]поточний ремонт'!L341</f>
        <v>0</v>
      </c>
      <c r="M341" s="42">
        <f>'[2]поточний ремонт'!M341+'[1]поточний ремонт'!M341</f>
        <v>0</v>
      </c>
      <c r="N341" s="970"/>
      <c r="O341" s="42">
        <f>'[2]поточний ремонт'!O341+'[1]поточний ремонт'!O341</f>
        <v>0</v>
      </c>
      <c r="P341" s="42">
        <f>'[2]поточний ремонт'!P341+'[1]поточний ремонт'!P341</f>
        <v>0</v>
      </c>
      <c r="Q341" s="959"/>
      <c r="R341" s="42">
        <f>'[2]поточний ремонт'!R341+'[1]поточний ремонт'!R341</f>
        <v>0</v>
      </c>
      <c r="S341" s="42">
        <f>'[2]поточний ремонт'!S341+'[1]поточний ремонт'!S341</f>
        <v>0</v>
      </c>
      <c r="T341" s="960"/>
      <c r="U341" s="42">
        <f>'[2]поточний ремонт'!U341+'[1]поточний ремонт'!U341</f>
        <v>0</v>
      </c>
      <c r="V341" s="42">
        <f>'[2]поточний ремонт'!V341+'[1]поточний ремонт'!V341</f>
        <v>0</v>
      </c>
      <c r="W341" s="42">
        <f>'[2]поточний ремонт'!W341+'[1]поточний ремонт'!W341</f>
        <v>0</v>
      </c>
      <c r="X341" s="42">
        <f>'[2]поточний ремонт'!X341+'[1]поточний ремонт'!X341</f>
        <v>417.83063679382008</v>
      </c>
      <c r="Y341" s="42">
        <f>'[2]поточний ремонт'!Y341+'[1]поточний ремонт'!Y341</f>
        <v>10323.166085725892</v>
      </c>
      <c r="Z341" s="42">
        <f>'[2]поточний ремонт'!Z341+'[1]поточний ремонт'!Z341</f>
        <v>0</v>
      </c>
      <c r="AA341" s="42">
        <f>'[2]поточний ремонт'!AA341+'[1]поточний ремонт'!AA341</f>
        <v>0</v>
      </c>
      <c r="AB341" s="42">
        <f>'[2]поточний ремонт'!AB341+'[1]поточний ремонт'!AB341</f>
        <v>0</v>
      </c>
      <c r="AC341" s="42">
        <f>'[2]поточний ремонт'!AC341+'[1]поточний ремонт'!AC341</f>
        <v>1799.425476270322</v>
      </c>
      <c r="AD341" s="42">
        <f>'[2]поточний ремонт'!AD341+'[1]поточний ремонт'!AD341</f>
        <v>4063.4514227399313</v>
      </c>
      <c r="AE341" s="42">
        <f>'[2]поточний ремонт'!AE341+'[1]поточний ремонт'!AE341</f>
        <v>1846.1712951126649</v>
      </c>
      <c r="AF341" s="42">
        <f>'[2]поточний ремонт'!AF341+'[1]поточний ремонт'!AF341</f>
        <v>2280.1108976497776</v>
      </c>
      <c r="AG341" s="5"/>
      <c r="AH341" s="42">
        <f>'[2]поточний ремонт'!AH341+'[1]поточний ремонт'!AH341</f>
        <v>2507.7325677044091</v>
      </c>
      <c r="AI341" s="42">
        <f>'[2]поточний ремонт'!AI341+'[1]поточний ремонт'!AI341</f>
        <v>0</v>
      </c>
      <c r="AJ341" s="5"/>
      <c r="AK341" s="42">
        <f>'[2]поточний ремонт'!AK341+'[1]поточний ремонт'!AK341</f>
        <v>1555.6071279854737</v>
      </c>
      <c r="AL341" s="42">
        <f>'[2]поточний ремонт'!AL341+'[1]поточний ремонт'!AL341</f>
        <v>0</v>
      </c>
      <c r="AM341" s="5"/>
      <c r="AN341" s="42">
        <f>'[2]поточний ремонт'!AN341+'[1]поточний ремонт'!AN341</f>
        <v>0</v>
      </c>
      <c r="AO341" s="42">
        <f>'[2]поточний ремонт'!AO341+'[1]поточний ремонт'!AO341</f>
        <v>0</v>
      </c>
      <c r="AP341" s="5"/>
      <c r="AQ341" s="42">
        <f>'[2]поточний ремонт'!AQ341+'[1]поточний ремонт'!AQ341</f>
        <v>817.64132869900061</v>
      </c>
      <c r="AR341" s="42">
        <f>'[2]поточний ремонт'!AR341+'[1]поточний ремонт'!AR341</f>
        <v>0</v>
      </c>
      <c r="AS341" s="5"/>
      <c r="AT341" s="42">
        <f>'[2]поточний ремонт'!AT341+'[1]поточний ремонт'!AT341</f>
        <v>1344.3361934375275</v>
      </c>
      <c r="AU341" s="42">
        <f>'[2]поточний ремонт'!AU341+'[1]поточний ремонт'!AU341</f>
        <v>0</v>
      </c>
      <c r="AV341" s="977"/>
      <c r="AW341" s="42">
        <f>'[2]поточний ремонт'!AW341+'[1]поточний ремонт'!AW341</f>
        <v>75.290084735242345</v>
      </c>
      <c r="AX341" s="42">
        <f>'[2]поточний ремонт'!AX341+'[1]поточний ремонт'!AX341</f>
        <v>2661.6829796211987</v>
      </c>
      <c r="AY341" s="5"/>
      <c r="AZ341" s="42">
        <f t="shared" si="51"/>
        <v>8146.7785976743189</v>
      </c>
      <c r="BA341" s="42">
        <f t="shared" si="52"/>
        <v>4941.7938772709767</v>
      </c>
      <c r="BB341" s="58">
        <f t="shared" si="53"/>
        <v>-3204.9847204033422</v>
      </c>
      <c r="BD341" s="2">
        <v>3</v>
      </c>
      <c r="BF341" s="29">
        <v>205.07468957480577</v>
      </c>
      <c r="BG341" s="318">
        <v>150000915</v>
      </c>
      <c r="BI341" s="104">
        <v>30.63</v>
      </c>
      <c r="BJ341" s="104">
        <f t="shared" si="46"/>
        <v>4.3084831859999992</v>
      </c>
      <c r="BK341" s="104">
        <v>35.32514393148</v>
      </c>
      <c r="BL341" s="38"/>
      <c r="BM341" s="3"/>
      <c r="BN341" s="3">
        <v>0</v>
      </c>
      <c r="BP341" s="3"/>
      <c r="BQ341" s="3"/>
      <c r="BS341" s="42"/>
      <c r="BT341" s="42">
        <v>0</v>
      </c>
      <c r="BU341" s="958"/>
      <c r="BV341" s="41"/>
      <c r="BW341" s="42"/>
      <c r="BX341" s="970"/>
      <c r="BY341" s="76"/>
      <c r="BZ341" s="42">
        <v>0</v>
      </c>
      <c r="CA341" s="959"/>
      <c r="CB341" s="41"/>
      <c r="CC341" s="41">
        <v>0</v>
      </c>
      <c r="CD341" s="960"/>
      <c r="CE341" s="76">
        <v>0</v>
      </c>
      <c r="CF341" s="55"/>
      <c r="CG341" s="41">
        <v>0</v>
      </c>
      <c r="CH341" s="38">
        <v>35.32514393148</v>
      </c>
      <c r="CI341" s="76">
        <v>0</v>
      </c>
      <c r="CJ341" s="55"/>
      <c r="CK341" s="955"/>
      <c r="CL341" s="950"/>
      <c r="CM341" s="955"/>
      <c r="CN341" s="950">
        <v>0</v>
      </c>
      <c r="CO341" s="76">
        <v>146.84353244230923</v>
      </c>
      <c r="CP341" s="42">
        <v>1957.1776750075273</v>
      </c>
      <c r="CQ341" s="5"/>
      <c r="CR341" s="76">
        <v>214.22856880012804</v>
      </c>
      <c r="CS341" s="954">
        <v>0</v>
      </c>
      <c r="CT341" s="5"/>
      <c r="CU341" s="76">
        <v>124.75032333794053</v>
      </c>
      <c r="CV341" s="42">
        <v>0</v>
      </c>
      <c r="CW341" s="5"/>
      <c r="CX341" s="76">
        <v>0</v>
      </c>
      <c r="CY341" s="42">
        <v>0</v>
      </c>
      <c r="CZ341" s="5"/>
      <c r="DA341" s="76">
        <v>80.954586999901053</v>
      </c>
      <c r="DB341" s="42">
        <v>0</v>
      </c>
      <c r="DC341" s="5"/>
      <c r="DD341" s="76">
        <v>88.055823660354392</v>
      </c>
      <c r="DE341" s="42">
        <v>0</v>
      </c>
      <c r="DF341" s="977"/>
      <c r="DG341" s="76">
        <v>0</v>
      </c>
      <c r="DH341" s="42"/>
      <c r="DI341" s="5"/>
      <c r="DJ341" s="42">
        <v>654.83283524063324</v>
      </c>
      <c r="DK341" s="42">
        <f t="shared" si="47"/>
        <v>1957.1776750075273</v>
      </c>
      <c r="DL341" s="58">
        <f t="shared" si="48"/>
        <v>1302.344839766894</v>
      </c>
      <c r="DM341" s="2">
        <v>3</v>
      </c>
    </row>
    <row r="342" spans="1:117" ht="24.9" customHeight="1" x14ac:dyDescent="0.3">
      <c r="A342" s="318">
        <v>150000916</v>
      </c>
      <c r="B342" s="44" t="s">
        <v>323</v>
      </c>
      <c r="C342" s="956">
        <v>5</v>
      </c>
      <c r="D342" s="957" t="s">
        <v>454</v>
      </c>
      <c r="E342" s="949">
        <f>'побудинковий звіт'!E340</f>
        <v>5790.5</v>
      </c>
      <c r="F342" s="950">
        <f>'побудинковий звіт'!AS340</f>
        <v>103319.27050288892</v>
      </c>
      <c r="G342" s="950">
        <f t="shared" si="49"/>
        <v>68785.596265501561</v>
      </c>
      <c r="H342" s="950">
        <f t="shared" si="50"/>
        <v>-34533.674237387357</v>
      </c>
      <c r="I342" s="42">
        <f>'[2]поточний ремонт'!I342+'[1]поточний ремонт'!I342</f>
        <v>63.2</v>
      </c>
      <c r="J342" s="42">
        <f>'[2]поточний ремонт'!J342+'[1]поточний ремонт'!J342</f>
        <v>17651</v>
      </c>
      <c r="K342" s="958"/>
      <c r="L342" s="42">
        <f>'[2]поточний ремонт'!L342+'[1]поточний ремонт'!L342</f>
        <v>0</v>
      </c>
      <c r="M342" s="42">
        <f>'[2]поточний ремонт'!M342+'[1]поточний ремонт'!M342</f>
        <v>0</v>
      </c>
      <c r="N342" s="36"/>
      <c r="O342" s="42">
        <f>'[2]поточний ремонт'!O342+'[1]поточний ремонт'!O342</f>
        <v>30</v>
      </c>
      <c r="P342" s="42">
        <f>'[2]поточний ремонт'!P342+'[1]поточний ремонт'!P342</f>
        <v>8493.3232345489687</v>
      </c>
      <c r="Q342" s="959"/>
      <c r="R342" s="42">
        <f>'[2]поточний ремонт'!R342+'[1]поточний ремонт'!R342</f>
        <v>0</v>
      </c>
      <c r="S342" s="42">
        <f>'[2]поточний ремонт'!S342+'[1]поточний ремонт'!S342</f>
        <v>0</v>
      </c>
      <c r="T342" s="960"/>
      <c r="U342" s="42">
        <f>'[2]поточний ремонт'!U342+'[1]поточний ремонт'!U342</f>
        <v>0</v>
      </c>
      <c r="V342" s="42">
        <f>'[2]поточний ремонт'!V342+'[1]поточний ремонт'!V342</f>
        <v>0</v>
      </c>
      <c r="W342" s="42">
        <f>'[2]поточний ремонт'!W342+'[1]поточний ремонт'!W342</f>
        <v>0</v>
      </c>
      <c r="X342" s="42">
        <f>'[2]поточний ремонт'!X342+'[1]поточний ремонт'!X342</f>
        <v>943.69975362051832</v>
      </c>
      <c r="Y342" s="42">
        <f>'[2]поточний ремонт'!Y342+'[1]поточний ремонт'!Y342</f>
        <v>27713.579621001729</v>
      </c>
      <c r="Z342" s="42">
        <f>'[2]поточний ремонт'!Z342+'[1]поточний ремонт'!Z342</f>
        <v>0</v>
      </c>
      <c r="AA342" s="42">
        <f>'[2]поточний ремонт'!AA342+'[1]поточний ремонт'!AA342</f>
        <v>0</v>
      </c>
      <c r="AB342" s="42">
        <f>'[2]поточний ремонт'!AB342+'[1]поточний ремонт'!AB342</f>
        <v>2424.2628334548085</v>
      </c>
      <c r="AC342" s="42">
        <f>'[2]поточний ремонт'!AC342+'[1]поточний ремонт'!AC342</f>
        <v>10229.146024941976</v>
      </c>
      <c r="AD342" s="42">
        <f>'[2]поточний ремонт'!AD342+'[1]поточний ремонт'!AD342</f>
        <v>1330.5847979335667</v>
      </c>
      <c r="AE342" s="42">
        <f>'[2]поточний ремонт'!AE342+'[1]поточний ремонт'!AE342</f>
        <v>3667.1172515116186</v>
      </c>
      <c r="AF342" s="42">
        <f>'[2]поточний ремонт'!AF342+'[1]поточний ремонт'!AF342</f>
        <v>711.25363377424037</v>
      </c>
      <c r="AG342" s="9"/>
      <c r="AH342" s="42">
        <f>'[2]поточний ремонт'!AH342+'[1]поточний ремонт'!AH342</f>
        <v>5312.7729639336649</v>
      </c>
      <c r="AI342" s="42">
        <f>'[2]поточний ремонт'!AI342+'[1]поточний ремонт'!AI342</f>
        <v>3467.8153331132044</v>
      </c>
      <c r="AJ342" s="9"/>
      <c r="AK342" s="42">
        <f>'[2]поточний ремонт'!AK342+'[1]поточний ремонт'!AK342</f>
        <v>3361.8458671395556</v>
      </c>
      <c r="AL342" s="42">
        <f>'[2]поточний ремонт'!AL342+'[1]поточний ремонт'!AL342</f>
        <v>4474.1998507433291</v>
      </c>
      <c r="AM342" s="5"/>
      <c r="AN342" s="42">
        <f>'[2]поточний ремонт'!AN342+'[1]поточний ремонт'!AN342</f>
        <v>0</v>
      </c>
      <c r="AO342" s="42">
        <f>'[2]поточний ремонт'!AO342+'[1]поточний ремонт'!AO342</f>
        <v>0</v>
      </c>
      <c r="AP342" s="5"/>
      <c r="AQ342" s="42">
        <f>'[2]поточний ремонт'!AQ342+'[1]поточний ремонт'!AQ342</f>
        <v>1710.9994959425999</v>
      </c>
      <c r="AR342" s="42">
        <f>'[2]поточний ремонт'!AR342+'[1]поточний ремонт'!AR342</f>
        <v>0</v>
      </c>
      <c r="AS342" s="5"/>
      <c r="AT342" s="42">
        <f>'[2]поточний ремонт'!AT342+'[1]поточний ремонт'!AT342</f>
        <v>4011.9730037462668</v>
      </c>
      <c r="AU342" s="42">
        <f>'[2]поточний ремонт'!AU342+'[1]поточний ремонт'!AU342</f>
        <v>31013.671979167855</v>
      </c>
      <c r="AV342" s="977"/>
      <c r="AW342" s="42">
        <f>'[2]поточний ремонт'!AW342+'[1]поточний ремонт'!AW342</f>
        <v>150.58016947048469</v>
      </c>
      <c r="AX342" s="42">
        <f>'[2]поточний ремонт'!AX342+'[1]поточний ремонт'!AX342</f>
        <v>6253.656309808176</v>
      </c>
      <c r="AY342" s="5"/>
      <c r="AZ342" s="42">
        <f t="shared" si="51"/>
        <v>18215.288751744192</v>
      </c>
      <c r="BA342" s="42">
        <f t="shared" si="52"/>
        <v>45920.597106606809</v>
      </c>
      <c r="BB342" s="58">
        <f t="shared" si="53"/>
        <v>27705.308354862616</v>
      </c>
      <c r="BD342" s="2">
        <v>3</v>
      </c>
      <c r="BF342" s="29">
        <v>462.46114298843247</v>
      </c>
      <c r="BG342" s="318">
        <v>150000916</v>
      </c>
      <c r="BI342" s="104">
        <v>69.180000000000007</v>
      </c>
      <c r="BJ342" s="104">
        <f t="shared" si="46"/>
        <v>9.7310109960000002</v>
      </c>
      <c r="BK342" s="104">
        <v>79.784311367280011</v>
      </c>
      <c r="BL342" s="38"/>
      <c r="BM342" s="3"/>
      <c r="BN342" s="3">
        <v>0</v>
      </c>
      <c r="BP342" s="3"/>
      <c r="BQ342" s="3"/>
      <c r="BS342" s="42"/>
      <c r="BT342" s="42">
        <v>0</v>
      </c>
      <c r="BU342" s="958"/>
      <c r="BV342" s="41"/>
      <c r="BW342" s="42"/>
      <c r="BX342" s="36"/>
      <c r="BY342" s="76">
        <v>30</v>
      </c>
      <c r="BZ342" s="42">
        <v>8481.791526622239</v>
      </c>
      <c r="CA342" s="959"/>
      <c r="CB342" s="41"/>
      <c r="CC342" s="41">
        <v>0</v>
      </c>
      <c r="CD342" s="960"/>
      <c r="CE342" s="76">
        <v>0</v>
      </c>
      <c r="CF342" s="55"/>
      <c r="CG342" s="41">
        <v>0</v>
      </c>
      <c r="CH342" s="38">
        <v>79.784311367280011</v>
      </c>
      <c r="CI342" s="76">
        <v>0</v>
      </c>
      <c r="CJ342" s="971"/>
      <c r="CK342" s="955"/>
      <c r="CL342" s="950"/>
      <c r="CM342" s="955"/>
      <c r="CN342" s="950">
        <v>86.113450628630417</v>
      </c>
      <c r="CO342" s="76">
        <v>289.65090404190732</v>
      </c>
      <c r="CP342" s="42">
        <v>0</v>
      </c>
      <c r="CQ342" s="9"/>
      <c r="CR342" s="76">
        <v>431.63759742850965</v>
      </c>
      <c r="CS342" s="954">
        <v>0</v>
      </c>
      <c r="CT342" s="9"/>
      <c r="CU342" s="76">
        <v>272.09201331211341</v>
      </c>
      <c r="CV342" s="42">
        <v>0</v>
      </c>
      <c r="CW342" s="5"/>
      <c r="CX342" s="76">
        <v>0</v>
      </c>
      <c r="CY342" s="42">
        <v>0</v>
      </c>
      <c r="CZ342" s="5"/>
      <c r="DA342" s="76">
        <v>169.40589068738615</v>
      </c>
      <c r="DB342" s="42">
        <v>0</v>
      </c>
      <c r="DC342" s="5"/>
      <c r="DD342" s="76">
        <v>249.81944640851586</v>
      </c>
      <c r="DE342" s="42">
        <v>0</v>
      </c>
      <c r="DF342" s="977"/>
      <c r="DG342" s="76">
        <v>0</v>
      </c>
      <c r="DH342" s="42"/>
      <c r="DI342" s="5"/>
      <c r="DJ342" s="42">
        <v>1412.6058518784325</v>
      </c>
      <c r="DK342" s="42">
        <f t="shared" si="47"/>
        <v>0</v>
      </c>
      <c r="DL342" s="58">
        <f t="shared" si="48"/>
        <v>-1412.6058518784325</v>
      </c>
      <c r="DM342" s="2">
        <v>3</v>
      </c>
    </row>
    <row r="343" spans="1:117" ht="24.9" customHeight="1" x14ac:dyDescent="0.3">
      <c r="A343" s="318">
        <v>150000917</v>
      </c>
      <c r="B343" s="44" t="s">
        <v>324</v>
      </c>
      <c r="C343" s="956">
        <v>5</v>
      </c>
      <c r="D343" s="957" t="s">
        <v>454</v>
      </c>
      <c r="E343" s="949">
        <f>'побудинковий звіт'!E341</f>
        <v>4446.8999999999996</v>
      </c>
      <c r="F343" s="950">
        <f>'побудинковий звіт'!AS341</f>
        <v>75670.900874593426</v>
      </c>
      <c r="G343" s="950">
        <f t="shared" si="49"/>
        <v>8006.0529256634873</v>
      </c>
      <c r="H343" s="950">
        <f t="shared" si="50"/>
        <v>-67664.847948929935</v>
      </c>
      <c r="I343" s="42">
        <f>'[2]поточний ремонт'!I343+'[1]поточний ремонт'!I343</f>
        <v>0</v>
      </c>
      <c r="J343" s="42">
        <f>'[2]поточний ремонт'!J343+'[1]поточний ремонт'!J343</f>
        <v>0</v>
      </c>
      <c r="K343" s="962"/>
      <c r="L343" s="42">
        <f>'[2]поточний ремонт'!L343+'[1]поточний ремонт'!L343</f>
        <v>0</v>
      </c>
      <c r="M343" s="42">
        <f>'[2]поточний ремонт'!M343+'[1]поточний ремонт'!M343</f>
        <v>0</v>
      </c>
      <c r="N343" s="36"/>
      <c r="O343" s="42">
        <f>'[2]поточний ремонт'!O343+'[1]поточний ремонт'!O343</f>
        <v>8</v>
      </c>
      <c r="P343" s="42">
        <f>'[2]поточний ремонт'!P343+'[1]поточний ремонт'!P343</f>
        <v>1997.7</v>
      </c>
      <c r="Q343" s="959"/>
      <c r="R343" s="42">
        <f>'[2]поточний ремонт'!R343+'[1]поточний ремонт'!R343</f>
        <v>0</v>
      </c>
      <c r="S343" s="42">
        <f>'[2]поточний ремонт'!S343+'[1]поточний ремонт'!S343</f>
        <v>0</v>
      </c>
      <c r="T343" s="960"/>
      <c r="U343" s="42">
        <f>'[2]поточний ремонт'!U343+'[1]поточний ремонт'!U343</f>
        <v>0</v>
      </c>
      <c r="V343" s="42">
        <f>'[2]поточний ремонт'!V343+'[1]поточний ремонт'!V343</f>
        <v>0</v>
      </c>
      <c r="W343" s="42">
        <f>'[2]поточний ремонт'!W343+'[1]поточний ремонт'!W343</f>
        <v>4</v>
      </c>
      <c r="X343" s="42">
        <f>'[2]поточний ремонт'!X343+'[1]поточний ремонт'!X343</f>
        <v>314.62926953336381</v>
      </c>
      <c r="Y343" s="42">
        <f>'[2]поточний ремонт'!Y343+'[1]поточний ремонт'!Y343</f>
        <v>377.72598502435665</v>
      </c>
      <c r="Z343" s="42">
        <f>'[2]поточний ремонт'!Z343+'[1]поточний ремонт'!Z343</f>
        <v>0</v>
      </c>
      <c r="AA343" s="42">
        <f>'[2]поточний ремонт'!AA343+'[1]поточний ремонт'!AA343</f>
        <v>0</v>
      </c>
      <c r="AB343" s="42">
        <f>'[2]поточний ремонт'!AB343+'[1]поточний ремонт'!AB343</f>
        <v>0</v>
      </c>
      <c r="AC343" s="42">
        <f>'[2]поточний ремонт'!AC343+'[1]поточний ремонт'!AC343</f>
        <v>4642.5536426523868</v>
      </c>
      <c r="AD343" s="42">
        <f>'[2]поточний ремонт'!AD343+'[1]поточний ремонт'!AD343</f>
        <v>673.44402845337891</v>
      </c>
      <c r="AE343" s="42">
        <f>'[2]поточний ремонт'!AE343+'[1]поточний ремонт'!AE343</f>
        <v>2837.8381844710393</v>
      </c>
      <c r="AF343" s="42">
        <f>'[2]поточний ремонт'!AF343+'[1]поточний ремонт'!AF343</f>
        <v>1252.7654439607561</v>
      </c>
      <c r="AG343" s="5"/>
      <c r="AH343" s="42">
        <f>'[2]поточний ремонт'!AH343+'[1]поточний ремонт'!AH343</f>
        <v>4138.7995876131226</v>
      </c>
      <c r="AI343" s="42">
        <f>'[2]поточний ремонт'!AI343+'[1]поточний ремонт'!AI343</f>
        <v>0</v>
      </c>
      <c r="AJ343" s="5"/>
      <c r="AK343" s="42">
        <f>'[2]поточний ремонт'!AK343+'[1]поточний ремонт'!AK343</f>
        <v>2627.0731057299981</v>
      </c>
      <c r="AL343" s="42">
        <f>'[2]поточний ремонт'!AL343+'[1]поточний ремонт'!AL343</f>
        <v>0</v>
      </c>
      <c r="AM343" s="5"/>
      <c r="AN343" s="42">
        <f>'[2]поточний ремонт'!AN343+'[1]поточний ремонт'!AN343</f>
        <v>0</v>
      </c>
      <c r="AO343" s="42">
        <f>'[2]поточний ремонт'!AO343+'[1]поточний ремонт'!AO343</f>
        <v>0</v>
      </c>
      <c r="AP343" s="5"/>
      <c r="AQ343" s="42">
        <f>'[2]поточний ремонт'!AQ343+'[1]поточний ремонт'!AQ343</f>
        <v>1105.2668502747176</v>
      </c>
      <c r="AR343" s="42">
        <f>'[2]поточний ремонт'!AR343+'[1]поточний ремонт'!AR343</f>
        <v>0</v>
      </c>
      <c r="AS343" s="5"/>
      <c r="AT343" s="42">
        <f>'[2]поточний ремонт'!AT343+'[1]поточний ремонт'!AT343</f>
        <v>2559.870160683472</v>
      </c>
      <c r="AU343" s="42">
        <f>'[2]поточний ремонт'!AU343+'[1]поточний ремонт'!AU343</f>
        <v>3967.5311960287568</v>
      </c>
      <c r="AV343" s="5"/>
      <c r="AW343" s="42">
        <f>'[2]поточний ремонт'!AW343+'[1]поточний ремонт'!AW343</f>
        <v>100.38677964698979</v>
      </c>
      <c r="AX343" s="42">
        <f>'[2]поточний ремонт'!AX343+'[1]поточний ремонт'!AX343</f>
        <v>0</v>
      </c>
      <c r="AY343" s="5"/>
      <c r="AZ343" s="42">
        <f t="shared" si="51"/>
        <v>13369.23466841934</v>
      </c>
      <c r="BA343" s="42">
        <f t="shared" si="52"/>
        <v>5220.2966399895131</v>
      </c>
      <c r="BB343" s="58">
        <f t="shared" si="53"/>
        <v>-8148.9380284298268</v>
      </c>
      <c r="BD343" s="2">
        <v>3</v>
      </c>
      <c r="BF343" s="29">
        <v>332.32505192196322</v>
      </c>
      <c r="BG343" s="318">
        <v>150000917</v>
      </c>
      <c r="BI343" s="104">
        <v>0</v>
      </c>
      <c r="BJ343" s="104">
        <f t="shared" si="46"/>
        <v>0</v>
      </c>
      <c r="BK343" s="104">
        <v>0</v>
      </c>
      <c r="BL343" s="38"/>
      <c r="BM343" s="3">
        <v>4</v>
      </c>
      <c r="BN343" s="3">
        <v>314.20208540987488</v>
      </c>
      <c r="BP343" s="3"/>
      <c r="BQ343" s="3"/>
      <c r="BS343" s="42"/>
      <c r="BT343" s="42">
        <v>0</v>
      </c>
      <c r="BU343" s="962"/>
      <c r="BV343" s="41"/>
      <c r="BW343" s="42"/>
      <c r="BX343" s="36"/>
      <c r="BY343" s="76"/>
      <c r="BZ343" s="42">
        <v>0</v>
      </c>
      <c r="CA343" s="959"/>
      <c r="CB343" s="41"/>
      <c r="CC343" s="41">
        <v>0</v>
      </c>
      <c r="CD343" s="960"/>
      <c r="CE343" s="76">
        <v>0</v>
      </c>
      <c r="CF343" s="55"/>
      <c r="CG343" s="41">
        <v>4</v>
      </c>
      <c r="CH343" s="38">
        <v>314.20208540987488</v>
      </c>
      <c r="CI343" s="76">
        <v>0</v>
      </c>
      <c r="CJ343" s="55"/>
      <c r="CK343" s="955"/>
      <c r="CL343" s="950"/>
      <c r="CM343" s="955"/>
      <c r="CN343" s="950">
        <v>0</v>
      </c>
      <c r="CO343" s="76">
        <v>220.85713648065419</v>
      </c>
      <c r="CP343" s="42">
        <v>0</v>
      </c>
      <c r="CQ343" s="5"/>
      <c r="CR343" s="76">
        <v>324.62767629260719</v>
      </c>
      <c r="CS343" s="954">
        <v>0</v>
      </c>
      <c r="CT343" s="5"/>
      <c r="CU343" s="76">
        <v>213.53985105064197</v>
      </c>
      <c r="CV343" s="42">
        <v>0</v>
      </c>
      <c r="CW343" s="5"/>
      <c r="CX343" s="76">
        <v>0</v>
      </c>
      <c r="CY343" s="42">
        <v>0</v>
      </c>
      <c r="CZ343" s="5"/>
      <c r="DA343" s="76">
        <v>109.43236141333836</v>
      </c>
      <c r="DB343" s="42">
        <v>0</v>
      </c>
      <c r="DC343" s="5"/>
      <c r="DD343" s="76">
        <v>162.36492688862674</v>
      </c>
      <c r="DE343" s="42">
        <v>0</v>
      </c>
      <c r="DF343" s="5"/>
      <c r="DG343" s="76">
        <v>0</v>
      </c>
      <c r="DH343" s="42"/>
      <c r="DI343" s="5"/>
      <c r="DJ343" s="42">
        <v>1030.8219521258686</v>
      </c>
      <c r="DK343" s="42">
        <f t="shared" si="47"/>
        <v>0</v>
      </c>
      <c r="DL343" s="58">
        <f t="shared" si="48"/>
        <v>-1030.8219521258686</v>
      </c>
      <c r="DM343" s="2">
        <v>3</v>
      </c>
    </row>
    <row r="344" spans="1:117" ht="24.9" customHeight="1" x14ac:dyDescent="0.3">
      <c r="A344" s="318">
        <v>150000918</v>
      </c>
      <c r="B344" s="44" t="s">
        <v>325</v>
      </c>
      <c r="C344" s="956">
        <v>5</v>
      </c>
      <c r="D344" s="957" t="s">
        <v>454</v>
      </c>
      <c r="E344" s="949">
        <f>'побудинковий звіт'!E342</f>
        <v>4596.3999999999996</v>
      </c>
      <c r="F344" s="950">
        <f>'побудинковий звіт'!AS342</f>
        <v>67744.584007656827</v>
      </c>
      <c r="G344" s="950">
        <f t="shared" si="49"/>
        <v>8218.9838129148338</v>
      </c>
      <c r="H344" s="950">
        <f t="shared" si="50"/>
        <v>-59525.600194741994</v>
      </c>
      <c r="I344" s="42">
        <f>'[2]поточний ремонт'!I344+'[1]поточний ремонт'!I344</f>
        <v>0</v>
      </c>
      <c r="J344" s="42">
        <f>'[2]поточний ремонт'!J344+'[1]поточний ремонт'!J344</f>
        <v>0</v>
      </c>
      <c r="K344" s="958"/>
      <c r="L344" s="42">
        <f>'[2]поточний ремонт'!L344+'[1]поточний ремонт'!L344</f>
        <v>0</v>
      </c>
      <c r="M344" s="42">
        <f>'[2]поточний ремонт'!M344+'[1]поточний ремонт'!M344</f>
        <v>0</v>
      </c>
      <c r="N344" s="36"/>
      <c r="O344" s="42">
        <f>'[2]поточний ремонт'!O344+'[1]поточний ремонт'!O344</f>
        <v>0</v>
      </c>
      <c r="P344" s="42">
        <f>'[2]поточний ремонт'!P344+'[1]поточний ремонт'!P344</f>
        <v>0</v>
      </c>
      <c r="Q344" s="959"/>
      <c r="R344" s="42">
        <f>'[2]поточний ремонт'!R344+'[1]поточний ремонт'!R344</f>
        <v>0</v>
      </c>
      <c r="S344" s="42">
        <f>'[2]поточний ремонт'!S344+'[1]поточний ремонт'!S344</f>
        <v>0</v>
      </c>
      <c r="T344" s="960"/>
      <c r="U344" s="42">
        <f>'[2]поточний ремонт'!U344+'[1]поточний ремонт'!U344</f>
        <v>0</v>
      </c>
      <c r="V344" s="42">
        <f>'[2]поточний ремонт'!V344+'[1]поточний ремонт'!V344</f>
        <v>0</v>
      </c>
      <c r="W344" s="42">
        <f>'[2]поточний ремонт'!W344+'[1]поточний ремонт'!W344</f>
        <v>0</v>
      </c>
      <c r="X344" s="42">
        <f>'[2]поточний ремонт'!X344+'[1]поточний ремонт'!X344</f>
        <v>641.81950575087285</v>
      </c>
      <c r="Y344" s="42">
        <f>'[2]поточний ремонт'!Y344+'[1]поточний ремонт'!Y344</f>
        <v>1803</v>
      </c>
      <c r="Z344" s="42">
        <f>'[2]поточний ремонт'!Z344+'[1]поточний ремонт'!Z344</f>
        <v>0</v>
      </c>
      <c r="AA344" s="42">
        <f>'[2]поточний ремонт'!AA344+'[1]поточний ремонт'!AA344</f>
        <v>0</v>
      </c>
      <c r="AB344" s="42">
        <f>'[2]поточний ремонт'!AB344+'[1]поточний ремонт'!AB344</f>
        <v>0</v>
      </c>
      <c r="AC344" s="42">
        <f>'[2]поточний ремонт'!AC344+'[1]поточний ремонт'!AC344</f>
        <v>0</v>
      </c>
      <c r="AD344" s="42">
        <f>'[2]поточний ремонт'!AD344+'[1]поточний ремонт'!AD344</f>
        <v>5774.164307163961</v>
      </c>
      <c r="AE344" s="42">
        <f>'[2]поточний ремонт'!AE344+'[1]поточний ремонт'!AE344</f>
        <v>3010.5743159630006</v>
      </c>
      <c r="AF344" s="42">
        <f>'[2]поточний ремонт'!AF344+'[1]поточний ремонт'!AF344</f>
        <v>340.49329434032501</v>
      </c>
      <c r="AG344" s="5"/>
      <c r="AH344" s="42">
        <f>'[2]поточний ремонт'!AH344+'[1]поточний ремонт'!AH344</f>
        <v>4640.3240239746056</v>
      </c>
      <c r="AI344" s="42">
        <f>'[2]поточний ремонт'!AI344+'[1]поточний ремонт'!AI344</f>
        <v>0</v>
      </c>
      <c r="AJ344" s="5"/>
      <c r="AK344" s="42">
        <f>'[2]поточний ремонт'!AK344+'[1]поточний ремонт'!AK344</f>
        <v>2783.6510057321084</v>
      </c>
      <c r="AL344" s="42">
        <f>'[2]поточний ремонт'!AL344+'[1]поточний ремонт'!AL344</f>
        <v>0</v>
      </c>
      <c r="AM344" s="5"/>
      <c r="AN344" s="42">
        <f>'[2]поточний ремонт'!AN344+'[1]поточний ремонт'!AN344</f>
        <v>0</v>
      </c>
      <c r="AO344" s="42">
        <f>'[2]поточний ремонт'!AO344+'[1]поточний ремонт'!AO344</f>
        <v>0</v>
      </c>
      <c r="AP344" s="5"/>
      <c r="AQ344" s="42">
        <f>'[2]поточний ремонт'!AQ344+'[1]поточний ремонт'!AQ344</f>
        <v>1105.2668502747176</v>
      </c>
      <c r="AR344" s="42">
        <f>'[2]поточний ремонт'!AR344+'[1]поточний ремонт'!AR344</f>
        <v>0</v>
      </c>
      <c r="AS344" s="5"/>
      <c r="AT344" s="42">
        <f>'[2]поточний ремонт'!AT344+'[1]поточний ремонт'!AT344</f>
        <v>2674.0343942834929</v>
      </c>
      <c r="AU344" s="42">
        <f>'[2]поточний ремонт'!AU344+'[1]поточний ремонт'!AU344</f>
        <v>2173.3708111619303</v>
      </c>
      <c r="AV344" s="5"/>
      <c r="AW344" s="42">
        <f>'[2]поточний ремонт'!AW344+'[1]поточний ремонт'!AW344</f>
        <v>131.75764828667408</v>
      </c>
      <c r="AX344" s="42">
        <f>'[2]поточний ремонт'!AX344+'[1]поточний ремонт'!AX344</f>
        <v>0</v>
      </c>
      <c r="AY344" s="5"/>
      <c r="AZ344" s="42">
        <f t="shared" si="51"/>
        <v>14345.6082385146</v>
      </c>
      <c r="BA344" s="42">
        <f t="shared" si="52"/>
        <v>2513.8641055022554</v>
      </c>
      <c r="BB344" s="58">
        <f t="shared" si="53"/>
        <v>-11831.744133012344</v>
      </c>
      <c r="BD344" s="2">
        <v>3</v>
      </c>
      <c r="BF344" s="29">
        <v>343.00711547093164</v>
      </c>
      <c r="BG344" s="318">
        <v>150000918</v>
      </c>
      <c r="BI344" s="104">
        <v>47.050000000000004</v>
      </c>
      <c r="BJ344" s="104">
        <f t="shared" ref="BJ344:BJ355" si="54">BI344*$BJ$10</f>
        <v>6.6181565100000004</v>
      </c>
      <c r="BK344" s="104">
        <v>54.262096701800004</v>
      </c>
      <c r="BL344" s="38"/>
      <c r="BM344" s="3"/>
      <c r="BN344" s="3">
        <v>0</v>
      </c>
      <c r="BP344" s="3"/>
      <c r="BQ344" s="3"/>
      <c r="BS344" s="42"/>
      <c r="BT344" s="42">
        <v>0</v>
      </c>
      <c r="BU344" s="958"/>
      <c r="BV344" s="41"/>
      <c r="BW344" s="42"/>
      <c r="BX344" s="36"/>
      <c r="BY344" s="76"/>
      <c r="BZ344" s="42">
        <v>0</v>
      </c>
      <c r="CA344" s="959"/>
      <c r="CB344" s="41"/>
      <c r="CC344" s="41">
        <v>0</v>
      </c>
      <c r="CD344" s="960"/>
      <c r="CE344" s="76">
        <v>0</v>
      </c>
      <c r="CF344" s="55"/>
      <c r="CG344" s="41">
        <v>0</v>
      </c>
      <c r="CH344" s="38">
        <v>54.262096701800004</v>
      </c>
      <c r="CI344" s="76">
        <v>0</v>
      </c>
      <c r="CJ344" s="55"/>
      <c r="CK344" s="955"/>
      <c r="CL344" s="950"/>
      <c r="CM344" s="955"/>
      <c r="CN344" s="950">
        <v>1668.9891286216789</v>
      </c>
      <c r="CO344" s="76">
        <v>226.05244305210456</v>
      </c>
      <c r="CP344" s="42">
        <v>0</v>
      </c>
      <c r="CQ344" s="5"/>
      <c r="CR344" s="76">
        <v>365.2358995895471</v>
      </c>
      <c r="CS344" s="954">
        <v>0</v>
      </c>
      <c r="CT344" s="5"/>
      <c r="CU344" s="76">
        <v>222.38931250979368</v>
      </c>
      <c r="CV344" s="42">
        <v>0</v>
      </c>
      <c r="CW344" s="5"/>
      <c r="CX344" s="76">
        <v>0</v>
      </c>
      <c r="CY344" s="42">
        <v>0</v>
      </c>
      <c r="CZ344" s="5"/>
      <c r="DA344" s="76">
        <v>109.43236141333836</v>
      </c>
      <c r="DB344" s="42">
        <v>0</v>
      </c>
      <c r="DC344" s="5"/>
      <c r="DD344" s="76">
        <v>166.44104769593039</v>
      </c>
      <c r="DE344" s="42">
        <v>0</v>
      </c>
      <c r="DF344" s="5"/>
      <c r="DG344" s="76">
        <v>0</v>
      </c>
      <c r="DH344" s="42"/>
      <c r="DI344" s="5"/>
      <c r="DJ344" s="42">
        <v>1089.5510642607142</v>
      </c>
      <c r="DK344" s="42">
        <f t="shared" ref="DK344:DK355" si="55">CP344+CS344+CV344+CY344+DB344+DE344+DH344</f>
        <v>0</v>
      </c>
      <c r="DL344" s="58">
        <f t="shared" ref="DL344:DL355" si="56">DK344-DJ344</f>
        <v>-1089.5510642607142</v>
      </c>
      <c r="DM344" s="2">
        <v>3</v>
      </c>
    </row>
    <row r="345" spans="1:117" ht="24.9" customHeight="1" x14ac:dyDescent="0.3">
      <c r="A345" s="318">
        <v>150000919</v>
      </c>
      <c r="B345" s="44" t="s">
        <v>326</v>
      </c>
      <c r="C345" s="956">
        <v>5</v>
      </c>
      <c r="D345" s="957" t="s">
        <v>454</v>
      </c>
      <c r="E345" s="949">
        <f>'побудинковий звіт'!E343</f>
        <v>4567.8</v>
      </c>
      <c r="F345" s="950">
        <f>'побудинковий звіт'!AS343</f>
        <v>67716.241978730832</v>
      </c>
      <c r="G345" s="950">
        <f t="shared" si="49"/>
        <v>102918.49716403286</v>
      </c>
      <c r="H345" s="950">
        <f t="shared" si="50"/>
        <v>35202.255185302027</v>
      </c>
      <c r="I345" s="42">
        <f>'[2]поточний ремонт'!I345+'[1]поточний ремонт'!I345</f>
        <v>0</v>
      </c>
      <c r="J345" s="42">
        <f>'[2]поточний ремонт'!J345+'[1]поточний ремонт'!J345</f>
        <v>0</v>
      </c>
      <c r="K345" s="958"/>
      <c r="L345" s="42">
        <f>'[2]поточний ремонт'!L345+'[1]поточний ремонт'!L345</f>
        <v>7</v>
      </c>
      <c r="M345" s="42">
        <f>'[2]поточний ремонт'!M345+'[1]поточний ремонт'!M345</f>
        <v>62420.160906139092</v>
      </c>
      <c r="N345" s="36"/>
      <c r="O345" s="42">
        <f>'[2]поточний ремонт'!O345+'[1]поточний ремонт'!O345</f>
        <v>0</v>
      </c>
      <c r="P345" s="42">
        <f>'[2]поточний ремонт'!P345+'[1]поточний ремонт'!P345</f>
        <v>0</v>
      </c>
      <c r="Q345" s="959"/>
      <c r="R345" s="42">
        <f>'[2]поточний ремонт'!R345+'[1]поточний ремонт'!R345</f>
        <v>0</v>
      </c>
      <c r="S345" s="42">
        <f>'[2]поточний ремонт'!S345+'[1]поточний ремонт'!S345</f>
        <v>0</v>
      </c>
      <c r="T345" s="960"/>
      <c r="U345" s="42">
        <f>'[2]поточний ремонт'!U345+'[1]поточний ремонт'!U345</f>
        <v>0</v>
      </c>
      <c r="V345" s="42">
        <f>'[2]поточний ремонт'!V345+'[1]поточний ремонт'!V345</f>
        <v>0</v>
      </c>
      <c r="W345" s="42">
        <f>'[2]поточний ремонт'!W345+'[1]поточний ремонт'!W345</f>
        <v>5</v>
      </c>
      <c r="X345" s="42">
        <f>'[2]поточний ремонт'!X345+'[1]поточний ремонт'!X345</f>
        <v>2141.7555736719155</v>
      </c>
      <c r="Y345" s="42">
        <f>'[2]поточний ремонт'!Y345+'[1]поточний ремонт'!Y345</f>
        <v>24273.243702319349</v>
      </c>
      <c r="Z345" s="42">
        <f>'[2]поточний ремонт'!Z345+'[1]поточний ремонт'!Z345</f>
        <v>0</v>
      </c>
      <c r="AA345" s="42">
        <f>'[2]поточний ремонт'!AA345+'[1]поточний ремонт'!AA345</f>
        <v>0</v>
      </c>
      <c r="AB345" s="42">
        <f>'[2]поточний ремонт'!AB345+'[1]поточний ремонт'!AB345</f>
        <v>8834.1603232314501</v>
      </c>
      <c r="AC345" s="42">
        <f>'[2]поточний ремонт'!AC345+'[1]поточний ремонт'!AC345</f>
        <v>2135.6001995328306</v>
      </c>
      <c r="AD345" s="42">
        <f>'[2]поточний ремонт'!AD345+'[1]поточний ремонт'!AD345</f>
        <v>3113.5764591382376</v>
      </c>
      <c r="AE345" s="42">
        <f>'[2]поточний ремонт'!AE345+'[1]поточний ремонт'!AE345</f>
        <v>2811.511908488591</v>
      </c>
      <c r="AF345" s="42">
        <f>'[2]поточний ремонт'!AF345+'[1]поточний ремонт'!AF345</f>
        <v>2258.4756415662173</v>
      </c>
      <c r="AG345" s="5"/>
      <c r="AH345" s="42">
        <f>'[2]поточний ремонт'!AH345+'[1]поточний ремонт'!AH345</f>
        <v>4639.5394635200155</v>
      </c>
      <c r="AI345" s="42">
        <f>'[2]поточний ремонт'!AI345+'[1]поточний ремонт'!AI345</f>
        <v>1883.2804363109901</v>
      </c>
      <c r="AJ345" s="5"/>
      <c r="AK345" s="42">
        <f>'[2]поточний ремонт'!AK345+'[1]поточний ремонт'!AK345</f>
        <v>2722.0347216446617</v>
      </c>
      <c r="AL345" s="42">
        <f>'[2]поточний ремонт'!AL345+'[1]поточний ремонт'!AL345</f>
        <v>0</v>
      </c>
      <c r="AM345" s="9"/>
      <c r="AN345" s="42">
        <f>'[2]поточний ремонт'!AN345+'[1]поточний ремонт'!AN345</f>
        <v>0</v>
      </c>
      <c r="AO345" s="42">
        <f>'[2]поточний ремонт'!AO345+'[1]поточний ремонт'!AO345</f>
        <v>0</v>
      </c>
      <c r="AP345" s="5"/>
      <c r="AQ345" s="42">
        <f>'[2]поточний ремонт'!AQ345+'[1]поточний ремонт'!AQ345</f>
        <v>1105.2668502747176</v>
      </c>
      <c r="AR345" s="42">
        <f>'[2]поточний ремонт'!AR345+'[1]поточний ремонт'!AR345</f>
        <v>0</v>
      </c>
      <c r="AS345" s="5"/>
      <c r="AT345" s="42">
        <f>'[2]поточний ремонт'!AT345+'[1]поточний ремонт'!AT345</f>
        <v>2677.0975315262231</v>
      </c>
      <c r="AU345" s="42">
        <f>'[2]поточний ремонт'!AU345+'[1]поточний ремонт'!AU345</f>
        <v>3837.6856990140154</v>
      </c>
      <c r="AV345" s="5"/>
      <c r="AW345" s="42">
        <f>'[2]поточний ремонт'!AW345+'[1]поточний ремонт'!AW345</f>
        <v>131.75764828667408</v>
      </c>
      <c r="AX345" s="42">
        <f>'[2]поточний ремонт'!AX345+'[1]поточний ремонт'!AX345</f>
        <v>1359.4478470556301</v>
      </c>
      <c r="AY345" s="5"/>
      <c r="AZ345" s="42">
        <f t="shared" si="51"/>
        <v>14087.208123740884</v>
      </c>
      <c r="BA345" s="42">
        <f t="shared" si="52"/>
        <v>9338.8896239468522</v>
      </c>
      <c r="BB345" s="58">
        <f t="shared" si="53"/>
        <v>-4748.3184997940316</v>
      </c>
      <c r="BD345" s="2">
        <v>3</v>
      </c>
      <c r="BF345" s="29">
        <v>341.38499665348854</v>
      </c>
      <c r="BG345" s="318">
        <v>150000919</v>
      </c>
      <c r="BI345" s="104">
        <v>4.1500000000000004</v>
      </c>
      <c r="BJ345" s="104">
        <f t="shared" si="54"/>
        <v>0.58374813000000003</v>
      </c>
      <c r="BK345" s="104">
        <v>4.7861360533999999</v>
      </c>
      <c r="BL345" s="38"/>
      <c r="BM345" s="3">
        <v>5</v>
      </c>
      <c r="BN345" s="3">
        <v>2082.3134214521665</v>
      </c>
      <c r="BP345" s="3"/>
      <c r="BQ345" s="3"/>
      <c r="BS345" s="42"/>
      <c r="BT345" s="42">
        <v>0</v>
      </c>
      <c r="BU345" s="958"/>
      <c r="BV345" s="41"/>
      <c r="BW345" s="42"/>
      <c r="BX345" s="36"/>
      <c r="BY345" s="76"/>
      <c r="BZ345" s="42">
        <v>0</v>
      </c>
      <c r="CA345" s="959"/>
      <c r="CB345" s="41"/>
      <c r="CC345" s="41">
        <v>0</v>
      </c>
      <c r="CD345" s="960"/>
      <c r="CE345" s="76">
        <v>0</v>
      </c>
      <c r="CF345" s="55"/>
      <c r="CG345" s="41">
        <v>5</v>
      </c>
      <c r="CH345" s="38">
        <v>2087.0995575055663</v>
      </c>
      <c r="CI345" s="76">
        <v>0</v>
      </c>
      <c r="CJ345" s="55"/>
      <c r="CK345" s="955"/>
      <c r="CL345" s="950"/>
      <c r="CM345" s="955"/>
      <c r="CN345" s="950">
        <v>1342.4623925085095</v>
      </c>
      <c r="CO345" s="76">
        <v>226.58214786316023</v>
      </c>
      <c r="CP345" s="42">
        <v>0</v>
      </c>
      <c r="CQ345" s="5"/>
      <c r="CR345" s="76">
        <v>365.15822033661738</v>
      </c>
      <c r="CS345" s="954">
        <v>0</v>
      </c>
      <c r="CT345" s="5"/>
      <c r="CU345" s="76">
        <v>222.56206049485897</v>
      </c>
      <c r="CV345" s="42">
        <v>0</v>
      </c>
      <c r="CW345" s="9"/>
      <c r="CX345" s="76">
        <v>0</v>
      </c>
      <c r="CY345" s="42">
        <v>0</v>
      </c>
      <c r="CZ345" s="5"/>
      <c r="DA345" s="76">
        <v>109.43236141333836</v>
      </c>
      <c r="DB345" s="42">
        <v>0</v>
      </c>
      <c r="DC345" s="5"/>
      <c r="DD345" s="76">
        <v>166.34377655113391</v>
      </c>
      <c r="DE345" s="42">
        <v>3242.2983481940882</v>
      </c>
      <c r="DF345" s="5"/>
      <c r="DG345" s="76">
        <v>0</v>
      </c>
      <c r="DH345" s="42"/>
      <c r="DI345" s="5"/>
      <c r="DJ345" s="42">
        <v>1090.0785666591089</v>
      </c>
      <c r="DK345" s="42">
        <f t="shared" si="55"/>
        <v>3242.2983481940882</v>
      </c>
      <c r="DL345" s="58">
        <f t="shared" si="56"/>
        <v>2152.2197815349791</v>
      </c>
      <c r="DM345" s="2">
        <v>3</v>
      </c>
    </row>
    <row r="346" spans="1:117" ht="24.9" customHeight="1" x14ac:dyDescent="0.3">
      <c r="A346" s="318">
        <v>150000920</v>
      </c>
      <c r="B346" s="44" t="s">
        <v>327</v>
      </c>
      <c r="C346" s="956">
        <v>5</v>
      </c>
      <c r="D346" s="957" t="s">
        <v>454</v>
      </c>
      <c r="E346" s="949">
        <f>'побудинковий звіт'!E344</f>
        <v>4553.3</v>
      </c>
      <c r="F346" s="950">
        <f>'побудинковий звіт'!AS344</f>
        <v>79253.856362745835</v>
      </c>
      <c r="G346" s="950">
        <f t="shared" si="49"/>
        <v>82635.615074106434</v>
      </c>
      <c r="H346" s="950">
        <f t="shared" si="50"/>
        <v>3381.7587113605987</v>
      </c>
      <c r="I346" s="42">
        <f>'[2]поточний ремонт'!I346+'[1]поточний ремонт'!I346</f>
        <v>0</v>
      </c>
      <c r="J346" s="42">
        <f>'[2]поточний ремонт'!J346+'[1]поточний ремонт'!J346</f>
        <v>0</v>
      </c>
      <c r="K346" s="958"/>
      <c r="L346" s="42">
        <f>'[2]поточний ремонт'!L346+'[1]поточний ремонт'!L346</f>
        <v>0</v>
      </c>
      <c r="M346" s="42">
        <f>'[2]поточний ремонт'!M346+'[1]поточний ремонт'!M346</f>
        <v>0</v>
      </c>
      <c r="N346" s="36"/>
      <c r="O346" s="42">
        <f>'[2]поточний ремонт'!O346+'[1]поточний ремонт'!O346</f>
        <v>0</v>
      </c>
      <c r="P346" s="42">
        <f>'[2]поточний ремонт'!P346+'[1]поточний ремонт'!P346</f>
        <v>0</v>
      </c>
      <c r="Q346" s="959"/>
      <c r="R346" s="42">
        <f>'[2]поточний ремонт'!R346+'[1]поточний ремонт'!R346</f>
        <v>0</v>
      </c>
      <c r="S346" s="42">
        <f>'[2]поточний ремонт'!S346+'[1]поточний ремонт'!S346</f>
        <v>0</v>
      </c>
      <c r="T346" s="960"/>
      <c r="U346" s="42">
        <f>'[2]поточний ремонт'!U346+'[1]поточний ремонт'!U346</f>
        <v>0</v>
      </c>
      <c r="V346" s="42">
        <f>'[2]поточний ремонт'!V346+'[1]поточний ремонт'!V346</f>
        <v>0</v>
      </c>
      <c r="W346" s="42">
        <f>'[2]поточний ремонт'!W346+'[1]поточний ремонт'!W346</f>
        <v>0</v>
      </c>
      <c r="X346" s="42">
        <f>'[2]поточний ремонт'!X346+'[1]поточний ремонт'!X346</f>
        <v>644.54775019614749</v>
      </c>
      <c r="Y346" s="42">
        <f>'[2]поточний ремонт'!Y346+'[1]поточний ремонт'!Y346</f>
        <v>76752.307541399525</v>
      </c>
      <c r="Z346" s="42">
        <f>'[2]поточний ремонт'!Z346+'[1]поточний ремонт'!Z346</f>
        <v>0</v>
      </c>
      <c r="AA346" s="42">
        <f>'[2]поточний ремонт'!AA346+'[1]поточний ремонт'!AA346</f>
        <v>0</v>
      </c>
      <c r="AB346" s="42">
        <f>'[2]поточний ремонт'!AB346+'[1]поточний ремонт'!AB346</f>
        <v>0</v>
      </c>
      <c r="AC346" s="42">
        <f>'[2]поточний ремонт'!AC346+'[1]поточний ремонт'!AC346</f>
        <v>5238.7597825107605</v>
      </c>
      <c r="AD346" s="42">
        <f>'[2]поточний ремонт'!AD346+'[1]поточний ремонт'!AD346</f>
        <v>0</v>
      </c>
      <c r="AE346" s="42">
        <f>'[2]поточний ремонт'!AE346+'[1]поточний ремонт'!AE346</f>
        <v>2903.5411249696781</v>
      </c>
      <c r="AF346" s="42">
        <f>'[2]поточний ремонт'!AF346+'[1]поточний ремонт'!AF346</f>
        <v>5572.6199934669112</v>
      </c>
      <c r="AG346" s="5"/>
      <c r="AH346" s="42">
        <f>'[2]поточний ремонт'!AH346+'[1]поточний ремонт'!AH346</f>
        <v>4640.3240239746056</v>
      </c>
      <c r="AI346" s="42">
        <f>'[2]поточний ремонт'!AI346+'[1]поточний ремонт'!AI346</f>
        <v>7739.8200323271758</v>
      </c>
      <c r="AJ346" s="5"/>
      <c r="AK346" s="42">
        <f>'[2]поточний ремонт'!AK346+'[1]поточний ремонт'!AK346</f>
        <v>2796.6336739842809</v>
      </c>
      <c r="AL346" s="42">
        <f>'[2]поточний ремонт'!AL346+'[1]поточний ремонт'!AL346</f>
        <v>0</v>
      </c>
      <c r="AM346" s="9"/>
      <c r="AN346" s="42">
        <f>'[2]поточний ремонт'!AN346+'[1]поточний ремонт'!AN346</f>
        <v>0</v>
      </c>
      <c r="AO346" s="42">
        <f>'[2]поточний ремонт'!AO346+'[1]поточний ремонт'!AO346</f>
        <v>0</v>
      </c>
      <c r="AP346" s="5"/>
      <c r="AQ346" s="42">
        <f>'[2]поточний ремонт'!AQ346+'[1]поточний ремонт'!AQ346</f>
        <v>1105.2668502747176</v>
      </c>
      <c r="AR346" s="42">
        <f>'[2]поточний ремонт'!AR346+'[1]поточний ремонт'!AR346</f>
        <v>0</v>
      </c>
      <c r="AS346" s="5"/>
      <c r="AT346" s="42">
        <f>'[2]поточний ремонт'!AT346+'[1]поточний ремонт'!AT346</f>
        <v>2679.2020316014964</v>
      </c>
      <c r="AU346" s="42">
        <f>'[2]поточний ремонт'!AU346+'[1]поточний ремонт'!AU346</f>
        <v>2667.6791049277244</v>
      </c>
      <c r="AV346" s="5"/>
      <c r="AW346" s="42">
        <f>'[2]поточний ремонт'!AW346+'[1]поточний ремонт'!AW346</f>
        <v>131.75764828667408</v>
      </c>
      <c r="AX346" s="42">
        <f>'[2]поточний ремонт'!AX346+'[1]поточний ремонт'!AX346</f>
        <v>6109.7352990395975</v>
      </c>
      <c r="AY346" s="5"/>
      <c r="AZ346" s="42">
        <f t="shared" si="51"/>
        <v>14256.725353091453</v>
      </c>
      <c r="BA346" s="42">
        <f t="shared" si="52"/>
        <v>22089.854429761406</v>
      </c>
      <c r="BB346" s="58">
        <f t="shared" si="53"/>
        <v>7833.1290766699531</v>
      </c>
      <c r="BD346" s="2">
        <v>3</v>
      </c>
      <c r="BF346" s="29">
        <v>340.41322040340742</v>
      </c>
      <c r="BG346" s="318">
        <v>150000920</v>
      </c>
      <c r="BI346" s="104">
        <v>47.25</v>
      </c>
      <c r="BJ346" s="104">
        <f t="shared" si="54"/>
        <v>6.6462889499999998</v>
      </c>
      <c r="BK346" s="104">
        <v>54.492753860999997</v>
      </c>
      <c r="BL346" s="38"/>
      <c r="BM346" s="3"/>
      <c r="BN346" s="3">
        <v>0</v>
      </c>
      <c r="BP346" s="3"/>
      <c r="BQ346" s="3"/>
      <c r="BS346" s="42"/>
      <c r="BT346" s="42">
        <v>0</v>
      </c>
      <c r="BU346" s="958"/>
      <c r="BV346" s="41"/>
      <c r="BW346" s="42"/>
      <c r="BX346" s="36"/>
      <c r="BY346" s="76"/>
      <c r="BZ346" s="42">
        <v>0</v>
      </c>
      <c r="CA346" s="959"/>
      <c r="CB346" s="41"/>
      <c r="CC346" s="41">
        <v>0</v>
      </c>
      <c r="CD346" s="960"/>
      <c r="CE346" s="76">
        <v>0</v>
      </c>
      <c r="CF346" s="55"/>
      <c r="CG346" s="41">
        <v>0</v>
      </c>
      <c r="CH346" s="38">
        <v>54.492753860999997</v>
      </c>
      <c r="CI346" s="76">
        <v>0</v>
      </c>
      <c r="CJ346" s="55"/>
      <c r="CK346" s="955"/>
      <c r="CL346" s="950"/>
      <c r="CM346" s="955"/>
      <c r="CN346" s="950">
        <v>0</v>
      </c>
      <c r="CO346" s="76">
        <v>226.64338208884197</v>
      </c>
      <c r="CP346" s="42">
        <v>2976.2463948825989</v>
      </c>
      <c r="CQ346" s="5"/>
      <c r="CR346" s="76">
        <v>365.2358995895471</v>
      </c>
      <c r="CS346" s="954">
        <v>0</v>
      </c>
      <c r="CT346" s="5"/>
      <c r="CU346" s="76">
        <v>229.9480953799698</v>
      </c>
      <c r="CV346" s="42">
        <v>0</v>
      </c>
      <c r="CW346" s="9"/>
      <c r="CX346" s="76">
        <v>0</v>
      </c>
      <c r="CY346" s="42">
        <v>0</v>
      </c>
      <c r="CZ346" s="5"/>
      <c r="DA346" s="76">
        <v>109.43236141333836</v>
      </c>
      <c r="DB346" s="42">
        <v>0</v>
      </c>
      <c r="DC346" s="5"/>
      <c r="DD346" s="76">
        <v>166.48089084610027</v>
      </c>
      <c r="DE346" s="42">
        <v>0</v>
      </c>
      <c r="DF346" s="5"/>
      <c r="DG346" s="76">
        <v>0</v>
      </c>
      <c r="DH346" s="42"/>
      <c r="DI346" s="5"/>
      <c r="DJ346" s="42">
        <v>1097.7406293177976</v>
      </c>
      <c r="DK346" s="42">
        <f t="shared" si="55"/>
        <v>2976.2463948825989</v>
      </c>
      <c r="DL346" s="58">
        <f t="shared" si="56"/>
        <v>1878.5057655648013</v>
      </c>
      <c r="DM346" s="2">
        <v>3</v>
      </c>
    </row>
    <row r="347" spans="1:117" ht="24.9" customHeight="1" x14ac:dyDescent="0.3">
      <c r="A347" s="318">
        <v>150000921</v>
      </c>
      <c r="B347" s="44" t="s">
        <v>328</v>
      </c>
      <c r="C347" s="956">
        <v>5</v>
      </c>
      <c r="D347" s="957" t="s">
        <v>454</v>
      </c>
      <c r="E347" s="949">
        <f>'побудинковий звіт'!E345</f>
        <v>6174.13</v>
      </c>
      <c r="F347" s="950">
        <f>'побудинковий звіт'!AS345</f>
        <v>71316.436258658199</v>
      </c>
      <c r="G347" s="950">
        <f t="shared" si="49"/>
        <v>35358.844004010476</v>
      </c>
      <c r="H347" s="950">
        <f t="shared" si="50"/>
        <v>-35957.592254647723</v>
      </c>
      <c r="I347" s="42">
        <f>'[2]поточний ремонт'!I347+'[1]поточний ремонт'!I347</f>
        <v>43</v>
      </c>
      <c r="J347" s="42">
        <f>'[2]поточний ремонт'!J347+'[1]поточний ремонт'!J347</f>
        <v>9713.0492761938531</v>
      </c>
      <c r="K347" s="958"/>
      <c r="L347" s="42">
        <f>'[2]поточний ремонт'!L347+'[1]поточний ремонт'!L347</f>
        <v>0</v>
      </c>
      <c r="M347" s="42">
        <f>'[2]поточний ремонт'!M347+'[1]поточний ремонт'!M347</f>
        <v>0</v>
      </c>
      <c r="N347" s="36"/>
      <c r="O347" s="42">
        <f>'[2]поточний ремонт'!O347+'[1]поточний ремонт'!O347</f>
        <v>0</v>
      </c>
      <c r="P347" s="42">
        <f>'[2]поточний ремонт'!P347+'[1]поточний ремонт'!P347</f>
        <v>0</v>
      </c>
      <c r="Q347" s="959"/>
      <c r="R347" s="42">
        <f>'[2]поточний ремонт'!R347+'[1]поточний ремонт'!R347</f>
        <v>0</v>
      </c>
      <c r="S347" s="42">
        <f>'[2]поточний ремонт'!S347+'[1]поточний ремонт'!S347</f>
        <v>0</v>
      </c>
      <c r="T347" s="960"/>
      <c r="U347" s="42">
        <f>'[2]поточний ремонт'!U347+'[1]поточний ремонт'!U347</f>
        <v>0</v>
      </c>
      <c r="V347" s="42">
        <f>'[2]поточний ремонт'!V347+'[1]поточний ремонт'!V347</f>
        <v>0</v>
      </c>
      <c r="W347" s="42">
        <f>'[2]поточний ремонт'!W347+'[1]поточний ремонт'!W347</f>
        <v>6</v>
      </c>
      <c r="X347" s="42">
        <f>'[2]поточний ремонт'!X347+'[1]поточний ремонт'!X347</f>
        <v>457</v>
      </c>
      <c r="Y347" s="42">
        <f>'[2]поточний ремонт'!Y347+'[1]поточний ремонт'!Y347</f>
        <v>13251.246322516467</v>
      </c>
      <c r="Z347" s="42">
        <f>'[2]поточний ремонт'!Z347+'[1]поточний ремонт'!Z347</f>
        <v>0</v>
      </c>
      <c r="AA347" s="42">
        <f>'[2]поточний ремонт'!AA347+'[1]поточний ремонт'!AA347</f>
        <v>0</v>
      </c>
      <c r="AB347" s="42">
        <f>'[2]поточний ремонт'!AB347+'[1]поточний ремонт'!AB347</f>
        <v>5235</v>
      </c>
      <c r="AC347" s="42">
        <f>'[2]поточний ремонт'!AC347+'[1]поточний ремонт'!AC347</f>
        <v>2948.989866368101</v>
      </c>
      <c r="AD347" s="42">
        <f>'[2]поточний ремонт'!AD347+'[1]поточний ремонт'!AD347</f>
        <v>3753.5585389320531</v>
      </c>
      <c r="AE347" s="42">
        <f>'[2]поточний ремонт'!AE347+'[1]поточний ремонт'!AE347</f>
        <v>3607.0214615025434</v>
      </c>
      <c r="AF347" s="42">
        <f>'[2]поточний ремонт'!AF347+'[1]поточний ремонт'!AF347</f>
        <v>0</v>
      </c>
      <c r="AG347" s="965"/>
      <c r="AH347" s="42">
        <f>'[2]поточний ремонт'!AH347+'[1]поточний ремонт'!AH347</f>
        <v>5957.9550150703335</v>
      </c>
      <c r="AI347" s="42">
        <f>'[2]поточний ремонт'!AI347+'[1]поточний ремонт'!AI347</f>
        <v>8566.9842561324003</v>
      </c>
      <c r="AJ347" s="5"/>
      <c r="AK347" s="42">
        <f>'[2]поточний ремонт'!AK347+'[1]поточний ремонт'!AK347</f>
        <v>3568.9671639104936</v>
      </c>
      <c r="AL347" s="42">
        <f>'[2]поточний ремонт'!AL347+'[1]поточний ремонт'!AL347</f>
        <v>0</v>
      </c>
      <c r="AM347" s="965"/>
      <c r="AN347" s="42">
        <f>'[2]поточний ремонт'!AN347+'[1]поточний ремонт'!AN347</f>
        <v>0</v>
      </c>
      <c r="AO347" s="42">
        <f>'[2]поточний ремонт'!AO347+'[1]поточний ремонт'!AO347</f>
        <v>0</v>
      </c>
      <c r="AP347" s="5"/>
      <c r="AQ347" s="42">
        <f>'[2]поточний ремонт'!AQ347+'[1]поточний ремонт'!AQ347</f>
        <v>1931.5456718854662</v>
      </c>
      <c r="AR347" s="42">
        <f>'[2]поточний ремонт'!AR347+'[1]поточний ремонт'!AR347</f>
        <v>997.04677979813732</v>
      </c>
      <c r="AS347" s="5"/>
      <c r="AT347" s="42">
        <f>'[2]поточний ремонт'!AT347+'[1]поточний ремонт'!AT347</f>
        <v>4386.6931432033516</v>
      </c>
      <c r="AU347" s="42">
        <f>'[2]поточний ремонт'!AU347+'[1]поточний ремонт'!AU347</f>
        <v>2173.3708111619303</v>
      </c>
      <c r="AV347" s="5"/>
      <c r="AW347" s="42">
        <f>'[2]поточний ремонт'!AW347+'[1]поточний ремонт'!AW347</f>
        <v>150.58016947048469</v>
      </c>
      <c r="AX347" s="42">
        <f>'[2]поточний ремонт'!AX347+'[1]поточний ремонт'!AX347</f>
        <v>0</v>
      </c>
      <c r="AY347" s="5"/>
      <c r="AZ347" s="42">
        <f t="shared" si="51"/>
        <v>19602.762625042673</v>
      </c>
      <c r="BA347" s="42">
        <f t="shared" si="52"/>
        <v>11737.401847092468</v>
      </c>
      <c r="BB347" s="58">
        <f t="shared" si="53"/>
        <v>-7865.3607779502054</v>
      </c>
      <c r="BD347" s="2">
        <v>3</v>
      </c>
      <c r="BF347" s="29">
        <v>461.50625892601261</v>
      </c>
      <c r="BG347" s="318">
        <v>150000921</v>
      </c>
      <c r="BI347" s="104">
        <v>0</v>
      </c>
      <c r="BJ347" s="104">
        <f t="shared" si="54"/>
        <v>0</v>
      </c>
      <c r="BK347" s="104">
        <v>0</v>
      </c>
      <c r="BL347" s="38"/>
      <c r="BM347" s="3"/>
      <c r="BN347" s="3">
        <v>0</v>
      </c>
      <c r="BP347" s="3"/>
      <c r="BQ347" s="3"/>
      <c r="BS347" s="42"/>
      <c r="BT347" s="42">
        <v>0</v>
      </c>
      <c r="BU347" s="958"/>
      <c r="BV347" s="41"/>
      <c r="BW347" s="42"/>
      <c r="BX347" s="36"/>
      <c r="BY347" s="76"/>
      <c r="BZ347" s="42">
        <v>0</v>
      </c>
      <c r="CA347" s="959"/>
      <c r="CB347" s="41"/>
      <c r="CC347" s="41">
        <v>0</v>
      </c>
      <c r="CD347" s="960"/>
      <c r="CE347" s="76">
        <v>0</v>
      </c>
      <c r="CF347" s="55"/>
      <c r="CG347" s="41">
        <v>0</v>
      </c>
      <c r="CH347" s="38">
        <v>0</v>
      </c>
      <c r="CI347" s="76">
        <v>0</v>
      </c>
      <c r="CJ347" s="971"/>
      <c r="CK347" s="955"/>
      <c r="CL347" s="950"/>
      <c r="CM347" s="955"/>
      <c r="CN347" s="950">
        <v>0</v>
      </c>
      <c r="CO347" s="76">
        <v>299.44349412688382</v>
      </c>
      <c r="CP347" s="42">
        <v>0</v>
      </c>
      <c r="CQ347" s="965"/>
      <c r="CR347" s="76">
        <v>487.71118283178066</v>
      </c>
      <c r="CS347" s="954">
        <v>0</v>
      </c>
      <c r="CT347" s="5"/>
      <c r="CU347" s="76">
        <v>288.81991443716731</v>
      </c>
      <c r="CV347" s="42">
        <v>0</v>
      </c>
      <c r="CW347" s="965"/>
      <c r="CX347" s="76">
        <v>0</v>
      </c>
      <c r="CY347" s="42">
        <v>0</v>
      </c>
      <c r="CZ347" s="5"/>
      <c r="DA347" s="76">
        <v>169.40589068738615</v>
      </c>
      <c r="DB347" s="42">
        <v>0</v>
      </c>
      <c r="DC347" s="5"/>
      <c r="DD347" s="76">
        <v>271.26233108825579</v>
      </c>
      <c r="DE347" s="42">
        <v>0</v>
      </c>
      <c r="DF347" s="5"/>
      <c r="DG347" s="76">
        <v>0</v>
      </c>
      <c r="DH347" s="42"/>
      <c r="DI347" s="5"/>
      <c r="DJ347" s="42">
        <v>1516.6428131714738</v>
      </c>
      <c r="DK347" s="42">
        <f t="shared" si="55"/>
        <v>0</v>
      </c>
      <c r="DL347" s="58">
        <f t="shared" si="56"/>
        <v>-1516.6428131714738</v>
      </c>
      <c r="DM347" s="2">
        <v>3</v>
      </c>
    </row>
    <row r="348" spans="1:117" ht="31.95" customHeight="1" x14ac:dyDescent="0.3">
      <c r="A348" s="318">
        <v>150000878</v>
      </c>
      <c r="B348" s="44" t="s">
        <v>236</v>
      </c>
      <c r="C348" s="956">
        <v>4</v>
      </c>
      <c r="D348" s="957" t="s">
        <v>454</v>
      </c>
      <c r="E348" s="949">
        <f>'побудинковий звіт'!E346</f>
        <v>2114.4899999999998</v>
      </c>
      <c r="F348" s="950">
        <f>'побудинковий звіт'!AS346</f>
        <v>22791.730397519997</v>
      </c>
      <c r="G348" s="950">
        <f t="shared" si="49"/>
        <v>95398.156476040909</v>
      </c>
      <c r="H348" s="950">
        <f t="shared" si="50"/>
        <v>72606.426078520919</v>
      </c>
      <c r="I348" s="42">
        <f>'[2]поточний ремонт'!I348+'[1]поточний ремонт'!I348</f>
        <v>0</v>
      </c>
      <c r="J348" s="42">
        <f>'[2]поточний ремонт'!J348+'[1]поточний ремонт'!J348</f>
        <v>0</v>
      </c>
      <c r="K348" s="958"/>
      <c r="L348" s="42">
        <f>'[2]поточний ремонт'!L348+'[1]поточний ремонт'!L348</f>
        <v>2</v>
      </c>
      <c r="M348" s="42">
        <f>'[2]поточний ремонт'!M348+'[1]поточний ремонт'!M348</f>
        <v>85152.873808091303</v>
      </c>
      <c r="N348" s="36"/>
      <c r="O348" s="42">
        <f>'[2]поточний ремонт'!O348+'[1]поточний ремонт'!O348</f>
        <v>0</v>
      </c>
      <c r="P348" s="42">
        <f>'[2]поточний ремонт'!P348+'[1]поточний ремонт'!P348</f>
        <v>0</v>
      </c>
      <c r="Q348" s="959"/>
      <c r="R348" s="42">
        <f>'[2]поточний ремонт'!R348+'[1]поточний ремонт'!R348</f>
        <v>0</v>
      </c>
      <c r="S348" s="42">
        <f>'[2]поточний ремонт'!S348+'[1]поточний ремонт'!S348</f>
        <v>0</v>
      </c>
      <c r="T348" s="960"/>
      <c r="U348" s="42">
        <f>'[2]поточний ремонт'!U348+'[1]поточний ремонт'!U348</f>
        <v>0</v>
      </c>
      <c r="V348" s="42">
        <f>'[2]поточний ремонт'!V348+'[1]поточний ремонт'!V348</f>
        <v>0</v>
      </c>
      <c r="W348" s="42">
        <f>'[2]поточний ремонт'!W348+'[1]поточний ремонт'!W348</f>
        <v>0</v>
      </c>
      <c r="X348" s="42">
        <f>'[2]поточний ремонт'!X348+'[1]поточний ремонт'!X348</f>
        <v>1333.4294726280089</v>
      </c>
      <c r="Y348" s="42">
        <f>'[2]поточний ремонт'!Y348+'[1]поточний ремонт'!Y348</f>
        <v>18.968431142562569</v>
      </c>
      <c r="Z348" s="42">
        <f>'[2]поточний ремонт'!Z348+'[1]поточний ремонт'!Z348</f>
        <v>0</v>
      </c>
      <c r="AA348" s="42">
        <f>'[2]поточний ремонт'!AA348+'[1]поточний ремонт'!AA348</f>
        <v>0</v>
      </c>
      <c r="AB348" s="42">
        <f>'[2]поточний ремонт'!AB348+'[1]поточний ремонт'!AB348</f>
        <v>0</v>
      </c>
      <c r="AC348" s="42">
        <f>'[2]поточний ремонт'!AC348+'[1]поточний ремонт'!AC348</f>
        <v>8644.2626387689161</v>
      </c>
      <c r="AD348" s="42">
        <f>'[2]поточний ремонт'!AD348+'[1]поточний ремонт'!AD348</f>
        <v>248.62212541011559</v>
      </c>
      <c r="AE348" s="42">
        <f>'[2]поточний ремонт'!AE348+'[1]поточний ремонт'!AE348</f>
        <v>1223.9278138959176</v>
      </c>
      <c r="AF348" s="42">
        <f>'[2]поточний ремонт'!AF348+'[1]поточний ремонт'!AF348</f>
        <v>0</v>
      </c>
      <c r="AG348" s="5"/>
      <c r="AH348" s="42">
        <f>'[2]поточний ремонт'!AH348+'[1]поточний ремонт'!AH348</f>
        <v>1357.7447248018277</v>
      </c>
      <c r="AI348" s="42">
        <f>'[2]поточний ремонт'!AI348+'[1]поточний ремонт'!AI348</f>
        <v>0</v>
      </c>
      <c r="AJ348" s="5"/>
      <c r="AK348" s="42">
        <f>'[2]поточний ремонт'!AK348+'[1]поточний ремонт'!AK348</f>
        <v>1837.6303378260636</v>
      </c>
      <c r="AL348" s="42">
        <f>'[2]поточний ремонт'!AL348+'[1]поточний ремонт'!AL348</f>
        <v>0</v>
      </c>
      <c r="AM348" s="5"/>
      <c r="AN348" s="42">
        <f>'[2]поточний ремонт'!AN348+'[1]поточний ремонт'!AN348</f>
        <v>0</v>
      </c>
      <c r="AO348" s="42">
        <f>'[2]поточний ремонт'!AO348+'[1]поточний ремонт'!AO348</f>
        <v>0</v>
      </c>
      <c r="AP348" s="5"/>
      <c r="AQ348" s="42">
        <f>'[2]поточний ремонт'!AQ348+'[1]поточний ремонт'!AQ348</f>
        <v>88.218470377146446</v>
      </c>
      <c r="AR348" s="42">
        <f>'[2]поточний ремонт'!AR348+'[1]поточний ремонт'!AR348</f>
        <v>0</v>
      </c>
      <c r="AS348" s="5"/>
      <c r="AT348" s="42">
        <f>'[2]поточний ремонт'!AT348+'[1]поточний ремонт'!AT348</f>
        <v>719.67232089475954</v>
      </c>
      <c r="AU348" s="42">
        <f>'[2]поточний ремонт'!AU348+'[1]поточний ремонт'!AU348</f>
        <v>0</v>
      </c>
      <c r="AV348" s="5"/>
      <c r="AW348" s="42">
        <f>'[2]поточний ремонт'!AW348+'[1]поточний ремонт'!AW348</f>
        <v>61.361419059222484</v>
      </c>
      <c r="AX348" s="42">
        <f>'[2]поточний ремонт'!AX348+'[1]поточний ремонт'!AX348</f>
        <v>0</v>
      </c>
      <c r="AY348" s="5"/>
      <c r="AZ348" s="42">
        <f t="shared" si="51"/>
        <v>5288.5550868549371</v>
      </c>
      <c r="BA348" s="42">
        <f t="shared" si="52"/>
        <v>0</v>
      </c>
      <c r="BB348" s="58">
        <f t="shared" si="53"/>
        <v>-5288.5550868549371</v>
      </c>
      <c r="BD348" s="2">
        <v>2</v>
      </c>
      <c r="BF348" s="29">
        <v>3.5472046319536599</v>
      </c>
      <c r="BG348" s="318">
        <v>150000878</v>
      </c>
      <c r="BI348" s="104">
        <v>97.75</v>
      </c>
      <c r="BJ348" s="104">
        <f t="shared" si="54"/>
        <v>13.749730049999998</v>
      </c>
      <c r="BK348" s="104">
        <v>112.73368655900001</v>
      </c>
      <c r="BL348" s="38"/>
      <c r="BM348" s="3"/>
      <c r="BN348" s="3">
        <v>0</v>
      </c>
      <c r="BP348" s="3"/>
      <c r="BQ348" s="3"/>
      <c r="BS348" s="42"/>
      <c r="BT348" s="42">
        <v>0</v>
      </c>
      <c r="BU348" s="958"/>
      <c r="BV348" s="41"/>
      <c r="BW348" s="42"/>
      <c r="BX348" s="36"/>
      <c r="BY348" s="76"/>
      <c r="BZ348" s="42">
        <v>0</v>
      </c>
      <c r="CA348" s="959"/>
      <c r="CB348" s="41"/>
      <c r="CC348" s="41">
        <v>0</v>
      </c>
      <c r="CD348" s="960"/>
      <c r="CE348" s="76">
        <v>0</v>
      </c>
      <c r="CF348" s="55"/>
      <c r="CG348" s="41">
        <v>0</v>
      </c>
      <c r="CH348" s="38">
        <v>112.73368655900001</v>
      </c>
      <c r="CI348" s="76">
        <v>0</v>
      </c>
      <c r="CJ348" s="55"/>
      <c r="CK348" s="955"/>
      <c r="CL348" s="950"/>
      <c r="CM348" s="955"/>
      <c r="CN348" s="950">
        <v>0</v>
      </c>
      <c r="CO348" s="76">
        <v>103.42755788492966</v>
      </c>
      <c r="CP348" s="42">
        <v>0</v>
      </c>
      <c r="CQ348" s="5"/>
      <c r="CR348" s="76">
        <v>118.25082316444033</v>
      </c>
      <c r="CS348" s="954">
        <v>0</v>
      </c>
      <c r="CT348" s="5"/>
      <c r="CU348" s="76">
        <v>160.73805527736138</v>
      </c>
      <c r="CV348" s="42">
        <v>0</v>
      </c>
      <c r="CW348" s="5"/>
      <c r="CX348" s="76">
        <v>0</v>
      </c>
      <c r="CY348" s="42">
        <v>0</v>
      </c>
      <c r="CZ348" s="5"/>
      <c r="DA348" s="76">
        <v>0</v>
      </c>
      <c r="DB348" s="42">
        <v>0</v>
      </c>
      <c r="DC348" s="5"/>
      <c r="DD348" s="76">
        <v>53.795066531299348</v>
      </c>
      <c r="DE348" s="42">
        <v>0</v>
      </c>
      <c r="DF348" s="5"/>
      <c r="DG348" s="76">
        <v>0</v>
      </c>
      <c r="DH348" s="42"/>
      <c r="DI348" s="5"/>
      <c r="DJ348" s="42">
        <v>436.21150285803077</v>
      </c>
      <c r="DK348" s="42">
        <f t="shared" si="55"/>
        <v>0</v>
      </c>
      <c r="DL348" s="58">
        <f t="shared" si="56"/>
        <v>-436.21150285803077</v>
      </c>
      <c r="DM348" s="2">
        <v>2</v>
      </c>
    </row>
    <row r="349" spans="1:117" ht="24.9" customHeight="1" x14ac:dyDescent="0.3">
      <c r="A349" s="318">
        <v>150000879</v>
      </c>
      <c r="B349" s="44" t="s">
        <v>329</v>
      </c>
      <c r="C349" s="956">
        <v>5</v>
      </c>
      <c r="D349" s="957" t="s">
        <v>454</v>
      </c>
      <c r="E349" s="949">
        <f>'побудинковий звіт'!E347</f>
        <v>4509.08</v>
      </c>
      <c r="F349" s="950">
        <f>'побудинковий звіт'!AS347</f>
        <v>45278.19830515088</v>
      </c>
      <c r="G349" s="950">
        <f t="shared" si="49"/>
        <v>4935.7047833653914</v>
      </c>
      <c r="H349" s="950">
        <f t="shared" si="50"/>
        <v>-40342.493521785487</v>
      </c>
      <c r="I349" s="42">
        <f>'[2]поточний ремонт'!I349+'[1]поточний ремонт'!I349</f>
        <v>10.84</v>
      </c>
      <c r="J349" s="42">
        <f>'[2]поточний ремонт'!J349+'[1]поточний ремонт'!J349</f>
        <v>2812.9086869984617</v>
      </c>
      <c r="K349" s="958"/>
      <c r="L349" s="42">
        <f>'[2]поточний ремонт'!L349+'[1]поточний ремонт'!L349</f>
        <v>0</v>
      </c>
      <c r="M349" s="42">
        <f>'[2]поточний ремонт'!M349+'[1]поточний ремонт'!M349</f>
        <v>0</v>
      </c>
      <c r="N349" s="36"/>
      <c r="O349" s="42">
        <f>'[2]поточний ремонт'!O349+'[1]поточний ремонт'!O349</f>
        <v>0</v>
      </c>
      <c r="P349" s="42">
        <f>'[2]поточний ремонт'!P349+'[1]поточний ремонт'!P349</f>
        <v>0</v>
      </c>
      <c r="Q349" s="959"/>
      <c r="R349" s="42">
        <f>'[2]поточний ремонт'!R349+'[1]поточний ремонт'!R349</f>
        <v>0</v>
      </c>
      <c r="S349" s="42">
        <f>'[2]поточний ремонт'!S349+'[1]поточний ремонт'!S349</f>
        <v>0</v>
      </c>
      <c r="T349" s="960"/>
      <c r="U349" s="42">
        <f>'[2]поточний ремонт'!U349+'[1]поточний ремонт'!U349</f>
        <v>0</v>
      </c>
      <c r="V349" s="42">
        <f>'[2]поточний ремонт'!V349+'[1]поточний ремонт'!V349</f>
        <v>0</v>
      </c>
      <c r="W349" s="42">
        <f>'[2]поточний ремонт'!W349+'[1]поточний ремонт'!W349</f>
        <v>0</v>
      </c>
      <c r="X349" s="42">
        <f>'[2]поточний ремонт'!X349+'[1]поточний ремонт'!X349</f>
        <v>0</v>
      </c>
      <c r="Y349" s="42">
        <f>'[2]поточний ремонт'!Y349+'[1]поточний ремонт'!Y349</f>
        <v>358.69696374838628</v>
      </c>
      <c r="Z349" s="42">
        <f>'[2]поточний ремонт'!Z349+'[1]поточний ремонт'!Z349</f>
        <v>0</v>
      </c>
      <c r="AA349" s="42">
        <f>'[2]поточний ремонт'!AA349+'[1]поточний ремонт'!AA349</f>
        <v>0</v>
      </c>
      <c r="AB349" s="42">
        <f>'[2]поточний ремонт'!AB349+'[1]поточний ремонт'!AB349</f>
        <v>1764.0991326185435</v>
      </c>
      <c r="AC349" s="42">
        <f>'[2]поточний ремонт'!AC349+'[1]поточний ремонт'!AC349</f>
        <v>0</v>
      </c>
      <c r="AD349" s="42">
        <f>'[2]поточний ремонт'!AD349+'[1]поточний ремонт'!AD349</f>
        <v>0</v>
      </c>
      <c r="AE349" s="42">
        <f>'[2]поточний ремонт'!AE349+'[1]поточний ремонт'!AE349</f>
        <v>2246.5238570557226</v>
      </c>
      <c r="AF349" s="42">
        <f>'[2]поточний ремонт'!AF349+'[1]поточний ремонт'!AF349</f>
        <v>17232.917882957576</v>
      </c>
      <c r="AG349" s="5"/>
      <c r="AH349" s="42">
        <f>'[2]поточний ремонт'!AH349+'[1]поточний ремонт'!AH349</f>
        <v>3041.5461890171478</v>
      </c>
      <c r="AI349" s="42">
        <f>'[2]поточний ремонт'!AI349+'[1]поточний ремонт'!AI349</f>
        <v>0</v>
      </c>
      <c r="AJ349" s="5"/>
      <c r="AK349" s="42">
        <f>'[2]поточний ремонт'!AK349+'[1]поточний ремонт'!AK349</f>
        <v>2670.278295744492</v>
      </c>
      <c r="AL349" s="42">
        <f>'[2]поточний ремонт'!AL349+'[1]поточний ремонт'!AL349</f>
        <v>0</v>
      </c>
      <c r="AM349" s="5"/>
      <c r="AN349" s="42">
        <f>'[2]поточний ремонт'!AN349+'[1]поточний ремонт'!AN349</f>
        <v>0</v>
      </c>
      <c r="AO349" s="42">
        <f>'[2]поточний ремонт'!AO349+'[1]поточний ремонт'!AO349</f>
        <v>0</v>
      </c>
      <c r="AP349" s="5"/>
      <c r="AQ349" s="42">
        <f>'[2]поточний ремонт'!AQ349+'[1]поточний ремонт'!AQ349</f>
        <v>165.40963195714954</v>
      </c>
      <c r="AR349" s="42">
        <f>'[2]поточний ремонт'!AR349+'[1]поточний ремонт'!AR349</f>
        <v>464.00837060753145</v>
      </c>
      <c r="AS349" s="5"/>
      <c r="AT349" s="42">
        <f>'[2]поточний ремонт'!AT349+'[1]поточний ремонт'!AT349</f>
        <v>1999.8340756431253</v>
      </c>
      <c r="AU349" s="42">
        <f>'[2]поточний ремонт'!AU349+'[1]поточний ремонт'!AU349</f>
        <v>451.37849776910139</v>
      </c>
      <c r="AV349" s="5"/>
      <c r="AW349" s="42">
        <f>'[2]поточний ремонт'!AW349+'[1]поточний ремонт'!AW349</f>
        <v>180.35112380954513</v>
      </c>
      <c r="AX349" s="42">
        <f>'[2]поточний ремонт'!AX349+'[1]поточний ремонт'!AX349</f>
        <v>0</v>
      </c>
      <c r="AY349" s="5"/>
      <c r="AZ349" s="42">
        <f t="shared" si="51"/>
        <v>10303.943173227182</v>
      </c>
      <c r="BA349" s="42">
        <f t="shared" si="52"/>
        <v>18148.30475133421</v>
      </c>
      <c r="BB349" s="58">
        <f t="shared" si="53"/>
        <v>7844.3615781070275</v>
      </c>
      <c r="BD349" s="2">
        <v>2</v>
      </c>
      <c r="BF349" s="29">
        <v>6.6517280109123211</v>
      </c>
      <c r="BG349" s="318">
        <v>150000879</v>
      </c>
      <c r="BI349" s="104">
        <v>0</v>
      </c>
      <c r="BJ349" s="104">
        <f t="shared" si="54"/>
        <v>0</v>
      </c>
      <c r="BK349" s="104">
        <v>0</v>
      </c>
      <c r="BL349" s="38"/>
      <c r="BM349" s="3"/>
      <c r="BN349" s="3">
        <v>0</v>
      </c>
      <c r="BP349" s="3"/>
      <c r="BQ349" s="3"/>
      <c r="BS349" s="42"/>
      <c r="BT349" s="42">
        <v>0</v>
      </c>
      <c r="BU349" s="958"/>
      <c r="BV349" s="41"/>
      <c r="BW349" s="42"/>
      <c r="BX349" s="36"/>
      <c r="BY349" s="76"/>
      <c r="BZ349" s="42">
        <v>0</v>
      </c>
      <c r="CA349" s="959"/>
      <c r="CB349" s="41"/>
      <c r="CC349" s="41">
        <v>0</v>
      </c>
      <c r="CD349" s="960"/>
      <c r="CE349" s="76">
        <v>0</v>
      </c>
      <c r="CF349" s="55"/>
      <c r="CG349" s="41">
        <v>0</v>
      </c>
      <c r="CH349" s="38">
        <v>0</v>
      </c>
      <c r="CI349" s="76">
        <v>0</v>
      </c>
      <c r="CJ349" s="55"/>
      <c r="CK349" s="955"/>
      <c r="CL349" s="950"/>
      <c r="CM349" s="955"/>
      <c r="CN349" s="950">
        <v>0</v>
      </c>
      <c r="CO349" s="76">
        <v>176.34342085271857</v>
      </c>
      <c r="CP349" s="42">
        <v>0</v>
      </c>
      <c r="CQ349" s="5"/>
      <c r="CR349" s="76">
        <v>258.56595648398542</v>
      </c>
      <c r="CS349" s="954">
        <v>0</v>
      </c>
      <c r="CT349" s="5"/>
      <c r="CU349" s="76">
        <v>226.06708915759165</v>
      </c>
      <c r="CV349" s="42">
        <v>0</v>
      </c>
      <c r="CW349" s="5"/>
      <c r="CX349" s="76">
        <v>0</v>
      </c>
      <c r="CY349" s="42">
        <v>0</v>
      </c>
      <c r="CZ349" s="5"/>
      <c r="DA349" s="76">
        <v>0</v>
      </c>
      <c r="DB349" s="42">
        <v>0</v>
      </c>
      <c r="DC349" s="5"/>
      <c r="DD349" s="76">
        <v>121.44821622655098</v>
      </c>
      <c r="DE349" s="42">
        <v>0</v>
      </c>
      <c r="DF349" s="5"/>
      <c r="DG349" s="76">
        <v>0</v>
      </c>
      <c r="DH349" s="42"/>
      <c r="DI349" s="5"/>
      <c r="DJ349" s="42">
        <v>782.4246827208467</v>
      </c>
      <c r="DK349" s="42">
        <f t="shared" si="55"/>
        <v>0</v>
      </c>
      <c r="DL349" s="58">
        <f t="shared" si="56"/>
        <v>-782.4246827208467</v>
      </c>
      <c r="DM349" s="2">
        <v>2</v>
      </c>
    </row>
    <row r="350" spans="1:117" ht="24.9" customHeight="1" x14ac:dyDescent="0.3">
      <c r="A350" s="318">
        <v>150000880</v>
      </c>
      <c r="B350" s="44" t="s">
        <v>237</v>
      </c>
      <c r="C350" s="956">
        <v>4</v>
      </c>
      <c r="D350" s="957" t="s">
        <v>454</v>
      </c>
      <c r="E350" s="949">
        <f>'побудинковий звіт'!E348</f>
        <v>2732.15</v>
      </c>
      <c r="F350" s="950">
        <f>'побудинковий звіт'!AS348</f>
        <v>31761.736672345131</v>
      </c>
      <c r="G350" s="950">
        <f t="shared" si="49"/>
        <v>6100.4633641435494</v>
      </c>
      <c r="H350" s="950">
        <f t="shared" si="50"/>
        <v>-25661.27330820158</v>
      </c>
      <c r="I350" s="42">
        <f>'[2]поточний ремонт'!I350+'[1]поточний ремонт'!I350</f>
        <v>6</v>
      </c>
      <c r="J350" s="42">
        <f>'[2]поточний ремонт'!J350+'[1]поточний ремонт'!J350</f>
        <v>1951.0019497237145</v>
      </c>
      <c r="K350" s="958"/>
      <c r="L350" s="42">
        <f>'[2]поточний ремонт'!L350+'[1]поточний ремонт'!L350</f>
        <v>0</v>
      </c>
      <c r="M350" s="42">
        <f>'[2]поточний ремонт'!M350+'[1]поточний ремонт'!M350</f>
        <v>0</v>
      </c>
      <c r="N350" s="36"/>
      <c r="O350" s="42">
        <f>'[2]поточний ремонт'!O350+'[1]поточний ремонт'!O350</f>
        <v>0</v>
      </c>
      <c r="P350" s="42">
        <f>'[2]поточний ремонт'!P350+'[1]поточний ремонт'!P350</f>
        <v>0</v>
      </c>
      <c r="Q350" s="959"/>
      <c r="R350" s="42">
        <f>'[2]поточний ремонт'!R350+'[1]поточний ремонт'!R350</f>
        <v>0</v>
      </c>
      <c r="S350" s="42">
        <f>'[2]поточний ремонт'!S350+'[1]поточний ремонт'!S350</f>
        <v>0</v>
      </c>
      <c r="T350" s="960"/>
      <c r="U350" s="42">
        <f>'[2]поточний ремонт'!U350+'[1]поточний ремонт'!U350</f>
        <v>0</v>
      </c>
      <c r="V350" s="42">
        <f>'[2]поточний ремонт'!V350+'[1]поточний ремонт'!V350</f>
        <v>0</v>
      </c>
      <c r="W350" s="42">
        <f>'[2]поточний ремонт'!W350+'[1]поточний ремонт'!W350</f>
        <v>6</v>
      </c>
      <c r="X350" s="42">
        <f>'[2]поточний ремонт'!X350+'[1]поточний ремонт'!X350</f>
        <v>1009.1463355124251</v>
      </c>
      <c r="Y350" s="42">
        <f>'[2]поточний ремонт'!Y350+'[1]поточний ремонт'!Y350</f>
        <v>752.80538301590946</v>
      </c>
      <c r="Z350" s="42">
        <f>'[2]поточний ремонт'!Z350+'[1]поточний ремонт'!Z350</f>
        <v>0</v>
      </c>
      <c r="AA350" s="42">
        <f>'[2]поточний ремонт'!AA350+'[1]поточний ремонт'!AA350</f>
        <v>0</v>
      </c>
      <c r="AB350" s="42">
        <f>'[2]поточний ремонт'!AB350+'[1]поточний ремонт'!AB350</f>
        <v>0</v>
      </c>
      <c r="AC350" s="42">
        <f>'[2]поточний ремонт'!AC350+'[1]поточний ремонт'!AC350</f>
        <v>1378.395017414286</v>
      </c>
      <c r="AD350" s="42">
        <f>'[2]поточний ремонт'!AD350+'[1]поточний ремонт'!AD350</f>
        <v>1009.1146784772147</v>
      </c>
      <c r="AE350" s="42">
        <f>'[2]поточний ремонт'!AE350+'[1]поточний ремонт'!AE350</f>
        <v>1714.0476818900584</v>
      </c>
      <c r="AF350" s="42">
        <f>'[2]поточний ремонт'!AF350+'[1]поточний ремонт'!AF350</f>
        <v>0</v>
      </c>
      <c r="AG350" s="5"/>
      <c r="AH350" s="42">
        <f>'[2]поточний ремонт'!AH350+'[1]поточний ремонт'!AH350</f>
        <v>2153.9803329370907</v>
      </c>
      <c r="AI350" s="42">
        <f>'[2]поточний ремонт'!AI350+'[1]поточний ремонт'!AI350</f>
        <v>0</v>
      </c>
      <c r="AJ350" s="5"/>
      <c r="AK350" s="42">
        <f>'[2]поточний ремонт'!AK350+'[1]поточний ремонт'!AK350</f>
        <v>1773.0107277952875</v>
      </c>
      <c r="AL350" s="42">
        <f>'[2]поточний ремонт'!AL350+'[1]поточний ремонт'!AL350</f>
        <v>367.97798214586402</v>
      </c>
      <c r="AM350" s="5"/>
      <c r="AN350" s="42">
        <f>'[2]поточний ремонт'!AN350+'[1]поточний ремонт'!AN350</f>
        <v>0</v>
      </c>
      <c r="AO350" s="42">
        <f>'[2]поточний ремонт'!AO350+'[1]поточний ремонт'!AO350</f>
        <v>0</v>
      </c>
      <c r="AP350" s="5"/>
      <c r="AQ350" s="42">
        <f>'[2]поточний ремонт'!AQ350+'[1]поточний ремонт'!AQ350</f>
        <v>110.27308797143304</v>
      </c>
      <c r="AR350" s="42">
        <f>'[2]поточний ремонт'!AR350+'[1]поточний ремонт'!AR350</f>
        <v>0</v>
      </c>
      <c r="AS350" s="5"/>
      <c r="AT350" s="42">
        <f>'[2]поточний ремонт'!AT350+'[1]поточний ремонт'!AT350</f>
        <v>1283.2164335222758</v>
      </c>
      <c r="AU350" s="42">
        <f>'[2]поточний ремонт'!AU350+'[1]поточний ремонт'!AU350</f>
        <v>0</v>
      </c>
      <c r="AV350" s="5"/>
      <c r="AW350" s="42">
        <f>'[2]поточний ремонт'!AW350+'[1]поточний ремонт'!AW350</f>
        <v>81.752483675017274</v>
      </c>
      <c r="AX350" s="42">
        <f>'[2]поточний ремонт'!AX350+'[1]поточний ремонт'!AX350</f>
        <v>0</v>
      </c>
      <c r="AY350" s="5"/>
      <c r="AZ350" s="42">
        <f t="shared" si="51"/>
        <v>7116.2807477911629</v>
      </c>
      <c r="BA350" s="42">
        <f t="shared" si="52"/>
        <v>367.97798214586402</v>
      </c>
      <c r="BB350" s="58">
        <f t="shared" si="53"/>
        <v>-6748.3027656452987</v>
      </c>
      <c r="BD350" s="2">
        <v>2</v>
      </c>
      <c r="BF350" s="29">
        <v>3.9819988587644466</v>
      </c>
      <c r="BG350" s="318">
        <v>150000880</v>
      </c>
      <c r="BI350" s="104">
        <v>39.340000000000003</v>
      </c>
      <c r="BJ350" s="104">
        <f t="shared" si="54"/>
        <v>5.533650948</v>
      </c>
      <c r="BK350" s="104">
        <v>45.370263214640005</v>
      </c>
      <c r="BL350" s="38"/>
      <c r="BM350" s="3"/>
      <c r="BN350" s="3">
        <v>0</v>
      </c>
      <c r="BP350" s="3"/>
      <c r="BQ350" s="3"/>
      <c r="BS350" s="42"/>
      <c r="BT350" s="42">
        <v>0</v>
      </c>
      <c r="BU350" s="958"/>
      <c r="BV350" s="41"/>
      <c r="BW350" s="42"/>
      <c r="BX350" s="36"/>
      <c r="BY350" s="76"/>
      <c r="BZ350" s="42">
        <v>0</v>
      </c>
      <c r="CA350" s="959"/>
      <c r="CB350" s="41"/>
      <c r="CC350" s="41">
        <v>0</v>
      </c>
      <c r="CD350" s="960"/>
      <c r="CE350" s="76">
        <v>0</v>
      </c>
      <c r="CF350" s="55"/>
      <c r="CG350" s="41">
        <v>0</v>
      </c>
      <c r="CH350" s="38">
        <v>45.370263214640005</v>
      </c>
      <c r="CI350" s="76">
        <v>0</v>
      </c>
      <c r="CJ350" s="55"/>
      <c r="CK350" s="955"/>
      <c r="CL350" s="950"/>
      <c r="CM350" s="955"/>
      <c r="CN350" s="950">
        <v>0</v>
      </c>
      <c r="CO350" s="76">
        <v>142.53861767430203</v>
      </c>
      <c r="CP350" s="42">
        <v>0</v>
      </c>
      <c r="CQ350" s="5"/>
      <c r="CR350" s="76">
        <v>183.03554581005699</v>
      </c>
      <c r="CS350" s="954">
        <v>0</v>
      </c>
      <c r="CT350" s="5"/>
      <c r="CU350" s="76">
        <v>147.43558349450788</v>
      </c>
      <c r="CV350" s="42">
        <v>0</v>
      </c>
      <c r="CW350" s="5"/>
      <c r="CX350" s="76">
        <v>0</v>
      </c>
      <c r="CY350" s="42">
        <v>0</v>
      </c>
      <c r="CZ350" s="5"/>
      <c r="DA350" s="76">
        <v>0</v>
      </c>
      <c r="DB350" s="42">
        <v>0</v>
      </c>
      <c r="DC350" s="5"/>
      <c r="DD350" s="76">
        <v>84.962383277171313</v>
      </c>
      <c r="DE350" s="42">
        <v>0</v>
      </c>
      <c r="DF350" s="5"/>
      <c r="DG350" s="76">
        <v>0</v>
      </c>
      <c r="DH350" s="42"/>
      <c r="DI350" s="5"/>
      <c r="DJ350" s="42">
        <v>557.97213025603821</v>
      </c>
      <c r="DK350" s="42">
        <f t="shared" si="55"/>
        <v>0</v>
      </c>
      <c r="DL350" s="58">
        <f t="shared" si="56"/>
        <v>-557.97213025603821</v>
      </c>
      <c r="DM350" s="2">
        <v>2</v>
      </c>
    </row>
    <row r="351" spans="1:117" ht="24.9" customHeight="1" x14ac:dyDescent="0.3">
      <c r="A351" s="318">
        <v>150000881</v>
      </c>
      <c r="B351" s="44" t="s">
        <v>411</v>
      </c>
      <c r="C351" s="956">
        <v>9</v>
      </c>
      <c r="D351" s="957" t="s">
        <v>454</v>
      </c>
      <c r="E351" s="949">
        <f>'побудинковий звіт'!E349</f>
        <v>2405.4</v>
      </c>
      <c r="F351" s="950">
        <f>'побудинковий звіт'!AS349</f>
        <v>32761.283697107279</v>
      </c>
      <c r="G351" s="950">
        <f t="shared" si="49"/>
        <v>43305.368836423673</v>
      </c>
      <c r="H351" s="950">
        <f t="shared" si="50"/>
        <v>10544.085139316394</v>
      </c>
      <c r="I351" s="42">
        <f>'[2]поточний ремонт'!I351+'[1]поточний ремонт'!I351</f>
        <v>0</v>
      </c>
      <c r="J351" s="42">
        <f>'[2]поточний ремонт'!J351+'[1]поточний ремонт'!J351</f>
        <v>0</v>
      </c>
      <c r="K351" s="958"/>
      <c r="L351" s="42">
        <f>'[2]поточний ремонт'!L351+'[1]поточний ремонт'!L351</f>
        <v>0</v>
      </c>
      <c r="M351" s="42">
        <f>'[2]поточний ремонт'!M351+'[1]поточний ремонт'!M351</f>
        <v>0</v>
      </c>
      <c r="N351" s="36"/>
      <c r="O351" s="42">
        <f>'[2]поточний ремонт'!O351+'[1]поточний ремонт'!O351</f>
        <v>0</v>
      </c>
      <c r="P351" s="42">
        <f>'[2]поточний ремонт'!P351+'[1]поточний ремонт'!P351</f>
        <v>0</v>
      </c>
      <c r="Q351" s="959"/>
      <c r="R351" s="42">
        <f>'[2]поточний ремонт'!R351+'[1]поточний ремонт'!R351</f>
        <v>3</v>
      </c>
      <c r="S351" s="42">
        <f>'[2]поточний ремонт'!S351+'[1]поточний ремонт'!S351</f>
        <v>42428.771868940363</v>
      </c>
      <c r="T351" s="960"/>
      <c r="U351" s="42">
        <f>'[2]поточний ремонт'!U351+'[1]поточний ремонт'!U351</f>
        <v>208.56930681944473</v>
      </c>
      <c r="V351" s="42">
        <f>'[2]поточний ремонт'!V351+'[1]поточний ремонт'!V351</f>
        <v>0</v>
      </c>
      <c r="W351" s="42">
        <f>'[2]поточний ремонт'!W351+'[1]поточний ремонт'!W351</f>
        <v>0</v>
      </c>
      <c r="X351" s="42">
        <f>'[2]поточний ремонт'!X351+'[1]поточний ремонт'!X351</f>
        <v>0</v>
      </c>
      <c r="Y351" s="42">
        <f>'[2]поточний ремонт'!Y351+'[1]поточний ремонт'!Y351</f>
        <v>366.14130193897972</v>
      </c>
      <c r="Z351" s="42">
        <f>'[2]поточний ремонт'!Z351+'[1]поточний ремонт'!Z351</f>
        <v>0</v>
      </c>
      <c r="AA351" s="42">
        <f>'[2]поточний ремонт'!AA351+'[1]поточний ремонт'!AA351</f>
        <v>0</v>
      </c>
      <c r="AB351" s="42">
        <f>'[2]поточний ремонт'!AB351+'[1]поточний ремонт'!AB351</f>
        <v>0</v>
      </c>
      <c r="AC351" s="42">
        <f>'[2]поточний ремонт'!AC351+'[1]поточний ремонт'!AC351</f>
        <v>301.8863587248822</v>
      </c>
      <c r="AD351" s="42">
        <f>'[2]поточний ремонт'!AD351+'[1]поточний ремонт'!AD351</f>
        <v>0</v>
      </c>
      <c r="AE351" s="42">
        <f>'[2]поточний ремонт'!AE351+'[1]поточний ремонт'!AE351</f>
        <v>288.84147697994274</v>
      </c>
      <c r="AF351" s="42">
        <f>'[2]поточний ремонт'!AF351+'[1]поточний ремонт'!AF351</f>
        <v>0</v>
      </c>
      <c r="AG351" s="5"/>
      <c r="AH351" s="42">
        <f>'[2]поточний ремонт'!AH351+'[1]поточний ремонт'!AH351</f>
        <v>289.08501750908931</v>
      </c>
      <c r="AI351" s="42">
        <f>'[2]поточний ремонт'!AI351+'[1]поточний ремонт'!AI351</f>
        <v>0</v>
      </c>
      <c r="AJ351" s="5"/>
      <c r="AK351" s="42">
        <f>'[2]поточний ремонт'!AK351+'[1]поточний ремонт'!AK351</f>
        <v>390.66935660062808</v>
      </c>
      <c r="AL351" s="42">
        <f>'[2]поточний ремонт'!AL351+'[1]поточний ремонт'!AL351</f>
        <v>0</v>
      </c>
      <c r="AM351" s="5"/>
      <c r="AN351" s="42">
        <f>'[2]поточний ремонт'!AN351+'[1]поточний ремонт'!AN351</f>
        <v>198.74430359715433</v>
      </c>
      <c r="AO351" s="42">
        <f>'[2]поточний ремонт'!AO351+'[1]поточний ремонт'!AO351</f>
        <v>0</v>
      </c>
      <c r="AP351" s="5"/>
      <c r="AQ351" s="42">
        <f>'[2]поточний ремонт'!AQ351+'[1]поточний ремонт'!AQ351</f>
        <v>107.05431325806208</v>
      </c>
      <c r="AR351" s="42">
        <f>'[2]поточний ремонт'!AR351+'[1]поточний ремонт'!AR351</f>
        <v>0</v>
      </c>
      <c r="AS351" s="5"/>
      <c r="AT351" s="42">
        <f>'[2]поточний ремонт'!AT351+'[1]поточний ремонт'!AT351</f>
        <v>184.61335472915437</v>
      </c>
      <c r="AU351" s="42">
        <f>'[2]поточний ремонт'!AU351+'[1]поточний ремонт'!AU351</f>
        <v>2701.6442032464956</v>
      </c>
      <c r="AV351" s="5"/>
      <c r="AW351" s="42">
        <f>'[2]поточний ремонт'!AW351+'[1]поточний ремонт'!AW351</f>
        <v>28.923940885788934</v>
      </c>
      <c r="AX351" s="42">
        <f>'[2]поточний ремонт'!AX351+'[1]поточний ремонт'!AX351</f>
        <v>0</v>
      </c>
      <c r="AY351" s="5"/>
      <c r="AZ351" s="42">
        <f t="shared" si="51"/>
        <v>1487.93176355982</v>
      </c>
      <c r="BA351" s="42">
        <f t="shared" si="52"/>
        <v>2701.6442032464956</v>
      </c>
      <c r="BB351" s="58">
        <f t="shared" si="53"/>
        <v>1213.7124396866757</v>
      </c>
      <c r="BD351" s="2">
        <v>2</v>
      </c>
      <c r="BF351" s="29">
        <v>3.5132319969453665</v>
      </c>
      <c r="BG351" s="318">
        <v>150000881</v>
      </c>
      <c r="BI351" s="104">
        <v>0</v>
      </c>
      <c r="BJ351" s="104">
        <f t="shared" si="54"/>
        <v>0</v>
      </c>
      <c r="BK351" s="104">
        <v>0</v>
      </c>
      <c r="BL351" s="38"/>
      <c r="BM351" s="3"/>
      <c r="BN351" s="3">
        <v>0</v>
      </c>
      <c r="BP351" s="3"/>
      <c r="BQ351" s="3"/>
      <c r="BS351" s="42"/>
      <c r="BT351" s="42">
        <v>0</v>
      </c>
      <c r="BU351" s="958"/>
      <c r="BV351" s="41"/>
      <c r="BW351" s="42"/>
      <c r="BX351" s="36"/>
      <c r="BY351" s="76"/>
      <c r="BZ351" s="42">
        <v>0</v>
      </c>
      <c r="CA351" s="959"/>
      <c r="CB351" s="41"/>
      <c r="CC351" s="41">
        <v>0</v>
      </c>
      <c r="CD351" s="960"/>
      <c r="CE351" s="76">
        <v>0</v>
      </c>
      <c r="CF351" s="55"/>
      <c r="CG351" s="41">
        <v>0</v>
      </c>
      <c r="CH351" s="38">
        <v>0</v>
      </c>
      <c r="CI351" s="76">
        <v>365.64417797027244</v>
      </c>
      <c r="CJ351" s="55"/>
      <c r="CK351" s="955"/>
      <c r="CL351" s="950"/>
      <c r="CM351" s="955"/>
      <c r="CN351" s="950">
        <v>0</v>
      </c>
      <c r="CO351" s="76">
        <v>18.036324034709246</v>
      </c>
      <c r="CP351" s="42">
        <v>0</v>
      </c>
      <c r="CQ351" s="5"/>
      <c r="CR351" s="76">
        <v>22.154804772633202</v>
      </c>
      <c r="CS351" s="954">
        <v>0</v>
      </c>
      <c r="CT351" s="5"/>
      <c r="CU351" s="76">
        <v>28.182319718343539</v>
      </c>
      <c r="CV351" s="42">
        <v>0</v>
      </c>
      <c r="CW351" s="5"/>
      <c r="CX351" s="76">
        <v>14.407110787566008</v>
      </c>
      <c r="CY351" s="42">
        <v>0</v>
      </c>
      <c r="CZ351" s="5"/>
      <c r="DA351" s="76">
        <v>6.5961235315382805</v>
      </c>
      <c r="DB351" s="42">
        <v>0</v>
      </c>
      <c r="DC351" s="5"/>
      <c r="DD351" s="76">
        <v>13.018176544392439</v>
      </c>
      <c r="DE351" s="42">
        <v>0</v>
      </c>
      <c r="DF351" s="5"/>
      <c r="DG351" s="76">
        <v>0</v>
      </c>
      <c r="DH351" s="42"/>
      <c r="DI351" s="5"/>
      <c r="DJ351" s="42">
        <v>102.39485938918273</v>
      </c>
      <c r="DK351" s="42">
        <f t="shared" si="55"/>
        <v>0</v>
      </c>
      <c r="DL351" s="58">
        <f t="shared" si="56"/>
        <v>-102.39485938918273</v>
      </c>
      <c r="DM351" s="2">
        <v>2</v>
      </c>
    </row>
    <row r="352" spans="1:117" ht="24.9" customHeight="1" x14ac:dyDescent="0.3">
      <c r="A352" s="318">
        <v>150000882</v>
      </c>
      <c r="B352" s="44" t="s">
        <v>330</v>
      </c>
      <c r="C352" s="956">
        <v>5</v>
      </c>
      <c r="D352" s="957" t="s">
        <v>454</v>
      </c>
      <c r="E352" s="949">
        <f>'побудинковий звіт'!E350</f>
        <v>3011.4300000000003</v>
      </c>
      <c r="F352" s="950">
        <f>'побудинковий звіт'!AS350</f>
        <v>35408.278637550116</v>
      </c>
      <c r="G352" s="950">
        <f t="shared" si="49"/>
        <v>471.71346458799536</v>
      </c>
      <c r="H352" s="950">
        <f t="shared" si="50"/>
        <v>-34936.565172962124</v>
      </c>
      <c r="I352" s="42">
        <f>'[2]поточний ремонт'!I352+'[1]поточний ремонт'!I352</f>
        <v>0</v>
      </c>
      <c r="J352" s="42">
        <f>'[2]поточний ремонт'!J352+'[1]поточний ремонт'!J352</f>
        <v>0</v>
      </c>
      <c r="K352" s="958"/>
      <c r="L352" s="42">
        <f>'[2]поточний ремонт'!L352+'[1]поточний ремонт'!L352</f>
        <v>0</v>
      </c>
      <c r="M352" s="42">
        <f>'[2]поточний ремонт'!M352+'[1]поточний ремонт'!M352</f>
        <v>0</v>
      </c>
      <c r="N352" s="36"/>
      <c r="O352" s="42">
        <f>'[2]поточний ремонт'!O352+'[1]поточний ремонт'!O352</f>
        <v>0</v>
      </c>
      <c r="P352" s="42">
        <f>'[2]поточний ремонт'!P352+'[1]поточний ремонт'!P352</f>
        <v>0</v>
      </c>
      <c r="Q352" s="959"/>
      <c r="R352" s="42">
        <f>'[2]поточний ремонт'!R352+'[1]поточний ремонт'!R352</f>
        <v>0</v>
      </c>
      <c r="S352" s="42">
        <f>'[2]поточний ремонт'!S352+'[1]поточний ремонт'!S352</f>
        <v>0</v>
      </c>
      <c r="T352" s="960"/>
      <c r="U352" s="42">
        <f>'[2]поточний ремонт'!U352+'[1]поточний ремонт'!U352</f>
        <v>0</v>
      </c>
      <c r="V352" s="42">
        <f>'[2]поточний ремонт'!V352+'[1]поточний ремонт'!V352</f>
        <v>0</v>
      </c>
      <c r="W352" s="42">
        <f>'[2]поточний ремонт'!W352+'[1]поточний ремонт'!W352</f>
        <v>0</v>
      </c>
      <c r="X352" s="42">
        <f>'[2]поточний ремонт'!X352+'[1]поточний ремонт'!X352</f>
        <v>471.71346458799536</v>
      </c>
      <c r="Y352" s="42">
        <f>'[2]поточний ремонт'!Y352+'[1]поточний ремонт'!Y352</f>
        <v>0</v>
      </c>
      <c r="Z352" s="42">
        <f>'[2]поточний ремонт'!Z352+'[1]поточний ремонт'!Z352</f>
        <v>0</v>
      </c>
      <c r="AA352" s="42">
        <f>'[2]поточний ремонт'!AA352+'[1]поточний ремонт'!AA352</f>
        <v>0</v>
      </c>
      <c r="AB352" s="42">
        <f>'[2]поточний ремонт'!AB352+'[1]поточний ремонт'!AB352</f>
        <v>0</v>
      </c>
      <c r="AC352" s="42">
        <f>'[2]поточний ремонт'!AC352+'[1]поточний ремонт'!AC352</f>
        <v>0</v>
      </c>
      <c r="AD352" s="42">
        <f>'[2]поточний ремонт'!AD352+'[1]поточний ремонт'!AD352</f>
        <v>0</v>
      </c>
      <c r="AE352" s="42">
        <f>'[2]поточний ремонт'!AE352+'[1]поточний ремонт'!AE352</f>
        <v>1505.322871474561</v>
      </c>
      <c r="AF352" s="42">
        <f>'[2]поточний ремонт'!AF352+'[1]поточний ремонт'!AF352</f>
        <v>0</v>
      </c>
      <c r="AG352" s="965"/>
      <c r="AH352" s="42">
        <f>'[2]поточний ремонт'!AH352+'[1]поточний ремонт'!AH352</f>
        <v>2324.7890410270506</v>
      </c>
      <c r="AI352" s="42">
        <f>'[2]поточний ремонт'!AI352+'[1]поточний ремонт'!AI352</f>
        <v>0</v>
      </c>
      <c r="AJ352" s="5"/>
      <c r="AK352" s="42">
        <f>'[2]поточний ремонт'!AK352+'[1]поточний ремонт'!AK352</f>
        <v>2153.8111923183874</v>
      </c>
      <c r="AL352" s="42">
        <f>'[2]поточний ремонт'!AL352+'[1]поточний ремонт'!AL352</f>
        <v>0</v>
      </c>
      <c r="AM352" s="5"/>
      <c r="AN352" s="42">
        <f>'[2]поточний ремонт'!AN352+'[1]поточний ремонт'!AN352</f>
        <v>0</v>
      </c>
      <c r="AO352" s="42">
        <f>'[2]поточний ремонт'!AO352+'[1]поточний ремонт'!AO352</f>
        <v>0</v>
      </c>
      <c r="AP352" s="5"/>
      <c r="AQ352" s="42">
        <f>'[2]поточний ремонт'!AQ352+'[1]поточний ремонт'!AQ352</f>
        <v>110.27308797143304</v>
      </c>
      <c r="AR352" s="42">
        <f>'[2]поточний ремонт'!AR352+'[1]поточний ремонт'!AR352</f>
        <v>0</v>
      </c>
      <c r="AS352" s="5"/>
      <c r="AT352" s="42">
        <f>'[2]поточний ремонт'!AT352+'[1]поточний ремонт'!AT352</f>
        <v>950.01158549916499</v>
      </c>
      <c r="AU352" s="42">
        <f>'[2]поточний ремонт'!AU352+'[1]поточний ремонт'!AU352</f>
        <v>0</v>
      </c>
      <c r="AV352" s="5"/>
      <c r="AW352" s="42">
        <f>'[2]поточний ремонт'!AW352+'[1]поточний ремонт'!AW352</f>
        <v>43.636878277800861</v>
      </c>
      <c r="AX352" s="42">
        <f>'[2]поточний ремонт'!AX352+'[1]поточний ремонт'!AX352</f>
        <v>0</v>
      </c>
      <c r="AY352" s="5"/>
      <c r="AZ352" s="42">
        <f t="shared" si="51"/>
        <v>7087.8446565683971</v>
      </c>
      <c r="BA352" s="42">
        <f t="shared" si="52"/>
        <v>0</v>
      </c>
      <c r="BB352" s="58">
        <f t="shared" si="53"/>
        <v>-7087.8446565683971</v>
      </c>
      <c r="BD352" s="2">
        <v>2</v>
      </c>
      <c r="BF352" s="29">
        <v>4.4745290383644782</v>
      </c>
      <c r="BG352" s="318">
        <v>150000882</v>
      </c>
      <c r="BI352" s="104">
        <v>34.58</v>
      </c>
      <c r="BJ352" s="104">
        <f t="shared" si="54"/>
        <v>4.864098875999999</v>
      </c>
      <c r="BK352" s="104">
        <v>39.88062282568</v>
      </c>
      <c r="BL352" s="38"/>
      <c r="BM352" s="3"/>
      <c r="BN352" s="3">
        <v>0</v>
      </c>
      <c r="BP352" s="3"/>
      <c r="BQ352" s="3"/>
      <c r="BS352" s="42"/>
      <c r="BT352" s="42">
        <v>0</v>
      </c>
      <c r="BU352" s="958"/>
      <c r="BV352" s="41"/>
      <c r="BW352" s="42"/>
      <c r="BX352" s="36"/>
      <c r="BY352" s="76"/>
      <c r="BZ352" s="42">
        <v>0</v>
      </c>
      <c r="CA352" s="959"/>
      <c r="CB352" s="41"/>
      <c r="CC352" s="41">
        <v>0</v>
      </c>
      <c r="CD352" s="960"/>
      <c r="CE352" s="76">
        <v>0</v>
      </c>
      <c r="CF352" s="55"/>
      <c r="CG352" s="41">
        <v>0</v>
      </c>
      <c r="CH352" s="38">
        <v>39.88062282568</v>
      </c>
      <c r="CI352" s="76">
        <v>0</v>
      </c>
      <c r="CJ352" s="55"/>
      <c r="CK352" s="955"/>
      <c r="CL352" s="950"/>
      <c r="CM352" s="955"/>
      <c r="CN352" s="950">
        <v>0</v>
      </c>
      <c r="CO352" s="76">
        <v>121.6559452989076</v>
      </c>
      <c r="CP352" s="42">
        <v>0</v>
      </c>
      <c r="CQ352" s="965"/>
      <c r="CR352" s="76">
        <v>187.59990222754016</v>
      </c>
      <c r="CS352" s="954">
        <v>0</v>
      </c>
      <c r="CT352" s="5"/>
      <c r="CU352" s="76">
        <v>178.49528060048499</v>
      </c>
      <c r="CV352" s="42">
        <v>0</v>
      </c>
      <c r="CW352" s="5"/>
      <c r="CX352" s="76">
        <v>0</v>
      </c>
      <c r="CY352" s="42">
        <v>0</v>
      </c>
      <c r="CZ352" s="5"/>
      <c r="DA352" s="76">
        <v>0</v>
      </c>
      <c r="DB352" s="42">
        <v>0</v>
      </c>
      <c r="DC352" s="5"/>
      <c r="DD352" s="76">
        <v>60.641629162773675</v>
      </c>
      <c r="DE352" s="42">
        <v>0</v>
      </c>
      <c r="DF352" s="5"/>
      <c r="DG352" s="76">
        <v>0</v>
      </c>
      <c r="DH352" s="42"/>
      <c r="DI352" s="5"/>
      <c r="DJ352" s="42">
        <v>548.39275728970642</v>
      </c>
      <c r="DK352" s="42">
        <f t="shared" si="55"/>
        <v>0</v>
      </c>
      <c r="DL352" s="58">
        <f t="shared" si="56"/>
        <v>-548.39275728970642</v>
      </c>
      <c r="DM352" s="2">
        <v>2</v>
      </c>
    </row>
    <row r="353" spans="1:117" ht="24.9" customHeight="1" x14ac:dyDescent="0.3">
      <c r="A353" s="318">
        <v>150000883</v>
      </c>
      <c r="B353" s="44" t="s">
        <v>331</v>
      </c>
      <c r="C353" s="956">
        <v>5</v>
      </c>
      <c r="D353" s="957" t="s">
        <v>454</v>
      </c>
      <c r="E353" s="949">
        <f>'побудинковий звіт'!E351</f>
        <v>1851.98</v>
      </c>
      <c r="F353" s="950">
        <f>'побудинковий звіт'!AS351</f>
        <v>21952.458461232814</v>
      </c>
      <c r="G353" s="950">
        <f t="shared" si="49"/>
        <v>30044.556216608336</v>
      </c>
      <c r="H353" s="950">
        <f t="shared" si="50"/>
        <v>8092.097755375522</v>
      </c>
      <c r="I353" s="42">
        <f>'[2]поточний ремонт'!I353+'[1]поточний ремонт'!I353</f>
        <v>37</v>
      </c>
      <c r="J353" s="42">
        <f>'[2]поточний ремонт'!J353+'[1]поточний ремонт'!J353</f>
        <v>25391.769540100475</v>
      </c>
      <c r="K353" s="962"/>
      <c r="L353" s="42">
        <f>'[2]поточний ремонт'!L353+'[1]поточний ремонт'!L353</f>
        <v>0</v>
      </c>
      <c r="M353" s="42">
        <f>'[2]поточний ремонт'!M353+'[1]поточний ремонт'!M353</f>
        <v>0</v>
      </c>
      <c r="N353" s="36"/>
      <c r="O353" s="42">
        <f>'[2]поточний ремонт'!O353+'[1]поточний ремонт'!O353</f>
        <v>0</v>
      </c>
      <c r="P353" s="42">
        <f>'[2]поточний ремонт'!P353+'[1]поточний ремонт'!P353</f>
        <v>0</v>
      </c>
      <c r="Q353" s="959"/>
      <c r="R353" s="42">
        <f>'[2]поточний ремонт'!R353+'[1]поточний ремонт'!R353</f>
        <v>0</v>
      </c>
      <c r="S353" s="42">
        <f>'[2]поточний ремонт'!S353+'[1]поточний ремонт'!S353</f>
        <v>0</v>
      </c>
      <c r="T353" s="960"/>
      <c r="U353" s="42">
        <f>'[2]поточний ремонт'!U353+'[1]поточний ремонт'!U353</f>
        <v>0</v>
      </c>
      <c r="V353" s="42">
        <f>'[2]поточний ремонт'!V353+'[1]поточний ремонт'!V353</f>
        <v>0</v>
      </c>
      <c r="W353" s="42">
        <f>'[2]поточний ремонт'!W353+'[1]поточний ремонт'!W353</f>
        <v>2</v>
      </c>
      <c r="X353" s="42">
        <f>'[2]поточний ремонт'!X353+'[1]поточний ремонт'!X353</f>
        <v>2146.6012900613878</v>
      </c>
      <c r="Y353" s="42">
        <f>'[2]поточний ремонт'!Y353+'[1]поточний ремонт'!Y353</f>
        <v>0</v>
      </c>
      <c r="Z353" s="42">
        <f>'[2]поточний ремонт'!Z353+'[1]поточний ремонт'!Z353</f>
        <v>0</v>
      </c>
      <c r="AA353" s="42">
        <f>'[2]поточний ремонт'!AA353+'[1]поточний ремонт'!AA353</f>
        <v>0</v>
      </c>
      <c r="AB353" s="42">
        <f>'[2]поточний ремонт'!AB353+'[1]поточний ремонт'!AB353</f>
        <v>0</v>
      </c>
      <c r="AC353" s="42">
        <f>'[2]поточний ремонт'!AC353+'[1]поточний ремонт'!AC353</f>
        <v>2506.185386446477</v>
      </c>
      <c r="AD353" s="42">
        <f>'[2]поточний ремонт'!AD353+'[1]поточний ремонт'!AD353</f>
        <v>0</v>
      </c>
      <c r="AE353" s="42">
        <f>'[2]поточний ремонт'!AE353+'[1]поточний ремонт'!AE353</f>
        <v>1043.6790601650571</v>
      </c>
      <c r="AF353" s="42">
        <f>'[2]поточний ремонт'!AF353+'[1]поточний ремонт'!AF353</f>
        <v>0</v>
      </c>
      <c r="AG353" s="5"/>
      <c r="AH353" s="42">
        <f>'[2]поточний ремонт'!AH353+'[1]поточний ремонт'!AH353</f>
        <v>1298.911802162972</v>
      </c>
      <c r="AI353" s="42">
        <f>'[2]поточний ремонт'!AI353+'[1]поточний ремонт'!AI353</f>
        <v>0</v>
      </c>
      <c r="AJ353" s="5"/>
      <c r="AK353" s="42">
        <f>'[2]поточний ремонт'!AK353+'[1]поточний ремонт'!AK353</f>
        <v>1204.7044822185428</v>
      </c>
      <c r="AL353" s="42">
        <f>'[2]поточний ремонт'!AL353+'[1]поточний ремонт'!AL353</f>
        <v>0</v>
      </c>
      <c r="AM353" s="5"/>
      <c r="AN353" s="42">
        <f>'[2]поточний ремонт'!AN353+'[1]поточний ремонт'!AN353</f>
        <v>0</v>
      </c>
      <c r="AO353" s="42">
        <f>'[2]поточний ремонт'!AO353+'[1]поточний ремонт'!AO353</f>
        <v>0</v>
      </c>
      <c r="AP353" s="5"/>
      <c r="AQ353" s="42">
        <f>'[2]поточний ремонт'!AQ353+'[1]поточний ремонт'!AQ353</f>
        <v>82.704815978574771</v>
      </c>
      <c r="AR353" s="42">
        <f>'[2]поточний ремонт'!AR353+'[1]поточний ремонт'!AR353</f>
        <v>0</v>
      </c>
      <c r="AS353" s="5"/>
      <c r="AT353" s="42">
        <f>'[2]поточний ремонт'!AT353+'[1]поточний ремонт'!AT353</f>
        <v>514.5040582884709</v>
      </c>
      <c r="AU353" s="42">
        <f>'[2]поточний ремонт'!AU353+'[1]поточний ремонт'!AU353</f>
        <v>0</v>
      </c>
      <c r="AV353" s="5"/>
      <c r="AW353" s="42">
        <f>'[2]поточний ремонт'!AW353+'[1]поточний ремонт'!AW353</f>
        <v>26.884834424209455</v>
      </c>
      <c r="AX353" s="42">
        <f>'[2]поточний ремонт'!AX353+'[1]поточний ремонт'!AX353</f>
        <v>0</v>
      </c>
      <c r="AY353" s="5"/>
      <c r="AZ353" s="42">
        <f t="shared" si="51"/>
        <v>4171.3890532378273</v>
      </c>
      <c r="BA353" s="42">
        <f t="shared" si="52"/>
        <v>0</v>
      </c>
      <c r="BB353" s="58">
        <f t="shared" si="53"/>
        <v>-4171.3890532378273</v>
      </c>
      <c r="BD353" s="2">
        <v>2</v>
      </c>
      <c r="BF353" s="29">
        <v>40.704870235479753</v>
      </c>
      <c r="BG353" s="318">
        <v>150000883</v>
      </c>
      <c r="BI353" s="104">
        <v>0</v>
      </c>
      <c r="BJ353" s="104">
        <f t="shared" si="54"/>
        <v>0</v>
      </c>
      <c r="BK353" s="104">
        <v>0</v>
      </c>
      <c r="BL353" s="38"/>
      <c r="BM353" s="3">
        <v>2</v>
      </c>
      <c r="BN353" s="3">
        <v>2143.6867678621816</v>
      </c>
      <c r="BP353" s="3"/>
      <c r="BQ353" s="3"/>
      <c r="BS353" s="42"/>
      <c r="BT353" s="42">
        <v>0</v>
      </c>
      <c r="BU353" s="962"/>
      <c r="BV353" s="41"/>
      <c r="BW353" s="42"/>
      <c r="BX353" s="36"/>
      <c r="BY353" s="76"/>
      <c r="BZ353" s="42">
        <v>0</v>
      </c>
      <c r="CA353" s="959"/>
      <c r="CB353" s="41"/>
      <c r="CC353" s="41">
        <v>0</v>
      </c>
      <c r="CD353" s="960"/>
      <c r="CE353" s="76">
        <v>0</v>
      </c>
      <c r="CF353" s="55"/>
      <c r="CG353" s="41">
        <v>2</v>
      </c>
      <c r="CH353" s="38">
        <v>2143.6867678621816</v>
      </c>
      <c r="CI353" s="76">
        <v>0</v>
      </c>
      <c r="CJ353" s="964"/>
      <c r="CK353" s="955"/>
      <c r="CL353" s="950"/>
      <c r="CM353" s="955"/>
      <c r="CN353" s="950">
        <v>0</v>
      </c>
      <c r="CO353" s="76">
        <v>84.288050974095853</v>
      </c>
      <c r="CP353" s="42">
        <v>0</v>
      </c>
      <c r="CQ353" s="5"/>
      <c r="CR353" s="76">
        <v>111.57423670806077</v>
      </c>
      <c r="CS353" s="954">
        <v>0</v>
      </c>
      <c r="CT353" s="5"/>
      <c r="CU353" s="76">
        <v>99.746403592700247</v>
      </c>
      <c r="CV353" s="42">
        <v>0</v>
      </c>
      <c r="CW353" s="5"/>
      <c r="CX353" s="76">
        <v>0</v>
      </c>
      <c r="CY353" s="42">
        <v>0</v>
      </c>
      <c r="CZ353" s="5"/>
      <c r="DA353" s="76">
        <v>0</v>
      </c>
      <c r="DB353" s="42">
        <v>0</v>
      </c>
      <c r="DC353" s="5"/>
      <c r="DD353" s="76">
        <v>32.473376971596629</v>
      </c>
      <c r="DE353" s="42">
        <v>0</v>
      </c>
      <c r="DF353" s="5"/>
      <c r="DG353" s="76">
        <v>0</v>
      </c>
      <c r="DH353" s="42"/>
      <c r="DI353" s="5"/>
      <c r="DJ353" s="42">
        <v>328.0820682464535</v>
      </c>
      <c r="DK353" s="42">
        <f t="shared" si="55"/>
        <v>0</v>
      </c>
      <c r="DL353" s="58">
        <f t="shared" si="56"/>
        <v>-328.0820682464535</v>
      </c>
      <c r="DM353" s="2">
        <v>2</v>
      </c>
    </row>
    <row r="354" spans="1:117" ht="24.9" customHeight="1" x14ac:dyDescent="0.3">
      <c r="A354" s="318">
        <v>150000884</v>
      </c>
      <c r="B354" s="44" t="s">
        <v>332</v>
      </c>
      <c r="C354" s="956">
        <v>5</v>
      </c>
      <c r="D354" s="957" t="s">
        <v>454</v>
      </c>
      <c r="E354" s="949">
        <f>'побудинковий звіт'!E352</f>
        <v>3396.3</v>
      </c>
      <c r="F354" s="950">
        <f>'побудинковий звіт'!AS352</f>
        <v>45382.193554399797</v>
      </c>
      <c r="G354" s="950">
        <f t="shared" si="49"/>
        <v>16212.152188838782</v>
      </c>
      <c r="H354" s="950">
        <f t="shared" si="50"/>
        <v>-29170.041365561017</v>
      </c>
      <c r="I354" s="42">
        <f>'[2]поточний ремонт'!I354+'[1]поточний ремонт'!I354</f>
        <v>1.42</v>
      </c>
      <c r="J354" s="42">
        <f>'[2]поточний ремонт'!J354+'[1]поточний ремонт'!J354</f>
        <v>823.1870933268799</v>
      </c>
      <c r="K354" s="958"/>
      <c r="L354" s="42">
        <f>'[2]поточний ремонт'!L354+'[1]поточний ремонт'!L354</f>
        <v>0</v>
      </c>
      <c r="M354" s="42">
        <f>'[2]поточний ремонт'!M354+'[1]поточний ремонт'!M354</f>
        <v>0</v>
      </c>
      <c r="N354" s="36"/>
      <c r="O354" s="42">
        <f>'[2]поточний ремонт'!O354+'[1]поточний ремонт'!O354</f>
        <v>0</v>
      </c>
      <c r="P354" s="42">
        <f>'[2]поточний ремонт'!P354+'[1]поточний ремонт'!P354</f>
        <v>0</v>
      </c>
      <c r="Q354" s="959"/>
      <c r="R354" s="42">
        <f>'[2]поточний ремонт'!R354+'[1]поточний ремонт'!R354</f>
        <v>0</v>
      </c>
      <c r="S354" s="42">
        <f>'[2]поточний ремонт'!S354+'[1]поточний ремонт'!S354</f>
        <v>0</v>
      </c>
      <c r="T354" s="960"/>
      <c r="U354" s="42">
        <f>'[2]поточний ремонт'!U354+'[1]поточний ремонт'!U354</f>
        <v>0</v>
      </c>
      <c r="V354" s="42">
        <f>'[2]поточний ремонт'!V354+'[1]поточний ремонт'!V354</f>
        <v>0</v>
      </c>
      <c r="W354" s="42">
        <f>'[2]поточний ремонт'!W354+'[1]поточний ремонт'!W354</f>
        <v>7</v>
      </c>
      <c r="X354" s="42">
        <f>'[2]поточний ремонт'!X354+'[1]поточний ремонт'!X354</f>
        <v>2875.3867086634682</v>
      </c>
      <c r="Y354" s="42">
        <f>'[2]поточний ремонт'!Y354+'[1]поточний ремонт'!Y354</f>
        <v>0</v>
      </c>
      <c r="Z354" s="42">
        <f>'[2]поточний ремонт'!Z354+'[1]поточний ремонт'!Z354</f>
        <v>0</v>
      </c>
      <c r="AA354" s="42">
        <f>'[2]поточний ремонт'!AA354+'[1]поточний ремонт'!AA354</f>
        <v>0</v>
      </c>
      <c r="AB354" s="42">
        <f>'[2]поточний ремонт'!AB354+'[1]поточний ремонт'!AB354</f>
        <v>993.48833655630585</v>
      </c>
      <c r="AC354" s="42">
        <f>'[2]поточний ремонт'!AC354+'[1]поточний ремонт'!AC354</f>
        <v>553.47403373252268</v>
      </c>
      <c r="AD354" s="42">
        <f>'[2]поточний ремонт'!AD354+'[1]поточний ремонт'!AD354</f>
        <v>10966.616016559605</v>
      </c>
      <c r="AE354" s="42">
        <f>'[2]поточний ремонт'!AE354+'[1]поточний ремонт'!AE354</f>
        <v>1927.6229454044585</v>
      </c>
      <c r="AF354" s="42">
        <f>'[2]поточний ремонт'!AF354+'[1]поточний ремонт'!AF354</f>
        <v>4108.5479215509022</v>
      </c>
      <c r="AG354" s="9"/>
      <c r="AH354" s="42">
        <f>'[2]поточний ремонт'!AH354+'[1]поточний ремонт'!AH354</f>
        <v>3055.8091198359066</v>
      </c>
      <c r="AI354" s="42">
        <f>'[2]поточний ремонт'!AI354+'[1]поточний ремонт'!AI354</f>
        <v>0</v>
      </c>
      <c r="AJ354" s="5"/>
      <c r="AK354" s="42">
        <f>'[2]поточний ремонт'!AK354+'[1]поточний ремонт'!AK354</f>
        <v>2268.8772186194051</v>
      </c>
      <c r="AL354" s="42">
        <f>'[2]поточний ремонт'!AL354+'[1]поточний ремонт'!AL354</f>
        <v>0</v>
      </c>
      <c r="AM354" s="5"/>
      <c r="AN354" s="42">
        <f>'[2]поточний ремонт'!AN354+'[1]поточний ремонт'!AN354</f>
        <v>0</v>
      </c>
      <c r="AO354" s="42">
        <f>'[2]поточний ремонт'!AO354+'[1]поточний ремонт'!AO354</f>
        <v>0</v>
      </c>
      <c r="AP354" s="5"/>
      <c r="AQ354" s="42">
        <f>'[2]поточний ремонт'!AQ354+'[1]поточний ремонт'!AQ354</f>
        <v>137.84135996429129</v>
      </c>
      <c r="AR354" s="42">
        <f>'[2]поточний ремонт'!AR354+'[1]поточний ремонт'!AR354</f>
        <v>0</v>
      </c>
      <c r="AS354" s="5"/>
      <c r="AT354" s="42">
        <f>'[2]поточний ремонт'!AT354+'[1]поточний ремонт'!AT354</f>
        <v>1385.1244598998801</v>
      </c>
      <c r="AU354" s="42">
        <f>'[2]поточний ремонт'!AU354+'[1]поточний ремонт'!AU354</f>
        <v>3776.9009983670144</v>
      </c>
      <c r="AV354" s="5"/>
      <c r="AW354" s="42">
        <f>'[2]поточний ремонт'!AW354+'[1]поточний ремонт'!AW354</f>
        <v>101.86121047305494</v>
      </c>
      <c r="AX354" s="42">
        <f>'[2]поточний ремонт'!AX354+'[1]поточний ремонт'!AX354</f>
        <v>0</v>
      </c>
      <c r="AY354" s="5"/>
      <c r="AZ354" s="42">
        <f t="shared" si="51"/>
        <v>8877.1363141969941</v>
      </c>
      <c r="BA354" s="42">
        <f t="shared" si="52"/>
        <v>7885.448919917917</v>
      </c>
      <c r="BB354" s="58">
        <f t="shared" si="53"/>
        <v>-991.68739427907713</v>
      </c>
      <c r="BD354" s="2">
        <v>2</v>
      </c>
      <c r="BF354" s="29">
        <v>4.9655402351438473</v>
      </c>
      <c r="BG354" s="318">
        <v>150000884</v>
      </c>
      <c r="BI354" s="104">
        <v>0</v>
      </c>
      <c r="BJ354" s="104">
        <f t="shared" si="54"/>
        <v>0</v>
      </c>
      <c r="BK354" s="104">
        <v>0</v>
      </c>
      <c r="BL354" s="38"/>
      <c r="BM354" s="3"/>
      <c r="BN354" s="3">
        <v>0</v>
      </c>
      <c r="BP354" s="3"/>
      <c r="BQ354" s="3"/>
      <c r="BS354" s="42"/>
      <c r="BT354" s="42">
        <v>0</v>
      </c>
      <c r="BU354" s="958"/>
      <c r="BV354" s="41"/>
      <c r="BW354" s="42"/>
      <c r="BX354" s="36"/>
      <c r="BY354" s="76"/>
      <c r="BZ354" s="42">
        <v>0</v>
      </c>
      <c r="CA354" s="959"/>
      <c r="CB354" s="41"/>
      <c r="CC354" s="41">
        <v>0</v>
      </c>
      <c r="CD354" s="960"/>
      <c r="CE354" s="76">
        <v>0</v>
      </c>
      <c r="CF354" s="55"/>
      <c r="CG354" s="41">
        <v>0</v>
      </c>
      <c r="CH354" s="38">
        <v>0</v>
      </c>
      <c r="CI354" s="76">
        <v>0</v>
      </c>
      <c r="CJ354" s="55"/>
      <c r="CK354" s="955"/>
      <c r="CL354" s="950"/>
      <c r="CM354" s="955"/>
      <c r="CN354" s="950">
        <v>0</v>
      </c>
      <c r="CO354" s="76">
        <v>154.90307360373467</v>
      </c>
      <c r="CP354" s="42">
        <v>0</v>
      </c>
      <c r="CQ354" s="9"/>
      <c r="CR354" s="76">
        <v>245.78571766970759</v>
      </c>
      <c r="CS354" s="954">
        <v>0</v>
      </c>
      <c r="CT354" s="5"/>
      <c r="CU354" s="76">
        <v>182.97205643540269</v>
      </c>
      <c r="CV354" s="42">
        <v>0</v>
      </c>
      <c r="CW354" s="5"/>
      <c r="CX354" s="76">
        <v>0</v>
      </c>
      <c r="CY354" s="42">
        <v>0</v>
      </c>
      <c r="CZ354" s="5"/>
      <c r="DA354" s="76">
        <v>0</v>
      </c>
      <c r="DB354" s="42">
        <v>0</v>
      </c>
      <c r="DC354" s="5"/>
      <c r="DD354" s="76">
        <v>87.734763509482079</v>
      </c>
      <c r="DE354" s="42">
        <v>0</v>
      </c>
      <c r="DF354" s="5"/>
      <c r="DG354" s="76">
        <v>0</v>
      </c>
      <c r="DH354" s="42"/>
      <c r="DI354" s="5"/>
      <c r="DJ354" s="42">
        <v>671.39561121832696</v>
      </c>
      <c r="DK354" s="42">
        <f t="shared" si="55"/>
        <v>0</v>
      </c>
      <c r="DL354" s="58">
        <f t="shared" si="56"/>
        <v>-671.39561121832696</v>
      </c>
      <c r="DM354" s="2">
        <v>2</v>
      </c>
    </row>
    <row r="355" spans="1:117" ht="24.9" customHeight="1" thickBot="1" x14ac:dyDescent="0.35">
      <c r="A355" s="554">
        <v>150000885</v>
      </c>
      <c r="B355" s="48" t="s">
        <v>238</v>
      </c>
      <c r="C355" s="981">
        <v>4</v>
      </c>
      <c r="D355" s="982" t="s">
        <v>454</v>
      </c>
      <c r="E355" s="949">
        <f>'побудинковий звіт'!E353</f>
        <v>1494.66</v>
      </c>
      <c r="F355" s="950">
        <f>'побудинковий звіт'!AS353</f>
        <v>21503.073654842075</v>
      </c>
      <c r="G355" s="983">
        <f t="shared" si="49"/>
        <v>4914.3988304452423</v>
      </c>
      <c r="H355" s="983">
        <f t="shared" si="50"/>
        <v>-16588.674824396832</v>
      </c>
      <c r="I355" s="42">
        <f>'[2]поточний ремонт'!I355+'[1]поточний ремонт'!I355</f>
        <v>0</v>
      </c>
      <c r="J355" s="42">
        <f>'[2]поточний ремонт'!J355+'[1]поточний ремонт'!J355</f>
        <v>0</v>
      </c>
      <c r="K355" s="984"/>
      <c r="L355" s="42">
        <f>'[2]поточний ремонт'!L355+'[1]поточний ремонт'!L355</f>
        <v>0</v>
      </c>
      <c r="M355" s="42">
        <f>'[2]поточний ремонт'!M355+'[1]поточний ремонт'!M355</f>
        <v>0</v>
      </c>
      <c r="N355" s="37"/>
      <c r="O355" s="42">
        <f>'[2]поточний ремонт'!O355+'[1]поточний ремонт'!O355</f>
        <v>0</v>
      </c>
      <c r="P355" s="42">
        <f>'[2]поточний ремонт'!P355+'[1]поточний ремонт'!P355</f>
        <v>0</v>
      </c>
      <c r="Q355" s="985"/>
      <c r="R355" s="42">
        <f>'[2]поточний ремонт'!R355+'[1]поточний ремонт'!R355</f>
        <v>0</v>
      </c>
      <c r="S355" s="42">
        <f>'[2]поточний ремонт'!S355+'[1]поточний ремонт'!S355</f>
        <v>0</v>
      </c>
      <c r="T355" s="986"/>
      <c r="U355" s="42">
        <f>'[2]поточний ремонт'!U355+'[1]поточний ремонт'!U355</f>
        <v>0</v>
      </c>
      <c r="V355" s="42">
        <f>'[2]поточний ремонт'!V355+'[1]поточний ремонт'!V355</f>
        <v>0</v>
      </c>
      <c r="W355" s="42">
        <f>'[2]поточний ремонт'!W355+'[1]поточний ремонт'!W355</f>
        <v>0</v>
      </c>
      <c r="X355" s="42">
        <f>'[2]поточний ремонт'!X355+'[1]поточний ремонт'!X355</f>
        <v>0</v>
      </c>
      <c r="Y355" s="42">
        <f>'[2]поточний ремонт'!Y355+'[1]поточний ремонт'!Y355</f>
        <v>4570.7660532452237</v>
      </c>
      <c r="Z355" s="42">
        <f>'[2]поточний ремонт'!Z355+'[1]поточний ремонт'!Z355</f>
        <v>0</v>
      </c>
      <c r="AA355" s="42">
        <f>'[2]поточний ремонт'!AA355+'[1]поточний ремонт'!AA355</f>
        <v>0</v>
      </c>
      <c r="AB355" s="42">
        <f>'[2]поточний ремонт'!AB355+'[1]поточний ремонт'!AB355</f>
        <v>0</v>
      </c>
      <c r="AC355" s="42">
        <f>'[2]поточний ремонт'!AC355+'[1]поточний ремонт'!AC355</f>
        <v>0</v>
      </c>
      <c r="AD355" s="42">
        <f>'[2]поточний ремонт'!AD355+'[1]поточний ремонт'!AD355</f>
        <v>343.63277720001878</v>
      </c>
      <c r="AE355" s="42">
        <f>'[2]поточний ремонт'!AE355+'[1]поточний ремонт'!AE355</f>
        <v>917.941316141534</v>
      </c>
      <c r="AF355" s="42">
        <f>'[2]поточний ремонт'!AF355+'[1]поточний ремонт'!AF355</f>
        <v>0</v>
      </c>
      <c r="AG355" s="35"/>
      <c r="AH355" s="42">
        <f>'[2]поточний ремонт'!AH355+'[1]поточний ремонт'!AH355</f>
        <v>1264.3677482407907</v>
      </c>
      <c r="AI355" s="42">
        <f>'[2]поточний ремонт'!AI355+'[1]поточний ремонт'!AI355</f>
        <v>0</v>
      </c>
      <c r="AJ355" s="35"/>
      <c r="AK355" s="42">
        <f>'[2]поточний ремонт'!AK355+'[1]поточний ремонт'!AK355</f>
        <v>935.41557259589661</v>
      </c>
      <c r="AL355" s="42">
        <f>'[2]поточний ремонт'!AL355+'[1]поточний ремонт'!AL355</f>
        <v>0</v>
      </c>
      <c r="AM355" s="35"/>
      <c r="AN355" s="42">
        <f>'[2]поточний ремонт'!AN355+'[1]поточний ремонт'!AN355</f>
        <v>0</v>
      </c>
      <c r="AO355" s="42">
        <f>'[2]поточний ремонт'!AO355+'[1]поточний ремонт'!AO355</f>
        <v>0</v>
      </c>
      <c r="AP355" s="35"/>
      <c r="AQ355" s="42">
        <f>'[2]поточний ремонт'!AQ355+'[1]поточний ремонт'!AQ355</f>
        <v>66.163852782859806</v>
      </c>
      <c r="AR355" s="42">
        <f>'[2]поточний ремонт'!AR355+'[1]поточний ремонт'!AR355</f>
        <v>0</v>
      </c>
      <c r="AS355" s="35"/>
      <c r="AT355" s="42">
        <f>'[2]поточний ремонт'!AT355+'[1]поточний ремонт'!AT355</f>
        <v>474.77313430903837</v>
      </c>
      <c r="AU355" s="42">
        <f>'[2]поточний ремонт'!AU355+'[1]поточний ремонт'!AU355</f>
        <v>0</v>
      </c>
      <c r="AV355" s="977"/>
      <c r="AW355" s="42">
        <f>'[2]поточний ремонт'!AW355+'[1]поточний ремонт'!AW355</f>
        <v>42.068334845816658</v>
      </c>
      <c r="AX355" s="42">
        <f>'[2]поточний ремонт'!AX355+'[1]поточний ремонт'!AX355</f>
        <v>0</v>
      </c>
      <c r="AY355" s="35"/>
      <c r="AZ355" s="42">
        <f t="shared" si="51"/>
        <v>3700.7299589159361</v>
      </c>
      <c r="BA355" s="42">
        <f t="shared" si="52"/>
        <v>0</v>
      </c>
      <c r="BB355" s="58">
        <f t="shared" si="53"/>
        <v>-3700.7299589159361</v>
      </c>
      <c r="BD355" s="2">
        <v>2</v>
      </c>
      <c r="BF355" s="29">
        <v>2.182953580541509</v>
      </c>
      <c r="BG355" s="318">
        <v>150000885</v>
      </c>
      <c r="BI355" s="104">
        <v>0</v>
      </c>
      <c r="BJ355" s="104">
        <f t="shared" si="54"/>
        <v>0</v>
      </c>
      <c r="BK355" s="104">
        <v>0</v>
      </c>
      <c r="BL355" s="38"/>
      <c r="BM355" s="3"/>
      <c r="BN355" s="3">
        <v>0</v>
      </c>
      <c r="BP355" s="3"/>
      <c r="BQ355" s="3"/>
      <c r="BS355" s="42"/>
      <c r="BT355" s="42">
        <v>0</v>
      </c>
      <c r="BU355" s="984"/>
      <c r="BV355" s="41"/>
      <c r="BW355" s="42"/>
      <c r="BX355" s="37"/>
      <c r="BY355" s="76"/>
      <c r="BZ355" s="42">
        <v>0</v>
      </c>
      <c r="CA355" s="985"/>
      <c r="CB355" s="41"/>
      <c r="CC355" s="41">
        <v>0</v>
      </c>
      <c r="CD355" s="986"/>
      <c r="CE355" s="76">
        <v>0</v>
      </c>
      <c r="CF355" s="59"/>
      <c r="CG355" s="41">
        <v>0</v>
      </c>
      <c r="CH355" s="38">
        <v>0</v>
      </c>
      <c r="CI355" s="76">
        <v>0</v>
      </c>
      <c r="CJ355" s="59"/>
      <c r="CK355" s="955"/>
      <c r="CL355" s="950"/>
      <c r="CM355" s="955"/>
      <c r="CN355" s="950">
        <v>0</v>
      </c>
      <c r="CO355" s="76">
        <v>74.334475031666486</v>
      </c>
      <c r="CP355" s="42">
        <v>0</v>
      </c>
      <c r="CQ355" s="35"/>
      <c r="CR355" s="76">
        <v>99.99339749450769</v>
      </c>
      <c r="CS355" s="954">
        <v>0</v>
      </c>
      <c r="CT355" s="35"/>
      <c r="CU355" s="76">
        <v>75.576032995673771</v>
      </c>
      <c r="CV355" s="42">
        <v>0</v>
      </c>
      <c r="CW355" s="35"/>
      <c r="CX355" s="76">
        <v>0</v>
      </c>
      <c r="CY355" s="42">
        <v>0</v>
      </c>
      <c r="CZ355" s="35"/>
      <c r="DA355" s="76">
        <v>0</v>
      </c>
      <c r="DB355" s="42">
        <v>0</v>
      </c>
      <c r="DC355" s="35"/>
      <c r="DD355" s="76">
        <v>30.028084905287486</v>
      </c>
      <c r="DE355" s="42">
        <v>0</v>
      </c>
      <c r="DF355" s="977"/>
      <c r="DG355" s="76">
        <v>0</v>
      </c>
      <c r="DH355" s="42"/>
      <c r="DI355" s="35"/>
      <c r="DJ355" s="71">
        <v>279.93199042713542</v>
      </c>
      <c r="DK355" s="42">
        <f t="shared" si="55"/>
        <v>0</v>
      </c>
      <c r="DL355" s="58">
        <f t="shared" si="56"/>
        <v>-279.93199042713542</v>
      </c>
      <c r="DM355" s="2">
        <v>2</v>
      </c>
    </row>
    <row r="356" spans="1:117" s="31" customFormat="1" ht="24.9" customHeight="1" thickBot="1" x14ac:dyDescent="0.35">
      <c r="A356" s="987"/>
      <c r="B356" s="988" t="s">
        <v>824</v>
      </c>
      <c r="C356" s="988"/>
      <c r="D356" s="989"/>
      <c r="E356" s="127">
        <f t="shared" ref="E356:AF356" si="57">SUM(E11:E355)</f>
        <v>994162.50000000035</v>
      </c>
      <c r="F356" s="990">
        <f t="shared" si="57"/>
        <v>16352639.368544398</v>
      </c>
      <c r="G356" s="991">
        <f t="shared" si="57"/>
        <v>11204500.932172565</v>
      </c>
      <c r="H356" s="990">
        <f t="shared" si="57"/>
        <v>-5148138.4363718359</v>
      </c>
      <c r="I356" s="992">
        <f t="shared" si="57"/>
        <v>7348.5309999999999</v>
      </c>
      <c r="J356" s="1012">
        <f t="shared" si="57"/>
        <v>3004054.3409169842</v>
      </c>
      <c r="K356" s="990">
        <f t="shared" si="57"/>
        <v>0</v>
      </c>
      <c r="L356" s="992">
        <f t="shared" si="57"/>
        <v>45</v>
      </c>
      <c r="M356" s="1012">
        <f t="shared" si="57"/>
        <v>1267886.3850917784</v>
      </c>
      <c r="N356" s="990">
        <f t="shared" si="57"/>
        <v>0</v>
      </c>
      <c r="O356" s="992">
        <f t="shared" si="57"/>
        <v>1434.8</v>
      </c>
      <c r="P356" s="1012">
        <f t="shared" si="57"/>
        <v>551961.30222199752</v>
      </c>
      <c r="Q356" s="990">
        <f t="shared" si="57"/>
        <v>0</v>
      </c>
      <c r="R356" s="992">
        <f t="shared" si="57"/>
        <v>199.2</v>
      </c>
      <c r="S356" s="1012">
        <f t="shared" si="57"/>
        <v>2330067.7622477934</v>
      </c>
      <c r="T356" s="990">
        <f t="shared" si="57"/>
        <v>0</v>
      </c>
      <c r="U356" s="1012">
        <f t="shared" si="57"/>
        <v>260235.03711116224</v>
      </c>
      <c r="V356" s="990">
        <f t="shared" si="57"/>
        <v>0</v>
      </c>
      <c r="W356" s="1012">
        <f t="shared" si="57"/>
        <v>406.73</v>
      </c>
      <c r="X356" s="1012">
        <f t="shared" si="57"/>
        <v>209539.18122203773</v>
      </c>
      <c r="Y356" s="1012">
        <f t="shared" si="57"/>
        <v>1879597.849682536</v>
      </c>
      <c r="Z356" s="990">
        <f t="shared" si="57"/>
        <v>0</v>
      </c>
      <c r="AA356" s="1012">
        <f t="shared" si="57"/>
        <v>33181.174576648264</v>
      </c>
      <c r="AB356" s="1012">
        <f t="shared" si="57"/>
        <v>356411.20428184938</v>
      </c>
      <c r="AC356" s="1012">
        <f t="shared" si="57"/>
        <v>563132.26682406233</v>
      </c>
      <c r="AD356" s="1012">
        <f t="shared" si="57"/>
        <v>748434.42799571157</v>
      </c>
      <c r="AE356" s="1012">
        <f t="shared" si="57"/>
        <v>421966.92190779065</v>
      </c>
      <c r="AF356" s="1012">
        <f t="shared" si="57"/>
        <v>244892.87890789806</v>
      </c>
      <c r="AG356" s="994">
        <f>AF356-AE356</f>
        <v>-177074.04299989258</v>
      </c>
      <c r="AH356" s="1012">
        <f>SUM(AH11:AH355)</f>
        <v>574133.98984974972</v>
      </c>
      <c r="AI356" s="1012">
        <f>SUM(AI11:AI355)</f>
        <v>384304.46552992502</v>
      </c>
      <c r="AJ356" s="994">
        <f>AI356-AH356</f>
        <v>-189829.5243198247</v>
      </c>
      <c r="AK356" s="1012">
        <f>SUM(AK11:AK355)</f>
        <v>497539.55376403802</v>
      </c>
      <c r="AL356" s="1012">
        <f>SUM(AL11:AL355)</f>
        <v>247315.59304122449</v>
      </c>
      <c r="AM356" s="994">
        <f>AL356-AK356</f>
        <v>-250223.96072281353</v>
      </c>
      <c r="AN356" s="1012">
        <f>SUM(AN11:AN355)</f>
        <v>96781.42567179256</v>
      </c>
      <c r="AO356" s="1012">
        <f>SUM(AO11:AO355)</f>
        <v>103201.87268114887</v>
      </c>
      <c r="AP356" s="994">
        <f>AO356-AN356</f>
        <v>6420.4470093563141</v>
      </c>
      <c r="AQ356" s="1012">
        <f>SUM(AQ11:AQ355)</f>
        <v>95370.580491616551</v>
      </c>
      <c r="AR356" s="1012">
        <f>SUM(AR11:AR355)</f>
        <v>102762.3376754139</v>
      </c>
      <c r="AS356" s="994">
        <f>AR356-AQ356</f>
        <v>7391.7571837973519</v>
      </c>
      <c r="AT356" s="1012">
        <f>SUM(AT11:AT355)</f>
        <v>351678.52569531562</v>
      </c>
      <c r="AU356" s="1012">
        <f>SUM(AU11:AU355)</f>
        <v>588315.96175667353</v>
      </c>
      <c r="AV356" s="994">
        <f>AU356-AT356</f>
        <v>236637.4360613579</v>
      </c>
      <c r="AW356" s="1012">
        <f>SUM(AW11:AW355)</f>
        <v>57441.739862650014</v>
      </c>
      <c r="AX356" s="1012">
        <f>SUM(AX11:AX355)</f>
        <v>586262.44559897098</v>
      </c>
      <c r="AY356" s="994">
        <f>AX356-AW356</f>
        <v>528820.70573632093</v>
      </c>
      <c r="AZ356" s="1012">
        <f>SUM(AZ11:AZ355)</f>
        <v>2094912.7372429539</v>
      </c>
      <c r="BA356" s="1012">
        <f>SUM(BA11:BA355)</f>
        <v>2257055.5551912547</v>
      </c>
      <c r="BB356" s="157">
        <f t="shared" ref="BB356" si="58">BA356-AZ356</f>
        <v>162142.81794830086</v>
      </c>
      <c r="BD356" s="995"/>
      <c r="BF356" s="996">
        <f>SUM(BF11:BF355)</f>
        <v>42867.073189399998</v>
      </c>
      <c r="BG356" s="129"/>
      <c r="BH356" s="126"/>
      <c r="BI356" s="996">
        <f>SUM(BI11:BI355)</f>
        <v>4578.8</v>
      </c>
      <c r="BJ356" s="996">
        <f>SUM(BJ11:BJ355)</f>
        <v>644.06408135999993</v>
      </c>
      <c r="BK356" s="996">
        <f>SUM(BK11:BK355)</f>
        <v>5280.6650027247979</v>
      </c>
      <c r="BM356" s="996">
        <f>SUM(BM11:BM355)</f>
        <v>48</v>
      </c>
      <c r="BN356" s="996">
        <f>SUM(BN11:BN355)</f>
        <v>9541.423689709145</v>
      </c>
      <c r="BP356" s="996">
        <f>SUM(BP11:BP355)</f>
        <v>16</v>
      </c>
      <c r="BQ356" s="996">
        <f>SUM(BQ11:BQ355)</f>
        <v>15575</v>
      </c>
      <c r="BS356" s="990">
        <f t="shared" ref="BS356:CN356" si="59">SUM(BS11:BS355)</f>
        <v>112.3</v>
      </c>
      <c r="BT356" s="990">
        <f t="shared" si="59"/>
        <v>53276.334505692983</v>
      </c>
      <c r="BU356" s="990">
        <f t="shared" si="59"/>
        <v>0</v>
      </c>
      <c r="BV356" s="990">
        <f t="shared" si="59"/>
        <v>2</v>
      </c>
      <c r="BW356" s="990">
        <f t="shared" si="59"/>
        <v>111759</v>
      </c>
      <c r="BX356" s="990">
        <f t="shared" si="59"/>
        <v>0</v>
      </c>
      <c r="BY356" s="990">
        <f t="shared" si="59"/>
        <v>192.5</v>
      </c>
      <c r="BZ356" s="990">
        <f t="shared" si="59"/>
        <v>57237.875138324322</v>
      </c>
      <c r="CA356" s="990">
        <f t="shared" si="59"/>
        <v>0</v>
      </c>
      <c r="CB356" s="990">
        <f t="shared" si="59"/>
        <v>27.6</v>
      </c>
      <c r="CC356" s="990">
        <f t="shared" si="59"/>
        <v>663330.13433102774</v>
      </c>
      <c r="CD356" s="990">
        <f t="shared" si="59"/>
        <v>0</v>
      </c>
      <c r="CE356" s="990">
        <f t="shared" si="59"/>
        <v>34154.806170276453</v>
      </c>
      <c r="CF356" s="990">
        <f t="shared" si="59"/>
        <v>0</v>
      </c>
      <c r="CG356" s="990">
        <f t="shared" si="59"/>
        <v>64</v>
      </c>
      <c r="CH356" s="990">
        <f t="shared" si="59"/>
        <v>30397.088692433943</v>
      </c>
      <c r="CI356" s="990">
        <f t="shared" si="59"/>
        <v>52433.381730017398</v>
      </c>
      <c r="CJ356" s="990">
        <f t="shared" si="59"/>
        <v>0</v>
      </c>
      <c r="CK356" s="990">
        <f t="shared" si="59"/>
        <v>3806</v>
      </c>
      <c r="CL356" s="990">
        <f t="shared" si="59"/>
        <v>7555</v>
      </c>
      <c r="CM356" s="990">
        <f t="shared" si="59"/>
        <v>227163</v>
      </c>
      <c r="CN356" s="990">
        <f t="shared" si="59"/>
        <v>175128.79333207023</v>
      </c>
      <c r="CO356" s="992">
        <v>32039.261830197269</v>
      </c>
      <c r="CP356" s="993">
        <v>21907.807658961909</v>
      </c>
      <c r="CQ356" s="994">
        <f>CP356-CO356</f>
        <v>-10131.45417123536</v>
      </c>
      <c r="CR356" s="994">
        <v>46416.732983447553</v>
      </c>
      <c r="CS356" s="993">
        <v>25770.353658671174</v>
      </c>
      <c r="CT356" s="994">
        <f>CS356-CR356</f>
        <v>-20646.379324776379</v>
      </c>
      <c r="CU356" s="994">
        <v>40461.088950519916</v>
      </c>
      <c r="CV356" s="993">
        <v>8226.6232573224061</v>
      </c>
      <c r="CW356" s="994">
        <f>CV356-CU356</f>
        <v>-32234.465693197511</v>
      </c>
      <c r="CX356" s="994">
        <v>8400.399645326479</v>
      </c>
      <c r="CY356" s="993">
        <v>4326.6329976648394</v>
      </c>
      <c r="CZ356" s="994">
        <f>CY356-CX356</f>
        <v>-4073.7666476616396</v>
      </c>
      <c r="DA356" s="994">
        <v>7303.1021113181832</v>
      </c>
      <c r="DB356" s="993">
        <v>7478.5377622899214</v>
      </c>
      <c r="DC356" s="994">
        <f>DB356-DA356</f>
        <v>175.43565097173814</v>
      </c>
      <c r="DD356" s="994">
        <v>21474.005869733872</v>
      </c>
      <c r="DE356" s="993">
        <v>41233.011943984624</v>
      </c>
      <c r="DF356" s="994">
        <f>DE356-DD356</f>
        <v>19759.006074250752</v>
      </c>
      <c r="DG356" s="994">
        <v>3867.754407095219</v>
      </c>
      <c r="DH356" s="993">
        <v>0</v>
      </c>
      <c r="DI356" s="994">
        <f>DH356-DG356</f>
        <v>-3867.754407095219</v>
      </c>
      <c r="DJ356" s="994">
        <v>159962.3457976385</v>
      </c>
      <c r="DK356" s="993">
        <f>SUM(DK11:DK355)</f>
        <v>108942.96727889491</v>
      </c>
      <c r="DL356" s="157">
        <f t="shared" ref="DL356" si="60">DK356-DJ356</f>
        <v>-51019.378518743586</v>
      </c>
    </row>
    <row r="357" spans="1:117" x14ac:dyDescent="0.3">
      <c r="BF357" s="997"/>
      <c r="BH357" s="101"/>
      <c r="BI357" s="997"/>
    </row>
    <row r="358" spans="1:117" x14ac:dyDescent="0.3">
      <c r="F358" s="8">
        <f>'побудинковий звіт'!AS354</f>
        <v>16352639.368544394</v>
      </c>
      <c r="G358" s="8">
        <f>'побудинковий звіт'!AT354</f>
        <v>11204500.932172565</v>
      </c>
      <c r="AZ358" s="8">
        <f>'зведена таблиця'!C23</f>
        <v>2094912.7372429532</v>
      </c>
      <c r="BA358" s="8">
        <f>'зведена таблиця'!D23</f>
        <v>2257055.5551912547</v>
      </c>
      <c r="BF358" s="997"/>
      <c r="BH358" s="101"/>
      <c r="BI358" s="997"/>
      <c r="DJ358" s="8">
        <f>'зведена таблиця'!BM23</f>
        <v>0</v>
      </c>
      <c r="DK358" s="8">
        <f>'зведена таблиця'!BN23</f>
        <v>0</v>
      </c>
    </row>
    <row r="359" spans="1:117" x14ac:dyDescent="0.3">
      <c r="BF359" s="997"/>
      <c r="BH359" s="101"/>
      <c r="BI359" s="997"/>
    </row>
    <row r="360" spans="1:117" x14ac:dyDescent="0.3">
      <c r="BF360" s="997"/>
      <c r="BI360" s="997"/>
    </row>
    <row r="361" spans="1:117" ht="15.6" x14ac:dyDescent="0.3">
      <c r="A361" s="3"/>
      <c r="B361" s="998" t="s">
        <v>1014</v>
      </c>
      <c r="C361" s="877"/>
      <c r="D361" s="999"/>
      <c r="E361" s="3"/>
      <c r="F361" s="5">
        <f>SUMIF($BD$11:$BD$355,1,F$11:F$355)</f>
        <v>3634367.3556472003</v>
      </c>
      <c r="G361" s="5">
        <f>SUMIF($BD$11:$BD$355,1,G$11:G$355)</f>
        <v>4328796.2026218539</v>
      </c>
      <c r="H361" s="5">
        <f>SUMIF($BD$11:$BD$355,1,H11:H355)</f>
        <v>694428.84697465342</v>
      </c>
      <c r="I361" s="5">
        <f>SUMIF($BD$11:$BD$355,1,I$11:I$355)</f>
        <v>2019.4539999999997</v>
      </c>
      <c r="J361" s="5">
        <f>SUMIF($BD$11:$BD$355,1,J$11:J$355)</f>
        <v>783096.28684568533</v>
      </c>
      <c r="K361" s="5">
        <v>0</v>
      </c>
      <c r="L361" s="5">
        <f>SUMIF($BD$11:$BD$355,1,L$11:L$355)</f>
        <v>13</v>
      </c>
      <c r="M361" s="5">
        <f>SUMIF($BD$11:$BD$355,1,M$11:M$355)</f>
        <v>297551.60319519218</v>
      </c>
      <c r="N361" s="5">
        <v>0</v>
      </c>
      <c r="O361" s="5">
        <f>SUMIF($BD$11:$BD$355,1,O$11:O$355)</f>
        <v>874.8</v>
      </c>
      <c r="P361" s="5">
        <f>SUMIF($BD$11:$BD$355,1,P$11:P$355)</f>
        <v>334756.01684900909</v>
      </c>
      <c r="Q361" s="5">
        <v>0</v>
      </c>
      <c r="R361" s="5">
        <f>SUMIF($BD$11:$BD$355,1,R$11:R$355)</f>
        <v>115.2</v>
      </c>
      <c r="S361" s="5">
        <f>SUMIF($BD$11:$BD$355,1,S$11:S$355)</f>
        <v>1244265.2660026636</v>
      </c>
      <c r="T361" s="5">
        <v>0</v>
      </c>
      <c r="U361" s="5">
        <f t="shared" ref="U361:AF361" si="61">SUMIF($BD$11:$BD$355,1,U$11:U$355)</f>
        <v>160019.10716808369</v>
      </c>
      <c r="V361" s="5">
        <f t="shared" si="61"/>
        <v>0</v>
      </c>
      <c r="W361" s="5">
        <f t="shared" si="61"/>
        <v>179</v>
      </c>
      <c r="X361" s="5">
        <f t="shared" si="61"/>
        <v>69536.669688608672</v>
      </c>
      <c r="Y361" s="5">
        <f t="shared" si="61"/>
        <v>690301.28942827496</v>
      </c>
      <c r="Z361" s="5">
        <f t="shared" si="61"/>
        <v>0</v>
      </c>
      <c r="AA361" s="5">
        <f t="shared" si="61"/>
        <v>3811.1745766482672</v>
      </c>
      <c r="AB361" s="5">
        <f t="shared" si="61"/>
        <v>115608.80344669957</v>
      </c>
      <c r="AC361" s="5">
        <f t="shared" si="61"/>
        <v>334082.26400031883</v>
      </c>
      <c r="AD361" s="5">
        <f t="shared" si="61"/>
        <v>295767.72142066876</v>
      </c>
      <c r="AE361" s="5">
        <f t="shared" si="61"/>
        <v>103165.95831578629</v>
      </c>
      <c r="AF361" s="5">
        <f t="shared" si="61"/>
        <v>80393.228406372597</v>
      </c>
      <c r="AG361" s="5">
        <v>0</v>
      </c>
      <c r="AH361" s="5">
        <f>SUMIF($BD$11:$BD$355,1,AH$11:AH$355)</f>
        <v>127425.25389551836</v>
      </c>
      <c r="AI361" s="5">
        <f>SUMIF($BD$11:$BD$355,1,AI$11:AI$355)</f>
        <v>186812.62037296352</v>
      </c>
      <c r="AJ361" s="5">
        <v>0</v>
      </c>
      <c r="AK361" s="5">
        <f>SUMIF($BD$11:$BD$355,1,AK$11:AK$355)</f>
        <v>116291.54601515444</v>
      </c>
      <c r="AL361" s="5">
        <f>SUMIF($BD$11:$BD$355,1,AL$11:AL$355)</f>
        <v>70570.797661763601</v>
      </c>
      <c r="AM361" s="5">
        <v>0</v>
      </c>
      <c r="AN361" s="5">
        <f>SUMIF($BD$11:$BD$355,1,AN$11:AN$355)</f>
        <v>42787.879135866795</v>
      </c>
      <c r="AO361" s="5">
        <f>SUMIF($BD$11:$BD$355,1,AO$11:AO$355)</f>
        <v>59676.550498720222</v>
      </c>
      <c r="AP361" s="5">
        <v>0</v>
      </c>
      <c r="AQ361" s="5">
        <f>SUMIF($BD$11:$BD$355,1,AQ$11:AQ$355)</f>
        <v>37951.819521019395</v>
      </c>
      <c r="AR361" s="5">
        <f>SUMIF($BD$11:$BD$355,1,AR$11:AR$355)</f>
        <v>27335.29947475508</v>
      </c>
      <c r="AS361" s="5">
        <v>0</v>
      </c>
      <c r="AT361" s="5">
        <f>SUMIF($BD$11:$BD$355,1,AT$11:AT$355)</f>
        <v>101626.00162334648</v>
      </c>
      <c r="AU361" s="5">
        <f>SUMIF($BD$11:$BD$355,1,AU$11:AU$355)</f>
        <v>321585.86096226203</v>
      </c>
      <c r="AV361" s="5">
        <v>0</v>
      </c>
      <c r="AW361" s="5">
        <f>SUMIF($BD$11:$BD$355,1,AW$11:AW$355)</f>
        <v>41927.615569046407</v>
      </c>
      <c r="AX361" s="5">
        <f>SUMIF($BD$11:$BD$355,1,AX$11:AX$355)</f>
        <v>233088.48234994279</v>
      </c>
      <c r="AY361" s="5">
        <v>0</v>
      </c>
      <c r="AZ361" s="5">
        <f>SUMIF($BD$11:$BD$355,1,AZ$11:AZ$355)</f>
        <v>571176.07407573774</v>
      </c>
      <c r="BA361" s="5">
        <f>SUMIF($BD$11:$BD$355,1,BA$11:BA$355)</f>
        <v>979462.83972677996</v>
      </c>
      <c r="BB361" s="5">
        <v>41570.160232253933</v>
      </c>
      <c r="BF361" s="5">
        <v>3328.4251000000004</v>
      </c>
      <c r="BI361" s="997"/>
      <c r="BS361" s="5">
        <v>10</v>
      </c>
      <c r="BT361" s="5">
        <v>9768.4299407834915</v>
      </c>
      <c r="BU361" s="5">
        <v>0</v>
      </c>
      <c r="BV361" s="5">
        <v>0</v>
      </c>
      <c r="BW361" s="5">
        <v>2131.6402572925035</v>
      </c>
      <c r="BX361" s="5">
        <v>0</v>
      </c>
      <c r="BY361" s="5">
        <v>0</v>
      </c>
      <c r="BZ361" s="5">
        <v>0</v>
      </c>
      <c r="CA361" s="5">
        <v>0</v>
      </c>
      <c r="CB361" s="5">
        <v>16.600000000000001</v>
      </c>
      <c r="CC361" s="5">
        <v>57492.771810513754</v>
      </c>
      <c r="CD361" s="5">
        <v>0</v>
      </c>
      <c r="CE361" s="5">
        <v>107926.79269550109</v>
      </c>
      <c r="CF361" s="5">
        <v>0</v>
      </c>
      <c r="CG361" s="5">
        <v>8</v>
      </c>
      <c r="CH361" s="5">
        <v>2055.846927351316</v>
      </c>
      <c r="CI361" s="5">
        <v>1494.802000760156</v>
      </c>
      <c r="CJ361" s="5">
        <v>0</v>
      </c>
      <c r="CK361" s="5">
        <v>0</v>
      </c>
      <c r="CL361" s="5">
        <v>882.31909678058253</v>
      </c>
      <c r="CM361" s="5">
        <v>23480.70004652701</v>
      </c>
      <c r="CN361" s="5">
        <v>23273.651541788884</v>
      </c>
      <c r="CO361" s="5">
        <v>7041.9927283082143</v>
      </c>
      <c r="CP361" s="5">
        <v>20782.289342548262</v>
      </c>
      <c r="CQ361" s="5">
        <v>0</v>
      </c>
      <c r="CR361" s="5">
        <v>9715.7983126175877</v>
      </c>
      <c r="CS361" s="5">
        <v>21255.100568403337</v>
      </c>
      <c r="CT361" s="5">
        <v>0</v>
      </c>
      <c r="CU361" s="5">
        <v>8761.3039636744652</v>
      </c>
      <c r="CV361" s="5">
        <v>0</v>
      </c>
      <c r="CW361" s="5">
        <v>0</v>
      </c>
      <c r="CX361" s="5">
        <v>3664.2166162954254</v>
      </c>
      <c r="CY361" s="5">
        <v>6436.4995056287444</v>
      </c>
      <c r="CZ361" s="5">
        <v>0</v>
      </c>
      <c r="DA361" s="5">
        <v>3067.856488390787</v>
      </c>
      <c r="DB361" s="5">
        <v>6297.1841035526222</v>
      </c>
      <c r="DC361" s="5">
        <v>0</v>
      </c>
      <c r="DD361" s="5">
        <v>5501.415775008647</v>
      </c>
      <c r="DE361" s="5">
        <v>28246.802146677728</v>
      </c>
      <c r="DF361" s="5">
        <v>0</v>
      </c>
      <c r="DG361" s="5">
        <v>3695.1315502616694</v>
      </c>
      <c r="DH361" s="5">
        <v>0</v>
      </c>
      <c r="DI361" s="5">
        <v>0</v>
      </c>
      <c r="DJ361" s="5">
        <v>41447.715434556791</v>
      </c>
      <c r="DK361" s="5">
        <v>83017.875666810694</v>
      </c>
      <c r="DL361" s="5">
        <v>41570.160232253933</v>
      </c>
    </row>
    <row r="362" spans="1:117" ht="15.6" x14ac:dyDescent="0.3">
      <c r="A362" s="3"/>
      <c r="B362" s="998" t="s">
        <v>1015</v>
      </c>
      <c r="C362" s="877"/>
      <c r="D362" s="999"/>
      <c r="E362" s="3"/>
      <c r="F362" s="5">
        <f>SUMIF($BD$11:$BD$355,2,F$11:F$355)</f>
        <v>5384108.7138223629</v>
      </c>
      <c r="G362" s="5">
        <f>SUMIF($BD$11:$BD$355,2,G$11:G$355)</f>
        <v>3286083.0741833299</v>
      </c>
      <c r="H362" s="5">
        <f>SUMIF($BD$11:$BD$355,2,H11:H355)</f>
        <v>-2098025.6396390358</v>
      </c>
      <c r="I362" s="5">
        <f>SUMIF($BD$11:$BD$355,2,I$11:I$355)</f>
        <v>1680.287</v>
      </c>
      <c r="J362" s="5">
        <f>SUMIF($BD$11:$BD$355,2,J$11:J$355)</f>
        <v>692502.88498072559</v>
      </c>
      <c r="K362" s="5">
        <v>0</v>
      </c>
      <c r="L362" s="5">
        <f>SUMIF($BD$11:$BD$355,2,L$11:L$355)</f>
        <v>16</v>
      </c>
      <c r="M362" s="5">
        <f>SUMIF($BD$11:$BD$355,2,M$11:M$355)</f>
        <v>828971.82047138351</v>
      </c>
      <c r="N362" s="5">
        <v>0</v>
      </c>
      <c r="O362" s="5">
        <f>SUMIF($BD$11:$BD$355,2,O$11:O$355)</f>
        <v>268.5</v>
      </c>
      <c r="P362" s="5">
        <f>SUMIF($BD$11:$BD$355,2,P$11:P$355)</f>
        <v>111198.56122446581</v>
      </c>
      <c r="Q362" s="5">
        <v>0</v>
      </c>
      <c r="R362" s="5">
        <f>SUMIF($BD$11:$BD$355,2,R$11:R$355)</f>
        <v>34</v>
      </c>
      <c r="S362" s="5">
        <f>SUMIF($BD$11:$BD$355,2,S$11:S$355)</f>
        <v>620014.25904679846</v>
      </c>
      <c r="T362" s="5">
        <v>0</v>
      </c>
      <c r="U362" s="5">
        <f t="shared" ref="U362:AF362" si="62">SUMIF($BD$11:$BD$355,2,U$11:U$355)</f>
        <v>18142.929943078554</v>
      </c>
      <c r="V362" s="5">
        <f t="shared" si="62"/>
        <v>0</v>
      </c>
      <c r="W362" s="5">
        <f t="shared" si="62"/>
        <v>120.72999999999999</v>
      </c>
      <c r="X362" s="5">
        <f t="shared" si="62"/>
        <v>94413.970798373921</v>
      </c>
      <c r="Y362" s="5">
        <f t="shared" si="62"/>
        <v>465343.09422908892</v>
      </c>
      <c r="Z362" s="5">
        <f t="shared" si="62"/>
        <v>0</v>
      </c>
      <c r="AA362" s="5">
        <f t="shared" si="62"/>
        <v>24868</v>
      </c>
      <c r="AB362" s="5">
        <f t="shared" si="62"/>
        <v>89554.449958730838</v>
      </c>
      <c r="AC362" s="5">
        <f t="shared" si="62"/>
        <v>131883.96025875193</v>
      </c>
      <c r="AD362" s="5">
        <f t="shared" si="62"/>
        <v>209189.14327193052</v>
      </c>
      <c r="AE362" s="5">
        <f t="shared" si="62"/>
        <v>178430.93674482909</v>
      </c>
      <c r="AF362" s="5">
        <f t="shared" si="62"/>
        <v>103811.55315050317</v>
      </c>
      <c r="AG362" s="5">
        <v>0</v>
      </c>
      <c r="AH362" s="5">
        <f>SUMIF($BD$11:$BD$355,2,AH$11:AH$355)</f>
        <v>254645.1538262254</v>
      </c>
      <c r="AI362" s="5">
        <f>SUMIF($BD$11:$BD$355,2,AI$11:AI$355)</f>
        <v>55393.274341891098</v>
      </c>
      <c r="AJ362" s="5">
        <v>0</v>
      </c>
      <c r="AK362" s="5">
        <f>SUMIF($BD$11:$BD$355,2,AK$11:AK$355)</f>
        <v>207739.08345455851</v>
      </c>
      <c r="AL362" s="5">
        <f>SUMIF($BD$11:$BD$355,2,AL$11:AL$355)</f>
        <v>47202.477530361517</v>
      </c>
      <c r="AM362" s="5">
        <v>0</v>
      </c>
      <c r="AN362" s="5">
        <f>SUMIF($BD$11:$BD$355,2,AN$11:AN$355)</f>
        <v>20586.966743716097</v>
      </c>
      <c r="AO362" s="5">
        <f>SUMIF($BD$11:$BD$355,2,AO$11:AO$355)</f>
        <v>17918.169130650713</v>
      </c>
      <c r="AP362" s="5">
        <v>0</v>
      </c>
      <c r="AQ362" s="5">
        <f>SUMIF($BD$11:$BD$355,2,AQ$11:AQ$355)</f>
        <v>19702.268856048082</v>
      </c>
      <c r="AR362" s="5">
        <f>SUMIF($BD$11:$BD$355,2,AR$11:AR$355)</f>
        <v>33163.534456270543</v>
      </c>
      <c r="AS362" s="5">
        <v>0</v>
      </c>
      <c r="AT362" s="5">
        <f>SUMIF($BD$11:$BD$355,2,AT$11:AT$355)</f>
        <v>128541.75943958237</v>
      </c>
      <c r="AU362" s="5">
        <f>SUMIF($BD$11:$BD$355,2,AU$11:AU$355)</f>
        <v>106414.03722973254</v>
      </c>
      <c r="AV362" s="5">
        <v>0</v>
      </c>
      <c r="AW362" s="5">
        <f>SUMIF($BD$11:$BD$355,2,AW$11:AW$355)</f>
        <v>8194.6000481726223</v>
      </c>
      <c r="AX362" s="5">
        <f>SUMIF($BD$11:$BD$355,2,AX$11:AX$355)</f>
        <v>160864.31903746378</v>
      </c>
      <c r="AY362" s="5">
        <v>0</v>
      </c>
      <c r="AZ362" s="5">
        <f>SUMIF($BD$11:$BD$355,2,AZ$11:AZ$355)</f>
        <v>817840.76911313238</v>
      </c>
      <c r="BA362" s="5">
        <f>SUMIF($BD$11:$BD$355,2,BA$11:BA$355)</f>
        <v>524767.36487687333</v>
      </c>
      <c r="BB362" s="5">
        <v>-31663.613502275031</v>
      </c>
      <c r="BF362" s="5">
        <v>3563.0544000000004</v>
      </c>
      <c r="BI362" s="997"/>
      <c r="BS362" s="5">
        <v>58</v>
      </c>
      <c r="BT362" s="5">
        <v>15019.69373116245</v>
      </c>
      <c r="BU362" s="5">
        <v>0</v>
      </c>
      <c r="BV362" s="5">
        <v>2</v>
      </c>
      <c r="BW362" s="5">
        <v>182437.13113508449</v>
      </c>
      <c r="BX362" s="5">
        <v>0</v>
      </c>
      <c r="BY362" s="5">
        <v>0</v>
      </c>
      <c r="BZ362" s="5">
        <v>0</v>
      </c>
      <c r="CA362" s="5">
        <v>0</v>
      </c>
      <c r="CB362" s="5">
        <v>4</v>
      </c>
      <c r="CC362" s="5">
        <v>22173.257239623363</v>
      </c>
      <c r="CD362" s="5">
        <v>0</v>
      </c>
      <c r="CE362" s="5">
        <v>10513.001917892645</v>
      </c>
      <c r="CF362" s="5">
        <v>0</v>
      </c>
      <c r="CG362" s="5">
        <v>0</v>
      </c>
      <c r="CH362" s="5">
        <v>2529.4325392190394</v>
      </c>
      <c r="CI362" s="5">
        <v>12571.905130909574</v>
      </c>
      <c r="CJ362" s="5">
        <v>0</v>
      </c>
      <c r="CK362" s="5">
        <v>0</v>
      </c>
      <c r="CL362" s="5">
        <v>0</v>
      </c>
      <c r="CM362" s="5">
        <v>30895.161924474629</v>
      </c>
      <c r="CN362" s="5">
        <v>4937.1161217106937</v>
      </c>
      <c r="CO362" s="5">
        <v>14520.232224370169</v>
      </c>
      <c r="CP362" s="5">
        <v>9320.4804278056199</v>
      </c>
      <c r="CQ362" s="5">
        <v>0</v>
      </c>
      <c r="CR362" s="5">
        <v>21373.822766595593</v>
      </c>
      <c r="CS362" s="5">
        <v>2346.0783749639054</v>
      </c>
      <c r="CT362" s="5">
        <v>0</v>
      </c>
      <c r="CU362" s="5">
        <v>17800.174423681892</v>
      </c>
      <c r="CV362" s="5">
        <v>10514.471725121035</v>
      </c>
      <c r="CW362" s="5">
        <v>0</v>
      </c>
      <c r="CX362" s="5">
        <v>1830.5727138980405</v>
      </c>
      <c r="CY362" s="5">
        <v>0</v>
      </c>
      <c r="CZ362" s="5">
        <v>0</v>
      </c>
      <c r="DA362" s="5">
        <v>785.826986666165</v>
      </c>
      <c r="DB362" s="5">
        <v>4371.7920238567485</v>
      </c>
      <c r="DC362" s="5">
        <v>0</v>
      </c>
      <c r="DD362" s="5">
        <v>8305.1009131944611</v>
      </c>
      <c r="DE362" s="5">
        <v>6562.8569246103325</v>
      </c>
      <c r="DF362" s="5">
        <v>0</v>
      </c>
      <c r="DG362" s="5">
        <v>163.56295022633421</v>
      </c>
      <c r="DH362" s="5">
        <v>0</v>
      </c>
      <c r="DI362" s="5">
        <v>0</v>
      </c>
      <c r="DJ362" s="5">
        <v>64779.292978632671</v>
      </c>
      <c r="DK362" s="5">
        <v>33115.679476357647</v>
      </c>
      <c r="DL362" s="5">
        <v>-31663.613502275031</v>
      </c>
    </row>
    <row r="363" spans="1:117" ht="15.6" x14ac:dyDescent="0.3">
      <c r="A363" s="3"/>
      <c r="B363" s="998" t="s">
        <v>1016</v>
      </c>
      <c r="C363" s="877"/>
      <c r="D363" s="999"/>
      <c r="E363" s="3"/>
      <c r="F363" s="5">
        <f>SUMIF($BD$11:$BD$355,3,F$11:F$355)</f>
        <v>7334026.5652748318</v>
      </c>
      <c r="G363" s="5">
        <f>SUMIF($BD$11:$BD$355,3,G$11:G$355)</f>
        <v>3589621.6553673809</v>
      </c>
      <c r="H363" s="5">
        <f>SUMIF($BD$11:$BD$355,3,H11:H355)</f>
        <v>-3744404.9099074523</v>
      </c>
      <c r="I363" s="5">
        <f>SUMIF($BD$11:$BD$355,3,I$11:I$355)</f>
        <v>3648.79</v>
      </c>
      <c r="J363" s="5">
        <f>SUMIF($BD$11:$BD$355,3,J$11:J$355)</f>
        <v>1528455.1690905739</v>
      </c>
      <c r="K363" s="5">
        <v>0</v>
      </c>
      <c r="L363" s="5">
        <f>SUMIF($BD$11:$BD$355,3,L$11:L$355)</f>
        <v>16</v>
      </c>
      <c r="M363" s="5">
        <f>SUMIF($BD$11:$BD$355,3,M$11:M$355)</f>
        <v>141362.96142520269</v>
      </c>
      <c r="N363" s="5">
        <v>0</v>
      </c>
      <c r="O363" s="5">
        <f>SUMIF($BD$11:$BD$355,3,O$11:O$355)</f>
        <v>291.5</v>
      </c>
      <c r="P363" s="5">
        <f>SUMIF($BD$11:$BD$355,3,P$11:P$355)</f>
        <v>106006.72414852261</v>
      </c>
      <c r="Q363" s="5">
        <v>0</v>
      </c>
      <c r="R363" s="5">
        <f>SUMIF($BD$11:$BD$355,3,R$11:R$355)</f>
        <v>50</v>
      </c>
      <c r="S363" s="5">
        <f>SUMIF($BD$11:$BD$355,3,S$11:S$355)</f>
        <v>465788.2371983325</v>
      </c>
      <c r="T363" s="5">
        <v>0</v>
      </c>
      <c r="U363" s="5">
        <f t="shared" ref="U363:AF363" si="63">SUMIF($BD$11:$BD$355,3,U$11:U$355)</f>
        <v>82073</v>
      </c>
      <c r="V363" s="5">
        <f t="shared" si="63"/>
        <v>0</v>
      </c>
      <c r="W363" s="5">
        <f t="shared" si="63"/>
        <v>107</v>
      </c>
      <c r="X363" s="5">
        <f t="shared" si="63"/>
        <v>45588.540735055089</v>
      </c>
      <c r="Y363" s="5">
        <f t="shared" si="63"/>
        <v>723953.4660251718</v>
      </c>
      <c r="Z363" s="5">
        <f t="shared" si="63"/>
        <v>0</v>
      </c>
      <c r="AA363" s="5">
        <f t="shared" si="63"/>
        <v>4502</v>
      </c>
      <c r="AB363" s="5">
        <f t="shared" si="63"/>
        <v>151247.950876419</v>
      </c>
      <c r="AC363" s="5">
        <f t="shared" si="63"/>
        <v>97166.042564991483</v>
      </c>
      <c r="AD363" s="5">
        <f t="shared" si="63"/>
        <v>243477.56330311223</v>
      </c>
      <c r="AE363" s="5">
        <f t="shared" si="63"/>
        <v>140088.10714114254</v>
      </c>
      <c r="AF363" s="5">
        <f t="shared" si="63"/>
        <v>60688.097351022436</v>
      </c>
      <c r="AG363" s="5">
        <v>0</v>
      </c>
      <c r="AH363" s="5">
        <f>SUMIF($BD$11:$BD$355,3,AH$11:AH$355)</f>
        <v>191761.48974632859</v>
      </c>
      <c r="AI363" s="5">
        <f>SUMIF($BD$11:$BD$355,3,AI$11:AI$355)</f>
        <v>142098.57081507021</v>
      </c>
      <c r="AJ363" s="5">
        <v>0</v>
      </c>
      <c r="AK363" s="5">
        <f>SUMIF($BD$11:$BD$355,3,AK$11:AK$355)</f>
        <v>173117.20512633148</v>
      </c>
      <c r="AL363" s="5">
        <f>SUMIF($BD$11:$BD$355,3,AL$11:AL$355)</f>
        <v>129542.31784909936</v>
      </c>
      <c r="AM363" s="5">
        <v>0</v>
      </c>
      <c r="AN363" s="5">
        <f>SUMIF($BD$11:$BD$355,3,AN$11:AN$355)</f>
        <v>33406.579792209719</v>
      </c>
      <c r="AO363" s="5">
        <f>SUMIF($BD$11:$BD$355,3,AO$11:AO$355)</f>
        <v>25607.153051777936</v>
      </c>
      <c r="AP363" s="5">
        <v>0</v>
      </c>
      <c r="AQ363" s="5">
        <f>SUMIF($BD$11:$BD$355,3,AQ$11:AQ$355)</f>
        <v>37716.492114549001</v>
      </c>
      <c r="AR363" s="5">
        <f>SUMIF($BD$11:$BD$355,3,AR$11:AR$355)</f>
        <v>42263.503744388261</v>
      </c>
      <c r="AS363" s="5">
        <v>0</v>
      </c>
      <c r="AT363" s="5">
        <f>SUMIF($BD$11:$BD$355,3,AT$11:AT$355)</f>
        <v>121362.35791718314</v>
      </c>
      <c r="AU363" s="5">
        <f>SUMIF($BD$11:$BD$355,3,AU$11:AU$355)</f>
        <v>160316.06356467886</v>
      </c>
      <c r="AV363" s="5">
        <v>0</v>
      </c>
      <c r="AW363" s="5">
        <f>SUMIF($BD$11:$BD$355,3,AW$11:AW$355)</f>
        <v>7319.5242454309737</v>
      </c>
      <c r="AX363" s="5">
        <f>SUMIF($BD$11:$BD$355,3,AX$11:AX$355)</f>
        <v>192309.64421156436</v>
      </c>
      <c r="AY363" s="5">
        <v>0</v>
      </c>
      <c r="AZ363" s="5">
        <f>SUMIF($BD$11:$BD$355,3,AZ$11:AZ$355)</f>
        <v>704771.75608317554</v>
      </c>
      <c r="BA363" s="5">
        <f>SUMIF($BD$11:$BD$355,3,BA$11:BA$355)</f>
        <v>752825.35058760154</v>
      </c>
      <c r="BB363" s="5">
        <v>4798.459286299345</v>
      </c>
      <c r="BF363" s="5">
        <v>3139.7828000000009</v>
      </c>
      <c r="BI363" s="997"/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9</v>
      </c>
      <c r="CC363" s="5">
        <v>98279.636407737722</v>
      </c>
      <c r="CD363" s="5">
        <v>0</v>
      </c>
      <c r="CE363" s="5">
        <v>0</v>
      </c>
      <c r="CF363" s="5">
        <v>0</v>
      </c>
      <c r="CG363" s="5">
        <v>33</v>
      </c>
      <c r="CH363" s="5">
        <v>4364.1952702443805</v>
      </c>
      <c r="CI363" s="5">
        <v>668.84329184528985</v>
      </c>
      <c r="CJ363" s="5">
        <v>0</v>
      </c>
      <c r="CK363" s="5">
        <v>0</v>
      </c>
      <c r="CL363" s="5">
        <v>0</v>
      </c>
      <c r="CM363" s="5">
        <v>27682.925763979809</v>
      </c>
      <c r="CN363" s="5">
        <v>2765.4060226007841</v>
      </c>
      <c r="CO363" s="5">
        <v>10477.036877518882</v>
      </c>
      <c r="CP363" s="5">
        <v>5972.9466889913447</v>
      </c>
      <c r="CQ363" s="5">
        <v>0</v>
      </c>
      <c r="CR363" s="5">
        <v>15327.111904234365</v>
      </c>
      <c r="CS363" s="5">
        <v>9459.4756688627604</v>
      </c>
      <c r="CT363" s="5">
        <v>0</v>
      </c>
      <c r="CU363" s="5">
        <v>13899.61056316356</v>
      </c>
      <c r="CV363" s="5">
        <v>9268.1902440054364</v>
      </c>
      <c r="CW363" s="5">
        <v>0</v>
      </c>
      <c r="CX363" s="5">
        <v>2905.6103151330153</v>
      </c>
      <c r="CY363" s="5">
        <v>0</v>
      </c>
      <c r="CZ363" s="5">
        <v>0</v>
      </c>
      <c r="DA363" s="5">
        <v>3449.4186362612377</v>
      </c>
      <c r="DB363" s="5">
        <v>10338.897528921592</v>
      </c>
      <c r="DC363" s="5">
        <v>0</v>
      </c>
      <c r="DD363" s="5">
        <v>7667.4891815307601</v>
      </c>
      <c r="DE363" s="5">
        <v>23494.286539967245</v>
      </c>
      <c r="DF363" s="5">
        <v>0</v>
      </c>
      <c r="DG363" s="5">
        <v>9.0599066072151508</v>
      </c>
      <c r="DH363" s="5">
        <v>0</v>
      </c>
      <c r="DI363" s="5">
        <v>0</v>
      </c>
      <c r="DJ363" s="5">
        <v>53735.337384449012</v>
      </c>
      <c r="DK363" s="5">
        <v>58533.796670748379</v>
      </c>
      <c r="DL363" s="5">
        <v>4798.459286299345</v>
      </c>
    </row>
    <row r="364" spans="1:117" ht="15.6" x14ac:dyDescent="0.3">
      <c r="B364" s="1000"/>
      <c r="C364" s="10"/>
      <c r="D364" s="151"/>
      <c r="F364" s="9">
        <f>F361+F362+F363</f>
        <v>16352502.634744395</v>
      </c>
      <c r="G364" s="9">
        <f t="shared" ref="G364:H364" si="64">G361+G362+G363</f>
        <v>11204500.932172565</v>
      </c>
      <c r="H364" s="9">
        <f t="shared" si="64"/>
        <v>-5148001.7025718344</v>
      </c>
      <c r="I364" s="9">
        <f>SUM(I361:I363)</f>
        <v>7348.5309999999999</v>
      </c>
      <c r="J364" s="9">
        <f>SUM(J361:J363)</f>
        <v>3004054.3409169847</v>
      </c>
      <c r="K364" s="9"/>
      <c r="L364" s="9">
        <f>SUM(L361:L363)</f>
        <v>45</v>
      </c>
      <c r="M364" s="9">
        <f>SUM(M361:M363)</f>
        <v>1267886.3850917784</v>
      </c>
      <c r="N364" s="9"/>
      <c r="O364" s="9">
        <f>SUM(O361:O363)</f>
        <v>1434.8</v>
      </c>
      <c r="P364" s="9">
        <f>SUM(P361:P363)</f>
        <v>551961.30222199752</v>
      </c>
      <c r="Q364" s="9"/>
      <c r="R364" s="9">
        <f>SUM(R361:R363)</f>
        <v>199.2</v>
      </c>
      <c r="S364" s="9">
        <f>SUM(S361:S363)</f>
        <v>2330067.7622477943</v>
      </c>
      <c r="T364" s="9"/>
      <c r="U364" s="9">
        <f t="shared" ref="U364:AF364" si="65">SUM(U361:U363)</f>
        <v>260235.03711116224</v>
      </c>
      <c r="V364" s="9">
        <f t="shared" si="65"/>
        <v>0</v>
      </c>
      <c r="W364" s="9">
        <f t="shared" si="65"/>
        <v>406.73</v>
      </c>
      <c r="X364" s="9">
        <f t="shared" si="65"/>
        <v>209539.18122203767</v>
      </c>
      <c r="Y364" s="9">
        <f t="shared" si="65"/>
        <v>1879597.8496825357</v>
      </c>
      <c r="Z364" s="9">
        <f t="shared" si="65"/>
        <v>0</v>
      </c>
      <c r="AA364" s="9">
        <f t="shared" si="65"/>
        <v>33181.174576648264</v>
      </c>
      <c r="AB364" s="9">
        <f t="shared" si="65"/>
        <v>356411.20428184944</v>
      </c>
      <c r="AC364" s="9">
        <f t="shared" si="65"/>
        <v>563132.26682406222</v>
      </c>
      <c r="AD364" s="9">
        <f t="shared" si="65"/>
        <v>748434.42799571157</v>
      </c>
      <c r="AE364" s="9">
        <f t="shared" si="65"/>
        <v>421685.00220175792</v>
      </c>
      <c r="AF364" s="9">
        <f t="shared" si="65"/>
        <v>244892.87890789821</v>
      </c>
      <c r="AG364" s="9"/>
      <c r="AH364" s="9">
        <f>SUM(AH361:AH363)</f>
        <v>573831.89746807236</v>
      </c>
      <c r="AI364" s="9">
        <f>SUM(AI361:AI363)</f>
        <v>384304.46552992484</v>
      </c>
      <c r="AJ364" s="9"/>
      <c r="AK364" s="9">
        <f>SUM(AK361:AK363)</f>
        <v>497147.83459604444</v>
      </c>
      <c r="AL364" s="9">
        <f>SUM(AL361:AL363)</f>
        <v>247315.59304122446</v>
      </c>
      <c r="AM364" s="9"/>
      <c r="AN364" s="9">
        <f>SUM(AN361:AN363)</f>
        <v>96781.425671792618</v>
      </c>
      <c r="AO364" s="9">
        <f>SUM(AO361:AO363)</f>
        <v>103201.87268114886</v>
      </c>
      <c r="AP364" s="9"/>
      <c r="AQ364" s="9">
        <f>SUM(AQ361:AQ363)</f>
        <v>95370.580491616478</v>
      </c>
      <c r="AR364" s="9">
        <f>SUM(AR361:AR363)</f>
        <v>102762.33767541389</v>
      </c>
      <c r="AS364" s="9"/>
      <c r="AT364" s="9">
        <f>SUM(AT361:AT363)</f>
        <v>351530.11898011202</v>
      </c>
      <c r="AU364" s="9">
        <f>SUM(AU361:AU363)</f>
        <v>588315.96175667341</v>
      </c>
      <c r="AV364" s="9"/>
      <c r="AW364" s="9">
        <f>SUM(AW361:AW363)</f>
        <v>57441.739862650007</v>
      </c>
      <c r="AX364" s="9">
        <f>SUM(AX361:AX363)</f>
        <v>586262.44559897087</v>
      </c>
      <c r="AY364" s="9"/>
      <c r="AZ364" s="9">
        <f>SUM(AZ361:AZ363)</f>
        <v>2093788.5992720458</v>
      </c>
      <c r="BA364" s="9">
        <f>SUM(BA361:BA363)</f>
        <v>2257055.5551912552</v>
      </c>
      <c r="BB364" s="9">
        <v>14705.006016278247</v>
      </c>
      <c r="BD364" s="1"/>
      <c r="BF364" s="9">
        <v>10031.262300000002</v>
      </c>
      <c r="BI364" s="997"/>
      <c r="BS364" s="9">
        <v>68</v>
      </c>
      <c r="BT364" s="9">
        <v>24788.123671945941</v>
      </c>
      <c r="BU364" s="9"/>
      <c r="BV364" s="9">
        <v>2</v>
      </c>
      <c r="BW364" s="9">
        <v>184568.77139237701</v>
      </c>
      <c r="BX364" s="9"/>
      <c r="BY364" s="9">
        <v>0</v>
      </c>
      <c r="BZ364" s="9">
        <v>0</v>
      </c>
      <c r="CA364" s="9"/>
      <c r="CB364" s="9">
        <v>29.6</v>
      </c>
      <c r="CC364" s="9">
        <v>177945.66545787483</v>
      </c>
      <c r="CD364" s="9"/>
      <c r="CE364" s="9">
        <v>118439.79461339374</v>
      </c>
      <c r="CF364" s="9">
        <v>0</v>
      </c>
      <c r="CG364" s="9">
        <v>41</v>
      </c>
      <c r="CH364" s="9">
        <v>8949.4747368147364</v>
      </c>
      <c r="CI364" s="9">
        <v>14735.550423515018</v>
      </c>
      <c r="CJ364" s="9"/>
      <c r="CK364" s="9">
        <v>0</v>
      </c>
      <c r="CL364" s="9">
        <v>882.31909678058253</v>
      </c>
      <c r="CM364" s="9">
        <v>82058.787734981452</v>
      </c>
      <c r="CN364" s="9">
        <v>30976.173686100359</v>
      </c>
      <c r="CO364" s="9">
        <v>32039.261830197269</v>
      </c>
      <c r="CP364" s="9">
        <v>36075.716459345225</v>
      </c>
      <c r="CQ364" s="9"/>
      <c r="CR364" s="9">
        <v>46416.732983447546</v>
      </c>
      <c r="CS364" s="9">
        <v>33060.654612230006</v>
      </c>
      <c r="CT364" s="9"/>
      <c r="CU364" s="9">
        <v>40461.088950519916</v>
      </c>
      <c r="CV364" s="9">
        <v>19782.661969126471</v>
      </c>
      <c r="CW364" s="9"/>
      <c r="CX364" s="9">
        <v>8400.3996453264808</v>
      </c>
      <c r="CY364" s="9">
        <v>6436.4995056287444</v>
      </c>
      <c r="CZ364" s="9"/>
      <c r="DA364" s="9">
        <v>7303.1021113181896</v>
      </c>
      <c r="DB364" s="9">
        <v>21007.873656330965</v>
      </c>
      <c r="DC364" s="9"/>
      <c r="DD364" s="9">
        <v>21474.005869733868</v>
      </c>
      <c r="DE364" s="9">
        <v>58303.945611255302</v>
      </c>
      <c r="DF364" s="9"/>
      <c r="DG364" s="9">
        <v>3867.7544070952185</v>
      </c>
      <c r="DH364" s="9">
        <v>0</v>
      </c>
      <c r="DI364" s="9"/>
      <c r="DJ364" s="9">
        <v>159962.34579763847</v>
      </c>
      <c r="DK364" s="9">
        <v>174667.35181391673</v>
      </c>
      <c r="DL364" s="9">
        <v>14705.006016278247</v>
      </c>
    </row>
    <row r="365" spans="1:117" x14ac:dyDescent="0.3">
      <c r="BI365" s="997"/>
    </row>
    <row r="366" spans="1:117" x14ac:dyDescent="0.3">
      <c r="E366" s="1001" t="str">
        <f>J3</f>
        <v>2024 рік</v>
      </c>
      <c r="BD366" s="1"/>
      <c r="BI366" s="997"/>
    </row>
    <row r="367" spans="1:117" ht="15.6" x14ac:dyDescent="0.3">
      <c r="B367" s="1000" t="s">
        <v>1042</v>
      </c>
      <c r="H367" s="1002"/>
      <c r="BD367" s="1"/>
      <c r="BI367" s="997"/>
    </row>
    <row r="368" spans="1:117" x14ac:dyDescent="0.3">
      <c r="B368" s="1003"/>
      <c r="C368" s="1004" t="s">
        <v>1035</v>
      </c>
      <c r="D368" s="1004" t="s">
        <v>1036</v>
      </c>
      <c r="E368" s="1004" t="s">
        <v>1046</v>
      </c>
      <c r="BD368" s="1"/>
      <c r="BF368" s="1">
        <v>10839</v>
      </c>
      <c r="BI368" s="997"/>
    </row>
    <row r="369" spans="2:116" x14ac:dyDescent="0.3">
      <c r="B369" s="1003" t="s">
        <v>1034</v>
      </c>
      <c r="C369" s="1005">
        <f>E369-D369</f>
        <v>3004054.3409169842</v>
      </c>
      <c r="D369" s="1005">
        <v>0</v>
      </c>
      <c r="E369" s="1005">
        <f>J356</f>
        <v>3004054.3409169842</v>
      </c>
      <c r="BD369" s="1"/>
      <c r="BF369" s="1">
        <v>8776</v>
      </c>
      <c r="BI369" s="997"/>
    </row>
    <row r="370" spans="2:116" x14ac:dyDescent="0.3">
      <c r="B370" s="1003" t="s">
        <v>1037</v>
      </c>
      <c r="C370" s="1005">
        <f t="shared" ref="C370:C376" si="66">E370-D370</f>
        <v>1267886.3850917784</v>
      </c>
      <c r="D370" s="1005">
        <v>0</v>
      </c>
      <c r="E370" s="1005">
        <f>M356</f>
        <v>1267886.3850917784</v>
      </c>
      <c r="BD370" s="1"/>
      <c r="BF370" s="1">
        <v>19615</v>
      </c>
      <c r="BI370" s="997"/>
    </row>
    <row r="371" spans="2:116" x14ac:dyDescent="0.3">
      <c r="B371" s="1003" t="s">
        <v>1038</v>
      </c>
      <c r="C371" s="1005">
        <f t="shared" si="66"/>
        <v>565950.38550388708</v>
      </c>
      <c r="D371" s="1005">
        <v>0</v>
      </c>
      <c r="E371" s="1005">
        <f>X356+AB356</f>
        <v>565950.38550388708</v>
      </c>
      <c r="BD371" s="1"/>
      <c r="BI371" s="997"/>
    </row>
    <row r="372" spans="2:116" x14ac:dyDescent="0.3">
      <c r="B372" s="1003" t="s">
        <v>1782</v>
      </c>
      <c r="C372" s="1005">
        <f t="shared" si="66"/>
        <v>1937707.7993589556</v>
      </c>
      <c r="D372" s="1005">
        <v>652595</v>
      </c>
      <c r="E372" s="1005">
        <f>S356+U356</f>
        <v>2590302.7993589556</v>
      </c>
      <c r="BD372" s="1"/>
      <c r="BI372" s="997"/>
    </row>
    <row r="373" spans="2:116" x14ac:dyDescent="0.3">
      <c r="B373" s="1003" t="s">
        <v>1039</v>
      </c>
      <c r="C373" s="1005">
        <f t="shared" si="66"/>
        <v>540996.30222199752</v>
      </c>
      <c r="D373" s="1005">
        <v>10965</v>
      </c>
      <c r="E373" s="1005">
        <f>P356</f>
        <v>551961.30222199752</v>
      </c>
      <c r="BD373" s="1"/>
      <c r="BI373" s="997"/>
    </row>
    <row r="374" spans="2:116" x14ac:dyDescent="0.3">
      <c r="B374" s="1003" t="s">
        <v>1040</v>
      </c>
      <c r="C374" s="1005">
        <f t="shared" si="66"/>
        <v>380629.26682406233</v>
      </c>
      <c r="D374" s="1005">
        <v>182503</v>
      </c>
      <c r="E374" s="1005">
        <f>AC356</f>
        <v>563132.26682406233</v>
      </c>
      <c r="BD374" s="1"/>
      <c r="BI374" s="997"/>
    </row>
    <row r="375" spans="2:116" x14ac:dyDescent="0.3">
      <c r="B375" s="1003" t="s">
        <v>1041</v>
      </c>
      <c r="C375" s="1005">
        <f t="shared" si="66"/>
        <v>1912779.0242591843</v>
      </c>
      <c r="D375" s="1005">
        <v>0</v>
      </c>
      <c r="E375" s="1005">
        <f>AA356+Y356</f>
        <v>1912779.0242591843</v>
      </c>
      <c r="BD375" s="1"/>
      <c r="BI375" s="997"/>
    </row>
    <row r="376" spans="2:116" x14ac:dyDescent="0.3">
      <c r="B376" s="1003" t="s">
        <v>1064</v>
      </c>
      <c r="C376" s="1005">
        <f t="shared" si="66"/>
        <v>748434.42799571157</v>
      </c>
      <c r="D376" s="1005">
        <v>0</v>
      </c>
      <c r="E376" s="1005">
        <f>AD356</f>
        <v>748434.42799571157</v>
      </c>
      <c r="BD376" s="1"/>
      <c r="BI376" s="997"/>
    </row>
    <row r="377" spans="2:116" x14ac:dyDescent="0.3">
      <c r="B377" s="1003" t="s">
        <v>957</v>
      </c>
      <c r="C377" s="265">
        <f>SUM(C369:C376)</f>
        <v>10358437.932172561</v>
      </c>
      <c r="D377" s="265">
        <f>SUM(D369:D376)</f>
        <v>846063</v>
      </c>
      <c r="E377" s="265">
        <f>SUM(E369:E376)</f>
        <v>11204500.932172561</v>
      </c>
      <c r="BD377" s="1"/>
      <c r="BI377" s="997"/>
    </row>
    <row r="378" spans="2:116" x14ac:dyDescent="0.3">
      <c r="C378" s="926"/>
      <c r="D378" s="926"/>
      <c r="E378" s="1006">
        <f>G356</f>
        <v>11204500.932172565</v>
      </c>
      <c r="F378" s="8">
        <f>E378-E377</f>
        <v>0</v>
      </c>
      <c r="BD378" s="1"/>
      <c r="BI378" s="997"/>
    </row>
    <row r="379" spans="2:116" x14ac:dyDescent="0.3">
      <c r="C379" s="1007"/>
      <c r="D379" s="1007"/>
      <c r="E379" s="1007"/>
      <c r="BD379" s="1"/>
      <c r="BI379" s="997"/>
    </row>
    <row r="380" spans="2:116" ht="15.6" x14ac:dyDescent="0.3">
      <c r="B380" s="1000" t="s">
        <v>1043</v>
      </c>
      <c r="C380" s="190"/>
      <c r="D380" s="190"/>
      <c r="E380" s="19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D380" s="1"/>
      <c r="BI380" s="997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</row>
    <row r="381" spans="2:116" x14ac:dyDescent="0.3">
      <c r="B381" s="1003"/>
      <c r="C381" s="1004" t="s">
        <v>1035</v>
      </c>
      <c r="D381" s="1004" t="s">
        <v>1036</v>
      </c>
      <c r="E381" s="1004" t="s">
        <v>1046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D381" s="1"/>
      <c r="BI381" s="997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</row>
    <row r="382" spans="2:116" x14ac:dyDescent="0.3">
      <c r="B382" s="931" t="s">
        <v>896</v>
      </c>
      <c r="C382" s="1005">
        <f>E382-D382</f>
        <v>244892.87890789806</v>
      </c>
      <c r="D382" s="1005">
        <v>0</v>
      </c>
      <c r="E382" s="1005">
        <f>AF356</f>
        <v>244892.87890789806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D382" s="1"/>
      <c r="BI382" s="997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</row>
    <row r="383" spans="2:116" x14ac:dyDescent="0.3">
      <c r="B383" s="931" t="s">
        <v>24</v>
      </c>
      <c r="C383" s="1005">
        <f t="shared" ref="C383:C388" si="67">E383-D383</f>
        <v>384304.46552992502</v>
      </c>
      <c r="D383" s="1005">
        <v>0</v>
      </c>
      <c r="E383" s="1005">
        <f>AI356</f>
        <v>384304.46552992502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D383" s="1"/>
      <c r="BI383" s="997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</row>
    <row r="384" spans="2:116" x14ac:dyDescent="0.3">
      <c r="B384" s="931" t="s">
        <v>25</v>
      </c>
      <c r="C384" s="1005">
        <f t="shared" si="67"/>
        <v>246454.59304122449</v>
      </c>
      <c r="D384" s="1005">
        <v>861</v>
      </c>
      <c r="E384" s="1005">
        <f>AL356</f>
        <v>247315.59304122449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D384" s="1"/>
      <c r="BI384" s="997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</row>
    <row r="385" spans="2:116" x14ac:dyDescent="0.3">
      <c r="B385" s="931" t="s">
        <v>1044</v>
      </c>
      <c r="C385" s="1005">
        <f t="shared" si="67"/>
        <v>101546.87268114887</v>
      </c>
      <c r="D385" s="1005">
        <v>1655</v>
      </c>
      <c r="E385" s="1005">
        <f>AO356</f>
        <v>103201.87268114887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D385" s="1"/>
      <c r="BI385" s="997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</row>
    <row r="386" spans="2:116" x14ac:dyDescent="0.3">
      <c r="B386" s="931" t="s">
        <v>1045</v>
      </c>
      <c r="C386" s="1005">
        <f t="shared" si="67"/>
        <v>102762.3376754139</v>
      </c>
      <c r="D386" s="1005">
        <v>0</v>
      </c>
      <c r="E386" s="1005">
        <f>AR356</f>
        <v>102762.3376754139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D386" s="1"/>
      <c r="BI386" s="997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</row>
    <row r="387" spans="2:116" x14ac:dyDescent="0.3">
      <c r="B387" s="931" t="s">
        <v>28</v>
      </c>
      <c r="C387" s="1005">
        <f t="shared" si="67"/>
        <v>588315.96175667353</v>
      </c>
      <c r="D387" s="1005">
        <v>0</v>
      </c>
      <c r="E387" s="1005">
        <f>AU356</f>
        <v>588315.96175667353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D387" s="1"/>
      <c r="BI387" s="997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</row>
    <row r="388" spans="2:116" x14ac:dyDescent="0.3">
      <c r="B388" s="931" t="s">
        <v>29</v>
      </c>
      <c r="C388" s="1005">
        <f t="shared" si="67"/>
        <v>586262.44559897098</v>
      </c>
      <c r="D388" s="1005">
        <v>0</v>
      </c>
      <c r="E388" s="1005">
        <f>AX356</f>
        <v>586262.44559897098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D388" s="1"/>
      <c r="BI388" s="997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</row>
    <row r="389" spans="2:116" x14ac:dyDescent="0.3">
      <c r="B389" s="1008" t="s">
        <v>957</v>
      </c>
      <c r="C389" s="265">
        <f>SUM(C382:C388)</f>
        <v>2254539.5551912547</v>
      </c>
      <c r="D389" s="1009">
        <f>SUM(D382:D388)</f>
        <v>2516</v>
      </c>
      <c r="E389" s="265">
        <f>SUM(C389:D389)</f>
        <v>2257055.5551912547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D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</row>
    <row r="390" spans="2:116" x14ac:dyDescent="0.3">
      <c r="E390" s="1007">
        <f>BA356</f>
        <v>2257055.5551912547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D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</row>
    <row r="392" spans="2:116" x14ac:dyDescent="0.3">
      <c r="C392" s="32">
        <f>C377+C389</f>
        <v>12612977.487363815</v>
      </c>
      <c r="D392" s="32">
        <f>D377+D389</f>
        <v>848579</v>
      </c>
      <c r="E392" s="32">
        <f>E377+E389</f>
        <v>13461556.487363815</v>
      </c>
    </row>
    <row r="393" spans="2:116" x14ac:dyDescent="0.3">
      <c r="C393" s="723">
        <f>C392*1.2</f>
        <v>15135572.984836578</v>
      </c>
      <c r="D393" s="723">
        <f>D392*1.2</f>
        <v>1018294.7999999999</v>
      </c>
      <c r="E393" s="723">
        <f>E392*1.2</f>
        <v>16153867.784836577</v>
      </c>
    </row>
    <row r="394" spans="2:116" x14ac:dyDescent="0.3">
      <c r="C394" s="1010">
        <f>C393/E393</f>
        <v>0.93696278726783566</v>
      </c>
      <c r="D394" s="1010">
        <f>D393/E393</f>
        <v>6.3037212732164352E-2</v>
      </c>
    </row>
  </sheetData>
  <autoFilter ref="A10:BQ356" xr:uid="{00000000-0001-0000-0600-000000000000}"/>
  <sortState xmlns:xlrd2="http://schemas.microsoft.com/office/spreadsheetml/2017/richdata2" ref="A11:DL355">
    <sortCondition ref="B11:B355"/>
  </sortState>
  <mergeCells count="45">
    <mergeCell ref="CI9:CJ9"/>
    <mergeCell ref="CO7:DL7"/>
    <mergeCell ref="BS8:CN8"/>
    <mergeCell ref="CO8:CQ9"/>
    <mergeCell ref="CR8:CT9"/>
    <mergeCell ref="CU8:CW9"/>
    <mergeCell ref="CX8:CZ9"/>
    <mergeCell ref="DA8:DC9"/>
    <mergeCell ref="DD8:DF9"/>
    <mergeCell ref="DG8:DI9"/>
    <mergeCell ref="DJ8:DL9"/>
    <mergeCell ref="BS9:BU9"/>
    <mergeCell ref="BV9:BX9"/>
    <mergeCell ref="BY9:CA9"/>
    <mergeCell ref="CB9:CD9"/>
    <mergeCell ref="CE9:CF9"/>
    <mergeCell ref="CG9:CH9"/>
    <mergeCell ref="BF8:BF9"/>
    <mergeCell ref="R9:T9"/>
    <mergeCell ref="Y9:Z9"/>
    <mergeCell ref="AW8:AY9"/>
    <mergeCell ref="AZ8:BB9"/>
    <mergeCell ref="BI8:BK8"/>
    <mergeCell ref="AE7:BB7"/>
    <mergeCell ref="AE8:AG9"/>
    <mergeCell ref="AH8:AJ9"/>
    <mergeCell ref="AK8:AM9"/>
    <mergeCell ref="AN8:AP9"/>
    <mergeCell ref="AQ8:AS9"/>
    <mergeCell ref="AT8:AV9"/>
    <mergeCell ref="D7:D10"/>
    <mergeCell ref="C7:C10"/>
    <mergeCell ref="B7:B10"/>
    <mergeCell ref="A7:A10"/>
    <mergeCell ref="U9:V9"/>
    <mergeCell ref="F8:F10"/>
    <mergeCell ref="E7:E10"/>
    <mergeCell ref="G8:G10"/>
    <mergeCell ref="F7:AD7"/>
    <mergeCell ref="I8:AD8"/>
    <mergeCell ref="H8:H10"/>
    <mergeCell ref="I9:K9"/>
    <mergeCell ref="L9:N9"/>
    <mergeCell ref="O9:Q9"/>
    <mergeCell ref="W9:X9"/>
  </mergeCells>
  <conditionalFormatting sqref="A131">
    <cfRule type="duplicateValues" dxfId="8" priority="1"/>
  </conditionalFormatting>
  <conditionalFormatting sqref="BG131">
    <cfRule type="duplicateValues" dxfId="7" priority="2"/>
  </conditionalFormatting>
  <pageMargins left="0" right="0" top="0.19685039370078741" bottom="0.15748031496062992" header="0.31496062992125984" footer="0.31496062992125984"/>
  <pageSetup paperSize="9" scale="57" orientation="landscape" r:id="rId1"/>
  <rowBreaks count="1" manualBreakCount="1">
    <brk id="345" max="68" man="1"/>
  </rowBreaks>
  <colBreaks count="1" manualBreakCount="1">
    <brk id="92" max="393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81CD9-A198-4F64-B49B-BEE96AC131CE}">
  <sheetPr codeName="Лист4"/>
  <dimension ref="A1"/>
  <sheetViews>
    <sheetView workbookViewId="0">
      <selection activeCell="K25" sqref="K25"/>
    </sheetView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1"/>
  <dimension ref="A1:D359"/>
  <sheetViews>
    <sheetView topLeftCell="A336" workbookViewId="0">
      <selection activeCell="I356" sqref="I356"/>
    </sheetView>
  </sheetViews>
  <sheetFormatPr defaultRowHeight="14.4" x14ac:dyDescent="0.3"/>
  <cols>
    <col min="1" max="1" width="16.88671875" style="721" bestFit="1" customWidth="1"/>
    <col min="2" max="2" width="12" style="894" bestFit="1" customWidth="1"/>
    <col min="3" max="3" width="13.33203125" style="894" bestFit="1" customWidth="1"/>
    <col min="4" max="4" width="8.6640625" customWidth="1"/>
  </cols>
  <sheetData>
    <row r="1" spans="1:4" s="581" customFormat="1" x14ac:dyDescent="0.3">
      <c r="A1" s="892" t="s">
        <v>1118</v>
      </c>
      <c r="B1" s="893" t="s">
        <v>1787</v>
      </c>
      <c r="C1" s="893" t="s">
        <v>1562</v>
      </c>
      <c r="D1" s="697"/>
    </row>
    <row r="2" spans="1:4" x14ac:dyDescent="0.3">
      <c r="A2" s="914">
        <v>150000493</v>
      </c>
      <c r="B2" s="915">
        <v>51232.19</v>
      </c>
      <c r="C2" s="915">
        <v>177436.56</v>
      </c>
      <c r="D2" s="555">
        <f>VLOOKUP(A2,ціни!$A$7:$D$401,4,FALSE)</f>
        <v>10</v>
      </c>
    </row>
    <row r="3" spans="1:4" x14ac:dyDescent="0.3">
      <c r="A3" s="914">
        <v>150000494</v>
      </c>
      <c r="B3" s="915">
        <v>55242.91</v>
      </c>
      <c r="C3" s="915">
        <v>147297.10999999999</v>
      </c>
      <c r="D3" s="555">
        <f>VLOOKUP(A3,ціни!$A$7:$D$401,4,FALSE)</f>
        <v>10</v>
      </c>
    </row>
    <row r="4" spans="1:4" x14ac:dyDescent="0.3">
      <c r="A4" s="914">
        <v>150000495</v>
      </c>
      <c r="B4" s="915">
        <v>2576.7800000000002</v>
      </c>
      <c r="C4" s="915">
        <v>23918.95</v>
      </c>
      <c r="D4" s="555">
        <f>VLOOKUP(A4,ціни!$A$7:$D$401,4,FALSE)</f>
        <v>2</v>
      </c>
    </row>
    <row r="5" spans="1:4" x14ac:dyDescent="0.3">
      <c r="A5" s="914">
        <v>150000496</v>
      </c>
      <c r="B5" s="915">
        <v>2577.0700000000002</v>
      </c>
      <c r="C5" s="915">
        <v>22492.3</v>
      </c>
      <c r="D5" s="555">
        <f>VLOOKUP(A5,ціни!$A$7:$D$401,4,FALSE)</f>
        <v>2</v>
      </c>
    </row>
    <row r="6" spans="1:4" x14ac:dyDescent="0.3">
      <c r="A6" s="914">
        <v>150000497</v>
      </c>
      <c r="B6" s="915">
        <v>32916.93</v>
      </c>
      <c r="C6" s="915">
        <v>86509.75</v>
      </c>
      <c r="D6" s="555">
        <f>VLOOKUP(A6,ціни!$A$7:$D$401,4,FALSE)</f>
        <v>9</v>
      </c>
    </row>
    <row r="7" spans="1:4" x14ac:dyDescent="0.3">
      <c r="A7" s="914">
        <v>150000498</v>
      </c>
      <c r="B7" s="915">
        <v>29833.32</v>
      </c>
      <c r="C7" s="915">
        <v>63095.16</v>
      </c>
      <c r="D7" s="555">
        <f>VLOOKUP(A7,ціни!$A$7:$D$401,4,FALSE)</f>
        <v>5</v>
      </c>
    </row>
    <row r="8" spans="1:4" x14ac:dyDescent="0.3">
      <c r="A8" s="914">
        <v>150000501</v>
      </c>
      <c r="B8" s="915">
        <v>23582.67</v>
      </c>
      <c r="C8" s="915">
        <v>88007.6</v>
      </c>
      <c r="D8" s="555">
        <f>VLOOKUP(A8,ціни!$A$7:$D$401,4,FALSE)</f>
        <v>5</v>
      </c>
    </row>
    <row r="9" spans="1:4" x14ac:dyDescent="0.3">
      <c r="A9" s="914">
        <v>150000502</v>
      </c>
      <c r="B9" s="915">
        <v>232.11</v>
      </c>
      <c r="C9" s="915">
        <v>231.05</v>
      </c>
      <c r="D9" s="555">
        <f>VLOOKUP(A9,ціни!$A$7:$D$401,4,FALSE)</f>
        <v>1</v>
      </c>
    </row>
    <row r="10" spans="1:4" x14ac:dyDescent="0.3">
      <c r="A10" s="914">
        <v>150000503</v>
      </c>
      <c r="B10" s="915">
        <v>341.03</v>
      </c>
      <c r="C10" s="915">
        <v>396.56</v>
      </c>
      <c r="D10" s="555">
        <f>VLOOKUP(A10,ціни!$A$7:$D$401,4,FALSE)</f>
        <v>1</v>
      </c>
    </row>
    <row r="11" spans="1:4" x14ac:dyDescent="0.3">
      <c r="A11" s="914">
        <v>150000504</v>
      </c>
      <c r="B11" s="915">
        <v>297.08</v>
      </c>
      <c r="C11" s="915">
        <v>377.54</v>
      </c>
      <c r="D11" s="555">
        <f>VLOOKUP(A11,ціни!$A$7:$D$401,4,FALSE)</f>
        <v>1</v>
      </c>
    </row>
    <row r="12" spans="1:4" x14ac:dyDescent="0.3">
      <c r="A12" s="914">
        <v>150000505</v>
      </c>
      <c r="B12" s="915">
        <v>321.16000000000003</v>
      </c>
      <c r="C12" s="915">
        <v>461.97</v>
      </c>
      <c r="D12" s="555">
        <f>VLOOKUP(A12,ціни!$A$7:$D$401,4,FALSE)</f>
        <v>1</v>
      </c>
    </row>
    <row r="13" spans="1:4" x14ac:dyDescent="0.3">
      <c r="A13" s="914">
        <v>150000506</v>
      </c>
      <c r="B13" s="915">
        <v>210.24</v>
      </c>
      <c r="C13" s="915">
        <v>-46.86</v>
      </c>
      <c r="D13" s="555">
        <f>VLOOKUP(A13,ціни!$A$7:$D$401,4,FALSE)</f>
        <v>1</v>
      </c>
    </row>
    <row r="14" spans="1:4" x14ac:dyDescent="0.3">
      <c r="A14" s="914">
        <v>150000507</v>
      </c>
      <c r="B14" s="915">
        <v>397</v>
      </c>
      <c r="C14" s="915">
        <v>757.45</v>
      </c>
      <c r="D14" s="555">
        <f>VLOOKUP(A14,ціни!$A$7:$D$401,4,FALSE)</f>
        <v>1</v>
      </c>
    </row>
    <row r="15" spans="1:4" x14ac:dyDescent="0.3">
      <c r="A15" s="914">
        <v>150000508</v>
      </c>
      <c r="B15" s="915">
        <v>199.71</v>
      </c>
      <c r="C15" s="915">
        <v>199.71</v>
      </c>
      <c r="D15" s="555">
        <f>VLOOKUP(A15,ціни!$A$7:$D$401,4,FALSE)</f>
        <v>1</v>
      </c>
    </row>
    <row r="16" spans="1:4" x14ac:dyDescent="0.3">
      <c r="A16" s="914">
        <v>150000509</v>
      </c>
      <c r="B16" s="915">
        <v>408.76</v>
      </c>
      <c r="C16" s="915">
        <v>2092.87</v>
      </c>
      <c r="D16" s="555">
        <f>VLOOKUP(A16,ціни!$A$7:$D$401,4,FALSE)</f>
        <v>1</v>
      </c>
    </row>
    <row r="17" spans="1:4" x14ac:dyDescent="0.3">
      <c r="A17" s="914">
        <v>150000510</v>
      </c>
      <c r="B17" s="915">
        <v>12409.57</v>
      </c>
      <c r="C17" s="915">
        <v>136823.03</v>
      </c>
      <c r="D17" s="555">
        <f>VLOOKUP(A17,ціни!$A$7:$D$401,4,FALSE)</f>
        <v>5</v>
      </c>
    </row>
    <row r="18" spans="1:4" x14ac:dyDescent="0.3">
      <c r="A18" s="914">
        <v>150000511</v>
      </c>
      <c r="B18" s="915">
        <v>17397.240000000002</v>
      </c>
      <c r="C18" s="915">
        <v>48290</v>
      </c>
      <c r="D18" s="555">
        <f>VLOOKUP(A18,ціни!$A$7:$D$401,4,FALSE)</f>
        <v>5</v>
      </c>
    </row>
    <row r="19" spans="1:4" x14ac:dyDescent="0.3">
      <c r="A19" s="914">
        <v>150000512</v>
      </c>
      <c r="B19" s="915">
        <v>7802.85</v>
      </c>
      <c r="C19" s="915">
        <v>37169.07</v>
      </c>
      <c r="D19" s="555">
        <f>VLOOKUP(A19,ціни!$A$7:$D$401,4,FALSE)</f>
        <v>5</v>
      </c>
    </row>
    <row r="20" spans="1:4" x14ac:dyDescent="0.3">
      <c r="A20" s="914">
        <v>150000513</v>
      </c>
      <c r="B20" s="915">
        <v>8781.25</v>
      </c>
      <c r="C20" s="915">
        <v>50348.58</v>
      </c>
      <c r="D20" s="555">
        <f>VLOOKUP(A20,ціни!$A$7:$D$401,4,FALSE)</f>
        <v>6</v>
      </c>
    </row>
    <row r="21" spans="1:4" x14ac:dyDescent="0.3">
      <c r="A21" s="914">
        <v>150000514</v>
      </c>
      <c r="B21" s="915">
        <v>1121.71</v>
      </c>
      <c r="C21" s="915">
        <v>2946.94</v>
      </c>
      <c r="D21" s="555">
        <f>VLOOKUP(A21,ціни!$A$7:$D$401,4,FALSE)</f>
        <v>2</v>
      </c>
    </row>
    <row r="22" spans="1:4" x14ac:dyDescent="0.3">
      <c r="A22" s="914">
        <v>150000515</v>
      </c>
      <c r="B22" s="915">
        <v>351.97</v>
      </c>
      <c r="C22" s="915">
        <v>340.92</v>
      </c>
      <c r="D22" s="555">
        <f>VLOOKUP(A22,ціни!$A$7:$D$401,4,FALSE)</f>
        <v>1</v>
      </c>
    </row>
    <row r="23" spans="1:4" x14ac:dyDescent="0.3">
      <c r="A23" s="914">
        <v>150000517</v>
      </c>
      <c r="B23" s="915">
        <v>6694.78</v>
      </c>
      <c r="C23" s="915">
        <v>10026.030000000001</v>
      </c>
      <c r="D23" s="555">
        <f>VLOOKUP(A23,ціни!$A$7:$D$401,4,FALSE)</f>
        <v>5</v>
      </c>
    </row>
    <row r="24" spans="1:4" x14ac:dyDescent="0.3">
      <c r="A24" s="914">
        <v>150000518</v>
      </c>
      <c r="B24" s="915">
        <v>4865.33</v>
      </c>
      <c r="C24" s="915">
        <v>6832.28</v>
      </c>
      <c r="D24" s="555">
        <f>VLOOKUP(A24,ціни!$A$7:$D$401,4,FALSE)</f>
        <v>3</v>
      </c>
    </row>
    <row r="25" spans="1:4" x14ac:dyDescent="0.3">
      <c r="A25" s="914">
        <v>150000519</v>
      </c>
      <c r="B25" s="915">
        <v>17602.28</v>
      </c>
      <c r="C25" s="915">
        <v>31569.24</v>
      </c>
      <c r="D25" s="555">
        <f>VLOOKUP(A25,ціни!$A$7:$D$401,4,FALSE)</f>
        <v>10</v>
      </c>
    </row>
    <row r="26" spans="1:4" x14ac:dyDescent="0.3">
      <c r="A26" s="914">
        <v>150000521</v>
      </c>
      <c r="B26" s="915">
        <v>8263.52</v>
      </c>
      <c r="C26" s="915">
        <v>13705.12</v>
      </c>
      <c r="D26" s="555">
        <f>VLOOKUP(A26,ціни!$A$7:$D$401,4,FALSE)</f>
        <v>5</v>
      </c>
    </row>
    <row r="27" spans="1:4" x14ac:dyDescent="0.3">
      <c r="A27" s="914">
        <v>150000523</v>
      </c>
      <c r="B27" s="915">
        <v>453.85</v>
      </c>
      <c r="C27" s="915">
        <v>2839.17</v>
      </c>
      <c r="D27" s="555">
        <f>VLOOKUP(A27,ціни!$A$7:$D$401,4,FALSE)</f>
        <v>1</v>
      </c>
    </row>
    <row r="28" spans="1:4" x14ac:dyDescent="0.3">
      <c r="A28" s="914">
        <v>150000527</v>
      </c>
      <c r="B28" s="915">
        <v>502.12</v>
      </c>
      <c r="C28" s="915">
        <v>3231.47</v>
      </c>
      <c r="D28" s="555">
        <f>VLOOKUP(A28,ціни!$A$7:$D$401,4,FALSE)</f>
        <v>1</v>
      </c>
    </row>
    <row r="29" spans="1:4" x14ac:dyDescent="0.3">
      <c r="A29" s="914">
        <v>150000529</v>
      </c>
      <c r="B29" s="915">
        <v>61570.57</v>
      </c>
      <c r="C29" s="915">
        <v>134861.39000000001</v>
      </c>
      <c r="D29" s="555">
        <f>VLOOKUP(A29,ціни!$A$7:$D$401,4,FALSE)</f>
        <v>9</v>
      </c>
    </row>
    <row r="30" spans="1:4" x14ac:dyDescent="0.3">
      <c r="A30" s="914">
        <v>150000530</v>
      </c>
      <c r="B30" s="915">
        <v>403.11</v>
      </c>
      <c r="C30" s="915">
        <v>3767.11</v>
      </c>
      <c r="D30" s="555">
        <f>VLOOKUP(A30,ціни!$A$7:$D$401,4,FALSE)</f>
        <v>1</v>
      </c>
    </row>
    <row r="31" spans="1:4" x14ac:dyDescent="0.3">
      <c r="A31" s="914">
        <v>150000531</v>
      </c>
      <c r="B31" s="915">
        <v>50895.33</v>
      </c>
      <c r="C31" s="915">
        <v>108702.62</v>
      </c>
      <c r="D31" s="555">
        <f>VLOOKUP(A31,ціни!$A$7:$D$401,4,FALSE)</f>
        <v>9</v>
      </c>
    </row>
    <row r="32" spans="1:4" x14ac:dyDescent="0.3">
      <c r="A32" s="914">
        <v>150000532</v>
      </c>
      <c r="B32" s="915">
        <v>15901.75</v>
      </c>
      <c r="C32" s="915">
        <v>57045.18</v>
      </c>
      <c r="D32" s="555">
        <f>VLOOKUP(A32,ціни!$A$7:$D$401,4,FALSE)</f>
        <v>5</v>
      </c>
    </row>
    <row r="33" spans="1:4" x14ac:dyDescent="0.3">
      <c r="A33" s="914">
        <v>150000533</v>
      </c>
      <c r="B33" s="915">
        <v>84891.31</v>
      </c>
      <c r="C33" s="915">
        <v>258660.31</v>
      </c>
      <c r="D33" s="555">
        <f>VLOOKUP(A33,ціни!$A$7:$D$401,4,FALSE)</f>
        <v>9</v>
      </c>
    </row>
    <row r="34" spans="1:4" x14ac:dyDescent="0.3">
      <c r="A34" s="914">
        <v>150000534</v>
      </c>
      <c r="B34" s="915">
        <v>16103.15</v>
      </c>
      <c r="C34" s="915">
        <v>22484.73</v>
      </c>
      <c r="D34" s="555">
        <f>VLOOKUP(A34,ціни!$A$7:$D$401,4,FALSE)</f>
        <v>5</v>
      </c>
    </row>
    <row r="35" spans="1:4" x14ac:dyDescent="0.3">
      <c r="A35" s="914">
        <v>150000535</v>
      </c>
      <c r="B35" s="915">
        <v>83418.41</v>
      </c>
      <c r="C35" s="915">
        <v>330555.33</v>
      </c>
      <c r="D35" s="555">
        <f>VLOOKUP(A35,ціни!$A$7:$D$401,4,FALSE)</f>
        <v>9</v>
      </c>
    </row>
    <row r="36" spans="1:4" x14ac:dyDescent="0.3">
      <c r="A36" s="914">
        <v>150000537</v>
      </c>
      <c r="B36" s="915">
        <v>58.86</v>
      </c>
      <c r="C36" s="915">
        <v>77.430000000000007</v>
      </c>
      <c r="D36" s="555">
        <f>VLOOKUP(A36,ціни!$A$7:$D$401,4,FALSE)</f>
        <v>1</v>
      </c>
    </row>
    <row r="37" spans="1:4" x14ac:dyDescent="0.3">
      <c r="A37" s="914">
        <v>150000538</v>
      </c>
      <c r="B37" s="915">
        <v>8157.67</v>
      </c>
      <c r="C37" s="915">
        <v>11052.33</v>
      </c>
      <c r="D37" s="555">
        <f>VLOOKUP(A37,ціни!$A$7:$D$401,4,FALSE)</f>
        <v>4</v>
      </c>
    </row>
    <row r="38" spans="1:4" x14ac:dyDescent="0.3">
      <c r="A38" s="914">
        <v>150000539</v>
      </c>
      <c r="B38" s="915">
        <v>153.9</v>
      </c>
      <c r="C38" s="915">
        <v>153.9</v>
      </c>
      <c r="D38" s="555">
        <f>VLOOKUP(A38,ціни!$A$7:$D$401,4,FALSE)</f>
        <v>1</v>
      </c>
    </row>
    <row r="39" spans="1:4" x14ac:dyDescent="0.3">
      <c r="A39" s="914">
        <v>150000544</v>
      </c>
      <c r="B39" s="915">
        <v>242.77</v>
      </c>
      <c r="C39" s="915">
        <v>4399.6499999999996</v>
      </c>
      <c r="D39" s="555">
        <f>VLOOKUP(A39,ціни!$A$7:$D$401,4,FALSE)</f>
        <v>1</v>
      </c>
    </row>
    <row r="40" spans="1:4" x14ac:dyDescent="0.3">
      <c r="A40" s="914">
        <v>150000547</v>
      </c>
      <c r="B40" s="915">
        <v>16366.32</v>
      </c>
      <c r="C40" s="915">
        <v>53462.82</v>
      </c>
      <c r="D40" s="555">
        <f>VLOOKUP(A40,ціни!$A$7:$D$401,4,FALSE)</f>
        <v>5</v>
      </c>
    </row>
    <row r="41" spans="1:4" x14ac:dyDescent="0.3">
      <c r="A41" s="914">
        <v>150000548</v>
      </c>
      <c r="B41" s="915">
        <v>13927.46</v>
      </c>
      <c r="C41" s="915">
        <v>20746.61</v>
      </c>
      <c r="D41" s="555">
        <f>VLOOKUP(A41,ціни!$A$7:$D$401,4,FALSE)</f>
        <v>5</v>
      </c>
    </row>
    <row r="42" spans="1:4" x14ac:dyDescent="0.3">
      <c r="A42" s="914">
        <v>150000549</v>
      </c>
      <c r="B42" s="915">
        <v>7221.2</v>
      </c>
      <c r="C42" s="915">
        <v>45123.26</v>
      </c>
      <c r="D42" s="555">
        <f>VLOOKUP(A42,ціни!$A$7:$D$401,4,FALSE)</f>
        <v>4</v>
      </c>
    </row>
    <row r="43" spans="1:4" x14ac:dyDescent="0.3">
      <c r="A43" s="914">
        <v>150000552</v>
      </c>
      <c r="B43" s="915">
        <v>181.26</v>
      </c>
      <c r="C43" s="915">
        <v>607.80999999999995</v>
      </c>
      <c r="D43" s="555">
        <f>VLOOKUP(A43,ціни!$A$7:$D$401,4,FALSE)</f>
        <v>1</v>
      </c>
    </row>
    <row r="44" spans="1:4" x14ac:dyDescent="0.3">
      <c r="A44" s="914">
        <v>150000553</v>
      </c>
      <c r="B44" s="915">
        <v>14399.79</v>
      </c>
      <c r="C44" s="915">
        <v>34294.35</v>
      </c>
      <c r="D44" s="555">
        <f>VLOOKUP(A44,ціни!$A$7:$D$401,4,FALSE)</f>
        <v>5</v>
      </c>
    </row>
    <row r="45" spans="1:4" x14ac:dyDescent="0.3">
      <c r="A45" s="914">
        <v>150000556</v>
      </c>
      <c r="B45" s="915">
        <v>295.93</v>
      </c>
      <c r="C45" s="915">
        <v>248.09</v>
      </c>
      <c r="D45" s="555">
        <f>VLOOKUP(A45,ціни!$A$7:$D$401,4,FALSE)</f>
        <v>1</v>
      </c>
    </row>
    <row r="46" spans="1:4" x14ac:dyDescent="0.3">
      <c r="A46" s="914">
        <v>150000557</v>
      </c>
      <c r="B46" s="915">
        <v>183.96</v>
      </c>
      <c r="C46" s="915">
        <v>183.71</v>
      </c>
      <c r="D46" s="555">
        <f>VLOOKUP(A46,ціни!$A$7:$D$401,4,FALSE)</f>
        <v>1</v>
      </c>
    </row>
    <row r="47" spans="1:4" x14ac:dyDescent="0.3">
      <c r="A47" s="914">
        <v>150000566</v>
      </c>
      <c r="B47" s="915">
        <v>729.2</v>
      </c>
      <c r="C47" s="915">
        <v>419.89</v>
      </c>
      <c r="D47" s="555">
        <f>VLOOKUP(A47,ціни!$A$7:$D$401,4,FALSE)</f>
        <v>1</v>
      </c>
    </row>
    <row r="48" spans="1:4" x14ac:dyDescent="0.3">
      <c r="A48" s="914">
        <v>150000569</v>
      </c>
      <c r="B48" s="915">
        <v>475.13</v>
      </c>
      <c r="C48" s="915">
        <v>475.01</v>
      </c>
      <c r="D48" s="555">
        <f>VLOOKUP(A48,ціни!$A$7:$D$401,4,FALSE)</f>
        <v>1</v>
      </c>
    </row>
    <row r="49" spans="1:4" x14ac:dyDescent="0.3">
      <c r="A49" s="914">
        <v>150000570</v>
      </c>
      <c r="B49" s="915">
        <v>539.54</v>
      </c>
      <c r="C49" s="915">
        <v>539.54</v>
      </c>
      <c r="D49" s="555">
        <f>VLOOKUP(A49,ціни!$A$7:$D$401,4,FALSE)</f>
        <v>1</v>
      </c>
    </row>
    <row r="50" spans="1:4" x14ac:dyDescent="0.3">
      <c r="A50" s="914">
        <v>150000572</v>
      </c>
      <c r="B50" s="915">
        <v>665.53</v>
      </c>
      <c r="C50" s="915">
        <v>5801.8</v>
      </c>
      <c r="D50" s="555">
        <f>VLOOKUP(A50,ціни!$A$7:$D$401,4,FALSE)</f>
        <v>2</v>
      </c>
    </row>
    <row r="51" spans="1:4" x14ac:dyDescent="0.3">
      <c r="A51" s="914">
        <v>150000573</v>
      </c>
      <c r="B51" s="915">
        <v>245.39</v>
      </c>
      <c r="C51" s="915">
        <v>415.03</v>
      </c>
      <c r="D51" s="555">
        <f>VLOOKUP(A51,ціни!$A$7:$D$401,4,FALSE)</f>
        <v>1</v>
      </c>
    </row>
    <row r="52" spans="1:4" x14ac:dyDescent="0.3">
      <c r="A52" s="914">
        <v>150000578</v>
      </c>
      <c r="B52" s="915">
        <v>281.60000000000002</v>
      </c>
      <c r="C52" s="915">
        <v>281.60000000000002</v>
      </c>
      <c r="D52" s="555">
        <f>VLOOKUP(A52,ціни!$A$7:$D$401,4,FALSE)</f>
        <v>1</v>
      </c>
    </row>
    <row r="53" spans="1:4" x14ac:dyDescent="0.3">
      <c r="A53" s="914">
        <v>150000580</v>
      </c>
      <c r="B53" s="915">
        <v>249.5</v>
      </c>
      <c r="C53" s="915">
        <v>317.04000000000002</v>
      </c>
      <c r="D53" s="555">
        <f>VLOOKUP(A53,ціни!$A$7:$D$401,4,FALSE)</f>
        <v>1</v>
      </c>
    </row>
    <row r="54" spans="1:4" x14ac:dyDescent="0.3">
      <c r="A54" s="914">
        <v>150000590</v>
      </c>
      <c r="B54" s="915">
        <v>1374.23</v>
      </c>
      <c r="C54" s="915">
        <v>899.6</v>
      </c>
      <c r="D54" s="555">
        <f>VLOOKUP(A54,ціни!$A$7:$D$401,4,FALSE)</f>
        <v>2</v>
      </c>
    </row>
    <row r="55" spans="1:4" x14ac:dyDescent="0.3">
      <c r="A55" s="914">
        <v>150000591</v>
      </c>
      <c r="B55" s="915">
        <v>716.27</v>
      </c>
      <c r="C55" s="915">
        <v>716.27</v>
      </c>
      <c r="D55" s="555">
        <f>VLOOKUP(A55,ціни!$A$7:$D$401,4,FALSE)</f>
        <v>2</v>
      </c>
    </row>
    <row r="56" spans="1:4" x14ac:dyDescent="0.3">
      <c r="A56" s="914">
        <v>150000592</v>
      </c>
      <c r="B56" s="915">
        <v>71546.45</v>
      </c>
      <c r="C56" s="915">
        <v>139663</v>
      </c>
      <c r="D56" s="555">
        <f>VLOOKUP(A56,ціни!$A$7:$D$401,4,FALSE)</f>
        <v>9</v>
      </c>
    </row>
    <row r="57" spans="1:4" x14ac:dyDescent="0.3">
      <c r="A57" s="914">
        <v>150000593</v>
      </c>
      <c r="B57" s="915">
        <v>8075.08</v>
      </c>
      <c r="C57" s="915">
        <v>19303.84</v>
      </c>
      <c r="D57" s="555">
        <f>VLOOKUP(A57,ціни!$A$7:$D$401,4,FALSE)</f>
        <v>5</v>
      </c>
    </row>
    <row r="58" spans="1:4" x14ac:dyDescent="0.3">
      <c r="A58" s="914">
        <v>150000594</v>
      </c>
      <c r="B58" s="915">
        <v>66492.460000000006</v>
      </c>
      <c r="C58" s="915">
        <v>112938.98</v>
      </c>
      <c r="D58" s="555">
        <f>VLOOKUP(A58,ціни!$A$7:$D$401,4,FALSE)</f>
        <v>9</v>
      </c>
    </row>
    <row r="59" spans="1:4" x14ac:dyDescent="0.3">
      <c r="A59" s="914">
        <v>150000597</v>
      </c>
      <c r="B59" s="915">
        <v>37665.620000000003</v>
      </c>
      <c r="C59" s="915">
        <v>106590.66</v>
      </c>
      <c r="D59" s="555">
        <f>VLOOKUP(A59,ціни!$A$7:$D$401,4,FALSE)</f>
        <v>9</v>
      </c>
    </row>
    <row r="60" spans="1:4" x14ac:dyDescent="0.3">
      <c r="A60" s="914">
        <v>150000598</v>
      </c>
      <c r="B60" s="915">
        <v>435.47</v>
      </c>
      <c r="C60" s="915">
        <v>912.75</v>
      </c>
      <c r="D60" s="555">
        <f>VLOOKUP(A60,ціни!$A$7:$D$401,4,FALSE)</f>
        <v>1</v>
      </c>
    </row>
    <row r="61" spans="1:4" x14ac:dyDescent="0.3">
      <c r="A61" s="914">
        <v>150000599</v>
      </c>
      <c r="B61" s="915">
        <v>529.04</v>
      </c>
      <c r="C61" s="915">
        <v>660.92</v>
      </c>
      <c r="D61" s="555">
        <f>VLOOKUP(A61,ціни!$A$7:$D$401,4,FALSE)</f>
        <v>1</v>
      </c>
    </row>
    <row r="62" spans="1:4" x14ac:dyDescent="0.3">
      <c r="A62" s="914">
        <v>150000603</v>
      </c>
      <c r="B62" s="915">
        <v>1977.29</v>
      </c>
      <c r="C62" s="915">
        <v>18634.38</v>
      </c>
      <c r="D62" s="555">
        <f>VLOOKUP(A62,ціни!$A$7:$D$401,4,FALSE)</f>
        <v>2</v>
      </c>
    </row>
    <row r="63" spans="1:4" x14ac:dyDescent="0.3">
      <c r="A63" s="914">
        <v>150000604</v>
      </c>
      <c r="B63" s="915">
        <v>2336.56</v>
      </c>
      <c r="C63" s="915">
        <v>19412.419999999998</v>
      </c>
      <c r="D63" s="555">
        <f>VLOOKUP(A63,ціни!$A$7:$D$401,4,FALSE)</f>
        <v>2</v>
      </c>
    </row>
    <row r="64" spans="1:4" x14ac:dyDescent="0.3">
      <c r="A64" s="914">
        <v>150000605</v>
      </c>
      <c r="B64" s="915">
        <v>2126.52</v>
      </c>
      <c r="C64" s="915">
        <v>32415.94</v>
      </c>
      <c r="D64" s="555">
        <f>VLOOKUP(A64,ціни!$A$7:$D$401,4,FALSE)</f>
        <v>2</v>
      </c>
    </row>
    <row r="65" spans="1:4" x14ac:dyDescent="0.3">
      <c r="A65" s="914">
        <v>150000606</v>
      </c>
      <c r="B65" s="915">
        <v>4530.24</v>
      </c>
      <c r="C65" s="915">
        <v>22274.9</v>
      </c>
      <c r="D65" s="555">
        <f>VLOOKUP(A65,ціни!$A$7:$D$401,4,FALSE)</f>
        <v>2</v>
      </c>
    </row>
    <row r="66" spans="1:4" x14ac:dyDescent="0.3">
      <c r="A66" s="914">
        <v>150000607</v>
      </c>
      <c r="B66" s="915">
        <v>4388.68</v>
      </c>
      <c r="C66" s="915">
        <v>8461.32</v>
      </c>
      <c r="D66" s="555">
        <f>VLOOKUP(A66,ціни!$A$7:$D$401,4,FALSE)</f>
        <v>2</v>
      </c>
    </row>
    <row r="67" spans="1:4" x14ac:dyDescent="0.3">
      <c r="A67" s="914">
        <v>150000608</v>
      </c>
      <c r="B67" s="915">
        <v>3165.89</v>
      </c>
      <c r="C67" s="915">
        <v>26446.93</v>
      </c>
      <c r="D67" s="555">
        <f>VLOOKUP(A67,ціни!$A$7:$D$401,4,FALSE)</f>
        <v>2</v>
      </c>
    </row>
    <row r="68" spans="1:4" x14ac:dyDescent="0.3">
      <c r="A68" s="914">
        <v>150000609</v>
      </c>
      <c r="B68" s="915">
        <v>2296.4299999999998</v>
      </c>
      <c r="C68" s="915">
        <v>10278.82</v>
      </c>
      <c r="D68" s="555">
        <f>VLOOKUP(A68,ціни!$A$7:$D$401,4,FALSE)</f>
        <v>2</v>
      </c>
    </row>
    <row r="69" spans="1:4" x14ac:dyDescent="0.3">
      <c r="A69" s="914">
        <v>150000610</v>
      </c>
      <c r="B69" s="915">
        <v>2886.88</v>
      </c>
      <c r="C69" s="915">
        <v>7762.72</v>
      </c>
      <c r="D69" s="555">
        <f>VLOOKUP(A69,ціни!$A$7:$D$401,4,FALSE)</f>
        <v>2</v>
      </c>
    </row>
    <row r="70" spans="1:4" x14ac:dyDescent="0.3">
      <c r="A70" s="914">
        <v>150000611</v>
      </c>
      <c r="B70" s="915">
        <v>6036.57</v>
      </c>
      <c r="C70" s="915">
        <v>9964.6200000000008</v>
      </c>
      <c r="D70" s="555">
        <f>VLOOKUP(A70,ціни!$A$7:$D$401,4,FALSE)</f>
        <v>3</v>
      </c>
    </row>
    <row r="71" spans="1:4" x14ac:dyDescent="0.3">
      <c r="A71" s="914">
        <v>150000612</v>
      </c>
      <c r="B71" s="915">
        <v>3232.69</v>
      </c>
      <c r="C71" s="915">
        <v>4025.34</v>
      </c>
      <c r="D71" s="555">
        <f>VLOOKUP(A71,ціни!$A$7:$D$401,4,FALSE)</f>
        <v>2</v>
      </c>
    </row>
    <row r="72" spans="1:4" x14ac:dyDescent="0.3">
      <c r="A72" s="914">
        <v>150000613</v>
      </c>
      <c r="B72" s="915">
        <v>7451.48</v>
      </c>
      <c r="C72" s="915">
        <v>23624.44</v>
      </c>
      <c r="D72" s="555">
        <f>VLOOKUP(A72,ціни!$A$7:$D$401,4,FALSE)</f>
        <v>4</v>
      </c>
    </row>
    <row r="73" spans="1:4" x14ac:dyDescent="0.3">
      <c r="A73" s="914">
        <v>150000614</v>
      </c>
      <c r="B73" s="915">
        <v>3662.04</v>
      </c>
      <c r="C73" s="915">
        <v>5749.15</v>
      </c>
      <c r="D73" s="555">
        <f>VLOOKUP(A73,ціни!$A$7:$D$401,4,FALSE)</f>
        <v>2</v>
      </c>
    </row>
    <row r="74" spans="1:4" x14ac:dyDescent="0.3">
      <c r="A74" s="914">
        <v>150000615</v>
      </c>
      <c r="B74" s="915">
        <v>15499.57</v>
      </c>
      <c r="C74" s="915">
        <v>75871.78</v>
      </c>
      <c r="D74" s="555">
        <f>VLOOKUP(A74,ціни!$A$7:$D$401,4,FALSE)</f>
        <v>5</v>
      </c>
    </row>
    <row r="75" spans="1:4" x14ac:dyDescent="0.3">
      <c r="A75" s="914">
        <v>150000616</v>
      </c>
      <c r="B75" s="915">
        <v>8958.17</v>
      </c>
      <c r="C75" s="915">
        <v>37498.86</v>
      </c>
      <c r="D75" s="555">
        <f>VLOOKUP(A75,ціни!$A$7:$D$401,4,FALSE)</f>
        <v>5</v>
      </c>
    </row>
    <row r="76" spans="1:4" x14ac:dyDescent="0.3">
      <c r="A76" s="914">
        <v>150000618</v>
      </c>
      <c r="B76" s="915">
        <v>18784.259999999998</v>
      </c>
      <c r="C76" s="915">
        <v>23110.04</v>
      </c>
      <c r="D76" s="555">
        <f>VLOOKUP(A76,ціни!$A$7:$D$401,4,FALSE)</f>
        <v>10</v>
      </c>
    </row>
    <row r="77" spans="1:4" x14ac:dyDescent="0.3">
      <c r="A77" s="914">
        <v>150000619</v>
      </c>
      <c r="B77" s="915">
        <v>28705.8</v>
      </c>
      <c r="C77" s="915">
        <v>62201.42</v>
      </c>
      <c r="D77" s="555">
        <f>VLOOKUP(A77,ціни!$A$7:$D$401,4,FALSE)</f>
        <v>9</v>
      </c>
    </row>
    <row r="78" spans="1:4" x14ac:dyDescent="0.3">
      <c r="A78" s="914">
        <v>150000621</v>
      </c>
      <c r="B78" s="915">
        <v>228.81</v>
      </c>
      <c r="C78" s="915">
        <v>281.22000000000003</v>
      </c>
      <c r="D78" s="555">
        <f>VLOOKUP(A78,ціни!$A$7:$D$401,4,FALSE)</f>
        <v>1</v>
      </c>
    </row>
    <row r="79" spans="1:4" x14ac:dyDescent="0.3">
      <c r="A79" s="914">
        <v>150000623</v>
      </c>
      <c r="B79" s="915">
        <v>7868.73</v>
      </c>
      <c r="C79" s="915">
        <v>10421.31</v>
      </c>
      <c r="D79" s="555">
        <f>VLOOKUP(A79,ціни!$A$7:$D$401,4,FALSE)</f>
        <v>4</v>
      </c>
    </row>
    <row r="80" spans="1:4" x14ac:dyDescent="0.3">
      <c r="A80" s="914">
        <v>150000625</v>
      </c>
      <c r="B80" s="915">
        <v>34569.339999999997</v>
      </c>
      <c r="C80" s="915">
        <v>75388.850000000006</v>
      </c>
      <c r="D80" s="555">
        <f>VLOOKUP(A80,ціни!$A$7:$D$401,4,FALSE)</f>
        <v>10</v>
      </c>
    </row>
    <row r="81" spans="1:4" x14ac:dyDescent="0.3">
      <c r="A81" s="914">
        <v>150000626</v>
      </c>
      <c r="B81" s="915">
        <v>52598.97</v>
      </c>
      <c r="C81" s="915">
        <v>190649.9</v>
      </c>
      <c r="D81" s="555">
        <f>VLOOKUP(A81,ціни!$A$7:$D$401,4,FALSE)</f>
        <v>9</v>
      </c>
    </row>
    <row r="82" spans="1:4" x14ac:dyDescent="0.3">
      <c r="A82" s="914">
        <v>150000627</v>
      </c>
      <c r="B82" s="915">
        <v>29090.080000000002</v>
      </c>
      <c r="C82" s="915">
        <v>107870.58</v>
      </c>
      <c r="D82" s="555">
        <f>VLOOKUP(A82,ціни!$A$7:$D$401,4,FALSE)</f>
        <v>9</v>
      </c>
    </row>
    <row r="83" spans="1:4" x14ac:dyDescent="0.3">
      <c r="A83" s="914">
        <v>150000628</v>
      </c>
      <c r="B83" s="915">
        <v>29944.44</v>
      </c>
      <c r="C83" s="915">
        <v>71396.75</v>
      </c>
      <c r="D83" s="555">
        <f>VLOOKUP(A83,ціни!$A$7:$D$401,4,FALSE)</f>
        <v>9</v>
      </c>
    </row>
    <row r="84" spans="1:4" x14ac:dyDescent="0.3">
      <c r="A84" s="914">
        <v>150000629</v>
      </c>
      <c r="B84" s="915">
        <v>72192.31</v>
      </c>
      <c r="C84" s="915">
        <v>192510.58</v>
      </c>
      <c r="D84" s="555">
        <f>VLOOKUP(A84,ціни!$A$7:$D$401,4,FALSE)</f>
        <v>9</v>
      </c>
    </row>
    <row r="85" spans="1:4" x14ac:dyDescent="0.3">
      <c r="A85" s="914">
        <v>150000634</v>
      </c>
      <c r="B85" s="915">
        <v>347.21</v>
      </c>
      <c r="C85" s="915">
        <v>1568.88</v>
      </c>
      <c r="D85" s="555">
        <f>VLOOKUP(A85,ціни!$A$7:$D$401,4,FALSE)</f>
        <v>1</v>
      </c>
    </row>
    <row r="86" spans="1:4" x14ac:dyDescent="0.3">
      <c r="A86" s="914">
        <v>150000636</v>
      </c>
      <c r="B86" s="915">
        <v>17060.72</v>
      </c>
      <c r="C86" s="915">
        <v>40203.51</v>
      </c>
      <c r="D86" s="555">
        <f>VLOOKUP(A86,ціни!$A$7:$D$401,4,FALSE)</f>
        <v>5</v>
      </c>
    </row>
    <row r="87" spans="1:4" x14ac:dyDescent="0.3">
      <c r="A87" s="914">
        <v>150000643</v>
      </c>
      <c r="B87" s="915">
        <v>342.67</v>
      </c>
      <c r="C87" s="915">
        <v>-1146.3599999999999</v>
      </c>
      <c r="D87" s="555">
        <f>VLOOKUP(A87,ціни!$A$7:$D$401,4,FALSE)</f>
        <v>1</v>
      </c>
    </row>
    <row r="88" spans="1:4" x14ac:dyDescent="0.3">
      <c r="A88" s="914">
        <v>150000644</v>
      </c>
      <c r="B88" s="915">
        <v>380.7</v>
      </c>
      <c r="C88" s="915">
        <v>380.7</v>
      </c>
      <c r="D88" s="555">
        <f>VLOOKUP(A88,ціни!$A$7:$D$401,4,FALSE)</f>
        <v>1</v>
      </c>
    </row>
    <row r="89" spans="1:4" x14ac:dyDescent="0.3">
      <c r="A89" s="914">
        <v>150000645</v>
      </c>
      <c r="B89" s="915">
        <v>394.52</v>
      </c>
      <c r="C89" s="915">
        <v>346.09</v>
      </c>
      <c r="D89" s="555">
        <f>VLOOKUP(A89,ціни!$A$7:$D$401,4,FALSE)</f>
        <v>1</v>
      </c>
    </row>
    <row r="90" spans="1:4" x14ac:dyDescent="0.3">
      <c r="A90" s="914">
        <v>150000648</v>
      </c>
      <c r="B90" s="915">
        <v>18063.87</v>
      </c>
      <c r="C90" s="915">
        <v>31585.57</v>
      </c>
      <c r="D90" s="555">
        <f>VLOOKUP(A90,ціни!$A$7:$D$401,4,FALSE)</f>
        <v>9</v>
      </c>
    </row>
    <row r="91" spans="1:4" x14ac:dyDescent="0.3">
      <c r="A91" s="914">
        <v>150000658</v>
      </c>
      <c r="B91" s="915">
        <v>33838.050000000003</v>
      </c>
      <c r="C91" s="915">
        <v>90048.66</v>
      </c>
      <c r="D91" s="555">
        <f>VLOOKUP(A91,ціни!$A$7:$D$401,4,FALSE)</f>
        <v>9</v>
      </c>
    </row>
    <row r="92" spans="1:4" x14ac:dyDescent="0.3">
      <c r="A92" s="914">
        <v>150000659</v>
      </c>
      <c r="B92" s="915">
        <v>15311.64</v>
      </c>
      <c r="C92" s="915">
        <v>76668.710000000006</v>
      </c>
      <c r="D92" s="555">
        <f>VLOOKUP(A92,ціни!$A$7:$D$401,4,FALSE)</f>
        <v>10</v>
      </c>
    </row>
    <row r="93" spans="1:4" x14ac:dyDescent="0.3">
      <c r="A93" s="914">
        <v>150000660</v>
      </c>
      <c r="B93" s="915">
        <v>29142.17</v>
      </c>
      <c r="C93" s="915">
        <v>73249.47</v>
      </c>
      <c r="D93" s="555">
        <f>VLOOKUP(A93,ціни!$A$7:$D$401,4,FALSE)</f>
        <v>10</v>
      </c>
    </row>
    <row r="94" spans="1:4" x14ac:dyDescent="0.3">
      <c r="A94" s="914">
        <v>150000671</v>
      </c>
      <c r="B94" s="915">
        <v>444.51</v>
      </c>
      <c r="C94" s="915">
        <v>763.44</v>
      </c>
      <c r="D94" s="555">
        <f>VLOOKUP(A94,ціни!$A$7:$D$401,4,FALSE)</f>
        <v>1</v>
      </c>
    </row>
    <row r="95" spans="1:4" x14ac:dyDescent="0.3">
      <c r="A95" s="914">
        <v>150000672</v>
      </c>
      <c r="B95" s="915">
        <v>16281.29</v>
      </c>
      <c r="C95" s="915">
        <v>30181.69</v>
      </c>
      <c r="D95" s="555">
        <f>VLOOKUP(A95,ціни!$A$7:$D$401,4,FALSE)</f>
        <v>0</v>
      </c>
    </row>
    <row r="96" spans="1:4" x14ac:dyDescent="0.3">
      <c r="A96" s="914">
        <v>150000673</v>
      </c>
      <c r="B96" s="915">
        <v>3869.07</v>
      </c>
      <c r="C96" s="915">
        <v>41414.129999999997</v>
      </c>
      <c r="D96" s="555">
        <f>VLOOKUP(A96,ціни!$A$7:$D$401,4,FALSE)</f>
        <v>2</v>
      </c>
    </row>
    <row r="97" spans="1:4" x14ac:dyDescent="0.3">
      <c r="A97" s="914">
        <v>150000676</v>
      </c>
      <c r="B97" s="915">
        <v>29709.4</v>
      </c>
      <c r="C97" s="915">
        <v>135359.81</v>
      </c>
      <c r="D97" s="555">
        <f>VLOOKUP(A97,ціни!$A$7:$D$401,4,FALSE)</f>
        <v>9</v>
      </c>
    </row>
    <row r="98" spans="1:4" x14ac:dyDescent="0.3">
      <c r="A98" s="914">
        <v>150000686</v>
      </c>
      <c r="B98" s="915">
        <v>251.23</v>
      </c>
      <c r="C98" s="915">
        <v>187.05</v>
      </c>
      <c r="D98" s="555">
        <f>VLOOKUP(A98,ціни!$A$7:$D$401,4,FALSE)</f>
        <v>1</v>
      </c>
    </row>
    <row r="99" spans="1:4" x14ac:dyDescent="0.3">
      <c r="A99" s="914">
        <v>150000688</v>
      </c>
      <c r="B99" s="915">
        <v>403.23</v>
      </c>
      <c r="C99" s="915">
        <v>658.83</v>
      </c>
      <c r="D99" s="555">
        <f>VLOOKUP(A99,ціни!$A$7:$D$401,4,FALSE)</f>
        <v>1</v>
      </c>
    </row>
    <row r="100" spans="1:4" x14ac:dyDescent="0.3">
      <c r="A100" s="914">
        <v>150000689</v>
      </c>
      <c r="B100" s="915">
        <v>283.35000000000002</v>
      </c>
      <c r="C100" s="915">
        <v>313.66000000000003</v>
      </c>
      <c r="D100" s="555">
        <f>VLOOKUP(A100,ціни!$A$7:$D$401,4,FALSE)</f>
        <v>1</v>
      </c>
    </row>
    <row r="101" spans="1:4" x14ac:dyDescent="0.3">
      <c r="A101" s="914">
        <v>150000690</v>
      </c>
      <c r="B101" s="915">
        <v>223.32</v>
      </c>
      <c r="C101" s="915">
        <v>408.22</v>
      </c>
      <c r="D101" s="555">
        <f>VLOOKUP(A101,ціни!$A$7:$D$401,4,FALSE)</f>
        <v>1</v>
      </c>
    </row>
    <row r="102" spans="1:4" x14ac:dyDescent="0.3">
      <c r="A102" s="914">
        <v>150000694</v>
      </c>
      <c r="B102" s="915">
        <v>45404.85</v>
      </c>
      <c r="C102" s="915">
        <v>156108.51999999999</v>
      </c>
      <c r="D102" s="555">
        <f>VLOOKUP(A102,ціни!$A$7:$D$401,4,FALSE)</f>
        <v>9</v>
      </c>
    </row>
    <row r="103" spans="1:4" x14ac:dyDescent="0.3">
      <c r="A103" s="914">
        <v>150000695</v>
      </c>
      <c r="B103" s="915">
        <v>48807.21</v>
      </c>
      <c r="C103" s="915">
        <v>140600.23000000001</v>
      </c>
      <c r="D103" s="555">
        <f>VLOOKUP(A103,ціни!$A$7:$D$401,4,FALSE)</f>
        <v>9</v>
      </c>
    </row>
    <row r="104" spans="1:4" x14ac:dyDescent="0.3">
      <c r="A104" s="914">
        <v>150000696</v>
      </c>
      <c r="B104" s="915">
        <v>49309.95</v>
      </c>
      <c r="C104" s="915">
        <v>147681.72</v>
      </c>
      <c r="D104" s="555">
        <f>VLOOKUP(A104,ціни!$A$7:$D$401,4,FALSE)</f>
        <v>9</v>
      </c>
    </row>
    <row r="105" spans="1:4" x14ac:dyDescent="0.3">
      <c r="A105" s="914">
        <v>150000697</v>
      </c>
      <c r="B105" s="915">
        <v>16855.7</v>
      </c>
      <c r="C105" s="915">
        <v>41469.199999999997</v>
      </c>
      <c r="D105" s="555">
        <f>VLOOKUP(A105,ціни!$A$7:$D$401,4,FALSE)</f>
        <v>5</v>
      </c>
    </row>
    <row r="106" spans="1:4" x14ac:dyDescent="0.3">
      <c r="A106" s="914">
        <v>150000699</v>
      </c>
      <c r="B106" s="915">
        <v>26557.71</v>
      </c>
      <c r="C106" s="915">
        <v>77127.83</v>
      </c>
      <c r="D106" s="555">
        <f>VLOOKUP(A106,ціни!$A$7:$D$401,4,FALSE)</f>
        <v>9</v>
      </c>
    </row>
    <row r="107" spans="1:4" x14ac:dyDescent="0.3">
      <c r="A107" s="914">
        <v>150000702</v>
      </c>
      <c r="B107" s="915">
        <v>44704.63</v>
      </c>
      <c r="C107" s="915">
        <v>113101.89</v>
      </c>
      <c r="D107" s="555">
        <f>VLOOKUP(A107,ціни!$A$7:$D$401,4,FALSE)</f>
        <v>9</v>
      </c>
    </row>
    <row r="108" spans="1:4" x14ac:dyDescent="0.3">
      <c r="A108" s="914">
        <v>150000703</v>
      </c>
      <c r="B108" s="915">
        <v>44876.59</v>
      </c>
      <c r="C108" s="915">
        <v>134362.38</v>
      </c>
      <c r="D108" s="555">
        <f>VLOOKUP(A108,ціни!$A$7:$D$401,4,FALSE)</f>
        <v>9</v>
      </c>
    </row>
    <row r="109" spans="1:4" x14ac:dyDescent="0.3">
      <c r="A109" s="914">
        <v>150000706</v>
      </c>
      <c r="B109" s="915">
        <v>373.62</v>
      </c>
      <c r="C109" s="915">
        <v>612.22</v>
      </c>
      <c r="D109" s="555">
        <f>VLOOKUP(A109,ціни!$A$7:$D$401,4,FALSE)</f>
        <v>1</v>
      </c>
    </row>
    <row r="110" spans="1:4" x14ac:dyDescent="0.3">
      <c r="A110" s="914">
        <v>150000707</v>
      </c>
      <c r="B110" s="915">
        <v>495.3</v>
      </c>
      <c r="C110" s="915">
        <v>654.1</v>
      </c>
      <c r="D110" s="555">
        <f>VLOOKUP(A110,ціни!$A$7:$D$401,4,FALSE)</f>
        <v>1</v>
      </c>
    </row>
    <row r="111" spans="1:4" x14ac:dyDescent="0.3">
      <c r="A111" s="914">
        <v>150000708</v>
      </c>
      <c r="B111" s="915">
        <v>366.2</v>
      </c>
      <c r="C111" s="915">
        <v>964.21</v>
      </c>
      <c r="D111" s="555">
        <f>VLOOKUP(A111,ціни!$A$7:$D$401,4,FALSE)</f>
        <v>1</v>
      </c>
    </row>
    <row r="112" spans="1:4" x14ac:dyDescent="0.3">
      <c r="A112" s="914">
        <v>150000709</v>
      </c>
      <c r="B112" s="915">
        <v>307.56</v>
      </c>
      <c r="C112" s="915">
        <v>307.56</v>
      </c>
      <c r="D112" s="555">
        <f>VLOOKUP(A112,ціни!$A$7:$D$401,4,FALSE)</f>
        <v>1</v>
      </c>
    </row>
    <row r="113" spans="1:4" x14ac:dyDescent="0.3">
      <c r="A113" s="914">
        <v>150000710</v>
      </c>
      <c r="B113" s="915">
        <v>23448.639999999999</v>
      </c>
      <c r="C113" s="915">
        <v>70043.520000000004</v>
      </c>
      <c r="D113" s="555">
        <f>VLOOKUP(A113,ціни!$A$7:$D$401,4,FALSE)</f>
        <v>5</v>
      </c>
    </row>
    <row r="114" spans="1:4" x14ac:dyDescent="0.3">
      <c r="A114" s="914">
        <v>150000711</v>
      </c>
      <c r="B114" s="915">
        <v>25046.68</v>
      </c>
      <c r="C114" s="915">
        <v>150637.04</v>
      </c>
      <c r="D114" s="555">
        <f>VLOOKUP(A114,ціни!$A$7:$D$401,4,FALSE)</f>
        <v>5</v>
      </c>
    </row>
    <row r="115" spans="1:4" x14ac:dyDescent="0.3">
      <c r="A115" s="914">
        <v>150000712</v>
      </c>
      <c r="B115" s="915">
        <v>18153.830000000002</v>
      </c>
      <c r="C115" s="915">
        <v>49719.16</v>
      </c>
      <c r="D115" s="555">
        <f>VLOOKUP(A115,ціни!$A$7:$D$401,4,FALSE)</f>
        <v>5</v>
      </c>
    </row>
    <row r="116" spans="1:4" x14ac:dyDescent="0.3">
      <c r="A116" s="914">
        <v>150000713</v>
      </c>
      <c r="B116" s="915">
        <v>27615.599999999999</v>
      </c>
      <c r="C116" s="915">
        <v>94837.29</v>
      </c>
      <c r="D116" s="555">
        <f>VLOOKUP(A116,ціни!$A$7:$D$401,4,FALSE)</f>
        <v>5</v>
      </c>
    </row>
    <row r="117" spans="1:4" x14ac:dyDescent="0.3">
      <c r="A117" s="914">
        <v>150000714</v>
      </c>
      <c r="B117" s="915">
        <v>16722.48</v>
      </c>
      <c r="C117" s="915">
        <v>43078.23</v>
      </c>
      <c r="D117" s="555">
        <f>VLOOKUP(A117,ціни!$A$7:$D$401,4,FALSE)</f>
        <v>5</v>
      </c>
    </row>
    <row r="118" spans="1:4" x14ac:dyDescent="0.3">
      <c r="A118" s="914">
        <v>150000715</v>
      </c>
      <c r="B118" s="915">
        <v>24909.33</v>
      </c>
      <c r="C118" s="915">
        <v>56391.1</v>
      </c>
      <c r="D118" s="555">
        <f>VLOOKUP(A118,ціни!$A$7:$D$401,4,FALSE)</f>
        <v>5</v>
      </c>
    </row>
    <row r="119" spans="1:4" x14ac:dyDescent="0.3">
      <c r="A119" s="914">
        <v>150000716</v>
      </c>
      <c r="B119" s="915">
        <v>14153.7</v>
      </c>
      <c r="C119" s="915">
        <v>19259.2</v>
      </c>
      <c r="D119" s="555">
        <f>VLOOKUP(A119,ціни!$A$7:$D$401,4,FALSE)</f>
        <v>5</v>
      </c>
    </row>
    <row r="120" spans="1:4" x14ac:dyDescent="0.3">
      <c r="A120" s="914">
        <v>150000717</v>
      </c>
      <c r="B120" s="915">
        <v>14588.42</v>
      </c>
      <c r="C120" s="915">
        <v>25972.95</v>
      </c>
      <c r="D120" s="555">
        <f>VLOOKUP(A120,ціни!$A$7:$D$401,4,FALSE)</f>
        <v>5</v>
      </c>
    </row>
    <row r="121" spans="1:4" x14ac:dyDescent="0.3">
      <c r="A121" s="914">
        <v>150000718</v>
      </c>
      <c r="B121" s="915">
        <v>24816.9</v>
      </c>
      <c r="C121" s="915">
        <v>37482.559999999998</v>
      </c>
      <c r="D121" s="555">
        <f>VLOOKUP(A121,ціни!$A$7:$D$401,4,FALSE)</f>
        <v>5</v>
      </c>
    </row>
    <row r="122" spans="1:4" x14ac:dyDescent="0.3">
      <c r="A122" s="914">
        <v>150000719</v>
      </c>
      <c r="B122" s="915">
        <v>34441.79</v>
      </c>
      <c r="C122" s="915">
        <v>147018.32999999999</v>
      </c>
      <c r="D122" s="555">
        <f>VLOOKUP(A122,ціни!$A$7:$D$401,4,FALSE)</f>
        <v>5</v>
      </c>
    </row>
    <row r="123" spans="1:4" x14ac:dyDescent="0.3">
      <c r="A123" s="914">
        <v>150000720</v>
      </c>
      <c r="B123" s="915">
        <v>17090.63</v>
      </c>
      <c r="C123" s="915">
        <v>34801.54</v>
      </c>
      <c r="D123" s="555">
        <f>VLOOKUP(A123,ціни!$A$7:$D$401,4,FALSE)</f>
        <v>5</v>
      </c>
    </row>
    <row r="124" spans="1:4" x14ac:dyDescent="0.3">
      <c r="A124" s="914">
        <v>150000721</v>
      </c>
      <c r="B124" s="915">
        <v>14731.46</v>
      </c>
      <c r="C124" s="915">
        <v>46741.69</v>
      </c>
      <c r="D124" s="555">
        <f>VLOOKUP(A124,ціни!$A$7:$D$401,4,FALSE)</f>
        <v>4</v>
      </c>
    </row>
    <row r="125" spans="1:4" x14ac:dyDescent="0.3">
      <c r="A125" s="914">
        <v>150000722</v>
      </c>
      <c r="B125" s="915">
        <v>18385.830000000002</v>
      </c>
      <c r="C125" s="915">
        <v>72358.179999999993</v>
      </c>
      <c r="D125" s="555">
        <f>VLOOKUP(A125,ціни!$A$7:$D$401,4,FALSE)</f>
        <v>5</v>
      </c>
    </row>
    <row r="126" spans="1:4" x14ac:dyDescent="0.3">
      <c r="A126" s="914">
        <v>150000723</v>
      </c>
      <c r="B126" s="915">
        <v>19379.060000000001</v>
      </c>
      <c r="C126" s="915">
        <v>60729.03</v>
      </c>
      <c r="D126" s="555">
        <f>VLOOKUP(A126,ціни!$A$7:$D$401,4,FALSE)</f>
        <v>5</v>
      </c>
    </row>
    <row r="127" spans="1:4" x14ac:dyDescent="0.3">
      <c r="A127" s="914">
        <v>150000724</v>
      </c>
      <c r="B127" s="915">
        <v>19174.68</v>
      </c>
      <c r="C127" s="915">
        <v>80945.210000000006</v>
      </c>
      <c r="D127" s="555">
        <f>VLOOKUP(A127,ціни!$A$7:$D$401,4,FALSE)</f>
        <v>5</v>
      </c>
    </row>
    <row r="128" spans="1:4" x14ac:dyDescent="0.3">
      <c r="A128" s="914">
        <v>150000725</v>
      </c>
      <c r="B128" s="915">
        <v>20209.59</v>
      </c>
      <c r="C128" s="915">
        <v>100411.31</v>
      </c>
      <c r="D128" s="555">
        <f>VLOOKUP(A128,ціни!$A$7:$D$401,4,FALSE)</f>
        <v>5</v>
      </c>
    </row>
    <row r="129" spans="1:4" x14ac:dyDescent="0.3">
      <c r="A129" s="914">
        <v>150000726</v>
      </c>
      <c r="B129" s="915">
        <v>2457.8200000000002</v>
      </c>
      <c r="C129" s="915">
        <v>9988.75</v>
      </c>
      <c r="D129" s="555">
        <f>VLOOKUP(A129,ціни!$A$7:$D$401,4,FALSE)</f>
        <v>2</v>
      </c>
    </row>
    <row r="130" spans="1:4" x14ac:dyDescent="0.3">
      <c r="A130" s="914">
        <v>150000728</v>
      </c>
      <c r="B130" s="915">
        <v>2259.4299999999998</v>
      </c>
      <c r="C130" s="915">
        <v>922.17</v>
      </c>
      <c r="D130" s="555">
        <f>VLOOKUP(A130,ціни!$A$7:$D$401,4,FALSE)</f>
        <v>2</v>
      </c>
    </row>
    <row r="131" spans="1:4" x14ac:dyDescent="0.3">
      <c r="A131" s="914">
        <v>150000729</v>
      </c>
      <c r="B131" s="915">
        <v>10659.95</v>
      </c>
      <c r="C131" s="915">
        <v>29941.1</v>
      </c>
      <c r="D131" s="555">
        <f>VLOOKUP(A131,ціни!$A$7:$D$401,4,FALSE)</f>
        <v>5</v>
      </c>
    </row>
    <row r="132" spans="1:4" x14ac:dyDescent="0.3">
      <c r="A132" s="914">
        <v>150000736</v>
      </c>
      <c r="B132" s="915">
        <v>12748.24</v>
      </c>
      <c r="C132" s="915">
        <v>27928.77</v>
      </c>
      <c r="D132" s="555">
        <f>VLOOKUP(A132,ціни!$A$7:$D$401,4,FALSE)</f>
        <v>4</v>
      </c>
    </row>
    <row r="133" spans="1:4" x14ac:dyDescent="0.3">
      <c r="A133" s="914">
        <v>150000737</v>
      </c>
      <c r="B133" s="915">
        <v>11601.64</v>
      </c>
      <c r="C133" s="915">
        <v>57154.06</v>
      </c>
      <c r="D133" s="555">
        <f>VLOOKUP(A133,ціни!$A$7:$D$401,4,FALSE)</f>
        <v>4</v>
      </c>
    </row>
    <row r="134" spans="1:4" x14ac:dyDescent="0.3">
      <c r="A134" s="914">
        <v>150000738</v>
      </c>
      <c r="B134" s="915">
        <v>18882.07</v>
      </c>
      <c r="C134" s="915">
        <v>43985.7</v>
      </c>
      <c r="D134" s="555">
        <f>VLOOKUP(A134,ціни!$A$7:$D$401,4,FALSE)</f>
        <v>5</v>
      </c>
    </row>
    <row r="135" spans="1:4" x14ac:dyDescent="0.3">
      <c r="A135" s="914">
        <v>150000739</v>
      </c>
      <c r="B135" s="915">
        <v>16213.24</v>
      </c>
      <c r="C135" s="915">
        <v>50251.75</v>
      </c>
      <c r="D135" s="555">
        <f>VLOOKUP(A135,ціни!$A$7:$D$401,4,FALSE)</f>
        <v>4</v>
      </c>
    </row>
    <row r="136" spans="1:4" x14ac:dyDescent="0.3">
      <c r="A136" s="914">
        <v>150000740</v>
      </c>
      <c r="B136" s="915">
        <v>7215.19</v>
      </c>
      <c r="C136" s="915">
        <v>16262.65</v>
      </c>
      <c r="D136" s="555">
        <f>VLOOKUP(A136,ціни!$A$7:$D$401,4,FALSE)</f>
        <v>3</v>
      </c>
    </row>
    <row r="137" spans="1:4" x14ac:dyDescent="0.3">
      <c r="A137" s="914">
        <v>150000741</v>
      </c>
      <c r="B137" s="915">
        <v>12367.12</v>
      </c>
      <c r="C137" s="915">
        <v>26898.87</v>
      </c>
      <c r="D137" s="555">
        <f>VLOOKUP(A137,ціни!$A$7:$D$401,4,FALSE)</f>
        <v>4</v>
      </c>
    </row>
    <row r="138" spans="1:4" x14ac:dyDescent="0.3">
      <c r="A138" s="914">
        <v>150000742</v>
      </c>
      <c r="B138" s="915">
        <v>8580.5400000000009</v>
      </c>
      <c r="C138" s="915">
        <v>30345.02</v>
      </c>
      <c r="D138" s="555">
        <f>VLOOKUP(A138,ціни!$A$7:$D$401,4,FALSE)</f>
        <v>5</v>
      </c>
    </row>
    <row r="139" spans="1:4" x14ac:dyDescent="0.3">
      <c r="A139" s="914">
        <v>150000743</v>
      </c>
      <c r="B139" s="915">
        <v>7836.63</v>
      </c>
      <c r="C139" s="915">
        <v>49738.68</v>
      </c>
      <c r="D139" s="555">
        <f>VLOOKUP(A139,ціни!$A$7:$D$401,4,FALSE)</f>
        <v>4</v>
      </c>
    </row>
    <row r="140" spans="1:4" x14ac:dyDescent="0.3">
      <c r="A140" s="914">
        <v>150000744</v>
      </c>
      <c r="B140" s="915">
        <v>8398.35</v>
      </c>
      <c r="C140" s="915">
        <v>24278.720000000001</v>
      </c>
      <c r="D140" s="555">
        <f>VLOOKUP(A140,ціни!$A$7:$D$401,4,FALSE)</f>
        <v>4</v>
      </c>
    </row>
    <row r="141" spans="1:4" x14ac:dyDescent="0.3">
      <c r="A141" s="914">
        <v>150000745</v>
      </c>
      <c r="B141" s="915">
        <v>426.74</v>
      </c>
      <c r="C141" s="915">
        <v>2514.98</v>
      </c>
      <c r="D141" s="555">
        <f>VLOOKUP(A141,ціни!$A$7:$D$401,4,FALSE)</f>
        <v>1</v>
      </c>
    </row>
    <row r="142" spans="1:4" x14ac:dyDescent="0.3">
      <c r="A142" s="914">
        <v>150000750</v>
      </c>
      <c r="B142" s="915">
        <v>547.30999999999995</v>
      </c>
      <c r="C142" s="915">
        <v>1813.67</v>
      </c>
      <c r="D142" s="555">
        <f>VLOOKUP(A142,ціни!$A$7:$D$401,4,FALSE)</f>
        <v>1</v>
      </c>
    </row>
    <row r="143" spans="1:4" x14ac:dyDescent="0.3">
      <c r="A143" s="914">
        <v>150000751</v>
      </c>
      <c r="B143" s="915">
        <v>258.69</v>
      </c>
      <c r="C143" s="915">
        <v>-359.79</v>
      </c>
      <c r="D143" s="555">
        <f>VLOOKUP(A143,ціни!$A$7:$D$401,4,FALSE)</f>
        <v>1</v>
      </c>
    </row>
    <row r="144" spans="1:4" x14ac:dyDescent="0.3">
      <c r="A144" s="914">
        <v>150000752</v>
      </c>
      <c r="B144" s="915">
        <v>28831.1</v>
      </c>
      <c r="C144" s="915">
        <v>53817.55</v>
      </c>
      <c r="D144" s="555">
        <f>VLOOKUP(A144,ціни!$A$7:$D$401,4,FALSE)</f>
        <v>9</v>
      </c>
    </row>
    <row r="145" spans="1:4" x14ac:dyDescent="0.3">
      <c r="A145" s="914">
        <v>150000753</v>
      </c>
      <c r="B145" s="915">
        <v>10414.09</v>
      </c>
      <c r="C145" s="915">
        <v>24760.61</v>
      </c>
      <c r="D145" s="555">
        <f>VLOOKUP(A145,ціни!$A$7:$D$401,4,FALSE)</f>
        <v>5</v>
      </c>
    </row>
    <row r="146" spans="1:4" x14ac:dyDescent="0.3">
      <c r="A146" s="914">
        <v>150000754</v>
      </c>
      <c r="B146" s="915">
        <v>17175.599999999999</v>
      </c>
      <c r="C146" s="915">
        <v>66440.479999999996</v>
      </c>
      <c r="D146" s="555">
        <f>VLOOKUP(A146,ціни!$A$7:$D$401,4,FALSE)</f>
        <v>5</v>
      </c>
    </row>
    <row r="147" spans="1:4" x14ac:dyDescent="0.3">
      <c r="A147" s="914">
        <v>150000758</v>
      </c>
      <c r="B147" s="915">
        <v>95553.23</v>
      </c>
      <c r="C147" s="915">
        <v>279665.94</v>
      </c>
      <c r="D147" s="555">
        <f>VLOOKUP(A147,ціни!$A$7:$D$401,4,FALSE)</f>
        <v>9</v>
      </c>
    </row>
    <row r="148" spans="1:4" x14ac:dyDescent="0.3">
      <c r="A148" s="914">
        <v>150000759</v>
      </c>
      <c r="B148" s="915">
        <v>42291.16</v>
      </c>
      <c r="C148" s="915">
        <v>161533.25</v>
      </c>
      <c r="D148" s="555">
        <f>VLOOKUP(A148,ціни!$A$7:$D$401,4,FALSE)</f>
        <v>9</v>
      </c>
    </row>
    <row r="149" spans="1:4" x14ac:dyDescent="0.3">
      <c r="A149" s="914">
        <v>150000760</v>
      </c>
      <c r="B149" s="915">
        <v>77692.179999999993</v>
      </c>
      <c r="C149" s="915">
        <v>256268.88</v>
      </c>
      <c r="D149" s="555">
        <f>VLOOKUP(A149,ціни!$A$7:$D$401,4,FALSE)</f>
        <v>9</v>
      </c>
    </row>
    <row r="150" spans="1:4" x14ac:dyDescent="0.3">
      <c r="A150" s="914">
        <v>150000761</v>
      </c>
      <c r="B150" s="915">
        <v>40790.300000000003</v>
      </c>
      <c r="C150" s="915">
        <v>75929.62</v>
      </c>
      <c r="D150" s="555">
        <f>VLOOKUP(A150,ціни!$A$7:$D$401,4,FALSE)</f>
        <v>9</v>
      </c>
    </row>
    <row r="151" spans="1:4" x14ac:dyDescent="0.3">
      <c r="A151" s="914">
        <v>150000762</v>
      </c>
      <c r="B151" s="915">
        <v>16491.86</v>
      </c>
      <c r="C151" s="915">
        <v>49692</v>
      </c>
      <c r="D151" s="555">
        <f>VLOOKUP(A151,ціни!$A$7:$D$401,4,FALSE)</f>
        <v>9</v>
      </c>
    </row>
    <row r="152" spans="1:4" x14ac:dyDescent="0.3">
      <c r="A152" s="914">
        <v>150000763</v>
      </c>
      <c r="B152" s="915">
        <v>295.61</v>
      </c>
      <c r="C152" s="915">
        <v>1061.76</v>
      </c>
      <c r="D152" s="555">
        <f>VLOOKUP(A152,ціни!$A$7:$D$401,4,FALSE)</f>
        <v>1</v>
      </c>
    </row>
    <row r="153" spans="1:4" x14ac:dyDescent="0.3">
      <c r="A153" s="914">
        <v>150000764</v>
      </c>
      <c r="B153" s="915">
        <v>345.98</v>
      </c>
      <c r="C153" s="915">
        <v>331.18</v>
      </c>
      <c r="D153" s="555">
        <f>VLOOKUP(A153,ціни!$A$7:$D$401,4,FALSE)</f>
        <v>1</v>
      </c>
    </row>
    <row r="154" spans="1:4" x14ac:dyDescent="0.3">
      <c r="A154" s="914">
        <v>150000765</v>
      </c>
      <c r="B154" s="915">
        <v>24840.43</v>
      </c>
      <c r="C154" s="915">
        <v>90913.3</v>
      </c>
      <c r="D154" s="555">
        <f>VLOOKUP(A154,ціни!$A$7:$D$401,4,FALSE)</f>
        <v>5</v>
      </c>
    </row>
    <row r="155" spans="1:4" x14ac:dyDescent="0.3">
      <c r="A155" s="914">
        <v>150000768</v>
      </c>
      <c r="B155" s="915">
        <v>232.08</v>
      </c>
      <c r="C155" s="915">
        <v>264.18</v>
      </c>
      <c r="D155" s="555">
        <f>VLOOKUP(A155,ціни!$A$7:$D$401,4,FALSE)</f>
        <v>1</v>
      </c>
    </row>
    <row r="156" spans="1:4" x14ac:dyDescent="0.3">
      <c r="A156" s="914">
        <v>150000770</v>
      </c>
      <c r="B156" s="915">
        <v>262.45</v>
      </c>
      <c r="C156" s="915">
        <v>131.68</v>
      </c>
      <c r="D156" s="555">
        <f>VLOOKUP(A156,ціни!$A$7:$D$401,4,FALSE)</f>
        <v>1</v>
      </c>
    </row>
    <row r="157" spans="1:4" x14ac:dyDescent="0.3">
      <c r="A157" s="914">
        <v>150000777</v>
      </c>
      <c r="B157" s="915">
        <v>1831.35</v>
      </c>
      <c r="C157" s="915">
        <v>2619.9899999999998</v>
      </c>
      <c r="D157" s="555">
        <f>VLOOKUP(A157,ціни!$A$7:$D$401,4,FALSE)</f>
        <v>2</v>
      </c>
    </row>
    <row r="158" spans="1:4" x14ac:dyDescent="0.3">
      <c r="A158" s="914">
        <v>150000778</v>
      </c>
      <c r="B158" s="915">
        <v>10970.35</v>
      </c>
      <c r="C158" s="915">
        <v>73004.28</v>
      </c>
      <c r="D158" s="555">
        <f>VLOOKUP(A158,ціни!$A$7:$D$401,4,FALSE)</f>
        <v>4</v>
      </c>
    </row>
    <row r="159" spans="1:4" x14ac:dyDescent="0.3">
      <c r="A159" s="914">
        <v>150000781</v>
      </c>
      <c r="B159" s="915">
        <v>437.48</v>
      </c>
      <c r="C159" s="915">
        <v>1921.66</v>
      </c>
      <c r="D159" s="555">
        <f>VLOOKUP(A159,ціни!$A$7:$D$401,4,FALSE)</f>
        <v>1</v>
      </c>
    </row>
    <row r="160" spans="1:4" x14ac:dyDescent="0.3">
      <c r="A160" s="914">
        <v>150000795</v>
      </c>
      <c r="B160" s="915">
        <v>15676.38</v>
      </c>
      <c r="C160" s="915">
        <v>49656.71</v>
      </c>
      <c r="D160" s="555">
        <f>VLOOKUP(A160,ціни!$A$7:$D$401,4,FALSE)</f>
        <v>5</v>
      </c>
    </row>
    <row r="161" spans="1:4" x14ac:dyDescent="0.3">
      <c r="A161" s="914">
        <v>150000796</v>
      </c>
      <c r="B161" s="915">
        <v>280.08999999999997</v>
      </c>
      <c r="C161" s="915">
        <v>390.79</v>
      </c>
      <c r="D161" s="555">
        <f>VLOOKUP(A161,ціни!$A$7:$D$401,4,FALSE)</f>
        <v>1</v>
      </c>
    </row>
    <row r="162" spans="1:4" x14ac:dyDescent="0.3">
      <c r="A162" s="914">
        <v>150000797</v>
      </c>
      <c r="B162" s="915">
        <v>22785.33</v>
      </c>
      <c r="C162" s="915">
        <v>95124.5</v>
      </c>
      <c r="D162" s="555">
        <f>VLOOKUP(A162,ціни!$A$7:$D$401,4,FALSE)</f>
        <v>4</v>
      </c>
    </row>
    <row r="163" spans="1:4" x14ac:dyDescent="0.3">
      <c r="A163" s="914">
        <v>150000798</v>
      </c>
      <c r="B163" s="915">
        <v>5255.14</v>
      </c>
      <c r="C163" s="915">
        <v>28651.32</v>
      </c>
      <c r="D163" s="555">
        <f>VLOOKUP(A163,ціни!$A$7:$D$401,4,FALSE)</f>
        <v>4</v>
      </c>
    </row>
    <row r="164" spans="1:4" x14ac:dyDescent="0.3">
      <c r="A164" s="914">
        <v>150000799</v>
      </c>
      <c r="B164" s="915">
        <v>6682.3</v>
      </c>
      <c r="C164" s="915">
        <v>22001.72</v>
      </c>
      <c r="D164" s="555">
        <f>VLOOKUP(A164,ціни!$A$7:$D$401,4,FALSE)</f>
        <v>5</v>
      </c>
    </row>
    <row r="165" spans="1:4" x14ac:dyDescent="0.3">
      <c r="A165" s="914">
        <v>150000800</v>
      </c>
      <c r="B165" s="915">
        <v>7025.06</v>
      </c>
      <c r="C165" s="915">
        <v>13244.8</v>
      </c>
      <c r="D165" s="555">
        <f>VLOOKUP(A165,ціни!$A$7:$D$401,4,FALSE)</f>
        <v>4</v>
      </c>
    </row>
    <row r="166" spans="1:4" x14ac:dyDescent="0.3">
      <c r="A166" s="914">
        <v>150000801</v>
      </c>
      <c r="B166" s="915">
        <v>18134.3</v>
      </c>
      <c r="C166" s="915">
        <v>62565.87</v>
      </c>
      <c r="D166" s="555">
        <f>VLOOKUP(A166,ціни!$A$7:$D$401,4,FALSE)</f>
        <v>5</v>
      </c>
    </row>
    <row r="167" spans="1:4" x14ac:dyDescent="0.3">
      <c r="A167" s="914">
        <v>150000802</v>
      </c>
      <c r="B167" s="915">
        <v>16539.03</v>
      </c>
      <c r="C167" s="915">
        <v>39649.25</v>
      </c>
      <c r="D167" s="555">
        <f>VLOOKUP(A167,ціни!$A$7:$D$401,4,FALSE)</f>
        <v>5</v>
      </c>
    </row>
    <row r="168" spans="1:4" x14ac:dyDescent="0.3">
      <c r="A168" s="914">
        <v>150000803</v>
      </c>
      <c r="B168" s="915">
        <v>5361.88</v>
      </c>
      <c r="C168" s="915">
        <v>30957.73</v>
      </c>
      <c r="D168" s="555">
        <f>VLOOKUP(A168,ціни!$A$7:$D$401,4,FALSE)</f>
        <v>4</v>
      </c>
    </row>
    <row r="169" spans="1:4" x14ac:dyDescent="0.3">
      <c r="A169" s="914">
        <v>150000805</v>
      </c>
      <c r="B169" s="915">
        <v>13027.89</v>
      </c>
      <c r="C169" s="915">
        <v>31542.91</v>
      </c>
      <c r="D169" s="555">
        <f>VLOOKUP(A169,ціни!$A$7:$D$401,4,FALSE)</f>
        <v>5</v>
      </c>
    </row>
    <row r="170" spans="1:4" x14ac:dyDescent="0.3">
      <c r="A170" s="914">
        <v>150000806</v>
      </c>
      <c r="B170" s="915">
        <v>9868.3700000000008</v>
      </c>
      <c r="C170" s="915">
        <v>37239.18</v>
      </c>
      <c r="D170" s="555">
        <f>VLOOKUP(A170,ціни!$A$7:$D$401,4,FALSE)</f>
        <v>4</v>
      </c>
    </row>
    <row r="171" spans="1:4" x14ac:dyDescent="0.3">
      <c r="A171" s="914">
        <v>150000807</v>
      </c>
      <c r="B171" s="915">
        <v>1115.56</v>
      </c>
      <c r="C171" s="915">
        <v>7705.91</v>
      </c>
      <c r="D171" s="555">
        <f>VLOOKUP(A171,ціни!$A$7:$D$401,4,FALSE)</f>
        <v>2</v>
      </c>
    </row>
    <row r="172" spans="1:4" x14ac:dyDescent="0.3">
      <c r="A172" s="914">
        <v>150000808</v>
      </c>
      <c r="B172" s="915">
        <v>8354.18</v>
      </c>
      <c r="C172" s="915">
        <v>18016.46</v>
      </c>
      <c r="D172" s="555">
        <f>VLOOKUP(A172,ціни!$A$7:$D$401,4,FALSE)</f>
        <v>5</v>
      </c>
    </row>
    <row r="173" spans="1:4" x14ac:dyDescent="0.3">
      <c r="A173" s="914">
        <v>150000809</v>
      </c>
      <c r="B173" s="915">
        <v>10937.34</v>
      </c>
      <c r="C173" s="915">
        <v>26675.7</v>
      </c>
      <c r="D173" s="555">
        <f>VLOOKUP(A173,ціни!$A$7:$D$401,4,FALSE)</f>
        <v>5</v>
      </c>
    </row>
    <row r="174" spans="1:4" x14ac:dyDescent="0.3">
      <c r="A174" s="914">
        <v>150000810</v>
      </c>
      <c r="B174" s="915">
        <v>12024.99</v>
      </c>
      <c r="C174" s="915">
        <v>51028.38</v>
      </c>
      <c r="D174" s="555">
        <f>VLOOKUP(A174,ціни!$A$7:$D$401,4,FALSE)</f>
        <v>5</v>
      </c>
    </row>
    <row r="175" spans="1:4" x14ac:dyDescent="0.3">
      <c r="A175" s="914">
        <v>150000811</v>
      </c>
      <c r="B175" s="915">
        <v>14627.35</v>
      </c>
      <c r="C175" s="915">
        <v>43920.9</v>
      </c>
      <c r="D175" s="555">
        <f>VLOOKUP(A175,ціни!$A$7:$D$401,4,FALSE)</f>
        <v>5</v>
      </c>
    </row>
    <row r="176" spans="1:4" x14ac:dyDescent="0.3">
      <c r="A176" s="914">
        <v>150000812</v>
      </c>
      <c r="B176" s="915">
        <v>10827</v>
      </c>
      <c r="C176" s="915">
        <v>65856.850000000006</v>
      </c>
      <c r="D176" s="555">
        <f>VLOOKUP(A176,ціни!$A$7:$D$401,4,FALSE)</f>
        <v>5</v>
      </c>
    </row>
    <row r="177" spans="1:4" x14ac:dyDescent="0.3">
      <c r="A177" s="914">
        <v>150000813</v>
      </c>
      <c r="B177" s="915">
        <v>1787.99</v>
      </c>
      <c r="C177" s="915">
        <v>8701.75</v>
      </c>
      <c r="D177" s="555">
        <f>VLOOKUP(A177,ціни!$A$7:$D$401,4,FALSE)</f>
        <v>2</v>
      </c>
    </row>
    <row r="178" spans="1:4" x14ac:dyDescent="0.3">
      <c r="A178" s="914">
        <v>150000814</v>
      </c>
      <c r="B178" s="915">
        <v>12355.03</v>
      </c>
      <c r="C178" s="915">
        <v>42784.38</v>
      </c>
      <c r="D178" s="555">
        <f>VLOOKUP(A178,ціни!$A$7:$D$401,4,FALSE)</f>
        <v>5</v>
      </c>
    </row>
    <row r="179" spans="1:4" x14ac:dyDescent="0.3">
      <c r="A179" s="914">
        <v>150000816</v>
      </c>
      <c r="B179" s="915">
        <v>11364.56</v>
      </c>
      <c r="C179" s="915">
        <v>13575.79</v>
      </c>
      <c r="D179" s="555">
        <f>VLOOKUP(A179,ціни!$A$7:$D$401,4,FALSE)</f>
        <v>4</v>
      </c>
    </row>
    <row r="180" spans="1:4" x14ac:dyDescent="0.3">
      <c r="A180" s="914">
        <v>150000819</v>
      </c>
      <c r="B180" s="915">
        <v>44017.19</v>
      </c>
      <c r="C180" s="915">
        <v>57480.99</v>
      </c>
      <c r="D180" s="555">
        <f>VLOOKUP(A180,ціни!$A$7:$D$401,4,FALSE)</f>
        <v>10</v>
      </c>
    </row>
    <row r="181" spans="1:4" x14ac:dyDescent="0.3">
      <c r="A181" s="914">
        <v>150000820</v>
      </c>
      <c r="B181" s="915">
        <v>32678.29</v>
      </c>
      <c r="C181" s="915">
        <v>37602.230000000003</v>
      </c>
      <c r="D181" s="555">
        <f>VLOOKUP(A181,ціни!$A$7:$D$401,4,FALSE)</f>
        <v>9</v>
      </c>
    </row>
    <row r="182" spans="1:4" x14ac:dyDescent="0.3">
      <c r="A182" s="914">
        <v>150000827</v>
      </c>
      <c r="B182" s="915">
        <v>17364.07</v>
      </c>
      <c r="C182" s="915">
        <v>83005.08</v>
      </c>
      <c r="D182" s="555">
        <f>VLOOKUP(A182,ціни!$A$7:$D$401,4,FALSE)</f>
        <v>5</v>
      </c>
    </row>
    <row r="183" spans="1:4" x14ac:dyDescent="0.3">
      <c r="A183" s="914">
        <v>150000828</v>
      </c>
      <c r="B183" s="915">
        <v>14514.62</v>
      </c>
      <c r="C183" s="915">
        <v>48452.65</v>
      </c>
      <c r="D183" s="555">
        <f>VLOOKUP(A183,ціни!$A$7:$D$401,4,FALSE)</f>
        <v>5</v>
      </c>
    </row>
    <row r="184" spans="1:4" x14ac:dyDescent="0.3">
      <c r="A184" s="914">
        <v>150000829</v>
      </c>
      <c r="B184" s="915">
        <v>13856.16</v>
      </c>
      <c r="C184" s="915">
        <v>46447.27</v>
      </c>
      <c r="D184" s="555">
        <f>VLOOKUP(A184,ціни!$A$7:$D$401,4,FALSE)</f>
        <v>4</v>
      </c>
    </row>
    <row r="185" spans="1:4" x14ac:dyDescent="0.3">
      <c r="A185" s="914">
        <v>150000830</v>
      </c>
      <c r="B185" s="915">
        <v>19786.55</v>
      </c>
      <c r="C185" s="915">
        <v>30404.06</v>
      </c>
      <c r="D185" s="555">
        <f>VLOOKUP(A185,ціни!$A$7:$D$401,4,FALSE)</f>
        <v>5</v>
      </c>
    </row>
    <row r="186" spans="1:4" x14ac:dyDescent="0.3">
      <c r="A186" s="914">
        <v>150000832</v>
      </c>
      <c r="B186" s="915">
        <v>32015.51</v>
      </c>
      <c r="C186" s="915">
        <v>64941.88</v>
      </c>
      <c r="D186" s="555">
        <f>VLOOKUP(A186,ціни!$A$7:$D$401,4,FALSE)</f>
        <v>10</v>
      </c>
    </row>
    <row r="187" spans="1:4" x14ac:dyDescent="0.3">
      <c r="A187" s="914">
        <v>150000833</v>
      </c>
      <c r="B187" s="915">
        <v>31667.65</v>
      </c>
      <c r="C187" s="915">
        <v>61127.32</v>
      </c>
      <c r="D187" s="555">
        <f>VLOOKUP(A187,ціни!$A$7:$D$401,4,FALSE)</f>
        <v>9</v>
      </c>
    </row>
    <row r="188" spans="1:4" x14ac:dyDescent="0.3">
      <c r="A188" s="914">
        <v>150000836</v>
      </c>
      <c r="B188" s="915">
        <v>11179.7</v>
      </c>
      <c r="C188" s="915">
        <v>34968.28</v>
      </c>
      <c r="D188" s="555">
        <f>VLOOKUP(A188,ціни!$A$7:$D$401,4,FALSE)</f>
        <v>3</v>
      </c>
    </row>
    <row r="189" spans="1:4" x14ac:dyDescent="0.3">
      <c r="A189" s="914">
        <v>150000837</v>
      </c>
      <c r="B189" s="915">
        <v>2977.53</v>
      </c>
      <c r="C189" s="915">
        <v>2977.53</v>
      </c>
      <c r="D189" s="555">
        <f>VLOOKUP(A189,ціни!$A$7:$D$401,4,FALSE)</f>
        <v>3</v>
      </c>
    </row>
    <row r="190" spans="1:4" x14ac:dyDescent="0.3">
      <c r="A190" s="914">
        <v>150000839</v>
      </c>
      <c r="B190" s="915">
        <v>309.92</v>
      </c>
      <c r="C190" s="915">
        <v>-7233.52</v>
      </c>
      <c r="D190" s="555">
        <f>VLOOKUP(A190,ціни!$A$7:$D$401,4,FALSE)</f>
        <v>1</v>
      </c>
    </row>
    <row r="191" spans="1:4" x14ac:dyDescent="0.3">
      <c r="A191" s="914">
        <v>150000840</v>
      </c>
      <c r="B191" s="915">
        <v>29338.22</v>
      </c>
      <c r="C191" s="915">
        <v>55712.93</v>
      </c>
      <c r="D191" s="555">
        <f>VLOOKUP(A191,ціни!$A$7:$D$401,4,FALSE)</f>
        <v>9</v>
      </c>
    </row>
    <row r="192" spans="1:4" x14ac:dyDescent="0.3">
      <c r="A192" s="914">
        <v>150000841</v>
      </c>
      <c r="B192" s="915">
        <v>301.94</v>
      </c>
      <c r="C192" s="915">
        <v>301.94</v>
      </c>
      <c r="D192" s="555">
        <f>VLOOKUP(A192,ціни!$A$7:$D$401,4,FALSE)</f>
        <v>1</v>
      </c>
    </row>
    <row r="193" spans="1:4" x14ac:dyDescent="0.3">
      <c r="A193" s="914">
        <v>150000845</v>
      </c>
      <c r="B193" s="915">
        <v>466.54</v>
      </c>
      <c r="C193" s="915">
        <v>1062.0999999999999</v>
      </c>
      <c r="D193" s="555">
        <f>VLOOKUP(A193,ціни!$A$7:$D$401,4,FALSE)</f>
        <v>1</v>
      </c>
    </row>
    <row r="194" spans="1:4" x14ac:dyDescent="0.3">
      <c r="A194" s="914">
        <v>150000848</v>
      </c>
      <c r="B194" s="915">
        <v>1679.41</v>
      </c>
      <c r="C194" s="915">
        <v>2098.62</v>
      </c>
      <c r="D194" s="555">
        <f>VLOOKUP(A194,ціни!$A$7:$D$401,4,FALSE)</f>
        <v>2</v>
      </c>
    </row>
    <row r="195" spans="1:4" x14ac:dyDescent="0.3">
      <c r="A195" s="914">
        <v>150000861</v>
      </c>
      <c r="B195" s="915">
        <v>15923.31</v>
      </c>
      <c r="C195" s="915">
        <v>52595.69</v>
      </c>
      <c r="D195" s="555">
        <f>VLOOKUP(A195,ціни!$A$7:$D$401,4,FALSE)</f>
        <v>4</v>
      </c>
    </row>
    <row r="196" spans="1:4" x14ac:dyDescent="0.3">
      <c r="A196" s="914">
        <v>150000862</v>
      </c>
      <c r="B196" s="915">
        <v>20075.919999999998</v>
      </c>
      <c r="C196" s="915">
        <v>81690.69</v>
      </c>
      <c r="D196" s="555">
        <f>VLOOKUP(A196,ціни!$A$7:$D$401,4,FALSE)</f>
        <v>4</v>
      </c>
    </row>
    <row r="197" spans="1:4" x14ac:dyDescent="0.3">
      <c r="A197" s="914">
        <v>150000863</v>
      </c>
      <c r="B197" s="915">
        <v>14919.21</v>
      </c>
      <c r="C197" s="915">
        <v>73474.81</v>
      </c>
      <c r="D197" s="555">
        <f>VLOOKUP(A197,ціни!$A$7:$D$401,4,FALSE)</f>
        <v>4</v>
      </c>
    </row>
    <row r="198" spans="1:4" x14ac:dyDescent="0.3">
      <c r="A198" s="914">
        <v>150000864</v>
      </c>
      <c r="B198" s="915">
        <v>18285.919999999998</v>
      </c>
      <c r="C198" s="915">
        <v>105300.97</v>
      </c>
      <c r="D198" s="555">
        <f>VLOOKUP(A198,ціни!$A$7:$D$401,4,FALSE)</f>
        <v>3</v>
      </c>
    </row>
    <row r="199" spans="1:4" x14ac:dyDescent="0.3">
      <c r="A199" s="914">
        <v>150000865</v>
      </c>
      <c r="B199" s="915">
        <v>34304.28</v>
      </c>
      <c r="C199" s="915">
        <v>149791.64000000001</v>
      </c>
      <c r="D199" s="555">
        <f>VLOOKUP(A199,ціни!$A$7:$D$401,4,FALSE)</f>
        <v>5</v>
      </c>
    </row>
    <row r="200" spans="1:4" x14ac:dyDescent="0.3">
      <c r="A200" s="914">
        <v>150000866</v>
      </c>
      <c r="B200" s="915">
        <v>19856.080000000002</v>
      </c>
      <c r="C200" s="915">
        <v>93483.91</v>
      </c>
      <c r="D200" s="555">
        <f>VLOOKUP(A200,ціни!$A$7:$D$401,4,FALSE)</f>
        <v>5</v>
      </c>
    </row>
    <row r="201" spans="1:4" x14ac:dyDescent="0.3">
      <c r="A201" s="914">
        <v>150000867</v>
      </c>
      <c r="B201" s="915">
        <v>9901.8799999999992</v>
      </c>
      <c r="C201" s="915">
        <v>21014.75</v>
      </c>
      <c r="D201" s="555">
        <f>VLOOKUP(A201,ціни!$A$7:$D$401,4,FALSE)</f>
        <v>5</v>
      </c>
    </row>
    <row r="202" spans="1:4" x14ac:dyDescent="0.3">
      <c r="A202" s="914">
        <v>150000868</v>
      </c>
      <c r="B202" s="915">
        <v>14286.72</v>
      </c>
      <c r="C202" s="915">
        <v>27539.91</v>
      </c>
      <c r="D202" s="555">
        <f>VLOOKUP(A202,ціни!$A$7:$D$401,4,FALSE)</f>
        <v>5</v>
      </c>
    </row>
    <row r="203" spans="1:4" x14ac:dyDescent="0.3">
      <c r="A203" s="914">
        <v>150000869</v>
      </c>
      <c r="B203" s="915">
        <v>25303.59</v>
      </c>
      <c r="C203" s="915">
        <v>56876.21</v>
      </c>
      <c r="D203" s="555">
        <f>VLOOKUP(A203,ціни!$A$7:$D$401,4,FALSE)</f>
        <v>5</v>
      </c>
    </row>
    <row r="204" spans="1:4" x14ac:dyDescent="0.3">
      <c r="A204" s="914">
        <v>150000871</v>
      </c>
      <c r="B204" s="915">
        <v>257.69</v>
      </c>
      <c r="C204" s="915">
        <v>174.19</v>
      </c>
      <c r="D204" s="555">
        <f>VLOOKUP(A204,ціни!$A$7:$D$401,4,FALSE)</f>
        <v>1</v>
      </c>
    </row>
    <row r="205" spans="1:4" x14ac:dyDescent="0.3">
      <c r="A205" s="914">
        <v>150000872</v>
      </c>
      <c r="B205" s="915">
        <v>6752.61</v>
      </c>
      <c r="C205" s="915">
        <v>19615.7</v>
      </c>
      <c r="D205" s="555">
        <f>VLOOKUP(A205,ціни!$A$7:$D$401,4,FALSE)</f>
        <v>4</v>
      </c>
    </row>
    <row r="206" spans="1:4" x14ac:dyDescent="0.3">
      <c r="A206" s="914">
        <v>150000873</v>
      </c>
      <c r="B206" s="915">
        <v>13302.22</v>
      </c>
      <c r="C206" s="915">
        <v>17043.45</v>
      </c>
      <c r="D206" s="555">
        <f>VLOOKUP(A206,ціни!$A$7:$D$401,4,FALSE)</f>
        <v>5</v>
      </c>
    </row>
    <row r="207" spans="1:4" x14ac:dyDescent="0.3">
      <c r="A207" s="914">
        <v>150000874</v>
      </c>
      <c r="B207" s="915">
        <v>12413.1</v>
      </c>
      <c r="C207" s="915">
        <v>38810.449999999997</v>
      </c>
      <c r="D207" s="555">
        <f>VLOOKUP(A207,ціни!$A$7:$D$401,4,FALSE)</f>
        <v>5</v>
      </c>
    </row>
    <row r="208" spans="1:4" x14ac:dyDescent="0.3">
      <c r="A208" s="914">
        <v>150000875</v>
      </c>
      <c r="B208" s="915">
        <v>16192.85</v>
      </c>
      <c r="C208" s="915">
        <v>39171.4</v>
      </c>
      <c r="D208" s="555">
        <f>VLOOKUP(A208,ціни!$A$7:$D$401,4,FALSE)</f>
        <v>5</v>
      </c>
    </row>
    <row r="209" spans="1:4" x14ac:dyDescent="0.3">
      <c r="A209" s="914">
        <v>150000878</v>
      </c>
      <c r="B209" s="915">
        <v>9614.92</v>
      </c>
      <c r="C209" s="915">
        <v>37314.720000000001</v>
      </c>
      <c r="D209" s="555">
        <f>VLOOKUP(A209,ціни!$A$7:$D$401,4,FALSE)</f>
        <v>4</v>
      </c>
    </row>
    <row r="210" spans="1:4" x14ac:dyDescent="0.3">
      <c r="A210" s="914">
        <v>150000879</v>
      </c>
      <c r="B210" s="915">
        <v>15595.08</v>
      </c>
      <c r="C210" s="915">
        <v>32723.01</v>
      </c>
      <c r="D210" s="555">
        <f>VLOOKUP(A210,ціни!$A$7:$D$401,4,FALSE)</f>
        <v>5</v>
      </c>
    </row>
    <row r="211" spans="1:4" x14ac:dyDescent="0.3">
      <c r="A211" s="914">
        <v>150000880</v>
      </c>
      <c r="B211" s="915">
        <v>10390.040000000001</v>
      </c>
      <c r="C211" s="915">
        <v>13603.03</v>
      </c>
      <c r="D211" s="555">
        <f>VLOOKUP(A211,ціни!$A$7:$D$401,4,FALSE)</f>
        <v>4</v>
      </c>
    </row>
    <row r="212" spans="1:4" x14ac:dyDescent="0.3">
      <c r="A212" s="914">
        <v>150000881</v>
      </c>
      <c r="B212" s="915">
        <v>15305.7</v>
      </c>
      <c r="C212" s="915">
        <v>21874.28</v>
      </c>
      <c r="D212" s="555">
        <f>VLOOKUP(A212,ціни!$A$7:$D$401,4,FALSE)</f>
        <v>9</v>
      </c>
    </row>
    <row r="213" spans="1:4" x14ac:dyDescent="0.3">
      <c r="A213" s="914">
        <v>150000882</v>
      </c>
      <c r="B213" s="915">
        <v>11110.25</v>
      </c>
      <c r="C213" s="915">
        <v>35144.879999999997</v>
      </c>
      <c r="D213" s="555">
        <f>VLOOKUP(A213,ціни!$A$7:$D$401,4,FALSE)</f>
        <v>5</v>
      </c>
    </row>
    <row r="214" spans="1:4" x14ac:dyDescent="0.3">
      <c r="A214" s="914">
        <v>150000883</v>
      </c>
      <c r="B214" s="915">
        <v>9241.94</v>
      </c>
      <c r="C214" s="915">
        <v>19306.23</v>
      </c>
      <c r="D214" s="555">
        <f>VLOOKUP(A214,ціни!$A$7:$D$401,4,FALSE)</f>
        <v>5</v>
      </c>
    </row>
    <row r="215" spans="1:4" x14ac:dyDescent="0.3">
      <c r="A215" s="914">
        <v>150000884</v>
      </c>
      <c r="B215" s="915">
        <v>12246.35</v>
      </c>
      <c r="C215" s="915">
        <v>24701.01</v>
      </c>
      <c r="D215" s="555">
        <f>VLOOKUP(A215,ціни!$A$7:$D$401,4,FALSE)</f>
        <v>5</v>
      </c>
    </row>
    <row r="216" spans="1:4" x14ac:dyDescent="0.3">
      <c r="A216" s="914">
        <v>150000885</v>
      </c>
      <c r="B216" s="915">
        <v>8283.4599999999991</v>
      </c>
      <c r="C216" s="915">
        <v>10691.58</v>
      </c>
      <c r="D216" s="555">
        <f>VLOOKUP(A216,ціни!$A$7:$D$401,4,FALSE)</f>
        <v>4</v>
      </c>
    </row>
    <row r="217" spans="1:4" x14ac:dyDescent="0.3">
      <c r="A217" s="914">
        <v>150000886</v>
      </c>
      <c r="B217" s="915">
        <v>17124.259999999998</v>
      </c>
      <c r="C217" s="915">
        <v>106874.74</v>
      </c>
      <c r="D217" s="555">
        <f>VLOOKUP(A217,ціни!$A$7:$D$401,4,FALSE)</f>
        <v>9</v>
      </c>
    </row>
    <row r="218" spans="1:4" x14ac:dyDescent="0.3">
      <c r="A218" s="914">
        <v>150000887</v>
      </c>
      <c r="B218" s="915">
        <v>43946.17</v>
      </c>
      <c r="C218" s="915">
        <v>149983.79</v>
      </c>
      <c r="D218" s="555">
        <f>VLOOKUP(A218,ціни!$A$7:$D$401,4,FALSE)</f>
        <v>9</v>
      </c>
    </row>
    <row r="219" spans="1:4" x14ac:dyDescent="0.3">
      <c r="A219" s="914">
        <v>150000888</v>
      </c>
      <c r="B219" s="915">
        <v>13824.88</v>
      </c>
      <c r="C219" s="915">
        <v>37341.120000000003</v>
      </c>
      <c r="D219" s="555">
        <f>VLOOKUP(A219,ціни!$A$7:$D$401,4,FALSE)</f>
        <v>5</v>
      </c>
    </row>
    <row r="220" spans="1:4" x14ac:dyDescent="0.3">
      <c r="A220" s="914">
        <v>150000889</v>
      </c>
      <c r="B220" s="915">
        <v>34552.19</v>
      </c>
      <c r="C220" s="915">
        <v>70191.77</v>
      </c>
      <c r="D220" s="555">
        <f>VLOOKUP(A220,ціни!$A$7:$D$401,4,FALSE)</f>
        <v>16</v>
      </c>
    </row>
    <row r="221" spans="1:4" x14ac:dyDescent="0.3">
      <c r="A221" s="914">
        <v>150000890</v>
      </c>
      <c r="B221" s="915">
        <v>56611.99</v>
      </c>
      <c r="C221" s="915">
        <v>148876.82999999999</v>
      </c>
      <c r="D221" s="555">
        <f>VLOOKUP(A221,ціни!$A$7:$D$401,4,FALSE)</f>
        <v>9</v>
      </c>
    </row>
    <row r="222" spans="1:4" x14ac:dyDescent="0.3">
      <c r="A222" s="914">
        <v>150000891</v>
      </c>
      <c r="B222" s="915">
        <v>836.22</v>
      </c>
      <c r="C222" s="915">
        <v>18956.650000000001</v>
      </c>
      <c r="D222" s="555">
        <f>VLOOKUP(A222,ціни!$A$7:$D$401,4,FALSE)</f>
        <v>2</v>
      </c>
    </row>
    <row r="223" spans="1:4" x14ac:dyDescent="0.3">
      <c r="A223" s="914">
        <v>150000892</v>
      </c>
      <c r="B223" s="915">
        <v>30995.21</v>
      </c>
      <c r="C223" s="915">
        <v>72027.86</v>
      </c>
      <c r="D223" s="555">
        <f>VLOOKUP(A223,ціни!$A$7:$D$401,4,FALSE)</f>
        <v>9</v>
      </c>
    </row>
    <row r="224" spans="1:4" x14ac:dyDescent="0.3">
      <c r="A224" s="914">
        <v>150000893</v>
      </c>
      <c r="B224" s="915">
        <v>16949.04</v>
      </c>
      <c r="C224" s="915">
        <v>31576.29</v>
      </c>
      <c r="D224" s="555">
        <f>VLOOKUP(A224,ціни!$A$7:$D$401,4,FALSE)</f>
        <v>5</v>
      </c>
    </row>
    <row r="225" spans="1:4" x14ac:dyDescent="0.3">
      <c r="A225" s="914">
        <v>150000894</v>
      </c>
      <c r="B225" s="915">
        <v>19732.54</v>
      </c>
      <c r="C225" s="915">
        <v>63223.27</v>
      </c>
      <c r="D225" s="555">
        <f>VLOOKUP(A225,ціни!$A$7:$D$401,4,FALSE)</f>
        <v>5</v>
      </c>
    </row>
    <row r="226" spans="1:4" x14ac:dyDescent="0.3">
      <c r="A226" s="914">
        <v>150000895</v>
      </c>
      <c r="B226" s="915">
        <v>15953.4</v>
      </c>
      <c r="C226" s="915">
        <v>41364.26</v>
      </c>
      <c r="D226" s="555">
        <f>VLOOKUP(A226,ціни!$A$7:$D$401,4,FALSE)</f>
        <v>5</v>
      </c>
    </row>
    <row r="227" spans="1:4" x14ac:dyDescent="0.3">
      <c r="A227" s="914">
        <v>150000896</v>
      </c>
      <c r="B227" s="915">
        <v>17039.080000000002</v>
      </c>
      <c r="C227" s="915">
        <v>68321.539999999994</v>
      </c>
      <c r="D227" s="555">
        <f>VLOOKUP(A227,ціни!$A$7:$D$401,4,FALSE)</f>
        <v>5</v>
      </c>
    </row>
    <row r="228" spans="1:4" x14ac:dyDescent="0.3">
      <c r="A228" s="914">
        <v>150000898</v>
      </c>
      <c r="B228" s="915">
        <v>2582.21</v>
      </c>
      <c r="C228" s="915">
        <v>1545.17</v>
      </c>
      <c r="D228" s="555">
        <f>VLOOKUP(A228,ціни!$A$7:$D$401,4,FALSE)</f>
        <v>2</v>
      </c>
    </row>
    <row r="229" spans="1:4" x14ac:dyDescent="0.3">
      <c r="A229" s="914">
        <v>150000899</v>
      </c>
      <c r="B229" s="915">
        <v>49037.58</v>
      </c>
      <c r="C229" s="915">
        <v>115044.38</v>
      </c>
      <c r="D229" s="555">
        <f>VLOOKUP(A229,ціни!$A$7:$D$401,4,FALSE)</f>
        <v>9</v>
      </c>
    </row>
    <row r="230" spans="1:4" x14ac:dyDescent="0.3">
      <c r="A230" s="914">
        <v>150000900</v>
      </c>
      <c r="B230" s="915">
        <v>26221.599999999999</v>
      </c>
      <c r="C230" s="915">
        <v>68779.42</v>
      </c>
      <c r="D230" s="555">
        <f>VLOOKUP(A230,ціни!$A$7:$D$401,4,FALSE)</f>
        <v>14</v>
      </c>
    </row>
    <row r="231" spans="1:4" x14ac:dyDescent="0.3">
      <c r="A231" s="914">
        <v>150000901</v>
      </c>
      <c r="B231" s="915">
        <v>54972.04</v>
      </c>
      <c r="C231" s="915">
        <v>187887.6</v>
      </c>
      <c r="D231" s="555">
        <f>VLOOKUP(A231,ціни!$A$7:$D$401,4,FALSE)</f>
        <v>10</v>
      </c>
    </row>
    <row r="232" spans="1:4" x14ac:dyDescent="0.3">
      <c r="A232" s="914">
        <v>150000902</v>
      </c>
      <c r="B232" s="915">
        <v>26532.09</v>
      </c>
      <c r="C232" s="915">
        <v>82975.039999999994</v>
      </c>
      <c r="D232" s="555">
        <f>VLOOKUP(A232,ціни!$A$7:$D$401,4,FALSE)</f>
        <v>9</v>
      </c>
    </row>
    <row r="233" spans="1:4" x14ac:dyDescent="0.3">
      <c r="A233" s="914">
        <v>150000903</v>
      </c>
      <c r="B233" s="915">
        <v>29512.46</v>
      </c>
      <c r="C233" s="915">
        <v>56179.73</v>
      </c>
      <c r="D233" s="555">
        <f>VLOOKUP(A233,ціни!$A$7:$D$401,4,FALSE)</f>
        <v>9</v>
      </c>
    </row>
    <row r="234" spans="1:4" x14ac:dyDescent="0.3">
      <c r="A234" s="914">
        <v>150000904</v>
      </c>
      <c r="B234" s="915">
        <v>27685.26</v>
      </c>
      <c r="C234" s="915">
        <v>50895.4</v>
      </c>
      <c r="D234" s="555">
        <f>VLOOKUP(A234,ціни!$A$7:$D$401,4,FALSE)</f>
        <v>9</v>
      </c>
    </row>
    <row r="235" spans="1:4" x14ac:dyDescent="0.3">
      <c r="A235" s="914">
        <v>150000905</v>
      </c>
      <c r="B235" s="915">
        <v>31199.34</v>
      </c>
      <c r="C235" s="915">
        <v>73919.94</v>
      </c>
      <c r="D235" s="555">
        <f>VLOOKUP(A235,ціни!$A$7:$D$401,4,FALSE)</f>
        <v>14</v>
      </c>
    </row>
    <row r="236" spans="1:4" x14ac:dyDescent="0.3">
      <c r="A236" s="914">
        <v>150000906</v>
      </c>
      <c r="B236" s="915">
        <v>29218.28</v>
      </c>
      <c r="C236" s="915">
        <v>42932.83</v>
      </c>
      <c r="D236" s="555">
        <f>VLOOKUP(A236,ціни!$A$7:$D$401,4,FALSE)</f>
        <v>9</v>
      </c>
    </row>
    <row r="237" spans="1:4" x14ac:dyDescent="0.3">
      <c r="A237" s="914">
        <v>150000907</v>
      </c>
      <c r="B237" s="915">
        <v>43929.11</v>
      </c>
      <c r="C237" s="915">
        <v>49940.32</v>
      </c>
      <c r="D237" s="555">
        <f>VLOOKUP(A237,ціни!$A$7:$D$401,4,FALSE)</f>
        <v>9</v>
      </c>
    </row>
    <row r="238" spans="1:4" x14ac:dyDescent="0.3">
      <c r="A238" s="914">
        <v>150000908</v>
      </c>
      <c r="B238" s="915">
        <v>42810.17</v>
      </c>
      <c r="C238" s="915">
        <v>80502.13</v>
      </c>
      <c r="D238" s="555">
        <f>VLOOKUP(A238,ціни!$A$7:$D$401,4,FALSE)</f>
        <v>9</v>
      </c>
    </row>
    <row r="239" spans="1:4" x14ac:dyDescent="0.3">
      <c r="A239" s="914">
        <v>150000909</v>
      </c>
      <c r="B239" s="915">
        <v>40437.56</v>
      </c>
      <c r="C239" s="915">
        <v>120100.6</v>
      </c>
      <c r="D239" s="555">
        <f>VLOOKUP(A239,ціни!$A$7:$D$401,4,FALSE)</f>
        <v>9</v>
      </c>
    </row>
    <row r="240" spans="1:4" x14ac:dyDescent="0.3">
      <c r="A240" s="914">
        <v>150000910</v>
      </c>
      <c r="B240" s="915">
        <v>39254.160000000003</v>
      </c>
      <c r="C240" s="915">
        <v>76757.710000000006</v>
      </c>
      <c r="D240" s="555">
        <f>VLOOKUP(A240,ціни!$A$7:$D$401,4,FALSE)</f>
        <v>9</v>
      </c>
    </row>
    <row r="241" spans="1:4" x14ac:dyDescent="0.3">
      <c r="A241" s="914">
        <v>150000911</v>
      </c>
      <c r="B241" s="915">
        <v>32727.66</v>
      </c>
      <c r="C241" s="915">
        <v>78280.34</v>
      </c>
      <c r="D241" s="555">
        <f>VLOOKUP(A241,ціни!$A$7:$D$401,4,FALSE)</f>
        <v>5</v>
      </c>
    </row>
    <row r="242" spans="1:4" x14ac:dyDescent="0.3">
      <c r="A242" s="914">
        <v>150000912</v>
      </c>
      <c r="B242" s="915">
        <v>25758.16</v>
      </c>
      <c r="C242" s="915">
        <v>64325.45</v>
      </c>
      <c r="D242" s="555">
        <f>VLOOKUP(A242,ціни!$A$7:$D$401,4,FALSE)</f>
        <v>5</v>
      </c>
    </row>
    <row r="243" spans="1:4" x14ac:dyDescent="0.3">
      <c r="A243" s="914">
        <v>150000913</v>
      </c>
      <c r="B243" s="915">
        <v>16937.71</v>
      </c>
      <c r="C243" s="915">
        <v>36943</v>
      </c>
      <c r="D243" s="555">
        <f>VLOOKUP(A243,ціни!$A$7:$D$401,4,FALSE)</f>
        <v>5</v>
      </c>
    </row>
    <row r="244" spans="1:4" x14ac:dyDescent="0.3">
      <c r="A244" s="914">
        <v>150000914</v>
      </c>
      <c r="B244" s="915">
        <v>16894.900000000001</v>
      </c>
      <c r="C244" s="915">
        <v>30337.79</v>
      </c>
      <c r="D244" s="555">
        <f>VLOOKUP(A244,ціни!$A$7:$D$401,4,FALSE)</f>
        <v>5</v>
      </c>
    </row>
    <row r="245" spans="1:4" x14ac:dyDescent="0.3">
      <c r="A245" s="914">
        <v>150000915</v>
      </c>
      <c r="B245" s="915">
        <v>17254.830000000002</v>
      </c>
      <c r="C245" s="915">
        <v>41754.019999999997</v>
      </c>
      <c r="D245" s="555">
        <f>VLOOKUP(A245,ціни!$A$7:$D$401,4,FALSE)</f>
        <v>5</v>
      </c>
    </row>
    <row r="246" spans="1:4" x14ac:dyDescent="0.3">
      <c r="A246" s="914">
        <v>150000916</v>
      </c>
      <c r="B246" s="915">
        <v>31318.55</v>
      </c>
      <c r="C246" s="915">
        <v>92592.52</v>
      </c>
      <c r="D246" s="555">
        <f>VLOOKUP(A246,ціни!$A$7:$D$401,4,FALSE)</f>
        <v>5</v>
      </c>
    </row>
    <row r="247" spans="1:4" x14ac:dyDescent="0.3">
      <c r="A247" s="914">
        <v>150000917</v>
      </c>
      <c r="B247" s="915">
        <v>25906.74</v>
      </c>
      <c r="C247" s="915">
        <v>138114.54999999999</v>
      </c>
      <c r="D247" s="555">
        <f>VLOOKUP(A247,ціни!$A$7:$D$401,4,FALSE)</f>
        <v>5</v>
      </c>
    </row>
    <row r="248" spans="1:4" x14ac:dyDescent="0.3">
      <c r="A248" s="914">
        <v>150000918</v>
      </c>
      <c r="B248" s="915">
        <v>24661.51</v>
      </c>
      <c r="C248" s="915">
        <v>94988.57</v>
      </c>
      <c r="D248" s="555">
        <f>VLOOKUP(A248,ціни!$A$7:$D$401,4,FALSE)</f>
        <v>5</v>
      </c>
    </row>
    <row r="249" spans="1:4" x14ac:dyDescent="0.3">
      <c r="A249" s="914">
        <v>150000919</v>
      </c>
      <c r="B249" s="915">
        <v>24820.01</v>
      </c>
      <c r="C249" s="915">
        <v>69322.570000000007</v>
      </c>
      <c r="D249" s="555">
        <f>VLOOKUP(A249,ціни!$A$7:$D$401,4,FALSE)</f>
        <v>5</v>
      </c>
    </row>
    <row r="250" spans="1:4" x14ac:dyDescent="0.3">
      <c r="A250" s="914">
        <v>150000920</v>
      </c>
      <c r="B250" s="915">
        <v>25496.58</v>
      </c>
      <c r="C250" s="915">
        <v>74162.42</v>
      </c>
      <c r="D250" s="555">
        <f>VLOOKUP(A250,ціни!$A$7:$D$401,4,FALSE)</f>
        <v>5</v>
      </c>
    </row>
    <row r="251" spans="1:4" x14ac:dyDescent="0.3">
      <c r="A251" s="914">
        <v>150000921</v>
      </c>
      <c r="B251" s="915">
        <v>31830.42</v>
      </c>
      <c r="C251" s="915">
        <v>73372.66</v>
      </c>
      <c r="D251" s="555">
        <f>VLOOKUP(A251,ціни!$A$7:$D$401,4,FALSE)</f>
        <v>5</v>
      </c>
    </row>
    <row r="252" spans="1:4" x14ac:dyDescent="0.3">
      <c r="A252" s="914">
        <v>150000922</v>
      </c>
      <c r="B252" s="915">
        <v>31510.91</v>
      </c>
      <c r="C252" s="915">
        <v>50105.77</v>
      </c>
      <c r="D252" s="555">
        <f>VLOOKUP(A252,ціни!$A$7:$D$401,4,FALSE)</f>
        <v>9</v>
      </c>
    </row>
    <row r="253" spans="1:4" x14ac:dyDescent="0.3">
      <c r="A253" s="914">
        <v>150000924</v>
      </c>
      <c r="B253" s="915">
        <v>2653.03</v>
      </c>
      <c r="C253" s="915">
        <v>3447.42</v>
      </c>
      <c r="D253" s="555">
        <f>VLOOKUP(A253,ціни!$A$7:$D$401,4,FALSE)</f>
        <v>2</v>
      </c>
    </row>
    <row r="254" spans="1:4" x14ac:dyDescent="0.3">
      <c r="A254" s="914">
        <v>150000925</v>
      </c>
      <c r="B254" s="915">
        <v>2474.2600000000002</v>
      </c>
      <c r="C254" s="915">
        <v>14570.25</v>
      </c>
      <c r="D254" s="555">
        <f>VLOOKUP(A254,ціни!$A$7:$D$401,4,FALSE)</f>
        <v>2</v>
      </c>
    </row>
    <row r="255" spans="1:4" x14ac:dyDescent="0.3">
      <c r="A255" s="914">
        <v>150000926</v>
      </c>
      <c r="B255" s="915">
        <v>1900.82</v>
      </c>
      <c r="C255" s="915">
        <v>2498.6999999999998</v>
      </c>
      <c r="D255" s="555">
        <f>VLOOKUP(A255,ціни!$A$7:$D$401,4,FALSE)</f>
        <v>2</v>
      </c>
    </row>
    <row r="256" spans="1:4" x14ac:dyDescent="0.3">
      <c r="A256" s="914">
        <v>150000927</v>
      </c>
      <c r="B256" s="915">
        <v>2296</v>
      </c>
      <c r="C256" s="915">
        <v>3466.16</v>
      </c>
      <c r="D256" s="555">
        <f>VLOOKUP(A256,ціни!$A$7:$D$401,4,FALSE)</f>
        <v>2</v>
      </c>
    </row>
    <row r="257" spans="1:4" x14ac:dyDescent="0.3">
      <c r="A257" s="914">
        <v>150000928</v>
      </c>
      <c r="B257" s="915">
        <v>1552.89</v>
      </c>
      <c r="C257" s="915">
        <v>1552.89</v>
      </c>
      <c r="D257" s="555">
        <f>VLOOKUP(A257,ціни!$A$7:$D$401,4,FALSE)</f>
        <v>2</v>
      </c>
    </row>
    <row r="258" spans="1:4" x14ac:dyDescent="0.3">
      <c r="A258" s="914">
        <v>150000929</v>
      </c>
      <c r="B258" s="915">
        <v>1103.99</v>
      </c>
      <c r="C258" s="915">
        <v>30284.76</v>
      </c>
      <c r="D258" s="555">
        <f>VLOOKUP(A258,ціни!$A$7:$D$401,4,FALSE)</f>
        <v>2</v>
      </c>
    </row>
    <row r="259" spans="1:4" x14ac:dyDescent="0.3">
      <c r="A259" s="914">
        <v>150000930</v>
      </c>
      <c r="B259" s="915">
        <v>1735.84</v>
      </c>
      <c r="C259" s="915">
        <v>1292.8</v>
      </c>
      <c r="D259" s="555">
        <f>VLOOKUP(A259,ціни!$A$7:$D$401,4,FALSE)</f>
        <v>2</v>
      </c>
    </row>
    <row r="260" spans="1:4" x14ac:dyDescent="0.3">
      <c r="A260" s="914">
        <v>150000931</v>
      </c>
      <c r="B260" s="915">
        <v>12623.49</v>
      </c>
      <c r="C260" s="915">
        <v>24369.02</v>
      </c>
      <c r="D260" s="555">
        <f>VLOOKUP(A260,ціни!$A$7:$D$401,4,FALSE)</f>
        <v>5</v>
      </c>
    </row>
    <row r="261" spans="1:4" x14ac:dyDescent="0.3">
      <c r="A261" s="914">
        <v>150000932</v>
      </c>
      <c r="B261" s="915">
        <v>1905.39</v>
      </c>
      <c r="C261" s="915">
        <v>1905.39</v>
      </c>
      <c r="D261" s="555">
        <f>VLOOKUP(A261,ціни!$A$7:$D$401,4,FALSE)</f>
        <v>2</v>
      </c>
    </row>
    <row r="262" spans="1:4" x14ac:dyDescent="0.3">
      <c r="A262" s="914">
        <v>150000933</v>
      </c>
      <c r="B262" s="915">
        <v>24110.3</v>
      </c>
      <c r="C262" s="915">
        <v>41813.449999999997</v>
      </c>
      <c r="D262" s="555">
        <f>VLOOKUP(A262,ціни!$A$7:$D$401,4,FALSE)</f>
        <v>5</v>
      </c>
    </row>
    <row r="263" spans="1:4" x14ac:dyDescent="0.3">
      <c r="A263" s="914">
        <v>150000934</v>
      </c>
      <c r="B263" s="915">
        <v>11587.83</v>
      </c>
      <c r="C263" s="915">
        <v>96532.28</v>
      </c>
      <c r="D263" s="555">
        <f>VLOOKUP(A263,ціни!$A$7:$D$401,4,FALSE)</f>
        <v>4</v>
      </c>
    </row>
    <row r="264" spans="1:4" x14ac:dyDescent="0.3">
      <c r="A264" s="914">
        <v>150000935</v>
      </c>
      <c r="B264" s="915">
        <v>1867.54</v>
      </c>
      <c r="C264" s="915">
        <v>4358.8999999999996</v>
      </c>
      <c r="D264" s="555">
        <f>VLOOKUP(A264,ціни!$A$7:$D$401,4,FALSE)</f>
        <v>2</v>
      </c>
    </row>
    <row r="265" spans="1:4" x14ac:dyDescent="0.3">
      <c r="A265" s="914">
        <v>150000937</v>
      </c>
      <c r="B265" s="915">
        <v>26864.84</v>
      </c>
      <c r="C265" s="915">
        <v>107560.46</v>
      </c>
      <c r="D265" s="555">
        <f>VLOOKUP(A265,ціни!$A$7:$D$401,4,FALSE)</f>
        <v>9</v>
      </c>
    </row>
    <row r="266" spans="1:4" x14ac:dyDescent="0.3">
      <c r="A266" s="914">
        <v>150000938</v>
      </c>
      <c r="B266" s="915">
        <v>97828.2</v>
      </c>
      <c r="C266" s="915">
        <v>257660.92</v>
      </c>
      <c r="D266" s="555">
        <f>VLOOKUP(A266,ціни!$A$7:$D$401,4,FALSE)</f>
        <v>9</v>
      </c>
    </row>
    <row r="267" spans="1:4" x14ac:dyDescent="0.3">
      <c r="A267" s="914">
        <v>150000939</v>
      </c>
      <c r="B267" s="915">
        <v>37033.699999999997</v>
      </c>
      <c r="C267" s="915">
        <v>78231.41</v>
      </c>
      <c r="D267" s="555">
        <f>VLOOKUP(A267,ціни!$A$7:$D$401,4,FALSE)</f>
        <v>8</v>
      </c>
    </row>
    <row r="268" spans="1:4" x14ac:dyDescent="0.3">
      <c r="A268" s="914">
        <v>150000940</v>
      </c>
      <c r="B268" s="915">
        <v>54935.94</v>
      </c>
      <c r="C268" s="915">
        <v>123414.45</v>
      </c>
      <c r="D268" s="555">
        <f>VLOOKUP(A268,ціни!$A$7:$D$401,4,FALSE)</f>
        <v>9</v>
      </c>
    </row>
    <row r="269" spans="1:4" x14ac:dyDescent="0.3">
      <c r="A269" s="914">
        <v>150000941</v>
      </c>
      <c r="B269" s="915">
        <v>41881.949999999997</v>
      </c>
      <c r="C269" s="915">
        <v>101301.99</v>
      </c>
      <c r="D269" s="555">
        <f>VLOOKUP(A269,ціни!$A$7:$D$401,4,FALSE)</f>
        <v>8</v>
      </c>
    </row>
    <row r="270" spans="1:4" x14ac:dyDescent="0.3">
      <c r="A270" s="914">
        <v>150000943</v>
      </c>
      <c r="B270" s="915">
        <v>216.02</v>
      </c>
      <c r="C270" s="915">
        <v>216.02</v>
      </c>
      <c r="D270" s="555">
        <f>VLOOKUP(A270,ціни!$A$7:$D$401,4,FALSE)</f>
        <v>1</v>
      </c>
    </row>
    <row r="271" spans="1:4" x14ac:dyDescent="0.3">
      <c r="A271" s="914">
        <v>150000944</v>
      </c>
      <c r="B271" s="915">
        <v>323.8</v>
      </c>
      <c r="C271" s="915">
        <v>362.4</v>
      </c>
      <c r="D271" s="555">
        <f>VLOOKUP(A271,ціни!$A$7:$D$401,4,FALSE)</f>
        <v>1</v>
      </c>
    </row>
    <row r="272" spans="1:4" x14ac:dyDescent="0.3">
      <c r="A272" s="914">
        <v>150000945</v>
      </c>
      <c r="B272" s="915">
        <v>46763.35</v>
      </c>
      <c r="C272" s="915">
        <v>100620.31</v>
      </c>
      <c r="D272" s="555">
        <f>VLOOKUP(A272,ціни!$A$7:$D$401,4,FALSE)</f>
        <v>10</v>
      </c>
    </row>
    <row r="273" spans="1:4" x14ac:dyDescent="0.3">
      <c r="A273" s="914">
        <v>150000947</v>
      </c>
      <c r="B273" s="915">
        <v>19015.59</v>
      </c>
      <c r="C273" s="915">
        <v>58428.23</v>
      </c>
      <c r="D273" s="555">
        <f>VLOOKUP(A273,ціни!$A$7:$D$401,4,FALSE)</f>
        <v>5</v>
      </c>
    </row>
    <row r="274" spans="1:4" x14ac:dyDescent="0.3">
      <c r="A274" s="914">
        <v>150000948</v>
      </c>
      <c r="B274" s="915">
        <v>48841.96</v>
      </c>
      <c r="C274" s="915">
        <v>72596.429999999993</v>
      </c>
      <c r="D274" s="555">
        <f>VLOOKUP(A274,ціни!$A$7:$D$401,4,FALSE)</f>
        <v>9</v>
      </c>
    </row>
    <row r="275" spans="1:4" x14ac:dyDescent="0.3">
      <c r="A275" s="914">
        <v>150000949</v>
      </c>
      <c r="B275" s="915">
        <v>70790.210000000006</v>
      </c>
      <c r="C275" s="915">
        <v>231336.91</v>
      </c>
      <c r="D275" s="555">
        <f>VLOOKUP(A275,ціни!$A$7:$D$401,4,FALSE)</f>
        <v>9</v>
      </c>
    </row>
    <row r="276" spans="1:4" x14ac:dyDescent="0.3">
      <c r="A276" s="914">
        <v>150000951</v>
      </c>
      <c r="B276" s="915">
        <v>998.15</v>
      </c>
      <c r="C276" s="915">
        <v>4024.74</v>
      </c>
      <c r="D276" s="555">
        <f>VLOOKUP(A276,ціни!$A$7:$D$401,4,FALSE)</f>
        <v>2</v>
      </c>
    </row>
    <row r="277" spans="1:4" x14ac:dyDescent="0.3">
      <c r="A277" s="914">
        <v>150000954</v>
      </c>
      <c r="B277" s="915">
        <v>1529.12</v>
      </c>
      <c r="C277" s="915">
        <v>3538.53</v>
      </c>
      <c r="D277" s="555">
        <f>VLOOKUP(A277,ціни!$A$7:$D$401,4,FALSE)</f>
        <v>2</v>
      </c>
    </row>
    <row r="278" spans="1:4" x14ac:dyDescent="0.3">
      <c r="A278" s="914">
        <v>150000957</v>
      </c>
      <c r="B278" s="915">
        <v>14881.59</v>
      </c>
      <c r="C278" s="915">
        <v>43471.34</v>
      </c>
      <c r="D278" s="555">
        <f>VLOOKUP(A278,ціни!$A$7:$D$401,4,FALSE)</f>
        <v>9</v>
      </c>
    </row>
    <row r="279" spans="1:4" x14ac:dyDescent="0.3">
      <c r="A279" s="914">
        <v>150000958</v>
      </c>
      <c r="B279" s="915">
        <v>15388.23</v>
      </c>
      <c r="C279" s="915">
        <v>56111.62</v>
      </c>
      <c r="D279" s="555">
        <f>VLOOKUP(A279,ціни!$A$7:$D$401,4,FALSE)</f>
        <v>9</v>
      </c>
    </row>
    <row r="280" spans="1:4" x14ac:dyDescent="0.3">
      <c r="A280" s="914">
        <v>150000960</v>
      </c>
      <c r="B280" s="915">
        <v>29364.06</v>
      </c>
      <c r="C280" s="915">
        <v>57910.61</v>
      </c>
      <c r="D280" s="555">
        <f>VLOOKUP(A280,ціни!$A$7:$D$401,4,FALSE)</f>
        <v>9</v>
      </c>
    </row>
    <row r="281" spans="1:4" x14ac:dyDescent="0.3">
      <c r="A281" s="914">
        <v>150000961</v>
      </c>
      <c r="B281" s="915">
        <v>29123.39</v>
      </c>
      <c r="C281" s="915">
        <v>85778.58</v>
      </c>
      <c r="D281" s="555">
        <f>VLOOKUP(A281,ціни!$A$7:$D$401,4,FALSE)</f>
        <v>9</v>
      </c>
    </row>
    <row r="282" spans="1:4" x14ac:dyDescent="0.3">
      <c r="A282" s="914">
        <v>150000963</v>
      </c>
      <c r="B282" s="915">
        <v>15636.67</v>
      </c>
      <c r="C282" s="915">
        <v>28738.2</v>
      </c>
      <c r="D282" s="555">
        <f>VLOOKUP(A282,ціни!$A$7:$D$401,4,FALSE)</f>
        <v>9</v>
      </c>
    </row>
    <row r="283" spans="1:4" x14ac:dyDescent="0.3">
      <c r="A283" s="914">
        <v>150000964</v>
      </c>
      <c r="B283" s="915">
        <v>14884.53</v>
      </c>
      <c r="C283" s="915">
        <v>20724.12</v>
      </c>
      <c r="D283" s="555">
        <f>VLOOKUP(A283,ціни!$A$7:$D$401,4,FALSE)</f>
        <v>9</v>
      </c>
    </row>
    <row r="284" spans="1:4" x14ac:dyDescent="0.3">
      <c r="A284" s="914">
        <v>150000966</v>
      </c>
      <c r="B284" s="915">
        <v>6053.15</v>
      </c>
      <c r="C284" s="915">
        <v>53686.29</v>
      </c>
      <c r="D284" s="555">
        <f>VLOOKUP(A284,ціни!$A$7:$D$401,4,FALSE)</f>
        <v>4</v>
      </c>
    </row>
    <row r="285" spans="1:4" x14ac:dyDescent="0.3">
      <c r="A285" s="914">
        <v>150000967</v>
      </c>
      <c r="B285" s="915">
        <v>7987.96</v>
      </c>
      <c r="C285" s="915">
        <v>11900.56</v>
      </c>
      <c r="D285" s="555">
        <f>VLOOKUP(A285,ціни!$A$7:$D$401,4,FALSE)</f>
        <v>4</v>
      </c>
    </row>
    <row r="286" spans="1:4" x14ac:dyDescent="0.3">
      <c r="A286" s="914">
        <v>150000968</v>
      </c>
      <c r="B286" s="915">
        <v>7871.3</v>
      </c>
      <c r="C286" s="915">
        <v>8053.77</v>
      </c>
      <c r="D286" s="555">
        <f>VLOOKUP(A286,ціни!$A$7:$D$401,4,FALSE)</f>
        <v>5</v>
      </c>
    </row>
    <row r="287" spans="1:4" x14ac:dyDescent="0.3">
      <c r="A287" s="914">
        <v>150000969</v>
      </c>
      <c r="B287" s="915">
        <v>3514.74</v>
      </c>
      <c r="C287" s="915">
        <v>5002.42</v>
      </c>
      <c r="D287" s="555">
        <f>VLOOKUP(A287,ціни!$A$7:$D$401,4,FALSE)</f>
        <v>3</v>
      </c>
    </row>
    <row r="288" spans="1:4" x14ac:dyDescent="0.3">
      <c r="A288" s="914">
        <v>150000970</v>
      </c>
      <c r="B288" s="915">
        <v>12309.53</v>
      </c>
      <c r="C288" s="915">
        <v>36506.089999999997</v>
      </c>
      <c r="D288" s="555">
        <f>VLOOKUP(A288,ціни!$A$7:$D$401,4,FALSE)</f>
        <v>5</v>
      </c>
    </row>
    <row r="289" spans="1:4" x14ac:dyDescent="0.3">
      <c r="A289" s="914">
        <v>150000971</v>
      </c>
      <c r="B289" s="915">
        <v>6999.18</v>
      </c>
      <c r="C289" s="915">
        <v>19719.03</v>
      </c>
      <c r="D289" s="555">
        <f>VLOOKUP(A289,ціни!$A$7:$D$401,4,FALSE)</f>
        <v>3</v>
      </c>
    </row>
    <row r="290" spans="1:4" x14ac:dyDescent="0.3">
      <c r="A290" s="914">
        <v>150000972</v>
      </c>
      <c r="B290" s="915">
        <v>10128.43</v>
      </c>
      <c r="C290" s="915">
        <v>22161.39</v>
      </c>
      <c r="D290" s="555">
        <f>VLOOKUP(A290,ціни!$A$7:$D$401,4,FALSE)</f>
        <v>4</v>
      </c>
    </row>
    <row r="291" spans="1:4" x14ac:dyDescent="0.3">
      <c r="A291" s="914">
        <v>150000974</v>
      </c>
      <c r="B291" s="915">
        <v>12275.72</v>
      </c>
      <c r="C291" s="915">
        <v>36111.69</v>
      </c>
      <c r="D291" s="555">
        <f>VLOOKUP(A291,ціни!$A$7:$D$401,4,FALSE)</f>
        <v>4</v>
      </c>
    </row>
    <row r="292" spans="1:4" x14ac:dyDescent="0.3">
      <c r="A292" s="914">
        <v>150000975</v>
      </c>
      <c r="B292" s="915">
        <v>15161.34</v>
      </c>
      <c r="C292" s="915">
        <v>54969.07</v>
      </c>
      <c r="D292" s="555">
        <f>VLOOKUP(A292,ціни!$A$7:$D$401,4,FALSE)</f>
        <v>4</v>
      </c>
    </row>
    <row r="293" spans="1:4" x14ac:dyDescent="0.3">
      <c r="A293" s="914">
        <v>150000976</v>
      </c>
      <c r="B293" s="915">
        <v>5009.82</v>
      </c>
      <c r="C293" s="915">
        <v>24349.4</v>
      </c>
      <c r="D293" s="555">
        <f>VLOOKUP(A293,ціни!$A$7:$D$401,4,FALSE)</f>
        <v>2</v>
      </c>
    </row>
    <row r="294" spans="1:4" x14ac:dyDescent="0.3">
      <c r="A294" s="914">
        <v>150000977</v>
      </c>
      <c r="B294" s="915">
        <v>4271.0200000000004</v>
      </c>
      <c r="C294" s="915">
        <v>4789.95</v>
      </c>
      <c r="D294" s="555">
        <f>VLOOKUP(A294,ціни!$A$7:$D$401,4,FALSE)</f>
        <v>2</v>
      </c>
    </row>
    <row r="295" spans="1:4" x14ac:dyDescent="0.3">
      <c r="A295" s="914">
        <v>150000978</v>
      </c>
      <c r="B295" s="915">
        <v>8265.06</v>
      </c>
      <c r="C295" s="915">
        <v>36673.29</v>
      </c>
      <c r="D295" s="555">
        <f>VLOOKUP(A295,ціни!$A$7:$D$401,4,FALSE)</f>
        <v>5</v>
      </c>
    </row>
    <row r="296" spans="1:4" x14ac:dyDescent="0.3">
      <c r="A296" s="914">
        <v>150000981</v>
      </c>
      <c r="B296" s="915">
        <v>16094.79</v>
      </c>
      <c r="C296" s="915">
        <v>58861.46</v>
      </c>
      <c r="D296" s="555">
        <f>VLOOKUP(A296,ціни!$A$7:$D$401,4,FALSE)</f>
        <v>9</v>
      </c>
    </row>
    <row r="297" spans="1:4" x14ac:dyDescent="0.3">
      <c r="A297" s="914">
        <v>150000982</v>
      </c>
      <c r="B297" s="915">
        <v>45132.19</v>
      </c>
      <c r="C297" s="915">
        <v>171379</v>
      </c>
      <c r="D297" s="555">
        <f>VLOOKUP(A297,ціни!$A$7:$D$401,4,FALSE)</f>
        <v>9</v>
      </c>
    </row>
    <row r="298" spans="1:4" x14ac:dyDescent="0.3">
      <c r="A298" s="914">
        <v>150000983</v>
      </c>
      <c r="B298" s="915">
        <v>27528.01</v>
      </c>
      <c r="C298" s="915">
        <v>52375.19</v>
      </c>
      <c r="D298" s="555">
        <f>VLOOKUP(A298,ціни!$A$7:$D$401,4,FALSE)</f>
        <v>9</v>
      </c>
    </row>
    <row r="299" spans="1:4" x14ac:dyDescent="0.3">
      <c r="A299" s="914">
        <v>150000984</v>
      </c>
      <c r="B299" s="915">
        <v>61783</v>
      </c>
      <c r="C299" s="915">
        <v>117028.38</v>
      </c>
      <c r="D299" s="555">
        <f>VLOOKUP(A299,ціни!$A$7:$D$401,4,FALSE)</f>
        <v>9</v>
      </c>
    </row>
    <row r="300" spans="1:4" x14ac:dyDescent="0.3">
      <c r="A300" s="914">
        <v>150000986</v>
      </c>
      <c r="B300" s="915">
        <v>42431.02</v>
      </c>
      <c r="C300" s="915">
        <v>76007.520000000004</v>
      </c>
      <c r="D300" s="555">
        <f>VLOOKUP(A300,ціни!$A$7:$D$401,4,FALSE)</f>
        <v>9</v>
      </c>
    </row>
    <row r="301" spans="1:4" x14ac:dyDescent="0.3">
      <c r="A301" s="914">
        <v>150000987</v>
      </c>
      <c r="B301" s="915">
        <v>83.49</v>
      </c>
      <c r="C301" s="915">
        <v>-342.63</v>
      </c>
      <c r="D301" s="555">
        <f>VLOOKUP(A301,ціни!$A$7:$D$401,4,FALSE)</f>
        <v>1</v>
      </c>
    </row>
    <row r="302" spans="1:4" x14ac:dyDescent="0.3">
      <c r="A302" s="914">
        <v>150000988</v>
      </c>
      <c r="B302" s="915">
        <v>434.89</v>
      </c>
      <c r="C302" s="915">
        <v>670.28</v>
      </c>
      <c r="D302" s="555">
        <f>VLOOKUP(A302,ціни!$A$7:$D$401,4,FALSE)</f>
        <v>1</v>
      </c>
    </row>
    <row r="303" spans="1:4" x14ac:dyDescent="0.3">
      <c r="A303" s="914">
        <v>150000989</v>
      </c>
      <c r="B303" s="915">
        <v>276.85000000000002</v>
      </c>
      <c r="C303" s="915">
        <v>400.28</v>
      </c>
      <c r="D303" s="555">
        <f>VLOOKUP(A303,ціни!$A$7:$D$401,4,FALSE)</f>
        <v>1</v>
      </c>
    </row>
    <row r="304" spans="1:4" x14ac:dyDescent="0.3">
      <c r="A304" s="914">
        <v>150000991</v>
      </c>
      <c r="B304" s="915">
        <v>27656.799999999999</v>
      </c>
      <c r="C304" s="915">
        <v>62910.45</v>
      </c>
      <c r="D304" s="555">
        <f>VLOOKUP(A304,ціни!$A$7:$D$401,4,FALSE)</f>
        <v>9</v>
      </c>
    </row>
    <row r="305" spans="1:4" x14ac:dyDescent="0.3">
      <c r="A305" s="914">
        <v>150000992</v>
      </c>
      <c r="B305" s="915">
        <v>379.69</v>
      </c>
      <c r="C305" s="915">
        <v>2797.49</v>
      </c>
      <c r="D305" s="555">
        <f>VLOOKUP(A305,ціни!$A$7:$D$401,4,FALSE)</f>
        <v>1</v>
      </c>
    </row>
    <row r="306" spans="1:4" x14ac:dyDescent="0.3">
      <c r="A306" s="914">
        <v>150000993</v>
      </c>
      <c r="B306" s="915">
        <v>422.07</v>
      </c>
      <c r="C306" s="915">
        <v>501.42</v>
      </c>
      <c r="D306" s="555">
        <f>VLOOKUP(A306,ціни!$A$7:$D$401,4,FALSE)</f>
        <v>1</v>
      </c>
    </row>
    <row r="307" spans="1:4" x14ac:dyDescent="0.3">
      <c r="A307" s="914">
        <v>150000994</v>
      </c>
      <c r="B307" s="915">
        <v>421.47</v>
      </c>
      <c r="C307" s="915">
        <v>318.33999999999997</v>
      </c>
      <c r="D307" s="555">
        <f>VLOOKUP(A307,ціни!$A$7:$D$401,4,FALSE)</f>
        <v>1</v>
      </c>
    </row>
    <row r="308" spans="1:4" x14ac:dyDescent="0.3">
      <c r="A308" s="914">
        <v>150000995</v>
      </c>
      <c r="B308" s="915">
        <v>258.39999999999998</v>
      </c>
      <c r="C308" s="915">
        <v>308.36</v>
      </c>
      <c r="D308" s="555">
        <f>VLOOKUP(A308,ціни!$A$7:$D$401,4,FALSE)</f>
        <v>1</v>
      </c>
    </row>
    <row r="309" spans="1:4" x14ac:dyDescent="0.3">
      <c r="A309" s="914">
        <v>150000996</v>
      </c>
      <c r="B309" s="915">
        <v>18889.099999999999</v>
      </c>
      <c r="C309" s="915">
        <v>66431.03</v>
      </c>
      <c r="D309" s="555">
        <f>VLOOKUP(A309,ціни!$A$7:$D$401,4,FALSE)</f>
        <v>5</v>
      </c>
    </row>
    <row r="310" spans="1:4" x14ac:dyDescent="0.3">
      <c r="A310" s="914">
        <v>150000999</v>
      </c>
      <c r="B310" s="915">
        <v>419.92</v>
      </c>
      <c r="C310" s="915">
        <v>747.39</v>
      </c>
      <c r="D310" s="555">
        <f>VLOOKUP(A310,ціни!$A$7:$D$401,4,FALSE)</f>
        <v>1</v>
      </c>
    </row>
    <row r="311" spans="1:4" x14ac:dyDescent="0.3">
      <c r="A311" s="914">
        <v>150001000</v>
      </c>
      <c r="B311" s="915">
        <v>409.88</v>
      </c>
      <c r="C311" s="915">
        <v>1909.81</v>
      </c>
      <c r="D311" s="555">
        <f>VLOOKUP(A311,ціни!$A$7:$D$401,4,FALSE)</f>
        <v>1</v>
      </c>
    </row>
    <row r="312" spans="1:4" x14ac:dyDescent="0.3">
      <c r="A312" s="914">
        <v>150001002</v>
      </c>
      <c r="B312" s="915">
        <v>422.71</v>
      </c>
      <c r="C312" s="915">
        <v>422.71</v>
      </c>
      <c r="D312" s="555">
        <f>VLOOKUP(A312,ціни!$A$7:$D$401,4,FALSE)</f>
        <v>1</v>
      </c>
    </row>
    <row r="313" spans="1:4" x14ac:dyDescent="0.3">
      <c r="A313" s="914">
        <v>150001004</v>
      </c>
      <c r="B313" s="915">
        <v>438.22</v>
      </c>
      <c r="C313" s="915">
        <v>344.08</v>
      </c>
      <c r="D313" s="555">
        <f>VLOOKUP(A313,ціни!$A$7:$D$401,4,FALSE)</f>
        <v>1</v>
      </c>
    </row>
    <row r="314" spans="1:4" x14ac:dyDescent="0.3">
      <c r="A314" s="914">
        <v>150001007</v>
      </c>
      <c r="B314" s="915">
        <v>9900.5300000000007</v>
      </c>
      <c r="C314" s="915">
        <v>19056.740000000002</v>
      </c>
      <c r="D314" s="555">
        <f>VLOOKUP(A314,ціни!$A$7:$D$401,4,FALSE)</f>
        <v>4</v>
      </c>
    </row>
    <row r="315" spans="1:4" x14ac:dyDescent="0.3">
      <c r="A315" s="914">
        <v>150001008</v>
      </c>
      <c r="B315" s="915">
        <v>8513.07</v>
      </c>
      <c r="C315" s="915">
        <v>27898.85</v>
      </c>
      <c r="D315" s="555">
        <f>VLOOKUP(A315,ціни!$A$7:$D$401,4,FALSE)</f>
        <v>4</v>
      </c>
    </row>
    <row r="316" spans="1:4" x14ac:dyDescent="0.3">
      <c r="A316" s="914">
        <v>150001009</v>
      </c>
      <c r="B316" s="915">
        <v>6994.11</v>
      </c>
      <c r="C316" s="915">
        <v>10028.4</v>
      </c>
      <c r="D316" s="555">
        <f>VLOOKUP(A316,ціни!$A$7:$D$401,4,FALSE)</f>
        <v>4</v>
      </c>
    </row>
    <row r="317" spans="1:4" x14ac:dyDescent="0.3">
      <c r="A317" s="914">
        <v>150001010</v>
      </c>
      <c r="B317" s="915">
        <v>3254.07</v>
      </c>
      <c r="C317" s="915">
        <v>3798.51</v>
      </c>
      <c r="D317" s="555">
        <f>VLOOKUP(A317,ціни!$A$7:$D$401,4,FALSE)</f>
        <v>2</v>
      </c>
    </row>
    <row r="318" spans="1:4" x14ac:dyDescent="0.3">
      <c r="A318" s="914">
        <v>150001011</v>
      </c>
      <c r="B318" s="915">
        <v>2568.48</v>
      </c>
      <c r="C318" s="915">
        <v>6390.4</v>
      </c>
      <c r="D318" s="555">
        <f>VLOOKUP(A318,ціни!$A$7:$D$401,4,FALSE)</f>
        <v>2</v>
      </c>
    </row>
    <row r="319" spans="1:4" x14ac:dyDescent="0.3">
      <c r="A319" s="914">
        <v>150001013</v>
      </c>
      <c r="B319" s="915">
        <v>12833.21</v>
      </c>
      <c r="C319" s="915">
        <v>54446.37</v>
      </c>
      <c r="D319" s="555">
        <f>VLOOKUP(A319,ціни!$A$7:$D$401,4,FALSE)</f>
        <v>5</v>
      </c>
    </row>
    <row r="320" spans="1:4" x14ac:dyDescent="0.3">
      <c r="A320" s="914">
        <v>150001014</v>
      </c>
      <c r="B320" s="915">
        <v>1743.92</v>
      </c>
      <c r="C320" s="915">
        <v>1813.31</v>
      </c>
      <c r="D320" s="555">
        <f>VLOOKUP(A320,ціни!$A$7:$D$401,4,FALSE)</f>
        <v>2</v>
      </c>
    </row>
    <row r="321" spans="1:4" x14ac:dyDescent="0.3">
      <c r="A321" s="914">
        <v>150001015</v>
      </c>
      <c r="B321" s="915">
        <v>270.89</v>
      </c>
      <c r="C321" s="915">
        <v>261.63</v>
      </c>
      <c r="D321" s="555">
        <f>VLOOKUP(A321,ціни!$A$7:$D$401,4,FALSE)</f>
        <v>1</v>
      </c>
    </row>
    <row r="322" spans="1:4" x14ac:dyDescent="0.3">
      <c r="A322" s="914">
        <v>150001016</v>
      </c>
      <c r="B322" s="915">
        <v>10857.97</v>
      </c>
      <c r="C322" s="915">
        <v>49337.2</v>
      </c>
      <c r="D322" s="555">
        <f>VLOOKUP(A322,ціни!$A$7:$D$401,4,FALSE)</f>
        <v>5</v>
      </c>
    </row>
    <row r="323" spans="1:4" x14ac:dyDescent="0.3">
      <c r="A323" s="914">
        <v>150001018</v>
      </c>
      <c r="B323" s="915">
        <v>12596.37</v>
      </c>
      <c r="C323" s="915">
        <v>16998.21</v>
      </c>
      <c r="D323" s="555">
        <f>VLOOKUP(A323,ціни!$A$7:$D$401,4,FALSE)</f>
        <v>5</v>
      </c>
    </row>
    <row r="324" spans="1:4" x14ac:dyDescent="0.3">
      <c r="A324" s="914">
        <v>150001019</v>
      </c>
      <c r="B324" s="915">
        <v>47926.94</v>
      </c>
      <c r="C324" s="915">
        <v>158731.6</v>
      </c>
      <c r="D324" s="555">
        <f>VLOOKUP(A324,ціни!$A$7:$D$401,4,FALSE)</f>
        <v>10</v>
      </c>
    </row>
    <row r="325" spans="1:4" x14ac:dyDescent="0.3">
      <c r="A325" s="914">
        <v>150001020</v>
      </c>
      <c r="B325" s="915">
        <v>507</v>
      </c>
      <c r="C325" s="915">
        <v>507</v>
      </c>
      <c r="D325" s="555">
        <f>VLOOKUP(A325,ціни!$A$7:$D$401,4,FALSE)</f>
        <v>1</v>
      </c>
    </row>
    <row r="326" spans="1:4" x14ac:dyDescent="0.3">
      <c r="A326" s="914">
        <v>150001021</v>
      </c>
      <c r="B326" s="915">
        <v>79287.7</v>
      </c>
      <c r="C326" s="915">
        <v>183664.02</v>
      </c>
      <c r="D326" s="555">
        <f>VLOOKUP(A326,ціни!$A$7:$D$401,4,FALSE)</f>
        <v>9</v>
      </c>
    </row>
    <row r="327" spans="1:4" x14ac:dyDescent="0.3">
      <c r="A327" s="914">
        <v>150001022</v>
      </c>
      <c r="B327" s="915">
        <v>27132.58</v>
      </c>
      <c r="C327" s="915">
        <v>42341.41</v>
      </c>
      <c r="D327" s="555">
        <f>VLOOKUP(A327,ціни!$A$7:$D$401,4,FALSE)</f>
        <v>9</v>
      </c>
    </row>
    <row r="328" spans="1:4" x14ac:dyDescent="0.3">
      <c r="A328" s="914">
        <v>150001023</v>
      </c>
      <c r="B328" s="915">
        <v>25847.94</v>
      </c>
      <c r="C328" s="915">
        <v>85905.77</v>
      </c>
      <c r="D328" s="555">
        <f>VLOOKUP(A328,ціни!$A$7:$D$401,4,FALSE)</f>
        <v>9</v>
      </c>
    </row>
    <row r="329" spans="1:4" x14ac:dyDescent="0.3">
      <c r="A329" s="914">
        <v>150001024</v>
      </c>
      <c r="B329" s="915">
        <v>30800.5</v>
      </c>
      <c r="C329" s="915">
        <v>53096.01</v>
      </c>
      <c r="D329" s="555">
        <f>VLOOKUP(A329,ціни!$A$7:$D$401,4,FALSE)</f>
        <v>9</v>
      </c>
    </row>
    <row r="330" spans="1:4" x14ac:dyDescent="0.3">
      <c r="A330" s="914">
        <v>150001025</v>
      </c>
      <c r="B330" s="915">
        <v>34632.050000000003</v>
      </c>
      <c r="C330" s="915">
        <v>40669.360000000001</v>
      </c>
      <c r="D330" s="555">
        <f>VLOOKUP(A330,ціни!$A$7:$D$401,4,FALSE)</f>
        <v>10</v>
      </c>
    </row>
    <row r="331" spans="1:4" x14ac:dyDescent="0.3">
      <c r="A331" s="914">
        <v>150001026</v>
      </c>
      <c r="B331" s="915">
        <v>53060.79</v>
      </c>
      <c r="C331" s="915">
        <v>110043.09</v>
      </c>
      <c r="D331" s="555">
        <f>VLOOKUP(A331,ціни!$A$7:$D$401,4,FALSE)</f>
        <v>8</v>
      </c>
    </row>
    <row r="332" spans="1:4" x14ac:dyDescent="0.3">
      <c r="A332" s="914">
        <v>150001027</v>
      </c>
      <c r="B332" s="915">
        <v>71109.63</v>
      </c>
      <c r="C332" s="915">
        <v>225418.16</v>
      </c>
      <c r="D332" s="555">
        <f>VLOOKUP(A332,ціни!$A$7:$D$401,4,FALSE)</f>
        <v>9</v>
      </c>
    </row>
    <row r="333" spans="1:4" x14ac:dyDescent="0.3">
      <c r="A333" s="914">
        <v>150001028</v>
      </c>
      <c r="B333" s="915">
        <v>257.83999999999997</v>
      </c>
      <c r="C333" s="915">
        <v>1514.69</v>
      </c>
      <c r="D333" s="555">
        <f>VLOOKUP(A333,ціни!$A$7:$D$401,4,FALSE)</f>
        <v>1</v>
      </c>
    </row>
    <row r="334" spans="1:4" x14ac:dyDescent="0.3">
      <c r="A334" s="914">
        <v>150001029</v>
      </c>
      <c r="B334" s="915">
        <v>55290.32</v>
      </c>
      <c r="C334" s="915">
        <v>133959.85</v>
      </c>
      <c r="D334" s="555">
        <f>VLOOKUP(A334,ціни!$A$7:$D$401,4,FALSE)</f>
        <v>9</v>
      </c>
    </row>
    <row r="335" spans="1:4" x14ac:dyDescent="0.3">
      <c r="A335" s="914">
        <v>150001030</v>
      </c>
      <c r="B335" s="915">
        <v>43238.54</v>
      </c>
      <c r="C335" s="915">
        <v>68730.67</v>
      </c>
      <c r="D335" s="555">
        <f>VLOOKUP(A335,ціни!$A$7:$D$401,4,FALSE)</f>
        <v>8</v>
      </c>
    </row>
    <row r="336" spans="1:4" x14ac:dyDescent="0.3">
      <c r="A336" s="914">
        <v>150001031</v>
      </c>
      <c r="B336" s="915">
        <v>352.59</v>
      </c>
      <c r="C336" s="915">
        <v>573.65</v>
      </c>
      <c r="D336" s="555">
        <f>VLOOKUP(A336,ціни!$A$7:$D$401,4,FALSE)</f>
        <v>1</v>
      </c>
    </row>
    <row r="337" spans="1:4" x14ac:dyDescent="0.3">
      <c r="A337" s="914">
        <v>150001032</v>
      </c>
      <c r="B337" s="915">
        <v>48093.51</v>
      </c>
      <c r="C337" s="915">
        <v>66539.17</v>
      </c>
      <c r="D337" s="555">
        <f>VLOOKUP(A337,ціни!$A$7:$D$401,4,FALSE)</f>
        <v>9</v>
      </c>
    </row>
    <row r="338" spans="1:4" x14ac:dyDescent="0.3">
      <c r="A338" s="914">
        <v>150001033</v>
      </c>
      <c r="B338" s="915">
        <v>29894</v>
      </c>
      <c r="C338" s="915">
        <v>46632.15</v>
      </c>
      <c r="D338" s="555">
        <f>VLOOKUP(A338,ціни!$A$7:$D$401,4,FALSE)</f>
        <v>9</v>
      </c>
    </row>
    <row r="339" spans="1:4" x14ac:dyDescent="0.3">
      <c r="A339" s="914">
        <v>150001035</v>
      </c>
      <c r="B339" s="915">
        <v>17376.95</v>
      </c>
      <c r="C339" s="915">
        <v>39123.4</v>
      </c>
      <c r="D339" s="555">
        <f>VLOOKUP(A339,ціни!$A$7:$D$401,4,FALSE)</f>
        <v>5</v>
      </c>
    </row>
    <row r="340" spans="1:4" x14ac:dyDescent="0.3">
      <c r="A340" s="914">
        <v>150001036</v>
      </c>
      <c r="B340" s="915">
        <v>394.26</v>
      </c>
      <c r="C340" s="915">
        <v>394.26</v>
      </c>
      <c r="D340" s="555">
        <f>VLOOKUP(A340,ціни!$A$7:$D$401,4,FALSE)</f>
        <v>1</v>
      </c>
    </row>
    <row r="341" spans="1:4" x14ac:dyDescent="0.3">
      <c r="A341" s="914">
        <v>150001037</v>
      </c>
      <c r="B341" s="915">
        <v>335.71</v>
      </c>
      <c r="C341" s="915">
        <v>335.71</v>
      </c>
      <c r="D341" s="555">
        <f>VLOOKUP(A341,ціни!$A$7:$D$401,4,FALSE)</f>
        <v>1</v>
      </c>
    </row>
    <row r="342" spans="1:4" x14ac:dyDescent="0.3">
      <c r="A342" s="914">
        <v>150001040</v>
      </c>
      <c r="B342" s="915">
        <v>10987.77</v>
      </c>
      <c r="C342" s="915">
        <v>23804.97</v>
      </c>
      <c r="D342" s="555">
        <f>VLOOKUP(A342,ціни!$A$7:$D$401,4,FALSE)</f>
        <v>4</v>
      </c>
    </row>
    <row r="343" spans="1:4" x14ac:dyDescent="0.3">
      <c r="A343" s="914">
        <v>150001041</v>
      </c>
      <c r="B343" s="915">
        <v>3333.33</v>
      </c>
      <c r="C343" s="915">
        <v>5527.64</v>
      </c>
      <c r="D343" s="555">
        <f>VLOOKUP(A343,ціни!$A$7:$D$401,4,FALSE)</f>
        <v>3</v>
      </c>
    </row>
    <row r="344" spans="1:4" x14ac:dyDescent="0.3">
      <c r="A344" s="914">
        <v>150001042</v>
      </c>
      <c r="B344" s="915">
        <v>2737.12</v>
      </c>
      <c r="C344" s="915">
        <v>13592.51</v>
      </c>
      <c r="D344" s="555">
        <f>VLOOKUP(A344,ціни!$A$7:$D$401,4,FALSE)</f>
        <v>2</v>
      </c>
    </row>
    <row r="345" spans="1:4" x14ac:dyDescent="0.3">
      <c r="A345" s="914">
        <v>150001043</v>
      </c>
      <c r="B345" s="915">
        <v>7207.01</v>
      </c>
      <c r="C345" s="915">
        <v>16370.7</v>
      </c>
      <c r="D345" s="555">
        <f>VLOOKUP(A345,ціни!$A$7:$D$401,4,FALSE)</f>
        <v>4</v>
      </c>
    </row>
    <row r="346" spans="1:4" x14ac:dyDescent="0.3">
      <c r="A346" s="914">
        <v>150001044</v>
      </c>
      <c r="B346" s="915">
        <v>13996.17</v>
      </c>
      <c r="C346" s="915">
        <v>36143.81</v>
      </c>
      <c r="D346" s="555">
        <f>VLOOKUP(A346,ціни!$A$7:$D$401,4,FALSE)</f>
        <v>5</v>
      </c>
    </row>
    <row r="347" spans="1:4" x14ac:dyDescent="0.3">
      <c r="A347" s="914">
        <v>150001045</v>
      </c>
      <c r="B347" s="915">
        <v>17602.150000000001</v>
      </c>
      <c r="C347" s="915">
        <v>47199.38</v>
      </c>
      <c r="D347" s="555">
        <f>VLOOKUP(A347,ціни!$A$7:$D$401,4,FALSE)</f>
        <v>5</v>
      </c>
    </row>
    <row r="348" spans="1:4" x14ac:dyDescent="0.3">
      <c r="A348" s="914">
        <v>150001046</v>
      </c>
      <c r="B348" s="915">
        <v>11509.17</v>
      </c>
      <c r="C348" s="915">
        <v>48364.88</v>
      </c>
      <c r="D348" s="555">
        <f>VLOOKUP(A348,ціни!$A$7:$D$401,4,FALSE)</f>
        <v>5</v>
      </c>
    </row>
    <row r="349" spans="1:4" x14ac:dyDescent="0.3">
      <c r="A349" s="914">
        <v>150001047</v>
      </c>
      <c r="B349" s="915">
        <v>3741.56</v>
      </c>
      <c r="C349" s="915">
        <v>19954.45</v>
      </c>
      <c r="D349" s="555">
        <f>VLOOKUP(A349,ціни!$A$7:$D$401,4,FALSE)</f>
        <v>2</v>
      </c>
    </row>
    <row r="350" spans="1:4" x14ac:dyDescent="0.3">
      <c r="A350" s="914">
        <v>150001048</v>
      </c>
      <c r="B350" s="915">
        <v>141.55000000000001</v>
      </c>
      <c r="C350" s="915">
        <v>141.55000000000001</v>
      </c>
      <c r="D350" s="555">
        <f>VLOOKUP(A350,ціни!$A$7:$D$401,4,FALSE)</f>
        <v>1</v>
      </c>
    </row>
    <row r="351" spans="1:4" x14ac:dyDescent="0.3">
      <c r="A351" s="914">
        <v>150001049</v>
      </c>
      <c r="B351" s="915">
        <v>1452.58</v>
      </c>
      <c r="C351" s="915">
        <v>4176.58</v>
      </c>
      <c r="D351" s="555">
        <f>VLOOKUP(A351,ціни!$A$7:$D$401,4,FALSE)</f>
        <v>2</v>
      </c>
    </row>
    <row r="352" spans="1:4" x14ac:dyDescent="0.3">
      <c r="A352" s="914">
        <v>150001050</v>
      </c>
      <c r="B352" s="915">
        <v>17020.46</v>
      </c>
      <c r="C352" s="915">
        <v>33719.440000000002</v>
      </c>
      <c r="D352" s="555">
        <f>VLOOKUP(A352,ціни!$A$7:$D$401,4,FALSE)</f>
        <v>5</v>
      </c>
    </row>
    <row r="353" spans="1:4" x14ac:dyDescent="0.3">
      <c r="A353" s="914">
        <v>150001053</v>
      </c>
      <c r="B353" s="915">
        <v>2125.1999999999998</v>
      </c>
      <c r="C353" s="915">
        <v>2347.96</v>
      </c>
      <c r="D353" s="555">
        <f>VLOOKUP(A353,ціни!$A$7:$D$401,4,FALSE)</f>
        <v>2</v>
      </c>
    </row>
    <row r="354" spans="1:4" x14ac:dyDescent="0.3">
      <c r="A354" s="914">
        <v>150001054</v>
      </c>
      <c r="B354" s="915">
        <v>283.39</v>
      </c>
      <c r="C354" s="915">
        <v>665.1</v>
      </c>
      <c r="D354" s="555">
        <f>VLOOKUP(A354,ціни!$A$7:$D$401,4,FALSE)</f>
        <v>1</v>
      </c>
    </row>
    <row r="355" spans="1:4" x14ac:dyDescent="0.3">
      <c r="A355" s="914">
        <v>150001071</v>
      </c>
      <c r="B355" s="915">
        <v>1385.93</v>
      </c>
      <c r="C355" s="915">
        <v>1600.77</v>
      </c>
      <c r="D355" s="555">
        <f>VLOOKUP(A355,ціни!$A$7:$D$401,4,FALSE)</f>
        <v>2</v>
      </c>
    </row>
    <row r="356" spans="1:4" x14ac:dyDescent="0.3">
      <c r="A356" s="914">
        <v>150001094</v>
      </c>
      <c r="B356" s="915">
        <v>788.88</v>
      </c>
      <c r="C356" s="915">
        <v>788.88</v>
      </c>
      <c r="D356" s="555">
        <f>VLOOKUP(A356,ціни!$A$7:$D$401,4,FALSE)</f>
        <v>2</v>
      </c>
    </row>
    <row r="357" spans="1:4" x14ac:dyDescent="0.3">
      <c r="A357" s="914">
        <v>150001561</v>
      </c>
      <c r="B357" s="915">
        <v>18599.740000000002</v>
      </c>
      <c r="C357" s="915">
        <v>58994.86</v>
      </c>
      <c r="D357" s="555">
        <f>VLOOKUP(A357,ціни!$A$7:$D$401,4,FALSE)</f>
        <v>9</v>
      </c>
    </row>
    <row r="358" spans="1:4" x14ac:dyDescent="0.3">
      <c r="A358" s="914">
        <v>150001562</v>
      </c>
      <c r="B358" s="915">
        <v>12554.5</v>
      </c>
      <c r="C358" s="915">
        <v>12456.89</v>
      </c>
      <c r="D358" s="555">
        <f>VLOOKUP(A358,ціни!$A$7:$D$401,4,FALSE)</f>
        <v>4</v>
      </c>
    </row>
    <row r="359" spans="1:4" x14ac:dyDescent="0.3">
      <c r="A359" s="895"/>
      <c r="B359" s="896">
        <f>SUM(B2:B358)</f>
        <v>5981524.9599999981</v>
      </c>
      <c r="C359" s="896">
        <f>SUM(C2:C358)</f>
        <v>16605847.699999988</v>
      </c>
      <c r="D359" s="697"/>
    </row>
  </sheetData>
  <autoFilter ref="A1:D359" xr:uid="{00000000-0001-0000-0400-000000000000}"/>
  <sortState xmlns:xlrd2="http://schemas.microsoft.com/office/spreadsheetml/2017/richdata2" ref="A2:C359">
    <sortCondition ref="A2:A359"/>
  </sortState>
  <conditionalFormatting sqref="A1:A1048576">
    <cfRule type="duplicateValues" dxfId="6" priority="1"/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/>
  <dimension ref="A1:J153"/>
  <sheetViews>
    <sheetView topLeftCell="A131" zoomScale="90" zoomScaleNormal="90" workbookViewId="0">
      <selection activeCell="M151" sqref="M151"/>
    </sheetView>
  </sheetViews>
  <sheetFormatPr defaultColWidth="8.88671875" defaultRowHeight="15.6" x14ac:dyDescent="0.3"/>
  <cols>
    <col min="1" max="1" width="15.109375" style="706" customWidth="1"/>
    <col min="2" max="2" width="41.109375" style="802" customWidth="1"/>
    <col min="3" max="3" width="15.44140625" style="787" customWidth="1"/>
    <col min="4" max="4" width="15.44140625" style="731" customWidth="1"/>
    <col min="5" max="5" width="13.109375" style="461" customWidth="1"/>
    <col min="6" max="6" width="15.109375" style="461" customWidth="1"/>
    <col min="7" max="7" width="14.109375" style="461" customWidth="1"/>
    <col min="8" max="8" width="8.88671875" style="461" customWidth="1"/>
    <col min="9" max="9" width="8.88671875" style="461"/>
    <col min="10" max="10" width="18.44140625" style="461" customWidth="1"/>
    <col min="11" max="16384" width="8.88671875" style="461"/>
  </cols>
  <sheetData>
    <row r="1" spans="1:10" ht="62.4" x14ac:dyDescent="0.3">
      <c r="A1" s="800" t="s">
        <v>1102</v>
      </c>
      <c r="B1" s="883" t="s">
        <v>1</v>
      </c>
      <c r="C1" s="801" t="s">
        <v>1115</v>
      </c>
      <c r="D1" s="801" t="s">
        <v>1696</v>
      </c>
      <c r="E1" s="801" t="s">
        <v>1697</v>
      </c>
      <c r="F1" s="801" t="s">
        <v>1698</v>
      </c>
      <c r="G1" s="801" t="s">
        <v>1699</v>
      </c>
      <c r="J1" s="921"/>
    </row>
    <row r="2" spans="1:10" ht="21" customHeight="1" x14ac:dyDescent="0.3">
      <c r="A2" s="730">
        <v>150000497</v>
      </c>
      <c r="B2" s="803" t="s">
        <v>340</v>
      </c>
      <c r="C2" s="916">
        <v>0</v>
      </c>
      <c r="D2" s="751">
        <v>376.63</v>
      </c>
      <c r="E2" s="751">
        <v>71.5</v>
      </c>
      <c r="F2" s="751">
        <v>0</v>
      </c>
      <c r="G2" s="751">
        <v>376.63</v>
      </c>
      <c r="H2" s="461">
        <f>VLOOKUP(A2,'побудинковий звіт'!$A$9:$DB$353,106,FALSE)</f>
        <v>1</v>
      </c>
    </row>
    <row r="3" spans="1:10" x14ac:dyDescent="0.3">
      <c r="A3" s="730">
        <v>150000498</v>
      </c>
      <c r="B3" s="803" t="s">
        <v>241</v>
      </c>
      <c r="C3" s="916">
        <v>255.74</v>
      </c>
      <c r="D3" s="751">
        <v>255.74</v>
      </c>
      <c r="E3" s="751">
        <v>45.7</v>
      </c>
      <c r="F3" s="751">
        <v>255.74</v>
      </c>
      <c r="G3" s="751">
        <v>255.74</v>
      </c>
      <c r="H3" s="461">
        <f>VLOOKUP(A3,'побудинковий звіт'!$A$9:$DB$353,106,FALSE)</f>
        <v>1</v>
      </c>
    </row>
    <row r="4" spans="1:10" x14ac:dyDescent="0.3">
      <c r="A4" s="730">
        <v>150000501</v>
      </c>
      <c r="B4" s="803" t="s">
        <v>263</v>
      </c>
      <c r="C4" s="916">
        <v>1484.14</v>
      </c>
      <c r="D4" s="751">
        <v>189.48</v>
      </c>
      <c r="E4" s="751">
        <v>40.6</v>
      </c>
      <c r="F4" s="751">
        <v>1984.14</v>
      </c>
      <c r="G4" s="751">
        <v>689.48</v>
      </c>
      <c r="H4" s="461">
        <f>VLOOKUP(A4,'побудинковий звіт'!$A$9:$DB$353,106,FALSE)</f>
        <v>2</v>
      </c>
    </row>
    <row r="5" spans="1:10" x14ac:dyDescent="0.3">
      <c r="A5" s="730">
        <v>150000507</v>
      </c>
      <c r="B5" s="803" t="s">
        <v>113</v>
      </c>
      <c r="C5" s="916">
        <v>-0.06</v>
      </c>
      <c r="D5" s="751">
        <v>73.14</v>
      </c>
      <c r="E5" s="751">
        <v>51.4</v>
      </c>
      <c r="F5" s="751">
        <v>-0.06</v>
      </c>
      <c r="G5" s="751">
        <v>73.14</v>
      </c>
      <c r="H5" s="461">
        <f>VLOOKUP(A5,'побудинковий звіт'!$A$9:$DB$353,106,FALSE)</f>
        <v>3</v>
      </c>
    </row>
    <row r="6" spans="1:10" x14ac:dyDescent="0.3">
      <c r="A6" s="730">
        <v>150000510</v>
      </c>
      <c r="B6" s="803" t="s">
        <v>248</v>
      </c>
      <c r="C6" s="916">
        <v>350.95</v>
      </c>
      <c r="D6" s="751">
        <v>350.95</v>
      </c>
      <c r="E6" s="751">
        <v>92.1</v>
      </c>
      <c r="F6" s="751">
        <v>701.9</v>
      </c>
      <c r="G6" s="751">
        <v>701.9</v>
      </c>
      <c r="H6" s="461">
        <f>VLOOKUP(A6,'побудинковий звіт'!$A$9:$DB$353,106,FALSE)</f>
        <v>2</v>
      </c>
    </row>
    <row r="7" spans="1:10" x14ac:dyDescent="0.3">
      <c r="A7" s="730">
        <v>150000512</v>
      </c>
      <c r="B7" s="803" t="s">
        <v>250</v>
      </c>
      <c r="C7" s="916">
        <v>195.93</v>
      </c>
      <c r="D7" s="751">
        <v>534.96</v>
      </c>
      <c r="E7" s="751">
        <v>133.6</v>
      </c>
      <c r="F7" s="751">
        <v>202.74</v>
      </c>
      <c r="G7" s="751">
        <v>541.77</v>
      </c>
      <c r="H7" s="461">
        <f>VLOOKUP(A7,'побудинковий звіт'!$A$9:$DB$353,106,FALSE)</f>
        <v>2</v>
      </c>
    </row>
    <row r="8" spans="1:10" x14ac:dyDescent="0.3">
      <c r="A8" s="730">
        <v>150000513</v>
      </c>
      <c r="B8" s="803" t="s">
        <v>333</v>
      </c>
      <c r="C8" s="916">
        <v>7069.6900000000005</v>
      </c>
      <c r="D8" s="751">
        <v>4937.72</v>
      </c>
      <c r="E8" s="751">
        <v>1482</v>
      </c>
      <c r="F8" s="751">
        <v>2131.9699999999998</v>
      </c>
      <c r="G8" s="751">
        <v>0</v>
      </c>
      <c r="H8" s="461">
        <f>VLOOKUP(A8,'побудинковий звіт'!$A$9:$DB$353,106,FALSE)</f>
        <v>2</v>
      </c>
    </row>
    <row r="9" spans="1:10" x14ac:dyDescent="0.3">
      <c r="A9" s="730">
        <v>150000517</v>
      </c>
      <c r="B9" s="803" t="s">
        <v>251</v>
      </c>
      <c r="C9" s="916">
        <v>4036.6000000000004</v>
      </c>
      <c r="D9" s="751">
        <v>1395.21</v>
      </c>
      <c r="E9" s="751">
        <v>362.90000000000003</v>
      </c>
      <c r="F9" s="751">
        <v>4745.87</v>
      </c>
      <c r="G9" s="751">
        <v>2104.48</v>
      </c>
      <c r="H9" s="461">
        <f>VLOOKUP(A9,'побудинковий звіт'!$A$9:$DB$353,106,FALSE)</f>
        <v>2</v>
      </c>
    </row>
    <row r="10" spans="1:10" x14ac:dyDescent="0.3">
      <c r="A10" s="730">
        <v>150000518</v>
      </c>
      <c r="B10" s="803" t="s">
        <v>194</v>
      </c>
      <c r="C10" s="916">
        <v>692.76</v>
      </c>
      <c r="D10" s="751">
        <v>346.38</v>
      </c>
      <c r="E10" s="751">
        <v>64.3</v>
      </c>
      <c r="F10" s="751">
        <v>692.76</v>
      </c>
      <c r="G10" s="751">
        <v>346.38</v>
      </c>
      <c r="H10" s="461">
        <f>VLOOKUP(A10,'побудинковий звіт'!$A$9:$DB$353,106,FALSE)</f>
        <v>2</v>
      </c>
    </row>
    <row r="11" spans="1:10" x14ac:dyDescent="0.3">
      <c r="A11" s="730">
        <v>150000519</v>
      </c>
      <c r="B11" s="803" t="s">
        <v>412</v>
      </c>
      <c r="C11" s="916">
        <v>2658.12</v>
      </c>
      <c r="D11" s="751">
        <v>288.48</v>
      </c>
      <c r="E11" s="751">
        <v>60.9</v>
      </c>
      <c r="F11" s="751">
        <v>2869.64</v>
      </c>
      <c r="G11" s="751">
        <v>500</v>
      </c>
      <c r="H11" s="461">
        <f>VLOOKUP(A11,'побудинковий звіт'!$A$9:$DB$353,106,FALSE)</f>
        <v>2</v>
      </c>
    </row>
    <row r="12" spans="1:10" x14ac:dyDescent="0.3">
      <c r="A12" s="730">
        <v>150000521</v>
      </c>
      <c r="B12" s="803" t="s">
        <v>252</v>
      </c>
      <c r="C12" s="916">
        <v>10233.279999999999</v>
      </c>
      <c r="D12" s="751">
        <v>1842.8400000000001</v>
      </c>
      <c r="E12" s="751">
        <v>383.40000000000003</v>
      </c>
      <c r="F12" s="751">
        <v>9364.9699999999993</v>
      </c>
      <c r="G12" s="751">
        <v>974.53</v>
      </c>
      <c r="H12" s="461">
        <f>VLOOKUP(A12,'побудинковий звіт'!$A$9:$DB$353,106,FALSE)</f>
        <v>2</v>
      </c>
    </row>
    <row r="13" spans="1:10" x14ac:dyDescent="0.3">
      <c r="A13" s="730">
        <v>150000535</v>
      </c>
      <c r="B13" s="803" t="s">
        <v>350</v>
      </c>
      <c r="C13" s="916">
        <v>959.16</v>
      </c>
      <c r="D13" s="751">
        <v>479.86</v>
      </c>
      <c r="E13" s="751">
        <v>95.2</v>
      </c>
      <c r="F13" s="751">
        <v>479.3</v>
      </c>
      <c r="G13" s="751">
        <v>0</v>
      </c>
      <c r="H13" s="461">
        <f>VLOOKUP(A13,'побудинковий звіт'!$A$9:$DB$353,106,FALSE)</f>
        <v>1</v>
      </c>
    </row>
    <row r="14" spans="1:10" x14ac:dyDescent="0.3">
      <c r="A14" s="730">
        <v>150000553</v>
      </c>
      <c r="B14" s="803" t="s">
        <v>259</v>
      </c>
      <c r="C14" s="916">
        <v>369.26</v>
      </c>
      <c r="D14" s="751">
        <v>369.26</v>
      </c>
      <c r="E14" s="751">
        <v>90.1</v>
      </c>
      <c r="F14" s="751">
        <v>369.26</v>
      </c>
      <c r="G14" s="751">
        <v>369.26</v>
      </c>
      <c r="H14" s="461">
        <f>VLOOKUP(A14,'побудинковий звіт'!$A$9:$DB$353,106,FALSE)</f>
        <v>3</v>
      </c>
    </row>
    <row r="15" spans="1:10" x14ac:dyDescent="0.3">
      <c r="A15" s="730">
        <v>150000592</v>
      </c>
      <c r="B15" s="803" t="s">
        <v>353</v>
      </c>
      <c r="C15" s="916">
        <v>7805.16</v>
      </c>
      <c r="D15" s="751">
        <v>206.36</v>
      </c>
      <c r="E15" s="751">
        <v>39.4</v>
      </c>
      <c r="F15" s="751">
        <v>7598.8</v>
      </c>
      <c r="G15" s="751">
        <v>0</v>
      </c>
      <c r="H15" s="461">
        <f>VLOOKUP(A15,'побудинковий звіт'!$A$9:$DB$353,106,FALSE)</f>
        <v>1</v>
      </c>
    </row>
    <row r="16" spans="1:10" x14ac:dyDescent="0.3">
      <c r="A16" s="730">
        <v>150000593</v>
      </c>
      <c r="B16" s="803" t="s">
        <v>255</v>
      </c>
      <c r="C16" s="916">
        <v>299.10000000000002</v>
      </c>
      <c r="D16" s="751">
        <v>482.22</v>
      </c>
      <c r="E16" s="751">
        <v>118.5</v>
      </c>
      <c r="F16" s="751">
        <v>1214.7</v>
      </c>
      <c r="G16" s="751">
        <v>1397.8200000000002</v>
      </c>
      <c r="H16" s="461">
        <f>VLOOKUP(A16,'побудинковий звіт'!$A$9:$DB$353,106,FALSE)</f>
        <v>1</v>
      </c>
    </row>
    <row r="17" spans="1:8" x14ac:dyDescent="0.3">
      <c r="A17" s="730">
        <v>150000594</v>
      </c>
      <c r="B17" s="803" t="s">
        <v>354</v>
      </c>
      <c r="C17" s="916">
        <v>15576.26</v>
      </c>
      <c r="D17" s="751">
        <v>775.96</v>
      </c>
      <c r="E17" s="751">
        <v>149</v>
      </c>
      <c r="F17" s="751">
        <v>15182.55</v>
      </c>
      <c r="G17" s="751">
        <v>382.25</v>
      </c>
      <c r="H17" s="461">
        <f>VLOOKUP(A17,'побудинковий звіт'!$A$9:$DB$353,106,FALSE)</f>
        <v>1</v>
      </c>
    </row>
    <row r="18" spans="1:8" x14ac:dyDescent="0.3">
      <c r="A18" s="730">
        <v>150000603</v>
      </c>
      <c r="B18" s="803" t="s">
        <v>153</v>
      </c>
      <c r="C18" s="916">
        <v>-157.76</v>
      </c>
      <c r="D18" s="751">
        <v>1009.22</v>
      </c>
      <c r="E18" s="751">
        <v>195.9</v>
      </c>
      <c r="F18" s="751">
        <v>-472.02</v>
      </c>
      <c r="G18" s="751">
        <v>694.96</v>
      </c>
      <c r="H18" s="461">
        <f>VLOOKUP(A18,'побудинковий звіт'!$A$9:$DB$353,106,FALSE)</f>
        <v>2</v>
      </c>
    </row>
    <row r="19" spans="1:8" x14ac:dyDescent="0.3">
      <c r="A19" s="730">
        <v>150000604</v>
      </c>
      <c r="B19" s="803" t="s">
        <v>154</v>
      </c>
      <c r="C19" s="916">
        <v>5106.2700000000004</v>
      </c>
      <c r="D19" s="751">
        <v>319.14</v>
      </c>
      <c r="E19" s="751">
        <v>64.599999999999994</v>
      </c>
      <c r="F19" s="751">
        <v>4787.13</v>
      </c>
      <c r="G19" s="751">
        <v>0</v>
      </c>
      <c r="H19" s="461">
        <f>VLOOKUP(A19,'побудинковий звіт'!$A$9:$DB$353,106,FALSE)</f>
        <v>2</v>
      </c>
    </row>
    <row r="20" spans="1:8" x14ac:dyDescent="0.3">
      <c r="A20" s="730">
        <v>150000605</v>
      </c>
      <c r="B20" s="803" t="s">
        <v>155</v>
      </c>
      <c r="C20" s="916">
        <v>20505.21</v>
      </c>
      <c r="D20" s="751">
        <v>319.42</v>
      </c>
      <c r="E20" s="751">
        <v>57.7</v>
      </c>
      <c r="F20" s="751">
        <v>20185.79</v>
      </c>
      <c r="G20" s="751">
        <v>0</v>
      </c>
      <c r="H20" s="461">
        <f>VLOOKUP(A20,'побудинковий звіт'!$A$9:$DB$353,106,FALSE)</f>
        <v>2</v>
      </c>
    </row>
    <row r="21" spans="1:8" x14ac:dyDescent="0.3">
      <c r="A21" s="730">
        <v>150000606</v>
      </c>
      <c r="B21" s="803" t="s">
        <v>156</v>
      </c>
      <c r="C21" s="916">
        <v>1143.95</v>
      </c>
      <c r="D21" s="751">
        <v>445.73</v>
      </c>
      <c r="E21" s="751">
        <v>80.5</v>
      </c>
      <c r="F21" s="751">
        <v>698.22</v>
      </c>
      <c r="G21" s="751">
        <v>0</v>
      </c>
      <c r="H21" s="461">
        <f>VLOOKUP(A21,'побудинковий звіт'!$A$9:$DB$353,106,FALSE)</f>
        <v>2</v>
      </c>
    </row>
    <row r="22" spans="1:8" x14ac:dyDescent="0.3">
      <c r="A22" s="730">
        <v>150000607</v>
      </c>
      <c r="B22" s="803" t="s">
        <v>157</v>
      </c>
      <c r="C22" s="916">
        <v>7663.59</v>
      </c>
      <c r="D22" s="751">
        <v>1530.4199999999998</v>
      </c>
      <c r="E22" s="751">
        <v>295.8</v>
      </c>
      <c r="F22" s="751">
        <v>9355.51</v>
      </c>
      <c r="G22" s="751">
        <v>3222.3399999999997</v>
      </c>
      <c r="H22" s="461">
        <f>VLOOKUP(A22,'побудинковий звіт'!$A$9:$DB$353,106,FALSE)</f>
        <v>2</v>
      </c>
    </row>
    <row r="23" spans="1:8" x14ac:dyDescent="0.3">
      <c r="A23" s="730">
        <v>150000608</v>
      </c>
      <c r="B23" s="803" t="s">
        <v>158</v>
      </c>
      <c r="C23" s="916">
        <v>5956.69</v>
      </c>
      <c r="D23" s="751">
        <v>734.53</v>
      </c>
      <c r="E23" s="751">
        <v>130.30000000000001</v>
      </c>
      <c r="F23" s="751">
        <v>5392.86</v>
      </c>
      <c r="G23" s="751">
        <v>170.7</v>
      </c>
      <c r="H23" s="461">
        <f>VLOOKUP(A23,'побудинковий звіт'!$A$9:$DB$353,106,FALSE)</f>
        <v>2</v>
      </c>
    </row>
    <row r="24" spans="1:8" x14ac:dyDescent="0.3">
      <c r="A24" s="730">
        <v>150000609</v>
      </c>
      <c r="B24" s="803" t="s">
        <v>159</v>
      </c>
      <c r="C24" s="916">
        <v>3808.84</v>
      </c>
      <c r="D24" s="751">
        <v>684.45</v>
      </c>
      <c r="E24" s="751">
        <v>115.7</v>
      </c>
      <c r="F24" s="751">
        <v>4428.2299999999996</v>
      </c>
      <c r="G24" s="751">
        <v>1303.8399999999999</v>
      </c>
      <c r="H24" s="461">
        <f>VLOOKUP(A24,'побудинковий звіт'!$A$9:$DB$353,106,FALSE)</f>
        <v>2</v>
      </c>
    </row>
    <row r="25" spans="1:8" x14ac:dyDescent="0.3">
      <c r="A25" s="730">
        <v>150000611</v>
      </c>
      <c r="B25" s="803" t="s">
        <v>195</v>
      </c>
      <c r="C25" s="916">
        <v>-1012.92</v>
      </c>
      <c r="D25" s="751">
        <v>273.62</v>
      </c>
      <c r="E25" s="751">
        <v>54.5</v>
      </c>
      <c r="F25" s="751">
        <v>-1012.92</v>
      </c>
      <c r="G25" s="751">
        <v>273.62</v>
      </c>
      <c r="H25" s="461">
        <f>VLOOKUP(A25,'побудинковий звіт'!$A$9:$DB$353,106,FALSE)</f>
        <v>2</v>
      </c>
    </row>
    <row r="26" spans="1:8" x14ac:dyDescent="0.3">
      <c r="A26" s="730">
        <v>150000613</v>
      </c>
      <c r="B26" s="803" t="s">
        <v>210</v>
      </c>
      <c r="C26" s="916">
        <v>7897.08</v>
      </c>
      <c r="D26" s="751">
        <v>1084.51</v>
      </c>
      <c r="E26" s="751">
        <v>212.5</v>
      </c>
      <c r="F26" s="751">
        <v>7482.16</v>
      </c>
      <c r="G26" s="751">
        <v>669.59</v>
      </c>
      <c r="H26" s="461">
        <f>VLOOKUP(A26,'побудинковий звіт'!$A$9:$DB$353,106,FALSE)</f>
        <v>2</v>
      </c>
    </row>
    <row r="27" spans="1:8" x14ac:dyDescent="0.3">
      <c r="A27" s="730">
        <v>150000615</v>
      </c>
      <c r="B27" s="803" t="s">
        <v>256</v>
      </c>
      <c r="C27" s="916">
        <v>576.98</v>
      </c>
      <c r="D27" s="751">
        <v>751.31</v>
      </c>
      <c r="E27" s="751">
        <v>132.30000000000001</v>
      </c>
      <c r="F27" s="751">
        <v>825.67</v>
      </c>
      <c r="G27" s="751">
        <v>1000</v>
      </c>
      <c r="H27" s="461">
        <f>VLOOKUP(A27,'побудинковий звіт'!$A$9:$DB$353,106,FALSE)</f>
        <v>2</v>
      </c>
    </row>
    <row r="28" spans="1:8" x14ac:dyDescent="0.3">
      <c r="A28" s="730">
        <v>150000616</v>
      </c>
      <c r="B28" s="803" t="s">
        <v>257</v>
      </c>
      <c r="C28" s="916">
        <v>1469.97</v>
      </c>
      <c r="D28" s="751">
        <v>398.45</v>
      </c>
      <c r="E28" s="751">
        <v>88.5</v>
      </c>
      <c r="F28" s="751">
        <v>1469.97</v>
      </c>
      <c r="G28" s="751">
        <v>398.45</v>
      </c>
      <c r="H28" s="461">
        <f>VLOOKUP(A28,'побудинковий звіт'!$A$9:$DB$353,106,FALSE)</f>
        <v>2</v>
      </c>
    </row>
    <row r="29" spans="1:8" x14ac:dyDescent="0.3">
      <c r="A29" s="730">
        <v>150000623</v>
      </c>
      <c r="B29" s="803" t="s">
        <v>209</v>
      </c>
      <c r="C29" s="916">
        <v>2632.62</v>
      </c>
      <c r="D29" s="751">
        <v>469.1</v>
      </c>
      <c r="E29" s="751">
        <v>92.8</v>
      </c>
      <c r="F29" s="751">
        <v>2163.52</v>
      </c>
      <c r="G29" s="751">
        <v>0</v>
      </c>
      <c r="H29" s="461">
        <f>VLOOKUP(A29,'побудинковий звіт'!$A$9:$DB$353,106,FALSE)</f>
        <v>2</v>
      </c>
    </row>
    <row r="30" spans="1:8" x14ac:dyDescent="0.3">
      <c r="A30" s="730">
        <v>150000625</v>
      </c>
      <c r="B30" s="803" t="s">
        <v>415</v>
      </c>
      <c r="C30" s="916">
        <v>0</v>
      </c>
      <c r="D30" s="751">
        <v>329.74</v>
      </c>
      <c r="E30" s="751">
        <v>64.599999999999994</v>
      </c>
      <c r="F30" s="751">
        <v>0</v>
      </c>
      <c r="G30" s="751">
        <v>329.74</v>
      </c>
      <c r="H30" s="461">
        <f>VLOOKUP(A30,'побудинковий звіт'!$A$9:$DB$353,106,FALSE)</f>
        <v>1</v>
      </c>
    </row>
    <row r="31" spans="1:8" x14ac:dyDescent="0.3">
      <c r="A31" s="730">
        <v>150000627</v>
      </c>
      <c r="B31" s="803" t="s">
        <v>355</v>
      </c>
      <c r="C31" s="916">
        <v>3094.32</v>
      </c>
      <c r="D31" s="751">
        <v>310.36</v>
      </c>
      <c r="E31" s="751">
        <v>63.3</v>
      </c>
      <c r="F31" s="751">
        <v>2783.96</v>
      </c>
      <c r="G31" s="751">
        <v>0</v>
      </c>
      <c r="H31" s="461">
        <f>VLOOKUP(A31,'побудинковий звіт'!$A$9:$DB$353,106,FALSE)</f>
        <v>1</v>
      </c>
    </row>
    <row r="32" spans="1:8" x14ac:dyDescent="0.3">
      <c r="A32" s="730">
        <v>150000628</v>
      </c>
      <c r="B32" s="803" t="s">
        <v>356</v>
      </c>
      <c r="C32" s="916">
        <v>1292.42</v>
      </c>
      <c r="D32" s="751">
        <v>643.13</v>
      </c>
      <c r="E32" s="751">
        <v>143.69999999999999</v>
      </c>
      <c r="F32" s="751">
        <v>1292.42</v>
      </c>
      <c r="G32" s="751">
        <v>643.13</v>
      </c>
      <c r="H32" s="461">
        <f>VLOOKUP(A32,'побудинковий звіт'!$A$9:$DB$353,106,FALSE)</f>
        <v>1</v>
      </c>
    </row>
    <row r="33" spans="1:8" x14ac:dyDescent="0.3">
      <c r="A33" s="730">
        <v>150000672</v>
      </c>
      <c r="B33" s="803" t="s">
        <v>1103</v>
      </c>
      <c r="C33" s="916">
        <v>320.12</v>
      </c>
      <c r="D33" s="751">
        <v>320.12</v>
      </c>
      <c r="E33" s="751">
        <v>67</v>
      </c>
      <c r="F33" s="751">
        <v>0</v>
      </c>
      <c r="G33" s="751">
        <v>0</v>
      </c>
      <c r="H33" s="461">
        <f>VLOOKUP(A33,'побудинковий звіт'!$A$9:$DB$353,106,FALSE)</f>
        <v>2</v>
      </c>
    </row>
    <row r="34" spans="1:8" x14ac:dyDescent="0.3">
      <c r="A34" s="730">
        <v>150000710</v>
      </c>
      <c r="B34" s="803" t="s">
        <v>278</v>
      </c>
      <c r="C34" s="916">
        <v>5166.3</v>
      </c>
      <c r="D34" s="751">
        <v>362.02</v>
      </c>
      <c r="E34" s="751">
        <v>100.8</v>
      </c>
      <c r="F34" s="751">
        <v>5091.93</v>
      </c>
      <c r="G34" s="751">
        <v>287.64999999999998</v>
      </c>
      <c r="H34" s="461">
        <f>VLOOKUP(A34,'побудинковий звіт'!$A$9:$DB$353,106,FALSE)</f>
        <v>3</v>
      </c>
    </row>
    <row r="35" spans="1:8" x14ac:dyDescent="0.3">
      <c r="A35" s="730">
        <v>150000711</v>
      </c>
      <c r="B35" s="803" t="s">
        <v>279</v>
      </c>
      <c r="C35" s="916">
        <v>0</v>
      </c>
      <c r="D35" s="751">
        <v>196.58</v>
      </c>
      <c r="E35" s="751">
        <v>39.799999999999997</v>
      </c>
      <c r="F35" s="751">
        <v>196.58</v>
      </c>
      <c r="G35" s="751">
        <v>393.16</v>
      </c>
      <c r="H35" s="461">
        <f>VLOOKUP(A35,'побудинковий звіт'!$A$9:$DB$353,106,FALSE)</f>
        <v>3</v>
      </c>
    </row>
    <row r="36" spans="1:8" x14ac:dyDescent="0.3">
      <c r="A36" s="730">
        <v>150000713</v>
      </c>
      <c r="B36" s="803" t="s">
        <v>281</v>
      </c>
      <c r="C36" s="916">
        <v>22458.92</v>
      </c>
      <c r="D36" s="751">
        <v>5303.1500000000015</v>
      </c>
      <c r="E36" s="751">
        <v>1122.4999999999998</v>
      </c>
      <c r="F36" s="751">
        <v>22903.269999999997</v>
      </c>
      <c r="G36" s="751">
        <v>5747.5</v>
      </c>
      <c r="H36" s="461">
        <f>VLOOKUP(A36,'побудинковий звіт'!$A$9:$DB$353,106,FALSE)</f>
        <v>3</v>
      </c>
    </row>
    <row r="37" spans="1:8" x14ac:dyDescent="0.3">
      <c r="A37" s="730">
        <v>150000716</v>
      </c>
      <c r="B37" s="803" t="s">
        <v>285</v>
      </c>
      <c r="C37" s="916">
        <v>15083.949999999999</v>
      </c>
      <c r="D37" s="751">
        <v>2189.3000000000002</v>
      </c>
      <c r="E37" s="751">
        <v>492.82</v>
      </c>
      <c r="F37" s="751">
        <v>14229.63</v>
      </c>
      <c r="G37" s="751">
        <v>1334.98</v>
      </c>
      <c r="H37" s="461">
        <f>VLOOKUP(A37,'побудинковий звіт'!$A$9:$DB$353,106,FALSE)</f>
        <v>3</v>
      </c>
    </row>
    <row r="38" spans="1:8" x14ac:dyDescent="0.3">
      <c r="A38" s="730">
        <v>150000717</v>
      </c>
      <c r="B38" s="803" t="s">
        <v>286</v>
      </c>
      <c r="C38" s="916">
        <v>13253.769999999999</v>
      </c>
      <c r="D38" s="751">
        <v>2729.77</v>
      </c>
      <c r="E38" s="751">
        <v>571.9</v>
      </c>
      <c r="F38" s="751">
        <v>11971.48</v>
      </c>
      <c r="G38" s="751">
        <v>1447.48</v>
      </c>
      <c r="H38" s="461">
        <f>VLOOKUP(A38,'побудинковий звіт'!$A$9:$DB$353,106,FALSE)</f>
        <v>3</v>
      </c>
    </row>
    <row r="39" spans="1:8" x14ac:dyDescent="0.3">
      <c r="A39" s="730">
        <v>150000719</v>
      </c>
      <c r="B39" s="803" t="s">
        <v>284</v>
      </c>
      <c r="C39" s="916">
        <v>2148</v>
      </c>
      <c r="D39" s="751">
        <v>1216</v>
      </c>
      <c r="E39" s="751">
        <v>235.9</v>
      </c>
      <c r="F39" s="751">
        <v>932</v>
      </c>
      <c r="G39" s="751">
        <v>0</v>
      </c>
      <c r="H39" s="461">
        <f>VLOOKUP(A39,'побудинковий звіт'!$A$9:$DB$353,106,FALSE)</f>
        <v>3</v>
      </c>
    </row>
    <row r="40" spans="1:8" x14ac:dyDescent="0.3">
      <c r="A40" s="730">
        <v>150000720</v>
      </c>
      <c r="B40" s="803" t="s">
        <v>288</v>
      </c>
      <c r="C40" s="916">
        <v>9051.5</v>
      </c>
      <c r="D40" s="751">
        <v>423.65</v>
      </c>
      <c r="E40" s="751">
        <v>101</v>
      </c>
      <c r="F40" s="751">
        <v>8627.85</v>
      </c>
      <c r="G40" s="751">
        <v>0</v>
      </c>
      <c r="H40" s="461">
        <f>VLOOKUP(A40,'побудинковий звіт'!$A$9:$DB$353,106,FALSE)</f>
        <v>3</v>
      </c>
    </row>
    <row r="41" spans="1:8" x14ac:dyDescent="0.3">
      <c r="A41" s="730">
        <v>150000721</v>
      </c>
      <c r="B41" s="803" t="s">
        <v>218</v>
      </c>
      <c r="C41" s="916">
        <v>355.24</v>
      </c>
      <c r="D41" s="751">
        <v>316.77</v>
      </c>
      <c r="E41" s="751">
        <v>66.7</v>
      </c>
      <c r="F41" s="751">
        <v>177.62</v>
      </c>
      <c r="G41" s="751">
        <v>139.15</v>
      </c>
      <c r="H41" s="461">
        <f>VLOOKUP(A41,'побудинковий звіт'!$A$9:$DB$353,106,FALSE)</f>
        <v>2</v>
      </c>
    </row>
    <row r="42" spans="1:8" x14ac:dyDescent="0.3">
      <c r="A42" s="730">
        <v>150000728</v>
      </c>
      <c r="B42" s="803" t="s">
        <v>184</v>
      </c>
      <c r="C42" s="916">
        <v>292.82</v>
      </c>
      <c r="D42" s="751">
        <v>292.82</v>
      </c>
      <c r="E42" s="751">
        <v>64.099999999999994</v>
      </c>
      <c r="F42" s="751">
        <v>0</v>
      </c>
      <c r="G42" s="751">
        <v>0</v>
      </c>
      <c r="H42" s="461">
        <f>VLOOKUP(A42,'побудинковий звіт'!$A$9:$DB$353,106,FALSE)</f>
        <v>2</v>
      </c>
    </row>
    <row r="43" spans="1:8" x14ac:dyDescent="0.3">
      <c r="A43" s="730">
        <v>150000736</v>
      </c>
      <c r="B43" s="803" t="s">
        <v>219</v>
      </c>
      <c r="C43" s="916">
        <v>385.57</v>
      </c>
      <c r="D43" s="751">
        <v>775.09</v>
      </c>
      <c r="E43" s="751">
        <v>190.7</v>
      </c>
      <c r="F43" s="751">
        <v>318.91000000000003</v>
      </c>
      <c r="G43" s="751">
        <v>708.43000000000006</v>
      </c>
      <c r="H43" s="461">
        <f>VLOOKUP(A43,'побудинковий звіт'!$A$9:$DB$353,106,FALSE)</f>
        <v>2</v>
      </c>
    </row>
    <row r="44" spans="1:8" x14ac:dyDescent="0.3">
      <c r="A44" s="730">
        <v>150000737</v>
      </c>
      <c r="B44" s="803" t="s">
        <v>221</v>
      </c>
      <c r="C44" s="916">
        <v>5127.1000000000004</v>
      </c>
      <c r="D44" s="751">
        <v>1349.48</v>
      </c>
      <c r="E44" s="751">
        <v>302.20000000000005</v>
      </c>
      <c r="F44" s="751">
        <v>4851.09</v>
      </c>
      <c r="G44" s="751">
        <v>1073.47</v>
      </c>
      <c r="H44" s="461">
        <f>VLOOKUP(A44,'побудинковий звіт'!$A$9:$DB$353,106,FALSE)</f>
        <v>2</v>
      </c>
    </row>
    <row r="45" spans="1:8" x14ac:dyDescent="0.3">
      <c r="A45" s="730">
        <v>150000739</v>
      </c>
      <c r="B45" s="803" t="s">
        <v>222</v>
      </c>
      <c r="C45" s="916">
        <v>2075.67</v>
      </c>
      <c r="D45" s="751">
        <v>1681.62</v>
      </c>
      <c r="E45" s="751">
        <v>386.5</v>
      </c>
      <c r="F45" s="751">
        <v>1391.71</v>
      </c>
      <c r="G45" s="751">
        <v>997.66</v>
      </c>
      <c r="H45" s="461">
        <f>VLOOKUP(A45,'побудинковий звіт'!$A$9:$DB$353,106,FALSE)</f>
        <v>2</v>
      </c>
    </row>
    <row r="46" spans="1:8" x14ac:dyDescent="0.3">
      <c r="A46" s="730">
        <v>150000740</v>
      </c>
      <c r="B46" s="803" t="s">
        <v>197</v>
      </c>
      <c r="C46" s="916">
        <v>5233.28</v>
      </c>
      <c r="D46" s="751">
        <v>621.92999999999995</v>
      </c>
      <c r="E46" s="751">
        <v>129.30000000000001</v>
      </c>
      <c r="F46" s="751">
        <v>4925.4399999999996</v>
      </c>
      <c r="G46" s="751">
        <v>314.08999999999997</v>
      </c>
      <c r="H46" s="461">
        <f>VLOOKUP(A46,'побудинковий звіт'!$A$9:$DB$353,106,FALSE)</f>
        <v>2</v>
      </c>
    </row>
    <row r="47" spans="1:8" x14ac:dyDescent="0.3">
      <c r="A47" s="730">
        <v>150000741</v>
      </c>
      <c r="B47" s="803" t="s">
        <v>224</v>
      </c>
      <c r="C47" s="916">
        <v>5308.2999999999993</v>
      </c>
      <c r="D47" s="751">
        <v>1492.2399999999998</v>
      </c>
      <c r="E47" s="751">
        <v>321.2</v>
      </c>
      <c r="F47" s="751">
        <v>4431.1499999999996</v>
      </c>
      <c r="G47" s="751">
        <v>615.09</v>
      </c>
      <c r="H47" s="461">
        <f>VLOOKUP(A47,'побудинковий звіт'!$A$9:$DB$353,106,FALSE)</f>
        <v>2</v>
      </c>
    </row>
    <row r="48" spans="1:8" x14ac:dyDescent="0.3">
      <c r="A48" s="730">
        <v>150000742</v>
      </c>
      <c r="B48" s="803" t="s">
        <v>290</v>
      </c>
      <c r="C48" s="916">
        <v>-180.1</v>
      </c>
      <c r="D48" s="751">
        <v>761.37</v>
      </c>
      <c r="E48" s="751">
        <v>169.1</v>
      </c>
      <c r="F48" s="751">
        <v>180.1</v>
      </c>
      <c r="G48" s="751">
        <v>1121.57</v>
      </c>
      <c r="H48" s="461">
        <f>VLOOKUP(A48,'побудинковий звіт'!$A$9:$DB$353,106,FALSE)</f>
        <v>2</v>
      </c>
    </row>
    <row r="49" spans="1:8" x14ac:dyDescent="0.3">
      <c r="A49" s="730">
        <v>150000743</v>
      </c>
      <c r="B49" s="803" t="s">
        <v>220</v>
      </c>
      <c r="C49" s="916">
        <v>3342.4999999999995</v>
      </c>
      <c r="D49" s="751">
        <v>1957.9400000000003</v>
      </c>
      <c r="E49" s="751">
        <v>492.29999999999995</v>
      </c>
      <c r="F49" s="751">
        <v>3034.65</v>
      </c>
      <c r="G49" s="751">
        <v>1650.09</v>
      </c>
      <c r="H49" s="461">
        <f>VLOOKUP(A49,'побудинковий звіт'!$A$9:$DB$353,106,FALSE)</f>
        <v>2</v>
      </c>
    </row>
    <row r="50" spans="1:8" x14ac:dyDescent="0.3">
      <c r="A50" s="917">
        <v>150000744</v>
      </c>
      <c r="B50" s="918" t="s">
        <v>1795</v>
      </c>
      <c r="C50" s="919">
        <v>1709.2</v>
      </c>
      <c r="D50" s="920">
        <v>427.3</v>
      </c>
      <c r="E50" s="920">
        <v>84.3</v>
      </c>
      <c r="F50" s="920">
        <v>1709.2</v>
      </c>
      <c r="G50" s="920">
        <v>427.3</v>
      </c>
      <c r="H50" s="461">
        <f>VLOOKUP(A50,'побудинковий звіт'!$A$9:$DB$353,106,FALSE)</f>
        <v>2</v>
      </c>
    </row>
    <row r="51" spans="1:8" x14ac:dyDescent="0.3">
      <c r="A51" s="730">
        <v>150000752</v>
      </c>
      <c r="B51" s="803" t="s">
        <v>386</v>
      </c>
      <c r="C51" s="916">
        <v>822.33999999999992</v>
      </c>
      <c r="D51" s="751">
        <v>829.87</v>
      </c>
      <c r="E51" s="751">
        <v>172.31</v>
      </c>
      <c r="F51" s="751">
        <v>267.47000000000003</v>
      </c>
      <c r="G51" s="751">
        <v>275</v>
      </c>
      <c r="H51" s="461">
        <f>VLOOKUP(A51,'побудинковий звіт'!$A$9:$DB$353,106,FALSE)</f>
        <v>1</v>
      </c>
    </row>
    <row r="52" spans="1:8" x14ac:dyDescent="0.3">
      <c r="A52" s="730">
        <v>150000758</v>
      </c>
      <c r="B52" s="803" t="s">
        <v>388</v>
      </c>
      <c r="C52" s="916">
        <v>32.619999999999997</v>
      </c>
      <c r="D52" s="751">
        <v>32.619999999999997</v>
      </c>
      <c r="E52" s="751">
        <v>6.8</v>
      </c>
      <c r="F52" s="751">
        <v>32.619999999999997</v>
      </c>
      <c r="G52" s="751">
        <v>32.619999999999997</v>
      </c>
      <c r="H52" s="461">
        <f>VLOOKUP(A52,'побудинковий звіт'!$A$9:$DB$353,106,FALSE)</f>
        <v>2</v>
      </c>
    </row>
    <row r="53" spans="1:8" x14ac:dyDescent="0.3">
      <c r="A53" s="730">
        <v>150000761</v>
      </c>
      <c r="B53" s="803" t="s">
        <v>390</v>
      </c>
      <c r="C53" s="916">
        <v>405.5</v>
      </c>
      <c r="D53" s="751">
        <v>408.5</v>
      </c>
      <c r="E53" s="751">
        <v>94.6</v>
      </c>
      <c r="F53" s="751">
        <v>406</v>
      </c>
      <c r="G53" s="751">
        <v>409</v>
      </c>
      <c r="H53" s="461">
        <f>VLOOKUP(A53,'побудинковий звіт'!$A$9:$DB$353,106,FALSE)</f>
        <v>2</v>
      </c>
    </row>
    <row r="54" spans="1:8" x14ac:dyDescent="0.3">
      <c r="A54" s="730">
        <v>150000797</v>
      </c>
      <c r="B54" s="803" t="s">
        <v>231</v>
      </c>
      <c r="C54" s="916">
        <v>42538.939999999995</v>
      </c>
      <c r="D54" s="751">
        <v>7239.3600000000015</v>
      </c>
      <c r="E54" s="751">
        <v>1603.9</v>
      </c>
      <c r="F54" s="751">
        <v>37680.710000000006</v>
      </c>
      <c r="G54" s="751">
        <v>2381.13</v>
      </c>
      <c r="H54" s="461">
        <f>VLOOKUP(A54,'побудинковий звіт'!$A$9:$DB$353,106,FALSE)</f>
        <v>2</v>
      </c>
    </row>
    <row r="55" spans="1:8" x14ac:dyDescent="0.3">
      <c r="A55" s="730">
        <v>150000798</v>
      </c>
      <c r="B55" s="803" t="s">
        <v>225</v>
      </c>
      <c r="C55" s="916">
        <v>2038.9399999999998</v>
      </c>
      <c r="D55" s="751">
        <v>1400.21</v>
      </c>
      <c r="E55" s="751">
        <v>321.60000000000002</v>
      </c>
      <c r="F55" s="751">
        <v>1692.8</v>
      </c>
      <c r="G55" s="751">
        <v>1054.07</v>
      </c>
      <c r="H55" s="461">
        <f>VLOOKUP(A55,'побудинковий звіт'!$A$9:$DB$353,106,FALSE)</f>
        <v>2</v>
      </c>
    </row>
    <row r="56" spans="1:8" x14ac:dyDescent="0.3">
      <c r="A56" s="730">
        <v>150000799</v>
      </c>
      <c r="B56" s="803" t="s">
        <v>292</v>
      </c>
      <c r="C56" s="916">
        <v>972.07</v>
      </c>
      <c r="D56" s="751">
        <v>972.07</v>
      </c>
      <c r="E56" s="751">
        <v>304.2</v>
      </c>
      <c r="F56" s="751">
        <v>972.07</v>
      </c>
      <c r="G56" s="751">
        <v>972.07</v>
      </c>
      <c r="H56" s="461">
        <f>VLOOKUP(A56,'побудинковий звіт'!$A$9:$DB$353,106,FALSE)</f>
        <v>2</v>
      </c>
    </row>
    <row r="57" spans="1:8" x14ac:dyDescent="0.3">
      <c r="A57" s="730">
        <v>150000801</v>
      </c>
      <c r="B57" s="803" t="s">
        <v>294</v>
      </c>
      <c r="C57" s="916">
        <v>27351.23</v>
      </c>
      <c r="D57" s="751">
        <v>1892.29</v>
      </c>
      <c r="E57" s="751">
        <v>445.6</v>
      </c>
      <c r="F57" s="751">
        <v>26501.83</v>
      </c>
      <c r="G57" s="751">
        <v>1042.8899999999999</v>
      </c>
      <c r="H57" s="461">
        <f>VLOOKUP(A57,'побудинковий звіт'!$A$9:$DB$353,106,FALSE)</f>
        <v>2</v>
      </c>
    </row>
    <row r="58" spans="1:8" x14ac:dyDescent="0.3">
      <c r="A58" s="730">
        <v>150000803</v>
      </c>
      <c r="B58" s="803" t="s">
        <v>227</v>
      </c>
      <c r="C58" s="916">
        <v>2782.67</v>
      </c>
      <c r="D58" s="751">
        <v>806.53</v>
      </c>
      <c r="E58" s="751">
        <v>251.1</v>
      </c>
      <c r="F58" s="751">
        <v>2364.58</v>
      </c>
      <c r="G58" s="751">
        <v>388.44</v>
      </c>
      <c r="H58" s="461">
        <f>VLOOKUP(A58,'побудинковий звіт'!$A$9:$DB$353,106,FALSE)</f>
        <v>2</v>
      </c>
    </row>
    <row r="59" spans="1:8" x14ac:dyDescent="0.3">
      <c r="A59" s="730">
        <v>150000805</v>
      </c>
      <c r="B59" s="803" t="s">
        <v>296</v>
      </c>
      <c r="C59" s="916">
        <v>2230.02</v>
      </c>
      <c r="D59" s="751">
        <v>3035.05</v>
      </c>
      <c r="E59" s="751">
        <v>789.7</v>
      </c>
      <c r="F59" s="751">
        <v>2778.1099999999997</v>
      </c>
      <c r="G59" s="751">
        <v>3583.14</v>
      </c>
      <c r="H59" s="461">
        <f>VLOOKUP(A59,'побудинковий звіт'!$A$9:$DB$353,106,FALSE)</f>
        <v>3</v>
      </c>
    </row>
    <row r="60" spans="1:8" x14ac:dyDescent="0.3">
      <c r="A60" s="730">
        <v>150000806</v>
      </c>
      <c r="B60" s="803" t="s">
        <v>228</v>
      </c>
      <c r="C60" s="916">
        <v>4631.9500000000007</v>
      </c>
      <c r="D60" s="751">
        <v>3059.48</v>
      </c>
      <c r="E60" s="751">
        <v>737.2</v>
      </c>
      <c r="F60" s="751">
        <v>4556.8499999999995</v>
      </c>
      <c r="G60" s="751">
        <v>2984.38</v>
      </c>
      <c r="H60" s="461">
        <f>VLOOKUP(A60,'побудинковий звіт'!$A$9:$DB$353,106,FALSE)</f>
        <v>2</v>
      </c>
    </row>
    <row r="61" spans="1:8" x14ac:dyDescent="0.3">
      <c r="A61" s="730">
        <v>150000807</v>
      </c>
      <c r="B61" s="803" t="s">
        <v>187</v>
      </c>
      <c r="C61" s="916">
        <v>0</v>
      </c>
      <c r="D61" s="751">
        <v>482.77</v>
      </c>
      <c r="E61" s="751">
        <v>105.5</v>
      </c>
      <c r="F61" s="751">
        <v>0</v>
      </c>
      <c r="G61" s="751">
        <v>482.77</v>
      </c>
      <c r="H61" s="461">
        <f>VLOOKUP(A61,'побудинковий звіт'!$A$9:$DB$353,106,FALSE)</f>
        <v>3</v>
      </c>
    </row>
    <row r="62" spans="1:8" x14ac:dyDescent="0.3">
      <c r="A62" s="730">
        <v>150000808</v>
      </c>
      <c r="B62" s="803" t="s">
        <v>297</v>
      </c>
      <c r="C62" s="916">
        <v>830.89</v>
      </c>
      <c r="D62" s="751">
        <v>830.89</v>
      </c>
      <c r="E62" s="751">
        <v>196.2</v>
      </c>
      <c r="F62" s="751">
        <v>830.89</v>
      </c>
      <c r="G62" s="751">
        <v>830.89</v>
      </c>
      <c r="H62" s="461">
        <f>VLOOKUP(A62,'побудинковий звіт'!$A$9:$DB$353,106,FALSE)</f>
        <v>2</v>
      </c>
    </row>
    <row r="63" spans="1:8" x14ac:dyDescent="0.3">
      <c r="A63" s="730">
        <v>150000809</v>
      </c>
      <c r="B63" s="803" t="s">
        <v>299</v>
      </c>
      <c r="C63" s="916">
        <v>1061.8</v>
      </c>
      <c r="D63" s="751">
        <v>2037.62</v>
      </c>
      <c r="E63" s="751">
        <v>438.5</v>
      </c>
      <c r="F63" s="751">
        <v>1061.8</v>
      </c>
      <c r="G63" s="751">
        <v>2037.62</v>
      </c>
      <c r="H63" s="461">
        <f>VLOOKUP(A63,'побудинковий звіт'!$A$9:$DB$353,106,FALSE)</f>
        <v>2</v>
      </c>
    </row>
    <row r="64" spans="1:8" x14ac:dyDescent="0.3">
      <c r="A64" s="730">
        <v>150000810</v>
      </c>
      <c r="B64" s="803" t="s">
        <v>300</v>
      </c>
      <c r="C64" s="916">
        <v>1881.29</v>
      </c>
      <c r="D64" s="751">
        <v>1881.29</v>
      </c>
      <c r="E64" s="751">
        <v>448.3</v>
      </c>
      <c r="F64" s="751">
        <v>1881.29</v>
      </c>
      <c r="G64" s="751">
        <v>1881.29</v>
      </c>
      <c r="H64" s="461">
        <f>VLOOKUP(A64,'побудинковий звіт'!$A$9:$DB$353,106,FALSE)</f>
        <v>2</v>
      </c>
    </row>
    <row r="65" spans="1:8" x14ac:dyDescent="0.3">
      <c r="A65" s="730">
        <v>150000811</v>
      </c>
      <c r="B65" s="803" t="s">
        <v>301</v>
      </c>
      <c r="C65" s="916">
        <v>16579.04</v>
      </c>
      <c r="D65" s="751">
        <v>279.67</v>
      </c>
      <c r="E65" s="751">
        <v>54.2</v>
      </c>
      <c r="F65" s="751">
        <v>16299.37</v>
      </c>
      <c r="G65" s="751">
        <v>0</v>
      </c>
      <c r="H65" s="461">
        <f>VLOOKUP(A65,'побудинковий звіт'!$A$9:$DB$353,106,FALSE)</f>
        <v>2</v>
      </c>
    </row>
    <row r="66" spans="1:8" x14ac:dyDescent="0.3">
      <c r="A66" s="730">
        <v>150000812</v>
      </c>
      <c r="B66" s="803" t="s">
        <v>302</v>
      </c>
      <c r="C66" s="916">
        <v>8107.9</v>
      </c>
      <c r="D66" s="751">
        <v>2753.96</v>
      </c>
      <c r="E66" s="751">
        <v>656.5</v>
      </c>
      <c r="F66" s="751">
        <v>6937.52</v>
      </c>
      <c r="G66" s="751">
        <v>1583.58</v>
      </c>
      <c r="H66" s="461">
        <f>VLOOKUP(A66,'побудинковий звіт'!$A$9:$DB$353,106,FALSE)</f>
        <v>2</v>
      </c>
    </row>
    <row r="67" spans="1:8" x14ac:dyDescent="0.3">
      <c r="A67" s="730">
        <v>150000814</v>
      </c>
      <c r="B67" s="803" t="s">
        <v>304</v>
      </c>
      <c r="C67" s="916">
        <v>4533.8899999999994</v>
      </c>
      <c r="D67" s="751">
        <v>4533.9799999999996</v>
      </c>
      <c r="E67" s="751">
        <v>1049.8</v>
      </c>
      <c r="F67" s="751">
        <v>4533.8899999999994</v>
      </c>
      <c r="G67" s="751">
        <v>4533.9799999999996</v>
      </c>
      <c r="H67" s="461">
        <f>VLOOKUP(A67,'побудинковий звіт'!$A$9:$DB$353,106,FALSE)</f>
        <v>2</v>
      </c>
    </row>
    <row r="68" spans="1:8" x14ac:dyDescent="0.3">
      <c r="A68" s="730">
        <v>150000816</v>
      </c>
      <c r="B68" s="803" t="s">
        <v>229</v>
      </c>
      <c r="C68" s="916">
        <v>43402.159999999996</v>
      </c>
      <c r="D68" s="751">
        <v>2878.41</v>
      </c>
      <c r="E68" s="751">
        <v>595.29999999999995</v>
      </c>
      <c r="F68" s="751">
        <v>41843.279999999999</v>
      </c>
      <c r="G68" s="751">
        <v>1319.53</v>
      </c>
      <c r="H68" s="461">
        <f>VLOOKUP(A68,'побудинковий звіт'!$A$9:$DB$353,106,FALSE)</f>
        <v>2</v>
      </c>
    </row>
    <row r="69" spans="1:8" x14ac:dyDescent="0.3">
      <c r="A69" s="730">
        <v>150000819</v>
      </c>
      <c r="B69" s="803" t="s">
        <v>423</v>
      </c>
      <c r="C69" s="916">
        <v>15546.26</v>
      </c>
      <c r="D69" s="751">
        <v>705.8599999999999</v>
      </c>
      <c r="E69" s="751">
        <v>154.30000000000001</v>
      </c>
      <c r="F69" s="751">
        <v>14840.4</v>
      </c>
      <c r="G69" s="751">
        <v>0</v>
      </c>
      <c r="H69" s="461">
        <f>VLOOKUP(A69,'побудинковий звіт'!$A$9:$DB$353,106,FALSE)</f>
        <v>3</v>
      </c>
    </row>
    <row r="70" spans="1:8" x14ac:dyDescent="0.3">
      <c r="A70" s="730">
        <v>150000820</v>
      </c>
      <c r="B70" s="803" t="s">
        <v>394</v>
      </c>
      <c r="C70" s="916">
        <v>282.92</v>
      </c>
      <c r="D70" s="751">
        <v>283.12</v>
      </c>
      <c r="E70" s="751">
        <v>50</v>
      </c>
      <c r="F70" s="751">
        <v>-0.2</v>
      </c>
      <c r="G70" s="751">
        <v>0</v>
      </c>
      <c r="H70" s="461">
        <f>VLOOKUP(A70,'побудинковий звіт'!$A$9:$DB$353,106,FALSE)</f>
        <v>3</v>
      </c>
    </row>
    <row r="71" spans="1:8" x14ac:dyDescent="0.3">
      <c r="A71" s="730">
        <v>150000827</v>
      </c>
      <c r="B71" s="803" t="s">
        <v>298</v>
      </c>
      <c r="C71" s="916">
        <v>46355.999999999993</v>
      </c>
      <c r="D71" s="751">
        <v>3393.7899999999995</v>
      </c>
      <c r="E71" s="751">
        <v>826.7</v>
      </c>
      <c r="F71" s="751">
        <v>45006.81</v>
      </c>
      <c r="G71" s="751">
        <v>2044.6</v>
      </c>
      <c r="H71" s="461">
        <f>VLOOKUP(A71,'побудинковий звіт'!$A$9:$DB$353,106,FALSE)</f>
        <v>2</v>
      </c>
    </row>
    <row r="72" spans="1:8" x14ac:dyDescent="0.3">
      <c r="A72" s="730">
        <v>150000830</v>
      </c>
      <c r="B72" s="803" t="s">
        <v>293</v>
      </c>
      <c r="C72" s="916">
        <v>157080.53999999998</v>
      </c>
      <c r="D72" s="751">
        <v>6459.05</v>
      </c>
      <c r="E72" s="751">
        <v>1682.0000000000002</v>
      </c>
      <c r="F72" s="751">
        <v>171074.59</v>
      </c>
      <c r="G72" s="751">
        <v>20453.100000000002</v>
      </c>
      <c r="H72" s="461">
        <f>VLOOKUP(A72,'побудинковий звіт'!$A$9:$DB$353,106,FALSE)</f>
        <v>3</v>
      </c>
    </row>
    <row r="73" spans="1:8" x14ac:dyDescent="0.3">
      <c r="A73" s="730">
        <v>150000832</v>
      </c>
      <c r="B73" s="803" t="s">
        <v>422</v>
      </c>
      <c r="C73" s="916">
        <v>1157.8800000000001</v>
      </c>
      <c r="D73" s="751">
        <v>578.94000000000005</v>
      </c>
      <c r="E73" s="751">
        <v>114.2</v>
      </c>
      <c r="F73" s="751">
        <v>578.94000000000005</v>
      </c>
      <c r="G73" s="751">
        <v>0</v>
      </c>
      <c r="H73" s="461">
        <f>VLOOKUP(A73,'побудинковий звіт'!$A$9:$DB$353,106,FALSE)</f>
        <v>1</v>
      </c>
    </row>
    <row r="74" spans="1:8" x14ac:dyDescent="0.3">
      <c r="A74" s="730">
        <v>150000837</v>
      </c>
      <c r="B74" s="803" t="s">
        <v>199</v>
      </c>
      <c r="C74" s="916">
        <v>1075.8400000000001</v>
      </c>
      <c r="D74" s="751">
        <v>511.65</v>
      </c>
      <c r="E74" s="751">
        <v>105.9</v>
      </c>
      <c r="F74" s="751">
        <v>1423.22</v>
      </c>
      <c r="G74" s="751">
        <v>859.03</v>
      </c>
      <c r="H74" s="461">
        <f>VLOOKUP(A74,'побудинковий звіт'!$A$9:$DB$353,106,FALSE)</f>
        <v>1</v>
      </c>
    </row>
    <row r="75" spans="1:8" x14ac:dyDescent="0.3">
      <c r="A75" s="730">
        <v>150000861</v>
      </c>
      <c r="B75" s="803" t="s">
        <v>232</v>
      </c>
      <c r="C75" s="916">
        <v>48583.55</v>
      </c>
      <c r="D75" s="751">
        <v>3417.1899999999996</v>
      </c>
      <c r="E75" s="751">
        <v>719.8</v>
      </c>
      <c r="F75" s="751">
        <v>46906.42</v>
      </c>
      <c r="G75" s="751">
        <v>1740.06</v>
      </c>
      <c r="H75" s="461">
        <f>VLOOKUP(A75,'побудинковий звіт'!$A$9:$DB$353,106,FALSE)</f>
        <v>2</v>
      </c>
    </row>
    <row r="76" spans="1:8" x14ac:dyDescent="0.3">
      <c r="A76" s="730">
        <v>150000862</v>
      </c>
      <c r="B76" s="803" t="s">
        <v>234</v>
      </c>
      <c r="C76" s="916">
        <v>5695.6799999999994</v>
      </c>
      <c r="D76" s="751">
        <v>3572.8700000000003</v>
      </c>
      <c r="E76" s="751">
        <v>772.80000000000007</v>
      </c>
      <c r="F76" s="751">
        <v>5695.6799999999994</v>
      </c>
      <c r="G76" s="751">
        <v>3572.8700000000003</v>
      </c>
      <c r="H76" s="461">
        <f>VLOOKUP(A76,'побудинковий звіт'!$A$9:$DB$353,106,FALSE)</f>
        <v>2</v>
      </c>
    </row>
    <row r="77" spans="1:8" x14ac:dyDescent="0.3">
      <c r="A77" s="730">
        <v>150000863</v>
      </c>
      <c r="B77" s="803" t="s">
        <v>235</v>
      </c>
      <c r="C77" s="916">
        <v>33330.22</v>
      </c>
      <c r="D77" s="751">
        <v>5301.0200000000013</v>
      </c>
      <c r="E77" s="751">
        <v>1001</v>
      </c>
      <c r="F77" s="751">
        <v>33606.99</v>
      </c>
      <c r="G77" s="751">
        <v>5577.7899999999991</v>
      </c>
      <c r="H77" s="461">
        <f>VLOOKUP(A77,'побудинковий звіт'!$A$9:$DB$353,106,FALSE)</f>
        <v>2</v>
      </c>
    </row>
    <row r="78" spans="1:8" x14ac:dyDescent="0.3">
      <c r="A78" s="730">
        <v>150000864</v>
      </c>
      <c r="B78" s="803" t="s">
        <v>200</v>
      </c>
      <c r="C78" s="916">
        <v>60006.55</v>
      </c>
      <c r="D78" s="751">
        <v>4569.5</v>
      </c>
      <c r="E78" s="751">
        <v>964.30000000000007</v>
      </c>
      <c r="F78" s="751">
        <v>58329.05000000001</v>
      </c>
      <c r="G78" s="751">
        <v>2892</v>
      </c>
      <c r="H78" s="461">
        <f>VLOOKUP(A78,'побудинковий звіт'!$A$9:$DB$353,106,FALSE)</f>
        <v>2</v>
      </c>
    </row>
    <row r="79" spans="1:8" x14ac:dyDescent="0.3">
      <c r="A79" s="730">
        <v>150000865</v>
      </c>
      <c r="B79" s="803" t="s">
        <v>305</v>
      </c>
      <c r="C79" s="916">
        <v>14494.869999999999</v>
      </c>
      <c r="D79" s="751">
        <v>11130.21</v>
      </c>
      <c r="E79" s="751">
        <v>2551.4</v>
      </c>
      <c r="F79" s="751">
        <v>18308.259999999998</v>
      </c>
      <c r="G79" s="751">
        <v>14943.6</v>
      </c>
      <c r="H79" s="461">
        <f>VLOOKUP(A79,'побудинковий звіт'!$A$9:$DB$353,106,FALSE)</f>
        <v>2</v>
      </c>
    </row>
    <row r="80" spans="1:8" x14ac:dyDescent="0.3">
      <c r="A80" s="730">
        <v>150000866</v>
      </c>
      <c r="B80" s="803" t="s">
        <v>308</v>
      </c>
      <c r="C80" s="916">
        <v>7088.98</v>
      </c>
      <c r="D80" s="751">
        <v>5394.9400000000005</v>
      </c>
      <c r="E80" s="751">
        <v>1191.7</v>
      </c>
      <c r="F80" s="751">
        <v>1694.04</v>
      </c>
      <c r="G80" s="751">
        <v>0</v>
      </c>
      <c r="H80" s="461">
        <f>VLOOKUP(A80,'побудинковий звіт'!$A$9:$DB$353,106,FALSE)</f>
        <v>1</v>
      </c>
    </row>
    <row r="81" spans="1:8" x14ac:dyDescent="0.3">
      <c r="A81" s="730">
        <v>150000867</v>
      </c>
      <c r="B81" s="803" t="s">
        <v>309</v>
      </c>
      <c r="C81" s="916">
        <v>2731.85</v>
      </c>
      <c r="D81" s="751">
        <v>2044.57</v>
      </c>
      <c r="E81" s="751">
        <v>551.5</v>
      </c>
      <c r="F81" s="751">
        <v>6476.9299999999994</v>
      </c>
      <c r="G81" s="751">
        <v>5789.65</v>
      </c>
      <c r="H81" s="461">
        <f>VLOOKUP(A81,'побудинковий звіт'!$A$9:$DB$353,106,FALSE)</f>
        <v>1</v>
      </c>
    </row>
    <row r="82" spans="1:8" x14ac:dyDescent="0.3">
      <c r="A82" s="730">
        <v>150000868</v>
      </c>
      <c r="B82" s="803" t="s">
        <v>310</v>
      </c>
      <c r="C82" s="916">
        <v>0</v>
      </c>
      <c r="D82" s="751">
        <v>3336.3900000000003</v>
      </c>
      <c r="E82" s="751">
        <v>685.4</v>
      </c>
      <c r="F82" s="751">
        <v>0</v>
      </c>
      <c r="G82" s="751">
        <v>3336.3900000000003</v>
      </c>
      <c r="H82" s="461">
        <f>VLOOKUP(A82,'побудинковий звіт'!$A$9:$DB$353,106,FALSE)</f>
        <v>1</v>
      </c>
    </row>
    <row r="83" spans="1:8" x14ac:dyDescent="0.3">
      <c r="A83" s="730">
        <v>150000869</v>
      </c>
      <c r="B83" s="803" t="s">
        <v>311</v>
      </c>
      <c r="C83" s="916">
        <v>14760.789999999999</v>
      </c>
      <c r="D83" s="751">
        <v>5671.09</v>
      </c>
      <c r="E83" s="751">
        <v>1200.0999999999999</v>
      </c>
      <c r="F83" s="751">
        <v>14479.619999999999</v>
      </c>
      <c r="G83" s="751">
        <v>5389.92</v>
      </c>
      <c r="H83" s="461">
        <f>VLOOKUP(A83,'побудинковий звіт'!$A$9:$DB$353,106,FALSE)</f>
        <v>1</v>
      </c>
    </row>
    <row r="84" spans="1:8" x14ac:dyDescent="0.3">
      <c r="A84" s="730">
        <v>150000872</v>
      </c>
      <c r="B84" s="803" t="s">
        <v>233</v>
      </c>
      <c r="C84" s="916">
        <v>722.56</v>
      </c>
      <c r="D84" s="751">
        <v>739.4</v>
      </c>
      <c r="E84" s="751">
        <v>133.5</v>
      </c>
      <c r="F84" s="751">
        <v>739.4</v>
      </c>
      <c r="G84" s="751">
        <v>756.24</v>
      </c>
      <c r="H84" s="461">
        <f>VLOOKUP(A84,'побудинковий звіт'!$A$9:$DB$353,106,FALSE)</f>
        <v>2</v>
      </c>
    </row>
    <row r="85" spans="1:8" x14ac:dyDescent="0.3">
      <c r="A85" s="730">
        <v>150000873</v>
      </c>
      <c r="B85" s="803" t="s">
        <v>306</v>
      </c>
      <c r="C85" s="916">
        <v>6355.9699999999993</v>
      </c>
      <c r="D85" s="751">
        <v>681.28</v>
      </c>
      <c r="E85" s="751">
        <v>140.6</v>
      </c>
      <c r="F85" s="751">
        <v>5674.69</v>
      </c>
      <c r="G85" s="751">
        <v>0</v>
      </c>
      <c r="H85" s="461">
        <f>VLOOKUP(A85,'побудинковий звіт'!$A$9:$DB$353,106,FALSE)</f>
        <v>2</v>
      </c>
    </row>
    <row r="86" spans="1:8" x14ac:dyDescent="0.3">
      <c r="A86" s="730">
        <v>150000874</v>
      </c>
      <c r="B86" s="803" t="s">
        <v>307</v>
      </c>
      <c r="C86" s="916">
        <v>1476.4</v>
      </c>
      <c r="D86" s="751">
        <v>3146.2200000000003</v>
      </c>
      <c r="E86" s="751">
        <v>595.4</v>
      </c>
      <c r="F86" s="751">
        <v>626.70000000000005</v>
      </c>
      <c r="G86" s="751">
        <v>2296.52</v>
      </c>
      <c r="H86" s="461">
        <f>VLOOKUP(A86,'побудинковий звіт'!$A$9:$DB$353,106,FALSE)</f>
        <v>2</v>
      </c>
    </row>
    <row r="87" spans="1:8" x14ac:dyDescent="0.3">
      <c r="A87" s="730">
        <v>150000878</v>
      </c>
      <c r="B87" s="803" t="s">
        <v>236</v>
      </c>
      <c r="C87" s="916">
        <v>13837.18</v>
      </c>
      <c r="D87" s="751">
        <v>1775.1299999999999</v>
      </c>
      <c r="E87" s="751">
        <v>429.73</v>
      </c>
      <c r="F87" s="751">
        <v>15431.79</v>
      </c>
      <c r="G87" s="751">
        <v>3369.74</v>
      </c>
      <c r="H87" s="461">
        <f>VLOOKUP(A87,'побудинковий звіт'!$A$9:$DB$353,106,FALSE)</f>
        <v>2</v>
      </c>
    </row>
    <row r="88" spans="1:8" x14ac:dyDescent="0.3">
      <c r="A88" s="730">
        <v>150000879</v>
      </c>
      <c r="B88" s="803" t="s">
        <v>329</v>
      </c>
      <c r="C88" s="916">
        <v>4423</v>
      </c>
      <c r="D88" s="751">
        <v>3632.2200000000003</v>
      </c>
      <c r="E88" s="751">
        <v>977.5</v>
      </c>
      <c r="F88" s="751">
        <v>3864.15</v>
      </c>
      <c r="G88" s="751">
        <v>3073.37</v>
      </c>
      <c r="H88" s="461">
        <f>VLOOKUP(A88,'побудинковий звіт'!$A$9:$DB$353,106,FALSE)</f>
        <v>2</v>
      </c>
    </row>
    <row r="89" spans="1:8" x14ac:dyDescent="0.3">
      <c r="A89" s="730">
        <v>150000880</v>
      </c>
      <c r="B89" s="803" t="s">
        <v>237</v>
      </c>
      <c r="C89" s="916">
        <v>25187.38</v>
      </c>
      <c r="D89" s="751">
        <v>3773.4900000000002</v>
      </c>
      <c r="E89" s="751">
        <v>840.40000000000009</v>
      </c>
      <c r="F89" s="751">
        <v>23170.420000000002</v>
      </c>
      <c r="G89" s="751">
        <v>1756.5300000000002</v>
      </c>
      <c r="H89" s="461">
        <f>VLOOKUP(A89,'побудинковий звіт'!$A$9:$DB$353,106,FALSE)</f>
        <v>2</v>
      </c>
    </row>
    <row r="90" spans="1:8" x14ac:dyDescent="0.3">
      <c r="A90" s="730">
        <v>150000881</v>
      </c>
      <c r="B90" s="803" t="s">
        <v>411</v>
      </c>
      <c r="C90" s="916">
        <v>9922.5600000000013</v>
      </c>
      <c r="D90" s="751">
        <v>1599.78</v>
      </c>
      <c r="E90" s="751">
        <v>328.9</v>
      </c>
      <c r="F90" s="751">
        <v>9011.0399999999991</v>
      </c>
      <c r="G90" s="751">
        <v>688.26</v>
      </c>
      <c r="H90" s="461">
        <f>VLOOKUP(A90,'побудинковий звіт'!$A$9:$DB$353,106,FALSE)</f>
        <v>2</v>
      </c>
    </row>
    <row r="91" spans="1:8" x14ac:dyDescent="0.3">
      <c r="A91" s="730">
        <v>150000882</v>
      </c>
      <c r="B91" s="803" t="s">
        <v>330</v>
      </c>
      <c r="C91" s="916">
        <v>12317.56</v>
      </c>
      <c r="D91" s="751">
        <v>2886.56</v>
      </c>
      <c r="E91" s="751">
        <v>689.30000000000007</v>
      </c>
      <c r="F91" s="751">
        <v>11168.89</v>
      </c>
      <c r="G91" s="751">
        <v>1737.8899999999999</v>
      </c>
      <c r="H91" s="461">
        <f>VLOOKUP(A91,'побудинковий звіт'!$A$9:$DB$353,106,FALSE)</f>
        <v>2</v>
      </c>
    </row>
    <row r="92" spans="1:8" x14ac:dyDescent="0.3">
      <c r="A92" s="730">
        <v>150000884</v>
      </c>
      <c r="B92" s="803" t="s">
        <v>332</v>
      </c>
      <c r="C92" s="916">
        <v>12236.16</v>
      </c>
      <c r="D92" s="751">
        <v>3336.95</v>
      </c>
      <c r="E92" s="751">
        <v>841.2</v>
      </c>
      <c r="F92" s="751">
        <v>12703.980000000001</v>
      </c>
      <c r="G92" s="751">
        <v>3804.77</v>
      </c>
      <c r="H92" s="461">
        <f>VLOOKUP(A92,'побудинковий звіт'!$A$9:$DB$353,106,FALSE)</f>
        <v>2</v>
      </c>
    </row>
    <row r="93" spans="1:8" x14ac:dyDescent="0.3">
      <c r="A93" s="730">
        <v>150000885</v>
      </c>
      <c r="B93" s="803" t="s">
        <v>238</v>
      </c>
      <c r="C93" s="916">
        <v>-233.16</v>
      </c>
      <c r="D93" s="751">
        <v>233.16</v>
      </c>
      <c r="E93" s="751">
        <v>46.2</v>
      </c>
      <c r="F93" s="751">
        <v>-233.16</v>
      </c>
      <c r="G93" s="751">
        <v>233.16</v>
      </c>
      <c r="H93" s="461">
        <f>VLOOKUP(A93,'побудинковий звіт'!$A$9:$DB$353,106,FALSE)</f>
        <v>2</v>
      </c>
    </row>
    <row r="94" spans="1:8" x14ac:dyDescent="0.3">
      <c r="A94" s="730">
        <v>150000888</v>
      </c>
      <c r="B94" s="803" t="s">
        <v>313</v>
      </c>
      <c r="C94" s="916">
        <v>19432.449999999997</v>
      </c>
      <c r="D94" s="751">
        <v>3472.4199999999996</v>
      </c>
      <c r="E94" s="751">
        <v>787.57</v>
      </c>
      <c r="F94" s="751">
        <v>18896.649999999998</v>
      </c>
      <c r="G94" s="751">
        <v>2936.6200000000003</v>
      </c>
      <c r="H94" s="461">
        <f>VLOOKUP(A94,'побудинковий звіт'!$A$9:$DB$353,106,FALSE)</f>
        <v>2</v>
      </c>
    </row>
    <row r="95" spans="1:8" x14ac:dyDescent="0.3">
      <c r="A95" s="730">
        <v>150000889</v>
      </c>
      <c r="B95" s="803" t="s">
        <v>427</v>
      </c>
      <c r="C95" s="916">
        <v>0</v>
      </c>
      <c r="D95" s="751">
        <v>3804.01</v>
      </c>
      <c r="E95" s="751">
        <v>855.19999999999993</v>
      </c>
      <c r="F95" s="751">
        <v>0</v>
      </c>
      <c r="G95" s="751">
        <v>3804.01</v>
      </c>
      <c r="H95" s="461">
        <f>VLOOKUP(A95,'побудинковий звіт'!$A$9:$DB$353,106,FALSE)</f>
        <v>2</v>
      </c>
    </row>
    <row r="96" spans="1:8" x14ac:dyDescent="0.3">
      <c r="A96" s="730">
        <v>150000890</v>
      </c>
      <c r="B96" s="803" t="s">
        <v>398</v>
      </c>
      <c r="C96" s="916">
        <v>10235.759999999998</v>
      </c>
      <c r="D96" s="751">
        <v>1017.64</v>
      </c>
      <c r="E96" s="751">
        <v>212.2</v>
      </c>
      <c r="F96" s="751">
        <v>10499.240000000002</v>
      </c>
      <c r="G96" s="751">
        <v>1281.1199999999999</v>
      </c>
      <c r="H96" s="461">
        <f>VLOOKUP(A96,'побудинковий звіт'!$A$9:$DB$353,106,FALSE)</f>
        <v>2</v>
      </c>
    </row>
    <row r="97" spans="1:8" x14ac:dyDescent="0.3">
      <c r="A97" s="730">
        <v>150000891</v>
      </c>
      <c r="B97" s="803" t="s">
        <v>189</v>
      </c>
      <c r="C97" s="916">
        <v>230.06</v>
      </c>
      <c r="D97" s="751">
        <v>201.52</v>
      </c>
      <c r="E97" s="751">
        <v>61.8</v>
      </c>
      <c r="F97" s="751">
        <v>28.54</v>
      </c>
      <c r="G97" s="751">
        <v>0</v>
      </c>
      <c r="H97" s="461" t="e">
        <f>VLOOKUP(A97,'побудинковий звіт'!$A$9:$DB$353,106,FALSE)</f>
        <v>#N/A</v>
      </c>
    </row>
    <row r="98" spans="1:8" x14ac:dyDescent="0.3">
      <c r="A98" s="730">
        <v>150000894</v>
      </c>
      <c r="B98" s="803" t="s">
        <v>315</v>
      </c>
      <c r="C98" s="916">
        <v>100279.73999999999</v>
      </c>
      <c r="D98" s="751">
        <v>3881.85</v>
      </c>
      <c r="E98" s="751">
        <v>824.5</v>
      </c>
      <c r="F98" s="751">
        <v>98480.049999999988</v>
      </c>
      <c r="G98" s="751">
        <v>2082.16</v>
      </c>
      <c r="H98" s="461">
        <f>VLOOKUP(A98,'побудинковий звіт'!$A$9:$DB$353,106,FALSE)</f>
        <v>3</v>
      </c>
    </row>
    <row r="99" spans="1:8" x14ac:dyDescent="0.3">
      <c r="A99" s="730">
        <v>150000900</v>
      </c>
      <c r="B99" s="803" t="s">
        <v>425</v>
      </c>
      <c r="C99" s="916">
        <v>-1013.01</v>
      </c>
      <c r="D99" s="751">
        <v>2022.95</v>
      </c>
      <c r="E99" s="751">
        <v>463.5</v>
      </c>
      <c r="F99" s="751">
        <v>504.97</v>
      </c>
      <c r="G99" s="751">
        <v>3540.9300000000003</v>
      </c>
      <c r="H99" s="461">
        <f>VLOOKUP(A99,'побудинковий звіт'!$A$9:$DB$353,106,FALSE)</f>
        <v>3</v>
      </c>
    </row>
    <row r="100" spans="1:8" x14ac:dyDescent="0.3">
      <c r="A100" s="730">
        <v>150000901</v>
      </c>
      <c r="B100" s="803" t="s">
        <v>424</v>
      </c>
      <c r="C100" s="916">
        <v>134648.94</v>
      </c>
      <c r="D100" s="751">
        <v>6916.3899999999994</v>
      </c>
      <c r="E100" s="751">
        <v>1736</v>
      </c>
      <c r="F100" s="751">
        <v>131821.51999999999</v>
      </c>
      <c r="G100" s="751">
        <v>4088.97</v>
      </c>
      <c r="H100" s="461">
        <f>VLOOKUP(A100,'побудинковий звіт'!$A$9:$DB$353,106,FALSE)</f>
        <v>3</v>
      </c>
    </row>
    <row r="101" spans="1:8" x14ac:dyDescent="0.3">
      <c r="A101" s="730">
        <v>150000905</v>
      </c>
      <c r="B101" s="803" t="s">
        <v>426</v>
      </c>
      <c r="C101" s="916">
        <v>324.64999999999998</v>
      </c>
      <c r="D101" s="751">
        <v>713.43</v>
      </c>
      <c r="E101" s="751">
        <v>175.8</v>
      </c>
      <c r="F101" s="751">
        <v>0</v>
      </c>
      <c r="G101" s="751">
        <v>388.78</v>
      </c>
      <c r="H101" s="461">
        <f>VLOOKUP(A101,'побудинковий звіт'!$A$9:$DB$353,106,FALSE)</f>
        <v>3</v>
      </c>
    </row>
    <row r="102" spans="1:8" x14ac:dyDescent="0.3">
      <c r="A102" s="730">
        <v>150000908</v>
      </c>
      <c r="B102" s="803" t="s">
        <v>408</v>
      </c>
      <c r="C102" s="916">
        <v>203.48</v>
      </c>
      <c r="D102" s="751">
        <v>203.48</v>
      </c>
      <c r="E102" s="751">
        <v>44.2</v>
      </c>
      <c r="F102" s="751">
        <v>203.48</v>
      </c>
      <c r="G102" s="751">
        <v>203.48</v>
      </c>
      <c r="H102" s="461">
        <f>VLOOKUP(A102,'побудинковий звіт'!$A$9:$DB$353,106,FALSE)</f>
        <v>3</v>
      </c>
    </row>
    <row r="103" spans="1:8" x14ac:dyDescent="0.3">
      <c r="A103" s="730">
        <v>150000910</v>
      </c>
      <c r="B103" s="803" t="s">
        <v>410</v>
      </c>
      <c r="C103" s="916">
        <v>539.41999999999996</v>
      </c>
      <c r="D103" s="751">
        <v>539.41999999999996</v>
      </c>
      <c r="E103" s="751">
        <v>115.1</v>
      </c>
      <c r="F103" s="751">
        <v>539.41999999999996</v>
      </c>
      <c r="G103" s="751">
        <v>539.41999999999996</v>
      </c>
      <c r="H103" s="461">
        <f>VLOOKUP(A103,'побудинковий звіт'!$A$9:$DB$353,106,FALSE)</f>
        <v>3</v>
      </c>
    </row>
    <row r="104" spans="1:8" x14ac:dyDescent="0.3">
      <c r="A104" s="730">
        <v>150000916</v>
      </c>
      <c r="B104" s="803" t="s">
        <v>323</v>
      </c>
      <c r="C104" s="916">
        <v>1769.3100000000002</v>
      </c>
      <c r="D104" s="751">
        <v>926.29</v>
      </c>
      <c r="E104" s="751">
        <v>188.6</v>
      </c>
      <c r="F104" s="751">
        <v>1770.02</v>
      </c>
      <c r="G104" s="751">
        <v>927</v>
      </c>
      <c r="H104" s="461">
        <f>VLOOKUP(A104,'побудинковий звіт'!$A$9:$DB$353,106,FALSE)</f>
        <v>3</v>
      </c>
    </row>
    <row r="105" spans="1:8" x14ac:dyDescent="0.3">
      <c r="A105" s="730">
        <v>150000921</v>
      </c>
      <c r="B105" s="803" t="s">
        <v>328</v>
      </c>
      <c r="C105" s="916">
        <v>207.14</v>
      </c>
      <c r="D105" s="751">
        <v>207.14</v>
      </c>
      <c r="E105" s="751">
        <v>45.1</v>
      </c>
      <c r="F105" s="751">
        <v>207.14</v>
      </c>
      <c r="G105" s="751">
        <v>207.14</v>
      </c>
      <c r="H105" s="461">
        <f>VLOOKUP(A105,'побудинковий звіт'!$A$9:$DB$353,106,FALSE)</f>
        <v>3</v>
      </c>
    </row>
    <row r="106" spans="1:8" x14ac:dyDescent="0.3">
      <c r="A106" s="730">
        <v>150000924</v>
      </c>
      <c r="B106" s="803" t="s">
        <v>174</v>
      </c>
      <c r="C106" s="916">
        <v>6555.61</v>
      </c>
      <c r="D106" s="751">
        <v>466.89</v>
      </c>
      <c r="E106" s="751">
        <v>76.900000000000006</v>
      </c>
      <c r="F106" s="751">
        <v>6216.83</v>
      </c>
      <c r="G106" s="751">
        <v>128.11000000000001</v>
      </c>
      <c r="H106" s="461">
        <f>VLOOKUP(A106,'побудинковий звіт'!$A$9:$DB$353,106,FALSE)</f>
        <v>2</v>
      </c>
    </row>
    <row r="107" spans="1:8" x14ac:dyDescent="0.3">
      <c r="A107" s="730">
        <v>150000925</v>
      </c>
      <c r="B107" s="803" t="s">
        <v>176</v>
      </c>
      <c r="C107" s="916">
        <v>13523.85</v>
      </c>
      <c r="D107" s="751">
        <v>697.95</v>
      </c>
      <c r="E107" s="751">
        <v>113.4</v>
      </c>
      <c r="F107" s="751">
        <v>12825.9</v>
      </c>
      <c r="G107" s="751">
        <v>0</v>
      </c>
      <c r="H107" s="461">
        <f>VLOOKUP(A107,'побудинковий звіт'!$A$9:$DB$353,106,FALSE)</f>
        <v>2</v>
      </c>
    </row>
    <row r="108" spans="1:8" x14ac:dyDescent="0.3">
      <c r="A108" s="730">
        <v>150000926</v>
      </c>
      <c r="B108" s="803" t="s">
        <v>177</v>
      </c>
      <c r="C108" s="916">
        <v>8766.52</v>
      </c>
      <c r="D108" s="751">
        <v>714.36</v>
      </c>
      <c r="E108" s="751">
        <v>120.4</v>
      </c>
      <c r="F108" s="751">
        <v>8766.52</v>
      </c>
      <c r="G108" s="751">
        <v>714.36</v>
      </c>
      <c r="H108" s="461">
        <f>VLOOKUP(A108,'побудинковий звіт'!$A$9:$DB$353,106,FALSE)</f>
        <v>2</v>
      </c>
    </row>
    <row r="109" spans="1:8" x14ac:dyDescent="0.3">
      <c r="A109" s="730">
        <v>150000927</v>
      </c>
      <c r="B109" s="803" t="s">
        <v>178</v>
      </c>
      <c r="C109" s="916">
        <v>22999.16</v>
      </c>
      <c r="D109" s="751">
        <v>1156.19</v>
      </c>
      <c r="E109" s="751">
        <v>239.6</v>
      </c>
      <c r="F109" s="751">
        <v>22107.89</v>
      </c>
      <c r="G109" s="751">
        <v>264.92</v>
      </c>
      <c r="H109" s="461">
        <f>VLOOKUP(A109,'побудинковий звіт'!$A$9:$DB$353,106,FALSE)</f>
        <v>2</v>
      </c>
    </row>
    <row r="110" spans="1:8" x14ac:dyDescent="0.3">
      <c r="A110" s="730">
        <v>150000928</v>
      </c>
      <c r="B110" s="803" t="s">
        <v>169</v>
      </c>
      <c r="C110" s="916">
        <v>2337.1000000000004</v>
      </c>
      <c r="D110" s="751">
        <v>1314.32</v>
      </c>
      <c r="E110" s="751">
        <v>242.89999999999998</v>
      </c>
      <c r="F110" s="751">
        <v>4290.93</v>
      </c>
      <c r="G110" s="751">
        <v>3268.1499999999996</v>
      </c>
      <c r="H110" s="461">
        <f>VLOOKUP(A110,'побудинковий звіт'!$A$9:$DB$353,106,FALSE)</f>
        <v>2</v>
      </c>
    </row>
    <row r="111" spans="1:8" x14ac:dyDescent="0.3">
      <c r="A111" s="730">
        <v>150000929</v>
      </c>
      <c r="B111" s="803" t="s">
        <v>1094</v>
      </c>
      <c r="C111" s="916">
        <v>12204.36</v>
      </c>
      <c r="D111" s="751">
        <v>1692.72</v>
      </c>
      <c r="E111" s="751">
        <v>318.60000000000002</v>
      </c>
      <c r="F111" s="751">
        <v>11560.9</v>
      </c>
      <c r="G111" s="751">
        <v>1049.26</v>
      </c>
      <c r="H111" s="461">
        <f>VLOOKUP(A111,'побудинковий звіт'!$A$9:$DB$353,106,FALSE)</f>
        <v>2</v>
      </c>
    </row>
    <row r="112" spans="1:8" x14ac:dyDescent="0.3">
      <c r="A112" s="730">
        <v>150000930</v>
      </c>
      <c r="B112" s="803" t="s">
        <v>172</v>
      </c>
      <c r="C112" s="916">
        <v>3710.06</v>
      </c>
      <c r="D112" s="751">
        <v>835.5</v>
      </c>
      <c r="E112" s="751">
        <v>146</v>
      </c>
      <c r="F112" s="751">
        <v>3380.44</v>
      </c>
      <c r="G112" s="751">
        <v>505.88</v>
      </c>
      <c r="H112" s="461">
        <f>VLOOKUP(A112,'побудинковий звіт'!$A$9:$DB$353,106,FALSE)</f>
        <v>2</v>
      </c>
    </row>
    <row r="113" spans="1:8" x14ac:dyDescent="0.3">
      <c r="A113" s="730">
        <v>150000931</v>
      </c>
      <c r="B113" s="803" t="s">
        <v>266</v>
      </c>
      <c r="C113" s="916">
        <v>2295.6299999999997</v>
      </c>
      <c r="D113" s="751">
        <v>789.62</v>
      </c>
      <c r="E113" s="751">
        <v>163.89999999999998</v>
      </c>
      <c r="F113" s="751">
        <v>1836.5</v>
      </c>
      <c r="G113" s="751">
        <v>330.49</v>
      </c>
      <c r="H113" s="461">
        <f>VLOOKUP(A113,'побудинковий звіт'!$A$9:$DB$353,106,FALSE)</f>
        <v>2</v>
      </c>
    </row>
    <row r="114" spans="1:8" x14ac:dyDescent="0.3">
      <c r="A114" s="730">
        <v>150000933</v>
      </c>
      <c r="B114" s="803" t="s">
        <v>267</v>
      </c>
      <c r="C114" s="916">
        <v>55354.659999999996</v>
      </c>
      <c r="D114" s="751">
        <v>1809.5100000000002</v>
      </c>
      <c r="E114" s="751">
        <v>376.3</v>
      </c>
      <c r="F114" s="751">
        <v>55822.26</v>
      </c>
      <c r="G114" s="751">
        <v>2277.1099999999997</v>
      </c>
      <c r="H114" s="461">
        <f>VLOOKUP(A114,'побудинковий звіт'!$A$9:$DB$353,106,FALSE)</f>
        <v>2</v>
      </c>
    </row>
    <row r="115" spans="1:8" x14ac:dyDescent="0.3">
      <c r="A115" s="730">
        <v>150000938</v>
      </c>
      <c r="B115" s="803" t="s">
        <v>375</v>
      </c>
      <c r="C115" s="916">
        <v>29776.600000000002</v>
      </c>
      <c r="D115" s="751">
        <v>4270.87</v>
      </c>
      <c r="E115" s="751">
        <v>873.80000000000007</v>
      </c>
      <c r="F115" s="751">
        <v>29094.300000000003</v>
      </c>
      <c r="G115" s="751">
        <v>3588.5699999999997</v>
      </c>
      <c r="H115" s="461">
        <f>VLOOKUP(A115,'побудинковий звіт'!$A$9:$DB$353,106,FALSE)</f>
        <v>1</v>
      </c>
    </row>
    <row r="116" spans="1:8" x14ac:dyDescent="0.3">
      <c r="A116" s="730">
        <v>150000945</v>
      </c>
      <c r="B116" s="803" t="s">
        <v>421</v>
      </c>
      <c r="C116" s="916">
        <v>244.56</v>
      </c>
      <c r="D116" s="751">
        <v>327.27999999999997</v>
      </c>
      <c r="E116" s="751">
        <v>64.91</v>
      </c>
      <c r="F116" s="751">
        <v>-82.72</v>
      </c>
      <c r="G116" s="751">
        <v>0</v>
      </c>
      <c r="H116" s="461">
        <f>VLOOKUP(A116,'побудинковий звіт'!$A$9:$DB$353,106,FALSE)</f>
        <v>1</v>
      </c>
    </row>
    <row r="117" spans="1:8" x14ac:dyDescent="0.3">
      <c r="A117" s="730">
        <v>150000966</v>
      </c>
      <c r="B117" s="803" t="s">
        <v>204</v>
      </c>
      <c r="C117" s="916">
        <v>9528.51</v>
      </c>
      <c r="D117" s="751">
        <v>1339.51</v>
      </c>
      <c r="E117" s="751">
        <v>238.81</v>
      </c>
      <c r="F117" s="751">
        <v>12418.779999999999</v>
      </c>
      <c r="G117" s="751">
        <v>4229.78</v>
      </c>
      <c r="H117" s="461">
        <f>VLOOKUP(A117,'побудинковий звіт'!$A$9:$DB$353,106,FALSE)</f>
        <v>2</v>
      </c>
    </row>
    <row r="118" spans="1:8" x14ac:dyDescent="0.3">
      <c r="A118" s="730">
        <v>150000967</v>
      </c>
      <c r="B118" s="803" t="s">
        <v>205</v>
      </c>
      <c r="C118" s="916">
        <v>10014.459999999999</v>
      </c>
      <c r="D118" s="751">
        <v>1029.9099999999999</v>
      </c>
      <c r="E118" s="751">
        <v>183.7</v>
      </c>
      <c r="F118" s="751">
        <v>9519.9700000000012</v>
      </c>
      <c r="G118" s="751">
        <v>535.41999999999996</v>
      </c>
      <c r="H118" s="461">
        <f>VLOOKUP(A118,'побудинковий звіт'!$A$9:$DB$353,106,FALSE)</f>
        <v>2</v>
      </c>
    </row>
    <row r="119" spans="1:8" x14ac:dyDescent="0.3">
      <c r="A119" s="730">
        <v>150000968</v>
      </c>
      <c r="B119" s="803" t="s">
        <v>244</v>
      </c>
      <c r="C119" s="916">
        <v>0</v>
      </c>
      <c r="D119" s="751">
        <v>1400.6399999999999</v>
      </c>
      <c r="E119" s="751">
        <v>358</v>
      </c>
      <c r="F119" s="751">
        <v>0</v>
      </c>
      <c r="G119" s="751">
        <v>1400.6399999999999</v>
      </c>
      <c r="H119" s="461">
        <f>VLOOKUP(A119,'побудинковий звіт'!$A$9:$DB$353,106,FALSE)</f>
        <v>2</v>
      </c>
    </row>
    <row r="120" spans="1:8" x14ac:dyDescent="0.3">
      <c r="A120" s="730">
        <v>150000969</v>
      </c>
      <c r="B120" s="803" t="s">
        <v>192</v>
      </c>
      <c r="C120" s="916">
        <v>2104</v>
      </c>
      <c r="D120" s="751">
        <v>1019.64</v>
      </c>
      <c r="E120" s="751">
        <v>189.20000000000002</v>
      </c>
      <c r="F120" s="751">
        <v>2647.9700000000003</v>
      </c>
      <c r="G120" s="751">
        <v>1563.6100000000001</v>
      </c>
      <c r="H120" s="461">
        <f>VLOOKUP(A120,'побудинковий звіт'!$A$9:$DB$353,106,FALSE)</f>
        <v>2</v>
      </c>
    </row>
    <row r="121" spans="1:8" x14ac:dyDescent="0.3">
      <c r="A121" s="730">
        <v>150000970</v>
      </c>
      <c r="B121" s="803" t="s">
        <v>242</v>
      </c>
      <c r="C121" s="916">
        <v>4427.42</v>
      </c>
      <c r="D121" s="751">
        <v>2058.5099999999998</v>
      </c>
      <c r="E121" s="751">
        <v>480.79999999999995</v>
      </c>
      <c r="F121" s="751">
        <v>3594.71</v>
      </c>
      <c r="G121" s="751">
        <v>1225.8</v>
      </c>
      <c r="H121" s="461">
        <f>VLOOKUP(A121,'побудинковий звіт'!$A$9:$DB$353,106,FALSE)</f>
        <v>2</v>
      </c>
    </row>
    <row r="122" spans="1:8" x14ac:dyDescent="0.3">
      <c r="A122" s="730">
        <v>150000971</v>
      </c>
      <c r="B122" s="803" t="s">
        <v>193</v>
      </c>
      <c r="C122" s="916">
        <v>26447.890000000007</v>
      </c>
      <c r="D122" s="751">
        <v>1881.0299999999997</v>
      </c>
      <c r="E122" s="751">
        <v>366.12999999999994</v>
      </c>
      <c r="F122" s="751">
        <v>26385.74</v>
      </c>
      <c r="G122" s="751">
        <v>1818.88</v>
      </c>
      <c r="H122" s="461">
        <f>VLOOKUP(A122,'побудинковий звіт'!$A$9:$DB$353,106,FALSE)</f>
        <v>2</v>
      </c>
    </row>
    <row r="123" spans="1:8" x14ac:dyDescent="0.3">
      <c r="A123" s="730">
        <v>150000972</v>
      </c>
      <c r="B123" s="803" t="s">
        <v>201</v>
      </c>
      <c r="C123" s="916">
        <v>323.77999999999992</v>
      </c>
      <c r="D123" s="751">
        <v>1068.0500000000002</v>
      </c>
      <c r="E123" s="751">
        <v>236.2</v>
      </c>
      <c r="F123" s="751">
        <v>1502.19</v>
      </c>
      <c r="G123" s="751">
        <v>2246.46</v>
      </c>
      <c r="H123" s="461">
        <f>VLOOKUP(A123,'побудинковий звіт'!$A$9:$DB$353,106,FALSE)</f>
        <v>2</v>
      </c>
    </row>
    <row r="124" spans="1:8" x14ac:dyDescent="0.3">
      <c r="A124" s="730">
        <v>150000974</v>
      </c>
      <c r="B124" s="803" t="s">
        <v>202</v>
      </c>
      <c r="C124" s="916">
        <v>47925.16</v>
      </c>
      <c r="D124" s="751">
        <v>2216.0299999999997</v>
      </c>
      <c r="E124" s="751">
        <v>423.17000000000007</v>
      </c>
      <c r="F124" s="751">
        <v>57943.75</v>
      </c>
      <c r="G124" s="751">
        <v>12234.62</v>
      </c>
      <c r="H124" s="461">
        <f>VLOOKUP(A124,'побудинковий звіт'!$A$9:$DB$353,106,FALSE)</f>
        <v>2</v>
      </c>
    </row>
    <row r="125" spans="1:8" x14ac:dyDescent="0.3">
      <c r="A125" s="730">
        <v>150000975</v>
      </c>
      <c r="B125" s="803" t="s">
        <v>203</v>
      </c>
      <c r="C125" s="916">
        <v>1368.96</v>
      </c>
      <c r="D125" s="751">
        <v>1578.95</v>
      </c>
      <c r="E125" s="751">
        <v>364.73</v>
      </c>
      <c r="F125" s="751">
        <v>1602.54</v>
      </c>
      <c r="G125" s="751">
        <v>1812.5300000000002</v>
      </c>
      <c r="H125" s="461">
        <f>VLOOKUP(A125,'побудинковий звіт'!$A$9:$DB$353,106,FALSE)</f>
        <v>2</v>
      </c>
    </row>
    <row r="126" spans="1:8" x14ac:dyDescent="0.3">
      <c r="A126" s="730">
        <v>150000976</v>
      </c>
      <c r="B126" s="803" t="s">
        <v>149</v>
      </c>
      <c r="C126" s="916">
        <v>15317.12</v>
      </c>
      <c r="D126" s="751">
        <v>523.69000000000005</v>
      </c>
      <c r="E126" s="751">
        <v>100.9</v>
      </c>
      <c r="F126" s="751">
        <v>15048.27</v>
      </c>
      <c r="G126" s="751">
        <v>254.84</v>
      </c>
      <c r="H126" s="461">
        <f>VLOOKUP(A126,'побудинковий звіт'!$A$9:$DB$353,106,FALSE)</f>
        <v>2</v>
      </c>
    </row>
    <row r="127" spans="1:8" x14ac:dyDescent="0.3">
      <c r="A127" s="730">
        <v>150000977</v>
      </c>
      <c r="B127" s="803" t="s">
        <v>150</v>
      </c>
      <c r="C127" s="916">
        <v>12013.689999999999</v>
      </c>
      <c r="D127" s="751">
        <v>1399.5</v>
      </c>
      <c r="E127" s="751">
        <v>254.99999999999997</v>
      </c>
      <c r="F127" s="751">
        <v>11732.689999999999</v>
      </c>
      <c r="G127" s="751">
        <v>1118.5</v>
      </c>
      <c r="H127" s="461">
        <f>VLOOKUP(A127,'побудинковий звіт'!$A$9:$DB$353,106,FALSE)</f>
        <v>2</v>
      </c>
    </row>
    <row r="128" spans="1:8" x14ac:dyDescent="0.3">
      <c r="A128" s="730">
        <v>150000978</v>
      </c>
      <c r="B128" s="803" t="s">
        <v>243</v>
      </c>
      <c r="C128" s="916">
        <v>2184.21</v>
      </c>
      <c r="D128" s="751">
        <v>585.38</v>
      </c>
      <c r="E128" s="751">
        <v>137.1</v>
      </c>
      <c r="F128" s="751">
        <v>2184.21</v>
      </c>
      <c r="G128" s="751">
        <v>585.38</v>
      </c>
      <c r="H128" s="461">
        <f>VLOOKUP(A128,'побудинковий звіт'!$A$9:$DB$353,106,FALSE)</f>
        <v>2</v>
      </c>
    </row>
    <row r="129" spans="1:10" x14ac:dyDescent="0.3">
      <c r="A129" s="730">
        <v>150000989</v>
      </c>
      <c r="B129" s="803" t="s">
        <v>37</v>
      </c>
      <c r="C129" s="916">
        <v>134.13999999999999</v>
      </c>
      <c r="D129" s="751">
        <v>67.069999999999993</v>
      </c>
      <c r="E129" s="751">
        <v>50.1</v>
      </c>
      <c r="F129" s="751">
        <v>67.069999999999993</v>
      </c>
      <c r="G129" s="751">
        <v>0</v>
      </c>
      <c r="H129" s="461">
        <f>VLOOKUP(A129,'побудинковий звіт'!$A$9:$DB$353,106,FALSE)</f>
        <v>3</v>
      </c>
    </row>
    <row r="130" spans="1:10" x14ac:dyDescent="0.3">
      <c r="A130" s="730">
        <v>150000996</v>
      </c>
      <c r="B130" s="803" t="s">
        <v>245</v>
      </c>
      <c r="C130" s="916">
        <v>5833.96</v>
      </c>
      <c r="D130" s="751">
        <v>901.22</v>
      </c>
      <c r="E130" s="751">
        <v>185.76999999999998</v>
      </c>
      <c r="F130" s="751">
        <v>5438.24</v>
      </c>
      <c r="G130" s="751">
        <v>505.5</v>
      </c>
      <c r="H130" s="461">
        <f>VLOOKUP(A130,'побудинковий звіт'!$A$9:$DB$353,106,FALSE)</f>
        <v>2</v>
      </c>
    </row>
    <row r="131" spans="1:10" x14ac:dyDescent="0.3">
      <c r="A131" s="730">
        <v>150001007</v>
      </c>
      <c r="B131" s="803" t="s">
        <v>213</v>
      </c>
      <c r="C131" s="916">
        <v>0</v>
      </c>
      <c r="D131" s="751">
        <v>202.15</v>
      </c>
      <c r="E131" s="751">
        <v>46.1</v>
      </c>
      <c r="F131" s="751">
        <v>0</v>
      </c>
      <c r="G131" s="751">
        <v>202.15</v>
      </c>
      <c r="H131" s="461">
        <f>VLOOKUP(A131,'побудинковий звіт'!$A$9:$DB$353,106,FALSE)</f>
        <v>2</v>
      </c>
    </row>
    <row r="132" spans="1:10" x14ac:dyDescent="0.3">
      <c r="A132" s="730">
        <v>150001008</v>
      </c>
      <c r="B132" s="803" t="s">
        <v>211</v>
      </c>
      <c r="C132" s="916">
        <v>16179.78</v>
      </c>
      <c r="D132" s="751">
        <v>235.3</v>
      </c>
      <c r="E132" s="751">
        <v>45</v>
      </c>
      <c r="F132" s="751">
        <v>15944.48</v>
      </c>
      <c r="G132" s="751">
        <v>0</v>
      </c>
      <c r="H132" s="461">
        <f>VLOOKUP(A132,'побудинковий звіт'!$A$9:$DB$353,106,FALSE)</f>
        <v>2</v>
      </c>
    </row>
    <row r="133" spans="1:10" x14ac:dyDescent="0.3">
      <c r="A133" s="730">
        <v>150001009</v>
      </c>
      <c r="B133" s="803" t="s">
        <v>212</v>
      </c>
      <c r="C133" s="916">
        <v>1817.42</v>
      </c>
      <c r="D133" s="751">
        <v>375.26</v>
      </c>
      <c r="E133" s="751">
        <v>85.1</v>
      </c>
      <c r="F133" s="751">
        <v>1442.1599999999999</v>
      </c>
      <c r="G133" s="751">
        <v>0</v>
      </c>
      <c r="H133" s="461">
        <f>VLOOKUP(A133,'побудинковий звіт'!$A$9:$DB$353,106,FALSE)</f>
        <v>2</v>
      </c>
    </row>
    <row r="134" spans="1:10" x14ac:dyDescent="0.3">
      <c r="A134" s="730">
        <v>150001010</v>
      </c>
      <c r="B134" s="803" t="s">
        <v>164</v>
      </c>
      <c r="C134" s="916">
        <v>17270.780000000002</v>
      </c>
      <c r="D134" s="751">
        <v>1047.71</v>
      </c>
      <c r="E134" s="751">
        <v>205.3</v>
      </c>
      <c r="F134" s="751">
        <v>17270.780000000002</v>
      </c>
      <c r="G134" s="751">
        <v>1047.71</v>
      </c>
      <c r="H134" s="461">
        <f>VLOOKUP(A134,'побудинковий звіт'!$A$9:$DB$353,106,FALSE)</f>
        <v>2</v>
      </c>
    </row>
    <row r="135" spans="1:10" x14ac:dyDescent="0.3">
      <c r="A135" s="730">
        <v>150001013</v>
      </c>
      <c r="B135" s="803" t="s">
        <v>260</v>
      </c>
      <c r="C135" s="916">
        <v>81678.340000000011</v>
      </c>
      <c r="D135" s="751">
        <v>4002.8499999999995</v>
      </c>
      <c r="E135" s="751">
        <v>987.49999999999989</v>
      </c>
      <c r="F135" s="751">
        <v>81816.17</v>
      </c>
      <c r="G135" s="751">
        <v>4140.68</v>
      </c>
      <c r="H135" s="461">
        <f>VLOOKUP(A135,'побудинковий звіт'!$A$9:$DB$353,106,FALSE)</f>
        <v>2</v>
      </c>
    </row>
    <row r="136" spans="1:10" x14ac:dyDescent="0.3">
      <c r="A136" s="730">
        <v>150001015</v>
      </c>
      <c r="B136" s="803" t="s">
        <v>99</v>
      </c>
      <c r="C136" s="916">
        <v>1813.3600000000001</v>
      </c>
      <c r="D136" s="751">
        <v>235.45999999999998</v>
      </c>
      <c r="E136" s="751">
        <v>185.4</v>
      </c>
      <c r="F136" s="751">
        <v>4951.84</v>
      </c>
      <c r="G136" s="751">
        <v>3373.94</v>
      </c>
      <c r="H136" s="461">
        <f>VLOOKUP(A136,'побудинковий звіт'!$A$9:$DB$353,106,FALSE)</f>
        <v>2</v>
      </c>
    </row>
    <row r="137" spans="1:10" x14ac:dyDescent="0.3">
      <c r="A137" s="730">
        <v>150001016</v>
      </c>
      <c r="B137" s="803" t="s">
        <v>261</v>
      </c>
      <c r="C137" s="916">
        <v>52262.149999999994</v>
      </c>
      <c r="D137" s="751">
        <v>5274.5700000000006</v>
      </c>
      <c r="E137" s="751">
        <v>1229.1000000000001</v>
      </c>
      <c r="F137" s="751">
        <v>50530.559999999998</v>
      </c>
      <c r="G137" s="751">
        <v>3542.98</v>
      </c>
      <c r="H137" s="461">
        <f>VLOOKUP(A137,'побудинковий звіт'!$A$9:$DB$353,106,FALSE)</f>
        <v>2</v>
      </c>
    </row>
    <row r="138" spans="1:10" s="889" customFormat="1" x14ac:dyDescent="0.3">
      <c r="A138" s="730">
        <v>150001018</v>
      </c>
      <c r="B138" s="803" t="s">
        <v>429</v>
      </c>
      <c r="C138" s="916">
        <v>27690.489999999998</v>
      </c>
      <c r="D138" s="751">
        <v>2152.64</v>
      </c>
      <c r="E138" s="751">
        <v>483.5</v>
      </c>
      <c r="F138" s="751">
        <v>28414.670000000002</v>
      </c>
      <c r="G138" s="751">
        <v>2876.8199999999997</v>
      </c>
      <c r="H138" s="461">
        <f>VLOOKUP(A138,'побудинковий звіт'!$A$9:$DB$353,106,FALSE)</f>
        <v>2</v>
      </c>
      <c r="J138" s="461"/>
    </row>
    <row r="139" spans="1:10" x14ac:dyDescent="0.3">
      <c r="A139" s="730">
        <v>150001024</v>
      </c>
      <c r="B139" s="803" t="s">
        <v>366</v>
      </c>
      <c r="C139" s="916">
        <v>10679.76</v>
      </c>
      <c r="D139" s="751">
        <v>2329.59</v>
      </c>
      <c r="E139" s="751">
        <v>490</v>
      </c>
      <c r="F139" s="751">
        <v>9018.17</v>
      </c>
      <c r="G139" s="751">
        <v>668</v>
      </c>
      <c r="H139" s="461">
        <f>VLOOKUP(A139,'побудинковий звіт'!$A$9:$DB$353,106,FALSE)</f>
        <v>1</v>
      </c>
    </row>
    <row r="140" spans="1:10" x14ac:dyDescent="0.3">
      <c r="A140" s="730">
        <v>150001025</v>
      </c>
      <c r="B140" s="803" t="s">
        <v>420</v>
      </c>
      <c r="C140" s="916">
        <v>5085.7499999999991</v>
      </c>
      <c r="D140" s="751">
        <v>984.95</v>
      </c>
      <c r="E140" s="751">
        <v>203.20000000000002</v>
      </c>
      <c r="F140" s="751">
        <v>4400.84</v>
      </c>
      <c r="G140" s="751">
        <v>300.04000000000002</v>
      </c>
      <c r="H140" s="461">
        <f>VLOOKUP(A140,'побудинковий звіт'!$A$9:$DB$353,106,FALSE)</f>
        <v>1</v>
      </c>
    </row>
    <row r="141" spans="1:10" x14ac:dyDescent="0.3">
      <c r="A141" s="730">
        <v>150001027</v>
      </c>
      <c r="B141" s="803" t="s">
        <v>367</v>
      </c>
      <c r="C141" s="916">
        <v>23445.200000000001</v>
      </c>
      <c r="D141" s="751">
        <v>654.19000000000005</v>
      </c>
      <c r="E141" s="751">
        <v>130.69999999999999</v>
      </c>
      <c r="F141" s="751">
        <v>22791.01</v>
      </c>
      <c r="G141" s="751">
        <v>0</v>
      </c>
      <c r="H141" s="461">
        <f>VLOOKUP(A141,'побудинковий звіт'!$A$9:$DB$353,106,FALSE)</f>
        <v>1</v>
      </c>
    </row>
    <row r="142" spans="1:10" x14ac:dyDescent="0.3">
      <c r="A142" s="730">
        <v>150001035</v>
      </c>
      <c r="B142" s="803" t="s">
        <v>262</v>
      </c>
      <c r="C142" s="916">
        <v>893.24</v>
      </c>
      <c r="D142" s="751">
        <v>446.62</v>
      </c>
      <c r="E142" s="751">
        <v>79.400000000000006</v>
      </c>
      <c r="F142" s="751">
        <v>893.24</v>
      </c>
      <c r="G142" s="751">
        <v>446.62</v>
      </c>
      <c r="H142" s="461">
        <f>VLOOKUP(A142,'побудинковий звіт'!$A$9:$DB$353,106,FALSE)</f>
        <v>1</v>
      </c>
    </row>
    <row r="143" spans="1:10" x14ac:dyDescent="0.3">
      <c r="A143" s="730">
        <v>150001040</v>
      </c>
      <c r="B143" s="803" t="s">
        <v>216</v>
      </c>
      <c r="C143" s="916">
        <v>2461.65</v>
      </c>
      <c r="D143" s="751">
        <v>2358.94</v>
      </c>
      <c r="E143" s="751">
        <v>511.20000000000005</v>
      </c>
      <c r="F143" s="751">
        <v>3197.6699999999996</v>
      </c>
      <c r="G143" s="751">
        <v>3094.96</v>
      </c>
      <c r="H143" s="461">
        <f>VLOOKUP(A143,'побудинковий звіт'!$A$9:$DB$353,106,FALSE)</f>
        <v>2</v>
      </c>
    </row>
    <row r="144" spans="1:10" x14ac:dyDescent="0.3">
      <c r="A144" s="730">
        <v>150001044</v>
      </c>
      <c r="B144" s="803" t="s">
        <v>269</v>
      </c>
      <c r="C144" s="916">
        <v>10947.4</v>
      </c>
      <c r="D144" s="751">
        <v>1070.3599999999999</v>
      </c>
      <c r="E144" s="751">
        <v>276.7</v>
      </c>
      <c r="F144" s="751">
        <v>10947.4</v>
      </c>
      <c r="G144" s="751">
        <v>1070.3599999999999</v>
      </c>
      <c r="H144" s="461">
        <f>VLOOKUP(A144,'побудинковий звіт'!$A$9:$DB$353,106,FALSE)</f>
        <v>2</v>
      </c>
    </row>
    <row r="145" spans="1:8" x14ac:dyDescent="0.3">
      <c r="A145" s="730">
        <v>150001046</v>
      </c>
      <c r="B145" s="803" t="s">
        <v>272</v>
      </c>
      <c r="C145" s="916">
        <v>5785.06</v>
      </c>
      <c r="D145" s="751">
        <v>881.14</v>
      </c>
      <c r="E145" s="751">
        <v>210.60000000000002</v>
      </c>
      <c r="F145" s="751">
        <v>6140.26</v>
      </c>
      <c r="G145" s="751">
        <v>1236.3400000000001</v>
      </c>
      <c r="H145" s="461">
        <f>VLOOKUP(A145,'побудинковий звіт'!$A$9:$DB$353,106,FALSE)</f>
        <v>2</v>
      </c>
    </row>
    <row r="146" spans="1:8" x14ac:dyDescent="0.3">
      <c r="A146" s="730">
        <v>150001047</v>
      </c>
      <c r="B146" s="803" t="s">
        <v>179</v>
      </c>
      <c r="C146" s="916">
        <v>565.48</v>
      </c>
      <c r="D146" s="751">
        <v>565.41999999999996</v>
      </c>
      <c r="E146" s="751">
        <v>127.7</v>
      </c>
      <c r="F146" s="751">
        <v>565.48</v>
      </c>
      <c r="G146" s="751">
        <v>565.41999999999996</v>
      </c>
      <c r="H146" s="461">
        <f>VLOOKUP(A146,'побудинковий звіт'!$A$9:$DB$353,106,FALSE)</f>
        <v>2</v>
      </c>
    </row>
    <row r="147" spans="1:8" x14ac:dyDescent="0.3">
      <c r="C147" s="897">
        <f>SUM(C2:C146)</f>
        <v>1678561.4899999998</v>
      </c>
      <c r="D147" s="731">
        <f>SUM(D2:D146)</f>
        <v>236022.45000000022</v>
      </c>
      <c r="E147" s="472">
        <f>SUM(E2:E146)</f>
        <v>52988.949999999983</v>
      </c>
      <c r="F147" s="472">
        <f>SUM(F2:F146)</f>
        <v>1670548.7599999993</v>
      </c>
      <c r="G147" s="472">
        <f>SUM(G2:G146)</f>
        <v>228009.72</v>
      </c>
    </row>
    <row r="149" spans="1:8" ht="62.4" x14ac:dyDescent="0.3">
      <c r="B149" s="730"/>
      <c r="C149" s="801" t="s">
        <v>1115</v>
      </c>
      <c r="D149" s="801" t="s">
        <v>1696</v>
      </c>
      <c r="E149" s="801" t="s">
        <v>1697</v>
      </c>
      <c r="F149" s="801" t="s">
        <v>1698</v>
      </c>
      <c r="G149" s="801" t="s">
        <v>1699</v>
      </c>
    </row>
    <row r="150" spans="1:8" x14ac:dyDescent="0.3">
      <c r="B150" s="803" t="s">
        <v>1670</v>
      </c>
      <c r="C150" s="29">
        <f>SUMIF($H$2:$H$146,1,C$2:C$146)</f>
        <v>127044.95</v>
      </c>
      <c r="D150" s="29">
        <f>SUMIF($H$2:$H$146,1,D$2:D$146)</f>
        <v>31240.949999999997</v>
      </c>
      <c r="E150" s="29">
        <f>SUMIF($H$2:$H$146,1,E$2:E$146)</f>
        <v>6654.0199999999995</v>
      </c>
      <c r="F150" s="29">
        <f>SUMIF($H$2:$H$146,1,F$2:F$146)</f>
        <v>119842.53</v>
      </c>
      <c r="G150" s="29">
        <f>SUMIF($H$2:$H$146,1,G$2:G$146)</f>
        <v>24038.530000000002</v>
      </c>
    </row>
    <row r="151" spans="1:8" x14ac:dyDescent="0.3">
      <c r="B151" s="803" t="s">
        <v>1671</v>
      </c>
      <c r="C151" s="29">
        <f>SUMIF($H$2:$H$146,2,C$2:C$146)</f>
        <v>1071521.29</v>
      </c>
      <c r="D151" s="29">
        <f>SUMIF($H$2:$H$146,2,D$2:D$146)</f>
        <v>165273.24000000005</v>
      </c>
      <c r="E151" s="29">
        <f>SUMIF($H$2:$H$146,2,E$2:E$146)</f>
        <v>37042.51</v>
      </c>
      <c r="F151" s="29">
        <f>SUMIF($H$2:$H$146,2,F$2:F$146)</f>
        <v>1064069.18</v>
      </c>
      <c r="G151" s="29">
        <f>SUMIF($H$2:$H$146,2,G$2:G$146)</f>
        <v>157821.13</v>
      </c>
    </row>
    <row r="152" spans="1:8" x14ac:dyDescent="0.3">
      <c r="B152" s="803" t="s">
        <v>1672</v>
      </c>
      <c r="C152" s="29">
        <f>SUMIF($H$2:$H$146,3,C$2:C$146)</f>
        <v>479765.18999999994</v>
      </c>
      <c r="D152" s="29">
        <f>SUMIF($H$2:$H$146,3,D$2:D$146)</f>
        <v>39306.740000000005</v>
      </c>
      <c r="E152" s="29">
        <f>SUMIF($H$2:$H$146,3,E$2:E$146)</f>
        <v>9230.6200000000026</v>
      </c>
      <c r="F152" s="29">
        <f>SUMIF($H$2:$H$145,3,F$2:F$145)</f>
        <v>486608.50999999989</v>
      </c>
      <c r="G152" s="29">
        <f>SUMIF($H$2:$H$146,3,G$2:G$146)</f>
        <v>46150.06</v>
      </c>
    </row>
    <row r="153" spans="1:8" x14ac:dyDescent="0.3">
      <c r="B153" s="803"/>
      <c r="C153" s="804">
        <f>SUM(C150:C152)</f>
        <v>1678331.43</v>
      </c>
      <c r="D153" s="804">
        <f>SUM(D150:D152)</f>
        <v>235820.93000000005</v>
      </c>
      <c r="E153" s="804">
        <f>SUM(E150:E152)</f>
        <v>52927.15</v>
      </c>
      <c r="F153" s="804">
        <f>SUM(F150:F152)</f>
        <v>1670520.2199999997</v>
      </c>
      <c r="G153" s="804">
        <f>SUM(G150:G152)</f>
        <v>228009.72</v>
      </c>
    </row>
  </sheetData>
  <autoFilter ref="A1:H146" xr:uid="{00000000-0001-0000-0500-000000000000}"/>
  <conditionalFormatting sqref="A1:A146">
    <cfRule type="duplicateValues" dxfId="5" priority="14"/>
  </conditionalFormatting>
  <conditionalFormatting sqref="A147:A1048576">
    <cfRule type="duplicateValues" dxfId="4" priority="10"/>
  </conditionalFormatting>
  <conditionalFormatting sqref="B149">
    <cfRule type="duplicateValues" dxfId="3" priority="1"/>
  </conditionalFormatting>
  <pageMargins left="0.51181102362204722" right="0.11811023622047245" top="0.19685039370078741" bottom="0.15748031496062992" header="0.31496062992125984" footer="0.31496062992125984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A34E5-8AB6-40F4-8FBE-54B319DECFB2}">
  <sheetPr codeName="Лист6"/>
  <dimension ref="A1:D365"/>
  <sheetViews>
    <sheetView workbookViewId="0">
      <selection activeCell="M9" sqref="M9"/>
    </sheetView>
  </sheetViews>
  <sheetFormatPr defaultRowHeight="14.4" x14ac:dyDescent="0.3"/>
  <cols>
    <col min="1" max="1" width="13.109375" style="317" customWidth="1"/>
    <col min="2" max="2" width="8.88671875" style="1"/>
    <col min="3" max="3" width="34.44140625" style="1" customWidth="1"/>
    <col min="4" max="4" width="22.88671875" style="8" customWidth="1"/>
  </cols>
  <sheetData>
    <row r="1" spans="1:4" x14ac:dyDescent="0.3">
      <c r="A1" s="1" t="s">
        <v>0</v>
      </c>
    </row>
    <row r="2" spans="1:4" x14ac:dyDescent="0.3">
      <c r="D2" s="270" t="s">
        <v>1688</v>
      </c>
    </row>
    <row r="3" spans="1:4" ht="15.6" x14ac:dyDescent="0.3">
      <c r="A3" s="6" t="s">
        <v>1082</v>
      </c>
      <c r="D3" s="270" t="s">
        <v>1687</v>
      </c>
    </row>
    <row r="5" spans="1:4" ht="18" thickBot="1" x14ac:dyDescent="0.35">
      <c r="C5" s="1">
        <v>1</v>
      </c>
      <c r="D5" s="321">
        <v>103</v>
      </c>
    </row>
    <row r="6" spans="1:4" x14ac:dyDescent="0.3">
      <c r="A6" s="1220" t="s">
        <v>1101</v>
      </c>
      <c r="B6" s="1228" t="s">
        <v>821</v>
      </c>
      <c r="C6" s="1228" t="s">
        <v>1</v>
      </c>
      <c r="D6" s="1256" t="s">
        <v>1813</v>
      </c>
    </row>
    <row r="7" spans="1:4" x14ac:dyDescent="0.3">
      <c r="A7" s="1221"/>
      <c r="B7" s="1229"/>
      <c r="C7" s="1229"/>
      <c r="D7" s="1257"/>
    </row>
    <row r="8" spans="1:4" ht="85.8" customHeight="1" thickBot="1" x14ac:dyDescent="0.35">
      <c r="A8" s="1222"/>
      <c r="B8" s="1230"/>
      <c r="C8" s="1230"/>
      <c r="D8" s="1258"/>
    </row>
    <row r="9" spans="1:4" x14ac:dyDescent="0.3">
      <c r="A9" s="318">
        <v>150000493</v>
      </c>
      <c r="B9" s="43" t="s">
        <v>577</v>
      </c>
      <c r="C9" s="83" t="s">
        <v>417</v>
      </c>
      <c r="D9" s="254">
        <v>95057.863409417507</v>
      </c>
    </row>
    <row r="10" spans="1:4" x14ac:dyDescent="0.3">
      <c r="A10" s="318">
        <v>150000494</v>
      </c>
      <c r="B10" s="43" t="s">
        <v>578</v>
      </c>
      <c r="C10" s="44" t="s">
        <v>418</v>
      </c>
      <c r="D10" s="254">
        <v>-5471.66853147027</v>
      </c>
    </row>
    <row r="11" spans="1:4" x14ac:dyDescent="0.3">
      <c r="A11" s="318">
        <v>150000495</v>
      </c>
      <c r="B11" s="43" t="s">
        <v>464</v>
      </c>
      <c r="C11" s="44" t="s">
        <v>147</v>
      </c>
      <c r="D11" s="254">
        <v>-4654.662147553523</v>
      </c>
    </row>
    <row r="12" spans="1:4" x14ac:dyDescent="0.3">
      <c r="A12" s="318">
        <v>150000496</v>
      </c>
      <c r="B12" s="43" t="s">
        <v>465</v>
      </c>
      <c r="C12" s="44" t="s">
        <v>148</v>
      </c>
      <c r="D12" s="254">
        <v>-6757.5685953464854</v>
      </c>
    </row>
    <row r="13" spans="1:4" x14ac:dyDescent="0.3">
      <c r="A13" s="318">
        <v>150000497</v>
      </c>
      <c r="B13" s="43" t="s">
        <v>463</v>
      </c>
      <c r="C13" s="44" t="s">
        <v>340</v>
      </c>
      <c r="D13" s="254">
        <v>37047.668355224698</v>
      </c>
    </row>
    <row r="14" spans="1:4" x14ac:dyDescent="0.3">
      <c r="A14" s="318">
        <v>150000498</v>
      </c>
      <c r="B14" s="43" t="s">
        <v>466</v>
      </c>
      <c r="C14" s="44" t="s">
        <v>241</v>
      </c>
      <c r="D14" s="254">
        <v>86634.082193808659</v>
      </c>
    </row>
    <row r="15" spans="1:4" x14ac:dyDescent="0.3">
      <c r="A15" s="318">
        <v>150000501</v>
      </c>
      <c r="B15" s="43" t="s">
        <v>623</v>
      </c>
      <c r="C15" s="44" t="s">
        <v>263</v>
      </c>
      <c r="D15" s="254">
        <v>77852.926300761319</v>
      </c>
    </row>
    <row r="16" spans="1:4" x14ac:dyDescent="0.3">
      <c r="A16" s="318">
        <v>150000502</v>
      </c>
      <c r="B16" s="43" t="s">
        <v>616</v>
      </c>
      <c r="C16" s="44" t="s">
        <v>108</v>
      </c>
      <c r="D16" s="254">
        <v>-6501.6802018649969</v>
      </c>
    </row>
    <row r="17" spans="1:4" x14ac:dyDescent="0.3">
      <c r="A17" s="318">
        <v>150000503</v>
      </c>
      <c r="B17" s="43" t="s">
        <v>617</v>
      </c>
      <c r="C17" s="44" t="s">
        <v>109</v>
      </c>
      <c r="D17" s="254">
        <v>-6268.7947953295698</v>
      </c>
    </row>
    <row r="18" spans="1:4" x14ac:dyDescent="0.3">
      <c r="A18" s="318">
        <v>150000504</v>
      </c>
      <c r="B18" s="43" t="s">
        <v>618</v>
      </c>
      <c r="C18" s="44" t="s">
        <v>110</v>
      </c>
      <c r="D18" s="254">
        <v>-9210.9964744761019</v>
      </c>
    </row>
    <row r="19" spans="1:4" x14ac:dyDescent="0.3">
      <c r="A19" s="318">
        <v>150000505</v>
      </c>
      <c r="B19" s="43" t="s">
        <v>620</v>
      </c>
      <c r="C19" s="44" t="s">
        <v>112</v>
      </c>
      <c r="D19" s="254">
        <v>-8847.8463458587539</v>
      </c>
    </row>
    <row r="20" spans="1:4" x14ac:dyDescent="0.3">
      <c r="A20" s="318">
        <v>150000506</v>
      </c>
      <c r="B20" s="43" t="s">
        <v>619</v>
      </c>
      <c r="C20" s="44" t="s">
        <v>111</v>
      </c>
      <c r="D20" s="254">
        <v>-6858.8152368940509</v>
      </c>
    </row>
    <row r="21" spans="1:4" x14ac:dyDescent="0.3">
      <c r="A21" s="318">
        <v>150000507</v>
      </c>
      <c r="B21" s="43" t="s">
        <v>621</v>
      </c>
      <c r="C21" s="44" t="s">
        <v>113</v>
      </c>
      <c r="D21" s="254">
        <v>-13645.968036433042</v>
      </c>
    </row>
    <row r="22" spans="1:4" x14ac:dyDescent="0.3">
      <c r="A22" s="318">
        <v>150000508</v>
      </c>
      <c r="B22" s="43" t="s">
        <v>622</v>
      </c>
      <c r="C22" s="44" t="s">
        <v>114</v>
      </c>
      <c r="D22" s="254">
        <v>-5481.208822408109</v>
      </c>
    </row>
    <row r="23" spans="1:4" x14ac:dyDescent="0.3">
      <c r="A23" s="318">
        <v>150000510</v>
      </c>
      <c r="B23" s="43" t="s">
        <v>501</v>
      </c>
      <c r="C23" s="44" t="s">
        <v>248</v>
      </c>
      <c r="D23" s="254">
        <v>-27246.164902811237</v>
      </c>
    </row>
    <row r="24" spans="1:4" x14ac:dyDescent="0.3">
      <c r="A24" s="318">
        <v>150000511</v>
      </c>
      <c r="B24" s="43" t="s">
        <v>502</v>
      </c>
      <c r="C24" s="44" t="s">
        <v>249</v>
      </c>
      <c r="D24" s="254">
        <v>19745.580279896214</v>
      </c>
    </row>
    <row r="25" spans="1:4" x14ac:dyDescent="0.3">
      <c r="A25" s="318">
        <v>150000512</v>
      </c>
      <c r="B25" s="43" t="s">
        <v>503</v>
      </c>
      <c r="C25" s="44" t="s">
        <v>250</v>
      </c>
      <c r="D25" s="254">
        <v>-4364.9958229642207</v>
      </c>
    </row>
    <row r="26" spans="1:4" x14ac:dyDescent="0.3">
      <c r="A26" s="318">
        <v>150000513</v>
      </c>
      <c r="B26" s="43" t="s">
        <v>504</v>
      </c>
      <c r="C26" s="44" t="s">
        <v>333</v>
      </c>
      <c r="D26" s="254">
        <v>-22571.97644538122</v>
      </c>
    </row>
    <row r="27" spans="1:4" x14ac:dyDescent="0.3">
      <c r="A27" s="318">
        <v>150000514</v>
      </c>
      <c r="B27" s="43" t="s">
        <v>506</v>
      </c>
      <c r="C27" s="44" t="s">
        <v>151</v>
      </c>
      <c r="D27" s="254">
        <v>-24206.805596807259</v>
      </c>
    </row>
    <row r="28" spans="1:4" x14ac:dyDescent="0.3">
      <c r="A28" s="318">
        <v>150000515</v>
      </c>
      <c r="B28" s="43" t="s">
        <v>507</v>
      </c>
      <c r="C28" s="44" t="s">
        <v>53</v>
      </c>
      <c r="D28" s="254">
        <v>-4198.7401337671263</v>
      </c>
    </row>
    <row r="29" spans="1:4" x14ac:dyDescent="0.3">
      <c r="A29" s="318">
        <v>150000517</v>
      </c>
      <c r="B29" s="43" t="s">
        <v>509</v>
      </c>
      <c r="C29" s="44" t="s">
        <v>251</v>
      </c>
      <c r="D29" s="254">
        <v>82495.385466967826</v>
      </c>
    </row>
    <row r="30" spans="1:4" x14ac:dyDescent="0.3">
      <c r="A30" s="318">
        <v>150000518</v>
      </c>
      <c r="B30" s="43" t="s">
        <v>510</v>
      </c>
      <c r="C30" s="44" t="s">
        <v>194</v>
      </c>
      <c r="D30" s="254">
        <v>49527.302966220479</v>
      </c>
    </row>
    <row r="31" spans="1:4" x14ac:dyDescent="0.3">
      <c r="A31" s="318">
        <v>150000519</v>
      </c>
      <c r="B31" s="43" t="s">
        <v>511</v>
      </c>
      <c r="C31" s="44" t="s">
        <v>412</v>
      </c>
      <c r="D31" s="254">
        <v>-11146.464590164247</v>
      </c>
    </row>
    <row r="32" spans="1:4" x14ac:dyDescent="0.3">
      <c r="A32" s="318">
        <v>150000521</v>
      </c>
      <c r="B32" s="43" t="s">
        <v>512</v>
      </c>
      <c r="C32" s="44" t="s">
        <v>252</v>
      </c>
      <c r="D32" s="254">
        <v>-16123.714144108086</v>
      </c>
    </row>
    <row r="33" spans="1:4" x14ac:dyDescent="0.3">
      <c r="A33" s="318">
        <v>150000523</v>
      </c>
      <c r="B33" s="43" t="s">
        <v>514</v>
      </c>
      <c r="C33" s="44" t="s">
        <v>57</v>
      </c>
      <c r="D33" s="254">
        <v>20225.43893818642</v>
      </c>
    </row>
    <row r="34" spans="1:4" x14ac:dyDescent="0.3">
      <c r="A34" s="318">
        <v>150000529</v>
      </c>
      <c r="B34" s="43" t="s">
        <v>516</v>
      </c>
      <c r="C34" s="44" t="s">
        <v>347</v>
      </c>
      <c r="D34" s="254">
        <v>56534.772183181056</v>
      </c>
    </row>
    <row r="35" spans="1:4" x14ac:dyDescent="0.3">
      <c r="A35" s="318">
        <v>150000531</v>
      </c>
      <c r="B35" s="43" t="s">
        <v>519</v>
      </c>
      <c r="C35" s="44" t="s">
        <v>348</v>
      </c>
      <c r="D35" s="254">
        <v>26003.602115730471</v>
      </c>
    </row>
    <row r="36" spans="1:4" x14ac:dyDescent="0.3">
      <c r="A36" s="318">
        <v>150000532</v>
      </c>
      <c r="B36" s="43" t="s">
        <v>520</v>
      </c>
      <c r="C36" s="44" t="s">
        <v>253</v>
      </c>
      <c r="D36" s="254">
        <v>-32912.551461566123</v>
      </c>
    </row>
    <row r="37" spans="1:4" x14ac:dyDescent="0.3">
      <c r="A37" s="318">
        <v>150000533</v>
      </c>
      <c r="B37" s="43" t="s">
        <v>521</v>
      </c>
      <c r="C37" s="44" t="s">
        <v>349</v>
      </c>
      <c r="D37" s="254">
        <v>-23002.958125521458</v>
      </c>
    </row>
    <row r="38" spans="1:4" x14ac:dyDescent="0.3">
      <c r="A38" s="318">
        <v>150000534</v>
      </c>
      <c r="B38" s="43" t="s">
        <v>522</v>
      </c>
      <c r="C38" s="44" t="s">
        <v>254</v>
      </c>
      <c r="D38" s="254">
        <v>94819.934751105786</v>
      </c>
    </row>
    <row r="39" spans="1:4" x14ac:dyDescent="0.3">
      <c r="A39" s="318">
        <v>150000535</v>
      </c>
      <c r="B39" s="43" t="s">
        <v>523</v>
      </c>
      <c r="C39" s="44" t="s">
        <v>350</v>
      </c>
      <c r="D39" s="254">
        <v>46686.665287782103</v>
      </c>
    </row>
    <row r="40" spans="1:4" x14ac:dyDescent="0.3">
      <c r="A40" s="318">
        <v>150000537</v>
      </c>
      <c r="B40" s="43" t="s">
        <v>613</v>
      </c>
      <c r="C40" s="44" t="s">
        <v>105</v>
      </c>
      <c r="D40" s="254">
        <v>-505.08138691800065</v>
      </c>
    </row>
    <row r="41" spans="1:4" x14ac:dyDescent="0.3">
      <c r="A41" s="318">
        <v>150000538</v>
      </c>
      <c r="B41" s="43" t="s">
        <v>505</v>
      </c>
      <c r="C41" s="44" t="s">
        <v>207</v>
      </c>
      <c r="D41" s="254">
        <v>73214.221520241452</v>
      </c>
    </row>
    <row r="42" spans="1:4" x14ac:dyDescent="0.3">
      <c r="A42" s="318">
        <v>150000539</v>
      </c>
      <c r="B42" s="43" t="s">
        <v>508</v>
      </c>
      <c r="C42" s="44" t="s">
        <v>54</v>
      </c>
      <c r="D42" s="254">
        <v>8699.6282566232221</v>
      </c>
    </row>
    <row r="43" spans="1:4" x14ac:dyDescent="0.3">
      <c r="A43" s="318">
        <v>150000547</v>
      </c>
      <c r="B43" s="43" t="s">
        <v>499</v>
      </c>
      <c r="C43" s="44" t="s">
        <v>247</v>
      </c>
      <c r="D43" s="254">
        <v>1317.5866918563024</v>
      </c>
    </row>
    <row r="44" spans="1:4" x14ac:dyDescent="0.3">
      <c r="A44" s="318">
        <v>150000548</v>
      </c>
      <c r="B44" s="43" t="s">
        <v>497</v>
      </c>
      <c r="C44" s="44" t="s">
        <v>246</v>
      </c>
      <c r="D44" s="254">
        <v>22456.349538880226</v>
      </c>
    </row>
    <row r="45" spans="1:4" x14ac:dyDescent="0.3">
      <c r="A45" s="318">
        <v>150000549</v>
      </c>
      <c r="B45" s="43" t="s">
        <v>498</v>
      </c>
      <c r="C45" s="44" t="s">
        <v>206</v>
      </c>
      <c r="D45" s="254">
        <v>68677.276782039859</v>
      </c>
    </row>
    <row r="46" spans="1:4" x14ac:dyDescent="0.3">
      <c r="A46" s="318">
        <v>150000553</v>
      </c>
      <c r="B46" s="43" t="s">
        <v>576</v>
      </c>
      <c r="C46" s="44" t="s">
        <v>259</v>
      </c>
      <c r="D46" s="254">
        <v>-4248.1005114290056</v>
      </c>
    </row>
    <row r="47" spans="1:4" x14ac:dyDescent="0.3">
      <c r="A47" s="318">
        <v>150000556</v>
      </c>
      <c r="B47" s="43" t="s">
        <v>573</v>
      </c>
      <c r="C47" s="44" t="s">
        <v>89</v>
      </c>
      <c r="D47" s="254">
        <v>-9163.3031970041302</v>
      </c>
    </row>
    <row r="48" spans="1:4" x14ac:dyDescent="0.3">
      <c r="A48" s="318">
        <v>150000557</v>
      </c>
      <c r="B48" s="43" t="s">
        <v>574</v>
      </c>
      <c r="C48" s="44" t="s">
        <v>90</v>
      </c>
      <c r="D48" s="254">
        <v>-5879.5499101772502</v>
      </c>
    </row>
    <row r="49" spans="1:4" x14ac:dyDescent="0.3">
      <c r="A49" s="318">
        <v>150000566</v>
      </c>
      <c r="B49" s="43" t="s">
        <v>527</v>
      </c>
      <c r="C49" s="44" t="s">
        <v>68</v>
      </c>
      <c r="D49" s="254">
        <v>-22319.92769408198</v>
      </c>
    </row>
    <row r="50" spans="1:4" x14ac:dyDescent="0.3">
      <c r="A50" s="318">
        <v>150000569</v>
      </c>
      <c r="B50" s="43" t="s">
        <v>529</v>
      </c>
      <c r="C50" s="44" t="s">
        <v>72</v>
      </c>
      <c r="D50" s="254">
        <v>10915.637832537861</v>
      </c>
    </row>
    <row r="51" spans="1:4" x14ac:dyDescent="0.3">
      <c r="A51" s="318">
        <v>150000570</v>
      </c>
      <c r="B51" s="43" t="s">
        <v>530</v>
      </c>
      <c r="C51" s="44" t="s">
        <v>74</v>
      </c>
      <c r="D51" s="254">
        <v>-4965.1057262874556</v>
      </c>
    </row>
    <row r="52" spans="1:4" x14ac:dyDescent="0.3">
      <c r="A52" s="318">
        <v>150000573</v>
      </c>
      <c r="B52" s="43" t="s">
        <v>532</v>
      </c>
      <c r="C52" s="44" t="s">
        <v>75</v>
      </c>
      <c r="D52" s="254">
        <v>-2220.4548233404189</v>
      </c>
    </row>
    <row r="53" spans="1:4" x14ac:dyDescent="0.3">
      <c r="A53" s="318">
        <v>150000578</v>
      </c>
      <c r="B53" s="43" t="s">
        <v>567</v>
      </c>
      <c r="C53" s="44" t="s">
        <v>83</v>
      </c>
      <c r="D53" s="254">
        <v>-7586.0473826786774</v>
      </c>
    </row>
    <row r="54" spans="1:4" x14ac:dyDescent="0.3">
      <c r="A54" s="318">
        <v>150000580</v>
      </c>
      <c r="B54" s="43" t="s">
        <v>568</v>
      </c>
      <c r="C54" s="44" t="s">
        <v>84</v>
      </c>
      <c r="D54" s="254">
        <v>-5908.1407554812822</v>
      </c>
    </row>
    <row r="55" spans="1:4" x14ac:dyDescent="0.3">
      <c r="A55" s="318">
        <v>150000590</v>
      </c>
      <c r="B55" s="43" t="s">
        <v>566</v>
      </c>
      <c r="C55" s="44" t="s">
        <v>163</v>
      </c>
      <c r="D55" s="254">
        <v>-16395.650074162691</v>
      </c>
    </row>
    <row r="56" spans="1:4" x14ac:dyDescent="0.3">
      <c r="A56" s="318">
        <v>150000591</v>
      </c>
      <c r="B56" s="43" t="s">
        <v>761</v>
      </c>
      <c r="C56" s="44" t="s">
        <v>191</v>
      </c>
      <c r="D56" s="254">
        <v>10602.465040073022</v>
      </c>
    </row>
    <row r="57" spans="1:4" x14ac:dyDescent="0.3">
      <c r="A57" s="318">
        <v>150000592</v>
      </c>
      <c r="B57" s="43" t="s">
        <v>538</v>
      </c>
      <c r="C57" s="44" t="s">
        <v>353</v>
      </c>
      <c r="D57" s="254">
        <v>-56259.262423740489</v>
      </c>
    </row>
    <row r="58" spans="1:4" x14ac:dyDescent="0.3">
      <c r="A58" s="318">
        <v>150000593</v>
      </c>
      <c r="B58" s="43" t="s">
        <v>540</v>
      </c>
      <c r="C58" s="44" t="s">
        <v>255</v>
      </c>
      <c r="D58" s="254">
        <v>45743.470687532419</v>
      </c>
    </row>
    <row r="59" spans="1:4" x14ac:dyDescent="0.3">
      <c r="A59" s="318">
        <v>150000594</v>
      </c>
      <c r="B59" s="43" t="s">
        <v>541</v>
      </c>
      <c r="C59" s="44" t="s">
        <v>354</v>
      </c>
      <c r="D59" s="254">
        <v>-37470.818379613673</v>
      </c>
    </row>
    <row r="60" spans="1:4" x14ac:dyDescent="0.3">
      <c r="A60" s="318">
        <v>150000597</v>
      </c>
      <c r="B60" s="43" t="s">
        <v>536</v>
      </c>
      <c r="C60" s="44" t="s">
        <v>352</v>
      </c>
      <c r="D60" s="254">
        <v>-100731.0405146585</v>
      </c>
    </row>
    <row r="61" spans="1:4" x14ac:dyDescent="0.3">
      <c r="A61" s="318">
        <v>150000598</v>
      </c>
      <c r="B61" s="43" t="s">
        <v>537</v>
      </c>
      <c r="C61" s="44" t="s">
        <v>76</v>
      </c>
      <c r="D61" s="254">
        <v>1331.3832214195454</v>
      </c>
    </row>
    <row r="62" spans="1:4" x14ac:dyDescent="0.3">
      <c r="A62" s="318">
        <v>150000599</v>
      </c>
      <c r="B62" s="43" t="s">
        <v>539</v>
      </c>
      <c r="C62" s="44" t="s">
        <v>77</v>
      </c>
      <c r="D62" s="254">
        <v>-1884.4057294592276</v>
      </c>
    </row>
    <row r="63" spans="1:4" x14ac:dyDescent="0.3">
      <c r="A63" s="318">
        <v>150000603</v>
      </c>
      <c r="B63" s="43" t="s">
        <v>547</v>
      </c>
      <c r="C63" s="44" t="s">
        <v>153</v>
      </c>
      <c r="D63" s="254">
        <v>25513.181971829054</v>
      </c>
    </row>
    <row r="64" spans="1:4" x14ac:dyDescent="0.3">
      <c r="A64" s="318">
        <v>150000604</v>
      </c>
      <c r="B64" s="43" t="s">
        <v>549</v>
      </c>
      <c r="C64" s="44" t="s">
        <v>154</v>
      </c>
      <c r="D64" s="254">
        <v>66484.358862690948</v>
      </c>
    </row>
    <row r="65" spans="1:4" x14ac:dyDescent="0.3">
      <c r="A65" s="318">
        <v>150000605</v>
      </c>
      <c r="B65" s="43" t="s">
        <v>550</v>
      </c>
      <c r="C65" s="44" t="s">
        <v>155</v>
      </c>
      <c r="D65" s="254">
        <v>34593.683200234154</v>
      </c>
    </row>
    <row r="66" spans="1:4" x14ac:dyDescent="0.3">
      <c r="A66" s="318">
        <v>150000606</v>
      </c>
      <c r="B66" s="43" t="s">
        <v>551</v>
      </c>
      <c r="C66" s="44" t="s">
        <v>156</v>
      </c>
      <c r="D66" s="254">
        <v>-8116.8619860886474</v>
      </c>
    </row>
    <row r="67" spans="1:4" x14ac:dyDescent="0.3">
      <c r="A67" s="318">
        <v>150000607</v>
      </c>
      <c r="B67" s="43" t="s">
        <v>552</v>
      </c>
      <c r="C67" s="44" t="s">
        <v>157</v>
      </c>
      <c r="D67" s="254">
        <v>-11386.246654389359</v>
      </c>
    </row>
    <row r="68" spans="1:4" x14ac:dyDescent="0.3">
      <c r="A68" s="318">
        <v>150000608</v>
      </c>
      <c r="B68" s="43" t="s">
        <v>553</v>
      </c>
      <c r="C68" s="44" t="s">
        <v>158</v>
      </c>
      <c r="D68" s="254">
        <v>-42118.058229371694</v>
      </c>
    </row>
    <row r="69" spans="1:4" x14ac:dyDescent="0.3">
      <c r="A69" s="318">
        <v>150000609</v>
      </c>
      <c r="B69" s="43" t="s">
        <v>554</v>
      </c>
      <c r="C69" s="44" t="s">
        <v>159</v>
      </c>
      <c r="D69" s="254">
        <v>13182.772899620013</v>
      </c>
    </row>
    <row r="70" spans="1:4" x14ac:dyDescent="0.3">
      <c r="A70" s="318">
        <v>150000610</v>
      </c>
      <c r="B70" s="43" t="s">
        <v>555</v>
      </c>
      <c r="C70" s="44" t="s">
        <v>160</v>
      </c>
      <c r="D70" s="254">
        <v>33005.582424820612</v>
      </c>
    </row>
    <row r="71" spans="1:4" x14ac:dyDescent="0.3">
      <c r="A71" s="318">
        <v>150000611</v>
      </c>
      <c r="B71" s="43" t="s">
        <v>556</v>
      </c>
      <c r="C71" s="44" t="s">
        <v>195</v>
      </c>
      <c r="D71" s="254">
        <v>15765.83699891612</v>
      </c>
    </row>
    <row r="72" spans="1:4" x14ac:dyDescent="0.3">
      <c r="A72" s="318">
        <v>150000612</v>
      </c>
      <c r="B72" s="43" t="s">
        <v>558</v>
      </c>
      <c r="C72" s="44" t="s">
        <v>161</v>
      </c>
      <c r="D72" s="254">
        <v>14691.949122562155</v>
      </c>
    </row>
    <row r="73" spans="1:4" x14ac:dyDescent="0.3">
      <c r="A73" s="318">
        <v>150000613</v>
      </c>
      <c r="B73" s="43" t="s">
        <v>559</v>
      </c>
      <c r="C73" s="44" t="s">
        <v>210</v>
      </c>
      <c r="D73" s="254">
        <v>19222.38876258643</v>
      </c>
    </row>
    <row r="74" spans="1:4" x14ac:dyDescent="0.3">
      <c r="A74" s="318">
        <v>150000614</v>
      </c>
      <c r="B74" s="43" t="s">
        <v>560</v>
      </c>
      <c r="C74" s="44" t="s">
        <v>162</v>
      </c>
      <c r="D74" s="254">
        <v>18654.927957567612</v>
      </c>
    </row>
    <row r="75" spans="1:4" x14ac:dyDescent="0.3">
      <c r="A75" s="318">
        <v>150000615</v>
      </c>
      <c r="B75" s="43" t="s">
        <v>561</v>
      </c>
      <c r="C75" s="44" t="s">
        <v>256</v>
      </c>
      <c r="D75" s="254">
        <v>-11001.987646740454</v>
      </c>
    </row>
    <row r="76" spans="1:4" x14ac:dyDescent="0.3">
      <c r="A76" s="318">
        <v>150000616</v>
      </c>
      <c r="B76" s="43" t="s">
        <v>562</v>
      </c>
      <c r="C76" s="44" t="s">
        <v>257</v>
      </c>
      <c r="D76" s="254">
        <v>-5238.9998602632222</v>
      </c>
    </row>
    <row r="77" spans="1:4" x14ac:dyDescent="0.3">
      <c r="A77" s="318">
        <v>150000618</v>
      </c>
      <c r="B77" s="43" t="s">
        <v>563</v>
      </c>
      <c r="C77" s="44" t="s">
        <v>416</v>
      </c>
      <c r="D77" s="254">
        <v>-3125.586174487129</v>
      </c>
    </row>
    <row r="78" spans="1:4" x14ac:dyDescent="0.3">
      <c r="A78" s="318">
        <v>150000619</v>
      </c>
      <c r="B78" s="43" t="s">
        <v>564</v>
      </c>
      <c r="C78" s="44" t="s">
        <v>359</v>
      </c>
      <c r="D78" s="254">
        <v>-116228.54330356156</v>
      </c>
    </row>
    <row r="79" spans="1:4" x14ac:dyDescent="0.3">
      <c r="A79" s="318">
        <v>150000621</v>
      </c>
      <c r="B79" s="43" t="s">
        <v>565</v>
      </c>
      <c r="C79" s="44" t="s">
        <v>80</v>
      </c>
      <c r="D79" s="254">
        <v>-6150.163714147131</v>
      </c>
    </row>
    <row r="80" spans="1:4" x14ac:dyDescent="0.3">
      <c r="A80" s="318">
        <v>150000623</v>
      </c>
      <c r="B80" s="43" t="s">
        <v>557</v>
      </c>
      <c r="C80" s="44" t="s">
        <v>209</v>
      </c>
      <c r="D80" s="254">
        <v>59056.632722364302</v>
      </c>
    </row>
    <row r="81" spans="1:4" x14ac:dyDescent="0.3">
      <c r="A81" s="318">
        <v>150000625</v>
      </c>
      <c r="B81" s="43" t="s">
        <v>544</v>
      </c>
      <c r="C81" s="44" t="s">
        <v>415</v>
      </c>
      <c r="D81" s="254">
        <v>-84800.918324462924</v>
      </c>
    </row>
    <row r="82" spans="1:4" x14ac:dyDescent="0.3">
      <c r="A82" s="318">
        <v>150000626</v>
      </c>
      <c r="B82" s="43" t="s">
        <v>546</v>
      </c>
      <c r="C82" s="44" t="s">
        <v>358</v>
      </c>
      <c r="D82" s="254">
        <v>-98344.229037358964</v>
      </c>
    </row>
    <row r="83" spans="1:4" x14ac:dyDescent="0.3">
      <c r="A83" s="318">
        <v>150000627</v>
      </c>
      <c r="B83" s="43" t="s">
        <v>542</v>
      </c>
      <c r="C83" s="44" t="s">
        <v>355</v>
      </c>
      <c r="D83" s="254">
        <v>-71015.004906227332</v>
      </c>
    </row>
    <row r="84" spans="1:4" x14ac:dyDescent="0.3">
      <c r="A84" s="318">
        <v>150000628</v>
      </c>
      <c r="B84" s="43" t="s">
        <v>543</v>
      </c>
      <c r="C84" s="44" t="s">
        <v>356</v>
      </c>
      <c r="D84" s="254">
        <v>94236.376499387479</v>
      </c>
    </row>
    <row r="85" spans="1:4" x14ac:dyDescent="0.3">
      <c r="A85" s="318">
        <v>150000629</v>
      </c>
      <c r="B85" s="43" t="s">
        <v>545</v>
      </c>
      <c r="C85" s="44" t="s">
        <v>357</v>
      </c>
      <c r="D85" s="254">
        <v>-49543.679741267486</v>
      </c>
    </row>
    <row r="86" spans="1:4" x14ac:dyDescent="0.3">
      <c r="A86" s="318">
        <v>150000636</v>
      </c>
      <c r="B86" s="43" t="s">
        <v>571</v>
      </c>
      <c r="C86" s="44" t="s">
        <v>258</v>
      </c>
      <c r="D86" s="254">
        <v>49944.250588122653</v>
      </c>
    </row>
    <row r="87" spans="1:4" x14ac:dyDescent="0.3">
      <c r="A87" s="318">
        <v>150000643</v>
      </c>
      <c r="B87" s="43" t="s">
        <v>525</v>
      </c>
      <c r="C87" s="44" t="s">
        <v>66</v>
      </c>
      <c r="D87" s="254">
        <v>-9973.924158175063</v>
      </c>
    </row>
    <row r="88" spans="1:4" x14ac:dyDescent="0.3">
      <c r="A88" s="318">
        <v>150000644</v>
      </c>
      <c r="B88" s="43" t="s">
        <v>526</v>
      </c>
      <c r="C88" s="44" t="s">
        <v>67</v>
      </c>
      <c r="D88" s="254">
        <v>-7395.8573848682599</v>
      </c>
    </row>
    <row r="89" spans="1:4" x14ac:dyDescent="0.3">
      <c r="A89" s="318">
        <v>150000645</v>
      </c>
      <c r="B89" s="43" t="s">
        <v>524</v>
      </c>
      <c r="C89" s="44" t="s">
        <v>65</v>
      </c>
      <c r="D89" s="254">
        <v>126.07816824323436</v>
      </c>
    </row>
    <row r="90" spans="1:4" x14ac:dyDescent="0.3">
      <c r="A90" s="318">
        <v>150000648</v>
      </c>
      <c r="B90" s="43" t="s">
        <v>582</v>
      </c>
      <c r="C90" s="44" t="s">
        <v>361</v>
      </c>
      <c r="D90" s="254">
        <v>8385.5044742272948</v>
      </c>
    </row>
    <row r="91" spans="1:4" x14ac:dyDescent="0.3">
      <c r="A91" s="318">
        <v>150000658</v>
      </c>
      <c r="B91" s="43" t="s">
        <v>533</v>
      </c>
      <c r="C91" s="44" t="s">
        <v>351</v>
      </c>
      <c r="D91" s="254">
        <v>74647.754616265156</v>
      </c>
    </row>
    <row r="92" spans="1:4" x14ac:dyDescent="0.3">
      <c r="A92" s="318">
        <v>150000659</v>
      </c>
      <c r="B92" s="43" t="s">
        <v>534</v>
      </c>
      <c r="C92" s="44" t="s">
        <v>413</v>
      </c>
      <c r="D92" s="254">
        <v>102108.97636808777</v>
      </c>
    </row>
    <row r="93" spans="1:4" x14ac:dyDescent="0.3">
      <c r="A93" s="318">
        <v>150000660</v>
      </c>
      <c r="B93" s="43" t="s">
        <v>535</v>
      </c>
      <c r="C93" s="44" t="s">
        <v>414</v>
      </c>
      <c r="D93" s="254">
        <v>121955.02497484858</v>
      </c>
    </row>
    <row r="94" spans="1:4" x14ac:dyDescent="0.3">
      <c r="A94" s="318">
        <v>150000671</v>
      </c>
      <c r="B94" s="43" t="s">
        <v>681</v>
      </c>
      <c r="C94" s="44" t="s">
        <v>127</v>
      </c>
      <c r="D94" s="254">
        <v>-11423.523590073883</v>
      </c>
    </row>
    <row r="95" spans="1:4" x14ac:dyDescent="0.3">
      <c r="A95" s="318">
        <v>150000672</v>
      </c>
      <c r="B95" s="43"/>
      <c r="C95" s="46" t="s">
        <v>428</v>
      </c>
      <c r="D95" s="254">
        <v>-51255.057356437646</v>
      </c>
    </row>
    <row r="96" spans="1:4" x14ac:dyDescent="0.3">
      <c r="A96" s="318">
        <v>150000673</v>
      </c>
      <c r="B96" s="43" t="s">
        <v>679</v>
      </c>
      <c r="C96" s="44" t="s">
        <v>182</v>
      </c>
      <c r="D96" s="254">
        <v>-321.32564046697325</v>
      </c>
    </row>
    <row r="97" spans="1:4" x14ac:dyDescent="0.3">
      <c r="A97" s="318">
        <v>150000676</v>
      </c>
      <c r="B97" s="43" t="s">
        <v>680</v>
      </c>
      <c r="C97" s="44" t="s">
        <v>385</v>
      </c>
      <c r="D97" s="254">
        <v>-68301.484350858897</v>
      </c>
    </row>
    <row r="98" spans="1:4" x14ac:dyDescent="0.3">
      <c r="A98" s="318">
        <v>150000686</v>
      </c>
      <c r="B98" s="43" t="s">
        <v>584</v>
      </c>
      <c r="C98" s="44" t="s">
        <v>97</v>
      </c>
      <c r="D98" s="254">
        <v>-5712.4389192670787</v>
      </c>
    </row>
    <row r="99" spans="1:4" x14ac:dyDescent="0.3">
      <c r="A99" s="318">
        <v>150000688</v>
      </c>
      <c r="B99" s="43" t="s">
        <v>579</v>
      </c>
      <c r="C99" s="44" t="s">
        <v>92</v>
      </c>
      <c r="D99" s="254">
        <v>-10879.861973753803</v>
      </c>
    </row>
    <row r="100" spans="1:4" x14ac:dyDescent="0.3">
      <c r="A100" s="318">
        <v>150000689</v>
      </c>
      <c r="B100" s="43" t="s">
        <v>580</v>
      </c>
      <c r="C100" s="44" t="s">
        <v>93</v>
      </c>
      <c r="D100" s="254">
        <v>-6850.4848546352696</v>
      </c>
    </row>
    <row r="101" spans="1:4" x14ac:dyDescent="0.3">
      <c r="A101" s="318">
        <v>150000690</v>
      </c>
      <c r="B101" s="43" t="s">
        <v>581</v>
      </c>
      <c r="C101" s="44" t="s">
        <v>95</v>
      </c>
      <c r="D101" s="254">
        <v>-6033.4576811071374</v>
      </c>
    </row>
    <row r="102" spans="1:4" x14ac:dyDescent="0.3">
      <c r="A102" s="318">
        <v>150000694</v>
      </c>
      <c r="B102" s="43" t="s">
        <v>634</v>
      </c>
      <c r="C102" s="44" t="s">
        <v>371</v>
      </c>
      <c r="D102" s="254">
        <v>-52813.731229460871</v>
      </c>
    </row>
    <row r="103" spans="1:4" x14ac:dyDescent="0.3">
      <c r="A103" s="318">
        <v>150000695</v>
      </c>
      <c r="B103" s="43" t="s">
        <v>635</v>
      </c>
      <c r="C103" s="44" t="s">
        <v>372</v>
      </c>
      <c r="D103" s="254">
        <v>-79790.143009074382</v>
      </c>
    </row>
    <row r="104" spans="1:4" x14ac:dyDescent="0.3">
      <c r="A104" s="318">
        <v>150000696</v>
      </c>
      <c r="B104" s="43" t="s">
        <v>632</v>
      </c>
      <c r="C104" s="44" t="s">
        <v>370</v>
      </c>
      <c r="D104" s="254">
        <v>-132586.4705893886</v>
      </c>
    </row>
    <row r="105" spans="1:4" x14ac:dyDescent="0.3">
      <c r="A105" s="318">
        <v>150000697</v>
      </c>
      <c r="B105" s="43" t="s">
        <v>633</v>
      </c>
      <c r="C105" s="44" t="s">
        <v>265</v>
      </c>
      <c r="D105" s="254">
        <v>72025.814073782225</v>
      </c>
    </row>
    <row r="106" spans="1:4" x14ac:dyDescent="0.3">
      <c r="A106" s="1022">
        <v>150000699</v>
      </c>
      <c r="B106" s="1023" t="s">
        <v>636</v>
      </c>
      <c r="C106" s="1024" t="s">
        <v>373</v>
      </c>
      <c r="D106" s="1025">
        <v>90926.411495143446</v>
      </c>
    </row>
    <row r="107" spans="1:4" x14ac:dyDescent="0.3">
      <c r="A107" s="318">
        <v>150000702</v>
      </c>
      <c r="B107" s="43" t="s">
        <v>460</v>
      </c>
      <c r="C107" s="44" t="s">
        <v>338</v>
      </c>
      <c r="D107" s="254">
        <v>175873.32378159105</v>
      </c>
    </row>
    <row r="108" spans="1:4" x14ac:dyDescent="0.3">
      <c r="A108" s="318">
        <v>150000703</v>
      </c>
      <c r="B108" s="43" t="s">
        <v>461</v>
      </c>
      <c r="C108" s="44" t="s">
        <v>339</v>
      </c>
      <c r="D108" s="254">
        <v>38510.385140456448</v>
      </c>
    </row>
    <row r="109" spans="1:4" x14ac:dyDescent="0.3">
      <c r="A109" s="318">
        <v>150000706</v>
      </c>
      <c r="B109" s="43" t="s">
        <v>758</v>
      </c>
      <c r="C109" s="44" t="s">
        <v>143</v>
      </c>
      <c r="D109" s="254">
        <v>-8312.0700811298921</v>
      </c>
    </row>
    <row r="110" spans="1:4" x14ac:dyDescent="0.3">
      <c r="A110" s="318">
        <v>150000707</v>
      </c>
      <c r="B110" s="43" t="s">
        <v>759</v>
      </c>
      <c r="C110" s="44" t="s">
        <v>144</v>
      </c>
      <c r="D110" s="254">
        <v>-12133.739764388083</v>
      </c>
    </row>
    <row r="111" spans="1:4" x14ac:dyDescent="0.3">
      <c r="A111" s="318">
        <v>150000708</v>
      </c>
      <c r="B111" s="43" t="s">
        <v>760</v>
      </c>
      <c r="C111" s="44" t="s">
        <v>145</v>
      </c>
      <c r="D111" s="254">
        <v>-8758.0707935105984</v>
      </c>
    </row>
    <row r="112" spans="1:4" x14ac:dyDescent="0.3">
      <c r="A112" s="318">
        <v>150000709</v>
      </c>
      <c r="B112" s="43" t="s">
        <v>757</v>
      </c>
      <c r="C112" s="44" t="s">
        <v>142</v>
      </c>
      <c r="D112" s="254">
        <v>-4992.1998373138404</v>
      </c>
    </row>
    <row r="113" spans="1:4" x14ac:dyDescent="0.3">
      <c r="A113" s="318">
        <v>150000710</v>
      </c>
      <c r="B113" s="43" t="s">
        <v>690</v>
      </c>
      <c r="C113" s="44" t="s">
        <v>278</v>
      </c>
      <c r="D113" s="254">
        <v>6664.6683002014579</v>
      </c>
    </row>
    <row r="114" spans="1:4" x14ac:dyDescent="0.3">
      <c r="A114" s="318">
        <v>150000711</v>
      </c>
      <c r="B114" s="43" t="s">
        <v>691</v>
      </c>
      <c r="C114" s="44" t="s">
        <v>279</v>
      </c>
      <c r="D114" s="254">
        <v>63433.096769198579</v>
      </c>
    </row>
    <row r="115" spans="1:4" x14ac:dyDescent="0.3">
      <c r="A115" s="318">
        <v>150000712</v>
      </c>
      <c r="B115" s="43" t="s">
        <v>692</v>
      </c>
      <c r="C115" s="44" t="s">
        <v>280</v>
      </c>
      <c r="D115" s="254">
        <v>59195.331981812633</v>
      </c>
    </row>
    <row r="116" spans="1:4" x14ac:dyDescent="0.3">
      <c r="A116" s="318">
        <v>150000713</v>
      </c>
      <c r="B116" s="43" t="s">
        <v>693</v>
      </c>
      <c r="C116" s="44" t="s">
        <v>281</v>
      </c>
      <c r="D116" s="254">
        <v>46885.529711383831</v>
      </c>
    </row>
    <row r="117" spans="1:4" x14ac:dyDescent="0.3">
      <c r="A117" s="318">
        <v>150000714</v>
      </c>
      <c r="B117" s="43" t="s">
        <v>694</v>
      </c>
      <c r="C117" s="44" t="s">
        <v>282</v>
      </c>
      <c r="D117" s="254">
        <v>27417.777903772338</v>
      </c>
    </row>
    <row r="118" spans="1:4" x14ac:dyDescent="0.3">
      <c r="A118" s="318">
        <v>150000715</v>
      </c>
      <c r="B118" s="43" t="s">
        <v>695</v>
      </c>
      <c r="C118" s="44" t="s">
        <v>283</v>
      </c>
      <c r="D118" s="254">
        <v>2954.6101908488599</v>
      </c>
    </row>
    <row r="119" spans="1:4" x14ac:dyDescent="0.3">
      <c r="A119" s="318">
        <v>150000716</v>
      </c>
      <c r="B119" s="43" t="s">
        <v>697</v>
      </c>
      <c r="C119" s="44" t="s">
        <v>285</v>
      </c>
      <c r="D119" s="254">
        <v>51222.626740934167</v>
      </c>
    </row>
    <row r="120" spans="1:4" x14ac:dyDescent="0.3">
      <c r="A120" s="318">
        <v>150000717</v>
      </c>
      <c r="B120" s="43" t="s">
        <v>698</v>
      </c>
      <c r="C120" s="44" t="s">
        <v>286</v>
      </c>
      <c r="D120" s="254">
        <v>-28822.595104611366</v>
      </c>
    </row>
    <row r="121" spans="1:4" x14ac:dyDescent="0.3">
      <c r="A121" s="318">
        <v>150000718</v>
      </c>
      <c r="B121" s="43" t="s">
        <v>699</v>
      </c>
      <c r="C121" s="44" t="s">
        <v>287</v>
      </c>
      <c r="D121" s="254">
        <v>60834.47859877572</v>
      </c>
    </row>
    <row r="122" spans="1:4" x14ac:dyDescent="0.3">
      <c r="A122" s="318">
        <v>150000719</v>
      </c>
      <c r="B122" s="43" t="s">
        <v>696</v>
      </c>
      <c r="C122" s="44" t="s">
        <v>284</v>
      </c>
      <c r="D122" s="254">
        <v>69806.586055974447</v>
      </c>
    </row>
    <row r="123" spans="1:4" x14ac:dyDescent="0.3">
      <c r="A123" s="318">
        <v>150000720</v>
      </c>
      <c r="B123" s="43" t="s">
        <v>700</v>
      </c>
      <c r="C123" s="44" t="s">
        <v>288</v>
      </c>
      <c r="D123" s="254">
        <v>15273.595159722201</v>
      </c>
    </row>
    <row r="124" spans="1:4" x14ac:dyDescent="0.3">
      <c r="A124" s="318">
        <v>150000721</v>
      </c>
      <c r="B124" s="43" t="s">
        <v>685</v>
      </c>
      <c r="C124" s="44" t="s">
        <v>218</v>
      </c>
      <c r="D124" s="254">
        <v>101483.00769806112</v>
      </c>
    </row>
    <row r="125" spans="1:4" x14ac:dyDescent="0.3">
      <c r="A125" s="318">
        <v>150000722</v>
      </c>
      <c r="B125" s="43" t="s">
        <v>686</v>
      </c>
      <c r="C125" s="44" t="s">
        <v>274</v>
      </c>
      <c r="D125" s="254">
        <v>-4266.3067441283347</v>
      </c>
    </row>
    <row r="126" spans="1:4" x14ac:dyDescent="0.3">
      <c r="A126" s="318">
        <v>150000723</v>
      </c>
      <c r="B126" s="43" t="s">
        <v>687</v>
      </c>
      <c r="C126" s="44" t="s">
        <v>275</v>
      </c>
      <c r="D126" s="254">
        <v>55953.224356489729</v>
      </c>
    </row>
    <row r="127" spans="1:4" x14ac:dyDescent="0.3">
      <c r="A127" s="318">
        <v>150000724</v>
      </c>
      <c r="B127" s="43" t="s">
        <v>688</v>
      </c>
      <c r="C127" s="44" t="s">
        <v>276</v>
      </c>
      <c r="D127" s="254">
        <v>55157.228417157414</v>
      </c>
    </row>
    <row r="128" spans="1:4" x14ac:dyDescent="0.3">
      <c r="A128" s="318">
        <v>150000725</v>
      </c>
      <c r="B128" s="43" t="s">
        <v>689</v>
      </c>
      <c r="C128" s="44" t="s">
        <v>277</v>
      </c>
      <c r="D128" s="254">
        <v>-11614.710795134513</v>
      </c>
    </row>
    <row r="129" spans="1:4" x14ac:dyDescent="0.3">
      <c r="A129" s="1015">
        <v>150000726</v>
      </c>
      <c r="B129" s="43" t="s">
        <v>682</v>
      </c>
      <c r="C129" s="44" t="s">
        <v>183</v>
      </c>
      <c r="D129" s="254">
        <v>7961.9689809073807</v>
      </c>
    </row>
    <row r="130" spans="1:4" x14ac:dyDescent="0.3">
      <c r="A130" s="318">
        <v>150000728</v>
      </c>
      <c r="B130" s="43" t="s">
        <v>683</v>
      </c>
      <c r="C130" s="44" t="s">
        <v>184</v>
      </c>
      <c r="D130" s="254">
        <v>22059.296292341791</v>
      </c>
    </row>
    <row r="131" spans="1:4" x14ac:dyDescent="0.3">
      <c r="A131" s="318">
        <v>150000729</v>
      </c>
      <c r="B131" s="43" t="s">
        <v>684</v>
      </c>
      <c r="C131" s="44" t="s">
        <v>273</v>
      </c>
      <c r="D131" s="254">
        <v>9184.7614080927633</v>
      </c>
    </row>
    <row r="132" spans="1:4" x14ac:dyDescent="0.3">
      <c r="A132" s="318">
        <v>150000736</v>
      </c>
      <c r="B132" s="43" t="s">
        <v>709</v>
      </c>
      <c r="C132" s="44" t="s">
        <v>219</v>
      </c>
      <c r="D132" s="254">
        <v>91306.948990024714</v>
      </c>
    </row>
    <row r="133" spans="1:4" x14ac:dyDescent="0.3">
      <c r="A133" s="318">
        <v>150000737</v>
      </c>
      <c r="B133" s="43" t="s">
        <v>711</v>
      </c>
      <c r="C133" s="44" t="s">
        <v>221</v>
      </c>
      <c r="D133" s="254">
        <v>33821.206792111538</v>
      </c>
    </row>
    <row r="134" spans="1:4" x14ac:dyDescent="0.3">
      <c r="A134" s="318">
        <v>150000738</v>
      </c>
      <c r="B134" s="43" t="s">
        <v>712</v>
      </c>
      <c r="C134" s="44" t="s">
        <v>289</v>
      </c>
      <c r="D134" s="254">
        <v>10089.910516094487</v>
      </c>
    </row>
    <row r="135" spans="1:4" x14ac:dyDescent="0.3">
      <c r="A135" s="318">
        <v>150000739</v>
      </c>
      <c r="B135" s="43" t="s">
        <v>713</v>
      </c>
      <c r="C135" s="44" t="s">
        <v>222</v>
      </c>
      <c r="D135" s="254">
        <v>295887.49793912558</v>
      </c>
    </row>
    <row r="136" spans="1:4" x14ac:dyDescent="0.3">
      <c r="A136" s="318">
        <v>150000740</v>
      </c>
      <c r="B136" s="43" t="s">
        <v>714</v>
      </c>
      <c r="C136" s="44" t="s">
        <v>197</v>
      </c>
      <c r="D136" s="254">
        <v>21190.738889745619</v>
      </c>
    </row>
    <row r="137" spans="1:4" x14ac:dyDescent="0.3">
      <c r="A137" s="318">
        <v>150000741</v>
      </c>
      <c r="B137" s="43" t="s">
        <v>716</v>
      </c>
      <c r="C137" s="44" t="s">
        <v>224</v>
      </c>
      <c r="D137" s="254">
        <v>-32752.464903387146</v>
      </c>
    </row>
    <row r="138" spans="1:4" x14ac:dyDescent="0.3">
      <c r="A138" s="318">
        <v>150000742</v>
      </c>
      <c r="B138" s="43" t="s">
        <v>717</v>
      </c>
      <c r="C138" s="44" t="s">
        <v>290</v>
      </c>
      <c r="D138" s="254">
        <v>-40624.035526053842</v>
      </c>
    </row>
    <row r="139" spans="1:4" x14ac:dyDescent="0.3">
      <c r="A139" s="318">
        <v>150000743</v>
      </c>
      <c r="B139" s="43" t="s">
        <v>710</v>
      </c>
      <c r="C139" s="44" t="s">
        <v>220</v>
      </c>
      <c r="D139" s="254">
        <v>239092.14766800107</v>
      </c>
    </row>
    <row r="140" spans="1:4" x14ac:dyDescent="0.3">
      <c r="A140" s="318">
        <v>150000744</v>
      </c>
      <c r="B140" s="43" t="s">
        <v>715</v>
      </c>
      <c r="C140" s="44" t="s">
        <v>223</v>
      </c>
      <c r="D140" s="254">
        <v>-42755.553747707025</v>
      </c>
    </row>
    <row r="141" spans="1:4" x14ac:dyDescent="0.3">
      <c r="A141" s="318">
        <v>150000745</v>
      </c>
      <c r="B141" s="43" t="s">
        <v>718</v>
      </c>
      <c r="C141" s="44" t="s">
        <v>133</v>
      </c>
      <c r="D141" s="254">
        <v>-5373.0822216086808</v>
      </c>
    </row>
    <row r="142" spans="1:4" x14ac:dyDescent="0.3">
      <c r="A142" s="318">
        <v>150000750</v>
      </c>
      <c r="B142" s="43" t="s">
        <v>701</v>
      </c>
      <c r="C142" s="44" t="s">
        <v>129</v>
      </c>
      <c r="D142" s="254">
        <v>-3767.0533836610466</v>
      </c>
    </row>
    <row r="143" spans="1:4" x14ac:dyDescent="0.3">
      <c r="A143" s="318">
        <v>150000751</v>
      </c>
      <c r="B143" s="43" t="s">
        <v>702</v>
      </c>
      <c r="C143" s="44" t="s">
        <v>130</v>
      </c>
      <c r="D143" s="254">
        <v>496.04908716558111</v>
      </c>
    </row>
    <row r="144" spans="1:4" x14ac:dyDescent="0.3">
      <c r="A144" s="318">
        <v>150000752</v>
      </c>
      <c r="B144" s="43" t="s">
        <v>703</v>
      </c>
      <c r="C144" s="44" t="s">
        <v>386</v>
      </c>
      <c r="D144" s="254">
        <v>-43931.594600579818</v>
      </c>
    </row>
    <row r="145" spans="1:4" x14ac:dyDescent="0.3">
      <c r="A145" s="318">
        <v>150000753</v>
      </c>
      <c r="B145" s="43" t="s">
        <v>458</v>
      </c>
      <c r="C145" s="44" t="s">
        <v>239</v>
      </c>
      <c r="D145" s="254">
        <v>18020.400985810578</v>
      </c>
    </row>
    <row r="146" spans="1:4" x14ac:dyDescent="0.3">
      <c r="A146" s="318">
        <v>150000754</v>
      </c>
      <c r="B146" s="43" t="s">
        <v>459</v>
      </c>
      <c r="C146" s="44" t="s">
        <v>240</v>
      </c>
      <c r="D146" s="254">
        <v>94532.011426809171</v>
      </c>
    </row>
    <row r="147" spans="1:4" x14ac:dyDescent="0.3">
      <c r="A147" s="318">
        <v>150000758</v>
      </c>
      <c r="B147" s="43" t="s">
        <v>705</v>
      </c>
      <c r="C147" s="44" t="s">
        <v>388</v>
      </c>
      <c r="D147" s="254">
        <v>-196390.98738407582</v>
      </c>
    </row>
    <row r="148" spans="1:4" x14ac:dyDescent="0.3">
      <c r="A148" s="318">
        <v>150000759</v>
      </c>
      <c r="B148" s="43" t="s">
        <v>706</v>
      </c>
      <c r="C148" s="44" t="s">
        <v>389</v>
      </c>
      <c r="D148" s="254">
        <v>-100323.50145821193</v>
      </c>
    </row>
    <row r="149" spans="1:4" x14ac:dyDescent="0.3">
      <c r="A149" s="318">
        <v>150000760</v>
      </c>
      <c r="B149" s="43" t="s">
        <v>704</v>
      </c>
      <c r="C149" s="44" t="s">
        <v>387</v>
      </c>
      <c r="D149" s="254">
        <v>47661.491000142269</v>
      </c>
    </row>
    <row r="150" spans="1:4" x14ac:dyDescent="0.3">
      <c r="A150" s="318">
        <v>150000761</v>
      </c>
      <c r="B150" s="43" t="s">
        <v>707</v>
      </c>
      <c r="C150" s="44" t="s">
        <v>390</v>
      </c>
      <c r="D150" s="254">
        <v>119578.86838264379</v>
      </c>
    </row>
    <row r="151" spans="1:4" x14ac:dyDescent="0.3">
      <c r="A151" s="318">
        <v>150000762</v>
      </c>
      <c r="B151" s="43" t="s">
        <v>708</v>
      </c>
      <c r="C151" s="44" t="s">
        <v>391</v>
      </c>
      <c r="D151" s="254">
        <v>-92495.541784055953</v>
      </c>
    </row>
    <row r="152" spans="1:4" x14ac:dyDescent="0.3">
      <c r="A152" s="318">
        <v>150000763</v>
      </c>
      <c r="B152" s="43" t="s">
        <v>627</v>
      </c>
      <c r="C152" s="44" t="s">
        <v>117</v>
      </c>
      <c r="D152" s="254">
        <v>-7843.2015658036853</v>
      </c>
    </row>
    <row r="153" spans="1:4" x14ac:dyDescent="0.3">
      <c r="A153" s="318">
        <v>150000764</v>
      </c>
      <c r="B153" s="43" t="s">
        <v>628</v>
      </c>
      <c r="C153" s="44" t="s">
        <v>118</v>
      </c>
      <c r="D153" s="254">
        <v>-3280.073994242081</v>
      </c>
    </row>
    <row r="154" spans="1:4" x14ac:dyDescent="0.3">
      <c r="A154" s="318">
        <v>150000765</v>
      </c>
      <c r="B154" s="43" t="s">
        <v>631</v>
      </c>
      <c r="C154" s="44" t="s">
        <v>264</v>
      </c>
      <c r="D154" s="254">
        <v>-45768.950433726081</v>
      </c>
    </row>
    <row r="155" spans="1:4" x14ac:dyDescent="0.3">
      <c r="A155" s="318">
        <v>150000768</v>
      </c>
      <c r="B155" s="43" t="s">
        <v>626</v>
      </c>
      <c r="C155" s="44" t="s">
        <v>116</v>
      </c>
      <c r="D155" s="254">
        <v>-89.158216270938283</v>
      </c>
    </row>
    <row r="156" spans="1:4" x14ac:dyDescent="0.3">
      <c r="A156" s="318">
        <v>150000770</v>
      </c>
      <c r="B156" s="43" t="s">
        <v>629</v>
      </c>
      <c r="C156" s="44" t="s">
        <v>119</v>
      </c>
      <c r="D156" s="254">
        <v>-8597.5274345178586</v>
      </c>
    </row>
    <row r="157" spans="1:4" x14ac:dyDescent="0.3">
      <c r="A157" s="318">
        <v>150000777</v>
      </c>
      <c r="B157" s="43" t="s">
        <v>630</v>
      </c>
      <c r="C157" s="44" t="s">
        <v>168</v>
      </c>
      <c r="D157" s="254">
        <v>-4294.9946613958327</v>
      </c>
    </row>
    <row r="158" spans="1:4" x14ac:dyDescent="0.3">
      <c r="A158" s="318">
        <v>150000778</v>
      </c>
      <c r="B158" s="43" t="s">
        <v>624</v>
      </c>
      <c r="C158" s="44" t="s">
        <v>214</v>
      </c>
      <c r="D158" s="254">
        <v>1833.8865488119309</v>
      </c>
    </row>
    <row r="159" spans="1:4" x14ac:dyDescent="0.3">
      <c r="A159" s="318">
        <v>150000795</v>
      </c>
      <c r="B159" s="43" t="s">
        <v>721</v>
      </c>
      <c r="C159" s="44" t="s">
        <v>291</v>
      </c>
      <c r="D159" s="254">
        <v>255034.46119584361</v>
      </c>
    </row>
    <row r="160" spans="1:4" x14ac:dyDescent="0.3">
      <c r="A160" s="318">
        <v>150000796</v>
      </c>
      <c r="B160" s="43" t="s">
        <v>585</v>
      </c>
      <c r="C160" s="44" t="s">
        <v>98</v>
      </c>
      <c r="D160" s="254">
        <v>12208.548887130748</v>
      </c>
    </row>
    <row r="161" spans="1:4" x14ac:dyDescent="0.3">
      <c r="A161" s="318">
        <v>150000797</v>
      </c>
      <c r="B161" s="43" t="s">
        <v>756</v>
      </c>
      <c r="C161" s="44" t="s">
        <v>231</v>
      </c>
      <c r="D161" s="254">
        <v>-52664.245018626279</v>
      </c>
    </row>
    <row r="162" spans="1:4" x14ac:dyDescent="0.3">
      <c r="A162" s="318">
        <v>150000798</v>
      </c>
      <c r="B162" s="43" t="s">
        <v>733</v>
      </c>
      <c r="C162" s="44" t="s">
        <v>225</v>
      </c>
      <c r="D162" s="254">
        <v>84939.498337058452</v>
      </c>
    </row>
    <row r="163" spans="1:4" x14ac:dyDescent="0.3">
      <c r="A163" s="318">
        <v>150000799</v>
      </c>
      <c r="B163" s="43" t="s">
        <v>736</v>
      </c>
      <c r="C163" s="44" t="s">
        <v>292</v>
      </c>
      <c r="D163" s="254">
        <v>-21576.729526494713</v>
      </c>
    </row>
    <row r="164" spans="1:4" x14ac:dyDescent="0.3">
      <c r="A164" s="318">
        <v>150000800</v>
      </c>
      <c r="B164" s="43" t="s">
        <v>738</v>
      </c>
      <c r="C164" s="44" t="s">
        <v>226</v>
      </c>
      <c r="D164" s="254">
        <v>-58741.039686597396</v>
      </c>
    </row>
    <row r="165" spans="1:4" x14ac:dyDescent="0.3">
      <c r="A165" s="318">
        <v>150000801</v>
      </c>
      <c r="B165" s="43" t="s">
        <v>739</v>
      </c>
      <c r="C165" s="44" t="s">
        <v>294</v>
      </c>
      <c r="D165" s="254">
        <v>86252.627594861813</v>
      </c>
    </row>
    <row r="166" spans="1:4" x14ac:dyDescent="0.3">
      <c r="A166" s="318">
        <v>150000802</v>
      </c>
      <c r="B166" s="43" t="s">
        <v>740</v>
      </c>
      <c r="C166" s="44" t="s">
        <v>295</v>
      </c>
      <c r="D166" s="254">
        <v>-6777.8320711875112</v>
      </c>
    </row>
    <row r="167" spans="1:4" x14ac:dyDescent="0.3">
      <c r="A167" s="318">
        <v>150000803</v>
      </c>
      <c r="B167" s="43" t="s">
        <v>741</v>
      </c>
      <c r="C167" s="44" t="s">
        <v>227</v>
      </c>
      <c r="D167" s="254">
        <v>36201.83771960278</v>
      </c>
    </row>
    <row r="168" spans="1:4" x14ac:dyDescent="0.3">
      <c r="A168" s="318">
        <v>150000805</v>
      </c>
      <c r="B168" s="43" t="s">
        <v>742</v>
      </c>
      <c r="C168" s="44" t="s">
        <v>296</v>
      </c>
      <c r="D168" s="254">
        <v>142379.20237153687</v>
      </c>
    </row>
    <row r="169" spans="1:4" x14ac:dyDescent="0.3">
      <c r="A169" s="318">
        <v>150000806</v>
      </c>
      <c r="B169" s="43" t="s">
        <v>743</v>
      </c>
      <c r="C169" s="44" t="s">
        <v>228</v>
      </c>
      <c r="D169" s="254">
        <v>113253.33300857614</v>
      </c>
    </row>
    <row r="170" spans="1:4" x14ac:dyDescent="0.3">
      <c r="A170" s="318">
        <v>150000807</v>
      </c>
      <c r="B170" s="43" t="s">
        <v>744</v>
      </c>
      <c r="C170" s="44" t="s">
        <v>187</v>
      </c>
      <c r="D170" s="254">
        <v>-19620.013122023644</v>
      </c>
    </row>
    <row r="171" spans="1:4" x14ac:dyDescent="0.3">
      <c r="A171" s="318">
        <v>150000808</v>
      </c>
      <c r="B171" s="43" t="s">
        <v>745</v>
      </c>
      <c r="C171" s="44" t="s">
        <v>297</v>
      </c>
      <c r="D171" s="254">
        <v>-8346.4215053804328</v>
      </c>
    </row>
    <row r="172" spans="1:4" x14ac:dyDescent="0.3">
      <c r="A172" s="318">
        <v>150000809</v>
      </c>
      <c r="B172" s="43" t="s">
        <v>747</v>
      </c>
      <c r="C172" s="44" t="s">
        <v>299</v>
      </c>
      <c r="D172" s="254">
        <v>-58880.319231865054</v>
      </c>
    </row>
    <row r="173" spans="1:4" x14ac:dyDescent="0.3">
      <c r="A173" s="318">
        <v>150000810</v>
      </c>
      <c r="B173" s="43" t="s">
        <v>748</v>
      </c>
      <c r="C173" s="44" t="s">
        <v>300</v>
      </c>
      <c r="D173" s="254">
        <v>-44378.385291344151</v>
      </c>
    </row>
    <row r="174" spans="1:4" x14ac:dyDescent="0.3">
      <c r="A174" s="318">
        <v>150000811</v>
      </c>
      <c r="B174" s="43" t="s">
        <v>749</v>
      </c>
      <c r="C174" s="44" t="s">
        <v>301</v>
      </c>
      <c r="D174" s="254">
        <v>21782.315240047479</v>
      </c>
    </row>
    <row r="175" spans="1:4" x14ac:dyDescent="0.3">
      <c r="A175" s="318">
        <v>150000812</v>
      </c>
      <c r="B175" s="43" t="s">
        <v>750</v>
      </c>
      <c r="C175" s="44" t="s">
        <v>302</v>
      </c>
      <c r="D175" s="254">
        <v>18309.015226946703</v>
      </c>
    </row>
    <row r="176" spans="1:4" x14ac:dyDescent="0.3">
      <c r="A176" s="318">
        <v>150000813</v>
      </c>
      <c r="B176" s="43" t="s">
        <v>752</v>
      </c>
      <c r="C176" s="44" t="s">
        <v>188</v>
      </c>
      <c r="D176" s="254">
        <v>33598.946809572153</v>
      </c>
    </row>
    <row r="177" spans="1:4" x14ac:dyDescent="0.3">
      <c r="A177" s="318">
        <v>150000814</v>
      </c>
      <c r="B177" s="43" t="s">
        <v>753</v>
      </c>
      <c r="C177" s="44" t="s">
        <v>304</v>
      </c>
      <c r="D177" s="254">
        <v>24714.681448028383</v>
      </c>
    </row>
    <row r="178" spans="1:4" x14ac:dyDescent="0.3">
      <c r="A178" s="318">
        <v>150000816</v>
      </c>
      <c r="B178" s="43" t="s">
        <v>754</v>
      </c>
      <c r="C178" s="44" t="s">
        <v>229</v>
      </c>
      <c r="D178" s="254">
        <v>50592.48308987503</v>
      </c>
    </row>
    <row r="179" spans="1:4" x14ac:dyDescent="0.3">
      <c r="A179" s="318">
        <v>150000819</v>
      </c>
      <c r="B179" s="43" t="s">
        <v>734</v>
      </c>
      <c r="C179" s="44" t="s">
        <v>423</v>
      </c>
      <c r="D179" s="254">
        <v>59306.176477618355</v>
      </c>
    </row>
    <row r="180" spans="1:4" x14ac:dyDescent="0.3">
      <c r="A180" s="318">
        <v>150000820</v>
      </c>
      <c r="B180" s="43" t="s">
        <v>735</v>
      </c>
      <c r="C180" s="44" t="s">
        <v>394</v>
      </c>
      <c r="D180" s="254">
        <v>-40444.467467110284</v>
      </c>
    </row>
    <row r="181" spans="1:4" x14ac:dyDescent="0.3">
      <c r="A181" s="318">
        <v>150000827</v>
      </c>
      <c r="B181" s="43" t="s">
        <v>746</v>
      </c>
      <c r="C181" s="44" t="s">
        <v>298</v>
      </c>
      <c r="D181" s="254">
        <v>-35957.667430676665</v>
      </c>
    </row>
    <row r="182" spans="1:4" x14ac:dyDescent="0.3">
      <c r="A182" s="318">
        <v>150000828</v>
      </c>
      <c r="B182" s="43" t="s">
        <v>751</v>
      </c>
      <c r="C182" s="44" t="s">
        <v>303</v>
      </c>
      <c r="D182" s="254">
        <v>-62969.996530627366</v>
      </c>
    </row>
    <row r="183" spans="1:4" x14ac:dyDescent="0.3">
      <c r="A183" s="318">
        <v>150000829</v>
      </c>
      <c r="B183" s="43" t="s">
        <v>755</v>
      </c>
      <c r="C183" s="44" t="s">
        <v>230</v>
      </c>
      <c r="D183" s="254">
        <v>-54725.829668520331</v>
      </c>
    </row>
    <row r="184" spans="1:4" x14ac:dyDescent="0.3">
      <c r="A184" s="318">
        <v>150000830</v>
      </c>
      <c r="B184" s="43" t="s">
        <v>737</v>
      </c>
      <c r="C184" s="44" t="s">
        <v>293</v>
      </c>
      <c r="D184" s="254">
        <v>-104210.2868727654</v>
      </c>
    </row>
    <row r="185" spans="1:4" x14ac:dyDescent="0.3">
      <c r="A185" s="1022">
        <v>150000832</v>
      </c>
      <c r="B185" s="1023" t="s">
        <v>722</v>
      </c>
      <c r="C185" s="1024" t="s">
        <v>422</v>
      </c>
      <c r="D185" s="1025">
        <v>-21000.965102936203</v>
      </c>
    </row>
    <row r="186" spans="1:4" x14ac:dyDescent="0.3">
      <c r="A186" s="1022">
        <v>150000833</v>
      </c>
      <c r="B186" s="1023" t="s">
        <v>723</v>
      </c>
      <c r="C186" s="1024" t="s">
        <v>392</v>
      </c>
      <c r="D186" s="1025">
        <v>460214.95026744559</v>
      </c>
    </row>
    <row r="187" spans="1:4" x14ac:dyDescent="0.3">
      <c r="A187" s="318">
        <v>150000836</v>
      </c>
      <c r="B187" s="43" t="s">
        <v>724</v>
      </c>
      <c r="C187" s="44" t="s">
        <v>198</v>
      </c>
      <c r="D187" s="254">
        <v>-11548.446490859375</v>
      </c>
    </row>
    <row r="188" spans="1:4" x14ac:dyDescent="0.3">
      <c r="A188" s="318">
        <v>150000837</v>
      </c>
      <c r="B188" s="43" t="s">
        <v>725</v>
      </c>
      <c r="C188" s="44" t="s">
        <v>199</v>
      </c>
      <c r="D188" s="254">
        <v>19163.563613611368</v>
      </c>
    </row>
    <row r="189" spans="1:4" x14ac:dyDescent="0.3">
      <c r="A189" s="318">
        <v>150000839</v>
      </c>
      <c r="B189" s="43" t="s">
        <v>726</v>
      </c>
      <c r="C189" s="44" t="s">
        <v>135</v>
      </c>
      <c r="D189" s="254">
        <v>-6067.772395777406</v>
      </c>
    </row>
    <row r="190" spans="1:4" x14ac:dyDescent="0.3">
      <c r="A190" s="318">
        <v>150000840</v>
      </c>
      <c r="B190" s="43" t="s">
        <v>727</v>
      </c>
      <c r="C190" s="44" t="s">
        <v>393</v>
      </c>
      <c r="D190" s="254">
        <v>81535.685317972646</v>
      </c>
    </row>
    <row r="191" spans="1:4" x14ac:dyDescent="0.3">
      <c r="A191" s="318">
        <v>150000841</v>
      </c>
      <c r="B191" s="43" t="s">
        <v>728</v>
      </c>
      <c r="C191" s="44" t="s">
        <v>136</v>
      </c>
      <c r="D191" s="254">
        <v>-4562.9428411521621</v>
      </c>
    </row>
    <row r="192" spans="1:4" x14ac:dyDescent="0.3">
      <c r="A192" s="318">
        <v>150000845</v>
      </c>
      <c r="B192" s="43" t="s">
        <v>731</v>
      </c>
      <c r="C192" s="44" t="s">
        <v>138</v>
      </c>
      <c r="D192" s="254">
        <v>-15433.177207732184</v>
      </c>
    </row>
    <row r="193" spans="1:4" x14ac:dyDescent="0.3">
      <c r="A193" s="318">
        <v>150000848</v>
      </c>
      <c r="B193" s="43" t="s">
        <v>729</v>
      </c>
      <c r="C193" s="44" t="s">
        <v>186</v>
      </c>
      <c r="D193" s="254">
        <v>-22083.477397071685</v>
      </c>
    </row>
    <row r="194" spans="1:4" x14ac:dyDescent="0.3">
      <c r="A194" s="318">
        <v>150000861</v>
      </c>
      <c r="B194" s="43" t="s">
        <v>762</v>
      </c>
      <c r="C194" s="44" t="s">
        <v>232</v>
      </c>
      <c r="D194" s="254">
        <v>-13408.92705717934</v>
      </c>
    </row>
    <row r="195" spans="1:4" x14ac:dyDescent="0.3">
      <c r="A195" s="318">
        <v>150000862</v>
      </c>
      <c r="B195" s="43" t="s">
        <v>764</v>
      </c>
      <c r="C195" s="44" t="s">
        <v>234</v>
      </c>
      <c r="D195" s="254">
        <v>-75617.245654192986</v>
      </c>
    </row>
    <row r="196" spans="1:4" x14ac:dyDescent="0.3">
      <c r="A196" s="318">
        <v>150000863</v>
      </c>
      <c r="B196" s="43" t="s">
        <v>765</v>
      </c>
      <c r="C196" s="44" t="s">
        <v>235</v>
      </c>
      <c r="D196" s="254">
        <v>56989.166302310696</v>
      </c>
    </row>
    <row r="197" spans="1:4" x14ac:dyDescent="0.3">
      <c r="A197" s="318">
        <v>150000864</v>
      </c>
      <c r="B197" s="43" t="s">
        <v>766</v>
      </c>
      <c r="C197" s="44" t="s">
        <v>200</v>
      </c>
      <c r="D197" s="254">
        <v>93466.076981530656</v>
      </c>
    </row>
    <row r="198" spans="1:4" x14ac:dyDescent="0.3">
      <c r="A198" s="318">
        <v>150000865</v>
      </c>
      <c r="B198" s="43" t="s">
        <v>767</v>
      </c>
      <c r="C198" s="44" t="s">
        <v>305</v>
      </c>
      <c r="D198" s="254">
        <v>124950.65869678723</v>
      </c>
    </row>
    <row r="199" spans="1:4" x14ac:dyDescent="0.3">
      <c r="A199" s="318">
        <v>150000866</v>
      </c>
      <c r="B199" s="43" t="s">
        <v>770</v>
      </c>
      <c r="C199" s="44" t="s">
        <v>308</v>
      </c>
      <c r="D199" s="254">
        <v>-27147.646855340652</v>
      </c>
    </row>
    <row r="200" spans="1:4" x14ac:dyDescent="0.3">
      <c r="A200" s="318">
        <v>150000867</v>
      </c>
      <c r="B200" s="43" t="s">
        <v>771</v>
      </c>
      <c r="C200" s="44" t="s">
        <v>309</v>
      </c>
      <c r="D200" s="254">
        <v>20401.607405261046</v>
      </c>
    </row>
    <row r="201" spans="1:4" x14ac:dyDescent="0.3">
      <c r="A201" s="318">
        <v>150000868</v>
      </c>
      <c r="B201" s="43" t="s">
        <v>772</v>
      </c>
      <c r="C201" s="44" t="s">
        <v>310</v>
      </c>
      <c r="D201" s="254">
        <v>3286.4532524914757</v>
      </c>
    </row>
    <row r="202" spans="1:4" x14ac:dyDescent="0.3">
      <c r="A202" s="318">
        <v>150000869</v>
      </c>
      <c r="B202" s="43" t="s">
        <v>773</v>
      </c>
      <c r="C202" s="44" t="s">
        <v>311</v>
      </c>
      <c r="D202" s="254">
        <v>73372.45372612236</v>
      </c>
    </row>
    <row r="203" spans="1:4" x14ac:dyDescent="0.3">
      <c r="A203" s="318">
        <v>150000871</v>
      </c>
      <c r="B203" s="43" t="s">
        <v>775</v>
      </c>
      <c r="C203" s="44" t="s">
        <v>140</v>
      </c>
      <c r="D203" s="254">
        <v>-7168.7863620074813</v>
      </c>
    </row>
    <row r="204" spans="1:4" x14ac:dyDescent="0.3">
      <c r="A204" s="318">
        <v>150000872</v>
      </c>
      <c r="B204" s="43" t="s">
        <v>763</v>
      </c>
      <c r="C204" s="44" t="s">
        <v>233</v>
      </c>
      <c r="D204" s="254">
        <v>-9177.5342240208593</v>
      </c>
    </row>
    <row r="205" spans="1:4" x14ac:dyDescent="0.3">
      <c r="A205" s="318">
        <v>150000873</v>
      </c>
      <c r="B205" s="43" t="s">
        <v>768</v>
      </c>
      <c r="C205" s="44" t="s">
        <v>306</v>
      </c>
      <c r="D205" s="254">
        <v>47916.378218031481</v>
      </c>
    </row>
    <row r="206" spans="1:4" x14ac:dyDescent="0.3">
      <c r="A206" s="318">
        <v>150000874</v>
      </c>
      <c r="B206" s="43" t="s">
        <v>769</v>
      </c>
      <c r="C206" s="44" t="s">
        <v>307</v>
      </c>
      <c r="D206" s="254">
        <v>131195.07989600205</v>
      </c>
    </row>
    <row r="207" spans="1:4" x14ac:dyDescent="0.3">
      <c r="A207" s="318">
        <v>150000875</v>
      </c>
      <c r="B207" s="43" t="s">
        <v>774</v>
      </c>
      <c r="C207" s="44" t="s">
        <v>312</v>
      </c>
      <c r="D207" s="254">
        <v>-6843.0932434885344</v>
      </c>
    </row>
    <row r="208" spans="1:4" x14ac:dyDescent="0.3">
      <c r="A208" s="318">
        <v>150000878</v>
      </c>
      <c r="B208" s="43" t="s">
        <v>813</v>
      </c>
      <c r="C208" s="44" t="s">
        <v>236</v>
      </c>
      <c r="D208" s="254">
        <v>42212.046436447636</v>
      </c>
    </row>
    <row r="209" spans="1:4" x14ac:dyDescent="0.3">
      <c r="A209" s="318">
        <v>150000879</v>
      </c>
      <c r="B209" s="43" t="s">
        <v>814</v>
      </c>
      <c r="C209" s="44" t="s">
        <v>329</v>
      </c>
      <c r="D209" s="254">
        <v>340395.00875347067</v>
      </c>
    </row>
    <row r="210" spans="1:4" x14ac:dyDescent="0.3">
      <c r="A210" s="1022">
        <v>150000880</v>
      </c>
      <c r="B210" s="1023" t="s">
        <v>815</v>
      </c>
      <c r="C210" s="1024" t="s">
        <v>237</v>
      </c>
      <c r="D210" s="1025">
        <v>-101022.64178824493</v>
      </c>
    </row>
    <row r="211" spans="1:4" x14ac:dyDescent="0.3">
      <c r="A211" s="318">
        <v>150000881</v>
      </c>
      <c r="B211" s="43" t="s">
        <v>816</v>
      </c>
      <c r="C211" s="44" t="s">
        <v>411</v>
      </c>
      <c r="D211" s="254">
        <v>-55452.92454545544</v>
      </c>
    </row>
    <row r="212" spans="1:4" x14ac:dyDescent="0.3">
      <c r="A212" s="318">
        <v>150000882</v>
      </c>
      <c r="B212" s="43" t="s">
        <v>817</v>
      </c>
      <c r="C212" s="44" t="s">
        <v>330</v>
      </c>
      <c r="D212" s="254">
        <v>1410.3107651019436</v>
      </c>
    </row>
    <row r="213" spans="1:4" x14ac:dyDescent="0.3">
      <c r="A213" s="318">
        <v>150000883</v>
      </c>
      <c r="B213" s="43" t="s">
        <v>818</v>
      </c>
      <c r="C213" s="44" t="s">
        <v>331</v>
      </c>
      <c r="D213" s="254">
        <v>16306.994009569726</v>
      </c>
    </row>
    <row r="214" spans="1:4" x14ac:dyDescent="0.3">
      <c r="A214" s="318">
        <v>150000884</v>
      </c>
      <c r="B214" s="43" t="s">
        <v>819</v>
      </c>
      <c r="C214" s="44" t="s">
        <v>332</v>
      </c>
      <c r="D214" s="254">
        <v>-34506.951329116579</v>
      </c>
    </row>
    <row r="215" spans="1:4" x14ac:dyDescent="0.3">
      <c r="A215" s="318">
        <v>150000885</v>
      </c>
      <c r="B215" s="43" t="s">
        <v>820</v>
      </c>
      <c r="C215" s="44" t="s">
        <v>238</v>
      </c>
      <c r="D215" s="254">
        <v>-44685.793863997795</v>
      </c>
    </row>
    <row r="216" spans="1:4" x14ac:dyDescent="0.3">
      <c r="A216" s="318">
        <v>150000886</v>
      </c>
      <c r="B216" s="43" t="s">
        <v>776</v>
      </c>
      <c r="C216" s="44" t="s">
        <v>396</v>
      </c>
      <c r="D216" s="254">
        <v>105115.20401286194</v>
      </c>
    </row>
    <row r="217" spans="1:4" x14ac:dyDescent="0.3">
      <c r="A217" s="318">
        <v>150000887</v>
      </c>
      <c r="B217" s="43" t="s">
        <v>777</v>
      </c>
      <c r="C217" s="44" t="s">
        <v>397</v>
      </c>
      <c r="D217" s="254">
        <v>12398.384748839933</v>
      </c>
    </row>
    <row r="218" spans="1:4" x14ac:dyDescent="0.3">
      <c r="A218" s="318">
        <v>150000888</v>
      </c>
      <c r="B218" s="43" t="s">
        <v>778</v>
      </c>
      <c r="C218" s="44" t="s">
        <v>313</v>
      </c>
      <c r="D218" s="254">
        <v>-16659.691944895145</v>
      </c>
    </row>
    <row r="219" spans="1:4" x14ac:dyDescent="0.3">
      <c r="A219" s="318">
        <v>150000889</v>
      </c>
      <c r="B219" s="43" t="s">
        <v>779</v>
      </c>
      <c r="C219" s="44" t="s">
        <v>427</v>
      </c>
      <c r="D219" s="254">
        <v>-147837.78297179742</v>
      </c>
    </row>
    <row r="220" spans="1:4" x14ac:dyDescent="0.3">
      <c r="A220" s="318">
        <v>150000890</v>
      </c>
      <c r="B220" s="43" t="s">
        <v>780</v>
      </c>
      <c r="C220" s="44" t="s">
        <v>398</v>
      </c>
      <c r="D220" s="254">
        <v>94324.233048081602</v>
      </c>
    </row>
    <row r="221" spans="1:4" x14ac:dyDescent="0.3">
      <c r="A221" s="318">
        <v>150000892</v>
      </c>
      <c r="B221" s="43" t="s">
        <v>783</v>
      </c>
      <c r="C221" s="44" t="s">
        <v>400</v>
      </c>
      <c r="D221" s="254">
        <v>45905.42976052298</v>
      </c>
    </row>
    <row r="222" spans="1:4" x14ac:dyDescent="0.3">
      <c r="A222" s="318">
        <v>150000893</v>
      </c>
      <c r="B222" s="43" t="s">
        <v>784</v>
      </c>
      <c r="C222" s="44" t="s">
        <v>314</v>
      </c>
      <c r="D222" s="254">
        <v>-57136.011212017911</v>
      </c>
    </row>
    <row r="223" spans="1:4" x14ac:dyDescent="0.3">
      <c r="A223" s="318">
        <v>150000894</v>
      </c>
      <c r="B223" s="43" t="s">
        <v>785</v>
      </c>
      <c r="C223" s="44" t="s">
        <v>315</v>
      </c>
      <c r="D223" s="254">
        <v>78858.106898413622</v>
      </c>
    </row>
    <row r="224" spans="1:4" x14ac:dyDescent="0.3">
      <c r="A224" s="318">
        <v>150000895</v>
      </c>
      <c r="B224" s="43" t="s">
        <v>786</v>
      </c>
      <c r="C224" s="44" t="s">
        <v>316</v>
      </c>
      <c r="D224" s="254">
        <v>13934.972319151413</v>
      </c>
    </row>
    <row r="225" spans="1:4" x14ac:dyDescent="0.3">
      <c r="A225" s="318">
        <v>150000896</v>
      </c>
      <c r="B225" s="43" t="s">
        <v>788</v>
      </c>
      <c r="C225" s="44" t="s">
        <v>317</v>
      </c>
      <c r="D225" s="254">
        <v>47637.659724679535</v>
      </c>
    </row>
    <row r="226" spans="1:4" x14ac:dyDescent="0.3">
      <c r="A226" s="318">
        <v>150000898</v>
      </c>
      <c r="B226" s="43" t="s">
        <v>789</v>
      </c>
      <c r="C226" s="44" t="s">
        <v>190</v>
      </c>
      <c r="D226" s="254">
        <v>1018.2908611071771</v>
      </c>
    </row>
    <row r="227" spans="1:4" x14ac:dyDescent="0.3">
      <c r="A227" s="318">
        <v>150000899</v>
      </c>
      <c r="B227" s="43" t="s">
        <v>790</v>
      </c>
      <c r="C227" s="44" t="s">
        <v>402</v>
      </c>
      <c r="D227" s="254">
        <v>-202160.5515863311</v>
      </c>
    </row>
    <row r="228" spans="1:4" x14ac:dyDescent="0.3">
      <c r="A228" s="1022">
        <v>150000900</v>
      </c>
      <c r="B228" s="1023" t="s">
        <v>791</v>
      </c>
      <c r="C228" s="1024" t="s">
        <v>425</v>
      </c>
      <c r="D228" s="1025">
        <v>-38116.465250600711</v>
      </c>
    </row>
    <row r="229" spans="1:4" x14ac:dyDescent="0.3">
      <c r="A229" s="318">
        <v>150000901</v>
      </c>
      <c r="B229" s="43" t="s">
        <v>792</v>
      </c>
      <c r="C229" s="44" t="s">
        <v>424</v>
      </c>
      <c r="D229" s="254">
        <v>36516.700600851029</v>
      </c>
    </row>
    <row r="230" spans="1:4" x14ac:dyDescent="0.3">
      <c r="A230" s="318">
        <v>150000902</v>
      </c>
      <c r="B230" s="43" t="s">
        <v>793</v>
      </c>
      <c r="C230" s="44" t="s">
        <v>403</v>
      </c>
      <c r="D230" s="254">
        <v>-154236.37652768515</v>
      </c>
    </row>
    <row r="231" spans="1:4" x14ac:dyDescent="0.3">
      <c r="A231" s="318">
        <v>150000903</v>
      </c>
      <c r="B231" s="43" t="s">
        <v>794</v>
      </c>
      <c r="C231" s="44" t="s">
        <v>404</v>
      </c>
      <c r="D231" s="254">
        <v>-77976.95537634322</v>
      </c>
    </row>
    <row r="232" spans="1:4" x14ac:dyDescent="0.3">
      <c r="A232" s="318">
        <v>150000904</v>
      </c>
      <c r="B232" s="43" t="s">
        <v>795</v>
      </c>
      <c r="C232" s="44" t="s">
        <v>405</v>
      </c>
      <c r="D232" s="254">
        <v>-20879.416123868843</v>
      </c>
    </row>
    <row r="233" spans="1:4" x14ac:dyDescent="0.3">
      <c r="A233" s="318">
        <v>150000905</v>
      </c>
      <c r="B233" s="43" t="s">
        <v>796</v>
      </c>
      <c r="C233" s="44" t="s">
        <v>426</v>
      </c>
      <c r="D233" s="254">
        <v>-145380.90905771457</v>
      </c>
    </row>
    <row r="234" spans="1:4" x14ac:dyDescent="0.3">
      <c r="A234" s="318">
        <v>150000906</v>
      </c>
      <c r="B234" s="43" t="s">
        <v>797</v>
      </c>
      <c r="C234" s="44" t="s">
        <v>406</v>
      </c>
      <c r="D234" s="254">
        <v>40201.886496597013</v>
      </c>
    </row>
    <row r="235" spans="1:4" x14ac:dyDescent="0.3">
      <c r="A235" s="318">
        <v>150000907</v>
      </c>
      <c r="B235" s="43" t="s">
        <v>798</v>
      </c>
      <c r="C235" s="44" t="s">
        <v>407</v>
      </c>
      <c r="D235" s="254">
        <v>-1239.6484845439882</v>
      </c>
    </row>
    <row r="236" spans="1:4" x14ac:dyDescent="0.3">
      <c r="A236" s="318">
        <v>150000908</v>
      </c>
      <c r="B236" s="43" t="s">
        <v>799</v>
      </c>
      <c r="C236" s="44" t="s">
        <v>408</v>
      </c>
      <c r="D236" s="254">
        <v>92212.239384876986</v>
      </c>
    </row>
    <row r="237" spans="1:4" x14ac:dyDescent="0.3">
      <c r="A237" s="318">
        <v>150000909</v>
      </c>
      <c r="B237" s="43" t="s">
        <v>800</v>
      </c>
      <c r="C237" s="44" t="s">
        <v>409</v>
      </c>
      <c r="D237" s="254">
        <v>-26139.719050104071</v>
      </c>
    </row>
    <row r="238" spans="1:4" x14ac:dyDescent="0.3">
      <c r="A238" s="318">
        <v>150000910</v>
      </c>
      <c r="B238" s="43" t="s">
        <v>801</v>
      </c>
      <c r="C238" s="44" t="s">
        <v>410</v>
      </c>
      <c r="D238" s="254">
        <v>32858.848599807032</v>
      </c>
    </row>
    <row r="239" spans="1:4" x14ac:dyDescent="0.3">
      <c r="A239" s="318">
        <v>150000911</v>
      </c>
      <c r="B239" s="43" t="s">
        <v>802</v>
      </c>
      <c r="C239" s="44" t="s">
        <v>318</v>
      </c>
      <c r="D239" s="254">
        <v>38069.590255301693</v>
      </c>
    </row>
    <row r="240" spans="1:4" x14ac:dyDescent="0.3">
      <c r="A240" s="318">
        <v>150000912</v>
      </c>
      <c r="B240" s="43" t="s">
        <v>803</v>
      </c>
      <c r="C240" s="44" t="s">
        <v>319</v>
      </c>
      <c r="D240" s="254">
        <v>41708.899798315855</v>
      </c>
    </row>
    <row r="241" spans="1:4" x14ac:dyDescent="0.3">
      <c r="A241" s="318">
        <v>150000913</v>
      </c>
      <c r="B241" s="43" t="s">
        <v>804</v>
      </c>
      <c r="C241" s="44" t="s">
        <v>320</v>
      </c>
      <c r="D241" s="254">
        <v>63673.65158764254</v>
      </c>
    </row>
    <row r="242" spans="1:4" x14ac:dyDescent="0.3">
      <c r="A242" s="318">
        <v>150000914</v>
      </c>
      <c r="B242" s="43" t="s">
        <v>805</v>
      </c>
      <c r="C242" s="44" t="s">
        <v>321</v>
      </c>
      <c r="D242" s="254">
        <v>12126.602659549293</v>
      </c>
    </row>
    <row r="243" spans="1:4" x14ac:dyDescent="0.3">
      <c r="A243" s="318">
        <v>150000915</v>
      </c>
      <c r="B243" s="43" t="s">
        <v>806</v>
      </c>
      <c r="C243" s="44" t="s">
        <v>322</v>
      </c>
      <c r="D243" s="254">
        <v>20697.33553027438</v>
      </c>
    </row>
    <row r="244" spans="1:4" x14ac:dyDescent="0.3">
      <c r="A244" s="318">
        <v>150000916</v>
      </c>
      <c r="B244" s="43" t="s">
        <v>807</v>
      </c>
      <c r="C244" s="44" t="s">
        <v>323</v>
      </c>
      <c r="D244" s="254">
        <v>73550.610666003849</v>
      </c>
    </row>
    <row r="245" spans="1:4" x14ac:dyDescent="0.3">
      <c r="A245" s="318">
        <v>150000917</v>
      </c>
      <c r="B245" s="43" t="s">
        <v>808</v>
      </c>
      <c r="C245" s="44" t="s">
        <v>324</v>
      </c>
      <c r="D245" s="254">
        <v>-7843.9809563288036</v>
      </c>
    </row>
    <row r="246" spans="1:4" x14ac:dyDescent="0.3">
      <c r="A246" s="318">
        <v>150000918</v>
      </c>
      <c r="B246" s="43" t="s">
        <v>809</v>
      </c>
      <c r="C246" s="44" t="s">
        <v>325</v>
      </c>
      <c r="D246" s="254">
        <v>290329.40274411853</v>
      </c>
    </row>
    <row r="247" spans="1:4" x14ac:dyDescent="0.3">
      <c r="A247" s="318">
        <v>150000919</v>
      </c>
      <c r="B247" s="43" t="s">
        <v>810</v>
      </c>
      <c r="C247" s="44" t="s">
        <v>326</v>
      </c>
      <c r="D247" s="254">
        <v>-19122.242027062082</v>
      </c>
    </row>
    <row r="248" spans="1:4" x14ac:dyDescent="0.3">
      <c r="A248" s="318">
        <v>150000920</v>
      </c>
      <c r="B248" s="43" t="s">
        <v>811</v>
      </c>
      <c r="C248" s="44" t="s">
        <v>327</v>
      </c>
      <c r="D248" s="254">
        <v>-20783.782166738241</v>
      </c>
    </row>
    <row r="249" spans="1:4" x14ac:dyDescent="0.3">
      <c r="A249" s="318">
        <v>150000921</v>
      </c>
      <c r="B249" s="43" t="s">
        <v>812</v>
      </c>
      <c r="C249" s="44" t="s">
        <v>328</v>
      </c>
      <c r="D249" s="254">
        <v>-49699.218858787266</v>
      </c>
    </row>
    <row r="250" spans="1:4" x14ac:dyDescent="0.3">
      <c r="A250" s="318">
        <v>150000922</v>
      </c>
      <c r="B250" s="43" t="s">
        <v>787</v>
      </c>
      <c r="C250" s="44" t="s">
        <v>401</v>
      </c>
      <c r="D250" s="254">
        <v>66975.014364533941</v>
      </c>
    </row>
    <row r="251" spans="1:4" x14ac:dyDescent="0.3">
      <c r="A251" s="318">
        <v>150000924</v>
      </c>
      <c r="B251" s="43" t="s">
        <v>643</v>
      </c>
      <c r="C251" s="44" t="s">
        <v>174</v>
      </c>
      <c r="D251" s="254">
        <v>34203.376955542757</v>
      </c>
    </row>
    <row r="252" spans="1:4" x14ac:dyDescent="0.3">
      <c r="A252" s="318">
        <v>150000925</v>
      </c>
      <c r="B252" s="43" t="s">
        <v>650</v>
      </c>
      <c r="C252" s="44" t="s">
        <v>176</v>
      </c>
      <c r="D252" s="254">
        <v>734.39365470305461</v>
      </c>
    </row>
    <row r="253" spans="1:4" x14ac:dyDescent="0.3">
      <c r="A253" s="318">
        <v>150000926</v>
      </c>
      <c r="B253" s="43" t="s">
        <v>652</v>
      </c>
      <c r="C253" s="44" t="s">
        <v>177</v>
      </c>
      <c r="D253" s="254">
        <v>31374.816812377714</v>
      </c>
    </row>
    <row r="254" spans="1:4" x14ac:dyDescent="0.3">
      <c r="A254" s="318">
        <v>150000927</v>
      </c>
      <c r="B254" s="43" t="s">
        <v>658</v>
      </c>
      <c r="C254" s="44" t="s">
        <v>178</v>
      </c>
      <c r="D254" s="254">
        <v>601.12841349555811</v>
      </c>
    </row>
    <row r="255" spans="1:4" x14ac:dyDescent="0.3">
      <c r="A255" s="318">
        <v>150000928</v>
      </c>
      <c r="B255" s="43" t="s">
        <v>637</v>
      </c>
      <c r="C255" s="44" t="s">
        <v>169</v>
      </c>
      <c r="D255" s="254">
        <v>-9728.7410555644637</v>
      </c>
    </row>
    <row r="256" spans="1:4" x14ac:dyDescent="0.3">
      <c r="A256" s="318">
        <v>150000929</v>
      </c>
      <c r="B256" s="43" t="s">
        <v>1106</v>
      </c>
      <c r="C256" s="44" t="s">
        <v>1094</v>
      </c>
      <c r="D256" s="254">
        <v>19981.583868909547</v>
      </c>
    </row>
    <row r="257" spans="1:4" x14ac:dyDescent="0.3">
      <c r="A257" s="318">
        <v>150000930</v>
      </c>
      <c r="B257" s="43" t="s">
        <v>640</v>
      </c>
      <c r="C257" s="44" t="s">
        <v>172</v>
      </c>
      <c r="D257" s="254">
        <v>15928.800778014247</v>
      </c>
    </row>
    <row r="258" spans="1:4" x14ac:dyDescent="0.3">
      <c r="A258" s="318">
        <v>150000931</v>
      </c>
      <c r="B258" s="43" t="s">
        <v>641</v>
      </c>
      <c r="C258" s="44" t="s">
        <v>266</v>
      </c>
      <c r="D258" s="254">
        <v>28165.547424354143</v>
      </c>
    </row>
    <row r="259" spans="1:4" x14ac:dyDescent="0.3">
      <c r="A259" s="318">
        <v>150000932</v>
      </c>
      <c r="B259" s="43" t="s">
        <v>642</v>
      </c>
      <c r="C259" s="44" t="s">
        <v>173</v>
      </c>
      <c r="D259" s="254">
        <v>-6785.1989995931399</v>
      </c>
    </row>
    <row r="260" spans="1:4" x14ac:dyDescent="0.3">
      <c r="A260" s="318">
        <v>150000933</v>
      </c>
      <c r="B260" s="43" t="s">
        <v>644</v>
      </c>
      <c r="C260" s="44" t="s">
        <v>267</v>
      </c>
      <c r="D260" s="254">
        <v>-34690.753261335325</v>
      </c>
    </row>
    <row r="261" spans="1:4" x14ac:dyDescent="0.3">
      <c r="A261" s="318">
        <v>150000935</v>
      </c>
      <c r="B261" s="43" t="s">
        <v>646</v>
      </c>
      <c r="C261" s="44" t="s">
        <v>175</v>
      </c>
      <c r="D261" s="254">
        <v>1917.9105109307759</v>
      </c>
    </row>
    <row r="262" spans="1:4" x14ac:dyDescent="0.3">
      <c r="A262" s="1022">
        <v>150000937</v>
      </c>
      <c r="B262" s="1023" t="s">
        <v>648</v>
      </c>
      <c r="C262" s="1024" t="s">
        <v>374</v>
      </c>
      <c r="D262" s="1025">
        <v>-27425.789174404581</v>
      </c>
    </row>
    <row r="263" spans="1:4" x14ac:dyDescent="0.3">
      <c r="A263" s="1022">
        <v>150000938</v>
      </c>
      <c r="B263" s="1023" t="s">
        <v>649</v>
      </c>
      <c r="C263" s="1024" t="s">
        <v>375</v>
      </c>
      <c r="D263" s="1025">
        <v>106152.71844005353</v>
      </c>
    </row>
    <row r="264" spans="1:4" x14ac:dyDescent="0.3">
      <c r="A264" s="318">
        <v>150000939</v>
      </c>
      <c r="B264" s="43" t="s">
        <v>651</v>
      </c>
      <c r="C264" s="44" t="s">
        <v>336</v>
      </c>
      <c r="D264" s="254">
        <v>116.88222399303413</v>
      </c>
    </row>
    <row r="265" spans="1:4" x14ac:dyDescent="0.3">
      <c r="A265" s="318">
        <v>150000940</v>
      </c>
      <c r="B265" s="43" t="s">
        <v>653</v>
      </c>
      <c r="C265" s="44" t="s">
        <v>376</v>
      </c>
      <c r="D265" s="254">
        <v>-38889.91699545311</v>
      </c>
    </row>
    <row r="266" spans="1:4" x14ac:dyDescent="0.3">
      <c r="A266" s="318">
        <v>150000941</v>
      </c>
      <c r="B266" s="43" t="s">
        <v>654</v>
      </c>
      <c r="C266" s="44" t="s">
        <v>337</v>
      </c>
      <c r="D266" s="254">
        <v>113045.29165782072</v>
      </c>
    </row>
    <row r="267" spans="1:4" x14ac:dyDescent="0.3">
      <c r="A267" s="318">
        <v>150000943</v>
      </c>
      <c r="B267" s="43" t="s">
        <v>662</v>
      </c>
      <c r="C267" s="44" t="s">
        <v>122</v>
      </c>
      <c r="D267" s="254">
        <v>1753.3433092745267</v>
      </c>
    </row>
    <row r="268" spans="1:4" x14ac:dyDescent="0.3">
      <c r="A268" s="318">
        <v>150000944</v>
      </c>
      <c r="B268" s="43" t="s">
        <v>663</v>
      </c>
      <c r="C268" s="44" t="s">
        <v>123</v>
      </c>
      <c r="D268" s="254">
        <v>15755.315599486139</v>
      </c>
    </row>
    <row r="269" spans="1:4" x14ac:dyDescent="0.3">
      <c r="A269" s="318">
        <v>150000945</v>
      </c>
      <c r="B269" s="43" t="s">
        <v>664</v>
      </c>
      <c r="C269" s="44" t="s">
        <v>421</v>
      </c>
      <c r="D269" s="254">
        <v>-58880.21430592567</v>
      </c>
    </row>
    <row r="270" spans="1:4" x14ac:dyDescent="0.3">
      <c r="A270" s="318">
        <v>150000947</v>
      </c>
      <c r="B270" s="43" t="s">
        <v>665</v>
      </c>
      <c r="C270" s="44" t="s">
        <v>268</v>
      </c>
      <c r="D270" s="254">
        <v>-82726.856852390018</v>
      </c>
    </row>
    <row r="271" spans="1:4" x14ac:dyDescent="0.3">
      <c r="A271" s="318">
        <v>150000948</v>
      </c>
      <c r="B271" s="43" t="s">
        <v>666</v>
      </c>
      <c r="C271" s="44" t="s">
        <v>383</v>
      </c>
      <c r="D271" s="254">
        <v>-23088.658115434278</v>
      </c>
    </row>
    <row r="272" spans="1:4" x14ac:dyDescent="0.3">
      <c r="A272" s="318">
        <v>150000949</v>
      </c>
      <c r="B272" s="43" t="s">
        <v>667</v>
      </c>
      <c r="C272" s="44" t="s">
        <v>384</v>
      </c>
      <c r="D272" s="254">
        <v>189239.95082175464</v>
      </c>
    </row>
    <row r="273" spans="1:4" x14ac:dyDescent="0.3">
      <c r="A273" s="318">
        <v>150000951</v>
      </c>
      <c r="B273" s="43" t="s">
        <v>638</v>
      </c>
      <c r="C273" s="44" t="s">
        <v>170</v>
      </c>
      <c r="D273" s="254">
        <v>234407.18295642917</v>
      </c>
    </row>
    <row r="274" spans="1:4" x14ac:dyDescent="0.3">
      <c r="A274" s="318">
        <v>150000954</v>
      </c>
      <c r="B274" s="43" t="s">
        <v>639</v>
      </c>
      <c r="C274" s="44" t="s">
        <v>171</v>
      </c>
      <c r="D274" s="254">
        <v>-41842.314283291802</v>
      </c>
    </row>
    <row r="275" spans="1:4" x14ac:dyDescent="0.3">
      <c r="A275" s="318">
        <v>150000957</v>
      </c>
      <c r="B275" s="43" t="s">
        <v>655</v>
      </c>
      <c r="C275" s="44" t="s">
        <v>377</v>
      </c>
      <c r="D275" s="254">
        <v>-49691.778178827721</v>
      </c>
    </row>
    <row r="276" spans="1:4" x14ac:dyDescent="0.3">
      <c r="A276" s="318">
        <v>150000958</v>
      </c>
      <c r="B276" s="43" t="s">
        <v>659</v>
      </c>
      <c r="C276" s="44" t="s">
        <v>380</v>
      </c>
      <c r="D276" s="254">
        <v>-98356.650145283696</v>
      </c>
    </row>
    <row r="277" spans="1:4" x14ac:dyDescent="0.3">
      <c r="A277" s="318">
        <v>150000960</v>
      </c>
      <c r="B277" s="43" t="s">
        <v>656</v>
      </c>
      <c r="C277" s="44" t="s">
        <v>378</v>
      </c>
      <c r="D277" s="254">
        <v>52016.972558464462</v>
      </c>
    </row>
    <row r="278" spans="1:4" x14ac:dyDescent="0.3">
      <c r="A278" s="318">
        <v>150000961</v>
      </c>
      <c r="B278" s="43" t="s">
        <v>660</v>
      </c>
      <c r="C278" s="44" t="s">
        <v>381</v>
      </c>
      <c r="D278" s="254">
        <v>-114393.21705408559</v>
      </c>
    </row>
    <row r="279" spans="1:4" x14ac:dyDescent="0.3">
      <c r="A279" s="318">
        <v>150000963</v>
      </c>
      <c r="B279" s="43" t="s">
        <v>657</v>
      </c>
      <c r="C279" s="44" t="s">
        <v>379</v>
      </c>
      <c r="D279" s="254">
        <v>-35711.333162649251</v>
      </c>
    </row>
    <row r="280" spans="1:4" x14ac:dyDescent="0.3">
      <c r="A280" s="318">
        <v>150000964</v>
      </c>
      <c r="B280" s="43" t="s">
        <v>661</v>
      </c>
      <c r="C280" s="44" t="s">
        <v>382</v>
      </c>
      <c r="D280" s="254">
        <v>40091.905652762092</v>
      </c>
    </row>
    <row r="281" spans="1:4" x14ac:dyDescent="0.3">
      <c r="A281" s="318">
        <v>150000966</v>
      </c>
      <c r="B281" s="43" t="s">
        <v>486</v>
      </c>
      <c r="C281" s="44" t="s">
        <v>204</v>
      </c>
      <c r="D281" s="254">
        <v>-4148.7947894194822</v>
      </c>
    </row>
    <row r="282" spans="1:4" x14ac:dyDescent="0.3">
      <c r="A282" s="318">
        <v>150000967</v>
      </c>
      <c r="B282" s="43" t="s">
        <v>487</v>
      </c>
      <c r="C282" s="44" t="s">
        <v>205</v>
      </c>
      <c r="D282" s="254">
        <v>42707.04468097067</v>
      </c>
    </row>
    <row r="283" spans="1:4" x14ac:dyDescent="0.3">
      <c r="A283" s="318">
        <v>150000968</v>
      </c>
      <c r="B283" s="43" t="s">
        <v>488</v>
      </c>
      <c r="C283" s="44" t="s">
        <v>244</v>
      </c>
      <c r="D283" s="254">
        <v>30903.245791451358</v>
      </c>
    </row>
    <row r="284" spans="1:4" x14ac:dyDescent="0.3">
      <c r="A284" s="318">
        <v>150000969</v>
      </c>
      <c r="B284" s="43" t="s">
        <v>467</v>
      </c>
      <c r="C284" s="44" t="s">
        <v>192</v>
      </c>
      <c r="D284" s="254">
        <v>6789.2179402891843</v>
      </c>
    </row>
    <row r="285" spans="1:4" x14ac:dyDescent="0.3">
      <c r="A285" s="318">
        <v>150000970</v>
      </c>
      <c r="B285" s="43" t="s">
        <v>469</v>
      </c>
      <c r="C285" s="44" t="s">
        <v>242</v>
      </c>
      <c r="D285" s="254">
        <v>1428.7057700888163</v>
      </c>
    </row>
    <row r="286" spans="1:4" x14ac:dyDescent="0.3">
      <c r="A286" s="318">
        <v>150000971</v>
      </c>
      <c r="B286" s="43" t="s">
        <v>470</v>
      </c>
      <c r="C286" s="44" t="s">
        <v>193</v>
      </c>
      <c r="D286" s="254">
        <v>-16467.81541070182</v>
      </c>
    </row>
    <row r="287" spans="1:4" x14ac:dyDescent="0.3">
      <c r="A287" s="318">
        <v>150000972</v>
      </c>
      <c r="B287" s="43" t="s">
        <v>480</v>
      </c>
      <c r="C287" s="44" t="s">
        <v>201</v>
      </c>
      <c r="D287" s="254">
        <v>16530.1449471862</v>
      </c>
    </row>
    <row r="288" spans="1:4" x14ac:dyDescent="0.3">
      <c r="A288" s="318">
        <v>150000974</v>
      </c>
      <c r="B288" s="43" t="s">
        <v>481</v>
      </c>
      <c r="C288" s="44" t="s">
        <v>202</v>
      </c>
      <c r="D288" s="254">
        <v>17459.436168608314</v>
      </c>
    </row>
    <row r="289" spans="1:4" x14ac:dyDescent="0.3">
      <c r="A289" s="318">
        <v>150000975</v>
      </c>
      <c r="B289" s="43" t="s">
        <v>482</v>
      </c>
      <c r="C289" s="44" t="s">
        <v>203</v>
      </c>
      <c r="D289" s="254">
        <v>24716.973858337496</v>
      </c>
    </row>
    <row r="290" spans="1:4" x14ac:dyDescent="0.3">
      <c r="A290" s="318">
        <v>150000976</v>
      </c>
      <c r="B290" s="43" t="s">
        <v>483</v>
      </c>
      <c r="C290" s="44" t="s">
        <v>149</v>
      </c>
      <c r="D290" s="254">
        <v>-46097.231875648431</v>
      </c>
    </row>
    <row r="291" spans="1:4" x14ac:dyDescent="0.3">
      <c r="A291" s="318">
        <v>150000977</v>
      </c>
      <c r="B291" s="43" t="s">
        <v>484</v>
      </c>
      <c r="C291" s="44" t="s">
        <v>150</v>
      </c>
      <c r="D291" s="254">
        <v>-17536.405724501768</v>
      </c>
    </row>
    <row r="292" spans="1:4" x14ac:dyDescent="0.3">
      <c r="A292" s="318">
        <v>150000978</v>
      </c>
      <c r="B292" s="43" t="s">
        <v>485</v>
      </c>
      <c r="C292" s="44" t="s">
        <v>243</v>
      </c>
      <c r="D292" s="254">
        <v>-6743.5489743965727</v>
      </c>
    </row>
    <row r="293" spans="1:4" x14ac:dyDescent="0.3">
      <c r="A293" s="318">
        <v>150000981</v>
      </c>
      <c r="B293" s="43" t="s">
        <v>489</v>
      </c>
      <c r="C293" s="44" t="s">
        <v>342</v>
      </c>
      <c r="D293" s="254">
        <v>-23729.124730624731</v>
      </c>
    </row>
    <row r="294" spans="1:4" x14ac:dyDescent="0.3">
      <c r="A294" s="318">
        <v>150000982</v>
      </c>
      <c r="B294" s="43" t="s">
        <v>490</v>
      </c>
      <c r="C294" s="44" t="s">
        <v>343</v>
      </c>
      <c r="D294" s="254">
        <v>41146.470237788053</v>
      </c>
    </row>
    <row r="295" spans="1:4" x14ac:dyDescent="0.3">
      <c r="A295" s="318">
        <v>150000983</v>
      </c>
      <c r="B295" s="43" t="s">
        <v>491</v>
      </c>
      <c r="C295" s="44" t="s">
        <v>344</v>
      </c>
      <c r="D295" s="254">
        <v>-15325.113221295005</v>
      </c>
    </row>
    <row r="296" spans="1:4" x14ac:dyDescent="0.3">
      <c r="A296" s="318">
        <v>150000984</v>
      </c>
      <c r="B296" s="43" t="s">
        <v>492</v>
      </c>
      <c r="C296" s="44" t="s">
        <v>345</v>
      </c>
      <c r="D296" s="254">
        <v>-197496.91260811954</v>
      </c>
    </row>
    <row r="297" spans="1:4" x14ac:dyDescent="0.3">
      <c r="A297" s="318">
        <v>150000986</v>
      </c>
      <c r="B297" s="43" t="s">
        <v>493</v>
      </c>
      <c r="C297" s="44" t="s">
        <v>346</v>
      </c>
      <c r="D297" s="254">
        <v>-66586.388566179812</v>
      </c>
    </row>
    <row r="298" spans="1:4" x14ac:dyDescent="0.3">
      <c r="A298" s="318">
        <v>150000987</v>
      </c>
      <c r="B298" s="43" t="s">
        <v>495</v>
      </c>
      <c r="C298" s="44" t="s">
        <v>50</v>
      </c>
      <c r="D298" s="254">
        <v>175.80788027433439</v>
      </c>
    </row>
    <row r="299" spans="1:4" x14ac:dyDescent="0.3">
      <c r="A299" s="318">
        <v>150000988</v>
      </c>
      <c r="B299" s="43" t="s">
        <v>496</v>
      </c>
      <c r="C299" s="44" t="s">
        <v>51</v>
      </c>
      <c r="D299" s="254">
        <v>-2920.3613759209011</v>
      </c>
    </row>
    <row r="300" spans="1:4" x14ac:dyDescent="0.3">
      <c r="A300" s="318">
        <v>150000989</v>
      </c>
      <c r="B300" s="43" t="s">
        <v>468</v>
      </c>
      <c r="C300" s="44" t="s">
        <v>37</v>
      </c>
      <c r="D300" s="254">
        <v>-5069.681289063843</v>
      </c>
    </row>
    <row r="301" spans="1:4" x14ac:dyDescent="0.3">
      <c r="A301" s="318">
        <v>150000991</v>
      </c>
      <c r="B301" s="43" t="s">
        <v>471</v>
      </c>
      <c r="C301" s="44" t="s">
        <v>341</v>
      </c>
      <c r="D301" s="254">
        <v>72200.01167789301</v>
      </c>
    </row>
    <row r="302" spans="1:4" x14ac:dyDescent="0.3">
      <c r="A302" s="318">
        <v>150000993</v>
      </c>
      <c r="B302" s="43" t="s">
        <v>474</v>
      </c>
      <c r="C302" s="44" t="s">
        <v>41</v>
      </c>
      <c r="D302" s="254">
        <v>-8272.9077785962654</v>
      </c>
    </row>
    <row r="303" spans="1:4" x14ac:dyDescent="0.3">
      <c r="A303" s="318">
        <v>150000994</v>
      </c>
      <c r="B303" s="43" t="s">
        <v>477</v>
      </c>
      <c r="C303" s="44" t="s">
        <v>44</v>
      </c>
      <c r="D303" s="254">
        <v>-2363.8317547240094</v>
      </c>
    </row>
    <row r="304" spans="1:4" x14ac:dyDescent="0.3">
      <c r="A304" s="318">
        <v>150000995</v>
      </c>
      <c r="B304" s="43" t="s">
        <v>478</v>
      </c>
      <c r="C304" s="44" t="s">
        <v>47</v>
      </c>
      <c r="D304" s="254">
        <v>-6479.7225429480768</v>
      </c>
    </row>
    <row r="305" spans="1:4" x14ac:dyDescent="0.3">
      <c r="A305" s="318">
        <v>150000996</v>
      </c>
      <c r="B305" s="43" t="s">
        <v>494</v>
      </c>
      <c r="C305" s="44" t="s">
        <v>245</v>
      </c>
      <c r="D305" s="254">
        <v>10894.332221461718</v>
      </c>
    </row>
    <row r="306" spans="1:4" x14ac:dyDescent="0.3">
      <c r="A306" s="318">
        <v>150000999</v>
      </c>
      <c r="B306" s="43" t="s">
        <v>473</v>
      </c>
      <c r="C306" s="44" t="s">
        <v>40</v>
      </c>
      <c r="D306" s="254">
        <v>-6067.3898584126855</v>
      </c>
    </row>
    <row r="307" spans="1:4" x14ac:dyDescent="0.3">
      <c r="A307" s="318">
        <v>150001002</v>
      </c>
      <c r="B307" s="43" t="s">
        <v>479</v>
      </c>
      <c r="C307" s="44" t="s">
        <v>48</v>
      </c>
      <c r="D307" s="254">
        <v>3641.4040258910977</v>
      </c>
    </row>
    <row r="308" spans="1:4" x14ac:dyDescent="0.3">
      <c r="A308" s="318">
        <v>150001004</v>
      </c>
      <c r="B308" s="43" t="s">
        <v>476</v>
      </c>
      <c r="C308" s="44" t="s">
        <v>43</v>
      </c>
      <c r="D308" s="254">
        <v>1548.1248340959453</v>
      </c>
    </row>
    <row r="309" spans="1:4" x14ac:dyDescent="0.3">
      <c r="A309" s="318">
        <v>150001007</v>
      </c>
      <c r="B309" s="43" t="s">
        <v>595</v>
      </c>
      <c r="C309" s="44" t="s">
        <v>213</v>
      </c>
      <c r="D309" s="254">
        <v>-21071.164381324121</v>
      </c>
    </row>
    <row r="310" spans="1:4" x14ac:dyDescent="0.3">
      <c r="A310" s="318">
        <v>150001008</v>
      </c>
      <c r="B310" s="43" t="s">
        <v>586</v>
      </c>
      <c r="C310" s="44" t="s">
        <v>211</v>
      </c>
      <c r="D310" s="254">
        <v>79175.922279541395</v>
      </c>
    </row>
    <row r="311" spans="1:4" x14ac:dyDescent="0.3">
      <c r="A311" s="318">
        <v>150001009</v>
      </c>
      <c r="B311" s="43" t="s">
        <v>588</v>
      </c>
      <c r="C311" s="44" t="s">
        <v>212</v>
      </c>
      <c r="D311" s="254">
        <v>-64314.412967355645</v>
      </c>
    </row>
    <row r="312" spans="1:4" x14ac:dyDescent="0.3">
      <c r="A312" s="318">
        <v>150001010</v>
      </c>
      <c r="B312" s="43" t="s">
        <v>589</v>
      </c>
      <c r="C312" s="44" t="s">
        <v>164</v>
      </c>
      <c r="D312" s="254">
        <v>30561.035370356512</v>
      </c>
    </row>
    <row r="313" spans="1:4" x14ac:dyDescent="0.3">
      <c r="A313" s="318">
        <v>150001011</v>
      </c>
      <c r="B313" s="43" t="s">
        <v>590</v>
      </c>
      <c r="C313" s="44" t="s">
        <v>165</v>
      </c>
      <c r="D313" s="254">
        <v>4772.4057944983888</v>
      </c>
    </row>
    <row r="314" spans="1:4" x14ac:dyDescent="0.3">
      <c r="A314" s="1014">
        <v>150001013</v>
      </c>
      <c r="B314" s="43" t="s">
        <v>591</v>
      </c>
      <c r="C314" s="44" t="s">
        <v>260</v>
      </c>
      <c r="D314" s="254">
        <v>-58148.790142593418</v>
      </c>
    </row>
    <row r="315" spans="1:4" x14ac:dyDescent="0.3">
      <c r="A315" s="318">
        <v>150001014</v>
      </c>
      <c r="B315" s="43" t="s">
        <v>592</v>
      </c>
      <c r="C315" s="44" t="s">
        <v>166</v>
      </c>
      <c r="D315" s="254">
        <v>-20249.261540005326</v>
      </c>
    </row>
    <row r="316" spans="1:4" x14ac:dyDescent="0.3">
      <c r="A316" s="1022">
        <v>150001015</v>
      </c>
      <c r="B316" s="1023" t="s">
        <v>593</v>
      </c>
      <c r="C316" s="1024" t="s">
        <v>99</v>
      </c>
      <c r="D316" s="1025">
        <v>-7517.1734753493138</v>
      </c>
    </row>
    <row r="317" spans="1:4" x14ac:dyDescent="0.3">
      <c r="A317" s="1022">
        <v>150001016</v>
      </c>
      <c r="B317" s="1023" t="s">
        <v>594</v>
      </c>
      <c r="C317" s="1024" t="s">
        <v>261</v>
      </c>
      <c r="D317" s="1025">
        <v>-13471.846942518758</v>
      </c>
    </row>
    <row r="318" spans="1:4" x14ac:dyDescent="0.3">
      <c r="A318" s="318">
        <v>150001018</v>
      </c>
      <c r="B318" s="43" t="s">
        <v>823</v>
      </c>
      <c r="C318" s="46" t="s">
        <v>429</v>
      </c>
      <c r="D318" s="254">
        <v>152377.51945519343</v>
      </c>
    </row>
    <row r="319" spans="1:4" x14ac:dyDescent="0.3">
      <c r="A319" s="318">
        <v>150001019</v>
      </c>
      <c r="B319" s="43" t="s">
        <v>596</v>
      </c>
      <c r="C319" s="44" t="s">
        <v>419</v>
      </c>
      <c r="D319" s="254">
        <v>-39496.478277415343</v>
      </c>
    </row>
    <row r="320" spans="1:4" x14ac:dyDescent="0.3">
      <c r="A320" s="318">
        <v>150001020</v>
      </c>
      <c r="B320" s="43" t="s">
        <v>597</v>
      </c>
      <c r="C320" s="44" t="s">
        <v>100</v>
      </c>
      <c r="D320" s="254">
        <v>-7329.9891792520812</v>
      </c>
    </row>
    <row r="321" spans="1:4" x14ac:dyDescent="0.3">
      <c r="A321" s="318">
        <v>150001021</v>
      </c>
      <c r="B321" s="43" t="s">
        <v>598</v>
      </c>
      <c r="C321" s="44" t="s">
        <v>363</v>
      </c>
      <c r="D321" s="254">
        <v>7982.964587499504</v>
      </c>
    </row>
    <row r="322" spans="1:4" x14ac:dyDescent="0.3">
      <c r="A322" s="318">
        <v>150001022</v>
      </c>
      <c r="B322" s="43" t="s">
        <v>600</v>
      </c>
      <c r="C322" s="44" t="s">
        <v>364</v>
      </c>
      <c r="D322" s="254">
        <v>-18145.170079388099</v>
      </c>
    </row>
    <row r="323" spans="1:4" x14ac:dyDescent="0.3">
      <c r="A323" s="318">
        <v>150001023</v>
      </c>
      <c r="B323" s="43" t="s">
        <v>601</v>
      </c>
      <c r="C323" s="44" t="s">
        <v>365</v>
      </c>
      <c r="D323" s="254">
        <v>-12845.97052885863</v>
      </c>
    </row>
    <row r="324" spans="1:4" x14ac:dyDescent="0.3">
      <c r="A324" s="318">
        <v>150001024</v>
      </c>
      <c r="B324" s="43" t="s">
        <v>602</v>
      </c>
      <c r="C324" s="44" t="s">
        <v>366</v>
      </c>
      <c r="D324" s="254">
        <v>39137.78412030272</v>
      </c>
    </row>
    <row r="325" spans="1:4" x14ac:dyDescent="0.3">
      <c r="A325" s="318">
        <v>150001025</v>
      </c>
      <c r="B325" s="43" t="s">
        <v>603</v>
      </c>
      <c r="C325" s="44" t="s">
        <v>420</v>
      </c>
      <c r="D325" s="254">
        <v>-12688.218816766886</v>
      </c>
    </row>
    <row r="326" spans="1:4" x14ac:dyDescent="0.3">
      <c r="A326" s="318">
        <v>150001026</v>
      </c>
      <c r="B326" s="43" t="s">
        <v>604</v>
      </c>
      <c r="C326" s="44" t="s">
        <v>334</v>
      </c>
      <c r="D326" s="254">
        <v>-105196.46585828922</v>
      </c>
    </row>
    <row r="327" spans="1:4" x14ac:dyDescent="0.3">
      <c r="A327" s="318">
        <v>150001027</v>
      </c>
      <c r="B327" s="43" t="s">
        <v>605</v>
      </c>
      <c r="C327" s="44" t="s">
        <v>367</v>
      </c>
      <c r="D327" s="254">
        <v>-88294.864947223556</v>
      </c>
    </row>
    <row r="328" spans="1:4" x14ac:dyDescent="0.3">
      <c r="A328" s="318">
        <v>150001029</v>
      </c>
      <c r="B328" s="43" t="s">
        <v>608</v>
      </c>
      <c r="C328" s="44" t="s">
        <v>368</v>
      </c>
      <c r="D328" s="254">
        <v>-781.37779819007119</v>
      </c>
    </row>
    <row r="329" spans="1:4" x14ac:dyDescent="0.3">
      <c r="A329" s="318">
        <v>150001030</v>
      </c>
      <c r="B329" s="43" t="s">
        <v>609</v>
      </c>
      <c r="C329" s="44" t="s">
        <v>335</v>
      </c>
      <c r="D329" s="254">
        <v>15694.351752230556</v>
      </c>
    </row>
    <row r="330" spans="1:4" x14ac:dyDescent="0.3">
      <c r="A330" s="318">
        <v>150001031</v>
      </c>
      <c r="B330" s="43" t="s">
        <v>610</v>
      </c>
      <c r="C330" s="44" t="s">
        <v>103</v>
      </c>
      <c r="D330" s="254">
        <v>-359.82541350411998</v>
      </c>
    </row>
    <row r="331" spans="1:4" x14ac:dyDescent="0.3">
      <c r="A331" s="318">
        <v>150001032</v>
      </c>
      <c r="B331" s="43" t="s">
        <v>612</v>
      </c>
      <c r="C331" s="44" t="s">
        <v>369</v>
      </c>
      <c r="D331" s="254">
        <v>-82262.767163654687</v>
      </c>
    </row>
    <row r="332" spans="1:4" x14ac:dyDescent="0.3">
      <c r="A332" s="318">
        <v>150001033</v>
      </c>
      <c r="B332" s="43" t="s">
        <v>587</v>
      </c>
      <c r="C332" s="44" t="s">
        <v>362</v>
      </c>
      <c r="D332" s="254">
        <v>-119453.36401348715</v>
      </c>
    </row>
    <row r="333" spans="1:4" x14ac:dyDescent="0.3">
      <c r="A333" s="318">
        <v>150001035</v>
      </c>
      <c r="B333" s="43" t="s">
        <v>599</v>
      </c>
      <c r="C333" s="44" t="s">
        <v>262</v>
      </c>
      <c r="D333" s="254">
        <v>25325.739235493624</v>
      </c>
    </row>
    <row r="334" spans="1:4" x14ac:dyDescent="0.3">
      <c r="A334" s="318">
        <v>150001036</v>
      </c>
      <c r="B334" s="43" t="s">
        <v>607</v>
      </c>
      <c r="C334" s="44" t="s">
        <v>102</v>
      </c>
      <c r="D334" s="254">
        <v>-8234.7957460977286</v>
      </c>
    </row>
    <row r="335" spans="1:4" x14ac:dyDescent="0.3">
      <c r="A335" s="318">
        <v>150001037</v>
      </c>
      <c r="B335" s="43" t="s">
        <v>611</v>
      </c>
      <c r="C335" s="44" t="s">
        <v>104</v>
      </c>
      <c r="D335" s="254">
        <v>-4642.6193952481126</v>
      </c>
    </row>
    <row r="336" spans="1:4" x14ac:dyDescent="0.3">
      <c r="A336" s="318">
        <v>150001040</v>
      </c>
      <c r="B336" s="43" t="s">
        <v>672</v>
      </c>
      <c r="C336" s="44" t="s">
        <v>216</v>
      </c>
      <c r="D336" s="254">
        <v>-35507.762100024825</v>
      </c>
    </row>
    <row r="337" spans="1:4" x14ac:dyDescent="0.3">
      <c r="A337" s="318">
        <v>150001041</v>
      </c>
      <c r="B337" s="43" t="s">
        <v>676</v>
      </c>
      <c r="C337" s="44" t="s">
        <v>196</v>
      </c>
      <c r="D337" s="254">
        <v>-18955.354887884328</v>
      </c>
    </row>
    <row r="338" spans="1:4" x14ac:dyDescent="0.3">
      <c r="A338" s="318">
        <v>150001042</v>
      </c>
      <c r="B338" s="43" t="s">
        <v>677</v>
      </c>
      <c r="C338" s="44" t="s">
        <v>181</v>
      </c>
      <c r="D338" s="254">
        <v>87043.047436225825</v>
      </c>
    </row>
    <row r="339" spans="1:4" x14ac:dyDescent="0.3">
      <c r="A339" s="318">
        <v>150001043</v>
      </c>
      <c r="B339" s="43" t="s">
        <v>678</v>
      </c>
      <c r="C339" s="44" t="s">
        <v>217</v>
      </c>
      <c r="D339" s="254">
        <v>77165.201912577992</v>
      </c>
    </row>
    <row r="340" spans="1:4" x14ac:dyDescent="0.3">
      <c r="A340" s="318">
        <v>150001044</v>
      </c>
      <c r="B340" s="43" t="s">
        <v>668</v>
      </c>
      <c r="C340" s="44" t="s">
        <v>269</v>
      </c>
      <c r="D340" s="254">
        <v>-19193.538773949644</v>
      </c>
    </row>
    <row r="341" spans="1:4" x14ac:dyDescent="0.3">
      <c r="A341" s="318">
        <v>150001045</v>
      </c>
      <c r="B341" s="43" t="s">
        <v>670</v>
      </c>
      <c r="C341" s="44" t="s">
        <v>271</v>
      </c>
      <c r="D341" s="254">
        <v>-22227.632565427113</v>
      </c>
    </row>
    <row r="342" spans="1:4" x14ac:dyDescent="0.3">
      <c r="A342" s="318">
        <v>150001046</v>
      </c>
      <c r="B342" s="43" t="s">
        <v>671</v>
      </c>
      <c r="C342" s="44" t="s">
        <v>272</v>
      </c>
      <c r="D342" s="254">
        <v>4831.8980438307208</v>
      </c>
    </row>
    <row r="343" spans="1:4" x14ac:dyDescent="0.3">
      <c r="A343" s="1022">
        <v>150001047</v>
      </c>
      <c r="B343" s="1023" t="s">
        <v>673</v>
      </c>
      <c r="C343" s="1024" t="s">
        <v>179</v>
      </c>
      <c r="D343" s="1025">
        <v>98999.568322679435</v>
      </c>
    </row>
    <row r="344" spans="1:4" x14ac:dyDescent="0.3">
      <c r="A344" s="318">
        <v>150001048</v>
      </c>
      <c r="B344" s="43" t="s">
        <v>674</v>
      </c>
      <c r="C344" s="44" t="s">
        <v>125</v>
      </c>
      <c r="D344" s="254">
        <v>-4105.8884474801762</v>
      </c>
    </row>
    <row r="345" spans="1:4" x14ac:dyDescent="0.3">
      <c r="A345" s="318">
        <v>150001049</v>
      </c>
      <c r="B345" s="43" t="s">
        <v>675</v>
      </c>
      <c r="C345" s="44" t="s">
        <v>180</v>
      </c>
      <c r="D345" s="254">
        <v>6716.8270482674525</v>
      </c>
    </row>
    <row r="346" spans="1:4" x14ac:dyDescent="0.3">
      <c r="A346" s="318">
        <v>150001050</v>
      </c>
      <c r="B346" s="43" t="s">
        <v>669</v>
      </c>
      <c r="C346" s="44" t="s">
        <v>270</v>
      </c>
      <c r="D346" s="254">
        <v>65445.713132144505</v>
      </c>
    </row>
    <row r="347" spans="1:4" x14ac:dyDescent="0.3">
      <c r="A347" s="318">
        <v>150001053</v>
      </c>
      <c r="B347" s="43" t="s">
        <v>457</v>
      </c>
      <c r="C347" s="44" t="s">
        <v>146</v>
      </c>
      <c r="D347" s="254">
        <v>18620.058736810508</v>
      </c>
    </row>
    <row r="348" spans="1:4" x14ac:dyDescent="0.3">
      <c r="A348" s="318">
        <v>150001054</v>
      </c>
      <c r="B348" s="43" t="s">
        <v>569</v>
      </c>
      <c r="C348" s="44" t="s">
        <v>85</v>
      </c>
      <c r="D348" s="254">
        <v>-6501.5439523683726</v>
      </c>
    </row>
    <row r="349" spans="1:4" x14ac:dyDescent="0.3">
      <c r="A349" s="318">
        <v>150001071</v>
      </c>
      <c r="B349" s="43" t="s">
        <v>625</v>
      </c>
      <c r="C349" s="44" t="s">
        <v>167</v>
      </c>
      <c r="D349" s="254">
        <v>-2519.4386749706327</v>
      </c>
    </row>
    <row r="350" spans="1:4" ht="22.8" x14ac:dyDescent="0.3">
      <c r="A350" s="318">
        <v>150001094</v>
      </c>
      <c r="B350" s="43" t="s">
        <v>719</v>
      </c>
      <c r="C350" s="44" t="s">
        <v>185</v>
      </c>
      <c r="D350" s="254">
        <v>30554.839832585127</v>
      </c>
    </row>
    <row r="351" spans="1:4" x14ac:dyDescent="0.3">
      <c r="A351" s="318">
        <v>150001561</v>
      </c>
      <c r="B351" s="43" t="s">
        <v>782</v>
      </c>
      <c r="C351" s="44" t="s">
        <v>399</v>
      </c>
      <c r="D351" s="254">
        <v>-106355.80808657745</v>
      </c>
    </row>
    <row r="352" spans="1:4" ht="15" thickBot="1" x14ac:dyDescent="0.35">
      <c r="A352" s="318">
        <v>150001562</v>
      </c>
      <c r="B352" s="47" t="s">
        <v>548</v>
      </c>
      <c r="C352" s="48" t="s">
        <v>208</v>
      </c>
      <c r="D352" s="254">
        <v>-107948.05453251308</v>
      </c>
    </row>
    <row r="353" spans="1:4" ht="15" thickBot="1" x14ac:dyDescent="0.35">
      <c r="A353" s="319"/>
      <c r="B353" s="50"/>
      <c r="C353" s="51" t="s">
        <v>824</v>
      </c>
      <c r="D353" s="78">
        <v>3014858.4817379941</v>
      </c>
    </row>
    <row r="356" spans="1:4" x14ac:dyDescent="0.3">
      <c r="A356" s="736"/>
      <c r="B356" s="8"/>
      <c r="C356" s="5" t="s">
        <v>1014</v>
      </c>
      <c r="D356" s="5">
        <v>433403.76796280139</v>
      </c>
    </row>
    <row r="357" spans="1:4" x14ac:dyDescent="0.3">
      <c r="A357" s="736"/>
      <c r="B357" s="8"/>
      <c r="C357" s="5" t="s">
        <v>1015</v>
      </c>
      <c r="D357" s="5">
        <v>1629951.7148352282</v>
      </c>
    </row>
    <row r="358" spans="1:4" x14ac:dyDescent="0.3">
      <c r="A358" s="736"/>
      <c r="B358" s="255"/>
      <c r="C358" s="261" t="s">
        <v>1016</v>
      </c>
      <c r="D358" s="5">
        <v>953868.03593354311</v>
      </c>
    </row>
    <row r="359" spans="1:4" x14ac:dyDescent="0.3">
      <c r="A359" s="738"/>
      <c r="B359" s="723"/>
      <c r="C359" s="644" t="s">
        <v>948</v>
      </c>
      <c r="D359" s="9">
        <v>3017223.5187315727</v>
      </c>
    </row>
    <row r="361" spans="1:4" x14ac:dyDescent="0.3">
      <c r="C361" s="4" t="s">
        <v>1033</v>
      </c>
    </row>
    <row r="362" spans="1:4" x14ac:dyDescent="0.3">
      <c r="A362" s="282"/>
      <c r="C362" s="28" t="s">
        <v>1014</v>
      </c>
    </row>
    <row r="363" spans="1:4" x14ac:dyDescent="0.3">
      <c r="A363" s="282"/>
      <c r="C363" s="28" t="s">
        <v>1015</v>
      </c>
    </row>
    <row r="364" spans="1:4" x14ac:dyDescent="0.3">
      <c r="A364" s="282"/>
      <c r="C364" s="28" t="s">
        <v>1016</v>
      </c>
    </row>
    <row r="365" spans="1:4" x14ac:dyDescent="0.3">
      <c r="A365" s="282"/>
      <c r="C365" s="30" t="s">
        <v>948</v>
      </c>
    </row>
  </sheetData>
  <autoFilter ref="A8:E8" xr:uid="{2D2A34E5-8AB6-40F4-8FBE-54B319DECFB2}"/>
  <sortState xmlns:xlrd2="http://schemas.microsoft.com/office/spreadsheetml/2017/richdata2" ref="A9:D352">
    <sortCondition ref="A9:A352"/>
  </sortState>
  <mergeCells count="4">
    <mergeCell ref="A6:A8"/>
    <mergeCell ref="B6:B8"/>
    <mergeCell ref="C6:C8"/>
    <mergeCell ref="D6:D8"/>
  </mergeCells>
  <conditionalFormatting sqref="A129">
    <cfRule type="duplicateValues" dxfId="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5</vt:i4>
      </vt:variant>
    </vt:vector>
  </HeadingPairs>
  <TitlesOfParts>
    <vt:vector size="32" baseType="lpstr">
      <vt:lpstr>Звіт-будинок</vt:lpstr>
      <vt:lpstr>зведена таблиця</vt:lpstr>
      <vt:lpstr>місяць</vt:lpstr>
      <vt:lpstr>побудинковий звіт</vt:lpstr>
      <vt:lpstr>поточний ремонт</vt:lpstr>
      <vt:lpstr>Лист2</vt:lpstr>
      <vt:lpstr>ДЗ нас </vt:lpstr>
      <vt:lpstr>ДЗ нежит</vt:lpstr>
      <vt:lpstr>кошти 01.01.24</vt:lpstr>
      <vt:lpstr>кошти 01.03.23</vt:lpstr>
      <vt:lpstr>ПР будинок</vt:lpstr>
      <vt:lpstr>накладні витрати</vt:lpstr>
      <vt:lpstr>первичка 1</vt:lpstr>
      <vt:lpstr>первичка 2</vt:lpstr>
      <vt:lpstr>Лист4</vt:lpstr>
      <vt:lpstr>коди</vt:lpstr>
      <vt:lpstr>ціни</vt:lpstr>
      <vt:lpstr>кошти 01.03.20</vt:lpstr>
      <vt:lpstr>Лист3</vt:lpstr>
      <vt:lpstr>нач</vt:lpstr>
      <vt:lpstr>новий кошторис с 01.06</vt:lpstr>
      <vt:lpstr>зарплата в цінах</vt:lpstr>
      <vt:lpstr>зарплата ТО</vt:lpstr>
      <vt:lpstr>ЕЛЕМЕНТИ ВИТРАТ</vt:lpstr>
      <vt:lpstr>ЛІМІТИ</vt:lpstr>
      <vt:lpstr>паркан аморт</vt:lpstr>
      <vt:lpstr>Лист1</vt:lpstr>
      <vt:lpstr>нач!Заголовки_для_печати</vt:lpstr>
      <vt:lpstr>'поточний ремонт'!Заголовки_для_печати</vt:lpstr>
      <vt:lpstr>ціни!Заголовки_для_печати</vt:lpstr>
      <vt:lpstr>'Звіт-будинок'!Область_печати</vt:lpstr>
      <vt:lpstr>'накладні витрати'!Область_печати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nachpev</cp:lastModifiedBy>
  <cp:lastPrinted>2025-02-04T09:27:26Z</cp:lastPrinted>
  <dcterms:created xsi:type="dcterms:W3CDTF">2019-04-08T07:56:54Z</dcterms:created>
  <dcterms:modified xsi:type="dcterms:W3CDTF">2025-02-04T12:33:40Z</dcterms:modified>
</cp:coreProperties>
</file>